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tal Impact Hours so far" sheetId="1" r:id="rId4"/>
    <sheet state="visible" name="Total IH for Export" sheetId="2" r:id="rId5"/>
    <sheet state="visible" name="Bi-Weekly IH for Export" sheetId="3" r:id="rId6"/>
    <sheet state="visible" name="IH Predictions" sheetId="4" r:id="rId7"/>
    <sheet state="visible" name="Assumed Impact Hours at launch" sheetId="5" r:id="rId8"/>
    <sheet state="visible" name="#17 May 7" sheetId="6" r:id="rId9"/>
    <sheet state="visible" name="#17 IH Results" sheetId="7" r:id="rId10"/>
    <sheet state="visible" name="#16 Apr 24" sheetId="8" r:id="rId11"/>
    <sheet state="visible" name="#16 IH Results" sheetId="9" r:id="rId12"/>
    <sheet state="visible" name="#15 Apr 9" sheetId="10" r:id="rId13"/>
    <sheet state="visible" name="#15 IH Results" sheetId="11" r:id="rId14"/>
    <sheet state="visible" name="#14 Mar 26" sheetId="12" r:id="rId15"/>
    <sheet state="visible" name="#14 IH Results" sheetId="13" r:id="rId16"/>
    <sheet state="visible" name="#13 Mar 12" sheetId="14" r:id="rId17"/>
    <sheet state="visible" name="#13 IH Results" sheetId="15" r:id="rId18"/>
    <sheet state="visible" name="DO NOT TOUCH Imported" sheetId="16" r:id="rId19"/>
    <sheet state="visible" name="#12 Feb 26" sheetId="17" r:id="rId20"/>
    <sheet state="visible" name="#12 IH Results" sheetId="18" r:id="rId21"/>
    <sheet state="visible" name="#11 Feb 12" sheetId="19" r:id="rId22"/>
    <sheet state="visible" name="#11 IH Results" sheetId="20" r:id="rId23"/>
    <sheet state="visible" name="#10 Jan 29" sheetId="21" r:id="rId24"/>
    <sheet state="visible" name="#10 IH Results" sheetId="22" r:id="rId25"/>
    <sheet state="visible" name="#9 Jan 15" sheetId="23" r:id="rId26"/>
    <sheet state="visible" name="#9 IH Results" sheetId="24" r:id="rId27"/>
    <sheet state="visible" name="#8 Jan 1" sheetId="25" r:id="rId28"/>
    <sheet state="visible" name="#8 IH Results" sheetId="26" r:id="rId29"/>
    <sheet state="visible" name="#7 Dec 18" sheetId="27" r:id="rId30"/>
    <sheet state="visible" name="#7 IH Results" sheetId="28" r:id="rId31"/>
    <sheet state="visible" name="#6 Dec 4" sheetId="29" r:id="rId32"/>
    <sheet state="visible" name="#6 IH Results" sheetId="30" r:id="rId33"/>
    <sheet state="visible" name="#5 Nov 20" sheetId="31" r:id="rId34"/>
    <sheet state="visible" name="#5 IH Results" sheetId="32" r:id="rId35"/>
    <sheet state="visible" name="#4 Nov 6" sheetId="33" r:id="rId36"/>
    <sheet state="visible" name="#4 IH Results" sheetId="34" r:id="rId37"/>
    <sheet state="visible" name="#3 Oct 23" sheetId="35" r:id="rId38"/>
    <sheet state="visible" name="#3 IH Results" sheetId="36" r:id="rId39"/>
    <sheet state="visible" name="#2 Oct 9" sheetId="37" r:id="rId40"/>
    <sheet state="visible" name="#2 IH Results" sheetId="38" r:id="rId41"/>
    <sheet state="visible" name="#1 Sept 24" sheetId="39" r:id="rId42"/>
    <sheet state="visible" name="#1 IH Results" sheetId="40" r:id="rId43"/>
    <sheet state="visible" name="#0 Sept 7 (historic)" sheetId="41" r:id="rId44"/>
    <sheet state="visible" name="#0 IH Results" sheetId="42" r:id="rId45"/>
    <sheet state="visible" name="#1 + #2 (4 weeks together)" sheetId="43" r:id="rId46"/>
  </sheets>
  <definedNames>
    <definedName hidden="1" localSheetId="0" name="_xlnm._FilterDatabase">'Total Impact Hours so far'!$A$2:$Z$1188</definedName>
    <definedName hidden="1" localSheetId="4" name="_xlnm._FilterDatabase">'Assumed Impact Hours at launch'!$A$2:$Z$1189</definedName>
    <definedName hidden="1" localSheetId="5" name="_xlnm._FilterDatabase">'#17 May 7'!$A$3:$AA$977</definedName>
    <definedName hidden="1" localSheetId="6" name="_xlnm._FilterDatabase">'#17 IH Results'!$A$2:$U$163</definedName>
    <definedName hidden="1" localSheetId="7" name="_xlnm._FilterDatabase">'#16 Apr 24'!$A$3:$AA$961</definedName>
    <definedName hidden="1" localSheetId="8" name="_xlnm._FilterDatabase">'#16 IH Results'!$A$2:$U$147</definedName>
    <definedName hidden="1" localSheetId="9" name="_xlnm._FilterDatabase">'#15 Apr 9'!$A$3:$AA$966</definedName>
    <definedName hidden="1" localSheetId="10" name="_xlnm._FilterDatabase">'#15 IH Results'!$A$2:$U$147</definedName>
    <definedName hidden="1" localSheetId="11" name="_xlnm._FilterDatabase">'#14 Mar 26'!$A$3:$AA$807</definedName>
    <definedName hidden="1" localSheetId="12" name="_xlnm._FilterDatabase">'#14 IH Results'!$A$2:$U$126</definedName>
    <definedName hidden="1" localSheetId="13" name="_xlnm._FilterDatabase">'#13 Mar 12'!$A$3:$Z$655</definedName>
    <definedName hidden="1" localSheetId="14" name="_xlnm._FilterDatabase">'#13 IH Results'!$A$2:$U$126</definedName>
    <definedName hidden="1" localSheetId="16" name="_xlnm._FilterDatabase">'#12 Feb 26'!$A$3:$Z$675</definedName>
    <definedName hidden="1" localSheetId="17" name="_xlnm._FilterDatabase">'#12 IH Results'!$A$2:$U$126</definedName>
    <definedName hidden="1" localSheetId="18" name="_xlnm._FilterDatabase">'#11 Feb 12'!$A$3:$Z$466</definedName>
    <definedName hidden="1" localSheetId="19" name="_xlnm._FilterDatabase">'#11 IH Results'!$A$2:$U$122</definedName>
    <definedName hidden="1" localSheetId="20" name="_xlnm._FilterDatabase">'#10 Jan 29'!$A$3:$Z$579</definedName>
    <definedName hidden="1" localSheetId="21" name="_xlnm._FilterDatabase">'#10 IH Results'!$A$2:$U$108</definedName>
    <definedName hidden="1" localSheetId="22" name="_xlnm._FilterDatabase">'#9 Jan 15'!$A$3:$Z$592</definedName>
    <definedName hidden="1" localSheetId="23" name="_xlnm._FilterDatabase">'#9 IH Results'!$A$2:$U$108</definedName>
    <definedName hidden="1" localSheetId="24" name="_xlnm._FilterDatabase">'#8 Jan 1'!$A$3:$Z$361</definedName>
    <definedName hidden="1" localSheetId="25" name="_xlnm._FilterDatabase">'#8 IH Results'!$A$2:$U$85</definedName>
    <definedName hidden="1" localSheetId="26" name="_xlnm._FilterDatabase">'#7 Dec 18'!$A$3:$Z$482</definedName>
    <definedName hidden="1" localSheetId="27" name="_xlnm._FilterDatabase">'#7 IH Results'!$A$2:$U$85</definedName>
    <definedName hidden="1" localSheetId="28" name="_xlnm._FilterDatabase">'#6 Dec 4'!$A$3:$Z$514</definedName>
    <definedName hidden="1" localSheetId="29" name="_xlnm._FilterDatabase">'#6 IH Results'!$A$2:$Y$95</definedName>
    <definedName hidden="1" localSheetId="30" name="_xlnm._FilterDatabase">'#5 Nov 20'!$A$3:$X$377</definedName>
    <definedName hidden="1" localSheetId="31" name="_xlnm._FilterDatabase">'#5 IH Results'!$A$2:$Y$94</definedName>
    <definedName hidden="1" localSheetId="32" name="_xlnm._FilterDatabase">'#4 Nov 6'!$A$3:$X$333</definedName>
    <definedName hidden="1" localSheetId="33" name="_xlnm._FilterDatabase">'#4 IH Results'!$A$2:$Y$91</definedName>
    <definedName hidden="1" localSheetId="34" name="_xlnm._FilterDatabase">'#3 Oct 23'!$A$3:$X$278</definedName>
    <definedName hidden="1" localSheetId="35" name="_xlnm._FilterDatabase">'#3 IH Results'!$A$2:$Y$90</definedName>
    <definedName hidden="1" localSheetId="36" name="_xlnm._FilterDatabase">'#2 Oct 9'!$A$3:$X$195</definedName>
    <definedName hidden="1" localSheetId="37" name="_xlnm._FilterDatabase">'#2 IH Results'!$A$2:$Y$80</definedName>
    <definedName hidden="1" localSheetId="38" name="_xlnm._FilterDatabase">'#1 Sept 24'!$A$3:$X$403</definedName>
    <definedName hidden="1" localSheetId="39" name="_xlnm._FilterDatabase">'#1 IH Results'!$A$2:$Y$78</definedName>
    <definedName hidden="1" localSheetId="40" name="_xlnm._FilterDatabase">'#0 Sept 7 (historic)'!$A$3:$X$487</definedName>
    <definedName hidden="1" localSheetId="42" name="_xlnm._FilterDatabase">'#1 + #2 (4 weeks together)'!$A$1:$Z$88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H3">
      <text>
        <t xml:space="preserve">My metric: 1 point = 7.5 min @ Tier 1, 30 min  @Tier 2 and 2.5 hours @ Tier 3 with impact on the TE Commons coloring the final score
	-Griff Green
_Marked as resolved_
	-Vyvy-vi
_Re-opened_
	-Vyvy-vi</t>
      </text>
    </comment>
  </commentList>
</comments>
</file>

<file path=xl/sharedStrings.xml><?xml version="1.0" encoding="utf-8"?>
<sst xmlns="http://schemas.openxmlformats.org/spreadsheetml/2006/main" count="55513" uniqueCount="4188">
  <si>
    <t xml:space="preserve">Total IH: </t>
  </si>
  <si>
    <t>Handle</t>
  </si>
  <si>
    <t>Impact Hours</t>
  </si>
  <si>
    <t>zeptimusq</t>
  </si>
  <si>
    <t>santigs67</t>
  </si>
  <si>
    <t>cranders71</t>
  </si>
  <si>
    <t>sembrestels</t>
  </si>
  <si>
    <t>ygganderson</t>
  </si>
  <si>
    <t>solsista</t>
  </si>
  <si>
    <t>akrtws</t>
  </si>
  <si>
    <t>iviangita</t>
  </si>
  <si>
    <t>mateodaza</t>
  </si>
  <si>
    <t>metaverde</t>
  </si>
  <si>
    <t>durgadasji</t>
  </si>
  <si>
    <t>jessicazartler</t>
  </si>
  <si>
    <t>juankbell</t>
  </si>
  <si>
    <t>griffgreen</t>
  </si>
  <si>
    <t>tonga2020</t>
  </si>
  <si>
    <t>liviade</t>
  </si>
  <si>
    <t>mzargham</t>
  </si>
  <si>
    <t>Vyvy-vi#5040</t>
  </si>
  <si>
    <t>shawn_westrick</t>
  </si>
  <si>
    <t>naynaysoo</t>
  </si>
  <si>
    <t>laurenluz</t>
  </si>
  <si>
    <t>danlessa</t>
  </si>
  <si>
    <t>freedumbs00</t>
  </si>
  <si>
    <t>sgonzt</t>
  </si>
  <si>
    <t>merlinegalite</t>
  </si>
  <si>
    <t>tam2140</t>
  </si>
  <si>
    <t>jeffemmett</t>
  </si>
  <si>
    <t>paulo_c2d</t>
  </si>
  <si>
    <t>sponnet2</t>
  </si>
  <si>
    <t>Mount Manu#3530</t>
  </si>
  <si>
    <t>vegayp</t>
  </si>
  <si>
    <t>xgabi</t>
  </si>
  <si>
    <t>vitormarthendal</t>
  </si>
  <si>
    <t>wslyvh</t>
  </si>
  <si>
    <t>simondlr</t>
  </si>
  <si>
    <t>danibelle</t>
  </si>
  <si>
    <t>manualzuru</t>
  </si>
  <si>
    <t>lkngtn</t>
  </si>
  <si>
    <t>blairv</t>
  </si>
  <si>
    <t>tannra</t>
  </si>
  <si>
    <t>markop</t>
  </si>
  <si>
    <t>kristoferkristofer</t>
  </si>
  <si>
    <t>Suga#8514</t>
  </si>
  <si>
    <t>ddan#2489</t>
  </si>
  <si>
    <t>benjaminscholtz</t>
  </si>
  <si>
    <t>divine_comedian</t>
  </si>
  <si>
    <t>knobsdao</t>
  </si>
  <si>
    <t>geleeroyale</t>
  </si>
  <si>
    <t>rdfbbx#6437</t>
  </si>
  <si>
    <t>randomshinichi</t>
  </si>
  <si>
    <t>vntrp</t>
  </si>
  <si>
    <t>hbesso31</t>
  </si>
  <si>
    <t>atacas</t>
  </si>
  <si>
    <t>rosamoc</t>
  </si>
  <si>
    <t>fabiosmendes</t>
  </si>
  <si>
    <t>heater03</t>
  </si>
  <si>
    <t>krisjones</t>
  </si>
  <si>
    <t>niranb</t>
  </si>
  <si>
    <t>fabimol</t>
  </si>
  <si>
    <t>fiorebotta</t>
  </si>
  <si>
    <t>chuygarcia92</t>
  </si>
  <si>
    <t>trentmc0</t>
  </si>
  <si>
    <t>loie_giveth</t>
  </si>
  <si>
    <t>willjgriff</t>
  </si>
  <si>
    <t>AnnaMarieSwan#8824</t>
  </si>
  <si>
    <t>tylerdmace</t>
  </si>
  <si>
    <t>owocki</t>
  </si>
  <si>
    <t>rubenrussel7</t>
  </si>
  <si>
    <t>quartagiulio</t>
  </si>
  <si>
    <t>daithic</t>
  </si>
  <si>
    <t>aminlatifi</t>
  </si>
  <si>
    <t>fvigevani</t>
  </si>
  <si>
    <t>Letty#5399</t>
  </si>
  <si>
    <t>fabianvb</t>
  </si>
  <si>
    <t>krrisis</t>
  </si>
  <si>
    <t>jonathanbsci</t>
  </si>
  <si>
    <t>burrrata</t>
  </si>
  <si>
    <t>rodrigouy</t>
  </si>
  <si>
    <t>felixfalafel</t>
  </si>
  <si>
    <t>elihanover</t>
  </si>
  <si>
    <t>anjablaj</t>
  </si>
  <si>
    <t>gracerachmany</t>
  </si>
  <si>
    <t>vivszaid</t>
  </si>
  <si>
    <t>misterboyfriend</t>
  </si>
  <si>
    <t>abchewey</t>
  </si>
  <si>
    <t>phil_h</t>
  </si>
  <si>
    <t>upaul</t>
  </si>
  <si>
    <t>baartch#5796</t>
  </si>
  <si>
    <t>ludo_lb</t>
  </si>
  <si>
    <t>jameszaki</t>
  </si>
  <si>
    <t>Nuggan#5183</t>
  </si>
  <si>
    <t>T Wells#9070</t>
  </si>
  <si>
    <t>aidanbrodieo</t>
  </si>
  <si>
    <t>pacobacpac</t>
  </si>
  <si>
    <t>jwaup</t>
  </si>
  <si>
    <t>pehkah</t>
  </si>
  <si>
    <t>mehigher</t>
  </si>
  <si>
    <t>nikoline_nik</t>
  </si>
  <si>
    <t>moritzfelipe#9923</t>
  </si>
  <si>
    <t>sjdthree#8498</t>
  </si>
  <si>
    <t>dulcedu</t>
  </si>
  <si>
    <t>coachb</t>
  </si>
  <si>
    <t>marinam00</t>
  </si>
  <si>
    <t>jamessimbouras</t>
  </si>
  <si>
    <t>papa_raw</t>
  </si>
  <si>
    <t>gyalbo</t>
  </si>
  <si>
    <t>chriscyber</t>
  </si>
  <si>
    <t>jonassft</t>
  </si>
  <si>
    <t>simunstrukan</t>
  </si>
  <si>
    <t>paxthemax</t>
  </si>
  <si>
    <t>luukweber</t>
  </si>
  <si>
    <t>existenialstoic</t>
  </si>
  <si>
    <t>freddbomba</t>
  </si>
  <si>
    <t>d8n13l</t>
  </si>
  <si>
    <t>gfriis</t>
  </si>
  <si>
    <t>katalenacaban</t>
  </si>
  <si>
    <t>sergei_tran</t>
  </si>
  <si>
    <t>sepu85</t>
  </si>
  <si>
    <t>sherminv</t>
  </si>
  <si>
    <t>anthonyoliai</t>
  </si>
  <si>
    <t>lbagic</t>
  </si>
  <si>
    <t>juliet_myea</t>
  </si>
  <si>
    <t>josevicente1</t>
  </si>
  <si>
    <t>auryn_macmillan</t>
  </si>
  <si>
    <t>crypt0dawg</t>
  </si>
  <si>
    <t>markusbkoch#6770</t>
  </si>
  <si>
    <t>rogervs</t>
  </si>
  <si>
    <t>Lydia#2825</t>
  </si>
  <si>
    <t>unquale</t>
  </si>
  <si>
    <t>aaron_soskin</t>
  </si>
  <si>
    <t>sbilbao</t>
  </si>
  <si>
    <t>katebee</t>
  </si>
  <si>
    <t>boring877</t>
  </si>
  <si>
    <t>KZ Flyer#0926</t>
  </si>
  <si>
    <t>nelsonm</t>
  </si>
  <si>
    <t>petheth</t>
  </si>
  <si>
    <t>tjayrush</t>
  </si>
  <si>
    <t>krisparuch</t>
  </si>
  <si>
    <t>PaulaBerman#9915</t>
  </si>
  <si>
    <t>josiprajevic</t>
  </si>
  <si>
    <t>rpp63</t>
  </si>
  <si>
    <t>cpt_grog</t>
  </si>
  <si>
    <t>brutalfluffy</t>
  </si>
  <si>
    <t>jakublanc</t>
  </si>
  <si>
    <t>castall</t>
  </si>
  <si>
    <t>andfletcher</t>
  </si>
  <si>
    <t>thebeautyway</t>
  </si>
  <si>
    <t>glefevre</t>
  </si>
  <si>
    <t>antoniopaglino</t>
  </si>
  <si>
    <t>stephen_yo</t>
  </si>
  <si>
    <t>xlcrr</t>
  </si>
  <si>
    <t>morgangr</t>
  </si>
  <si>
    <t>nukemandan</t>
  </si>
  <si>
    <t>solarpunk_girl</t>
  </si>
  <si>
    <t>celineflash</t>
  </si>
  <si>
    <t>melvera</t>
  </si>
  <si>
    <t>positonic</t>
  </si>
  <si>
    <t>tokenbrice</t>
  </si>
  <si>
    <t>kaikai520#0224</t>
  </si>
  <si>
    <t>rafaelcalcada#1402</t>
  </si>
  <si>
    <t>maxsong123</t>
  </si>
  <si>
    <t>decentralizesdgs</t>
  </si>
  <si>
    <t>Typto</t>
  </si>
  <si>
    <t>renzod5</t>
  </si>
  <si>
    <t>ryanchrypto</t>
  </si>
  <si>
    <t>magentaceiba</t>
  </si>
  <si>
    <t>officialnico</t>
  </si>
  <si>
    <t>willruddick</t>
  </si>
  <si>
    <t>mercedesrodsim</t>
  </si>
  <si>
    <t>adriamb</t>
  </si>
  <si>
    <t>Michal#7390</t>
  </si>
  <si>
    <t>chanate91</t>
  </si>
  <si>
    <t>exiledsurfer</t>
  </si>
  <si>
    <t>davidhq</t>
  </si>
  <si>
    <t>hxrts</t>
  </si>
  <si>
    <t>pkk777</t>
  </si>
  <si>
    <t>Ermini0#7687</t>
  </si>
  <si>
    <t>bierlingm</t>
  </si>
  <si>
    <t>gagarine#9410</t>
  </si>
  <si>
    <t>bends#3537</t>
  </si>
  <si>
    <t>lescanore</t>
  </si>
  <si>
    <t>REOS#2250</t>
  </si>
  <si>
    <t>adaptdao</t>
  </si>
  <si>
    <t>gcrewe</t>
  </si>
  <si>
    <t>aleezagroks</t>
  </si>
  <si>
    <t>codersinblack</t>
  </si>
  <si>
    <t>smokyish</t>
  </si>
  <si>
    <t>alexholman</t>
  </si>
  <si>
    <t>monstros1ty</t>
  </si>
  <si>
    <t>LeonS#5914</t>
  </si>
  <si>
    <t>thelastjosh</t>
  </si>
  <si>
    <t>lanski13</t>
  </si>
  <si>
    <t>WhyldWanderer#7002</t>
  </si>
  <si>
    <t>staccop2p</t>
  </si>
  <si>
    <t>tawhuac</t>
  </si>
  <si>
    <t>nyanncatt</t>
  </si>
  <si>
    <t>jodisattva</t>
  </si>
  <si>
    <t>tze42</t>
  </si>
  <si>
    <t>orishim</t>
  </si>
  <si>
    <t>jelena_dragovic</t>
  </si>
  <si>
    <t>johann#1308</t>
  </si>
  <si>
    <t>BK#7471</t>
  </si>
  <si>
    <t>The Blockchain Socialist#5005</t>
  </si>
  <si>
    <t>cemfd</t>
  </si>
  <si>
    <t>edendh</t>
  </si>
  <si>
    <t>blackboxdotart</t>
  </si>
  <si>
    <t>oedth</t>
  </si>
  <si>
    <t>barnabemonnot</t>
  </si>
  <si>
    <t>xqtstrategy</t>
  </si>
  <si>
    <t>ivanthinking</t>
  </si>
  <si>
    <t>tech_digger</t>
  </si>
  <si>
    <t>Rex#1134</t>
  </si>
  <si>
    <t>ComandoBurrito</t>
  </si>
  <si>
    <t>terry#6288</t>
  </si>
  <si>
    <t>🐙 octopus#5508</t>
  </si>
  <si>
    <t>Mike Elias#4724</t>
  </si>
  <si>
    <t>CJ_33Logic#3171</t>
  </si>
  <si>
    <t>Pronoia🐙#2154</t>
  </si>
  <si>
    <t>pprhsk</t>
  </si>
  <si>
    <t>jantinine</t>
  </si>
  <si>
    <t>seedsalchemist</t>
  </si>
  <si>
    <t>wertuals</t>
  </si>
  <si>
    <t>tommy,🐙#3630</t>
  </si>
  <si>
    <t>kalesalad#3511</t>
  </si>
  <si>
    <t>yalormewn</t>
  </si>
  <si>
    <t>flakoubay</t>
  </si>
  <si>
    <t>michaelr10</t>
  </si>
  <si>
    <t>andythegreenie#7463</t>
  </si>
  <si>
    <t>ubipromoter</t>
  </si>
  <si>
    <t>ferdinandrg</t>
  </si>
  <si>
    <t>BlockEnthusiast</t>
  </si>
  <si>
    <t>davidkish</t>
  </si>
  <si>
    <t>witwiki3</t>
  </si>
  <si>
    <t>ontologymachine</t>
  </si>
  <si>
    <t>Mettodo#7010</t>
  </si>
  <si>
    <t>willyogo</t>
  </si>
  <si>
    <t>Michel Bauwens#1511</t>
  </si>
  <si>
    <t>adnfx2#9648</t>
  </si>
  <si>
    <t>decap#9400</t>
  </si>
  <si>
    <t>victorid</t>
  </si>
  <si>
    <t>kei#9866</t>
  </si>
  <si>
    <t>Kike Bell#8265</t>
  </si>
  <si>
    <t>zeroknowledge#8287</t>
  </si>
  <si>
    <t>rokkranjc</t>
  </si>
  <si>
    <t>ollitiainen</t>
  </si>
  <si>
    <t>emalinus</t>
  </si>
  <si>
    <t>hanna_nevermind</t>
  </si>
  <si>
    <t>johnkellden</t>
  </si>
  <si>
    <t>Mayu ☪Dev Protocol🌟#8814</t>
  </si>
  <si>
    <t>dysbulic 🐙#3391</t>
  </si>
  <si>
    <t>matslats</t>
  </si>
  <si>
    <t>tunoncedemalis</t>
  </si>
  <si>
    <t>nic#9212</t>
  </si>
  <si>
    <t>Si Chen#0557</t>
  </si>
  <si>
    <t>proofoftom</t>
  </si>
  <si>
    <t>Lin#3884</t>
  </si>
  <si>
    <t>hypereum</t>
  </si>
  <si>
    <t>wipabramson</t>
  </si>
  <si>
    <t>jasselnorm</t>
  </si>
  <si>
    <t>shrutiappiah1</t>
  </si>
  <si>
    <t>willszal#6405</t>
  </si>
  <si>
    <t>rogervs#1094</t>
  </si>
  <si>
    <t>meedabyte</t>
  </si>
  <si>
    <t>ZoushHoang#2376</t>
  </si>
  <si>
    <t>maghaali#6154</t>
  </si>
  <si>
    <t>cyotee</t>
  </si>
  <si>
    <t>ajmaq</t>
  </si>
  <si>
    <t>francescovaub</t>
  </si>
  <si>
    <t>meta_dreamer</t>
  </si>
  <si>
    <t>lalogarza</t>
  </si>
  <si>
    <t>cannabiscommunitycare</t>
  </si>
  <si>
    <t>Aggre 🗾🗼 Dev Protocol#3446</t>
  </si>
  <si>
    <t>Thales#8858</t>
  </si>
  <si>
    <t>paul2#3057</t>
  </si>
  <si>
    <t>JoeEchidna</t>
  </si>
  <si>
    <t>rod266#3161</t>
  </si>
  <si>
    <t>enti#1546</t>
  </si>
  <si>
    <t>DW#5584</t>
  </si>
  <si>
    <t>CurlyBracketEffect#5572</t>
  </si>
  <si>
    <t>DeepTroop#4783</t>
  </si>
  <si>
    <t>macerer</t>
  </si>
  <si>
    <t>vasileios_panagiotidis</t>
  </si>
  <si>
    <t>Christian_RegenNetwork#5044</t>
  </si>
  <si>
    <t>BadJuju#1050</t>
  </si>
  <si>
    <t>Miles#9305</t>
  </si>
  <si>
    <t>NirV#4850</t>
  </si>
  <si>
    <t>sinsan#3757</t>
  </si>
  <si>
    <t>revxzx</t>
  </si>
  <si>
    <t>kentphilly</t>
  </si>
  <si>
    <t>dunks411 | Adept Camp#2178</t>
  </si>
  <si>
    <t>CaseyR#2795</t>
  </si>
  <si>
    <t>viken33</t>
  </si>
  <si>
    <t>jakubgregus</t>
  </si>
  <si>
    <t>atitcomb</t>
  </si>
  <si>
    <t>graven#6675</t>
  </si>
  <si>
    <t>igorline</t>
  </si>
  <si>
    <t>edapt</t>
  </si>
  <si>
    <t>Wright#9119</t>
  </si>
  <si>
    <t>tomerba</t>
  </si>
  <si>
    <t>Revathi#5324</t>
  </si>
  <si>
    <t>JoeZ#9988</t>
  </si>
  <si>
    <t>joaonit#7081</t>
  </si>
  <si>
    <t>davidking 🐝#0780</t>
  </si>
  <si>
    <t>dahlberry</t>
  </si>
  <si>
    <t>eskalexia</t>
  </si>
  <si>
    <t>eeeit</t>
  </si>
  <si>
    <t>santosthegreat</t>
  </si>
  <si>
    <t>rad casale#6107</t>
  </si>
  <si>
    <t>Tyler Golato#5399</t>
  </si>
  <si>
    <t>wunluv</t>
  </si>
  <si>
    <t>stan#3519</t>
  </si>
  <si>
    <t>blockchainberlin</t>
  </si>
  <si>
    <t>monsterplayaus</t>
  </si>
  <si>
    <t>fahern#7639</t>
  </si>
  <si>
    <t>D8N1#8408</t>
  </si>
  <si>
    <t>cryptononymouseconomist</t>
  </si>
  <si>
    <t>Elementarycomplexity</t>
  </si>
  <si>
    <t>charingane</t>
  </si>
  <si>
    <t>rodbot2#3621</t>
  </si>
  <si>
    <t>patogit#7853</t>
  </si>
  <si>
    <t>EFRA#7972</t>
  </si>
  <si>
    <t>supernova_labs</t>
  </si>
  <si>
    <t>fenjamin</t>
  </si>
  <si>
    <t>TamedImpala#7142</t>
  </si>
  <si>
    <t>Shaila#4348</t>
  </si>
  <si>
    <t>JoaoEstellita#3866</t>
  </si>
  <si>
    <t>itiszacs#2501</t>
  </si>
  <si>
    <t>HazardJ#9101</t>
  </si>
  <si>
    <t>Ezra#7391</t>
  </si>
  <si>
    <t>emmy#1303</t>
  </si>
  <si>
    <t>alex.v | Gnosis#4495</t>
  </si>
  <si>
    <t>0xJoshua#0888</t>
  </si>
  <si>
    <t>prasad_h#9454</t>
  </si>
  <si>
    <t>OK#8891</t>
  </si>
  <si>
    <t>jpaulet#3269</t>
  </si>
  <si>
    <t>deepcryptodive</t>
  </si>
  <si>
    <t>bimboom66#4846</t>
  </si>
  <si>
    <t>sknuth#9426</t>
  </si>
  <si>
    <t>wildpau</t>
  </si>
  <si>
    <t>jimbobbins</t>
  </si>
  <si>
    <t>jamiepitts</t>
  </si>
  <si>
    <t>erikbjare</t>
  </si>
  <si>
    <t>eduadiez</t>
  </si>
  <si>
    <t>dazuck</t>
  </si>
  <si>
    <t>bradym</t>
  </si>
  <si>
    <t>benjaminaaron</t>
  </si>
  <si>
    <t>Xlebushek#6643</t>
  </si>
  <si>
    <t>tian#6241</t>
  </si>
  <si>
    <t>kaptan48#3044</t>
  </si>
  <si>
    <t>jantanner#2104</t>
  </si>
  <si>
    <t>jahed#1529</t>
  </si>
  <si>
    <t>GOOMBZ#3280</t>
  </si>
  <si>
    <t>fakepixels#6258</t>
  </si>
  <si>
    <t>sethfork</t>
  </si>
  <si>
    <t>OKDuncan</t>
  </si>
  <si>
    <t>Leanne#9678</t>
  </si>
  <si>
    <t>arcorren</t>
  </si>
  <si>
    <t>acryptomuppet</t>
  </si>
  <si>
    <t>a_bornstein</t>
  </si>
  <si>
    <t>yangwao</t>
  </si>
  <si>
    <t>sanolution</t>
  </si>
  <si>
    <t>quentin_hb</t>
  </si>
  <si>
    <t>matiasbd</t>
  </si>
  <si>
    <t>lefterisjp</t>
  </si>
  <si>
    <t>irenioskamoska#7519</t>
  </si>
  <si>
    <t>CleanApp</t>
  </si>
  <si>
    <t>fatrui</t>
  </si>
  <si>
    <t>youngkidwarrior</t>
  </si>
  <si>
    <t>econaut6</t>
  </si>
  <si>
    <t>scupytrooples</t>
  </si>
  <si>
    <t>paulsalis</t>
  </si>
  <si>
    <t>ethicraul</t>
  </si>
  <si>
    <t>hubway</t>
  </si>
  <si>
    <t>gijsspoor</t>
  </si>
  <si>
    <t>marveloushelper</t>
  </si>
  <si>
    <t>denissrgn</t>
  </si>
  <si>
    <t>robinwhitney</t>
  </si>
  <si>
    <t>pimpmypeon</t>
  </si>
  <si>
    <t>cryptonian_z</t>
  </si>
  <si>
    <t>asalemalawi</t>
  </si>
  <si>
    <t>wolfofcurrency</t>
  </si>
  <si>
    <t>llll79</t>
  </si>
  <si>
    <t>immortaz</t>
  </si>
  <si>
    <t>burningfiat</t>
  </si>
  <si>
    <t>Total Impact Hours:</t>
  </si>
  <si>
    <t>Telegram Handle</t>
  </si>
  <si>
    <t>@</t>
  </si>
  <si>
    <t>⧗</t>
  </si>
  <si>
    <t>... and many more!</t>
  </si>
  <si>
    <t>Weekly Impact Hours:</t>
  </si>
  <si>
    <t>TG/Discord Handle</t>
  </si>
  <si>
    <t>Round</t>
  </si>
  <si>
    <t>Hours that Round</t>
  </si>
  <si>
    <t>Actual / Predicted</t>
  </si>
  <si>
    <t>End Date</t>
  </si>
  <si>
    <t>Total IH</t>
  </si>
  <si>
    <t>Min Goal @ 15 DAI/IH &amp; 15% Tribute</t>
  </si>
  <si>
    <t>Min Goal @ 10 IH/hr &amp; 15% Tribute</t>
  </si>
  <si>
    <t>Min Goal @ 10 IH/hr &amp; 20% Tribute</t>
  </si>
  <si>
    <t>Change in Impact hours from previous round</t>
  </si>
  <si>
    <t>Average Change</t>
  </si>
  <si>
    <t>0 (Historic)</t>
  </si>
  <si>
    <t>Actual</t>
  </si>
  <si>
    <t>Predicted</t>
  </si>
  <si>
    <t>Optimistic version</t>
  </si>
  <si>
    <t>Total Hours</t>
  </si>
  <si>
    <t>Min Goal @ 15 IH/hr &amp; 15% Tribute</t>
  </si>
  <si>
    <t>Total IH:</t>
  </si>
  <si>
    <t>Assumed IH</t>
  </si>
  <si>
    <t>dexVicente#4828</t>
  </si>
  <si>
    <t>NIEK_NIK#9215</t>
  </si>
  <si>
    <t>Raw Discord Praise</t>
  </si>
  <si>
    <t>https://docs.google.com/spreadsheets/d/1d7KVvAUlWb2yZPDTMttr1gEHzod6RKOiheGk-FX0BqE/edit?usp=sharing</t>
  </si>
  <si>
    <t>Hours</t>
  </si>
  <si>
    <t>Hours pre adjustments</t>
  </si>
  <si>
    <t>Praises</t>
  </si>
  <si>
    <t>IH/praise Before Quantifiers</t>
  </si>
  <si>
    <t>Raw Telegram Praise</t>
  </si>
  <si>
    <t>https://docs.google.com/spreadsheets/d/1Qxgjg4YxTBNIIwIEm3WGDcmGs_8Klv-UzztQCzYLvNA/edit?usp=sharing</t>
  </si>
  <si>
    <t>Total points</t>
  </si>
  <si>
    <t>`=query(iferror(sort({row(A4:A)-row(A4)+2-match(sort(A4:A),sort(A4:A),0),SORT(ROW(A4:A)+2-row(A4)+2,A4:A,1)},2,1),),"Select Col1")</t>
  </si>
  <si>
    <t>To</t>
  </si>
  <si>
    <t>From</t>
  </si>
  <si>
    <t>Reason for dishing</t>
  </si>
  <si>
    <t>Date</t>
  </si>
  <si>
    <t>Room</t>
  </si>
  <si>
    <t>Metaverde</t>
  </si>
  <si>
    <t>Juank</t>
  </si>
  <si>
    <t>Edu</t>
  </si>
  <si>
    <t>Avg %</t>
  </si>
  <si>
    <t>IH per Praise</t>
  </si>
  <si>
    <t>IH per person</t>
  </si>
  <si>
    <t>Tam2140#9361</t>
  </si>
  <si>
    <t xml:space="preserve">for hosting this kicking params party! </t>
  </si>
  <si>
    <t>Token Engineering Commons</t>
  </si>
  <si>
    <t>May-07-2021</t>
  </si>
  <si>
    <t>🙏praise</t>
  </si>
  <si>
    <t>Zeptimus#3359</t>
  </si>
  <si>
    <t>iviangita#3204</t>
  </si>
  <si>
    <t xml:space="preserve">for hosting and leading a lot of params parties </t>
  </si>
  <si>
    <t>Juankbell#7458</t>
  </si>
  <si>
    <t xml:space="preserve">for testing and deploying the bot to record and display our meetings! </t>
  </si>
  <si>
    <t>Apr-28-2021</t>
  </si>
  <si>
    <t xml:space="preserve">for the huge success of the MVV process </t>
  </si>
  <si>
    <t>Apr-30-2021</t>
  </si>
  <si>
    <t xml:space="preserve">for his awesome work on the recorder bot, for all the help he is doing with the documentation, for always being there and getting those recordings going, pushing the Transparency WG, and being such a good personality </t>
  </si>
  <si>
    <t xml:space="preserve">for taking care of Ivy's access to Twitter DMs!! </t>
  </si>
  <si>
    <t>griff#3281</t>
  </si>
  <si>
    <t xml:space="preserve">and the many other community members that did user testing over the last month to slowly but surely make this project something we can be proud to release! </t>
  </si>
  <si>
    <t>May-03-2021</t>
  </si>
  <si>
    <t>🎫general</t>
  </si>
  <si>
    <t xml:space="preserve">for keeping the Stewards, and all Working Groups, transparent. The Stewards audit is on the Forum. </t>
  </si>
  <si>
    <t>May-06-2021</t>
  </si>
  <si>
    <t xml:space="preserve">for all the awesome MEMES! </t>
  </si>
  <si>
    <t>AmwFund#0979</t>
  </si>
  <si>
    <t xml:space="preserve">for attending the 1Hive TEC Hatch Params Party, and to the 9 individuals in attendance but not in the Praise channel, help them join us here. </t>
  </si>
  <si>
    <t xml:space="preserve">for being thoughtful and taking the time to guide me in the TEC Hatch Config Dashboard 🙏🏼 😊 </t>
  </si>
  <si>
    <t>Apr-26-2021</t>
  </si>
  <si>
    <t xml:space="preserve">for being present in the Transparency sync call today </t>
  </si>
  <si>
    <t xml:space="preserve">for an improv hack session on designs and illustrations for the Hatch and for Gravity </t>
  </si>
  <si>
    <t>solsista#5370</t>
  </si>
  <si>
    <t xml:space="preserve">for joining the &lt;#810180622634844202&gt; bi-weekly call, with their diverse backgrounds - already creating a perfect focus group 😄 to start our research from, and making time for not just 1 but 2 work sessions until our next call </t>
  </si>
  <si>
    <t xml:space="preserve">for a highly productive Community Stewards call.🌾 </t>
  </si>
  <si>
    <t xml:space="preserve">for their amazing ideas in transparency </t>
  </si>
  <si>
    <t xml:space="preserve">for all the things they are doing that Suga does not see </t>
  </si>
  <si>
    <t xml:space="preserve">for being an active piece of SoftGov and making it better every time </t>
  </si>
  <si>
    <t xml:space="preserve">for joining Santi in this other project he is launching around art </t>
  </si>
  <si>
    <t xml:space="preserve">for joinimc community call https://youtu.be/fvlttUshrbg its the ugly dude getting the recording 🤭 </t>
  </si>
  <si>
    <t xml:space="preserve">for yesterday restrospective meeting, what an awesome sprint⚡ </t>
  </si>
  <si>
    <t xml:space="preserve">for the AMAZING MEMES this week!!! </t>
  </si>
  <si>
    <t>🍄memes</t>
  </si>
  <si>
    <t xml:space="preserve">for the transparency work he is doing in the background, for answering Manu s questions all the time, and for being always present </t>
  </si>
  <si>
    <t xml:space="preserve">for being awesome people who have interacted with Juan recently because having conversations with you are amazing </t>
  </si>
  <si>
    <t>sem  🐝#0161</t>
  </si>
  <si>
    <t xml:space="preserve">for coming to the hatch dashboard party today </t>
  </si>
  <si>
    <t>May-04-2021</t>
  </si>
  <si>
    <t xml:space="preserve">for joining the Community Stewards sync yesterday. </t>
  </si>
  <si>
    <t xml:space="preserve">for joining the Legal WG in the past weeks and we have dealt with the legal issues ahead of time </t>
  </si>
  <si>
    <t xml:space="preserve">for joining the Legal weekly sync </t>
  </si>
  <si>
    <t xml:space="preserve">for joining Common Swarm weekly sync ⚡ </t>
  </si>
  <si>
    <t>chuygarcia92🐝#6692</t>
  </si>
  <si>
    <t xml:space="preserve">for joining the Comms WG call </t>
  </si>
  <si>
    <t xml:space="preserve">for joining the Legal weekly call </t>
  </si>
  <si>
    <t>markop#2007</t>
  </si>
  <si>
    <t xml:space="preserve">for attending the Comms Call. </t>
  </si>
  <si>
    <t>Apr-27-2021</t>
  </si>
  <si>
    <t xml:space="preserve">for joining Common Swarm yesterday </t>
  </si>
  <si>
    <t>liviade#1387</t>
  </si>
  <si>
    <t xml:space="preserve">for joining the soft gov call yesterday! </t>
  </si>
  <si>
    <t>eduardovegap#0422</t>
  </si>
  <si>
    <t xml:space="preserve">for joining Hatch Outreach call! </t>
  </si>
  <si>
    <t>engaging in discussion on the TE Commons Forum (https://forum.tecommons.org) the past week. Thank you for helping our Token Engineering Commons community share and learn! 💪🙏</t>
  </si>
  <si>
    <t>PRAISE</t>
  </si>
  <si>
    <t>TE Praise</t>
  </si>
  <si>
    <t xml:space="preserve">for joining the TEC Community Call 🙏 😊 https://youtu.be/CArIX3rOvx0 </t>
  </si>
  <si>
    <t>mentioning or retweeting Commons Stack on the socials the past week! Thank you for helping us grow the Commons Stack community and spreading the message! 🙏🏼🌱</t>
  </si>
  <si>
    <t>Commons Stack</t>
  </si>
  <si>
    <t>mentioning or retweeting TE Commons on the socials the past week! Thank you for helping us grow the Token Engineering Commons community and spreading the message! 🙏🏼☺️</t>
  </si>
  <si>
    <t>the TE Academy kickoff</t>
  </si>
  <si>
    <t xml:space="preserve">for the enlightening talk this morning on shifting paradigms and bringing decentralized organization to the people for the greater good. </t>
  </si>
  <si>
    <t>🙌praise</t>
  </si>
  <si>
    <t xml:space="preserve">because the Omega working group is flowering into something very special and necessary for the community, awesome to see that </t>
  </si>
  <si>
    <t xml:space="preserve">for leading a great session which was unexpectedly about a project I had been hoping I'd get to work on </t>
  </si>
  <si>
    <t>May-05-2021</t>
  </si>
  <si>
    <t>initiating a new ecosystem and value flows course on the TE Academy!!</t>
  </si>
  <si>
    <t xml:space="preserve">for hosting the bonfire chat on the Token Engineering </t>
  </si>
  <si>
    <t xml:space="preserve">because the biweekly 0mega calls are becoming one of Chuys favorite spaces in the TEC </t>
  </si>
  <si>
    <t xml:space="preserve">for the meeting with Eduardo on the proposals and their guidance on the process </t>
  </si>
  <si>
    <t xml:space="preserve">for always translating the praise and for managing the CS Twitter </t>
  </si>
  <si>
    <t>ygg_anderson#4998</t>
  </si>
  <si>
    <t xml:space="preserve">for sorting the infinite praise from today's community call! </t>
  </si>
  <si>
    <t xml:space="preserve">for bot /server hacking and ivy for already catching up on praise channel my command's glitch and making it count </t>
  </si>
  <si>
    <t>May-01-2021</t>
  </si>
  <si>
    <t>🎑-omega</t>
  </si>
  <si>
    <t xml:space="preserve">for being our Praise Queen </t>
  </si>
  <si>
    <t xml:space="preserve">for setting up the Miro Board for sprint retrospectives </t>
  </si>
  <si>
    <t>GriffGreen</t>
  </si>
  <si>
    <t>always cleaning up the videos and making the praise!!!</t>
  </si>
  <si>
    <t>CS dDEV Team</t>
  </si>
  <si>
    <t xml:space="preserve">for all the work she does behind the scenes </t>
  </si>
  <si>
    <t xml:space="preserve">for the new deck in the Community Call </t>
  </si>
  <si>
    <t xml:space="preserve">for being really great at Commons Stack comms and organizing things within the chaos </t>
  </si>
  <si>
    <t>blairv#2323</t>
  </si>
  <si>
    <t xml:space="preserve">for all the comms help with labs and for being such a great co-facilitator! </t>
  </si>
  <si>
    <t xml:space="preserve">for working on the Apostrophe issue on Praise Bot </t>
  </si>
  <si>
    <t>natesuits#4789</t>
  </si>
  <si>
    <t xml:space="preserve">for attending the SEO Hack Session! </t>
  </si>
  <si>
    <t>Kris#8703</t>
  </si>
  <si>
    <t xml:space="preserve">for being a great team of peers to work with! </t>
  </si>
  <si>
    <t xml:space="preserve">for airdropping CSLOVE to the 13 new members of the Swiss Membership today. </t>
  </si>
  <si>
    <t xml:space="preserve">for coordination and being proactive </t>
  </si>
  <si>
    <t>Quantifiers</t>
  </si>
  <si>
    <t>Gets paid by the Commons Stack so she only gets 50% IH</t>
  </si>
  <si>
    <t xml:space="preserve">for publishing The Token Engineering Commons Hatch: Your Economy, Your Choice so rapidly and excellently. </t>
  </si>
  <si>
    <t xml:space="preserve">for a delightful blogpost! https://medium.com/token-engineering-commons/your-economy-your-choice-v2-4f7c9fb42d99 </t>
  </si>
  <si>
    <t xml:space="preserve">for all of the work they have been doing around the dashboard </t>
  </si>
  <si>
    <t xml:space="preserve">for joining the MVV runoff polishing session! </t>
  </si>
  <si>
    <t>Apr-29-2021</t>
  </si>
  <si>
    <t xml:space="preserve">for the outstanding momentum in onboarding and her fresh eye perspective, for her help with onboarding, for the nice 1on1s, for her efforts in onboarding and writing and editing and just being everywhere she can </t>
  </si>
  <si>
    <t xml:space="preserve">for getting the ball rolling in the hatch campaigns </t>
  </si>
  <si>
    <t xml:space="preserve">for attending the TEC Community Call 🙏🏼 ☺️ https://youtu.be/fvlttUshrbg </t>
  </si>
  <si>
    <t>voting in the MVV and sharing about it 🌈✨🥳</t>
  </si>
  <si>
    <t>TE Commons</t>
  </si>
  <si>
    <t>sugasug</t>
  </si>
  <si>
    <t xml:space="preserve">for all the onboarding work and for the blog post that she is working on right now </t>
  </si>
  <si>
    <t xml:space="preserve">for participating in the MVV polishing </t>
  </si>
  <si>
    <t xml:space="preserve">because they are very new to web3 which gave Tam the opportunity to explain it in her own understanding </t>
  </si>
  <si>
    <t xml:space="preserve">for very motivating 1on1s </t>
  </si>
  <si>
    <t>working on D2D collaboration models</t>
  </si>
  <si>
    <t xml:space="preserve">Jake for the countless hours put into building this dashboard... WHICH IS SO READY TO PLAY WITH!!! </t>
  </si>
  <si>
    <t xml:space="preserve">for pushing more software engineers over the edge and into the TE discord servers 🙂 a TE &amp; Ethics evangelist almost, really really appreciate your contributions of engineering this type of bridges </t>
  </si>
  <si>
    <t xml:space="preserve">because the TEC Hatch Config Dashboard is looking cool and amazing and is basically done and because the dashboard is awesome and evolves over time </t>
  </si>
  <si>
    <t xml:space="preserve">for working on the Hatch Dashboard (I hadn't used it before, but it is so intuitive and swift to work with. Love it! - from Vyvy) </t>
  </si>
  <si>
    <t xml:space="preserve">for their work on the dashboard </t>
  </si>
  <si>
    <t xml:space="preserve">because Zep is seeing him more in the call and he misses him, for all that he does, for coming to these calls, for bringing new people close to TEC, for joining the cadCAD session and helping Lauren in a python issue, and for his very cool hoodie </t>
  </si>
  <si>
    <t xml:space="preserve">for a cool params session </t>
  </si>
  <si>
    <t xml:space="preserve">for all their help with cadCAD Bootcamp </t>
  </si>
  <si>
    <t xml:space="preserve">for cutting his beard </t>
  </si>
  <si>
    <t xml:space="preserve">for diving into content editing and the fast review of the Hatch Dashboard document </t>
  </si>
  <si>
    <t xml:space="preserve">for the amazing panel on DAOs yesterday with Livia </t>
  </si>
  <si>
    <t xml:space="preserve">for organizing an Enspiral DAO panel where Jess and I will have the pleasure to participate! </t>
  </si>
  <si>
    <t>JeffEmmett#7202</t>
  </si>
  <si>
    <t xml:space="preserve">for the upcoming discussion on DAO governance! https://17dmcreative.com/dao-discussions </t>
  </si>
  <si>
    <t>JessicaZartler#2263</t>
  </si>
  <si>
    <t xml:space="preserve">for doing such an incredible job moderating our DAO/Commons panel this morning, and inviting the Commons Stack / TEC to participate and having diversity and inclusion in mind </t>
  </si>
  <si>
    <t xml:space="preserve">for taking a for contributors issue and looking so carefully into it! </t>
  </si>
  <si>
    <t xml:space="preserve">for her great feedback on the hatch dashboard article </t>
  </si>
  <si>
    <t xml:space="preserve">@Leanne#9678 @Pronoia🐙#2154 for mentioning or retweeting Commons Stack on the socials the past week! Thank you for helping us grow the Commons Stack community and spreading the message! 🙏🏼🌱 </t>
  </si>
  <si>
    <t>🧪praise-testing</t>
  </si>
  <si>
    <t xml:space="preserve">for mentioning or retweeting Commons Stack on the socials the past week! Thank you for helping us grow the Commons Stack community and spreading the message! 🙏🏼🌱 </t>
  </si>
  <si>
    <t xml:space="preserve">for mentioning or retweeting TE Commons on the socials the past week! Thank you for helping us grow the Token Engineering Commons community and spreading the message! 🙏🏼☺️ </t>
  </si>
  <si>
    <t xml:space="preserve">@willszal#6405 for mentioning or retweeting Commons Stack on the socials the past week! Thank you for helping us grow the Commons Stack community and spreading the message! 🙏🏼🌱 </t>
  </si>
  <si>
    <t xml:space="preserve">for making SourceCred better but still being super careful about it </t>
  </si>
  <si>
    <t>santigs#9769</t>
  </si>
  <si>
    <t xml:space="preserve">for joining the first SourceCred committee call and creating issues for the next steps ✨ </t>
  </si>
  <si>
    <t xml:space="preserve">for being so hot to trot on the Legal and always pushing it forward </t>
  </si>
  <si>
    <t xml:space="preserve">for meeting Sem in person because meeting away from keyboard makes the community solid </t>
  </si>
  <si>
    <t xml:space="preserve">for always being around </t>
  </si>
  <si>
    <t xml:space="preserve">for the SourceCred committee </t>
  </si>
  <si>
    <t xml:space="preserve">for joining the SourceCred committee call yesterday! </t>
  </si>
  <si>
    <t xml:space="preserve">for being a great leader on legal but also on chrysalis 🥰 </t>
  </si>
  <si>
    <t xml:space="preserve">for their work in the SourceCred committee </t>
  </si>
  <si>
    <t xml:space="preserve">for the cadCAD Bootcamp sessions </t>
  </si>
  <si>
    <t>heater#9765</t>
  </si>
  <si>
    <t xml:space="preserve">for doing such a good job on the cadcad course </t>
  </si>
  <si>
    <t xml:space="preserve">for an awesome job with hosting the cadcad bootcamp </t>
  </si>
  <si>
    <t xml:space="preserve">for their work running the cadCAD bootcamp </t>
  </si>
  <si>
    <t>JessicaZartler</t>
  </si>
  <si>
    <t>taking on leading the cadCAD community call tomorrow!!</t>
  </si>
  <si>
    <t>cadCAD_org</t>
  </si>
  <si>
    <t xml:space="preserve">for presenting the cadCAD bootcamp and his first cadCAD model in this Wednesday's community call! </t>
  </si>
  <si>
    <t xml:space="preserve">for agreeing to help step up the community engagement, coordination and educational opportunities in the cadCAD community! 🥳 </t>
  </si>
  <si>
    <t xml:space="preserve">for jumping into the deep end of TE waters 🏊‍♂️ and welcome! </t>
  </si>
  <si>
    <t>karmaticacid#1218</t>
  </si>
  <si>
    <t xml:space="preserve">for taking us all the way through the cadCAD bootcamp in the labs, being super present, humble, willing to help and in all ways amazing </t>
  </si>
  <si>
    <t xml:space="preserve">for having inspired discussions around holistic well-being and flow of energy </t>
  </si>
  <si>
    <t xml:space="preserve">for organizing the cadCAD Bootcamp every Friday </t>
  </si>
  <si>
    <t xml:space="preserve">for joining the Hatch Communications Hack Session! </t>
  </si>
  <si>
    <t xml:space="preserve">for helping Suga taking off the block </t>
  </si>
  <si>
    <t xml:space="preserve">for their contributions in the glossary </t>
  </si>
  <si>
    <t xml:space="preserve">for all the work on PraiseBot :) </t>
  </si>
  <si>
    <t xml:space="preserve">for all their work on our Discord bots </t>
  </si>
  <si>
    <t xml:space="preserve">for looking into the bot's issue with apostrophes </t>
  </si>
  <si>
    <t xml:space="preserve">for solving the praise bot's apostrophe issue 🙏 🙌 </t>
  </si>
  <si>
    <t xml:space="preserve">for hosting the params party that Jess joined </t>
  </si>
  <si>
    <t xml:space="preserve">for running Hatch Params parties </t>
  </si>
  <si>
    <t xml:space="preserve">for all the params party going on </t>
  </si>
  <si>
    <t xml:space="preserve">for excellent work on the hatch dashboard </t>
  </si>
  <si>
    <t xml:space="preserve">for putting together a params party! </t>
  </si>
  <si>
    <t xml:space="preserve">for attending one of today's params parties in the TEC </t>
  </si>
  <si>
    <t xml:space="preserve">for an epic 2 hour sync call on comms, TEC and the greatly anticipated video he's working on </t>
  </si>
  <si>
    <t xml:space="preserve">for his energy, the onboarding video are looling super sweet thanks buddy✨ </t>
  </si>
  <si>
    <t xml:space="preserve">for their valuable content contributions to TEC! </t>
  </si>
  <si>
    <t xml:space="preserve">for all of his awesome contributions in the content and for the Why video </t>
  </si>
  <si>
    <t xml:space="preserve">for the great comms videos! </t>
  </si>
  <si>
    <t xml:space="preserve">for sharing a draft of the TEC Why video in the Comms call today. </t>
  </si>
  <si>
    <t xml:space="preserve">for his amazing work on the proposal terms document! </t>
  </si>
  <si>
    <t>Caeser (PST)#0046</t>
  </si>
  <si>
    <t xml:space="preserve">for his continuous work in Legal </t>
  </si>
  <si>
    <t xml:space="preserve">because he can't get enough praise for his huge contributions to legal </t>
  </si>
  <si>
    <t xml:space="preserve">for his initiative and the onboarding framework looks really cool </t>
  </si>
  <si>
    <t xml:space="preserve">for a great meeting touching base with his presentation and its structure </t>
  </si>
  <si>
    <t xml:space="preserve">for inviting Suga into the modules </t>
  </si>
  <si>
    <t>12h working on adding a timelock in the create vote permission: https://github.com/CommonsSwarm/hatch-template/pull/7</t>
  </si>
  <si>
    <t>Commons Swarm 🌐</t>
  </si>
  <si>
    <t>3h work on improving migration tools documentation and safety</t>
  </si>
  <si>
    <t>2h validating and pinning commons swarm contracts and apps: https://hackmd.io/QijHpCIiR6uZXktbIfZI7g#Commons-Swarm-Apps</t>
  </si>
  <si>
    <t>2h going back and forth writing posts until we found a better way to parameterize impact hour formula: https://forum.tecommons.org/t/impact-hour-rate-deep-dive/90/13</t>
  </si>
  <si>
    <t>making a badass gantt chart in hackmd</t>
  </si>
  <si>
    <t xml:space="preserve">for the hack sessions he did with Paulo the past weeks </t>
  </si>
  <si>
    <t>1h of reviewing Commons Swarm weekly updates</t>
  </si>
  <si>
    <t>1h updating implementation specification: https://forum.tecommons.org/t/tec-test-hatch-implementation-specification/226/7</t>
  </si>
  <si>
    <t xml:space="preserve">1h of work in the Commons Swarm weekly updates </t>
  </si>
  <si>
    <t xml:space="preserve">for two weeks of working so hard in Madrid </t>
  </si>
  <si>
    <t xml:space="preserve">for an awesome work on bonding curve modelling and helping with the params dashboard </t>
  </si>
  <si>
    <t xml:space="preserve">for building amazing stuff and being the architects of these amazing tools </t>
  </si>
  <si>
    <t xml:space="preserve">for the amazing hackathon week with Paulo </t>
  </si>
  <si>
    <t xml:space="preserve">for working on the hatch backend </t>
  </si>
  <si>
    <t xml:space="preserve">for being heros with no capes </t>
  </si>
  <si>
    <t xml:space="preserve">for hanging out with Eduardo in real life </t>
  </si>
  <si>
    <t xml:space="preserve">for the latest Hatch demo. </t>
  </si>
  <si>
    <t xml:space="preserve">for showing how many CSTK tokens we have in total on a param party and also for leading that one 😄 </t>
  </si>
  <si>
    <t xml:space="preserve">for being heroes with no capes </t>
  </si>
  <si>
    <t>Gets paid from the Commons Swarm so she gets 15% of Sem IH</t>
  </si>
  <si>
    <t>17h of work on polishing the hatch frontend and making it responsive as well as deploying the hatch demo . Here is the PR: https://github.com/CommonsSwarm/tec-hatch/pull/92</t>
  </si>
  <si>
    <t>9h of work on the circle graph goals component, updating the frontend and the tec-ui. Here are the PRs: https://github.com/CommonsSwarm/tec-hatch/pull/91 and https://github.com/CommonsSwarm/tec-ui/commit/07a006289f4b4146093095a3a9f05e221e71e223</t>
  </si>
  <si>
    <t>6h of work on improving the hatch connector by updating the subgraph mappings and adding a contract cache mechanism to fetch contract handlers on demand. Here are the PRs: https://github.com/CommonsSwarm/hatch-connector/pull/19 and https://github.com/CommonsSwarm/hatch-connector/commit/0e2b21d80f7303ee86105050655bd82161f1be48.</t>
  </si>
  <si>
    <t>3h of work on implementing a error modal component to handle subgraph connection errors and migrating all the @tecommons/ packages to @commonsswarm/ both on the frontend and the connector. Here are the PRs: https://github.com/CommonsSwarm/tec-hatch/pull/90/commits/decb1fe9cc08f5ed9d1897622145ba1f97f5e1b2,   https://github.com/CommonsSwarm/tec-hatch/pull/93,  https://github.com/CommonsSwarm/hatch-connector/pull/16 and https://github.com/CommonsSwarm/hatch-connector/pull/15</t>
  </si>
  <si>
    <t>paulo_#7945</t>
  </si>
  <si>
    <t xml:space="preserve">for the hackathon with Sem to finish the hatch frontend </t>
  </si>
  <si>
    <t xml:space="preserve">for the work he is putting in the TEC hatch and the awesome demo </t>
  </si>
  <si>
    <t xml:space="preserve">for the forum post on the latest Hatch demo. 👍 </t>
  </si>
  <si>
    <t>Gets paid from his work with the Commons Swarm so he gets 15% of his IH</t>
  </si>
  <si>
    <t xml:space="preserve">for the inspiring and helpful discussion in the cadCAD bootcamp lab today </t>
  </si>
  <si>
    <t>danlessa#2831</t>
  </si>
  <si>
    <t xml:space="preserve">for his great piece on decentralized decision making: https://www.regenerativeteams.com/2021/04/28/the-next-frontier-in-decentralised-governance-collaborative-sense-making/ </t>
  </si>
  <si>
    <t>danielo#2815</t>
  </si>
  <si>
    <t xml:space="preserve">for all of his work supporting cadCAD community and education </t>
  </si>
  <si>
    <t xml:space="preserve">for all the hardwork on the survey you rock man😎 </t>
  </si>
  <si>
    <t xml:space="preserve">for this amazing repository of each Working group! 🤯 https://github.com/CommonsBuild/tec-info/tree/main/wg-digest </t>
  </si>
  <si>
    <t xml:space="preserve">for wearing the CS Swag cap </t>
  </si>
  <si>
    <t xml:space="preserve">for their very active participation in the cadcad bootcamp </t>
  </si>
  <si>
    <t xml:space="preserve">for the new Simulator article, for agreeing to meet with Manu and for all the work she is doing for Giveth </t>
  </si>
  <si>
    <t xml:space="preserve">for their great work on the Commons Simulator Deep Dive series </t>
  </si>
  <si>
    <t xml:space="preserve">for their deep dive series </t>
  </si>
  <si>
    <t>joining our Commons Stack Simulator sync &amp; continuing to improve the game!</t>
  </si>
  <si>
    <t>Gets paid by Giveth so she only gets 50% IH</t>
  </si>
  <si>
    <t xml:space="preserve">for all the hatch videos, always making them better and for all the hatch party's he is facilitating https://discord.com/channels/810180621930070088/810180622165213222/837787578014236724 </t>
  </si>
  <si>
    <t xml:space="preserve">for guiding Vyvy through compensation from Commons Stack (and the awesome prelude text on the milestone, which really made him feel appreciated and more driven), for the params parties and for welcoming Manu officially as a builder, for hosting the params parties, and for all of his guidance and help to Chuy </t>
  </si>
  <si>
    <t xml:space="preserve">for hosting meme parties and really educating about params and thoughtfully answering all queries </t>
  </si>
  <si>
    <t xml:space="preserve">for the param party SURGE over the next few days! I think I'm gonna go more than once! </t>
  </si>
  <si>
    <t xml:space="preserve">for hosting meme parties and really educating about params and thoughtfully answering all queries and for working on the params dashboard </t>
  </si>
  <si>
    <t>being an amazing customer service specialist!</t>
  </si>
  <si>
    <t>the continuous evolution to the Swiss Membership Dapp</t>
  </si>
  <si>
    <t xml:space="preserve">for the memes too! </t>
  </si>
  <si>
    <t xml:space="preserve">for the MVV Runoff </t>
  </si>
  <si>
    <t xml:space="preserve">for attending all the meetings and being awesome </t>
  </si>
  <si>
    <t xml:space="preserve">for a quick catch up with Eduardo, for being effective in multitasking, and for bringing massive energy in the TEC </t>
  </si>
  <si>
    <t xml:space="preserve">for their work in params and pushing Chuy to try it </t>
  </si>
  <si>
    <t xml:space="preserve">for having such a tireless spirit and always holding space even through the long stretches of hard work </t>
  </si>
  <si>
    <t xml:space="preserve">streaming milestones </t>
  </si>
  <si>
    <t>Gets paid by the Commons Stack so he only get 15% IH</t>
  </si>
  <si>
    <t xml:space="preserve">for the TEC case study </t>
  </si>
  <si>
    <t>Ata#4155</t>
  </si>
  <si>
    <t xml:space="preserve">for his awesome work studying the praise system and distilling his learning into a case study! </t>
  </si>
  <si>
    <t>Gets paid by the Commons Stack so he only gets 50% IH</t>
  </si>
  <si>
    <t xml:space="preserve">for pushing to get the Hatch Dashboard out </t>
  </si>
  <si>
    <t>Vitor Marthendal#0090</t>
  </si>
  <si>
    <t xml:space="preserve">for hosting a params party with a deep and awesome discussion ⚡ </t>
  </si>
  <si>
    <t xml:space="preserve">for hosting the params party that Manu joined </t>
  </si>
  <si>
    <t>Gets paid from General Magic so he gets 15% of his IH</t>
  </si>
  <si>
    <t xml:space="preserve">for all the SourceCred work that he is continuing to do and for attending the cadCAD Bootcamp </t>
  </si>
  <si>
    <t>mateodaza#3156</t>
  </si>
  <si>
    <t xml:space="preserve">because Zep does not praise him enough and he is doing a lot </t>
  </si>
  <si>
    <t xml:space="preserve">for wearing that great Commons Stack hat in Soft Gov 💪🏽 </t>
  </si>
  <si>
    <t xml:space="preserve">for launching the first group of SourceCred committee </t>
  </si>
  <si>
    <t xml:space="preserve">to take the lead on work sesh Consilience </t>
  </si>
  <si>
    <t xml:space="preserve">for all of her engagement in the ecosystem </t>
  </si>
  <si>
    <t xml:space="preserve">and for hosting Hatch Params Party in 1hive! </t>
  </si>
  <si>
    <t>1h of reviewing Commons Swarm weekly updates for TEC forum</t>
  </si>
  <si>
    <t>1h of work in the Commons Swarm weekly updates for the TEC Forum</t>
  </si>
  <si>
    <t xml:space="preserve">for his work in Comms, for answering Manus questions and helping with the content of the video, for guiding Zepti in Honeyswap farming, for the 1on1 with Eduardo, for leading the Comms and content distribution, and for all the work on comms </t>
  </si>
  <si>
    <t xml:space="preserve">because you have so much grace in how you approach things, for the work you do for Comms, for taking over the Comms duties and holding ground for that working group, for being in many calls </t>
  </si>
  <si>
    <t xml:space="preserve">for updating the youtube description, adding the glossary. Good adition !! 😄 </t>
  </si>
  <si>
    <t xml:space="preserve">for all their work in Comms </t>
  </si>
  <si>
    <t xml:space="preserve">for improving the transparency in Comms 🙌 😁 </t>
  </si>
  <si>
    <t xml:space="preserve">for awesome perspectives from cinema development in coordinating a commons/DAO </t>
  </si>
  <si>
    <t xml:space="preserve">for the Masana Temples recommendation. Nice mix up low and high beats. </t>
  </si>
  <si>
    <t xml:space="preserve">for making the Stewards call groovy 😄 </t>
  </si>
  <si>
    <t>🌾-stewards</t>
  </si>
  <si>
    <t xml:space="preserve">for coming to our first content workshop </t>
  </si>
  <si>
    <t xml:space="preserve">for the thoughtfulness and care with your approach in the work you do </t>
  </si>
  <si>
    <t xml:space="preserve">for helping Suga with some technical stuff </t>
  </si>
  <si>
    <t xml:space="preserve">for their great work in Comms </t>
  </si>
  <si>
    <t>Gets paid from the Commons Swarm so she gets 15% of her IH</t>
  </si>
  <si>
    <t>metaverde#2503</t>
  </si>
  <si>
    <t xml:space="preserve">for all of her work as a bridge builder in the ecosystem </t>
  </si>
  <si>
    <t xml:space="preserve">for building the diagrams for gravity so durgadas could make them pretty ✨ </t>
  </si>
  <si>
    <t xml:space="preserve">for coordinating everything goin on gravity wich is alot! thanks buddy </t>
  </si>
  <si>
    <t xml:space="preserve">for join a 2min call to try the bot in the night 😄 thanks buddy </t>
  </si>
  <si>
    <t xml:space="preserve">for continuing to improve Gravity everyday 🙌 🙏 </t>
  </si>
  <si>
    <t xml:space="preserve">for his work with Gravity, and for fostering and nourish close relationships without out awesome community faaaam!! </t>
  </si>
  <si>
    <t xml:space="preserve">for working so hard on Gravity and making it available for tough times </t>
  </si>
  <si>
    <t xml:space="preserve">for todays awesome icebreaker session! </t>
  </si>
  <si>
    <t xml:space="preserve">because he is always available to help, for all his work in Gravity, for living the life of a Graviton and inspiring everyone, for his incredible work on Gravity, for his work with Gravity, for working around in the ETH Colombia community, and for always being really cool and encouraging </t>
  </si>
  <si>
    <t xml:space="preserve">for being there in such a BIG way this week. </t>
  </si>
  <si>
    <t xml:space="preserve">for all the Gravity work and for including more social activities in WG calls, esp. the icebreaker session, for his continuing work in Gravity, for being so reliable, for his weekly work on Gravity and reading The Art of War which is great for governance, for amazing work in Gravity </t>
  </si>
  <si>
    <t xml:space="preserve">for helping bring groovy vibes to the legal channel </t>
  </si>
  <si>
    <t xml:space="preserve">for working really hard this week and diagramming to push out the pitch about the Hatch </t>
  </si>
  <si>
    <t xml:space="preserve">for representing the Commons Stack and working very closely with Longtail Fintech </t>
  </si>
  <si>
    <t xml:space="preserve">for the sweet teamwork the last sprint </t>
  </si>
  <si>
    <t xml:space="preserve">for giving their time for free to join the DAO/Commons panel, and the wealth of experience, knowledge, and professionalism they brought to what was a rich, fascinating conversation that just wasn't long enough! Extra large scoop of praise here please 🙏 </t>
  </si>
  <si>
    <t xml:space="preserve">for MVV and for approaching all decisions and everything with tact and care, for showing up in TEC AMAs and onboarding people, and for a nice hack session on the Hatch Outreach with Eduardo </t>
  </si>
  <si>
    <t xml:space="preserve">for helping Suga and holding her hand every day </t>
  </si>
  <si>
    <t xml:space="preserve">for being a living example of Ostrom's work in stewarding the commons </t>
  </si>
  <si>
    <t xml:space="preserve">for the great DAO panel they participated </t>
  </si>
  <si>
    <t xml:space="preserve">for the questions she asks in every Soft Gov call, because she is everywhere and she is like the soul of this community, and for finalizing the MVV </t>
  </si>
  <si>
    <t xml:space="preserve">for the amazing support to Suga </t>
  </si>
  <si>
    <t>Gets paid by the Commons Stack so she only gets 15% IH</t>
  </si>
  <si>
    <t xml:space="preserve">for taking time to talk TEC Hatch and for jumping into so many TEC calls last week. Nice to see you getting so involved. 🐤 </t>
  </si>
  <si>
    <t>MehighCB#4516</t>
  </si>
  <si>
    <t xml:space="preserve">for reaching our for help when the Trusted Seed membership dues are not going through! </t>
  </si>
  <si>
    <t xml:space="preserve">for the great, constructive exchange today! </t>
  </si>
  <si>
    <t xml:space="preserve">for param partying on a Friday afternoon. </t>
  </si>
  <si>
    <t>working on her new book - here's a sneak peak https://twitter.com/sherminvo/status/1387831595013443584?s=21</t>
  </si>
  <si>
    <t>working on a new book about managing commons</t>
  </si>
  <si>
    <t>all their work on cadCAD_Edu and the new cadCAD Hacks segments: https://twitter.com/cadCAD_Edu/status/1387724601233448966?s=20 🙏🛠🚀</t>
  </si>
  <si>
    <t xml:space="preserve">for his work on developing the cadCAD edu course and supporting the TEC Labs cadCAD bootcamp!! </t>
  </si>
  <si>
    <t>BenScholtz#3339</t>
  </si>
  <si>
    <t xml:space="preserve">for spearheading SEO and for shouldering and carrying communications </t>
  </si>
  <si>
    <t xml:space="preserve">for the explanations of various parameters and improving the forum posts, for his SEO work, and for coordinating with Grassroots Economics </t>
  </si>
  <si>
    <t xml:space="preserve">for taking care of the spotlight i missed it on the praise time🙏✨ </t>
  </si>
  <si>
    <t xml:space="preserve">for spreading really good ideas around the TEC like CityDAO </t>
  </si>
  <si>
    <t xml:space="preserve">for all their help and support to Chuy in comms </t>
  </si>
  <si>
    <t xml:space="preserve">for being so engaged in all the communications calls - we'll have more sorted out to work on together very soon! </t>
  </si>
  <si>
    <t xml:space="preserve">for killing it on the forum post updates </t>
  </si>
  <si>
    <t xml:space="preserve">for being Comms heroes </t>
  </si>
  <si>
    <t xml:space="preserve">(we don't praise him enough) for all of his incredible work in the ecosystem </t>
  </si>
  <si>
    <t>Owocki#3458</t>
  </si>
  <si>
    <t xml:space="preserve">for creating platforms that help support open source projects with funding. </t>
  </si>
  <si>
    <t xml:space="preserve">to take the lead on work sesh Research Method </t>
  </si>
  <si>
    <t>3h of work on the connect library to debug and fix the provider setup</t>
  </si>
  <si>
    <t xml:space="preserve">because they are working hard on the Gardens </t>
  </si>
  <si>
    <t>gabi#4807</t>
  </si>
  <si>
    <t xml:space="preserve">for helping Paulo with some issues related to the hatch connector </t>
  </si>
  <si>
    <t>Dan Knobelsdorf.eth#0326</t>
  </si>
  <si>
    <t xml:space="preserve">for coming to hang out and discuss next steps in his Trusted Seed journey at our Office Hours and for his contributions to BrightID! </t>
  </si>
  <si>
    <t>bitsikka#8855</t>
  </si>
  <si>
    <t xml:space="preserve">for all of his engagement in the ecosystem! </t>
  </si>
  <si>
    <t xml:space="preserve">for joining our server in the last week! Great to have you here, let us know if you have questions! </t>
  </si>
  <si>
    <t>fabiomendes#4802</t>
  </si>
  <si>
    <t>Gets paid from General Magic so he gets 50% of his IH</t>
  </si>
  <si>
    <t xml:space="preserve">for doing the Stewards audit, it's the more complete until the date so double praise her for that!✨ </t>
  </si>
  <si>
    <t xml:space="preserve">for all of her organization work that glues us together, for staying on top of things, for being always organized, for surviving a challenging no-school week with such a good humor, for having a nice 1on1 session with Eduardo, for the help she gives to Santi, for being supportive to Lauren in getting her CS Swag stuff, and for leading the logistics of CS Swag shop </t>
  </si>
  <si>
    <t xml:space="preserve">for being the organizational leader that the TEC needs </t>
  </si>
  <si>
    <t xml:space="preserve">for being Tam, for bringing in organization and a rock that Griff can lean on, for the coordination, and for her organization skills and her charisma </t>
  </si>
  <si>
    <t xml:space="preserve">for their hard work on the Hatch Outreach </t>
  </si>
  <si>
    <t xml:space="preserve">for completing the transparency audit for the Stewards WG </t>
  </si>
  <si>
    <t>Gets paid by the Commons Stack so she only get 15% IH</t>
  </si>
  <si>
    <t>durgadas#9280</t>
  </si>
  <si>
    <t xml:space="preserve">for representing TEC and Commons Stack at a Metagame podcast episode </t>
  </si>
  <si>
    <t xml:space="preserve">for making cultural and ethical contributions to TEC development </t>
  </si>
  <si>
    <t xml:space="preserve">for working on a bot for SourceCred in the speed of light ⭐️ </t>
  </si>
  <si>
    <t xml:space="preserve">because it is such a pleasure to work with you and you take problems on and solve them and for being amazing </t>
  </si>
  <si>
    <t xml:space="preserve">for giving craig a bot role 😄 </t>
  </si>
  <si>
    <t xml:space="preserve">and everyone involved making praise dishing seamless in conversations 🙌 </t>
  </si>
  <si>
    <t xml:space="preserve">for getting information from the users for SourceCred, because you are so thoughtful in all you do, for being the ultimate Discord wizard, and for fixing Mitch s meme </t>
  </si>
  <si>
    <t>vyvy_vi</t>
  </si>
  <si>
    <t>Gets paid by the Commons Stack so he only gets 85% IH</t>
  </si>
  <si>
    <t xml:space="preserve">for always bringing us good designs </t>
  </si>
  <si>
    <t xml:space="preserve">for sharing the straw hat &amp; red lawnmower photo. A new classic! </t>
  </si>
  <si>
    <t>Marko gets paid by General Magic to just be a bad ass designer for Blockchain4good projects, so he only gets 15% of his IH</t>
  </si>
  <si>
    <t>lkngtn 🐝#1051</t>
  </si>
  <si>
    <t>Santiago#0325</t>
  </si>
  <si>
    <t>Gets paid partially by General Magic so he only gets 50% IH</t>
  </si>
  <si>
    <t>sbilbao#9715</t>
  </si>
  <si>
    <t xml:space="preserve">for the interviews she did for the Why video and for helping Eduardo with the proposals and for being direct and honest </t>
  </si>
  <si>
    <t xml:space="preserve">for having added so many recommendations for whom the hatcher team should reach out to. This was a very strategic sprint for the hatch team because of those recommendations. </t>
  </si>
  <si>
    <t xml:space="preserve">for jumping in the Community Call </t>
  </si>
  <si>
    <t xml:space="preserve">for getting more and more involved in TEC </t>
  </si>
  <si>
    <t xml:space="preserve">for making all the bridges to the different chat channels </t>
  </si>
  <si>
    <t>geleeroyale#3228</t>
  </si>
  <si>
    <t xml:space="preserve">for being a fantastic cadCAD community call facilitator 🙏 🧙‍♂️ </t>
  </si>
  <si>
    <t>Jsimbouras#2339</t>
  </si>
  <si>
    <t xml:space="preserve">for supporting the cadCAD community call!! </t>
  </si>
  <si>
    <t xml:space="preserve">for joining the Commons Stack Discord server - we're glad you're here! </t>
  </si>
  <si>
    <t xml:space="preserve">for leading the hatch outreach the other day </t>
  </si>
  <si>
    <t>Gets paid by the Commons Stack so he only gets 15% IH</t>
  </si>
  <si>
    <t>kristofer#1475</t>
  </si>
  <si>
    <t xml:space="preserve">for amazing forum post on Design Your Economy, for the forum post, and for giving Manu his feedback on the Giveth changemaker post </t>
  </si>
  <si>
    <t>divine_comedian#5493</t>
  </si>
  <si>
    <t xml:space="preserve">for his great article on the hatch dashboard: https://forum.tecommons.org/t/design-your-economy-make-your-choice/366 </t>
  </si>
  <si>
    <t xml:space="preserve">for being great in back &amp; forth support and DMs all the time with Lauren </t>
  </si>
  <si>
    <t>Gets paid by General Magic so he only get 15% IH</t>
  </si>
  <si>
    <t xml:space="preserve">for configuring DNS for the Discord-join website http://discord.tecommons.org/ </t>
  </si>
  <si>
    <t xml:space="preserve">for giving me powers </t>
  </si>
  <si>
    <t xml:space="preserve">for the thoughtful engagement last week, and moving so quick to activate his membership! </t>
  </si>
  <si>
    <t xml:space="preserve">for engaging in CS community discussions </t>
  </si>
  <si>
    <t>Ruben Russel#6434</t>
  </si>
  <si>
    <t xml:space="preserve">for being so proactive on the TokenLog </t>
  </si>
  <si>
    <t>wslyvh#1059</t>
  </si>
  <si>
    <t xml:space="preserve">because we don't praise you enough! For all of his incredible work in supporting open source/public goods </t>
  </si>
  <si>
    <t>Niran | Panvala#9353</t>
  </si>
  <si>
    <t xml:space="preserve">for all of her work in decentralizing organization and supporting cultural frameworks for so many communities </t>
  </si>
  <si>
    <t>GraceRachmany#9780</t>
  </si>
  <si>
    <t>FabiM#5629</t>
  </si>
  <si>
    <t>Aidan | LTF#1666</t>
  </si>
  <si>
    <t xml:space="preserve">for engaging in the comments of MVV! </t>
  </si>
  <si>
    <t>danibelle#1111</t>
  </si>
  <si>
    <t>James | NEAR#0357</t>
  </si>
  <si>
    <t xml:space="preserve">for the upcoming governance challenge event! </t>
  </si>
  <si>
    <t xml:space="preserve">(needs more praise!) for launching Proof of Humanity and pioneering in the UBI space </t>
  </si>
  <si>
    <t xml:space="preserve">for writing the academy analysis of the Commons Stack!! </t>
  </si>
  <si>
    <t>felixfalafel#5606</t>
  </si>
  <si>
    <t xml:space="preserve">for watching our YT videos right after joining TEC </t>
  </si>
  <si>
    <t>Amin#2164</t>
  </si>
  <si>
    <t>Gets paid by the Giveth so he only gets 50% IH</t>
  </si>
  <si>
    <t xml:space="preserve">for contributing to the Commons Stack and applying to join the Trusted Seed! </t>
  </si>
  <si>
    <t xml:space="preserve">for making great connections and being a bridge builder across the ecosystem! </t>
  </si>
  <si>
    <t>Adam Stallard#5971</t>
  </si>
  <si>
    <t>Typto#7037</t>
  </si>
  <si>
    <t>typto</t>
  </si>
  <si>
    <t>Tam2140</t>
  </si>
  <si>
    <t>making time to talk TEC Hatch and the suggestion of adding anthropology to the crypto economic systems flower. 🌺</t>
  </si>
  <si>
    <t>lEscanore#7764</t>
  </si>
  <si>
    <t xml:space="preserve">for all of his research in the space and supporting the Hitchhiker's Guide TE book! </t>
  </si>
  <si>
    <t>cyprien#1812</t>
  </si>
  <si>
    <t>updating us on the Gnosis Safe developments, exchanging governance learnings, talking Conviction Voting ideas and for all her work in the ecosystem!</t>
  </si>
  <si>
    <t xml:space="preserve">sharing this great article about indigenous wisdom and societal-scale actualization 🙏 </t>
  </si>
  <si>
    <t>hanna_nevermind#9543</t>
  </si>
  <si>
    <t>the good call and conversation about upcoming TEC Hatch. 🐣</t>
  </si>
  <si>
    <t>taking time to talk TEC Hatch last week and for bringing Dani along for the call. 🐣</t>
  </si>
  <si>
    <t>making the time to talk TEC Hatch with Livia and I last week. It was a pleasure to get into the details with ya. 🐣</t>
  </si>
  <si>
    <t>making time to talk TEC Hatch last week. All these conversations are so insightful. 🐣</t>
  </si>
  <si>
    <t xml:space="preserve">for all of her work with Regen Network and stewarding governance for the project, and joining CS as partners </t>
  </si>
  <si>
    <t xml:space="preserve">for joining our Discord server. Nice to see you here! 👋🏽 </t>
  </si>
  <si>
    <t xml:space="preserve">for having a been in your username when I need one to test with 🙏 </t>
  </si>
  <si>
    <t xml:space="preserve">for engaging in CS community discussions in Chinese!! </t>
  </si>
  <si>
    <t>cryptonio#7187</t>
  </si>
  <si>
    <t>DecentralizeSDGs#7544</t>
  </si>
  <si>
    <t>wanting to vote on the MVV but couldn't because of technical problems</t>
  </si>
  <si>
    <t>okduncan</t>
  </si>
  <si>
    <t>joeechidna</t>
  </si>
  <si>
    <t xml:space="preserve">#17 IH: </t>
  </si>
  <si>
    <t>zeptimusQ</t>
  </si>
  <si>
    <t>Santigs67</t>
  </si>
  <si>
    <t>BlairV</t>
  </si>
  <si>
    <t>Laurenluz</t>
  </si>
  <si>
    <t>VitorMarthendal</t>
  </si>
  <si>
    <t>BenjaminScholtz</t>
  </si>
  <si>
    <t>MerlinEgalite</t>
  </si>
  <si>
    <t>JonathanBSci</t>
  </si>
  <si>
    <t>JamesSimbouras</t>
  </si>
  <si>
    <t>Krisjones</t>
  </si>
  <si>
    <t>TannrA</t>
  </si>
  <si>
    <t>GraceRachmany</t>
  </si>
  <si>
    <t>knobsDAO</t>
  </si>
  <si>
    <t>HBesso31</t>
  </si>
  <si>
    <t>uPaul</t>
  </si>
  <si>
    <t>MisterBoyfriend</t>
  </si>
  <si>
    <t>Andfletcher</t>
  </si>
  <si>
    <t>XQTStrategy</t>
  </si>
  <si>
    <t>unquaLe</t>
  </si>
  <si>
    <t>CoachB</t>
  </si>
  <si>
    <t>Ivy</t>
  </si>
  <si>
    <t>for always recording the calls, for helping in the background and getting documentation stuff done, and for the praise timer</t>
  </si>
  <si>
    <t>for supporting Jeff with OBS</t>
  </si>
  <si>
    <t>for helping to maintain lit an inner fire of motivation, inspiration and humbleness in each one of us.</t>
  </si>
  <si>
    <t>for the transparency work and because the audits are super cool, for everything they do, and for all the recordings and being proactive</t>
  </si>
  <si>
    <t>for their amazing collaborations and interest in Gravity as a project to take care of. And for helping to set strong basements and high quality standards for the application of Alternative Dispute Resolution in DAOs with ethical and professional responsibility</t>
  </si>
  <si>
    <t>for all their work in gravity</t>
  </si>
  <si>
    <t>for their work in Gravity</t>
  </si>
  <si>
    <t>for having a fun call yesterdays working on test the rage quit</t>
  </si>
  <si>
    <t>for joining &lt;#810180622634844202&gt; working group call last week 🙈 going over community survey, ideating better statistics and sorting the potential of the topics we have</t>
  </si>
  <si>
    <t>for engaging with comments in the MVV issues</t>
  </si>
  <si>
    <t>for not letting session praise slip through the cracks!</t>
  </si>
  <si>
    <t>for bringing in the timer to the Community Call</t>
  </si>
  <si>
    <t>for all your influence and support of me personally and our whole community more generally. We are stronger together. 🌎 🌈 💪🏽</t>
  </si>
  <si>
    <t>for our productive chat yesterday with great Onboarding advice!</t>
  </si>
  <si>
    <t>because Juan is super excited to carry the flag in the Ethereum Colombia community</t>
  </si>
  <si>
    <t>for a call discussing the next steps to make everyone know the process to get access to the credentials and add it to the Gitbook</t>
  </si>
  <si>
    <t>for the great memes that are cracking me up today</t>
  </si>
  <si>
    <t>for the latest memes, especially the praise ones! Super cool! 🙌 🙏 😂</t>
  </si>
  <si>
    <t>for being awesome stewards of the community</t>
  </si>
  <si>
    <t>for attending the Transparency call today</t>
  </si>
  <si>
    <t>for being present in transparency call today!</t>
  </si>
  <si>
    <t>for meeting with Suga this week</t>
  </si>
  <si>
    <t>for a silky smooth Spring Planning session!</t>
  </si>
  <si>
    <t>🌾stewards</t>
  </si>
  <si>
    <t>for joining Hatchers Outreach call ⚡</t>
  </si>
  <si>
    <t>@Zeptimus@gabi for joining the commons swarm weekly sync ⚡</t>
  </si>
  <si>
    <t>@AnnaMarieSwan, @freedumbs00, @natesuits, @Juankbell, @mateodaza, @griff, @santigs, @Suga, @Zeptimus, @AmwFund, @durgadas, @Tam2140, @chuygarcia92🐝, for joining soft gov! It's always so insightful to spend this time with you!</t>
  </si>
  <si>
    <t>@griff, @Juankbell, @Tam2140, @metaverde, @freedumbs00, @liviade, @natesuits, @Vyvy-vi, @Zeptimus, @rodbot2, @AmwFund, @🐙 octopus, for joining Hatch Outreach call! Thank you so much, it was one of our biggest calls!</t>
  </si>
  <si>
    <t>for joining stewards meeting ✨</t>
  </si>
  <si>
    <t>for joining Restrospective meeting ⚡ ✨</t>
  </si>
  <si>
    <t>for joining the TEC Community Call 🙏🏼 https://www.youtube.com/watch?v=S8RQW7bF8Gk</t>
  </si>
  <si>
    <t>for joining todays Legal WG call</t>
  </si>
  <si>
    <t>to for attending today's commons swarm weekly meeting</t>
  </si>
  <si>
    <t>for attending the Comms WG Weekly Call.</t>
  </si>
  <si>
    <t>for joining Stewards call✨</t>
  </si>
  <si>
    <t>for joining the TEC Community Call 🙌 https://youtu.be/z53DNjksGck</t>
  </si>
  <si>
    <t>to for joining the Comms Weekly Call.</t>
  </si>
  <si>
    <t>Ygganderson</t>
  </si>
  <si>
    <t>4h of work on the modelling in the sunday params session</t>
  </si>
  <si>
    <t>working so hard to share cadCAD with the community</t>
  </si>
  <si>
    <t>for all the documentation and work beyond the setting up of the dashboard and for making all the params work possible</t>
  </si>
  <si>
    <t>engaging in the bonding curve modeling hack sessions (i already said so on the call last Thursday but it wasn't recorded)</t>
  </si>
  <si>
    <t>because Tam has not praised him enough and she should do it more often</t>
  </si>
  <si>
    <t>for their work on the dashboard</t>
  </si>
  <si>
    <t>for deciphering the ABC parameters</t>
  </si>
  <si>
    <t>for a fun session on DAO2DAO collaboration mechanisms (proposal inverter / revenue sharing models) &amp; working to further research in that area</t>
  </si>
  <si>
    <t>for a fun Sunday params sesh and spending another 3 hours making curves</t>
  </si>
  <si>
    <t>for the bonding curve params hack session</t>
  </si>
  <si>
    <t>they are not as visible in the community but the work they are doing on the hatch is super cool</t>
  </si>
  <si>
    <t>for joining the cadCAD lab study group and for helping me troubleshoot and get the cadCAD libraries installed properly!</t>
  </si>
  <si>
    <t>@mateodaza, for their updates on SourceCred! Very solid work, thanks so much for you dedication to this1</t>
  </si>
  <si>
    <t>&amp; for helping to design an easy step by step of the Gravity ADR process</t>
  </si>
  <si>
    <t>for meeting in real life and for the heartwarming live photo</t>
  </si>
  <si>
    <t>for his invaluable perspective and advice for Onboarding in our chat yesterday.</t>
  </si>
  <si>
    <t>for GrimFolks - I'm on that airdrop train today - and being so future forward. It's a pleasure to live in this future with you. 🧑🏽‍🚀</t>
  </si>
  <si>
    <t>for attending the weekly Legal call</t>
  </si>
  <si>
    <t>for submitting an MVV issue! https://tokenlog.xyz/CommonsBuild/TokenLog-SoftGov</t>
  </si>
  <si>
    <t>engaging with the bot so I can praise her on telegram too :))</t>
  </si>
  <si>
    <t>for jumping in onboarding and really trying to understand our community and helping so much, for all the onboarding work you have been doing, for the nice onboarding session with Jess, for awesome 1-on-1s and her onboarding stuff is awesome and important</t>
  </si>
  <si>
    <t>for doing all those 1on1 to get more involved and gather feedback from the community, so cool you're here✨ 🥳</t>
  </si>
  <si>
    <t>for a great 1-on-1, and for leading the onboarding initiatives! So great to have you in the community!</t>
  </si>
  <si>
    <t>learning how to dish praise :D</t>
  </si>
  <si>
    <t>@Suga, @Tam2140, for working on the onboarding journey, specially Suga for joining with such enthusiasm and quickly picking this up!</t>
  </si>
  <si>
    <t>for test driving the onboarding journey tonight! ⚡</t>
  </si>
  <si>
    <t>for doing the dress rehearsal of the onboarding script</t>
  </si>
  <si>
    <t>for an amazing 1-1 session with exciting ideas for comms 🙂</t>
  </si>
  <si>
    <t>for incredible ideas on our 1-1 sesh</t>
  </si>
  <si>
    <t>for a great call with Jake and because her contributions in onboarding are great</t>
  </si>
  <si>
    <t>for inviting Chuy to a great onboarding session with Aidan</t>
  </si>
  <si>
    <t>for joining the AMA!</t>
  </si>
  <si>
    <t>pushing the TokenLog forward</t>
  </si>
  <si>
    <t>to for the quick response</t>
  </si>
  <si>
    <t>🙌🏽soft-gov</t>
  </si>
  <si>
    <t>for a quick fix on the Tokenlog coordination repo. 🙏🏼</t>
  </si>
  <si>
    <t>for working hard on the TokenLog bugs</t>
  </si>
  <si>
    <t>for being so quick and responsive on fixing Tokenlog bugs!</t>
  </si>
  <si>
    <t>for his work on the blog post</t>
  </si>
  <si>
    <t>for the thoughtfulness and care in his work and collaborations!</t>
  </si>
  <si>
    <t>for being together in person</t>
  </si>
  <si>
    <t>for tying it all together in each blog post. They're smart, informative and fun to read! Another masterpiece, maestro.</t>
  </si>
  <si>
    <t>for their great user testing on the hatch configuration dashboard... a lot of QA work still to do</t>
  </si>
  <si>
    <t>for helping Nate form the SEO approach</t>
  </si>
  <si>
    <t>for the latest chats with Suga</t>
  </si>
  <si>
    <t>for defying the odds and getting the praise quant done!</t>
  </si>
  <si>
    <t>for updating my usernames and help with the praise system 🙏</t>
  </si>
  <si>
    <t>for doing a great job with documenting the process for CSLOVE ❤️ comms and taking it forward.</t>
  </si>
  <si>
    <t>for being the best team I ever worked with</t>
  </si>
  <si>
    <t>to for a great SEO call!</t>
  </si>
  <si>
    <t>for testing with apostrophes : she's he's they're</t>
  </si>
  <si>
    <t>for the introduction and offering help!</t>
  </si>
  <si>
    <t>for updating community agenda every week and coordinating the transition the the slides ✨ 🙏</t>
  </si>
  <si>
    <t>for being so proactive with scheduling, drafting and sharing relevant tweets ⭐️</t>
  </si>
  <si>
    <t>for the comms progress every week!!</t>
  </si>
  <si>
    <t>for an awesome SEO hack session!</t>
  </si>
  <si>
    <t>doing praise quant, real heroes🌟</t>
  </si>
  <si>
    <t>making it so easy to dish praise to the heroes that helped us Sow the Seeds of Trust in Sprint 12: https://www.youtube.com/watch?v=yX59yAXYp1M</t>
  </si>
  <si>
    <t>keeping us organized on every front in every team</t>
  </si>
  <si>
    <t>for jumping in and taking on design ideas for the Hatch process. The direction you're going is great!</t>
  </si>
  <si>
    <t>for always bringing a new light to our discussions with an integral approach and experience</t>
  </si>
  <si>
    <t>for taking on the Discord onboarding challenges in the past</t>
  </si>
  <si>
    <t>for the bot to auto-remind the channel that a Working Group meeting will happen in 1 hour! 🙌🏽</t>
  </si>
  <si>
    <t>to for pushing the new Discord join page to dev.</t>
  </si>
  <si>
    <t>for the great new landing page</t>
  </si>
  <si>
    <t>for this amazing meme! I can hear the song and us dancing to it just by looking at the gif</t>
  </si>
  <si>
    <t>for finding time to hack on the praise bot issue 🙏🏼</t>
  </si>
  <si>
    <t>for creating the rad pages to join the TEC (with overview of channels and resources) and to join the TEC on Discord!</t>
  </si>
  <si>
    <t>because he is always working hard in the background and asking amazing questions all the time</t>
  </si>
  <si>
    <t>for helping spread the message of the Onboarding journey by pinning it to the cafe!</t>
  </si>
  <si>
    <t>for joining the cadCAD bootcamp in TEC and all of his work supporting TEC!!!</t>
  </si>
  <si>
    <t>for such great memes 😂</t>
  </si>
  <si>
    <t>for the sweet memes</t>
  </si>
  <si>
    <t>and for joining the Contributors Sync and manifesting their desire to contribute. We'll follow up on this!</t>
  </si>
  <si>
    <t>for the work put into that DAO ecosystem sheet. Thorough.</t>
  </si>
  <si>
    <t>for their dedication to the gravity survey 🥳</t>
  </si>
  <si>
    <t>for onboarding Ddan as a hatcher!</t>
  </si>
  <si>
    <t>for taking time to work on the Gravity survey 🙂</t>
  </si>
  <si>
    <t>for all of his participation and work in our ecosystem!</t>
  </si>
  <si>
    <t>for engaging in discussion on the TE Commons Forum (https://forum.tecommons.org) the past week. Thank you for helping our Token Engineering Commons community share and learn! 💪🙏</t>
  </si>
  <si>
    <t>for mentioning or retweeting Commons Stack on the socials the past week! Thank you for helping us grow the Commons Stack community and spreading the message! 🙏🏼🌱</t>
  </si>
  <si>
    <t>making the TE Commons Website happen</t>
  </si>
  <si>
    <t>and Ludo for making time on a Sunday to unravel the frontend/backend Heroko, no, Digital Ocean droplet, docker container, deploy key, compose file, gitlab repo and whatever else was in that conversation we just had about the swag shop. This is important work we do - setting up the systems to give away free swag!</t>
  </si>
  <si>
    <t>for the amazing join the community page on our website!!</t>
  </si>
  <si>
    <t>for working on the website layout</t>
  </si>
  <si>
    <t>to for pushing the new Join page to dev.</t>
  </si>
  <si>
    <t>for a timely assist with the swag shops so that we can continue to t-shirt and hat our community members!</t>
  </si>
  <si>
    <t>for being able to take on almost anything and deliver such amazing quality</t>
  </si>
  <si>
    <t>because his work and help in the Legal WG is absolutely amazing</t>
  </si>
  <si>
    <t>for his continuous contributions to the legal terms documents in Legal WG</t>
  </si>
  <si>
    <t>working so hard on the Simulator post</t>
  </si>
  <si>
    <t>for all her great work at Giveth and sharing the news around!!</t>
  </si>
  <si>
    <t>for attending the cadCAD bootcamp and being my homework buddy 😄 ❤️</t>
  </si>
  <si>
    <t>for joining cadCAD Bootcamp and getting more involved in the community and for all the amazing work in the Commons Simulator deep dive</t>
  </si>
  <si>
    <t>pushing the actual smart contracts that we’re going forward with in the Commons Swarm</t>
  </si>
  <si>
    <t>8h work on rewriting honeypot template into gardens template: https://github.com/1Hive/gardens/pull/32</t>
  </si>
  <si>
    <t>8h on migrating test dao, reviewing why redemptions were not working, and other hatch dao fixes</t>
  </si>
  <si>
    <t>3.5h on modeling the bancor bonding curve on a sunday hacksesh</t>
  </si>
  <si>
    <t>3h for writing documentation of gardens template and finishing its PR: https://github.com/1Hive/gardens/pull/32</t>
  </si>
  <si>
    <t>3h working with paulo on improving the hatch frontend performance</t>
  </si>
  <si>
    <t>for their incredible work in the Commons Swarm and restoring democracy in xdai! True superhero stuff!!</t>
  </si>
  <si>
    <t>for an admirable amount of work having the dashboard ready</t>
  </si>
  <si>
    <t>1h of work in weekly update</t>
  </si>
  <si>
    <t>1h of work preparing the weekly update with chuy</t>
  </si>
  <si>
    <t>being you</t>
  </si>
  <si>
    <t>his tireless help through this journey</t>
  </si>
  <si>
    <t>for pushing the tech side so hard!! Some heroes don't wear capes buddy ⚡</t>
  </si>
  <si>
    <t>for Santis free meal</t>
  </si>
  <si>
    <t>for always offering project support and cross pollinating with 1Hive/TEC/CS</t>
  </si>
  <si>
    <t>for Anna-Maries scholarship, for posting the intro to the dashboard video, for Sugas scholarship, for getting Miles in, and for his kick-ass attitude</t>
  </si>
  <si>
    <t>for spending some family time this weekend</t>
  </si>
  <si>
    <t>because you are the reasons a lot of us are here</t>
  </si>
  <si>
    <t>for being in the MVV runoff! Be sure to finish your updates because i will create the issues today before Soft Gov 😄</t>
  </si>
  <si>
    <t>to for the generosity and kindness of fulfilling my Trusted Seed membership donation request within a few days. What an incredibly welcome to a new community. Pretty blown away by that. Especially in a year that financially has been tough. Thank you 💚</t>
  </si>
  <si>
    <t>for facilitating the params party's and answering all the questions 💛</t>
  </si>
  <si>
    <t>for hacking on Deep Dive part 2</t>
  </si>
  <si>
    <t>for being all over different places and having different background these days</t>
  </si>
  <si>
    <t>for holding the torch of the meme parties every week 🙌</t>
  </si>
  <si>
    <t>to for an informative lunch!</t>
  </si>
  <si>
    <t>to for a sweet IRL meetup, work sesh, meal, and convo. Thanks Loie too. People are real.</t>
  </si>
  <si>
    <t>for the params party that gave Chuy better understanding of the dashboard</t>
  </si>
  <si>
    <t>and for sharing some coffee during the after-office time from the Comms Call. For more spaces to relax during the week! ☕️</t>
  </si>
  <si>
    <t>to @griffGreen for re-guiding my scholarship request!</t>
  </si>
  <si>
    <t>to for re-guiding my scholarship request!</t>
  </si>
  <si>
    <t>@edu for showing their work in how they share their work 🙂 See Telegram message https://t.me/CommonsStack/13904</t>
  </si>
  <si>
    <t>for the How to Become a Hatcher document</t>
  </si>
  <si>
    <t>because they said they might come and speak in Enspiral</t>
  </si>
  <si>
    <t>for confirming Santi Siri as the next guest in Ethereum Colombia. We will talk about Proof of Humanity to spanish speaking people! 😄</t>
  </si>
  <si>
    <t>for carrying the flag of the EthColombia Community</t>
  </si>
  <si>
    <t>for joining the cadCAD bootcamp with TEC</t>
  </si>
  <si>
    <t>for onboarding to the Commons Stack as a contributor and volunteering to take on updated our FAQs 😄 Welcome again, we are so happy you are here! 🙏 😄 ❤️</t>
  </si>
  <si>
    <t>for bringing in Enspiral and her awesome proposal</t>
  </si>
  <si>
    <t>for taking on the CS FAQ! Good news! 🤗</t>
  </si>
  <si>
    <t>for taking the time to go over TEC with me and for sharing her Enspiral wisdom ⭐️</t>
  </si>
  <si>
    <t>to for a quick intro call and offering help in SoftGov and Comms WG's</t>
  </si>
  <si>
    <t>taking on the tec swag dshop front-end.</t>
  </si>
  <si>
    <t>Merlin Egalite#6277</t>
  </si>
  <si>
    <t>- don't think we can praise him enough for all of his modelling work and while working - teaching as well and being there to assist new up and coming modelers and TE Academy students</t>
  </si>
  <si>
    <t>for finding the CS Team Sync easter egg! 🥚⚡️ Let's find a time to continue talking and fully onboard you.</t>
  </si>
  <si>
    <t>for recommending Commons Stack to</t>
  </si>
  <si>
    <t>for guiding us through the praise system today 🙂</t>
  </si>
  <si>
    <t>the Hatch Config Dashboard</t>
  </si>
  <si>
    <t>for all their work on the dashboard and they are killing it</t>
  </si>
  <si>
    <t>for juggling between the Balancer work and the TEC dashboard</t>
  </si>
  <si>
    <t>for the MVV leadership and for linking the Token Blocks project with transparency i feel that can be fun 😄</t>
  </si>
  <si>
    <t>for coming back, for staying on top of the MVV campaign, for the warm welcome for Anna Marie in the Soft Gov call, for her kick-ass hat</t>
  </si>
  <si>
    <t>for be the first person monitoring the audits and giving feedback to keep improving the system🤩</t>
  </si>
  <si>
    <t>for sharing the idea &lt;#810180622634844202&gt; can make research proposals out of the topics we have identified</t>
  </si>
  <si>
    <t>for setting up the latest round of MVV votes</t>
  </si>
  <si>
    <t>for being proactive updating the audit, this behaviour its the real transparency on the DAO⚡</t>
  </si>
  <si>
    <t>to for giving direction to the MVV tokenlog vote</t>
  </si>
  <si>
    <t>for helping Vyvy with his CSTK issues</t>
  </si>
  <si>
    <t>for bringing care and insight to every corner of the TEC, including offering feedback on the gravity survey</t>
  </si>
  <si>
    <t>for all of the work in weaving connections in our ecosystem ❤️</t>
  </si>
  <si>
    <t>for helping and suggesting what might have issues with my Pending Membership Score for CS membership and for clearing doubts about praise - IHT - CSTK score and their inter-relation</t>
  </si>
  <si>
    <t>and for their warm welcome calls and for finding a good fit for me with the FAQs</t>
  </si>
  <si>
    <t>for their ongoing support for Suga</t>
  </si>
  <si>
    <t>for the soft gov meme-ing</t>
  </si>
  <si>
    <t>for being generally awesome</t>
  </si>
  <si>
    <t>for joining the recorders team and willing to record gravity from now on 🥰</t>
  </si>
  <si>
    <t>and for an informative onboarding session, and teaching me ways I can share and communicate in this community</t>
  </si>
  <si>
    <t>for really essential Onboarding tips in relation to gravity in our chat this week.</t>
  </si>
  <si>
    <t>because he is also recording the Community Call</t>
  </si>
  <si>
    <t>for helping to maintain the inner motivation, leading gravity call and upload the MVV runoff issues!🥰</t>
  </si>
  <si>
    <t>for the great hatcher outreach work because more and more people are getting onboarded every day, for all her work helping in all fronts as always, for being our glue, for holding it down for Hatcher Outreach, for helping Juan get his swag cap, for being responsive to Laurens swag questions and being the first person to join the Params party</t>
  </si>
  <si>
    <t>for being on top of EVERYTHING 😮😍 Your commitment is incredible and so inspiring Tam, praise praise praise</t>
  </si>
  <si>
    <t>submitting an MVV proposal ⚡️</t>
  </si>
  <si>
    <t>for tirelessly pushing TEC forward.</t>
  </si>
  <si>
    <t>for always reviewing and editing the draft CS and TEC tweets with me! 🙏🏼</t>
  </si>
  <si>
    <t>supporting @Elementarycomplexity's Trusted Seed activation! 🌱</t>
  </si>
  <si>
    <t>for giving me more insight into the hatch and how the TEC works and what's the big picture</t>
  </si>
  <si>
    <t>for insights about false positives for the Call reminder bot</t>
  </si>
  <si>
    <t>for setting up the calendar for the MVV Runoff but honestly just for being awesome and coordinating all of us 🥰</t>
  </si>
  <si>
    <t>for being an awesome coordinator and knowing what everyone its doing u rock!! 🤟</t>
  </si>
  <si>
    <t>for holding a lot of stuff together, you're awesome!</t>
  </si>
  <si>
    <t>because she's testing the apostrophe issue with me</t>
  </si>
  <si>
    <t>for welcoming Anna Marie and because every time she speaks Lauren feels happy</t>
  </si>
  <si>
    <t>for the cadCAD lab sessions</t>
  </si>
  <si>
    <t>sharing his thought leadership on TE Ethics and TE in general</t>
  </si>
  <si>
    <t>@mZ, for the improvements with the Skill Forest NFT research group1</t>
  </si>
  <si>
    <t>mZ#3472</t>
  </si>
  <si>
    <t>for their commitment to create high quality content for the TEC</t>
  </si>
  <si>
    <t>for taking the lead on consolidating the TE transdisciplines library, getting it started</t>
  </si>
  <si>
    <t>for reviewing the Forum's T&amp;Cs and bringing up issues in the channel</t>
  </si>
  <si>
    <t>🏛legal</t>
  </si>
  <si>
    <t>for finding a typo in the Commons Simulator and reporting it 😄</t>
  </si>
  <si>
    <t>getting us the data we need to distribute our Panvala Community Grant</t>
  </si>
  <si>
    <t>for his ongoing work towards elevating the global open source ecosystem! ⚡🤖⚡</t>
  </si>
  <si>
    <t>for her amazing forethought initializing working group omega to feel the pulse of the TE Community</t>
  </si>
  <si>
    <t>staying all night long reviewing everything works fine</t>
  </si>
  <si>
    <t>8h working with sem and zeptimus on finding out and fixing the redemptions problem and migrating the hatch repos and subgraphs to Commons Swarm</t>
  </si>
  <si>
    <t>6h working on the hatch frontend implementing the redeem feature and migrating both connector and frontend connect libraries to use 1hive fork. Here's the PRs: https://github.com/CommonsSwarm/tec-hatch/pull/83 and  https://github.com/CommonsSwarm/tec-hatch/pull/77</t>
  </si>
  <si>
    <t>3h working with sem on 04/16 improving the hatch connector performance and fixing the connection timeout problem</t>
  </si>
  <si>
    <t>2h work on the smart contract verification party</t>
  </si>
  <si>
    <t>for being so genuine and grounding I'm so happy for finally meeting with you on a more informal environment 😄</t>
  </si>
  <si>
    <t>A number of people have remarked on how they love the design of the deck template. I always give credit to you then forget to tell you about the compliment. So here is praise for all the times your designs have been praised.</t>
  </si>
  <si>
    <t>for helping us figure out to display the different target goals, for his work on the designs and being proactive in helping Vyvy in several issues</t>
  </si>
  <si>
    <t>for the community call slides😍</t>
  </si>
  <si>
    <t>2h of work on the Circle Chart for TEC Hatch.</t>
  </si>
  <si>
    <t>for the design mockup for the captcha discord invite website</t>
  </si>
  <si>
    <t>to for completing all issues in this sprint.</t>
  </si>
  <si>
    <t>to for having reached out to me and organising an onboarding call and for wanting to get me involved in things I want to do and that are needed</t>
  </si>
  <si>
    <t>because the Comms is coming together</t>
  </si>
  <si>
    <t>for a great sync call and all of his patience with the Comms WG transition ☺️</t>
  </si>
  <si>
    <t>for all their support to Chuy in Comms</t>
  </si>
  <si>
    <t>to for a great C&amp;D call.</t>
  </si>
  <si>
    <t>all the work on dshop swag for for Commons Stack.</t>
  </si>
  <si>
    <t>for improving the cslove aridrop xls to auto fill contact data. So. Much. Better.</t>
  </si>
  <si>
    <t>for educating us about South American coffee traditions and entertaining us with his barista skills! haha</t>
  </si>
  <si>
    <t>for all the great info on the Contributors Sync call and for helping out with my CSTK, IHT queries</t>
  </si>
  <si>
    <t>for helping me understand CS and how I can contribute</t>
  </si>
  <si>
    <t>for joining the cadCAD TEC bootcamp</t>
  </si>
  <si>
    <t>1h of work in weekly update for the TEC forum</t>
  </si>
  <si>
    <t>a 1hr call with T Wells explaining the Commons Swarm for him to include in his 1hive presentation</t>
  </si>
  <si>
    <t>1h of work preparing weekly update with sem</t>
  </si>
  <si>
    <t>1h of work in research and keywords for CS SEO</t>
  </si>
  <si>
    <t>for helping with Comms WG PM work so that I can allocate enough time for other projects in our ecosystem.</t>
  </si>
  <si>
    <t>for making your first Epic in Zenhub! Nailed it! 🔨</t>
  </si>
  <si>
    <t>because Jess always sees his name in her inbox, for jumping in the 0mega WG call and giving a quick solution to the community survey, for stepping up in Comms and being the leader</t>
  </si>
  <si>
    <t>to for bringing me on board the Zenhub team!</t>
  </si>
  <si>
    <t>for surfacing issues in the scholarship process that helped us speedy it up!</t>
  </si>
  <si>
    <t>for the amazing mock ups</t>
  </si>
  <si>
    <t>for an amazing call talking about TEC and enrichment for his presentation</t>
  </si>
  <si>
    <t>for attending the Comms Weekly Call.</t>
  </si>
  <si>
    <t>freedumbs00#3857</t>
  </si>
  <si>
    <t>pushing the Hatch Outreach forward</t>
  </si>
  <si>
    <t>for joining the call and helping Onboarding Auryn.</t>
  </si>
  <si>
    <t>for rocking the TEC Swag Shop</t>
  </si>
  <si>
    <t>because he always makes Lauren laugh and he rocks!</t>
  </si>
  <si>
    <t>for volunteering to coordinate the Spotlight for our weekly community sync calls!</t>
  </si>
  <si>
    <t>for all the great tips for the Onboarding process. Nate is rad!</t>
  </si>
  <si>
    <t>for a good and overdue sync-up. Always learning more from you and your insights.</t>
  </si>
  <si>
    <t>for reviewing the draft tweets for MVV and How To Become a Hatcher post before they got published 🙏🏼</t>
  </si>
  <si>
    <t>for conducting the Hatchers outreach audit and post it on the forum https://forum.tecommons.org/t/hatch-outreach-audit/346✨</t>
  </si>
  <si>
    <t>for a very long and productive sync-up on Hatchers and Projects today.</t>
  </si>
  <si>
    <t>for filling the audit!</t>
  </si>
  <si>
    <t>for getting the message out in all your writing for so many different projects!</t>
  </si>
  <si>
    <t>for writing the tutorial on how to get WXDAI.</t>
  </si>
  <si>
    <t>for his contributions in content</t>
  </si>
  <si>
    <t>for helping with the MVV tweet!</t>
  </si>
  <si>
    <t>working so hard on improving the aragon apps and republishing them so all the xdai aragon daos can vote again. You brought back democracy to xdai land, man!</t>
  </si>
  <si>
    <t>they care a lot about the DAOs in xDai and they have been very careful with the whole ecosystem</t>
  </si>
  <si>
    <t>for pushing Chuy into the fire 2 weeks ago that gave him the confidence in Comms, for rescuing people when they need it most, and for being Laurens cadCAD buddy</t>
  </si>
  <si>
    <t>for bringing the governance &amp; deciding when to vote discussion to the Stewards weekly and taking the initiative to get the conversation started.</t>
  </si>
  <si>
    <t>for paying such careful attention to our community</t>
  </si>
  <si>
    <t>to for correcting my Telegram praise mistake! Thank you.</t>
  </si>
  <si>
    <t>for correcting Sugas mistakes in dishing praise</t>
  </si>
  <si>
    <t>for catching up with Zepti</t>
  </si>
  <si>
    <t>for bringing all that energy and enthusiasm!</t>
  </si>
  <si>
    <t>FabiMol</t>
  </si>
  <si>
    <t>6h of work on Monday, worked on a new deployment environment for tec-interface, started to merge new code of honeypot into tec interface</t>
  </si>
  <si>
    <t>6h of work today, continue fixing merged code, 2h of pair programming session with the team creating everything needed for testing in rinkeby, honey-pot configuration and subgraphs</t>
  </si>
  <si>
    <t>for his incredible cadCAD edu course!!! You are such a great teacher, awesome step by step guidance so even a beginner like me can follow!!</t>
  </si>
  <si>
    <t>for all of his incredible work behind the scenes with Giveth and across ecosystems</t>
  </si>
  <si>
    <t>MisterBoyfriend#7096</t>
  </si>
  <si>
    <t>to for showing up at the Panvala Poker night last week! 🔥</t>
  </si>
  <si>
    <t>his great presentation on Governance Token Design and Commons Stack tools at this recent Berchain event 🌱🛠</t>
  </si>
  <si>
    <t>making some great issues for the Commons Simulator, especially reporting a huge UI bug... Thank you Phil!!!!</t>
  </si>
  <si>
    <t>for their continued work in the cadCAD ecosystem and updating the website</t>
  </si>
  <si>
    <t>ChrisCyphert#4148</t>
  </si>
  <si>
    <t>again for all of his work for cadCAD</t>
  </si>
  <si>
    <t>for the awesome tragedy of the commons meme</t>
  </si>
  <si>
    <t>for checking up on the research in &lt;#810180622634844202&gt; hope to see you next time!</t>
  </si>
  <si>
    <t>kzflyer</t>
  </si>
  <si>
    <t>@Michel Bauwens#1511 for mentioning or retweeting TE Commons on the socials the past week! Thank you for helping us grow the Token Engineering Commons community and spreading the message! 🙏🏼☺️</t>
  </si>
  <si>
    <t>for all of his work on Trojan DAO and repping regen culture and researching new governance systems in Greece - amaaazing!</t>
  </si>
  <si>
    <t>for inviting the Commons Stack team to co-design the governance flows of Trojan DAO iteration</t>
  </si>
  <si>
    <t>for all of his work in the Gitcoin modeling research group and the important work he is doing around culture &amp; modeling complex systems</t>
  </si>
  <si>
    <t>tjayrush#9164</t>
  </si>
  <si>
    <t>- don't think we have praised you enough for all of the work you do repping regen culture in the ecosystem!</t>
  </si>
  <si>
    <t>magenta#9858</t>
  </si>
  <si>
    <t>mentioning or retweeting Commons Stack on the socials the past week!   🙏🏼</t>
  </si>
  <si>
    <t>for starting lively dialogue around governance</t>
  </si>
  <si>
    <t>Pat ✨#3662</t>
  </si>
  <si>
    <t>for funding a scholarship to the Trusted Seed Swiss Membership! 🙏🏽 🥷🏽 ⚡</t>
  </si>
  <si>
    <t>hxrts#1659</t>
  </si>
  <si>
    <t>Gregory | Regen Network#1990</t>
  </si>
  <si>
    <t>for sharing 1hive morphosis swarm educational materials ✨</t>
  </si>
  <si>
    <t>Tonga 🐝#3112</t>
  </si>
  <si>
    <t>for all of his work trying to create new markets for carbon credits and connecting groups across the ecosystem 😄</t>
  </si>
  <si>
    <t>JamesF#7637</t>
  </si>
  <si>
    <t>Kademlia#2253</t>
  </si>
  <si>
    <t>for joining our Trusted Seed Office Hours and sharing his questions and ideas around contributing to the community.</t>
  </si>
  <si>
    <t>for joining the praise onboarding call this morning</t>
  </si>
  <si>
    <t>for jumping into our Discord and enthusiasm for TEC!</t>
  </si>
  <si>
    <t>for all his work on Regen Network and the launch - welcome &amp; congratulations!! 🥳</t>
  </si>
  <si>
    <t>for all of his work supporting the Skill Forest research group and being awesome 😄</t>
  </si>
  <si>
    <t>🐙 peth don't need your eth#8052</t>
  </si>
  <si>
    <t>for jumping into our Discord and making time to talk TEC Hatch.</t>
  </si>
  <si>
    <t>ryanchrypto#3588</t>
  </si>
  <si>
    <t>coming to the chat and offering to share his skillset with this community</t>
  </si>
  <si>
    <t>Tyler#4822</t>
  </si>
  <si>
    <t>for sharing proof of humanity with all Earth humans</t>
  </si>
  <si>
    <t>for always being so enthusiastic, participating in our AMAs and sharing awesome ideas and research 😄</t>
  </si>
  <si>
    <t>for dropping into the Onboarding Help channel! You should have access to the rest now.</t>
  </si>
  <si>
    <t>for joining the Hatch Outreach call and for taking the time to participate!</t>
  </si>
  <si>
    <t>for joining TEC Discord! 🤗</t>
  </si>
  <si>
    <t>Felipe Duarte#8100</t>
  </si>
  <si>
    <t>eli_#0534</t>
  </si>
  <si>
    <t>@ZoushHoangfor mentioning or retweeting Commons Stack on the socials the past week! Thank you for helping us grow the Commons Stack community and spreading the message! 🙏🏼🌱</t>
  </si>
  <si>
    <t>cleanapp</t>
  </si>
  <si>
    <t xml:space="preserve">#16 IH: </t>
  </si>
  <si>
    <t>JuankBell</t>
  </si>
  <si>
    <t>RenzoD5</t>
  </si>
  <si>
    <t>JoseVicente1</t>
  </si>
  <si>
    <t>Tonga2020</t>
  </si>
  <si>
    <t>Note, combined SN's</t>
  </si>
  <si>
    <t>-</t>
  </si>
  <si>
    <t>carrying the flag of Transparency practices in our community and for this great article! https://medium.com/token-engineering-commons/transparency-in-daos-999b17b0ff74</t>
  </si>
  <si>
    <t>for joining the Transparency WG weekly sync</t>
  </si>
  <si>
    <t>for all the help in the process of publishing our guest blog post on theTEC Medium page 😄</t>
  </si>
  <si>
    <t>to for attending the Comms Weekly call.</t>
  </si>
  <si>
    <t>to and for recording WG sessions and making it easy to catch up with the great work going on here through the youtube playlists</t>
  </si>
  <si>
    <t>to for joining the WG 0Mega, finalizing the community survey</t>
  </si>
  <si>
    <t>@santigs, @Juankbell, @mateodaza, @griff, @natesuits, @chuygarcia92🐝,@Zeptimus, @Tam2140, @durgadas, @Suga, for joining soft gov yesterday 💛</t>
  </si>
  <si>
    <t>@Zeptimus, @griff, for submitting MVV proposals to Tokenlog!</t>
  </si>
  <si>
    <t>for taking time to brainstorm on the Gravity survey! I'm sure we will do a great tool to gather information for the purpose of identifying feelings, needs and requests related to conflict management in Decentralized communities</t>
  </si>
  <si>
    <t>to and for helping guide me into work with TEC and Gravity</t>
  </si>
  <si>
    <t>and for the great medium article and the dedication to transparency and mutual monitoring.</t>
  </si>
  <si>
    <t>for sharing some fun time in today's Gravity wg. All our personal missions, visions and values should be represented by the TEC's mission, vision &amp; values.</t>
  </si>
  <si>
    <t>to for an epic retrospective to an epic Sprint 6!</t>
  </si>
  <si>
    <t>for their work on the Transparency WG which is a revolution for DAOs everywhere, for all the work they are doing and being creative and looking for solutions in recording the calls, for the incredible Transparency blog and for all the work they continue to do</t>
  </si>
  <si>
    <t>because new people are coming and this is possible because of the stewards amazing work</t>
  </si>
  <si>
    <t>because he is everywhere and his work is done with so much ethics and energy</t>
  </si>
  <si>
    <t>for joining the TEC Weekly Sync 🙏🏼 https://www.youtube.com/watch?v=WG5j9aC8mWg</t>
  </si>
  <si>
    <t>for attending the Transparency weekly call 🙏</t>
  </si>
  <si>
    <t>for every interaction we have had in this past weeks. Thanks for your presence and support.</t>
  </si>
  <si>
    <t>for joining common swarm with an awesome energy⚡</t>
  </si>
  <si>
    <t>to for joining the Comms Weekly call.</t>
  </si>
  <si>
    <t>for joining an improvised hack session on MVV's &amp; some topics of Gravity</t>
  </si>
  <si>
    <t>to for always being so open and working on Gravity</t>
  </si>
  <si>
    <t>for joining soft gov and sharing his inputs on MVV ✨</t>
  </si>
  <si>
    <t>for joining the Transparency working sesh 😄</t>
  </si>
  <si>
    <t>to for uploading the Comms Weekly call and sharing the link with us.</t>
  </si>
  <si>
    <t>for joining the stewards meeting ⚡</t>
  </si>
  <si>
    <t>for joining Hatchers outreach weekly sync 😄</t>
  </si>
  <si>
    <t>for going to all the calls and making sure they are recorded, for posting the calls in the channels, for all his work and the transparency article with Ivy, for always being around and available to record, and for all the work he is doing for Transparency</t>
  </si>
  <si>
    <t>for participating in the MVV and submitting proposals and commenting</t>
  </si>
  <si>
    <t>for being there in the community for Sem</t>
  </si>
  <si>
    <t>for leading the Transparency calls</t>
  </si>
  <si>
    <t>for recording all the calls</t>
  </si>
  <si>
    <t>for joining the TEC Community Call 🙌 https://www.youtube.com/watch?v=ehhAVtQhLAs</t>
  </si>
  <si>
    <t>for always making time for Legal calls</t>
  </si>
  <si>
    <t>for attending the Legal weekly sync</t>
  </si>
  <si>
    <t>for engaging in discussion on the TE Commons Forum (https://forum.tecommons.org) the past week. Thank you for helping our Token Engineering Commons community share and learn! 🙏</t>
  </si>
  <si>
    <t>to and for making SourceCred a reality</t>
  </si>
  <si>
    <t>to for being both humorous and thoughtful. When you speak, people listen!</t>
  </si>
  <si>
    <t>for their ridiculously amazingly thorough work on the glossary... you gotta check this out https://token-engineering-commons.gitbook.io/tec-handbook/glossary</t>
  </si>
  <si>
    <t>because he is always looking at the step-by-step process to polish the mechanism of addressing conflicts and for wrapping up the legal work so amazingly and we are doing so much progress here</t>
  </si>
  <si>
    <t>for looking at the reward systems</t>
  </si>
  <si>
    <t>for attending this week Legal WG</t>
  </si>
  <si>
    <t>for introducing me to gravity. !praise and for showing me 1Hive.</t>
  </si>
  <si>
    <t>to for mission vision value tokenlog waterfall Griff's land in S. America sprint planning session</t>
  </si>
  <si>
    <t>for all the DANK memes during the meme party!!</t>
  </si>
  <si>
    <t>for his collaborations with the Gravity's step-by-step process and because Legal is quiet but crucial</t>
  </si>
  <si>
    <t>to for working on improving the Discord onboarding.</t>
  </si>
  <si>
    <t>having completed their amazing article Part 1 on the Commons Simulator!! 🔥</t>
  </si>
  <si>
    <t>their incredible work on this content series - and the stellar memes!!</t>
  </si>
  <si>
    <t>for a full-spanish onboarding, thank you so much for taking the time! ❤️</t>
  </si>
  <si>
    <t>for contributing to or just dropping into the Comms call today!</t>
  </si>
  <si>
    <t>to for your spirit and energy!</t>
  </si>
  <si>
    <t>for her amazing work pushing and publishing the Commons Simulator article.</t>
  </si>
  <si>
    <t>for their fantastic work on this Commons Simulator explainer piece! https://medium.com/commonsstack/the-magic-behind-the-commons-simulator-part-1-game-flow-8fa2bed8437b</t>
  </si>
  <si>
    <t>for awesome work on the Dashboard and videos</t>
  </si>
  <si>
    <t>for joining our family of hatchers</t>
  </si>
  <si>
    <t>for this beautiful blog post, a perfect Saturday morning read. https://medium.com/commonsstack/the-magic-behind-the-commons-simulator-part-1-game-flow-8fa2bed8437b</t>
  </si>
  <si>
    <t>to for the latest batch of memes which are cracking me up this monring!</t>
  </si>
  <si>
    <t>for their great work on Part 1 of the Commons Simulator deep dive!</t>
  </si>
  <si>
    <t>for the awesome groovybot meme</t>
  </si>
  <si>
    <t>🎭memes</t>
  </si>
  <si>
    <t>for jumping into the TEC coming from Giveth, finding ways to be useful, and producing high-quality work so quickly</t>
  </si>
  <si>
    <t>for coming in and helping so much, for the amazing cadCAD article, and for the deep-dive on the Commons Simulator piece</t>
  </si>
  <si>
    <t>for being an awesome discord mod and hooking me up with praise capabilities!</t>
  </si>
  <si>
    <t>to because you are so awesome in everything you do.</t>
  </si>
  <si>
    <t>to because we are so lucky to have you make Discord a nice home for the TEC</t>
  </si>
  <si>
    <t>to x100 because, seriously, such meticulous and care in the work you do. I can't praise you enough!</t>
  </si>
  <si>
    <t>to But I'm going to give it my best shot. So here's another one.</t>
  </si>
  <si>
    <t>for being pleasant to work with and always having so many solutions</t>
  </si>
  <si>
    <t>to for bringing to TEC.</t>
  </si>
  <si>
    <t>to for taking care of all the Discord bot magic!</t>
  </si>
  <si>
    <t>for giving information about bot recording video (the bad news are the bot cant access to the video but vyvy-vi will look for more info) thanks buddy 🙂</t>
  </si>
  <si>
    <t>to for being responsive, doing an async hack sesh and resolving open issues on Discord bots.</t>
  </si>
  <si>
    <t>for moderating Discord</t>
  </si>
  <si>
    <t>to for fixing my Discord permissions and giving me rights to pin a message in a channel.</t>
  </si>
  <si>
    <t>to for providing feedback on the Content Distribution process.</t>
  </si>
  <si>
    <t>to for closing issues!</t>
  </si>
  <si>
    <t>to for the snowflakes in our Retrospective board, and her magical touch of whimsy all around</t>
  </si>
  <si>
    <t>because her presence is felt even though she is not here and for all the organizational work she does in the background</t>
  </si>
  <si>
    <t>for sharing transparency documentation with me since i lost track of it with the new pc 🥰</t>
  </si>
  <si>
    <t>for helping standardize the process for CSLOVE email notifications and taking them forward!</t>
  </si>
  <si>
    <t>for an awesome C&amp;D meeting!</t>
  </si>
  <si>
    <t>for teaching me how to use the TEC members doc</t>
  </si>
  <si>
    <t>for the transparency working sesh, we updated this database https://docs.google.com/spreadsheets/d/1nu5Xx4N40RpUvh7dtJB94SUMYSpMs-U6iFiOBPXOLoA/edit#gid=1235266306 having the newest videos on top</t>
  </si>
  <si>
    <t>for the harchers outreach milestone +77 soft commitments</t>
  </si>
  <si>
    <t>for handling the tweets for cadCAD Bootcamp</t>
  </si>
  <si>
    <t>to for raining praise down on the TEC community!🌈</t>
  </si>
  <si>
    <t>for making the end of each sprint a playful and creative collaboration on naming.</t>
  </si>
  <si>
    <t>to for supporting clarity around feelings and needs consciousness for the survey questions</t>
  </si>
  <si>
    <t>for contributing so much to the community</t>
  </si>
  <si>
    <t>for the Gravity survey</t>
  </si>
  <si>
    <t>for always giving advice and a lot of relevant information</t>
  </si>
  <si>
    <t>for helping me to recover my brightid acc and helping to edit and upload a video since my pc got a chip burn and i need to replace 😄</t>
  </si>
  <si>
    <t>for being active and present in Gravity</t>
  </si>
  <si>
    <t>for taking the lead of searching for speaker for the talk in Colombia this month</t>
  </si>
  <si>
    <t>because I don't always see what you do though I know you contribute in ways that are not are no so visible all the time.</t>
  </si>
  <si>
    <t>for helping in the Gravity survey</t>
  </si>
  <si>
    <t>for helping with Source Cred progress</t>
  </si>
  <si>
    <t>for introducing me to TEC and helping me onboard</t>
  </si>
  <si>
    <t>to for helping our community understand impact hours</t>
  </si>
  <si>
    <t>for offering to help onboard hatchers and being cool with moving over to the Project Swat team</t>
  </si>
  <si>
    <t>for looking super cozy during the Hatcher Outreach session 😄</t>
  </si>
  <si>
    <t>for speaking up No new meetings. 😆</t>
  </si>
  <si>
    <t>for their contributions in the SWAT team</t>
  </si>
  <si>
    <t>their amazing work on the Swiss Membership DApp (soon to be the Trusted Seed Dashboard) the most recent PR to remove the Pending Score box and make other small improvements is just delicious.</t>
  </si>
  <si>
    <t>to for the excellent last blog post (I'm catching up on my praise) and improving the new process to get it done</t>
  </si>
  <si>
    <t>for working on the Glossary few months ago</t>
  </si>
  <si>
    <t>@chuygarcia92🐝, @ddan, for joining the AMA call :D</t>
  </si>
  <si>
    <t>brainstorming the next version of Swiss Dapp</t>
  </si>
  <si>
    <t>porting our website to Netlify - awesome work thank you Kris!!!!</t>
  </si>
  <si>
    <t>to for taking on new issues and being so considerate and thoughtful in your approach</t>
  </si>
  <si>
    <t>for the amazing dev work keeping the swiss membership app working great!</t>
  </si>
  <si>
    <t>for his work implementing the TEC website in a netlify build, and for his patience with me while we configured the DNS. The site is live now at https://tecommons.org</t>
  </si>
  <si>
    <t>because his contributions in a very short amount of time is awesome and for all of his work in the website such as redirecting the URL</t>
  </si>
  <si>
    <t>for carrying the flag with the gravity survey</t>
  </si>
  <si>
    <t>for a great call with Chuy</t>
  </si>
  <si>
    <t>for taking the flag of the Gravity survey</t>
  </si>
  <si>
    <t>for working in the first areas of the proposal terms document</t>
  </si>
  <si>
    <t>being the first reviewer on Part 1 of the commons simulator deep dive blog post</t>
  </si>
  <si>
    <t>For being so welcoming!</t>
  </si>
  <si>
    <t>for syncing with Eduardo and giving his effort to help and for supporting Comms and stepping in to do the community video</t>
  </si>
  <si>
    <t>for making time despite the timezone diff to sync up on the details of the hatch phases and how he can make the infographic more dynamic, like his conversation. 🙂</t>
  </si>
  <si>
    <t>helping with all the projects, TEC Hatch frontend and templates</t>
  </si>
  <si>
    <t>they are getting us to the Hatch and for handling all the applications for the hatchers</t>
  </si>
  <si>
    <t>for clarifying praise to the CS Team</t>
  </si>
  <si>
    <t>for watching transparency call and teach me some tricks to assing people on Zenhub, thanks again buddy ✨</t>
  </si>
  <si>
    <t>for being a constant source of inspiration and leadership</t>
  </si>
  <si>
    <t>for jumping in the article and helping Eduardo with that, for being so supportive in all our fronts and ready with solutions, and for all the things he brings to the community</t>
  </si>
  <si>
    <t>for the hatcher outreach progress</t>
  </si>
  <si>
    <t>for the edits they provided for the TEC newsletter</t>
  </si>
  <si>
    <t>for taking care of part of the TS process during my technical downtime. And for rocking it with the AMA.</t>
  </si>
  <si>
    <t>for joining the Comms call 🤭</t>
  </si>
  <si>
    <t>for sharing TEC members doc with me</t>
  </si>
  <si>
    <t>for leading the Soft Gov call this week and holding space for Livia to take a few days off, for being amazing and doing everything with us, for being an inspiration every day, for being Griff and inspiring everyone, for unblocking the blockers, for giving shape to the How to Become A Hatcher piece, for helping out when Jake cannot be there, for all the support he gives to Mount Manu, and for leading Soft Gov this week</t>
  </si>
  <si>
    <t>for leading awesome calls with Params and working on the dashboard</t>
  </si>
  <si>
    <t>for attending the verification party</t>
  </si>
  <si>
    <t>for stewarding the Commons Stack through the bear market</t>
  </si>
  <si>
    <t>for teaching how to create GIFT memes</t>
  </si>
  <si>
    <t>a short and sweet and very efficient TEC onboarding call.</t>
  </si>
  <si>
    <t>kdmasuga</t>
  </si>
  <si>
    <t>for taking on Onboarding with such enthusiasm 🙏🏼</t>
  </si>
  <si>
    <t>🥚incubator</t>
  </si>
  <si>
    <t>for joining us on the Commons Stack server!</t>
  </si>
  <si>
    <t>for jumping in and helping with the onboarding process and all her insights, for her future role in TEC, for the onboarding meeting with Eduardo, because she will have a meeting with Jake, and for reaching out to Jess</t>
  </si>
  <si>
    <t>for showing up in the AMA</t>
  </si>
  <si>
    <t>for diving into praise - sorry I hadn't added the role in this server yet - the bot should listen to you now!</t>
  </si>
  <si>
    <t>to for his tireless work making gitcoin grants a safe place for web3 public goods funding using Token Engineering!</t>
  </si>
  <si>
    <t>for supporting the Gitcoin cadCAD model TE academy research group!</t>
  </si>
  <si>
    <t>wrapping the first TE Academy research group on the Gitcoin cadCAD model!!</t>
  </si>
  <si>
    <t>an amazing and very inspiring soft-gov weekly sync</t>
  </si>
  <si>
    <t>and for guiding me in my introduction to the TEC.</t>
  </si>
  <si>
    <t>to for taking the lead to create a shareable typeform link, with all info to get TEs involved</t>
  </si>
  <si>
    <t>for leading soft gov yesterday🙋‍♂️ 🥰</t>
  </si>
  <si>
    <t>to and for the engaging discussion during AMA</t>
  </si>
  <si>
    <t>for holding steady and true, for being the bedrock of the Cultural Build on which all other things can be built.</t>
  </si>
  <si>
    <t>to for making sure we stay focused on our mission, vision and values</t>
  </si>
  <si>
    <t>to and for a great hatch outreach session</t>
  </si>
  <si>
    <t>for MVV and Gitbook, because she is a good leader and brings a lot of value in our community every day and for the MVV proposal campaign</t>
  </si>
  <si>
    <t>for their work on the Gitbook</t>
  </si>
  <si>
    <t>for an amazing work on Gitbook and a lot of information there</t>
  </si>
  <si>
    <t>for giving 2 working group updates from a swing in the Amazon 🌎</t>
  </si>
  <si>
    <t>for taking time for herself, because of the Amazon jungle and everything she does, for her awesome MVV campaign, for working on the 0mega survey even she is on vacation, for coming back and showing the jungle, because it is nice to be out and remember where she is and how great it is, for taking vacation, for her good interview content, and for working on the MVV campaign in the previous weeks</t>
  </si>
  <si>
    <t>for going through the Glossary and improving it</t>
  </si>
  <si>
    <t>on her deep knowledge and always helping me understand complex issues.</t>
  </si>
  <si>
    <t>10h of work preparing the hatch demo</t>
  </si>
  <si>
    <t>1.5h validating the hatch dashboard with Vitor</t>
  </si>
  <si>
    <t>3h preparing the contract verification party</t>
  </si>
  <si>
    <t>the Awesome MEME!!!</t>
  </si>
  <si>
    <t>8h work on testing and preparing and writing about the demo on DAO migrations for TEC: https://forum.tecommons.org/t/dao-migration-demo/331</t>
  </si>
  <si>
    <t>working until very late  and have a second demo ready, thats why we do demos thanks buddy ✨</t>
  </si>
  <si>
    <t>to for buidl buidl buidl !</t>
  </si>
  <si>
    <t>for all their work on the Commons Swarm and for major advances happened this week</t>
  </si>
  <si>
    <t>for meeting Eduardo in person, for pushing so hard toward the freeze, and for being an incredible wizard and the philosophical discussions he has with Jess</t>
  </si>
  <si>
    <t>for the constant work on the hatch and Hatch Dashboard</t>
  </si>
  <si>
    <t>for bringing up the bot recorder idea</t>
  </si>
  <si>
    <t>for the successful deployment of the hatch demo after many many hours of hard work, you make us all proud!!</t>
  </si>
  <si>
    <t>for verifying contracts on Blockscout for 1hive so they can be seen and be interactive without a different UI</t>
  </si>
  <si>
    <t>because what they are doing with the migration is unbelievable</t>
  </si>
  <si>
    <t>for being always present for everyone who needs anything no matter how busy he is, for the great conversation and discussion with Jess about building a portable version of conviction voting, and for all the work he is doing for the hatch test</t>
  </si>
  <si>
    <t>for the nice job on the contract verification</t>
  </si>
  <si>
    <t>for supporting the itcoin cadCAD model TE academy research group!</t>
  </si>
  <si>
    <t>for making sure ethics is front and center in what we do</t>
  </si>
  <si>
    <t>for leading the making up of the TEC survey</t>
  </si>
  <si>
    <t>for the tech course for 1hive metamorphosis swarm</t>
  </si>
  <si>
    <t>starting the cadCAD bootcamp study group!</t>
  </si>
  <si>
    <t>for starting the cadCAD Bootcamp study group!</t>
  </si>
  <si>
    <t>for leading the really cool and amazing cadCAD Bootcamp</t>
  </si>
  <si>
    <t>for also mentioning Commons Stack on the socials the past week! 🙏🏼🌱</t>
  </si>
  <si>
    <t>for taking the time to onboard me as a Hatcher and answer all of my questions - and to do it almost all en español!</t>
  </si>
  <si>
    <t>to for bringing a warm heart to all of his work with Gravity and the TEC, and for taking time with me one-on-one onboarding and showing 'the way'</t>
  </si>
  <si>
    <t>to for joining the Hatch Team and supporting me in a few of our sessions</t>
  </si>
  <si>
    <t>for jumping in the call to onboard Lauren, for all of his progress with Gravity, for incorporating so many things into Gravity and moving this along and being so much careful with the community</t>
  </si>
  <si>
    <t>for adding the mediation paragraph in the proposal terms document</t>
  </si>
  <si>
    <t>for an amazing Gravity - 1hive outreach. We are to help one another 😃 🙌</t>
  </si>
  <si>
    <t>for updating the audit thanks man! 😄</t>
  </si>
  <si>
    <t>for the inspiring approach in his one-on-one call with Chuy and for the Graviton training</t>
  </si>
  <si>
    <t>taking leadership in the Swiss Membership DApp, the little things you do to make all these things work in CS are unquantifiable... but this praise will be quantified anyway ;-)</t>
  </si>
  <si>
    <t>for additional edits in the Transparency medium post</t>
  </si>
  <si>
    <t>for driving in between the chaos and the Hatch Outreach group and feedback on everything we do, for a great 1-on-1 meeting on Tuesday with Chuy, for always going above and beyond, and for being the rock and heart that holds us</t>
  </si>
  <si>
    <t>for her incredible work on hatcher onboarding and her diagrams are amazing, for being so inspiring and it is really refreshing to listen to her, for all of her support for Chuy, for all the coordination, for being the glue that keeps us together, and for being insightful and having really good thoughts about communications</t>
  </si>
  <si>
    <t>for their good job on the Hatcher Outreach</t>
  </si>
  <si>
    <t>for the meetings with Suga</t>
  </si>
  <si>
    <t>for reaching out to Vyvy to explain the Hatch</t>
  </si>
  <si>
    <t>for taking the time each day to assist and enlighten me as I roll my wagon into this pioneering community. (from Suga)</t>
  </si>
  <si>
    <t>to for hacking on the Content Production and Distribution Process (CPD)</t>
  </si>
  <si>
    <t>to for hacking on the CPD!</t>
  </si>
  <si>
    <t>to for discovering Teams on Github and utilizing this feature to streamline the CPD!</t>
  </si>
  <si>
    <t>to for carrying so much forward and always with so much humor and compassion.</t>
  </si>
  <si>
    <t>to for leading the content &amp; distribution effort</t>
  </si>
  <si>
    <t>for taking on Comms</t>
  </si>
  <si>
    <t>for not only taking the transition of the comms but also being vulnerable and offering help to the community</t>
  </si>
  <si>
    <t>for volunteering to collaborate on the bot issues. !praise for offering a design mock for the discord invite site</t>
  </si>
  <si>
    <t>for his non-stop commitment to the blockchain4good space, filling the gaps where needed (e.g. taking on TEC Comms) and making beautiful designs for Giveth, Panvala, TEC and many other projects in the space.</t>
  </si>
  <si>
    <t>for pro-actively providing the slides, callender and template text that can be used for call-alerts</t>
  </si>
  <si>
    <t>For clearing up github issue Support#562 and helping me understand what has to be done, and to get better grasp of what was the intention behind me opening that issue</t>
  </si>
  <si>
    <t>for finding a great solution 🧙🏽‍♂️</t>
  </si>
  <si>
    <t>for the progress they are making in Comms</t>
  </si>
  <si>
    <t>for all their work in Comms</t>
  </si>
  <si>
    <t>for taking care of the design and for following up with Github issues and keeping things moving</t>
  </si>
  <si>
    <t>to since if they didn't notice this might not have been fixed in weeks</t>
  </si>
  <si>
    <t>their hard work over the past year and a half to prepare this academic paper for Frontiers In Blockchain!</t>
  </si>
  <si>
    <t>3h of work in commons swarm weekly updates for 1hive and TEC:</t>
  </si>
  <si>
    <t>for introducing Israel to TEC!</t>
  </si>
  <si>
    <t>to for making the time in your life to be on this journey with us, we're lucky to have you!</t>
  </si>
  <si>
    <t>for his 1-on-1 session with Juan to see how we can relate Gravity with 1hive</t>
  </si>
  <si>
    <t>for picking up the presentating at the last minute, you did great ! 🥷🏽</t>
  </si>
  <si>
    <t>for introducing Burrito and the bots team, for his presence in many calls and his contributions, for giving Suga the praise, for presenting on behalf of Comms in the community call, and for jumping in several calls</t>
  </si>
  <si>
    <t>the masterpiece news blog!!! AMAZING! You've captured the TEC voice and essence, nice work brotha!</t>
  </si>
  <si>
    <t>for adding to the principles section on gitbook!</t>
  </si>
  <si>
    <t>to for so many things! This one is for the blog post that you took on and rocked!</t>
  </si>
  <si>
    <t>to this one is for the carefully considered thoughts you share</t>
  </si>
  <si>
    <t>to and this one if for the work you've put into content and distribution</t>
  </si>
  <si>
    <t>for the content distribution process proposal document and for becoming a community steward</t>
  </si>
  <si>
    <t>for taking the charge and doing an amazing job hashing out the C&amp;D Strategy! Really it is incredible all the work you have done nate</t>
  </si>
  <si>
    <t>for being thorough and thoughtful in his work</t>
  </si>
  <si>
    <t>to for your enthusiasm and high vibes!</t>
  </si>
  <si>
    <t>being the first one to submit a mission vision and values proposal 🥳🥳🥳 https://forum.tecommons.org/t/mission-vision-and-values-tokenlog-session/296</t>
  </si>
  <si>
    <t>assembling a spreadsheet with the new TEST Hatch DAO permissions. Time to update the documents!</t>
  </si>
  <si>
    <t>to for taking notes and action items for the CPD process</t>
  </si>
  <si>
    <t>to for creating Teams on Github and already using the @ mention to notify all team (WG) members.</t>
  </si>
  <si>
    <t>to for many things, I'm really backed up on my praise to you!</t>
  </si>
  <si>
    <t>to for the tldr and the work you are putting into content &amp; distribution</t>
  </si>
  <si>
    <t>for pushing hard to review his awesome work and get it up in the forum and for all of his contributions in the Comms WG</t>
  </si>
  <si>
    <t>for work on the hatcher outreach</t>
  </si>
  <si>
    <t>to for his Birthday!</t>
  </si>
  <si>
    <t>for all the lovely work at tec. Happy Birthday!</t>
  </si>
  <si>
    <t>really, your birthday!? 🥳</t>
  </si>
  <si>
    <t>for being the lead in the MVV campaign, for being an awesome team player and writing content super quickly and making memes, for all his contributions in writing content, for all the content he is churning out, and for the amazing post explaining how quadratic voting works on Tokenlog</t>
  </si>
  <si>
    <t>to for recording the Hatch Dashboard walkthrough video.</t>
  </si>
  <si>
    <t>for the awesome dashboard walkthrough video!! https://www.youtube.com/watch?v=uQJfNRiQFZQ so cool check it out!</t>
  </si>
  <si>
    <t>to for being the creative powerhouse you are and sharing that with us</t>
  </si>
  <si>
    <t>for posting the audit and closing the issue thanks buddy :)</t>
  </si>
  <si>
    <t>for always pushing for better memes, for taking the time and effort to help the SWAT team, for his continued energy, for the good things he talked about in his interview, for his good mood in the calls, and for good QA and feedback on the dashboard</t>
  </si>
  <si>
    <t>for coordinating and moving the transparency audits to a better section in the forum</t>
  </si>
  <si>
    <t>for that amazing energy, insight and passion on our inaugural call!</t>
  </si>
  <si>
    <t>7h preparing the hatch with sem on 04/01</t>
  </si>
  <si>
    <t>15 working on both hatch frontend and connector. Here are the PRs: https://github.com/CommonsBuild/tec-hatch/pull/66 and https://github.com/CommonsBuild/hatch-connector/pull/11</t>
  </si>
  <si>
    <t>1h deploying a DAO with Sem using the new hatch template on 03/26</t>
  </si>
  <si>
    <t>5h work on the hatch frontend implementing the goal-reached animation. Here is the PR: https://github.com/CommonsBuild/tec-hatch/pull/73</t>
  </si>
  <si>
    <t>for doing an amazing job this week</t>
  </si>
  <si>
    <t>to for championing outreach to projects, and the new surge in that direction</t>
  </si>
  <si>
    <t>for his great job leading the Hatch Outreach WG</t>
  </si>
  <si>
    <t>for joining comms call ✨</t>
  </si>
  <si>
    <t>for the hatcher outreach and for reminding Mount Manu on his tasks</t>
  </si>
  <si>
    <t>to for coming around again, it was nice to see you pop into a few more meetings</t>
  </si>
  <si>
    <t>for joining the AMA call today!🦋</t>
  </si>
  <si>
    <t>for joining the praise onboarding call</t>
  </si>
  <si>
    <t>for joining the community this week and for jumping in the calls</t>
  </si>
  <si>
    <t>for building the TEC case study, a piece of work that will always be am important historical reference to what we are building / have built.</t>
  </si>
  <si>
    <t>for the Stewards study, it provided a good point for reflection and refinement on who the Stewards in the TEC.</t>
  </si>
  <si>
    <t>to for all the care you show us and being the bridge between our loosely coupled ecosystem of initiatives</t>
  </si>
  <si>
    <t>for being on the back like holding all of the things that come and for supporting the articles</t>
  </si>
  <si>
    <t>for killing it on the Curate sheet! Looking forward to getting these in the cal.</t>
  </si>
  <si>
    <t>for all the warmth and articles she is working on, for helping Eduardo find a video, for all the work she is doing, and for completing the interviews</t>
  </si>
  <si>
    <t>for the warm and expansive introductory call, with so much support on moving forward with an agenda for the Onboarding journey. (from Suga)</t>
  </si>
  <si>
    <t>for their contributions in the other side</t>
  </si>
  <si>
    <t>to for making the connection to TokenLog Mission, Vision, Values action to incentivize token engineers who care about values, ethics, diversity in token engineering, to make time, and join the TEC</t>
  </si>
  <si>
    <t>to for presenting the dashboard to the community</t>
  </si>
  <si>
    <t>to for validating the formulas of dashboard with me, we can say now it works as a charm!!</t>
  </si>
  <si>
    <t>for hacking together on the design of Hatch Dashboard</t>
  </si>
  <si>
    <t>for being super hardworking on the dashboard even he is doing his tests, for contributing so much in the dashboard and still doing great in his tests, for juggling school and making great contributions in theTEC, and for all those memes in the cadCAD article</t>
  </si>
  <si>
    <t>for their good work on the dashboard</t>
  </si>
  <si>
    <t>to for laying the mathematical foundations for token engineering in his work with the University of Vienna &amp; BlockScience</t>
  </si>
  <si>
    <t>Kris Paruch#0738</t>
  </si>
  <si>
    <t>for all his amazing work advancing research in token engineering</t>
  </si>
  <si>
    <t>for the Trusted Seed deck that has become an important communication tool for Hatcher outreach</t>
  </si>
  <si>
    <t>for gathering Zarghams interview</t>
  </si>
  <si>
    <t>for pointing out Sprint Review's need a different formatting in Discord. Upgrading those comms ASAP!</t>
  </si>
  <si>
    <t>for getting the ball rolling on the TEC Hatch visuals and your generosity with helping me iterate to something I'm quite proud to throw into the TEC Hatch deck for tomorrow morning's session!</t>
  </si>
  <si>
    <t>for all his generosity with his diagrams and helping Tam and for welcoming Benz in the community</t>
  </si>
  <si>
    <t>for joining the praise onboarding session</t>
  </si>
  <si>
    <t>to for his endless effort to bring Defi Safety to the community... HEROES WORK!</t>
  </si>
  <si>
    <t>CMD Burrito#2759</t>
  </si>
  <si>
    <t>for offering help with the bot that will help with our transparency practices</t>
  </si>
  <si>
    <t>providing so much value behind the scenes, for being very helpful, and for helping with the audits</t>
  </si>
  <si>
    <t>for supporting the first scientific NFT in Opensea</t>
  </si>
  <si>
    <t>felixfritsch</t>
  </si>
  <si>
    <t>for not only onboarding me for praise but also patiently answering my new-person questions!</t>
  </si>
  <si>
    <t>for answering all the on boarding questions clearly and thoroughly. 👍</t>
  </si>
  <si>
    <t>for working so hard to support all efforts across and for listening to Kristofers questions and not complaining</t>
  </si>
  <si>
    <t>for teaching me how to see the GIFT memes on discord to enjoy the meme party🥳</t>
  </si>
  <si>
    <t>to for jumping in and answering questions 🙏🏼</t>
  </si>
  <si>
    <t>for mentioning or retweeting TE Commons on the socials the past week! Thank you for helping us grow the Token Engineering Commons community and spreading the message! 🙏🏼☺️</t>
  </si>
  <si>
    <t>this great ecosystem intent toolkit.  Without shared context or larger coherence on what we are actually trying to achieve, system design can even be counter productive. Aligning values in ecosystem design is key: https://medium.com/the-next-evolution/ecosystem-intent-toolkit-a926be4f3339</t>
  </si>
  <si>
    <t>Paul Haas#7536</t>
  </si>
  <si>
    <t>2h of work, met with sem and marko for the design of the tec interface, started to work to isolate the files that needs to be changed for different dao deployments (ui files)</t>
  </si>
  <si>
    <t>for also joining the praise onboarding call! praise for everyone 🙂</t>
  </si>
  <si>
    <t>for all his contributed #TokenEngineering research &amp; expertise</t>
  </si>
  <si>
    <t>her work on the webpage</t>
  </si>
  <si>
    <t>and all the other awesome Metafest organizers for inviting so many Commons Stack talks!!</t>
  </si>
  <si>
    <t>sharing his blog olli.to and gathering crypto commons writers to spread the good word 🤙</t>
  </si>
  <si>
    <t>for hanging out at the Trusted Seed office hours and for lending me a laptop to get the job done on CS since mine went extinct! 💻☄️🦖 Couldn't keep the TS processes going without her!</t>
  </si>
  <si>
    <t>mercedesrodsim#1317</t>
  </si>
  <si>
    <t>their great work on Carbonbase.co and project-ark.co, and catching Hillary Clinton's eye in setting up the Greenlight Climate Festival https://twitter.com/HillaryClinton/status/1376943579663364097 🥳🚀</t>
  </si>
  <si>
    <t>to for our good conversations and bringing LGJ to the world</t>
  </si>
  <si>
    <t>freddbomba#9290</t>
  </si>
  <si>
    <t>for pointing out that our ABC Sim is down... made an issue</t>
  </si>
  <si>
    <t>davidhq#6023</t>
  </si>
  <si>
    <t>continuing to engage with a watchful eye on the legal side, like a guardian angel 😃</t>
  </si>
  <si>
    <t>to for the thoughtful messages you've shared</t>
  </si>
  <si>
    <t>celineflash#7578</t>
  </si>
  <si>
    <t>to for how quickly you take things on and deliver such high quality</t>
  </si>
  <si>
    <t>for battling panel and coming out victorious! We have Tool Tips!!!</t>
  </si>
  <si>
    <t>🤖parameters</t>
  </si>
  <si>
    <t>his great questions about the Credit Commons and how it can connect with / be implemented via the Commons Stack toolkit!  💸🌱</t>
  </si>
  <si>
    <t>to for taking care of the Trusted Seed</t>
  </si>
  <si>
    <t>to for helping Ivy with Hubspot so those airdrop emails went out this weekend! 🤗</t>
  </si>
  <si>
    <t>for all of his amazing continuing work on rooting the Trusted Seed ❤️</t>
  </si>
  <si>
    <t>for joining the Trusted Seed office hours and sharing his work and visions around regenerative commons. Hope to chat again!</t>
  </si>
  <si>
    <t>for joining the TEC Discord 💪🏽 and for the great conversation today about the TEC Hatch 🐣</t>
  </si>
  <si>
    <t>barnabe#7926</t>
  </si>
  <si>
    <t>for joining the Discord channel and engaging with us on Twitter 🙏</t>
  </si>
  <si>
    <t>to for taking time to talk TEC Hatch with me and the thoughtful following conversations.</t>
  </si>
  <si>
    <t>randomshinichi#1165</t>
  </si>
  <si>
    <t>PhilKK#0692</t>
  </si>
  <si>
    <t>for joining our Discord channel and engaging with us on Twitter the past week! 🙏 😊</t>
  </si>
  <si>
    <t>🎟general</t>
  </si>
  <si>
    <t>Deepcryptodive#1044</t>
  </si>
  <si>
    <t>lefterisjp | Rotki#7253</t>
  </si>
  <si>
    <t>blockenthusiast</t>
  </si>
  <si>
    <t xml:space="preserve">#15 IH: </t>
  </si>
  <si>
    <t>PKK777</t>
  </si>
  <si>
    <t>ManuAlzuru</t>
  </si>
  <si>
    <t>Luukweber</t>
  </si>
  <si>
    <t>NukeManDan</t>
  </si>
  <si>
    <t>Jake</t>
  </si>
  <si>
    <t>Eduardo</t>
  </si>
  <si>
    <t>for continuing to record the calls</t>
  </si>
  <si>
    <t>writing about why we decided to use a commons in the first place 🙌</t>
  </si>
  <si>
    <t>TG</t>
  </si>
  <si>
    <t>for going through the audit of the impact hours</t>
  </si>
  <si>
    <t>taking the mutual accountability principle and the intro for the agreements on Gitbook! amazing work Zep ⚡️🙌</t>
  </si>
  <si>
    <t>managing our Digital Security helping Nate get access.</t>
  </si>
  <si>
    <t>for all the work he is doing in Transparency WG and recording, for helping Eduardo praise every time and for helping Fabimol mute the background noise</t>
  </si>
  <si>
    <t>for always recording the calls and the Transparency audit</t>
  </si>
  <si>
    <t>@Sjdthree @dysbulic for becoming the 1st generation of Gravitons (Alternative Dispute Resolution providers for DAOs) Amazing number 17! Thanks all!</t>
  </si>
  <si>
    <t>for being grounding in this community and it is the quality we have been keeping</t>
  </si>
  <si>
    <t>interviewing me for the onboarding video 😁🙌</t>
  </si>
  <si>
    <t>for making Juan realize things that he thought would be difficult to accomplish and their support is very important in Gravity</t>
  </si>
  <si>
    <t>for taking care of the Groovy bot issue on our calls so Youtube will accept our videos, for running the transparency audit with Santi, for spending so much time and effort in recording, for recording most of the calls, and for the amazing work on our Youtube channel</t>
  </si>
  <si>
    <t>for working so hard for TEC and we are about to realize the dream that we have always wanted to happen</t>
  </si>
  <si>
    <t>for offering feedback on the mission-vision value session</t>
  </si>
  <si>
    <t>all the brainstorming around the commons swarm logo</t>
  </si>
  <si>
    <t>spotting a spam 🙌🏽</t>
  </si>
  <si>
    <t>to for supporting the Comms WG!</t>
  </si>
  <si>
    <t>📡comms</t>
  </si>
  <si>
    <t>for joining &lt;#810180622634844202&gt; working group and providing valueable insights for the community survey &amp; (research) goal of 0Mega and guidance how to complete towards transparency</t>
  </si>
  <si>
    <t>for joining the Transparency work sesh today to finish the Medium article and the audit tracking database</t>
  </si>
  <si>
    <t>for bringing so much value into this world. It's amazing to feel part of this community of talented and mindful people.</t>
  </si>
  <si>
    <t>for joining the Transparency weekly sync</t>
  </si>
  <si>
    <t>for the great memes this week</t>
  </si>
  <si>
    <t>for all their work in the Transparency WG</t>
  </si>
  <si>
    <t>being here on a Sunday to tell me what I need.  Thank you</t>
  </si>
  <si>
    <t>coming to the Comms Working Group meeting today - thank you so much for your continued support and energy! 🙏🏼💫🌈</t>
  </si>
  <si>
    <t>giving feedback to the questions for the token log mission template</t>
  </si>
  <si>
    <t>for getting together for the TEC AMA today! Everyone is welcome. 🙏🏽</t>
  </si>
  <si>
    <t>and who all had great input for todays Gravity call</t>
  </si>
  <si>
    <t>for joining the Thursday Community Call 🙂 https://www.youtube.com/watch?v=1CSQ6NwOwIE</t>
  </si>
  <si>
    <t>for joining todays Legal WG</t>
  </si>
  <si>
    <t>@Tam2140, @Zeptimus, @freedumbs00, @griff, for joining the Hatch Outreach call!</t>
  </si>
  <si>
    <t>for joining the Legal WG session today</t>
  </si>
  <si>
    <t>for bringing hope into this world</t>
  </si>
  <si>
    <t>joining soft gov call!</t>
  </si>
  <si>
    <t>joining the mission token log hack session!</t>
  </si>
  <si>
    <t>joining the Comms WG meeting today! 🙏🏼🌟</t>
  </si>
  <si>
    <t>for joining the TEC Community Call 🙏 🙂 https://www.youtube.com/watch?v=DhNRqaOw3ic</t>
  </si>
  <si>
    <t>for spinning up the NFT DAO to help artists</t>
  </si>
  <si>
    <t>for continuing to rock and hard work on Source Cred</t>
  </si>
  <si>
    <t>for always being amazing to work with in the implementation of the Source Cred and because we are getting something from him at the end of the call</t>
  </si>
  <si>
    <t>for the Source Cred work</t>
  </si>
  <si>
    <t>hacking on the gitbook during the legal sync</t>
  </si>
  <si>
    <t>for taking the Transparency audit for their working groups</t>
  </si>
  <si>
    <t>for helping Eduardo in the community video</t>
  </si>
  <si>
    <t>for taking on the audit this sprint! 💫</t>
  </si>
  <si>
    <t>for deploying the new version of SourceCred.</t>
  </si>
  <si>
    <t>for helping and being important to the Colombia community</t>
  </si>
  <si>
    <t>for helping with Source Cred every week</t>
  </si>
  <si>
    <t>the major milestone of getting out the Giveth.io</t>
  </si>
  <si>
    <t>for doing an amazing job in content and communications and for their awesome work on the content in general</t>
  </si>
  <si>
    <t>for documenting and producing content to make it easier for everyone to understand what we are doing</t>
  </si>
  <si>
    <t>for the tips on regenerative medicine he shared with YGG</t>
  </si>
  <si>
    <t>for jumping in the tech params</t>
  </si>
  <si>
    <t>joining our Commons Stack Simulator sync &amp; sorry for not recording it!!</t>
  </si>
  <si>
    <t>the amazing articles they are writing about the Commons simulator! 🙌</t>
  </si>
  <si>
    <t>contributing to A Dashboard for DAOs gitcoin grant</t>
  </si>
  <si>
    <t>to for working on the Transparency post and sharing it with us tomorrow.</t>
  </si>
  <si>
    <t>for recording a lot of praise in the calls and all the work she does behind the scenes, and for the amazing work on social media</t>
  </si>
  <si>
    <t>for doing the small tasks constantly for everyone which makes us look good, for all the other work she does to keep all of us moving forward easily</t>
  </si>
  <si>
    <t>for working hard on the Youtube channel</t>
  </si>
  <si>
    <t>spending some time with me and bringing huge value for the onboarding video ✨</t>
  </si>
  <si>
    <t>for giving feed back on Ivy for her review. These feedback sessions always surface beneficial thoughts and ideas about how we can can improve.</t>
  </si>
  <si>
    <t>praise</t>
  </si>
  <si>
    <t>for the amazing content of the Transparency article</t>
  </si>
  <si>
    <t>`For finding the apostrophe issues with Praise-Bot`</t>
  </si>
  <si>
    <t>for supporting Tam in the hatch onboarding calls this sprint</t>
  </si>
  <si>
    <t>for helping in the Hatch Outreach sessions</t>
  </si>
  <si>
    <t>for getting ready the miro board on each restrospective call we do🌞</t>
  </si>
  <si>
    <t>for their contributions to Gravity and to me as a person! Thank you, I'm sorry, forgive me, and I love and honor you.</t>
  </si>
  <si>
    <t>for hosting the Metaspace where Griff gave a talk</t>
  </si>
  <si>
    <t>leading a hack session to develop a typeform to research the ethos of token engineers 🙌</t>
  </si>
  <si>
    <t>for moving forward with a lot of progress in the 0mega WG and for the onboarding session with Eduardo</t>
  </si>
  <si>
    <t>for presenting at Metafest</t>
  </si>
  <si>
    <t>for leading 0mega call last week and talking about TEC on metafest</t>
  </si>
  <si>
    <t>for presenting in the Metafest today!!!</t>
  </si>
  <si>
    <t>for getting (almost) ready to go the community questionnaire from OMega!</t>
  </si>
  <si>
    <t>for joining us in the weekly sync</t>
  </si>
  <si>
    <t>for all of his work so far, amazing!!!!</t>
  </si>
  <si>
    <t>for their work on the website and setting up the CRM</t>
  </si>
  <si>
    <t>setting up our TEC Website on Netlify and making it fast and responsive.</t>
  </si>
  <si>
    <t>for all of his attention and detail and the improvements he has made in the UI for the Swiss dApp, for showing up and contributing in the dApp, for jumping in the dApp and getting it going</t>
  </si>
  <si>
    <t>for a keen eye on the details of the Trusted Seed Swiss Association dApp!</t>
  </si>
  <si>
    <t>for his continuous work and getting things done and for taking on the Github template work this week and doing it so quick</t>
  </si>
  <si>
    <t>plugging the mission vision and values template into token log 🌈🥳</t>
  </si>
  <si>
    <t>stepping up to finish the Swiss Membership project</t>
  </si>
  <si>
    <t>all those attention to detail and small changes to the Swiss dApp</t>
  </si>
  <si>
    <t>taking on the set up of the github mission template! 🙌🙌</t>
  </si>
  <si>
    <t>for suggesting open justice blockchain integrations</t>
  </si>
  <si>
    <t>for offering if any WG needs help with visualizations, they just need to make me get it and I'll make something 😄</t>
  </si>
  <si>
    <t>for preparing content for the 0mega initiative</t>
  </si>
  <si>
    <t>a fantastic job on the PQ blog AGAIN! 🙏🏼🙏🏼🙏🏼😁</t>
  </si>
  <si>
    <t>joining the keybase crew and sharing the credentials with nate as soon as he is in thanks buddy,🙏✨</t>
  </si>
  <si>
    <t>the latest pq blog Nice pice as always coming from you 💫</t>
  </si>
  <si>
    <t>for the blog post this week</t>
  </si>
  <si>
    <t>sending out the TEC gitcoin grant thank yous - you're awesome Craig thank you!!!!!!!! 🌟🌟🌟❤️</t>
  </si>
  <si>
    <t>for participating in Juans presentation at Metafest</t>
  </si>
  <si>
    <t>for their work at Metafest</t>
  </si>
  <si>
    <t>doing praise quant this week! ⭐️</t>
  </si>
  <si>
    <t>for working on the roles on Discord and going far and beyond and being receptive to ideas</t>
  </si>
  <si>
    <t>taking on the discord roles set up and for being so available and proactive to make the changes so they reflect the flow of our community! thanks so much, I really appreciate your work!</t>
  </si>
  <si>
    <t>for trying to help me with apostrophe issues with praise bot 😄</t>
  </si>
  <si>
    <t>for helping me sort out Discord permissions across a few of our servers to ensure I can assign praise powers everywhere! Thanks for making me a transformer 🙂</t>
  </si>
  <si>
    <t>for his incredible help in the Legal WG</t>
  </si>
  <si>
    <t>because we are so lucky to have you in our Legal WG</t>
  </si>
  <si>
    <t>for providing the baseline legal documents for therms and praise distribution</t>
  </si>
  <si>
    <t>his contributions in Gitcoin and writing a French article about sustainability</t>
  </si>
  <si>
    <t>for all of his contributions, and especially his hard work on the simulator!</t>
  </si>
  <si>
    <t>fixing the small details in the Swiss Membership dApp</t>
  </si>
  <si>
    <t>joining our Commons Stack Simulator sync &amp; sorry for not recording it!!p</t>
  </si>
  <si>
    <t>to for taking care of his workload and making us confident it will get done!</t>
  </si>
  <si>
    <t>to for offering to help Zepti and Transparency WG by recording calls.</t>
  </si>
  <si>
    <t>for answering the calls, jumping in immediately when Zep said we need a recorder, for stepping in and being not afraid to be better and being a contributor in everything going on, for helping in the diagrams, and for jumping in so many calls and wanting to contribute</t>
  </si>
  <si>
    <t>helping make the Swiss Membership Blog post so awesome: https://medium.com/commonsstack/join-the-commons-stacks-trusted-seed-swiss-association-ed51a356cb6c</t>
  </si>
  <si>
    <t>immanent7</t>
  </si>
  <si>
    <t>helping out with the Commons Swarm logo design</t>
  </si>
  <si>
    <t>an amazing hatch onboarding session today</t>
  </si>
  <si>
    <t>setting up Token Log for the mission, vision, values voting session!!</t>
  </si>
  <si>
    <t>getting ready mission vision value so the community can engage and have fun!❤️</t>
  </si>
  <si>
    <t>griff</t>
  </si>
  <si>
    <t>for setting up an awesome onboarding sesh for YGG https://www.youtube.com/watch?v=HKPkH-wbG8k</t>
  </si>
  <si>
    <t>🌐commons-swarm</t>
  </si>
  <si>
    <t>for their kick ass and efficient work closing issues on the Dashboard</t>
  </si>
  <si>
    <t>for all your work in the Params group and always stepping up to get things done and for onboarding Kris as a hatcher</t>
  </si>
  <si>
    <t>@paul2, @eduardovegap, @freedumbs00, for joining the AMA call! Thanks so much Paul for all your curiosity!</t>
  </si>
  <si>
    <t>for joining today's Hatch Outreach AMA call!</t>
  </si>
  <si>
    <t>because his energy and enthusiasm toward the project is inspiring for Chuy, for his collaborations with Jess, for always hosting the Sunday params hack sessions and sticking around and keeping the vibes good, and for his humor in every call</t>
  </si>
  <si>
    <t>for helping Vitor with the dashboard and managing everything</t>
  </si>
  <si>
    <t>for setting the up the Tokenlog</t>
  </si>
  <si>
    <t>for helping Lauren get oriented with the dashboard</t>
  </si>
  <si>
    <t>for a very warm welcome for Baartch and answering his questions</t>
  </si>
  <si>
    <t>for working very hard on the TEC Hatch</t>
  </si>
  <si>
    <t>because Juan learns so much from him and he admires his energy and work, because your enthusiasm is so important and for bringing our low morale up</t>
  </si>
  <si>
    <t>brainstorming some good names for the migration tools functions, i really needed some help with it. Naming things is a very hard thing! https://martinfowler.com/bliki/TwoHardThings.html</t>
  </si>
  <si>
    <t>editing the mission forum post! 🙏</t>
  </si>
  <si>
    <t>for the QA on the hatcher onboarding overview document</t>
  </si>
  <si>
    <t>to for taking on the Discord onboarding improvement issue and caring so much about it.</t>
  </si>
  <si>
    <t>the taking the time to a hatch onboarding 🥳</t>
  </si>
  <si>
    <t>for helping guide the lab through the TEC hatch contracts and it's history! Also praise ! For being lab champions!!</t>
  </si>
  <si>
    <t>🔬labs</t>
  </si>
  <si>
    <t>to for providing feedback on Content Distribution process.</t>
  </si>
  <si>
    <t>for reviewing the hatcher-facing documents</t>
  </si>
  <si>
    <t>because he is such an inspiration for Juan and everyone, for his talk about the Commons Stack at Metafest, for Santis gitcoin grant and his new role as TEC DJ, for the ability to move effortlessly from the long-term strategy to UX details in no time and being everywhere always, and for the awesome feedback on Laurens conviction voting post</t>
  </si>
  <si>
    <t>for her great work organizing the gitbook!</t>
  </si>
  <si>
    <t>for being always on top of everything like the Gitbook, for getting the gitbook organized, because she is a key piece to all of our projects and she adds value to whatever we do</t>
  </si>
  <si>
    <t>for being such great leaders for our community</t>
  </si>
  <si>
    <t>always being so on top informing about being aproved or declined on every vote an add it to the decision tracking 😁🙏</t>
  </si>
  <si>
    <t>being the champion coordinating everything going on Gitbook wich its alot thanks Livi 🙏⭐️</t>
  </si>
  <si>
    <t>to for always posting these notes for everyone, and all the other places she steps up</t>
  </si>
  <si>
    <t>🏓-community-hall</t>
  </si>
  <si>
    <t>for dropping in the ST workshop and sharing great ideas</t>
  </si>
  <si>
    <t>for her great work on Gitbook, for the humility of yesterday call, for onboarding Mateo and answering his questions, and for always posting the agenda notes in the Community Hall channel</t>
  </si>
  <si>
    <t>for helping us in Onboarding</t>
  </si>
  <si>
    <t>talking TEC Hatch, sharing insights, ideas and questions.</t>
  </si>
  <si>
    <t>updating the pinned message</t>
  </si>
  <si>
    <t>@Juankbell, for onboarding Nico as a hatcher ✨</t>
  </si>
  <si>
    <t>to for taking time to talk TEC Hatch! 🐣</t>
  </si>
  <si>
    <t>for doing so much on Gitbook and the mission-vision values, because her energy and work is amazing, for keeping us culture first, for her continuous support, for the messages with Eduardo and paying attention and caring for each other, and for the amazing job on Gitbook</t>
  </si>
  <si>
    <t>6h meeting with Adrià (smart contract auditor) reviewing the flow of funds in the Hatch DAO together</t>
  </si>
  <si>
    <t>4h work on improving the impact hours app: https://github.com/TECommons/impact-hours-app/pull/1</t>
  </si>
  <si>
    <t>10h work on finishing the migration tools contract and tests:</t>
  </si>
  <si>
    <t>3h syncing with YGG to having him on the roll!</t>
  </si>
  <si>
    <t>16h work on integrating and testing migration tools into the hatch template</t>
  </si>
  <si>
    <t>improving the impact hours app: https://github.com/TECommons/impact-hours-app/pull/1</t>
  </si>
  <si>
    <t>for jumping in the new art project with Santi and for meeting Eduardo in person</t>
  </si>
  <si>
    <t>for putting their heads down and finding the bug</t>
  </si>
  <si>
    <t>1h helping paulo deploy a demo hatch DAO on xDAI</t>
  </si>
  <si>
    <t>1h of work in the Commons Swarm Gitcoin grant</t>
  </si>
  <si>
    <t>asking for something new and helping build trust with 1Hive</t>
  </si>
  <si>
    <t>@sem  🐝for the hackathon sessions with Paulo</t>
  </si>
  <si>
    <t>for working 14hrs a day all week and finding all these critical bugs, for their hard work to get the TEC Hatch ready</t>
  </si>
  <si>
    <t>11h on debugging the Impact Hours formula problem and implementing the changes in the Hatch Template as well as refactoring the overall flow test for the max goal case. Here's the PR: https://github.com/CommonsSwarm/hatch-template/pull/1</t>
  </si>
  <si>
    <t>4h meeting on 03/09 working with Sem and Gabi on bootstrapping the new Hatch Template using Hardhat</t>
  </si>
  <si>
    <t>4h on 03/13 debugging IH formula with Sem</t>
  </si>
  <si>
    <t>5h on writing and updating the `README.md`files of the hatch frontend, connector and subgraph, and writing a API markdown file for the hatch connector. PRs: https://github.com/TECommons/hatch-connector/pull/6 and https://github.com/TECommons/tec-hatch/pull/46</t>
  </si>
  <si>
    <t>2h fixing subgraph and hatch frontend due to an error related to the contribution function. PRs: hatch-connector#3 and tec-hatch#42</t>
  </si>
  <si>
    <t>1h meeting on 03/10 with Sem, Gabi and BItcoinera debugging the Hatch Template</t>
  </si>
  <si>
    <t>1.5h renaming presale to hatch. tec-hatch#44 and hatch-connector#4</t>
  </si>
  <si>
    <t>12h debugging and writing tests for the Hatch Template. hatch-template#1</t>
  </si>
  <si>
    <t>for being here and for getting involved and listening to these calls and finding your place here in the community</t>
  </si>
  <si>
    <t>for sharing onboarding infos in the incubator channel!</t>
  </si>
  <si>
    <t>for coming to the TEC for the first time</t>
  </si>
  <si>
    <t>for his feedback on our CV pre proposal process that made us re-evaluate the way we are handling it.</t>
  </si>
  <si>
    <t>for all of his TE work in the ecosystem</t>
  </si>
  <si>
    <t>making time to talk to Tam about the TEC Hatch</t>
  </si>
  <si>
    <t>for all of his behind the scenes work that is crucial for so many of our organizations!</t>
  </si>
  <si>
    <t>working dev magic and getting the simulator back up and running 💫</t>
  </si>
  <si>
    <t>for that super fast turn around time. I blinked and it was done. 🙏🏼</t>
  </si>
  <si>
    <t>the careful and passionate work she is putting into the hatch outreach narrative and presentation ⭐️</t>
  </si>
  <si>
    <t>thinking of an onboarding coordinator role and inviting Katy to collaborate with us ✨ You're proactivity is so precious Tam!</t>
  </si>
  <si>
    <t>for leading the Hatcher Outreach call this week, and for inviting Suga to the community</t>
  </si>
  <si>
    <t>to for leading the Sprint Retro session.</t>
  </si>
  <si>
    <t>to for taking care of our Zenhub board and reminding us not to overload with issues for each sprint.</t>
  </si>
  <si>
    <t>putting the intentions from a conscious place</t>
  </si>
  <si>
    <t>to for reminding me about our FE dev contributor Christopher.</t>
  </si>
  <si>
    <t>for being the hero transparency medium post needed✨ ✨</t>
  </si>
  <si>
    <t>for reviewing the Transparency medium post</t>
  </si>
  <si>
    <t>for being an awesome manager and specially today remember me to update my issues thanks Tam✨</t>
  </si>
  <si>
    <t>to for supporting Comms!</t>
  </si>
  <si>
    <t>for the incredible work she has been doing in the Hatchers group and the slide deck that is making it easier for us to do Hatch Outreach, for setting up a meeting with Chuy, for helping Santi with the Zenhub issues, for all her work on the Hatch Outreach, for having such a generous look at the community all the time, for literally everything and being the foundation for TEC, and for being the center gravity of everything</t>
  </si>
  <si>
    <t>for his skill tree workshop at MetaFest</t>
  </si>
  <si>
    <t>all their work in DAO2DAO research - also Max Hampshire who we need to get in here :D 🙌🥳💫 Outstanding work!</t>
  </si>
  <si>
    <t>Z's talk and supporting work on Media &amp; Networks at MetaFest 🙌</t>
  </si>
  <si>
    <t>being so so grounding for this community!!!! I need to start writing my praise so I don't miss out 🙌🙌🙌🙌</t>
  </si>
  <si>
    <t>his incredible presentation at MetaFest!!!! 🙌🥳 AMAZING Juan!!!!</t>
  </si>
  <si>
    <t>giving advice to the roles process!</t>
  </si>
  <si>
    <t>for his pioneering work in Conflict Management training for DAOs</t>
  </si>
  <si>
    <t>for bringing so much value into this world. It's amazing to feel part of this community of talented and mindful people. 🥰</t>
  </si>
  <si>
    <t>to for bringing up the Transparency WG blog post review needs.</t>
  </si>
  <si>
    <t>to for all of his hard work in facilitating an amazing gravity training.</t>
  </si>
  <si>
    <t>for the offboarding document, for his humility and care he carries, and for giving an amazing talk at Metafest (x4)</t>
  </si>
  <si>
    <t>to for establishing a consistent Content Distribution Process.</t>
  </si>
  <si>
    <t>for working on MetaFest promotion/Tweets/graphics - thanks so much Nate!!! 🙏 🌟 (passing along for Jess)</t>
  </si>
  <si>
    <t>for working on MetaFest promotion/Tweets/graphics - thanks so much Nate!!! 🙏 🌟</t>
  </si>
  <si>
    <t>for continuous questioning and inquiry on our processes all the time and for nailing down the content process on Zenhub</t>
  </si>
  <si>
    <t>to for sharing the Content Distribution document.</t>
  </si>
  <si>
    <t>being so interested about the TEC and for becoming a community steward! 👏🙌</t>
  </si>
  <si>
    <t>for joining our communications call today! We love having community members drop in!</t>
  </si>
  <si>
    <t>to for working on the Content Distribution process so that we can streamline the production and delivery.</t>
  </si>
  <si>
    <t>for their awesome work on Gitbook and for the contributions they have been giving even they are new</t>
  </si>
  <si>
    <t>for his contributions in the comms</t>
  </si>
  <si>
    <t>for all of his contributions in TEC/CS communicartions</t>
  </si>
  <si>
    <t>to for working on the content distribution process and doing a hack session with me today.</t>
  </si>
  <si>
    <t>for being an awesome writer and write agreements and the initial page of the Gitbook</t>
  </si>
  <si>
    <t>for his documentation/working on a content distribution process - double praise for CS/TEC!!</t>
  </si>
  <si>
    <t>3hrs making a forum post on the state of the hatch</t>
  </si>
  <si>
    <t>2h work exploring the contracts and running tests in the TEC lab</t>
  </si>
  <si>
    <t>for holding the ground of the Labs</t>
  </si>
  <si>
    <t>for livecoding for us in the labs.</t>
  </si>
  <si>
    <t>to for an awesome overview of the Commons Swarm work on the forum! https://forum.tecommons.org/t/state-of-the-hatch-and-beyond/288</t>
  </si>
  <si>
    <t>for giving Mitch some help in setting up his computer in Linux</t>
  </si>
  <si>
    <t>for joining the skill tree workshop and providing awesome insight and ideas</t>
  </si>
  <si>
    <t>Gets paid by the Commons Swarm so he only get 15% IH</t>
  </si>
  <si>
    <t>3hrs syncing with sem to get an overview of the work to be done</t>
  </si>
  <si>
    <t>noticing there was a pending vote in gardens swarm dao</t>
  </si>
  <si>
    <t>for the amazing job he is doing on Source Cred</t>
  </si>
  <si>
    <t>for creating a great first version of the SourceCred dashboard!</t>
  </si>
  <si>
    <t>for jumping in and helping with the Source Cred work</t>
  </si>
  <si>
    <t>dandigital#2489</t>
  </si>
  <si>
    <t>her talk on Metafest - such a good big picture look - incorporating yogic philosophy, consciousness, universal connection and bringing that into the work of the commons stack and TEC 🔥🔥🔥</t>
  </si>
  <si>
    <t>to for her awesome presentation at MetaFest as well!</t>
  </si>
  <si>
    <t>to for finishing interviews for the Community video.</t>
  </si>
  <si>
    <t>for everything that you do every day</t>
  </si>
  <si>
    <t>for handling the Comms transition so well</t>
  </si>
  <si>
    <t>for her ability to rapid fire praise the way she does. I am in awe of you.</t>
  </si>
  <si>
    <t>changing the logo of this room✨</t>
  </si>
  <si>
    <t>for reaching out to Zargham and doing the interview for the onboarding video, because she is producing so much content, for giving Santi some contacts in the art arena, for her warm support to Livia this week, and for dropping in Chuys photo in the call agenda</t>
  </si>
  <si>
    <t>for bringing high vibes and her desire to collaborate in CS while play testing our newly sof-launched community calls.</t>
  </si>
  <si>
    <t>melvera#6237</t>
  </si>
  <si>
    <t>joining the soft-launch of our Contributors Sync. High vibes on listening to you guys share life stories and purpose driven work!!! Let's continue to weave a strong community. 🌱</t>
  </si>
  <si>
    <t>for joining the contributor call today. Some really great chats about commons and ecological/regenerative thinking! Very excited to work with all of you!</t>
  </si>
  <si>
    <t>to for thinking about content writing and distribution consistency and for working on the Hatch content pieces.</t>
  </si>
  <si>
    <t>for attending the calls even he is in the hospital , you are a hero!</t>
  </si>
  <si>
    <t>to for completing all Hatch content pieces.</t>
  </si>
  <si>
    <t>for leading hatchers outreach call and joining today's hatch outreach AMA call✨</t>
  </si>
  <si>
    <t>for onboarding Mitch</t>
  </si>
  <si>
    <t>for making time for the 0mega WG hack session</t>
  </si>
  <si>
    <t>joining the TE Praise channel. We welcome your ideas, questions, and skillz 🤩</t>
  </si>
  <si>
    <t>letty_gar</t>
  </si>
  <si>
    <t>because you are everywhere all the time, for guiding comms as Jess is redefining her role, and for doing great designs</t>
  </si>
  <si>
    <t>understanding those intentions and moving them in his own space</t>
  </si>
  <si>
    <t>for hacking with nate today 😆</t>
  </si>
  <si>
    <t>for having a cool daughter who already watch or will watch Full metal alchemist</t>
  </si>
  <si>
    <t>for spreading the word and looking for new recorders on twitter🙏🙏</t>
  </si>
  <si>
    <t>for the repo reminder!</t>
  </si>
  <si>
    <t>to for giving everyone praise 🙂</t>
  </si>
  <si>
    <t>for his work with params and getting 12 articles done</t>
  </si>
  <si>
    <t>all his contributions on the Gitbook u are a rock star man!🤘🏻</t>
  </si>
  <si>
    <t>contributing so much to the organization and content of the gitbook and bouncing ideas with me!</t>
  </si>
  <si>
    <t>to for finishing the 5 Steps to Hatch TL;DR piece.</t>
  </si>
  <si>
    <t>for the valuable feedback on the communications process and for having the passion for making things digestible and understandable</t>
  </si>
  <si>
    <t>to for joining the Comms Weekly Call and looking for ways to help the Comms WG.</t>
  </si>
  <si>
    <t>for spreading the word about the call and bringing people in to chat! Your enthusiasm is always contagious 🙂</t>
  </si>
  <si>
    <t>for bearing with Kris in changing the directions in the params domain</t>
  </si>
  <si>
    <t>for working hard on the Dashboard</t>
  </si>
  <si>
    <t>for his vibes and because it was his birthday</t>
  </si>
  <si>
    <t>for all of his work on DAO2DAO research</t>
  </si>
  <si>
    <t>for all his amazing work with Panvala organizing so many cool events especially the GR9 funding round</t>
  </si>
  <si>
    <t>for collecting so much information into one spot and sharing it with us: https://github.com/TECommons/tec-info</t>
  </si>
  <si>
    <t>for her amazing work on mutual credit at Trustlines and being my go to UBI researcher power-house!</t>
  </si>
  <si>
    <t>aleezagroks#1479</t>
  </si>
  <si>
    <t>for all of his work on the DAO dashboard</t>
  </si>
  <si>
    <t>for his great work on the dashboard</t>
  </si>
  <si>
    <t>contributing to someone's scholarship and for submitting a Kolektivo grant to CV! 🙌 Thanks Luuk, very appreciated</t>
  </si>
  <si>
    <t>luukdao</t>
  </si>
  <si>
    <t>his generosity in paying it forward to the community 🙏🏼💫</t>
  </si>
  <si>
    <t>for his endless work on the Scaling the Global Commons academic paper and all of his contributions to the research in the ecosystem!</t>
  </si>
  <si>
    <t>for inviting new academics and commoners to this space all the time!</t>
  </si>
  <si>
    <t>joining the CS channel and his work with DAO Square &amp; MetaCartel! 🙌🙏🏼</t>
  </si>
  <si>
    <t>for joining the community</t>
  </si>
  <si>
    <t>to for his great presentation at MetaFest!</t>
  </si>
  <si>
    <t>getting the swag subdomain and backend ready 🧢</t>
  </si>
  <si>
    <t>for his unending work on all of our servers and fantastic comms work!</t>
  </si>
  <si>
    <t>for explaining the praise process, thanks so much! ☀️</t>
  </si>
  <si>
    <t>to for his great presentation at MetaFest! (from Jess)</t>
  </si>
  <si>
    <t>for supporting the skill trees workshop</t>
  </si>
  <si>
    <t>for all their work and inviting CS to MetaFest - such a fantastic event guys - well done! 😄</t>
  </si>
  <si>
    <t>for catching a couple support calls from the Trusted Seed journey during my emergency week. And 10X for his compilation of related materials.</t>
  </si>
  <si>
    <t>to for creating the Everything You Need to Know About the Trusted Seed desk/comms asset - nice work!</t>
  </si>
  <si>
    <t>to for creating the Everything You Need to Know About the Trusted Seed desk/comms asset - nice work! (passing along for Jess)</t>
  </si>
  <si>
    <t>for the immeasurable contributions her being radiates ❤️</t>
  </si>
  <si>
    <t>Sparrow 🐙 DADA#2791</t>
  </si>
  <si>
    <t>for all of her work on MetaFest</t>
  </si>
  <si>
    <t>2h working in the tech hatch fe</t>
  </si>
  <si>
    <t>3h of work, testing the tec-ui into the new honeypot version and worked on the tec hatch fe</t>
  </si>
  <si>
    <t>6h getting the code from honey-pot disputable-version, merging new code, update repo, change ui in order to create a deploy for Marko to start changing the ui. Deployment was created and all the information needed was sent to Marko 😆</t>
  </si>
  <si>
    <t>their incredible work with Project Ark https://project-ark.co/ and reprogramming value flows to supporting environmental regeneration 🌟🌟🌟❤️🌈</t>
  </si>
  <si>
    <t>Tonga#3112</t>
  </si>
  <si>
    <t>24nico#9513</t>
  </si>
  <si>
    <t>because it is nice to see you again</t>
  </si>
  <si>
    <t>for making time to talk to Tam about the TEC Hatch</t>
  </si>
  <si>
    <t>for being onboarded as a hatcher! 🙌</t>
  </si>
  <si>
    <t>joining our Telegram and Discord 😁🙏🏼 welcome Tommy! Feel free to introduce yo'self and all the good work you are doing</t>
  </si>
  <si>
    <t>tommycomma</t>
  </si>
  <si>
    <t>for having an amazing name</t>
  </si>
  <si>
    <t>rosamoc#5482</t>
  </si>
  <si>
    <t>all of his incredible work in the ecosystem - especially his work with NEAR protocol! 🌟</t>
  </si>
  <si>
    <t>always being so carefull and attentive to our work, providing very insightful feedbacks! 🙌</t>
  </si>
  <si>
    <t>for being awesome</t>
  </si>
  <si>
    <t>philh#1102</t>
  </si>
  <si>
    <t>for her incredible work with Ape unit and P2P learning</t>
  </si>
  <si>
    <t>Paula I Ape Unit#8497</t>
  </si>
  <si>
    <t>for dropping into our Comms Call</t>
  </si>
  <si>
    <t>reos13</t>
  </si>
  <si>
    <t>for diving into Conviction Voting and spec'ing out an off-chain version using Ceramic! https://github.com/ceramicnetwork/CIP/issues/87</t>
  </si>
  <si>
    <t>oed#0829</t>
  </si>
  <si>
    <t>for joining the Community Call for the first time</t>
  </si>
  <si>
    <t>for an awesome presentation in the TE academy gitcoin research group</t>
  </si>
  <si>
    <t>for diving into the TE Commons and asking about our conflict resolution practices</t>
  </si>
  <si>
    <t>for all of her incredible work with Bloom Network and regenerative culture!!!!!</t>
  </si>
  <si>
    <t>for all of his work in the cadCAD community and continuing to support research &amp; development in the space - you rock!</t>
  </si>
  <si>
    <t>lanski#3094</t>
  </si>
  <si>
    <t>for being awesome, even though we haven't had a chance to hang, I've heard about your incredible work!</t>
  </si>
  <si>
    <t>willjgriff 🐝#6164</t>
  </si>
  <si>
    <t xml:space="preserve">#14 IH: </t>
  </si>
  <si>
    <t>dandigitally#2489</t>
  </si>
  <si>
    <t>Combined with username dandigitally#2489</t>
  </si>
  <si>
    <t>Sponnet2</t>
  </si>
  <si>
    <t>combined with MehighCB#4516</t>
  </si>
  <si>
    <t>Seedsalchemist</t>
  </si>
  <si>
    <t>Smokyish</t>
  </si>
  <si>
    <t xml:space="preserve">Raw Discord Praise </t>
  </si>
  <si>
    <t xml:space="preserve">Raw Telegram Praise </t>
  </si>
  <si>
    <t>Griff</t>
  </si>
  <si>
    <t>joining transparency call✨⚡️</t>
  </si>
  <si>
    <t xml:space="preserve">to for taking care of Digital Security management </t>
  </si>
  <si>
    <t>🙌🏿praise</t>
  </si>
  <si>
    <t>joining the soft gov call! 💫⭐️🙌✨</t>
  </si>
  <si>
    <t>his incredible work on mutual monitoring! ⚡️</t>
  </si>
  <si>
    <t>jumping into action items in today's soft gov call, this is super super appreciated! 🙌</t>
  </si>
  <si>
    <t>Juankbell</t>
  </si>
  <si>
    <t xml:space="preserve">for being amazing and caring stewards for this community. I thank life for the opportunity of meeting paths with each one of you. </t>
  </si>
  <si>
    <t xml:space="preserve">for joining the &lt;#810180622634844202&gt; wg call, adding questions and helping to structure the TE community survey and deciding on first outreach radius, naming further adjacent communities, thinking about intrinsic and goodies incentives for high survey completion rate. ❤️ </t>
  </si>
  <si>
    <t xml:space="preserve">for attending the 6th Graviton session (that was last week). I want to tell that the 6th and 7th session share the same POAP, that is why i haven't send many of them. Look forward meeting you again today 😄 </t>
  </si>
  <si>
    <t xml:space="preserve">for participating in Source Cred hack sessions </t>
  </si>
  <si>
    <t xml:space="preserve">because their work contribute so much to the great path of the organization and we are getting ready to hatch </t>
  </si>
  <si>
    <t xml:space="preserve">because he's always on the show supporting everybody </t>
  </si>
  <si>
    <t xml:space="preserve">for helping with the Gitbook </t>
  </si>
  <si>
    <t xml:space="preserve">for joining the TEC Weekly Sync 🙏 🙂 https://www.youtube.com/watch?v=_EFHuVU-Oc0 </t>
  </si>
  <si>
    <t xml:space="preserve">for joining the last Legal WG meeting 🙏 </t>
  </si>
  <si>
    <t xml:space="preserve">for attending the Transparency WG, sharing their ideas to execute the audit and giving feedback on the mutual accountability methods </t>
  </si>
  <si>
    <t xml:space="preserve">for eash dishing praise over 20 times. The Gratitude culture you all bring to the community is what makes it so nice to be here </t>
  </si>
  <si>
    <t>joining the Comms Working Group call and their energy in supporting the work - have beautiful day everyone! 🙏🏼💫🌈</t>
  </si>
  <si>
    <t>his work on the video!</t>
  </si>
  <si>
    <t>Zeptimus</t>
  </si>
  <si>
    <t xml:space="preserve">for filling up the Transparency audit and having a nice discussion on how to keep improving the system 💫 </t>
  </si>
  <si>
    <t xml:space="preserve">(couldn't find chuy &amp; luuk in this server) for being active in the Commons swarm AMA - 1hive call today </t>
  </si>
  <si>
    <t xml:space="preserve">because it is so good to work with him and he is always in a good mood, for another week of early calls and Spanish talking with Eduardo, and for doing so much work and helping Jess </t>
  </si>
  <si>
    <t xml:space="preserve">for their work on transparency and the Transparency medium article </t>
  </si>
  <si>
    <t xml:space="preserve">for joining the TEC Weekly Sync 🙏 https://www.youtube.com/watch?v=NR9-ca0HqyA </t>
  </si>
  <si>
    <t>santigs</t>
  </si>
  <si>
    <t xml:space="preserve">for joining today Legal WG </t>
  </si>
  <si>
    <t>stepping up and editing the Swiss Membership DApp Walkthru video!</t>
  </si>
  <si>
    <t>Swiss Membership (CSTK Token) DApp</t>
  </si>
  <si>
    <t xml:space="preserve">to for quick turnaround on editing video for Griff. </t>
  </si>
  <si>
    <t>Vyvy-vi</t>
  </si>
  <si>
    <t xml:space="preserve">Thanks for offering to help with design, video, onboarding people from Latin America, translations for Spanish. </t>
  </si>
  <si>
    <t xml:space="preserve">for coming in with a lot of enthusiasm and energy </t>
  </si>
  <si>
    <t xml:space="preserve">for all the energy they are bringing </t>
  </si>
  <si>
    <t>the Hatcher Comms work session this morning 🙏🏼</t>
  </si>
  <si>
    <t>all their work on Hatcher comms! 🌟🌟🌟</t>
  </si>
  <si>
    <t xml:space="preserve">to for browsing Zenhub, looking for work and asking to be assigned to issues. </t>
  </si>
  <si>
    <t xml:space="preserve">for all of your energy and enthusiasm and screaming for more work to do </t>
  </si>
  <si>
    <t xml:space="preserve">for the work they are doing to help push the communications board </t>
  </si>
  <si>
    <t>making the awesome video for the Swiss Membership Dapp</t>
  </si>
  <si>
    <t xml:space="preserve">to for offering to write articles for TEC </t>
  </si>
  <si>
    <t xml:space="preserve">for showing up and immediately getting stuff done </t>
  </si>
  <si>
    <t xml:space="preserve">for contributing some really cool pieces in the hatch outreach </t>
  </si>
  <si>
    <t xml:space="preserve">to for coming in from the Giveth Server and instantly grabbing some work in the TEC Params group </t>
  </si>
  <si>
    <t xml:space="preserve">for a great hatcher tldr post on the forum, with edits from and : https://forum.tecommons.org/t/the-hatch-tl-dr/272 </t>
  </si>
  <si>
    <t>his forum post on the hatch! 🔥</t>
  </si>
  <si>
    <t>helping me update the disputable voting section and also for his amazing organizational skills 😁🙌</t>
  </si>
  <si>
    <t xml:space="preserve">for his amazing organizational skills and giving a quick touch on the Gitbook, for his work and helping us build the articles and always jumping in with creative approach, and for stepping up across the board like on parameters </t>
  </si>
  <si>
    <t xml:space="preserve">because your contributions are so helpful and for writing the articles and making the ideas legible for everyone </t>
  </si>
  <si>
    <t>his amazing writing "Grab some ice cream or a coffee &amp; come learn more about how we layer this confection with cultural pillars and technical innovations &amp; stuff it full of community selected parameters, parameters, parameters" WOW!</t>
  </si>
  <si>
    <t xml:space="preserve">for his excellent blog post </t>
  </si>
  <si>
    <t>his work on refreshing the TEC gitcoin grant - thank you!! 🙏🏼🌟</t>
  </si>
  <si>
    <t xml:space="preserve">for joining us and helping in Onboarding new hatchers and proposals </t>
  </si>
  <si>
    <t xml:space="preserve">for helping push Gitcoin and all the things he does for comms </t>
  </si>
  <si>
    <t xml:space="preserve">for working hard and helping a lot in legal documents </t>
  </si>
  <si>
    <t xml:space="preserve">for helping Shawn last week go through and see Conviction Voting in practice that helps him understand things better and because Tam likes how he rolls in every meeting </t>
  </si>
  <si>
    <t xml:space="preserve">for helping Mateo write the Source Cred proposal </t>
  </si>
  <si>
    <t xml:space="preserve">for their work on Source Cred </t>
  </si>
  <si>
    <t xml:space="preserve">for diving into the Commons Stack praise quant and because Jess loves his presence in the meetings </t>
  </si>
  <si>
    <t xml:space="preserve">for joining praise quant last week :D </t>
  </si>
  <si>
    <t xml:space="preserve">for helping Santi with Source Cred </t>
  </si>
  <si>
    <t xml:space="preserve">for doing an amazing job since he joined the Legal WG </t>
  </si>
  <si>
    <t xml:space="preserve">for all his amazing work and contributions to the Legal Working Group </t>
  </si>
  <si>
    <t xml:space="preserve">for staying on top of the Discord and keeping track of all the things. </t>
  </si>
  <si>
    <t>so quickly responding to all things Discord. We’re lucky to have you taking care of that!</t>
  </si>
  <si>
    <t xml:space="preserve">for helping Mateo with the captcha issue in the Discord server </t>
  </si>
  <si>
    <t>being on top of all SEO and website related issues!</t>
  </si>
  <si>
    <t>working on the website with Marko</t>
  </si>
  <si>
    <t>working on SEO Epic and providing the Keywords list.</t>
  </si>
  <si>
    <t xml:space="preserve">for welcoming Paula </t>
  </si>
  <si>
    <t>all the work with the questions for 0mega⚡️✨</t>
  </si>
  <si>
    <t xml:space="preserve">for the Hitchhiker's Guide to TE </t>
  </si>
  <si>
    <t>joining our Commons Stack Simulator sync &amp; joining in on reveling in our success! Seriously that round of celebration got me so high I don't need burning man this year.</t>
  </si>
  <si>
    <t>joining the TEC praise channel!</t>
  </si>
  <si>
    <t xml:space="preserve">for joining the TEC community </t>
  </si>
  <si>
    <t xml:space="preserve">for having such a nice vibe jumping in </t>
  </si>
  <si>
    <t>putting many hours of learning in and the subsequent awesome copy editing work on this document</t>
  </si>
  <si>
    <t>the TEC Dashboard is looking amazing</t>
  </si>
  <si>
    <t xml:space="preserve">and for helping me to navigate python </t>
  </si>
  <si>
    <t xml:space="preserve">for doing so much incredible work on the Dashboard </t>
  </si>
  <si>
    <t>Gets paid by the Commons Stack so he only get 50% IH</t>
  </si>
  <si>
    <t>putting so much love into this video and the script</t>
  </si>
  <si>
    <t>helping us dot the t's and cross the i's on the discord migration</t>
  </si>
  <si>
    <t xml:space="preserve">for being so helpful to the praise system 😃 </t>
  </si>
  <si>
    <t xml:space="preserve">for jumping in the onboarding </t>
  </si>
  <si>
    <t xml:space="preserve">for always being there giving praise for the Legal meetings </t>
  </si>
  <si>
    <t xml:space="preserve">for contributing in the mutual monitoring document </t>
  </si>
  <si>
    <t>6h work on disputable smart contracts research and working on the Commons Template to write a new new-dao.js, and meetings with Fabi and Paulo</t>
  </si>
  <si>
    <t xml:space="preserve">for the hard work with the contracts and the templates </t>
  </si>
  <si>
    <t>4h working on the commons upgrade migration tools smart contracts</t>
  </si>
  <si>
    <t>4h deploying the contracts and template to rinkeby</t>
  </si>
  <si>
    <t>2h working on simplifying the hatch smart contracts (we are going 1 app instead of 3)</t>
  </si>
  <si>
    <t xml:space="preserve">... for approaching the finish line! 🏁 </t>
  </si>
  <si>
    <t>spinning up a fresh CV DAO for the Commons Stack Community fund!</t>
  </si>
  <si>
    <t>5h work on continuing the work on the template, fixing another timeout, and claiming impact hours and closing the hatch</t>
  </si>
  <si>
    <t>2h of work with Paulo on configuring the IDE and debugging the template</t>
  </si>
  <si>
    <t xml:space="preserve">for undertaking the massive and complex TEC Hatch code and for facing the team every week </t>
  </si>
  <si>
    <t xml:space="preserve">for working really hard to get the Hatch done </t>
  </si>
  <si>
    <t xml:space="preserve">for coordinating a very nice meeting explaining 5-6 years of work in 2 hours, and cross pollinating with the spirals/integral study group 🙌 </t>
  </si>
  <si>
    <t xml:space="preserve">for inviting Griff to a really fun call with the Spiral Dynamics crew </t>
  </si>
  <si>
    <t xml:space="preserve">for working on Gitbook agreements with Zep </t>
  </si>
  <si>
    <t xml:space="preserve">for using the &lt;#810180622165213219&gt; channel </t>
  </si>
  <si>
    <t xml:space="preserve">to for his role in stewarding cadCAD in the early days of it's existence 😄 </t>
  </si>
  <si>
    <t xml:space="preserve">for the amazing work with Balancer and great perspectives of the token engineering field during our hatcher's onboarding call </t>
  </si>
  <si>
    <t>writing an article about token engineering teams and how to recruit</t>
  </si>
  <si>
    <t>having the first meeting with Santi</t>
  </si>
  <si>
    <t xml:space="preserve">for their awesome work on the discord Praise bot </t>
  </si>
  <si>
    <t>rdfbbx</t>
  </si>
  <si>
    <t xml:space="preserve">for testing Praise-bot update [TEC] </t>
  </si>
  <si>
    <t xml:space="preserve">for testing Praise-bot update [The Commons Stack] </t>
  </si>
  <si>
    <t xml:space="preserve">for inviting Mateo to the praise quant session in CS </t>
  </si>
  <si>
    <t xml:space="preserve">eduardovegapTam2140 for their so much work onboarding hatchers </t>
  </si>
  <si>
    <t xml:space="preserve">for making so many DANK MEMES in &lt;#810180622165213222&gt; </t>
  </si>
  <si>
    <t xml:space="preserve">for doing amazing calls and establishing a good process for the Hatcher Outreach and for doing so much work behind the scenes onboarding people </t>
  </si>
  <si>
    <t xml:space="preserve">because he is always everywhere with great energy and for the Commons Stack hat/merch </t>
  </si>
  <si>
    <t xml:space="preserve">for having such awesome Commons Stack gear during the call </t>
  </si>
  <si>
    <t>reviewing it</t>
  </si>
  <si>
    <t>helping to close the Hatch DAO section of the gitbook 🙌</t>
  </si>
  <si>
    <t>giving us an overview of celeste and disputable voting!</t>
  </si>
  <si>
    <t>getting us on one of the coolest #defi4good platforms out there, Stake behind the Commons Stack and earn 50% APY, while the Commons Stack earns another 50% APY 😃 https://stakes.social/0xFa38Fc50e055CBE88Bd569eddCcE057999B2BC9C</t>
  </si>
  <si>
    <t>they have been working a lot the last months to launch Celeste</t>
  </si>
  <si>
    <t>working so hard for the hatch</t>
  </si>
  <si>
    <t>always taking care of his teams and acknowledging their hard work with care, whilst multitasking like crazy</t>
  </si>
  <si>
    <t>leading and assisting last softgov call we notice someone was missing when we were quanting it ☺️</t>
  </si>
  <si>
    <t xml:space="preserve">to for the gitbook its so cOOOOOOOOOL!🤩 o </t>
  </si>
  <si>
    <t xml:space="preserve">for their feedback on the transparency audit </t>
  </si>
  <si>
    <t xml:space="preserve">for commenting on every document and giving feedback on everything, because she comes with a bias for humanity and for being Livia </t>
  </si>
  <si>
    <t>heater</t>
  </si>
  <si>
    <t xml:space="preserve">and for the Hatcher onboarding session! </t>
  </si>
  <si>
    <t xml:space="preserve">for always being present and incondicional to the community, best wishes for you to get better! </t>
  </si>
  <si>
    <t>supporting Craig on TEC GG 🙏🏼🌟</t>
  </si>
  <si>
    <t>all her work in hatcher outreach and for creating the space for Graviton to emerge!</t>
  </si>
  <si>
    <t xml:space="preserve">for her devotion to the community and because she always works even she is not feeling well, because we will not have a cultural build without her, for showing Mitch the ropes on the Gitbook, for synchronizing all the cultural build, and for showing up and helping onboard Merlin </t>
  </si>
  <si>
    <t xml:space="preserve">for the onboarding session with Heater </t>
  </si>
  <si>
    <t xml:space="preserve">for the last session of Gravity which is incredible for the whole ecosystem </t>
  </si>
  <si>
    <t xml:space="preserve">for taking the time to continue onboarding Kristoffer </t>
  </si>
  <si>
    <t>fixing the format on the proposal, bit to be honest for being so on top of everything u rock my friend ⚡🌞</t>
  </si>
  <si>
    <t xml:space="preserve">for joining the Legal team this week </t>
  </si>
  <si>
    <t>all becoming hatchers</t>
  </si>
  <si>
    <t>being our dj on the last praise quant🤘😎</t>
  </si>
  <si>
    <t xml:space="preserve">for answering my questions and making things clearer about the praise channels 🙂 </t>
  </si>
  <si>
    <t xml:space="preserve">to for taking on the Discord moderation </t>
  </si>
  <si>
    <t xml:space="preserve">for the Gravity sessions he is doing every week, for always being available, and for taking on the Discord migration </t>
  </si>
  <si>
    <t xml:space="preserve">for the idea of creating a Medium post about transparency and offering help in writing it 🙂 </t>
  </si>
  <si>
    <t xml:space="preserve">for coming up with a great intro for the Soft Gov call: Sometimes I think I am too… and at those times i would like to be more… </t>
  </si>
  <si>
    <t>completing the first conflict resolution training in the DAO space!! 🥳🙌✨🕊</t>
  </si>
  <si>
    <t>finishing our 1st Graviton training - huge for our community &amp; ecosystem! Cheers to many more and sharing the good vibes!! 💯🌈🌈🌈</t>
  </si>
  <si>
    <t xml:space="preserve">because he finished the amazing Graviton Training like a champ (x3) 😁 </t>
  </si>
  <si>
    <t xml:space="preserve">for their fresh-eyed perspective on the Swiss Membership dApp and tremendously helpful feedback. </t>
  </si>
  <si>
    <t xml:space="preserve">for his energy and the work he does for the Swiss Dapp and because everything he touches becomes better </t>
  </si>
  <si>
    <t xml:space="preserve">for releasing me off the guilt for not praising enough -- that ends with Praise-bot 🤖 ❤️ </t>
  </si>
  <si>
    <t>joining the TE praise channel and presenting Electric Circus last week! 🙌🙏🏼💫</t>
  </si>
  <si>
    <t xml:space="preserve">for coming to present the P2P learning platform </t>
  </si>
  <si>
    <t xml:space="preserve">to for leading another great Sprint retro. </t>
  </si>
  <si>
    <t xml:space="preserve">for all the work she is doing in organizing the stewards group and making it easy for everybody to see what everyone is doing on Github, and because she is the big organizer of our hive </t>
  </si>
  <si>
    <t>supporting the relational fabric and workflows for the highest good for the project and the community 🙏🏼</t>
  </si>
  <si>
    <t xml:space="preserve">for the exceptional way in which she explains complex topics </t>
  </si>
  <si>
    <t xml:space="preserve">for helping coordinate everything, for leading the Hatch Outreach call, and for shepherding the shepherds </t>
  </si>
  <si>
    <t xml:space="preserve">for our knowledge sharing Fridays! I am learning so much about various topics (hatching process, Source Cred, etc.). Looking forward to our Fridays and learn more from you! 🙏 😊 </t>
  </si>
  <si>
    <t>all the art you create, i also want some ponnys on my birthday or something 😜</t>
  </si>
  <si>
    <t>being awesome and always having the best GIFs and memes!!</t>
  </si>
  <si>
    <t xml:space="preserve">because he is non-stop and all his passion for NFT is fun to hear, and for the beautiful art he creates </t>
  </si>
  <si>
    <t xml:space="preserve">for being such a fair and just central bank of Impact Hours </t>
  </si>
  <si>
    <t xml:space="preserve">for sending his praises even he cannot attend the Thursday call </t>
  </si>
  <si>
    <t xml:space="preserve">for his never ending dedication to enlightening any mind that has curiosity about coding... whether its solidity or cadCAD the amount of value his guidance and support has brought to the greater community is unmeasurable </t>
  </si>
  <si>
    <t>jameszaki#0232</t>
  </si>
  <si>
    <t>joining the TE praise channel and presenting Dacade this week! 🙌🙏🏼💫</t>
  </si>
  <si>
    <t>moritz_felipe</t>
  </si>
  <si>
    <t xml:space="preserve">and the many other awesome members of PrimeDAO for their landmark research into the DAO2DAO space </t>
  </si>
  <si>
    <t>bringing MerlinEgalite into the Commons Stack world</t>
  </si>
  <si>
    <t xml:space="preserve">for their fast work in Comms </t>
  </si>
  <si>
    <t xml:space="preserve">for her new piece and always being a stabilizing and calm force in our community and for her beautiful blog article </t>
  </si>
  <si>
    <t xml:space="preserve">for the outstanding gitcoin grant comms today. That twitter thread was a work of art. </t>
  </si>
  <si>
    <r>
      <rPr>
        <rFont val="arial"/>
      </rPr>
      <t xml:space="preserve">this amazing interview to Simon de la Rouviere! I praise him too but I don't have his handle! </t>
    </r>
    <r>
      <rPr>
        <rFont val="arial"/>
        <color rgb="FF1155CC"/>
        <u/>
      </rPr>
      <t>https://youtu.be/uZWR23QBOgA</t>
    </r>
  </si>
  <si>
    <t xml:space="preserve">because she is always graceful with everything and for fast work on communicating the Gitcoin round, because she is all over the place asking super interesting questions and being in the 1hive AMA, for helping Gravity to get organized, for doing a lot of work behind the scenes for Comms, because the Gitcoin grant thread on Twitter is a work of art, for the work she is doing to build our ecosystem, for making it easier to approach new topics, for helping us get organized on Hatching, and for working hard on the token engineering interviews </t>
  </si>
  <si>
    <t>his interest and willigness to contribute!</t>
  </si>
  <si>
    <t>dandigitally</t>
  </si>
  <si>
    <t xml:space="preserve">for this really cool TEC info repo on Github https://github.com/danforth-restorative/TEC-INFO </t>
  </si>
  <si>
    <t xml:space="preserve">for putting in so much time to reviewing the Legal channel, diving in and making great questions! </t>
  </si>
  <si>
    <t>Kris</t>
  </si>
  <si>
    <t xml:space="preserve">for reaching out about a found typo and asking where to log the issue. Thanks for letting us know! </t>
  </si>
  <si>
    <t xml:space="preserve">to for his work on EIP 888 and the Multidimensional token concept in general... very mind blowing stuff </t>
  </si>
  <si>
    <t xml:space="preserve">because the case study he is working on will produce so much value </t>
  </si>
  <si>
    <t>6h working with sembrestels and paulo_c2d on Hatch deployment</t>
  </si>
  <si>
    <t>helping the tech team to work on the hatch template and the long params sessions this week and because he has done an amazing job on the hatch template</t>
  </si>
  <si>
    <t>Dan Knobelsdorf.eth</t>
  </si>
  <si>
    <t xml:space="preserve">for all his work in Fight Pandemics and across the DAO space - as well as sharing that knowledge with the folks back in Venezuela. </t>
  </si>
  <si>
    <t>ManuAlzuru | 🥑#5047</t>
  </si>
  <si>
    <t>jumping into a call to share  the TEC Dashboard 👍</t>
  </si>
  <si>
    <t>being awesome from Laurenluz</t>
  </si>
  <si>
    <t>spending hours in zoom chats with me talking about simulator backend info so that we could collaborate on writing awesome deep dive text!</t>
  </si>
  <si>
    <t xml:space="preserve">for the dashboard walkthrough with Lauren </t>
  </si>
  <si>
    <t xml:space="preserve">to for working on the FAQ </t>
  </si>
  <si>
    <t>his awesome feedback on documentation for the dao and willing to jump on transparency⚡</t>
  </si>
  <si>
    <t xml:space="preserve">for all his contributions for content </t>
  </si>
  <si>
    <t xml:space="preserve">for being one of the first contributors to join our new weekly comms call on Tuesday! </t>
  </si>
  <si>
    <t>working on the hatchers FAQ and integrating it into the gitbook!</t>
  </si>
  <si>
    <t xml:space="preserve">for working a lot on the Gitbook and writing the FAQ page and the Hatchers Outreach </t>
  </si>
  <si>
    <t xml:space="preserve">for being curious about Commons Stack and not giving up with the migration confusion :) </t>
  </si>
  <si>
    <t xml:space="preserve">for sorting out the bots from the telegram bridge messages. It's confusing until you get there, but you've arrived! </t>
  </si>
  <si>
    <t xml:space="preserve">for helping us update our docs! </t>
  </si>
  <si>
    <t>general</t>
  </si>
  <si>
    <t xml:space="preserve">for all you do and your continuous community building! </t>
  </si>
  <si>
    <t xml:space="preserve">for coming in one of the calls and said he underestimated it but he did not stop trying to go after it and because he is very committed and he is putting his heart and soul into the Hatch Outreach </t>
  </si>
  <si>
    <t xml:space="preserve">for the interviews for our video and for working with Mitch and collaborating on the Hatcher docs </t>
  </si>
  <si>
    <t xml:space="preserve">to for sharing his improvement ideas for the Swiss Association dApp. Thanks for helping us make it better! </t>
  </si>
  <si>
    <t>community-hall</t>
  </si>
  <si>
    <t>krrisis#4754</t>
  </si>
  <si>
    <t xml:space="preserve">for his work in decentralizing data markets </t>
  </si>
  <si>
    <t>trentmc0#2875</t>
  </si>
  <si>
    <t>LuukDAO#5294</t>
  </si>
  <si>
    <t>a very funny latenight hacksesh!</t>
  </si>
  <si>
    <t>speaking up during the call so this error could be corrected quickly 😃</t>
  </si>
  <si>
    <t>2h of work with Sem on configuring the VS Code IDE for the hatch-template hardhat project and debugging the hatch template script</t>
  </si>
  <si>
    <t xml:space="preserve">for making an issue on how to improve the UX (dashboard), for all his contributions in Comms and project management, and because he just gets stuff done </t>
  </si>
  <si>
    <t xml:space="preserve">for wrapping the website </t>
  </si>
  <si>
    <t xml:space="preserve">for his pioneering work in programing value flows </t>
  </si>
  <si>
    <t>simondlr#8472</t>
  </si>
  <si>
    <t xml:space="preserve">for his curiosity and availability to become a hatcher! </t>
  </si>
  <si>
    <t xml:space="preserve">for being onboarded as a hatcher! </t>
  </si>
  <si>
    <t xml:space="preserve">for waiting for Jess to onboard her in the Comms WG </t>
  </si>
  <si>
    <r>
      <rPr>
        <rFont val="arial"/>
      </rPr>
      <t xml:space="preserve">getting us on one of the coolest #defi4good platforms out there, Stake behind the Commons Stack and earn 50% APY, while the Commons Stack earns another 50% APY 😃 </t>
    </r>
    <r>
      <rPr>
        <rFont val="arial"/>
        <color rgb="FF1155CC"/>
        <u/>
      </rPr>
      <t>https://stakes.social/0xFa38Fc50e055CBE88Bd569eddCcE057999B2BC9C</t>
    </r>
  </si>
  <si>
    <t>catching a bad link in our Gitcoin grant 🙏🏼💫</t>
  </si>
  <si>
    <t>1 hour of work setting up design bounties for the AMA next week</t>
  </si>
  <si>
    <t>2h working with efra (from 1hive) on the designs for the AMA:</t>
  </si>
  <si>
    <t>6h of work in the commons swarm AMA the last couple of days</t>
  </si>
  <si>
    <t>setting up cv.commonsstack.org after we had some technical difficulties with OVH 🔥🔥🚒🧑‍🚒</t>
  </si>
  <si>
    <t>1h of work aplying the new design for not connected accounts on manage stake screen for celeste.</t>
  </si>
  <si>
    <t>1h of work with sem on reviewing celeste changes and planning the implementation on tec</t>
  </si>
  <si>
    <t>giving credit where credit is due!</t>
  </si>
  <si>
    <t>1h of work, yesterday met with sem to review changes needed in honeypot in order to apply tec-ui and 30 minutes today working in a change  asked for the celeste emails template.</t>
  </si>
  <si>
    <t xml:space="preserve">for making a great issue about how to break it up a little bit (TEC dashboard) </t>
  </si>
  <si>
    <t xml:space="preserve">for working on the diagrams for the hatch </t>
  </si>
  <si>
    <t xml:space="preserve">for the dapp support! 🙏 </t>
  </si>
  <si>
    <t>being so hot to trot on the swiss membership dapp fixes</t>
  </si>
  <si>
    <t>JeffEmmett</t>
  </si>
  <si>
    <t xml:space="preserve">for all his great Token Engineering support &amp; contributions! </t>
  </si>
  <si>
    <t xml:space="preserve">for getting into the server and chatting a bit about how we can work together in DMs! </t>
  </si>
  <si>
    <t>tze42#7710</t>
  </si>
  <si>
    <t xml:space="preserve">for dropping into the Onboarding Help channel when they couldn't see the rest of the server - you should all have the onboarded role now and have made it through the security process 🙂 </t>
  </si>
  <si>
    <t>Nikoline#5376</t>
  </si>
  <si>
    <t>shermin#6154</t>
  </si>
  <si>
    <t xml:space="preserve">for taking the time to chat about his community member journey and the opportunities he can share with us. </t>
  </si>
  <si>
    <t>all her incredible work in the space and for being a long-time Trusted Seed member! 🙏🏼❤️🌟 Look forward to connecting more next week and feel free anytime to share potential collaboration or other opportunities with Tezos 💫</t>
  </si>
  <si>
    <t xml:space="preserve">for his heartfelt feedback on the Commons Stack contributor journey. </t>
  </si>
  <si>
    <t>Block Enthusiast#4019</t>
  </si>
  <si>
    <t xml:space="preserve">for joining our Swiss Association!!! 🥳 </t>
  </si>
  <si>
    <t xml:space="preserve">#13 IH: </t>
  </si>
  <si>
    <t>AdaptDAO</t>
  </si>
  <si>
    <t>META_DREAMER</t>
  </si>
  <si>
    <t>JohnKellden</t>
  </si>
  <si>
    <t>Zep</t>
  </si>
  <si>
    <t>Juanka</t>
  </si>
  <si>
    <t>mentioning or retweeting Commons Stack on the socials the past week! Thank you for helping us grow the Commons Stack community and spreading the message! 🙌🏽🌱</t>
  </si>
  <si>
    <t xml:space="preserve">for hosting the AMA today </t>
  </si>
  <si>
    <t>Feb-18-2021</t>
  </si>
  <si>
    <t xml:space="preserve">for inventing bonding curves </t>
  </si>
  <si>
    <t xml:space="preserve">for his new book Hoperunners of Gridlock </t>
  </si>
  <si>
    <t>staying orgainzed on github for the swiss membership dapp user testing! https://github.com/TECommons/coordination/issues/408</t>
  </si>
  <si>
    <t>his energy on transparency call⚡️⚡️</t>
  </si>
  <si>
    <t>the transparency audit, that is something really powerful</t>
  </si>
  <si>
    <t>helping me gather all the documentation needed (tonga skipped gym in order to be present!)</t>
  </si>
  <si>
    <t>helping cleaning up the Comms code of conduct.</t>
  </si>
  <si>
    <t>helping @sembrestels puplish all the technical documentation this week, they look fantastic</t>
  </si>
  <si>
    <t>joining the wg0 sync! 💫</t>
  </si>
  <si>
    <t>supporting the refresh of the Comms manifesto!!</t>
  </si>
  <si>
    <t>attending the AMA call today!</t>
  </si>
  <si>
    <t>always showing up early in every meeting, for being everywhere and for his bright spirit and ready smile that brightens every call, for being everywhere and his values are amazing, for helping big time in Comms this week, because he always has time for the calls</t>
  </si>
  <si>
    <t>the transparency audit</t>
  </si>
  <si>
    <t>joining the TEC Weekly Sync 🙌🏽😀</t>
  </si>
  <si>
    <t>attending the last Legal call and sharing their feedback on the legal documents</t>
  </si>
  <si>
    <t>joining the transparency call and all their feedback on mutual accountabilit🙏🏻⚡️</t>
  </si>
  <si>
    <t>supporting the Digital Security Management of TEC.</t>
  </si>
  <si>
    <t>coming to the soft gov call last week 😬 sorry for such a late praise 😁🙌✨</t>
  </si>
  <si>
    <t>joining the Comms working group calls, all their efforts and supporting the multifaceted jobs that is Communications! Thank you all so much! 🙏🏼🌟❤️</t>
  </si>
  <si>
    <t>helping in Discord migration</t>
  </si>
  <si>
    <t>getting all the transparency audits running and for amazing ideas about it</t>
  </si>
  <si>
    <t>showing up in the 0mega WG</t>
  </si>
  <si>
    <t>joining the TEC Weekly Sync 🙏🏼😊</t>
  </si>
  <si>
    <t>taking care of Digital Security Management</t>
  </si>
  <si>
    <t>attending the Legal WG meeting and hacking on the Hatch DAO terms</t>
  </si>
  <si>
    <t xml:space="preserve">for helping on the migration communication strategy! its really amazing to count with you </t>
  </si>
  <si>
    <t>Feb-25-2021</t>
  </si>
  <si>
    <t>an enlightening source cred sync ⚡️✨</t>
  </si>
  <si>
    <t>really bringing up the Source Cred and bringing more people into the process, because what they’re doing with Source Cred is really cool, for the work with Source Cred and groups are coming now asking for their help</t>
  </si>
  <si>
    <t>the legal documents</t>
  </si>
  <si>
    <t>all the hard work in Source Cred integration and because it’s always easy and fun to collaborate with them</t>
  </si>
  <si>
    <t xml:space="preserve">for letting me test multiple contributor praise on them </t>
  </si>
  <si>
    <t>Jan-27-2021</t>
  </si>
  <si>
    <t xml:space="preserve">with power of praise </t>
  </si>
  <si>
    <t>Jan-28-2021</t>
  </si>
  <si>
    <t xml:space="preserve">for deploying the Praise bot </t>
  </si>
  <si>
    <t>TEC template</t>
  </si>
  <si>
    <t>Feb-17-2021</t>
  </si>
  <si>
    <t>🌿commons</t>
  </si>
  <si>
    <t xml:space="preserve">for fixing praise link </t>
  </si>
  <si>
    <t>Feb-20-2021</t>
  </si>
  <si>
    <t>her dedication to onboarding in the new TEC discord!!</t>
  </si>
  <si>
    <t>her volunteer on helping with the grammar spelling corrections for the tech hatch documentation needed for the freeze!</t>
  </si>
  <si>
    <t>sharing her contact who is a writer and may want to contribute to TEC - thank you for sharing your contacts and for all the hard work you are doing in Comms! I so appreciate having your support and I know how hard it is doing decentralized coordination 🙏🏼🙏🏼🙏🏼💫</t>
  </si>
  <si>
    <t>reviewing the state machine diagram documentation, it's finally published!</t>
  </si>
  <si>
    <t>tremendous effort on setting up our new TEC Discord.</t>
  </si>
  <si>
    <t>her tough call on pushing the discord through and making her own decision.</t>
  </si>
  <si>
    <t>her awesome work on setting up our new Discord, because she’s unstoppable and for the farm and animals verbiage and anecdotes that she shares and naming this sprint “We’re Pipping”, for reviewing the typos and grammar and adding quality to the Commons Swarm texts</t>
  </si>
  <si>
    <t>their work with Discord</t>
  </si>
  <si>
    <t>having a lot of communication with Juan which strengthens the trust in relationship</t>
  </si>
  <si>
    <t xml:space="preserve">to for all the incredible work he has done to onboard the future generation of Token Engineers!!! </t>
  </si>
  <si>
    <t xml:space="preserve">for joining the Discord and all his work on cadcad education! </t>
  </si>
  <si>
    <t>system-messages</t>
  </si>
  <si>
    <t>writing an awesome TEC news blog!</t>
  </si>
  <si>
    <t>the latest praise quant &amp; news blog! https://medium.com/token-engineering-commons/spork-marmots-tec-public-goods-new-member-perspectives-reaching-out-while-looking-in-1b6869f3cddc</t>
  </si>
  <si>
    <t>getting out the praise quant blog posts so quickly every 2 weeks</t>
  </si>
  <si>
    <t>being the heroes who are working hard yet not being seen by the community</t>
  </si>
  <si>
    <t xml:space="preserve">for asking to get the praise role! </t>
  </si>
  <si>
    <t>Feb-16-2021</t>
  </si>
  <si>
    <t xml:space="preserve">@Kris, @AmwFund, @natesuits, @rdfbbx, @griff, for jumping into the praise on the new discord server </t>
  </si>
  <si>
    <t xml:space="preserve">for his tireless work building the new economic paradigm for us all to share.... he does so much awesome magic behind the scenes... from his little side gigs, maintaining the awesome-bonding github repo for info on bonding curves... to choosing to dedicate his incredible dev powers to such important projects like Molecule, Protea, and Grassroots Economics. I cannot dish enough praise to this man. </t>
  </si>
  <si>
    <t>Feb-22-2021</t>
  </si>
  <si>
    <t>his equally amazing work on radCAD, a rust variation of the cadCAD engine 🛠</t>
  </si>
  <si>
    <t>their great work on the Commons Simulator and bringing it home!</t>
  </si>
  <si>
    <t>discovering time travel and being on point with the graphics for the lab</t>
  </si>
  <si>
    <t>doing all the invisible work in an excluded time zone, for doing a lot of work and helping out anyone across the board, for making things happen behind the scenes, for being up so late so many days for the Legal meetings</t>
  </si>
  <si>
    <t>airdropping for the very first time! New Swiss Association members are being contacted now to let them know they have CSLOVE and to head to the swag shop to spend it.</t>
  </si>
  <si>
    <t>having the database always up to date 🙏</t>
  </si>
  <si>
    <t>always working when the rest of us are not.  She is also now the VCO of CRBP.  That makes her the new leader of Impact Hours  @zeptimusQ  , and @sembrestels</t>
  </si>
  <si>
    <t>managing all the praise dishing!!! 🙏🏼💫🌟🌟🌟</t>
  </si>
  <si>
    <t>the great hack sessions on the Source Cred</t>
  </si>
  <si>
    <t>joining the discussion and hacking sessions on Source Cred</t>
  </si>
  <si>
    <t>their efforts in bringing the Swiss Association dApp to the light of day! We’re almost at the finish line, folks, almost there!! 🏆</t>
  </si>
  <si>
    <t>contributing to making the Swiss Membership DApp what it is today. We did it!</t>
  </si>
  <si>
    <t>@rdfbbx#6437</t>
  </si>
  <si>
    <t xml:space="preserve">for his long late nights staying up debugging and waiting for responses from me 😅 </t>
  </si>
  <si>
    <t xml:space="preserve">test </t>
  </si>
  <si>
    <t xml:space="preserve">for some praise-bot features </t>
  </si>
  <si>
    <t>Feb-03-2021</t>
  </si>
  <si>
    <t xml:space="preserve">and for deploying praise bot </t>
  </si>
  <si>
    <t xml:space="preserve">log </t>
  </si>
  <si>
    <t xml:space="preserve">and for testing. everything is ok? </t>
  </si>
  <si>
    <t>Feb-04-2021</t>
  </si>
  <si>
    <t xml:space="preserve">i haven't received notification from last praise </t>
  </si>
  <si>
    <t xml:space="preserve">test again </t>
  </si>
  <si>
    <t>Feb-08-2021</t>
  </si>
  <si>
    <t>Bot Training Ground</t>
  </si>
  <si>
    <t>общее</t>
  </si>
  <si>
    <t xml:space="preserve">tasdasdasd </t>
  </si>
  <si>
    <t xml:space="preserve">for bugfix </t>
  </si>
  <si>
    <t xml:space="preserve">zzxc </t>
  </si>
  <si>
    <t xml:space="preserve">zxczxc </t>
  </si>
  <si>
    <t xml:space="preserve">whats going on lol </t>
  </si>
  <si>
    <t xml:space="preserve">reason </t>
  </si>
  <si>
    <t xml:space="preserve">test local </t>
  </si>
  <si>
    <t xml:space="preserve">@deleted-user zxczxc </t>
  </si>
  <si>
    <t xml:space="preserve">@deleted-user </t>
  </si>
  <si>
    <t xml:space="preserve">@deleted-user test </t>
  </si>
  <si>
    <t xml:space="preserve">for bugfixes </t>
  </si>
  <si>
    <t xml:space="preserve">for bugfixes 👀 </t>
  </si>
  <si>
    <t xml:space="preserve">I hope it was last fix -_- </t>
  </si>
  <si>
    <t xml:space="preserve">for new bot logo </t>
  </si>
  <si>
    <t>Feb-09-2021</t>
  </si>
  <si>
    <t xml:space="preserve">testname </t>
  </si>
  <si>
    <t xml:space="preserve">for testing praise bot </t>
  </si>
  <si>
    <t>praise-testing</t>
  </si>
  <si>
    <t xml:space="preserve">for making such an incredible bot </t>
  </si>
  <si>
    <t>Feb-19-2021</t>
  </si>
  <si>
    <t xml:space="preserve">for installing the bot! </t>
  </si>
  <si>
    <t xml:space="preserve">for making gelee praisable. </t>
  </si>
  <si>
    <t>Feb-26-2021</t>
  </si>
  <si>
    <t>Feb-27-2021</t>
  </si>
  <si>
    <t>organizing and rocking this great presentation on Token Engineering, the TEC, and the Commons Stack design pattern! https://youtu.be/8918czhyAoQ</t>
  </si>
  <si>
    <t>her awesome presentation to Ape Unit today — great job repping the TE community!!! 🌟🌟🌟😁💫</t>
  </si>
  <si>
    <t>introducing us to our latest project to propose Dacade!</t>
  </si>
  <si>
    <t>her awesome talk and presentation at Ape Unit!!</t>
  </si>
  <si>
    <t>pushing on and creating while not always present, for weaving in the space together with Jess</t>
  </si>
  <si>
    <t>being the most present in this space</t>
  </si>
  <si>
    <t xml:space="preserve">for setting up discord bridges </t>
  </si>
  <si>
    <t>Feb-23-2021</t>
  </si>
  <si>
    <t xml:space="preserve">for setting up the bridges. </t>
  </si>
  <si>
    <t>Feb-24-2021</t>
  </si>
  <si>
    <t xml:space="preserve">for setting up bridges. </t>
  </si>
  <si>
    <t xml:space="preserve">for doing the bridges. </t>
  </si>
  <si>
    <t>@Vyvy-vi#5040</t>
  </si>
  <si>
    <t xml:space="preserve">for helping with the server so much and volunteering to stay on. </t>
  </si>
  <si>
    <t xml:space="preserve">for working on Discord. </t>
  </si>
  <si>
    <t xml:space="preserve">for helping hacking this server 😄 </t>
  </si>
  <si>
    <t xml:space="preserve">for tracking changes. </t>
  </si>
  <si>
    <t>writing the article and being available to help out other WGs as wells</t>
  </si>
  <si>
    <t>helping make the parameters work the best for the Source Cred implementation</t>
  </si>
  <si>
    <t>stepping up and taking on more responsibility and some work</t>
  </si>
  <si>
    <t>his latest contributions to finalize the Hatch terms</t>
  </si>
  <si>
    <t>helping a lot in the recent legal meetings and for his amazing work on the proposal terms and other legal documents</t>
  </si>
  <si>
    <t xml:space="preserve">for his founding work in Token Engineering and all his innovation on Data Markets! </t>
  </si>
  <si>
    <t xml:space="preserve">for years of incredible work in the ecosystem! </t>
  </si>
  <si>
    <t xml:space="preserve">for bearing with me in giving them the praise giver role so they can dish their own praise in Discord! </t>
  </si>
  <si>
    <t xml:space="preserve">for all his work with Molecule and Protea both of which did incredibly useful bonding curve experiments </t>
  </si>
  <si>
    <t>@sjdthree#8498</t>
  </si>
  <si>
    <t xml:space="preserve">for all his work on building locallyowned.io important work! </t>
  </si>
  <si>
    <t xml:space="preserve">also... Seriously, what a great graviton sesh today </t>
  </si>
  <si>
    <t xml:space="preserve">for their great work analyzing and documenting case studies in the Commons Stack/TEC! </t>
  </si>
  <si>
    <t>he’s been looking at the community through this research lens and for the interesting conversations with Livia on the TEC case study</t>
  </si>
  <si>
    <t>the work he’s doing on the TEC Case Study</t>
  </si>
  <si>
    <t xml:space="preserve">for his great work analyzing and documenting case studies in the Commons Stack/TEC </t>
  </si>
  <si>
    <t>joining our Commons Stack Simulator sync &amp; continuing to push this project to the finish line!!</t>
  </si>
  <si>
    <t xml:space="preserve">for all of his amazing cadCAD work!!! </t>
  </si>
  <si>
    <t xml:space="preserve">for his unending cadCAD support and coding wizardry </t>
  </si>
  <si>
    <t>being proactive on the  audit  and willing to work on it next sprint! 🌞</t>
  </si>
  <si>
    <t>accepting to be our guest in this thursdays Graviton training. I’m so happy that we will be able to hear some of your insights around soft gov and governing the commons  🙌</t>
  </si>
  <si>
    <t>all the collaboration in writing the why gravity medium article 😁</t>
  </si>
  <si>
    <t>her Butoh excercise today! I’ve never before oppened the doors on my feet to let all organs, bones and memories fall on the ground, to let emptiness be filled with flowing new energy.</t>
  </si>
  <si>
    <t>being the guest speaker in the 5th Graviton Training, for her great presentation last week that helps the new members, and for stepping up on the AMA calls</t>
  </si>
  <si>
    <t>conducting and giving feedback on the audit 🙌🙌🙏</t>
  </si>
  <si>
    <t>leading the ama call today🤘</t>
  </si>
  <si>
    <t>the feedback on the transparency audit</t>
  </si>
  <si>
    <t>the work she’s doing in bringing the cultural thing through and navigating it so well, for reaching out to Heater after the AMA session and checking in on him</t>
  </si>
  <si>
    <t>helping Mitch get started and make head or tail of what’s going on in TEC</t>
  </si>
  <si>
    <t xml:space="preserve">for a great graviton session today! </t>
  </si>
  <si>
    <t>the TEC labs</t>
  </si>
  <si>
    <t>updating lab every week on youtube and the database 🙏</t>
  </si>
  <si>
    <t>the hard work in keeping the Params moving without Jake</t>
  </si>
  <si>
    <t>3h working in Commons Swarm comms and wiki</t>
  </si>
  <si>
    <t>a fruitful discussion on making the TEC's identity simple. What does the TEC do? We are Advancing Token Engineering!!!</t>
  </si>
  <si>
    <t>being so talented, really admire you guys.</t>
  </si>
  <si>
    <t>his feedback on refreshing the Comms manifesto!</t>
  </si>
  <si>
    <t>contributing to latest TEC praise quant blog</t>
  </si>
  <si>
    <t>maintain awesome PM on the params project. Great to see the progress: https://github.com/TECommons/Token-Log-Hatch-Params/issues Thank you 🦅🤸🏻</t>
  </si>
  <si>
    <t>encouraging Zep to improve and get more involved</t>
  </si>
  <si>
    <t>doing the project management on Token Log</t>
  </si>
  <si>
    <t>his leadership, for carrying the whole ecosystem on his shoulders and doing a lot of things in the background, and for trying to push it even his voice sounds weird</t>
  </si>
  <si>
    <t>his tireless forward momentum, clear thinking and inspiration and for the Dapp and Simulator work</t>
  </si>
  <si>
    <t xml:space="preserve">for moving the column </t>
  </si>
  <si>
    <t xml:space="preserve">check the sheet </t>
  </si>
  <si>
    <t xml:space="preserve">bot is deployed. working? </t>
  </si>
  <si>
    <t xml:space="preserve">for 💩 and giggles </t>
  </si>
  <si>
    <t xml:space="preserve">for dishing praise to Kris.😋 Btw, I changed bot name </t>
  </si>
  <si>
    <t xml:space="preserve">for Praise bot on new TEC server </t>
  </si>
  <si>
    <t xml:space="preserve">for praising so much! </t>
  </si>
  <si>
    <t xml:space="preserve">for joining me in the back-end </t>
  </si>
  <si>
    <t xml:space="preserve">for all his help in small and big tasks </t>
  </si>
  <si>
    <t>his insights and framing of things and the new vocabulary he’s been giving to Tam</t>
  </si>
  <si>
    <t>helping with more philosophical questions in 0mega</t>
  </si>
  <si>
    <t>he is sharing his decentralized learning journey with so much honesty and humor, for being open and for his contributions in the Graviton training</t>
  </si>
  <si>
    <t>@moritzfelipe#9923</t>
  </si>
  <si>
    <t xml:space="preserve">for all of his work with Dacade and P2P learning! </t>
  </si>
  <si>
    <t xml:space="preserve">for his work on Pictosis and Skills Forest (NFT research group)! </t>
  </si>
  <si>
    <t>his amazing work on TokenCAD: a cadCAD inspired tool for complex systems modeling in JavaScript 🛠</t>
  </si>
  <si>
    <t xml:space="preserve">to for making one of the best last mile solutions in the crypto game. SO CRITICAL for everything we want to do. </t>
  </si>
  <si>
    <t xml:space="preserve">for diving straight into the CS Simulator, cleaning up the narrative, making and closing issues like a boss! </t>
  </si>
  <si>
    <t>being an incredible organizational force and modeling servant leadership style better than anyone else, because she’s always present and gentle, for being the steward of stewards and doing the important work of syncing us up while we’re moving in all directions, for the meeting on the farms and her inputs on the Github levers to play with, for planning the Github issues and guiding the stewards, for her endless patience, for her dedication and being present a lot</t>
  </si>
  <si>
    <t>taking a personal day off, always setting a great example!</t>
  </si>
  <si>
    <t>her help in the Dapp, because there’s so much she puts in going toward the Hatch, for being super helpful in reaching out to community to join the 0mega WG, for taking the Swiss Membership Dapp home and being the closer of our projects, for coming in and closing the Cstack Dapp</t>
  </si>
  <si>
    <t xml:space="preserve">for being so dope (from natesuits) </t>
  </si>
  <si>
    <t>Feb-15-2021</t>
  </si>
  <si>
    <t xml:space="preserve">for leading meetings while also moving with children. </t>
  </si>
  <si>
    <t xml:space="preserve">to for all of his work on the TE book and other wizarding work in the TE ecosystem! </t>
  </si>
  <si>
    <t>hosting the fascinating Gitcoin research group sessions</t>
  </si>
  <si>
    <t xml:space="preserve">for approving EVERY Giveth payment that has ever happened. </t>
  </si>
  <si>
    <t>taking on the work of designing a PDF Booklet for the Commons Stack case studies.</t>
  </si>
  <si>
    <t>designing the case study booklet.</t>
  </si>
  <si>
    <t>creating dark and light versions of the case study PDF booklet and doing all other revisions. 🙏</t>
  </si>
  <si>
    <t>Gets paid from the Gardens Swarm so she gets 15% of her IH</t>
  </si>
  <si>
    <t>3h working on hatch template documentation</t>
  </si>
  <si>
    <t>adding the livi talk on our youtube channel and organize the front page✨⚡️</t>
  </si>
  <si>
    <t>the nice talk he had with Santi last week</t>
  </si>
  <si>
    <t>4h working on state machine documentation</t>
  </si>
  <si>
    <t>4h working on writing the financial report and other forum posts</t>
  </si>
  <si>
    <t>his guidance on using Honeyswap and Uniswap 🙏🏼😁</t>
  </si>
  <si>
    <t>helping to set up keybase for the Digital Security Owner issue</t>
  </si>
  <si>
    <t>3h work fixing the hatch template</t>
  </si>
  <si>
    <t>taking time to be with his Mom</t>
  </si>
  <si>
    <t xml:space="preserve">for all his work making Gardens a reality </t>
  </si>
  <si>
    <t>reviewing the Commons Swarm financial report, recently published!</t>
  </si>
  <si>
    <t>joining the TE Praise channel! 🙏🏼🥳</t>
  </si>
  <si>
    <t>coming to the last AMA call and for having so much interest in the project</t>
  </si>
  <si>
    <t>being so sensitive and wise to manage this team’s communications to the outside</t>
  </si>
  <si>
    <t>working on the SEO for our new website.</t>
  </si>
  <si>
    <t>dealing with Griff and helping with his communication challenges and for helping Juan with his publication for Gravity</t>
  </si>
  <si>
    <t>the fun interview!💫 creating content for the onboarding video🙌🏻</t>
  </si>
  <si>
    <t>building relationships and connecting people</t>
  </si>
  <si>
    <t>mentioning a lot of articles and resources that have come out recently and for taking the lead in the Thursday call</t>
  </si>
  <si>
    <t xml:space="preserve">for being generous in turning over Discord duties. </t>
  </si>
  <si>
    <t xml:space="preserve">for being all over the social media distribution of CS and TEC information into all the nooks and channels! </t>
  </si>
  <si>
    <t>taking the time to explain ALL parameters in the Commons Simulator and TEC Hatch dashboard.</t>
  </si>
  <si>
    <t>supporting the Token Log params progress</t>
  </si>
  <si>
    <t>ygg_anderson</t>
  </si>
  <si>
    <t xml:space="preserve">for getting continuous integration working with the hatch params! </t>
  </si>
  <si>
    <t>Feb-21-2021</t>
  </si>
  <si>
    <t>describing to me the real reason for the vote proposal buffer in Dandelion Voting: https://forum.tecommons.org/t/vote-proposal-buffer/132/3?u=griff</t>
  </si>
  <si>
    <t>all your work on P2P learning platform</t>
  </si>
  <si>
    <t>all his work with community currencies and for constantly sending us great references ⚡️🙌</t>
  </si>
  <si>
    <t>the awesome new teamolplates you rock man!💪</t>
  </si>
  <si>
    <t>the slick new graphics!</t>
  </si>
  <si>
    <t>being an incredible project manager in Comms</t>
  </si>
  <si>
    <t>all the things and contributions in the Comms</t>
  </si>
  <si>
    <t xml:space="preserve">for Working Group Logos </t>
  </si>
  <si>
    <t>working on the TEC Website that is going live next week!</t>
  </si>
  <si>
    <t>volunteering on recording stewards call thanks buddy :)</t>
  </si>
  <si>
    <t>completing the audit and sharing his feedback thanks buddy you rock!⚡️</t>
  </si>
  <si>
    <t>this wonderful new article on conflict transformation in DAOs/communities and his first Medium publication! Congratulations Juan, wonderful work! https://twitter.com/tecmns/status/1362439554830110724</t>
  </si>
  <si>
    <t>all what he’s doing is necessary and every time he talks he says positive things, for the Graviton Training every week, because his article is a really cool way to present the Graviton to the world, for his leadership on the Graviton, because he’s giving a lot of appreciation to Dandigital in the Graviton Training, for his first new article and because he is a talented writer, for his conflict management role and helping the community with everything that comes around</t>
  </si>
  <si>
    <t>joining the Legal call and providing feedback and input in the governing law and jurisdiction section of the Hatch terms</t>
  </si>
  <si>
    <t>wanting to take care of the community</t>
  </si>
  <si>
    <t xml:space="preserve">for volunteering to take ownership. Lmk when you're ready. </t>
  </si>
  <si>
    <t xml:space="preserve">for taking server ownership. </t>
  </si>
  <si>
    <t>AmwFund</t>
  </si>
  <si>
    <t xml:space="preserve">for taking on the discord migration. Superstar. </t>
  </si>
  <si>
    <t xml:space="preserve">for all of her work in supporting the decentralization of orgs and supporting relational fabrics in the ecosystem! </t>
  </si>
  <si>
    <t>his absence is really felt this week</t>
  </si>
  <si>
    <t>taking care of himself and the self-love of recognizing that it’s okay to take time to take care of his personal life</t>
  </si>
  <si>
    <t xml:space="preserve">for successful google api magic 🙂 </t>
  </si>
  <si>
    <t xml:space="preserve">for creating the Discord. </t>
  </si>
  <si>
    <t xml:space="preserve">for giving me praise powers </t>
  </si>
  <si>
    <t xml:space="preserve">for setting me straight </t>
  </si>
  <si>
    <t xml:space="preserve">for all his work on the Discord!!!!! </t>
  </si>
  <si>
    <t xml:space="preserve">for all the massive work on Discord! </t>
  </si>
  <si>
    <t>making time for TEC deep dive sessions and having insightful discussions with Tam</t>
  </si>
  <si>
    <t xml:space="preserve">for his help setting up the cadCAD discord and bridging channels to slack &amp; telegram as needed </t>
  </si>
  <si>
    <t xml:space="preserve">for his hard work giving the cadCAD website an update and refresh </t>
  </si>
  <si>
    <t>onboarding Dacade to submit a proposal!</t>
  </si>
  <si>
    <t>leading the AMA call today and trying so hard to dish praise :D</t>
  </si>
  <si>
    <t>answering the hatch phase related questions i had!</t>
  </si>
  <si>
    <t>leading the Hatchers group and answering questions for all the groups and proposals</t>
  </si>
  <si>
    <t>stepping in on a whole new approach for hatchers and onboarding, for the great session of the hatchers outreach that brings a lot of interesting questions to discuss, for his efforts on the hatch outreach, for the great work with Hatcher Outreach</t>
  </si>
  <si>
    <t xml:space="preserve">for their endless support of cadCAD Community Calls 🙏 </t>
  </si>
  <si>
    <t>putting on the Crypto Commons Gathering and invitingall of us in the Commons Stack channel 😃</t>
  </si>
  <si>
    <t xml:space="preserve">for his awesome work curating and taking forward DAO.Education! Way to catalyse decentralisation across LATAM and Spain! </t>
  </si>
  <si>
    <t>Gets paid from his work with the Gardens Swarm so he gets 15% of his IH</t>
  </si>
  <si>
    <t>4 hs of work on celeste swarm</t>
  </si>
  <si>
    <t>3h of work from yesterday in celeste swarm, helping rodrigo to wrapping up support proposal new ui.</t>
  </si>
  <si>
    <t>4:30h of work on celeste swarm merging rodrigo's code into create proposal ui, redesign of action fees panel for small screens</t>
  </si>
  <si>
    <t>they are killing it with new version of front end of Conviction Voting</t>
  </si>
  <si>
    <t>4h between wed and thu working on the support proposal flow on celeste swarm</t>
  </si>
  <si>
    <t>2h of work of today finishing support proposal and starting to check changes on email templates repo.</t>
  </si>
  <si>
    <t>4h of work making changes asked by rodrigo from yesterday morning</t>
  </si>
  <si>
    <t>2h of work on email templates on celeste bakend from wednesday</t>
  </si>
  <si>
    <t>@James | NEAR#0357</t>
  </si>
  <si>
    <t xml:space="preserve">for his work coordinating the NEAR Edu group, growing collaborations in the NEAR ecosystem </t>
  </si>
  <si>
    <t>@MehighCB#4516</t>
  </si>
  <si>
    <t xml:space="preserve">for all of his work with Carbonbase &amp; Ark! </t>
  </si>
  <si>
    <t>@PaulaBerman#9915</t>
  </si>
  <si>
    <t xml:space="preserve">for her work on distributed governance &amp; Sybil-resistant identity. </t>
  </si>
  <si>
    <t>sharing effective methods to reduce computational burden for complex simulations 🙏</t>
  </si>
  <si>
    <t>weaving in the background constantly</t>
  </si>
  <si>
    <t>bridging our community to 1hive community</t>
  </si>
  <si>
    <t>3h working on commons comms</t>
  </si>
  <si>
    <t xml:space="preserve">1.5 hours of work on prep for the AMA. Any comments are more than welcome! Please help me also to confirm the date depending on your availability 🙂 </t>
  </si>
  <si>
    <t>coming in the previous call and always showing up and wanting to collaborate</t>
  </si>
  <si>
    <t>his awesome article Automating Ostrom for Effective DAO Management💥☀️</t>
  </si>
  <si>
    <t xml:space="preserve">to see how this works on discord </t>
  </si>
  <si>
    <t xml:space="preserve">for all his work on the CS notion and organizing our library 😄 </t>
  </si>
  <si>
    <t>using the Commons Stack and Fight Pandemics as his successful luck charms🍀</t>
  </si>
  <si>
    <t>Boring877</t>
  </si>
  <si>
    <t xml:space="preserve">for his time and attention to detail in recording &amp; posting videos on the Luna Swarm &amp; Gitcoin cadCAD model research collabs 🙏 </t>
  </si>
  <si>
    <t>joining the AMA session &amp; the praise channel 😃</t>
  </si>
  <si>
    <t>doing a lot of invisible work in the Commons Swarm</t>
  </si>
  <si>
    <t>joining a few of our community calls 🥳 Welcome!</t>
  </si>
  <si>
    <t xml:space="preserve">to for all his work minting CSTK and organizing everything for the Trusted Seed! </t>
  </si>
  <si>
    <t>joining the TEC Weekly Sync and saying hi in the praise channel 🙌🏽😁</t>
  </si>
  <si>
    <t xml:space="preserve">#12 IH: </t>
  </si>
  <si>
    <t>Mehigher</t>
  </si>
  <si>
    <t>updated sn from the discord handle</t>
  </si>
  <si>
    <t xml:space="preserve">Public Praise doc </t>
  </si>
  <si>
    <t>joining this week Legal WG meeting</t>
  </si>
  <si>
    <t>reminding me to finish the praise quant!</t>
  </si>
  <si>
    <t>being proactive and offer help on TEC open issues on Zenhub.</t>
  </si>
  <si>
    <t>their great contributions to the Code of Conduct hack session!</t>
  </si>
  <si>
    <t>joining the Comms Working Group call today - super appreciate you all always showing up, sharing and supporting the efforts 🙏🏼💫🙏🏼 Kewin, cyotee TBP</t>
  </si>
  <si>
    <t>teaching me how to use Streamlabs in recording the TEC calls :D</t>
  </si>
  <si>
    <t>joining the Legal WG for the meeting attendance terms, for recording and managing so much information and doing work very fast and giving reasonable value with the transparency audit, and for always jumping into everything and making things more fun, easier and organized</t>
  </si>
  <si>
    <t>always being present and recording the calls</t>
  </si>
  <si>
    <t>being such a grounding force to the WG and attending all the meetings and reading the book</t>
  </si>
  <si>
    <t>joining the TEC Weekly Sync 🙌🏽🌟</t>
  </si>
  <si>
    <t>mentioning or retweeting TE Commons on the socials the past week! Thank you for helping us grow the Token Engineering Commons community and spreading the message! 💪🙏</t>
  </si>
  <si>
    <t>attending last weeks graviton trainings and claiming your POAPs (sorry for the late praise)</t>
  </si>
  <si>
    <t>joining the Communications WG call today - great teamwork and progress - thank you so much for your time and energy!!! 🙏🏼💫❤️</t>
  </si>
  <si>
    <t>always supporting YouTube and Comms! 🙏🏼💫🙌</t>
  </si>
  <si>
    <t>joining the soft gov call, thanks for everyone's contributions 🙌⚡️✨</t>
  </si>
  <si>
    <t>the super nice transparency audit. Just finished doing it for Gravity and see so much potential in this simple but powerful idea</t>
  </si>
  <si>
    <t>he’s a hero coming to all the calls and recording, distributing and editing them, for updating Youtube with new background designs, for taking some time to do working sessions with Sem despite being busy with the Transparency WG and recording calls</t>
  </si>
  <si>
    <t>the transparency audit is a valuable tool to measure and improve the work of WGs</t>
  </si>
  <si>
    <t xml:space="preserve">joining the TEC Weekly Sync 🙏🏼😊 </t>
  </si>
  <si>
    <t>attending the Legal call</t>
  </si>
  <si>
    <t>joining transparency call ⚡</t>
  </si>
  <si>
    <t>joining and bringing great energy on transparency call⚡️💫</t>
  </si>
  <si>
    <t>doing a lot of work in the Legal WG</t>
  </si>
  <si>
    <t>always doing the IH charts and all of the unending energy and work he does for the community! 🙏🏼🌟🌟🌟</t>
  </si>
  <si>
    <t>helping so much with the Code of Conduct document</t>
  </si>
  <si>
    <t>onboarding Shawn and for always coming in at the right time with the right advice especially in times of uncertainty</t>
  </si>
  <si>
    <t>being awesome and steady all the time</t>
  </si>
  <si>
    <t>helping introduce @chanate91 to the TEC with 1 hour of his valuable time 🙂</t>
  </si>
  <si>
    <t>stepping into Onboarding</t>
  </si>
  <si>
    <t>their HUGE progress and work on the front end of the new TEC discord and onboarding journey there! 🙏🏼🌟🌟🌟</t>
  </si>
  <si>
    <t>the impromptu hack session on the TEC Discord user journey today. Took some time but it’s a good start! Have a great rest of your Sunday!</t>
  </si>
  <si>
    <t>attending the TEC Sprint Planning session today.</t>
  </si>
  <si>
    <t>their dedication to the new onboarding process!</t>
  </si>
  <si>
    <t>quantifying praise for round #10!</t>
  </si>
  <si>
    <t>listening to the meetings on road trips, find people, and working every day to be a kinder gentler communicator.</t>
  </si>
  <si>
    <t xml:space="preserve">hunting up </t>
  </si>
  <si>
    <t>his patience and the article on what we’re doing in the infrastructure in CRM and Hubspot and for attending the calls even he has Internet issues</t>
  </si>
  <si>
    <t>tuning in across many facets of technical development to be a knowledge keeper for working groups like onboarding and comms!</t>
  </si>
  <si>
    <t>supporting blog writing/TEC medium publication 🙏🏼😁🙌</t>
  </si>
  <si>
    <t>an awesome news blog this week! 🙏🏼🌟</t>
  </si>
  <si>
    <t>the awesome Praise Quant blog post this week</t>
  </si>
  <si>
    <t>continuing to support the Comms WG</t>
  </si>
  <si>
    <t>mentioning or retweeting Commons Stack on the socials the past week! Thank you for helping us grow the Commons Stack community and spreading the message! 🙏🏼😊</t>
  </si>
  <si>
    <t>mentioning or retweeting Commons Stack on the socials the past week! Thank you for helping us grow the Commons Stack community and spreading the message! 💪🙏</t>
  </si>
  <si>
    <t>typing the verbal praises and finding the Telegram handles of people mentioned</t>
  </si>
  <si>
    <t>handling the Social media shceduling Hand-off</t>
  </si>
  <si>
    <t>guiding me on the audit presentantion and putting an alarm to wake up trying to be there in the call mens alot thanks🙏✨</t>
  </si>
  <si>
    <t>quickly taking on Twitter recurring tweets and doing a great job! 🙏🏼💫</t>
  </si>
  <si>
    <t>being such a pro with comms!</t>
  </si>
  <si>
    <t>being so on top on the organization thanks you so much!</t>
  </si>
  <si>
    <t>all her work and always touching bases with everyone and for the Twitter post that helped onboard Shawn</t>
  </si>
  <si>
    <t>continuing support on TEC twitter! 💫</t>
  </si>
  <si>
    <t>always cat herding the community call agenda so well https://docs.google.com/document/d/1hdGDugNqB33lsWn7eTWIeIt2CQ5HHTqvdYKru5wquG4/edit#heading=h.kbxqh6qvrupa</t>
  </si>
  <si>
    <t>helping to prepare the transparency board for today's call🙏</t>
  </si>
  <si>
    <t>writing an amazing guest blog!!!! 🙏🏼🙌🌟🌟🌟</t>
  </si>
  <si>
    <t>being super into our community and for contributing an article</t>
  </si>
  <si>
    <t>all his work and notes in TEC Labs and for being super helpful in the hack sessions with Danlessa</t>
  </si>
  <si>
    <t>the great first step in video tutorial on how the voting process will work</t>
  </si>
  <si>
    <t>the new Gitcoin hacking session going on</t>
  </si>
  <si>
    <t>showing up and helping Vitor on mathematical cadCAD, for doing an amazing work, for hosting the Labs that are easy to follow despite the participant’s skill level, and for the great things going on in the Labs</t>
  </si>
  <si>
    <t>leading the Simulation conversations</t>
  </si>
  <si>
    <t>Gets paid by the Commons Stack so she only get 50% IH</t>
  </si>
  <si>
    <t>jumping in on the Hatch Params modeling and picking it up, and for the Commons Simulator work</t>
  </si>
  <si>
    <t>fixing the requirements file in the TokenLog Hatch Params repo! This made it usable for people who were first testing it out, and first impressions are very important. Major praise! Thanks Santiago</t>
  </si>
  <si>
    <t>the quick catch in the requirement file and for helping Victor fix the requirements</t>
  </si>
  <si>
    <t>jumping into the Params work</t>
  </si>
  <si>
    <t>his excellent work in the event that he and Juanka attended and for his great work on Source Cred</t>
  </si>
  <si>
    <t>all his work in Source Cred</t>
  </si>
  <si>
    <t>updating the cadCAD SourceCred instance! 🔥🎇</t>
  </si>
  <si>
    <t>their presentations at Ethdenver today &amp; tomorrow - We are very well represented by you two! 🙌👏</t>
  </si>
  <si>
    <t>killing it at ETHDenver</t>
  </si>
  <si>
    <t>her dedication and finishing the Governing the Commons! 🙌🌈</t>
  </si>
  <si>
    <t>rockin presentations at ETH Denver!!! 🔥🌈🌟</t>
  </si>
  <si>
    <t>facilitating the welcone to the TEC✨</t>
  </si>
  <si>
    <t>leading the AMA call today!</t>
  </si>
  <si>
    <t>being such a TEC champion!!! Such a beautiful presentation!!</t>
  </si>
  <si>
    <t>be the champion we all need!!!</t>
  </si>
  <si>
    <t>giving a great talk at ETHDenver, for representing TEC at ETHDenver, for onboarding a lot of people in the Wednesday call, for being participatory with Jake on onboarding and still being focused on ETHDenver, and for hosting the AMA call</t>
  </si>
  <si>
    <t>today softgov call it was super fun and enlightening, we are building this together how cool is that🙌🙏</t>
  </si>
  <si>
    <t>repping TEC @ Ethdenver !!!</t>
  </si>
  <si>
    <t>her great forum post on advice for Decentralized Communities! 😁💫</t>
  </si>
  <si>
    <t>their ETHDenver presentations, lots of praise! 🙌🏽🙌🏽🙌🏽</t>
  </si>
  <si>
    <t>leading the Book Club, for her dedication and finishing Governing the Commons, for the Welcome to TEC initiative, and for doing so much important work for the community</t>
  </si>
  <si>
    <t>communicate and facilitate the vote and advice process to the community!🙌🏻😊</t>
  </si>
  <si>
    <t>such a HUGE and beautiful TEC update, beautifully brought, great and sexy presentation, super clear....  you guys are rocking it, so happy to see this ❤️</t>
  </si>
  <si>
    <t>their help in setting up the 0mega group</t>
  </si>
  <si>
    <t>her hard work initializing the Gitcoin Research group and all of the incredible value she brings to this community! 🙌🌟❤️</t>
  </si>
  <si>
    <t>the call that Griff sat in, for educating the community and the hack sessions on Gitcoin modeling, and for the simulation workshops</t>
  </si>
  <si>
    <t>his fast paced work on the Hatch Param Voting process.</t>
  </si>
  <si>
    <t>showing the website he’s working on and for jumping right in YGG’s stuff and building an interactive site for us</t>
  </si>
  <si>
    <t>keeping his head down and getting after it in Params and getting the web app looking amazing</t>
  </si>
  <si>
    <t>initializing the very needed OMega working group for checking our assumptions with token engineering and being mindful of ethics. This is so necessary, like soooo necessary &lt;- This is the main thing I have learned since doing professional Token Engineering</t>
  </si>
  <si>
    <t>the awesome 0mega WG and for the upcoming webinar series, and because the importance of her research on token engineering transcends TEC and it’s important to the humanity</t>
  </si>
  <si>
    <t>putting so much work in the 0mega group in terms of amazing discussions around intrinsic motivation, as well as to Bea and Sparrow</t>
  </si>
  <si>
    <t>putting in so much blood, sweat, and tears in the Params work and making it all accessible to the community, for all the support and work in the Params and helping Vitor in building the TEC Hatch dashboard</t>
  </si>
  <si>
    <t>his presentation at ETHDenver was amazing, for doing a great job at ETHDenver, for his energy at ETHDenver and got Heater more pumped to be involved, and for the organization and making sure everyone feels they are part of the community</t>
  </si>
  <si>
    <t>prompting us to praise ourselves.</t>
  </si>
  <si>
    <t>1:15 hours reviewing Wednesday's weekly recap and catching up with possible changes in the swarm</t>
  </si>
  <si>
    <t>Gardens Swarm</t>
  </si>
  <si>
    <t>the amazing memes they created</t>
  </si>
  <si>
    <t>their effort in communicating with 1hive to collaborate in the Gardens Swarm project and with what we’re doing with the Commons Stack</t>
  </si>
  <si>
    <t>attending today's Gardens Swarm weekly meeting</t>
  </si>
  <si>
    <t>joining the first Meme party!!! 🥳🙌🙏🏼💫 That was soooo much fun and great Friday activity!! Yayy!</t>
  </si>
  <si>
    <t>writing the post "What is the Commons of the TEC"</t>
  </si>
  <si>
    <t>constantly improving the forum 🙌</t>
  </si>
  <si>
    <t>helping find more contributors for open issues on Comms WG github so that we speed things up!</t>
  </si>
  <si>
    <t>his fantastic work and making blazing speed in Params and for always looking out where he can help in onboarding and comms</t>
  </si>
  <si>
    <t>onboarding Santi</t>
  </si>
  <si>
    <t>wrapping the TEC website 🙌🙏🏼🙏🏼🙏🏼</t>
  </si>
  <si>
    <t>his never-ending effort to make the TEC parameters move forward and making progress in every step of the way, for bringing the energy every day and for being such a strong partner with Tam at the hatchers onboarding, for showing his priorities nicely juggling between parenting and attending the calls, for being his authentic self and making everybody feel comfortable, for giving water to his kids when they need it, and for carrying the flag forward with the Params WG making sure we don’t fall into this trap of technocracy</t>
  </si>
  <si>
    <t>giving me edit powers on the forum🙌🙏</t>
  </si>
  <si>
    <t>the RAD gifs, keep em comin'! Lovin' swimmin in da vaporwavezzzz</t>
  </si>
  <si>
    <t>getting shit done!</t>
  </si>
  <si>
    <t>their help in Comms</t>
  </si>
  <si>
    <t>all the hard work he's put in on the website and supporting Comms!!! 💫🙏🏼🌟</t>
  </si>
  <si>
    <t>taking alot of tasks and helping jess with comms and all those cool designs you do😎</t>
  </si>
  <si>
    <t>being a Samurai Shark and coming in strong to support Communications WG with PMing 🙏🏼🙏🏼🙏🏼🌟</t>
  </si>
  <si>
    <t>coming together and making a plan for communications and being ready for the next step.</t>
  </si>
  <si>
    <t>helping consistency with branding and developing the image of the TEC</t>
  </si>
  <si>
    <t>this design, its so cool! ✨🤯</t>
  </si>
  <si>
    <t>their work to get us to this major milestone where we have a Commons Stack Hat!!! #CSLove Swag Shop is coming SOOOOON!!!</t>
  </si>
  <si>
    <t>having great slides and templates so organized, up to date and easy to use 🙌🙏✨</t>
  </si>
  <si>
    <t>her warmth and openness and long conversations with Tam, because she’s always onboarding people, for helping find the number to log in to Twitter, and for sending Santi a new potential lawyer this week</t>
  </si>
  <si>
    <t>the Comms content and for her messages inviting people to join and submit proposals</t>
  </si>
  <si>
    <t>promoting so much of our content on twitter and other communities!</t>
  </si>
  <si>
    <t>being a motivational force to so many in the community!</t>
  </si>
  <si>
    <t>always promoting soft gov together with comms before our calls on tuesday❤️</t>
  </si>
  <si>
    <t>providing additional information in the Transparency Audit Criteria 🙌🏽🙏🏼</t>
  </si>
  <si>
    <t>volunteering to condut the trial audit, thanks guys you rock🤟🏻😁</t>
  </si>
  <si>
    <t>the Gravity group is always fun and mind blowing and for leading the incredible Graviton workshops</t>
  </si>
  <si>
    <t>being proactive with the trial audit ⚡⚡</t>
  </si>
  <si>
    <t>the exciting Gravity training, because the Graviton trainings are the highlight of Tam’s week, because he’s very proactive in the audit, for the great job in Gravity course, and for continuing the working sessions in the Gravity group</t>
  </si>
  <si>
    <t>actively reaching out to see how he can prepare himself for a career in token engineering!</t>
  </si>
  <si>
    <t>consistently showing up in the Labs and hack sessions with Danilo and very eager to learn</t>
  </si>
  <si>
    <t>their work in bridging the new discord with Telegram</t>
  </si>
  <si>
    <t>leading this whole process of project management, for keeping up even while moving to her new apartment, for leading the Stewards group, and for the CS hat</t>
  </si>
  <si>
    <t>helping Eduardo a lot this week, for holding the community, and for the great coordination work that she does every week for the Stewards group</t>
  </si>
  <si>
    <t>staying lazer focused like a  sweet sweet ray of bright light keeping my early morning thought the meeting was 3PM my time free ranging through the corners of my mind flow of consciousness prattle at least somewhat on track.</t>
  </si>
  <si>
    <t>editing the transparency forum post thanks you so much😊😊</t>
  </si>
  <si>
    <t>providing his inputs and feedback on the TEC Hatch Terms 🙏🏼</t>
  </si>
  <si>
    <t>joining the Legal WG, for helping with the two legal documents, and for participating in the TEC Community call</t>
  </si>
  <si>
    <t>bridging &amp; managing all the channels between telegram and discord!</t>
  </si>
  <si>
    <t>the AMA was a great idea, for doing so much work the past week, and because he always has interesting things going on</t>
  </si>
  <si>
    <t>his HUGE efforts and support for Comms in changing SM logos and supporting the onboarding journey for the new Discord! 🙌🌟</t>
  </si>
  <si>
    <t>helping me get over the initial hump of working out the Discord onboarding.</t>
  </si>
  <si>
    <t>5h on reimplementing and writting tests for the impact hours smart contract</t>
  </si>
  <si>
    <t>his creative inspirations</t>
  </si>
  <si>
    <t>sending me the Telegram handles of people he dished praise to in the Weekly Sync, I really appreciate it! 🙏🏼😄</t>
  </si>
  <si>
    <t>6h of work on 01/21 for working on the hatch frontend updating Aragon Connect, making changes to work with the new hatch connector version and solving issues #3  and #5</t>
  </si>
  <si>
    <t>4h of work on 01/20 for working on the hatch connector improving they way we store contributions and contributors on the subgraph and migrating the contract interaction logic from the client.</t>
  </si>
  <si>
    <t>3h of work on 01/24 for working on the hatch frontend adding snackbars to better notify the transaction execution process to users and working on issues  #4 and #10</t>
  </si>
  <si>
    <t>2 hours of meeting with Gardens + prep for weekly recap</t>
  </si>
  <si>
    <t>45 minutes of beta testing the commons scholarship application: https://beta.giveth.io/campaigns/5feb2ca1dae3134bd0166dd6</t>
  </si>
  <si>
    <t>Commons Swarm</t>
  </si>
  <si>
    <t>onboarding Adrian to the TEC, he will be especially helping with Legal</t>
  </si>
  <si>
    <t>inviting Adrian to join the Legal WG</t>
  </si>
  <si>
    <t>helping me find discord handles and for inviting a lawyer friend to help with the legal working group!</t>
  </si>
  <si>
    <t xml:space="preserve">1.5 hours of work into preps for AMA next Thursday. Buzz activities should be defined by tomorrow so we can start promoting this. Please let me know what you think about this structure: </t>
  </si>
  <si>
    <t>providing great feedback to the legal WG</t>
  </si>
  <si>
    <t>4h of work on closing tec-ui issue, publishing the last version to npm and worked on the tec-hatch to update the ui library and fix the vercel issue.</t>
  </si>
  <si>
    <t>2hs of work pair programming with Rodri reviewing the integration of StakeScreens and first draft of support proposal in multimodal view.</t>
  </si>
  <si>
    <t>supporting cadCAD community and recording events/calls - you rock thank you! 🙏🏼💫😁</t>
  </si>
  <si>
    <t>joining the hack session and staying for a great discussion on anarchy vs community governance</t>
  </si>
  <si>
    <t>mentioning/retweeting Commons Stack on the socials the past week and for joining our Telegram channel! 🙏🏼😊</t>
  </si>
  <si>
    <t>joining the code of conduct hack session</t>
  </si>
  <si>
    <t>joining the TE praise channel 🙏🏼😁💫</t>
  </si>
  <si>
    <t>joining the TE Commons Praise channel ☄</t>
  </si>
  <si>
    <t>mentioning or retweeting Commons Stack on the socials the past week and for joining the CS Telegram channel! 😊🙏🏼</t>
  </si>
  <si>
    <t>joining TEC</t>
  </si>
  <si>
    <t xml:space="preserve">#11 IH: </t>
  </si>
  <si>
    <t>MetaVerde</t>
  </si>
  <si>
    <t>their work on the TEC Test Hatch DAO Spec https://forum.tecommons.org/t/tec-test-hatch-implementation-specification/226</t>
  </si>
  <si>
    <t>always being so keen and moving things forward and having this Recording overlay on his stream and standing up the Transparency WG</t>
  </si>
  <si>
    <t>their amazing document on Transparency criteria/checklist on the working groups.</t>
  </si>
  <si>
    <t>leading the transparency Wg. For their recordings, uploads, and for their new ideas to improve the mutual monitoring in the TEC</t>
  </si>
  <si>
    <t>lending some of his time to check our options for adding the intro to Commons Stack videos, thanks so much 🙏🏼😁</t>
  </si>
  <si>
    <t>teaching Ivi how to record the calls!</t>
  </si>
  <si>
    <t>spearheading the Transparency WG and hitting the ground running with such momentum.</t>
  </si>
  <si>
    <t>joining the Legal WG to discuss the meeting attendance terms, for their idea of the audit that’s amazing to put into practice, and for the incredible work they’re doing with transparency going beyond the scope</t>
  </si>
  <si>
    <t>recording yesterday’s graviton training, so fast!</t>
  </si>
  <si>
    <t>launching the first TEC sprint for better coordination and working together</t>
  </si>
  <si>
    <t>recording and assisting today’s calls 🙌</t>
  </si>
  <si>
    <t>the tremendous effort that happens in the background and they give to the community</t>
  </si>
  <si>
    <t>leading today's book club.</t>
  </si>
  <si>
    <t>always being present in the calls and coming on time and recording</t>
  </si>
  <si>
    <t>being this rounds Praise Quantifiers, this is a big praise for their commitment and will in the TEC!</t>
  </si>
  <si>
    <t>always recording our calls with presence and enthusiasm ✨⚡️🙌</t>
  </si>
  <si>
    <t>supporting Jess the past week</t>
  </si>
  <si>
    <t>a productive, efficient Onboarding WG weekly sync 🏄‍♀️</t>
  </si>
  <si>
    <t>showing up to BrightID sesh in support 👩‍👩‍👦‍👦</t>
  </si>
  <si>
    <t>the awesome creative inputs for our Miro narratives session - brilliant ideas and sharing 🙏🏼 Appreciate every single one of you and your presence today!! 🌟🌟🌟❤️</t>
  </si>
  <si>
    <t>joining Legal WG meeting</t>
  </si>
  <si>
    <t>joining the transparency WG call sharing their knowledge with alot of energy⚡️</t>
  </si>
  <si>
    <t>an awesome Comms WG call today - thank you all so much for sharing your time and energy! 🙏🏼💫❤️</t>
  </si>
  <si>
    <t>coming to the TEC Vote Call</t>
  </si>
  <si>
    <t>joining the book club today! 🤓📚🌱</t>
  </si>
  <si>
    <t>joining transparency call and providing a nice feedback for the work in progress 🤟🏻</t>
  </si>
  <si>
    <t>joining the soft call! Thanks so much for your contributions!</t>
  </si>
  <si>
    <t>having you in Monday's Garden Swarm call!</t>
  </si>
  <si>
    <t>joining the TEC Community Call! 🙏🏼</t>
  </si>
  <si>
    <t>joining today's book club call 📚🤓</t>
  </si>
  <si>
    <t>joining the soft gov call! thanks so much for your great insights today!</t>
  </si>
  <si>
    <t>joining the TEC Weekly Sync 🙌🏽😁</t>
  </si>
  <si>
    <t>the data analysis class and for coming up with the idea of the meeting attendance terms</t>
  </si>
  <si>
    <t>his very informative python data science lecture! 🤓</t>
  </si>
  <si>
    <t>all the energy he puts into the legal wg!!</t>
  </si>
  <si>
    <t>leading the Legal working group. The work that is being done there is excelent. By reading the "TEC Hatch Terms" you can understand that we are getting protected by really good hands.</t>
  </si>
  <si>
    <t>making a lot of progress in Source Cred, for supporting many people with Source Cred implementation, and for all the things they do for Source Cred</t>
  </si>
  <si>
    <t>working on T&amp;C TEC hatch on sunday!🔥</t>
  </si>
  <si>
    <t>personifying the Visa slogan “it’s everywhere you want to be”.</t>
  </si>
  <si>
    <t>building trust in the community and making it as a whole</t>
  </si>
  <si>
    <t>supporting the TE book with Sebnem by helping with a Source Cred implementation</t>
  </si>
  <si>
    <t>having a good chat with Zep and providing him information</t>
  </si>
  <si>
    <t>catalyzing work to hack on interoperable NFT primitives and standards for the benefit of the ecosystem 🙌💫</t>
  </si>
  <si>
    <t>their contributions on this DAO2DAO report: https://www.notion.so/D2D-Community-Report-Phase-I-396f5d1935a94108989da8e8cb322f6f</t>
  </si>
  <si>
    <t>catalyzing work on NFTs that’s amazing for the whole space, for bringing Josh to the community and being his mentor as he explores the DAO universe, and for spinning these research groups on tokenizing knowledge that would be important for us</t>
  </si>
  <si>
    <t>the collaboration and expansion of the Gitcoin Grant cadCAD model and kicking off a new research group focusing on this! 🥳🙌🌟</t>
  </si>
  <si>
    <t>their role in making this awesome community project a reality.</t>
  </si>
  <si>
    <t>running 1hive's Open House for DAO Rush Week</t>
  </si>
  <si>
    <t>adding comments on youtube its so lovely to see action in there🥰</t>
  </si>
  <si>
    <t>coming to a lot of meetings and her enthusiasm to learn everything about TEC, for being always ready to help, for helping in the Onboarding Discord section</t>
  </si>
  <si>
    <t>all your enthusiasm and willingness to pitch in. It’s so inspiring.</t>
  </si>
  <si>
    <t>finding a place to contribute with onboarding and the TEC</t>
  </si>
  <si>
    <t>volunteering and being an amazing support and being present in the meetings, for joining Legal and helping with the Discord channel setup, for her enthusiasm in the calls and always keen to know more and help us, and for always showing up and volunteering to own the migration to the new TEC discord server</t>
  </si>
  <si>
    <t>his ongoing work on Tokenlog and the value its creating for Commons Stack, the TEC, and the wider ecosystem.</t>
  </si>
  <si>
    <t>working on making token log work with 2 tokens</t>
  </si>
  <si>
    <t>his awesome work getting token log upgraded to take 2 tokens so we can use it to vote on Parameters for the Hatch!</t>
  </si>
  <si>
    <t>working on the Token log by himself very quickly</t>
  </si>
  <si>
    <t>engaging in discussion on the TE Commons Forum (https://forum.tecommons.org) the past week. Thank you for helping our Token Engineering Commons community share and learn! 🙏🏼</t>
  </si>
  <si>
    <t>drafting the audit proposal its amazing you are here🙌🙌</t>
  </si>
  <si>
    <t>doing a lot of work and carrying out the tasks despite being in a different time zone and for working on the Gardens Swarm document to start the conversation with 1hive people</t>
  </si>
  <si>
    <t>writing down all the praises on Telegram</t>
  </si>
  <si>
    <t>her hardwork at reviewing videos for praise and her contributions to transparency.</t>
  </si>
  <si>
    <t>her first Discord call recording! 🥳</t>
  </si>
  <si>
    <t>always being so on top of the transparency documentation and helping with my wording</t>
  </si>
  <si>
    <t>all the support they give</t>
  </si>
  <si>
    <t>always supporting praise and record keeping of our contributors!! 💫💫💫</t>
  </si>
  <si>
    <t>launched a TEC project page for the kernel program</t>
  </si>
  <si>
    <t>stepping up to support Comms and working on the praise quant blog this week! You're such an awesome write and so fast! 🙏🏼💫</t>
  </si>
  <si>
    <t>today’s amazing first Graviton session 😁, i hope all assistants had a good time and thanks everyone for all the support in this.</t>
  </si>
  <si>
    <t>facilitating the first graviton training with great time management and awesome information curation and delivery, I learned so much and felt energized to be a part of it!  ✨⚡️🙌</t>
  </si>
  <si>
    <t>working on the Gravity presentation</t>
  </si>
  <si>
    <t>their first gravity session, the presentation and all the material you guys provided. Really awesome, looking forward learn more about it 🙏🏼</t>
  </si>
  <si>
    <t>the insightful and well-formed presentation in Gravity today.</t>
  </si>
  <si>
    <t>responding positively to Metaverde’s reaction to accountability and consequences</t>
  </si>
  <si>
    <t>sharing his narrative knowledge &amp; process with me today in our collab session - appreciate and value this so much! 🙏🏼🙏🏼🙏🏼💫</t>
  </si>
  <si>
    <t>the Gravity Training last week</t>
  </si>
  <si>
    <t>his help with 1Hive's DAO Rush Week open house.</t>
  </si>
  <si>
    <t>leading garden swarm this week backing up sem. With you here there is no way to fail🙏💪</t>
  </si>
  <si>
    <t>trying to make the community understand the parameters</t>
  </si>
  <si>
    <t>the work in the Trusted Seed and Swiss Association Dapp and getting it to its initial phase</t>
  </si>
  <si>
    <t>the awesome Tech Spec forum post and for always being there in the Params team and working on a lot of documentation that are very helpful with the models in the Lab</t>
  </si>
  <si>
    <t>the work towards streamlining the Dao</t>
  </si>
  <si>
    <t>a sweet initial onboarding session with BrightID crew. Gears spinning ⚙</t>
  </si>
  <si>
    <t>working with me on the Why article - thanks for your inputs! 🙌🙏🏼</t>
  </si>
  <si>
    <t>being always everywhere</t>
  </si>
  <si>
    <t>giving Fabian the opportunity to work with 1hive community, for the onboarding hatcher process</t>
  </si>
  <si>
    <t>their interaction in the 1hive discourse</t>
  </si>
  <si>
    <t>his insights and input in Comms WG and narratives! 🙏🏼🌟</t>
  </si>
  <si>
    <t>being always available for all and leading by example</t>
  </si>
  <si>
    <t>their knowledge and feedback shared on the audit proposal you guys rock!🤟🏻</t>
  </si>
  <si>
    <t>taking time to do relevant things for themselves</t>
  </si>
  <si>
    <t>their work on the Marketplace app</t>
  </si>
  <si>
    <t>always editing the praise quant blog 🙏🏼😁💫</t>
  </si>
  <si>
    <t>being the reason we’re here or having us here</t>
  </si>
  <si>
    <t>30 minutes of a meeting today to review the Gardens Comms Roadmap</t>
  </si>
  <si>
    <t>giving me a frisbee in Devcon 3 i still keep! Small things can carry a lot of meaning and become more valuable with time.</t>
  </si>
  <si>
    <t>joining our Commons Stack Simulator sync &amp; their effort to push forward for the public release!!!!</t>
  </si>
  <si>
    <t>collaborating to refine the TEC narrative 🙏🏼🌟🙏🏼</t>
  </si>
  <si>
    <t>sharing resources to make the transparency, audit more robust thank you so much!</t>
  </si>
  <si>
    <t>arranging the amazing Gravity training.</t>
  </si>
  <si>
    <t>Gravity sessions are going to be lit and because what he’s doing is amazing</t>
  </si>
  <si>
    <t>being the center of our culture and representing it so well</t>
  </si>
  <si>
    <t>planning the whole gravity training flow!</t>
  </si>
  <si>
    <t>the way you approach conflict and the ideas you share to make this part of the TEC DNA.</t>
  </si>
  <si>
    <t>the phenomenal Gravitron training course you designed. I could praise you 10 times for this. It’s such a value to the community and you deliver with such integrity and humility.</t>
  </si>
  <si>
    <t>helping to decide the wording of TEC Transparency porposal thanks guys!</t>
  </si>
  <si>
    <t>creating a forum post on graduated sanctions!</t>
  </si>
  <si>
    <t>putting cooking utensils in perspective for future choices</t>
  </si>
  <si>
    <t>the incredible graviton workshop session. The world needs this knowledge ❤️🙏</t>
  </si>
  <si>
    <t>leading the second session of the gravity course, it have huge value! thanks for that🙏</t>
  </si>
  <si>
    <t>the Gravity training, for all the unseen work he’s doing for the Gravity training to happen, for the excellent relationship he and Durgadas are having around Gravity stuff</t>
  </si>
  <si>
    <t>the invaluable education they’re providing to this community</t>
  </si>
  <si>
    <t>the hidden works that you do on the backend that aren’t seen but without which nothing else would work!</t>
  </si>
  <si>
    <t>promptly creating the 0mega channel on discord! 🙌</t>
  </si>
  <si>
    <t>the parameters graphs demo! my mind is blown by the quality of your work and how you communicate is sooo clearly!! 🔥⚗️😭🙌</t>
  </si>
  <si>
    <t>all the magic he’s making in the parameters side, for what he has to do these days with Jake, for doing training for 1hive and spreading the word on Conviction Voting, and for the Lab training last week</t>
  </si>
  <si>
    <t>showing the models on paramms call, thats huge! thanks man🙏</t>
  </si>
  <si>
    <t>being a superstar and growing into this role he’s taking on and he has so many talents, for the cadCAD models and the awesome Jupiter notebooks</t>
  </si>
  <si>
    <t>the lab today.</t>
  </si>
  <si>
    <t>leading the Soft Gov Wg and the Book club. Im so excited that we only have 1 chapter left and that we have learned so much from reading this book all together</t>
  </si>
  <si>
    <t>coaching the spirit foundation team through making a good TEC proposal</t>
  </si>
  <si>
    <t>her work in the TEC code of conduct, this is a very important and hard to write document that has had and still needs hack sessions for polishing, but im sure we will get it trough</t>
  </si>
  <si>
    <t>leading today’s Soft Gov Wg!</t>
  </si>
  <si>
    <t>always looking at things from every possible vantage point.</t>
  </si>
  <si>
    <t>always being there and be like the grounding force and always happy to help with everything, for her work in the Forum and keeping things tidy and organized, and for listening and understanding what Metaverde is doing with accountability</t>
  </si>
  <si>
    <t>keep going with the book club, it's totally transforming my friend zeptimus (he told me that this praise was not heard in the recording today, so I'm recording it now)</t>
  </si>
  <si>
    <t>taking the time to explain the activities to new members</t>
  </si>
  <si>
    <t>keeping the meetings on track and running meetings</t>
  </si>
  <si>
    <t>help with the Forum templates</t>
  </si>
  <si>
    <t>supporting Zep in the Book Club</t>
  </si>
  <si>
    <t>their feedback on TEC narratives and supporting the process</t>
  </si>
  <si>
    <t>supporting my Miro training and supporting more collaborative and creative meeting sessions 🙏🏼😁🌟</t>
  </si>
  <si>
    <t>joining the Commons Simulator call.</t>
  </si>
  <si>
    <t>the TEC website work session this morning (from Marko &amp; Jess) - awesome session thank you all so much! 🙏🏼</t>
  </si>
  <si>
    <t>helping with all proposals and the energy he brings to the meeting and for being a joy in life</t>
  </si>
  <si>
    <t>the weekend onboarding session and for our discussions which led to greater clarity and clear next steps for the two of us this Sprint.</t>
  </si>
  <si>
    <t>the amazing work with the forum layout! ⚡️</t>
  </si>
  <si>
    <t>his help in the params, for new IH tokens that he’s maintaining so that we can all vote on the token parameterization for the hatch, for being like a machine and making things happen really quick, and for always coming in with a lot of energy and his amazing parenting</t>
  </si>
  <si>
    <t>Team JJ content creation.  Really breaking through</t>
  </si>
  <si>
    <t>yesterday's 4h of work on documenting the implementation spec, and having different meetings to work in the hatch design and improve our technology stack</t>
  </si>
  <si>
    <t>4 h work on reimplementing impact hours smart contract and writing some tests</t>
  </si>
  <si>
    <t>helping YGG in a project this week despite being busy</t>
  </si>
  <si>
    <t>discussing the TEC tech progress and helping Paulo with some questions about the Hatch</t>
  </si>
  <si>
    <t>rallying around this last push to get the hash contracts frozen</t>
  </si>
  <si>
    <t>2 hour of pair programming to sync on Gardens tasks</t>
  </si>
  <si>
    <t>working with Sem on the Hatch</t>
  </si>
  <si>
    <t>writing the why article and incorporating everyone's feedbacks 🙌</t>
  </si>
  <si>
    <t>this mind blowing article! I think it's a perfect window into the significance of TEC in todays world: https://hackernoon.com/reboot-a-new-operating-system-for-humanity-up303y8w</t>
  </si>
  <si>
    <t>the awesome Why TEC article, for creating awesome content for TEC, for working so much on writing and spinning these awesome research groups, and for being Jess</t>
  </si>
  <si>
    <t>today’s Comms session to build the story language of the TEC</t>
  </si>
  <si>
    <t>all the grace and passion you show up with every day.</t>
  </si>
  <si>
    <t>her fun working group call about TEC content</t>
  </si>
  <si>
    <t>coming forward in the meeting today and expressing her concerns. Thank you Jess.</t>
  </si>
  <si>
    <t>facilitating the aliens have landed it was super fun🤩</t>
  </si>
  <si>
    <t>always trying to keep the conversation going and the open dialog for everything, for her work in Comms, and for being helpful across the board</t>
  </si>
  <si>
    <t>working the Why article - you rock jess🌟✨</t>
  </si>
  <si>
    <t>organizing the TEC comms and this cool sticky notes exercise on miro</t>
  </si>
  <si>
    <t>helping Max with the proposal and for inviting LeapDAO</t>
  </si>
  <si>
    <t>her patience and implementing new processes, for sharing her perspectives, for working hard on processes and taking feedback graciously, for the good Sprint Retrospective, and for the exercise in the Comms call</t>
  </si>
  <si>
    <t>continuing to unblock the blockers, for being wise and having amazing conversations with Livia, for working hard in the Stewards group, for always keeping us focused and being the light at the end of the tunnel in our meetings</t>
  </si>
  <si>
    <t>her wisdom, curiosity and presence. It's so wonderful to talk with a master in the arts of conversation ❤️</t>
  </si>
  <si>
    <t>creating an onboard duo and there oversight</t>
  </si>
  <si>
    <t>facilitating meetings and being flexible and responsive when concerns are raised. Thank you.</t>
  </si>
  <si>
    <t>the quick briefing about TEC hatcher benefits🙏🏽</t>
  </si>
  <si>
    <t>5 hours of research for prepping the Gardens Comms Roadmap for the following month:</t>
  </si>
  <si>
    <t>1:30 hours of work in the 1hive wiki update for Gardens Swarm and the 1hive Forum post to go live on Monday</t>
  </si>
  <si>
    <t>his extensive and in depth article on 1Hive's Discourse about Gardens, TEC, bonding curves, and all the things. &lt;https://forum.1hive.org/t/getting-closer-to-the-gardens-swarm/1977?u=chuygarcia92&gt;</t>
  </si>
  <si>
    <t xml:space="preserve">1.5 hours of work in the weekly update and prep for Tuesday's AMA </t>
  </si>
  <si>
    <t>his big impact on the gardens swarm (TEC swarm)</t>
  </si>
  <si>
    <t>1.5 hours working on the forum post that has better comms between the swarm and the 1hive community as an objective https://forum.1hive.org/t/getting-closer-to-the-gardens-swarm/1977?u=chuygarcia92</t>
  </si>
  <si>
    <t>doing a great job in communication between Gardens Swarm and 1hive</t>
  </si>
  <si>
    <t>cat herding!</t>
  </si>
  <si>
    <t>1 hour of research for the update of the 1hive Gardens Wiki</t>
  </si>
  <si>
    <t>45 minutes of reviewing information for tomorrow's forum post: https://docs.google.com/document/d/1oKsEcnah4xuBxWFAMKcPn-72NSOreUFkhn2SiAfalQo/edit?usp=sharing</t>
  </si>
  <si>
    <t>joining TEC. Your enthusiasm and initiative are inspiring.</t>
  </si>
  <si>
    <t>the awesome facilitation of todays book club 🥳</t>
  </si>
  <si>
    <t>putting together this epic "Tools for the Regenerative Renaissance" 6-week class, and sharing her offering with us!</t>
  </si>
  <si>
    <t>helping Tam a lot with PrimeDAO</t>
  </si>
  <si>
    <t>his kindness in making sure CS is looped into the PrimeDAO voting and other happenings there.</t>
  </si>
  <si>
    <t>pushing forward on the options of the other metrics for the end users to see on the results page.</t>
  </si>
  <si>
    <t>taking the lead in the LeapDAO project</t>
  </si>
  <si>
    <t>their great communication in the channel and being hot to trot!</t>
  </si>
  <si>
    <t>this great article on Open Source trash cleanup - a topic near &amp; dear to our hearts, and one of our first examples of a Commons deployment! 😄 https://opensource.com/article/21/1/openlittermap</t>
  </si>
  <si>
    <t>0mega WG proposal and the value that will come from the focus on the research on Token Engineers and the environments we operate in.</t>
  </si>
  <si>
    <t>3 hours of work on celeste creating deposit and withdraw modal screens</t>
  </si>
  <si>
    <t>4 hours of work on Monday and Tuesday, finished the screens for create proposal and action fees in honey pot.</t>
  </si>
  <si>
    <t>2hs of work on 1hive celeste project</t>
  </si>
  <si>
    <t>yesterday's 1:30h of work: Reviewing pr and started to work on honey-pot.</t>
  </si>
  <si>
    <t>taking on a very important task on the front-end of Conviction Voting</t>
  </si>
  <si>
    <t>his excellent support for Comms and for reaching out to Metaverde consistently about the Discord migration</t>
  </si>
  <si>
    <t>stepping up and helping with comms</t>
  </si>
  <si>
    <t>bringing your can-do energy to the TEC.</t>
  </si>
  <si>
    <t>his beautiful Figma's once again</t>
  </si>
  <si>
    <t>working with me to scaffold the upcoming governance article 🙏🏼🔥🙏🏼</t>
  </si>
  <si>
    <t>your presence and thoughtfulness in the Onboarding WG.</t>
  </si>
  <si>
    <t>booting a spammer from the TEC Channel!</t>
  </si>
  <si>
    <t>he’s always so focused and it’s great to come to his calls</t>
  </si>
  <si>
    <t>2.5 hours of work with the design for the hatch site, for adding the changes discussed on the weekly sync meeting and some adjustements discussed with Sem</t>
  </si>
  <si>
    <t>listening and hearing and all that you are doing with our best interest at heart.</t>
  </si>
  <si>
    <t>retweeting/mentioning TE Commons on Twitter and helping us grow the TEC community and spreading the message! 🙏🏽😊</t>
  </si>
  <si>
    <t>going the extra mile on getting the cslove shop working this weekend. It’s been a pleasure to partner with you on this.</t>
  </si>
  <si>
    <t>coming to the meeting despite being busy with Discord, for the backend things he’s working on, and for doing his work on the Discord</t>
  </si>
  <si>
    <t>being there to give a hand over when it’s most needed.</t>
  </si>
  <si>
    <t>working behind the scenes for Gardens Swarm</t>
  </si>
  <si>
    <t>his enthusiasm in dishing praise :D</t>
  </si>
  <si>
    <t>getting this project moving by uttering just one sentence</t>
  </si>
  <si>
    <t>all the work you put into Octalysis and your care for the Trusted Seed.</t>
  </si>
  <si>
    <t>joining the Comms WG call today - wonderful to have you thank you for joining! 🙏🏼😁💫</t>
  </si>
  <si>
    <t>joing the TE Praise channel. We appreciate your presence ☺</t>
  </si>
  <si>
    <t>joining the TE praise channel - welcome Andreas! 🙏🏼😁</t>
  </si>
  <si>
    <t xml:space="preserve">#10 IH: </t>
  </si>
  <si>
    <t>Zepti</t>
  </si>
  <si>
    <t>keeping Sem some company during the holidays</t>
  </si>
  <si>
    <t>their cool friendship and working together side-by-side</t>
  </si>
  <si>
    <t>ringing in the new year with us last Thursday call! 🎉🥳</t>
  </si>
  <si>
    <t>their influence in making my experience in the TEC something unforgettable, motivating and enlightening. Much gratitude, admiration and respect to all of you.</t>
  </si>
  <si>
    <t>coming and recording the gardens swarm call as every time, and for writing the transparency wg forum post! https://forum.tecommons.org/t/transparency-working-group/197</t>
  </si>
  <si>
    <t>donating to Commons Stack Community Fund Panvala League Grant</t>
  </si>
  <si>
    <t>donating to Token Engineering Commons Gitcoin Grant</t>
  </si>
  <si>
    <t>donating to the Commons Simulator Grant... which btw... watch out for an email this week for a special invite to be the first  to play the game before its completely done ;-D</t>
  </si>
  <si>
    <t>initiating to create Transparency zenhub issues, so much dedication! 😄</t>
  </si>
  <si>
    <t>joining the art of recording!</t>
  </si>
  <si>
    <t>helping me fix my Discord settings 🙏🏼😂</t>
  </si>
  <si>
    <t>joining the book club call yesterday!</t>
  </si>
  <si>
    <t>joining soft gov call and working on the code of conduct document!! 🙌⚡️⚡️⚡️</t>
  </si>
  <si>
    <t>supporting with the cadCAD YouTube channel! 🙏🏼🙏🏼🙏🏼🌟 You're a star!!!</t>
  </si>
  <si>
    <t>the future of transparency and all of its potential.</t>
  </si>
  <si>
    <t>taking on additional work outside TEC like the cadCAD stuff</t>
  </si>
  <si>
    <t>putting so much work as stewards of the TEC community and to everyone in the call for sticking around and always showing up and taking on responsibilities</t>
  </si>
  <si>
    <t>joining the TEC Community Call this week 🙏🏼🌟</t>
  </si>
  <si>
    <t>hosting, presenting, recording, editing, and uploading the cadCAD community call this month!</t>
  </si>
  <si>
    <t>joining the Transparency WG call today and sharing their thoughts and suggestions to help us reach our goals 😀🙏🏼</t>
  </si>
  <si>
    <t>joining Legal WG session</t>
  </si>
  <si>
    <t>joining in las week’s Gravity Wg call. Thank you for your time and ideas. Really happy about the Gravity training!</t>
  </si>
  <si>
    <t>all of their valuable time and feedback in joining the Communications Working Group call today! 🙏🏼🌟 Thank you!</t>
  </si>
  <si>
    <t>all of your energy and clarity on today's Onboarding WG weekly sync  🎆 ☄</t>
  </si>
  <si>
    <t>their great work on the TEC TEST Hatch DAO Implementation Spec: https://docs.google.com/document/d/1v8rCByLYQrpyaLRXW5v0ZSPD5gecu-G1B99FMrcnSOw/edit</t>
  </si>
  <si>
    <t>joining the TEC Weekly Sync 🙏🏼🙌🏽</t>
  </si>
  <si>
    <t>joining the Code of Conduct hack session yesterday! 🙌🙌</t>
  </si>
  <si>
    <t>joining the last book club! 📚🤓</t>
  </si>
  <si>
    <t>sharing your life stories in the Gravity call! I'm fascinated by all of you and honor your paths until here!</t>
  </si>
  <si>
    <t>joining a two hours hack session on the Code of Conduct! you guys rock! ⚡️</t>
  </si>
  <si>
    <t>assisting yesterday’s introductory session to the Gravity training. It was amazing to see how, coming from different life experiences, our lives end up encountering in the same moment, and how each ones history is valuable and helps us undertand the other and oneself.</t>
  </si>
  <si>
    <t>being so present and helping to manage the transparency group, recording and having ideas to collaborate in each session.</t>
  </si>
  <si>
    <t>joining the weekly Legal WG call</t>
  </si>
  <si>
    <t>his legal forum post</t>
  </si>
  <si>
    <t>mentioning us or retweeting us on the socials in December! Thank you for helping us growing the Commons Stack community and spreading the message! 💪🙏</t>
  </si>
  <si>
    <t>all the incredible hard work in the commons and data gathering and keeping legal together.</t>
  </si>
  <si>
    <t>their work on SourceCred</t>
  </si>
  <si>
    <t>mentioning or retweeting TE Commons on the socials the past week! Thank you for helping us grow the Token Engineering Commons community and spreading the message! 🙏🏼🌟</t>
  </si>
  <si>
    <t>so much help whenever Im confused. He got me right up to speed on understanding xdai and even sent me one to get started</t>
  </si>
  <si>
    <t>the development in Source Cred and all the work they do behind the scenes and having everything ready</t>
  </si>
  <si>
    <t>his willingness to assist and get things done in Source Cred</t>
  </si>
  <si>
    <t>DUPLICATE</t>
  </si>
  <si>
    <t>coming to the gardens swarm weekly sync!</t>
  </si>
  <si>
    <t>always tracking Impact Hours contributions, we currently have 199 total contributors receiving IH, 16 new in the last month! 🥳🥳</t>
  </si>
  <si>
    <t>also working on the news blog - thank you Craig for supporting while I took holiday, super appreciate it!! 🙏🏼💫❤️</t>
  </si>
  <si>
    <t>supporting the Comms WG</t>
  </si>
  <si>
    <t>their great conversations with Dan and helping with the Trusted Seed</t>
  </si>
  <si>
    <t>all the addys for impact hours and putting it all together.  If those with impact hours check theres you have received IHT for voting in the TESTHATCH</t>
  </si>
  <si>
    <t>always praising the community call’s praises and helping in the Transparency group</t>
  </si>
  <si>
    <t>helping us get organized with the call agendas 😍</t>
  </si>
  <si>
    <t>joining so fast to hack on zenhub issues for transparency 🤘🤘</t>
  </si>
  <si>
    <t>the amazing work that these ladies are doing for the community</t>
  </si>
  <si>
    <t>the energy in pushing and motivating Zep to do things</t>
  </si>
  <si>
    <t>joining the Transparency WG call today and sharing their thoughts and suggestions to help us reach our goals😜</t>
  </si>
  <si>
    <t>setting up praise for forum contributions and tweets - awesome work thank you!! 🌟🌟🌟</t>
  </si>
  <si>
    <t>helping everyone out and doing all the stuff we have trouble doing, for working on the Legal document real quick, for having a lot of energy to do the work</t>
  </si>
  <si>
    <t>our calls today. Sometimes we may feel a bit lost since we are building things that don't exist yet, as it's my case sometimes, but having you along makes a total difference. Thank you for your help.</t>
  </si>
  <si>
    <t>Gets paid from the Gardens Swarm so she gets 50% of her IH</t>
  </si>
  <si>
    <t>his hard work on the Hatch and for providing a huge place to work together with Zep</t>
  </si>
  <si>
    <t>the HATCH!  And whoever has to tally IH on the next praise sheet include everyone in the Garden Swarm!!!!!</t>
  </si>
  <si>
    <t>their great teamwork despite the difficulty of gathering online and for their excellent connections</t>
  </si>
  <si>
    <t>fixing the bug in the  the IH smart contract and creating our first vote on Dandelion voting  https://forum.tecommons.org/t/upgrade-impact-hours-app/208</t>
  </si>
  <si>
    <t>getting to the bottom of the bottom of all the most particular details of the hatch including the crazy exchange rate math. Great work fellas https://forum.tecommons.org/t/hatch-exchange-rate/190</t>
  </si>
  <si>
    <t>being alive and awesome and for being always in a good mood</t>
  </si>
  <si>
    <t>the offline outreach and communication to YGG</t>
  </si>
  <si>
    <t>their amazing contributions designing the study plan of the Gravity training and promoting it to gather interested people from different communities</t>
  </si>
  <si>
    <t>the mind expanding presentation on decolonialism in the spiral dynamics study group yesterday!</t>
  </si>
  <si>
    <t>accepting the role to lead one of the sessions of the Gravity training</t>
  </si>
  <si>
    <t>helping in the Gravity training and helping me undertand insighful concepts that help to embrace life with compassion and mindfulnes</t>
  </si>
  <si>
    <t>giving an awesome idea for the recording remainder🤘</t>
  </si>
  <si>
    <t>taking leads in the Book Club readings</t>
  </si>
  <si>
    <t>always interesting conversations, and so much hype and interest in everything across the board, and good feedback on the labs</t>
  </si>
  <si>
    <t>recording the TE Params hack sesh on cadCAD Models</t>
  </si>
  <si>
    <t>joinging the TE Params hack sesh on cadCAD Models</t>
  </si>
  <si>
    <t>joining Juan in the journey of bringing the TEC concept to their community</t>
  </si>
  <si>
    <t>all the work he’s doing in the Source Cred and diving deeply into the test distribution and for being participative in the calls</t>
  </si>
  <si>
    <t>the amazing DAO Rush Week event 🙌⚡️</t>
  </si>
  <si>
    <t>sending 4000 PAN to the continuity of Governing the Commons book club! 🙌🥳</t>
  </si>
  <si>
    <t>updating the limit of the Pair Programming channel where the gardens swarm calls are happening</t>
  </si>
  <si>
    <t>putting together a great overview on the wiki https://1hive.gitbook.io/1hive/projects/gardens</t>
  </si>
  <si>
    <t>helping Gardens Swarm perfect their request for more funding from 1hive community</t>
  </si>
  <si>
    <t>his awesome work with Gravity and for working with Mateo to bring the TEC to their community</t>
  </si>
  <si>
    <t>jumping into the first praise quant of the year ✨🥳🙌⚡️</t>
  </si>
  <si>
    <t>developing a gravity course!</t>
  </si>
  <si>
    <t>leading the book club "governing the commons" chapter 5</t>
  </si>
  <si>
    <t>grabbing a gear and going for it with Gravity.  HUGE ground to move and make.  Who has the pearl now?</t>
  </si>
  <si>
    <t>the amazing work he’s doing in the Gravity such as the classes he puts together, for good quality content for reading and learning about Gravity, for the exciting things going on in the Gravity calls</t>
  </si>
  <si>
    <t>joining the code of conduct hack session!! I really appreciate your presence and work to push this huge document forward!</t>
  </si>
  <si>
    <t>the effort in setting up the Gravity training and the curriculum that will bring a lot of value to the community, for the huge value he’s offering to the community, for a lot of work and enthusiasm in the Gravity training, for taking the Gravity training forward</t>
  </si>
  <si>
    <t>facilitating a beautiful Gravity session yesterday! I appreciate your sensitivity and subtleness Juan ❤️</t>
  </si>
  <si>
    <t>coding and working on the connector with Sem and Paulo</t>
  </si>
  <si>
    <t>joining the Gardens Swarm</t>
  </si>
  <si>
    <t>being such a glue that keeps people and projects together. I see her active in every single discord channel 🙈 Major praise.</t>
  </si>
  <si>
    <t>starting a sync-up on CRM for TEC stuff</t>
  </si>
  <si>
    <t>replying with a really good question to the legal forum post</t>
  </si>
  <si>
    <t>presenting the bookclub at the DAO Rush Week open house event!</t>
  </si>
  <si>
    <t>all her work on the legal forum post and other amazing posts like what proposals we look for and for doing a great job on comms stuff and cool designs that are coming out</t>
  </si>
  <si>
    <t>onboarding @MerlinEgalite to TE!</t>
  </si>
  <si>
    <t>writing about the projects that should submit proposals to the TEC! https://forum.tecommons.org/t/tec-funding-proposals-what-kinds-of-projects-should-apply/191 🤘⚡️✨</t>
  </si>
  <si>
    <t>all of her hardwork and massive load and knowing when to ask for help.  Its harder then most think</t>
  </si>
  <si>
    <t>always creating blog posts and graphic designs for TEC, for always showing up with heart and kindness that everyone feels</t>
  </si>
  <si>
    <t>standing out and being present in every group</t>
  </si>
  <si>
    <t>giving me the power to praise!</t>
  </si>
  <si>
    <t>the championing the TEC blog, so many gems in there. I love the distillation process of TEC Working Groups -&gt; Community Call -&gt; Forum Posts -&gt; Blog Posts -&gt; TECH</t>
  </si>
  <si>
    <t>the lead on a sweet TE opportunity with Luna swarm: https://forum.1hive.org/t/luna-swarm-expanding-the-1hive-cadcad-model/1190</t>
  </si>
  <si>
    <t>being an amazing team and moving mountains being present and connecting so many fronts!</t>
  </si>
  <si>
    <t>helping Juan in promoting the Gravity training and for coordinating the Comms</t>
  </si>
  <si>
    <t>her very generous contribution of her legal expertise in the Legal working group</t>
  </si>
  <si>
    <t>her TE Academy webinar „Introduction to Token Engineering“</t>
  </si>
  <si>
    <t>working continuously these holidays and keeping the vibes high, for getting things done for Jake, for letting Mateo join this community and giving him good opportunities the past year, and for his genuine care for the community members</t>
  </si>
  <si>
    <t>sending some wrapped DAI gifts through Caga Tio and writing our last blog post! https://medium.com/token-engineering-commons/caga-t%C3%ACo-delivers-wxdai-updates-on-tec-proposals-legal-strategy-25dd5c0d087</t>
  </si>
  <si>
    <t>THIS GODLY DATA https://docs.google.com/spreadsheets/d/1qvmwwlUHnQWYc2JQRoE1Qo_IKx6a4CI9ehWIMvkiqFc/edit#gid=1582481479</t>
  </si>
  <si>
    <t>sunday hack session about params, visualizations and different possible min raise scenarios for the hatch</t>
  </si>
  <si>
    <t>joining our Commons Stack Simulator sync &amp; continuing to push us to the public release!</t>
  </si>
  <si>
    <t>being active in the 1hive forum and managing the expectations in 1hive and coordinating with a lot of people and for complementing with Sem, for the slideshow for Craig, and for being connected everyday and for his huge commitment to the project</t>
  </si>
  <si>
    <t>being so proactive and managing so much responsibilities while actively listening and having an insightful point of view that helps to give the best of us</t>
  </si>
  <si>
    <t>coordinating and pushing so hard behind the scenes to get the Trusted Seed release out</t>
  </si>
  <si>
    <t>posting the meeting agenda on the TEC general channel, for the work she does for Soft Gov and leading the Cultural Build in the organization and always thinking and rethinking how we can do better, for doing a good job in Soft Gov and Book Club</t>
  </si>
  <si>
    <t>continuing the awesome work on the organizing the forum and governance streams! 🌟🌟🌟</t>
  </si>
  <si>
    <t>always caring for our finicky bot and valued community members 🤲</t>
  </si>
  <si>
    <t>being the person Jess can always go to</t>
  </si>
  <si>
    <t>her leadership in soft gov and her continous work in the community and all our projects.</t>
  </si>
  <si>
    <t>coordinate and leading 3 hack sessions on the code of conduct your presence is huge🙏💪</t>
  </si>
  <si>
    <t>the Continuous Deployment of the Backend Server, keeping our simulation up-to-date as we roll out and improve!</t>
  </si>
  <si>
    <t>checking in at all the right times to keep clarity, momentum, and hype going!!! Seriously, thank you Jake, means a lot.</t>
  </si>
  <si>
    <t>always coming and offering help</t>
  </si>
  <si>
    <t>his positive energy and connecting the community with the paramms🎇</t>
  </si>
  <si>
    <t>submitting and presenting the TEC to the DAO Rush Week!! 🥳</t>
  </si>
  <si>
    <t>hosting the TEC open house at the DAO Rush Week!</t>
  </si>
  <si>
    <t>leading the open house today</t>
  </si>
  <si>
    <t>the 30-sec explainer how defi is running, for promoting and talking about the Gravity Training in the DAO Rush Open House, for his energy that makes everything more exciting, for helping so much with the branding and design, and because the Open House turned out well</t>
  </si>
  <si>
    <t>he always has great energy and i find it amazing how he manages to work while involving and having fun with his kids</t>
  </si>
  <si>
    <t>taking the time to talk (swag) shop with me today.</t>
  </si>
  <si>
    <t>the great progress being made on the Commons Stack Swag Store</t>
  </si>
  <si>
    <t>preparing the first book club of the year with Juan</t>
  </si>
  <si>
    <t>organizing the stewards call we will have tomorrow into a TEC sprint planning ⭐️ You're making the hatch look so much easier!</t>
  </si>
  <si>
    <t>creating a real world high level of communication between the working groups in our new steward calls.  Exxon Mobile would love you!!</t>
  </si>
  <si>
    <t>always being the person Jess can go to with anything and for supporting everybody</t>
  </si>
  <si>
    <t>her guiding light and migration to Zenhub</t>
  </si>
  <si>
    <t>fixing Santi’s notifications on Github and for keeping us organized and keeping us on track, for being helpful in organizing the things Sem are doing this week</t>
  </si>
  <si>
    <t>continuously thinking about alternative contribution reward systems</t>
  </si>
  <si>
    <t>tackling remaining issues in the Swiss Membership Dapp</t>
  </si>
  <si>
    <t>coming to the TEC open house</t>
  </si>
  <si>
    <t>dishing praise to @boring for being at the open house 😉</t>
  </si>
  <si>
    <t>being enthusiastic in joining the Onboarding call and supporting some of the works</t>
  </si>
  <si>
    <t>the sage advice and support in building a stronger connection between the Gardens Swarm and 1 hive</t>
  </si>
  <si>
    <t>being at the open house.</t>
  </si>
  <si>
    <t>cadCad TEC labs and his awesome proposal!!</t>
  </si>
  <si>
    <t>his big win yesterday</t>
  </si>
  <si>
    <t>LAB presentation, it looks amazing, TE public good!! https://www.youtube.com/watch?v=RIuoVMQfbNM</t>
  </si>
  <si>
    <t>an amazing lab session today!</t>
  </si>
  <si>
    <t>his awesome TEC lab session.</t>
  </si>
  <si>
    <t>duplicate</t>
  </si>
  <si>
    <t>DUplicate</t>
  </si>
  <si>
    <t>making a channel for TEC Templates</t>
  </si>
  <si>
    <t>the contributions he do every week uploading labs and other recordings he find interesting and adding to playlist and keeping the flow, thanks 🙏</t>
  </si>
  <si>
    <t>helping us improve the Gardens Swarm Direction and even commenting on the TEC's Github Issues!</t>
  </si>
  <si>
    <t>doing a tough job really well for the community</t>
  </si>
  <si>
    <t>incredibly hype graphics  - looking forward to integrating these into streams and recordings for the lab</t>
  </si>
  <si>
    <t>creating worthwhile designs and being an art santa!</t>
  </si>
  <si>
    <t>all the cool designs he’s working on</t>
  </si>
  <si>
    <t>all the dedication he's been having to the TEC Case Study! 🌱🎉</t>
  </si>
  <si>
    <t>this super cool cadCAD wrapper (with praise working this time)! 🛠🚀</t>
  </si>
  <si>
    <t>bringing up that the praise bot wasn't working right here... I think/hope I fixed it 😃</t>
  </si>
  <si>
    <t>helping me make the cadCAD praise bot response CORRECT!</t>
  </si>
  <si>
    <t>helping me make the cadCAD praise bot response MERGED!</t>
  </si>
  <si>
    <t>joining the TE Praise channel. Welcome &amp; happy 2021 🎊</t>
  </si>
  <si>
    <t>3 hours of work related to the changes needed for the hatch page</t>
  </si>
  <si>
    <t>working on the front-end of the hatch and some updates</t>
  </si>
  <si>
    <t>working on the backend of the forum with Kris</t>
  </si>
  <si>
    <t>1 hour of work with @sembrestels finding the issue of vercel when deploying ui library in tec projects.</t>
  </si>
  <si>
    <t>helping out with some problems in the hatch</t>
  </si>
  <si>
    <t>jumping on a call with me to refine the scope of the Spirit Foundation proposal that is coming up soon 🙌</t>
  </si>
  <si>
    <t>being an awesome PM &amp; cat herder</t>
  </si>
  <si>
    <t>30 min work in getting up to speed with whats been done and a code review for the tec-ui PR</t>
  </si>
  <si>
    <t>35 min work in a PR to support more favicons in tec-convert and started to work in the exit/entry tribute infos also on the converter</t>
  </si>
  <si>
    <t>40min work investigating the market maker contract to get the fee values for the conversion in the tec-converter</t>
  </si>
  <si>
    <t>joining the TE Praise channel ☺💥</t>
  </si>
  <si>
    <t>doing some work in the Hatch with Gabi</t>
  </si>
  <si>
    <t>Anthonyoliai</t>
  </si>
  <si>
    <t>1h work, setting up a feedback widget (Freshdesk) for both TEC-pot and the TEC-hatch frontend</t>
  </si>
  <si>
    <t>setting up the Discord servers</t>
  </si>
  <si>
    <t>joining the TE Praise channel! Welcome Mercedes🙏🏼😁🌈</t>
  </si>
  <si>
    <t>mentioning or retweeting the Commons Stack in September and also for saying hi in the chat so the bot could recognize him! Praise still tastes good even 3 months later ☺️</t>
  </si>
  <si>
    <t xml:space="preserve">#9 IH: </t>
  </si>
  <si>
    <t>10h of work on integrating the impact hour app into the tec-template and deploying the smart contracts on xdai</t>
  </si>
  <si>
    <t>working 5h on implementing the impact hours aragon app (tests are still to be done): https://github.com/TECommons/impact-hours-app</t>
  </si>
  <si>
    <t>4h of work on testing and launching the hatch demo. Everything is prepared, we only need to redeploy the graph</t>
  </si>
  <si>
    <t>3h work on onboarding Adrià who is going to review the smart contracts and on discussing with Fiore which is the best way to show the hatch goals, cstk limit and cultural tribute in the hatch frontend</t>
  </si>
  <si>
    <t>the many hours they spend coding that go unnoticed many times</t>
  </si>
  <si>
    <t>being subject matter experts and their efforts in decentralized coordination</t>
  </si>
  <si>
    <t>attending last week tech spec meeting</t>
  </si>
  <si>
    <t>the amazing work he’s done for the Carrib community</t>
  </si>
  <si>
    <t>their awesome accomplishments in the TEC project</t>
  </si>
  <si>
    <t>joining the Cagatio Event last Thursday</t>
  </si>
  <si>
    <t>hitting their first milestone in Commons Simulator</t>
  </si>
  <si>
    <t>donating to Commons Stack Iteration 0 Gitcoin grant, helping us raise over 14,000 DAI to build the future of high functioning Public Goods focused economies!</t>
  </si>
  <si>
    <t>Only charged for 15 hours to the Garden Swarm to save money this period so he gets 50% of his IH</t>
  </si>
  <si>
    <t>the legal workings and also attending most meetings</t>
  </si>
  <si>
    <t>all of his hard work on the legal recommendations and working on the forum post 🌟🌟🌟</t>
  </si>
  <si>
    <t>all of their hard work on the legal forum post! 🙌💫</t>
  </si>
  <si>
    <t>all the brilliant work he’s doing in Legal</t>
  </si>
  <si>
    <t>all of your valued input and nice holiday cheer at this week's Onboarding WG sync. 🎊 🙏</t>
  </si>
  <si>
    <t>joining the book club last week! 🙌✨🤓</t>
  </si>
  <si>
    <t>their interactions with Mateo</t>
  </si>
  <si>
    <t>being in the Hatch Params call</t>
  </si>
  <si>
    <t>joining the last soft gov call!! 🌱</t>
  </si>
  <si>
    <t>the Communications WG call today - was so amazing to have all of the discussions and feedback to get clarity and focus 🙏🏼🙏🏼🙏🏼🙌🌟🌟🌟</t>
  </si>
  <si>
    <t>the fun blog post this round</t>
  </si>
  <si>
    <t>doing a lot of work we don’t see</t>
  </si>
  <si>
    <t>filling the glossary section of the forum!</t>
  </si>
  <si>
    <t>doing Gitcoin Grant thank yous and rounding up all the holidays infos on the calendar 🙏🏼🙌</t>
  </si>
  <si>
    <t>all the work he does outside the community and also listening in every call</t>
  </si>
  <si>
    <t>all the work on the glossary section in the forum! Thank you! 🙏🏼</t>
  </si>
  <si>
    <t>his great idea of adding the praise bot to the Swiss Membership DApp Channel</t>
  </si>
  <si>
    <t>CSTK Token DApp</t>
  </si>
  <si>
    <t>taking on leading the DAO Book, Club Governing the Commons, yesterday and for continuing to be there every week.</t>
  </si>
  <si>
    <t>leading the book club this week, for being in every call and his ability to listen and gather information for every one and gives his point of view</t>
  </si>
  <si>
    <t>working through many iterations on the TEC intro video.</t>
  </si>
  <si>
    <t>recording gravity and cagatio event you rock🤘🤘</t>
  </si>
  <si>
    <t>recording our wild Praisemas!</t>
  </si>
  <si>
    <t>being welcoming when it comes to getting involved in this community</t>
  </si>
  <si>
    <t>the recordings but mostly for being so genuine</t>
  </si>
  <si>
    <t>all his hardwork and @Sponnet2  for his work towards the commons.  Miss you guys!</t>
  </si>
  <si>
    <t>his amazing work in the lab and keeping it recorded every week you rock!</t>
  </si>
  <si>
    <t>the amazing tec lab he's offering</t>
  </si>
  <si>
    <t>updating the Commons Simulator UI and closing issues on Github!</t>
  </si>
  <si>
    <t>their help in reaching this awesome milestone! We are going to release the Simulator to the Donors of our gitcoin grant TONIGHT! Everything is being merged to master and its starting to look dreamy! https://sim.commonsstack.org/ 😍</t>
  </si>
  <si>
    <t>joining in the Merge-to-Master party happening right now to push this puppy to the finish line!</t>
  </si>
  <si>
    <t xml:space="preserve">joining our Commons Stack Simulator sync yesterday &amp; continuing to push this project to the finish line!! </t>
  </si>
  <si>
    <t>joining the dev team and bringing his attention to detail to the UI making a designer happy 🙂</t>
  </si>
  <si>
    <t xml:space="preserve">joining our Commons Stack Simulator sync ... We are sooooo close!! Just a few more issues to tackle... </t>
  </si>
  <si>
    <t>taking care of the simulation backend</t>
  </si>
  <si>
    <t>taking care of the simulation backend 😎</t>
  </si>
  <si>
    <t>helping Juan with community building in Colombia and inviting him to Giveth</t>
  </si>
  <si>
    <t>their overall presence, and stability of mind and the work in gravity</t>
  </si>
  <si>
    <t>all her contributions that I'm looking forward to read in philosophy channel</t>
  </si>
  <si>
    <t>their feedback on the funding proposal forum post 🙏🏼😘🌟</t>
  </si>
  <si>
    <t>many insightful contributions to the DAO Book Club Governing the Commons and steering our chapter 3 session so well.</t>
  </si>
  <si>
    <t>leading the book club last week, for being helpful and giving suggestions to Tongga, and for attending the community call last Thursday</t>
  </si>
  <si>
    <t>9 work hours on Monday, Tuesday and Wednesday. Integrated latest hatch contract changes and the xdai deployment into the hatch connector and frontend. Worked on the market maker connector implementing the event mapping functions (Tonga recorded the session)</t>
  </si>
  <si>
    <t>the amazing development on the hatch-connector (using the graph protocol), his support during these last days, and the new awesome hatch frontend!</t>
  </si>
  <si>
    <t>everything he does everyday</t>
  </si>
  <si>
    <t>giving a nice welcome to kewin</t>
  </si>
  <si>
    <t>giving me praise powers</t>
  </si>
  <si>
    <t>adding the praise bot and enabling ppl to dish praise here  !</t>
  </si>
  <si>
    <t>providing Figma comments on the latest TEC website. (Marko)</t>
  </si>
  <si>
    <t>onboarding Mateo to the TEC project</t>
  </si>
  <si>
    <t>bringing Tam in the project, for being an excellent leader and person</t>
  </si>
  <si>
    <t>daithiC</t>
  </si>
  <si>
    <t>finding a DLT project to "#!£$* I forgot to do that defi thingy' shared in tec-general discord channel 5hrs ago</t>
  </si>
  <si>
    <t>his basically lectures in the dao book club</t>
  </si>
  <si>
    <t>mentioning Praise :) and the Commons Stack in her recent overview article. https://www.coindesk.com/daos-2020-good-bad-ugly</t>
  </si>
  <si>
    <t>keeping at a very hard problem to solve bringing the commons to a visual place.</t>
  </si>
  <si>
    <t>the figma of the TEC website</t>
  </si>
  <si>
    <t>the amazing animation and compilation of images for TEC branding</t>
  </si>
  <si>
    <t>all of his continuing hard work on making 🔥 branding</t>
  </si>
  <si>
    <t>giving feedback on YB  overlay, and creating all those logos!! It looks fantastic!!🙏🏻</t>
  </si>
  <si>
    <t>spending hours talking to me providing guidance and feedback on TEC website design (from Marko)</t>
  </si>
  <si>
    <t>the warm welcome she gave me at the beginning and for the warm welcome she gives to everyone</t>
  </si>
  <si>
    <t>being always available to help everybody</t>
  </si>
  <si>
    <t>the warm welcome they gave Tam</t>
  </si>
  <si>
    <t>teaching telegram triks😜🙏</t>
  </si>
  <si>
    <t>all the softgov work and the dao book club and also attending most calls</t>
  </si>
  <si>
    <t>the Onboarding WG Forum post 🙏</t>
  </si>
  <si>
    <t>being an amazing person</t>
  </si>
  <si>
    <t>the amazing intros and the sunday funday workdays 💪</t>
  </si>
  <si>
    <t>the awesome GIFs and memes!!! 🔥😂</t>
  </si>
  <si>
    <t>playing design tennis with me and providing constructive critics and feedback on TEC website design which helped me get unstuck and get closer to the final visual direction. (from Marko)</t>
  </si>
  <si>
    <t>dive into gods of war gods of peace, your history telling make me want to read that book so badly</t>
  </si>
  <si>
    <t>being in the Hatch Params call and dishing praise. jaja</t>
  </si>
  <si>
    <t>the forum post/s</t>
  </si>
  <si>
    <t>4h of work between sunday and monday for the new ui of tec-interface</t>
  </si>
  <si>
    <t>2 hours of work on the tec-hatch design</t>
  </si>
  <si>
    <t>her amazing energy and work predisposition</t>
  </si>
  <si>
    <t>being warm with everyone and helping with projects</t>
  </si>
  <si>
    <t>making sure we have conflict resolutions in this community</t>
  </si>
  <si>
    <t>being present in the call</t>
  </si>
  <si>
    <t>having such an easy going energy</t>
  </si>
  <si>
    <t>preparing the spreadsheet as every week, thank you so much!</t>
  </si>
  <si>
    <t>recording Cagatio event it was super fun to watch!</t>
  </si>
  <si>
    <t>1CgracWbofjq2gRY6FXkvaenFN2UquHzAon74h5PNYQjgpA</t>
  </si>
  <si>
    <t>2h of work on changes of designs and colors for components that were missing at the devbox</t>
  </si>
  <si>
    <t>always being there when needed! It has been amazing to solve with you hatch frontend ux/ui problems!</t>
  </si>
  <si>
    <t>inviting our community to the meditation</t>
  </si>
  <si>
    <t>offering to fight the good fight against the bots. You have been mod'd 😉</t>
  </si>
  <si>
    <t>participating in the community building efforts in Latin America</t>
  </si>
  <si>
    <t>coming to the calls, always great to see you join!</t>
  </si>
  <si>
    <t>joining the TE Praise channel! 🙏🏼 Welcome! 😁🌈🌟</t>
  </si>
  <si>
    <t xml:space="preserve">#8 IH: </t>
  </si>
  <si>
    <t>Tam</t>
  </si>
  <si>
    <t>Santi</t>
  </si>
  <si>
    <t>incentiveless jumping in the praise quantification this saturday and for adding so much to the discussion to improve our quantification system ⚡️🙌💫</t>
  </si>
  <si>
    <t>updating the IH chart! https://tokenengineeringtest.herokuapp.com/</t>
  </si>
  <si>
    <t>answering questions in the channel 🙏🏼</t>
  </si>
  <si>
    <t>their energy and supporting the Communications Working Group - I super appreciate you taking the time to work together 🙏🏼❤️❤️❤️</t>
  </si>
  <si>
    <t>reviewing the DApp with a critical legal eye</t>
  </si>
  <si>
    <t>joining the bookclub yesterday! It's amazing to see this room so full, thanks for your presence, reflections and commitment 🙌⭐️📚🤓</t>
  </si>
  <si>
    <t>joining the soft gov wg! It's always so much fun to share time with you all! 💛🌞</t>
  </si>
  <si>
    <t>a productive Onboarding WG weekly sync. Proposals, Hatchers &amp; Guides 📜🐣📖</t>
  </si>
  <si>
    <t>a fascinating and informational deep dive into Dandelion Voting Parameters 🗳</t>
  </si>
  <si>
    <t>inviting Josh and getting him involved in the TE project</t>
  </si>
  <si>
    <t>figuring out Sourcecred</t>
  </si>
  <si>
    <t>the CS dev diagrams</t>
  </si>
  <si>
    <t>running the Legal WG and keeping things on track there</t>
  </si>
  <si>
    <t>joining the TEC Community Call this week 🙏🏼</t>
  </si>
  <si>
    <t>attending today's  Impact Hours deep dive. Looking forward to those parameter sets  🧮🙏</t>
  </si>
  <si>
    <t>all of the insights, difficult questions, and productivity on today's Legal WG weekly sync. Thanks also to coach b, dr llau, and anja; and a double shoutout to Santi for leading 📜☄</t>
  </si>
  <si>
    <t>showing up for Forum Posts and contributing.</t>
  </si>
  <si>
    <t>their presence, all of their reflections and sharing in the Comms WG meeting today! 🙏🏼🙏🏼🙏🏼🌟</t>
  </si>
  <si>
    <t>joining the Book Club today!! ⚡️🤓</t>
  </si>
  <si>
    <t>reviewing the latest TEC news article and providing some great ideas for additions! 🙏🏼🌟</t>
  </si>
  <si>
    <t>their inconditional help and guidance in the Gravity Working group!</t>
  </si>
  <si>
    <t>a productive Onboarding WG - thank you all so much for contributing! 🙏🏼💫</t>
  </si>
  <si>
    <t>doing so much for the Legal group and always being available to help all the other groups with the legal stuff</t>
  </si>
  <si>
    <t>doing an amazing job on Gravity WG and agreements we should have in all our calls</t>
  </si>
  <si>
    <t>all the hard work they do as stewards of TEC</t>
  </si>
  <si>
    <t>joining the TEC Community Call this week 🙏🏼💫</t>
  </si>
  <si>
    <t>joining the last soft gov meeting!! Thanks so much for your presence and contributions!</t>
  </si>
  <si>
    <t>joining the TEC agreements hack session today ⚡️</t>
  </si>
  <si>
    <t>joining the last legal meeting!!</t>
  </si>
  <si>
    <t>beating his goal of pullups!!</t>
  </si>
  <si>
    <t>the youtube channel is amazing, just reviewed yesterday’s book club and comms 👍</t>
  </si>
  <si>
    <t>being amazing and being able to talk to about everything and giving feedback to help us develop as professionals</t>
  </si>
  <si>
    <t>livestreaming the community call and recording all the Youtube videos</t>
  </si>
  <si>
    <t>yesterday’s Gravity Wg call. We are trying to tailor the best ways to allow resilient, integral and antifragle human relationships between our community.  And getting the best from different points of view 💪</t>
  </si>
  <si>
    <t>building the transparency manifesto</t>
  </si>
  <si>
    <t>attending caribe.eth and getting the Commons ideas out to the Spanish speaking community</t>
  </si>
  <si>
    <t>sharing the video of Sem and doing the subtitles so us gringas can read too! haha I need to practice more Spanish! 🙏🏼🌟</t>
  </si>
  <si>
    <t>being friends with Juan Karlos</t>
  </si>
  <si>
    <t>powering through dandelion voting parameter posts on a Sunday! It's going to be a big week for TEC</t>
  </si>
  <si>
    <t>their contributions on a Sunday</t>
  </si>
  <si>
    <t>joining our last Commons Stack Simulator sync!</t>
  </si>
  <si>
    <t>joining our Commons Stack Simulator sync this week!!</t>
  </si>
  <si>
    <t>all the chats with Jess and for the narratives</t>
  </si>
  <si>
    <t>4 hour work on reviewing and improving min/max hatch goal tests and hatch smart contracts changes</t>
  </si>
  <si>
    <t>preparing amazing analogies in spanish to share with our community in Latam &amp; the Caribbean. It was amazing to hear in a very symbolic language what the TEC is doing. And also for being one of the wizards behind the magic to master dragons and give voice to the spirits of gardens 🌱🤖🐉</t>
  </si>
  <si>
    <t>covering me at the TE Labs call and laying down all the resources</t>
  </si>
  <si>
    <t>an AMAZING presentation!!! (I didn't get to watch yet, but cannot wait and I already know it's amazing!!!) 🙏🏼🔥🔥🔥</t>
  </si>
  <si>
    <t>working hard and getting us so much closer to the launch, for putting so much humanness in everything like the calls he participates in and forums and for giving a warm hug to the cold tech that we are building, for helping Paulo with his TEC template assignments, and for giving a talk to the ETH Carib community last week</t>
  </si>
  <si>
    <t>working on all the final steps on the tech side</t>
  </si>
  <si>
    <t>10 h of work in the smart contracts. I've been working on splitting the hatch smart contract from the marketplace suite (now it has its own repo in tecommons/hatch-app), I removed the conviction voting and bonding curve from the template (still not uploaded) and I have written the solidity code for the new impact hours conversion.</t>
  </si>
  <si>
    <t>Only charged for 15 hours to the Garden Swarm to save money this period so he gets 75% of his IH</t>
  </si>
  <si>
    <t>also joining the param party</t>
  </si>
  <si>
    <t>all their recent and huge contributions to the forum discussions! 🙏🏼🌟🌟🌟 (Please poke me if I missed you to dish you 😁)</t>
  </si>
  <si>
    <t>all of his work in handling the YouTube descriptions and time stamps this whole time and wanted to praise you again for all the work on TEC labs - super awesome! Hope to see this project continue to blossom and perhaps submit a grant to TEC to grow the pre-cadCAD ed - rock on!! 🙏🏼🙌💫🌟🌟🌟</t>
  </si>
  <si>
    <t>connecting Regis with Token Engineering</t>
  </si>
  <si>
    <t>all his contributions in the community and hours of online talks with Durgadas</t>
  </si>
  <si>
    <t>his awesome intro on Impact Hours calculations</t>
  </si>
  <si>
    <t>sharing awesome research! 🙏🏼</t>
  </si>
  <si>
    <t>wisdom that is priceless :) and extremely helpful in making sense about "the humany stuff" I use(d) to struggle with - a lot</t>
  </si>
  <si>
    <t>the knowledge he provides with the Gravity WG, for his contributions in the community, and for going over a lot hubspot stuff with Kris and looking at the capabilities we could expand</t>
  </si>
  <si>
    <t>pulling YGG into the philosophy discussions and allowing him to have deeper thoughts on what’s unfolding in TE</t>
  </si>
  <si>
    <t>a very interesting monday morning session to talk about the scope of the gravity group, the selection and the training process for them</t>
  </si>
  <si>
    <t>offering his expertise and support for Comms narratives! 🙏🏼💫</t>
  </si>
  <si>
    <t>helping Juank with Gravity training</t>
  </si>
  <si>
    <t>Ser mi amigo.</t>
  </si>
  <si>
    <t>helping Paulo record the sessions of developing the market maker connector which can be a great series in the TEC Youtube channel</t>
  </si>
  <si>
    <t>diving into the Gravity deliverables for the Hatch</t>
  </si>
  <si>
    <t>his heart and always showing up! So grateful to have you with us offering your ideas and energy 🙏🏼🌟</t>
  </si>
  <si>
    <t>coming in 🔥 with all of his energy, for leading the params &amp; deep dive discussions, making graphics and promoting calls and meetings - thank you so much for your awesome contributions Jake - you rock!</t>
  </si>
  <si>
    <t>the visual wizardry</t>
  </si>
  <si>
    <t>running around in the background pushing things forward, making stellar designs that get people excited, and for being very on point and focused in calls. So helpful!</t>
  </si>
  <si>
    <t>making stellar designs that get people excited. So mind-blowing! And I guess it's because he's very on point and runs around in the background, and pushes things...which doesn't get recognized much. So definitely boosting this praise</t>
  </si>
  <si>
    <t>his energy in the calls, for being present in the background poking people where they need to go and bringing a lot of progress to the community, for his focus on TEC forum and organizing all of us to make it happen and recording deep dive sessions</t>
  </si>
  <si>
    <t>setting such awesome agendas for every TE Params call and puch this effort forward</t>
  </si>
  <si>
    <t>all his continuing hard work on Params and offering to support Comms as well - you rock! 🙏🏼⚡️</t>
  </si>
  <si>
    <t>being the go-to finisher for anything, for Gitcoin catherding, for bringing creative humor that engages people to take action, and for joining as a new steward</t>
  </si>
  <si>
    <t>retweeting us in november</t>
  </si>
  <si>
    <t>all his help with the DAO</t>
  </si>
  <si>
    <t>his contribution to endangered species and environmental impacts aside from doing work for us</t>
  </si>
  <si>
    <t>sharing his notes on the bookclub discord and taking leadership today🤘</t>
  </si>
  <si>
    <t>facilitating our discussion on the first half of chapter 3 - Analyzing long enduring, self organized, and self governed CPRs. ⚡️💫</t>
  </si>
  <si>
    <t>his work with Mateo in the Gravity WG, for all the information he’s sharing with the Gravity WG, for giving Sem the talking opportunity in the LATAM community event and expand to Latin America</t>
  </si>
  <si>
    <t>setting up better call hygiene and a safer environment for us and for creating an awesome document for the Gravity group</t>
  </si>
  <si>
    <t>We made a deal with him to get paid 50% by the Commons Stack and only get 50% of his impact hours</t>
  </si>
  <si>
    <t>putting so much work in the working group’s proposal, for being present in all channels happening this week, for saying the nicest things, for her work in TE Philosophy, and for being active in everything we’re doing</t>
  </si>
  <si>
    <t>educating us on Ostrom’s principles</t>
  </si>
  <si>
    <t>all of her inputs for Params and Proposals!!! 🙏🌟🙏</t>
  </si>
  <si>
    <t>ALL of the incredible work!!!! TRIPPLE praises!!!! for the amazing work over the year with TE Academy and the upcoming courses they will add in the coming months. Look forward to keep weaving together 🙏🏼❤️💫 Keep up the wonderful work - you are SO appreciated!!!!!</t>
  </si>
  <si>
    <t>all his work in Gravity</t>
  </si>
  <si>
    <t>working on sourcecred instance creating alias accounts</t>
  </si>
  <si>
    <t>creating the praise system that is such a huge pillar of our gratitude culture and for implementing it in the TEC via a contribution reward proposal in the early days of the cultural build! We are so lucky to have a human based approach  to rewards, going beyond concrete contributions to also acknowledging subjective and care work ones.</t>
  </si>
  <si>
    <t>being an amazing person, always full of energy to develop things, helping, listening and providing thoughtfull answers!</t>
  </si>
  <si>
    <t>how they handled comms at the end.  Great job</t>
  </si>
  <si>
    <t>amazing coordination in the community</t>
  </si>
  <si>
    <t>his long hours of work, for keeping Kris on track and checking in on legal stuff, and for encouraging people to do things</t>
  </si>
  <si>
    <t>finishing the Commons Stack Association legal roadmap and making the clear plan for executing it</t>
  </si>
  <si>
    <t>their hard work getting the Trusted Seed Membership DApp up and working with a Test Donation on Giveth! HUGE MILESTONE!</t>
  </si>
  <si>
    <t>a really nice saturdar talk about next steps on the Gravity Group. So many good ideas im still digesting them!</t>
  </si>
  <si>
    <t>editing the TEC news blog - thank you so much! 🙏🏼🌟</t>
  </si>
  <si>
    <t>having a nice sync with Dan</t>
  </si>
  <si>
    <t>deploying 8,000 gnosis safes on xdai with addresses matching existing safes on mainnet. This is a bad ass preemptive white hat action!</t>
  </si>
  <si>
    <t>kickstarting a new fundraising platform for public goods on xDAI! check it out: https://ipfs.io/ipfs/Qmat3wDbwNFWGXk4J7JzAJBzrRDGo6nMgPDdmNgrViwRoL/#/</t>
  </si>
  <si>
    <t>their help to bring the Trusted Seed Membership DApp to the finish line.... We are so close to making it EASY to become a member in the Commons Stack's Swiss Association!</t>
  </si>
  <si>
    <t>cracking the whip and helping turnout that awesome ui for cstack!!</t>
  </si>
  <si>
    <t>all her work and energy with the CSTK Token DApp! it takes a true kat to cat herd such a busy crew of superstars 🐆🍃💃🏻</t>
  </si>
  <si>
    <t>year+ effort of research and study to create this case study https://www.researchgate.net/publication/347390484_The_Commons_Stack_Realigning_Incentives_Towards_Public_Goods_Case_Study</t>
  </si>
  <si>
    <t>the amazing warm up today little things have huge impact thanks you so much😊🙏</t>
  </si>
  <si>
    <t>even though she isnt feeling very well she lead soft gov &amp; Book club today with super energy and warmth</t>
  </si>
  <si>
    <t>her work on the Ostrom’s principles and for working hard even she’s not feeling well</t>
  </si>
  <si>
    <t>their amazing feedback on transparency manifesto</t>
  </si>
  <si>
    <t>always supporting me and talking through things I feel blocked on and for our bi-weekly dates (and being such a wonderful friend ❤️) 🙏🏼🙏🏼🙏🏼😍</t>
  </si>
  <si>
    <t>all her work for SoftGov and Ostrom’s principles, for doing so much work on top of SoftGov and helping many other groups and dealing all these documents we generate and putting them together, for supporting Jess with anything that she needs</t>
  </si>
  <si>
    <t>reaching out and going the extra mile to vote and participate in Commons Stack Conviction Voting on our community fund 🙏🏼🌟</t>
  </si>
  <si>
    <t>always keeping us updated on everything LGJ and for all the contributions to Commons dynamics game theory design ⚡️</t>
  </si>
  <si>
    <t>his awesome work pushing out the best social Simulator in the token engineering field http://legrandjeu.net/?p=600</t>
  </si>
  <si>
    <t>getting us excited about the TEC brand</t>
  </si>
  <si>
    <t>all her work reaching out to TE projects to submit proposals to the forum 💪</t>
  </si>
  <si>
    <t>having an overview on all the things going in Communications, getting proposals ready, helping people to put Gitcoin grants, leading by example and being warm and welcoming to Tamara</t>
  </si>
  <si>
    <t>inviting Max and Victor to the community call and giving them all the insights into the complexity of conviction voting</t>
  </si>
  <si>
    <t>writing such an amazing TEC blog post update with the highlights of our fast pace community ✨💕🙌</t>
  </si>
  <si>
    <t>bringing her guitar and bringing everyone to the call and the amazing block posts</t>
  </si>
  <si>
    <t>putting forth the pictosis proposal on the forum and presenting it</t>
  </si>
  <si>
    <t>his hustle to present and submit his proposal, and being so enthusiastic in all his endeavors - and his work in finding ways for Pictosis to benefit the TE community! 🙏🏼💫</t>
  </si>
  <si>
    <t>killing it this round with the rest of the Gitcoin team and the Public Goods Justice League, raising over 1 million dollars for public good projects! INCREDIBLE!</t>
  </si>
  <si>
    <t>thinking of us for the unexpected donations</t>
  </si>
  <si>
    <t>working hard to assess when we can launch the TE project and her amazing work on the Miro board</t>
  </si>
  <si>
    <t>the time together yesterday and supporting me, and all of us to be organized and in our growth as individuals and a team 🙏🏼🙏🏼🙏🏼🌈</t>
  </si>
  <si>
    <t>inviting Wesley to the call and helping him to get involved in the community and explaining the process, for helping with project management, for doing a great job in coordinating everything</t>
  </si>
  <si>
    <t>their research and documentation and work on the cadCAD model of Gitcoin grants!!! 🤩🔥🔥🔥</t>
  </si>
  <si>
    <t>the very skilful facilitation of this book club session!</t>
  </si>
  <si>
    <t>this amazing conviction voting half-life graph for the commons simulator!</t>
  </si>
  <si>
    <t>submitting a cadCAD snippet showing how to query substeps by the usage of metadata labels 😊 https://github.com/cadCAD-org/demos/blob/master/snippets/psub_map_label.ipynb</t>
  </si>
  <si>
    <t>working on the Token Log project</t>
  </si>
  <si>
    <t>beautifying the Impact Hours sheet</t>
  </si>
  <si>
    <t>his work on Aragon and the graphs and making videos with Tonga</t>
  </si>
  <si>
    <t>1h work on Thursday 12/10, set up market maker connector project and defined the mappings and graphql schema that the subgraph is going to use (the session was recorded by Tonga)</t>
  </si>
  <si>
    <t>9 work hours these last three days (Tuesday, Wednesday and Thursday). Integrate the hatch oracle into the tec template and work on the hatch frontend implementing the latest figma interface design</t>
  </si>
  <si>
    <t>today’s sufficiency currency call! Its amazing to have this profound discussions about the limits of actual economies and the value provided for humankind.</t>
  </si>
  <si>
    <t>his INCREDIBLE work with Panvala that allows so many open source projects the fuel to accelerate! 🙏🏼🙏🏼🙏🏼🌟</t>
  </si>
  <si>
    <t>2 hours of work, met with sem and paulo, worked with tec-ui and started to restyle cv interface</t>
  </si>
  <si>
    <t>5 hours of work on tec-ui and tec-interface projects</t>
  </si>
  <si>
    <t>getting the back end up for us!</t>
  </si>
  <si>
    <t>joining the TE Praise channel!</t>
  </si>
  <si>
    <t>looking at DAO to DAO tracking and the Gitcoin grant</t>
  </si>
  <si>
    <t>the feedback on narratives and framing in the Comms meeting today and supporting even though he is crazy busy! 🙏🏼👏🏼 Thanks brotha!</t>
  </si>
  <si>
    <t>sharing their research! 🙏🏼⚡️</t>
  </si>
  <si>
    <t>sharing Tweet links to Owocki's GG improvements post &amp; sharing an idea for a Gitcoin Grant donation 🚞</t>
  </si>
  <si>
    <t>sharing praise info for Dan! 🙏🏼💫</t>
  </si>
  <si>
    <t>sharing disco.coop's  awesome work with our channel. Sign up for their newsletter here: disco.coop/newsletter/</t>
  </si>
  <si>
    <t>supporting the TEC Twitter! Thank you!! 🙏🏼💫</t>
  </si>
  <si>
    <t>doing such hard work and being efficient since joining the community</t>
  </si>
  <si>
    <t>all of the work in helping move forward on the onboarding in the Forum project and coordinating the back end/dev and setting to help us improve - so appreciate your work, time and contributions!! 🙏🏼🙏🏼🙏🏼💫</t>
  </si>
  <si>
    <t>providing food for thought and foundations for ultra-stable systems design by connecting all(!) petals of the Cryptoeconomics flower - in the background b/c of timezones</t>
  </si>
  <si>
    <t>sharing littercoin at the UN 🔥Best of luck to you - keep us posted and perhaps it will be recorded to share 😁</t>
  </si>
  <si>
    <t>her persistence on preparing the spreadsheet every week!</t>
  </si>
  <si>
    <t>helping to praise everyone from yesterdays Community Call 😃</t>
  </si>
  <si>
    <t>making possible to have the spreadsheet, as every week, very punctually!</t>
  </si>
  <si>
    <t>joining Commons Stack as a project coordinator/operations support</t>
  </si>
  <si>
    <t>helping with high level overviews for diagramming/explaining hatch params 🙏🏼🙏🏼🙏🏼🔥</t>
  </si>
  <si>
    <t>earning a blockchain for Humanity award!! CONGRATULATIONS to the Trustlines team!! 🌟🌟🌟</t>
  </si>
  <si>
    <t>joining the TE Praise channel! 🙌🌟</t>
  </si>
  <si>
    <t>joining the TEC weekly meeting last week and their research and work on open source tech! 🙏🏼🔥</t>
  </si>
  <si>
    <t>joining the TE Praise channel! 🌟</t>
  </si>
  <si>
    <t>supporting cadCAD community development and the Luna Swarm 🙏🏼🔥</t>
  </si>
  <si>
    <t>reviewing all the UI we are building and all her inputs to it</t>
  </si>
  <si>
    <t>2 hours of work related to Conviction Voting UI changes and TEC UI components color modifications</t>
  </si>
  <si>
    <t>joining the TE Praise channel 🙏🏼😁</t>
  </si>
  <si>
    <t>joining the TE Praise channel! 🌟🌟🌟</t>
  </si>
  <si>
    <t>joining the book club today!!</t>
  </si>
  <si>
    <t>finishing the requested changes in the converter PR</t>
  </si>
  <si>
    <t>joining the TE Praise channel ☺</t>
  </si>
  <si>
    <t>joining the TEC Praise channel. Welcome ✋</t>
  </si>
  <si>
    <t xml:space="preserve">#7 IH: </t>
  </si>
  <si>
    <t>Cred per Praise</t>
  </si>
  <si>
    <t>Cred per person</t>
  </si>
  <si>
    <t>their thorough posts in the forum and being very engaged and active there, thank you guys for participating and taking the time!! 💫💫💫</t>
  </si>
  <si>
    <t>their presence, energy and smiles in the Comms Working Group today! 🌟🌈🌟</t>
  </si>
  <si>
    <t>the stimulating discussions on yesterday's Soft Gov WG weekly sync 😉🤲</t>
  </si>
  <si>
    <t>recording the calls, putting timestamps on the Youtube videos, and bringing quality to the TEC channel</t>
  </si>
  <si>
    <t>the TEC Lab done today! I feel really grateful for having such amazing people taking the time to help everyone learn python-cadCAD</t>
  </si>
  <si>
    <t>all the transparency work</t>
  </si>
  <si>
    <t>introducing Durgadas to the TEC community</t>
  </si>
  <si>
    <t>participating in the Praisegiving Call 😀</t>
  </si>
  <si>
    <t>taking the flag of the TEC Lab and accepting to coordinate the next sessions on github! 🙌 I appreciate this SO MUCH, excited to follow what experiments are gonna come from the lab ⚗️</t>
  </si>
  <si>
    <t>joining the DAO Book Club today! ⚡️📚</t>
  </si>
  <si>
    <t>their presence and great contributions to the soft gov wg sync ⭐️🥰</t>
  </si>
  <si>
    <t>motivating me to join this group</t>
  </si>
  <si>
    <t>their energy and support in Comms working group today! You all are AWESOME and you already have superpowers hehe 🙏🏼🙏🏼🙏🏼😁💫❤️🌈</t>
  </si>
  <si>
    <t>uploading Comms, Soft Gov, and Book Club videos on the TE channel and adding timecodes on them 👌🏼😁</t>
  </si>
  <si>
    <t>capturing such good highlights of the soft gov call recording and specially to Shawn for sharing the notes with us! I'm so grateful for all the work the recording team puts in! You all rock ⚡️🙌</t>
  </si>
  <si>
    <t>being welcoming and helpful.</t>
  </si>
  <si>
    <t>initiating the TEC lab that benefits the TE Community and lets us move toward the actual TE public good space which is our end goal, for giving the minutes of the videos so people can catch up on the WGs, and for bringing Durgadas to this wonderful group</t>
  </si>
  <si>
    <t>coming to the indigenomics conference this week and discussing the indigenous economy and how blockchain can help</t>
  </si>
  <si>
    <t>participating in the TEC Community Call this week 🙌🏽</t>
  </si>
  <si>
    <t>our cadCAD community call today and all the good things to come.</t>
  </si>
  <si>
    <t>the amazing python lab session today, also your change of the name of the main branch did not go unnoticed, that was nice!</t>
  </si>
  <si>
    <t xml:space="preserve">joining our Commons Stack Simulator sync </t>
  </si>
  <si>
    <t>hosting an amazing first TEC lab today on Pandas &amp; Python!!! ⚗️So wonderful professor!!! Double praise!! 🌟🌟🌟</t>
  </si>
  <si>
    <t>dup</t>
  </si>
  <si>
    <t>making time to explain Garden Swarm and for breaking down the workload into issues and epics and adding them to the TECommons/coordination repository. Visibility winning!🌿 🐝 🌸</t>
  </si>
  <si>
    <t>his immense contributions into the Boundaries and Rules forum post! https://forum.tecommons.org/t/principles-1-2-rules-and-boundaries/87/6 ⚡️⚡️⚡️</t>
  </si>
  <si>
    <t>coming to the tec call today, there's where the magic happens!</t>
  </si>
  <si>
    <t>simply being on fire 🔥🚒🙏. Everyone really. Impressive 🥳</t>
  </si>
  <si>
    <t>beasting through three  back to back work sessions, having key insights for every group. Super inspiring 🐝</t>
  </si>
  <si>
    <t>sharing an inspiring post about what we can do for our deep narratives, for having a fantastic meeting with Santi to clarify and get all legal issues sorted out, and for helping Rayne with vesting visualization project</t>
  </si>
  <si>
    <t>guiding Tom on Github and onboarding</t>
  </si>
  <si>
    <t>wearing fantastic costumes and bringing fun to the Praisegiving Call</t>
  </si>
  <si>
    <t>leading the work on the tech side of TEC, for his dedication to Gardens Swarm, and for going beyond with his costume</t>
  </si>
  <si>
    <t>introducing Fabi to the community and giving him the opportunity to contribute to TEC</t>
  </si>
  <si>
    <t>joining the book club last week 💫💫</t>
  </si>
  <si>
    <t>their participation in the tec wg today and showing us pretty cool demos of what's going on with the technology!</t>
  </si>
  <si>
    <t>5hours of work on writing tests for hatch oracle, it's finally finished!</t>
  </si>
  <si>
    <t>drawing the hatch dao workflow using a decision tree diagram, useful for tomorrow's tech params and legal working groups</t>
  </si>
  <si>
    <t>doing an amazing work on the TE development, for working hard on the test deployment to get the launch done, and for giving a conference to the Columbian community</t>
  </si>
  <si>
    <t>participating in today's Hatch Parameters discussion 🐣🙏</t>
  </si>
  <si>
    <t>the great energy and thought provoking conversation on the Legal WG weekly sync 📜🤲</t>
  </si>
  <si>
    <t>Only charged for 3.5 hours to the Garden Swarm to save money this period so he gets 75% of his IH</t>
  </si>
  <si>
    <t>taking the lead in organizing the TEC youtube videos! 🙌🏽</t>
  </si>
  <si>
    <t>creating an awesome color-coded sheet of our YouTube videos for organizing - you guys rock team YouTube!!! 🌟🌟🌟</t>
  </si>
  <si>
    <t>staying on top of the ever evolving youtube process</t>
  </si>
  <si>
    <t>an entertaining and definitely useful sense making and organization session on the Onboarding WG weekly sync 🎥😂🤲</t>
  </si>
  <si>
    <t>their first Community Stewards meeting! 🌟🌟🌟</t>
  </si>
  <si>
    <t>their continuing work on recording and YouTube - this is so important for us, thank you! 🙏🏼🙏🏼🙏🏼🙌</t>
  </si>
  <si>
    <t>having a very reflexive conflict management Working group call (also praise to durgadas but i think he is not in Telegram)</t>
  </si>
  <si>
    <t>the Youtube videos that help Humberto understand everything about TE</t>
  </si>
  <si>
    <t>helping me go through the praises given in the Praisegiving Call and doing a quick accuracy check 🙏🏼😁</t>
  </si>
  <si>
    <t xml:space="preserve">recording and uploading the W4 Tech Spec call on the Youtube channel </t>
  </si>
  <si>
    <t>your energy and discussion on today's Onboarding WG weekly sync ☺🙏</t>
  </si>
  <si>
    <t>presenting &amp; recording the cadCAD Community call today!</t>
  </si>
  <si>
    <t>quickly reporting a spam message 🙌</t>
  </si>
  <si>
    <t>joining the “Gravity” Working Group call, I’m sorry because my computer goes crazy when i share screen and my calls turn little hard, but appreciate all your time and contribution to how human layers for human issues could work in this decentralized space. and how computers can aid our governance but ultimatelly it is human centered and co-created by the community. Muchas gracias.</t>
  </si>
  <si>
    <t>recording all the calls and organizing the Youtube channel</t>
  </si>
  <si>
    <t>spending time to do the planning sessions with Tamara to move toward the right direction</t>
  </si>
  <si>
    <t>taking a moment from the family thanksgiving to celebrate praisegiving with us! We appreciate you always being present Craig, and happy you just joined for a little bit to prioritize your fam! 🙏🙌</t>
  </si>
  <si>
    <t>joining the Gitcoin Grants kickoff work session thank you!! 🙏🏼💫</t>
  </si>
  <si>
    <t>being so organized and always helping me find things! 🙏🏼💫</t>
  </si>
  <si>
    <t>getting the TE Grant update and ready for the Gitcoin Round! https://gitcoin.co/grants/1155/token-engineering-commons</t>
  </si>
  <si>
    <t>a productive and entertaining OWG guide working session 📝</t>
  </si>
  <si>
    <t>his work on onboarding sections - thank you Craig! 🙏🏼💫</t>
  </si>
  <si>
    <t>giving his best despite the technical issues</t>
  </si>
  <si>
    <t>the productive TEC Discord Channel Set-up work session. Amazing work Kris.</t>
  </si>
  <si>
    <t>the onboarding working session yesterday and working on the onboarding content in the Forum 🙌🙌🙌</t>
  </si>
  <si>
    <t>jumping into the conflict management Wg call and giving us so many insights on how conflict management shouldn't be just for managing visible situations, but to prevent them and make people fell safe, validated and heard</t>
  </si>
  <si>
    <t>gifting some Nitro to the TE discord when our channels were overflowing with PraiseGiving attendees! 🙏</t>
  </si>
  <si>
    <t>sharing his knowledge and wisdom in the TE Philosophy channel</t>
  </si>
  <si>
    <t>his enthusiasm in wanting to dish praise and share the goodness! 💫❤️💫</t>
  </si>
  <si>
    <t>sharing helpful links on how to combat Discord spam — thank you!!</t>
  </si>
  <si>
    <t>volunteering to help us with email newsletter platform management and all of his sharing today 🙏🏼⚡️</t>
  </si>
  <si>
    <t>giving a lot of great feedback on the calls</t>
  </si>
  <si>
    <t>his energy and full power to help and support</t>
  </si>
  <si>
    <t>deploying SourceCred instance to start testing</t>
  </si>
  <si>
    <t>helping JuanKa with a lot of projects in Colombia and helping with the Sourcecred implementation</t>
  </si>
  <si>
    <t>saving Giveth 2.0 and his work on Sourcecred</t>
  </si>
  <si>
    <t>all his hard work</t>
  </si>
  <si>
    <t>guiding Kademlia on the TE Commons over the last month</t>
  </si>
  <si>
    <t>great spirits and great results in the TE Academy course Ecosystem Value Flows</t>
  </si>
  <si>
    <t>onboarding amazing mentors to TE Academy</t>
  </si>
  <si>
    <t>sharing thoughts, inspiration, and work every single day</t>
  </si>
  <si>
    <t>organizing and leading weekly study group sessions, and continuously supporting all members</t>
  </si>
  <si>
    <t>starting the cadCAD study group</t>
  </si>
  <si>
    <t>leading so many activities in the TE space (cadCAD, Ocean, Balancer, Smart contracts study groups and the TE book club, TE Philosophy with so many insights. Also for encouraging and providing easy access to everyone who wants to learn TE.</t>
  </si>
  <si>
    <t>being a constant fountain of good ideas and good initiatives and for making Durgadas feel welcome</t>
  </si>
  <si>
    <t>being awesome and collaborating with and onboarding Durgadas! 🙏🏼💫</t>
  </si>
  <si>
    <t>contributing to the Forum discussion on the Book airdrop idea 🙌🌈🌟</t>
  </si>
  <si>
    <t>cool cadCAD study group sessions every Friday</t>
  </si>
  <si>
    <t>all of their posting in the Forum as well - amazing discussions guys! 🔥🙌</t>
  </si>
  <si>
    <t>his first draft on the hatch dao, so we can discuss it properly in the legal wg on Friday!</t>
  </si>
  <si>
    <t>today's meeting with SecureSeco team</t>
  </si>
  <si>
    <t>helping with the Sourcecred implementation and legal stuff</t>
  </si>
  <si>
    <t>the working legal session on CS Association</t>
  </si>
  <si>
    <t>showing to the community one of the best traditions in the world😜</t>
  </si>
  <si>
    <t>doing incredible technical work behind the scenes on a lot of different fronts, leading the Sourcecred initiative, and giving an impressive presentation in the Ocean Protocol study group and his enthusiasm</t>
  </si>
  <si>
    <t>his badass diagram!!  Thats what a drilling program looks like!</t>
  </si>
  <si>
    <t>having a very interesting call on aragon connect / the graph, and how we are going to use it for the hatch and bonding curve. @Tonga2020 recorded the call, maybe you can send it to @zeptimusQ and if it is interesting enough he might publish it in the TEC youtube channel.</t>
  </si>
  <si>
    <t>keeping learning thegraph and aragon connect, and taking the demaning task of coding the subgraph for the market maker. You'll need help, so don't hesitate to ask for it!</t>
  </si>
  <si>
    <t>sharing governing the commons book in spanish</t>
  </si>
  <si>
    <t>stirring up a lot of activities in the forum</t>
  </si>
  <si>
    <t>having 1 on 1 sesions to organice the Gravity - Conflict management project into epics and helping on grounding ideas. Thanks for your time and good vibes 🙌.</t>
  </si>
  <si>
    <t>rearranging the very detailed single TEC Conflict Management WG issue into theme based epics with smaller issues that can be added to new Sprints. 🏆</t>
  </si>
  <si>
    <t>guide me on github and  the amazing call explaining the conflic management issues im so exited for tomorrow's calls!</t>
  </si>
  <si>
    <t>conducting a great Gravity call</t>
  </si>
  <si>
    <t>that moment of peace thanks you!🙏🏻</t>
  </si>
  <si>
    <t>coming in strong with the conflict res that’s gonna be a game changer for DAO and for Gravity and its potential</t>
  </si>
  <si>
    <t>his leadership and all his work in the Gravity group</t>
  </si>
  <si>
    <t>the work he has done for Blockscience and Commons Stack and for bringing Sebnem to her cadCAD journey</t>
  </si>
  <si>
    <t>his first call in the tec wg (I couldn't include you with the rest because I needed you to be inside the group). You have a big responsibility ahead coordinating the parameter specification and review from the community, and you are welcome!</t>
  </si>
  <si>
    <t>taking on PM’ing TEC Parameterizations, a piece of work critical to the Hatch, with such gusto.</t>
  </si>
  <si>
    <t>contributing to the Forum discussion and dropping tunes in Jammin' in the Name of the Commons 😁🎶</t>
  </si>
  <si>
    <t>keep trying! the key are the commas!</t>
  </si>
  <si>
    <t>his energy and for sharing Clutch in the TE Philosophy</t>
  </si>
  <si>
    <t>having us in the tec params meeting, that was pretty cool today!</t>
  </si>
  <si>
    <t>creating this awesome diagram of the hatch! 🔥🔥🔥</t>
  </si>
  <si>
    <t>jumping in full force and becoming a Community Steward today!!! 🥳💫🥳 So wonderful, thank you for stepping in and up to take on supporting the Onboarding Working Group!!!</t>
  </si>
  <si>
    <t>helping Craig with onboarding</t>
  </si>
  <si>
    <t>coming the call today and encourage more soft gov &lt;-&gt; tec entanglement! I also think it's much needed, you guys rock!</t>
  </si>
  <si>
    <t>leading the Soft Gov Wg and the the Study Club on Governing the Commons. Thank you for all the work and good vibes!</t>
  </si>
  <si>
    <t>tracking the youtube releases and playlists</t>
  </si>
  <si>
    <t>launching the DAO Book Club, for doing a working marathon session with Tamara, and for doing so much work for the team</t>
  </si>
  <si>
    <t>organize and host the praisegiving today it was crazy fun 🕺🏻💃🏻!!!</t>
  </si>
  <si>
    <t>all her work, energy, and enthusiasm in the TE community and turning it into an encouraging and welcoming space</t>
  </si>
  <si>
    <t>being the champion of this week on the book club🙏🏻</t>
  </si>
  <si>
    <t>posing such a thought provoking question about the stock and flow of the TEC on our Comms call today.</t>
  </si>
  <si>
    <t>creating a TEC Resources document, that will help everyone alot thanks🙏🏻 https://docs.google.com/document/d/1Bm57hzwSJav0tmLJ6uqvMRdCr22w3pVHo6rC1AsS5vg/edit#heading=h.9vg2ebx2cywz</t>
  </si>
  <si>
    <t>educating me on the finer details of the conviction voting mechanics</t>
  </si>
  <si>
    <t>helping hack our way through the spreadsheet jungle understory 🌴🪓</t>
  </si>
  <si>
    <t>organizing the Praisegiving Call</t>
  </si>
  <si>
    <t>having my back this week. On his hands depends having the improved hatch demo on Thursday. It's a lot of work but working together we'll be able to deal with it! 🦾🦾🦾</t>
  </si>
  <si>
    <t>10h work  yesterday, completed the hatch connector, deployed xDai subgraph on The Graph and worked on the hatch frontend</t>
  </si>
  <si>
    <t>10h work on Friday 11/27 , integrated the hatch connector into the frontend and removed old fetch-app -state logic using aragonAPI.</t>
  </si>
  <si>
    <t>5h work on Saturday 11/28, refactored all components and implemented wallet management logic in the hatch frontend</t>
  </si>
  <si>
    <t>4h work on Monday 11/30, did small changes to the subgraph, fixed and improved frontend components unnecessary rendering , published hatch connector to NPM and tested the frontend with different DAOs before the meeting</t>
  </si>
  <si>
    <t>doing a lot of work on the hatch deployment</t>
  </si>
  <si>
    <t>completed the hatch connector, deployed xDai subgraph on The Graph and worked on the hatch frontend</t>
  </si>
  <si>
    <t>facilitating the first chapter discussion of the Governing the Commons book club and for making such a great notes  document https://hackmd.io/uSt434WjRGyCfQjPmFh34w?view 🙌⚡️</t>
  </si>
  <si>
    <t>sketching out a cadCAD model of a CPR with some of the dynamics described in chapter 2 of the Governing the Commons after our last book club session! ⚡️📚🔥🔥 Check it out! https://github.com/DAOresearch/cadcad/tree/main/Governing%20the%20Commons</t>
  </si>
  <si>
    <t>initiating the Sourcecred movement and keeping the team focused, motivated, and inspired</t>
  </si>
  <si>
    <t>beautifully conducing the Praisegiving with so much warmth and love!</t>
  </si>
  <si>
    <t>guiding the branding team and providing valuable feedback to our rockstar marko.</t>
  </si>
  <si>
    <t>keeping Andrew pulling him into calls and making him social and connected to people and for onboarding people and answering questions from Humberto</t>
  </si>
  <si>
    <t>keeping people connected to the community through collaborations</t>
  </si>
  <si>
    <t>helping Durga learn (he wanted to dish and couldn't) - thank you friend! 🙏🏼🙏🏼🙏🏼🌈</t>
  </si>
  <si>
    <t>walking me through the gitcoin, panvala, and upcoming TEC Proposals process yesterday</t>
  </si>
  <si>
    <t>providing very useful feedback on gitcoin grant project</t>
  </si>
  <si>
    <t>being so helpful and welcoming 😊 (from Alex until he gets the powers)</t>
  </si>
  <si>
    <t>the new onboarding posts in the forum, especially the glossary is going to be very useful!</t>
  </si>
  <si>
    <t>giving Jake some pointers and tips and teaching him how to use the Praise bot, for being understanding and patient with Sebnem, for her calm manner that’s grounding us every day, and for connecting with Alex</t>
  </si>
  <si>
    <t>the work session on branding/design/deliverables (on behalf of Marko until he gets the praise powers) 🌈</t>
  </si>
  <si>
    <t>getting the cadCAD Education up and running</t>
  </si>
  <si>
    <t>working on all the good courses in the cadCAD Edu</t>
  </si>
  <si>
    <t>his mind-blowing reflexion 🤯</t>
  </si>
  <si>
    <t>starting the new TE Philosophy channel</t>
  </si>
  <si>
    <t>walking me through getting setup to submit our Commons Stack ambassador organization proposal for PrimeDAO on Alchemy. And for doing all the major lifting in terms of writing the proposal in the first place!</t>
  </si>
  <si>
    <t>your thoughtfulness in sharing the PrimeDAO vesting tasks, that was not at all on my radar, with me.</t>
  </si>
  <si>
    <t>He gets paid by the Commons Stack for his PrimeDAO work so he only gets 50% of the IH</t>
  </si>
  <si>
    <t>schilling the TEC on a podcast! ⚡️ Feel free to share when it's out so we can Tweet 😁💫</t>
  </si>
  <si>
    <t>his enthusiasm in dishing praise and becoming a praise disher! Yay! 😁💫🌈</t>
  </si>
  <si>
    <t>working on the cadCAD models for several months</t>
  </si>
  <si>
    <t>traveling around ecovillages and understanding the cultural tendencies that require cooperative ecosystems to form</t>
  </si>
  <si>
    <t>all the comments on the content creation guideline❤️ I just approved them all.</t>
  </si>
  <si>
    <t>showing the cultural tribute rabbit hole! I</t>
  </si>
  <si>
    <t>showing the cultural tribute rabbit hole! I'm having a lot of fun compiling a deep dive forum post.</t>
  </si>
  <si>
    <t>coming on on his day-off to checkout the big simulator demo! He couldn't hold himself away haha this should be anti-praise. Bad Griff, don't come in on your week off. Seriously good work with the SOW, the team is great, the game is a game changer. Enjoy holidays buddy 🤙</t>
  </si>
  <si>
    <t>covering Craig on the Onboarding WG weekly sync and for moving everything forward</t>
  </si>
  <si>
    <t>opening a Dandelion Voting Parameters General Discussion on the forum</t>
  </si>
  <si>
    <t>guiding Dan on a “forest” of spreadsheets</t>
  </si>
  <si>
    <t>her patience working with @GriffGreen and me on grouping the Gardens Swarm tasks into epics. Now they are very easy to track!</t>
  </si>
  <si>
    <t>helping and guiding people while we are on the growing point</t>
  </si>
  <si>
    <t>getting everyone organized in Github with the Zenhub stuff and for working on the communication for primeDAO onboarding</t>
  </si>
  <si>
    <t>coordinating all the issues in the Zenhub to the community stewards and helping Dan upgrade his game this week</t>
  </si>
  <si>
    <t>the awesome sensitivity analysis on the commons simulator with cadcad! It illuminated a lot of insights to consider such as the need for a connection between sentiment and sell rate in the simulator</t>
  </si>
  <si>
    <t>joining the book club last week 🙌</t>
  </si>
  <si>
    <t>joining the TE Praise channel - welcome! 😁💫</t>
  </si>
  <si>
    <t>experimenting with using Tokenlog, a governance tool to create token-weighted backlogs. https://tokenlog.xyz/commons-stack/iteration0</t>
  </si>
  <si>
    <t>his many scrum master contributions to Commons Stack, in advance of tonight’s final retrospective.</t>
  </si>
  <si>
    <t>championing Tokenlog, even as you start your new role at NEAR. The demo is looking good!</t>
  </si>
  <si>
    <t>their first meeting for skinning aragon-ui with the look and feel of TEC. Our interfaces deserve love, and your dedication to it is really appreciated.</t>
  </si>
  <si>
    <t>all the amazing work with the brand🔥 we are going to look amazing. I’m super sure.</t>
  </si>
  <si>
    <t>progressing with our website! It’s looking super fresh🧖🏼</t>
  </si>
  <si>
    <t>4h of work on adjusting ui components with fabi</t>
  </si>
  <si>
    <t>always being open to suggestions on designing things in the ui library</t>
  </si>
  <si>
    <t>taking ownership on YouTube metadata and playlists!! Awesome work!</t>
  </si>
  <si>
    <t>dishing all the praises - that was a big one!! Appreciate your work!! 🙏🏼🙏🏼🙏🏼</t>
  </si>
  <si>
    <t>doing an amazing work behind the scenes</t>
  </si>
  <si>
    <t>your presence being felt even though you’re not so often seen. I feel you here. 🙏🏼</t>
  </si>
  <si>
    <t>writing and sharing his thoughts in his articles that have been helpful to the community members and for opening the TE opportunity to f8</t>
  </si>
  <si>
    <t>publishing an academic paper</t>
  </si>
  <si>
    <t>enrolling in the new cadCAD course! 🌟🌟🌟</t>
  </si>
  <si>
    <t>his enthusiasm in eGovernance and for sharing what we are doing in the TEC and Commons Stack to a like minded crowd that are welcome to join us! Thanks Humberto! We really appreciate it!</t>
  </si>
  <si>
    <t>sharing what we are doing in the TEC in an eGov seminar - Thanks Humberto! We really appreciate it! 💫</t>
  </si>
  <si>
    <t>joining the praise channel! 🌟</t>
  </si>
  <si>
    <t>joining the TEC and presenting the Spirit Foundation today - beautiful mission! 🌈</t>
  </si>
  <si>
    <t>working 5 hours on commons/ui, started to define components aligned to Marko's design, changing theme, buttons and back buttons, and meeting with Marko in order to fix some conflicts between design and theme</t>
  </si>
  <si>
    <t>working 4 hours between yesterday and today finishing the ui library</t>
  </si>
  <si>
    <t>3h of work finishing ui library.</t>
  </si>
  <si>
    <t>reaching out to me and making sure that I gave the ETH address🔥</t>
  </si>
  <si>
    <t>his slaying #242 with me and organizing the monster into smaller, sprintable pieces.</t>
  </si>
  <si>
    <t>their work on the second page of the token converter. It's not yet depoyed because it needs the last touches, but I'm really happy with them!</t>
  </si>
  <si>
    <t>your work on the gov and converter interfaces, you do a lot of work and it is not reflected enough in the amount of praise you receive, we'll have to fix that! 🙏🙏🙏✨</t>
  </si>
  <si>
    <t>working 1h 30min on getting the reserve ratio dynamically in tec-converter!</t>
  </si>
  <si>
    <t>inviting Ruben to the community</t>
  </si>
  <si>
    <t>accepting to prepare a design for the hatch website for the comms call tomorrow without much time in advance. That will help a lot to understand what we are preparing.</t>
  </si>
  <si>
    <t>the front end work on the hatch app</t>
  </si>
  <si>
    <t>1h work the past days this week, made changes on the TEC fundraising page related to what we discuss on the last sync call</t>
  </si>
  <si>
    <t>capturing the essence of Praisegiving with his amazing graphic / meme!!! 🔥🔥🔥</t>
  </si>
  <si>
    <t>showing his amazing work with the aggregating vesting address and the graph! 🙏</t>
  </si>
  <si>
    <t>showing a demo of his work on the locked tokens chart today. I think it is the first time we show a demo instead of a screen full of tasks to do. This means that we are advancing fast!</t>
  </si>
  <si>
    <t>completing the locked tokens visualization project</t>
  </si>
  <si>
    <t>joining the praise channel and the community call 🙌🏽😁</t>
  </si>
  <si>
    <t>joining the Praise channel! 🥳😁</t>
  </si>
  <si>
    <t>starting and getting stuck into reverse-engineering/unravelling Compound Finance</t>
  </si>
  <si>
    <t>joining the TE Praise channel - welcome to our community! 🙏🏼💫🌈</t>
  </si>
  <si>
    <t>sharing the gitcoin blog post... lots of great info there:  https://twitter.com/owocki/status/1333842278578679809</t>
  </si>
  <si>
    <t>joining the TE Praise channel and the TEC lab today! 🔥🔥🔥</t>
  </si>
  <si>
    <t>santi</t>
  </si>
  <si>
    <t xml:space="preserve">zep </t>
  </si>
  <si>
    <t xml:space="preserve">#6 IH: </t>
  </si>
  <si>
    <t>Tier</t>
  </si>
  <si>
    <t>Livia</t>
  </si>
  <si>
    <t>Praise Count</t>
  </si>
  <si>
    <t>taking on the Legal WG and hack sessions and leading on Github</t>
  </si>
  <si>
    <t>bringing Rosa to help with website design and comms - she is the missing piece we needed to move forward, very grateful! 🙏🏼</t>
  </si>
  <si>
    <t>working on our SourceCred instance and pushing the testing forward! ⚡️</t>
  </si>
  <si>
    <t>joining a call to walk through the new tech release Bonding Curve 2.0 + Conviction Voting and do Q &amp; As so we can develop better educational/onboarding materials - thank you for your time and this was incredibly valuable!! 🌟🌟🌟</t>
  </si>
  <si>
    <t>helping to develop a conflict management system for the TEC community. Many thanks for your time and ideas!</t>
  </si>
  <si>
    <t>the meeting to follow up on how we are proceeding with TEC legal protocol for hatching phase</t>
  </si>
  <si>
    <t>joining the Legal WG meeting today</t>
  </si>
  <si>
    <t>hacking on an impact hours website: https://tokenengineeringtest.herokuapp.com/</t>
  </si>
  <si>
    <t>the progress with the SourceCred implementation!</t>
  </si>
  <si>
    <t>all of your hard work, energy, presence, praises and joining the TEC Community call today! 🙏🏼🌈💫</t>
  </si>
  <si>
    <t>being so great and participate in the "Gravity" Conflict management Working group.</t>
  </si>
  <si>
    <t>bringing the praise and progress to the TEC weekly sync. Mind blowing 💥🙏🛠</t>
  </si>
  <si>
    <t>the deep dive on incentives and intrinsic motivations on the weekly Soft Gov WG sync 💭🗳</t>
  </si>
  <si>
    <t>joining the legal working group call!</t>
  </si>
  <si>
    <t>putting together the onboarding journey map!! 🔥💪🏼</t>
  </si>
  <si>
    <t>setting up the new TEC Praise Quant Github repo ⌨</t>
  </si>
  <si>
    <t>joining the Soft Gov call today! thank you so much for your presence 🙌</t>
  </si>
  <si>
    <t>joining the Onboarding WG work session and call today - appreciate you all so much! 🙏🏼💫</t>
  </si>
  <si>
    <t>great energy and honesty in today's Comms WG weekly sync 🗞🔌. And randomshinichi and ygg too👽</t>
  </si>
  <si>
    <t>joining the onboarding working group call today!</t>
  </si>
  <si>
    <t>joining the Comms Working Group call today - thank you so much for your energy, support and feedback and sharing the time together 🙏🏼🌟</t>
  </si>
  <si>
    <t>being present and recording every call and for his contributions to the Conflict Management WG</t>
  </si>
  <si>
    <t>going above and beyond adding that extra love and time stamps! https://youtu.be/6DyK2JrK9EE?t=1811</t>
  </si>
  <si>
    <t>the legal session hack</t>
  </si>
  <si>
    <t>handling the LBRY integration so well! Doing all the research and figuring out the magic!</t>
  </si>
  <si>
    <t>attending the Gravity-Conflict management Wg call. Thanks for all your help and interest in this iniciative.</t>
  </si>
  <si>
    <t>recording the Tech Spec call and always being there to hold it down!! 💫🌟</t>
  </si>
  <si>
    <t>our tech weekly sync, we are up to speeed with the different projects!</t>
  </si>
  <si>
    <t>their energy and coming to the TEC spec working group call! ☎️⚡️</t>
  </si>
  <si>
    <t>recording the TEC weekly sync and being so awesome and bringing the good vibes!! 🌟</t>
  </si>
  <si>
    <t>joining the conflict management working group!</t>
  </si>
  <si>
    <t>recording our TEC calls and keeping the TEC YouTube channel up to date!</t>
  </si>
  <si>
    <t>joining the intro session of the book club!</t>
  </si>
  <si>
    <t>sharing the onboarding documents that Will assist the creation of the partnership template! 🌱</t>
  </si>
  <si>
    <t>his praise persistence 😁</t>
  </si>
  <si>
    <t>emailing to get special treatment for TEC on LBRY - we're now up and syncing with unlimited bandwidth whoop whoop! You're a star Zep!!! 🌟</t>
  </si>
  <si>
    <t xml:space="preserve">double </t>
  </si>
  <si>
    <t>posting the TEC Spec call: https://www.youtube.com/watch?v=OXA6GkKix4s</t>
  </si>
  <si>
    <t>always being on top of praise - thank you so much!! 🙏🏼💫</t>
  </si>
  <si>
    <t>kicking off the onboarding working group! ⚡️</t>
  </si>
  <si>
    <t>joining the comms and soft gov working group! Craig, don't forget to dish praise to yourself 🙏🙌</t>
  </si>
  <si>
    <t>our marathon 2 hour worging session to clarify TEC Onboarding Working Group deliverables and groom all related issues into Zenhub epics. On 🔥!</t>
  </si>
  <si>
    <t>jumping into onboarding and comms with full energy and helping us to organize PM our workflows, for a one hour call with Tamara and hacking on our hatch journey - thank you so much for your time and energy! 🙏🏼🌟</t>
  </si>
  <si>
    <t>joining the community and jumping in full 🔥 on onboarding &amp; comms. Appreciate the calls today to get to know everyone and your offering to contribute!  Excited to having you with us 🙏🏼</t>
  </si>
  <si>
    <t>the Onboarding Github work session today - super appreciate you guys supporting in the project management process! 🙏🏼🙏🏼🙏🏼💫</t>
  </si>
  <si>
    <t>the useful onboarding journey brainstorm and discussion. Hatch here we come 🐣</t>
  </si>
  <si>
    <t>a super productive Onboarding WG roadmapping and ZenHub work session ⌨</t>
  </si>
  <si>
    <t>joining the TE Praise channel. We welcome your insights &amp; energy 💥</t>
  </si>
  <si>
    <t>hacking on the tech spec for 3 hours in the discord! Ygg took on the Impact hours description and Tonga took on the Vesting discussion in https://github.com/TECommons/coordination/issues/29</t>
  </si>
  <si>
    <t>coordinate with a TE calendar for the recordings and join to help with the YouTube Channel</t>
  </si>
  <si>
    <t>starting exploring the TEC cultural tribute exploration into a jupyter notebook! Expect my comments soon!</t>
  </si>
  <si>
    <t>joining me in today's meeting with SourceCred crew</t>
  </si>
  <si>
    <t>starting a really cool new blog, writing a couple awesome blogposts about the Commons Stack: http://tokengineer.com/design-rationale-behind-the-commons-stack-cadcad-refactor/</t>
  </si>
  <si>
    <t>breaking down the Story Canvas Miro info into a doc to get that moving 🔥thank you so very much for your hard work Andrew!!!! 🙏🏼🙏🏼🙏🏼 https://github.com/TECommons/Coordination/issues/9</t>
  </si>
  <si>
    <t>laying out some new issues in the cadCAD repo</t>
  </si>
  <si>
    <t>shepherding the new cadCAD dev team, answering their questions, reviewing PRs and being so easy to work with</t>
  </si>
  <si>
    <t>joining the TEC Praise channel. Welcome 👋🙏</t>
  </si>
  <si>
    <t>coming to the impromptu 1hive Gardens Swarm sync today</t>
  </si>
  <si>
    <t>his praise efforts in dishing and looking out for people doing work - thank you Tonga!!! You rock!! ⚡️</t>
  </si>
  <si>
    <t>suggesting a group intro question this and last's weeks in soft gov!</t>
  </si>
  <si>
    <t>joining the TEC Praise channel 🤲😁</t>
  </si>
  <si>
    <t>joining her first comms meeting last night and help  with the webpage</t>
  </si>
  <si>
    <t>joining our 30min work session on the website and jumping in with full energy and hacking for hours on the next iteration of design and back end over the weekend - thank you so much Rosa!!! 🙏🏼💫</t>
  </si>
  <si>
    <t>improving our website.</t>
  </si>
  <si>
    <t>jumping into the miro and contributing to the onboarding journey ⚡️</t>
  </si>
  <si>
    <t>attending every meeting and learning as much info as he can</t>
  </si>
  <si>
    <t>creating the new cadCAD beginner course - amazing work guys!!! ⚡️⚡️⚡️🙏🏼</t>
  </si>
  <si>
    <t>always being available to answer questions from the other members</t>
  </si>
  <si>
    <t>their continuous work on the TE Academy</t>
  </si>
  <si>
    <t>sharing the cadCAD recording session with Ruben</t>
  </si>
  <si>
    <t>joining the cadCAD #Education-Outreach meeting today to discuss &amp; plan to distribute all the latest cadCAD news!</t>
  </si>
  <si>
    <t>providing 5000 PAN for our book club! Each meeting we'll be raffling 1000 Pan to a lucky attendee. Thanks for your amazing work with the Panvala Activities Fund Niran!</t>
  </si>
  <si>
    <t>joining the praise channel - so awesome to see you here Niran!!! 🤩🙏🌈</t>
  </si>
  <si>
    <t>being a super star TE Community member and assisting @sgonzt in his effort to research cadCAD</t>
  </si>
  <si>
    <t>joining the TEC weekly sync 🙏☺️🔥</t>
  </si>
  <si>
    <t>boosting our Discord server so we can have more people join our community calls - thank you for supporting! 🔥⚡️🌟</t>
  </si>
  <si>
    <t>joining the TE Praise channel! 💫</t>
  </si>
  <si>
    <t>creating a channel for Governing the Commons on the DAO book club discord server and for welcoming us to the amazing work they've been doing!</t>
  </si>
  <si>
    <t>sweet DAO book club channel. Hello my friend.</t>
  </si>
  <si>
    <t>writing and editing this article  https://medium.com/token-engineering-commons/your-economy-your-choice-64e8151a1ecb for Tonga</t>
  </si>
  <si>
    <t>putting a lot of effort in making the community more human and cozy and making the members feel comfortable in the group and for her writing contributions</t>
  </si>
  <si>
    <t>consistently modelling clear, thoughtful and respectful communication.</t>
  </si>
  <si>
    <t>all her efforts on understanding and translating the tech updates into an accessible language for everyone in the community!</t>
  </si>
  <si>
    <t>amazing work today on the OWG issues and epics</t>
  </si>
  <si>
    <t>helping Ruben with Prime DAO partnership</t>
  </si>
  <si>
    <t>always promoting comms and sof gov calls with updated graphs</t>
  </si>
  <si>
    <t>that monster dish. We broke the channel limit. Whoop 💥</t>
  </si>
  <si>
    <t>creating the Content Creation guidelines doc - super work!!! ⚡️⚡️⚡️</t>
  </si>
  <si>
    <t>her big push last week on the narrative and finding and onboarding a BOLD new illustrator 😃 😃</t>
  </si>
  <si>
    <t>great collaboration on the PrimeDAO partnership proposal!</t>
  </si>
  <si>
    <t>joining the TE Praise channel ✋</t>
  </si>
  <si>
    <t>their huge organized push on the front end, the progress has been incredible, and you guys really are the finishers!</t>
  </si>
  <si>
    <t>leading the Conflict Management WG and introducing Mateo to it</t>
  </si>
  <si>
    <t>being so supportive of the book club and helping me to clarify misunderstandings 🙏</t>
  </si>
  <si>
    <t>brainstorming alternatives to simplify legal's and tech journey's towards the hatch!</t>
  </si>
  <si>
    <t>mentoring Rayne 😃</t>
  </si>
  <si>
    <t>helping Santi on the graph and always finding time to make calls</t>
  </si>
  <si>
    <t>leading Tech weekly sync and encourage everyone to participate the flow on the call was awesome!</t>
  </si>
  <si>
    <t>Gets paid from his work with the Gardens Swarm so he gets 35% of his IH</t>
  </si>
  <si>
    <t>always being an ambassador for Commons Stack and TEC and sharing the ideas and vision, and hacking on it in the hackathon!! 💫🌈</t>
  </si>
  <si>
    <t>diving into the cadCAD Sims, gathering support from the community and making a few pull requests right out of the gate! https://github.com/commons-stack/commons-simulator/pulls</t>
  </si>
  <si>
    <t>their multiple PRs tackling the final issues we have in the cadCAD model: https://github.com/commons-stack/commons-simulator/pulls?q=is%3Apr+is%3Aclosed</t>
  </si>
  <si>
    <t>creating an economy around Subs to enable brightID to do amazing work in the proof of uniqueness and UBI space 😃</t>
  </si>
  <si>
    <t>submitting his first PR on tec-interface, even though you hate frontend 😂</t>
  </si>
  <si>
    <t>joining the Commons Stack and diving deep into research to hit the ground asap as our new Program Manager! Bringing order to the Swarm!</t>
  </si>
  <si>
    <t>joining the book club call and for making a DAO for Governing the Commons ⚡️⚡️</t>
  </si>
  <si>
    <t>joining the Praise channel! Yayyy so glad you are here! 💫</t>
  </si>
  <si>
    <t>sharing information about the RxC fellowship program that is so aligned with our mission to support public goods!</t>
  </si>
  <si>
    <t>joining the TEC call today and his work to try and bring the Commons Stack design pattern to new blockchains and communities, and building commons ❤️🌈</t>
  </si>
  <si>
    <t>joining the TE Praise channel 💫</t>
  </si>
  <si>
    <t>reviewing two PR, you did very good reviews and helped a lot!</t>
  </si>
  <si>
    <t>doing an awesome job on the convert app</t>
  </si>
  <si>
    <t>Gets paid from her work with the Gardens Swarm so she gets 35% of her IH</t>
  </si>
  <si>
    <t>the call and work session on the website and helping to push comms forward - so appreciate your contributions!! 💫🙏🏼🌈❤️</t>
  </si>
  <si>
    <t>submitting pull requests for the converter app and in general for contributing to the project so much</t>
  </si>
  <si>
    <t>joining the weekly sync</t>
  </si>
  <si>
    <t>being the glue that holds this project together, working with the front end team, working with our new illustrator, working with Sem on the designs, working with EVERYONE behind the scenes to get this project DONE</t>
  </si>
  <si>
    <t>all of his hard work and continuing to iterate on our slick designs and hacking on the website even though he is so incredibly busy 🔥🔥🔥🙏🏼🙏🏼🙏🏼</t>
  </si>
  <si>
    <t>doing such and incredible job being the interface between the sintezis team and the rest of the team, and in general leading this effort.</t>
  </si>
  <si>
    <t>finding out the legal structure of primeDAO in the legal WG</t>
  </si>
  <si>
    <t>sharing clear instructions and offering support on becoming a Commons Stack PrimeDao ambassador. And for his patience as I only have a block of time for it toward the end of the week.</t>
  </si>
  <si>
    <t xml:space="preserve">He gets paid by the Commons Stack for his PrimeDAO work so he only gets 15% of the IH for his primeDAO work </t>
  </si>
  <si>
    <t>co-creating the book club!</t>
  </si>
  <si>
    <t>joining the TE Praise Channel 🎉</t>
  </si>
  <si>
    <t>Gets paid from the Gardens Swarm so she gets 35% of his IH</t>
  </si>
  <si>
    <t>brainstorming above &amp; beyond use cases for the Augmented Bonding Curve 🔥</t>
  </si>
  <si>
    <t>reposting in the general chat, it is always fine to post here! but you will get more action in general</t>
  </si>
  <si>
    <t>sharing his DAO report - awesome work!!! 🙏🏼🔥</t>
  </si>
  <si>
    <t>speaking out to dish some praise during tha call after i skipped him</t>
  </si>
  <si>
    <t>the sprint review  + retrospective and pulling us all together.</t>
  </si>
  <si>
    <t>steering the CS Weekly Team Sync this week and especially for the extra effort to conclude the Retro, ensuring all feedback was given due attention.</t>
  </si>
  <si>
    <t>recording all the praise from the sync call last week and passing it to me to dish ere</t>
  </si>
  <si>
    <t>giving stakeholder insights and being passionate about the common good and for always pushing through and for helping Santi with the legal documents</t>
  </si>
  <si>
    <t>praise quantifiers are not being enough recogniced in their IH. 😃</t>
  </si>
  <si>
    <t>he has so much bandwith to participate in almost every group and still be able have one on one sessions with a great energy and understanding of each's needs 👍</t>
  </si>
  <si>
    <t>the thorough communication she wrote in the TE Commons channel explaining where the TEC is at from a cultural perspective - well articulated and a wonderful template if we want to make a blog or forum post on this. Thank you for writing that all out!! 🙏🏼💫</t>
  </si>
  <si>
    <t>bringing Eduardo and all the time he spent doing several forum posts on the hatch parameters - I don't know how you do it all! 🙏🏼🌟</t>
  </si>
  <si>
    <t>pointing us into the DAO Book Club group direction and for being so enthusiastic about it!</t>
  </si>
  <si>
    <t>bringing clarity in our working session about where we are with TEC Soft Gov &amp; Culture and where we are going, and for grooming the related issues and adding them to Zenhub epics. Pure 🔥!</t>
  </si>
  <si>
    <t>sharing forum posts on intrinsic motivation and ostrom's principles work from MetaGov 🌟🌟🌟 don't know how you do it all!! Amazing work!</t>
  </si>
  <si>
    <t>She gets 50% pay from Commons Stack for October and 100% pay for November... so thats 15% of IH from November and 50% IH from October which averages to 32.5%</t>
  </si>
  <si>
    <t>Gets paid from her work with the Gardens Swarm so she gets 15% of her IH</t>
  </si>
  <si>
    <t>Kay gets paid via Giveth and Commons Stack to do devops so his work on discord and websites sort of comes from that... but not totally... so he gets 50% impact hours</t>
  </si>
  <si>
    <t>their time and energy joining the Comms Working Group call &amp; work session surrounding the story canvas and narratives ⚡️</t>
  </si>
  <si>
    <t>offering to help Ivy and support in uploading videos to our YouTube channel 🙏🏼🙏🏼🙏🏼⚡️</t>
  </si>
  <si>
    <t>working to deploy Conviction Voting to xDAI for building out the front end (with Rayne as well)</t>
  </si>
  <si>
    <t>coming to the tech spec working group call on monday ⚡️</t>
  </si>
  <si>
    <t>attending today's weekly TEC sync and listening so intently 👂🔩🌱</t>
  </si>
  <si>
    <t>helping me make sure the Forum settings are linking to the CV app properly 🙏🏼⚡️</t>
  </si>
  <si>
    <t>participating and playing with our first test Hatch Deployment on Rinkeby... We didnt rasie enough tDAI to launch the TestTEC so feel free to collect your tDAI back 😉 https://rinkeby.client.aragon.org/#/tecommons/0x550e809fb1f23d2ac2cc8ab51ee42986feb94f75/</t>
  </si>
  <si>
    <t>patiently answering all my questions about the new test Commons 🙌💫</t>
  </si>
  <si>
    <t>helping with organizational structuring and coordinating all the Dev work for Tech Specs and for navigating Aragon</t>
  </si>
  <si>
    <t>making this slick url for the CV test app - we can all go here now to play https://gov.tecommons.org/</t>
  </si>
  <si>
    <t>joining the TEC weekly sync 🙏☺🔥</t>
  </si>
  <si>
    <t>being so cool and help new people when they join.</t>
  </si>
  <si>
    <t>setting up and executing the quick sync on the TE Commons! Probably the best deep dive we have so far! It is embedded into the TEC Comms WG's Storyboard canvas where we are gathering input on the TEC Hatch narrative: https://miro.com/app/board/o9J_kjDw5AE=/</t>
  </si>
  <si>
    <t>joining the Soft Gov working group sync!! ✨✨</t>
  </si>
  <si>
    <t>joining the Community Steward Sync</t>
  </si>
  <si>
    <t>the beautiful praise medium article write up! 🌈</t>
  </si>
  <si>
    <t>the stimulating discord discussion and resources  on knowledge management &amp; cyber physical commons 🧠</t>
  </si>
  <si>
    <t>promptly creating video tutorials for how to use the new test Commons and for always being so on top of community education! 🙌👏🥳</t>
  </si>
  <si>
    <t>all the awesome work on YT account and giving Twitter a voice 🦢📹</t>
  </si>
  <si>
    <t>her three awesome videos on a Conviction Voting walkthrough. I can't believe I'm the first to praise her, I loved them!</t>
  </si>
  <si>
    <t>dupe</t>
  </si>
  <si>
    <t>coordinating the creation of all our communication channels and making the behind-the-scenes information available</t>
  </si>
  <si>
    <t>initiating a document to investigate automated reward systems!</t>
  </si>
  <si>
    <t>updating the YT vid playlist and incorporating the first non-english demo vids. Brilliant 📹🗣</t>
  </si>
  <si>
    <t>joining the TEC Comms weekly sync and sharing the good and the bad 🙏🌙</t>
  </si>
  <si>
    <t>joining the TEC Soft Gov Weekly Sync. Amazing praise quanitification and rewards structuring discussion ☺🙏</t>
  </si>
  <si>
    <t>orchestrating comms and soft govt teams!</t>
  </si>
  <si>
    <t>joining the TEC Community Stewards sync today</t>
  </si>
  <si>
    <t>the awesome job hosting, presenting, recording &amp; posting the fourth cadCAD community call 🥳👌</t>
  </si>
  <si>
    <t>tweeting about us in October 😃</t>
  </si>
  <si>
    <t>guiding the comms call and for sending reminders about it🙏🏽 this is super valuable and most of the people don’t realize! When you invite me to join, I feel that my input is valuable.🙏🏽🙏🏽</t>
  </si>
  <si>
    <t>taking on the legal group and so much work and jumping in the deep end stewarding, honoring all of your experience and knowledge (so much!) you are bringing to the table in supporting and guiding the community 🙏🏼❤️🧙🏽‍♂️</t>
  </si>
  <si>
    <t>creating a step by step guide to help you interact with the new TEC CV 👏🤩</t>
  </si>
  <si>
    <t>developing a forum post &amp; guide on the TestTEC Conviction Voting app 🔥💪🏼🙏🏼</t>
  </si>
  <si>
    <t>kicking off the Legal working group today!</t>
  </si>
  <si>
    <t>being present for all the calls and for launching and running so many projects to help and guide the team</t>
  </si>
  <si>
    <t>interviewing TE Commons stakeholders and creating great insights 👍🏻</t>
  </si>
  <si>
    <t>recording the Comms calls and supporting with uploading to YouTube - super appreciate your time and taking that on! 🙏🏼🙏🏼🙏🏼💫</t>
  </si>
  <si>
    <t>recording our calls, editing the videos, and uploading them to Commons Stack and TE Commons YouTube channels!</t>
  </si>
  <si>
    <t>recording and uploading the Thursday sync 💫🤘✨</t>
  </si>
  <si>
    <t>editing the latest video for the Commons Stack YouTube channel - amazing work!</t>
  </si>
  <si>
    <t>joining the conflict management working group call and collaborating in the design of a way to channel disputes inside the organization</t>
  </si>
  <si>
    <t>continuing to help us with video editing and posting on our YouTube channel!</t>
  </si>
  <si>
    <t>joining the Comms call and her energy in participating in the Story Canvas exercise, as well as all her incredible work with Onboarding group! Thank you so much 🙏🏼</t>
  </si>
  <si>
    <t>coming to all of our calls despite internet challenges 🙏🏼</t>
  </si>
  <si>
    <t>always being SO helpful with dishing praise! And for coming to the Comms call! Thank you so much Craig, appreciate you!! 🙏🏼🙏🏼🙏🏼</t>
  </si>
  <si>
    <t>all his praise work and presence! You deserve double praise Craig!! ✨✨</t>
  </si>
  <si>
    <t>double</t>
  </si>
  <si>
    <t>taking the leadership of the onboarding working group!!</t>
  </si>
  <si>
    <t>his incredible work on the Tech Spec, translating the Rinkeby Deployment into this awesome doc: https://github.com/daithi-coombes/tec-template/blob/rinkeby-deployment/CONFIGURATION.md</t>
  </si>
  <si>
    <t>hacking on the conflict management working group manifesto</t>
  </si>
  <si>
    <t>kicking off the Conflict Management WG, being always available and fun to work with, and for hosting intelligent conversations</t>
  </si>
  <si>
    <t>facilitating the first call of the conflict management working group</t>
  </si>
  <si>
    <t>all the times I wanted to dish him praise before 😅 note to quantification: 5 calls and great work on miro</t>
  </si>
  <si>
    <t>getting deep into honeypot v2 graph and explaining it in the 1hive peer programming room, we understand now much better how the graph works</t>
  </si>
  <si>
    <t>implementing the vesting policy for the tokens that come from the impact hours in the hatch, I know it was a difficult task!</t>
  </si>
  <si>
    <t>helping Sem to understand thegraph</t>
  </si>
  <si>
    <t>recording a great video to help answer the questions for onboarding</t>
  </si>
  <si>
    <t>keeping the Story Canvas rolling and helping to facilitate the Miro board exercise 🙏🏼⚡️</t>
  </si>
  <si>
    <t>taking on the website and the HUGE work of putting all the content in and front end design/coding ⚡️🔥🙏🏼🙏🏼🙏🏼 Thank you!!!!! Appreciate you!!!</t>
  </si>
  <si>
    <t>asking great questions in my random TEC Slides: https://docs.google.com/presentation/d/1o7eKSrn-ABZmqQ_AsK13rbF_8a0SyWIKUWrod-cc9OA/edit?disco=AAAAGojikAY&amp;usp_dm=false&amp;ts=5f97350f</t>
  </si>
  <si>
    <t>adding comments to the vision and values! https://docs.google.com/document/d/1UDnf26QQqqc77mnhn80MLCVzJU6IdvouT-OXPrIVXCg/edit#heading=h.vsh9cv61etkt</t>
  </si>
  <si>
    <t>joining the Communications and Soft Gov calls and the TEC - most welcome! So happy you are here 🙏🏼</t>
  </si>
  <si>
    <t>all his effort connecting the TEC with PrimeDAO!</t>
  </si>
  <si>
    <t>fixing the xDAI Aragon Package Manager so we can add the apps we need to deploy the TE Commons to xDAI 😃</t>
  </si>
  <si>
    <t>submitting the DAO Chat Bot research proposal to the CV Test app 🤖🙏</t>
  </si>
  <si>
    <t>joining the working group calls today!</t>
  </si>
  <si>
    <t>creating all the logo assets for SM and working on front end design for our platforms - you rock!! 🙏🧙‍♂</t>
  </si>
  <si>
    <t>helping Vivian with the designs for the TEC CV interface</t>
  </si>
  <si>
    <t>helping me establish the process for developing the website</t>
  </si>
  <si>
    <t>joining the TE Praise channel 🌊</t>
  </si>
  <si>
    <t>a one hour work session to hack on Comms platforms and our first Tweet! 🐣💫🙌🙏🏼</t>
  </si>
  <si>
    <t>reaching out and taking on Front End dev &amp; design for the DAO 🙏🏼💫🌈</t>
  </si>
  <si>
    <t>working on the TEC Pot interface</t>
  </si>
  <si>
    <t>submitting a proposal to Conviction Voting test!!! Awesome!!! 🙌💫</t>
  </si>
  <si>
    <t>creating a tutorial to make proposals on the 2nd CV test in Spanish! Great step to a more inclusive Commons 🙌🙌</t>
  </si>
  <si>
    <t>making a Conviction Voting app walk through en Espanol!!!!! Amazing work HB! 🙏🏼🔥🙌</t>
  </si>
  <si>
    <t>being so enthusiastic with Praise!</t>
  </si>
  <si>
    <t>guiding me and helping me understand so many new things within the token engineering world 🙏🏽</t>
  </si>
  <si>
    <t>being the first community member (not a steward haha) to post in our forum and kickoff some discussion in the ☕️ Cafe https://forum.tecommons.org/t/firstpost-in-cafe/39/2</t>
  </si>
  <si>
    <t>going thru the Thursday sync call and recording all the praise that people dished over the call... and letting me dish it 😃</t>
  </si>
  <si>
    <t>all his help setting up the new cadCAD blog on Ghost 🙏</t>
  </si>
  <si>
    <t>being very active and involved in the conflict management proposal</t>
  </si>
  <si>
    <t>onboarding a project interested to take part in the hatch and for thinking of an incentive reward for contributors to onboard leads 💫</t>
  </si>
  <si>
    <t>giving great feedback to the onboarding resources and putting himself available to help!</t>
  </si>
  <si>
    <t>doing all her incredible work for the community</t>
  </si>
  <si>
    <t>hacking together a plan on the Commons Simulator cadCAD model for HOURS!</t>
  </si>
  <si>
    <t>sharing the documentation on the LLC process championed by dOrg that will be useful for the legal wg</t>
  </si>
  <si>
    <t>bringing up some interesting questions in the cadCAD community channels</t>
  </si>
  <si>
    <t>taking a deep dive into the cadCAD model before the call we had tonight.</t>
  </si>
  <si>
    <t>quickly creating a Legal channel on Discord 🙌  (late praise being served cold 🙈 thanks Kay)</t>
  </si>
  <si>
    <t>coming to the tech spec call!</t>
  </si>
  <si>
    <t>editing the praise medium article!</t>
  </si>
  <si>
    <t>updating the impact hours sheet!!</t>
  </si>
  <si>
    <t>merging configuring md file in the tec gardens template and fixing up text</t>
  </si>
  <si>
    <t>having the idea of integrate our YouTube channel with lbry - we will have a backup of the videos and it's also going to be automatic and simple! - praise on behalf of @zeptimusQ ☺️</t>
  </si>
  <si>
    <t>suggesting YT / lbry integration 📕 Cheers @zeptimusQ</t>
  </si>
  <si>
    <t>joining the TE Praise channel and the nice intro. Excited to have you. Get active ⚙</t>
  </si>
  <si>
    <t>her bday 🥳🙌👏</t>
  </si>
  <si>
    <t>lescanor</t>
  </si>
  <si>
    <t>joining the TE Praise channel</t>
  </si>
  <si>
    <t>joining the TEC Praise channel. Welcome 👋</t>
  </si>
  <si>
    <t>joining the TEC Praise Channel ☺</t>
  </si>
  <si>
    <t>another great work session on our upcoming FrontiersIn Blockchain academic paper examining the potential of projects like the Commons Stack, the Economic Space Agency &amp; Holochain's Commons Engine in scaling the global commons with DLTs 🚀</t>
  </si>
  <si>
    <t>joining the comms and soft gov working group calls! 🙌</t>
  </si>
  <si>
    <t>joining the TE praise channel</t>
  </si>
  <si>
    <t>introducing new commoners to our community, and all the hard work going into DisCO.coop,  a project &amp; commons model everyone here should look into! 🛠🌱</t>
  </si>
  <si>
    <t>diving into content creation, getting a TG handle so we can dish praise, and retweeting us on twitter in October😃</t>
  </si>
  <si>
    <t>giving OpenLitterMap to the world</t>
  </si>
  <si>
    <t>their great answers and shared resources in the cadCAD Discord channel.  Make sure you join to keep up with the latest cadCAD discussions: https://discord.gg/dYGq8Kx</t>
  </si>
  <si>
    <t>taking the Commons Stack tools with him on his journey into a meatspace based Commons 😃. Good luck buddy!! 😃</t>
  </si>
  <si>
    <t>helping to set up the Coordination github repo for managing the TEC work!</t>
  </si>
  <si>
    <t>posting the 2nd test Commons proposal example in the forum</t>
  </si>
  <si>
    <t>posting the 2nd test Commons proposal example in the forum - this deserves x 2 fer sherrrrr 🙏🏼💫</t>
  </si>
  <si>
    <t>supporting and keeping everyone up to date</t>
  </si>
  <si>
    <t>sharing https://designjustice.org/!</t>
  </si>
  <si>
    <t>joining the TEC Praise channel</t>
  </si>
  <si>
    <t>joing the TE Praise channel 🙏</t>
  </si>
  <si>
    <t>sharing these awesome opportunities to dive into grassrootseconomics and contribute to the most important social impact token engineering project out there</t>
  </si>
  <si>
    <t xml:space="preserve">#4 IH: </t>
  </si>
  <si>
    <t>note... combined with a duplicate sn of lescanor</t>
  </si>
  <si>
    <t>comms support and uploading the cadCAD community call recording - thank you!</t>
  </si>
  <si>
    <t>joining the Tech Spec Working Group call today and for generally kicking butt 🥊 in test hatch launch🌱</t>
  </si>
  <si>
    <t>all his efforts trying to dish Praise and share the love!</t>
  </si>
  <si>
    <t>upgrading the airtable and making it ready to go!</t>
  </si>
  <si>
    <t>collaborating on Soft Gov and Onboarding working group meld</t>
  </si>
  <si>
    <t>his great news channel proposal as part of the comms and soft gov working groups</t>
  </si>
  <si>
    <t>hacking on the TEC Logo. Looks like its getting there🙏</t>
  </si>
  <si>
    <t>joining the TEC. Looking forward to your input.</t>
  </si>
  <si>
    <t>sharing "Rules for Rulers" video. "Sovereign individuals govern well together" 😍</t>
  </si>
  <si>
    <t>inciting a PAN Staking party to support the Commons Stack! 🙏🥳</t>
  </si>
  <si>
    <t>joinging the TEC. Looking forward to working together.</t>
  </si>
  <si>
    <t>hacking in the 1hive pair programming room on the TEC Test Launch!</t>
  </si>
  <si>
    <t>joining the soft gov working group call and giving so many interesting inputs!</t>
  </si>
  <si>
    <t>joining the Comms Working Group weekly call and all of their time and energy in helping to build our platforms and community 🙏🏼❤️</t>
  </si>
  <si>
    <t>kindly calling me out for not adding him to the praise, thanks for the great contributions always😅🤗</t>
  </si>
  <si>
    <t>a work session and jumping in to tackle Comms platform setup - and for becoming father to a new kitty! 🐱</t>
  </si>
  <si>
    <t>being amazing and sending the list of everyone who came to the sync right after our call ❤️</t>
  </si>
  <si>
    <t>debugging and fixing up the Robots &amp; Marbles cadCAD tutorial! https://github.com/cadCAD-org/demos/tree/master/tutorials/robots_and_marbles</t>
  </si>
  <si>
    <t>his vigilant tech support for cadCAD modelers on our community discord: https://discord.gg/jBcvS3p 🙏</t>
  </si>
  <si>
    <t>the transparent tracking of governance decisions</t>
  </si>
  <si>
    <t>their feedback on the logo (and Seb's awesome joke)</t>
  </si>
  <si>
    <t>taking on catherding the people who's addresses we don't have to the typeform at: commonsstack.org/apply</t>
  </si>
  <si>
    <t>setting up that sweet Contributor Map Airtable🗺</t>
  </si>
  <si>
    <t>his thorough feedback on accountability in Soft Gov</t>
  </si>
  <si>
    <t>raising comms questions and supporting strategy development for onboarding and comms</t>
  </si>
  <si>
    <t>sharing examples about the different channels for Forums and for noticing that the Doodle poll had an issue 🙏🙏</t>
  </si>
  <si>
    <t>cat herding all the Interviews for the Commons Stack Hiring process</t>
  </si>
  <si>
    <t>answering my endless questions - and always so supa dupa fast!</t>
  </si>
  <si>
    <t>working tirelessly on the TE Commons test deployment this week... many many hours pushing this out</t>
  </si>
  <si>
    <t>all his help digging up data from the Conviction Funding pilot, to allow for some after the fact cadCAD analysis!</t>
  </si>
  <si>
    <t>the amazing energy at our TEC community call 🥳✨</t>
  </si>
  <si>
    <t>helping Humberto with the Airtable</t>
  </si>
  <si>
    <t>joining the onboarding working group kick off!</t>
  </si>
  <si>
    <t>taking on Trusted Seed Outreach and being ⚡️ fast at it! You are ☄️🌍</t>
  </si>
  <si>
    <t>her work towards the onboarding working group, working with the TEC as a use case for the ecosystem and value flows course from the TE Academy</t>
  </si>
  <si>
    <t>a 2hr work session to light up web content - which is pretty much done now!!! 🔥💪🏼🔥Thank you so much for helping me drive this Comms bus! 🚌🙏🏼</t>
  </si>
  <si>
    <t>joining the TEC sync, the onboarding working group and the TEC onboarding calls ⚡️⚡️</t>
  </si>
  <si>
    <t>putting together the TEC news proposal - love it and hope we can use it soon! Look forward to discussing it more in depth at the next Comms meeting Tuesday 🙏🏼💫</t>
  </si>
  <si>
    <t>setting up a ClickUp account to coordinate the soft gov workflow</t>
  </si>
  <si>
    <t>promoting the platform change of the TEC calls 🙌</t>
  </si>
  <si>
    <t>making the first TE Commons pull request adding the Impact Hours to the deployment https://github.com/TECommons/tec-template/pull/1</t>
  </si>
  <si>
    <t>joining the TEC and our call today - thank you for being here!</t>
  </si>
  <si>
    <t>working on the designs of the CSTK Token DApp</t>
  </si>
  <si>
    <t>joining the TEC 🌱</t>
  </si>
  <si>
    <t>her continued servant leadership in the weekly CommonsStack/dGov call, which has spurred valuable conversations every week!</t>
  </si>
  <si>
    <t>joining the TE Commons Channel. Be sure to join the TE Praise channel as well for the easiest PRAISE tracking</t>
  </si>
  <si>
    <t>syncing on the Gardens Proposal and general life stuff in the Discord voice channel</t>
  </si>
  <si>
    <t>adding their info into the Airtable contributor map :D</t>
  </si>
  <si>
    <t>being patient with me during the token engineering academy. Apologies for the inconvenience🙏🏽</t>
  </si>
  <si>
    <t>today's 6 hours of non-stop work facilitation in the TE Academy and Onboarding wg</t>
  </si>
  <si>
    <t>the great work on the content of the website🙏🏽</t>
  </si>
  <si>
    <t>teaching me how to praise properly✌🏽</t>
  </si>
  <si>
    <t>bringing me to all the channels and for keeping up to speed with everything. 🙏🏽</t>
  </si>
  <si>
    <t>giving me access to the domain so I can work during the weekend🔥</t>
  </si>
  <si>
    <t>doing a great job putting a proposal down to fund the Gardens Swarm Team through 1Hive Conviction Voting. You are a writing beast!</t>
  </si>
  <si>
    <t>being the new dream team to build on ethic/legal documentation for TE and TEC and the paper they are working on! ☄️</t>
  </si>
  <si>
    <t>the amazing and lightspeed work with this week's medium publication</t>
  </si>
  <si>
    <t>sharing her Future Law Virtual Summit with this group 😃</t>
  </si>
  <si>
    <t>all the hard work in Praise Quantification - and supporting this week's rewards blog 🙏🏼 Team work makes the dream work!! 💫</t>
  </si>
  <si>
    <t>adding the article to the wiki</t>
  </si>
  <si>
    <t>joining me in the tec-sg room to hack on conflict res</t>
  </si>
  <si>
    <t>holding my hand thru the forum posting</t>
  </si>
  <si>
    <t>that initial rewards blog post. Super awesome 💪</t>
  </si>
  <si>
    <t>alerting us about a mistake in the TEC post, we need to clarify that</t>
  </si>
  <si>
    <t>mentioning us or retweeting us on the socials in September! 🙌</t>
  </si>
  <si>
    <t>mentioning us or retweeting us on the socials in September! Thank you for helping us growing the Commons Stack community and spreading the message! 🙌💫🌱</t>
  </si>
  <si>
    <t>letting me know he can't be so active in the soft gov working group this week but will still try to come to our call. I appreciate the communication and accountability :)</t>
  </si>
  <si>
    <t>being onboarded as a Subject Matter Expert and for her willingness to collaborate with the TEC even with such limited time in her hands. 🙌</t>
  </si>
  <si>
    <t>aaronfoster</t>
  </si>
  <si>
    <t>banteg</t>
  </si>
  <si>
    <t>emilianobonassi</t>
  </si>
  <si>
    <t>gotstmiklos</t>
  </si>
  <si>
    <t>mentioning us or retweeting us on the socials in September 😃</t>
  </si>
  <si>
    <t>julian_richter</t>
  </si>
  <si>
    <t>xibot0x</t>
  </si>
  <si>
    <t>making such an awesome notion thats so easy to navigate that people are already using it to pass info to each other</t>
  </si>
  <si>
    <t>providing so much energy to the TEC Comms weekly sync 🎉</t>
  </si>
  <si>
    <t>the stimulating conversation and all the concrete progress in the TEC Soft Gov weekly sync 📚</t>
  </si>
  <si>
    <t>steward power. Your drive is amazing 🏎</t>
  </si>
  <si>
    <t>setting up the website Wordpress - amazing step thank you!!! 🔥🙏🏼💫</t>
  </si>
  <si>
    <t>being super awesome in soft gov weekly sync. We heard you, but our robot needs oiled.</t>
  </si>
  <si>
    <t>attending the comms sync, the soft gov sync, and for recording the syncs on discord. Whoop whoop.</t>
  </si>
  <si>
    <t>passing the information about the scheduling of calls to @rubenrussel7</t>
  </si>
  <si>
    <t>recording our calls today 🙏🏼💫</t>
  </si>
  <si>
    <t>setting up our TEC Linkedin!!! ⚡️🙏🏼</t>
  </si>
  <si>
    <t>making sure that I join the meeting. I really appreciate the messages 🙏🏽</t>
  </si>
  <si>
    <t>continuing to handle the design and project management of the project, acting as the engine that is bringing our baby home</t>
  </si>
  <si>
    <t>constantly going above and beyond for one of the only complex object oriented cadCAD models... it will likely be an example for OO devs to use and inspire tips and tricks on OO programming of cadCAD Models... also all the storylines are huge</t>
  </si>
  <si>
    <t>the major progress with @lbagic, week after week turning Marko's art into a clickable reality... Every week there is progress on the game! seriously, it is beautiful, check it out: http://commons.dev.sintezis.link</t>
  </si>
  <si>
    <t>getting the droplet ready for the forum🔥</t>
  </si>
  <si>
    <t>joining the TE Praise channel. Let's get busy.⚙</t>
  </si>
  <si>
    <t>organizing the OBS  🎥 crew</t>
  </si>
  <si>
    <t>the explanation about the hatching phase🔥</t>
  </si>
  <si>
    <t>joining the Community Steward crew✨🎉</t>
  </si>
  <si>
    <t>joining all the TEC calls yesterday</t>
  </si>
  <si>
    <t>dishing all the attendances praises 🤩</t>
  </si>
  <si>
    <t>joining the call with Pat 🌱</t>
  </si>
  <si>
    <t>recording both working group calls today!!! This is such important work for our documentation 🙌⚡️👏</t>
  </si>
  <si>
    <t>being so fast with the TEC logo, website mockup and putting all the assets on Github already!! 🙏🏼🔥</t>
  </si>
  <si>
    <t>updating us on everything PrimeDAO and how we can start this DAO2DAO partnership 💫</t>
  </si>
  <si>
    <t>the major progress week after week turning Marko's art into a clickable reality... Every week there is progress on the game! seriously, it is beautiful, check it out: http://commons.dev.sintezis.link</t>
  </si>
  <si>
    <t xml:space="preserve">sharing this awesome article on the p2p or "fren2fren" economics of the Economic Space Agency 🤣  </t>
  </si>
  <si>
    <t>battling with major xDAI Aragon issues, and knowing when to call it an pivot to rinkeby</t>
  </si>
  <si>
    <t>bringing the production to the TEC Weekly Sync. Wow. Enjoy those tDAI. 🤑 🛠</t>
  </si>
  <si>
    <t>deploying the lovely TEC Wiki on Notion 🔡</t>
  </si>
  <si>
    <t>bringing great energy and info to the TE Book weekly sync. And of course, gratitude to @solsista for hosting and pepo, @vasileios, @rubenrussel7 for attending.</t>
  </si>
  <si>
    <t>joining the PRAISE channel 🤲</t>
  </si>
  <si>
    <t>working on the tech spec for multiple sessions for HOURS diligently and patiently accepting the shifting foundation we have to work with! And he even went next level, deploying the gardens template locally! AMAZING!</t>
  </si>
  <si>
    <t>quickly producing those awesome meeting notification graphics 🎨</t>
  </si>
  <si>
    <t>setting up the TEC Github account!</t>
  </si>
  <si>
    <t>joining the PRAISE channel 😇</t>
  </si>
  <si>
    <t>kicking booty on the IH address catherd 😹</t>
  </si>
  <si>
    <t>ADJUSTMENT!!! So Jess gets paid by the Commons Stack for 1/2 of her work in October, so there is actually an adjustment here... She got 23 IH last round... but it should have been ~13 and this round if she wasn't paid at all then she would have gotten ~32 but because she is get paid that should be about 17 and because we have to adjust from last round we are adjusting it to about 7</t>
  </si>
  <si>
    <t>ADJUSTMENT</t>
  </si>
  <si>
    <t>PRAISE QUANT</t>
  </si>
  <si>
    <t>being YGG's delegate in the crazy world of crypto!</t>
  </si>
  <si>
    <t>being so enthusiastic about recording the TEC calls on OBS, a true hero!!</t>
  </si>
  <si>
    <t xml:space="preserve">#3 IH: </t>
  </si>
  <si>
    <t>Praise Quantifiers</t>
  </si>
  <si>
    <t>preparing the meetup yesterday and all the other work she has put in to promote the TEC and the gitcoin grants!</t>
  </si>
  <si>
    <t>setting up a special community stewards status for us at Bright ID!</t>
  </si>
  <si>
    <t>putting themsleves available to help 1hive!</t>
  </si>
  <si>
    <t>making the video recording of TE Commons Community Call available on YouTube</t>
  </si>
  <si>
    <t>giving feedback on the TEC logo exercise - thank you! 🙏🏼</t>
  </si>
  <si>
    <t>joining the TEC Tech Spec Working Group. Loved the energy and positivity. Let's work. 🌱🎉🙏🤑</t>
  </si>
  <si>
    <t>sharing the Ocean Data Farming Link. Food for thought.</t>
  </si>
  <si>
    <t>doing such a great job editing our video call showing off the TE Commons!!! https://www.youtube.com/watch?v=nopm8czw8pk&amp;feature=youtu.be</t>
  </si>
  <si>
    <t>coming to the tech spec working group kick off and contributing to the manifesto! It is cleaned up and ready for another round of reviews! https://docs.google.com/document/d/1-CY39HVgHcpRFac10FME97pqPclHMrj2YsphOGYUDm8/edit?usp=sharing</t>
  </si>
  <si>
    <t>joining the soft gov and culture working group!</t>
  </si>
  <si>
    <t>making a soft gov discord channel</t>
  </si>
  <si>
    <t>taking the initiative to host an onboarding experiment with weekly calls to welcome new members</t>
  </si>
  <si>
    <t>the Token Engineering grant update. Kudos to all those who contributed and supported in any way. 🌱😇</t>
  </si>
  <si>
    <t>their presence and energy in the Comms Working Group call, helping us to lay the foundations with enthusiasm and care</t>
  </si>
  <si>
    <t>taking on huge roles in Giveth and bringing stability to community effort! V2 is on it's way 😃</t>
  </si>
  <si>
    <t>their INCREDIBLE progress on the CSTK token dapp via a couple long weekend hack sesh's and the continued work this week!</t>
  </si>
  <si>
    <t>joining the TEC Comms Working group and all of your fantastic insights and energy! 🙏🏼🙌💫 Welcome and look forward to getting to know you all and working together on our call Tuesday, Oct. 6 at 9am PST / 6pm CET - Discord channel coming soon!</t>
  </si>
  <si>
    <t>an interesting discussion on realigning incentives. you are all so in the right place :) and discussions really make me look forward to the augmented bonding curve explainer article @jeffemmett currently is working on.</t>
  </si>
  <si>
    <t>diving in and doing an impromptu hack sesh to get the cadCAD tuning front end up and running!</t>
  </si>
  <si>
    <t>asking questions on TE Commons rewards</t>
  </si>
  <si>
    <t>officially becoming a TEC Community Steward!!</t>
  </si>
  <si>
    <t>attending the first FE sprint planning (with @lbagic) and launching the effort to make Marko's designs into a beautifully interactive front end for @randomshinichi's cadCAD model 😃</t>
  </si>
  <si>
    <t>creating a galactic map of praise 💫✨✨✨</t>
  </si>
  <si>
    <t>supporting me so so much over the past well...  YEAR at regular intervals without any payment to make little and bigger updates to our site commonsstack.org, which the team of Magic Powered also originally designed.</t>
  </si>
  <si>
    <t>whistleblowing the Trusted Seed to the 'outliers of cryptotwitter' :)</t>
  </si>
  <si>
    <t>the attitude of introducing himself even with the chat uncertainty ⚡️✨</t>
  </si>
  <si>
    <t>jumping into the Comms Working Group call and joining the community - welcome and look forward to integrating your experience and ideas :D</t>
  </si>
  <si>
    <t>freedumbs</t>
  </si>
  <si>
    <t>coming in fast and furious to take on project management of the CSTK Token DApp</t>
  </si>
  <si>
    <t>his around the clock sysadmin support and endless devops support for countless communities in the space!</t>
  </si>
  <si>
    <t>upgrading this room and giving us the invite link https://t.me/tepraise</t>
  </si>
  <si>
    <t>working on the tg and discord bridge for the soft gov channels</t>
  </si>
  <si>
    <t>voting! 💪🏼</t>
  </si>
  <si>
    <t>designing, implementing and managing an awesome sprint planning system. We just finished our first full cycle and it was a huge success. You can check out and comment on our work here: https://github.com/commons-stack/iteration0/issues</t>
  </si>
  <si>
    <t>working on the Working Group Manifesto Template: https://docs.google.com/document/d/1P3Zp8VxVra1usaIwcf_p8F4berw_EezGkYQALmTz3Ng/edit#</t>
  </si>
  <si>
    <t>promoting the TEC on Omar's show 🤩</t>
  </si>
  <si>
    <t>that awesome crypt0snews video — Leaking DeFi Alpha — LOVE 😍🌱</t>
  </si>
  <si>
    <t>joining the Soft Gov &amp; Culture Working group! Also praise for your curiosity and willingness to put time into it!! ✨⚡️🥳</t>
  </si>
  <si>
    <t>stepping up the Comms effort for this gitcoin grants round, which has been an epic undertaking and looks like its going to be our communities most successful round yet!</t>
  </si>
  <si>
    <t>the Comms-athon on the Panvala League Conviction Voting results!</t>
  </si>
  <si>
    <t>leading awesome working group sync's today on discord, they were really fun and felt productive excited to see the major progress</t>
  </si>
  <si>
    <t>pushing cross-collab with cadcad announcement. Gonna try to make it!🌱⌨️</t>
  </si>
  <si>
    <t>the thorough praise dishing and testing!</t>
  </si>
  <si>
    <t>taking the lead on the conflict resolution guide</t>
  </si>
  <si>
    <t>running the numbers on the gitcoin grant results</t>
  </si>
  <si>
    <t>onboarding 3 new community stewards</t>
  </si>
  <si>
    <t>the great pinned message in the Telegram group</t>
  </si>
  <si>
    <t>the wiki sync</t>
  </si>
  <si>
    <t>the TEC Cultural Build announcement on various platforms. Nicely done.🌱🙏</t>
  </si>
  <si>
    <t>presenting how 1Hive is deploying Conviction Voting as informed by the recently completed cadCAD model 🛠🚀</t>
  </si>
  <si>
    <t>the nice reference of the Commons Stack in this great update and just in general for all the great things he has been doing for Conviction Voting x 1Hive.</t>
  </si>
  <si>
    <t>joining up. Exciting stuff.</t>
  </si>
  <si>
    <t>his hard work building the Comms Working Group story canvas to build on and guiding us through an introduction - super appreciate your time Manu!</t>
  </si>
  <si>
    <t>offering us an unlimited Airtable account</t>
  </si>
  <si>
    <t xml:space="preserve">joining the 40th Commons Stack Simulator call &amp; continuing to push our decentralized dev team forward!! </t>
  </si>
  <si>
    <t>taking such initiative on the Simulator project, designing, recruiting, coordinating and really just doing everything he can do to raise the vibe of the team 😃</t>
  </si>
  <si>
    <t>reworking the designs for levels 4 &amp; 5 on the Simulator</t>
  </si>
  <si>
    <t>hosting the Commons Simulator unveiling :-) it was a very appropriate set and setting :-)</t>
  </si>
  <si>
    <t>his incredible work putting together the Panvala League and being so supportive of the Commons Stack community</t>
  </si>
  <si>
    <t>us to test the bot, he didn't receive any message from the bot after clicking on direct message or messaging the bot</t>
  </si>
  <si>
    <t>his feedback on the logo exercise - thank you Santi! 🙏🏼</t>
  </si>
  <si>
    <t>promoting watching and promoting the show :)</t>
  </si>
  <si>
    <t>taking the initiative to work on a wiki for the TEC</t>
  </si>
  <si>
    <t>diving in head first into the tech spec working group work... he has a great starter doc in progress that we will link in the Tech Spec Manifesto and show off on the Thursday call https://docs.google.com/document/d/1-CY39HVgHcpRFac10FME97pqPclHMrj2YsphOGYUDm8/edit?usp=sharing</t>
  </si>
  <si>
    <t>recording the cadCAD community call today - thank you! 🙏🏼</t>
  </si>
  <si>
    <t xml:space="preserve">#2 IH: </t>
  </si>
  <si>
    <t>updated handle from freedumbs</t>
  </si>
  <si>
    <t>mentioning us or retweeting us on the socials in August! Thank you for helping us growing the Commons Stack community and spreading the message! 🌞🙌</t>
  </si>
  <si>
    <t>spearheading the CCA community, they had a great governance call today and are spinning out a lot of cool projects follow their progress on twitter: https://twitter.com/cca_now</t>
  </si>
  <si>
    <t>working to improve the Praise Quantification Proposal https://docs.google.com/document/d/1tg5vKNwy1hqOxxlihiXDBr7a1J9fRGODpGZBIpao2mU/edit#heading=h.c5na1tfxe0j8</t>
  </si>
  <si>
    <t>commenting on and improving the Dishing Praise Culture Proposal https://docs.google.com/document/d/1-EcsTmgDP7CehSzZMWvdAQ8as-EKL-Kl9wPKM5t9ln4/edit#</t>
  </si>
  <si>
    <t>commeting on the onboard guide and proposal!</t>
  </si>
  <si>
    <t>coming to the TEC sync call!!</t>
  </si>
  <si>
    <t>coming to the TEC update call today 🙌</t>
  </si>
  <si>
    <t>creating this very valuable article on (team) make up of Token Engineering skills https://medium.com/@Angela.Kreitenweis/token-engineering-teams-whom-to-hire-and-why-54376486100b</t>
  </si>
  <si>
    <t>reviewing and confirming TE Academy applications!</t>
  </si>
  <si>
    <t>improving the onboarding guide, making it so much easier for a new comer to understand what is happening here 🙌</t>
  </si>
  <si>
    <t>creating a TEC meetup! 🥳</t>
  </si>
  <si>
    <t>bringing awareness to the Praisebot's autoresponse and confirming its still working</t>
  </si>
  <si>
    <t>revising the blog post</t>
  </si>
  <si>
    <t>making things accessible and coupling networks of value</t>
  </si>
  <si>
    <t>the fantastic kickoff communications and overview article</t>
  </si>
  <si>
    <t>bringing up the praise bot!</t>
  </si>
  <si>
    <t>coming to the working group and roles sync!</t>
  </si>
  <si>
    <t>volunteering to become Community Stewards!</t>
  </si>
  <si>
    <t>their initial feedback on the TEC Branding Brainstorm/Logo exercise</t>
  </si>
  <si>
    <t>alanborger</t>
  </si>
  <si>
    <t>an update to some of our design elements, now visible on our website commonsstack.org. What they created for us is what I've been calling 'the tetris pieces' 😃 but it is actually the visual translation of some important elements of the Commons Stack story. To see them (hover over the 'layers' to see them separately and scroll down to the visuals lower on the page for more.</t>
  </si>
  <si>
    <t>pushing the conversation forward around formal verification &amp; validation of cadCAD models 🚀</t>
  </si>
  <si>
    <t>working tirelessly to get great swag out for the DAO community and working with @exiledsurfer on the swag store issue on our github https://github.com/commons-stack/iteration0/issues/97</t>
  </si>
  <si>
    <t>creating the design space on TE discord and dropping CV, AMM, bonding curve materials</t>
  </si>
  <si>
    <t>keeping the CLEAN UP THE WORLD momentum while the tech develops in the background to support initiatives like this hopefully in the near future! 🙌</t>
  </si>
  <si>
    <t>alerting us that we missed them in the xDai migration! Thx for the heads up! Hope you had a chance to vote with your freshly minted CSTK 😃</t>
  </si>
  <si>
    <t>being active participants &amp; referrers to good information in this channel 🙌</t>
  </si>
  <si>
    <t>offering me mental/spiritual/professional support today during one of the tougher personal periods I've already gone through while working for giveth &amp; the commons stack. I don't dish Praise often enough for the 'human' side of things, and will try to do this more. If there's one thing I cherish the most about this project and well, the entire ecosystem, it's the community, its mission, values and drive. If we're not doing it for the People and the Planet, why would we be doing any of this? 🙂</t>
  </si>
  <si>
    <t>his work on this bonding curve cadCAD model demo!  🔥🔥🔥 https://github.com/cadCAD-org/demos/tree/master/demos/bonding_curve</t>
  </si>
  <si>
    <t>sharing their DAO wisdom in the governance survey 🙌🙌</t>
  </si>
  <si>
    <t>taking on the swag store issue on our github and chasing it down! https://github.com/commons-stack/iteration0/issues/97</t>
  </si>
  <si>
    <t>their many contributions to making our Conviction Voting Pilot on xDAI a reality: https://cv.commonsstack.org</t>
  </si>
  <si>
    <t>co-writing a very interesting article... at first glance I think it identifies a lot of the magic that has helped make successful DAOs... the improv culture is very present in Metacartel and their spin off DAOs</t>
  </si>
  <si>
    <t>fixing our netlify staging server thingie on the giveth wiki hyper fast so @danibelle could get this page &amp; tweet out! ☝️</t>
  </si>
  <si>
    <t>making this room</t>
  </si>
  <si>
    <t>making this room work!</t>
  </si>
  <si>
    <t>working on the TEC Decision Making Process, which is getting forked this week to include their ideas: https://docs.google.com/document/d/1ytAM8RWbtopSvIzucNhMLkfYGTC7lnmiaPmTLyYe78g/edit?usp=sharing</t>
  </si>
  <si>
    <t>filling the participatory governance survey 🔥 I didn't mention the ones who decided to remain anonymous but if you see this message and want your praise let me know :))</t>
  </si>
  <si>
    <t>coaching that computes: simple, clear, purposeful I/O</t>
  </si>
  <si>
    <t>the multiple brainstorms on visual translations + feedback that resulted a.o. in this this little update to our site (and brought inspiration for 784 other updates &amp; visualizations :) )</t>
  </si>
  <si>
    <t>making proposals this week 😃</t>
  </si>
  <si>
    <t>starting/linking the TE Commons Handbook- it was super essential to put things in perspective</t>
  </si>
  <si>
    <t>the initial draft of TEC Kick off post!</t>
  </si>
  <si>
    <t>leaving no one proposal behind :)</t>
  </si>
  <si>
    <t>preparing the meetup tonight</t>
  </si>
  <si>
    <t>sharing this article from a while back and spreading the commons stack &amp; blockscience knowledge! If you never read it, it's worth it! https://twitter.com/HumbertoBesso/status/1304831292811472897</t>
  </si>
  <si>
    <t>offering his meetup to support CS recruitment!</t>
  </si>
  <si>
    <t>challenging Chainlink as the best oracle in crypto</t>
  </si>
  <si>
    <t>answering the great questions on DAO governance proposed in Livia's survey!</t>
  </si>
  <si>
    <t>all his help upgrading cadCAD demos over the past months! 🙏</t>
  </si>
  <si>
    <t>in advance for planning on Generalized Bonding Curve model, will be a greate resource for the token engineering community</t>
  </si>
  <si>
    <t>adding the praisebot</t>
  </si>
  <si>
    <t>being the first one to read through the draft and give a general feedback :)</t>
  </si>
  <si>
    <t>his countless hours working on cadCAD community management</t>
  </si>
  <si>
    <t>setting up the Public Goods Twitter Collective</t>
  </si>
  <si>
    <t>pushing for QR codes. Not a big fan of QR codes tbh :) but I am of the ones I was able to create with this nifty little tool - (qrcode-monkey. com/#bitcoin in case you ever need it), so, happy that she brought this to our website! :)</t>
  </si>
  <si>
    <t>setting up the TEC medium account</t>
  </si>
  <si>
    <t>her journalist tips 👩‍🎤</t>
  </si>
  <si>
    <t>making a fun chart for the contributors to replace the boring spreadsheet</t>
  </si>
  <si>
    <t>distributing the heck out of that article &amp; TEC call invite</t>
  </si>
  <si>
    <t>sharing her thoughts on collaboration and working groups</t>
  </si>
  <si>
    <t>organizing another exciting TE Meetup!</t>
  </si>
  <si>
    <t>sharing his DAO governance wisdom</t>
  </si>
  <si>
    <t>jujusca</t>
  </si>
  <si>
    <t>3+ years of non-stop contributions to Giveth, the Commons Stack and the #Blockchain4good space in general... This is a well deserved break and we can't wait to get you back in full force! https://twitter.com/krrisis/status/1306301853118988288</t>
  </si>
  <si>
    <t>being always available and helpful online or in person, and coming twice to Paris for sharing the beautiful vision of the Commons Stack to frog eaters - we love you man, have a good rest and à très très bientôt !! 🤗💗👋</t>
  </si>
  <si>
    <t>the excellent pinned message 😃</t>
  </si>
  <si>
    <t>CS Trusted Seed 🌱</t>
  </si>
  <si>
    <t>surveying the wisdom of all of us on community governance! It's about time we make some useful data out of these hard-won learnings!!</t>
  </si>
  <si>
    <t>helping the Praise n00bs</t>
  </si>
  <si>
    <t>continued improvements on the onboarding document, which the working groups need</t>
  </si>
  <si>
    <t>filling and shilling the DAO governance survey 🤘🥰</t>
  </si>
  <si>
    <t>spinning a meaningful movement to her wealth currents 💫</t>
  </si>
  <si>
    <t>sharing his DAO wisdom in the governance survey ✨</t>
  </si>
  <si>
    <t>taking leadership in the Commons Simulator project and putting it on a righteous path pointed towards launching a delicious game... check out the progress in the grant: https://gitcoin.co/grants/277/commons-simulator-reverse-the-apocalypse-with-eco</t>
  </si>
  <si>
    <t>contributing to the effort to make this flow chart!</t>
  </si>
  <si>
    <t>designing our sexy donate page, currently with a direct link to our Iteration 0 Gitcoin grant! and remember donations in PAN are extra appreciated (as this is another matching multiplier on top of gitcoin)</t>
  </si>
  <si>
    <t>this fantastic article on bonding curves as fundraising tools for startups as community commons! 🙏🔥</t>
  </si>
  <si>
    <t>helping to make the Conviction Voting app better and reporting an issue! https://github.com/commons-stack/conviction-voting-pilot/issues/6</t>
  </si>
  <si>
    <r>
      <rPr>
        <rFont val="arial"/>
      </rPr>
      <t xml:space="preserve">working countless hours, and burning the midnight candle to build https://cv.commonsstack.org our Trusted Seed (CSTK token holders) can now use Conviction Voting to help allocate $170,000 worth of $PAN issuance this quarter to Commons Stack Community Grants! Read more about how it works in out blogpost: </t>
    </r>
    <r>
      <rPr>
        <rFont val="arial"/>
        <color rgb="FF1155CC"/>
        <u/>
      </rPr>
      <t>https://medium.com/commonsstack/cstk-token-holders-can-now-use-conviction-voting-on-xdai-5090fdc3b8ad</t>
    </r>
  </si>
  <si>
    <t>being the biggest shill for Conviction Voting since the very beginning, dropping that link as a reply to whomever needs to read it 😊😊 https://twitter.com/simondlr/status/1304657614903676928?s=19</t>
  </si>
  <si>
    <t>testing the Conviction Voting process and his feedback</t>
  </si>
  <si>
    <t>onboarding @GraceRachmany to the TE Commons as a Subject Matter Expert to help us work thru the Cultural Build!</t>
  </si>
  <si>
    <t>owning her first document on the cultural build following the decision making process guidelines :D</t>
  </si>
  <si>
    <t>the idea around making a commons stack collection for gitcoin! https://twitter.com/owocki/status/1308798955543691265</t>
  </si>
  <si>
    <t>his help keeping the cadCAD repo updated &amp; organized!</t>
  </si>
  <si>
    <t>jumping in and commenting on https://docs.google.com/document/d/1lWNzgneRbTRqEU6xh2_lQAS1z2FkGorAgBCHNZzThm8/edit?usp=sharing</t>
  </si>
  <si>
    <t>nailing it! 🔥</t>
  </si>
  <si>
    <t>offering to champion making a praiseBot for discord, as laid out in this issue: https://github.com/commons-stack/iteration0/issues/154</t>
  </si>
  <si>
    <t xml:space="preserve">#1 IH: </t>
  </si>
  <si>
    <t>putting together, from all accounts, a fantastic course on Ecosystem Value Flows, the first course fromt he Token Engineering Academy!!! Sebnem shared some highlights here: https://twitter.com/sebnem/status/1288411098530689024?s=20</t>
  </si>
  <si>
    <t>coming to the TE Commons Kickoff and Visioning Call (along with @sherminv)! They filled up the Miro board with beautiful visions for what the future can look like when the TE Commons succeeds 😃 Check it out: https://miro.com/app/board/o9J_ko8MJkI=/</t>
  </si>
  <si>
    <t>participating in the TE Commons Visioning Distillation! They worked hard for an hour+ reviewing the responses from the form and distilling it all down to a coherent Vision!</t>
  </si>
  <si>
    <t>taking the first crack at the vision!</t>
  </si>
  <si>
    <t>taking the time and filling the TEC Vision and Values form!!!</t>
  </si>
  <si>
    <t>attending the TEC Mission call! It’s so valuable to have your presence and inputs!</t>
  </si>
  <si>
    <t>coming to the TE Commons weekly sync and helping us talk through our decision making strategy and roadmap!</t>
  </si>
  <si>
    <t>being active members of the TE Commons discord channel helping so much with the cultural build!</t>
  </si>
  <si>
    <t>commenting (along with @vasileios_panagiotidis) on the proposal to use Praise and a Cultural Build Tribute to incentivize the creation of the TE Commons https://docs.google.com/document/d/1P_W9u5Tk1xTRfP2_c3k7iN4whmb6JGP_LwRou_ZqN4E/edit?usp=sharing</t>
  </si>
  <si>
    <t>giving us the opportunity to learn token engineering from the experts in the field!</t>
  </si>
  <si>
    <t>the great comments on the onboarding proposal!</t>
  </si>
  <si>
    <t>engaging in an interesting discussion on the concept of 'token engineering' and especially sebnem's claim that it might be better than sex. :) :)</t>
  </si>
  <si>
    <t>this quote: "I'm saying that unlike economics token economies will be based on engineered models. It will be better than sex, if I'm right."</t>
  </si>
  <si>
    <t>going DEEP into reviewing the proposals presented in thursday's call</t>
  </si>
  <si>
    <t>having an a-synch collaborative work session on the 'Funding for the TEC" proposal to submit to Aragon CV.</t>
  </si>
  <si>
    <t>their continued work organizing and further developing a really cool cultural build experiment around the Currency Potluck... I know I am missing a lot fo other people pushing this forward... if anyone can identify the other people pushing this forward, please tag them! https://www.grassrootseconomics.org/post/how-to-host-a-currency-potluck</t>
  </si>
  <si>
    <t>iterating on the Mission</t>
  </si>
  <si>
    <t>giving great feedback on the incentive alignment doc https://docs.google.com/document/d/1P_W9u5Tk1xTRfP2_c3k7iN4whmb6JGP_LwRou_ZqN4E/edit#heading=h.hoalm8z9w3zv</t>
  </si>
  <si>
    <t>coming to the TE Commons Weekly Sync (with @dahlberry)! If you missed it and want to be updated on the weekly progress, you can watch it here: https://www.youtube.com/watch?v=td03hHqaNdA&amp;feature=youtu.be</t>
  </si>
  <si>
    <t>working so hard to get Gardens on xDAI. They made an awesome work shop this week showing of their tech! Check it out https://twitter.com/CheeseYet/status/1282794914036645888</t>
  </si>
  <si>
    <t>being behind the 1HiveOrg twitter account sharing amazing stuff, including Commons Stack mentions 😁🙏</t>
  </si>
  <si>
    <t xml:space="preserve">being the FIRST Trusted Seed Spotlight and all his work on Conviction Voting! And @solsista for all her tireless work and gorgeous energy in the Trusted Seed Spotlight 2!  </t>
  </si>
  <si>
    <t>creating the TE Commons code of Conduct!</t>
  </si>
  <si>
    <t>adding valuable comments to the Vision, Mission, Values Doc https://docs.google.com/document/d/1fxRTkpUXKQ-JWTDbAHIyf5eoryHsQY9_NBmeuMjbSvc/edit?usp=sharing</t>
  </si>
  <si>
    <t xml:space="preserve">joining the weekly Commons Stack Simulator Sync The mockups look great, and progress is being made on cadCAD so now we are interviewing devs to get the front end work and cadCAD going faster! If you know anyone, send them my way ;-D </t>
  </si>
  <si>
    <t>an amazing Token Engineering Commons Kickoff call and the BEST collective brainstorming/voting via Miro that I've ever seen! 🙌🔥🚀</t>
  </si>
  <si>
    <t>prepping the TE Commons Vision Call and helping to make this awesome roadmap for the the TE Commons: https://docs.google.com/document/d/1ouFisWOfJgqi7nQODvXQqNg0T49jmZGZalPFvpB121c/edit?usp=sharing</t>
  </si>
  <si>
    <t>holding such a warm and welcoming team dynamic with so much fun and professionalism ⚡️❤️</t>
  </si>
  <si>
    <t>this awesome first episode of the Trusted Seed Spotlight, hosting @lkngtn of Aragon &amp; 1Hive and all the cool things he's been working on, including launching the first DAO using Conviction Voting!</t>
  </si>
  <si>
    <t>giving Boris goosebumps with her spot on memes and  🤗</t>
  </si>
  <si>
    <t>initiating the Trusted Seed Spotlight, a video series exploring many of our partner initiatives and how they support/build on Commons Stack toolkit functionality! 🎥💪</t>
  </si>
  <si>
    <t>proofreading &amp; offering suggestions on upcoming articles 📝</t>
  </si>
  <si>
    <t>coming to the TE Commons Call this week. It was a really good and important one! If you want to catch up on the proposed incentive system, decision making process, and recruitment ideas:  https://youtu.be/xyGqZzcnWK0</t>
  </si>
  <si>
    <t>introducing us to @snappysnap and the SDG Impact fund! There is a huge potential to eventually make 501c3s DAOs with their help! First step we turn Giveth into a Nonprofit DAO and then we see where we go from there 😃 https://github.com/commons-stack/iteration0/issues/87</t>
  </si>
  <si>
    <t>having such a great convo in the channel (With Roger) yesterday that struck a cord with @mikeduwe</t>
  </si>
  <si>
    <t>an awesome SI presentation yesterday and their Jupyter notebook jazz and developing cadCAD @mzargham</t>
  </si>
  <si>
    <t>taking the time and filling the TE Commons Vision and Values form!!!</t>
  </si>
  <si>
    <t>connecting me to Paula and the Ape Unit gang</t>
  </si>
  <si>
    <t>their endless hard work (along with Michel Bauwens) on the Frontiers In Blockchain academic paper currently in progress!  This paper is a landmark collaboration between the Commons Stack, Commons Engine, Economic Space Agency, and the P2P Foundation 🤩, exploring commons-based DLT solutions to Ostrom's global commons challenges discussed here: https://www.researchgate.net/publication/224959780_Sustainability_Revisiting_the_commons_Local_lessons_global_challenges.  We are excited to share a pre-print draft of the paper as soon as it's available!</t>
  </si>
  <si>
    <t>☝🏼</t>
  </si>
  <si>
    <t>updating the cadCAD tutorials to make them work for the new version of cadCAD... This will make it possible for us to host 2 cadCAD workshops at the Fork the World Hackathon!! https://github.com/cadCAD-org/demos/pull/2</t>
  </si>
  <si>
    <t xml:space="preserve">hosting &amp; presenting at the second cadCAD community call!  Join in 2.5 hours from now on the cadCAD Discord voice channel: </t>
  </si>
  <si>
    <t>pointing @zev_r the way to some of our github repos and other interesting references &amp; people as usual.</t>
  </si>
  <si>
    <t>continuing to work on the cadCAD tutorials! https://github.com/cadCAD-org/demos/pull/2/commits/baf66345a94f2e87ec4430bf8edb15cd0f345e8c</t>
  </si>
  <si>
    <t>his research &amp; work on Computational Social Simulation &amp; the #TokenEngineering process - Medium article series coming soon!</t>
  </si>
  <si>
    <t>her Future course that ended last Sunday and lasted 6 weeks! We had great resources and her bold facilitation made everyone comfortable to courageously share their opinions. It was great to hear from others on the topics of money, currency, control and the commons.</t>
  </si>
  <si>
    <t>already commenting on the Commons Simulator figma!</t>
  </si>
  <si>
    <t>attenting the TEC mission call and for changing his tg handle to join the praise party ✨🌞</t>
  </si>
  <si>
    <t>joining our channel and letting us know that the Giveth Donation App was still down, which made me go in to investigate myself and  find the dev who could restart the services. There was another issue, that Griff was on, but not this 'simple' one, which he probably didn't know because in calls all day and he missed my panicky messages because of that). #whataday</t>
  </si>
  <si>
    <t>working with the rest of the incredible molecule team to use a bonding curve to fund public goods along the lines of what we are trying to do with the Commons Stack... Well done, can't wait to see what is next 😃 https://app.catalyst.molecule.to/project/5e202ad3e8755f001cc679a7</t>
  </si>
  <si>
    <t>hosting this awesome DAO governance workshop on behalf of the Platform design Toolkit crew &amp; including the Commons Stack!  We talked about Conviction Voting, Quadratic Voting, walked through some demonstrations of the limitations of various types of voting &amp; more:</t>
  </si>
  <si>
    <t>the overview of the voting results this week</t>
  </si>
  <si>
    <t>another great set of calls to organize our weekly work... but honestly mostly to test 😃</t>
  </si>
  <si>
    <t xml:space="preserve">her heart in the cultural build and supporting peers and @GriffGreen for all his energy and time in building the foundations of the TEC </t>
  </si>
  <si>
    <t>her incredible collective intelligence processes to aggregate the needs of the TE community to prepare to launch the Token Engineering Commons 🛠🚀🌱</t>
  </si>
  <si>
    <t>sharing the Cultural Build Roadmap of TE Commons - so interesting https://docs.google.com/document/d/1ouFisWOfJgqi7nQODvXQqNg0T49jmZGZalPFvpB121c/edit#heading=h.ko4v3w80u028</t>
  </si>
  <si>
    <t>taking a crack at the vision!</t>
  </si>
  <si>
    <t>hosting our Intro to cadCAD workshop for their Fork The World Hackathon! If you missed it, @petheth, that gem, recorded it for you! https://www.youtube.com/watch?v=kyuSWD4CxOQ</t>
  </si>
  <si>
    <t>their work on launching WhalerDAO!!! (along with @yalormewn, @META_DREAMER, @dekanbro and probably other heros)!!! It looks like a very exciting initiative to use DeFi to fund Public Goods! https://twitter.com/WhalerDAO/status/1293449618101960704?s=20</t>
  </si>
  <si>
    <t>helping me to set up the praise bot... but honestly mostly to test 😃</t>
  </si>
  <si>
    <t>helping the TE Commons set up Praise 😃</t>
  </si>
  <si>
    <t>the beautiful work on the funding request proposal incorporating everyone's comments, and for submitting it with such high gas fees 🙌</t>
  </si>
  <si>
    <t>alesew23</t>
  </si>
  <si>
    <t>helping to promote the sixth cca call! https://twitter.com/alesew23/status/1291780349656260608</t>
  </si>
  <si>
    <t>creating a fork of the Giveth Bridge so that when people donate on Giveth we can create tokens on xDAI when people donate on Giveth, we will use this for CSTK tokens but we are excited to see if other projects want to use it too 😃</t>
  </si>
  <si>
    <t>sharing the Chinese version of the CSTK Trust Token article in the chat!</t>
  </si>
  <si>
    <t>coopahtroopanew</t>
  </si>
  <si>
    <t>the narrative fits exactly perfectly with them too. Who else should I be praising for this?? Seriously my socks are knocked off!</t>
  </si>
  <si>
    <t>announcing the Community Currency Accelerator and it's amazing initiatives to propel sustainable collaboration 🙌</t>
  </si>
  <si>
    <t>his PM professionalism and efficiency in organizing a massive vision and workload into actionable and achievable steps! 🥳🔥</t>
  </si>
  <si>
    <t>spearheading the creation of a new system to track our Commons Stack work on Github! https://github.com/commons-stack/iteration0/milestones</t>
  </si>
  <si>
    <t>creating amazing content for Griff GIFs and his enthusiasm in live presenting</t>
  </si>
  <si>
    <t>guillaumepalayer</t>
  </si>
  <si>
    <t>this great interview on the resilience of local cooperative economies!  https://www.youtube.com/watch?v=k7brgCtaqaM&amp;feature=youtu.be</t>
  </si>
  <si>
    <t>working so hard to bring DAOs to reality in Curacao!</t>
  </si>
  <si>
    <t>these truly enchanting designs.</t>
  </si>
  <si>
    <t>his incredible work on the Commons Simulator design. Check out the progress, and feel free to COMMENT WILDLY: https://www.figma.com/proto/cuFTOOajO4aouz4SLnIINz/Commons-Simulator?node-id=557%3A3556&amp;viewport=-1053%2C-94%2C0.0717286691069603&amp;scaling=min-zoom</t>
  </si>
  <si>
    <t>making more updates to the Commons Simulator Design... It is starting to look incredible! https://www.figma.com/proto/cuFTOOajO4aouz4SLnIINz/Commons-Simulator?node-id=557%3A3556&amp;viewport=-1053%2C-94%2C0.0717286691069603&amp;scaling=min-zoom</t>
  </si>
  <si>
    <t>pamplsquared</t>
  </si>
  <si>
    <t>showing the initiative to wanting to dish Praise! :) We need the Praise dishers!</t>
  </si>
  <si>
    <t>pet3rpan</t>
  </si>
  <si>
    <t>his work on developing on-chain carbon sequestration markets and @HBesso31 for his generous contributions to the Commons Stack!</t>
  </si>
  <si>
    <t>sharing an excerpt of the discussion we had yesterday about values and the Commons on his linkedin feed mentioning the Commons Stack 🙌</t>
  </si>
  <si>
    <t>his work on launching WhalerDAO, as well as all the other incredible community management work he has been doing in the #blockchain4good space https://twitter.com/WhalerDAO/status/1293449618101960704?s=20</t>
  </si>
  <si>
    <t>zeframl</t>
  </si>
  <si>
    <t xml:space="preserve">#0 IH: </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</si>
</sst>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0.000"/>
    <numFmt numFmtId="165" formatCode="&quot;$&quot;#,##0.00"/>
    <numFmt numFmtId="166" formatCode="ddd&quot;, &quot;mmm&quot; &quot;d"/>
    <numFmt numFmtId="167" formatCode="d&quot;-&quot;mmm"/>
    <numFmt numFmtId="168" formatCode="#,##0.0000"/>
    <numFmt numFmtId="169" formatCode="d-mmm-yyyy"/>
    <numFmt numFmtId="170" formatCode="mmm-dd-yyyy"/>
    <numFmt numFmtId="171" formatCode="dd-mmmm-yyyy"/>
    <numFmt numFmtId="172" formatCode="M/d/yyyy"/>
    <numFmt numFmtId="173" formatCode="dd-mmm-yyyy"/>
    <numFmt numFmtId="174" formatCode="#,##0.0"/>
  </numFmts>
  <fonts count="33">
    <font>
      <sz val="10.0"/>
      <color rgb="FF000000"/>
      <name val="Arial"/>
    </font>
    <font>
      <b/>
      <sz val="24.0"/>
      <color theme="1"/>
      <name val="Arial"/>
    </font>
    <font>
      <b/>
      <sz val="14.0"/>
      <color theme="1"/>
      <name val="Arial"/>
    </font>
    <font>
      <color theme="1"/>
      <name val="Arial"/>
    </font>
    <font/>
    <font>
      <name val="Arial"/>
    </font>
    <font>
      <b/>
      <sz val="24.0"/>
      <color theme="1"/>
      <name val="Bai Jamjuree"/>
    </font>
    <font>
      <b/>
      <sz val="10.0"/>
      <color theme="1"/>
      <name val="Bai Jamjuree"/>
    </font>
    <font>
      <sz val="14.0"/>
      <color theme="1"/>
      <name val="Bai Jamjuree"/>
    </font>
    <font>
      <b/>
      <sz val="36.0"/>
      <color rgb="FF0B0A15"/>
      <name val="Bai Jamjuree"/>
    </font>
    <font>
      <b/>
      <sz val="11.0"/>
      <color theme="1"/>
      <name val="Bai Jamjuree"/>
    </font>
    <font>
      <b/>
      <sz val="11.0"/>
      <color theme="1"/>
      <name val="Arial"/>
    </font>
    <font>
      <color rgb="FFD0E7E8"/>
      <name val="Arial"/>
    </font>
    <font>
      <sz val="11.0"/>
      <color theme="1"/>
      <name val="Inter"/>
    </font>
    <font>
      <sz val="12.0"/>
      <color rgb="FFD0E7E8"/>
      <name val="Arial"/>
    </font>
    <font>
      <sz val="12.0"/>
      <color theme="1"/>
      <name val="Bai Jamjuree"/>
    </font>
    <font>
      <color rgb="FFD0E7E8"/>
    </font>
    <font>
      <sz val="11.0"/>
      <name val="Inter"/>
    </font>
    <font>
      <b/>
      <color theme="1"/>
      <name val="Arial"/>
    </font>
    <font>
      <b/>
      <sz val="12.0"/>
      <color theme="1"/>
      <name val="Arial"/>
    </font>
    <font>
      <b/>
      <u/>
      <sz val="12.0"/>
      <color rgb="FF1155CC"/>
      <name val="Arial"/>
    </font>
    <font>
      <b/>
      <color rgb="FF000000"/>
      <name val="Arial"/>
    </font>
    <font>
      <b/>
      <u/>
      <sz val="12.0"/>
      <color rgb="FF1155CC"/>
      <name val="Arial"/>
    </font>
    <font>
      <sz val="11.0"/>
      <color rgb="FF000000"/>
      <name val="Inconsolata"/>
    </font>
    <font>
      <color rgb="FF000000"/>
      <name val="Arial"/>
    </font>
    <font>
      <color rgb="FF000000"/>
      <name val="Roboto"/>
    </font>
    <font>
      <b/>
      <sz val="24.0"/>
    </font>
    <font>
      <b/>
      <u/>
      <sz val="12.0"/>
      <color rgb="FF1155CC"/>
      <name val="Arial"/>
    </font>
    <font>
      <b/>
      <u/>
      <sz val="12.0"/>
      <color rgb="FF1155CC"/>
      <name val="Arial"/>
    </font>
    <font>
      <u/>
      <color rgb="FF0000FF"/>
      <name val="Arial"/>
    </font>
    <font>
      <b/>
      <u/>
      <sz val="12.0"/>
      <color rgb="FF1155CC"/>
      <name val="Arial"/>
    </font>
    <font>
      <sz val="9.0"/>
      <color rgb="FF000000"/>
      <name val="System-ui"/>
    </font>
    <font>
      <b/>
      <sz val="24.0"/>
      <color rgb="FF000000"/>
      <name val="Arial"/>
    </font>
  </fonts>
  <fills count="17">
    <fill>
      <patternFill patternType="none"/>
    </fill>
    <fill>
      <patternFill patternType="lightGray"/>
    </fill>
    <fill>
      <patternFill patternType="solid">
        <fgColor rgb="FF00FF00"/>
        <bgColor rgb="FF00FF00"/>
      </patternFill>
    </fill>
    <fill>
      <patternFill patternType="solid">
        <fgColor rgb="FFC6ED05"/>
        <bgColor rgb="FFC6ED05"/>
      </patternFill>
    </fill>
    <fill>
      <patternFill patternType="solid">
        <fgColor rgb="FFDEFB48"/>
        <bgColor rgb="FFDEFB48"/>
      </patternFill>
    </fill>
    <fill>
      <patternFill patternType="solid">
        <fgColor rgb="FFF6FCF8"/>
        <bgColor rgb="FFF6FCF8"/>
      </patternFill>
    </fill>
    <fill>
      <patternFill patternType="solid">
        <fgColor rgb="FFF1FBF4"/>
        <bgColor rgb="FFF1FBF4"/>
      </patternFill>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B4A7D6"/>
        <bgColor rgb="FFB4A7D6"/>
      </patternFill>
    </fill>
    <fill>
      <patternFill patternType="solid">
        <fgColor rgb="FFFF00FF"/>
        <bgColor rgb="FFFF00FF"/>
      </patternFill>
    </fill>
    <fill>
      <patternFill patternType="solid">
        <fgColor rgb="FFFF0000"/>
        <bgColor rgb="FFFF0000"/>
      </patternFill>
    </fill>
    <fill>
      <patternFill patternType="solid">
        <fgColor rgb="FFEAD1DC"/>
        <bgColor rgb="FFEAD1DC"/>
      </patternFill>
    </fill>
    <fill>
      <patternFill patternType="solid">
        <fgColor rgb="FF20222A"/>
        <bgColor rgb="FF20222A"/>
      </patternFill>
    </fill>
    <fill>
      <patternFill patternType="solid">
        <fgColor rgb="FFC27BA0"/>
        <bgColor rgb="FFC27BA0"/>
      </patternFill>
    </fill>
  </fills>
  <borders count="36">
    <border/>
    <border>
      <left style="thin">
        <color rgb="FFFFFFFF"/>
      </left>
      <right style="thin">
        <color rgb="FFFFFFFF"/>
      </right>
      <top style="thin">
        <color rgb="FFFFFFFF"/>
      </top>
      <bottom style="thin">
        <color rgb="FFFFFFFF"/>
      </bottom>
    </border>
    <border>
      <left style="thin">
        <color rgb="FFC6ED05"/>
      </left>
      <right style="thin">
        <color rgb="FFC6ED05"/>
      </right>
      <top style="thin">
        <color rgb="FFC6ED05"/>
      </top>
      <bottom style="thin">
        <color rgb="FFC6ED05"/>
      </bottom>
    </border>
    <border>
      <right style="thin">
        <color rgb="FFDEFB48"/>
      </right>
      <bottom style="thin">
        <color rgb="FFDEFB48"/>
      </bottom>
    </border>
    <border>
      <left style="thin">
        <color rgb="FFDEFB48"/>
      </left>
      <right style="thin">
        <color rgb="FFDEFB48"/>
      </right>
      <bottom style="thin">
        <color rgb="FFDEFB48"/>
      </bottom>
    </border>
    <border>
      <left style="thin">
        <color rgb="FFDEFB48"/>
      </left>
      <bottom style="thin">
        <color rgb="FFDEFB48"/>
      </bottom>
    </border>
    <border>
      <right style="thin">
        <color rgb="FFDEFB48"/>
      </right>
      <top style="thin">
        <color rgb="FFDEFB48"/>
      </top>
      <bottom style="thin">
        <color rgb="FFDEFB48"/>
      </bottom>
    </border>
    <border>
      <left style="thin">
        <color rgb="FFDEFB48"/>
      </left>
      <right style="thin">
        <color rgb="FFDEFB48"/>
      </right>
      <top style="thin">
        <color rgb="FFDEFB48"/>
      </top>
      <bottom style="thin">
        <color rgb="FFDEFB48"/>
      </bottom>
    </border>
    <border>
      <left style="thin">
        <color rgb="FFDEFB48"/>
      </left>
      <top style="thin">
        <color rgb="FFDEFB48"/>
      </top>
      <bottom style="thin">
        <color rgb="FFDEFB48"/>
      </bottom>
    </border>
    <border>
      <right style="thin">
        <color rgb="FFDEFB48"/>
      </right>
      <top style="thin">
        <color rgb="FFDEFB48"/>
      </top>
    </border>
    <border>
      <left style="thin">
        <color rgb="FFDEFB48"/>
      </left>
      <right style="thin">
        <color rgb="FFDEFB48"/>
      </right>
      <top style="thin">
        <color rgb="FFDEFB48"/>
      </top>
    </border>
    <border>
      <left style="thin">
        <color rgb="FFDEFB48"/>
      </left>
      <top style="thin">
        <color rgb="FFDEFB48"/>
      </top>
    </border>
    <border>
      <right style="thin">
        <color rgb="FFC6ED05"/>
      </right>
      <top style="thin">
        <color rgb="FFC6ED05"/>
      </top>
      <bottom style="thin">
        <color rgb="FFC6ED05"/>
      </bottom>
    </border>
    <border>
      <left style="thin">
        <color rgb="FFC6ED05"/>
      </left>
      <top style="thin">
        <color rgb="FFC6ED05"/>
      </top>
      <bottom style="thin">
        <color rgb="FFC6ED05"/>
      </bottom>
    </border>
    <border>
      <top style="thin">
        <color rgb="FFC6ED05"/>
      </top>
      <bottom style="thin">
        <color rgb="FFC6ED05"/>
      </bottom>
    </border>
    <border>
      <right style="thin">
        <color rgb="FFDEFB48"/>
      </right>
    </border>
    <border>
      <left style="thin">
        <color rgb="FFDEFB48"/>
      </left>
      <right style="thin">
        <color rgb="FFDEFB48"/>
      </right>
    </border>
    <border>
      <left style="thin">
        <color rgb="FFDEFB48"/>
      </left>
    </border>
    <border>
      <left style="thin">
        <color rgb="FFC6ED05"/>
      </left>
      <right style="thin">
        <color rgb="FFC6ED05"/>
      </right>
      <top style="thin">
        <color rgb="FFC6ED05"/>
      </top>
    </border>
    <border>
      <left style="thin">
        <color rgb="FFF6FCF8"/>
      </left>
      <right style="thin">
        <color rgb="FFF6FCF8"/>
      </right>
      <top style="thin">
        <color rgb="FFF6FCF8"/>
      </top>
      <bottom style="thin">
        <color rgb="FFF6FCF8"/>
      </bottom>
    </border>
    <border>
      <right style="thin">
        <color rgb="FFF1FBF4"/>
      </right>
      <top style="thin">
        <color rgb="FFF1FBF4"/>
      </top>
      <bottom style="thin">
        <color rgb="FFF1FBF4"/>
      </bottom>
    </border>
    <border>
      <left style="thin">
        <color rgb="FFF1FBF4"/>
      </left>
      <right style="thin">
        <color rgb="FFF1FBF4"/>
      </right>
      <top style="thin">
        <color rgb="FFF1FBF4"/>
      </top>
      <bottom style="thin">
        <color rgb="FFF1FBF4"/>
      </bottom>
    </border>
    <border>
      <left style="thin">
        <color rgb="FFF1FBF4"/>
      </left>
      <top style="thin">
        <color rgb="FFF1FBF4"/>
      </top>
      <bottom style="thin">
        <color rgb="FFF1FBF4"/>
      </bottom>
    </border>
    <border>
      <left style="thin">
        <color rgb="FFF6FCF8"/>
      </left>
      <right style="thin">
        <color rgb="FFF1FBF4"/>
      </right>
      <top style="thin">
        <color rgb="FFF6FCF8"/>
      </top>
      <bottom style="thin">
        <color rgb="FFF6FCF8"/>
      </bottom>
    </border>
    <border>
      <left style="thin">
        <color rgb="FFF1FBF4"/>
      </left>
      <right style="thin">
        <color rgb="FFC6ED05"/>
      </right>
      <top style="thin">
        <color rgb="FFF1FBF4"/>
      </top>
      <bottom style="thin">
        <color rgb="FFF1FBF4"/>
      </bottom>
    </border>
    <border>
      <left style="thin">
        <color rgb="FFF6FCF8"/>
      </left>
      <right style="thin">
        <color rgb="FFF6FCF8"/>
      </right>
      <top style="thin">
        <color rgb="FFF6FCF8"/>
      </top>
    </border>
    <border>
      <left style="thin">
        <color rgb="FFF6FCF8"/>
      </left>
      <right style="thin">
        <color rgb="FFF1FBF4"/>
      </right>
      <top style="thin">
        <color rgb="FFF6FCF8"/>
      </top>
    </border>
    <border>
      <right style="thin">
        <color rgb="FFF1FBF4"/>
      </right>
      <top style="thin">
        <color rgb="FFF1FBF4"/>
      </top>
    </border>
    <border>
      <left style="thin">
        <color rgb="FFF1FBF4"/>
      </left>
      <right style="thin">
        <color rgb="FFF1FBF4"/>
      </right>
      <top style="thin">
        <color rgb="FFF1FBF4"/>
      </top>
    </border>
    <border>
      <left style="thin">
        <color rgb="FFF1FBF4"/>
      </left>
      <right style="thin">
        <color rgb="FFC6ED05"/>
      </right>
      <top style="thin">
        <color rgb="FFF1FBF4"/>
      </top>
    </border>
    <border>
      <left style="thin">
        <color rgb="FFC6ED05"/>
      </left>
      <right style="thin">
        <color rgb="FFC6ED05"/>
      </right>
      <bottom style="thin">
        <color rgb="FFC6ED05"/>
      </bottom>
    </border>
    <border>
      <left style="thin">
        <color rgb="FF000000"/>
      </left>
      <right style="thin">
        <color rgb="FF000000"/>
      </right>
      <top style="thin">
        <color rgb="FF000000"/>
      </top>
      <bottom style="thin">
        <color rgb="FF000000"/>
      </bottom>
    </border>
    <border>
      <right/>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38">
    <xf borderId="0" fillId="0" fontId="0" numFmtId="0" xfId="0" applyAlignment="1" applyFont="1">
      <alignment readingOrder="0" shrinkToFit="0" vertical="bottom" wrapText="0"/>
    </xf>
    <xf borderId="1" fillId="0" fontId="1" numFmtId="2" xfId="0" applyAlignment="1" applyBorder="1" applyFont="1" applyNumberFormat="1">
      <alignment horizontal="center" readingOrder="0"/>
    </xf>
    <xf borderId="1" fillId="0" fontId="1" numFmtId="164" xfId="0" applyAlignment="1" applyBorder="1" applyFont="1" applyNumberFormat="1">
      <alignment horizontal="left" readingOrder="0"/>
    </xf>
    <xf borderId="1" fillId="0" fontId="2" numFmtId="2" xfId="0" applyAlignment="1" applyBorder="1" applyFont="1" applyNumberFormat="1">
      <alignment horizontal="center" readingOrder="0"/>
    </xf>
    <xf borderId="1" fillId="0" fontId="2" numFmtId="164" xfId="0" applyAlignment="1" applyBorder="1" applyFont="1" applyNumberFormat="1">
      <alignment horizontal="center" readingOrder="0"/>
    </xf>
    <xf borderId="1" fillId="0" fontId="3" numFmtId="0" xfId="0" applyAlignment="1" applyBorder="1" applyFont="1">
      <alignment horizontal="center"/>
    </xf>
    <xf borderId="1" fillId="0" fontId="3" numFmtId="164" xfId="0" applyAlignment="1" applyBorder="1" applyFont="1" applyNumberFormat="1">
      <alignment horizontal="center"/>
    </xf>
    <xf borderId="1" fillId="0" fontId="3" numFmtId="2" xfId="0" applyAlignment="1" applyBorder="1" applyFont="1" applyNumberFormat="1">
      <alignment horizontal="center"/>
    </xf>
    <xf borderId="1" fillId="0" fontId="4" numFmtId="0" xfId="0" applyAlignment="1" applyBorder="1" applyFont="1">
      <alignment horizontal="center"/>
    </xf>
    <xf borderId="1" fillId="0" fontId="3" numFmtId="0" xfId="0" applyAlignment="1" applyBorder="1" applyFont="1">
      <alignment horizontal="center" readingOrder="0"/>
    </xf>
    <xf borderId="1" fillId="0" fontId="4" numFmtId="0" xfId="0" applyAlignment="1" applyBorder="1" applyFont="1">
      <alignment horizontal="center" readingOrder="0"/>
    </xf>
    <xf borderId="1" fillId="0" fontId="4" numFmtId="0" xfId="0" applyAlignment="1" applyBorder="1" applyFont="1">
      <alignment horizontal="center" readingOrder="0"/>
    </xf>
    <xf borderId="1" fillId="0" fontId="4" numFmtId="2" xfId="0" applyAlignment="1" applyBorder="1" applyFont="1" applyNumberFormat="1">
      <alignment horizontal="center"/>
    </xf>
    <xf borderId="1" fillId="0" fontId="4" numFmtId="0" xfId="0" applyBorder="1" applyFont="1"/>
    <xf borderId="1" fillId="0" fontId="4" numFmtId="0" xfId="0" applyAlignment="1" applyBorder="1" applyFont="1">
      <alignment horizontal="center"/>
    </xf>
    <xf borderId="0" fillId="0" fontId="4" numFmtId="0" xfId="0" applyAlignment="1" applyFont="1">
      <alignment horizontal="center"/>
    </xf>
    <xf borderId="0" fillId="0" fontId="3" numFmtId="0" xfId="0" applyAlignment="1" applyFont="1">
      <alignment horizontal="center"/>
    </xf>
    <xf borderId="1" fillId="2" fontId="5" numFmtId="0" xfId="0" applyAlignment="1" applyBorder="1" applyFill="1" applyFont="1">
      <alignment vertical="bottom"/>
    </xf>
    <xf borderId="0" fillId="0" fontId="3" numFmtId="0" xfId="0" applyFont="1"/>
    <xf borderId="0" fillId="0" fontId="4" numFmtId="2" xfId="0" applyAlignment="1" applyFont="1" applyNumberFormat="1">
      <alignment horizontal="center"/>
    </xf>
    <xf borderId="0" fillId="0" fontId="3" numFmtId="164" xfId="0" applyAlignment="1" applyFont="1" applyNumberFormat="1">
      <alignment horizontal="center"/>
    </xf>
    <xf borderId="2" fillId="3" fontId="3" numFmtId="0" xfId="0" applyAlignment="1" applyBorder="1" applyFill="1" applyFont="1">
      <alignment horizontal="left" readingOrder="0"/>
    </xf>
    <xf borderId="2" fillId="3" fontId="3" numFmtId="0" xfId="0" applyBorder="1" applyFont="1"/>
    <xf borderId="3" fillId="4" fontId="3" numFmtId="0" xfId="0" applyAlignment="1" applyBorder="1" applyFill="1" applyFont="1">
      <alignment horizontal="left" readingOrder="0"/>
    </xf>
    <xf borderId="4" fillId="4" fontId="3" numFmtId="0" xfId="0" applyAlignment="1" applyBorder="1" applyFont="1">
      <alignment horizontal="left" readingOrder="0"/>
    </xf>
    <xf borderId="5" fillId="4" fontId="3" numFmtId="0" xfId="0" applyBorder="1" applyFont="1"/>
    <xf borderId="6" fillId="4" fontId="3" numFmtId="0" xfId="0" applyAlignment="1" applyBorder="1" applyFont="1">
      <alignment horizontal="left" readingOrder="0"/>
    </xf>
    <xf borderId="7" fillId="4" fontId="6" numFmtId="0" xfId="0" applyAlignment="1" applyBorder="1" applyFont="1">
      <alignment horizontal="left" readingOrder="0" vertical="center"/>
    </xf>
    <xf borderId="7" fillId="4" fontId="3" numFmtId="0" xfId="0" applyAlignment="1" applyBorder="1" applyFont="1">
      <alignment horizontal="left" readingOrder="0"/>
    </xf>
    <xf borderId="8" fillId="4" fontId="3" numFmtId="0" xfId="0" applyBorder="1" applyFont="1"/>
    <xf borderId="8" fillId="4" fontId="7" numFmtId="0" xfId="0" applyAlignment="1" applyBorder="1" applyFont="1">
      <alignment horizontal="left" readingOrder="0" vertical="center"/>
    </xf>
    <xf borderId="6" fillId="0" fontId="4" numFmtId="0" xfId="0" applyBorder="1" applyFont="1"/>
    <xf borderId="9" fillId="4" fontId="3" numFmtId="0" xfId="0" applyAlignment="1" applyBorder="1" applyFont="1">
      <alignment horizontal="left" readingOrder="0"/>
    </xf>
    <xf borderId="10" fillId="4" fontId="3" numFmtId="0" xfId="0" applyAlignment="1" applyBorder="1" applyFont="1">
      <alignment horizontal="left" readingOrder="0"/>
    </xf>
    <xf borderId="11" fillId="4" fontId="3" numFmtId="0" xfId="0" applyAlignment="1" applyBorder="1" applyFont="1">
      <alignment horizontal="left" readingOrder="0"/>
    </xf>
    <xf borderId="10" fillId="4" fontId="8" numFmtId="2" xfId="0" applyAlignment="1" applyBorder="1" applyFont="1" applyNumberFormat="1">
      <alignment horizontal="right" readingOrder="0"/>
    </xf>
    <xf borderId="11" fillId="4" fontId="8" numFmtId="2" xfId="0" applyAlignment="1" applyBorder="1" applyFont="1" applyNumberFormat="1">
      <alignment horizontal="left" readingOrder="0"/>
    </xf>
    <xf borderId="12" fillId="3" fontId="3" numFmtId="0" xfId="0" applyAlignment="1" applyBorder="1" applyFont="1">
      <alignment horizontal="left" readingOrder="0"/>
    </xf>
    <xf borderId="13" fillId="3" fontId="8" numFmtId="2" xfId="0" applyAlignment="1" applyBorder="1" applyFont="1" applyNumberFormat="1">
      <alignment horizontal="center" readingOrder="0" vertical="center"/>
    </xf>
    <xf borderId="13" fillId="3" fontId="9" numFmtId="164" xfId="0" applyAlignment="1" applyBorder="1" applyFont="1" applyNumberFormat="1">
      <alignment horizontal="left" readingOrder="0"/>
    </xf>
    <xf borderId="14" fillId="0" fontId="4" numFmtId="0" xfId="0" applyBorder="1" applyFont="1"/>
    <xf borderId="12" fillId="0" fontId="4" numFmtId="0" xfId="0" applyBorder="1" applyFont="1"/>
    <xf borderId="2" fillId="3" fontId="2" numFmtId="2" xfId="0" applyAlignment="1" applyBorder="1" applyFont="1" applyNumberFormat="1">
      <alignment horizontal="left" readingOrder="0" vertical="center"/>
    </xf>
    <xf borderId="15" fillId="4" fontId="2" numFmtId="2" xfId="0" applyAlignment="1" applyBorder="1" applyFont="1" applyNumberFormat="1">
      <alignment horizontal="left" readingOrder="0" vertical="center"/>
    </xf>
    <xf borderId="16" fillId="4" fontId="8" numFmtId="2" xfId="0" applyAlignment="1" applyBorder="1" applyFont="1" applyNumberFormat="1">
      <alignment horizontal="left" readingOrder="0" vertical="center"/>
    </xf>
    <xf borderId="16" fillId="4" fontId="2" numFmtId="2" xfId="0" applyAlignment="1" applyBorder="1" applyFont="1" applyNumberFormat="1">
      <alignment horizontal="left" readingOrder="0" vertical="center"/>
    </xf>
    <xf borderId="17" fillId="4" fontId="8" numFmtId="164" xfId="0" applyAlignment="1" applyBorder="1" applyFont="1" applyNumberFormat="1">
      <alignment horizontal="left" readingOrder="0" vertical="center"/>
    </xf>
    <xf borderId="2" fillId="3" fontId="3" numFmtId="0" xfId="0" applyAlignment="1" applyBorder="1" applyFont="1">
      <alignment vertical="center"/>
    </xf>
    <xf borderId="0" fillId="0" fontId="3" numFmtId="0" xfId="0" applyAlignment="1" applyFont="1">
      <alignment vertical="center"/>
    </xf>
    <xf borderId="18" fillId="3" fontId="2" numFmtId="2" xfId="0" applyAlignment="1" applyBorder="1" applyFont="1" applyNumberFormat="1">
      <alignment horizontal="left" readingOrder="0" vertical="center"/>
    </xf>
    <xf borderId="18" fillId="3" fontId="8" numFmtId="2" xfId="0" applyAlignment="1" applyBorder="1" applyFont="1" applyNumberFormat="1">
      <alignment horizontal="left" readingOrder="0" vertical="center"/>
    </xf>
    <xf borderId="18" fillId="3" fontId="10" numFmtId="2" xfId="0" applyAlignment="1" applyBorder="1" applyFont="1" applyNumberFormat="1">
      <alignment horizontal="left" readingOrder="0" vertical="center"/>
    </xf>
    <xf borderId="18" fillId="3" fontId="11" numFmtId="2" xfId="0" applyAlignment="1" applyBorder="1" applyFont="1" applyNumberFormat="1">
      <alignment horizontal="left" readingOrder="0" vertical="center"/>
    </xf>
    <xf borderId="18" fillId="3" fontId="10" numFmtId="164" xfId="0" applyAlignment="1" applyBorder="1" applyFont="1" applyNumberFormat="1">
      <alignment horizontal="left" readingOrder="0" vertical="center"/>
    </xf>
    <xf borderId="13" fillId="3" fontId="2" numFmtId="2" xfId="0" applyAlignment="1" applyBorder="1" applyFont="1" applyNumberFormat="1">
      <alignment horizontal="left" readingOrder="0" vertical="center"/>
    </xf>
    <xf borderId="19" fillId="5" fontId="2" numFmtId="2" xfId="0" applyAlignment="1" applyBorder="1" applyFill="1" applyFont="1" applyNumberFormat="1">
      <alignment horizontal="left" readingOrder="0" vertical="center"/>
    </xf>
    <xf borderId="19" fillId="5" fontId="8" numFmtId="2" xfId="0" applyAlignment="1" applyBorder="1" applyFont="1" applyNumberFormat="1">
      <alignment horizontal="left" readingOrder="0" vertical="center"/>
    </xf>
    <xf borderId="20" fillId="6" fontId="2" numFmtId="2" xfId="0" applyAlignment="1" applyBorder="1" applyFill="1" applyFont="1" applyNumberFormat="1">
      <alignment horizontal="left" readingOrder="0" vertical="center"/>
    </xf>
    <xf borderId="21" fillId="6" fontId="2" numFmtId="2" xfId="0" applyAlignment="1" applyBorder="1" applyFont="1" applyNumberFormat="1">
      <alignment horizontal="left" readingOrder="0" vertical="center"/>
    </xf>
    <xf borderId="22" fillId="6" fontId="8" numFmtId="164" xfId="0" applyAlignment="1" applyBorder="1" applyFont="1" applyNumberFormat="1">
      <alignment horizontal="left" readingOrder="0" vertical="center"/>
    </xf>
    <xf borderId="13" fillId="3" fontId="3" numFmtId="2" xfId="0" applyAlignment="1" applyBorder="1" applyFont="1" applyNumberFormat="1">
      <alignment horizontal="left" vertical="center"/>
    </xf>
    <xf borderId="19" fillId="5" fontId="3" numFmtId="1" xfId="0" applyAlignment="1" applyBorder="1" applyFont="1" applyNumberFormat="1">
      <alignment horizontal="left" readingOrder="0" vertical="center"/>
    </xf>
    <xf borderId="19" fillId="5" fontId="3" numFmtId="2" xfId="0" applyAlignment="1" applyBorder="1" applyFont="1" applyNumberFormat="1">
      <alignment vertical="center"/>
    </xf>
    <xf borderId="19" fillId="5" fontId="12" numFmtId="2" xfId="0" applyAlignment="1" applyBorder="1" applyFont="1" applyNumberFormat="1">
      <alignment readingOrder="0" vertical="center"/>
    </xf>
    <xf borderId="19" fillId="5" fontId="13" numFmtId="2" xfId="0" applyAlignment="1" applyBorder="1" applyFont="1" applyNumberFormat="1">
      <alignment horizontal="left" vertical="center"/>
    </xf>
    <xf borderId="20" fillId="6" fontId="13" numFmtId="2" xfId="0" applyAlignment="1" applyBorder="1" applyFont="1" applyNumberFormat="1">
      <alignment horizontal="left" vertical="center"/>
    </xf>
    <xf borderId="21" fillId="6" fontId="13" numFmtId="2" xfId="0" applyAlignment="1" applyBorder="1" applyFont="1" applyNumberFormat="1">
      <alignment horizontal="left" vertical="center"/>
    </xf>
    <xf borderId="21" fillId="6" fontId="14" numFmtId="2" xfId="0" applyAlignment="1" applyBorder="1" applyFont="1" applyNumberFormat="1">
      <alignment horizontal="center" readingOrder="0" vertical="center"/>
    </xf>
    <xf borderId="22" fillId="6" fontId="13" numFmtId="164" xfId="0" applyAlignment="1" applyBorder="1" applyFont="1" applyNumberFormat="1">
      <alignment horizontal="left" vertical="center"/>
    </xf>
    <xf borderId="13" fillId="3" fontId="3" numFmtId="0" xfId="0" applyAlignment="1" applyBorder="1" applyFont="1">
      <alignment horizontal="left" vertical="center"/>
    </xf>
    <xf borderId="19" fillId="5" fontId="3" numFmtId="0" xfId="0" applyAlignment="1" applyBorder="1" applyFont="1">
      <alignment horizontal="left" vertical="center"/>
    </xf>
    <xf borderId="19" fillId="5" fontId="3" numFmtId="0" xfId="0" applyAlignment="1" applyBorder="1" applyFont="1">
      <alignment vertical="center"/>
    </xf>
    <xf borderId="19" fillId="5" fontId="3" numFmtId="2" xfId="0" applyAlignment="1" applyBorder="1" applyFont="1" applyNumberFormat="1">
      <alignment horizontal="left" vertical="center"/>
    </xf>
    <xf borderId="0" fillId="0" fontId="1" numFmtId="2" xfId="0" applyAlignment="1" applyFont="1" applyNumberFormat="1">
      <alignment horizontal="right" readingOrder="0" vertical="center"/>
    </xf>
    <xf borderId="0" fillId="0" fontId="1" numFmtId="164" xfId="0" applyAlignment="1" applyFont="1" applyNumberFormat="1">
      <alignment horizontal="left" readingOrder="0" vertical="center"/>
    </xf>
    <xf borderId="13" fillId="3" fontId="3" numFmtId="0" xfId="0" applyAlignment="1" applyBorder="1" applyFont="1">
      <alignment horizontal="left" readingOrder="0" vertical="center"/>
    </xf>
    <xf borderId="19" fillId="5" fontId="3" numFmtId="0" xfId="0" applyAlignment="1" applyBorder="1" applyFont="1">
      <alignment horizontal="left" readingOrder="0" vertical="center"/>
    </xf>
    <xf borderId="19" fillId="5" fontId="3" numFmtId="0" xfId="0" applyAlignment="1" applyBorder="1" applyFont="1">
      <alignment vertical="center"/>
    </xf>
    <xf borderId="13" fillId="3" fontId="3" numFmtId="0" xfId="0" applyAlignment="1" applyBorder="1" applyFont="1">
      <alignment horizontal="left" readingOrder="0" vertical="center"/>
    </xf>
    <xf borderId="19" fillId="5" fontId="3" numFmtId="0" xfId="0" applyAlignment="1" applyBorder="1" applyFont="1">
      <alignment horizontal="left" readingOrder="0" vertical="center"/>
    </xf>
    <xf borderId="23" fillId="5" fontId="13" numFmtId="0" xfId="0" applyAlignment="1" applyBorder="1" applyFont="1">
      <alignment horizontal="left" readingOrder="0" vertical="center"/>
    </xf>
    <xf borderId="20" fillId="6" fontId="3" numFmtId="0" xfId="0" applyAlignment="1" applyBorder="1" applyFont="1">
      <alignment horizontal="left" vertical="center"/>
    </xf>
    <xf borderId="21" fillId="6" fontId="3" numFmtId="0" xfId="0" applyAlignment="1" applyBorder="1" applyFont="1">
      <alignment horizontal="left" vertical="center"/>
    </xf>
    <xf borderId="24" fillId="6" fontId="3" numFmtId="164" xfId="0" applyAlignment="1" applyBorder="1" applyFont="1" applyNumberFormat="1">
      <alignment horizontal="center" vertical="center"/>
    </xf>
    <xf borderId="12" fillId="3" fontId="3" numFmtId="0" xfId="0" applyAlignment="1" applyBorder="1" applyFont="1">
      <alignment vertical="center"/>
    </xf>
    <xf borderId="25" fillId="5" fontId="3" numFmtId="0" xfId="0" applyAlignment="1" applyBorder="1" applyFont="1">
      <alignment horizontal="left" vertical="center"/>
    </xf>
    <xf borderId="26" fillId="5" fontId="3" numFmtId="0" xfId="0" applyAlignment="1" applyBorder="1" applyFont="1">
      <alignment horizontal="left" vertical="center"/>
    </xf>
    <xf borderId="27" fillId="6" fontId="3" numFmtId="0" xfId="0" applyAlignment="1" applyBorder="1" applyFont="1">
      <alignment horizontal="left" vertical="center"/>
    </xf>
    <xf borderId="28" fillId="6" fontId="3" numFmtId="0" xfId="0" applyAlignment="1" applyBorder="1" applyFont="1">
      <alignment horizontal="left" vertical="center"/>
    </xf>
    <xf borderId="29" fillId="6" fontId="3" numFmtId="164" xfId="0" applyAlignment="1" applyBorder="1" applyFont="1" applyNumberFormat="1">
      <alignment horizontal="center" vertical="center"/>
    </xf>
    <xf borderId="2" fillId="3" fontId="3" numFmtId="0" xfId="0" applyAlignment="1" applyBorder="1" applyFont="1">
      <alignment horizontal="left" vertical="center"/>
    </xf>
    <xf borderId="2" fillId="3" fontId="3" numFmtId="164" xfId="0" applyAlignment="1" applyBorder="1" applyFont="1" applyNumberFormat="1">
      <alignment horizontal="center" vertical="center"/>
    </xf>
    <xf borderId="0" fillId="0" fontId="3" numFmtId="0" xfId="0" applyAlignment="1" applyFont="1">
      <alignment horizontal="left"/>
    </xf>
    <xf borderId="0" fillId="7" fontId="3" numFmtId="0" xfId="0" applyFill="1" applyFont="1"/>
    <xf borderId="30" fillId="7" fontId="3" numFmtId="0" xfId="0" applyBorder="1" applyFont="1"/>
    <xf borderId="2" fillId="7" fontId="3" numFmtId="0" xfId="0" applyBorder="1" applyFont="1"/>
    <xf borderId="1" fillId="5" fontId="15" numFmtId="0" xfId="0" applyAlignment="1" applyBorder="1" applyFont="1">
      <alignment horizontal="left"/>
    </xf>
    <xf borderId="19" fillId="5" fontId="4" numFmtId="2" xfId="0" applyAlignment="1" applyBorder="1" applyFont="1" applyNumberFormat="1">
      <alignment vertical="center"/>
    </xf>
    <xf borderId="19" fillId="5" fontId="16" numFmtId="2" xfId="0" applyAlignment="1" applyBorder="1" applyFont="1" applyNumberFormat="1">
      <alignment readingOrder="0" vertical="center"/>
    </xf>
    <xf borderId="20" fillId="6" fontId="17" numFmtId="2" xfId="0" applyAlignment="1" applyBorder="1" applyFont="1" applyNumberFormat="1">
      <alignment horizontal="left" vertical="center"/>
    </xf>
    <xf borderId="21" fillId="6" fontId="17" numFmtId="2" xfId="0" applyAlignment="1" applyBorder="1" applyFont="1" applyNumberFormat="1">
      <alignment horizontal="left" vertical="center"/>
    </xf>
    <xf borderId="25" fillId="5" fontId="4" numFmtId="0" xfId="0" applyAlignment="1" applyBorder="1" applyFont="1">
      <alignment horizontal="left" vertical="center"/>
    </xf>
    <xf borderId="13" fillId="3" fontId="4" numFmtId="0" xfId="0" applyAlignment="1" applyBorder="1" applyFont="1">
      <alignment horizontal="left" vertical="center"/>
    </xf>
    <xf borderId="12" fillId="3" fontId="4" numFmtId="0" xfId="0" applyAlignment="1" applyBorder="1" applyFont="1">
      <alignment vertical="center"/>
    </xf>
    <xf borderId="2" fillId="3" fontId="4" numFmtId="0" xfId="0" applyAlignment="1" applyBorder="1" applyFont="1">
      <alignment horizontal="left" vertical="center"/>
    </xf>
    <xf borderId="0" fillId="0" fontId="18" numFmtId="0" xfId="0" applyAlignment="1" applyFont="1">
      <alignment readingOrder="0" shrinkToFit="0" wrapText="1"/>
    </xf>
    <xf borderId="0" fillId="0" fontId="18" numFmtId="165" xfId="0" applyAlignment="1" applyFont="1" applyNumberFormat="1">
      <alignment readingOrder="0" shrinkToFit="0" wrapText="1"/>
    </xf>
    <xf borderId="0" fillId="0" fontId="18" numFmtId="0" xfId="0" applyFont="1"/>
    <xf borderId="0" fillId="0" fontId="18" numFmtId="0" xfId="0" applyAlignment="1" applyFont="1">
      <alignment shrinkToFit="0" wrapText="1"/>
    </xf>
    <xf borderId="0" fillId="0" fontId="3" numFmtId="0" xfId="0" applyAlignment="1" applyFont="1">
      <alignment horizontal="right" readingOrder="0"/>
    </xf>
    <xf borderId="0" fillId="0" fontId="3" numFmtId="0" xfId="0" applyAlignment="1" applyFont="1">
      <alignment readingOrder="0"/>
    </xf>
    <xf borderId="0" fillId="0" fontId="3" numFmtId="166" xfId="0" applyFont="1" applyNumberFormat="1"/>
    <xf borderId="0" fillId="0" fontId="3" numFmtId="165" xfId="0" applyFont="1" applyNumberFormat="1"/>
    <xf borderId="0" fillId="0" fontId="3" numFmtId="0" xfId="0" applyAlignment="1" applyFont="1">
      <alignment readingOrder="0"/>
    </xf>
    <xf borderId="0" fillId="0" fontId="3" numFmtId="166" xfId="0" applyAlignment="1" applyFont="1" applyNumberFormat="1">
      <alignment readingOrder="0"/>
    </xf>
    <xf borderId="0" fillId="2" fontId="18" numFmtId="0" xfId="0" applyAlignment="1" applyFont="1">
      <alignment readingOrder="0"/>
    </xf>
    <xf borderId="0" fillId="2" fontId="18" numFmtId="0" xfId="0" applyAlignment="1" applyFont="1">
      <alignment readingOrder="0"/>
    </xf>
    <xf borderId="0" fillId="2" fontId="18" numFmtId="166" xfId="0" applyFont="1" applyNumberFormat="1"/>
    <xf borderId="0" fillId="2" fontId="18" numFmtId="0" xfId="0" applyFont="1"/>
    <xf borderId="0" fillId="2" fontId="18" numFmtId="165" xfId="0" applyFont="1" applyNumberFormat="1"/>
    <xf borderId="0" fillId="2" fontId="3" numFmtId="0" xfId="0" applyFont="1"/>
    <xf borderId="0" fillId="0" fontId="1" numFmtId="0" xfId="0" applyAlignment="1" applyFont="1">
      <alignment readingOrder="0"/>
    </xf>
    <xf borderId="0" fillId="0" fontId="1" numFmtId="0" xfId="0" applyFont="1"/>
    <xf borderId="0" fillId="0" fontId="1" numFmtId="165" xfId="0" applyFont="1" applyNumberFormat="1"/>
    <xf borderId="0" fillId="8" fontId="3" numFmtId="2" xfId="0" applyAlignment="1" applyFill="1" applyFont="1" applyNumberFormat="1">
      <alignment horizontal="center" vertical="bottom"/>
    </xf>
    <xf borderId="0" fillId="8" fontId="3" numFmtId="164" xfId="0" applyAlignment="1" applyFont="1" applyNumberFormat="1">
      <alignment horizontal="center" vertical="bottom"/>
    </xf>
    <xf borderId="0" fillId="8" fontId="18" numFmtId="2" xfId="0" applyAlignment="1" applyFont="1" applyNumberFormat="1">
      <alignment horizontal="center" shrinkToFit="0" vertical="bottom" wrapText="1"/>
    </xf>
    <xf borderId="0" fillId="8" fontId="18" numFmtId="164" xfId="0" applyAlignment="1" applyFont="1" applyNumberFormat="1">
      <alignment horizontal="center" shrinkToFit="0" vertical="bottom" wrapText="1"/>
    </xf>
    <xf borderId="1" fillId="0" fontId="3" numFmtId="0" xfId="0" applyAlignment="1" applyBorder="1" applyFont="1">
      <alignment horizontal="center" readingOrder="0"/>
    </xf>
    <xf borderId="1" fillId="0" fontId="3" numFmtId="0" xfId="0" applyAlignment="1" applyBorder="1" applyFont="1">
      <alignment horizontal="center"/>
    </xf>
    <xf borderId="0" fillId="0" fontId="3" numFmtId="2" xfId="0" applyAlignment="1" applyFont="1" applyNumberFormat="1">
      <alignment horizontal="center"/>
    </xf>
    <xf borderId="0" fillId="0" fontId="3" numFmtId="0" xfId="0" applyAlignment="1" applyFont="1">
      <alignment horizontal="center" readingOrder="0"/>
    </xf>
    <xf borderId="1" fillId="0" fontId="3" numFmtId="0" xfId="0" applyBorder="1" applyFont="1"/>
    <xf borderId="0" fillId="2" fontId="19" numFmtId="0" xfId="0" applyAlignment="1" applyFont="1">
      <alignment readingOrder="0" shrinkToFit="0" vertical="bottom" wrapText="0"/>
    </xf>
    <xf borderId="31" fillId="2" fontId="19" numFmtId="0" xfId="0" applyAlignment="1" applyBorder="1" applyFont="1">
      <alignment horizontal="right" readingOrder="0" shrinkToFit="0" vertical="bottom" wrapText="0"/>
    </xf>
    <xf borderId="0" fillId="2" fontId="20" numFmtId="4" xfId="0" applyAlignment="1" applyFont="1" applyNumberFormat="1">
      <alignment horizontal="left" readingOrder="0" shrinkToFit="0" vertical="bottom" wrapText="1"/>
    </xf>
    <xf borderId="0" fillId="2" fontId="3" numFmtId="4" xfId="0" applyAlignment="1" applyFont="1" applyNumberFormat="1">
      <alignment vertical="bottom"/>
    </xf>
    <xf borderId="0" fillId="2" fontId="3" numFmtId="167" xfId="0" applyAlignment="1" applyFont="1" applyNumberFormat="1">
      <alignment vertical="bottom"/>
    </xf>
    <xf borderId="0" fillId="9" fontId="18" numFmtId="3" xfId="0" applyAlignment="1" applyFill="1" applyFont="1" applyNumberFormat="1">
      <alignment horizontal="right" readingOrder="0" vertical="bottom"/>
    </xf>
    <xf borderId="0" fillId="8" fontId="3" numFmtId="3" xfId="0" applyAlignment="1" applyFont="1" applyNumberFormat="1">
      <alignment horizontal="right" readingOrder="0" vertical="bottom"/>
    </xf>
    <xf borderId="0" fillId="10" fontId="21" numFmtId="3" xfId="0" applyAlignment="1" applyFill="1" applyFont="1" applyNumberFormat="1">
      <alignment horizontal="right" vertical="bottom"/>
    </xf>
    <xf borderId="0" fillId="10" fontId="3" numFmtId="0" xfId="0" applyAlignment="1" applyFont="1">
      <alignment readingOrder="0" vertical="bottom"/>
    </xf>
    <xf borderId="0" fillId="10" fontId="21" numFmtId="0" xfId="0" applyAlignment="1" applyFont="1">
      <alignment horizontal="right" vertical="bottom"/>
    </xf>
    <xf borderId="0" fillId="2" fontId="3" numFmtId="0" xfId="0" applyAlignment="1" applyFont="1">
      <alignment readingOrder="0" vertical="bottom"/>
    </xf>
    <xf borderId="0" fillId="2" fontId="18" numFmtId="0" xfId="0" applyAlignment="1" applyFont="1">
      <alignment readingOrder="0" vertical="bottom"/>
    </xf>
    <xf borderId="0" fillId="0" fontId="3" numFmtId="0" xfId="0" applyAlignment="1" applyFont="1">
      <alignment vertical="bottom"/>
    </xf>
    <xf borderId="31" fillId="2" fontId="19" numFmtId="0" xfId="0" applyAlignment="1" applyBorder="1" applyFont="1">
      <alignment readingOrder="0" shrinkToFit="0" vertical="bottom" wrapText="0"/>
    </xf>
    <xf borderId="31" fillId="2" fontId="22" numFmtId="4" xfId="0" applyAlignment="1" applyBorder="1" applyFont="1" applyNumberFormat="1">
      <alignment horizontal="left" shrinkToFit="0" vertical="bottom" wrapText="1"/>
    </xf>
    <xf borderId="31" fillId="2" fontId="3" numFmtId="4" xfId="0" applyAlignment="1" applyBorder="1" applyFont="1" applyNumberFormat="1">
      <alignment vertical="bottom"/>
    </xf>
    <xf borderId="0" fillId="9" fontId="18" numFmtId="0" xfId="0" applyAlignment="1" applyFont="1">
      <alignment readingOrder="0" vertical="bottom"/>
    </xf>
    <xf borderId="0" fillId="8" fontId="3" numFmtId="168" xfId="0" applyAlignment="1" applyFont="1" applyNumberFormat="1">
      <alignment horizontal="right" readingOrder="0" vertical="bottom"/>
    </xf>
    <xf borderId="0" fillId="2" fontId="1" numFmtId="0" xfId="0" applyAlignment="1" applyFont="1">
      <alignment horizontal="right" readingOrder="0" vertical="bottom"/>
    </xf>
    <xf borderId="31" fillId="2" fontId="1" numFmtId="0" xfId="0" applyAlignment="1" applyBorder="1" applyFont="1">
      <alignment readingOrder="0" shrinkToFit="0" vertical="bottom" wrapText="0"/>
    </xf>
    <xf borderId="0" fillId="7" fontId="23" numFmtId="0" xfId="0" applyAlignment="1" applyFont="1">
      <alignment readingOrder="0"/>
    </xf>
    <xf borderId="0" fillId="2" fontId="19" numFmtId="0" xfId="0" applyAlignment="1" applyFont="1">
      <alignment readingOrder="0" shrinkToFit="0" vertical="bottom" wrapText="1"/>
    </xf>
    <xf borderId="0" fillId="2" fontId="19" numFmtId="4" xfId="0" applyAlignment="1" applyFont="1" applyNumberFormat="1">
      <alignment horizontal="left" readingOrder="0" shrinkToFit="0" vertical="bottom" wrapText="1"/>
    </xf>
    <xf borderId="32" fillId="2" fontId="19" numFmtId="4" xfId="0" applyAlignment="1" applyBorder="1" applyFont="1" applyNumberFormat="1">
      <alignment readingOrder="0" shrinkToFit="0" vertical="bottom" wrapText="1"/>
    </xf>
    <xf borderId="0" fillId="2" fontId="3" numFmtId="167" xfId="0" applyAlignment="1" applyFont="1" applyNumberFormat="1">
      <alignment readingOrder="0" shrinkToFit="0" vertical="bottom" wrapText="1"/>
    </xf>
    <xf borderId="0" fillId="2" fontId="3" numFmtId="0" xfId="0" applyAlignment="1" applyFont="1">
      <alignment readingOrder="0" shrinkToFit="0" vertical="bottom" wrapText="1"/>
    </xf>
    <xf borderId="0" fillId="9" fontId="24" numFmtId="0" xfId="0" applyAlignment="1" applyFont="1">
      <alignment readingOrder="0" shrinkToFit="0" wrapText="1"/>
    </xf>
    <xf borderId="0" fillId="2" fontId="24" numFmtId="10" xfId="0" applyAlignment="1" applyFont="1" applyNumberFormat="1">
      <alignment shrinkToFit="0" wrapText="1"/>
    </xf>
    <xf borderId="0" fillId="2" fontId="24" numFmtId="0" xfId="0" applyAlignment="1" applyFont="1">
      <alignment readingOrder="0" shrinkToFit="0" wrapText="1"/>
    </xf>
    <xf borderId="0" fillId="2" fontId="24" numFmtId="164" xfId="0" applyAlignment="1" applyFont="1" applyNumberFormat="1">
      <alignment readingOrder="0" shrinkToFit="0" wrapText="1"/>
    </xf>
    <xf borderId="0" fillId="2" fontId="24" numFmtId="0" xfId="0" applyAlignment="1" applyFont="1">
      <alignment shrinkToFit="0" wrapText="1"/>
    </xf>
    <xf borderId="0" fillId="0" fontId="3" numFmtId="0" xfId="0" applyAlignment="1" applyFont="1">
      <alignment shrinkToFit="0" wrapText="1"/>
    </xf>
    <xf borderId="0" fillId="11" fontId="3" numFmtId="0" xfId="0" applyAlignment="1" applyFill="1" applyFont="1">
      <alignment readingOrder="0" vertical="bottom"/>
    </xf>
    <xf borderId="0" fillId="2" fontId="3" numFmtId="0" xfId="0" applyAlignment="1" applyFont="1">
      <alignment vertical="bottom"/>
    </xf>
    <xf borderId="0" fillId="2" fontId="3" numFmtId="0" xfId="0" applyAlignment="1" applyFont="1">
      <alignment shrinkToFit="0" vertical="bottom" wrapText="1"/>
    </xf>
    <xf borderId="0" fillId="2" fontId="3" numFmtId="0" xfId="0" applyAlignment="1" applyFont="1">
      <alignment horizontal="center" vertical="bottom"/>
    </xf>
    <xf quotePrefix="1" borderId="0" fillId="2" fontId="3" numFmtId="169" xfId="0" applyAlignment="1" applyFont="1" applyNumberFormat="1">
      <alignment horizontal="center" vertical="bottom"/>
    </xf>
    <xf borderId="0" fillId="11" fontId="3" numFmtId="0" xfId="0" applyAlignment="1" applyFont="1">
      <alignment readingOrder="0" shrinkToFit="0" vertical="bottom" wrapText="1"/>
    </xf>
    <xf borderId="0" fillId="11" fontId="3" numFmtId="0" xfId="0" applyAlignment="1" applyFont="1">
      <alignment readingOrder="0" vertical="bottom"/>
    </xf>
    <xf borderId="0" fillId="11" fontId="3" numFmtId="10" xfId="0" applyAlignment="1" applyFont="1" applyNumberFormat="1">
      <alignment horizontal="right" vertical="bottom"/>
    </xf>
    <xf borderId="0" fillId="11" fontId="3" numFmtId="0" xfId="0" applyAlignment="1" applyFont="1">
      <alignment horizontal="right" vertical="bottom"/>
    </xf>
    <xf borderId="0" fillId="11" fontId="3" numFmtId="164" xfId="0" applyAlignment="1" applyFont="1" applyNumberFormat="1">
      <alignment horizontal="right" vertical="bottom"/>
    </xf>
    <xf borderId="0" fillId="11" fontId="23" numFmtId="0" xfId="0" applyAlignment="1" applyFont="1">
      <alignment vertical="bottom"/>
    </xf>
    <xf borderId="0" fillId="11" fontId="3" numFmtId="0" xfId="0" applyAlignment="1" applyFont="1">
      <alignment vertical="bottom"/>
    </xf>
    <xf quotePrefix="1" borderId="0" fillId="2" fontId="3" numFmtId="170" xfId="0" applyAlignment="1" applyFont="1" applyNumberFormat="1">
      <alignment horizontal="center" vertical="bottom"/>
    </xf>
    <xf borderId="0" fillId="2" fontId="3" numFmtId="0" xfId="0" applyAlignment="1" applyFont="1">
      <alignment horizontal="right" vertical="bottom"/>
    </xf>
    <xf borderId="0" fillId="2" fontId="3" numFmtId="0" xfId="0" applyAlignment="1" applyFont="1">
      <alignment horizontal="left" shrinkToFit="0" vertical="bottom" wrapText="1"/>
    </xf>
    <xf borderId="0" fillId="2" fontId="3" numFmtId="0" xfId="0" applyAlignment="1" applyFont="1">
      <alignment shrinkToFit="0" vertical="bottom" wrapText="1"/>
    </xf>
    <xf borderId="0" fillId="2" fontId="3" numFmtId="171" xfId="0" applyAlignment="1" applyFont="1" applyNumberFormat="1">
      <alignment horizontal="right" vertical="bottom"/>
    </xf>
    <xf borderId="0" fillId="2" fontId="3" numFmtId="0" xfId="0" applyAlignment="1" applyFont="1">
      <alignment vertical="bottom"/>
    </xf>
    <xf borderId="0" fillId="2" fontId="3" numFmtId="0" xfId="0" applyAlignment="1" applyFont="1">
      <alignment vertical="bottom"/>
    </xf>
    <xf borderId="0" fillId="2" fontId="3" numFmtId="169" xfId="0" applyAlignment="1" applyFont="1" applyNumberFormat="1">
      <alignment horizontal="right" vertical="bottom"/>
    </xf>
    <xf borderId="0" fillId="12" fontId="3" numFmtId="0" xfId="0" applyAlignment="1" applyFill="1" applyFont="1">
      <alignment readingOrder="0" vertical="bottom"/>
    </xf>
    <xf borderId="0" fillId="12" fontId="3" numFmtId="0" xfId="0" applyAlignment="1" applyFont="1">
      <alignment readingOrder="0" shrinkToFit="0" vertical="bottom" wrapText="1"/>
    </xf>
    <xf borderId="0" fillId="12" fontId="3" numFmtId="0" xfId="0" applyAlignment="1" applyFont="1">
      <alignment horizontal="right" vertical="bottom"/>
    </xf>
    <xf borderId="0" fillId="12" fontId="3" numFmtId="167" xfId="0" applyAlignment="1" applyFont="1" applyNumberFormat="1">
      <alignment horizontal="right" vertical="bottom"/>
    </xf>
    <xf borderId="0" fillId="12" fontId="3" numFmtId="0" xfId="0" applyAlignment="1" applyFont="1">
      <alignment shrinkToFit="0" vertical="bottom" wrapText="1"/>
    </xf>
    <xf borderId="0" fillId="12" fontId="3" numFmtId="0" xfId="0" applyAlignment="1" applyFont="1">
      <alignment readingOrder="0" vertical="bottom"/>
    </xf>
    <xf borderId="0" fillId="12" fontId="3" numFmtId="10" xfId="0" applyAlignment="1" applyFont="1" applyNumberFormat="1">
      <alignment horizontal="right" vertical="bottom"/>
    </xf>
    <xf borderId="0" fillId="12" fontId="3" numFmtId="0" xfId="0" applyAlignment="1" applyFont="1">
      <alignment horizontal="right" vertical="bottom"/>
    </xf>
    <xf borderId="0" fillId="12" fontId="3" numFmtId="164" xfId="0" applyAlignment="1" applyFont="1" applyNumberFormat="1">
      <alignment horizontal="right" vertical="bottom"/>
    </xf>
    <xf borderId="0" fillId="12" fontId="23" numFmtId="0" xfId="0" applyAlignment="1" applyFont="1">
      <alignment vertical="bottom"/>
    </xf>
    <xf borderId="0" fillId="12" fontId="3" numFmtId="0" xfId="0" applyAlignment="1" applyFont="1">
      <alignment vertical="bottom"/>
    </xf>
    <xf borderId="0" fillId="12" fontId="3" numFmtId="0" xfId="0" applyAlignment="1" applyFont="1">
      <alignment vertical="bottom"/>
    </xf>
    <xf borderId="0" fillId="12" fontId="5" numFmtId="0" xfId="0" applyAlignment="1" applyFont="1">
      <alignment horizontal="right" readingOrder="0" vertical="bottom"/>
    </xf>
    <xf borderId="0" fillId="12" fontId="5" numFmtId="0" xfId="0" applyAlignment="1" applyFont="1">
      <alignment horizontal="left" readingOrder="0" shrinkToFit="0" vertical="bottom" wrapText="1"/>
    </xf>
    <xf borderId="0" fillId="12" fontId="5" numFmtId="0" xfId="0" applyAlignment="1" applyFont="1">
      <alignment shrinkToFit="0" vertical="bottom" wrapText="1"/>
    </xf>
    <xf borderId="0" fillId="12" fontId="5" numFmtId="171" xfId="0" applyAlignment="1" applyFont="1" applyNumberFormat="1">
      <alignment horizontal="right" vertical="bottom"/>
    </xf>
    <xf borderId="0" fillId="12" fontId="5" numFmtId="0" xfId="0" applyAlignment="1" applyFont="1">
      <alignment vertical="bottom"/>
    </xf>
    <xf borderId="0" fillId="12" fontId="5" numFmtId="0" xfId="0" applyAlignment="1" applyFont="1">
      <alignment readingOrder="0" shrinkToFit="0" vertical="bottom" wrapText="1"/>
    </xf>
    <xf borderId="0" fillId="12" fontId="5" numFmtId="0" xfId="0" applyAlignment="1" applyFont="1">
      <alignment readingOrder="0" vertical="bottom"/>
    </xf>
    <xf borderId="0" fillId="12" fontId="5" numFmtId="10" xfId="0" applyAlignment="1" applyFont="1" applyNumberFormat="1">
      <alignment horizontal="right" vertical="bottom"/>
    </xf>
    <xf borderId="0" fillId="12" fontId="5" numFmtId="0" xfId="0" applyAlignment="1" applyFont="1">
      <alignment horizontal="right" vertical="bottom"/>
    </xf>
    <xf borderId="0" fillId="12" fontId="5" numFmtId="164" xfId="0" applyAlignment="1" applyFont="1" applyNumberFormat="1">
      <alignment horizontal="right" vertical="bottom"/>
    </xf>
    <xf borderId="0" fillId="12" fontId="5" numFmtId="0" xfId="0" applyAlignment="1" applyFont="1">
      <alignment vertical="bottom"/>
    </xf>
    <xf borderId="0" fillId="12" fontId="5" numFmtId="0" xfId="0" applyAlignment="1" applyFont="1">
      <alignment readingOrder="0" vertical="bottom"/>
    </xf>
    <xf borderId="0" fillId="13" fontId="3" numFmtId="0" xfId="0" applyAlignment="1" applyFill="1" applyFont="1">
      <alignment vertical="bottom"/>
    </xf>
    <xf borderId="0" fillId="12" fontId="25" numFmtId="0" xfId="0" applyAlignment="1" applyFont="1">
      <alignment readingOrder="0" shrinkToFit="0" wrapText="1"/>
    </xf>
    <xf borderId="0" fillId="12" fontId="23" numFmtId="0" xfId="0" applyAlignment="1" applyFont="1">
      <alignment readingOrder="0"/>
    </xf>
    <xf borderId="0" fillId="12" fontId="3" numFmtId="0" xfId="0" applyAlignment="1" applyFont="1">
      <alignment vertical="bottom"/>
    </xf>
    <xf borderId="0" fillId="12" fontId="3" numFmtId="0" xfId="0" applyAlignment="1" applyFont="1">
      <alignment shrinkToFit="0" vertical="bottom" wrapText="1"/>
    </xf>
    <xf borderId="0" fillId="12" fontId="3" numFmtId="167" xfId="0" applyAlignment="1" applyFont="1" applyNumberFormat="1">
      <alignment vertical="bottom"/>
    </xf>
    <xf borderId="0" fillId="12" fontId="3" numFmtId="0" xfId="0" applyAlignment="1" applyFont="1">
      <alignment horizontal="right" readingOrder="0" vertical="bottom"/>
    </xf>
    <xf borderId="0" fillId="12" fontId="25" numFmtId="0" xfId="0" applyAlignment="1" applyFont="1">
      <alignment readingOrder="0" shrinkToFit="0" vertical="bottom" wrapText="1"/>
    </xf>
    <xf borderId="0" fillId="12" fontId="23" numFmtId="0" xfId="0" applyAlignment="1" applyFont="1">
      <alignment horizontal="right" vertical="bottom"/>
    </xf>
    <xf borderId="0" fillId="11" fontId="3" numFmtId="0" xfId="0" applyAlignment="1" applyFont="1">
      <alignment horizontal="right" readingOrder="0" vertical="bottom"/>
    </xf>
    <xf borderId="0" fillId="11" fontId="3" numFmtId="0" xfId="0" applyAlignment="1" applyFont="1">
      <alignment shrinkToFit="0" vertical="bottom" wrapText="1"/>
    </xf>
    <xf borderId="0" fillId="9" fontId="3" numFmtId="0" xfId="0" applyAlignment="1" applyFont="1">
      <alignment readingOrder="0" shrinkToFit="0" vertical="bottom" wrapText="1"/>
    </xf>
    <xf borderId="0" fillId="13" fontId="3" numFmtId="0" xfId="0" applyAlignment="1" applyFont="1">
      <alignment readingOrder="0" shrinkToFit="0" vertical="bottom" wrapText="1"/>
    </xf>
    <xf borderId="0" fillId="13" fontId="3" numFmtId="0" xfId="0" applyAlignment="1" applyFont="1">
      <alignment readingOrder="0" vertical="bottom"/>
    </xf>
    <xf borderId="0" fillId="12" fontId="3" numFmtId="0" xfId="0" applyAlignment="1" applyFont="1">
      <alignment vertical="bottom"/>
    </xf>
    <xf borderId="0" fillId="7" fontId="23" numFmtId="0" xfId="0" applyFont="1"/>
    <xf borderId="0" fillId="12" fontId="3" numFmtId="169" xfId="0" applyAlignment="1" applyFont="1" applyNumberFormat="1">
      <alignment vertical="bottom"/>
    </xf>
    <xf borderId="0" fillId="11" fontId="3" numFmtId="0" xfId="0" applyAlignment="1" applyFont="1">
      <alignment vertical="bottom"/>
    </xf>
    <xf borderId="0" fillId="12" fontId="3" numFmtId="0" xfId="0" applyAlignment="1" applyFont="1">
      <alignment vertical="bottom"/>
    </xf>
    <xf borderId="0" fillId="12" fontId="24" numFmtId="0" xfId="0" applyAlignment="1" applyFont="1">
      <alignment horizontal="left" readingOrder="0" shrinkToFit="0" wrapText="1"/>
    </xf>
    <xf borderId="1" fillId="0" fontId="26" numFmtId="2" xfId="0" applyAlignment="1" applyBorder="1" applyFont="1" applyNumberFormat="1">
      <alignment horizontal="right" readingOrder="0"/>
    </xf>
    <xf borderId="1" fillId="0" fontId="4" numFmtId="2" xfId="0" applyAlignment="1" applyBorder="1" applyFont="1" applyNumberFormat="1">
      <alignment horizontal="center" readingOrder="0"/>
    </xf>
    <xf borderId="1" fillId="0" fontId="4" numFmtId="164" xfId="0" applyAlignment="1" applyBorder="1" applyFont="1" applyNumberFormat="1">
      <alignment horizontal="center" readingOrder="0"/>
    </xf>
    <xf borderId="1" fillId="0" fontId="4" numFmtId="164" xfId="0" applyAlignment="1" applyBorder="1" applyFont="1" applyNumberFormat="1">
      <alignment horizontal="center"/>
    </xf>
    <xf borderId="0" fillId="2" fontId="27" numFmtId="4" xfId="0" applyAlignment="1" applyFont="1" applyNumberFormat="1">
      <alignment readingOrder="0" shrinkToFit="0" vertical="bottom" wrapText="1"/>
    </xf>
    <xf borderId="31" fillId="2" fontId="28" numFmtId="4" xfId="0" applyAlignment="1" applyBorder="1" applyFont="1" applyNumberFormat="1">
      <alignment shrinkToFit="0" vertical="bottom" wrapText="1"/>
    </xf>
    <xf borderId="0" fillId="2" fontId="19" numFmtId="4" xfId="0" applyAlignment="1" applyFont="1" applyNumberFormat="1">
      <alignment readingOrder="0" shrinkToFit="0" vertical="bottom" wrapText="1"/>
    </xf>
    <xf borderId="0" fillId="11" fontId="3" numFmtId="0" xfId="0" applyAlignment="1" applyFont="1">
      <alignment horizontal="right" readingOrder="0" vertical="bottom"/>
    </xf>
    <xf borderId="0" fillId="11" fontId="3" numFmtId="170" xfId="0" applyAlignment="1" applyFont="1" applyNumberFormat="1">
      <alignment horizontal="right" readingOrder="0" vertical="bottom"/>
    </xf>
    <xf borderId="0" fillId="8" fontId="3" numFmtId="0" xfId="0" applyAlignment="1" applyFont="1">
      <alignment readingOrder="0" shrinkToFit="0" vertical="bottom" wrapText="1"/>
    </xf>
    <xf borderId="0" fillId="11" fontId="3" numFmtId="169" xfId="0" applyAlignment="1" applyFont="1" applyNumberFormat="1">
      <alignment horizontal="right" readingOrder="0" vertical="bottom"/>
    </xf>
    <xf borderId="0" fillId="13" fontId="3" numFmtId="0" xfId="0" applyAlignment="1" applyFont="1">
      <alignment readingOrder="0" vertical="bottom"/>
    </xf>
    <xf borderId="0" fillId="13" fontId="3" numFmtId="0" xfId="0" applyAlignment="1" applyFont="1">
      <alignment horizontal="right" readingOrder="0" vertical="bottom"/>
    </xf>
    <xf borderId="0" fillId="13" fontId="3" numFmtId="170" xfId="0" applyAlignment="1" applyFont="1" applyNumberFormat="1">
      <alignment horizontal="right" readingOrder="0" vertical="bottom"/>
    </xf>
    <xf borderId="0" fillId="11" fontId="3" numFmtId="0" xfId="0" applyAlignment="1" applyFont="1">
      <alignment vertical="bottom"/>
    </xf>
    <xf borderId="0" fillId="13" fontId="3" numFmtId="169" xfId="0" applyAlignment="1" applyFont="1" applyNumberFormat="1">
      <alignment horizontal="right" readingOrder="0" vertical="bottom"/>
    </xf>
    <xf borderId="1" fillId="0" fontId="1" numFmtId="2" xfId="0" applyAlignment="1" applyBorder="1" applyFont="1" applyNumberFormat="1">
      <alignment horizontal="right" readingOrder="0"/>
    </xf>
    <xf borderId="1" fillId="0" fontId="3" numFmtId="2" xfId="0" applyAlignment="1" applyBorder="1" applyFont="1" applyNumberFormat="1">
      <alignment horizontal="center" readingOrder="0"/>
    </xf>
    <xf borderId="1" fillId="0" fontId="3" numFmtId="164" xfId="0" applyAlignment="1" applyBorder="1" applyFont="1" applyNumberFormat="1">
      <alignment horizontal="center" readingOrder="0"/>
    </xf>
    <xf borderId="1" fillId="0" fontId="3" numFmtId="0" xfId="0" applyAlignment="1" applyBorder="1" applyFont="1">
      <alignment readingOrder="0"/>
    </xf>
    <xf borderId="0" fillId="11" fontId="3" numFmtId="0" xfId="0" applyAlignment="1" applyFont="1">
      <alignment vertical="bottom"/>
    </xf>
    <xf borderId="0" fillId="11" fontId="3" numFmtId="0" xfId="0" applyAlignment="1" applyFont="1">
      <alignment shrinkToFit="0" vertical="bottom" wrapText="1"/>
    </xf>
    <xf borderId="0" fillId="11" fontId="3" numFmtId="169" xfId="0" applyAlignment="1" applyFont="1" applyNumberFormat="1">
      <alignment horizontal="right" vertical="bottom"/>
    </xf>
    <xf borderId="0" fillId="11" fontId="3" numFmtId="167" xfId="0" applyAlignment="1" applyFont="1" applyNumberFormat="1">
      <alignment horizontal="right" vertical="bottom"/>
    </xf>
    <xf borderId="0" fillId="13" fontId="3" numFmtId="0" xfId="0" applyAlignment="1" applyFont="1">
      <alignment vertical="bottom"/>
    </xf>
    <xf borderId="0" fillId="13" fontId="3" numFmtId="0" xfId="0" applyAlignment="1" applyFont="1">
      <alignment shrinkToFit="0" vertical="bottom" wrapText="1"/>
    </xf>
    <xf borderId="0" fillId="13" fontId="3" numFmtId="169" xfId="0" applyAlignment="1" applyFont="1" applyNumberFormat="1">
      <alignment horizontal="right" vertical="bottom"/>
    </xf>
    <xf borderId="0" fillId="13" fontId="3" numFmtId="0" xfId="0" applyAlignment="1" applyFont="1">
      <alignment shrinkToFit="0" vertical="bottom" wrapText="1"/>
    </xf>
    <xf borderId="31" fillId="11" fontId="3" numFmtId="0" xfId="0" applyAlignment="1" applyBorder="1" applyFont="1">
      <alignment vertical="bottom"/>
    </xf>
    <xf borderId="31" fillId="11" fontId="3" numFmtId="0" xfId="0" applyAlignment="1" applyBorder="1" applyFont="1">
      <alignment shrinkToFit="0" vertical="bottom" wrapText="1"/>
    </xf>
    <xf borderId="31" fillId="11" fontId="3" numFmtId="0" xfId="0" applyAlignment="1" applyBorder="1" applyFont="1">
      <alignment horizontal="right" readingOrder="0" vertical="bottom"/>
    </xf>
    <xf borderId="31" fillId="11" fontId="3" numFmtId="169" xfId="0" applyAlignment="1" applyBorder="1" applyFont="1" applyNumberFormat="1">
      <alignment horizontal="right" vertical="bottom"/>
    </xf>
    <xf borderId="31" fillId="11" fontId="3" numFmtId="0" xfId="0" applyAlignment="1" applyBorder="1" applyFont="1">
      <alignment shrinkToFit="0" vertical="bottom" wrapText="1"/>
    </xf>
    <xf borderId="31" fillId="11" fontId="3" numFmtId="0" xfId="0" applyAlignment="1" applyBorder="1" applyFont="1">
      <alignment readingOrder="0" vertical="bottom"/>
    </xf>
    <xf borderId="31" fillId="11" fontId="3" numFmtId="0" xfId="0" applyAlignment="1" applyBorder="1" applyFont="1">
      <alignment readingOrder="0" shrinkToFit="0" vertical="bottom" wrapText="1"/>
    </xf>
    <xf borderId="31" fillId="11" fontId="3" numFmtId="169" xfId="0" applyAlignment="1" applyBorder="1" applyFont="1" applyNumberFormat="1">
      <alignment horizontal="right" readingOrder="0" vertical="bottom"/>
    </xf>
    <xf borderId="0" fillId="11" fontId="3" numFmtId="10" xfId="0" applyAlignment="1" applyFont="1" applyNumberFormat="1">
      <alignment vertical="bottom"/>
    </xf>
    <xf borderId="0" fillId="11" fontId="3" numFmtId="164" xfId="0" applyAlignment="1" applyFont="1" applyNumberFormat="1">
      <alignment vertical="bottom"/>
    </xf>
    <xf borderId="0" fillId="0" fontId="3" numFmtId="0" xfId="0" applyAlignment="1" applyFont="1">
      <alignment readingOrder="0" vertical="bottom"/>
    </xf>
    <xf borderId="0" fillId="11" fontId="3" numFmtId="0" xfId="0" applyAlignment="1" applyFont="1">
      <alignment horizontal="right" vertical="bottom"/>
    </xf>
    <xf borderId="0" fillId="14" fontId="3" numFmtId="0" xfId="0" applyAlignment="1" applyFill="1" applyFont="1">
      <alignment horizontal="right" vertical="bottom"/>
    </xf>
    <xf borderId="0" fillId="14" fontId="3" numFmtId="164" xfId="0" applyAlignment="1" applyFont="1" applyNumberFormat="1">
      <alignment horizontal="right" vertical="bottom"/>
    </xf>
    <xf borderId="0" fillId="7" fontId="23"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1"/>
    </xf>
    <xf borderId="0" fillId="0" fontId="3" numFmtId="0" xfId="0" applyAlignment="1" applyFont="1">
      <alignment horizontal="center" vertical="bottom"/>
    </xf>
    <xf borderId="0" fillId="0" fontId="3" numFmtId="167" xfId="0" applyAlignment="1" applyFont="1" applyNumberFormat="1">
      <alignment horizontal="center" readingOrder="0" vertical="bottom"/>
    </xf>
    <xf borderId="31" fillId="0" fontId="3" numFmtId="0" xfId="0" applyAlignment="1" applyBorder="1" applyFont="1">
      <alignment vertical="bottom"/>
    </xf>
    <xf borderId="31" fillId="0" fontId="3" numFmtId="0" xfId="0" applyAlignment="1" applyBorder="1" applyFont="1">
      <alignment shrinkToFit="0" vertical="bottom" wrapText="1"/>
    </xf>
    <xf borderId="31" fillId="0" fontId="3" numFmtId="0" xfId="0" applyAlignment="1" applyBorder="1" applyFont="1">
      <alignment horizontal="center" vertical="bottom"/>
    </xf>
    <xf borderId="31" fillId="0" fontId="3" numFmtId="167" xfId="0" applyAlignment="1" applyBorder="1" applyFont="1" applyNumberFormat="1">
      <alignment horizontal="center" readingOrder="0" vertical="bottom"/>
    </xf>
    <xf borderId="31" fillId="0" fontId="3" numFmtId="0" xfId="0" applyAlignment="1" applyBorder="1" applyFont="1">
      <alignment readingOrder="0" vertical="bottom"/>
    </xf>
    <xf borderId="31" fillId="11" fontId="3" numFmtId="0" xfId="0" applyAlignment="1" applyBorder="1" applyFont="1">
      <alignment horizontal="right" vertical="bottom"/>
    </xf>
    <xf borderId="31" fillId="11" fontId="3" numFmtId="167" xfId="0" applyAlignment="1" applyBorder="1" applyFont="1" applyNumberFormat="1">
      <alignment horizontal="right" vertical="bottom"/>
    </xf>
    <xf borderId="31" fillId="7" fontId="25" numFmtId="167" xfId="0" applyAlignment="1" applyBorder="1" applyFont="1" applyNumberFormat="1">
      <alignment readingOrder="0"/>
    </xf>
    <xf borderId="31" fillId="12" fontId="3" numFmtId="0" xfId="0" applyAlignment="1" applyBorder="1" applyFont="1">
      <alignment readingOrder="0" vertical="bottom"/>
    </xf>
    <xf borderId="31" fillId="12" fontId="3" numFmtId="0" xfId="0" applyAlignment="1" applyBorder="1" applyFont="1">
      <alignment readingOrder="0" shrinkToFit="0" vertical="bottom" wrapText="1"/>
    </xf>
    <xf borderId="31" fillId="12" fontId="3" numFmtId="0" xfId="0" applyAlignment="1" applyBorder="1" applyFont="1">
      <alignment horizontal="right" vertical="bottom"/>
    </xf>
    <xf borderId="31" fillId="12" fontId="3" numFmtId="167" xfId="0" applyAlignment="1" applyBorder="1" applyFont="1" applyNumberFormat="1">
      <alignment horizontal="right" vertical="bottom"/>
    </xf>
    <xf borderId="31" fillId="12" fontId="3" numFmtId="0" xfId="0" applyAlignment="1" applyBorder="1" applyFont="1">
      <alignment vertical="bottom"/>
    </xf>
    <xf borderId="31" fillId="12" fontId="3" numFmtId="0" xfId="0" applyAlignment="1" applyBorder="1" applyFont="1">
      <alignment shrinkToFit="0" vertical="bottom" wrapText="1"/>
    </xf>
    <xf borderId="31" fillId="12" fontId="25" numFmtId="0" xfId="0" applyAlignment="1" applyBorder="1" applyFont="1">
      <alignment readingOrder="0" shrinkToFit="0" wrapText="1"/>
    </xf>
    <xf borderId="31" fillId="12" fontId="3" numFmtId="0" xfId="0" applyAlignment="1" applyBorder="1" applyFont="1">
      <alignment vertical="bottom"/>
    </xf>
    <xf borderId="0" fillId="14" fontId="3" numFmtId="0" xfId="0" applyAlignment="1" applyFont="1">
      <alignment horizontal="right" readingOrder="0" vertical="bottom"/>
    </xf>
    <xf borderId="31" fillId="11" fontId="3" numFmtId="0" xfId="0" applyAlignment="1" applyBorder="1" applyFont="1">
      <alignment vertical="bottom"/>
    </xf>
    <xf borderId="31" fillId="13" fontId="3" numFmtId="0" xfId="0" applyAlignment="1" applyBorder="1" applyFont="1">
      <alignment vertical="bottom"/>
    </xf>
    <xf borderId="31" fillId="13" fontId="3" numFmtId="0" xfId="0" applyAlignment="1" applyBorder="1" applyFont="1">
      <alignment shrinkToFit="0" vertical="bottom" wrapText="1"/>
    </xf>
    <xf borderId="31" fillId="13" fontId="3" numFmtId="0" xfId="0" applyAlignment="1" applyBorder="1" applyFont="1">
      <alignment horizontal="center" vertical="bottom"/>
    </xf>
    <xf borderId="31" fillId="13" fontId="3" numFmtId="167" xfId="0" applyAlignment="1" applyBorder="1" applyFont="1" applyNumberFormat="1">
      <alignment horizontal="center" readingOrder="0" vertical="bottom"/>
    </xf>
    <xf borderId="0" fillId="13" fontId="3" numFmtId="10" xfId="0" applyAlignment="1" applyFont="1" applyNumberFormat="1">
      <alignment horizontal="right" vertical="bottom"/>
    </xf>
    <xf borderId="0" fillId="13" fontId="3" numFmtId="0" xfId="0" applyAlignment="1" applyFont="1">
      <alignment horizontal="right" vertical="bottom"/>
    </xf>
    <xf borderId="0" fillId="13" fontId="3" numFmtId="164" xfId="0" applyAlignment="1" applyFont="1" applyNumberFormat="1">
      <alignment horizontal="right" vertical="bottom"/>
    </xf>
    <xf borderId="0" fillId="13" fontId="23" numFmtId="0" xfId="0" applyAlignment="1" applyFont="1">
      <alignment vertical="bottom"/>
    </xf>
    <xf borderId="31" fillId="0" fontId="3" numFmtId="0" xfId="0" applyAlignment="1" applyBorder="1" applyFont="1">
      <alignment readingOrder="0" shrinkToFit="0" vertical="bottom" wrapText="1"/>
    </xf>
    <xf borderId="31" fillId="12" fontId="3" numFmtId="0" xfId="0" applyAlignment="1" applyBorder="1" applyFont="1">
      <alignment shrinkToFit="0" vertical="bottom" wrapText="1"/>
    </xf>
    <xf borderId="31" fillId="12" fontId="3" numFmtId="167" xfId="0" applyAlignment="1" applyBorder="1" applyFont="1" applyNumberFormat="1">
      <alignment vertical="bottom"/>
    </xf>
    <xf borderId="31" fillId="12" fontId="3" numFmtId="0" xfId="0" applyAlignment="1" applyBorder="1" applyFont="1">
      <alignment vertical="bottom"/>
    </xf>
    <xf borderId="0" fillId="7" fontId="25" numFmtId="167" xfId="0" applyAlignment="1" applyFont="1" applyNumberFormat="1">
      <alignment readingOrder="0"/>
    </xf>
    <xf borderId="0" fillId="0" fontId="3" numFmtId="167" xfId="0" applyAlignment="1" applyFont="1" applyNumberFormat="1">
      <alignment horizontal="center" vertical="bottom"/>
    </xf>
    <xf borderId="31" fillId="13" fontId="3" numFmtId="0" xfId="0" applyAlignment="1" applyBorder="1" applyFont="1">
      <alignment shrinkToFit="0" vertical="bottom" wrapText="1"/>
    </xf>
    <xf borderId="31" fillId="13" fontId="3" numFmtId="0" xfId="0" applyAlignment="1" applyBorder="1" applyFont="1">
      <alignment horizontal="right" vertical="bottom"/>
    </xf>
    <xf borderId="0" fillId="13" fontId="3" numFmtId="167" xfId="0" applyAlignment="1" applyFont="1" applyNumberFormat="1">
      <alignment horizontal="right" vertical="bottom"/>
    </xf>
    <xf borderId="31" fillId="13" fontId="3" numFmtId="0" xfId="0" applyAlignment="1" applyBorder="1" applyFont="1">
      <alignment shrinkToFit="0" vertical="bottom" wrapText="1"/>
    </xf>
    <xf borderId="0" fillId="13" fontId="3" numFmtId="0" xfId="0" applyAlignment="1" applyFont="1">
      <alignment vertical="bottom"/>
    </xf>
    <xf borderId="0" fillId="13" fontId="25" numFmtId="167" xfId="0" applyAlignment="1" applyFont="1" applyNumberFormat="1">
      <alignment readingOrder="0"/>
    </xf>
    <xf borderId="31" fillId="13" fontId="3" numFmtId="0" xfId="0" applyAlignment="1" applyBorder="1" applyFont="1">
      <alignment readingOrder="0" vertical="bottom"/>
    </xf>
    <xf borderId="0" fillId="13" fontId="3" numFmtId="167" xfId="0" applyAlignment="1" applyFont="1" applyNumberFormat="1">
      <alignment horizontal="center" readingOrder="0" vertical="bottom"/>
    </xf>
    <xf borderId="0" fillId="0" fontId="3" numFmtId="0" xfId="0" applyAlignment="1" applyFont="1">
      <alignment readingOrder="0" shrinkToFit="0" vertical="bottom" wrapText="1"/>
    </xf>
    <xf borderId="0" fillId="11" fontId="29" numFmtId="0" xfId="0" applyAlignment="1" applyFont="1">
      <alignment readingOrder="0" shrinkToFit="0" vertical="bottom" wrapText="1"/>
    </xf>
    <xf borderId="0" fillId="13" fontId="3" numFmtId="0" xfId="0" applyAlignment="1" applyFont="1">
      <alignment shrinkToFit="0" vertical="bottom" wrapText="1"/>
    </xf>
    <xf borderId="0" fillId="13" fontId="3" numFmtId="0" xfId="0" applyAlignment="1" applyFont="1">
      <alignment horizontal="center" vertical="bottom"/>
    </xf>
    <xf borderId="0" fillId="7" fontId="24" numFmtId="0" xfId="0" applyAlignment="1" applyFont="1">
      <alignment horizontal="center" readingOrder="0"/>
    </xf>
    <xf borderId="0" fillId="7" fontId="23" numFmtId="0" xfId="0" applyFont="1"/>
    <xf borderId="0" fillId="0" fontId="3" numFmtId="2" xfId="0" applyFont="1" applyNumberFormat="1"/>
    <xf borderId="0" fillId="2" fontId="3" numFmtId="172" xfId="0" applyAlignment="1" applyFont="1" applyNumberFormat="1">
      <alignment vertical="bottom"/>
    </xf>
    <xf borderId="0" fillId="2" fontId="3" numFmtId="172" xfId="0" applyAlignment="1" applyFont="1" applyNumberFormat="1">
      <alignment readingOrder="0" shrinkToFit="0" vertical="bottom" wrapText="1"/>
    </xf>
    <xf borderId="0" fillId="11" fontId="3" numFmtId="10" xfId="0" applyAlignment="1" applyFont="1" applyNumberFormat="1">
      <alignment readingOrder="0" vertical="bottom"/>
    </xf>
    <xf borderId="0" fillId="14" fontId="3" numFmtId="0" xfId="0" applyFont="1"/>
    <xf borderId="0" fillId="14" fontId="3" numFmtId="164" xfId="0" applyFont="1" applyNumberFormat="1"/>
    <xf quotePrefix="1" borderId="0" fillId="0" fontId="3" numFmtId="169" xfId="0" applyAlignment="1" applyFont="1" applyNumberFormat="1">
      <alignment horizontal="center" vertical="bottom"/>
    </xf>
    <xf borderId="0" fillId="11" fontId="3" numFmtId="0" xfId="0" applyAlignment="1" applyFont="1">
      <alignment vertical="bottom"/>
    </xf>
    <xf borderId="0" fillId="14" fontId="3" numFmtId="0" xfId="0" applyAlignment="1" applyFont="1">
      <alignment readingOrder="0"/>
    </xf>
    <xf borderId="0" fillId="0" fontId="3" numFmtId="0" xfId="0" applyAlignment="1" applyFont="1">
      <alignment vertical="bottom"/>
    </xf>
    <xf borderId="0" fillId="0" fontId="3" numFmtId="0" xfId="0" applyAlignment="1" applyFont="1">
      <alignment readingOrder="0" vertical="bottom"/>
    </xf>
    <xf borderId="1" fillId="0" fontId="3" numFmtId="0" xfId="0" applyAlignment="1" applyBorder="1" applyFont="1">
      <alignment readingOrder="0" vertical="bottom"/>
    </xf>
    <xf quotePrefix="1" borderId="0" fillId="13" fontId="3" numFmtId="169" xfId="0" applyAlignment="1" applyFont="1" applyNumberFormat="1">
      <alignment horizontal="center" vertical="bottom"/>
    </xf>
    <xf borderId="1" fillId="11" fontId="3" numFmtId="0" xfId="0" applyAlignment="1" applyBorder="1" applyFont="1">
      <alignment vertical="bottom"/>
    </xf>
    <xf borderId="0" fillId="13" fontId="3" numFmtId="0" xfId="0" applyAlignment="1" applyFont="1">
      <alignment horizontal="right" vertical="bottom"/>
    </xf>
    <xf borderId="0" fillId="13" fontId="3" numFmtId="0" xfId="0" applyFont="1"/>
    <xf borderId="1" fillId="13" fontId="3" numFmtId="0" xfId="0" applyAlignment="1" applyBorder="1" applyFont="1">
      <alignment vertical="bottom"/>
    </xf>
    <xf borderId="0" fillId="13" fontId="3" numFmtId="10" xfId="0" applyAlignment="1" applyFont="1" applyNumberFormat="1">
      <alignment readingOrder="0" vertical="bottom"/>
    </xf>
    <xf borderId="0" fillId="13" fontId="3" numFmtId="173" xfId="0" applyAlignment="1" applyFont="1" applyNumberFormat="1">
      <alignment horizontal="right" vertical="bottom"/>
    </xf>
    <xf borderId="0" fillId="13" fontId="3" numFmtId="164" xfId="0" applyFont="1" applyNumberFormat="1"/>
    <xf borderId="0" fillId="13" fontId="23" numFmtId="0" xfId="0" applyFont="1"/>
    <xf borderId="0" fillId="13" fontId="3" numFmtId="0" xfId="0" applyAlignment="1" applyFont="1">
      <alignment vertical="bottom"/>
    </xf>
    <xf borderId="0" fillId="13" fontId="3" numFmtId="169" xfId="0" applyAlignment="1" applyFont="1" applyNumberFormat="1">
      <alignment vertical="bottom"/>
    </xf>
    <xf borderId="0" fillId="13" fontId="3" numFmtId="0" xfId="0" applyAlignment="1" applyFont="1">
      <alignment readingOrder="0"/>
    </xf>
    <xf borderId="0" fillId="13" fontId="25" numFmtId="0" xfId="0" applyAlignment="1" applyFont="1">
      <alignment readingOrder="0" shrinkToFit="0" wrapText="1"/>
    </xf>
    <xf borderId="0" fillId="13" fontId="25" numFmtId="0" xfId="0" applyAlignment="1" applyFont="1">
      <alignment readingOrder="0" shrinkToFit="0" vertical="bottom" wrapText="1"/>
    </xf>
    <xf borderId="0" fillId="7" fontId="23" numFmtId="0" xfId="0" applyAlignment="1" applyFont="1">
      <alignment horizontal="right" vertical="bottom"/>
    </xf>
    <xf borderId="0" fillId="13" fontId="24" numFmtId="0" xfId="0" applyAlignment="1" applyFont="1">
      <alignment horizontal="left" readingOrder="0" shrinkToFit="0" wrapText="1"/>
    </xf>
    <xf quotePrefix="1" borderId="31" fillId="0" fontId="3" numFmtId="169" xfId="0" applyAlignment="1" applyBorder="1" applyFont="1" applyNumberFormat="1">
      <alignment horizontal="center" vertical="bottom"/>
    </xf>
    <xf borderId="31" fillId="0" fontId="3" numFmtId="0" xfId="0" applyAlignment="1" applyBorder="1" applyFont="1">
      <alignment horizontal="center"/>
    </xf>
    <xf borderId="31" fillId="13" fontId="3" numFmtId="0" xfId="0" applyAlignment="1" applyBorder="1" applyFont="1">
      <alignment readingOrder="0" shrinkToFit="0" vertical="bottom" wrapText="1"/>
    </xf>
    <xf borderId="31" fillId="13" fontId="3" numFmtId="169" xfId="0" applyAlignment="1" applyBorder="1" applyFont="1" applyNumberFormat="1">
      <alignment horizontal="right" vertical="bottom"/>
    </xf>
    <xf borderId="31" fillId="13" fontId="23" numFmtId="0" xfId="0" applyAlignment="1" applyBorder="1" applyFont="1">
      <alignment readingOrder="0"/>
    </xf>
    <xf borderId="31" fillId="13" fontId="25" numFmtId="0" xfId="0" applyAlignment="1" applyBorder="1" applyFont="1">
      <alignment readingOrder="0" shrinkToFit="0" wrapText="1"/>
    </xf>
    <xf borderId="31" fillId="13" fontId="25" numFmtId="0" xfId="0" applyAlignment="1" applyBorder="1" applyFont="1">
      <alignment readingOrder="0" shrinkToFit="0" vertical="bottom" wrapText="1"/>
    </xf>
    <xf borderId="31" fillId="13" fontId="3" numFmtId="0" xfId="0" applyAlignment="1" applyBorder="1" applyFont="1">
      <alignment vertical="bottom"/>
    </xf>
    <xf borderId="31" fillId="13" fontId="3" numFmtId="169" xfId="0" applyAlignment="1" applyBorder="1" applyFont="1" applyNumberFormat="1">
      <alignment vertical="bottom"/>
    </xf>
    <xf borderId="0" fillId="2" fontId="19" numFmtId="0" xfId="0" applyAlignment="1" applyFont="1">
      <alignment horizontal="right" readingOrder="0" shrinkToFit="0" vertical="bottom" wrapText="0"/>
    </xf>
    <xf borderId="0" fillId="2" fontId="30" numFmtId="4" xfId="0" applyAlignment="1" applyFont="1" applyNumberFormat="1">
      <alignment shrinkToFit="0" vertical="bottom" wrapText="1"/>
    </xf>
    <xf borderId="0" fillId="11" fontId="3" numFmtId="173" xfId="0" applyAlignment="1" applyFont="1" applyNumberFormat="1">
      <alignment horizontal="right" vertical="bottom"/>
    </xf>
    <xf borderId="0" fillId="13" fontId="23" numFmtId="0" xfId="0" applyAlignment="1" applyFont="1">
      <alignment readingOrder="0"/>
    </xf>
    <xf borderId="0" fillId="13" fontId="3" numFmtId="0" xfId="0" applyAlignment="1" applyFont="1">
      <alignment horizontal="right" vertical="bottom"/>
    </xf>
    <xf borderId="0" fillId="13" fontId="3" numFmtId="0" xfId="0" applyAlignment="1" applyFont="1">
      <alignment vertical="bottom"/>
    </xf>
    <xf borderId="0" fillId="15" fontId="31" numFmtId="0" xfId="0" applyAlignment="1" applyFill="1" applyFont="1">
      <alignment horizontal="center" readingOrder="0"/>
    </xf>
    <xf borderId="0" fillId="2" fontId="3" numFmtId="0" xfId="0" applyAlignment="1" applyFont="1">
      <alignment vertical="bottom"/>
    </xf>
    <xf borderId="0" fillId="9" fontId="24" numFmtId="0" xfId="0" applyAlignment="1" applyFont="1">
      <alignment shrinkToFit="0" wrapText="1"/>
    </xf>
    <xf borderId="0" fillId="11" fontId="3" numFmtId="0" xfId="0" applyAlignment="1" applyFont="1">
      <alignment vertical="bottom"/>
    </xf>
    <xf borderId="0" fillId="11" fontId="3" numFmtId="0" xfId="0" applyAlignment="1" applyFont="1">
      <alignment horizontal="right" vertical="bottom"/>
    </xf>
    <xf borderId="0" fillId="13" fontId="3" numFmtId="0" xfId="0" applyAlignment="1" applyFont="1">
      <alignment vertical="bottom"/>
    </xf>
    <xf borderId="31" fillId="11" fontId="3" numFmtId="0" xfId="0" applyAlignment="1" applyBorder="1" applyFont="1">
      <alignment vertical="bottom"/>
    </xf>
    <xf borderId="0" fillId="13" fontId="3" numFmtId="0" xfId="0" applyAlignment="1" applyFont="1">
      <alignment shrinkToFit="0" vertical="bottom" wrapText="0"/>
    </xf>
    <xf borderId="0" fillId="11" fontId="3" numFmtId="0" xfId="0" applyAlignment="1" applyFont="1">
      <alignment shrinkToFit="0" vertical="bottom" wrapText="0"/>
    </xf>
    <xf borderId="0" fillId="12" fontId="21" numFmtId="3" xfId="0" applyAlignment="1" applyFont="1" applyNumberFormat="1">
      <alignment horizontal="right" vertical="bottom"/>
    </xf>
    <xf borderId="0" fillId="12" fontId="3" numFmtId="2" xfId="0" applyAlignment="1" applyFont="1" applyNumberFormat="1">
      <alignment readingOrder="0" vertical="bottom"/>
    </xf>
    <xf borderId="0" fillId="2" fontId="3" numFmtId="164" xfId="0" applyAlignment="1" applyFont="1" applyNumberFormat="1">
      <alignment vertical="bottom"/>
    </xf>
    <xf borderId="0" fillId="12" fontId="21" numFmtId="10" xfId="0" applyAlignment="1" applyFont="1" applyNumberFormat="1">
      <alignment horizontal="right" vertical="bottom"/>
    </xf>
    <xf borderId="33" fillId="2" fontId="32" numFmtId="2" xfId="0" applyAlignment="1" applyBorder="1" applyFont="1" applyNumberFormat="1">
      <alignment horizontal="right" vertical="bottom"/>
    </xf>
    <xf borderId="34" fillId="2" fontId="1" numFmtId="164" xfId="0" applyAlignment="1" applyBorder="1" applyFont="1" applyNumberFormat="1">
      <alignment readingOrder="0" vertical="bottom"/>
    </xf>
    <xf borderId="35" fillId="2" fontId="19" numFmtId="0" xfId="0" applyAlignment="1" applyBorder="1" applyFont="1">
      <alignment readingOrder="0" shrinkToFit="0" vertical="bottom" wrapText="0"/>
    </xf>
    <xf borderId="0" fillId="2" fontId="19" numFmtId="0" xfId="0" applyAlignment="1" applyFont="1">
      <alignment readingOrder="0" vertical="bottom"/>
    </xf>
    <xf borderId="32" fillId="2" fontId="19" numFmtId="4" xfId="0" applyAlignment="1" applyBorder="1" applyFont="1" applyNumberFormat="1">
      <alignment readingOrder="0" shrinkToFit="0" vertical="bottom" wrapText="0"/>
    </xf>
    <xf borderId="0" fillId="2" fontId="3" numFmtId="172" xfId="0" applyAlignment="1" applyFont="1" applyNumberFormat="1">
      <alignment readingOrder="0" vertical="bottom"/>
    </xf>
    <xf borderId="0" fillId="2" fontId="3" numFmtId="0" xfId="0" applyAlignment="1" applyFont="1">
      <alignment readingOrder="0" vertical="bottom"/>
    </xf>
    <xf borderId="0" fillId="9" fontId="24" numFmtId="0" xfId="0" applyAlignment="1" applyFont="1">
      <alignment readingOrder="0"/>
    </xf>
    <xf borderId="0" fillId="9" fontId="24" numFmtId="0" xfId="0" applyFont="1"/>
    <xf borderId="0" fillId="2" fontId="24" numFmtId="0" xfId="0" applyFont="1"/>
    <xf borderId="0" fillId="2" fontId="24" numFmtId="2" xfId="0" applyAlignment="1" applyFont="1" applyNumberFormat="1">
      <alignment readingOrder="0"/>
    </xf>
    <xf borderId="0" fillId="2" fontId="24" numFmtId="164" xfId="0" applyAlignment="1" applyFont="1" applyNumberFormat="1">
      <alignment readingOrder="0"/>
    </xf>
    <xf borderId="0" fillId="2" fontId="24" numFmtId="0" xfId="0" applyAlignment="1" applyFont="1">
      <alignment readingOrder="0"/>
    </xf>
    <xf borderId="0" fillId="14" fontId="3" numFmtId="10" xfId="0" applyFont="1" applyNumberFormat="1"/>
    <xf borderId="0" fillId="14" fontId="3" numFmtId="2" xfId="0" applyFont="1" applyNumberFormat="1"/>
    <xf borderId="0" fillId="11" fontId="3" numFmtId="0" xfId="0" applyAlignment="1" applyFont="1">
      <alignment readingOrder="0"/>
    </xf>
    <xf borderId="0" fillId="13" fontId="3" numFmtId="10" xfId="0" applyFont="1" applyNumberFormat="1"/>
    <xf borderId="0" fillId="13" fontId="3" numFmtId="2" xfId="0" applyFont="1" applyNumberFormat="1"/>
    <xf borderId="0" fillId="13" fontId="3" numFmtId="2" xfId="0" applyAlignment="1" applyFont="1" applyNumberFormat="1">
      <alignment readingOrder="0"/>
    </xf>
    <xf borderId="0" fillId="13" fontId="25" numFmtId="0" xfId="0" applyAlignment="1" applyFont="1">
      <alignment readingOrder="0"/>
    </xf>
    <xf borderId="0" fillId="13" fontId="24" numFmtId="0" xfId="0" applyAlignment="1" applyFont="1">
      <alignment horizontal="left" readingOrder="0"/>
    </xf>
    <xf borderId="0" fillId="0" fontId="3" numFmtId="2" xfId="0" applyAlignment="1" applyFont="1" applyNumberFormat="1">
      <alignment readingOrder="0"/>
    </xf>
    <xf borderId="0" fillId="0" fontId="3" numFmtId="164" xfId="0" applyAlignment="1" applyFont="1" applyNumberFormat="1">
      <alignment readingOrder="0"/>
    </xf>
    <xf borderId="0" fillId="0" fontId="3" numFmtId="164" xfId="0" applyFont="1" applyNumberFormat="1"/>
    <xf borderId="0" fillId="0" fontId="3" numFmtId="172" xfId="0" applyFont="1" applyNumberFormat="1"/>
    <xf borderId="0" fillId="8" fontId="3" numFmtId="0" xfId="0" applyAlignment="1" applyFont="1">
      <alignment readingOrder="0"/>
    </xf>
    <xf borderId="0" fillId="8" fontId="3" numFmtId="0" xfId="0" applyFont="1"/>
    <xf borderId="0" fillId="8" fontId="18" numFmtId="3" xfId="0" applyAlignment="1" applyFont="1" applyNumberFormat="1">
      <alignment horizontal="right" readingOrder="0" vertical="bottom"/>
    </xf>
    <xf borderId="0" fillId="10" fontId="3" numFmtId="2" xfId="0" applyAlignment="1" applyFont="1" applyNumberFormat="1">
      <alignment readingOrder="0" vertical="bottom"/>
    </xf>
    <xf borderId="0" fillId="8" fontId="18" numFmtId="0" xfId="0" applyAlignment="1" applyFont="1">
      <alignment readingOrder="0" vertical="bottom"/>
    </xf>
    <xf borderId="0" fillId="2" fontId="21" numFmtId="10" xfId="0" applyAlignment="1" applyFont="1" applyNumberFormat="1">
      <alignment horizontal="right" vertical="bottom"/>
    </xf>
    <xf borderId="0" fillId="8" fontId="24" numFmtId="0" xfId="0" applyAlignment="1" applyFont="1">
      <alignment readingOrder="0"/>
    </xf>
    <xf borderId="0" fillId="8" fontId="24" numFmtId="0" xfId="0" applyFont="1"/>
    <xf borderId="0" fillId="8" fontId="3" numFmtId="0" xfId="0" applyAlignment="1" applyFont="1">
      <alignment horizontal="right" vertical="bottom"/>
    </xf>
    <xf borderId="0" fillId="14" fontId="3" numFmtId="10" xfId="0" applyAlignment="1" applyFont="1" applyNumberFormat="1">
      <alignment horizontal="right" vertical="bottom"/>
    </xf>
    <xf borderId="0" fillId="14" fontId="3" numFmtId="2" xfId="0" applyAlignment="1" applyFont="1" applyNumberFormat="1">
      <alignment horizontal="right" vertical="bottom"/>
    </xf>
    <xf borderId="0" fillId="2" fontId="3" numFmtId="0" xfId="0" applyAlignment="1" applyFont="1">
      <alignment readingOrder="0"/>
    </xf>
    <xf borderId="0" fillId="2" fontId="3" numFmtId="164" xfId="0" applyFont="1" applyNumberFormat="1"/>
    <xf borderId="0" fillId="0" fontId="3" numFmtId="0" xfId="0" applyFont="1"/>
    <xf borderId="0" fillId="11" fontId="3" numFmtId="172" xfId="0" applyAlignment="1" applyFont="1" applyNumberFormat="1">
      <alignment horizontal="right" vertical="bottom"/>
    </xf>
    <xf borderId="0" fillId="2" fontId="3" numFmtId="2" xfId="0" applyFont="1" applyNumberFormat="1"/>
    <xf borderId="0" fillId="10" fontId="21" numFmtId="174" xfId="0" applyAlignment="1" applyFont="1" applyNumberFormat="1">
      <alignment horizontal="right" vertical="bottom"/>
    </xf>
    <xf borderId="0" fillId="16" fontId="3" numFmtId="0" xfId="0" applyFill="1" applyFont="1"/>
    <xf borderId="0" fillId="14" fontId="3" numFmtId="0" xfId="0" applyFont="1"/>
    <xf borderId="0" fillId="0" fontId="3" numFmtId="0" xfId="0" applyAlignment="1" applyFont="1">
      <alignment shrinkToFit="0" vertical="bottom" wrapText="1"/>
    </xf>
    <xf borderId="0" fillId="2" fontId="21" numFmtId="2" xfId="0" applyAlignment="1" applyFont="1" applyNumberFormat="1">
      <alignment horizontal="right" vertical="bottom"/>
    </xf>
    <xf borderId="0" fillId="14" fontId="3" numFmtId="0" xfId="0" applyAlignment="1" applyFont="1">
      <alignment readingOrder="0" vertical="bottom"/>
    </xf>
    <xf borderId="0" fillId="14" fontId="3" numFmtId="0" xfId="0" applyAlignment="1" applyFont="1">
      <alignment readingOrder="0" shrinkToFit="0" vertical="bottom" wrapText="1"/>
    </xf>
    <xf borderId="0" fillId="14" fontId="3" numFmtId="0" xfId="0" applyAlignment="1" applyFont="1">
      <alignment horizontal="right" readingOrder="0" vertical="bottom"/>
    </xf>
    <xf borderId="0" fillId="14" fontId="3" numFmtId="169" xfId="0" applyAlignment="1" applyFont="1" applyNumberFormat="1">
      <alignment horizontal="right" readingOrder="0" vertical="bottom"/>
    </xf>
    <xf borderId="0" fillId="8" fontId="3" numFmtId="0" xfId="0" applyFont="1"/>
    <xf borderId="0" fillId="16" fontId="3" numFmtId="0" xfId="0" applyAlignment="1" applyFont="1">
      <alignment readingOrder="0" vertical="bottom"/>
    </xf>
    <xf borderId="0" fillId="16" fontId="3" numFmtId="0" xfId="0" applyAlignment="1" applyFont="1">
      <alignment readingOrder="0" shrinkToFit="0" vertical="bottom" wrapText="1"/>
    </xf>
    <xf borderId="0" fillId="16" fontId="3" numFmtId="0" xfId="0" applyAlignment="1" applyFont="1">
      <alignment horizontal="right" readingOrder="0" vertical="bottom"/>
    </xf>
    <xf borderId="0" fillId="16" fontId="3" numFmtId="173" xfId="0" applyAlignment="1" applyFont="1" applyNumberFormat="1">
      <alignment horizontal="right" readingOrder="0" vertical="bottom"/>
    </xf>
    <xf borderId="0" fillId="16" fontId="3" numFmtId="169" xfId="0" applyAlignment="1" applyFont="1" applyNumberFormat="1">
      <alignment horizontal="right" readingOrder="0" vertical="bottom"/>
    </xf>
    <xf borderId="0" fillId="0" fontId="18" numFmtId="2" xfId="0" applyFont="1" applyNumberFormat="1"/>
    <xf borderId="0" fillId="0" fontId="18" numFmtId="0" xfId="0" applyAlignment="1" applyFont="1">
      <alignment readingOrder="0"/>
    </xf>
    <xf borderId="0" fillId="2" fontId="3" numFmtId="2" xfId="0" applyAlignment="1" applyFont="1" applyNumberFormat="1">
      <alignment readingOrder="0"/>
    </xf>
    <xf borderId="0" fillId="2" fontId="3" numFmtId="0" xfId="0" applyAlignment="1" applyFont="1">
      <alignment readingOrder="0"/>
    </xf>
  </cellXfs>
  <cellStyles count="1">
    <cellStyle xfId="0" name="Normal" builtinId="0"/>
  </cellStyles>
  <dxfs count="2">
    <dxf>
      <font/>
      <fill>
        <patternFill patternType="none"/>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hyperlink" Target="https://youtu.be/uZWR23QBOgA" TargetMode="External"/><Relationship Id="rId4" Type="http://schemas.openxmlformats.org/officeDocument/2006/relationships/hyperlink" Target="https://stakes.social/0xFa38Fc50e055CBE88Bd569eddCcE057999B2BC9C" TargetMode="External"/><Relationship Id="rId5"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hyperlink" Target="https://medium.com/commonsstack/cstk-token-holders-can-now-use-conviction-voting-on-xdai-5090fdc3b8ad" TargetMode="External"/><Relationship Id="rId3"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41.xml"/><Relationship Id="rId4" Type="http://schemas.openxmlformats.org/officeDocument/2006/relationships/vmlDrawing" Target="../drawings/vmlDrawing1.v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4.57"/>
    <col customWidth="1" min="2" max="2" width="24.14"/>
  </cols>
  <sheetData>
    <row r="1">
      <c r="A1" s="1" t="s">
        <v>0</v>
      </c>
      <c r="B1" s="2">
        <f>sum(B3:B1188)</f>
        <v>8540.893491</v>
      </c>
    </row>
    <row r="2">
      <c r="A2" s="3" t="s">
        <v>1</v>
      </c>
      <c r="B2" s="4" t="s">
        <v>2</v>
      </c>
    </row>
    <row r="3">
      <c r="A3" s="5" t="s">
        <v>3</v>
      </c>
      <c r="B3" s="6">
        <f>IFERROR(VLOOKUP(A3,'#17 IH Results'!$A$2:$C$301,2,0),0)+IFERROR(VLOOKUP(A3,'#16 IH Results'!$A$2:$C$301,2,0),0)+IFERROR(VLOOKUP(A3,'#15 IH Results'!$A$2:$C$301,2,0),0)+IFERROR(VLOOKUP(A3,'#14 IH Results'!$A$2:$C$302,2,0),0)+IFERROR(VLOOKUP(A3,'#13 IH Results'!$A$2:$C$302,2,0),0)+IFERROR(VLOOKUP(A3,'#12 IH Results'!$A$2:$C$302,2,0),0)+IFERROR(VLOOKUP(A3,'#11 IH Results'!$A$2:$C$302,2,0),0)+IFERROR(VLOOKUP(A3,'#10 IH Results'!$A$2:$C$302,2,0),0)+IFERROR(VLOOKUP(A3,'#9 IH Results'!$A$2:$C$302,2,0),0)+IFERROR(VLOOKUP(A3,'#8 IH Results'!$A$2:$C$302,2,0),0)+IFERROR(VLOOKUP(A3,'#7 IH Results'!$A$2:$C$302,2,0),0)+IFERROR(VLOOKUP(A3,'#6 IH Results'!$A$2:$C$302,2,0),0)+IFERROR(VLOOKUP(A3,'#5 IH Results'!$A$2:$C$303,2,0),0)+IFERROR(VLOOKUP(A3,'#4 IH Results'!$A$2:$C$300,2,0),0)+IFERROR(VLOOKUP(A3,'#3 IH Results'!$A$2:$C$101,2,0),0)+IFERROR(VLOOKUP(A3,'#2 IH Results'!$A$2:$C$101,2,0),0)+IFERROR(VLOOKUP(A3,'#1 IH Results'!$A$2:$C$101,2,0),0)+IFERROR(VLOOKUP(A3,'#0 IH Results'!$A$3:$C$102,2,0),0)</f>
        <v>598.0581662</v>
      </c>
    </row>
    <row r="4">
      <c r="A4" s="5" t="s">
        <v>4</v>
      </c>
      <c r="B4" s="6">
        <f>IFERROR(VLOOKUP(A4,'#17 IH Results'!$A$2:$C$301,2,0),0)+IFERROR(VLOOKUP(A4,'#16 IH Results'!$A$2:$C$301,2,0),0)+IFERROR(VLOOKUP(A4,'#15 IH Results'!$A$2:$C$301,2,0),0)+IFERROR(VLOOKUP(A4,'#14 IH Results'!$A$2:$C$302,2,0),0)+IFERROR(VLOOKUP(A4,'#13 IH Results'!$A$2:$C$302,2,0),0)+IFERROR(VLOOKUP(A4,'#12 IH Results'!$A$2:$C$302,2,0),0)+IFERROR(VLOOKUP(A4,'#11 IH Results'!$A$2:$C$302,2,0),0)+IFERROR(VLOOKUP(A4,'#10 IH Results'!$A$2:$C$302,2,0),0)+IFERROR(VLOOKUP(A4,'#9 IH Results'!$A$2:$C$302,2,0),0)+IFERROR(VLOOKUP(A4,'#8 IH Results'!$A$2:$C$302,2,0),0)+IFERROR(VLOOKUP(A4,'#7 IH Results'!$A$2:$C$302,2,0),0)+IFERROR(VLOOKUP(A4,'#6 IH Results'!$A$2:$C$302,2,0),0)+IFERROR(VLOOKUP(A4,'#5 IH Results'!$A$2:$C$303,2,0),0)+IFERROR(VLOOKUP(A4,'#4 IH Results'!$A$2:$C$300,2,0),0)+IFERROR(VLOOKUP(A4,'#3 IH Results'!$A$2:$C$101,2,0),0)+IFERROR(VLOOKUP(A4,'#2 IH Results'!$A$2:$C$101,2,0),0)+IFERROR(VLOOKUP(A4,'#1 IH Results'!$A$2:$C$101,2,0),0)+IFERROR(VLOOKUP(A4,'#0 IH Results'!$A$3:$C$102,2,0),0)</f>
        <v>526.1360623</v>
      </c>
    </row>
    <row r="5">
      <c r="A5" s="5" t="s">
        <v>5</v>
      </c>
      <c r="B5" s="6">
        <f>IFERROR(VLOOKUP(A5,'#17 IH Results'!$A$2:$C$301,2,0),0)+IFERROR(VLOOKUP(A5,'#16 IH Results'!$A$2:$C$301,2,0),0)+IFERROR(VLOOKUP(A5,'#15 IH Results'!$A$2:$C$301,2,0),0)+IFERROR(VLOOKUP(A5,'#14 IH Results'!$A$2:$C$302,2,0),0)+IFERROR(VLOOKUP(A5,'#13 IH Results'!$A$2:$C$302,2,0),0)+IFERROR(VLOOKUP(A5,'#12 IH Results'!$A$2:$C$302,2,0),0)+IFERROR(VLOOKUP(A5,'#11 IH Results'!$A$2:$C$302,2,0),0)+IFERROR(VLOOKUP(A5,'#10 IH Results'!$A$2:$C$302,2,0),0)+IFERROR(VLOOKUP(A5,'#9 IH Results'!$A$2:$C$302,2,0),0)+IFERROR(VLOOKUP(A5,'#8 IH Results'!$A$2:$C$302,2,0),0)+IFERROR(VLOOKUP(A5,'#7 IH Results'!$A$2:$C$302,2,0),0)+IFERROR(VLOOKUP(A5,'#6 IH Results'!$A$2:$C$302,2,0),0)+IFERROR(VLOOKUP(A5,'#5 IH Results'!$A$2:$C$303,2,0),0)+IFERROR(VLOOKUP(A5,'#4 IH Results'!$A$2:$C$300,2,0),0)+IFERROR(VLOOKUP(A5,'#3 IH Results'!$A$2:$C$101,2,0),0)+IFERROR(VLOOKUP(A5,'#2 IH Results'!$A$2:$C$101,2,0),0)+IFERROR(VLOOKUP(A5,'#1 IH Results'!$A$2:$C$101,2,0),0)+IFERROR(VLOOKUP(A5,'#0 IH Results'!$A$3:$C$102,2,0),0)</f>
        <v>341.2257713</v>
      </c>
    </row>
    <row r="6">
      <c r="A6" s="7" t="s">
        <v>6</v>
      </c>
      <c r="B6" s="6">
        <f>IFERROR(VLOOKUP(A6,'#17 IH Results'!$A$2:$C$301,2,0),0)+IFERROR(VLOOKUP(A6,'#16 IH Results'!$A$2:$C$301,2,0),0)+IFERROR(VLOOKUP(A6,'#15 IH Results'!$A$2:$C$301,2,0),0)+IFERROR(VLOOKUP(A6,'#14 IH Results'!$A$2:$C$302,2,0),0)+IFERROR(VLOOKUP(A6,'#13 IH Results'!$A$2:$C$302,2,0),0)+IFERROR(VLOOKUP(A6,'#12 IH Results'!$A$2:$C$302,2,0),0)+IFERROR(VLOOKUP(A6,'#11 IH Results'!$A$2:$C$302,2,0),0)+IFERROR(VLOOKUP(A6,'#10 IH Results'!$A$2:$C$302,2,0),0)+IFERROR(VLOOKUP(A6,'#9 IH Results'!$A$2:$C$302,2,0),0)+IFERROR(VLOOKUP(A6,'#8 IH Results'!$A$2:$C$302,2,0),0)+IFERROR(VLOOKUP(A6,'#7 IH Results'!$A$2:$C$302,2,0),0)+IFERROR(VLOOKUP(A6,'#6 IH Results'!$A$2:$C$302,2,0),0)+IFERROR(VLOOKUP(A6,'#5 IH Results'!$A$2:$C$303,2,0),0)+IFERROR(VLOOKUP(A6,'#4 IH Results'!$A$2:$C$300,2,0),0)+IFERROR(VLOOKUP(A6,'#3 IH Results'!$A$2:$C$101,2,0),0)+IFERROR(VLOOKUP(A6,'#2 IH Results'!$A$2:$C$101,2,0),0)+IFERROR(VLOOKUP(A6,'#1 IH Results'!$A$2:$C$101,2,0),0)+IFERROR(VLOOKUP(A6,'#0 IH Results'!$A$3:$C$102,2,0),0)</f>
        <v>320.9188491</v>
      </c>
    </row>
    <row r="7">
      <c r="A7" s="5" t="s">
        <v>7</v>
      </c>
      <c r="B7" s="6">
        <f>IFERROR(VLOOKUP(A7,'#17 IH Results'!$A$2:$C$301,2,0),0)+IFERROR(VLOOKUP(A7,'#16 IH Results'!$A$2:$C$301,2,0),0)+IFERROR(VLOOKUP(A7,'#15 IH Results'!$A$2:$C$301,2,0),0)+IFERROR(VLOOKUP(A7,'#14 IH Results'!$A$2:$C$302,2,0),0)+IFERROR(VLOOKUP(A7,'#13 IH Results'!$A$2:$C$302,2,0),0)+IFERROR(VLOOKUP(A7,'#12 IH Results'!$A$2:$C$302,2,0),0)+IFERROR(VLOOKUP(A7,'#11 IH Results'!$A$2:$C$302,2,0),0)+IFERROR(VLOOKUP(A7,'#10 IH Results'!$A$2:$C$302,2,0),0)+IFERROR(VLOOKUP(A7,'#9 IH Results'!$A$2:$C$302,2,0),0)+IFERROR(VLOOKUP(A7,'#8 IH Results'!$A$2:$C$302,2,0),0)+IFERROR(VLOOKUP(A7,'#7 IH Results'!$A$2:$C$302,2,0),0)+IFERROR(VLOOKUP(A7,'#6 IH Results'!$A$2:$C$302,2,0),0)+IFERROR(VLOOKUP(A7,'#5 IH Results'!$A$2:$C$303,2,0),0)+IFERROR(VLOOKUP(A7,'#4 IH Results'!$A$2:$C$300,2,0),0)+IFERROR(VLOOKUP(A7,'#3 IH Results'!$A$2:$C$101,2,0),0)+IFERROR(VLOOKUP(A7,'#2 IH Results'!$A$2:$C$101,2,0),0)+IFERROR(VLOOKUP(A7,'#1 IH Results'!$A$2:$C$101,2,0),0)+IFERROR(VLOOKUP(A7,'#0 IH Results'!$A$3:$C$102,2,0),0)</f>
        <v>238.0020374</v>
      </c>
    </row>
    <row r="8">
      <c r="A8" s="5" t="s">
        <v>8</v>
      </c>
      <c r="B8" s="6">
        <f>IFERROR(VLOOKUP(A8,'#17 IH Results'!$A$2:$C$301,2,0),0)+IFERROR(VLOOKUP(A8,'#16 IH Results'!$A$2:$C$301,2,0),0)+IFERROR(VLOOKUP(A8,'#15 IH Results'!$A$2:$C$301,2,0),0)+IFERROR(VLOOKUP(A8,'#14 IH Results'!$A$2:$C$302,2,0),0)+IFERROR(VLOOKUP(A8,'#13 IH Results'!$A$2:$C$302,2,0),0)+IFERROR(VLOOKUP(A8,'#12 IH Results'!$A$2:$C$302,2,0),0)+IFERROR(VLOOKUP(A8,'#11 IH Results'!$A$2:$C$302,2,0),0)+IFERROR(VLOOKUP(A8,'#10 IH Results'!$A$2:$C$302,2,0),0)+IFERROR(VLOOKUP(A8,'#9 IH Results'!$A$2:$C$302,2,0),0)+IFERROR(VLOOKUP(A8,'#8 IH Results'!$A$2:$C$302,2,0),0)+IFERROR(VLOOKUP(A8,'#7 IH Results'!$A$2:$C$302,2,0),0)+IFERROR(VLOOKUP(A8,'#6 IH Results'!$A$2:$C$302,2,0),0)+IFERROR(VLOOKUP(A8,'#5 IH Results'!$A$2:$C$303,2,0),0)+IFERROR(VLOOKUP(A8,'#4 IH Results'!$A$2:$C$300,2,0),0)+IFERROR(VLOOKUP(A8,'#3 IH Results'!$A$2:$C$101,2,0),0)+IFERROR(VLOOKUP(A8,'#2 IH Results'!$A$2:$C$101,2,0),0)+IFERROR(VLOOKUP(A8,'#1 IH Results'!$A$2:$C$101,2,0),0)+IFERROR(VLOOKUP(A8,'#0 IH Results'!$A$3:$C$102,2,0),0)</f>
        <v>235.9516375</v>
      </c>
    </row>
    <row r="9">
      <c r="A9" s="8" t="s">
        <v>9</v>
      </c>
      <c r="B9" s="6">
        <f>IFERROR(VLOOKUP(A9,'#17 IH Results'!$A$2:$C$301,2,0),0)+IFERROR(VLOOKUP(A9,'#16 IH Results'!$A$2:$C$301,2,0),0)+IFERROR(VLOOKUP(A9,'#15 IH Results'!$A$2:$C$301,2,0),0)+IFERROR(VLOOKUP(A9,'#14 IH Results'!$A$2:$C$302,2,0),0)+IFERROR(VLOOKUP(A9,'#13 IH Results'!$A$2:$C$302,2,0),0)+IFERROR(VLOOKUP(A9,'#12 IH Results'!$A$2:$C$302,2,0),0)+IFERROR(VLOOKUP(A9,'#11 IH Results'!$A$2:$C$302,2,0),0)+IFERROR(VLOOKUP(A9,'#10 IH Results'!$A$2:$C$302,2,0),0)+IFERROR(VLOOKUP(A9,'#9 IH Results'!$A$2:$C$302,2,0),0)+IFERROR(VLOOKUP(A9,'#8 IH Results'!$A$2:$C$302,2,0),0)+IFERROR(VLOOKUP(A9,'#7 IH Results'!$A$2:$C$302,2,0),0)+IFERROR(VLOOKUP(A9,'#6 IH Results'!$A$2:$C$302,2,0),0)+IFERROR(VLOOKUP(A9,'#5 IH Results'!$A$2:$C$303,2,0),0)+IFERROR(VLOOKUP(A9,'#4 IH Results'!$A$2:$C$300,2,0),0)+IFERROR(VLOOKUP(A9,'#3 IH Results'!$A$2:$C$101,2,0),0)+IFERROR(VLOOKUP(A9,'#2 IH Results'!$A$2:$C$101,2,0),0)+IFERROR(VLOOKUP(A9,'#1 IH Results'!$A$2:$C$101,2,0),0)+IFERROR(VLOOKUP(A9,'#0 IH Results'!$A$3:$C$102,2,0),0)</f>
        <v>204.0971181</v>
      </c>
    </row>
    <row r="10">
      <c r="A10" s="8" t="s">
        <v>10</v>
      </c>
      <c r="B10" s="6">
        <f>IFERROR(VLOOKUP(A10,'#17 IH Results'!$A$2:$C$301,2,0),0)+IFERROR(VLOOKUP(A10,'#16 IH Results'!$A$2:$C$301,2,0),0)+IFERROR(VLOOKUP(A10,'#15 IH Results'!$A$2:$C$301,2,0),0)+IFERROR(VLOOKUP(A10,'#14 IH Results'!$A$2:$C$302,2,0),0)+IFERROR(VLOOKUP(A10,'#13 IH Results'!$A$2:$C$302,2,0),0)+IFERROR(VLOOKUP(A10,'#12 IH Results'!$A$2:$C$302,2,0),0)+IFERROR(VLOOKUP(A10,'#11 IH Results'!$A$2:$C$302,2,0),0)+IFERROR(VLOOKUP(A10,'#10 IH Results'!$A$2:$C$302,2,0),0)+IFERROR(VLOOKUP(A10,'#9 IH Results'!$A$2:$C$302,2,0),0)+IFERROR(VLOOKUP(A10,'#8 IH Results'!$A$2:$C$302,2,0),0)+IFERROR(VLOOKUP(A10,'#7 IH Results'!$A$2:$C$302,2,0),0)+IFERROR(VLOOKUP(A10,'#6 IH Results'!$A$2:$C$302,2,0),0)+IFERROR(VLOOKUP(A10,'#5 IH Results'!$A$2:$C$303,2,0),0)+IFERROR(VLOOKUP(A10,'#4 IH Results'!$A$2:$C$300,2,0),0)+IFERROR(VLOOKUP(A10,'#3 IH Results'!$A$2:$C$101,2,0),0)+IFERROR(VLOOKUP(A10,'#2 IH Results'!$A$2:$C$101,2,0),0)+IFERROR(VLOOKUP(A10,'#1 IH Results'!$A$2:$C$101,2,0),0)+IFERROR(VLOOKUP(A10,'#0 IH Results'!$A$3:$C$102,2,0),0)</f>
        <v>198.8372139</v>
      </c>
    </row>
    <row r="11">
      <c r="A11" s="8" t="s">
        <v>11</v>
      </c>
      <c r="B11" s="6">
        <f>IFERROR(VLOOKUP(A11,'#17 IH Results'!$A$2:$C$301,2,0),0)+IFERROR(VLOOKUP(A11,'#16 IH Results'!$A$2:$C$301,2,0),0)+IFERROR(VLOOKUP(A11,'#15 IH Results'!$A$2:$C$301,2,0),0)+IFERROR(VLOOKUP(A11,'#14 IH Results'!$A$2:$C$302,2,0),0)+IFERROR(VLOOKUP(A11,'#13 IH Results'!$A$2:$C$302,2,0),0)+IFERROR(VLOOKUP(A11,'#12 IH Results'!$A$2:$C$302,2,0),0)+IFERROR(VLOOKUP(A11,'#11 IH Results'!$A$2:$C$302,2,0),0)+IFERROR(VLOOKUP(A11,'#10 IH Results'!$A$2:$C$302,2,0),0)+IFERROR(VLOOKUP(A11,'#9 IH Results'!$A$2:$C$302,2,0),0)+IFERROR(VLOOKUP(A11,'#8 IH Results'!$A$2:$C$302,2,0),0)+IFERROR(VLOOKUP(A11,'#7 IH Results'!$A$2:$C$302,2,0),0)+IFERROR(VLOOKUP(A11,'#6 IH Results'!$A$2:$C$302,2,0),0)+IFERROR(VLOOKUP(A11,'#5 IH Results'!$A$2:$C$303,2,0),0)+IFERROR(VLOOKUP(A11,'#4 IH Results'!$A$2:$C$300,2,0),0)+IFERROR(VLOOKUP(A11,'#3 IH Results'!$A$2:$C$101,2,0),0)+IFERROR(VLOOKUP(A11,'#2 IH Results'!$A$2:$C$101,2,0),0)+IFERROR(VLOOKUP(A11,'#1 IH Results'!$A$2:$C$101,2,0),0)+IFERROR(VLOOKUP(A11,'#0 IH Results'!$A$3:$C$102,2,0),0)</f>
        <v>198.7304109</v>
      </c>
    </row>
    <row r="12">
      <c r="A12" s="8" t="s">
        <v>12</v>
      </c>
      <c r="B12" s="6">
        <f>IFERROR(VLOOKUP(A12,'#17 IH Results'!$A$2:$C$301,2,0),0)+IFERROR(VLOOKUP(A12,'#16 IH Results'!$A$2:$C$301,2,0),0)+IFERROR(VLOOKUP(A12,'#15 IH Results'!$A$2:$C$301,2,0),0)+IFERROR(VLOOKUP(A12,'#14 IH Results'!$A$2:$C$302,2,0),0)+IFERROR(VLOOKUP(A12,'#13 IH Results'!$A$2:$C$302,2,0),0)+IFERROR(VLOOKUP(A12,'#12 IH Results'!$A$2:$C$302,2,0),0)+IFERROR(VLOOKUP(A12,'#11 IH Results'!$A$2:$C$302,2,0),0)+IFERROR(VLOOKUP(A12,'#10 IH Results'!$A$2:$C$302,2,0),0)+IFERROR(VLOOKUP(A12,'#9 IH Results'!$A$2:$C$302,2,0),0)+IFERROR(VLOOKUP(A12,'#8 IH Results'!$A$2:$C$302,2,0),0)+IFERROR(VLOOKUP(A12,'#7 IH Results'!$A$2:$C$302,2,0),0)+IFERROR(VLOOKUP(A12,'#6 IH Results'!$A$2:$C$302,2,0),0)+IFERROR(VLOOKUP(A12,'#5 IH Results'!$A$2:$C$303,2,0),0)+IFERROR(VLOOKUP(A12,'#4 IH Results'!$A$2:$C$300,2,0),0)+IFERROR(VLOOKUP(A12,'#3 IH Results'!$A$2:$C$101,2,0),0)+IFERROR(VLOOKUP(A12,'#2 IH Results'!$A$2:$C$101,2,0),0)+IFERROR(VLOOKUP(A12,'#1 IH Results'!$A$2:$C$101,2,0),0)+IFERROR(VLOOKUP(A12,'#0 IH Results'!$A$3:$C$102,2,0),0)</f>
        <v>165.3437714</v>
      </c>
    </row>
    <row r="13">
      <c r="A13" s="8" t="s">
        <v>13</v>
      </c>
      <c r="B13" s="6">
        <f>IFERROR(VLOOKUP(A13,'#17 IH Results'!$A$2:$C$301,2,0),0)+IFERROR(VLOOKUP(A13,'#16 IH Results'!$A$2:$C$301,2,0),0)+IFERROR(VLOOKUP(A13,'#15 IH Results'!$A$2:$C$301,2,0),0)+IFERROR(VLOOKUP(A13,'#14 IH Results'!$A$2:$C$302,2,0),0)+IFERROR(VLOOKUP(A13,'#13 IH Results'!$A$2:$C$302,2,0),0)+IFERROR(VLOOKUP(A13,'#12 IH Results'!$A$2:$C$302,2,0),0)+IFERROR(VLOOKUP(A13,'#11 IH Results'!$A$2:$C$302,2,0),0)+IFERROR(VLOOKUP(A13,'#10 IH Results'!$A$2:$C$302,2,0),0)+IFERROR(VLOOKUP(A13,'#9 IH Results'!$A$2:$C$302,2,0),0)+IFERROR(VLOOKUP(A13,'#8 IH Results'!$A$2:$C$302,2,0),0)+IFERROR(VLOOKUP(A13,'#7 IH Results'!$A$2:$C$302,2,0),0)+IFERROR(VLOOKUP(A13,'#6 IH Results'!$A$2:$C$302,2,0),0)+IFERROR(VLOOKUP(A13,'#5 IH Results'!$A$2:$C$303,2,0),0)+IFERROR(VLOOKUP(A13,'#4 IH Results'!$A$2:$C$300,2,0),0)+IFERROR(VLOOKUP(A13,'#3 IH Results'!$A$2:$C$101,2,0),0)+IFERROR(VLOOKUP(A13,'#2 IH Results'!$A$2:$C$101,2,0),0)+IFERROR(VLOOKUP(A13,'#1 IH Results'!$A$2:$C$101,2,0),0)+IFERROR(VLOOKUP(A13,'#0 IH Results'!$A$3:$C$102,2,0),0)</f>
        <v>164.6739109</v>
      </c>
    </row>
    <row r="14">
      <c r="A14" s="5" t="s">
        <v>14</v>
      </c>
      <c r="B14" s="6">
        <f>IFERROR(VLOOKUP(A14,'#17 IH Results'!$A$2:$C$301,2,0),0)+IFERROR(VLOOKUP(A14,'#16 IH Results'!$A$2:$C$301,2,0),0)+IFERROR(VLOOKUP(A14,'#15 IH Results'!$A$2:$C$301,2,0),0)+IFERROR(VLOOKUP(A14,'#14 IH Results'!$A$2:$C$302,2,0),0)+IFERROR(VLOOKUP(A14,'#13 IH Results'!$A$2:$C$302,2,0),0)+IFERROR(VLOOKUP(A14,'#12 IH Results'!$A$2:$C$302,2,0),0)+IFERROR(VLOOKUP(A14,'#11 IH Results'!$A$2:$C$302,2,0),0)+IFERROR(VLOOKUP(A14,'#10 IH Results'!$A$2:$C$302,2,0),0)+IFERROR(VLOOKUP(A14,'#9 IH Results'!$A$2:$C$302,2,0),0)+IFERROR(VLOOKUP(A14,'#8 IH Results'!$A$2:$C$302,2,0),0)+IFERROR(VLOOKUP(A14,'#7 IH Results'!$A$2:$C$302,2,0),0)+IFERROR(VLOOKUP(A14,'#6 IH Results'!$A$2:$C$302,2,0),0)+IFERROR(VLOOKUP(A14,'#5 IH Results'!$A$2:$C$303,2,0),0)+IFERROR(VLOOKUP(A14,'#4 IH Results'!$A$2:$C$300,2,0),0)+IFERROR(VLOOKUP(A14,'#3 IH Results'!$A$2:$C$101,2,0),0)+IFERROR(VLOOKUP(A14,'#2 IH Results'!$A$2:$C$101,2,0),0)+IFERROR(VLOOKUP(A14,'#1 IH Results'!$A$2:$C$101,2,0),0)+IFERROR(VLOOKUP(A14,'#0 IH Results'!$A$3:$C$102,2,0),0)</f>
        <v>150.4079068</v>
      </c>
    </row>
    <row r="15">
      <c r="A15" s="5" t="s">
        <v>15</v>
      </c>
      <c r="B15" s="6">
        <f>IFERROR(VLOOKUP(A15,'#17 IH Results'!$A$2:$C$301,2,0),0)+IFERROR(VLOOKUP(A15,'#16 IH Results'!$A$2:$C$301,2,0),0)+IFERROR(VLOOKUP(A15,'#15 IH Results'!$A$2:$C$301,2,0),0)+IFERROR(VLOOKUP(A15,'#14 IH Results'!$A$2:$C$302,2,0),0)+IFERROR(VLOOKUP(A15,'#13 IH Results'!$A$2:$C$302,2,0),0)+IFERROR(VLOOKUP(A15,'#12 IH Results'!$A$2:$C$302,2,0),0)+IFERROR(VLOOKUP(A15,'#11 IH Results'!$A$2:$C$302,2,0),0)+IFERROR(VLOOKUP(A15,'#10 IH Results'!$A$2:$C$302,2,0),0)+IFERROR(VLOOKUP(A15,'#9 IH Results'!$A$2:$C$302,2,0),0)+IFERROR(VLOOKUP(A15,'#8 IH Results'!$A$2:$C$302,2,0),0)+IFERROR(VLOOKUP(A15,'#7 IH Results'!$A$2:$C$302,2,0),0)+IFERROR(VLOOKUP(A15,'#6 IH Results'!$A$2:$C$302,2,0),0)+IFERROR(VLOOKUP(A15,'#5 IH Results'!$A$2:$C$303,2,0),0)+IFERROR(VLOOKUP(A15,'#4 IH Results'!$A$2:$C$300,2,0),0)+IFERROR(VLOOKUP(A15,'#3 IH Results'!$A$2:$C$101,2,0),0)+IFERROR(VLOOKUP(A15,'#2 IH Results'!$A$2:$C$101,2,0),0)+IFERROR(VLOOKUP(A15,'#1 IH Results'!$A$2:$C$101,2,0),0)+IFERROR(VLOOKUP(A15,'#0 IH Results'!$A$3:$C$102,2,0),0)</f>
        <v>146.0063432</v>
      </c>
    </row>
    <row r="16">
      <c r="A16" s="8" t="s">
        <v>16</v>
      </c>
      <c r="B16" s="6">
        <f>IFERROR(VLOOKUP(A16,'#17 IH Results'!$A$2:$C$301,2,0),0)+IFERROR(VLOOKUP(A16,'#16 IH Results'!$A$2:$C$301,2,0),0)+IFERROR(VLOOKUP(A16,'#15 IH Results'!$A$2:$C$301,2,0),0)+IFERROR(VLOOKUP(A16,'#14 IH Results'!$A$2:$C$302,2,0),0)+IFERROR(VLOOKUP(A16,'#13 IH Results'!$A$2:$C$302,2,0),0)+IFERROR(VLOOKUP(A16,'#12 IH Results'!$A$2:$C$302,2,0),0)+IFERROR(VLOOKUP(A16,'#11 IH Results'!$A$2:$C$302,2,0),0)+IFERROR(VLOOKUP(A16,'#10 IH Results'!$A$2:$C$302,2,0),0)+IFERROR(VLOOKUP(A16,'#9 IH Results'!$A$2:$C$302,2,0),0)+IFERROR(VLOOKUP(A16,'#8 IH Results'!$A$2:$C$302,2,0),0)+IFERROR(VLOOKUP(A16,'#7 IH Results'!$A$2:$C$302,2,0),0)+IFERROR(VLOOKUP(A16,'#6 IH Results'!$A$2:$C$302,2,0),0)+IFERROR(VLOOKUP(A16,'#5 IH Results'!$A$2:$C$303,2,0),0)+IFERROR(VLOOKUP(A16,'#4 IH Results'!$A$2:$C$300,2,0),0)+IFERROR(VLOOKUP(A16,'#3 IH Results'!$A$2:$C$101,2,0),0)+IFERROR(VLOOKUP(A16,'#2 IH Results'!$A$2:$C$101,2,0),0)+IFERROR(VLOOKUP(A16,'#1 IH Results'!$A$2:$C$101,2,0),0)+IFERROR(VLOOKUP(A16,'#0 IH Results'!$A$3:$C$102,2,0),0)</f>
        <v>120.0284707</v>
      </c>
    </row>
    <row r="17">
      <c r="A17" s="8" t="s">
        <v>17</v>
      </c>
      <c r="B17" s="6">
        <f>IFERROR(VLOOKUP(A17,'#17 IH Results'!$A$2:$C$301,2,0),0)+IFERROR(VLOOKUP(A17,'#16 IH Results'!$A$2:$C$301,2,0),0)+IFERROR(VLOOKUP(A17,'#15 IH Results'!$A$2:$C$301,2,0),0)+IFERROR(VLOOKUP(A17,'#14 IH Results'!$A$2:$C$302,2,0),0)+IFERROR(VLOOKUP(A17,'#13 IH Results'!$A$2:$C$302,2,0),0)+IFERROR(VLOOKUP(A17,'#12 IH Results'!$A$2:$C$302,2,0),0)+IFERROR(VLOOKUP(A17,'#11 IH Results'!$A$2:$C$302,2,0),0)+IFERROR(VLOOKUP(A17,'#10 IH Results'!$A$2:$C$302,2,0),0)+IFERROR(VLOOKUP(A17,'#9 IH Results'!$A$2:$C$302,2,0),0)+IFERROR(VLOOKUP(A17,'#8 IH Results'!$A$2:$C$302,2,0),0)+IFERROR(VLOOKUP(A17,'#7 IH Results'!$A$2:$C$302,2,0),0)+IFERROR(VLOOKUP(A17,'#6 IH Results'!$A$2:$C$302,2,0),0)+IFERROR(VLOOKUP(A17,'#5 IH Results'!$A$2:$C$303,2,0),0)+IFERROR(VLOOKUP(A17,'#4 IH Results'!$A$2:$C$300,2,0),0)+IFERROR(VLOOKUP(A17,'#3 IH Results'!$A$2:$C$101,2,0),0)+IFERROR(VLOOKUP(A17,'#2 IH Results'!$A$2:$C$101,2,0),0)+IFERROR(VLOOKUP(A17,'#1 IH Results'!$A$2:$C$101,2,0),0)+IFERROR(VLOOKUP(A17,'#0 IH Results'!$A$3:$C$102,2,0),0)</f>
        <v>115.6545999</v>
      </c>
    </row>
    <row r="18">
      <c r="A18" s="5" t="s">
        <v>18</v>
      </c>
      <c r="B18" s="6">
        <f>IFERROR(VLOOKUP(A18,'#17 IH Results'!$A$2:$C$301,2,0),0)+IFERROR(VLOOKUP(A18,'#16 IH Results'!$A$2:$C$301,2,0),0)+IFERROR(VLOOKUP(A18,'#15 IH Results'!$A$2:$C$301,2,0),0)+IFERROR(VLOOKUP(A18,'#14 IH Results'!$A$2:$C$302,2,0),0)+IFERROR(VLOOKUP(A18,'#13 IH Results'!$A$2:$C$302,2,0),0)+IFERROR(VLOOKUP(A18,'#12 IH Results'!$A$2:$C$302,2,0),0)+IFERROR(VLOOKUP(A18,'#11 IH Results'!$A$2:$C$302,2,0),0)+IFERROR(VLOOKUP(A18,'#10 IH Results'!$A$2:$C$302,2,0),0)+IFERROR(VLOOKUP(A18,'#9 IH Results'!$A$2:$C$302,2,0),0)+IFERROR(VLOOKUP(A18,'#8 IH Results'!$A$2:$C$302,2,0),0)+IFERROR(VLOOKUP(A18,'#7 IH Results'!$A$2:$C$302,2,0),0)+IFERROR(VLOOKUP(A18,'#6 IH Results'!$A$2:$C$302,2,0),0)+IFERROR(VLOOKUP(A18,'#5 IH Results'!$A$2:$C$303,2,0),0)+IFERROR(VLOOKUP(A18,'#4 IH Results'!$A$2:$C$300,2,0),0)+IFERROR(VLOOKUP(A18,'#3 IH Results'!$A$2:$C$101,2,0),0)+IFERROR(VLOOKUP(A18,'#2 IH Results'!$A$2:$C$101,2,0),0)+IFERROR(VLOOKUP(A18,'#1 IH Results'!$A$2:$C$101,2,0),0)+IFERROR(VLOOKUP(A18,'#0 IH Results'!$A$3:$C$102,2,0),0)</f>
        <v>114.1663029</v>
      </c>
    </row>
    <row r="19">
      <c r="A19" s="5" t="s">
        <v>19</v>
      </c>
      <c r="B19" s="6">
        <f>IFERROR(VLOOKUP(A19,'#17 IH Results'!$A$2:$C$301,2,0),0)+IFERROR(VLOOKUP(A19,'#16 IH Results'!$A$2:$C$301,2,0),0)+IFERROR(VLOOKUP(A19,'#15 IH Results'!$A$2:$C$301,2,0),0)+IFERROR(VLOOKUP(A19,'#14 IH Results'!$A$2:$C$302,2,0),0)+IFERROR(VLOOKUP(A19,'#13 IH Results'!$A$2:$C$302,2,0),0)+IFERROR(VLOOKUP(A19,'#12 IH Results'!$A$2:$C$302,2,0),0)+IFERROR(VLOOKUP(A19,'#11 IH Results'!$A$2:$C$302,2,0),0)+IFERROR(VLOOKUP(A19,'#10 IH Results'!$A$2:$C$302,2,0),0)+IFERROR(VLOOKUP(A19,'#9 IH Results'!$A$2:$C$302,2,0),0)+IFERROR(VLOOKUP(A19,'#8 IH Results'!$A$2:$C$302,2,0),0)+IFERROR(VLOOKUP(A19,'#7 IH Results'!$A$2:$C$302,2,0),0)+IFERROR(VLOOKUP(A19,'#6 IH Results'!$A$2:$C$302,2,0),0)+IFERROR(VLOOKUP(A19,'#5 IH Results'!$A$2:$C$303,2,0),0)+IFERROR(VLOOKUP(A19,'#4 IH Results'!$A$2:$C$300,2,0),0)+IFERROR(VLOOKUP(A19,'#3 IH Results'!$A$2:$C$101,2,0),0)+IFERROR(VLOOKUP(A19,'#2 IH Results'!$A$2:$C$101,2,0),0)+IFERROR(VLOOKUP(A19,'#1 IH Results'!$A$2:$C$101,2,0),0)+IFERROR(VLOOKUP(A19,'#0 IH Results'!$A$3:$C$102,2,0),0)</f>
        <v>106.2349604</v>
      </c>
    </row>
    <row r="20">
      <c r="A20" s="9" t="s">
        <v>20</v>
      </c>
      <c r="B20" s="6">
        <f>IFERROR(VLOOKUP(A20,'#17 IH Results'!$A$2:$C$301,2,0),0)+IFERROR(VLOOKUP(A20,'#16 IH Results'!$A$2:$C$301,2,0),0)+IFERROR(VLOOKUP(A20,'#15 IH Results'!$A$2:$C$301,2,0),0)+IFERROR(VLOOKUP(A20,'#14 IH Results'!$A$2:$C$302,2,0),0)+IFERROR(VLOOKUP(A20,'#13 IH Results'!$A$2:$C$302,2,0),0)+IFERROR(VLOOKUP(A20,'#12 IH Results'!$A$2:$C$302,2,0),0)+IFERROR(VLOOKUP(A20,'#11 IH Results'!$A$2:$C$302,2,0),0)+IFERROR(VLOOKUP(A20,'#10 IH Results'!$A$2:$C$302,2,0),0)+IFERROR(VLOOKUP(A20,'#9 IH Results'!$A$2:$C$302,2,0),0)+IFERROR(VLOOKUP(A20,'#8 IH Results'!$A$2:$C$302,2,0),0)+IFERROR(VLOOKUP(A20,'#7 IH Results'!$A$2:$C$302,2,0),0)+IFERROR(VLOOKUP(A20,'#6 IH Results'!$A$2:$C$302,2,0),0)+IFERROR(VLOOKUP(A20,'#5 IH Results'!$A$2:$C$303,2,0),0)+IFERROR(VLOOKUP(A20,'#4 IH Results'!$A$2:$C$300,2,0),0)+IFERROR(VLOOKUP(A20,'#3 IH Results'!$A$2:$C$101,2,0),0)+IFERROR(VLOOKUP(A20,'#2 IH Results'!$A$2:$C$101,2,0),0)+IFERROR(VLOOKUP(A20,'#1 IH Results'!$A$2:$C$101,2,0),0)+IFERROR(VLOOKUP(A20,'#0 IH Results'!$A$3:$C$102,2,0),0)</f>
        <v>104.858099</v>
      </c>
    </row>
    <row r="21">
      <c r="A21" s="8" t="s">
        <v>21</v>
      </c>
      <c r="B21" s="6">
        <f>IFERROR(VLOOKUP(A21,'#17 IH Results'!$A$2:$C$301,2,0),0)+IFERROR(VLOOKUP(A21,'#16 IH Results'!$A$2:$C$301,2,0),0)+IFERROR(VLOOKUP(A21,'#15 IH Results'!$A$2:$C$301,2,0),0)+IFERROR(VLOOKUP(A21,'#14 IH Results'!$A$2:$C$302,2,0),0)+IFERROR(VLOOKUP(A21,'#13 IH Results'!$A$2:$C$302,2,0),0)+IFERROR(VLOOKUP(A21,'#12 IH Results'!$A$2:$C$302,2,0),0)+IFERROR(VLOOKUP(A21,'#11 IH Results'!$A$2:$C$302,2,0),0)+IFERROR(VLOOKUP(A21,'#10 IH Results'!$A$2:$C$302,2,0),0)+IFERROR(VLOOKUP(A21,'#9 IH Results'!$A$2:$C$302,2,0),0)+IFERROR(VLOOKUP(A21,'#8 IH Results'!$A$2:$C$302,2,0),0)+IFERROR(VLOOKUP(A21,'#7 IH Results'!$A$2:$C$302,2,0),0)+IFERROR(VLOOKUP(A21,'#6 IH Results'!$A$2:$C$302,2,0),0)+IFERROR(VLOOKUP(A21,'#5 IH Results'!$A$2:$C$303,2,0),0)+IFERROR(VLOOKUP(A21,'#4 IH Results'!$A$2:$C$300,2,0),0)+IFERROR(VLOOKUP(A21,'#3 IH Results'!$A$2:$C$101,2,0),0)+IFERROR(VLOOKUP(A21,'#2 IH Results'!$A$2:$C$101,2,0),0)+IFERROR(VLOOKUP(A21,'#1 IH Results'!$A$2:$C$101,2,0),0)+IFERROR(VLOOKUP(A21,'#0 IH Results'!$A$3:$C$102,2,0),0)</f>
        <v>97.03534636</v>
      </c>
    </row>
    <row r="22">
      <c r="A22" s="8" t="s">
        <v>22</v>
      </c>
      <c r="B22" s="6">
        <f>IFERROR(VLOOKUP(A22,'#17 IH Results'!$A$2:$C$301,2,0),0)+IFERROR(VLOOKUP(A22,'#16 IH Results'!$A$2:$C$301,2,0),0)+IFERROR(VLOOKUP(A22,'#15 IH Results'!$A$2:$C$301,2,0),0)+IFERROR(VLOOKUP(A22,'#14 IH Results'!$A$2:$C$302,2,0),0)+IFERROR(VLOOKUP(A22,'#13 IH Results'!$A$2:$C$302,2,0),0)+IFERROR(VLOOKUP(A22,'#12 IH Results'!$A$2:$C$302,2,0),0)+IFERROR(VLOOKUP(A22,'#11 IH Results'!$A$2:$C$302,2,0),0)+IFERROR(VLOOKUP(A22,'#10 IH Results'!$A$2:$C$302,2,0),0)+IFERROR(VLOOKUP(A22,'#9 IH Results'!$A$2:$C$302,2,0),0)+IFERROR(VLOOKUP(A22,'#8 IH Results'!$A$2:$C$302,2,0),0)+IFERROR(VLOOKUP(A22,'#7 IH Results'!$A$2:$C$302,2,0),0)+IFERROR(VLOOKUP(A22,'#6 IH Results'!$A$2:$C$302,2,0),0)+IFERROR(VLOOKUP(A22,'#5 IH Results'!$A$2:$C$303,2,0),0)+IFERROR(VLOOKUP(A22,'#4 IH Results'!$A$2:$C$300,2,0),0)+IFERROR(VLOOKUP(A22,'#3 IH Results'!$A$2:$C$101,2,0),0)+IFERROR(VLOOKUP(A22,'#2 IH Results'!$A$2:$C$101,2,0),0)+IFERROR(VLOOKUP(A22,'#1 IH Results'!$A$2:$C$101,2,0),0)+IFERROR(VLOOKUP(A22,'#0 IH Results'!$A$3:$C$102,2,0),0)</f>
        <v>95.88339881</v>
      </c>
    </row>
    <row r="23">
      <c r="A23" s="8" t="s">
        <v>23</v>
      </c>
      <c r="B23" s="6">
        <f>IFERROR(VLOOKUP(A23,'#17 IH Results'!$A$2:$C$301,2,0),0)+IFERROR(VLOOKUP(A23,'#16 IH Results'!$A$2:$C$301,2,0),0)+IFERROR(VLOOKUP(A23,'#15 IH Results'!$A$2:$C$301,2,0),0)+IFERROR(VLOOKUP(A23,'#14 IH Results'!$A$2:$C$302,2,0),0)+IFERROR(VLOOKUP(A23,'#13 IH Results'!$A$2:$C$302,2,0),0)+IFERROR(VLOOKUP(A23,'#12 IH Results'!$A$2:$C$302,2,0),0)+IFERROR(VLOOKUP(A23,'#11 IH Results'!$A$2:$C$302,2,0),0)+IFERROR(VLOOKUP(A23,'#10 IH Results'!$A$2:$C$302,2,0),0)+IFERROR(VLOOKUP(A23,'#9 IH Results'!$A$2:$C$302,2,0),0)+IFERROR(VLOOKUP(A23,'#8 IH Results'!$A$2:$C$302,2,0),0)+IFERROR(VLOOKUP(A23,'#7 IH Results'!$A$2:$C$302,2,0),0)+IFERROR(VLOOKUP(A23,'#6 IH Results'!$A$2:$C$302,2,0),0)+IFERROR(VLOOKUP(A23,'#5 IH Results'!$A$2:$C$303,2,0),0)+IFERROR(VLOOKUP(A23,'#4 IH Results'!$A$2:$C$300,2,0),0)+IFERROR(VLOOKUP(A23,'#3 IH Results'!$A$2:$C$101,2,0),0)+IFERROR(VLOOKUP(A23,'#2 IH Results'!$A$2:$C$101,2,0),0)+IFERROR(VLOOKUP(A23,'#1 IH Results'!$A$2:$C$101,2,0),0)+IFERROR(VLOOKUP(A23,'#0 IH Results'!$A$3:$C$102,2,0),0)</f>
        <v>94.43508538</v>
      </c>
    </row>
    <row r="24">
      <c r="A24" s="8" t="s">
        <v>24</v>
      </c>
      <c r="B24" s="6">
        <f>IFERROR(VLOOKUP(A24,'#17 IH Results'!$A$2:$C$301,2,0),0)+IFERROR(VLOOKUP(A24,'#16 IH Results'!$A$2:$C$301,2,0),0)+IFERROR(VLOOKUP(A24,'#15 IH Results'!$A$2:$C$301,2,0),0)+IFERROR(VLOOKUP(A24,'#14 IH Results'!$A$2:$C$302,2,0),0)+IFERROR(VLOOKUP(A24,'#13 IH Results'!$A$2:$C$302,2,0),0)+IFERROR(VLOOKUP(A24,'#12 IH Results'!$A$2:$C$302,2,0),0)+IFERROR(VLOOKUP(A24,'#11 IH Results'!$A$2:$C$302,2,0),0)+IFERROR(VLOOKUP(A24,'#10 IH Results'!$A$2:$C$302,2,0),0)+IFERROR(VLOOKUP(A24,'#9 IH Results'!$A$2:$C$302,2,0),0)+IFERROR(VLOOKUP(A24,'#8 IH Results'!$A$2:$C$302,2,0),0)+IFERROR(VLOOKUP(A24,'#7 IH Results'!$A$2:$C$302,2,0),0)+IFERROR(VLOOKUP(A24,'#6 IH Results'!$A$2:$C$302,2,0),0)+IFERROR(VLOOKUP(A24,'#5 IH Results'!$A$2:$C$303,2,0),0)+IFERROR(VLOOKUP(A24,'#4 IH Results'!$A$2:$C$300,2,0),0)+IFERROR(VLOOKUP(A24,'#3 IH Results'!$A$2:$C$101,2,0),0)+IFERROR(VLOOKUP(A24,'#2 IH Results'!$A$2:$C$101,2,0),0)+IFERROR(VLOOKUP(A24,'#1 IH Results'!$A$2:$C$101,2,0),0)+IFERROR(VLOOKUP(A24,'#0 IH Results'!$A$3:$C$102,2,0),0)</f>
        <v>94.03300186</v>
      </c>
    </row>
    <row r="25">
      <c r="A25" s="8" t="s">
        <v>25</v>
      </c>
      <c r="B25" s="6">
        <f>IFERROR(VLOOKUP(A25,'#17 IH Results'!$A$2:$C$301,2,0),0)+IFERROR(VLOOKUP(A25,'#16 IH Results'!$A$2:$C$301,2,0),0)+IFERROR(VLOOKUP(A25,'#15 IH Results'!$A$2:$C$301,2,0),0)+IFERROR(VLOOKUP(A25,'#14 IH Results'!$A$2:$C$302,2,0),0)+IFERROR(VLOOKUP(A25,'#13 IH Results'!$A$2:$C$302,2,0),0)+IFERROR(VLOOKUP(A25,'#12 IH Results'!$A$2:$C$302,2,0),0)+IFERROR(VLOOKUP(A25,'#11 IH Results'!$A$2:$C$302,2,0),0)+IFERROR(VLOOKUP(A25,'#10 IH Results'!$A$2:$C$302,2,0),0)+IFERROR(VLOOKUP(A25,'#9 IH Results'!$A$2:$C$302,2,0),0)+IFERROR(VLOOKUP(A25,'#8 IH Results'!$A$2:$C$302,2,0),0)+IFERROR(VLOOKUP(A25,'#7 IH Results'!$A$2:$C$302,2,0),0)+IFERROR(VLOOKUP(A25,'#6 IH Results'!$A$2:$C$302,2,0),0)+IFERROR(VLOOKUP(A25,'#5 IH Results'!$A$2:$C$303,2,0),0)+IFERROR(VLOOKUP(A25,'#4 IH Results'!$A$2:$C$300,2,0),0)+IFERROR(VLOOKUP(A25,'#3 IH Results'!$A$2:$C$101,2,0),0)+IFERROR(VLOOKUP(A25,'#2 IH Results'!$A$2:$C$101,2,0),0)+IFERROR(VLOOKUP(A25,'#1 IH Results'!$A$2:$C$101,2,0),0)+IFERROR(VLOOKUP(A25,'#0 IH Results'!$A$3:$C$102,2,0),0)</f>
        <v>87.4604459</v>
      </c>
    </row>
    <row r="26">
      <c r="A26" s="5" t="s">
        <v>26</v>
      </c>
      <c r="B26" s="6">
        <f>IFERROR(VLOOKUP(A26,'#17 IH Results'!$A$2:$C$301,2,0),0)+IFERROR(VLOOKUP(A26,'#16 IH Results'!$A$2:$C$301,2,0),0)+IFERROR(VLOOKUP(A26,'#15 IH Results'!$A$2:$C$301,2,0),0)+IFERROR(VLOOKUP(A26,'#14 IH Results'!$A$2:$C$302,2,0),0)+IFERROR(VLOOKUP(A26,'#13 IH Results'!$A$2:$C$302,2,0),0)+IFERROR(VLOOKUP(A26,'#12 IH Results'!$A$2:$C$302,2,0),0)+IFERROR(VLOOKUP(A26,'#11 IH Results'!$A$2:$C$302,2,0),0)+IFERROR(VLOOKUP(A26,'#10 IH Results'!$A$2:$C$302,2,0),0)+IFERROR(VLOOKUP(A26,'#9 IH Results'!$A$2:$C$302,2,0),0)+IFERROR(VLOOKUP(A26,'#8 IH Results'!$A$2:$C$302,2,0),0)+IFERROR(VLOOKUP(A26,'#7 IH Results'!$A$2:$C$302,2,0),0)+IFERROR(VLOOKUP(A26,'#6 IH Results'!$A$2:$C$302,2,0),0)+IFERROR(VLOOKUP(A26,'#5 IH Results'!$A$2:$C$303,2,0),0)+IFERROR(VLOOKUP(A26,'#4 IH Results'!$A$2:$C$300,2,0),0)+IFERROR(VLOOKUP(A26,'#3 IH Results'!$A$2:$C$101,2,0),0)+IFERROR(VLOOKUP(A26,'#2 IH Results'!$A$2:$C$101,2,0),0)+IFERROR(VLOOKUP(A26,'#1 IH Results'!$A$2:$C$101,2,0),0)+IFERROR(VLOOKUP(A26,'#0 IH Results'!$A$3:$C$102,2,0),0)</f>
        <v>80.73173051</v>
      </c>
    </row>
    <row r="27">
      <c r="A27" s="5" t="s">
        <v>27</v>
      </c>
      <c r="B27" s="6">
        <f>IFERROR(VLOOKUP(A27,'#17 IH Results'!$A$2:$C$301,2,0),0)+IFERROR(VLOOKUP(A27,'#16 IH Results'!$A$2:$C$301,2,0),0)+IFERROR(VLOOKUP(A27,'#15 IH Results'!$A$2:$C$301,2,0),0)+IFERROR(VLOOKUP(A27,'#14 IH Results'!$A$2:$C$302,2,0),0)+IFERROR(VLOOKUP(A27,'#13 IH Results'!$A$2:$C$302,2,0),0)+IFERROR(VLOOKUP(A27,'#12 IH Results'!$A$2:$C$302,2,0),0)+IFERROR(VLOOKUP(A27,'#11 IH Results'!$A$2:$C$302,2,0),0)+IFERROR(VLOOKUP(A27,'#10 IH Results'!$A$2:$C$302,2,0),0)+IFERROR(VLOOKUP(A27,'#9 IH Results'!$A$2:$C$302,2,0),0)+IFERROR(VLOOKUP(A27,'#8 IH Results'!$A$2:$C$302,2,0),0)+IFERROR(VLOOKUP(A27,'#7 IH Results'!$A$2:$C$302,2,0),0)+IFERROR(VLOOKUP(A27,'#6 IH Results'!$A$2:$C$302,2,0),0)+IFERROR(VLOOKUP(A27,'#5 IH Results'!$A$2:$C$303,2,0),0)+IFERROR(VLOOKUP(A27,'#4 IH Results'!$A$2:$C$300,2,0),0)+IFERROR(VLOOKUP(A27,'#3 IH Results'!$A$2:$C$101,2,0),0)+IFERROR(VLOOKUP(A27,'#2 IH Results'!$A$2:$C$101,2,0),0)+IFERROR(VLOOKUP(A27,'#1 IH Results'!$A$2:$C$101,2,0),0)+IFERROR(VLOOKUP(A27,'#0 IH Results'!$A$3:$C$102,2,0),0)</f>
        <v>78.46304888</v>
      </c>
    </row>
    <row r="28">
      <c r="A28" s="5" t="s">
        <v>28</v>
      </c>
      <c r="B28" s="6">
        <f>IFERROR(VLOOKUP(A28,'#17 IH Results'!$A$2:$C$301,2,0),0)+IFERROR(VLOOKUP(A28,'#16 IH Results'!$A$2:$C$301,2,0),0)+IFERROR(VLOOKUP(A28,'#15 IH Results'!$A$2:$C$301,2,0),0)+IFERROR(VLOOKUP(A28,'#14 IH Results'!$A$2:$C$302,2,0),0)+IFERROR(VLOOKUP(A28,'#13 IH Results'!$A$2:$C$302,2,0),0)+IFERROR(VLOOKUP(A28,'#12 IH Results'!$A$2:$C$302,2,0),0)+IFERROR(VLOOKUP(A28,'#11 IH Results'!$A$2:$C$302,2,0),0)+IFERROR(VLOOKUP(A28,'#10 IH Results'!$A$2:$C$302,2,0),0)+IFERROR(VLOOKUP(A28,'#9 IH Results'!$A$2:$C$302,2,0),0)+IFERROR(VLOOKUP(A28,'#8 IH Results'!$A$2:$C$302,2,0),0)+IFERROR(VLOOKUP(A28,'#7 IH Results'!$A$2:$C$302,2,0),0)+IFERROR(VLOOKUP(A28,'#6 IH Results'!$A$2:$C$302,2,0),0)+IFERROR(VLOOKUP(A28,'#5 IH Results'!$A$2:$C$303,2,0),0)+IFERROR(VLOOKUP(A28,'#4 IH Results'!$A$2:$C$300,2,0),0)+IFERROR(VLOOKUP(A28,'#3 IH Results'!$A$2:$C$101,2,0),0)+IFERROR(VLOOKUP(A28,'#2 IH Results'!$A$2:$C$101,2,0),0)+IFERROR(VLOOKUP(A28,'#1 IH Results'!$A$2:$C$101,2,0),0)+IFERROR(VLOOKUP(A28,'#0 IH Results'!$A$3:$C$102,2,0),0)</f>
        <v>77.33355908</v>
      </c>
    </row>
    <row r="29">
      <c r="A29" s="8" t="s">
        <v>29</v>
      </c>
      <c r="B29" s="6">
        <f>IFERROR(VLOOKUP(A29,'#17 IH Results'!$A$2:$C$301,2,0),0)+IFERROR(VLOOKUP(A29,'#16 IH Results'!$A$2:$C$301,2,0),0)+IFERROR(VLOOKUP(A29,'#15 IH Results'!$A$2:$C$301,2,0),0)+IFERROR(VLOOKUP(A29,'#14 IH Results'!$A$2:$C$302,2,0),0)+IFERROR(VLOOKUP(A29,'#13 IH Results'!$A$2:$C$302,2,0),0)+IFERROR(VLOOKUP(A29,'#12 IH Results'!$A$2:$C$302,2,0),0)+IFERROR(VLOOKUP(A29,'#11 IH Results'!$A$2:$C$302,2,0),0)+IFERROR(VLOOKUP(A29,'#10 IH Results'!$A$2:$C$302,2,0),0)+IFERROR(VLOOKUP(A29,'#9 IH Results'!$A$2:$C$302,2,0),0)+IFERROR(VLOOKUP(A29,'#8 IH Results'!$A$2:$C$302,2,0),0)+IFERROR(VLOOKUP(A29,'#7 IH Results'!$A$2:$C$302,2,0),0)+IFERROR(VLOOKUP(A29,'#6 IH Results'!$A$2:$C$302,2,0),0)+IFERROR(VLOOKUP(A29,'#5 IH Results'!$A$2:$C$303,2,0),0)+IFERROR(VLOOKUP(A29,'#4 IH Results'!$A$2:$C$300,2,0),0)+IFERROR(VLOOKUP(A29,'#3 IH Results'!$A$2:$C$101,2,0),0)+IFERROR(VLOOKUP(A29,'#2 IH Results'!$A$2:$C$101,2,0),0)+IFERROR(VLOOKUP(A29,'#1 IH Results'!$A$2:$C$101,2,0),0)+IFERROR(VLOOKUP(A29,'#0 IH Results'!$A$3:$C$102,2,0),0)</f>
        <v>76.56700671</v>
      </c>
    </row>
    <row r="30">
      <c r="A30" s="8" t="s">
        <v>30</v>
      </c>
      <c r="B30" s="6">
        <f>IFERROR(VLOOKUP(A30,'#17 IH Results'!$A$2:$C$301,2,0),0)+IFERROR(VLOOKUP(A30,'#16 IH Results'!$A$2:$C$301,2,0),0)+IFERROR(VLOOKUP(A30,'#15 IH Results'!$A$2:$C$301,2,0),0)+IFERROR(VLOOKUP(A30,'#14 IH Results'!$A$2:$C$302,2,0),0)+IFERROR(VLOOKUP(A30,'#13 IH Results'!$A$2:$C$302,2,0),0)+IFERROR(VLOOKUP(A30,'#12 IH Results'!$A$2:$C$302,2,0),0)+IFERROR(VLOOKUP(A30,'#11 IH Results'!$A$2:$C$302,2,0),0)+IFERROR(VLOOKUP(A30,'#10 IH Results'!$A$2:$C$302,2,0),0)+IFERROR(VLOOKUP(A30,'#9 IH Results'!$A$2:$C$302,2,0),0)+IFERROR(VLOOKUP(A30,'#8 IH Results'!$A$2:$C$302,2,0),0)+IFERROR(VLOOKUP(A30,'#7 IH Results'!$A$2:$C$302,2,0),0)+IFERROR(VLOOKUP(A30,'#6 IH Results'!$A$2:$C$302,2,0),0)+IFERROR(VLOOKUP(A30,'#5 IH Results'!$A$2:$C$303,2,0),0)+IFERROR(VLOOKUP(A30,'#4 IH Results'!$A$2:$C$300,2,0),0)+IFERROR(VLOOKUP(A30,'#3 IH Results'!$A$2:$C$101,2,0),0)+IFERROR(VLOOKUP(A30,'#2 IH Results'!$A$2:$C$101,2,0),0)+IFERROR(VLOOKUP(A30,'#1 IH Results'!$A$2:$C$101,2,0),0)+IFERROR(VLOOKUP(A30,'#0 IH Results'!$A$3:$C$102,2,0),0)</f>
        <v>74.41543336</v>
      </c>
    </row>
    <row r="31">
      <c r="A31" s="8" t="s">
        <v>31</v>
      </c>
      <c r="B31" s="6">
        <f>IFERROR(VLOOKUP(A31,'#17 IH Results'!$A$2:$C$301,2,0),0)+IFERROR(VLOOKUP(A31,'#16 IH Results'!$A$2:$C$301,2,0),0)+IFERROR(VLOOKUP(A31,'#15 IH Results'!$A$2:$C$301,2,0),0)+IFERROR(VLOOKUP(A31,'#14 IH Results'!$A$2:$C$302,2,0),0)+IFERROR(VLOOKUP(A31,'#13 IH Results'!$A$2:$C$302,2,0),0)+IFERROR(VLOOKUP(A31,'#12 IH Results'!$A$2:$C$302,2,0),0)+IFERROR(VLOOKUP(A31,'#11 IH Results'!$A$2:$C$302,2,0),0)+IFERROR(VLOOKUP(A31,'#10 IH Results'!$A$2:$C$302,2,0),0)+IFERROR(VLOOKUP(A31,'#9 IH Results'!$A$2:$C$302,2,0),0)+IFERROR(VLOOKUP(A31,'#8 IH Results'!$A$2:$C$302,2,0),0)+IFERROR(VLOOKUP(A31,'#7 IH Results'!$A$2:$C$302,2,0),0)+IFERROR(VLOOKUP(A31,'#6 IH Results'!$A$2:$C$302,2,0),0)+IFERROR(VLOOKUP(A31,'#5 IH Results'!$A$2:$C$303,2,0),0)+IFERROR(VLOOKUP(A31,'#4 IH Results'!$A$2:$C$300,2,0),0)+IFERROR(VLOOKUP(A31,'#3 IH Results'!$A$2:$C$101,2,0),0)+IFERROR(VLOOKUP(A31,'#2 IH Results'!$A$2:$C$101,2,0),0)+IFERROR(VLOOKUP(A31,'#1 IH Results'!$A$2:$C$101,2,0),0)+IFERROR(VLOOKUP(A31,'#0 IH Results'!$A$3:$C$102,2,0),0)</f>
        <v>70.66343576</v>
      </c>
    </row>
    <row r="32">
      <c r="A32" s="8" t="s">
        <v>32</v>
      </c>
      <c r="B32" s="6">
        <f>IFERROR(VLOOKUP(A32,'#17 IH Results'!$A$2:$C$301,2,0),0)+IFERROR(VLOOKUP(A32,'#16 IH Results'!$A$2:$C$301,2,0),0)+IFERROR(VLOOKUP(A32,'#15 IH Results'!$A$2:$C$301,2,0),0)+IFERROR(VLOOKUP(A32,'#14 IH Results'!$A$2:$C$302,2,0),0)+IFERROR(VLOOKUP(A32,'#13 IH Results'!$A$2:$C$302,2,0),0)+IFERROR(VLOOKUP(A32,'#12 IH Results'!$A$2:$C$302,2,0),0)+IFERROR(VLOOKUP(A32,'#11 IH Results'!$A$2:$C$302,2,0),0)+IFERROR(VLOOKUP(A32,'#10 IH Results'!$A$2:$C$302,2,0),0)+IFERROR(VLOOKUP(A32,'#9 IH Results'!$A$2:$C$302,2,0),0)+IFERROR(VLOOKUP(A32,'#8 IH Results'!$A$2:$C$302,2,0),0)+IFERROR(VLOOKUP(A32,'#7 IH Results'!$A$2:$C$302,2,0),0)+IFERROR(VLOOKUP(A32,'#6 IH Results'!$A$2:$C$302,2,0),0)+IFERROR(VLOOKUP(A32,'#5 IH Results'!$A$2:$C$303,2,0),0)+IFERROR(VLOOKUP(A32,'#4 IH Results'!$A$2:$C$300,2,0),0)+IFERROR(VLOOKUP(A32,'#3 IH Results'!$A$2:$C$101,2,0),0)+IFERROR(VLOOKUP(A32,'#2 IH Results'!$A$2:$C$101,2,0),0)+IFERROR(VLOOKUP(A32,'#1 IH Results'!$A$2:$C$101,2,0),0)+IFERROR(VLOOKUP(A32,'#0 IH Results'!$A$3:$C$102,2,0),0)</f>
        <v>69.65442465</v>
      </c>
    </row>
    <row r="33">
      <c r="A33" s="8" t="s">
        <v>33</v>
      </c>
      <c r="B33" s="6">
        <f>IFERROR(VLOOKUP(A33,'#17 IH Results'!$A$2:$C$301,2,0),0)+IFERROR(VLOOKUP(A33,'#16 IH Results'!$A$2:$C$301,2,0),0)+IFERROR(VLOOKUP(A33,'#15 IH Results'!$A$2:$C$301,2,0),0)+IFERROR(VLOOKUP(A33,'#14 IH Results'!$A$2:$C$302,2,0),0)+IFERROR(VLOOKUP(A33,'#13 IH Results'!$A$2:$C$302,2,0),0)+IFERROR(VLOOKUP(A33,'#12 IH Results'!$A$2:$C$302,2,0),0)+IFERROR(VLOOKUP(A33,'#11 IH Results'!$A$2:$C$302,2,0),0)+IFERROR(VLOOKUP(A33,'#10 IH Results'!$A$2:$C$302,2,0),0)+IFERROR(VLOOKUP(A33,'#9 IH Results'!$A$2:$C$302,2,0),0)+IFERROR(VLOOKUP(A33,'#8 IH Results'!$A$2:$C$302,2,0),0)+IFERROR(VLOOKUP(A33,'#7 IH Results'!$A$2:$C$302,2,0),0)+IFERROR(VLOOKUP(A33,'#6 IH Results'!$A$2:$C$302,2,0),0)+IFERROR(VLOOKUP(A33,'#5 IH Results'!$A$2:$C$303,2,0),0)+IFERROR(VLOOKUP(A33,'#4 IH Results'!$A$2:$C$300,2,0),0)+IFERROR(VLOOKUP(A33,'#3 IH Results'!$A$2:$C$101,2,0),0)+IFERROR(VLOOKUP(A33,'#2 IH Results'!$A$2:$C$101,2,0),0)+IFERROR(VLOOKUP(A33,'#1 IH Results'!$A$2:$C$101,2,0),0)+IFERROR(VLOOKUP(A33,'#0 IH Results'!$A$3:$C$102,2,0),0)</f>
        <v>69.59828405</v>
      </c>
    </row>
    <row r="34">
      <c r="A34" s="8" t="s">
        <v>34</v>
      </c>
      <c r="B34" s="6">
        <f>IFERROR(VLOOKUP(A34,'#17 IH Results'!$A$2:$C$301,2,0),0)+IFERROR(VLOOKUP(A34,'#16 IH Results'!$A$2:$C$301,2,0),0)+IFERROR(VLOOKUP(A34,'#15 IH Results'!$A$2:$C$301,2,0),0)+IFERROR(VLOOKUP(A34,'#14 IH Results'!$A$2:$C$302,2,0),0)+IFERROR(VLOOKUP(A34,'#13 IH Results'!$A$2:$C$302,2,0),0)+IFERROR(VLOOKUP(A34,'#12 IH Results'!$A$2:$C$302,2,0),0)+IFERROR(VLOOKUP(A34,'#11 IH Results'!$A$2:$C$302,2,0),0)+IFERROR(VLOOKUP(A34,'#10 IH Results'!$A$2:$C$302,2,0),0)+IFERROR(VLOOKUP(A34,'#9 IH Results'!$A$2:$C$302,2,0),0)+IFERROR(VLOOKUP(A34,'#8 IH Results'!$A$2:$C$302,2,0),0)+IFERROR(VLOOKUP(A34,'#7 IH Results'!$A$2:$C$302,2,0),0)+IFERROR(VLOOKUP(A34,'#6 IH Results'!$A$2:$C$302,2,0),0)+IFERROR(VLOOKUP(A34,'#5 IH Results'!$A$2:$C$303,2,0),0)+IFERROR(VLOOKUP(A34,'#4 IH Results'!$A$2:$C$300,2,0),0)+IFERROR(VLOOKUP(A34,'#3 IH Results'!$A$2:$C$101,2,0),0)+IFERROR(VLOOKUP(A34,'#2 IH Results'!$A$2:$C$101,2,0),0)+IFERROR(VLOOKUP(A34,'#1 IH Results'!$A$2:$C$101,2,0),0)+IFERROR(VLOOKUP(A34,'#0 IH Results'!$A$3:$C$102,2,0),0)</f>
        <v>68.06115939</v>
      </c>
    </row>
    <row r="35">
      <c r="A35" s="8" t="s">
        <v>35</v>
      </c>
      <c r="B35" s="6">
        <f>IFERROR(VLOOKUP(A35,'#17 IH Results'!$A$2:$C$301,2,0),0)+IFERROR(VLOOKUP(A35,'#16 IH Results'!$A$2:$C$301,2,0),0)+IFERROR(VLOOKUP(A35,'#15 IH Results'!$A$2:$C$301,2,0),0)+IFERROR(VLOOKUP(A35,'#14 IH Results'!$A$2:$C$302,2,0),0)+IFERROR(VLOOKUP(A35,'#13 IH Results'!$A$2:$C$302,2,0),0)+IFERROR(VLOOKUP(A35,'#12 IH Results'!$A$2:$C$302,2,0),0)+IFERROR(VLOOKUP(A35,'#11 IH Results'!$A$2:$C$302,2,0),0)+IFERROR(VLOOKUP(A35,'#10 IH Results'!$A$2:$C$302,2,0),0)+IFERROR(VLOOKUP(A35,'#9 IH Results'!$A$2:$C$302,2,0),0)+IFERROR(VLOOKUP(A35,'#8 IH Results'!$A$2:$C$302,2,0),0)+IFERROR(VLOOKUP(A35,'#7 IH Results'!$A$2:$C$302,2,0),0)+IFERROR(VLOOKUP(A35,'#6 IH Results'!$A$2:$C$302,2,0),0)+IFERROR(VLOOKUP(A35,'#5 IH Results'!$A$2:$C$303,2,0),0)+IFERROR(VLOOKUP(A35,'#4 IH Results'!$A$2:$C$300,2,0),0)+IFERROR(VLOOKUP(A35,'#3 IH Results'!$A$2:$C$101,2,0),0)+IFERROR(VLOOKUP(A35,'#2 IH Results'!$A$2:$C$101,2,0),0)+IFERROR(VLOOKUP(A35,'#1 IH Results'!$A$2:$C$101,2,0),0)+IFERROR(VLOOKUP(A35,'#0 IH Results'!$A$3:$C$102,2,0),0)</f>
        <v>68.01965379</v>
      </c>
    </row>
    <row r="36">
      <c r="A36" s="8" t="s">
        <v>36</v>
      </c>
      <c r="B36" s="6">
        <f>IFERROR(VLOOKUP(A36,'#17 IH Results'!$A$2:$C$301,2,0),0)+IFERROR(VLOOKUP(A36,'#16 IH Results'!$A$2:$C$301,2,0),0)+IFERROR(VLOOKUP(A36,'#15 IH Results'!$A$2:$C$301,2,0),0)+IFERROR(VLOOKUP(A36,'#14 IH Results'!$A$2:$C$302,2,0),0)+IFERROR(VLOOKUP(A36,'#13 IH Results'!$A$2:$C$302,2,0),0)+IFERROR(VLOOKUP(A36,'#12 IH Results'!$A$2:$C$302,2,0),0)+IFERROR(VLOOKUP(A36,'#11 IH Results'!$A$2:$C$302,2,0),0)+IFERROR(VLOOKUP(A36,'#10 IH Results'!$A$2:$C$302,2,0),0)+IFERROR(VLOOKUP(A36,'#9 IH Results'!$A$2:$C$302,2,0),0)+IFERROR(VLOOKUP(A36,'#8 IH Results'!$A$2:$C$302,2,0),0)+IFERROR(VLOOKUP(A36,'#7 IH Results'!$A$2:$C$302,2,0),0)+IFERROR(VLOOKUP(A36,'#6 IH Results'!$A$2:$C$302,2,0),0)+IFERROR(VLOOKUP(A36,'#5 IH Results'!$A$2:$C$303,2,0),0)+IFERROR(VLOOKUP(A36,'#4 IH Results'!$A$2:$C$300,2,0),0)+IFERROR(VLOOKUP(A36,'#3 IH Results'!$A$2:$C$101,2,0),0)+IFERROR(VLOOKUP(A36,'#2 IH Results'!$A$2:$C$101,2,0),0)+IFERROR(VLOOKUP(A36,'#1 IH Results'!$A$2:$C$101,2,0),0)+IFERROR(VLOOKUP(A36,'#0 IH Results'!$A$3:$C$102,2,0),0)</f>
        <v>67.28332338</v>
      </c>
    </row>
    <row r="37">
      <c r="A37" s="8" t="s">
        <v>37</v>
      </c>
      <c r="B37" s="6">
        <f>IFERROR(VLOOKUP(A37,'#17 IH Results'!$A$2:$C$301,2,0),0)+IFERROR(VLOOKUP(A37,'#16 IH Results'!$A$2:$C$301,2,0),0)+IFERROR(VLOOKUP(A37,'#15 IH Results'!$A$2:$C$301,2,0),0)+IFERROR(VLOOKUP(A37,'#14 IH Results'!$A$2:$C$302,2,0),0)+IFERROR(VLOOKUP(A37,'#13 IH Results'!$A$2:$C$302,2,0),0)+IFERROR(VLOOKUP(A37,'#12 IH Results'!$A$2:$C$302,2,0),0)+IFERROR(VLOOKUP(A37,'#11 IH Results'!$A$2:$C$302,2,0),0)+IFERROR(VLOOKUP(A37,'#10 IH Results'!$A$2:$C$302,2,0),0)+IFERROR(VLOOKUP(A37,'#9 IH Results'!$A$2:$C$302,2,0),0)+IFERROR(VLOOKUP(A37,'#8 IH Results'!$A$2:$C$302,2,0),0)+IFERROR(VLOOKUP(A37,'#7 IH Results'!$A$2:$C$302,2,0),0)+IFERROR(VLOOKUP(A37,'#6 IH Results'!$A$2:$C$302,2,0),0)+IFERROR(VLOOKUP(A37,'#5 IH Results'!$A$2:$C$303,2,0),0)+IFERROR(VLOOKUP(A37,'#4 IH Results'!$A$2:$C$300,2,0),0)+IFERROR(VLOOKUP(A37,'#3 IH Results'!$A$2:$C$101,2,0),0)+IFERROR(VLOOKUP(A37,'#2 IH Results'!$A$2:$C$101,2,0),0)+IFERROR(VLOOKUP(A37,'#1 IH Results'!$A$2:$C$101,2,0),0)+IFERROR(VLOOKUP(A37,'#0 IH Results'!$A$3:$C$102,2,0),0)</f>
        <v>67.25898424</v>
      </c>
    </row>
    <row r="38">
      <c r="A38" s="8" t="s">
        <v>38</v>
      </c>
      <c r="B38" s="6">
        <f>IFERROR(VLOOKUP(A38,'#17 IH Results'!$A$2:$C$301,2,0),0)+IFERROR(VLOOKUP(A38,'#16 IH Results'!$A$2:$C$301,2,0),0)+IFERROR(VLOOKUP(A38,'#15 IH Results'!$A$2:$C$301,2,0),0)+IFERROR(VLOOKUP(A38,'#14 IH Results'!$A$2:$C$302,2,0),0)+IFERROR(VLOOKUP(A38,'#13 IH Results'!$A$2:$C$302,2,0),0)+IFERROR(VLOOKUP(A38,'#12 IH Results'!$A$2:$C$302,2,0),0)+IFERROR(VLOOKUP(A38,'#11 IH Results'!$A$2:$C$302,2,0),0)+IFERROR(VLOOKUP(A38,'#10 IH Results'!$A$2:$C$302,2,0),0)+IFERROR(VLOOKUP(A38,'#9 IH Results'!$A$2:$C$302,2,0),0)+IFERROR(VLOOKUP(A38,'#8 IH Results'!$A$2:$C$302,2,0),0)+IFERROR(VLOOKUP(A38,'#7 IH Results'!$A$2:$C$302,2,0),0)+IFERROR(VLOOKUP(A38,'#6 IH Results'!$A$2:$C$302,2,0),0)+IFERROR(VLOOKUP(A38,'#5 IH Results'!$A$2:$C$303,2,0),0)+IFERROR(VLOOKUP(A38,'#4 IH Results'!$A$2:$C$300,2,0),0)+IFERROR(VLOOKUP(A38,'#3 IH Results'!$A$2:$C$101,2,0),0)+IFERROR(VLOOKUP(A38,'#2 IH Results'!$A$2:$C$101,2,0),0)+IFERROR(VLOOKUP(A38,'#1 IH Results'!$A$2:$C$101,2,0),0)+IFERROR(VLOOKUP(A38,'#0 IH Results'!$A$3:$C$102,2,0),0)</f>
        <v>66.17615329</v>
      </c>
    </row>
    <row r="39">
      <c r="A39" s="8" t="s">
        <v>39</v>
      </c>
      <c r="B39" s="6">
        <f>IFERROR(VLOOKUP(A39,'#17 IH Results'!$A$2:$C$301,2,0),0)+IFERROR(VLOOKUP(A39,'#16 IH Results'!$A$2:$C$301,2,0),0)+IFERROR(VLOOKUP(A39,'#15 IH Results'!$A$2:$C$301,2,0),0)+IFERROR(VLOOKUP(A39,'#14 IH Results'!$A$2:$C$302,2,0),0)+IFERROR(VLOOKUP(A39,'#13 IH Results'!$A$2:$C$302,2,0),0)+IFERROR(VLOOKUP(A39,'#12 IH Results'!$A$2:$C$302,2,0),0)+IFERROR(VLOOKUP(A39,'#11 IH Results'!$A$2:$C$302,2,0),0)+IFERROR(VLOOKUP(A39,'#10 IH Results'!$A$2:$C$302,2,0),0)+IFERROR(VLOOKUP(A39,'#9 IH Results'!$A$2:$C$302,2,0),0)+IFERROR(VLOOKUP(A39,'#8 IH Results'!$A$2:$C$302,2,0),0)+IFERROR(VLOOKUP(A39,'#7 IH Results'!$A$2:$C$302,2,0),0)+IFERROR(VLOOKUP(A39,'#6 IH Results'!$A$2:$C$302,2,0),0)+IFERROR(VLOOKUP(A39,'#5 IH Results'!$A$2:$C$303,2,0),0)+IFERROR(VLOOKUP(A39,'#4 IH Results'!$A$2:$C$300,2,0),0)+IFERROR(VLOOKUP(A39,'#3 IH Results'!$A$2:$C$101,2,0),0)+IFERROR(VLOOKUP(A39,'#2 IH Results'!$A$2:$C$101,2,0),0)+IFERROR(VLOOKUP(A39,'#1 IH Results'!$A$2:$C$101,2,0),0)+IFERROR(VLOOKUP(A39,'#0 IH Results'!$A$3:$C$102,2,0),0)</f>
        <v>65.87106219</v>
      </c>
    </row>
    <row r="40">
      <c r="A40" s="8" t="s">
        <v>40</v>
      </c>
      <c r="B40" s="6">
        <f>IFERROR(VLOOKUP(A40,'#17 IH Results'!$A$2:$C$301,2,0),0)+IFERROR(VLOOKUP(A40,'#16 IH Results'!$A$2:$C$301,2,0),0)+IFERROR(VLOOKUP(A40,'#15 IH Results'!$A$2:$C$301,2,0),0)+IFERROR(VLOOKUP(A40,'#14 IH Results'!$A$2:$C$302,2,0),0)+IFERROR(VLOOKUP(A40,'#13 IH Results'!$A$2:$C$302,2,0),0)+IFERROR(VLOOKUP(A40,'#12 IH Results'!$A$2:$C$302,2,0),0)+IFERROR(VLOOKUP(A40,'#11 IH Results'!$A$2:$C$302,2,0),0)+IFERROR(VLOOKUP(A40,'#10 IH Results'!$A$2:$C$302,2,0),0)+IFERROR(VLOOKUP(A40,'#9 IH Results'!$A$2:$C$302,2,0),0)+IFERROR(VLOOKUP(A40,'#8 IH Results'!$A$2:$C$302,2,0),0)+IFERROR(VLOOKUP(A40,'#7 IH Results'!$A$2:$C$302,2,0),0)+IFERROR(VLOOKUP(A40,'#6 IH Results'!$A$2:$C$302,2,0),0)+IFERROR(VLOOKUP(A40,'#5 IH Results'!$A$2:$C$303,2,0),0)+IFERROR(VLOOKUP(A40,'#4 IH Results'!$A$2:$C$300,2,0),0)+IFERROR(VLOOKUP(A40,'#3 IH Results'!$A$2:$C$101,2,0),0)+IFERROR(VLOOKUP(A40,'#2 IH Results'!$A$2:$C$101,2,0),0)+IFERROR(VLOOKUP(A40,'#1 IH Results'!$A$2:$C$101,2,0),0)+IFERROR(VLOOKUP(A40,'#0 IH Results'!$A$3:$C$102,2,0),0)</f>
        <v>65.57938505</v>
      </c>
    </row>
    <row r="41">
      <c r="A41" s="8" t="s">
        <v>41</v>
      </c>
      <c r="B41" s="6">
        <f>IFERROR(VLOOKUP(A41,'#17 IH Results'!$A$2:$C$301,2,0),0)+IFERROR(VLOOKUP(A41,'#16 IH Results'!$A$2:$C$301,2,0),0)+IFERROR(VLOOKUP(A41,'#15 IH Results'!$A$2:$C$301,2,0),0)+IFERROR(VLOOKUP(A41,'#14 IH Results'!$A$2:$C$302,2,0),0)+IFERROR(VLOOKUP(A41,'#13 IH Results'!$A$2:$C$302,2,0),0)+IFERROR(VLOOKUP(A41,'#12 IH Results'!$A$2:$C$302,2,0),0)+IFERROR(VLOOKUP(A41,'#11 IH Results'!$A$2:$C$302,2,0),0)+IFERROR(VLOOKUP(A41,'#10 IH Results'!$A$2:$C$302,2,0),0)+IFERROR(VLOOKUP(A41,'#9 IH Results'!$A$2:$C$302,2,0),0)+IFERROR(VLOOKUP(A41,'#8 IH Results'!$A$2:$C$302,2,0),0)+IFERROR(VLOOKUP(A41,'#7 IH Results'!$A$2:$C$302,2,0),0)+IFERROR(VLOOKUP(A41,'#6 IH Results'!$A$2:$C$302,2,0),0)+IFERROR(VLOOKUP(A41,'#5 IH Results'!$A$2:$C$303,2,0),0)+IFERROR(VLOOKUP(A41,'#4 IH Results'!$A$2:$C$300,2,0),0)+IFERROR(VLOOKUP(A41,'#3 IH Results'!$A$2:$C$101,2,0),0)+IFERROR(VLOOKUP(A41,'#2 IH Results'!$A$2:$C$101,2,0),0)+IFERROR(VLOOKUP(A41,'#1 IH Results'!$A$2:$C$101,2,0),0)+IFERROR(VLOOKUP(A41,'#0 IH Results'!$A$3:$C$102,2,0),0)</f>
        <v>63.84408535</v>
      </c>
    </row>
    <row r="42">
      <c r="A42" s="8" t="s">
        <v>42</v>
      </c>
      <c r="B42" s="6">
        <f>IFERROR(VLOOKUP(A42,'#17 IH Results'!$A$2:$C$301,2,0),0)+IFERROR(VLOOKUP(A42,'#16 IH Results'!$A$2:$C$301,2,0),0)+IFERROR(VLOOKUP(A42,'#15 IH Results'!$A$2:$C$301,2,0),0)+IFERROR(VLOOKUP(A42,'#14 IH Results'!$A$2:$C$302,2,0),0)+IFERROR(VLOOKUP(A42,'#13 IH Results'!$A$2:$C$302,2,0),0)+IFERROR(VLOOKUP(A42,'#12 IH Results'!$A$2:$C$302,2,0),0)+IFERROR(VLOOKUP(A42,'#11 IH Results'!$A$2:$C$302,2,0),0)+IFERROR(VLOOKUP(A42,'#10 IH Results'!$A$2:$C$302,2,0),0)+IFERROR(VLOOKUP(A42,'#9 IH Results'!$A$2:$C$302,2,0),0)+IFERROR(VLOOKUP(A42,'#8 IH Results'!$A$2:$C$302,2,0),0)+IFERROR(VLOOKUP(A42,'#7 IH Results'!$A$2:$C$302,2,0),0)+IFERROR(VLOOKUP(A42,'#6 IH Results'!$A$2:$C$302,2,0),0)+IFERROR(VLOOKUP(A42,'#5 IH Results'!$A$2:$C$303,2,0),0)+IFERROR(VLOOKUP(A42,'#4 IH Results'!$A$2:$C$300,2,0),0)+IFERROR(VLOOKUP(A42,'#3 IH Results'!$A$2:$C$101,2,0),0)+IFERROR(VLOOKUP(A42,'#2 IH Results'!$A$2:$C$101,2,0),0)+IFERROR(VLOOKUP(A42,'#1 IH Results'!$A$2:$C$101,2,0),0)+IFERROR(VLOOKUP(A42,'#0 IH Results'!$A$3:$C$102,2,0),0)</f>
        <v>63.37209756</v>
      </c>
    </row>
    <row r="43">
      <c r="A43" s="8" t="s">
        <v>43</v>
      </c>
      <c r="B43" s="6">
        <f>IFERROR(VLOOKUP(A43,'#17 IH Results'!$A$2:$C$301,2,0),0)+IFERROR(VLOOKUP(A43,'#16 IH Results'!$A$2:$C$301,2,0),0)+IFERROR(VLOOKUP(A43,'#15 IH Results'!$A$2:$C$301,2,0),0)+IFERROR(VLOOKUP(A43,'#14 IH Results'!$A$2:$C$302,2,0),0)+IFERROR(VLOOKUP(A43,'#13 IH Results'!$A$2:$C$302,2,0),0)+IFERROR(VLOOKUP(A43,'#12 IH Results'!$A$2:$C$302,2,0),0)+IFERROR(VLOOKUP(A43,'#11 IH Results'!$A$2:$C$302,2,0),0)+IFERROR(VLOOKUP(A43,'#10 IH Results'!$A$2:$C$302,2,0),0)+IFERROR(VLOOKUP(A43,'#9 IH Results'!$A$2:$C$302,2,0),0)+IFERROR(VLOOKUP(A43,'#8 IH Results'!$A$2:$C$302,2,0),0)+IFERROR(VLOOKUP(A43,'#7 IH Results'!$A$2:$C$302,2,0),0)+IFERROR(VLOOKUP(A43,'#6 IH Results'!$A$2:$C$302,2,0),0)+IFERROR(VLOOKUP(A43,'#5 IH Results'!$A$2:$C$303,2,0),0)+IFERROR(VLOOKUP(A43,'#4 IH Results'!$A$2:$C$300,2,0),0)+IFERROR(VLOOKUP(A43,'#3 IH Results'!$A$2:$C$101,2,0),0)+IFERROR(VLOOKUP(A43,'#2 IH Results'!$A$2:$C$101,2,0),0)+IFERROR(VLOOKUP(A43,'#1 IH Results'!$A$2:$C$101,2,0),0)+IFERROR(VLOOKUP(A43,'#0 IH Results'!$A$3:$C$102,2,0),0)</f>
        <v>63.19042563</v>
      </c>
    </row>
    <row r="44">
      <c r="A44" s="8" t="s">
        <v>44</v>
      </c>
      <c r="B44" s="6">
        <f>IFERROR(VLOOKUP(A44,'#17 IH Results'!$A$2:$C$301,2,0),0)+IFERROR(VLOOKUP(A44,'#16 IH Results'!$A$2:$C$301,2,0),0)+IFERROR(VLOOKUP(A44,'#15 IH Results'!$A$2:$C$301,2,0),0)+IFERROR(VLOOKUP(A44,'#14 IH Results'!$A$2:$C$302,2,0),0)+IFERROR(VLOOKUP(A44,'#13 IH Results'!$A$2:$C$302,2,0),0)+IFERROR(VLOOKUP(A44,'#12 IH Results'!$A$2:$C$302,2,0),0)+IFERROR(VLOOKUP(A44,'#11 IH Results'!$A$2:$C$302,2,0),0)+IFERROR(VLOOKUP(A44,'#10 IH Results'!$A$2:$C$302,2,0),0)+IFERROR(VLOOKUP(A44,'#9 IH Results'!$A$2:$C$302,2,0),0)+IFERROR(VLOOKUP(A44,'#8 IH Results'!$A$2:$C$302,2,0),0)+IFERROR(VLOOKUP(A44,'#7 IH Results'!$A$2:$C$302,2,0),0)+IFERROR(VLOOKUP(A44,'#6 IH Results'!$A$2:$C$302,2,0),0)+IFERROR(VLOOKUP(A44,'#5 IH Results'!$A$2:$C$303,2,0),0)+IFERROR(VLOOKUP(A44,'#4 IH Results'!$A$2:$C$300,2,0),0)+IFERROR(VLOOKUP(A44,'#3 IH Results'!$A$2:$C$101,2,0),0)+IFERROR(VLOOKUP(A44,'#2 IH Results'!$A$2:$C$101,2,0),0)+IFERROR(VLOOKUP(A44,'#1 IH Results'!$A$2:$C$101,2,0),0)+IFERROR(VLOOKUP(A44,'#0 IH Results'!$A$3:$C$102,2,0),0)</f>
        <v>62.5792293</v>
      </c>
    </row>
    <row r="45">
      <c r="A45" s="8" t="s">
        <v>45</v>
      </c>
      <c r="B45" s="6">
        <f>IFERROR(VLOOKUP(A45,'#17 IH Results'!$A$2:$C$301,2,0),0)+IFERROR(VLOOKUP(A45,'#16 IH Results'!$A$2:$C$301,2,0),0)+IFERROR(VLOOKUP(A45,'#15 IH Results'!$A$2:$C$301,2,0),0)+IFERROR(VLOOKUP(A45,'#14 IH Results'!$A$2:$C$302,2,0),0)+IFERROR(VLOOKUP(A45,'#13 IH Results'!$A$2:$C$302,2,0),0)+IFERROR(VLOOKUP(A45,'#12 IH Results'!$A$2:$C$302,2,0),0)+IFERROR(VLOOKUP(A45,'#11 IH Results'!$A$2:$C$302,2,0),0)+IFERROR(VLOOKUP(A45,'#10 IH Results'!$A$2:$C$302,2,0),0)+IFERROR(VLOOKUP(A45,'#9 IH Results'!$A$2:$C$302,2,0),0)+IFERROR(VLOOKUP(A45,'#8 IH Results'!$A$2:$C$302,2,0),0)+IFERROR(VLOOKUP(A45,'#7 IH Results'!$A$2:$C$302,2,0),0)+IFERROR(VLOOKUP(A45,'#6 IH Results'!$A$2:$C$302,2,0),0)+IFERROR(VLOOKUP(A45,'#5 IH Results'!$A$2:$C$303,2,0),0)+IFERROR(VLOOKUP(A45,'#4 IH Results'!$A$2:$C$300,2,0),0)+IFERROR(VLOOKUP(A45,'#3 IH Results'!$A$2:$C$101,2,0),0)+IFERROR(VLOOKUP(A45,'#2 IH Results'!$A$2:$C$101,2,0),0)+IFERROR(VLOOKUP(A45,'#1 IH Results'!$A$2:$C$101,2,0),0)+IFERROR(VLOOKUP(A45,'#0 IH Results'!$A$3:$C$102,2,0),0)</f>
        <v>57.64135797</v>
      </c>
    </row>
    <row r="46">
      <c r="A46" s="8" t="s">
        <v>46</v>
      </c>
      <c r="B46" s="6">
        <f>IFERROR(VLOOKUP(A46,'#17 IH Results'!$A$2:$C$301,2,0),0)+IFERROR(VLOOKUP(A46,'#16 IH Results'!$A$2:$C$301,2,0),0)+IFERROR(VLOOKUP(A46,'#15 IH Results'!$A$2:$C$301,2,0),0)+IFERROR(VLOOKUP(A46,'#14 IH Results'!$A$2:$C$302,2,0),0)+IFERROR(VLOOKUP(A46,'#13 IH Results'!$A$2:$C$302,2,0),0)+IFERROR(VLOOKUP(A46,'#12 IH Results'!$A$2:$C$302,2,0),0)+IFERROR(VLOOKUP(A46,'#11 IH Results'!$A$2:$C$302,2,0),0)+IFERROR(VLOOKUP(A46,'#10 IH Results'!$A$2:$C$302,2,0),0)+IFERROR(VLOOKUP(A46,'#9 IH Results'!$A$2:$C$302,2,0),0)+IFERROR(VLOOKUP(A46,'#8 IH Results'!$A$2:$C$302,2,0),0)+IFERROR(VLOOKUP(A46,'#7 IH Results'!$A$2:$C$302,2,0),0)+IFERROR(VLOOKUP(A46,'#6 IH Results'!$A$2:$C$302,2,0),0)+IFERROR(VLOOKUP(A46,'#5 IH Results'!$A$2:$C$303,2,0),0)+IFERROR(VLOOKUP(A46,'#4 IH Results'!$A$2:$C$300,2,0),0)+IFERROR(VLOOKUP(A46,'#3 IH Results'!$A$2:$C$101,2,0),0)+IFERROR(VLOOKUP(A46,'#2 IH Results'!$A$2:$C$101,2,0),0)+IFERROR(VLOOKUP(A46,'#1 IH Results'!$A$2:$C$101,2,0),0)+IFERROR(VLOOKUP(A46,'#0 IH Results'!$A$3:$C$102,2,0),0)</f>
        <v>55.43185519</v>
      </c>
    </row>
    <row r="47">
      <c r="A47" s="8" t="s">
        <v>47</v>
      </c>
      <c r="B47" s="6">
        <f>IFERROR(VLOOKUP(A47,'#17 IH Results'!$A$2:$C$301,2,0),0)+IFERROR(VLOOKUP(A47,'#16 IH Results'!$A$2:$C$301,2,0),0)+IFERROR(VLOOKUP(A47,'#15 IH Results'!$A$2:$C$301,2,0),0)+IFERROR(VLOOKUP(A47,'#14 IH Results'!$A$2:$C$302,2,0),0)+IFERROR(VLOOKUP(A47,'#13 IH Results'!$A$2:$C$302,2,0),0)+IFERROR(VLOOKUP(A47,'#12 IH Results'!$A$2:$C$302,2,0),0)+IFERROR(VLOOKUP(A47,'#11 IH Results'!$A$2:$C$302,2,0),0)+IFERROR(VLOOKUP(A47,'#10 IH Results'!$A$2:$C$302,2,0),0)+IFERROR(VLOOKUP(A47,'#9 IH Results'!$A$2:$C$302,2,0),0)+IFERROR(VLOOKUP(A47,'#8 IH Results'!$A$2:$C$302,2,0),0)+IFERROR(VLOOKUP(A47,'#7 IH Results'!$A$2:$C$302,2,0),0)+IFERROR(VLOOKUP(A47,'#6 IH Results'!$A$2:$C$302,2,0),0)+IFERROR(VLOOKUP(A47,'#5 IH Results'!$A$2:$C$303,2,0),0)+IFERROR(VLOOKUP(A47,'#4 IH Results'!$A$2:$C$300,2,0),0)+IFERROR(VLOOKUP(A47,'#3 IH Results'!$A$2:$C$101,2,0),0)+IFERROR(VLOOKUP(A47,'#2 IH Results'!$A$2:$C$101,2,0),0)+IFERROR(VLOOKUP(A47,'#1 IH Results'!$A$2:$C$101,2,0),0)+IFERROR(VLOOKUP(A47,'#0 IH Results'!$A$3:$C$102,2,0),0)</f>
        <v>53.11418589</v>
      </c>
    </row>
    <row r="48">
      <c r="A48" s="8" t="s">
        <v>48</v>
      </c>
      <c r="B48" s="6">
        <f>IFERROR(VLOOKUP(A48,'#17 IH Results'!$A$2:$C$301,2,0),0)+IFERROR(VLOOKUP(A48,'#16 IH Results'!$A$2:$C$301,2,0),0)+IFERROR(VLOOKUP(A48,'#15 IH Results'!$A$2:$C$301,2,0),0)+IFERROR(VLOOKUP(A48,'#14 IH Results'!$A$2:$C$302,2,0),0)+IFERROR(VLOOKUP(A48,'#13 IH Results'!$A$2:$C$302,2,0),0)+IFERROR(VLOOKUP(A48,'#12 IH Results'!$A$2:$C$302,2,0),0)+IFERROR(VLOOKUP(A48,'#11 IH Results'!$A$2:$C$302,2,0),0)+IFERROR(VLOOKUP(A48,'#10 IH Results'!$A$2:$C$302,2,0),0)+IFERROR(VLOOKUP(A48,'#9 IH Results'!$A$2:$C$302,2,0),0)+IFERROR(VLOOKUP(A48,'#8 IH Results'!$A$2:$C$302,2,0),0)+IFERROR(VLOOKUP(A48,'#7 IH Results'!$A$2:$C$302,2,0),0)+IFERROR(VLOOKUP(A48,'#6 IH Results'!$A$2:$C$302,2,0),0)+IFERROR(VLOOKUP(A48,'#5 IH Results'!$A$2:$C$303,2,0),0)+IFERROR(VLOOKUP(A48,'#4 IH Results'!$A$2:$C$300,2,0),0)+IFERROR(VLOOKUP(A48,'#3 IH Results'!$A$2:$C$101,2,0),0)+IFERROR(VLOOKUP(A48,'#2 IH Results'!$A$2:$C$101,2,0),0)+IFERROR(VLOOKUP(A48,'#1 IH Results'!$A$2:$C$101,2,0),0)+IFERROR(VLOOKUP(A48,'#0 IH Results'!$A$3:$C$102,2,0),0)</f>
        <v>52.56795015</v>
      </c>
    </row>
    <row r="49">
      <c r="A49" s="8" t="s">
        <v>49</v>
      </c>
      <c r="B49" s="6">
        <f>IFERROR(VLOOKUP(A49,'#17 IH Results'!$A$2:$C$301,2,0),0)+IFERROR(VLOOKUP(A49,'#16 IH Results'!$A$2:$C$301,2,0),0)+IFERROR(VLOOKUP(A49,'#15 IH Results'!$A$2:$C$301,2,0),0)+IFERROR(VLOOKUP(A49,'#14 IH Results'!$A$2:$C$302,2,0),0)+IFERROR(VLOOKUP(A49,'#13 IH Results'!$A$2:$C$302,2,0),0)+IFERROR(VLOOKUP(A49,'#12 IH Results'!$A$2:$C$302,2,0),0)+IFERROR(VLOOKUP(A49,'#11 IH Results'!$A$2:$C$302,2,0),0)+IFERROR(VLOOKUP(A49,'#10 IH Results'!$A$2:$C$302,2,0),0)+IFERROR(VLOOKUP(A49,'#9 IH Results'!$A$2:$C$302,2,0),0)+IFERROR(VLOOKUP(A49,'#8 IH Results'!$A$2:$C$302,2,0),0)+IFERROR(VLOOKUP(A49,'#7 IH Results'!$A$2:$C$302,2,0),0)+IFERROR(VLOOKUP(A49,'#6 IH Results'!$A$2:$C$302,2,0),0)+IFERROR(VLOOKUP(A49,'#5 IH Results'!$A$2:$C$303,2,0),0)+IFERROR(VLOOKUP(A49,'#4 IH Results'!$A$2:$C$300,2,0),0)+IFERROR(VLOOKUP(A49,'#3 IH Results'!$A$2:$C$101,2,0),0)+IFERROR(VLOOKUP(A49,'#2 IH Results'!$A$2:$C$101,2,0),0)+IFERROR(VLOOKUP(A49,'#1 IH Results'!$A$2:$C$101,2,0),0)+IFERROR(VLOOKUP(A49,'#0 IH Results'!$A$3:$C$102,2,0),0)</f>
        <v>47.85046549</v>
      </c>
    </row>
    <row r="50">
      <c r="A50" s="8" t="s">
        <v>50</v>
      </c>
      <c r="B50" s="6">
        <f>IFERROR(VLOOKUP(A50,'#17 IH Results'!$A$2:$C$301,2,0),0)+IFERROR(VLOOKUP(A50,'#16 IH Results'!$A$2:$C$301,2,0),0)+IFERROR(VLOOKUP(A50,'#15 IH Results'!$A$2:$C$301,2,0),0)+IFERROR(VLOOKUP(A50,'#14 IH Results'!$A$2:$C$302,2,0),0)+IFERROR(VLOOKUP(A50,'#13 IH Results'!$A$2:$C$302,2,0),0)+IFERROR(VLOOKUP(A50,'#12 IH Results'!$A$2:$C$302,2,0),0)+IFERROR(VLOOKUP(A50,'#11 IH Results'!$A$2:$C$302,2,0),0)+IFERROR(VLOOKUP(A50,'#10 IH Results'!$A$2:$C$302,2,0),0)+IFERROR(VLOOKUP(A50,'#9 IH Results'!$A$2:$C$302,2,0),0)+IFERROR(VLOOKUP(A50,'#8 IH Results'!$A$2:$C$302,2,0),0)+IFERROR(VLOOKUP(A50,'#7 IH Results'!$A$2:$C$302,2,0),0)+IFERROR(VLOOKUP(A50,'#6 IH Results'!$A$2:$C$302,2,0),0)+IFERROR(VLOOKUP(A50,'#5 IH Results'!$A$2:$C$303,2,0),0)+IFERROR(VLOOKUP(A50,'#4 IH Results'!$A$2:$C$300,2,0),0)+IFERROR(VLOOKUP(A50,'#3 IH Results'!$A$2:$C$101,2,0),0)+IFERROR(VLOOKUP(A50,'#2 IH Results'!$A$2:$C$101,2,0),0)+IFERROR(VLOOKUP(A50,'#1 IH Results'!$A$2:$C$101,2,0),0)+IFERROR(VLOOKUP(A50,'#0 IH Results'!$A$3:$C$102,2,0),0)</f>
        <v>46.74060597</v>
      </c>
    </row>
    <row r="51">
      <c r="A51" s="10" t="s">
        <v>51</v>
      </c>
      <c r="B51" s="6">
        <f>IFERROR(VLOOKUP(A51,'#17 IH Results'!$A$2:$C$301,2,0),0)+IFERROR(VLOOKUP(A51,'#16 IH Results'!$A$2:$C$301,2,0),0)+IFERROR(VLOOKUP(A51,'#15 IH Results'!$A$2:$C$301,2,0),0)+IFERROR(VLOOKUP(A51,'#14 IH Results'!$A$2:$C$302,2,0),0)+IFERROR(VLOOKUP(A51,'#13 IH Results'!$A$2:$C$302,2,0),0)+IFERROR(VLOOKUP(A51,'#12 IH Results'!$A$2:$C$302,2,0),0)+IFERROR(VLOOKUP(A51,'#11 IH Results'!$A$2:$C$302,2,0),0)+IFERROR(VLOOKUP(A51,'#10 IH Results'!$A$2:$C$302,2,0),0)+IFERROR(VLOOKUP(A51,'#9 IH Results'!$A$2:$C$302,2,0),0)+IFERROR(VLOOKUP(A51,'#8 IH Results'!$A$2:$C$302,2,0),0)+IFERROR(VLOOKUP(A51,'#7 IH Results'!$A$2:$C$302,2,0),0)+IFERROR(VLOOKUP(A51,'#6 IH Results'!$A$2:$C$302,2,0),0)+IFERROR(VLOOKUP(A51,'#5 IH Results'!$A$2:$C$303,2,0),0)+IFERROR(VLOOKUP(A51,'#4 IH Results'!$A$2:$C$300,2,0),0)+IFERROR(VLOOKUP(A51,'#3 IH Results'!$A$2:$C$101,2,0),0)+IFERROR(VLOOKUP(A51,'#2 IH Results'!$A$2:$C$101,2,0),0)+IFERROR(VLOOKUP(A51,'#1 IH Results'!$A$2:$C$101,2,0),0)+IFERROR(VLOOKUP(A51,'#0 IH Results'!$A$3:$C$102,2,0),0)</f>
        <v>45.58664402</v>
      </c>
    </row>
    <row r="52">
      <c r="A52" s="8" t="s">
        <v>52</v>
      </c>
      <c r="B52" s="6">
        <f>IFERROR(VLOOKUP(A52,'#17 IH Results'!$A$2:$C$301,2,0),0)+IFERROR(VLOOKUP(A52,'#16 IH Results'!$A$2:$C$301,2,0),0)+IFERROR(VLOOKUP(A52,'#15 IH Results'!$A$2:$C$301,2,0),0)+IFERROR(VLOOKUP(A52,'#14 IH Results'!$A$2:$C$302,2,0),0)+IFERROR(VLOOKUP(A52,'#13 IH Results'!$A$2:$C$302,2,0),0)+IFERROR(VLOOKUP(A52,'#12 IH Results'!$A$2:$C$302,2,0),0)+IFERROR(VLOOKUP(A52,'#11 IH Results'!$A$2:$C$302,2,0),0)+IFERROR(VLOOKUP(A52,'#10 IH Results'!$A$2:$C$302,2,0),0)+IFERROR(VLOOKUP(A52,'#9 IH Results'!$A$2:$C$302,2,0),0)+IFERROR(VLOOKUP(A52,'#8 IH Results'!$A$2:$C$302,2,0),0)+IFERROR(VLOOKUP(A52,'#7 IH Results'!$A$2:$C$302,2,0),0)+IFERROR(VLOOKUP(A52,'#6 IH Results'!$A$2:$C$302,2,0),0)+IFERROR(VLOOKUP(A52,'#5 IH Results'!$A$2:$C$303,2,0),0)+IFERROR(VLOOKUP(A52,'#4 IH Results'!$A$2:$C$300,2,0),0)+IFERROR(VLOOKUP(A52,'#3 IH Results'!$A$2:$C$101,2,0),0)+IFERROR(VLOOKUP(A52,'#2 IH Results'!$A$2:$C$101,2,0),0)+IFERROR(VLOOKUP(A52,'#1 IH Results'!$A$2:$C$101,2,0),0)+IFERROR(VLOOKUP(A52,'#0 IH Results'!$A$3:$C$102,2,0),0)</f>
        <v>45.31196822</v>
      </c>
    </row>
    <row r="53">
      <c r="A53" s="8" t="s">
        <v>53</v>
      </c>
      <c r="B53" s="6">
        <f>IFERROR(VLOOKUP(A53,'#17 IH Results'!$A$2:$C$301,2,0),0)+IFERROR(VLOOKUP(A53,'#16 IH Results'!$A$2:$C$301,2,0),0)+IFERROR(VLOOKUP(A53,'#15 IH Results'!$A$2:$C$301,2,0),0)+IFERROR(VLOOKUP(A53,'#14 IH Results'!$A$2:$C$302,2,0),0)+IFERROR(VLOOKUP(A53,'#13 IH Results'!$A$2:$C$302,2,0),0)+IFERROR(VLOOKUP(A53,'#12 IH Results'!$A$2:$C$302,2,0),0)+IFERROR(VLOOKUP(A53,'#11 IH Results'!$A$2:$C$302,2,0),0)+IFERROR(VLOOKUP(A53,'#10 IH Results'!$A$2:$C$302,2,0),0)+IFERROR(VLOOKUP(A53,'#9 IH Results'!$A$2:$C$302,2,0),0)+IFERROR(VLOOKUP(A53,'#8 IH Results'!$A$2:$C$302,2,0),0)+IFERROR(VLOOKUP(A53,'#7 IH Results'!$A$2:$C$302,2,0),0)+IFERROR(VLOOKUP(A53,'#6 IH Results'!$A$2:$C$302,2,0),0)+IFERROR(VLOOKUP(A53,'#5 IH Results'!$A$2:$C$303,2,0),0)+IFERROR(VLOOKUP(A53,'#4 IH Results'!$A$2:$C$300,2,0),0)+IFERROR(VLOOKUP(A53,'#3 IH Results'!$A$2:$C$101,2,0),0)+IFERROR(VLOOKUP(A53,'#2 IH Results'!$A$2:$C$101,2,0),0)+IFERROR(VLOOKUP(A53,'#1 IH Results'!$A$2:$C$101,2,0),0)+IFERROR(VLOOKUP(A53,'#0 IH Results'!$A$3:$C$102,2,0),0)</f>
        <v>44.31867887</v>
      </c>
    </row>
    <row r="54">
      <c r="A54" s="8" t="s">
        <v>54</v>
      </c>
      <c r="B54" s="6">
        <f>IFERROR(VLOOKUP(A54,'#17 IH Results'!$A$2:$C$301,2,0),0)+IFERROR(VLOOKUP(A54,'#16 IH Results'!$A$2:$C$301,2,0),0)+IFERROR(VLOOKUP(A54,'#15 IH Results'!$A$2:$C$301,2,0),0)+IFERROR(VLOOKUP(A54,'#14 IH Results'!$A$2:$C$302,2,0),0)+IFERROR(VLOOKUP(A54,'#13 IH Results'!$A$2:$C$302,2,0),0)+IFERROR(VLOOKUP(A54,'#12 IH Results'!$A$2:$C$302,2,0),0)+IFERROR(VLOOKUP(A54,'#11 IH Results'!$A$2:$C$302,2,0),0)+IFERROR(VLOOKUP(A54,'#10 IH Results'!$A$2:$C$302,2,0),0)+IFERROR(VLOOKUP(A54,'#9 IH Results'!$A$2:$C$302,2,0),0)+IFERROR(VLOOKUP(A54,'#8 IH Results'!$A$2:$C$302,2,0),0)+IFERROR(VLOOKUP(A54,'#7 IH Results'!$A$2:$C$302,2,0),0)+IFERROR(VLOOKUP(A54,'#6 IH Results'!$A$2:$C$302,2,0),0)+IFERROR(VLOOKUP(A54,'#5 IH Results'!$A$2:$C$303,2,0),0)+IFERROR(VLOOKUP(A54,'#4 IH Results'!$A$2:$C$300,2,0),0)+IFERROR(VLOOKUP(A54,'#3 IH Results'!$A$2:$C$101,2,0),0)+IFERROR(VLOOKUP(A54,'#2 IH Results'!$A$2:$C$101,2,0),0)+IFERROR(VLOOKUP(A54,'#1 IH Results'!$A$2:$C$101,2,0),0)+IFERROR(VLOOKUP(A54,'#0 IH Results'!$A$3:$C$102,2,0),0)</f>
        <v>42.61022249</v>
      </c>
    </row>
    <row r="55">
      <c r="A55" s="8" t="s">
        <v>55</v>
      </c>
      <c r="B55" s="6">
        <f>IFERROR(VLOOKUP(A55,'#17 IH Results'!$A$2:$C$301,2,0),0)+IFERROR(VLOOKUP(A55,'#16 IH Results'!$A$2:$C$301,2,0),0)+IFERROR(VLOOKUP(A55,'#15 IH Results'!$A$2:$C$301,2,0),0)+IFERROR(VLOOKUP(A55,'#14 IH Results'!$A$2:$C$302,2,0),0)+IFERROR(VLOOKUP(A55,'#13 IH Results'!$A$2:$C$302,2,0),0)+IFERROR(VLOOKUP(A55,'#12 IH Results'!$A$2:$C$302,2,0),0)+IFERROR(VLOOKUP(A55,'#11 IH Results'!$A$2:$C$302,2,0),0)+IFERROR(VLOOKUP(A55,'#10 IH Results'!$A$2:$C$302,2,0),0)+IFERROR(VLOOKUP(A55,'#9 IH Results'!$A$2:$C$302,2,0),0)+IFERROR(VLOOKUP(A55,'#8 IH Results'!$A$2:$C$302,2,0),0)+IFERROR(VLOOKUP(A55,'#7 IH Results'!$A$2:$C$302,2,0),0)+IFERROR(VLOOKUP(A55,'#6 IH Results'!$A$2:$C$302,2,0),0)+IFERROR(VLOOKUP(A55,'#5 IH Results'!$A$2:$C$303,2,0),0)+IFERROR(VLOOKUP(A55,'#4 IH Results'!$A$2:$C$300,2,0),0)+IFERROR(VLOOKUP(A55,'#3 IH Results'!$A$2:$C$101,2,0),0)+IFERROR(VLOOKUP(A55,'#2 IH Results'!$A$2:$C$101,2,0),0)+IFERROR(VLOOKUP(A55,'#1 IH Results'!$A$2:$C$101,2,0),0)+IFERROR(VLOOKUP(A55,'#0 IH Results'!$A$3:$C$102,2,0),0)</f>
        <v>41.6902896</v>
      </c>
    </row>
    <row r="56">
      <c r="A56" s="8" t="s">
        <v>56</v>
      </c>
      <c r="B56" s="6">
        <f>IFERROR(VLOOKUP(A56,'#17 IH Results'!$A$2:$C$301,2,0),0)+IFERROR(VLOOKUP(A56,'#16 IH Results'!$A$2:$C$301,2,0),0)+IFERROR(VLOOKUP(A56,'#15 IH Results'!$A$2:$C$301,2,0),0)+IFERROR(VLOOKUP(A56,'#14 IH Results'!$A$2:$C$302,2,0),0)+IFERROR(VLOOKUP(A56,'#13 IH Results'!$A$2:$C$302,2,0),0)+IFERROR(VLOOKUP(A56,'#12 IH Results'!$A$2:$C$302,2,0),0)+IFERROR(VLOOKUP(A56,'#11 IH Results'!$A$2:$C$302,2,0),0)+IFERROR(VLOOKUP(A56,'#10 IH Results'!$A$2:$C$302,2,0),0)+IFERROR(VLOOKUP(A56,'#9 IH Results'!$A$2:$C$302,2,0),0)+IFERROR(VLOOKUP(A56,'#8 IH Results'!$A$2:$C$302,2,0),0)+IFERROR(VLOOKUP(A56,'#7 IH Results'!$A$2:$C$302,2,0),0)+IFERROR(VLOOKUP(A56,'#6 IH Results'!$A$2:$C$302,2,0),0)+IFERROR(VLOOKUP(A56,'#5 IH Results'!$A$2:$C$303,2,0),0)+IFERROR(VLOOKUP(A56,'#4 IH Results'!$A$2:$C$300,2,0),0)+IFERROR(VLOOKUP(A56,'#3 IH Results'!$A$2:$C$101,2,0),0)+IFERROR(VLOOKUP(A56,'#2 IH Results'!$A$2:$C$101,2,0),0)+IFERROR(VLOOKUP(A56,'#1 IH Results'!$A$2:$C$101,2,0),0)+IFERROR(VLOOKUP(A56,'#0 IH Results'!$A$3:$C$102,2,0),0)</f>
        <v>41.27510754</v>
      </c>
    </row>
    <row r="57">
      <c r="A57" s="8" t="s">
        <v>57</v>
      </c>
      <c r="B57" s="6">
        <f>IFERROR(VLOOKUP(A57,'#17 IH Results'!$A$2:$C$301,2,0),0)+IFERROR(VLOOKUP(A57,'#16 IH Results'!$A$2:$C$301,2,0),0)+IFERROR(VLOOKUP(A57,'#15 IH Results'!$A$2:$C$301,2,0),0)+IFERROR(VLOOKUP(A57,'#14 IH Results'!$A$2:$C$302,2,0),0)+IFERROR(VLOOKUP(A57,'#13 IH Results'!$A$2:$C$302,2,0),0)+IFERROR(VLOOKUP(A57,'#12 IH Results'!$A$2:$C$302,2,0),0)+IFERROR(VLOOKUP(A57,'#11 IH Results'!$A$2:$C$302,2,0),0)+IFERROR(VLOOKUP(A57,'#10 IH Results'!$A$2:$C$302,2,0),0)+IFERROR(VLOOKUP(A57,'#9 IH Results'!$A$2:$C$302,2,0),0)+IFERROR(VLOOKUP(A57,'#8 IH Results'!$A$2:$C$302,2,0),0)+IFERROR(VLOOKUP(A57,'#7 IH Results'!$A$2:$C$302,2,0),0)+IFERROR(VLOOKUP(A57,'#6 IH Results'!$A$2:$C$302,2,0),0)+IFERROR(VLOOKUP(A57,'#5 IH Results'!$A$2:$C$303,2,0),0)+IFERROR(VLOOKUP(A57,'#4 IH Results'!$A$2:$C$300,2,0),0)+IFERROR(VLOOKUP(A57,'#3 IH Results'!$A$2:$C$101,2,0),0)+IFERROR(VLOOKUP(A57,'#2 IH Results'!$A$2:$C$101,2,0),0)+IFERROR(VLOOKUP(A57,'#1 IH Results'!$A$2:$C$101,2,0),0)+IFERROR(VLOOKUP(A57,'#0 IH Results'!$A$3:$C$102,2,0),0)</f>
        <v>39.85271004</v>
      </c>
    </row>
    <row r="58">
      <c r="A58" s="8" t="s">
        <v>58</v>
      </c>
      <c r="B58" s="6">
        <f>IFERROR(VLOOKUP(A58,'#17 IH Results'!$A$2:$C$301,2,0),0)+IFERROR(VLOOKUP(A58,'#16 IH Results'!$A$2:$C$301,2,0),0)+IFERROR(VLOOKUP(A58,'#15 IH Results'!$A$2:$C$301,2,0),0)+IFERROR(VLOOKUP(A58,'#14 IH Results'!$A$2:$C$302,2,0),0)+IFERROR(VLOOKUP(A58,'#13 IH Results'!$A$2:$C$302,2,0),0)+IFERROR(VLOOKUP(A58,'#12 IH Results'!$A$2:$C$302,2,0),0)+IFERROR(VLOOKUP(A58,'#11 IH Results'!$A$2:$C$302,2,0),0)+IFERROR(VLOOKUP(A58,'#10 IH Results'!$A$2:$C$302,2,0),0)+IFERROR(VLOOKUP(A58,'#9 IH Results'!$A$2:$C$302,2,0),0)+IFERROR(VLOOKUP(A58,'#8 IH Results'!$A$2:$C$302,2,0),0)+IFERROR(VLOOKUP(A58,'#7 IH Results'!$A$2:$C$302,2,0),0)+IFERROR(VLOOKUP(A58,'#6 IH Results'!$A$2:$C$302,2,0),0)+IFERROR(VLOOKUP(A58,'#5 IH Results'!$A$2:$C$303,2,0),0)+IFERROR(VLOOKUP(A58,'#4 IH Results'!$A$2:$C$300,2,0),0)+IFERROR(VLOOKUP(A58,'#3 IH Results'!$A$2:$C$101,2,0),0)+IFERROR(VLOOKUP(A58,'#2 IH Results'!$A$2:$C$101,2,0),0)+IFERROR(VLOOKUP(A58,'#1 IH Results'!$A$2:$C$101,2,0),0)+IFERROR(VLOOKUP(A58,'#0 IH Results'!$A$3:$C$102,2,0),0)</f>
        <v>39.58864661</v>
      </c>
    </row>
    <row r="59">
      <c r="A59" s="8" t="s">
        <v>59</v>
      </c>
      <c r="B59" s="6">
        <f>IFERROR(VLOOKUP(A59,'#17 IH Results'!$A$2:$C$301,2,0),0)+IFERROR(VLOOKUP(A59,'#16 IH Results'!$A$2:$C$301,2,0),0)+IFERROR(VLOOKUP(A59,'#15 IH Results'!$A$2:$C$301,2,0),0)+IFERROR(VLOOKUP(A59,'#14 IH Results'!$A$2:$C$302,2,0),0)+IFERROR(VLOOKUP(A59,'#13 IH Results'!$A$2:$C$302,2,0),0)+IFERROR(VLOOKUP(A59,'#12 IH Results'!$A$2:$C$302,2,0),0)+IFERROR(VLOOKUP(A59,'#11 IH Results'!$A$2:$C$302,2,0),0)+IFERROR(VLOOKUP(A59,'#10 IH Results'!$A$2:$C$302,2,0),0)+IFERROR(VLOOKUP(A59,'#9 IH Results'!$A$2:$C$302,2,0),0)+IFERROR(VLOOKUP(A59,'#8 IH Results'!$A$2:$C$302,2,0),0)+IFERROR(VLOOKUP(A59,'#7 IH Results'!$A$2:$C$302,2,0),0)+IFERROR(VLOOKUP(A59,'#6 IH Results'!$A$2:$C$302,2,0),0)+IFERROR(VLOOKUP(A59,'#5 IH Results'!$A$2:$C$303,2,0),0)+IFERROR(VLOOKUP(A59,'#4 IH Results'!$A$2:$C$300,2,0),0)+IFERROR(VLOOKUP(A59,'#3 IH Results'!$A$2:$C$101,2,0),0)+IFERROR(VLOOKUP(A59,'#2 IH Results'!$A$2:$C$101,2,0),0)+IFERROR(VLOOKUP(A59,'#1 IH Results'!$A$2:$C$101,2,0),0)+IFERROR(VLOOKUP(A59,'#0 IH Results'!$A$3:$C$102,2,0),0)</f>
        <v>38.79117018</v>
      </c>
    </row>
    <row r="60">
      <c r="A60" s="8" t="s">
        <v>60</v>
      </c>
      <c r="B60" s="6">
        <f>IFERROR(VLOOKUP(A60,'#17 IH Results'!$A$2:$C$301,2,0),0)+IFERROR(VLOOKUP(A60,'#16 IH Results'!$A$2:$C$301,2,0),0)+IFERROR(VLOOKUP(A60,'#15 IH Results'!$A$2:$C$301,2,0),0)+IFERROR(VLOOKUP(A60,'#14 IH Results'!$A$2:$C$302,2,0),0)+IFERROR(VLOOKUP(A60,'#13 IH Results'!$A$2:$C$302,2,0),0)+IFERROR(VLOOKUP(A60,'#12 IH Results'!$A$2:$C$302,2,0),0)+IFERROR(VLOOKUP(A60,'#11 IH Results'!$A$2:$C$302,2,0),0)+IFERROR(VLOOKUP(A60,'#10 IH Results'!$A$2:$C$302,2,0),0)+IFERROR(VLOOKUP(A60,'#9 IH Results'!$A$2:$C$302,2,0),0)+IFERROR(VLOOKUP(A60,'#8 IH Results'!$A$2:$C$302,2,0),0)+IFERROR(VLOOKUP(A60,'#7 IH Results'!$A$2:$C$302,2,0),0)+IFERROR(VLOOKUP(A60,'#6 IH Results'!$A$2:$C$302,2,0),0)+IFERROR(VLOOKUP(A60,'#5 IH Results'!$A$2:$C$303,2,0),0)+IFERROR(VLOOKUP(A60,'#4 IH Results'!$A$2:$C$300,2,0),0)+IFERROR(VLOOKUP(A60,'#3 IH Results'!$A$2:$C$101,2,0),0)+IFERROR(VLOOKUP(A60,'#2 IH Results'!$A$2:$C$101,2,0),0)+IFERROR(VLOOKUP(A60,'#1 IH Results'!$A$2:$C$101,2,0),0)+IFERROR(VLOOKUP(A60,'#0 IH Results'!$A$3:$C$102,2,0),0)</f>
        <v>38.65254448</v>
      </c>
    </row>
    <row r="61">
      <c r="A61" s="8" t="s">
        <v>61</v>
      </c>
      <c r="B61" s="6">
        <f>IFERROR(VLOOKUP(A61,'#17 IH Results'!$A$2:$C$301,2,0),0)+IFERROR(VLOOKUP(A61,'#16 IH Results'!$A$2:$C$301,2,0),0)+IFERROR(VLOOKUP(A61,'#15 IH Results'!$A$2:$C$301,2,0),0)+IFERROR(VLOOKUP(A61,'#14 IH Results'!$A$2:$C$302,2,0),0)+IFERROR(VLOOKUP(A61,'#13 IH Results'!$A$2:$C$302,2,0),0)+IFERROR(VLOOKUP(A61,'#12 IH Results'!$A$2:$C$302,2,0),0)+IFERROR(VLOOKUP(A61,'#11 IH Results'!$A$2:$C$302,2,0),0)+IFERROR(VLOOKUP(A61,'#10 IH Results'!$A$2:$C$302,2,0),0)+IFERROR(VLOOKUP(A61,'#9 IH Results'!$A$2:$C$302,2,0),0)+IFERROR(VLOOKUP(A61,'#8 IH Results'!$A$2:$C$302,2,0),0)+IFERROR(VLOOKUP(A61,'#7 IH Results'!$A$2:$C$302,2,0),0)+IFERROR(VLOOKUP(A61,'#6 IH Results'!$A$2:$C$302,2,0),0)+IFERROR(VLOOKUP(A61,'#5 IH Results'!$A$2:$C$303,2,0),0)+IFERROR(VLOOKUP(A61,'#4 IH Results'!$A$2:$C$300,2,0),0)+IFERROR(VLOOKUP(A61,'#3 IH Results'!$A$2:$C$101,2,0),0)+IFERROR(VLOOKUP(A61,'#2 IH Results'!$A$2:$C$101,2,0),0)+IFERROR(VLOOKUP(A61,'#1 IH Results'!$A$2:$C$101,2,0),0)+IFERROR(VLOOKUP(A61,'#0 IH Results'!$A$3:$C$102,2,0),0)</f>
        <v>37.80786722</v>
      </c>
    </row>
    <row r="62">
      <c r="A62" s="8" t="s">
        <v>62</v>
      </c>
      <c r="B62" s="6">
        <f>IFERROR(VLOOKUP(A62,'#17 IH Results'!$A$2:$C$301,2,0),0)+IFERROR(VLOOKUP(A62,'#16 IH Results'!$A$2:$C$301,2,0),0)+IFERROR(VLOOKUP(A62,'#15 IH Results'!$A$2:$C$301,2,0),0)+IFERROR(VLOOKUP(A62,'#14 IH Results'!$A$2:$C$302,2,0),0)+IFERROR(VLOOKUP(A62,'#13 IH Results'!$A$2:$C$302,2,0),0)+IFERROR(VLOOKUP(A62,'#12 IH Results'!$A$2:$C$302,2,0),0)+IFERROR(VLOOKUP(A62,'#11 IH Results'!$A$2:$C$302,2,0),0)+IFERROR(VLOOKUP(A62,'#10 IH Results'!$A$2:$C$302,2,0),0)+IFERROR(VLOOKUP(A62,'#9 IH Results'!$A$2:$C$302,2,0),0)+IFERROR(VLOOKUP(A62,'#8 IH Results'!$A$2:$C$302,2,0),0)+IFERROR(VLOOKUP(A62,'#7 IH Results'!$A$2:$C$302,2,0),0)+IFERROR(VLOOKUP(A62,'#6 IH Results'!$A$2:$C$302,2,0),0)+IFERROR(VLOOKUP(A62,'#5 IH Results'!$A$2:$C$303,2,0),0)+IFERROR(VLOOKUP(A62,'#4 IH Results'!$A$2:$C$300,2,0),0)+IFERROR(VLOOKUP(A62,'#3 IH Results'!$A$2:$C$101,2,0),0)+IFERROR(VLOOKUP(A62,'#2 IH Results'!$A$2:$C$101,2,0),0)+IFERROR(VLOOKUP(A62,'#1 IH Results'!$A$2:$C$101,2,0),0)+IFERROR(VLOOKUP(A62,'#0 IH Results'!$A$3:$C$102,2,0),0)</f>
        <v>37.69743304</v>
      </c>
    </row>
    <row r="63">
      <c r="A63" s="8" t="s">
        <v>63</v>
      </c>
      <c r="B63" s="6">
        <f>IFERROR(VLOOKUP(A63,'#17 IH Results'!$A$2:$C$301,2,0),0)+IFERROR(VLOOKUP(A63,'#16 IH Results'!$A$2:$C$301,2,0),0)+IFERROR(VLOOKUP(A63,'#15 IH Results'!$A$2:$C$301,2,0),0)+IFERROR(VLOOKUP(A63,'#14 IH Results'!$A$2:$C$302,2,0),0)+IFERROR(VLOOKUP(A63,'#13 IH Results'!$A$2:$C$302,2,0),0)+IFERROR(VLOOKUP(A63,'#12 IH Results'!$A$2:$C$302,2,0),0)+IFERROR(VLOOKUP(A63,'#11 IH Results'!$A$2:$C$302,2,0),0)+IFERROR(VLOOKUP(A63,'#10 IH Results'!$A$2:$C$302,2,0),0)+IFERROR(VLOOKUP(A63,'#9 IH Results'!$A$2:$C$302,2,0),0)+IFERROR(VLOOKUP(A63,'#8 IH Results'!$A$2:$C$302,2,0),0)+IFERROR(VLOOKUP(A63,'#7 IH Results'!$A$2:$C$302,2,0),0)+IFERROR(VLOOKUP(A63,'#6 IH Results'!$A$2:$C$302,2,0),0)+IFERROR(VLOOKUP(A63,'#5 IH Results'!$A$2:$C$303,2,0),0)+IFERROR(VLOOKUP(A63,'#4 IH Results'!$A$2:$C$300,2,0),0)+IFERROR(VLOOKUP(A63,'#3 IH Results'!$A$2:$C$101,2,0),0)+IFERROR(VLOOKUP(A63,'#2 IH Results'!$A$2:$C$101,2,0),0)+IFERROR(VLOOKUP(A63,'#1 IH Results'!$A$2:$C$101,2,0),0)+IFERROR(VLOOKUP(A63,'#0 IH Results'!$A$3:$C$102,2,0),0)</f>
        <v>37.18808325</v>
      </c>
    </row>
    <row r="64">
      <c r="A64" s="8" t="s">
        <v>64</v>
      </c>
      <c r="B64" s="6">
        <f>IFERROR(VLOOKUP(A64,'#17 IH Results'!$A$2:$C$301,2,0),0)+IFERROR(VLOOKUP(A64,'#16 IH Results'!$A$2:$C$301,2,0),0)+IFERROR(VLOOKUP(A64,'#15 IH Results'!$A$2:$C$301,2,0),0)+IFERROR(VLOOKUP(A64,'#14 IH Results'!$A$2:$C$302,2,0),0)+IFERROR(VLOOKUP(A64,'#13 IH Results'!$A$2:$C$302,2,0),0)+IFERROR(VLOOKUP(A64,'#12 IH Results'!$A$2:$C$302,2,0),0)+IFERROR(VLOOKUP(A64,'#11 IH Results'!$A$2:$C$302,2,0),0)+IFERROR(VLOOKUP(A64,'#10 IH Results'!$A$2:$C$302,2,0),0)+IFERROR(VLOOKUP(A64,'#9 IH Results'!$A$2:$C$302,2,0),0)+IFERROR(VLOOKUP(A64,'#8 IH Results'!$A$2:$C$302,2,0),0)+IFERROR(VLOOKUP(A64,'#7 IH Results'!$A$2:$C$302,2,0),0)+IFERROR(VLOOKUP(A64,'#6 IH Results'!$A$2:$C$302,2,0),0)+IFERROR(VLOOKUP(A64,'#5 IH Results'!$A$2:$C$303,2,0),0)+IFERROR(VLOOKUP(A64,'#4 IH Results'!$A$2:$C$300,2,0),0)+IFERROR(VLOOKUP(A64,'#3 IH Results'!$A$2:$C$101,2,0),0)+IFERROR(VLOOKUP(A64,'#2 IH Results'!$A$2:$C$101,2,0),0)+IFERROR(VLOOKUP(A64,'#1 IH Results'!$A$2:$C$101,2,0),0)+IFERROR(VLOOKUP(A64,'#0 IH Results'!$A$3:$C$102,2,0),0)</f>
        <v>35.91102368</v>
      </c>
    </row>
    <row r="65">
      <c r="A65" s="8" t="s">
        <v>65</v>
      </c>
      <c r="B65" s="6">
        <f>IFERROR(VLOOKUP(A65,'#17 IH Results'!$A$2:$C$301,2,0),0)+IFERROR(VLOOKUP(A65,'#16 IH Results'!$A$2:$C$301,2,0),0)+IFERROR(VLOOKUP(A65,'#15 IH Results'!$A$2:$C$301,2,0),0)+IFERROR(VLOOKUP(A65,'#14 IH Results'!$A$2:$C$302,2,0),0)+IFERROR(VLOOKUP(A65,'#13 IH Results'!$A$2:$C$302,2,0),0)+IFERROR(VLOOKUP(A65,'#12 IH Results'!$A$2:$C$302,2,0),0)+IFERROR(VLOOKUP(A65,'#11 IH Results'!$A$2:$C$302,2,0),0)+IFERROR(VLOOKUP(A65,'#10 IH Results'!$A$2:$C$302,2,0),0)+IFERROR(VLOOKUP(A65,'#9 IH Results'!$A$2:$C$302,2,0),0)+IFERROR(VLOOKUP(A65,'#8 IH Results'!$A$2:$C$302,2,0),0)+IFERROR(VLOOKUP(A65,'#7 IH Results'!$A$2:$C$302,2,0),0)+IFERROR(VLOOKUP(A65,'#6 IH Results'!$A$2:$C$302,2,0),0)+IFERROR(VLOOKUP(A65,'#5 IH Results'!$A$2:$C$303,2,0),0)+IFERROR(VLOOKUP(A65,'#4 IH Results'!$A$2:$C$300,2,0),0)+IFERROR(VLOOKUP(A65,'#3 IH Results'!$A$2:$C$101,2,0),0)+IFERROR(VLOOKUP(A65,'#2 IH Results'!$A$2:$C$101,2,0),0)+IFERROR(VLOOKUP(A65,'#1 IH Results'!$A$2:$C$101,2,0),0)+IFERROR(VLOOKUP(A65,'#0 IH Results'!$A$3:$C$102,2,0),0)</f>
        <v>35.25949202</v>
      </c>
    </row>
    <row r="66">
      <c r="A66" s="8" t="s">
        <v>66</v>
      </c>
      <c r="B66" s="6">
        <f>IFERROR(VLOOKUP(A66,'#17 IH Results'!$A$2:$C$301,2,0),0)+IFERROR(VLOOKUP(A66,'#16 IH Results'!$A$2:$C$301,2,0),0)+IFERROR(VLOOKUP(A66,'#15 IH Results'!$A$2:$C$301,2,0),0)+IFERROR(VLOOKUP(A66,'#14 IH Results'!$A$2:$C$302,2,0),0)+IFERROR(VLOOKUP(A66,'#13 IH Results'!$A$2:$C$302,2,0),0)+IFERROR(VLOOKUP(A66,'#12 IH Results'!$A$2:$C$302,2,0),0)+IFERROR(VLOOKUP(A66,'#11 IH Results'!$A$2:$C$302,2,0),0)+IFERROR(VLOOKUP(A66,'#10 IH Results'!$A$2:$C$302,2,0),0)+IFERROR(VLOOKUP(A66,'#9 IH Results'!$A$2:$C$302,2,0),0)+IFERROR(VLOOKUP(A66,'#8 IH Results'!$A$2:$C$302,2,0),0)+IFERROR(VLOOKUP(A66,'#7 IH Results'!$A$2:$C$302,2,0),0)+IFERROR(VLOOKUP(A66,'#6 IH Results'!$A$2:$C$302,2,0),0)+IFERROR(VLOOKUP(A66,'#5 IH Results'!$A$2:$C$303,2,0),0)+IFERROR(VLOOKUP(A66,'#4 IH Results'!$A$2:$C$300,2,0),0)+IFERROR(VLOOKUP(A66,'#3 IH Results'!$A$2:$C$101,2,0),0)+IFERROR(VLOOKUP(A66,'#2 IH Results'!$A$2:$C$101,2,0),0)+IFERROR(VLOOKUP(A66,'#1 IH Results'!$A$2:$C$101,2,0),0)+IFERROR(VLOOKUP(A66,'#0 IH Results'!$A$3:$C$102,2,0),0)</f>
        <v>35.07390619</v>
      </c>
    </row>
    <row r="67">
      <c r="A67" s="8" t="s">
        <v>67</v>
      </c>
      <c r="B67" s="6">
        <f>IFERROR(VLOOKUP(A67,'#17 IH Results'!$A$2:$C$301,2,0),0)+IFERROR(VLOOKUP(A67,'#16 IH Results'!$A$2:$C$301,2,0),0)+IFERROR(VLOOKUP(A67,'#15 IH Results'!$A$2:$C$301,2,0),0)+IFERROR(VLOOKUP(A67,'#14 IH Results'!$A$2:$C$302,2,0),0)+IFERROR(VLOOKUP(A67,'#13 IH Results'!$A$2:$C$302,2,0),0)+IFERROR(VLOOKUP(A67,'#12 IH Results'!$A$2:$C$302,2,0),0)+IFERROR(VLOOKUP(A67,'#11 IH Results'!$A$2:$C$302,2,0),0)+IFERROR(VLOOKUP(A67,'#10 IH Results'!$A$2:$C$302,2,0),0)+IFERROR(VLOOKUP(A67,'#9 IH Results'!$A$2:$C$302,2,0),0)+IFERROR(VLOOKUP(A67,'#8 IH Results'!$A$2:$C$302,2,0),0)+IFERROR(VLOOKUP(A67,'#7 IH Results'!$A$2:$C$302,2,0),0)+IFERROR(VLOOKUP(A67,'#6 IH Results'!$A$2:$C$302,2,0),0)+IFERROR(VLOOKUP(A67,'#5 IH Results'!$A$2:$C$303,2,0),0)+IFERROR(VLOOKUP(A67,'#4 IH Results'!$A$2:$C$300,2,0),0)+IFERROR(VLOOKUP(A67,'#3 IH Results'!$A$2:$C$101,2,0),0)+IFERROR(VLOOKUP(A67,'#2 IH Results'!$A$2:$C$101,2,0),0)+IFERROR(VLOOKUP(A67,'#1 IH Results'!$A$2:$C$101,2,0),0)+IFERROR(VLOOKUP(A67,'#0 IH Results'!$A$3:$C$102,2,0),0)</f>
        <v>33.02089376</v>
      </c>
    </row>
    <row r="68">
      <c r="A68" s="8" t="s">
        <v>68</v>
      </c>
      <c r="B68" s="6">
        <f>IFERROR(VLOOKUP(A68,'#17 IH Results'!$A$2:$C$301,2,0),0)+IFERROR(VLOOKUP(A68,'#16 IH Results'!$A$2:$C$301,2,0),0)+IFERROR(VLOOKUP(A68,'#15 IH Results'!$A$2:$C$301,2,0),0)+IFERROR(VLOOKUP(A68,'#14 IH Results'!$A$2:$C$302,2,0),0)+IFERROR(VLOOKUP(A68,'#13 IH Results'!$A$2:$C$302,2,0),0)+IFERROR(VLOOKUP(A68,'#12 IH Results'!$A$2:$C$302,2,0),0)+IFERROR(VLOOKUP(A68,'#11 IH Results'!$A$2:$C$302,2,0),0)+IFERROR(VLOOKUP(A68,'#10 IH Results'!$A$2:$C$302,2,0),0)+IFERROR(VLOOKUP(A68,'#9 IH Results'!$A$2:$C$302,2,0),0)+IFERROR(VLOOKUP(A68,'#8 IH Results'!$A$2:$C$302,2,0),0)+IFERROR(VLOOKUP(A68,'#7 IH Results'!$A$2:$C$302,2,0),0)+IFERROR(VLOOKUP(A68,'#6 IH Results'!$A$2:$C$302,2,0),0)+IFERROR(VLOOKUP(A68,'#5 IH Results'!$A$2:$C$303,2,0),0)+IFERROR(VLOOKUP(A68,'#4 IH Results'!$A$2:$C$300,2,0),0)+IFERROR(VLOOKUP(A68,'#3 IH Results'!$A$2:$C$101,2,0),0)+IFERROR(VLOOKUP(A68,'#2 IH Results'!$A$2:$C$101,2,0),0)+IFERROR(VLOOKUP(A68,'#1 IH Results'!$A$2:$C$101,2,0),0)+IFERROR(VLOOKUP(A68,'#0 IH Results'!$A$3:$C$102,2,0),0)</f>
        <v>32.9610683</v>
      </c>
    </row>
    <row r="69">
      <c r="A69" s="8" t="s">
        <v>69</v>
      </c>
      <c r="B69" s="6">
        <f>IFERROR(VLOOKUP(A69,'#17 IH Results'!$A$2:$C$301,2,0),0)+IFERROR(VLOOKUP(A69,'#16 IH Results'!$A$2:$C$301,2,0),0)+IFERROR(VLOOKUP(A69,'#15 IH Results'!$A$2:$C$301,2,0),0)+IFERROR(VLOOKUP(A69,'#14 IH Results'!$A$2:$C$302,2,0),0)+IFERROR(VLOOKUP(A69,'#13 IH Results'!$A$2:$C$302,2,0),0)+IFERROR(VLOOKUP(A69,'#12 IH Results'!$A$2:$C$302,2,0),0)+IFERROR(VLOOKUP(A69,'#11 IH Results'!$A$2:$C$302,2,0),0)+IFERROR(VLOOKUP(A69,'#10 IH Results'!$A$2:$C$302,2,0),0)+IFERROR(VLOOKUP(A69,'#9 IH Results'!$A$2:$C$302,2,0),0)+IFERROR(VLOOKUP(A69,'#8 IH Results'!$A$2:$C$302,2,0),0)+IFERROR(VLOOKUP(A69,'#7 IH Results'!$A$2:$C$302,2,0),0)+IFERROR(VLOOKUP(A69,'#6 IH Results'!$A$2:$C$302,2,0),0)+IFERROR(VLOOKUP(A69,'#5 IH Results'!$A$2:$C$303,2,0),0)+IFERROR(VLOOKUP(A69,'#4 IH Results'!$A$2:$C$300,2,0),0)+IFERROR(VLOOKUP(A69,'#3 IH Results'!$A$2:$C$101,2,0),0)+IFERROR(VLOOKUP(A69,'#2 IH Results'!$A$2:$C$101,2,0),0)+IFERROR(VLOOKUP(A69,'#1 IH Results'!$A$2:$C$101,2,0),0)+IFERROR(VLOOKUP(A69,'#0 IH Results'!$A$3:$C$102,2,0),0)</f>
        <v>32.89321308</v>
      </c>
    </row>
    <row r="70">
      <c r="A70" s="5" t="s">
        <v>70</v>
      </c>
      <c r="B70" s="6">
        <f>IFERROR(VLOOKUP(A70,'#17 IH Results'!$A$2:$C$301,2,0),0)+IFERROR(VLOOKUP(A70,'#16 IH Results'!$A$2:$C$301,2,0),0)+IFERROR(VLOOKUP(A70,'#15 IH Results'!$A$2:$C$301,2,0),0)+IFERROR(VLOOKUP(A70,'#14 IH Results'!$A$2:$C$302,2,0),0)+IFERROR(VLOOKUP(A70,'#13 IH Results'!$A$2:$C$302,2,0),0)+IFERROR(VLOOKUP(A70,'#12 IH Results'!$A$2:$C$302,2,0),0)+IFERROR(VLOOKUP(A70,'#11 IH Results'!$A$2:$C$302,2,0),0)+IFERROR(VLOOKUP(A70,'#10 IH Results'!$A$2:$C$302,2,0),0)+IFERROR(VLOOKUP(A70,'#9 IH Results'!$A$2:$C$302,2,0),0)+IFERROR(VLOOKUP(A70,'#8 IH Results'!$A$2:$C$302,2,0),0)+IFERROR(VLOOKUP(A70,'#7 IH Results'!$A$2:$C$302,2,0),0)+IFERROR(VLOOKUP(A70,'#6 IH Results'!$A$2:$C$302,2,0),0)+IFERROR(VLOOKUP(A70,'#5 IH Results'!$A$2:$C$303,2,0),0)+IFERROR(VLOOKUP(A70,'#4 IH Results'!$A$2:$C$300,2,0),0)+IFERROR(VLOOKUP(A70,'#3 IH Results'!$A$2:$C$101,2,0),0)+IFERROR(VLOOKUP(A70,'#2 IH Results'!$A$2:$C$101,2,0),0)+IFERROR(VLOOKUP(A70,'#1 IH Results'!$A$2:$C$101,2,0),0)+IFERROR(VLOOKUP(A70,'#0 IH Results'!$A$3:$C$102,2,0),0)</f>
        <v>32.47640777</v>
      </c>
    </row>
    <row r="71">
      <c r="A71" s="8" t="s">
        <v>71</v>
      </c>
      <c r="B71" s="6">
        <f>IFERROR(VLOOKUP(A71,'#17 IH Results'!$A$2:$C$301,2,0),0)+IFERROR(VLOOKUP(A71,'#16 IH Results'!$A$2:$C$301,2,0),0)+IFERROR(VLOOKUP(A71,'#15 IH Results'!$A$2:$C$301,2,0),0)+IFERROR(VLOOKUP(A71,'#14 IH Results'!$A$2:$C$302,2,0),0)+IFERROR(VLOOKUP(A71,'#13 IH Results'!$A$2:$C$302,2,0),0)+IFERROR(VLOOKUP(A71,'#12 IH Results'!$A$2:$C$302,2,0),0)+IFERROR(VLOOKUP(A71,'#11 IH Results'!$A$2:$C$302,2,0),0)+IFERROR(VLOOKUP(A71,'#10 IH Results'!$A$2:$C$302,2,0),0)+IFERROR(VLOOKUP(A71,'#9 IH Results'!$A$2:$C$302,2,0),0)+IFERROR(VLOOKUP(A71,'#8 IH Results'!$A$2:$C$302,2,0),0)+IFERROR(VLOOKUP(A71,'#7 IH Results'!$A$2:$C$302,2,0),0)+IFERROR(VLOOKUP(A71,'#6 IH Results'!$A$2:$C$302,2,0),0)+IFERROR(VLOOKUP(A71,'#5 IH Results'!$A$2:$C$303,2,0),0)+IFERROR(VLOOKUP(A71,'#4 IH Results'!$A$2:$C$300,2,0),0)+IFERROR(VLOOKUP(A71,'#3 IH Results'!$A$2:$C$101,2,0),0)+IFERROR(VLOOKUP(A71,'#2 IH Results'!$A$2:$C$101,2,0),0)+IFERROR(VLOOKUP(A71,'#1 IH Results'!$A$2:$C$101,2,0),0)+IFERROR(VLOOKUP(A71,'#0 IH Results'!$A$3:$C$102,2,0),0)</f>
        <v>31.21807375</v>
      </c>
    </row>
    <row r="72">
      <c r="A72" s="8" t="s">
        <v>72</v>
      </c>
      <c r="B72" s="6">
        <f>IFERROR(VLOOKUP(A72,'#17 IH Results'!$A$2:$C$301,2,0),0)+IFERROR(VLOOKUP(A72,'#16 IH Results'!$A$2:$C$301,2,0),0)+IFERROR(VLOOKUP(A72,'#15 IH Results'!$A$2:$C$301,2,0),0)+IFERROR(VLOOKUP(A72,'#14 IH Results'!$A$2:$C$302,2,0),0)+IFERROR(VLOOKUP(A72,'#13 IH Results'!$A$2:$C$302,2,0),0)+IFERROR(VLOOKUP(A72,'#12 IH Results'!$A$2:$C$302,2,0),0)+IFERROR(VLOOKUP(A72,'#11 IH Results'!$A$2:$C$302,2,0),0)+IFERROR(VLOOKUP(A72,'#10 IH Results'!$A$2:$C$302,2,0),0)+IFERROR(VLOOKUP(A72,'#9 IH Results'!$A$2:$C$302,2,0),0)+IFERROR(VLOOKUP(A72,'#8 IH Results'!$A$2:$C$302,2,0),0)+IFERROR(VLOOKUP(A72,'#7 IH Results'!$A$2:$C$302,2,0),0)+IFERROR(VLOOKUP(A72,'#6 IH Results'!$A$2:$C$302,2,0),0)+IFERROR(VLOOKUP(A72,'#5 IH Results'!$A$2:$C$303,2,0),0)+IFERROR(VLOOKUP(A72,'#4 IH Results'!$A$2:$C$300,2,0),0)+IFERROR(VLOOKUP(A72,'#3 IH Results'!$A$2:$C$101,2,0),0)+IFERROR(VLOOKUP(A72,'#2 IH Results'!$A$2:$C$101,2,0),0)+IFERROR(VLOOKUP(A72,'#1 IH Results'!$A$2:$C$101,2,0),0)+IFERROR(VLOOKUP(A72,'#0 IH Results'!$A$3:$C$102,2,0),0)</f>
        <v>30.50296318</v>
      </c>
    </row>
    <row r="73">
      <c r="A73" s="8" t="s">
        <v>73</v>
      </c>
      <c r="B73" s="6">
        <f>IFERROR(VLOOKUP(A73,'#17 IH Results'!$A$2:$C$301,2,0),0)+IFERROR(VLOOKUP(A73,'#16 IH Results'!$A$2:$C$301,2,0),0)+IFERROR(VLOOKUP(A73,'#15 IH Results'!$A$2:$C$301,2,0),0)+IFERROR(VLOOKUP(A73,'#14 IH Results'!$A$2:$C$302,2,0),0)+IFERROR(VLOOKUP(A73,'#13 IH Results'!$A$2:$C$302,2,0),0)+IFERROR(VLOOKUP(A73,'#12 IH Results'!$A$2:$C$302,2,0),0)+IFERROR(VLOOKUP(A73,'#11 IH Results'!$A$2:$C$302,2,0),0)+IFERROR(VLOOKUP(A73,'#10 IH Results'!$A$2:$C$302,2,0),0)+IFERROR(VLOOKUP(A73,'#9 IH Results'!$A$2:$C$302,2,0),0)+IFERROR(VLOOKUP(A73,'#8 IH Results'!$A$2:$C$302,2,0),0)+IFERROR(VLOOKUP(A73,'#7 IH Results'!$A$2:$C$302,2,0),0)+IFERROR(VLOOKUP(A73,'#6 IH Results'!$A$2:$C$302,2,0),0)+IFERROR(VLOOKUP(A73,'#5 IH Results'!$A$2:$C$303,2,0),0)+IFERROR(VLOOKUP(A73,'#4 IH Results'!$A$2:$C$300,2,0),0)+IFERROR(VLOOKUP(A73,'#3 IH Results'!$A$2:$C$101,2,0),0)+IFERROR(VLOOKUP(A73,'#2 IH Results'!$A$2:$C$101,2,0),0)+IFERROR(VLOOKUP(A73,'#1 IH Results'!$A$2:$C$101,2,0),0)+IFERROR(VLOOKUP(A73,'#0 IH Results'!$A$3:$C$102,2,0),0)</f>
        <v>30.45205241</v>
      </c>
    </row>
    <row r="74">
      <c r="A74" s="8" t="s">
        <v>74</v>
      </c>
      <c r="B74" s="6">
        <f>IFERROR(VLOOKUP(A74,'#17 IH Results'!$A$2:$C$301,2,0),0)+IFERROR(VLOOKUP(A74,'#16 IH Results'!$A$2:$C$301,2,0),0)+IFERROR(VLOOKUP(A74,'#15 IH Results'!$A$2:$C$301,2,0),0)+IFERROR(VLOOKUP(A74,'#14 IH Results'!$A$2:$C$302,2,0),0)+IFERROR(VLOOKUP(A74,'#13 IH Results'!$A$2:$C$302,2,0),0)+IFERROR(VLOOKUP(A74,'#12 IH Results'!$A$2:$C$302,2,0),0)+IFERROR(VLOOKUP(A74,'#11 IH Results'!$A$2:$C$302,2,0),0)+IFERROR(VLOOKUP(A74,'#10 IH Results'!$A$2:$C$302,2,0),0)+IFERROR(VLOOKUP(A74,'#9 IH Results'!$A$2:$C$302,2,0),0)+IFERROR(VLOOKUP(A74,'#8 IH Results'!$A$2:$C$302,2,0),0)+IFERROR(VLOOKUP(A74,'#7 IH Results'!$A$2:$C$302,2,0),0)+IFERROR(VLOOKUP(A74,'#6 IH Results'!$A$2:$C$302,2,0),0)+IFERROR(VLOOKUP(A74,'#5 IH Results'!$A$2:$C$303,2,0),0)+IFERROR(VLOOKUP(A74,'#4 IH Results'!$A$2:$C$300,2,0),0)+IFERROR(VLOOKUP(A74,'#3 IH Results'!$A$2:$C$101,2,0),0)+IFERROR(VLOOKUP(A74,'#2 IH Results'!$A$2:$C$101,2,0),0)+IFERROR(VLOOKUP(A74,'#1 IH Results'!$A$2:$C$101,2,0),0)+IFERROR(VLOOKUP(A74,'#0 IH Results'!$A$3:$C$102,2,0),0)</f>
        <v>29.9512753</v>
      </c>
    </row>
    <row r="75">
      <c r="A75" s="8" t="s">
        <v>75</v>
      </c>
      <c r="B75" s="6">
        <f>IFERROR(VLOOKUP(A75,'#17 IH Results'!$A$2:$C$301,2,0),0)+IFERROR(VLOOKUP(A75,'#16 IH Results'!$A$2:$C$301,2,0),0)+IFERROR(VLOOKUP(A75,'#15 IH Results'!$A$2:$C$301,2,0),0)+IFERROR(VLOOKUP(A75,'#14 IH Results'!$A$2:$C$302,2,0),0)+IFERROR(VLOOKUP(A75,'#13 IH Results'!$A$2:$C$302,2,0),0)+IFERROR(VLOOKUP(A75,'#12 IH Results'!$A$2:$C$302,2,0),0)+IFERROR(VLOOKUP(A75,'#11 IH Results'!$A$2:$C$302,2,0),0)+IFERROR(VLOOKUP(A75,'#10 IH Results'!$A$2:$C$302,2,0),0)+IFERROR(VLOOKUP(A75,'#9 IH Results'!$A$2:$C$302,2,0),0)+IFERROR(VLOOKUP(A75,'#8 IH Results'!$A$2:$C$302,2,0),0)+IFERROR(VLOOKUP(A75,'#7 IH Results'!$A$2:$C$302,2,0),0)+IFERROR(VLOOKUP(A75,'#6 IH Results'!$A$2:$C$302,2,0),0)+IFERROR(VLOOKUP(A75,'#5 IH Results'!$A$2:$C$303,2,0),0)+IFERROR(VLOOKUP(A75,'#4 IH Results'!$A$2:$C$300,2,0),0)+IFERROR(VLOOKUP(A75,'#3 IH Results'!$A$2:$C$101,2,0),0)+IFERROR(VLOOKUP(A75,'#2 IH Results'!$A$2:$C$101,2,0),0)+IFERROR(VLOOKUP(A75,'#1 IH Results'!$A$2:$C$101,2,0),0)+IFERROR(VLOOKUP(A75,'#0 IH Results'!$A$3:$C$102,2,0),0)</f>
        <v>27.43481758</v>
      </c>
    </row>
    <row r="76">
      <c r="A76" s="8" t="s">
        <v>76</v>
      </c>
      <c r="B76" s="6">
        <f>IFERROR(VLOOKUP(A76,'#17 IH Results'!$A$2:$C$301,2,0),0)+IFERROR(VLOOKUP(A76,'#16 IH Results'!$A$2:$C$301,2,0),0)+IFERROR(VLOOKUP(A76,'#15 IH Results'!$A$2:$C$301,2,0),0)+IFERROR(VLOOKUP(A76,'#14 IH Results'!$A$2:$C$302,2,0),0)+IFERROR(VLOOKUP(A76,'#13 IH Results'!$A$2:$C$302,2,0),0)+IFERROR(VLOOKUP(A76,'#12 IH Results'!$A$2:$C$302,2,0),0)+IFERROR(VLOOKUP(A76,'#11 IH Results'!$A$2:$C$302,2,0),0)+IFERROR(VLOOKUP(A76,'#10 IH Results'!$A$2:$C$302,2,0),0)+IFERROR(VLOOKUP(A76,'#9 IH Results'!$A$2:$C$302,2,0),0)+IFERROR(VLOOKUP(A76,'#8 IH Results'!$A$2:$C$302,2,0),0)+IFERROR(VLOOKUP(A76,'#7 IH Results'!$A$2:$C$302,2,0),0)+IFERROR(VLOOKUP(A76,'#6 IH Results'!$A$2:$C$302,2,0),0)+IFERROR(VLOOKUP(A76,'#5 IH Results'!$A$2:$C$303,2,0),0)+IFERROR(VLOOKUP(A76,'#4 IH Results'!$A$2:$C$300,2,0),0)+IFERROR(VLOOKUP(A76,'#3 IH Results'!$A$2:$C$101,2,0),0)+IFERROR(VLOOKUP(A76,'#2 IH Results'!$A$2:$C$101,2,0),0)+IFERROR(VLOOKUP(A76,'#1 IH Results'!$A$2:$C$101,2,0),0)+IFERROR(VLOOKUP(A76,'#0 IH Results'!$A$3:$C$102,2,0),0)</f>
        <v>26.60005826</v>
      </c>
    </row>
    <row r="77">
      <c r="A77" s="8" t="s">
        <v>77</v>
      </c>
      <c r="B77" s="6">
        <f>IFERROR(VLOOKUP(A77,'#17 IH Results'!$A$2:$C$301,2,0),0)+IFERROR(VLOOKUP(A77,'#16 IH Results'!$A$2:$C$301,2,0),0)+IFERROR(VLOOKUP(A77,'#15 IH Results'!$A$2:$C$301,2,0),0)+IFERROR(VLOOKUP(A77,'#14 IH Results'!$A$2:$C$302,2,0),0)+IFERROR(VLOOKUP(A77,'#13 IH Results'!$A$2:$C$302,2,0),0)+IFERROR(VLOOKUP(A77,'#12 IH Results'!$A$2:$C$302,2,0),0)+IFERROR(VLOOKUP(A77,'#11 IH Results'!$A$2:$C$302,2,0),0)+IFERROR(VLOOKUP(A77,'#10 IH Results'!$A$2:$C$302,2,0),0)+IFERROR(VLOOKUP(A77,'#9 IH Results'!$A$2:$C$302,2,0),0)+IFERROR(VLOOKUP(A77,'#8 IH Results'!$A$2:$C$302,2,0),0)+IFERROR(VLOOKUP(A77,'#7 IH Results'!$A$2:$C$302,2,0),0)+IFERROR(VLOOKUP(A77,'#6 IH Results'!$A$2:$C$302,2,0),0)+IFERROR(VLOOKUP(A77,'#5 IH Results'!$A$2:$C$303,2,0),0)+IFERROR(VLOOKUP(A77,'#4 IH Results'!$A$2:$C$300,2,0),0)+IFERROR(VLOOKUP(A77,'#3 IH Results'!$A$2:$C$101,2,0),0)+IFERROR(VLOOKUP(A77,'#2 IH Results'!$A$2:$C$101,2,0),0)+IFERROR(VLOOKUP(A77,'#1 IH Results'!$A$2:$C$101,2,0),0)+IFERROR(VLOOKUP(A77,'#0 IH Results'!$A$3:$C$102,2,0),0)</f>
        <v>26.03540757</v>
      </c>
    </row>
    <row r="78">
      <c r="A78" s="8" t="s">
        <v>78</v>
      </c>
      <c r="B78" s="6">
        <f>IFERROR(VLOOKUP(A78,'#17 IH Results'!$A$2:$C$301,2,0),0)+IFERROR(VLOOKUP(A78,'#16 IH Results'!$A$2:$C$301,2,0),0)+IFERROR(VLOOKUP(A78,'#15 IH Results'!$A$2:$C$301,2,0),0)+IFERROR(VLOOKUP(A78,'#14 IH Results'!$A$2:$C$302,2,0),0)+IFERROR(VLOOKUP(A78,'#13 IH Results'!$A$2:$C$302,2,0),0)+IFERROR(VLOOKUP(A78,'#12 IH Results'!$A$2:$C$302,2,0),0)+IFERROR(VLOOKUP(A78,'#11 IH Results'!$A$2:$C$302,2,0),0)+IFERROR(VLOOKUP(A78,'#10 IH Results'!$A$2:$C$302,2,0),0)+IFERROR(VLOOKUP(A78,'#9 IH Results'!$A$2:$C$302,2,0),0)+IFERROR(VLOOKUP(A78,'#8 IH Results'!$A$2:$C$302,2,0),0)+IFERROR(VLOOKUP(A78,'#7 IH Results'!$A$2:$C$302,2,0),0)+IFERROR(VLOOKUP(A78,'#6 IH Results'!$A$2:$C$302,2,0),0)+IFERROR(VLOOKUP(A78,'#5 IH Results'!$A$2:$C$303,2,0),0)+IFERROR(VLOOKUP(A78,'#4 IH Results'!$A$2:$C$300,2,0),0)+IFERROR(VLOOKUP(A78,'#3 IH Results'!$A$2:$C$101,2,0),0)+IFERROR(VLOOKUP(A78,'#2 IH Results'!$A$2:$C$101,2,0),0)+IFERROR(VLOOKUP(A78,'#1 IH Results'!$A$2:$C$101,2,0),0)+IFERROR(VLOOKUP(A78,'#0 IH Results'!$A$3:$C$102,2,0),0)</f>
        <v>24.70520025</v>
      </c>
    </row>
    <row r="79">
      <c r="A79" s="8" t="s">
        <v>79</v>
      </c>
      <c r="B79" s="6">
        <f>IFERROR(VLOOKUP(A79,'#17 IH Results'!$A$2:$C$301,2,0),0)+IFERROR(VLOOKUP(A79,'#16 IH Results'!$A$2:$C$301,2,0),0)+IFERROR(VLOOKUP(A79,'#15 IH Results'!$A$2:$C$301,2,0),0)+IFERROR(VLOOKUP(A79,'#14 IH Results'!$A$2:$C$302,2,0),0)+IFERROR(VLOOKUP(A79,'#13 IH Results'!$A$2:$C$302,2,0),0)+IFERROR(VLOOKUP(A79,'#12 IH Results'!$A$2:$C$302,2,0),0)+IFERROR(VLOOKUP(A79,'#11 IH Results'!$A$2:$C$302,2,0),0)+IFERROR(VLOOKUP(A79,'#10 IH Results'!$A$2:$C$302,2,0),0)+IFERROR(VLOOKUP(A79,'#9 IH Results'!$A$2:$C$302,2,0),0)+IFERROR(VLOOKUP(A79,'#8 IH Results'!$A$2:$C$302,2,0),0)+IFERROR(VLOOKUP(A79,'#7 IH Results'!$A$2:$C$302,2,0),0)+IFERROR(VLOOKUP(A79,'#6 IH Results'!$A$2:$C$302,2,0),0)+IFERROR(VLOOKUP(A79,'#5 IH Results'!$A$2:$C$303,2,0),0)+IFERROR(VLOOKUP(A79,'#4 IH Results'!$A$2:$C$300,2,0),0)+IFERROR(VLOOKUP(A79,'#3 IH Results'!$A$2:$C$101,2,0),0)+IFERROR(VLOOKUP(A79,'#2 IH Results'!$A$2:$C$101,2,0),0)+IFERROR(VLOOKUP(A79,'#1 IH Results'!$A$2:$C$101,2,0),0)+IFERROR(VLOOKUP(A79,'#0 IH Results'!$A$3:$C$102,2,0),0)</f>
        <v>23.53212262</v>
      </c>
    </row>
    <row r="80">
      <c r="A80" s="8" t="s">
        <v>80</v>
      </c>
      <c r="B80" s="6">
        <f>IFERROR(VLOOKUP(A80,'#17 IH Results'!$A$2:$C$301,2,0),0)+IFERROR(VLOOKUP(A80,'#16 IH Results'!$A$2:$C$301,2,0),0)+IFERROR(VLOOKUP(A80,'#15 IH Results'!$A$2:$C$301,2,0),0)+IFERROR(VLOOKUP(A80,'#14 IH Results'!$A$2:$C$302,2,0),0)+IFERROR(VLOOKUP(A80,'#13 IH Results'!$A$2:$C$302,2,0),0)+IFERROR(VLOOKUP(A80,'#12 IH Results'!$A$2:$C$302,2,0),0)+IFERROR(VLOOKUP(A80,'#11 IH Results'!$A$2:$C$302,2,0),0)+IFERROR(VLOOKUP(A80,'#10 IH Results'!$A$2:$C$302,2,0),0)+IFERROR(VLOOKUP(A80,'#9 IH Results'!$A$2:$C$302,2,0),0)+IFERROR(VLOOKUP(A80,'#8 IH Results'!$A$2:$C$302,2,0),0)+IFERROR(VLOOKUP(A80,'#7 IH Results'!$A$2:$C$302,2,0),0)+IFERROR(VLOOKUP(A80,'#6 IH Results'!$A$2:$C$302,2,0),0)+IFERROR(VLOOKUP(A80,'#5 IH Results'!$A$2:$C$303,2,0),0)+IFERROR(VLOOKUP(A80,'#4 IH Results'!$A$2:$C$300,2,0),0)+IFERROR(VLOOKUP(A80,'#3 IH Results'!$A$2:$C$101,2,0),0)+IFERROR(VLOOKUP(A80,'#2 IH Results'!$A$2:$C$101,2,0),0)+IFERROR(VLOOKUP(A80,'#1 IH Results'!$A$2:$C$101,2,0),0)+IFERROR(VLOOKUP(A80,'#0 IH Results'!$A$3:$C$102,2,0),0)</f>
        <v>23.52996742</v>
      </c>
    </row>
    <row r="81">
      <c r="A81" s="8" t="s">
        <v>81</v>
      </c>
      <c r="B81" s="6">
        <f>IFERROR(VLOOKUP(A81,'#17 IH Results'!$A$2:$C$301,2,0),0)+IFERROR(VLOOKUP(A81,'#16 IH Results'!$A$2:$C$301,2,0),0)+IFERROR(VLOOKUP(A81,'#15 IH Results'!$A$2:$C$301,2,0),0)+IFERROR(VLOOKUP(A81,'#14 IH Results'!$A$2:$C$302,2,0),0)+IFERROR(VLOOKUP(A81,'#13 IH Results'!$A$2:$C$302,2,0),0)+IFERROR(VLOOKUP(A81,'#12 IH Results'!$A$2:$C$302,2,0),0)+IFERROR(VLOOKUP(A81,'#11 IH Results'!$A$2:$C$302,2,0),0)+IFERROR(VLOOKUP(A81,'#10 IH Results'!$A$2:$C$302,2,0),0)+IFERROR(VLOOKUP(A81,'#9 IH Results'!$A$2:$C$302,2,0),0)+IFERROR(VLOOKUP(A81,'#8 IH Results'!$A$2:$C$302,2,0),0)+IFERROR(VLOOKUP(A81,'#7 IH Results'!$A$2:$C$302,2,0),0)+IFERROR(VLOOKUP(A81,'#6 IH Results'!$A$2:$C$302,2,0),0)+IFERROR(VLOOKUP(A81,'#5 IH Results'!$A$2:$C$303,2,0),0)+IFERROR(VLOOKUP(A81,'#4 IH Results'!$A$2:$C$300,2,0),0)+IFERROR(VLOOKUP(A81,'#3 IH Results'!$A$2:$C$101,2,0),0)+IFERROR(VLOOKUP(A81,'#2 IH Results'!$A$2:$C$101,2,0),0)+IFERROR(VLOOKUP(A81,'#1 IH Results'!$A$2:$C$101,2,0),0)+IFERROR(VLOOKUP(A81,'#0 IH Results'!$A$3:$C$102,2,0),0)</f>
        <v>22.96465004</v>
      </c>
    </row>
    <row r="82">
      <c r="A82" s="8" t="s">
        <v>82</v>
      </c>
      <c r="B82" s="6">
        <f>IFERROR(VLOOKUP(A82,'#17 IH Results'!$A$2:$C$301,2,0),0)+IFERROR(VLOOKUP(A82,'#16 IH Results'!$A$2:$C$301,2,0),0)+IFERROR(VLOOKUP(A82,'#15 IH Results'!$A$2:$C$301,2,0),0)+IFERROR(VLOOKUP(A82,'#14 IH Results'!$A$2:$C$302,2,0),0)+IFERROR(VLOOKUP(A82,'#13 IH Results'!$A$2:$C$302,2,0),0)+IFERROR(VLOOKUP(A82,'#12 IH Results'!$A$2:$C$302,2,0),0)+IFERROR(VLOOKUP(A82,'#11 IH Results'!$A$2:$C$302,2,0),0)+IFERROR(VLOOKUP(A82,'#10 IH Results'!$A$2:$C$302,2,0),0)+IFERROR(VLOOKUP(A82,'#9 IH Results'!$A$2:$C$302,2,0),0)+IFERROR(VLOOKUP(A82,'#8 IH Results'!$A$2:$C$302,2,0),0)+IFERROR(VLOOKUP(A82,'#7 IH Results'!$A$2:$C$302,2,0),0)+IFERROR(VLOOKUP(A82,'#6 IH Results'!$A$2:$C$302,2,0),0)+IFERROR(VLOOKUP(A82,'#5 IH Results'!$A$2:$C$303,2,0),0)+IFERROR(VLOOKUP(A82,'#4 IH Results'!$A$2:$C$300,2,0),0)+IFERROR(VLOOKUP(A82,'#3 IH Results'!$A$2:$C$101,2,0),0)+IFERROR(VLOOKUP(A82,'#2 IH Results'!$A$2:$C$101,2,0),0)+IFERROR(VLOOKUP(A82,'#1 IH Results'!$A$2:$C$101,2,0),0)+IFERROR(VLOOKUP(A82,'#0 IH Results'!$A$3:$C$102,2,0),0)</f>
        <v>22.640098</v>
      </c>
    </row>
    <row r="83">
      <c r="A83" s="8" t="s">
        <v>83</v>
      </c>
      <c r="B83" s="6">
        <f>IFERROR(VLOOKUP(A83,'#17 IH Results'!$A$2:$C$301,2,0),0)+IFERROR(VLOOKUP(A83,'#16 IH Results'!$A$2:$C$301,2,0),0)+IFERROR(VLOOKUP(A83,'#15 IH Results'!$A$2:$C$301,2,0),0)+IFERROR(VLOOKUP(A83,'#14 IH Results'!$A$2:$C$302,2,0),0)+IFERROR(VLOOKUP(A83,'#13 IH Results'!$A$2:$C$302,2,0),0)+IFERROR(VLOOKUP(A83,'#12 IH Results'!$A$2:$C$302,2,0),0)+IFERROR(VLOOKUP(A83,'#11 IH Results'!$A$2:$C$302,2,0),0)+IFERROR(VLOOKUP(A83,'#10 IH Results'!$A$2:$C$302,2,0),0)+IFERROR(VLOOKUP(A83,'#9 IH Results'!$A$2:$C$302,2,0),0)+IFERROR(VLOOKUP(A83,'#8 IH Results'!$A$2:$C$302,2,0),0)+IFERROR(VLOOKUP(A83,'#7 IH Results'!$A$2:$C$302,2,0),0)+IFERROR(VLOOKUP(A83,'#6 IH Results'!$A$2:$C$302,2,0),0)+IFERROR(VLOOKUP(A83,'#5 IH Results'!$A$2:$C$303,2,0),0)+IFERROR(VLOOKUP(A83,'#4 IH Results'!$A$2:$C$300,2,0),0)+IFERROR(VLOOKUP(A83,'#3 IH Results'!$A$2:$C$101,2,0),0)+IFERROR(VLOOKUP(A83,'#2 IH Results'!$A$2:$C$101,2,0),0)+IFERROR(VLOOKUP(A83,'#1 IH Results'!$A$2:$C$101,2,0),0)+IFERROR(VLOOKUP(A83,'#0 IH Results'!$A$3:$C$102,2,0),0)</f>
        <v>22.08654087</v>
      </c>
    </row>
    <row r="84">
      <c r="A84" s="5" t="s">
        <v>84</v>
      </c>
      <c r="B84" s="6">
        <f>IFERROR(VLOOKUP(A84,'#17 IH Results'!$A$2:$C$301,2,0),0)+IFERROR(VLOOKUP(A84,'#16 IH Results'!$A$2:$C$301,2,0),0)+IFERROR(VLOOKUP(A84,'#15 IH Results'!$A$2:$C$301,2,0),0)+IFERROR(VLOOKUP(A84,'#14 IH Results'!$A$2:$C$302,2,0),0)+IFERROR(VLOOKUP(A84,'#13 IH Results'!$A$2:$C$302,2,0),0)+IFERROR(VLOOKUP(A84,'#12 IH Results'!$A$2:$C$302,2,0),0)+IFERROR(VLOOKUP(A84,'#11 IH Results'!$A$2:$C$302,2,0),0)+IFERROR(VLOOKUP(A84,'#10 IH Results'!$A$2:$C$302,2,0),0)+IFERROR(VLOOKUP(A84,'#9 IH Results'!$A$2:$C$302,2,0),0)+IFERROR(VLOOKUP(A84,'#8 IH Results'!$A$2:$C$302,2,0),0)+IFERROR(VLOOKUP(A84,'#7 IH Results'!$A$2:$C$302,2,0),0)+IFERROR(VLOOKUP(A84,'#6 IH Results'!$A$2:$C$302,2,0),0)+IFERROR(VLOOKUP(A84,'#5 IH Results'!$A$2:$C$303,2,0),0)+IFERROR(VLOOKUP(A84,'#4 IH Results'!$A$2:$C$300,2,0),0)+IFERROR(VLOOKUP(A84,'#3 IH Results'!$A$2:$C$101,2,0),0)+IFERROR(VLOOKUP(A84,'#2 IH Results'!$A$2:$C$101,2,0),0)+IFERROR(VLOOKUP(A84,'#1 IH Results'!$A$2:$C$101,2,0),0)+IFERROR(VLOOKUP(A84,'#0 IH Results'!$A$3:$C$102,2,0),0)</f>
        <v>22.01413616</v>
      </c>
    </row>
    <row r="85">
      <c r="A85" s="8" t="s">
        <v>85</v>
      </c>
      <c r="B85" s="6">
        <f>IFERROR(VLOOKUP(A85,'#17 IH Results'!$A$2:$C$301,2,0),0)+IFERROR(VLOOKUP(A85,'#16 IH Results'!$A$2:$C$301,2,0),0)+IFERROR(VLOOKUP(A85,'#15 IH Results'!$A$2:$C$301,2,0),0)+IFERROR(VLOOKUP(A85,'#14 IH Results'!$A$2:$C$302,2,0),0)+IFERROR(VLOOKUP(A85,'#13 IH Results'!$A$2:$C$302,2,0),0)+IFERROR(VLOOKUP(A85,'#12 IH Results'!$A$2:$C$302,2,0),0)+IFERROR(VLOOKUP(A85,'#11 IH Results'!$A$2:$C$302,2,0),0)+IFERROR(VLOOKUP(A85,'#10 IH Results'!$A$2:$C$302,2,0),0)+IFERROR(VLOOKUP(A85,'#9 IH Results'!$A$2:$C$302,2,0),0)+IFERROR(VLOOKUP(A85,'#8 IH Results'!$A$2:$C$302,2,0),0)+IFERROR(VLOOKUP(A85,'#7 IH Results'!$A$2:$C$302,2,0),0)+IFERROR(VLOOKUP(A85,'#6 IH Results'!$A$2:$C$302,2,0),0)+IFERROR(VLOOKUP(A85,'#5 IH Results'!$A$2:$C$303,2,0),0)+IFERROR(VLOOKUP(A85,'#4 IH Results'!$A$2:$C$300,2,0),0)+IFERROR(VLOOKUP(A85,'#3 IH Results'!$A$2:$C$101,2,0),0)+IFERROR(VLOOKUP(A85,'#2 IH Results'!$A$2:$C$101,2,0),0)+IFERROR(VLOOKUP(A85,'#1 IH Results'!$A$2:$C$101,2,0),0)+IFERROR(VLOOKUP(A85,'#0 IH Results'!$A$3:$C$102,2,0),0)</f>
        <v>19.59741637</v>
      </c>
    </row>
    <row r="86">
      <c r="A86" s="8" t="s">
        <v>86</v>
      </c>
      <c r="B86" s="6">
        <f>IFERROR(VLOOKUP(A86,'#17 IH Results'!$A$2:$C$301,2,0),0)+IFERROR(VLOOKUP(A86,'#16 IH Results'!$A$2:$C$301,2,0),0)+IFERROR(VLOOKUP(A86,'#15 IH Results'!$A$2:$C$301,2,0),0)+IFERROR(VLOOKUP(A86,'#14 IH Results'!$A$2:$C$302,2,0),0)+IFERROR(VLOOKUP(A86,'#13 IH Results'!$A$2:$C$302,2,0),0)+IFERROR(VLOOKUP(A86,'#12 IH Results'!$A$2:$C$302,2,0),0)+IFERROR(VLOOKUP(A86,'#11 IH Results'!$A$2:$C$302,2,0),0)+IFERROR(VLOOKUP(A86,'#10 IH Results'!$A$2:$C$302,2,0),0)+IFERROR(VLOOKUP(A86,'#9 IH Results'!$A$2:$C$302,2,0),0)+IFERROR(VLOOKUP(A86,'#8 IH Results'!$A$2:$C$302,2,0),0)+IFERROR(VLOOKUP(A86,'#7 IH Results'!$A$2:$C$302,2,0),0)+IFERROR(VLOOKUP(A86,'#6 IH Results'!$A$2:$C$302,2,0),0)+IFERROR(VLOOKUP(A86,'#5 IH Results'!$A$2:$C$303,2,0),0)+IFERROR(VLOOKUP(A86,'#4 IH Results'!$A$2:$C$300,2,0),0)+IFERROR(VLOOKUP(A86,'#3 IH Results'!$A$2:$C$101,2,0),0)+IFERROR(VLOOKUP(A86,'#2 IH Results'!$A$2:$C$101,2,0),0)+IFERROR(VLOOKUP(A86,'#1 IH Results'!$A$2:$C$101,2,0),0)+IFERROR(VLOOKUP(A86,'#0 IH Results'!$A$3:$C$102,2,0),0)</f>
        <v>19.50062975</v>
      </c>
    </row>
    <row r="87">
      <c r="A87" s="8" t="s">
        <v>87</v>
      </c>
      <c r="B87" s="6">
        <f>IFERROR(VLOOKUP(A87,'#17 IH Results'!$A$2:$C$301,2,0),0)+IFERROR(VLOOKUP(A87,'#16 IH Results'!$A$2:$C$301,2,0),0)+IFERROR(VLOOKUP(A87,'#15 IH Results'!$A$2:$C$301,2,0),0)+IFERROR(VLOOKUP(A87,'#14 IH Results'!$A$2:$C$302,2,0),0)+IFERROR(VLOOKUP(A87,'#13 IH Results'!$A$2:$C$302,2,0),0)+IFERROR(VLOOKUP(A87,'#12 IH Results'!$A$2:$C$302,2,0),0)+IFERROR(VLOOKUP(A87,'#11 IH Results'!$A$2:$C$302,2,0),0)+IFERROR(VLOOKUP(A87,'#10 IH Results'!$A$2:$C$302,2,0),0)+IFERROR(VLOOKUP(A87,'#9 IH Results'!$A$2:$C$302,2,0),0)+IFERROR(VLOOKUP(A87,'#8 IH Results'!$A$2:$C$302,2,0),0)+IFERROR(VLOOKUP(A87,'#7 IH Results'!$A$2:$C$302,2,0),0)+IFERROR(VLOOKUP(A87,'#6 IH Results'!$A$2:$C$302,2,0),0)+IFERROR(VLOOKUP(A87,'#5 IH Results'!$A$2:$C$303,2,0),0)+IFERROR(VLOOKUP(A87,'#4 IH Results'!$A$2:$C$300,2,0),0)+IFERROR(VLOOKUP(A87,'#3 IH Results'!$A$2:$C$101,2,0),0)+IFERROR(VLOOKUP(A87,'#2 IH Results'!$A$2:$C$101,2,0),0)+IFERROR(VLOOKUP(A87,'#1 IH Results'!$A$2:$C$101,2,0),0)+IFERROR(VLOOKUP(A87,'#0 IH Results'!$A$3:$C$102,2,0),0)</f>
        <v>19.05824895</v>
      </c>
    </row>
    <row r="88">
      <c r="A88" s="8" t="s">
        <v>88</v>
      </c>
      <c r="B88" s="6">
        <f>IFERROR(VLOOKUP(A88,'#17 IH Results'!$A$2:$C$301,2,0),0)+IFERROR(VLOOKUP(A88,'#16 IH Results'!$A$2:$C$301,2,0),0)+IFERROR(VLOOKUP(A88,'#15 IH Results'!$A$2:$C$301,2,0),0)+IFERROR(VLOOKUP(A88,'#14 IH Results'!$A$2:$C$302,2,0),0)+IFERROR(VLOOKUP(A88,'#13 IH Results'!$A$2:$C$302,2,0),0)+IFERROR(VLOOKUP(A88,'#12 IH Results'!$A$2:$C$302,2,0),0)+IFERROR(VLOOKUP(A88,'#11 IH Results'!$A$2:$C$302,2,0),0)+IFERROR(VLOOKUP(A88,'#10 IH Results'!$A$2:$C$302,2,0),0)+IFERROR(VLOOKUP(A88,'#9 IH Results'!$A$2:$C$302,2,0),0)+IFERROR(VLOOKUP(A88,'#8 IH Results'!$A$2:$C$302,2,0),0)+IFERROR(VLOOKUP(A88,'#7 IH Results'!$A$2:$C$302,2,0),0)+IFERROR(VLOOKUP(A88,'#6 IH Results'!$A$2:$C$302,2,0),0)+IFERROR(VLOOKUP(A88,'#5 IH Results'!$A$2:$C$303,2,0),0)+IFERROR(VLOOKUP(A88,'#4 IH Results'!$A$2:$C$300,2,0),0)+IFERROR(VLOOKUP(A88,'#3 IH Results'!$A$2:$C$101,2,0),0)+IFERROR(VLOOKUP(A88,'#2 IH Results'!$A$2:$C$101,2,0),0)+IFERROR(VLOOKUP(A88,'#1 IH Results'!$A$2:$C$101,2,0),0)+IFERROR(VLOOKUP(A88,'#0 IH Results'!$A$3:$C$102,2,0),0)</f>
        <v>18.88266729</v>
      </c>
    </row>
    <row r="89">
      <c r="A89" s="11" t="s">
        <v>89</v>
      </c>
      <c r="B89" s="6">
        <f>IFERROR(VLOOKUP(A89,'#17 IH Results'!$A$2:$C$301,2,0),0)+IFERROR(VLOOKUP(A89,'#16 IH Results'!$A$2:$C$301,2,0),0)+IFERROR(VLOOKUP(A89,'#15 IH Results'!$A$2:$C$301,2,0),0)+IFERROR(VLOOKUP(A89,'#14 IH Results'!$A$2:$C$302,2,0),0)+IFERROR(VLOOKUP(A89,'#13 IH Results'!$A$2:$C$302,2,0),0)+IFERROR(VLOOKUP(A89,'#12 IH Results'!$A$2:$C$302,2,0),0)+IFERROR(VLOOKUP(A89,'#11 IH Results'!$A$2:$C$302,2,0),0)+IFERROR(VLOOKUP(A89,'#10 IH Results'!$A$2:$C$302,2,0),0)+IFERROR(VLOOKUP(A89,'#9 IH Results'!$A$2:$C$302,2,0),0)+IFERROR(VLOOKUP(A89,'#8 IH Results'!$A$2:$C$302,2,0),0)+IFERROR(VLOOKUP(A89,'#7 IH Results'!$A$2:$C$302,2,0),0)+IFERROR(VLOOKUP(A89,'#6 IH Results'!$A$2:$C$302,2,0),0)+IFERROR(VLOOKUP(A89,'#5 IH Results'!$A$2:$C$303,2,0),0)+IFERROR(VLOOKUP(A89,'#4 IH Results'!$A$2:$C$300,2,0),0)+IFERROR(VLOOKUP(A89,'#3 IH Results'!$A$2:$C$101,2,0),0)+IFERROR(VLOOKUP(A89,'#2 IH Results'!$A$2:$C$101,2,0),0)+IFERROR(VLOOKUP(A89,'#1 IH Results'!$A$2:$C$101,2,0),0)+IFERROR(VLOOKUP(A89,'#0 IH Results'!$A$3:$C$102,2,0),0)</f>
        <v>18.53150289</v>
      </c>
    </row>
    <row r="90">
      <c r="A90" s="8" t="s">
        <v>90</v>
      </c>
      <c r="B90" s="6">
        <f>IFERROR(VLOOKUP(A90,'#17 IH Results'!$A$2:$C$301,2,0),0)+IFERROR(VLOOKUP(A90,'#16 IH Results'!$A$2:$C$301,2,0),0)+IFERROR(VLOOKUP(A90,'#15 IH Results'!$A$2:$C$301,2,0),0)+IFERROR(VLOOKUP(A90,'#14 IH Results'!$A$2:$C$302,2,0),0)+IFERROR(VLOOKUP(A90,'#13 IH Results'!$A$2:$C$302,2,0),0)+IFERROR(VLOOKUP(A90,'#12 IH Results'!$A$2:$C$302,2,0),0)+IFERROR(VLOOKUP(A90,'#11 IH Results'!$A$2:$C$302,2,0),0)+IFERROR(VLOOKUP(A90,'#10 IH Results'!$A$2:$C$302,2,0),0)+IFERROR(VLOOKUP(A90,'#9 IH Results'!$A$2:$C$302,2,0),0)+IFERROR(VLOOKUP(A90,'#8 IH Results'!$A$2:$C$302,2,0),0)+IFERROR(VLOOKUP(A90,'#7 IH Results'!$A$2:$C$302,2,0),0)+IFERROR(VLOOKUP(A90,'#6 IH Results'!$A$2:$C$302,2,0),0)+IFERROR(VLOOKUP(A90,'#5 IH Results'!$A$2:$C$303,2,0),0)+IFERROR(VLOOKUP(A90,'#4 IH Results'!$A$2:$C$300,2,0),0)+IFERROR(VLOOKUP(A90,'#3 IH Results'!$A$2:$C$101,2,0),0)+IFERROR(VLOOKUP(A90,'#2 IH Results'!$A$2:$C$101,2,0),0)+IFERROR(VLOOKUP(A90,'#1 IH Results'!$A$2:$C$101,2,0),0)+IFERROR(VLOOKUP(A90,'#0 IH Results'!$A$3:$C$102,2,0),0)</f>
        <v>17.89317763</v>
      </c>
    </row>
    <row r="91">
      <c r="A91" s="8" t="s">
        <v>91</v>
      </c>
      <c r="B91" s="6">
        <f>IFERROR(VLOOKUP(A91,'#17 IH Results'!$A$2:$C$301,2,0),0)+IFERROR(VLOOKUP(A91,'#16 IH Results'!$A$2:$C$301,2,0),0)+IFERROR(VLOOKUP(A91,'#15 IH Results'!$A$2:$C$301,2,0),0)+IFERROR(VLOOKUP(A91,'#14 IH Results'!$A$2:$C$302,2,0),0)+IFERROR(VLOOKUP(A91,'#13 IH Results'!$A$2:$C$302,2,0),0)+IFERROR(VLOOKUP(A91,'#12 IH Results'!$A$2:$C$302,2,0),0)+IFERROR(VLOOKUP(A91,'#11 IH Results'!$A$2:$C$302,2,0),0)+IFERROR(VLOOKUP(A91,'#10 IH Results'!$A$2:$C$302,2,0),0)+IFERROR(VLOOKUP(A91,'#9 IH Results'!$A$2:$C$302,2,0),0)+IFERROR(VLOOKUP(A91,'#8 IH Results'!$A$2:$C$302,2,0),0)+IFERROR(VLOOKUP(A91,'#7 IH Results'!$A$2:$C$302,2,0),0)+IFERROR(VLOOKUP(A91,'#6 IH Results'!$A$2:$C$302,2,0),0)+IFERROR(VLOOKUP(A91,'#5 IH Results'!$A$2:$C$303,2,0),0)+IFERROR(VLOOKUP(A91,'#4 IH Results'!$A$2:$C$300,2,0),0)+IFERROR(VLOOKUP(A91,'#3 IH Results'!$A$2:$C$101,2,0),0)+IFERROR(VLOOKUP(A91,'#2 IH Results'!$A$2:$C$101,2,0),0)+IFERROR(VLOOKUP(A91,'#1 IH Results'!$A$2:$C$101,2,0),0)+IFERROR(VLOOKUP(A91,'#0 IH Results'!$A$3:$C$102,2,0),0)</f>
        <v>17.84773094</v>
      </c>
    </row>
    <row r="92">
      <c r="A92" s="8" t="s">
        <v>92</v>
      </c>
      <c r="B92" s="6">
        <f>IFERROR(VLOOKUP(A92,'#17 IH Results'!$A$2:$C$301,2,0),0)+IFERROR(VLOOKUP(A92,'#16 IH Results'!$A$2:$C$301,2,0),0)+IFERROR(VLOOKUP(A92,'#15 IH Results'!$A$2:$C$301,2,0),0)+IFERROR(VLOOKUP(A92,'#14 IH Results'!$A$2:$C$302,2,0),0)+IFERROR(VLOOKUP(A92,'#13 IH Results'!$A$2:$C$302,2,0),0)+IFERROR(VLOOKUP(A92,'#12 IH Results'!$A$2:$C$302,2,0),0)+IFERROR(VLOOKUP(A92,'#11 IH Results'!$A$2:$C$302,2,0),0)+IFERROR(VLOOKUP(A92,'#10 IH Results'!$A$2:$C$302,2,0),0)+IFERROR(VLOOKUP(A92,'#9 IH Results'!$A$2:$C$302,2,0),0)+IFERROR(VLOOKUP(A92,'#8 IH Results'!$A$2:$C$302,2,0),0)+IFERROR(VLOOKUP(A92,'#7 IH Results'!$A$2:$C$302,2,0),0)+IFERROR(VLOOKUP(A92,'#6 IH Results'!$A$2:$C$302,2,0),0)+IFERROR(VLOOKUP(A92,'#5 IH Results'!$A$2:$C$303,2,0),0)+IFERROR(VLOOKUP(A92,'#4 IH Results'!$A$2:$C$300,2,0),0)+IFERROR(VLOOKUP(A92,'#3 IH Results'!$A$2:$C$101,2,0),0)+IFERROR(VLOOKUP(A92,'#2 IH Results'!$A$2:$C$101,2,0),0)+IFERROR(VLOOKUP(A92,'#1 IH Results'!$A$2:$C$101,2,0),0)+IFERROR(VLOOKUP(A92,'#0 IH Results'!$A$3:$C$102,2,0),0)</f>
        <v>17.78804786</v>
      </c>
    </row>
    <row r="93">
      <c r="A93" s="8" t="s">
        <v>93</v>
      </c>
      <c r="B93" s="6">
        <f>IFERROR(VLOOKUP(A93,'#17 IH Results'!$A$2:$C$301,2,0),0)+IFERROR(VLOOKUP(A93,'#16 IH Results'!$A$2:$C$301,2,0),0)+IFERROR(VLOOKUP(A93,'#15 IH Results'!$A$2:$C$301,2,0),0)+IFERROR(VLOOKUP(A93,'#14 IH Results'!$A$2:$C$302,2,0),0)+IFERROR(VLOOKUP(A93,'#13 IH Results'!$A$2:$C$302,2,0),0)+IFERROR(VLOOKUP(A93,'#12 IH Results'!$A$2:$C$302,2,0),0)+IFERROR(VLOOKUP(A93,'#11 IH Results'!$A$2:$C$302,2,0),0)+IFERROR(VLOOKUP(A93,'#10 IH Results'!$A$2:$C$302,2,0),0)+IFERROR(VLOOKUP(A93,'#9 IH Results'!$A$2:$C$302,2,0),0)+IFERROR(VLOOKUP(A93,'#8 IH Results'!$A$2:$C$302,2,0),0)+IFERROR(VLOOKUP(A93,'#7 IH Results'!$A$2:$C$302,2,0),0)+IFERROR(VLOOKUP(A93,'#6 IH Results'!$A$2:$C$302,2,0),0)+IFERROR(VLOOKUP(A93,'#5 IH Results'!$A$2:$C$303,2,0),0)+IFERROR(VLOOKUP(A93,'#4 IH Results'!$A$2:$C$300,2,0),0)+IFERROR(VLOOKUP(A93,'#3 IH Results'!$A$2:$C$101,2,0),0)+IFERROR(VLOOKUP(A93,'#2 IH Results'!$A$2:$C$101,2,0),0)+IFERROR(VLOOKUP(A93,'#1 IH Results'!$A$2:$C$101,2,0),0)+IFERROR(VLOOKUP(A93,'#0 IH Results'!$A$3:$C$102,2,0),0)</f>
        <v>16.68616004</v>
      </c>
    </row>
    <row r="94">
      <c r="A94" s="8" t="s">
        <v>94</v>
      </c>
      <c r="B94" s="6">
        <f>IFERROR(VLOOKUP(A94,'#17 IH Results'!$A$2:$C$301,2,0),0)+IFERROR(VLOOKUP(A94,'#16 IH Results'!$A$2:$C$301,2,0),0)+IFERROR(VLOOKUP(A94,'#15 IH Results'!$A$2:$C$301,2,0),0)+IFERROR(VLOOKUP(A94,'#14 IH Results'!$A$2:$C$302,2,0),0)+IFERROR(VLOOKUP(A94,'#13 IH Results'!$A$2:$C$302,2,0),0)+IFERROR(VLOOKUP(A94,'#12 IH Results'!$A$2:$C$302,2,0),0)+IFERROR(VLOOKUP(A94,'#11 IH Results'!$A$2:$C$302,2,0),0)+IFERROR(VLOOKUP(A94,'#10 IH Results'!$A$2:$C$302,2,0),0)+IFERROR(VLOOKUP(A94,'#9 IH Results'!$A$2:$C$302,2,0),0)+IFERROR(VLOOKUP(A94,'#8 IH Results'!$A$2:$C$302,2,0),0)+IFERROR(VLOOKUP(A94,'#7 IH Results'!$A$2:$C$302,2,0),0)+IFERROR(VLOOKUP(A94,'#6 IH Results'!$A$2:$C$302,2,0),0)+IFERROR(VLOOKUP(A94,'#5 IH Results'!$A$2:$C$303,2,0),0)+IFERROR(VLOOKUP(A94,'#4 IH Results'!$A$2:$C$300,2,0),0)+IFERROR(VLOOKUP(A94,'#3 IH Results'!$A$2:$C$101,2,0),0)+IFERROR(VLOOKUP(A94,'#2 IH Results'!$A$2:$C$101,2,0),0)+IFERROR(VLOOKUP(A94,'#1 IH Results'!$A$2:$C$101,2,0),0)+IFERROR(VLOOKUP(A94,'#0 IH Results'!$A$3:$C$102,2,0),0)</f>
        <v>16.52342898</v>
      </c>
    </row>
    <row r="95">
      <c r="A95" s="8" t="s">
        <v>95</v>
      </c>
      <c r="B95" s="6">
        <f>IFERROR(VLOOKUP(A95,'#17 IH Results'!$A$2:$C$301,2,0),0)+IFERROR(VLOOKUP(A95,'#16 IH Results'!$A$2:$C$301,2,0),0)+IFERROR(VLOOKUP(A95,'#15 IH Results'!$A$2:$C$301,2,0),0)+IFERROR(VLOOKUP(A95,'#14 IH Results'!$A$2:$C$302,2,0),0)+IFERROR(VLOOKUP(A95,'#13 IH Results'!$A$2:$C$302,2,0),0)+IFERROR(VLOOKUP(A95,'#12 IH Results'!$A$2:$C$302,2,0),0)+IFERROR(VLOOKUP(A95,'#11 IH Results'!$A$2:$C$302,2,0),0)+IFERROR(VLOOKUP(A95,'#10 IH Results'!$A$2:$C$302,2,0),0)+IFERROR(VLOOKUP(A95,'#9 IH Results'!$A$2:$C$302,2,0),0)+IFERROR(VLOOKUP(A95,'#8 IH Results'!$A$2:$C$302,2,0),0)+IFERROR(VLOOKUP(A95,'#7 IH Results'!$A$2:$C$302,2,0),0)+IFERROR(VLOOKUP(A95,'#6 IH Results'!$A$2:$C$302,2,0),0)+IFERROR(VLOOKUP(A95,'#5 IH Results'!$A$2:$C$303,2,0),0)+IFERROR(VLOOKUP(A95,'#4 IH Results'!$A$2:$C$300,2,0),0)+IFERROR(VLOOKUP(A95,'#3 IH Results'!$A$2:$C$101,2,0),0)+IFERROR(VLOOKUP(A95,'#2 IH Results'!$A$2:$C$101,2,0),0)+IFERROR(VLOOKUP(A95,'#1 IH Results'!$A$2:$C$101,2,0),0)+IFERROR(VLOOKUP(A95,'#0 IH Results'!$A$3:$C$102,2,0),0)</f>
        <v>16.43773503</v>
      </c>
    </row>
    <row r="96">
      <c r="A96" s="8" t="s">
        <v>96</v>
      </c>
      <c r="B96" s="6">
        <f>IFERROR(VLOOKUP(A96,'#17 IH Results'!$A$2:$C$301,2,0),0)+IFERROR(VLOOKUP(A96,'#16 IH Results'!$A$2:$C$301,2,0),0)+IFERROR(VLOOKUP(A96,'#15 IH Results'!$A$2:$C$301,2,0),0)+IFERROR(VLOOKUP(A96,'#14 IH Results'!$A$2:$C$302,2,0),0)+IFERROR(VLOOKUP(A96,'#13 IH Results'!$A$2:$C$302,2,0),0)+IFERROR(VLOOKUP(A96,'#12 IH Results'!$A$2:$C$302,2,0),0)+IFERROR(VLOOKUP(A96,'#11 IH Results'!$A$2:$C$302,2,0),0)+IFERROR(VLOOKUP(A96,'#10 IH Results'!$A$2:$C$302,2,0),0)+IFERROR(VLOOKUP(A96,'#9 IH Results'!$A$2:$C$302,2,0),0)+IFERROR(VLOOKUP(A96,'#8 IH Results'!$A$2:$C$302,2,0),0)+IFERROR(VLOOKUP(A96,'#7 IH Results'!$A$2:$C$302,2,0),0)+IFERROR(VLOOKUP(A96,'#6 IH Results'!$A$2:$C$302,2,0),0)+IFERROR(VLOOKUP(A96,'#5 IH Results'!$A$2:$C$303,2,0),0)+IFERROR(VLOOKUP(A96,'#4 IH Results'!$A$2:$C$300,2,0),0)+IFERROR(VLOOKUP(A96,'#3 IH Results'!$A$2:$C$101,2,0),0)+IFERROR(VLOOKUP(A96,'#2 IH Results'!$A$2:$C$101,2,0),0)+IFERROR(VLOOKUP(A96,'#1 IH Results'!$A$2:$C$101,2,0),0)+IFERROR(VLOOKUP(A96,'#0 IH Results'!$A$3:$C$102,2,0),0)</f>
        <v>16.33499603</v>
      </c>
    </row>
    <row r="97">
      <c r="A97" s="8" t="s">
        <v>97</v>
      </c>
      <c r="B97" s="6">
        <f>IFERROR(VLOOKUP(A97,'#17 IH Results'!$A$2:$C$301,2,0),0)+IFERROR(VLOOKUP(A97,'#16 IH Results'!$A$2:$C$301,2,0),0)+IFERROR(VLOOKUP(A97,'#15 IH Results'!$A$2:$C$301,2,0),0)+IFERROR(VLOOKUP(A97,'#14 IH Results'!$A$2:$C$302,2,0),0)+IFERROR(VLOOKUP(A97,'#13 IH Results'!$A$2:$C$302,2,0),0)+IFERROR(VLOOKUP(A97,'#12 IH Results'!$A$2:$C$302,2,0),0)+IFERROR(VLOOKUP(A97,'#11 IH Results'!$A$2:$C$302,2,0),0)+IFERROR(VLOOKUP(A97,'#10 IH Results'!$A$2:$C$302,2,0),0)+IFERROR(VLOOKUP(A97,'#9 IH Results'!$A$2:$C$302,2,0),0)+IFERROR(VLOOKUP(A97,'#8 IH Results'!$A$2:$C$302,2,0),0)+IFERROR(VLOOKUP(A97,'#7 IH Results'!$A$2:$C$302,2,0),0)+IFERROR(VLOOKUP(A97,'#6 IH Results'!$A$2:$C$302,2,0),0)+IFERROR(VLOOKUP(A97,'#5 IH Results'!$A$2:$C$303,2,0),0)+IFERROR(VLOOKUP(A97,'#4 IH Results'!$A$2:$C$300,2,0),0)+IFERROR(VLOOKUP(A97,'#3 IH Results'!$A$2:$C$101,2,0),0)+IFERROR(VLOOKUP(A97,'#2 IH Results'!$A$2:$C$101,2,0),0)+IFERROR(VLOOKUP(A97,'#1 IH Results'!$A$2:$C$101,2,0),0)+IFERROR(VLOOKUP(A97,'#0 IH Results'!$A$3:$C$102,2,0),0)</f>
        <v>16.32806525</v>
      </c>
    </row>
    <row r="98">
      <c r="A98" s="8" t="s">
        <v>98</v>
      </c>
      <c r="B98" s="6">
        <f>IFERROR(VLOOKUP(A98,'#17 IH Results'!$A$2:$C$301,2,0),0)+IFERROR(VLOOKUP(A98,'#16 IH Results'!$A$2:$C$301,2,0),0)+IFERROR(VLOOKUP(A98,'#15 IH Results'!$A$2:$C$301,2,0),0)+IFERROR(VLOOKUP(A98,'#14 IH Results'!$A$2:$C$302,2,0),0)+IFERROR(VLOOKUP(A98,'#13 IH Results'!$A$2:$C$302,2,0),0)+IFERROR(VLOOKUP(A98,'#12 IH Results'!$A$2:$C$302,2,0),0)+IFERROR(VLOOKUP(A98,'#11 IH Results'!$A$2:$C$302,2,0),0)+IFERROR(VLOOKUP(A98,'#10 IH Results'!$A$2:$C$302,2,0),0)+IFERROR(VLOOKUP(A98,'#9 IH Results'!$A$2:$C$302,2,0),0)+IFERROR(VLOOKUP(A98,'#8 IH Results'!$A$2:$C$302,2,0),0)+IFERROR(VLOOKUP(A98,'#7 IH Results'!$A$2:$C$302,2,0),0)+IFERROR(VLOOKUP(A98,'#6 IH Results'!$A$2:$C$302,2,0),0)+IFERROR(VLOOKUP(A98,'#5 IH Results'!$A$2:$C$303,2,0),0)+IFERROR(VLOOKUP(A98,'#4 IH Results'!$A$2:$C$300,2,0),0)+IFERROR(VLOOKUP(A98,'#3 IH Results'!$A$2:$C$101,2,0),0)+IFERROR(VLOOKUP(A98,'#2 IH Results'!$A$2:$C$101,2,0),0)+IFERROR(VLOOKUP(A98,'#1 IH Results'!$A$2:$C$101,2,0),0)+IFERROR(VLOOKUP(A98,'#0 IH Results'!$A$3:$C$102,2,0),0)</f>
        <v>16.25882368</v>
      </c>
    </row>
    <row r="99">
      <c r="A99" s="8" t="s">
        <v>99</v>
      </c>
      <c r="B99" s="6">
        <f>IFERROR(VLOOKUP(A99,'#17 IH Results'!$A$2:$C$301,2,0),0)+IFERROR(VLOOKUP(A99,'#16 IH Results'!$A$2:$C$301,2,0),0)+IFERROR(VLOOKUP(A99,'#15 IH Results'!$A$2:$C$301,2,0),0)+IFERROR(VLOOKUP(A99,'#14 IH Results'!$A$2:$C$302,2,0),0)+IFERROR(VLOOKUP(A99,'#13 IH Results'!$A$2:$C$302,2,0),0)+IFERROR(VLOOKUP(A99,'#12 IH Results'!$A$2:$C$302,2,0),0)+IFERROR(VLOOKUP(A99,'#11 IH Results'!$A$2:$C$302,2,0),0)+IFERROR(VLOOKUP(A99,'#10 IH Results'!$A$2:$C$302,2,0),0)+IFERROR(VLOOKUP(A99,'#9 IH Results'!$A$2:$C$302,2,0),0)+IFERROR(VLOOKUP(A99,'#8 IH Results'!$A$2:$C$302,2,0),0)+IFERROR(VLOOKUP(A99,'#7 IH Results'!$A$2:$C$302,2,0),0)+IFERROR(VLOOKUP(A99,'#6 IH Results'!$A$2:$C$302,2,0),0)+IFERROR(VLOOKUP(A99,'#5 IH Results'!$A$2:$C$303,2,0),0)+IFERROR(VLOOKUP(A99,'#4 IH Results'!$A$2:$C$300,2,0),0)+IFERROR(VLOOKUP(A99,'#3 IH Results'!$A$2:$C$101,2,0),0)+IFERROR(VLOOKUP(A99,'#2 IH Results'!$A$2:$C$101,2,0),0)+IFERROR(VLOOKUP(A99,'#1 IH Results'!$A$2:$C$101,2,0),0)+IFERROR(VLOOKUP(A99,'#0 IH Results'!$A$3:$C$102,2,0),0)</f>
        <v>16.05305349</v>
      </c>
    </row>
    <row r="100">
      <c r="A100" s="8" t="s">
        <v>100</v>
      </c>
      <c r="B100" s="6">
        <f>IFERROR(VLOOKUP(A100,'#17 IH Results'!$A$2:$C$301,2,0),0)+IFERROR(VLOOKUP(A100,'#16 IH Results'!$A$2:$C$301,2,0),0)+IFERROR(VLOOKUP(A100,'#15 IH Results'!$A$2:$C$301,2,0),0)+IFERROR(VLOOKUP(A100,'#14 IH Results'!$A$2:$C$302,2,0),0)+IFERROR(VLOOKUP(A100,'#13 IH Results'!$A$2:$C$302,2,0),0)+IFERROR(VLOOKUP(A100,'#12 IH Results'!$A$2:$C$302,2,0),0)+IFERROR(VLOOKUP(A100,'#11 IH Results'!$A$2:$C$302,2,0),0)+IFERROR(VLOOKUP(A100,'#10 IH Results'!$A$2:$C$302,2,0),0)+IFERROR(VLOOKUP(A100,'#9 IH Results'!$A$2:$C$302,2,0),0)+IFERROR(VLOOKUP(A100,'#8 IH Results'!$A$2:$C$302,2,0),0)+IFERROR(VLOOKUP(A100,'#7 IH Results'!$A$2:$C$302,2,0),0)+IFERROR(VLOOKUP(A100,'#6 IH Results'!$A$2:$C$302,2,0),0)+IFERROR(VLOOKUP(A100,'#5 IH Results'!$A$2:$C$303,2,0),0)+IFERROR(VLOOKUP(A100,'#4 IH Results'!$A$2:$C$300,2,0),0)+IFERROR(VLOOKUP(A100,'#3 IH Results'!$A$2:$C$101,2,0),0)+IFERROR(VLOOKUP(A100,'#2 IH Results'!$A$2:$C$101,2,0),0)+IFERROR(VLOOKUP(A100,'#1 IH Results'!$A$2:$C$101,2,0),0)+IFERROR(VLOOKUP(A100,'#0 IH Results'!$A$3:$C$102,2,0),0)</f>
        <v>15.62672672</v>
      </c>
    </row>
    <row r="101">
      <c r="A101" s="10" t="s">
        <v>101</v>
      </c>
      <c r="B101" s="6">
        <f>IFERROR(VLOOKUP(A101,'#17 IH Results'!$A$2:$C$301,2,0),0)+IFERROR(VLOOKUP(A101,'#16 IH Results'!$A$2:$C$301,2,0),0)+IFERROR(VLOOKUP(A101,'#15 IH Results'!$A$2:$C$301,2,0),0)+IFERROR(VLOOKUP(A101,'#14 IH Results'!$A$2:$C$302,2,0),0)+IFERROR(VLOOKUP(A101,'#13 IH Results'!$A$2:$C$302,2,0),0)+IFERROR(VLOOKUP(A101,'#12 IH Results'!$A$2:$C$302,2,0),0)+IFERROR(VLOOKUP(A101,'#11 IH Results'!$A$2:$C$302,2,0),0)+IFERROR(VLOOKUP(A101,'#10 IH Results'!$A$2:$C$302,2,0),0)+IFERROR(VLOOKUP(A101,'#9 IH Results'!$A$2:$C$302,2,0),0)+IFERROR(VLOOKUP(A101,'#8 IH Results'!$A$2:$C$302,2,0),0)+IFERROR(VLOOKUP(A101,'#7 IH Results'!$A$2:$C$302,2,0),0)+IFERROR(VLOOKUP(A101,'#6 IH Results'!$A$2:$C$302,2,0),0)+IFERROR(VLOOKUP(A101,'#5 IH Results'!$A$2:$C$303,2,0),0)+IFERROR(VLOOKUP(A101,'#4 IH Results'!$A$2:$C$300,2,0),0)+IFERROR(VLOOKUP(A101,'#3 IH Results'!$A$2:$C$101,2,0),0)+IFERROR(VLOOKUP(A101,'#2 IH Results'!$A$2:$C$101,2,0),0)+IFERROR(VLOOKUP(A101,'#1 IH Results'!$A$2:$C$101,2,0),0)+IFERROR(VLOOKUP(A101,'#0 IH Results'!$A$3:$C$102,2,0),0)</f>
        <v>15.29051661</v>
      </c>
    </row>
    <row r="102">
      <c r="A102" s="10" t="s">
        <v>102</v>
      </c>
      <c r="B102" s="6">
        <f>IFERROR(VLOOKUP(A102,'#17 IH Results'!$A$2:$C$301,2,0),0)+IFERROR(VLOOKUP(A102,'#16 IH Results'!$A$2:$C$301,2,0),0)+IFERROR(VLOOKUP(A102,'#15 IH Results'!$A$2:$C$301,2,0),0)+IFERROR(VLOOKUP(A102,'#14 IH Results'!$A$2:$C$302,2,0),0)+IFERROR(VLOOKUP(A102,'#13 IH Results'!$A$2:$C$302,2,0),0)+IFERROR(VLOOKUP(A102,'#12 IH Results'!$A$2:$C$302,2,0),0)+IFERROR(VLOOKUP(A102,'#11 IH Results'!$A$2:$C$302,2,0),0)+IFERROR(VLOOKUP(A102,'#10 IH Results'!$A$2:$C$302,2,0),0)+IFERROR(VLOOKUP(A102,'#9 IH Results'!$A$2:$C$302,2,0),0)+IFERROR(VLOOKUP(A102,'#8 IH Results'!$A$2:$C$302,2,0),0)+IFERROR(VLOOKUP(A102,'#7 IH Results'!$A$2:$C$302,2,0),0)+IFERROR(VLOOKUP(A102,'#6 IH Results'!$A$2:$C$302,2,0),0)+IFERROR(VLOOKUP(A102,'#5 IH Results'!$A$2:$C$303,2,0),0)+IFERROR(VLOOKUP(A102,'#4 IH Results'!$A$2:$C$300,2,0),0)+IFERROR(VLOOKUP(A102,'#3 IH Results'!$A$2:$C$101,2,0),0)+IFERROR(VLOOKUP(A102,'#2 IH Results'!$A$2:$C$101,2,0),0)+IFERROR(VLOOKUP(A102,'#1 IH Results'!$A$2:$C$101,2,0),0)+IFERROR(VLOOKUP(A102,'#0 IH Results'!$A$3:$C$102,2,0),0)</f>
        <v>15.07069263</v>
      </c>
    </row>
    <row r="103">
      <c r="A103" s="8" t="s">
        <v>103</v>
      </c>
      <c r="B103" s="6">
        <f>IFERROR(VLOOKUP(A103,'#17 IH Results'!$A$2:$C$301,2,0),0)+IFERROR(VLOOKUP(A103,'#16 IH Results'!$A$2:$C$301,2,0),0)+IFERROR(VLOOKUP(A103,'#15 IH Results'!$A$2:$C$301,2,0),0)+IFERROR(VLOOKUP(A103,'#14 IH Results'!$A$2:$C$302,2,0),0)+IFERROR(VLOOKUP(A103,'#13 IH Results'!$A$2:$C$302,2,0),0)+IFERROR(VLOOKUP(A103,'#12 IH Results'!$A$2:$C$302,2,0),0)+IFERROR(VLOOKUP(A103,'#11 IH Results'!$A$2:$C$302,2,0),0)+IFERROR(VLOOKUP(A103,'#10 IH Results'!$A$2:$C$302,2,0),0)+IFERROR(VLOOKUP(A103,'#9 IH Results'!$A$2:$C$302,2,0),0)+IFERROR(VLOOKUP(A103,'#8 IH Results'!$A$2:$C$302,2,0),0)+IFERROR(VLOOKUP(A103,'#7 IH Results'!$A$2:$C$302,2,0),0)+IFERROR(VLOOKUP(A103,'#6 IH Results'!$A$2:$C$302,2,0),0)+IFERROR(VLOOKUP(A103,'#5 IH Results'!$A$2:$C$303,2,0),0)+IFERROR(VLOOKUP(A103,'#4 IH Results'!$A$2:$C$300,2,0),0)+IFERROR(VLOOKUP(A103,'#3 IH Results'!$A$2:$C$101,2,0),0)+IFERROR(VLOOKUP(A103,'#2 IH Results'!$A$2:$C$101,2,0),0)+IFERROR(VLOOKUP(A103,'#1 IH Results'!$A$2:$C$101,2,0),0)+IFERROR(VLOOKUP(A103,'#0 IH Results'!$A$3:$C$102,2,0),0)</f>
        <v>14.92714097</v>
      </c>
    </row>
    <row r="104">
      <c r="A104" s="8" t="s">
        <v>104</v>
      </c>
      <c r="B104" s="6">
        <f>IFERROR(VLOOKUP(A104,'#17 IH Results'!$A$2:$C$301,2,0),0)+IFERROR(VLOOKUP(A104,'#16 IH Results'!$A$2:$C$301,2,0),0)+IFERROR(VLOOKUP(A104,'#15 IH Results'!$A$2:$C$301,2,0),0)+IFERROR(VLOOKUP(A104,'#14 IH Results'!$A$2:$C$302,2,0),0)+IFERROR(VLOOKUP(A104,'#13 IH Results'!$A$2:$C$302,2,0),0)+IFERROR(VLOOKUP(A104,'#12 IH Results'!$A$2:$C$302,2,0),0)+IFERROR(VLOOKUP(A104,'#11 IH Results'!$A$2:$C$302,2,0),0)+IFERROR(VLOOKUP(A104,'#10 IH Results'!$A$2:$C$302,2,0),0)+IFERROR(VLOOKUP(A104,'#9 IH Results'!$A$2:$C$302,2,0),0)+IFERROR(VLOOKUP(A104,'#8 IH Results'!$A$2:$C$302,2,0),0)+IFERROR(VLOOKUP(A104,'#7 IH Results'!$A$2:$C$302,2,0),0)+IFERROR(VLOOKUP(A104,'#6 IH Results'!$A$2:$C$302,2,0),0)+IFERROR(VLOOKUP(A104,'#5 IH Results'!$A$2:$C$303,2,0),0)+IFERROR(VLOOKUP(A104,'#4 IH Results'!$A$2:$C$300,2,0),0)+IFERROR(VLOOKUP(A104,'#3 IH Results'!$A$2:$C$101,2,0),0)+IFERROR(VLOOKUP(A104,'#2 IH Results'!$A$2:$C$101,2,0),0)+IFERROR(VLOOKUP(A104,'#1 IH Results'!$A$2:$C$101,2,0),0)+IFERROR(VLOOKUP(A104,'#0 IH Results'!$A$3:$C$102,2,0),0)</f>
        <v>14.83435683</v>
      </c>
    </row>
    <row r="105">
      <c r="A105" s="8" t="s">
        <v>105</v>
      </c>
      <c r="B105" s="6">
        <f>IFERROR(VLOOKUP(A105,'#17 IH Results'!$A$2:$C$301,2,0),0)+IFERROR(VLOOKUP(A105,'#16 IH Results'!$A$2:$C$301,2,0),0)+IFERROR(VLOOKUP(A105,'#15 IH Results'!$A$2:$C$301,2,0),0)+IFERROR(VLOOKUP(A105,'#14 IH Results'!$A$2:$C$302,2,0),0)+IFERROR(VLOOKUP(A105,'#13 IH Results'!$A$2:$C$302,2,0),0)+IFERROR(VLOOKUP(A105,'#12 IH Results'!$A$2:$C$302,2,0),0)+IFERROR(VLOOKUP(A105,'#11 IH Results'!$A$2:$C$302,2,0),0)+IFERROR(VLOOKUP(A105,'#10 IH Results'!$A$2:$C$302,2,0),0)+IFERROR(VLOOKUP(A105,'#9 IH Results'!$A$2:$C$302,2,0),0)+IFERROR(VLOOKUP(A105,'#8 IH Results'!$A$2:$C$302,2,0),0)+IFERROR(VLOOKUP(A105,'#7 IH Results'!$A$2:$C$302,2,0),0)+IFERROR(VLOOKUP(A105,'#6 IH Results'!$A$2:$C$302,2,0),0)+IFERROR(VLOOKUP(A105,'#5 IH Results'!$A$2:$C$303,2,0),0)+IFERROR(VLOOKUP(A105,'#4 IH Results'!$A$2:$C$300,2,0),0)+IFERROR(VLOOKUP(A105,'#3 IH Results'!$A$2:$C$101,2,0),0)+IFERROR(VLOOKUP(A105,'#2 IH Results'!$A$2:$C$101,2,0),0)+IFERROR(VLOOKUP(A105,'#1 IH Results'!$A$2:$C$101,2,0),0)+IFERROR(VLOOKUP(A105,'#0 IH Results'!$A$3:$C$102,2,0),0)</f>
        <v>14.53068881</v>
      </c>
    </row>
    <row r="106">
      <c r="A106" s="8" t="s">
        <v>106</v>
      </c>
      <c r="B106" s="6">
        <f>IFERROR(VLOOKUP(A106,'#17 IH Results'!$A$2:$C$301,2,0),0)+IFERROR(VLOOKUP(A106,'#16 IH Results'!$A$2:$C$301,2,0),0)+IFERROR(VLOOKUP(A106,'#15 IH Results'!$A$2:$C$301,2,0),0)+IFERROR(VLOOKUP(A106,'#14 IH Results'!$A$2:$C$302,2,0),0)+IFERROR(VLOOKUP(A106,'#13 IH Results'!$A$2:$C$302,2,0),0)+IFERROR(VLOOKUP(A106,'#12 IH Results'!$A$2:$C$302,2,0),0)+IFERROR(VLOOKUP(A106,'#11 IH Results'!$A$2:$C$302,2,0),0)+IFERROR(VLOOKUP(A106,'#10 IH Results'!$A$2:$C$302,2,0),0)+IFERROR(VLOOKUP(A106,'#9 IH Results'!$A$2:$C$302,2,0),0)+IFERROR(VLOOKUP(A106,'#8 IH Results'!$A$2:$C$302,2,0),0)+IFERROR(VLOOKUP(A106,'#7 IH Results'!$A$2:$C$302,2,0),0)+IFERROR(VLOOKUP(A106,'#6 IH Results'!$A$2:$C$302,2,0),0)+IFERROR(VLOOKUP(A106,'#5 IH Results'!$A$2:$C$303,2,0),0)+IFERROR(VLOOKUP(A106,'#4 IH Results'!$A$2:$C$300,2,0),0)+IFERROR(VLOOKUP(A106,'#3 IH Results'!$A$2:$C$101,2,0),0)+IFERROR(VLOOKUP(A106,'#2 IH Results'!$A$2:$C$101,2,0),0)+IFERROR(VLOOKUP(A106,'#1 IH Results'!$A$2:$C$101,2,0),0)+IFERROR(VLOOKUP(A106,'#0 IH Results'!$A$3:$C$102,2,0),0)</f>
        <v>14.42038302</v>
      </c>
    </row>
    <row r="107">
      <c r="A107" s="8" t="s">
        <v>107</v>
      </c>
      <c r="B107" s="6">
        <f>IFERROR(VLOOKUP(A107,'#17 IH Results'!$A$2:$C$301,2,0),0)+IFERROR(VLOOKUP(A107,'#16 IH Results'!$A$2:$C$301,2,0),0)+IFERROR(VLOOKUP(A107,'#15 IH Results'!$A$2:$C$301,2,0),0)+IFERROR(VLOOKUP(A107,'#14 IH Results'!$A$2:$C$302,2,0),0)+IFERROR(VLOOKUP(A107,'#13 IH Results'!$A$2:$C$302,2,0),0)+IFERROR(VLOOKUP(A107,'#12 IH Results'!$A$2:$C$302,2,0),0)+IFERROR(VLOOKUP(A107,'#11 IH Results'!$A$2:$C$302,2,0),0)+IFERROR(VLOOKUP(A107,'#10 IH Results'!$A$2:$C$302,2,0),0)+IFERROR(VLOOKUP(A107,'#9 IH Results'!$A$2:$C$302,2,0),0)+IFERROR(VLOOKUP(A107,'#8 IH Results'!$A$2:$C$302,2,0),0)+IFERROR(VLOOKUP(A107,'#7 IH Results'!$A$2:$C$302,2,0),0)+IFERROR(VLOOKUP(A107,'#6 IH Results'!$A$2:$C$302,2,0),0)+IFERROR(VLOOKUP(A107,'#5 IH Results'!$A$2:$C$303,2,0),0)+IFERROR(VLOOKUP(A107,'#4 IH Results'!$A$2:$C$300,2,0),0)+IFERROR(VLOOKUP(A107,'#3 IH Results'!$A$2:$C$101,2,0),0)+IFERROR(VLOOKUP(A107,'#2 IH Results'!$A$2:$C$101,2,0),0)+IFERROR(VLOOKUP(A107,'#1 IH Results'!$A$2:$C$101,2,0),0)+IFERROR(VLOOKUP(A107,'#0 IH Results'!$A$3:$C$102,2,0),0)</f>
        <v>14.26894525</v>
      </c>
    </row>
    <row r="108">
      <c r="A108" s="8" t="s">
        <v>108</v>
      </c>
      <c r="B108" s="6">
        <f>IFERROR(VLOOKUP(A108,'#17 IH Results'!$A$2:$C$301,2,0),0)+IFERROR(VLOOKUP(A108,'#16 IH Results'!$A$2:$C$301,2,0),0)+IFERROR(VLOOKUP(A108,'#15 IH Results'!$A$2:$C$301,2,0),0)+IFERROR(VLOOKUP(A108,'#14 IH Results'!$A$2:$C$302,2,0),0)+IFERROR(VLOOKUP(A108,'#13 IH Results'!$A$2:$C$302,2,0),0)+IFERROR(VLOOKUP(A108,'#12 IH Results'!$A$2:$C$302,2,0),0)+IFERROR(VLOOKUP(A108,'#11 IH Results'!$A$2:$C$302,2,0),0)+IFERROR(VLOOKUP(A108,'#10 IH Results'!$A$2:$C$302,2,0),0)+IFERROR(VLOOKUP(A108,'#9 IH Results'!$A$2:$C$302,2,0),0)+IFERROR(VLOOKUP(A108,'#8 IH Results'!$A$2:$C$302,2,0),0)+IFERROR(VLOOKUP(A108,'#7 IH Results'!$A$2:$C$302,2,0),0)+IFERROR(VLOOKUP(A108,'#6 IH Results'!$A$2:$C$302,2,0),0)+IFERROR(VLOOKUP(A108,'#5 IH Results'!$A$2:$C$303,2,0),0)+IFERROR(VLOOKUP(A108,'#4 IH Results'!$A$2:$C$300,2,0),0)+IFERROR(VLOOKUP(A108,'#3 IH Results'!$A$2:$C$101,2,0),0)+IFERROR(VLOOKUP(A108,'#2 IH Results'!$A$2:$C$101,2,0),0)+IFERROR(VLOOKUP(A108,'#1 IH Results'!$A$2:$C$101,2,0),0)+IFERROR(VLOOKUP(A108,'#0 IH Results'!$A$3:$C$102,2,0),0)</f>
        <v>13.93537238</v>
      </c>
    </row>
    <row r="109">
      <c r="A109" s="8" t="s">
        <v>109</v>
      </c>
      <c r="B109" s="6">
        <f>IFERROR(VLOOKUP(A109,'#17 IH Results'!$A$2:$C$301,2,0),0)+IFERROR(VLOOKUP(A109,'#16 IH Results'!$A$2:$C$301,2,0),0)+IFERROR(VLOOKUP(A109,'#15 IH Results'!$A$2:$C$301,2,0),0)+IFERROR(VLOOKUP(A109,'#14 IH Results'!$A$2:$C$302,2,0),0)+IFERROR(VLOOKUP(A109,'#13 IH Results'!$A$2:$C$302,2,0),0)+IFERROR(VLOOKUP(A109,'#12 IH Results'!$A$2:$C$302,2,0),0)+IFERROR(VLOOKUP(A109,'#11 IH Results'!$A$2:$C$302,2,0),0)+IFERROR(VLOOKUP(A109,'#10 IH Results'!$A$2:$C$302,2,0),0)+IFERROR(VLOOKUP(A109,'#9 IH Results'!$A$2:$C$302,2,0),0)+IFERROR(VLOOKUP(A109,'#8 IH Results'!$A$2:$C$302,2,0),0)+IFERROR(VLOOKUP(A109,'#7 IH Results'!$A$2:$C$302,2,0),0)+IFERROR(VLOOKUP(A109,'#6 IH Results'!$A$2:$C$302,2,0),0)+IFERROR(VLOOKUP(A109,'#5 IH Results'!$A$2:$C$303,2,0),0)+IFERROR(VLOOKUP(A109,'#4 IH Results'!$A$2:$C$300,2,0),0)+IFERROR(VLOOKUP(A109,'#3 IH Results'!$A$2:$C$101,2,0),0)+IFERROR(VLOOKUP(A109,'#2 IH Results'!$A$2:$C$101,2,0),0)+IFERROR(VLOOKUP(A109,'#1 IH Results'!$A$2:$C$101,2,0),0)+IFERROR(VLOOKUP(A109,'#0 IH Results'!$A$3:$C$102,2,0),0)</f>
        <v>13.54955733</v>
      </c>
    </row>
    <row r="110">
      <c r="A110" s="8" t="s">
        <v>110</v>
      </c>
      <c r="B110" s="6">
        <f>IFERROR(VLOOKUP(A110,'#17 IH Results'!$A$2:$C$301,2,0),0)+IFERROR(VLOOKUP(A110,'#16 IH Results'!$A$2:$C$301,2,0),0)+IFERROR(VLOOKUP(A110,'#15 IH Results'!$A$2:$C$301,2,0),0)+IFERROR(VLOOKUP(A110,'#14 IH Results'!$A$2:$C$302,2,0),0)+IFERROR(VLOOKUP(A110,'#13 IH Results'!$A$2:$C$302,2,0),0)+IFERROR(VLOOKUP(A110,'#12 IH Results'!$A$2:$C$302,2,0),0)+IFERROR(VLOOKUP(A110,'#11 IH Results'!$A$2:$C$302,2,0),0)+IFERROR(VLOOKUP(A110,'#10 IH Results'!$A$2:$C$302,2,0),0)+IFERROR(VLOOKUP(A110,'#9 IH Results'!$A$2:$C$302,2,0),0)+IFERROR(VLOOKUP(A110,'#8 IH Results'!$A$2:$C$302,2,0),0)+IFERROR(VLOOKUP(A110,'#7 IH Results'!$A$2:$C$302,2,0),0)+IFERROR(VLOOKUP(A110,'#6 IH Results'!$A$2:$C$302,2,0),0)+IFERROR(VLOOKUP(A110,'#5 IH Results'!$A$2:$C$303,2,0),0)+IFERROR(VLOOKUP(A110,'#4 IH Results'!$A$2:$C$300,2,0),0)+IFERROR(VLOOKUP(A110,'#3 IH Results'!$A$2:$C$101,2,0),0)+IFERROR(VLOOKUP(A110,'#2 IH Results'!$A$2:$C$101,2,0),0)+IFERROR(VLOOKUP(A110,'#1 IH Results'!$A$2:$C$101,2,0),0)+IFERROR(VLOOKUP(A110,'#0 IH Results'!$A$3:$C$102,2,0),0)</f>
        <v>13.45676808</v>
      </c>
    </row>
    <row r="111">
      <c r="A111" s="8" t="s">
        <v>111</v>
      </c>
      <c r="B111" s="6">
        <f>IFERROR(VLOOKUP(A111,'#17 IH Results'!$A$2:$C$301,2,0),0)+IFERROR(VLOOKUP(A111,'#16 IH Results'!$A$2:$C$301,2,0),0)+IFERROR(VLOOKUP(A111,'#15 IH Results'!$A$2:$C$301,2,0),0)+IFERROR(VLOOKUP(A111,'#14 IH Results'!$A$2:$C$302,2,0),0)+IFERROR(VLOOKUP(A111,'#13 IH Results'!$A$2:$C$302,2,0),0)+IFERROR(VLOOKUP(A111,'#12 IH Results'!$A$2:$C$302,2,0),0)+IFERROR(VLOOKUP(A111,'#11 IH Results'!$A$2:$C$302,2,0),0)+IFERROR(VLOOKUP(A111,'#10 IH Results'!$A$2:$C$302,2,0),0)+IFERROR(VLOOKUP(A111,'#9 IH Results'!$A$2:$C$302,2,0),0)+IFERROR(VLOOKUP(A111,'#8 IH Results'!$A$2:$C$302,2,0),0)+IFERROR(VLOOKUP(A111,'#7 IH Results'!$A$2:$C$302,2,0),0)+IFERROR(VLOOKUP(A111,'#6 IH Results'!$A$2:$C$302,2,0),0)+IFERROR(VLOOKUP(A111,'#5 IH Results'!$A$2:$C$303,2,0),0)+IFERROR(VLOOKUP(A111,'#4 IH Results'!$A$2:$C$300,2,0),0)+IFERROR(VLOOKUP(A111,'#3 IH Results'!$A$2:$C$101,2,0),0)+IFERROR(VLOOKUP(A111,'#2 IH Results'!$A$2:$C$101,2,0),0)+IFERROR(VLOOKUP(A111,'#1 IH Results'!$A$2:$C$101,2,0),0)+IFERROR(VLOOKUP(A111,'#0 IH Results'!$A$3:$C$102,2,0),0)</f>
        <v>13.40636894</v>
      </c>
    </row>
    <row r="112">
      <c r="A112" s="8" t="s">
        <v>112</v>
      </c>
      <c r="B112" s="6">
        <f>IFERROR(VLOOKUP(A112,'#17 IH Results'!$A$2:$C$301,2,0),0)+IFERROR(VLOOKUP(A112,'#16 IH Results'!$A$2:$C$301,2,0),0)+IFERROR(VLOOKUP(A112,'#15 IH Results'!$A$2:$C$301,2,0),0)+IFERROR(VLOOKUP(A112,'#14 IH Results'!$A$2:$C$302,2,0),0)+IFERROR(VLOOKUP(A112,'#13 IH Results'!$A$2:$C$302,2,0),0)+IFERROR(VLOOKUP(A112,'#12 IH Results'!$A$2:$C$302,2,0),0)+IFERROR(VLOOKUP(A112,'#11 IH Results'!$A$2:$C$302,2,0),0)+IFERROR(VLOOKUP(A112,'#10 IH Results'!$A$2:$C$302,2,0),0)+IFERROR(VLOOKUP(A112,'#9 IH Results'!$A$2:$C$302,2,0),0)+IFERROR(VLOOKUP(A112,'#8 IH Results'!$A$2:$C$302,2,0),0)+IFERROR(VLOOKUP(A112,'#7 IH Results'!$A$2:$C$302,2,0),0)+IFERROR(VLOOKUP(A112,'#6 IH Results'!$A$2:$C$302,2,0),0)+IFERROR(VLOOKUP(A112,'#5 IH Results'!$A$2:$C$303,2,0),0)+IFERROR(VLOOKUP(A112,'#4 IH Results'!$A$2:$C$300,2,0),0)+IFERROR(VLOOKUP(A112,'#3 IH Results'!$A$2:$C$101,2,0),0)+IFERROR(VLOOKUP(A112,'#2 IH Results'!$A$2:$C$101,2,0),0)+IFERROR(VLOOKUP(A112,'#1 IH Results'!$A$2:$C$101,2,0),0)+IFERROR(VLOOKUP(A112,'#0 IH Results'!$A$3:$C$102,2,0),0)</f>
        <v>13.34147573</v>
      </c>
    </row>
    <row r="113">
      <c r="A113" s="12" t="s">
        <v>113</v>
      </c>
      <c r="B113" s="6">
        <f>IFERROR(VLOOKUP(A113,'#17 IH Results'!$A$2:$C$301,2,0),0)+IFERROR(VLOOKUP(A113,'#16 IH Results'!$A$2:$C$301,2,0),0)+IFERROR(VLOOKUP(A113,'#15 IH Results'!$A$2:$C$301,2,0),0)+IFERROR(VLOOKUP(A113,'#14 IH Results'!$A$2:$C$302,2,0),0)+IFERROR(VLOOKUP(A113,'#13 IH Results'!$A$2:$C$302,2,0),0)+IFERROR(VLOOKUP(A113,'#12 IH Results'!$A$2:$C$302,2,0),0)+IFERROR(VLOOKUP(A113,'#11 IH Results'!$A$2:$C$302,2,0),0)+IFERROR(VLOOKUP(A113,'#10 IH Results'!$A$2:$C$302,2,0),0)+IFERROR(VLOOKUP(A113,'#9 IH Results'!$A$2:$C$302,2,0),0)+IFERROR(VLOOKUP(A113,'#8 IH Results'!$A$2:$C$302,2,0),0)+IFERROR(VLOOKUP(A113,'#7 IH Results'!$A$2:$C$302,2,0),0)+IFERROR(VLOOKUP(A113,'#6 IH Results'!$A$2:$C$302,2,0),0)+IFERROR(VLOOKUP(A113,'#5 IH Results'!$A$2:$C$303,2,0),0)+IFERROR(VLOOKUP(A113,'#4 IH Results'!$A$2:$C$300,2,0),0)+IFERROR(VLOOKUP(A113,'#3 IH Results'!$A$2:$C$101,2,0),0)+IFERROR(VLOOKUP(A113,'#2 IH Results'!$A$2:$C$101,2,0),0)+IFERROR(VLOOKUP(A113,'#1 IH Results'!$A$2:$C$101,2,0),0)+IFERROR(VLOOKUP(A113,'#0 IH Results'!$A$3:$C$102,2,0),0)</f>
        <v>13.33831882</v>
      </c>
    </row>
    <row r="114">
      <c r="A114" s="8" t="s">
        <v>114</v>
      </c>
      <c r="B114" s="6">
        <f>IFERROR(VLOOKUP(A114,'#17 IH Results'!$A$2:$C$301,2,0),0)+IFERROR(VLOOKUP(A114,'#16 IH Results'!$A$2:$C$301,2,0),0)+IFERROR(VLOOKUP(A114,'#15 IH Results'!$A$2:$C$301,2,0),0)+IFERROR(VLOOKUP(A114,'#14 IH Results'!$A$2:$C$302,2,0),0)+IFERROR(VLOOKUP(A114,'#13 IH Results'!$A$2:$C$302,2,0),0)+IFERROR(VLOOKUP(A114,'#12 IH Results'!$A$2:$C$302,2,0),0)+IFERROR(VLOOKUP(A114,'#11 IH Results'!$A$2:$C$302,2,0),0)+IFERROR(VLOOKUP(A114,'#10 IH Results'!$A$2:$C$302,2,0),0)+IFERROR(VLOOKUP(A114,'#9 IH Results'!$A$2:$C$302,2,0),0)+IFERROR(VLOOKUP(A114,'#8 IH Results'!$A$2:$C$302,2,0),0)+IFERROR(VLOOKUP(A114,'#7 IH Results'!$A$2:$C$302,2,0),0)+IFERROR(VLOOKUP(A114,'#6 IH Results'!$A$2:$C$302,2,0),0)+IFERROR(VLOOKUP(A114,'#5 IH Results'!$A$2:$C$303,2,0),0)+IFERROR(VLOOKUP(A114,'#4 IH Results'!$A$2:$C$300,2,0),0)+IFERROR(VLOOKUP(A114,'#3 IH Results'!$A$2:$C$101,2,0),0)+IFERROR(VLOOKUP(A114,'#2 IH Results'!$A$2:$C$101,2,0),0)+IFERROR(VLOOKUP(A114,'#1 IH Results'!$A$2:$C$101,2,0),0)+IFERROR(VLOOKUP(A114,'#0 IH Results'!$A$3:$C$102,2,0),0)</f>
        <v>12.82777964</v>
      </c>
    </row>
    <row r="115">
      <c r="A115" s="8" t="s">
        <v>115</v>
      </c>
      <c r="B115" s="6">
        <f>IFERROR(VLOOKUP(A115,'#17 IH Results'!$A$2:$C$301,2,0),0)+IFERROR(VLOOKUP(A115,'#16 IH Results'!$A$2:$C$301,2,0),0)+IFERROR(VLOOKUP(A115,'#15 IH Results'!$A$2:$C$301,2,0),0)+IFERROR(VLOOKUP(A115,'#14 IH Results'!$A$2:$C$302,2,0),0)+IFERROR(VLOOKUP(A115,'#13 IH Results'!$A$2:$C$302,2,0),0)+IFERROR(VLOOKUP(A115,'#12 IH Results'!$A$2:$C$302,2,0),0)+IFERROR(VLOOKUP(A115,'#11 IH Results'!$A$2:$C$302,2,0),0)+IFERROR(VLOOKUP(A115,'#10 IH Results'!$A$2:$C$302,2,0),0)+IFERROR(VLOOKUP(A115,'#9 IH Results'!$A$2:$C$302,2,0),0)+IFERROR(VLOOKUP(A115,'#8 IH Results'!$A$2:$C$302,2,0),0)+IFERROR(VLOOKUP(A115,'#7 IH Results'!$A$2:$C$302,2,0),0)+IFERROR(VLOOKUP(A115,'#6 IH Results'!$A$2:$C$302,2,0),0)+IFERROR(VLOOKUP(A115,'#5 IH Results'!$A$2:$C$303,2,0),0)+IFERROR(VLOOKUP(A115,'#4 IH Results'!$A$2:$C$300,2,0),0)+IFERROR(VLOOKUP(A115,'#3 IH Results'!$A$2:$C$101,2,0),0)+IFERROR(VLOOKUP(A115,'#2 IH Results'!$A$2:$C$101,2,0),0)+IFERROR(VLOOKUP(A115,'#1 IH Results'!$A$2:$C$101,2,0),0)+IFERROR(VLOOKUP(A115,'#0 IH Results'!$A$3:$C$102,2,0),0)</f>
        <v>12.71383089</v>
      </c>
    </row>
    <row r="116">
      <c r="A116" s="8" t="s">
        <v>116</v>
      </c>
      <c r="B116" s="6">
        <f>IFERROR(VLOOKUP(A116,'#17 IH Results'!$A$2:$C$301,2,0),0)+IFERROR(VLOOKUP(A116,'#16 IH Results'!$A$2:$C$301,2,0),0)+IFERROR(VLOOKUP(A116,'#15 IH Results'!$A$2:$C$301,2,0),0)+IFERROR(VLOOKUP(A116,'#14 IH Results'!$A$2:$C$302,2,0),0)+IFERROR(VLOOKUP(A116,'#13 IH Results'!$A$2:$C$302,2,0),0)+IFERROR(VLOOKUP(A116,'#12 IH Results'!$A$2:$C$302,2,0),0)+IFERROR(VLOOKUP(A116,'#11 IH Results'!$A$2:$C$302,2,0),0)+IFERROR(VLOOKUP(A116,'#10 IH Results'!$A$2:$C$302,2,0),0)+IFERROR(VLOOKUP(A116,'#9 IH Results'!$A$2:$C$302,2,0),0)+IFERROR(VLOOKUP(A116,'#8 IH Results'!$A$2:$C$302,2,0),0)+IFERROR(VLOOKUP(A116,'#7 IH Results'!$A$2:$C$302,2,0),0)+IFERROR(VLOOKUP(A116,'#6 IH Results'!$A$2:$C$302,2,0),0)+IFERROR(VLOOKUP(A116,'#5 IH Results'!$A$2:$C$303,2,0),0)+IFERROR(VLOOKUP(A116,'#4 IH Results'!$A$2:$C$300,2,0),0)+IFERROR(VLOOKUP(A116,'#3 IH Results'!$A$2:$C$101,2,0),0)+IFERROR(VLOOKUP(A116,'#2 IH Results'!$A$2:$C$101,2,0),0)+IFERROR(VLOOKUP(A116,'#1 IH Results'!$A$2:$C$101,2,0),0)+IFERROR(VLOOKUP(A116,'#0 IH Results'!$A$3:$C$102,2,0),0)</f>
        <v>12.46365575</v>
      </c>
    </row>
    <row r="117">
      <c r="A117" s="8" t="s">
        <v>117</v>
      </c>
      <c r="B117" s="6">
        <f>IFERROR(VLOOKUP(A117,'#17 IH Results'!$A$2:$C$301,2,0),0)+IFERROR(VLOOKUP(A117,'#16 IH Results'!$A$2:$C$301,2,0),0)+IFERROR(VLOOKUP(A117,'#15 IH Results'!$A$2:$C$301,2,0),0)+IFERROR(VLOOKUP(A117,'#14 IH Results'!$A$2:$C$302,2,0),0)+IFERROR(VLOOKUP(A117,'#13 IH Results'!$A$2:$C$302,2,0),0)+IFERROR(VLOOKUP(A117,'#12 IH Results'!$A$2:$C$302,2,0),0)+IFERROR(VLOOKUP(A117,'#11 IH Results'!$A$2:$C$302,2,0),0)+IFERROR(VLOOKUP(A117,'#10 IH Results'!$A$2:$C$302,2,0),0)+IFERROR(VLOOKUP(A117,'#9 IH Results'!$A$2:$C$302,2,0),0)+IFERROR(VLOOKUP(A117,'#8 IH Results'!$A$2:$C$302,2,0),0)+IFERROR(VLOOKUP(A117,'#7 IH Results'!$A$2:$C$302,2,0),0)+IFERROR(VLOOKUP(A117,'#6 IH Results'!$A$2:$C$302,2,0),0)+IFERROR(VLOOKUP(A117,'#5 IH Results'!$A$2:$C$303,2,0),0)+IFERROR(VLOOKUP(A117,'#4 IH Results'!$A$2:$C$300,2,0),0)+IFERROR(VLOOKUP(A117,'#3 IH Results'!$A$2:$C$101,2,0),0)+IFERROR(VLOOKUP(A117,'#2 IH Results'!$A$2:$C$101,2,0),0)+IFERROR(VLOOKUP(A117,'#1 IH Results'!$A$2:$C$101,2,0),0)+IFERROR(VLOOKUP(A117,'#0 IH Results'!$A$3:$C$102,2,0),0)</f>
        <v>12.00375918</v>
      </c>
    </row>
    <row r="118">
      <c r="A118" s="8" t="s">
        <v>118</v>
      </c>
      <c r="B118" s="6">
        <f>IFERROR(VLOOKUP(A118,'#17 IH Results'!$A$2:$C$301,2,0),0)+IFERROR(VLOOKUP(A118,'#16 IH Results'!$A$2:$C$301,2,0),0)+IFERROR(VLOOKUP(A118,'#15 IH Results'!$A$2:$C$301,2,0),0)+IFERROR(VLOOKUP(A118,'#14 IH Results'!$A$2:$C$302,2,0),0)+IFERROR(VLOOKUP(A118,'#13 IH Results'!$A$2:$C$302,2,0),0)+IFERROR(VLOOKUP(A118,'#12 IH Results'!$A$2:$C$302,2,0),0)+IFERROR(VLOOKUP(A118,'#11 IH Results'!$A$2:$C$302,2,0),0)+IFERROR(VLOOKUP(A118,'#10 IH Results'!$A$2:$C$302,2,0),0)+IFERROR(VLOOKUP(A118,'#9 IH Results'!$A$2:$C$302,2,0),0)+IFERROR(VLOOKUP(A118,'#8 IH Results'!$A$2:$C$302,2,0),0)+IFERROR(VLOOKUP(A118,'#7 IH Results'!$A$2:$C$302,2,0),0)+IFERROR(VLOOKUP(A118,'#6 IH Results'!$A$2:$C$302,2,0),0)+IFERROR(VLOOKUP(A118,'#5 IH Results'!$A$2:$C$303,2,0),0)+IFERROR(VLOOKUP(A118,'#4 IH Results'!$A$2:$C$300,2,0),0)+IFERROR(VLOOKUP(A118,'#3 IH Results'!$A$2:$C$101,2,0),0)+IFERROR(VLOOKUP(A118,'#2 IH Results'!$A$2:$C$101,2,0),0)+IFERROR(VLOOKUP(A118,'#1 IH Results'!$A$2:$C$101,2,0),0)+IFERROR(VLOOKUP(A118,'#0 IH Results'!$A$3:$C$102,2,0),0)</f>
        <v>11.94630211</v>
      </c>
    </row>
    <row r="119">
      <c r="A119" s="8" t="s">
        <v>119</v>
      </c>
      <c r="B119" s="6">
        <f>IFERROR(VLOOKUP(A119,'#17 IH Results'!$A$2:$C$301,2,0),0)+IFERROR(VLOOKUP(A119,'#16 IH Results'!$A$2:$C$301,2,0),0)+IFERROR(VLOOKUP(A119,'#15 IH Results'!$A$2:$C$301,2,0),0)+IFERROR(VLOOKUP(A119,'#14 IH Results'!$A$2:$C$302,2,0),0)+IFERROR(VLOOKUP(A119,'#13 IH Results'!$A$2:$C$302,2,0),0)+IFERROR(VLOOKUP(A119,'#12 IH Results'!$A$2:$C$302,2,0),0)+IFERROR(VLOOKUP(A119,'#11 IH Results'!$A$2:$C$302,2,0),0)+IFERROR(VLOOKUP(A119,'#10 IH Results'!$A$2:$C$302,2,0),0)+IFERROR(VLOOKUP(A119,'#9 IH Results'!$A$2:$C$302,2,0),0)+IFERROR(VLOOKUP(A119,'#8 IH Results'!$A$2:$C$302,2,0),0)+IFERROR(VLOOKUP(A119,'#7 IH Results'!$A$2:$C$302,2,0),0)+IFERROR(VLOOKUP(A119,'#6 IH Results'!$A$2:$C$302,2,0),0)+IFERROR(VLOOKUP(A119,'#5 IH Results'!$A$2:$C$303,2,0),0)+IFERROR(VLOOKUP(A119,'#4 IH Results'!$A$2:$C$300,2,0),0)+IFERROR(VLOOKUP(A119,'#3 IH Results'!$A$2:$C$101,2,0),0)+IFERROR(VLOOKUP(A119,'#2 IH Results'!$A$2:$C$101,2,0),0)+IFERROR(VLOOKUP(A119,'#1 IH Results'!$A$2:$C$101,2,0),0)+IFERROR(VLOOKUP(A119,'#0 IH Results'!$A$3:$C$102,2,0),0)</f>
        <v>11.85866848</v>
      </c>
    </row>
    <row r="120">
      <c r="A120" s="8" t="s">
        <v>120</v>
      </c>
      <c r="B120" s="6">
        <f>IFERROR(VLOOKUP(A120,'#17 IH Results'!$A$2:$C$301,2,0),0)+IFERROR(VLOOKUP(A120,'#16 IH Results'!$A$2:$C$301,2,0),0)+IFERROR(VLOOKUP(A120,'#15 IH Results'!$A$2:$C$301,2,0),0)+IFERROR(VLOOKUP(A120,'#14 IH Results'!$A$2:$C$302,2,0),0)+IFERROR(VLOOKUP(A120,'#13 IH Results'!$A$2:$C$302,2,0),0)+IFERROR(VLOOKUP(A120,'#12 IH Results'!$A$2:$C$302,2,0),0)+IFERROR(VLOOKUP(A120,'#11 IH Results'!$A$2:$C$302,2,0),0)+IFERROR(VLOOKUP(A120,'#10 IH Results'!$A$2:$C$302,2,0),0)+IFERROR(VLOOKUP(A120,'#9 IH Results'!$A$2:$C$302,2,0),0)+IFERROR(VLOOKUP(A120,'#8 IH Results'!$A$2:$C$302,2,0),0)+IFERROR(VLOOKUP(A120,'#7 IH Results'!$A$2:$C$302,2,0),0)+IFERROR(VLOOKUP(A120,'#6 IH Results'!$A$2:$C$302,2,0),0)+IFERROR(VLOOKUP(A120,'#5 IH Results'!$A$2:$C$303,2,0),0)+IFERROR(VLOOKUP(A120,'#4 IH Results'!$A$2:$C$300,2,0),0)+IFERROR(VLOOKUP(A120,'#3 IH Results'!$A$2:$C$101,2,0),0)+IFERROR(VLOOKUP(A120,'#2 IH Results'!$A$2:$C$101,2,0),0)+IFERROR(VLOOKUP(A120,'#1 IH Results'!$A$2:$C$101,2,0),0)+IFERROR(VLOOKUP(A120,'#0 IH Results'!$A$3:$C$102,2,0),0)</f>
        <v>11.74685407</v>
      </c>
    </row>
    <row r="121">
      <c r="A121" s="8" t="s">
        <v>121</v>
      </c>
      <c r="B121" s="6">
        <f>IFERROR(VLOOKUP(A121,'#17 IH Results'!$A$2:$C$301,2,0),0)+IFERROR(VLOOKUP(A121,'#16 IH Results'!$A$2:$C$301,2,0),0)+IFERROR(VLOOKUP(A121,'#15 IH Results'!$A$2:$C$301,2,0),0)+IFERROR(VLOOKUP(A121,'#14 IH Results'!$A$2:$C$302,2,0),0)+IFERROR(VLOOKUP(A121,'#13 IH Results'!$A$2:$C$302,2,0),0)+IFERROR(VLOOKUP(A121,'#12 IH Results'!$A$2:$C$302,2,0),0)+IFERROR(VLOOKUP(A121,'#11 IH Results'!$A$2:$C$302,2,0),0)+IFERROR(VLOOKUP(A121,'#10 IH Results'!$A$2:$C$302,2,0),0)+IFERROR(VLOOKUP(A121,'#9 IH Results'!$A$2:$C$302,2,0),0)+IFERROR(VLOOKUP(A121,'#8 IH Results'!$A$2:$C$302,2,0),0)+IFERROR(VLOOKUP(A121,'#7 IH Results'!$A$2:$C$302,2,0),0)+IFERROR(VLOOKUP(A121,'#6 IH Results'!$A$2:$C$302,2,0),0)+IFERROR(VLOOKUP(A121,'#5 IH Results'!$A$2:$C$303,2,0),0)+IFERROR(VLOOKUP(A121,'#4 IH Results'!$A$2:$C$300,2,0),0)+IFERROR(VLOOKUP(A121,'#3 IH Results'!$A$2:$C$101,2,0),0)+IFERROR(VLOOKUP(A121,'#2 IH Results'!$A$2:$C$101,2,0),0)+IFERROR(VLOOKUP(A121,'#1 IH Results'!$A$2:$C$101,2,0),0)+IFERROR(VLOOKUP(A121,'#0 IH Results'!$A$3:$C$102,2,0),0)</f>
        <v>11.36303752</v>
      </c>
    </row>
    <row r="122">
      <c r="A122" s="8" t="s">
        <v>122</v>
      </c>
      <c r="B122" s="6">
        <f>IFERROR(VLOOKUP(A122,'#17 IH Results'!$A$2:$C$301,2,0),0)+IFERROR(VLOOKUP(A122,'#16 IH Results'!$A$2:$C$301,2,0),0)+IFERROR(VLOOKUP(A122,'#15 IH Results'!$A$2:$C$301,2,0),0)+IFERROR(VLOOKUP(A122,'#14 IH Results'!$A$2:$C$302,2,0),0)+IFERROR(VLOOKUP(A122,'#13 IH Results'!$A$2:$C$302,2,0),0)+IFERROR(VLOOKUP(A122,'#12 IH Results'!$A$2:$C$302,2,0),0)+IFERROR(VLOOKUP(A122,'#11 IH Results'!$A$2:$C$302,2,0),0)+IFERROR(VLOOKUP(A122,'#10 IH Results'!$A$2:$C$302,2,0),0)+IFERROR(VLOOKUP(A122,'#9 IH Results'!$A$2:$C$302,2,0),0)+IFERROR(VLOOKUP(A122,'#8 IH Results'!$A$2:$C$302,2,0),0)+IFERROR(VLOOKUP(A122,'#7 IH Results'!$A$2:$C$302,2,0),0)+IFERROR(VLOOKUP(A122,'#6 IH Results'!$A$2:$C$302,2,0),0)+IFERROR(VLOOKUP(A122,'#5 IH Results'!$A$2:$C$303,2,0),0)+IFERROR(VLOOKUP(A122,'#4 IH Results'!$A$2:$C$300,2,0),0)+IFERROR(VLOOKUP(A122,'#3 IH Results'!$A$2:$C$101,2,0),0)+IFERROR(VLOOKUP(A122,'#2 IH Results'!$A$2:$C$101,2,0),0)+IFERROR(VLOOKUP(A122,'#1 IH Results'!$A$2:$C$101,2,0),0)+IFERROR(VLOOKUP(A122,'#0 IH Results'!$A$3:$C$102,2,0),0)</f>
        <v>11.30181081</v>
      </c>
    </row>
    <row r="123">
      <c r="A123" s="8" t="s">
        <v>123</v>
      </c>
      <c r="B123" s="6">
        <f>IFERROR(VLOOKUP(A123,'#17 IH Results'!$A$2:$C$301,2,0),0)+IFERROR(VLOOKUP(A123,'#16 IH Results'!$A$2:$C$301,2,0),0)+IFERROR(VLOOKUP(A123,'#15 IH Results'!$A$2:$C$301,2,0),0)+IFERROR(VLOOKUP(A123,'#14 IH Results'!$A$2:$C$302,2,0),0)+IFERROR(VLOOKUP(A123,'#13 IH Results'!$A$2:$C$302,2,0),0)+IFERROR(VLOOKUP(A123,'#12 IH Results'!$A$2:$C$302,2,0),0)+IFERROR(VLOOKUP(A123,'#11 IH Results'!$A$2:$C$302,2,0),0)+IFERROR(VLOOKUP(A123,'#10 IH Results'!$A$2:$C$302,2,0),0)+IFERROR(VLOOKUP(A123,'#9 IH Results'!$A$2:$C$302,2,0),0)+IFERROR(VLOOKUP(A123,'#8 IH Results'!$A$2:$C$302,2,0),0)+IFERROR(VLOOKUP(A123,'#7 IH Results'!$A$2:$C$302,2,0),0)+IFERROR(VLOOKUP(A123,'#6 IH Results'!$A$2:$C$302,2,0),0)+IFERROR(VLOOKUP(A123,'#5 IH Results'!$A$2:$C$303,2,0),0)+IFERROR(VLOOKUP(A123,'#4 IH Results'!$A$2:$C$300,2,0),0)+IFERROR(VLOOKUP(A123,'#3 IH Results'!$A$2:$C$101,2,0),0)+IFERROR(VLOOKUP(A123,'#2 IH Results'!$A$2:$C$101,2,0),0)+IFERROR(VLOOKUP(A123,'#1 IH Results'!$A$2:$C$101,2,0),0)+IFERROR(VLOOKUP(A123,'#0 IH Results'!$A$3:$C$102,2,0),0)</f>
        <v>11.16669636</v>
      </c>
    </row>
    <row r="124">
      <c r="A124" s="8" t="s">
        <v>124</v>
      </c>
      <c r="B124" s="6">
        <f>IFERROR(VLOOKUP(A124,'#17 IH Results'!$A$2:$C$301,2,0),0)+IFERROR(VLOOKUP(A124,'#16 IH Results'!$A$2:$C$301,2,0),0)+IFERROR(VLOOKUP(A124,'#15 IH Results'!$A$2:$C$301,2,0),0)+IFERROR(VLOOKUP(A124,'#14 IH Results'!$A$2:$C$302,2,0),0)+IFERROR(VLOOKUP(A124,'#13 IH Results'!$A$2:$C$302,2,0),0)+IFERROR(VLOOKUP(A124,'#12 IH Results'!$A$2:$C$302,2,0),0)+IFERROR(VLOOKUP(A124,'#11 IH Results'!$A$2:$C$302,2,0),0)+IFERROR(VLOOKUP(A124,'#10 IH Results'!$A$2:$C$302,2,0),0)+IFERROR(VLOOKUP(A124,'#9 IH Results'!$A$2:$C$302,2,0),0)+IFERROR(VLOOKUP(A124,'#8 IH Results'!$A$2:$C$302,2,0),0)+IFERROR(VLOOKUP(A124,'#7 IH Results'!$A$2:$C$302,2,0),0)+IFERROR(VLOOKUP(A124,'#6 IH Results'!$A$2:$C$302,2,0),0)+IFERROR(VLOOKUP(A124,'#5 IH Results'!$A$2:$C$303,2,0),0)+IFERROR(VLOOKUP(A124,'#4 IH Results'!$A$2:$C$300,2,0),0)+IFERROR(VLOOKUP(A124,'#3 IH Results'!$A$2:$C$101,2,0),0)+IFERROR(VLOOKUP(A124,'#2 IH Results'!$A$2:$C$101,2,0),0)+IFERROR(VLOOKUP(A124,'#1 IH Results'!$A$2:$C$101,2,0),0)+IFERROR(VLOOKUP(A124,'#0 IH Results'!$A$3:$C$102,2,0),0)</f>
        <v>11.03610201</v>
      </c>
    </row>
    <row r="125">
      <c r="A125" s="12" t="s">
        <v>125</v>
      </c>
      <c r="B125" s="6">
        <f>IFERROR(VLOOKUP(A125,'#17 IH Results'!$A$2:$C$301,2,0),0)+IFERROR(VLOOKUP(A125,'#16 IH Results'!$A$2:$C$301,2,0),0)+IFERROR(VLOOKUP(A125,'#15 IH Results'!$A$2:$C$301,2,0),0)+IFERROR(VLOOKUP(A125,'#14 IH Results'!$A$2:$C$302,2,0),0)+IFERROR(VLOOKUP(A125,'#13 IH Results'!$A$2:$C$302,2,0),0)+IFERROR(VLOOKUP(A125,'#12 IH Results'!$A$2:$C$302,2,0),0)+IFERROR(VLOOKUP(A125,'#11 IH Results'!$A$2:$C$302,2,0),0)+IFERROR(VLOOKUP(A125,'#10 IH Results'!$A$2:$C$302,2,0),0)+IFERROR(VLOOKUP(A125,'#9 IH Results'!$A$2:$C$302,2,0),0)+IFERROR(VLOOKUP(A125,'#8 IH Results'!$A$2:$C$302,2,0),0)+IFERROR(VLOOKUP(A125,'#7 IH Results'!$A$2:$C$302,2,0),0)+IFERROR(VLOOKUP(A125,'#6 IH Results'!$A$2:$C$302,2,0),0)+IFERROR(VLOOKUP(A125,'#5 IH Results'!$A$2:$C$303,2,0),0)+IFERROR(VLOOKUP(A125,'#4 IH Results'!$A$2:$C$300,2,0),0)+IFERROR(VLOOKUP(A125,'#3 IH Results'!$A$2:$C$101,2,0),0)+IFERROR(VLOOKUP(A125,'#2 IH Results'!$A$2:$C$101,2,0),0)+IFERROR(VLOOKUP(A125,'#1 IH Results'!$A$2:$C$101,2,0),0)+IFERROR(VLOOKUP(A125,'#0 IH Results'!$A$3:$C$102,2,0),0)</f>
        <v>10.98377757</v>
      </c>
    </row>
    <row r="126">
      <c r="A126" s="8" t="s">
        <v>126</v>
      </c>
      <c r="B126" s="6">
        <f>IFERROR(VLOOKUP(A126,'#17 IH Results'!$A$2:$C$301,2,0),0)+IFERROR(VLOOKUP(A126,'#16 IH Results'!$A$2:$C$301,2,0),0)+IFERROR(VLOOKUP(A126,'#15 IH Results'!$A$2:$C$301,2,0),0)+IFERROR(VLOOKUP(A126,'#14 IH Results'!$A$2:$C$302,2,0),0)+IFERROR(VLOOKUP(A126,'#13 IH Results'!$A$2:$C$302,2,0),0)+IFERROR(VLOOKUP(A126,'#12 IH Results'!$A$2:$C$302,2,0),0)+IFERROR(VLOOKUP(A126,'#11 IH Results'!$A$2:$C$302,2,0),0)+IFERROR(VLOOKUP(A126,'#10 IH Results'!$A$2:$C$302,2,0),0)+IFERROR(VLOOKUP(A126,'#9 IH Results'!$A$2:$C$302,2,0),0)+IFERROR(VLOOKUP(A126,'#8 IH Results'!$A$2:$C$302,2,0),0)+IFERROR(VLOOKUP(A126,'#7 IH Results'!$A$2:$C$302,2,0),0)+IFERROR(VLOOKUP(A126,'#6 IH Results'!$A$2:$C$302,2,0),0)+IFERROR(VLOOKUP(A126,'#5 IH Results'!$A$2:$C$303,2,0),0)+IFERROR(VLOOKUP(A126,'#4 IH Results'!$A$2:$C$300,2,0),0)+IFERROR(VLOOKUP(A126,'#3 IH Results'!$A$2:$C$101,2,0),0)+IFERROR(VLOOKUP(A126,'#2 IH Results'!$A$2:$C$101,2,0),0)+IFERROR(VLOOKUP(A126,'#1 IH Results'!$A$2:$C$101,2,0),0)+IFERROR(VLOOKUP(A126,'#0 IH Results'!$A$3:$C$102,2,0),0)</f>
        <v>10.58044839</v>
      </c>
    </row>
    <row r="127">
      <c r="A127" s="8" t="s">
        <v>127</v>
      </c>
      <c r="B127" s="6">
        <f>IFERROR(VLOOKUP(A127,'#17 IH Results'!$A$2:$C$301,2,0),0)+IFERROR(VLOOKUP(A127,'#16 IH Results'!$A$2:$C$301,2,0),0)+IFERROR(VLOOKUP(A127,'#15 IH Results'!$A$2:$C$301,2,0),0)+IFERROR(VLOOKUP(A127,'#14 IH Results'!$A$2:$C$302,2,0),0)+IFERROR(VLOOKUP(A127,'#13 IH Results'!$A$2:$C$302,2,0),0)+IFERROR(VLOOKUP(A127,'#12 IH Results'!$A$2:$C$302,2,0),0)+IFERROR(VLOOKUP(A127,'#11 IH Results'!$A$2:$C$302,2,0),0)+IFERROR(VLOOKUP(A127,'#10 IH Results'!$A$2:$C$302,2,0),0)+IFERROR(VLOOKUP(A127,'#9 IH Results'!$A$2:$C$302,2,0),0)+IFERROR(VLOOKUP(A127,'#8 IH Results'!$A$2:$C$302,2,0),0)+IFERROR(VLOOKUP(A127,'#7 IH Results'!$A$2:$C$302,2,0),0)+IFERROR(VLOOKUP(A127,'#6 IH Results'!$A$2:$C$302,2,0),0)+IFERROR(VLOOKUP(A127,'#5 IH Results'!$A$2:$C$303,2,0),0)+IFERROR(VLOOKUP(A127,'#4 IH Results'!$A$2:$C$300,2,0),0)+IFERROR(VLOOKUP(A127,'#3 IH Results'!$A$2:$C$101,2,0),0)+IFERROR(VLOOKUP(A127,'#2 IH Results'!$A$2:$C$101,2,0),0)+IFERROR(VLOOKUP(A127,'#1 IH Results'!$A$2:$C$101,2,0),0)+IFERROR(VLOOKUP(A127,'#0 IH Results'!$A$3:$C$102,2,0),0)</f>
        <v>10.500931</v>
      </c>
    </row>
    <row r="128">
      <c r="A128" s="8" t="s">
        <v>128</v>
      </c>
      <c r="B128" s="6">
        <f>IFERROR(VLOOKUP(A128,'#17 IH Results'!$A$2:$C$301,2,0),0)+IFERROR(VLOOKUP(A128,'#16 IH Results'!$A$2:$C$301,2,0),0)+IFERROR(VLOOKUP(A128,'#15 IH Results'!$A$2:$C$301,2,0),0)+IFERROR(VLOOKUP(A128,'#14 IH Results'!$A$2:$C$302,2,0),0)+IFERROR(VLOOKUP(A128,'#13 IH Results'!$A$2:$C$302,2,0),0)+IFERROR(VLOOKUP(A128,'#12 IH Results'!$A$2:$C$302,2,0),0)+IFERROR(VLOOKUP(A128,'#11 IH Results'!$A$2:$C$302,2,0),0)+IFERROR(VLOOKUP(A128,'#10 IH Results'!$A$2:$C$302,2,0),0)+IFERROR(VLOOKUP(A128,'#9 IH Results'!$A$2:$C$302,2,0),0)+IFERROR(VLOOKUP(A128,'#8 IH Results'!$A$2:$C$302,2,0),0)+IFERROR(VLOOKUP(A128,'#7 IH Results'!$A$2:$C$302,2,0),0)+IFERROR(VLOOKUP(A128,'#6 IH Results'!$A$2:$C$302,2,0),0)+IFERROR(VLOOKUP(A128,'#5 IH Results'!$A$2:$C$303,2,0),0)+IFERROR(VLOOKUP(A128,'#4 IH Results'!$A$2:$C$300,2,0),0)+IFERROR(VLOOKUP(A128,'#3 IH Results'!$A$2:$C$101,2,0),0)+IFERROR(VLOOKUP(A128,'#2 IH Results'!$A$2:$C$101,2,0),0)+IFERROR(VLOOKUP(A128,'#1 IH Results'!$A$2:$C$101,2,0),0)+IFERROR(VLOOKUP(A128,'#0 IH Results'!$A$3:$C$102,2,0),0)</f>
        <v>10.47504406</v>
      </c>
    </row>
    <row r="129">
      <c r="A129" s="8" t="s">
        <v>129</v>
      </c>
      <c r="B129" s="6">
        <f>IFERROR(VLOOKUP(A129,'#17 IH Results'!$A$2:$C$301,2,0),0)+IFERROR(VLOOKUP(A129,'#16 IH Results'!$A$2:$C$301,2,0),0)+IFERROR(VLOOKUP(A129,'#15 IH Results'!$A$2:$C$301,2,0),0)+IFERROR(VLOOKUP(A129,'#14 IH Results'!$A$2:$C$302,2,0),0)+IFERROR(VLOOKUP(A129,'#13 IH Results'!$A$2:$C$302,2,0),0)+IFERROR(VLOOKUP(A129,'#12 IH Results'!$A$2:$C$302,2,0),0)+IFERROR(VLOOKUP(A129,'#11 IH Results'!$A$2:$C$302,2,0),0)+IFERROR(VLOOKUP(A129,'#10 IH Results'!$A$2:$C$302,2,0),0)+IFERROR(VLOOKUP(A129,'#9 IH Results'!$A$2:$C$302,2,0),0)+IFERROR(VLOOKUP(A129,'#8 IH Results'!$A$2:$C$302,2,0),0)+IFERROR(VLOOKUP(A129,'#7 IH Results'!$A$2:$C$302,2,0),0)+IFERROR(VLOOKUP(A129,'#6 IH Results'!$A$2:$C$302,2,0),0)+IFERROR(VLOOKUP(A129,'#5 IH Results'!$A$2:$C$303,2,0),0)+IFERROR(VLOOKUP(A129,'#4 IH Results'!$A$2:$C$300,2,0),0)+IFERROR(VLOOKUP(A129,'#3 IH Results'!$A$2:$C$101,2,0),0)+IFERROR(VLOOKUP(A129,'#2 IH Results'!$A$2:$C$101,2,0),0)+IFERROR(VLOOKUP(A129,'#1 IH Results'!$A$2:$C$101,2,0),0)+IFERROR(VLOOKUP(A129,'#0 IH Results'!$A$3:$C$102,2,0),0)</f>
        <v>10.08896708</v>
      </c>
    </row>
    <row r="130">
      <c r="A130" s="8" t="s">
        <v>130</v>
      </c>
      <c r="B130" s="6">
        <f>IFERROR(VLOOKUP(A130,'#17 IH Results'!$A$2:$C$301,2,0),0)+IFERROR(VLOOKUP(A130,'#16 IH Results'!$A$2:$C$301,2,0),0)+IFERROR(VLOOKUP(A130,'#15 IH Results'!$A$2:$C$301,2,0),0)+IFERROR(VLOOKUP(A130,'#14 IH Results'!$A$2:$C$302,2,0),0)+IFERROR(VLOOKUP(A130,'#13 IH Results'!$A$2:$C$302,2,0),0)+IFERROR(VLOOKUP(A130,'#12 IH Results'!$A$2:$C$302,2,0),0)+IFERROR(VLOOKUP(A130,'#11 IH Results'!$A$2:$C$302,2,0),0)+IFERROR(VLOOKUP(A130,'#10 IH Results'!$A$2:$C$302,2,0),0)+IFERROR(VLOOKUP(A130,'#9 IH Results'!$A$2:$C$302,2,0),0)+IFERROR(VLOOKUP(A130,'#8 IH Results'!$A$2:$C$302,2,0),0)+IFERROR(VLOOKUP(A130,'#7 IH Results'!$A$2:$C$302,2,0),0)+IFERROR(VLOOKUP(A130,'#6 IH Results'!$A$2:$C$302,2,0),0)+IFERROR(VLOOKUP(A130,'#5 IH Results'!$A$2:$C$303,2,0),0)+IFERROR(VLOOKUP(A130,'#4 IH Results'!$A$2:$C$300,2,0),0)+IFERROR(VLOOKUP(A130,'#3 IH Results'!$A$2:$C$101,2,0),0)+IFERROR(VLOOKUP(A130,'#2 IH Results'!$A$2:$C$101,2,0),0)+IFERROR(VLOOKUP(A130,'#1 IH Results'!$A$2:$C$101,2,0),0)+IFERROR(VLOOKUP(A130,'#0 IH Results'!$A$3:$C$102,2,0),0)</f>
        <v>9.968310602</v>
      </c>
    </row>
    <row r="131">
      <c r="A131" s="8" t="s">
        <v>131</v>
      </c>
      <c r="B131" s="6">
        <f>IFERROR(VLOOKUP(A131,'#17 IH Results'!$A$2:$C$301,2,0),0)+IFERROR(VLOOKUP(A131,'#16 IH Results'!$A$2:$C$301,2,0),0)+IFERROR(VLOOKUP(A131,'#15 IH Results'!$A$2:$C$301,2,0),0)+IFERROR(VLOOKUP(A131,'#14 IH Results'!$A$2:$C$302,2,0),0)+IFERROR(VLOOKUP(A131,'#13 IH Results'!$A$2:$C$302,2,0),0)+IFERROR(VLOOKUP(A131,'#12 IH Results'!$A$2:$C$302,2,0),0)+IFERROR(VLOOKUP(A131,'#11 IH Results'!$A$2:$C$302,2,0),0)+IFERROR(VLOOKUP(A131,'#10 IH Results'!$A$2:$C$302,2,0),0)+IFERROR(VLOOKUP(A131,'#9 IH Results'!$A$2:$C$302,2,0),0)+IFERROR(VLOOKUP(A131,'#8 IH Results'!$A$2:$C$302,2,0),0)+IFERROR(VLOOKUP(A131,'#7 IH Results'!$A$2:$C$302,2,0),0)+IFERROR(VLOOKUP(A131,'#6 IH Results'!$A$2:$C$302,2,0),0)+IFERROR(VLOOKUP(A131,'#5 IH Results'!$A$2:$C$303,2,0),0)+IFERROR(VLOOKUP(A131,'#4 IH Results'!$A$2:$C$300,2,0),0)+IFERROR(VLOOKUP(A131,'#3 IH Results'!$A$2:$C$101,2,0),0)+IFERROR(VLOOKUP(A131,'#2 IH Results'!$A$2:$C$101,2,0),0)+IFERROR(VLOOKUP(A131,'#1 IH Results'!$A$2:$C$101,2,0),0)+IFERROR(VLOOKUP(A131,'#0 IH Results'!$A$3:$C$102,2,0),0)</f>
        <v>9.735030485</v>
      </c>
    </row>
    <row r="132">
      <c r="A132" s="8" t="s">
        <v>132</v>
      </c>
      <c r="B132" s="6">
        <f>IFERROR(VLOOKUP(A132,'#17 IH Results'!$A$2:$C$301,2,0),0)+IFERROR(VLOOKUP(A132,'#16 IH Results'!$A$2:$C$301,2,0),0)+IFERROR(VLOOKUP(A132,'#15 IH Results'!$A$2:$C$301,2,0),0)+IFERROR(VLOOKUP(A132,'#14 IH Results'!$A$2:$C$302,2,0),0)+IFERROR(VLOOKUP(A132,'#13 IH Results'!$A$2:$C$302,2,0),0)+IFERROR(VLOOKUP(A132,'#12 IH Results'!$A$2:$C$302,2,0),0)+IFERROR(VLOOKUP(A132,'#11 IH Results'!$A$2:$C$302,2,0),0)+IFERROR(VLOOKUP(A132,'#10 IH Results'!$A$2:$C$302,2,0),0)+IFERROR(VLOOKUP(A132,'#9 IH Results'!$A$2:$C$302,2,0),0)+IFERROR(VLOOKUP(A132,'#8 IH Results'!$A$2:$C$302,2,0),0)+IFERROR(VLOOKUP(A132,'#7 IH Results'!$A$2:$C$302,2,0),0)+IFERROR(VLOOKUP(A132,'#6 IH Results'!$A$2:$C$302,2,0),0)+IFERROR(VLOOKUP(A132,'#5 IH Results'!$A$2:$C$303,2,0),0)+IFERROR(VLOOKUP(A132,'#4 IH Results'!$A$2:$C$300,2,0),0)+IFERROR(VLOOKUP(A132,'#3 IH Results'!$A$2:$C$101,2,0),0)+IFERROR(VLOOKUP(A132,'#2 IH Results'!$A$2:$C$101,2,0),0)+IFERROR(VLOOKUP(A132,'#1 IH Results'!$A$2:$C$101,2,0),0)+IFERROR(VLOOKUP(A132,'#0 IH Results'!$A$3:$C$102,2,0),0)</f>
        <v>9.638906632</v>
      </c>
    </row>
    <row r="133">
      <c r="A133" s="11" t="s">
        <v>133</v>
      </c>
      <c r="B133" s="6">
        <f>IFERROR(VLOOKUP(A133,'#17 IH Results'!$A$2:$C$301,2,0),0)+IFERROR(VLOOKUP(A133,'#16 IH Results'!$A$2:$C$301,2,0),0)+IFERROR(VLOOKUP(A133,'#15 IH Results'!$A$2:$C$301,2,0),0)+IFERROR(VLOOKUP(A133,'#14 IH Results'!$A$2:$C$302,2,0),0)+IFERROR(VLOOKUP(A133,'#13 IH Results'!$A$2:$C$302,2,0),0)+IFERROR(VLOOKUP(A133,'#12 IH Results'!$A$2:$C$302,2,0),0)+IFERROR(VLOOKUP(A133,'#11 IH Results'!$A$2:$C$302,2,0),0)+IFERROR(VLOOKUP(A133,'#10 IH Results'!$A$2:$C$302,2,0),0)+IFERROR(VLOOKUP(A133,'#9 IH Results'!$A$2:$C$302,2,0),0)+IFERROR(VLOOKUP(A133,'#8 IH Results'!$A$2:$C$302,2,0),0)+IFERROR(VLOOKUP(A133,'#7 IH Results'!$A$2:$C$302,2,0),0)+IFERROR(VLOOKUP(A133,'#6 IH Results'!$A$2:$C$302,2,0),0)+IFERROR(VLOOKUP(A133,'#5 IH Results'!$A$2:$C$303,2,0),0)+IFERROR(VLOOKUP(A133,'#4 IH Results'!$A$2:$C$300,2,0),0)+IFERROR(VLOOKUP(A133,'#3 IH Results'!$A$2:$C$101,2,0),0)+IFERROR(VLOOKUP(A133,'#2 IH Results'!$A$2:$C$101,2,0),0)+IFERROR(VLOOKUP(A133,'#1 IH Results'!$A$2:$C$101,2,0),0)+IFERROR(VLOOKUP(A133,'#0 IH Results'!$A$3:$C$102,2,0),0)</f>
        <v>9.023889617</v>
      </c>
    </row>
    <row r="134">
      <c r="A134" s="8" t="s">
        <v>134</v>
      </c>
      <c r="B134" s="6">
        <f>IFERROR(VLOOKUP(A134,'#17 IH Results'!$A$2:$C$301,2,0),0)+IFERROR(VLOOKUP(A134,'#16 IH Results'!$A$2:$C$301,2,0),0)+IFERROR(VLOOKUP(A134,'#15 IH Results'!$A$2:$C$301,2,0),0)+IFERROR(VLOOKUP(A134,'#14 IH Results'!$A$2:$C$302,2,0),0)+IFERROR(VLOOKUP(A134,'#13 IH Results'!$A$2:$C$302,2,0),0)+IFERROR(VLOOKUP(A134,'#12 IH Results'!$A$2:$C$302,2,0),0)+IFERROR(VLOOKUP(A134,'#11 IH Results'!$A$2:$C$302,2,0),0)+IFERROR(VLOOKUP(A134,'#10 IH Results'!$A$2:$C$302,2,0),0)+IFERROR(VLOOKUP(A134,'#9 IH Results'!$A$2:$C$302,2,0),0)+IFERROR(VLOOKUP(A134,'#8 IH Results'!$A$2:$C$302,2,0),0)+IFERROR(VLOOKUP(A134,'#7 IH Results'!$A$2:$C$302,2,0),0)+IFERROR(VLOOKUP(A134,'#6 IH Results'!$A$2:$C$302,2,0),0)+IFERROR(VLOOKUP(A134,'#5 IH Results'!$A$2:$C$303,2,0),0)+IFERROR(VLOOKUP(A134,'#4 IH Results'!$A$2:$C$300,2,0),0)+IFERROR(VLOOKUP(A134,'#3 IH Results'!$A$2:$C$101,2,0),0)+IFERROR(VLOOKUP(A134,'#2 IH Results'!$A$2:$C$101,2,0),0)+IFERROR(VLOOKUP(A134,'#1 IH Results'!$A$2:$C$101,2,0),0)+IFERROR(VLOOKUP(A134,'#0 IH Results'!$A$3:$C$102,2,0),0)</f>
        <v>8.866709755</v>
      </c>
    </row>
    <row r="135">
      <c r="A135" s="8" t="s">
        <v>135</v>
      </c>
      <c r="B135" s="6">
        <f>IFERROR(VLOOKUP(A135,'#17 IH Results'!$A$2:$C$301,2,0),0)+IFERROR(VLOOKUP(A135,'#16 IH Results'!$A$2:$C$301,2,0),0)+IFERROR(VLOOKUP(A135,'#15 IH Results'!$A$2:$C$301,2,0),0)+IFERROR(VLOOKUP(A135,'#14 IH Results'!$A$2:$C$302,2,0),0)+IFERROR(VLOOKUP(A135,'#13 IH Results'!$A$2:$C$302,2,0),0)+IFERROR(VLOOKUP(A135,'#12 IH Results'!$A$2:$C$302,2,0),0)+IFERROR(VLOOKUP(A135,'#11 IH Results'!$A$2:$C$302,2,0),0)+IFERROR(VLOOKUP(A135,'#10 IH Results'!$A$2:$C$302,2,0),0)+IFERROR(VLOOKUP(A135,'#9 IH Results'!$A$2:$C$302,2,0),0)+IFERROR(VLOOKUP(A135,'#8 IH Results'!$A$2:$C$302,2,0),0)+IFERROR(VLOOKUP(A135,'#7 IH Results'!$A$2:$C$302,2,0),0)+IFERROR(VLOOKUP(A135,'#6 IH Results'!$A$2:$C$302,2,0),0)+IFERROR(VLOOKUP(A135,'#5 IH Results'!$A$2:$C$303,2,0),0)+IFERROR(VLOOKUP(A135,'#4 IH Results'!$A$2:$C$300,2,0),0)+IFERROR(VLOOKUP(A135,'#3 IH Results'!$A$2:$C$101,2,0),0)+IFERROR(VLOOKUP(A135,'#2 IH Results'!$A$2:$C$101,2,0),0)+IFERROR(VLOOKUP(A135,'#1 IH Results'!$A$2:$C$101,2,0),0)+IFERROR(VLOOKUP(A135,'#0 IH Results'!$A$3:$C$102,2,0),0)</f>
        <v>8.682545508</v>
      </c>
    </row>
    <row r="136">
      <c r="A136" s="8" t="s">
        <v>136</v>
      </c>
      <c r="B136" s="6">
        <f>IFERROR(VLOOKUP(A136,'#17 IH Results'!$A$2:$C$301,2,0),0)+IFERROR(VLOOKUP(A136,'#16 IH Results'!$A$2:$C$301,2,0),0)+IFERROR(VLOOKUP(A136,'#15 IH Results'!$A$2:$C$301,2,0),0)+IFERROR(VLOOKUP(A136,'#14 IH Results'!$A$2:$C$302,2,0),0)+IFERROR(VLOOKUP(A136,'#13 IH Results'!$A$2:$C$302,2,0),0)+IFERROR(VLOOKUP(A136,'#12 IH Results'!$A$2:$C$302,2,0),0)+IFERROR(VLOOKUP(A136,'#11 IH Results'!$A$2:$C$302,2,0),0)+IFERROR(VLOOKUP(A136,'#10 IH Results'!$A$2:$C$302,2,0),0)+IFERROR(VLOOKUP(A136,'#9 IH Results'!$A$2:$C$302,2,0),0)+IFERROR(VLOOKUP(A136,'#8 IH Results'!$A$2:$C$302,2,0),0)+IFERROR(VLOOKUP(A136,'#7 IH Results'!$A$2:$C$302,2,0),0)+IFERROR(VLOOKUP(A136,'#6 IH Results'!$A$2:$C$302,2,0),0)+IFERROR(VLOOKUP(A136,'#5 IH Results'!$A$2:$C$303,2,0),0)+IFERROR(VLOOKUP(A136,'#4 IH Results'!$A$2:$C$300,2,0),0)+IFERROR(VLOOKUP(A136,'#3 IH Results'!$A$2:$C$101,2,0),0)+IFERROR(VLOOKUP(A136,'#2 IH Results'!$A$2:$C$101,2,0),0)+IFERROR(VLOOKUP(A136,'#1 IH Results'!$A$2:$C$101,2,0),0)+IFERROR(VLOOKUP(A136,'#0 IH Results'!$A$3:$C$102,2,0),0)</f>
        <v>8.675149238</v>
      </c>
    </row>
    <row r="137">
      <c r="A137" s="8" t="s">
        <v>137</v>
      </c>
      <c r="B137" s="6">
        <f>IFERROR(VLOOKUP(A137,'#17 IH Results'!$A$2:$C$301,2,0),0)+IFERROR(VLOOKUP(A137,'#16 IH Results'!$A$2:$C$301,2,0),0)+IFERROR(VLOOKUP(A137,'#15 IH Results'!$A$2:$C$301,2,0),0)+IFERROR(VLOOKUP(A137,'#14 IH Results'!$A$2:$C$302,2,0),0)+IFERROR(VLOOKUP(A137,'#13 IH Results'!$A$2:$C$302,2,0),0)+IFERROR(VLOOKUP(A137,'#12 IH Results'!$A$2:$C$302,2,0),0)+IFERROR(VLOOKUP(A137,'#11 IH Results'!$A$2:$C$302,2,0),0)+IFERROR(VLOOKUP(A137,'#10 IH Results'!$A$2:$C$302,2,0),0)+IFERROR(VLOOKUP(A137,'#9 IH Results'!$A$2:$C$302,2,0),0)+IFERROR(VLOOKUP(A137,'#8 IH Results'!$A$2:$C$302,2,0),0)+IFERROR(VLOOKUP(A137,'#7 IH Results'!$A$2:$C$302,2,0),0)+IFERROR(VLOOKUP(A137,'#6 IH Results'!$A$2:$C$302,2,0),0)+IFERROR(VLOOKUP(A137,'#5 IH Results'!$A$2:$C$303,2,0),0)+IFERROR(VLOOKUP(A137,'#4 IH Results'!$A$2:$C$300,2,0),0)+IFERROR(VLOOKUP(A137,'#3 IH Results'!$A$2:$C$101,2,0),0)+IFERROR(VLOOKUP(A137,'#2 IH Results'!$A$2:$C$101,2,0),0)+IFERROR(VLOOKUP(A137,'#1 IH Results'!$A$2:$C$101,2,0),0)+IFERROR(VLOOKUP(A137,'#0 IH Results'!$A$3:$C$102,2,0),0)</f>
        <v>8.479425808</v>
      </c>
    </row>
    <row r="138">
      <c r="A138" s="12" t="s">
        <v>138</v>
      </c>
      <c r="B138" s="6">
        <f>IFERROR(VLOOKUP(A138,'#17 IH Results'!$A$2:$C$301,2,0),0)+IFERROR(VLOOKUP(A138,'#16 IH Results'!$A$2:$C$301,2,0),0)+IFERROR(VLOOKUP(A138,'#15 IH Results'!$A$2:$C$301,2,0),0)+IFERROR(VLOOKUP(A138,'#14 IH Results'!$A$2:$C$302,2,0),0)+IFERROR(VLOOKUP(A138,'#13 IH Results'!$A$2:$C$302,2,0),0)+IFERROR(VLOOKUP(A138,'#12 IH Results'!$A$2:$C$302,2,0),0)+IFERROR(VLOOKUP(A138,'#11 IH Results'!$A$2:$C$302,2,0),0)+IFERROR(VLOOKUP(A138,'#10 IH Results'!$A$2:$C$302,2,0),0)+IFERROR(VLOOKUP(A138,'#9 IH Results'!$A$2:$C$302,2,0),0)+IFERROR(VLOOKUP(A138,'#8 IH Results'!$A$2:$C$302,2,0),0)+IFERROR(VLOOKUP(A138,'#7 IH Results'!$A$2:$C$302,2,0),0)+IFERROR(VLOOKUP(A138,'#6 IH Results'!$A$2:$C$302,2,0),0)+IFERROR(VLOOKUP(A138,'#5 IH Results'!$A$2:$C$303,2,0),0)+IFERROR(VLOOKUP(A138,'#4 IH Results'!$A$2:$C$300,2,0),0)+IFERROR(VLOOKUP(A138,'#3 IH Results'!$A$2:$C$101,2,0),0)+IFERROR(VLOOKUP(A138,'#2 IH Results'!$A$2:$C$101,2,0),0)+IFERROR(VLOOKUP(A138,'#1 IH Results'!$A$2:$C$101,2,0),0)+IFERROR(VLOOKUP(A138,'#0 IH Results'!$A$3:$C$102,2,0),0)</f>
        <v>8.277802367</v>
      </c>
    </row>
    <row r="139">
      <c r="A139" s="12" t="s">
        <v>139</v>
      </c>
      <c r="B139" s="6">
        <f>IFERROR(VLOOKUP(A139,'#17 IH Results'!$A$2:$C$301,2,0),0)+IFERROR(VLOOKUP(A139,'#16 IH Results'!$A$2:$C$301,2,0),0)+IFERROR(VLOOKUP(A139,'#15 IH Results'!$A$2:$C$301,2,0),0)+IFERROR(VLOOKUP(A139,'#14 IH Results'!$A$2:$C$302,2,0),0)+IFERROR(VLOOKUP(A139,'#13 IH Results'!$A$2:$C$302,2,0),0)+IFERROR(VLOOKUP(A139,'#12 IH Results'!$A$2:$C$302,2,0),0)+IFERROR(VLOOKUP(A139,'#11 IH Results'!$A$2:$C$302,2,0),0)+IFERROR(VLOOKUP(A139,'#10 IH Results'!$A$2:$C$302,2,0),0)+IFERROR(VLOOKUP(A139,'#9 IH Results'!$A$2:$C$302,2,0),0)+IFERROR(VLOOKUP(A139,'#8 IH Results'!$A$2:$C$302,2,0),0)+IFERROR(VLOOKUP(A139,'#7 IH Results'!$A$2:$C$302,2,0),0)+IFERROR(VLOOKUP(A139,'#6 IH Results'!$A$2:$C$302,2,0),0)+IFERROR(VLOOKUP(A139,'#5 IH Results'!$A$2:$C$303,2,0),0)+IFERROR(VLOOKUP(A139,'#4 IH Results'!$A$2:$C$300,2,0),0)+IFERROR(VLOOKUP(A139,'#3 IH Results'!$A$2:$C$101,2,0),0)+IFERROR(VLOOKUP(A139,'#2 IH Results'!$A$2:$C$101,2,0),0)+IFERROR(VLOOKUP(A139,'#1 IH Results'!$A$2:$C$101,2,0),0)+IFERROR(VLOOKUP(A139,'#0 IH Results'!$A$3:$C$102,2,0),0)</f>
        <v>8.187030795</v>
      </c>
    </row>
    <row r="140">
      <c r="A140" s="8" t="s">
        <v>140</v>
      </c>
      <c r="B140" s="6">
        <f>IFERROR(VLOOKUP(A140,'#17 IH Results'!$A$2:$C$301,2,0),0)+IFERROR(VLOOKUP(A140,'#16 IH Results'!$A$2:$C$301,2,0),0)+IFERROR(VLOOKUP(A140,'#15 IH Results'!$A$2:$C$301,2,0),0)+IFERROR(VLOOKUP(A140,'#14 IH Results'!$A$2:$C$302,2,0),0)+IFERROR(VLOOKUP(A140,'#13 IH Results'!$A$2:$C$302,2,0),0)+IFERROR(VLOOKUP(A140,'#12 IH Results'!$A$2:$C$302,2,0),0)+IFERROR(VLOOKUP(A140,'#11 IH Results'!$A$2:$C$302,2,0),0)+IFERROR(VLOOKUP(A140,'#10 IH Results'!$A$2:$C$302,2,0),0)+IFERROR(VLOOKUP(A140,'#9 IH Results'!$A$2:$C$302,2,0),0)+IFERROR(VLOOKUP(A140,'#8 IH Results'!$A$2:$C$302,2,0),0)+IFERROR(VLOOKUP(A140,'#7 IH Results'!$A$2:$C$302,2,0),0)+IFERROR(VLOOKUP(A140,'#6 IH Results'!$A$2:$C$302,2,0),0)+IFERROR(VLOOKUP(A140,'#5 IH Results'!$A$2:$C$303,2,0),0)+IFERROR(VLOOKUP(A140,'#4 IH Results'!$A$2:$C$300,2,0),0)+IFERROR(VLOOKUP(A140,'#3 IH Results'!$A$2:$C$101,2,0),0)+IFERROR(VLOOKUP(A140,'#2 IH Results'!$A$2:$C$101,2,0),0)+IFERROR(VLOOKUP(A140,'#1 IH Results'!$A$2:$C$101,2,0),0)+IFERROR(VLOOKUP(A140,'#0 IH Results'!$A$3:$C$102,2,0),0)</f>
        <v>8.116949457</v>
      </c>
    </row>
    <row r="141">
      <c r="A141" s="10" t="s">
        <v>141</v>
      </c>
      <c r="B141" s="6">
        <f>IFERROR(VLOOKUP(A141,'#17 IH Results'!$A$2:$C$301,2,0),0)+IFERROR(VLOOKUP(A141,'#16 IH Results'!$A$2:$C$301,2,0),0)+IFERROR(VLOOKUP(A141,'#15 IH Results'!$A$2:$C$301,2,0),0)+IFERROR(VLOOKUP(A141,'#14 IH Results'!$A$2:$C$302,2,0),0)+IFERROR(VLOOKUP(A141,'#13 IH Results'!$A$2:$C$302,2,0),0)+IFERROR(VLOOKUP(A141,'#12 IH Results'!$A$2:$C$302,2,0),0)+IFERROR(VLOOKUP(A141,'#11 IH Results'!$A$2:$C$302,2,0),0)+IFERROR(VLOOKUP(A141,'#10 IH Results'!$A$2:$C$302,2,0),0)+IFERROR(VLOOKUP(A141,'#9 IH Results'!$A$2:$C$302,2,0),0)+IFERROR(VLOOKUP(A141,'#8 IH Results'!$A$2:$C$302,2,0),0)+IFERROR(VLOOKUP(A141,'#7 IH Results'!$A$2:$C$302,2,0),0)+IFERROR(VLOOKUP(A141,'#6 IH Results'!$A$2:$C$302,2,0),0)+IFERROR(VLOOKUP(A141,'#5 IH Results'!$A$2:$C$303,2,0),0)+IFERROR(VLOOKUP(A141,'#4 IH Results'!$A$2:$C$300,2,0),0)+IFERROR(VLOOKUP(A141,'#3 IH Results'!$A$2:$C$101,2,0),0)+IFERROR(VLOOKUP(A141,'#2 IH Results'!$A$2:$C$101,2,0),0)+IFERROR(VLOOKUP(A141,'#1 IH Results'!$A$2:$C$101,2,0),0)+IFERROR(VLOOKUP(A141,'#0 IH Results'!$A$3:$C$102,2,0),0)</f>
        <v>7.74262956</v>
      </c>
    </row>
    <row r="142">
      <c r="A142" s="8" t="s">
        <v>142</v>
      </c>
      <c r="B142" s="6">
        <f>IFERROR(VLOOKUP(A142,'#17 IH Results'!$A$2:$C$301,2,0),0)+IFERROR(VLOOKUP(A142,'#16 IH Results'!$A$2:$C$301,2,0),0)+IFERROR(VLOOKUP(A142,'#15 IH Results'!$A$2:$C$301,2,0),0)+IFERROR(VLOOKUP(A142,'#14 IH Results'!$A$2:$C$302,2,0),0)+IFERROR(VLOOKUP(A142,'#13 IH Results'!$A$2:$C$302,2,0),0)+IFERROR(VLOOKUP(A142,'#12 IH Results'!$A$2:$C$302,2,0),0)+IFERROR(VLOOKUP(A142,'#11 IH Results'!$A$2:$C$302,2,0),0)+IFERROR(VLOOKUP(A142,'#10 IH Results'!$A$2:$C$302,2,0),0)+IFERROR(VLOOKUP(A142,'#9 IH Results'!$A$2:$C$302,2,0),0)+IFERROR(VLOOKUP(A142,'#8 IH Results'!$A$2:$C$302,2,0),0)+IFERROR(VLOOKUP(A142,'#7 IH Results'!$A$2:$C$302,2,0),0)+IFERROR(VLOOKUP(A142,'#6 IH Results'!$A$2:$C$302,2,0),0)+IFERROR(VLOOKUP(A142,'#5 IH Results'!$A$2:$C$303,2,0),0)+IFERROR(VLOOKUP(A142,'#4 IH Results'!$A$2:$C$300,2,0),0)+IFERROR(VLOOKUP(A142,'#3 IH Results'!$A$2:$C$101,2,0),0)+IFERROR(VLOOKUP(A142,'#2 IH Results'!$A$2:$C$101,2,0),0)+IFERROR(VLOOKUP(A142,'#1 IH Results'!$A$2:$C$101,2,0),0)+IFERROR(VLOOKUP(A142,'#0 IH Results'!$A$3:$C$102,2,0),0)</f>
        <v>7.737642936</v>
      </c>
    </row>
    <row r="143">
      <c r="A143" s="8" t="s">
        <v>143</v>
      </c>
      <c r="B143" s="6">
        <f>IFERROR(VLOOKUP(A143,'#17 IH Results'!$A$2:$C$301,2,0),0)+IFERROR(VLOOKUP(A143,'#16 IH Results'!$A$2:$C$301,2,0),0)+IFERROR(VLOOKUP(A143,'#15 IH Results'!$A$2:$C$301,2,0),0)+IFERROR(VLOOKUP(A143,'#14 IH Results'!$A$2:$C$302,2,0),0)+IFERROR(VLOOKUP(A143,'#13 IH Results'!$A$2:$C$302,2,0),0)+IFERROR(VLOOKUP(A143,'#12 IH Results'!$A$2:$C$302,2,0),0)+IFERROR(VLOOKUP(A143,'#11 IH Results'!$A$2:$C$302,2,0),0)+IFERROR(VLOOKUP(A143,'#10 IH Results'!$A$2:$C$302,2,0),0)+IFERROR(VLOOKUP(A143,'#9 IH Results'!$A$2:$C$302,2,0),0)+IFERROR(VLOOKUP(A143,'#8 IH Results'!$A$2:$C$302,2,0),0)+IFERROR(VLOOKUP(A143,'#7 IH Results'!$A$2:$C$302,2,0),0)+IFERROR(VLOOKUP(A143,'#6 IH Results'!$A$2:$C$302,2,0),0)+IFERROR(VLOOKUP(A143,'#5 IH Results'!$A$2:$C$303,2,0),0)+IFERROR(VLOOKUP(A143,'#4 IH Results'!$A$2:$C$300,2,0),0)+IFERROR(VLOOKUP(A143,'#3 IH Results'!$A$2:$C$101,2,0),0)+IFERROR(VLOOKUP(A143,'#2 IH Results'!$A$2:$C$101,2,0),0)+IFERROR(VLOOKUP(A143,'#1 IH Results'!$A$2:$C$101,2,0),0)+IFERROR(VLOOKUP(A143,'#0 IH Results'!$A$3:$C$102,2,0),0)</f>
        <v>7.469808634</v>
      </c>
    </row>
    <row r="144">
      <c r="A144" s="8" t="s">
        <v>144</v>
      </c>
      <c r="B144" s="6">
        <f>IFERROR(VLOOKUP(A144,'#17 IH Results'!$A$2:$C$301,2,0),0)+IFERROR(VLOOKUP(A144,'#16 IH Results'!$A$2:$C$301,2,0),0)+IFERROR(VLOOKUP(A144,'#15 IH Results'!$A$2:$C$301,2,0),0)+IFERROR(VLOOKUP(A144,'#14 IH Results'!$A$2:$C$302,2,0),0)+IFERROR(VLOOKUP(A144,'#13 IH Results'!$A$2:$C$302,2,0),0)+IFERROR(VLOOKUP(A144,'#12 IH Results'!$A$2:$C$302,2,0),0)+IFERROR(VLOOKUP(A144,'#11 IH Results'!$A$2:$C$302,2,0),0)+IFERROR(VLOOKUP(A144,'#10 IH Results'!$A$2:$C$302,2,0),0)+IFERROR(VLOOKUP(A144,'#9 IH Results'!$A$2:$C$302,2,0),0)+IFERROR(VLOOKUP(A144,'#8 IH Results'!$A$2:$C$302,2,0),0)+IFERROR(VLOOKUP(A144,'#7 IH Results'!$A$2:$C$302,2,0),0)+IFERROR(VLOOKUP(A144,'#6 IH Results'!$A$2:$C$302,2,0),0)+IFERROR(VLOOKUP(A144,'#5 IH Results'!$A$2:$C$303,2,0),0)+IFERROR(VLOOKUP(A144,'#4 IH Results'!$A$2:$C$300,2,0),0)+IFERROR(VLOOKUP(A144,'#3 IH Results'!$A$2:$C$101,2,0),0)+IFERROR(VLOOKUP(A144,'#2 IH Results'!$A$2:$C$101,2,0),0)+IFERROR(VLOOKUP(A144,'#1 IH Results'!$A$2:$C$101,2,0),0)+IFERROR(VLOOKUP(A144,'#0 IH Results'!$A$3:$C$102,2,0),0)</f>
        <v>7.394723068</v>
      </c>
    </row>
    <row r="145">
      <c r="A145" s="8" t="s">
        <v>145</v>
      </c>
      <c r="B145" s="6">
        <f>IFERROR(VLOOKUP(A145,'#17 IH Results'!$A$2:$C$301,2,0),0)+IFERROR(VLOOKUP(A145,'#16 IH Results'!$A$2:$C$301,2,0),0)+IFERROR(VLOOKUP(A145,'#15 IH Results'!$A$2:$C$301,2,0),0)+IFERROR(VLOOKUP(A145,'#14 IH Results'!$A$2:$C$302,2,0),0)+IFERROR(VLOOKUP(A145,'#13 IH Results'!$A$2:$C$302,2,0),0)+IFERROR(VLOOKUP(A145,'#12 IH Results'!$A$2:$C$302,2,0),0)+IFERROR(VLOOKUP(A145,'#11 IH Results'!$A$2:$C$302,2,0),0)+IFERROR(VLOOKUP(A145,'#10 IH Results'!$A$2:$C$302,2,0),0)+IFERROR(VLOOKUP(A145,'#9 IH Results'!$A$2:$C$302,2,0),0)+IFERROR(VLOOKUP(A145,'#8 IH Results'!$A$2:$C$302,2,0),0)+IFERROR(VLOOKUP(A145,'#7 IH Results'!$A$2:$C$302,2,0),0)+IFERROR(VLOOKUP(A145,'#6 IH Results'!$A$2:$C$302,2,0),0)+IFERROR(VLOOKUP(A145,'#5 IH Results'!$A$2:$C$303,2,0),0)+IFERROR(VLOOKUP(A145,'#4 IH Results'!$A$2:$C$300,2,0),0)+IFERROR(VLOOKUP(A145,'#3 IH Results'!$A$2:$C$101,2,0),0)+IFERROR(VLOOKUP(A145,'#2 IH Results'!$A$2:$C$101,2,0),0)+IFERROR(VLOOKUP(A145,'#1 IH Results'!$A$2:$C$101,2,0),0)+IFERROR(VLOOKUP(A145,'#0 IH Results'!$A$3:$C$102,2,0),0)</f>
        <v>7.365313811</v>
      </c>
    </row>
    <row r="146">
      <c r="A146" s="8" t="s">
        <v>146</v>
      </c>
      <c r="B146" s="6">
        <f>IFERROR(VLOOKUP(A146,'#17 IH Results'!$A$2:$C$301,2,0),0)+IFERROR(VLOOKUP(A146,'#16 IH Results'!$A$2:$C$301,2,0),0)+IFERROR(VLOOKUP(A146,'#15 IH Results'!$A$2:$C$301,2,0),0)+IFERROR(VLOOKUP(A146,'#14 IH Results'!$A$2:$C$302,2,0),0)+IFERROR(VLOOKUP(A146,'#13 IH Results'!$A$2:$C$302,2,0),0)+IFERROR(VLOOKUP(A146,'#12 IH Results'!$A$2:$C$302,2,0),0)+IFERROR(VLOOKUP(A146,'#11 IH Results'!$A$2:$C$302,2,0),0)+IFERROR(VLOOKUP(A146,'#10 IH Results'!$A$2:$C$302,2,0),0)+IFERROR(VLOOKUP(A146,'#9 IH Results'!$A$2:$C$302,2,0),0)+IFERROR(VLOOKUP(A146,'#8 IH Results'!$A$2:$C$302,2,0),0)+IFERROR(VLOOKUP(A146,'#7 IH Results'!$A$2:$C$302,2,0),0)+IFERROR(VLOOKUP(A146,'#6 IH Results'!$A$2:$C$302,2,0),0)+IFERROR(VLOOKUP(A146,'#5 IH Results'!$A$2:$C$303,2,0),0)+IFERROR(VLOOKUP(A146,'#4 IH Results'!$A$2:$C$300,2,0),0)+IFERROR(VLOOKUP(A146,'#3 IH Results'!$A$2:$C$101,2,0),0)+IFERROR(VLOOKUP(A146,'#2 IH Results'!$A$2:$C$101,2,0),0)+IFERROR(VLOOKUP(A146,'#1 IH Results'!$A$2:$C$101,2,0),0)+IFERROR(VLOOKUP(A146,'#0 IH Results'!$A$3:$C$102,2,0),0)</f>
        <v>7.078186392</v>
      </c>
    </row>
    <row r="147">
      <c r="A147" s="8" t="s">
        <v>147</v>
      </c>
      <c r="B147" s="6">
        <f>IFERROR(VLOOKUP(A147,'#17 IH Results'!$A$2:$C$301,2,0),0)+IFERROR(VLOOKUP(A147,'#16 IH Results'!$A$2:$C$301,2,0),0)+IFERROR(VLOOKUP(A147,'#15 IH Results'!$A$2:$C$301,2,0),0)+IFERROR(VLOOKUP(A147,'#14 IH Results'!$A$2:$C$302,2,0),0)+IFERROR(VLOOKUP(A147,'#13 IH Results'!$A$2:$C$302,2,0),0)+IFERROR(VLOOKUP(A147,'#12 IH Results'!$A$2:$C$302,2,0),0)+IFERROR(VLOOKUP(A147,'#11 IH Results'!$A$2:$C$302,2,0),0)+IFERROR(VLOOKUP(A147,'#10 IH Results'!$A$2:$C$302,2,0),0)+IFERROR(VLOOKUP(A147,'#9 IH Results'!$A$2:$C$302,2,0),0)+IFERROR(VLOOKUP(A147,'#8 IH Results'!$A$2:$C$302,2,0),0)+IFERROR(VLOOKUP(A147,'#7 IH Results'!$A$2:$C$302,2,0),0)+IFERROR(VLOOKUP(A147,'#6 IH Results'!$A$2:$C$302,2,0),0)+IFERROR(VLOOKUP(A147,'#5 IH Results'!$A$2:$C$303,2,0),0)+IFERROR(VLOOKUP(A147,'#4 IH Results'!$A$2:$C$300,2,0),0)+IFERROR(VLOOKUP(A147,'#3 IH Results'!$A$2:$C$101,2,0),0)+IFERROR(VLOOKUP(A147,'#2 IH Results'!$A$2:$C$101,2,0),0)+IFERROR(VLOOKUP(A147,'#1 IH Results'!$A$2:$C$101,2,0),0)+IFERROR(VLOOKUP(A147,'#0 IH Results'!$A$3:$C$102,2,0),0)</f>
        <v>7.060808474</v>
      </c>
    </row>
    <row r="148">
      <c r="A148" s="8" t="s">
        <v>148</v>
      </c>
      <c r="B148" s="6">
        <f>IFERROR(VLOOKUP(A148,'#17 IH Results'!$A$2:$C$301,2,0),0)+IFERROR(VLOOKUP(A148,'#16 IH Results'!$A$2:$C$301,2,0),0)+IFERROR(VLOOKUP(A148,'#15 IH Results'!$A$2:$C$301,2,0),0)+IFERROR(VLOOKUP(A148,'#14 IH Results'!$A$2:$C$302,2,0),0)+IFERROR(VLOOKUP(A148,'#13 IH Results'!$A$2:$C$302,2,0),0)+IFERROR(VLOOKUP(A148,'#12 IH Results'!$A$2:$C$302,2,0),0)+IFERROR(VLOOKUP(A148,'#11 IH Results'!$A$2:$C$302,2,0),0)+IFERROR(VLOOKUP(A148,'#10 IH Results'!$A$2:$C$302,2,0),0)+IFERROR(VLOOKUP(A148,'#9 IH Results'!$A$2:$C$302,2,0),0)+IFERROR(VLOOKUP(A148,'#8 IH Results'!$A$2:$C$302,2,0),0)+IFERROR(VLOOKUP(A148,'#7 IH Results'!$A$2:$C$302,2,0),0)+IFERROR(VLOOKUP(A148,'#6 IH Results'!$A$2:$C$302,2,0),0)+IFERROR(VLOOKUP(A148,'#5 IH Results'!$A$2:$C$303,2,0),0)+IFERROR(VLOOKUP(A148,'#4 IH Results'!$A$2:$C$300,2,0),0)+IFERROR(VLOOKUP(A148,'#3 IH Results'!$A$2:$C$101,2,0),0)+IFERROR(VLOOKUP(A148,'#2 IH Results'!$A$2:$C$101,2,0),0)+IFERROR(VLOOKUP(A148,'#1 IH Results'!$A$2:$C$101,2,0),0)+IFERROR(VLOOKUP(A148,'#0 IH Results'!$A$3:$C$102,2,0),0)</f>
        <v>6.880227526</v>
      </c>
    </row>
    <row r="149">
      <c r="A149" s="8" t="s">
        <v>149</v>
      </c>
      <c r="B149" s="6">
        <f>IFERROR(VLOOKUP(A149,'#17 IH Results'!$A$2:$C$301,2,0),0)+IFERROR(VLOOKUP(A149,'#16 IH Results'!$A$2:$C$301,2,0),0)+IFERROR(VLOOKUP(A149,'#15 IH Results'!$A$2:$C$301,2,0),0)+IFERROR(VLOOKUP(A149,'#14 IH Results'!$A$2:$C$302,2,0),0)+IFERROR(VLOOKUP(A149,'#13 IH Results'!$A$2:$C$302,2,0),0)+IFERROR(VLOOKUP(A149,'#12 IH Results'!$A$2:$C$302,2,0),0)+IFERROR(VLOOKUP(A149,'#11 IH Results'!$A$2:$C$302,2,0),0)+IFERROR(VLOOKUP(A149,'#10 IH Results'!$A$2:$C$302,2,0),0)+IFERROR(VLOOKUP(A149,'#9 IH Results'!$A$2:$C$302,2,0),0)+IFERROR(VLOOKUP(A149,'#8 IH Results'!$A$2:$C$302,2,0),0)+IFERROR(VLOOKUP(A149,'#7 IH Results'!$A$2:$C$302,2,0),0)+IFERROR(VLOOKUP(A149,'#6 IH Results'!$A$2:$C$302,2,0),0)+IFERROR(VLOOKUP(A149,'#5 IH Results'!$A$2:$C$303,2,0),0)+IFERROR(VLOOKUP(A149,'#4 IH Results'!$A$2:$C$300,2,0),0)+IFERROR(VLOOKUP(A149,'#3 IH Results'!$A$2:$C$101,2,0),0)+IFERROR(VLOOKUP(A149,'#2 IH Results'!$A$2:$C$101,2,0),0)+IFERROR(VLOOKUP(A149,'#1 IH Results'!$A$2:$C$101,2,0),0)+IFERROR(VLOOKUP(A149,'#0 IH Results'!$A$3:$C$102,2,0),0)</f>
        <v>6.868214902</v>
      </c>
    </row>
    <row r="150">
      <c r="A150" s="8" t="s">
        <v>150</v>
      </c>
      <c r="B150" s="6">
        <f>IFERROR(VLOOKUP(A150,'#17 IH Results'!$A$2:$C$301,2,0),0)+IFERROR(VLOOKUP(A150,'#16 IH Results'!$A$2:$C$301,2,0),0)+IFERROR(VLOOKUP(A150,'#15 IH Results'!$A$2:$C$301,2,0),0)+IFERROR(VLOOKUP(A150,'#14 IH Results'!$A$2:$C$302,2,0),0)+IFERROR(VLOOKUP(A150,'#13 IH Results'!$A$2:$C$302,2,0),0)+IFERROR(VLOOKUP(A150,'#12 IH Results'!$A$2:$C$302,2,0),0)+IFERROR(VLOOKUP(A150,'#11 IH Results'!$A$2:$C$302,2,0),0)+IFERROR(VLOOKUP(A150,'#10 IH Results'!$A$2:$C$302,2,0),0)+IFERROR(VLOOKUP(A150,'#9 IH Results'!$A$2:$C$302,2,0),0)+IFERROR(VLOOKUP(A150,'#8 IH Results'!$A$2:$C$302,2,0),0)+IFERROR(VLOOKUP(A150,'#7 IH Results'!$A$2:$C$302,2,0),0)+IFERROR(VLOOKUP(A150,'#6 IH Results'!$A$2:$C$302,2,0),0)+IFERROR(VLOOKUP(A150,'#5 IH Results'!$A$2:$C$303,2,0),0)+IFERROR(VLOOKUP(A150,'#4 IH Results'!$A$2:$C$300,2,0),0)+IFERROR(VLOOKUP(A150,'#3 IH Results'!$A$2:$C$101,2,0),0)+IFERROR(VLOOKUP(A150,'#2 IH Results'!$A$2:$C$101,2,0),0)+IFERROR(VLOOKUP(A150,'#1 IH Results'!$A$2:$C$101,2,0),0)+IFERROR(VLOOKUP(A150,'#0 IH Results'!$A$3:$C$102,2,0),0)</f>
        <v>6.710441694</v>
      </c>
    </row>
    <row r="151">
      <c r="A151" s="8" t="s">
        <v>151</v>
      </c>
      <c r="B151" s="6">
        <f>IFERROR(VLOOKUP(A151,'#17 IH Results'!$A$2:$C$301,2,0),0)+IFERROR(VLOOKUP(A151,'#16 IH Results'!$A$2:$C$301,2,0),0)+IFERROR(VLOOKUP(A151,'#15 IH Results'!$A$2:$C$301,2,0),0)+IFERROR(VLOOKUP(A151,'#14 IH Results'!$A$2:$C$302,2,0),0)+IFERROR(VLOOKUP(A151,'#13 IH Results'!$A$2:$C$302,2,0),0)+IFERROR(VLOOKUP(A151,'#12 IH Results'!$A$2:$C$302,2,0),0)+IFERROR(VLOOKUP(A151,'#11 IH Results'!$A$2:$C$302,2,0),0)+IFERROR(VLOOKUP(A151,'#10 IH Results'!$A$2:$C$302,2,0),0)+IFERROR(VLOOKUP(A151,'#9 IH Results'!$A$2:$C$302,2,0),0)+IFERROR(VLOOKUP(A151,'#8 IH Results'!$A$2:$C$302,2,0),0)+IFERROR(VLOOKUP(A151,'#7 IH Results'!$A$2:$C$302,2,0),0)+IFERROR(VLOOKUP(A151,'#6 IH Results'!$A$2:$C$302,2,0),0)+IFERROR(VLOOKUP(A151,'#5 IH Results'!$A$2:$C$303,2,0),0)+IFERROR(VLOOKUP(A151,'#4 IH Results'!$A$2:$C$300,2,0),0)+IFERROR(VLOOKUP(A151,'#3 IH Results'!$A$2:$C$101,2,0),0)+IFERROR(VLOOKUP(A151,'#2 IH Results'!$A$2:$C$101,2,0),0)+IFERROR(VLOOKUP(A151,'#1 IH Results'!$A$2:$C$101,2,0),0)+IFERROR(VLOOKUP(A151,'#0 IH Results'!$A$3:$C$102,2,0),0)</f>
        <v>6.664252544</v>
      </c>
    </row>
    <row r="152">
      <c r="A152" s="8" t="s">
        <v>152</v>
      </c>
      <c r="B152" s="6">
        <f>IFERROR(VLOOKUP(A152,'#17 IH Results'!$A$2:$C$301,2,0),0)+IFERROR(VLOOKUP(A152,'#16 IH Results'!$A$2:$C$301,2,0),0)+IFERROR(VLOOKUP(A152,'#15 IH Results'!$A$2:$C$301,2,0),0)+IFERROR(VLOOKUP(A152,'#14 IH Results'!$A$2:$C$302,2,0),0)+IFERROR(VLOOKUP(A152,'#13 IH Results'!$A$2:$C$302,2,0),0)+IFERROR(VLOOKUP(A152,'#12 IH Results'!$A$2:$C$302,2,0),0)+IFERROR(VLOOKUP(A152,'#11 IH Results'!$A$2:$C$302,2,0),0)+IFERROR(VLOOKUP(A152,'#10 IH Results'!$A$2:$C$302,2,0),0)+IFERROR(VLOOKUP(A152,'#9 IH Results'!$A$2:$C$302,2,0),0)+IFERROR(VLOOKUP(A152,'#8 IH Results'!$A$2:$C$302,2,0),0)+IFERROR(VLOOKUP(A152,'#7 IH Results'!$A$2:$C$302,2,0),0)+IFERROR(VLOOKUP(A152,'#6 IH Results'!$A$2:$C$302,2,0),0)+IFERROR(VLOOKUP(A152,'#5 IH Results'!$A$2:$C$303,2,0),0)+IFERROR(VLOOKUP(A152,'#4 IH Results'!$A$2:$C$300,2,0),0)+IFERROR(VLOOKUP(A152,'#3 IH Results'!$A$2:$C$101,2,0),0)+IFERROR(VLOOKUP(A152,'#2 IH Results'!$A$2:$C$101,2,0),0)+IFERROR(VLOOKUP(A152,'#1 IH Results'!$A$2:$C$101,2,0),0)+IFERROR(VLOOKUP(A152,'#0 IH Results'!$A$3:$C$102,2,0),0)</f>
        <v>6.262482599</v>
      </c>
    </row>
    <row r="153">
      <c r="A153" s="8" t="s">
        <v>153</v>
      </c>
      <c r="B153" s="6">
        <f>IFERROR(VLOOKUP(A153,'#17 IH Results'!$A$2:$C$301,2,0),0)+IFERROR(VLOOKUP(A153,'#16 IH Results'!$A$2:$C$301,2,0),0)+IFERROR(VLOOKUP(A153,'#15 IH Results'!$A$2:$C$301,2,0),0)+IFERROR(VLOOKUP(A153,'#14 IH Results'!$A$2:$C$302,2,0),0)+IFERROR(VLOOKUP(A153,'#13 IH Results'!$A$2:$C$302,2,0),0)+IFERROR(VLOOKUP(A153,'#12 IH Results'!$A$2:$C$302,2,0),0)+IFERROR(VLOOKUP(A153,'#11 IH Results'!$A$2:$C$302,2,0),0)+IFERROR(VLOOKUP(A153,'#10 IH Results'!$A$2:$C$302,2,0),0)+IFERROR(VLOOKUP(A153,'#9 IH Results'!$A$2:$C$302,2,0),0)+IFERROR(VLOOKUP(A153,'#8 IH Results'!$A$2:$C$302,2,0),0)+IFERROR(VLOOKUP(A153,'#7 IH Results'!$A$2:$C$302,2,0),0)+IFERROR(VLOOKUP(A153,'#6 IH Results'!$A$2:$C$302,2,0),0)+IFERROR(VLOOKUP(A153,'#5 IH Results'!$A$2:$C$303,2,0),0)+IFERROR(VLOOKUP(A153,'#4 IH Results'!$A$2:$C$300,2,0),0)+IFERROR(VLOOKUP(A153,'#3 IH Results'!$A$2:$C$101,2,0),0)+IFERROR(VLOOKUP(A153,'#2 IH Results'!$A$2:$C$101,2,0),0)+IFERROR(VLOOKUP(A153,'#1 IH Results'!$A$2:$C$101,2,0),0)+IFERROR(VLOOKUP(A153,'#0 IH Results'!$A$3:$C$102,2,0),0)</f>
        <v>6.160403201</v>
      </c>
    </row>
    <row r="154">
      <c r="A154" s="8" t="s">
        <v>154</v>
      </c>
      <c r="B154" s="6">
        <f>IFERROR(VLOOKUP(A154,'#17 IH Results'!$A$2:$C$301,2,0),0)+IFERROR(VLOOKUP(A154,'#16 IH Results'!$A$2:$C$301,2,0),0)+IFERROR(VLOOKUP(A154,'#15 IH Results'!$A$2:$C$301,2,0),0)+IFERROR(VLOOKUP(A154,'#14 IH Results'!$A$2:$C$302,2,0),0)+IFERROR(VLOOKUP(A154,'#13 IH Results'!$A$2:$C$302,2,0),0)+IFERROR(VLOOKUP(A154,'#12 IH Results'!$A$2:$C$302,2,0),0)+IFERROR(VLOOKUP(A154,'#11 IH Results'!$A$2:$C$302,2,0),0)+IFERROR(VLOOKUP(A154,'#10 IH Results'!$A$2:$C$302,2,0),0)+IFERROR(VLOOKUP(A154,'#9 IH Results'!$A$2:$C$302,2,0),0)+IFERROR(VLOOKUP(A154,'#8 IH Results'!$A$2:$C$302,2,0),0)+IFERROR(VLOOKUP(A154,'#7 IH Results'!$A$2:$C$302,2,0),0)+IFERROR(VLOOKUP(A154,'#6 IH Results'!$A$2:$C$302,2,0),0)+IFERROR(VLOOKUP(A154,'#5 IH Results'!$A$2:$C$303,2,0),0)+IFERROR(VLOOKUP(A154,'#4 IH Results'!$A$2:$C$300,2,0),0)+IFERROR(VLOOKUP(A154,'#3 IH Results'!$A$2:$C$101,2,0),0)+IFERROR(VLOOKUP(A154,'#2 IH Results'!$A$2:$C$101,2,0),0)+IFERROR(VLOOKUP(A154,'#1 IH Results'!$A$2:$C$101,2,0),0)+IFERROR(VLOOKUP(A154,'#0 IH Results'!$A$3:$C$102,2,0),0)</f>
        <v>5.864843576</v>
      </c>
    </row>
    <row r="155">
      <c r="A155" s="8" t="s">
        <v>155</v>
      </c>
      <c r="B155" s="6">
        <f>IFERROR(VLOOKUP(A155,'#17 IH Results'!$A$2:$C$301,2,0),0)+IFERROR(VLOOKUP(A155,'#16 IH Results'!$A$2:$C$301,2,0),0)+IFERROR(VLOOKUP(A155,'#15 IH Results'!$A$2:$C$301,2,0),0)+IFERROR(VLOOKUP(A155,'#14 IH Results'!$A$2:$C$302,2,0),0)+IFERROR(VLOOKUP(A155,'#13 IH Results'!$A$2:$C$302,2,0),0)+IFERROR(VLOOKUP(A155,'#12 IH Results'!$A$2:$C$302,2,0),0)+IFERROR(VLOOKUP(A155,'#11 IH Results'!$A$2:$C$302,2,0),0)+IFERROR(VLOOKUP(A155,'#10 IH Results'!$A$2:$C$302,2,0),0)+IFERROR(VLOOKUP(A155,'#9 IH Results'!$A$2:$C$302,2,0),0)+IFERROR(VLOOKUP(A155,'#8 IH Results'!$A$2:$C$302,2,0),0)+IFERROR(VLOOKUP(A155,'#7 IH Results'!$A$2:$C$302,2,0),0)+IFERROR(VLOOKUP(A155,'#6 IH Results'!$A$2:$C$302,2,0),0)+IFERROR(VLOOKUP(A155,'#5 IH Results'!$A$2:$C$303,2,0),0)+IFERROR(VLOOKUP(A155,'#4 IH Results'!$A$2:$C$300,2,0),0)+IFERROR(VLOOKUP(A155,'#3 IH Results'!$A$2:$C$101,2,0),0)+IFERROR(VLOOKUP(A155,'#2 IH Results'!$A$2:$C$101,2,0),0)+IFERROR(VLOOKUP(A155,'#1 IH Results'!$A$2:$C$101,2,0),0)+IFERROR(VLOOKUP(A155,'#0 IH Results'!$A$3:$C$102,2,0),0)</f>
        <v>5.744592804</v>
      </c>
    </row>
    <row r="156">
      <c r="A156" s="8" t="s">
        <v>156</v>
      </c>
      <c r="B156" s="6">
        <f>IFERROR(VLOOKUP(A156,'#17 IH Results'!$A$2:$C$301,2,0),0)+IFERROR(VLOOKUP(A156,'#16 IH Results'!$A$2:$C$301,2,0),0)+IFERROR(VLOOKUP(A156,'#15 IH Results'!$A$2:$C$301,2,0),0)+IFERROR(VLOOKUP(A156,'#14 IH Results'!$A$2:$C$302,2,0),0)+IFERROR(VLOOKUP(A156,'#13 IH Results'!$A$2:$C$302,2,0),0)+IFERROR(VLOOKUP(A156,'#12 IH Results'!$A$2:$C$302,2,0),0)+IFERROR(VLOOKUP(A156,'#11 IH Results'!$A$2:$C$302,2,0),0)+IFERROR(VLOOKUP(A156,'#10 IH Results'!$A$2:$C$302,2,0),0)+IFERROR(VLOOKUP(A156,'#9 IH Results'!$A$2:$C$302,2,0),0)+IFERROR(VLOOKUP(A156,'#8 IH Results'!$A$2:$C$302,2,0),0)+IFERROR(VLOOKUP(A156,'#7 IH Results'!$A$2:$C$302,2,0),0)+IFERROR(VLOOKUP(A156,'#6 IH Results'!$A$2:$C$302,2,0),0)+IFERROR(VLOOKUP(A156,'#5 IH Results'!$A$2:$C$303,2,0),0)+IFERROR(VLOOKUP(A156,'#4 IH Results'!$A$2:$C$300,2,0),0)+IFERROR(VLOOKUP(A156,'#3 IH Results'!$A$2:$C$101,2,0),0)+IFERROR(VLOOKUP(A156,'#2 IH Results'!$A$2:$C$101,2,0),0)+IFERROR(VLOOKUP(A156,'#1 IH Results'!$A$2:$C$101,2,0),0)+IFERROR(VLOOKUP(A156,'#0 IH Results'!$A$3:$C$102,2,0),0)</f>
        <v>5.672701119</v>
      </c>
    </row>
    <row r="157">
      <c r="A157" s="8" t="s">
        <v>157</v>
      </c>
      <c r="B157" s="6">
        <f>IFERROR(VLOOKUP(A157,'#17 IH Results'!$A$2:$C$301,2,0),0)+IFERROR(VLOOKUP(A157,'#16 IH Results'!$A$2:$C$301,2,0),0)+IFERROR(VLOOKUP(A157,'#15 IH Results'!$A$2:$C$301,2,0),0)+IFERROR(VLOOKUP(A157,'#14 IH Results'!$A$2:$C$302,2,0),0)+IFERROR(VLOOKUP(A157,'#13 IH Results'!$A$2:$C$302,2,0),0)+IFERROR(VLOOKUP(A157,'#12 IH Results'!$A$2:$C$302,2,0),0)+IFERROR(VLOOKUP(A157,'#11 IH Results'!$A$2:$C$302,2,0),0)+IFERROR(VLOOKUP(A157,'#10 IH Results'!$A$2:$C$302,2,0),0)+IFERROR(VLOOKUP(A157,'#9 IH Results'!$A$2:$C$302,2,0),0)+IFERROR(VLOOKUP(A157,'#8 IH Results'!$A$2:$C$302,2,0),0)+IFERROR(VLOOKUP(A157,'#7 IH Results'!$A$2:$C$302,2,0),0)+IFERROR(VLOOKUP(A157,'#6 IH Results'!$A$2:$C$302,2,0),0)+IFERROR(VLOOKUP(A157,'#5 IH Results'!$A$2:$C$303,2,0),0)+IFERROR(VLOOKUP(A157,'#4 IH Results'!$A$2:$C$300,2,0),0)+IFERROR(VLOOKUP(A157,'#3 IH Results'!$A$2:$C$101,2,0),0)+IFERROR(VLOOKUP(A157,'#2 IH Results'!$A$2:$C$101,2,0),0)+IFERROR(VLOOKUP(A157,'#1 IH Results'!$A$2:$C$101,2,0),0)+IFERROR(VLOOKUP(A157,'#0 IH Results'!$A$3:$C$102,2,0),0)</f>
        <v>5.515662161</v>
      </c>
    </row>
    <row r="158">
      <c r="A158" s="8" t="s">
        <v>158</v>
      </c>
      <c r="B158" s="6">
        <f>IFERROR(VLOOKUP(A158,'#17 IH Results'!$A$2:$C$301,2,0),0)+IFERROR(VLOOKUP(A158,'#16 IH Results'!$A$2:$C$301,2,0),0)+IFERROR(VLOOKUP(A158,'#15 IH Results'!$A$2:$C$301,2,0),0)+IFERROR(VLOOKUP(A158,'#14 IH Results'!$A$2:$C$302,2,0),0)+IFERROR(VLOOKUP(A158,'#13 IH Results'!$A$2:$C$302,2,0),0)+IFERROR(VLOOKUP(A158,'#12 IH Results'!$A$2:$C$302,2,0),0)+IFERROR(VLOOKUP(A158,'#11 IH Results'!$A$2:$C$302,2,0),0)+IFERROR(VLOOKUP(A158,'#10 IH Results'!$A$2:$C$302,2,0),0)+IFERROR(VLOOKUP(A158,'#9 IH Results'!$A$2:$C$302,2,0),0)+IFERROR(VLOOKUP(A158,'#8 IH Results'!$A$2:$C$302,2,0),0)+IFERROR(VLOOKUP(A158,'#7 IH Results'!$A$2:$C$302,2,0),0)+IFERROR(VLOOKUP(A158,'#6 IH Results'!$A$2:$C$302,2,0),0)+IFERROR(VLOOKUP(A158,'#5 IH Results'!$A$2:$C$303,2,0),0)+IFERROR(VLOOKUP(A158,'#4 IH Results'!$A$2:$C$300,2,0),0)+IFERROR(VLOOKUP(A158,'#3 IH Results'!$A$2:$C$101,2,0),0)+IFERROR(VLOOKUP(A158,'#2 IH Results'!$A$2:$C$101,2,0),0)+IFERROR(VLOOKUP(A158,'#1 IH Results'!$A$2:$C$101,2,0),0)+IFERROR(VLOOKUP(A158,'#0 IH Results'!$A$3:$C$102,2,0),0)</f>
        <v>5.450343069</v>
      </c>
    </row>
    <row r="159">
      <c r="A159" s="8" t="s">
        <v>159</v>
      </c>
      <c r="B159" s="6">
        <f>IFERROR(VLOOKUP(A159,'#17 IH Results'!$A$2:$C$301,2,0),0)+IFERROR(VLOOKUP(A159,'#16 IH Results'!$A$2:$C$301,2,0),0)+IFERROR(VLOOKUP(A159,'#15 IH Results'!$A$2:$C$301,2,0),0)+IFERROR(VLOOKUP(A159,'#14 IH Results'!$A$2:$C$302,2,0),0)+IFERROR(VLOOKUP(A159,'#13 IH Results'!$A$2:$C$302,2,0),0)+IFERROR(VLOOKUP(A159,'#12 IH Results'!$A$2:$C$302,2,0),0)+IFERROR(VLOOKUP(A159,'#11 IH Results'!$A$2:$C$302,2,0),0)+IFERROR(VLOOKUP(A159,'#10 IH Results'!$A$2:$C$302,2,0),0)+IFERROR(VLOOKUP(A159,'#9 IH Results'!$A$2:$C$302,2,0),0)+IFERROR(VLOOKUP(A159,'#8 IH Results'!$A$2:$C$302,2,0),0)+IFERROR(VLOOKUP(A159,'#7 IH Results'!$A$2:$C$302,2,0),0)+IFERROR(VLOOKUP(A159,'#6 IH Results'!$A$2:$C$302,2,0),0)+IFERROR(VLOOKUP(A159,'#5 IH Results'!$A$2:$C$303,2,0),0)+IFERROR(VLOOKUP(A159,'#4 IH Results'!$A$2:$C$300,2,0),0)+IFERROR(VLOOKUP(A159,'#3 IH Results'!$A$2:$C$101,2,0),0)+IFERROR(VLOOKUP(A159,'#2 IH Results'!$A$2:$C$101,2,0),0)+IFERROR(VLOOKUP(A159,'#1 IH Results'!$A$2:$C$101,2,0),0)+IFERROR(VLOOKUP(A159,'#0 IH Results'!$A$3:$C$102,2,0),0)</f>
        <v>5.411188157</v>
      </c>
    </row>
    <row r="160">
      <c r="A160" s="8" t="s">
        <v>160</v>
      </c>
      <c r="B160" s="6">
        <f>IFERROR(VLOOKUP(A160,'#17 IH Results'!$A$2:$C$301,2,0),0)+IFERROR(VLOOKUP(A160,'#16 IH Results'!$A$2:$C$301,2,0),0)+IFERROR(VLOOKUP(A160,'#15 IH Results'!$A$2:$C$301,2,0),0)+IFERROR(VLOOKUP(A160,'#14 IH Results'!$A$2:$C$302,2,0),0)+IFERROR(VLOOKUP(A160,'#13 IH Results'!$A$2:$C$302,2,0),0)+IFERROR(VLOOKUP(A160,'#12 IH Results'!$A$2:$C$302,2,0),0)+IFERROR(VLOOKUP(A160,'#11 IH Results'!$A$2:$C$302,2,0),0)+IFERROR(VLOOKUP(A160,'#10 IH Results'!$A$2:$C$302,2,0),0)+IFERROR(VLOOKUP(A160,'#9 IH Results'!$A$2:$C$302,2,0),0)+IFERROR(VLOOKUP(A160,'#8 IH Results'!$A$2:$C$302,2,0),0)+IFERROR(VLOOKUP(A160,'#7 IH Results'!$A$2:$C$302,2,0),0)+IFERROR(VLOOKUP(A160,'#6 IH Results'!$A$2:$C$302,2,0),0)+IFERROR(VLOOKUP(A160,'#5 IH Results'!$A$2:$C$303,2,0),0)+IFERROR(VLOOKUP(A160,'#4 IH Results'!$A$2:$C$300,2,0),0)+IFERROR(VLOOKUP(A160,'#3 IH Results'!$A$2:$C$101,2,0),0)+IFERROR(VLOOKUP(A160,'#2 IH Results'!$A$2:$C$101,2,0),0)+IFERROR(VLOOKUP(A160,'#1 IH Results'!$A$2:$C$101,2,0),0)+IFERROR(VLOOKUP(A160,'#0 IH Results'!$A$3:$C$102,2,0),0)</f>
        <v>5.340856029</v>
      </c>
    </row>
    <row r="161">
      <c r="A161" s="8" t="s">
        <v>161</v>
      </c>
      <c r="B161" s="6">
        <f>IFERROR(VLOOKUP(A161,'#17 IH Results'!$A$2:$C$301,2,0),0)+IFERROR(VLOOKUP(A161,'#16 IH Results'!$A$2:$C$301,2,0),0)+IFERROR(VLOOKUP(A161,'#15 IH Results'!$A$2:$C$301,2,0),0)+IFERROR(VLOOKUP(A161,'#14 IH Results'!$A$2:$C$302,2,0),0)+IFERROR(VLOOKUP(A161,'#13 IH Results'!$A$2:$C$302,2,0),0)+IFERROR(VLOOKUP(A161,'#12 IH Results'!$A$2:$C$302,2,0),0)+IFERROR(VLOOKUP(A161,'#11 IH Results'!$A$2:$C$302,2,0),0)+IFERROR(VLOOKUP(A161,'#10 IH Results'!$A$2:$C$302,2,0),0)+IFERROR(VLOOKUP(A161,'#9 IH Results'!$A$2:$C$302,2,0),0)+IFERROR(VLOOKUP(A161,'#8 IH Results'!$A$2:$C$302,2,0),0)+IFERROR(VLOOKUP(A161,'#7 IH Results'!$A$2:$C$302,2,0),0)+IFERROR(VLOOKUP(A161,'#6 IH Results'!$A$2:$C$302,2,0),0)+IFERROR(VLOOKUP(A161,'#5 IH Results'!$A$2:$C$303,2,0),0)+IFERROR(VLOOKUP(A161,'#4 IH Results'!$A$2:$C$300,2,0),0)+IFERROR(VLOOKUP(A161,'#3 IH Results'!$A$2:$C$101,2,0),0)+IFERROR(VLOOKUP(A161,'#2 IH Results'!$A$2:$C$101,2,0),0)+IFERROR(VLOOKUP(A161,'#1 IH Results'!$A$2:$C$101,2,0),0)+IFERROR(VLOOKUP(A161,'#0 IH Results'!$A$3:$C$102,2,0),0)</f>
        <v>5.270801819</v>
      </c>
    </row>
    <row r="162">
      <c r="A162" s="8" t="s">
        <v>162</v>
      </c>
      <c r="B162" s="6">
        <f>IFERROR(VLOOKUP(A162,'#17 IH Results'!$A$2:$C$301,2,0),0)+IFERROR(VLOOKUP(A162,'#16 IH Results'!$A$2:$C$301,2,0),0)+IFERROR(VLOOKUP(A162,'#15 IH Results'!$A$2:$C$301,2,0),0)+IFERROR(VLOOKUP(A162,'#14 IH Results'!$A$2:$C$302,2,0),0)+IFERROR(VLOOKUP(A162,'#13 IH Results'!$A$2:$C$302,2,0),0)+IFERROR(VLOOKUP(A162,'#12 IH Results'!$A$2:$C$302,2,0),0)+IFERROR(VLOOKUP(A162,'#11 IH Results'!$A$2:$C$302,2,0),0)+IFERROR(VLOOKUP(A162,'#10 IH Results'!$A$2:$C$302,2,0),0)+IFERROR(VLOOKUP(A162,'#9 IH Results'!$A$2:$C$302,2,0),0)+IFERROR(VLOOKUP(A162,'#8 IH Results'!$A$2:$C$302,2,0),0)+IFERROR(VLOOKUP(A162,'#7 IH Results'!$A$2:$C$302,2,0),0)+IFERROR(VLOOKUP(A162,'#6 IH Results'!$A$2:$C$302,2,0),0)+IFERROR(VLOOKUP(A162,'#5 IH Results'!$A$2:$C$303,2,0),0)+IFERROR(VLOOKUP(A162,'#4 IH Results'!$A$2:$C$300,2,0),0)+IFERROR(VLOOKUP(A162,'#3 IH Results'!$A$2:$C$101,2,0),0)+IFERROR(VLOOKUP(A162,'#2 IH Results'!$A$2:$C$101,2,0),0)+IFERROR(VLOOKUP(A162,'#1 IH Results'!$A$2:$C$101,2,0),0)+IFERROR(VLOOKUP(A162,'#0 IH Results'!$A$3:$C$102,2,0),0)</f>
        <v>5.161465537</v>
      </c>
    </row>
    <row r="163">
      <c r="A163" s="8" t="s">
        <v>163</v>
      </c>
      <c r="B163" s="6">
        <f>IFERROR(VLOOKUP(A163,'#17 IH Results'!$A$2:$C$301,2,0),0)+IFERROR(VLOOKUP(A163,'#16 IH Results'!$A$2:$C$301,2,0),0)+IFERROR(VLOOKUP(A163,'#15 IH Results'!$A$2:$C$301,2,0),0)+IFERROR(VLOOKUP(A163,'#14 IH Results'!$A$2:$C$302,2,0),0)+IFERROR(VLOOKUP(A163,'#13 IH Results'!$A$2:$C$302,2,0),0)+IFERROR(VLOOKUP(A163,'#12 IH Results'!$A$2:$C$302,2,0),0)+IFERROR(VLOOKUP(A163,'#11 IH Results'!$A$2:$C$302,2,0),0)+IFERROR(VLOOKUP(A163,'#10 IH Results'!$A$2:$C$302,2,0),0)+IFERROR(VLOOKUP(A163,'#9 IH Results'!$A$2:$C$302,2,0),0)+IFERROR(VLOOKUP(A163,'#8 IH Results'!$A$2:$C$302,2,0),0)+IFERROR(VLOOKUP(A163,'#7 IH Results'!$A$2:$C$302,2,0),0)+IFERROR(VLOOKUP(A163,'#6 IH Results'!$A$2:$C$302,2,0),0)+IFERROR(VLOOKUP(A163,'#5 IH Results'!$A$2:$C$303,2,0),0)+IFERROR(VLOOKUP(A163,'#4 IH Results'!$A$2:$C$300,2,0),0)+IFERROR(VLOOKUP(A163,'#3 IH Results'!$A$2:$C$101,2,0),0)+IFERROR(VLOOKUP(A163,'#2 IH Results'!$A$2:$C$101,2,0),0)+IFERROR(VLOOKUP(A163,'#1 IH Results'!$A$2:$C$101,2,0),0)+IFERROR(VLOOKUP(A163,'#0 IH Results'!$A$3:$C$102,2,0),0)</f>
        <v>5.066937234</v>
      </c>
    </row>
    <row r="164">
      <c r="A164" s="8" t="s">
        <v>164</v>
      </c>
      <c r="B164" s="6">
        <f>IFERROR(VLOOKUP(A164,'#17 IH Results'!$A$2:$C$301,2,0),0)+IFERROR(VLOOKUP(A164,'#16 IH Results'!$A$2:$C$301,2,0),0)+IFERROR(VLOOKUP(A164,'#15 IH Results'!$A$2:$C$301,2,0),0)+IFERROR(VLOOKUP(A164,'#14 IH Results'!$A$2:$C$302,2,0),0)+IFERROR(VLOOKUP(A164,'#13 IH Results'!$A$2:$C$302,2,0),0)+IFERROR(VLOOKUP(A164,'#12 IH Results'!$A$2:$C$302,2,0),0)+IFERROR(VLOOKUP(A164,'#11 IH Results'!$A$2:$C$302,2,0),0)+IFERROR(VLOOKUP(A164,'#10 IH Results'!$A$2:$C$302,2,0),0)+IFERROR(VLOOKUP(A164,'#9 IH Results'!$A$2:$C$302,2,0),0)+IFERROR(VLOOKUP(A164,'#8 IH Results'!$A$2:$C$302,2,0),0)+IFERROR(VLOOKUP(A164,'#7 IH Results'!$A$2:$C$302,2,0),0)+IFERROR(VLOOKUP(A164,'#6 IH Results'!$A$2:$C$302,2,0),0)+IFERROR(VLOOKUP(A164,'#5 IH Results'!$A$2:$C$303,2,0),0)+IFERROR(VLOOKUP(A164,'#4 IH Results'!$A$2:$C$300,2,0),0)+IFERROR(VLOOKUP(A164,'#3 IH Results'!$A$2:$C$101,2,0),0)+IFERROR(VLOOKUP(A164,'#2 IH Results'!$A$2:$C$101,2,0),0)+IFERROR(VLOOKUP(A164,'#1 IH Results'!$A$2:$C$101,2,0),0)+IFERROR(VLOOKUP(A164,'#0 IH Results'!$A$3:$C$102,2,0),0)</f>
        <v>4.972118105</v>
      </c>
    </row>
    <row r="165">
      <c r="A165" s="8" t="s">
        <v>165</v>
      </c>
      <c r="B165" s="6">
        <f>IFERROR(VLOOKUP(A165,'#17 IH Results'!$A$2:$C$301,2,0),0)+IFERROR(VLOOKUP(A165,'#16 IH Results'!$A$2:$C$301,2,0),0)+IFERROR(VLOOKUP(A165,'#15 IH Results'!$A$2:$C$301,2,0),0)+IFERROR(VLOOKUP(A165,'#14 IH Results'!$A$2:$C$302,2,0),0)+IFERROR(VLOOKUP(A165,'#13 IH Results'!$A$2:$C$302,2,0),0)+IFERROR(VLOOKUP(A165,'#12 IH Results'!$A$2:$C$302,2,0),0)+IFERROR(VLOOKUP(A165,'#11 IH Results'!$A$2:$C$302,2,0),0)+IFERROR(VLOOKUP(A165,'#10 IH Results'!$A$2:$C$302,2,0),0)+IFERROR(VLOOKUP(A165,'#9 IH Results'!$A$2:$C$302,2,0),0)+IFERROR(VLOOKUP(A165,'#8 IH Results'!$A$2:$C$302,2,0),0)+IFERROR(VLOOKUP(A165,'#7 IH Results'!$A$2:$C$302,2,0),0)+IFERROR(VLOOKUP(A165,'#6 IH Results'!$A$2:$C$302,2,0),0)+IFERROR(VLOOKUP(A165,'#5 IH Results'!$A$2:$C$303,2,0),0)+IFERROR(VLOOKUP(A165,'#4 IH Results'!$A$2:$C$300,2,0),0)+IFERROR(VLOOKUP(A165,'#3 IH Results'!$A$2:$C$101,2,0),0)+IFERROR(VLOOKUP(A165,'#2 IH Results'!$A$2:$C$101,2,0),0)+IFERROR(VLOOKUP(A165,'#1 IH Results'!$A$2:$C$101,2,0),0)+IFERROR(VLOOKUP(A165,'#0 IH Results'!$A$3:$C$102,2,0),0)</f>
        <v>4.919895998</v>
      </c>
    </row>
    <row r="166">
      <c r="A166" s="11" t="s">
        <v>166</v>
      </c>
      <c r="B166" s="6">
        <f>IFERROR(VLOOKUP(A166,'#17 IH Results'!$A$2:$C$301,2,0),0)+IFERROR(VLOOKUP(A166,'#16 IH Results'!$A$2:$C$301,2,0),0)+IFERROR(VLOOKUP(A166,'#15 IH Results'!$A$2:$C$301,2,0),0)+IFERROR(VLOOKUP(A166,'#14 IH Results'!$A$2:$C$302,2,0),0)+IFERROR(VLOOKUP(A166,'#13 IH Results'!$A$2:$C$302,2,0),0)+IFERROR(VLOOKUP(A166,'#12 IH Results'!$A$2:$C$302,2,0),0)+IFERROR(VLOOKUP(A166,'#11 IH Results'!$A$2:$C$302,2,0),0)+IFERROR(VLOOKUP(A166,'#10 IH Results'!$A$2:$C$302,2,0),0)+IFERROR(VLOOKUP(A166,'#9 IH Results'!$A$2:$C$302,2,0),0)+IFERROR(VLOOKUP(A166,'#8 IH Results'!$A$2:$C$302,2,0),0)+IFERROR(VLOOKUP(A166,'#7 IH Results'!$A$2:$C$302,2,0),0)+IFERROR(VLOOKUP(A166,'#6 IH Results'!$A$2:$C$302,2,0),0)+IFERROR(VLOOKUP(A166,'#5 IH Results'!$A$2:$C$303,2,0),0)+IFERROR(VLOOKUP(A166,'#4 IH Results'!$A$2:$C$300,2,0),0)+IFERROR(VLOOKUP(A166,'#3 IH Results'!$A$2:$C$101,2,0),0)+IFERROR(VLOOKUP(A166,'#2 IH Results'!$A$2:$C$101,2,0),0)+IFERROR(VLOOKUP(A166,'#1 IH Results'!$A$2:$C$101,2,0),0)+IFERROR(VLOOKUP(A166,'#0 IH Results'!$A$3:$C$102,2,0),0)</f>
        <v>4.770712762</v>
      </c>
    </row>
    <row r="167">
      <c r="A167" s="8" t="s">
        <v>167</v>
      </c>
      <c r="B167" s="6">
        <f>IFERROR(VLOOKUP(A167,'#17 IH Results'!$A$2:$C$301,2,0),0)+IFERROR(VLOOKUP(A167,'#16 IH Results'!$A$2:$C$301,2,0),0)+IFERROR(VLOOKUP(A167,'#15 IH Results'!$A$2:$C$301,2,0),0)+IFERROR(VLOOKUP(A167,'#14 IH Results'!$A$2:$C$302,2,0),0)+IFERROR(VLOOKUP(A167,'#13 IH Results'!$A$2:$C$302,2,0),0)+IFERROR(VLOOKUP(A167,'#12 IH Results'!$A$2:$C$302,2,0),0)+IFERROR(VLOOKUP(A167,'#11 IH Results'!$A$2:$C$302,2,0),0)+IFERROR(VLOOKUP(A167,'#10 IH Results'!$A$2:$C$302,2,0),0)+IFERROR(VLOOKUP(A167,'#9 IH Results'!$A$2:$C$302,2,0),0)+IFERROR(VLOOKUP(A167,'#8 IH Results'!$A$2:$C$302,2,0),0)+IFERROR(VLOOKUP(A167,'#7 IH Results'!$A$2:$C$302,2,0),0)+IFERROR(VLOOKUP(A167,'#6 IH Results'!$A$2:$C$302,2,0),0)+IFERROR(VLOOKUP(A167,'#5 IH Results'!$A$2:$C$303,2,0),0)+IFERROR(VLOOKUP(A167,'#4 IH Results'!$A$2:$C$300,2,0),0)+IFERROR(VLOOKUP(A167,'#3 IH Results'!$A$2:$C$101,2,0),0)+IFERROR(VLOOKUP(A167,'#2 IH Results'!$A$2:$C$101,2,0),0)+IFERROR(VLOOKUP(A167,'#1 IH Results'!$A$2:$C$101,2,0),0)+IFERROR(VLOOKUP(A167,'#0 IH Results'!$A$3:$C$102,2,0),0)</f>
        <v>4.754497155</v>
      </c>
    </row>
    <row r="168">
      <c r="A168" s="8" t="s">
        <v>168</v>
      </c>
      <c r="B168" s="6">
        <f>IFERROR(VLOOKUP(A168,'#17 IH Results'!$A$2:$C$301,2,0),0)+IFERROR(VLOOKUP(A168,'#16 IH Results'!$A$2:$C$301,2,0),0)+IFERROR(VLOOKUP(A168,'#15 IH Results'!$A$2:$C$301,2,0),0)+IFERROR(VLOOKUP(A168,'#14 IH Results'!$A$2:$C$302,2,0),0)+IFERROR(VLOOKUP(A168,'#13 IH Results'!$A$2:$C$302,2,0),0)+IFERROR(VLOOKUP(A168,'#12 IH Results'!$A$2:$C$302,2,0),0)+IFERROR(VLOOKUP(A168,'#11 IH Results'!$A$2:$C$302,2,0),0)+IFERROR(VLOOKUP(A168,'#10 IH Results'!$A$2:$C$302,2,0),0)+IFERROR(VLOOKUP(A168,'#9 IH Results'!$A$2:$C$302,2,0),0)+IFERROR(VLOOKUP(A168,'#8 IH Results'!$A$2:$C$302,2,0),0)+IFERROR(VLOOKUP(A168,'#7 IH Results'!$A$2:$C$302,2,0),0)+IFERROR(VLOOKUP(A168,'#6 IH Results'!$A$2:$C$302,2,0),0)+IFERROR(VLOOKUP(A168,'#5 IH Results'!$A$2:$C$303,2,0),0)+IFERROR(VLOOKUP(A168,'#4 IH Results'!$A$2:$C$300,2,0),0)+IFERROR(VLOOKUP(A168,'#3 IH Results'!$A$2:$C$101,2,0),0)+IFERROR(VLOOKUP(A168,'#2 IH Results'!$A$2:$C$101,2,0),0)+IFERROR(VLOOKUP(A168,'#1 IH Results'!$A$2:$C$101,2,0),0)+IFERROR(VLOOKUP(A168,'#0 IH Results'!$A$3:$C$102,2,0),0)</f>
        <v>4.693350647</v>
      </c>
    </row>
    <row r="169">
      <c r="A169" s="8" t="s">
        <v>169</v>
      </c>
      <c r="B169" s="6">
        <f>IFERROR(VLOOKUP(A169,'#17 IH Results'!$A$2:$C$301,2,0),0)+IFERROR(VLOOKUP(A169,'#16 IH Results'!$A$2:$C$301,2,0),0)+IFERROR(VLOOKUP(A169,'#15 IH Results'!$A$2:$C$301,2,0),0)+IFERROR(VLOOKUP(A169,'#14 IH Results'!$A$2:$C$302,2,0),0)+IFERROR(VLOOKUP(A169,'#13 IH Results'!$A$2:$C$302,2,0),0)+IFERROR(VLOOKUP(A169,'#12 IH Results'!$A$2:$C$302,2,0),0)+IFERROR(VLOOKUP(A169,'#11 IH Results'!$A$2:$C$302,2,0),0)+IFERROR(VLOOKUP(A169,'#10 IH Results'!$A$2:$C$302,2,0),0)+IFERROR(VLOOKUP(A169,'#9 IH Results'!$A$2:$C$302,2,0),0)+IFERROR(VLOOKUP(A169,'#8 IH Results'!$A$2:$C$302,2,0),0)+IFERROR(VLOOKUP(A169,'#7 IH Results'!$A$2:$C$302,2,0),0)+IFERROR(VLOOKUP(A169,'#6 IH Results'!$A$2:$C$302,2,0),0)+IFERROR(VLOOKUP(A169,'#5 IH Results'!$A$2:$C$303,2,0),0)+IFERROR(VLOOKUP(A169,'#4 IH Results'!$A$2:$C$300,2,0),0)+IFERROR(VLOOKUP(A169,'#3 IH Results'!$A$2:$C$101,2,0),0)+IFERROR(VLOOKUP(A169,'#2 IH Results'!$A$2:$C$101,2,0),0)+IFERROR(VLOOKUP(A169,'#1 IH Results'!$A$2:$C$101,2,0),0)+IFERROR(VLOOKUP(A169,'#0 IH Results'!$A$3:$C$102,2,0),0)</f>
        <v>4.565946142</v>
      </c>
    </row>
    <row r="170">
      <c r="A170" s="8" t="s">
        <v>170</v>
      </c>
      <c r="B170" s="6">
        <f>IFERROR(VLOOKUP(A170,'#17 IH Results'!$A$2:$C$301,2,0),0)+IFERROR(VLOOKUP(A170,'#16 IH Results'!$A$2:$C$301,2,0),0)+IFERROR(VLOOKUP(A170,'#15 IH Results'!$A$2:$C$301,2,0),0)+IFERROR(VLOOKUP(A170,'#14 IH Results'!$A$2:$C$302,2,0),0)+IFERROR(VLOOKUP(A170,'#13 IH Results'!$A$2:$C$302,2,0),0)+IFERROR(VLOOKUP(A170,'#12 IH Results'!$A$2:$C$302,2,0),0)+IFERROR(VLOOKUP(A170,'#11 IH Results'!$A$2:$C$302,2,0),0)+IFERROR(VLOOKUP(A170,'#10 IH Results'!$A$2:$C$302,2,0),0)+IFERROR(VLOOKUP(A170,'#9 IH Results'!$A$2:$C$302,2,0),0)+IFERROR(VLOOKUP(A170,'#8 IH Results'!$A$2:$C$302,2,0),0)+IFERROR(VLOOKUP(A170,'#7 IH Results'!$A$2:$C$302,2,0),0)+IFERROR(VLOOKUP(A170,'#6 IH Results'!$A$2:$C$302,2,0),0)+IFERROR(VLOOKUP(A170,'#5 IH Results'!$A$2:$C$303,2,0),0)+IFERROR(VLOOKUP(A170,'#4 IH Results'!$A$2:$C$300,2,0),0)+IFERROR(VLOOKUP(A170,'#3 IH Results'!$A$2:$C$101,2,0),0)+IFERROR(VLOOKUP(A170,'#2 IH Results'!$A$2:$C$101,2,0),0)+IFERROR(VLOOKUP(A170,'#1 IH Results'!$A$2:$C$101,2,0),0)+IFERROR(VLOOKUP(A170,'#0 IH Results'!$A$3:$C$102,2,0),0)</f>
        <v>4.534796888</v>
      </c>
    </row>
    <row r="171">
      <c r="A171" s="8" t="s">
        <v>171</v>
      </c>
      <c r="B171" s="6">
        <f>IFERROR(VLOOKUP(A171,'#17 IH Results'!$A$2:$C$301,2,0),0)+IFERROR(VLOOKUP(A171,'#16 IH Results'!$A$2:$C$301,2,0),0)+IFERROR(VLOOKUP(A171,'#15 IH Results'!$A$2:$C$301,2,0),0)+IFERROR(VLOOKUP(A171,'#14 IH Results'!$A$2:$C$302,2,0),0)+IFERROR(VLOOKUP(A171,'#13 IH Results'!$A$2:$C$302,2,0),0)+IFERROR(VLOOKUP(A171,'#12 IH Results'!$A$2:$C$302,2,0),0)+IFERROR(VLOOKUP(A171,'#11 IH Results'!$A$2:$C$302,2,0),0)+IFERROR(VLOOKUP(A171,'#10 IH Results'!$A$2:$C$302,2,0),0)+IFERROR(VLOOKUP(A171,'#9 IH Results'!$A$2:$C$302,2,0),0)+IFERROR(VLOOKUP(A171,'#8 IH Results'!$A$2:$C$302,2,0),0)+IFERROR(VLOOKUP(A171,'#7 IH Results'!$A$2:$C$302,2,0),0)+IFERROR(VLOOKUP(A171,'#6 IH Results'!$A$2:$C$302,2,0),0)+IFERROR(VLOOKUP(A171,'#5 IH Results'!$A$2:$C$303,2,0),0)+IFERROR(VLOOKUP(A171,'#4 IH Results'!$A$2:$C$300,2,0),0)+IFERROR(VLOOKUP(A171,'#3 IH Results'!$A$2:$C$101,2,0),0)+IFERROR(VLOOKUP(A171,'#2 IH Results'!$A$2:$C$101,2,0),0)+IFERROR(VLOOKUP(A171,'#1 IH Results'!$A$2:$C$101,2,0),0)+IFERROR(VLOOKUP(A171,'#0 IH Results'!$A$3:$C$102,2,0),0)</f>
        <v>4.398664927</v>
      </c>
    </row>
    <row r="172">
      <c r="A172" s="8" t="s">
        <v>172</v>
      </c>
      <c r="B172" s="6">
        <f>IFERROR(VLOOKUP(A172,'#17 IH Results'!$A$2:$C$301,2,0),0)+IFERROR(VLOOKUP(A172,'#16 IH Results'!$A$2:$C$301,2,0),0)+IFERROR(VLOOKUP(A172,'#15 IH Results'!$A$2:$C$301,2,0),0)+IFERROR(VLOOKUP(A172,'#14 IH Results'!$A$2:$C$302,2,0),0)+IFERROR(VLOOKUP(A172,'#13 IH Results'!$A$2:$C$302,2,0),0)+IFERROR(VLOOKUP(A172,'#12 IH Results'!$A$2:$C$302,2,0),0)+IFERROR(VLOOKUP(A172,'#11 IH Results'!$A$2:$C$302,2,0),0)+IFERROR(VLOOKUP(A172,'#10 IH Results'!$A$2:$C$302,2,0),0)+IFERROR(VLOOKUP(A172,'#9 IH Results'!$A$2:$C$302,2,0),0)+IFERROR(VLOOKUP(A172,'#8 IH Results'!$A$2:$C$302,2,0),0)+IFERROR(VLOOKUP(A172,'#7 IH Results'!$A$2:$C$302,2,0),0)+IFERROR(VLOOKUP(A172,'#6 IH Results'!$A$2:$C$302,2,0),0)+IFERROR(VLOOKUP(A172,'#5 IH Results'!$A$2:$C$303,2,0),0)+IFERROR(VLOOKUP(A172,'#4 IH Results'!$A$2:$C$300,2,0),0)+IFERROR(VLOOKUP(A172,'#3 IH Results'!$A$2:$C$101,2,0),0)+IFERROR(VLOOKUP(A172,'#2 IH Results'!$A$2:$C$101,2,0),0)+IFERROR(VLOOKUP(A172,'#1 IH Results'!$A$2:$C$101,2,0),0)+IFERROR(VLOOKUP(A172,'#0 IH Results'!$A$3:$C$102,2,0),0)</f>
        <v>4.33036628</v>
      </c>
    </row>
    <row r="173">
      <c r="A173" s="8" t="s">
        <v>173</v>
      </c>
      <c r="B173" s="6">
        <f>IFERROR(VLOOKUP(A173,'#17 IH Results'!$A$2:$C$301,2,0),0)+IFERROR(VLOOKUP(A173,'#16 IH Results'!$A$2:$C$301,2,0),0)+IFERROR(VLOOKUP(A173,'#15 IH Results'!$A$2:$C$301,2,0),0)+IFERROR(VLOOKUP(A173,'#14 IH Results'!$A$2:$C$302,2,0),0)+IFERROR(VLOOKUP(A173,'#13 IH Results'!$A$2:$C$302,2,0),0)+IFERROR(VLOOKUP(A173,'#12 IH Results'!$A$2:$C$302,2,0),0)+IFERROR(VLOOKUP(A173,'#11 IH Results'!$A$2:$C$302,2,0),0)+IFERROR(VLOOKUP(A173,'#10 IH Results'!$A$2:$C$302,2,0),0)+IFERROR(VLOOKUP(A173,'#9 IH Results'!$A$2:$C$302,2,0),0)+IFERROR(VLOOKUP(A173,'#8 IH Results'!$A$2:$C$302,2,0),0)+IFERROR(VLOOKUP(A173,'#7 IH Results'!$A$2:$C$302,2,0),0)+IFERROR(VLOOKUP(A173,'#6 IH Results'!$A$2:$C$302,2,0),0)+IFERROR(VLOOKUP(A173,'#5 IH Results'!$A$2:$C$303,2,0),0)+IFERROR(VLOOKUP(A173,'#4 IH Results'!$A$2:$C$300,2,0),0)+IFERROR(VLOOKUP(A173,'#3 IH Results'!$A$2:$C$101,2,0),0)+IFERROR(VLOOKUP(A173,'#2 IH Results'!$A$2:$C$101,2,0),0)+IFERROR(VLOOKUP(A173,'#1 IH Results'!$A$2:$C$101,2,0),0)+IFERROR(VLOOKUP(A173,'#0 IH Results'!$A$3:$C$102,2,0),0)</f>
        <v>4.317830185</v>
      </c>
    </row>
    <row r="174">
      <c r="A174" s="8" t="s">
        <v>174</v>
      </c>
      <c r="B174" s="6">
        <f>IFERROR(VLOOKUP(A174,'#17 IH Results'!$A$2:$C$301,2,0),0)+IFERROR(VLOOKUP(A174,'#16 IH Results'!$A$2:$C$301,2,0),0)+IFERROR(VLOOKUP(A174,'#15 IH Results'!$A$2:$C$301,2,0),0)+IFERROR(VLOOKUP(A174,'#14 IH Results'!$A$2:$C$302,2,0),0)+IFERROR(VLOOKUP(A174,'#13 IH Results'!$A$2:$C$302,2,0),0)+IFERROR(VLOOKUP(A174,'#12 IH Results'!$A$2:$C$302,2,0),0)+IFERROR(VLOOKUP(A174,'#11 IH Results'!$A$2:$C$302,2,0),0)+IFERROR(VLOOKUP(A174,'#10 IH Results'!$A$2:$C$302,2,0),0)+IFERROR(VLOOKUP(A174,'#9 IH Results'!$A$2:$C$302,2,0),0)+IFERROR(VLOOKUP(A174,'#8 IH Results'!$A$2:$C$302,2,0),0)+IFERROR(VLOOKUP(A174,'#7 IH Results'!$A$2:$C$302,2,0),0)+IFERROR(VLOOKUP(A174,'#6 IH Results'!$A$2:$C$302,2,0),0)+IFERROR(VLOOKUP(A174,'#5 IH Results'!$A$2:$C$303,2,0),0)+IFERROR(VLOOKUP(A174,'#4 IH Results'!$A$2:$C$300,2,0),0)+IFERROR(VLOOKUP(A174,'#3 IH Results'!$A$2:$C$101,2,0),0)+IFERROR(VLOOKUP(A174,'#2 IH Results'!$A$2:$C$101,2,0),0)+IFERROR(VLOOKUP(A174,'#1 IH Results'!$A$2:$C$101,2,0),0)+IFERROR(VLOOKUP(A174,'#0 IH Results'!$A$3:$C$102,2,0),0)</f>
        <v>4.263119747</v>
      </c>
    </row>
    <row r="175">
      <c r="A175" s="12" t="s">
        <v>175</v>
      </c>
      <c r="B175" s="6">
        <f>IFERROR(VLOOKUP(A175,'#17 IH Results'!$A$2:$C$301,2,0),0)+IFERROR(VLOOKUP(A175,'#16 IH Results'!$A$2:$C$301,2,0),0)+IFERROR(VLOOKUP(A175,'#15 IH Results'!$A$2:$C$301,2,0),0)+IFERROR(VLOOKUP(A175,'#14 IH Results'!$A$2:$C$302,2,0),0)+IFERROR(VLOOKUP(A175,'#13 IH Results'!$A$2:$C$302,2,0),0)+IFERROR(VLOOKUP(A175,'#12 IH Results'!$A$2:$C$302,2,0),0)+IFERROR(VLOOKUP(A175,'#11 IH Results'!$A$2:$C$302,2,0),0)+IFERROR(VLOOKUP(A175,'#10 IH Results'!$A$2:$C$302,2,0),0)+IFERROR(VLOOKUP(A175,'#9 IH Results'!$A$2:$C$302,2,0),0)+IFERROR(VLOOKUP(A175,'#8 IH Results'!$A$2:$C$302,2,0),0)+IFERROR(VLOOKUP(A175,'#7 IH Results'!$A$2:$C$302,2,0),0)+IFERROR(VLOOKUP(A175,'#6 IH Results'!$A$2:$C$302,2,0),0)+IFERROR(VLOOKUP(A175,'#5 IH Results'!$A$2:$C$303,2,0),0)+IFERROR(VLOOKUP(A175,'#4 IH Results'!$A$2:$C$300,2,0),0)+IFERROR(VLOOKUP(A175,'#3 IH Results'!$A$2:$C$101,2,0),0)+IFERROR(VLOOKUP(A175,'#2 IH Results'!$A$2:$C$101,2,0),0)+IFERROR(VLOOKUP(A175,'#1 IH Results'!$A$2:$C$101,2,0),0)+IFERROR(VLOOKUP(A175,'#0 IH Results'!$A$3:$C$102,2,0),0)</f>
        <v>4.213925481</v>
      </c>
    </row>
    <row r="176">
      <c r="A176" s="12" t="s">
        <v>176</v>
      </c>
      <c r="B176" s="6">
        <f>IFERROR(VLOOKUP(A176,'#17 IH Results'!$A$2:$C$301,2,0),0)+IFERROR(VLOOKUP(A176,'#16 IH Results'!$A$2:$C$301,2,0),0)+IFERROR(VLOOKUP(A176,'#15 IH Results'!$A$2:$C$301,2,0),0)+IFERROR(VLOOKUP(A176,'#14 IH Results'!$A$2:$C$302,2,0),0)+IFERROR(VLOOKUP(A176,'#13 IH Results'!$A$2:$C$302,2,0),0)+IFERROR(VLOOKUP(A176,'#12 IH Results'!$A$2:$C$302,2,0),0)+IFERROR(VLOOKUP(A176,'#11 IH Results'!$A$2:$C$302,2,0),0)+IFERROR(VLOOKUP(A176,'#10 IH Results'!$A$2:$C$302,2,0),0)+IFERROR(VLOOKUP(A176,'#9 IH Results'!$A$2:$C$302,2,0),0)+IFERROR(VLOOKUP(A176,'#8 IH Results'!$A$2:$C$302,2,0),0)+IFERROR(VLOOKUP(A176,'#7 IH Results'!$A$2:$C$302,2,0),0)+IFERROR(VLOOKUP(A176,'#6 IH Results'!$A$2:$C$302,2,0),0)+IFERROR(VLOOKUP(A176,'#5 IH Results'!$A$2:$C$303,2,0),0)+IFERROR(VLOOKUP(A176,'#4 IH Results'!$A$2:$C$300,2,0),0)+IFERROR(VLOOKUP(A176,'#3 IH Results'!$A$2:$C$101,2,0),0)+IFERROR(VLOOKUP(A176,'#2 IH Results'!$A$2:$C$101,2,0),0)+IFERROR(VLOOKUP(A176,'#1 IH Results'!$A$2:$C$101,2,0),0)+IFERROR(VLOOKUP(A176,'#0 IH Results'!$A$3:$C$102,2,0),0)</f>
        <v>4.208798528</v>
      </c>
    </row>
    <row r="177">
      <c r="A177" s="8" t="s">
        <v>177</v>
      </c>
      <c r="B177" s="6">
        <f>IFERROR(VLOOKUP(A177,'#17 IH Results'!$A$2:$C$301,2,0),0)+IFERROR(VLOOKUP(A177,'#16 IH Results'!$A$2:$C$301,2,0),0)+IFERROR(VLOOKUP(A177,'#15 IH Results'!$A$2:$C$301,2,0),0)+IFERROR(VLOOKUP(A177,'#14 IH Results'!$A$2:$C$302,2,0),0)+IFERROR(VLOOKUP(A177,'#13 IH Results'!$A$2:$C$302,2,0),0)+IFERROR(VLOOKUP(A177,'#12 IH Results'!$A$2:$C$302,2,0),0)+IFERROR(VLOOKUP(A177,'#11 IH Results'!$A$2:$C$302,2,0),0)+IFERROR(VLOOKUP(A177,'#10 IH Results'!$A$2:$C$302,2,0),0)+IFERROR(VLOOKUP(A177,'#9 IH Results'!$A$2:$C$302,2,0),0)+IFERROR(VLOOKUP(A177,'#8 IH Results'!$A$2:$C$302,2,0),0)+IFERROR(VLOOKUP(A177,'#7 IH Results'!$A$2:$C$302,2,0),0)+IFERROR(VLOOKUP(A177,'#6 IH Results'!$A$2:$C$302,2,0),0)+IFERROR(VLOOKUP(A177,'#5 IH Results'!$A$2:$C$303,2,0),0)+IFERROR(VLOOKUP(A177,'#4 IH Results'!$A$2:$C$300,2,0),0)+IFERROR(VLOOKUP(A177,'#3 IH Results'!$A$2:$C$101,2,0),0)+IFERROR(VLOOKUP(A177,'#2 IH Results'!$A$2:$C$101,2,0),0)+IFERROR(VLOOKUP(A177,'#1 IH Results'!$A$2:$C$101,2,0),0)+IFERROR(VLOOKUP(A177,'#0 IH Results'!$A$3:$C$102,2,0),0)</f>
        <v>4.065751791</v>
      </c>
    </row>
    <row r="178">
      <c r="A178" s="8" t="s">
        <v>178</v>
      </c>
      <c r="B178" s="6">
        <f>IFERROR(VLOOKUP(A178,'#17 IH Results'!$A$2:$C$301,2,0),0)+IFERROR(VLOOKUP(A178,'#16 IH Results'!$A$2:$C$301,2,0),0)+IFERROR(VLOOKUP(A178,'#15 IH Results'!$A$2:$C$301,2,0),0)+IFERROR(VLOOKUP(A178,'#14 IH Results'!$A$2:$C$302,2,0),0)+IFERROR(VLOOKUP(A178,'#13 IH Results'!$A$2:$C$302,2,0),0)+IFERROR(VLOOKUP(A178,'#12 IH Results'!$A$2:$C$302,2,0),0)+IFERROR(VLOOKUP(A178,'#11 IH Results'!$A$2:$C$302,2,0),0)+IFERROR(VLOOKUP(A178,'#10 IH Results'!$A$2:$C$302,2,0),0)+IFERROR(VLOOKUP(A178,'#9 IH Results'!$A$2:$C$302,2,0),0)+IFERROR(VLOOKUP(A178,'#8 IH Results'!$A$2:$C$302,2,0),0)+IFERROR(VLOOKUP(A178,'#7 IH Results'!$A$2:$C$302,2,0),0)+IFERROR(VLOOKUP(A178,'#6 IH Results'!$A$2:$C$302,2,0),0)+IFERROR(VLOOKUP(A178,'#5 IH Results'!$A$2:$C$303,2,0),0)+IFERROR(VLOOKUP(A178,'#4 IH Results'!$A$2:$C$300,2,0),0)+IFERROR(VLOOKUP(A178,'#3 IH Results'!$A$2:$C$101,2,0),0)+IFERROR(VLOOKUP(A178,'#2 IH Results'!$A$2:$C$101,2,0),0)+IFERROR(VLOOKUP(A178,'#1 IH Results'!$A$2:$C$101,2,0),0)+IFERROR(VLOOKUP(A178,'#0 IH Results'!$A$3:$C$102,2,0),0)</f>
        <v>3.990468019</v>
      </c>
    </row>
    <row r="179">
      <c r="A179" s="13" t="s">
        <v>179</v>
      </c>
      <c r="B179" s="6">
        <f>IFERROR(VLOOKUP(A179,'#17 IH Results'!$A$2:$C$301,2,0),0)+IFERROR(VLOOKUP(A179,'#16 IH Results'!$A$2:$C$301,2,0),0)+IFERROR(VLOOKUP(A179,'#15 IH Results'!$A$2:$C$301,2,0),0)+IFERROR(VLOOKUP(A179,'#14 IH Results'!$A$2:$C$302,2,0),0)+IFERROR(VLOOKUP(A179,'#13 IH Results'!$A$2:$C$302,2,0),0)+IFERROR(VLOOKUP(A179,'#12 IH Results'!$A$2:$C$302,2,0),0)+IFERROR(VLOOKUP(A179,'#11 IH Results'!$A$2:$C$302,2,0),0)+IFERROR(VLOOKUP(A179,'#10 IH Results'!$A$2:$C$302,2,0),0)+IFERROR(VLOOKUP(A179,'#9 IH Results'!$A$2:$C$302,2,0),0)+IFERROR(VLOOKUP(A179,'#8 IH Results'!$A$2:$C$302,2,0),0)+IFERROR(VLOOKUP(A179,'#7 IH Results'!$A$2:$C$302,2,0),0)+IFERROR(VLOOKUP(A179,'#6 IH Results'!$A$2:$C$302,2,0),0)+IFERROR(VLOOKUP(A179,'#5 IH Results'!$A$2:$C$303,2,0),0)+IFERROR(VLOOKUP(A179,'#4 IH Results'!$A$2:$C$300,2,0),0)+IFERROR(VLOOKUP(A179,'#3 IH Results'!$A$2:$C$101,2,0),0)+IFERROR(VLOOKUP(A179,'#2 IH Results'!$A$2:$C$101,2,0),0)+IFERROR(VLOOKUP(A179,'#1 IH Results'!$A$2:$C$101,2,0),0)+IFERROR(VLOOKUP(A179,'#0 IH Results'!$A$3:$C$102,2,0),0)</f>
        <v>3.966123491</v>
      </c>
    </row>
    <row r="180">
      <c r="A180" s="8" t="s">
        <v>180</v>
      </c>
      <c r="B180" s="6">
        <f>IFERROR(VLOOKUP(A180,'#17 IH Results'!$A$2:$C$301,2,0),0)+IFERROR(VLOOKUP(A180,'#16 IH Results'!$A$2:$C$301,2,0),0)+IFERROR(VLOOKUP(A180,'#15 IH Results'!$A$2:$C$301,2,0),0)+IFERROR(VLOOKUP(A180,'#14 IH Results'!$A$2:$C$302,2,0),0)+IFERROR(VLOOKUP(A180,'#13 IH Results'!$A$2:$C$302,2,0),0)+IFERROR(VLOOKUP(A180,'#12 IH Results'!$A$2:$C$302,2,0),0)+IFERROR(VLOOKUP(A180,'#11 IH Results'!$A$2:$C$302,2,0),0)+IFERROR(VLOOKUP(A180,'#10 IH Results'!$A$2:$C$302,2,0),0)+IFERROR(VLOOKUP(A180,'#9 IH Results'!$A$2:$C$302,2,0),0)+IFERROR(VLOOKUP(A180,'#8 IH Results'!$A$2:$C$302,2,0),0)+IFERROR(VLOOKUP(A180,'#7 IH Results'!$A$2:$C$302,2,0),0)+IFERROR(VLOOKUP(A180,'#6 IH Results'!$A$2:$C$302,2,0),0)+IFERROR(VLOOKUP(A180,'#5 IH Results'!$A$2:$C$303,2,0),0)+IFERROR(VLOOKUP(A180,'#4 IH Results'!$A$2:$C$300,2,0),0)+IFERROR(VLOOKUP(A180,'#3 IH Results'!$A$2:$C$101,2,0),0)+IFERROR(VLOOKUP(A180,'#2 IH Results'!$A$2:$C$101,2,0),0)+IFERROR(VLOOKUP(A180,'#1 IH Results'!$A$2:$C$101,2,0),0)+IFERROR(VLOOKUP(A180,'#0 IH Results'!$A$3:$C$102,2,0),0)</f>
        <v>3.920019712</v>
      </c>
    </row>
    <row r="181">
      <c r="A181" s="8" t="s">
        <v>181</v>
      </c>
      <c r="B181" s="6">
        <f>IFERROR(VLOOKUP(A181,'#17 IH Results'!$A$2:$C$301,2,0),0)+IFERROR(VLOOKUP(A181,'#16 IH Results'!$A$2:$C$301,2,0),0)+IFERROR(VLOOKUP(A181,'#15 IH Results'!$A$2:$C$301,2,0),0)+IFERROR(VLOOKUP(A181,'#14 IH Results'!$A$2:$C$302,2,0),0)+IFERROR(VLOOKUP(A181,'#13 IH Results'!$A$2:$C$302,2,0),0)+IFERROR(VLOOKUP(A181,'#12 IH Results'!$A$2:$C$302,2,0),0)+IFERROR(VLOOKUP(A181,'#11 IH Results'!$A$2:$C$302,2,0),0)+IFERROR(VLOOKUP(A181,'#10 IH Results'!$A$2:$C$302,2,0),0)+IFERROR(VLOOKUP(A181,'#9 IH Results'!$A$2:$C$302,2,0),0)+IFERROR(VLOOKUP(A181,'#8 IH Results'!$A$2:$C$302,2,0),0)+IFERROR(VLOOKUP(A181,'#7 IH Results'!$A$2:$C$302,2,0),0)+IFERROR(VLOOKUP(A181,'#6 IH Results'!$A$2:$C$302,2,0),0)+IFERROR(VLOOKUP(A181,'#5 IH Results'!$A$2:$C$303,2,0),0)+IFERROR(VLOOKUP(A181,'#4 IH Results'!$A$2:$C$300,2,0),0)+IFERROR(VLOOKUP(A181,'#3 IH Results'!$A$2:$C$101,2,0),0)+IFERROR(VLOOKUP(A181,'#2 IH Results'!$A$2:$C$101,2,0),0)+IFERROR(VLOOKUP(A181,'#1 IH Results'!$A$2:$C$101,2,0),0)+IFERROR(VLOOKUP(A181,'#0 IH Results'!$A$3:$C$102,2,0),0)</f>
        <v>3.884220995</v>
      </c>
    </row>
    <row r="182">
      <c r="A182" s="8" t="s">
        <v>182</v>
      </c>
      <c r="B182" s="6">
        <f>IFERROR(VLOOKUP(A182,'#17 IH Results'!$A$2:$C$301,2,0),0)+IFERROR(VLOOKUP(A182,'#16 IH Results'!$A$2:$C$301,2,0),0)+IFERROR(VLOOKUP(A182,'#15 IH Results'!$A$2:$C$301,2,0),0)+IFERROR(VLOOKUP(A182,'#14 IH Results'!$A$2:$C$302,2,0),0)+IFERROR(VLOOKUP(A182,'#13 IH Results'!$A$2:$C$302,2,0),0)+IFERROR(VLOOKUP(A182,'#12 IH Results'!$A$2:$C$302,2,0),0)+IFERROR(VLOOKUP(A182,'#11 IH Results'!$A$2:$C$302,2,0),0)+IFERROR(VLOOKUP(A182,'#10 IH Results'!$A$2:$C$302,2,0),0)+IFERROR(VLOOKUP(A182,'#9 IH Results'!$A$2:$C$302,2,0),0)+IFERROR(VLOOKUP(A182,'#8 IH Results'!$A$2:$C$302,2,0),0)+IFERROR(VLOOKUP(A182,'#7 IH Results'!$A$2:$C$302,2,0),0)+IFERROR(VLOOKUP(A182,'#6 IH Results'!$A$2:$C$302,2,0),0)+IFERROR(VLOOKUP(A182,'#5 IH Results'!$A$2:$C$303,2,0),0)+IFERROR(VLOOKUP(A182,'#4 IH Results'!$A$2:$C$300,2,0),0)+IFERROR(VLOOKUP(A182,'#3 IH Results'!$A$2:$C$101,2,0),0)+IFERROR(VLOOKUP(A182,'#2 IH Results'!$A$2:$C$101,2,0),0)+IFERROR(VLOOKUP(A182,'#1 IH Results'!$A$2:$C$101,2,0),0)+IFERROR(VLOOKUP(A182,'#0 IH Results'!$A$3:$C$102,2,0),0)</f>
        <v>3.830710858</v>
      </c>
    </row>
    <row r="183">
      <c r="A183" s="8" t="s">
        <v>183</v>
      </c>
      <c r="B183" s="6">
        <f>IFERROR(VLOOKUP(A183,'#17 IH Results'!$A$2:$C$301,2,0),0)+IFERROR(VLOOKUP(A183,'#16 IH Results'!$A$2:$C$301,2,0),0)+IFERROR(VLOOKUP(A183,'#15 IH Results'!$A$2:$C$301,2,0),0)+IFERROR(VLOOKUP(A183,'#14 IH Results'!$A$2:$C$302,2,0),0)+IFERROR(VLOOKUP(A183,'#13 IH Results'!$A$2:$C$302,2,0),0)+IFERROR(VLOOKUP(A183,'#12 IH Results'!$A$2:$C$302,2,0),0)+IFERROR(VLOOKUP(A183,'#11 IH Results'!$A$2:$C$302,2,0),0)+IFERROR(VLOOKUP(A183,'#10 IH Results'!$A$2:$C$302,2,0),0)+IFERROR(VLOOKUP(A183,'#9 IH Results'!$A$2:$C$302,2,0),0)+IFERROR(VLOOKUP(A183,'#8 IH Results'!$A$2:$C$302,2,0),0)+IFERROR(VLOOKUP(A183,'#7 IH Results'!$A$2:$C$302,2,0),0)+IFERROR(VLOOKUP(A183,'#6 IH Results'!$A$2:$C$302,2,0),0)+IFERROR(VLOOKUP(A183,'#5 IH Results'!$A$2:$C$303,2,0),0)+IFERROR(VLOOKUP(A183,'#4 IH Results'!$A$2:$C$300,2,0),0)+IFERROR(VLOOKUP(A183,'#3 IH Results'!$A$2:$C$101,2,0),0)+IFERROR(VLOOKUP(A183,'#2 IH Results'!$A$2:$C$101,2,0),0)+IFERROR(VLOOKUP(A183,'#1 IH Results'!$A$2:$C$101,2,0),0)+IFERROR(VLOOKUP(A183,'#0 IH Results'!$A$3:$C$102,2,0),0)</f>
        <v>3.770943745</v>
      </c>
    </row>
    <row r="184">
      <c r="A184" s="8" t="s">
        <v>184</v>
      </c>
      <c r="B184" s="6">
        <f>IFERROR(VLOOKUP(A184,'#17 IH Results'!$A$2:$C$301,2,0),0)+IFERROR(VLOOKUP(A184,'#16 IH Results'!$A$2:$C$301,2,0),0)+IFERROR(VLOOKUP(A184,'#15 IH Results'!$A$2:$C$301,2,0),0)+IFERROR(VLOOKUP(A184,'#14 IH Results'!$A$2:$C$302,2,0),0)+IFERROR(VLOOKUP(A184,'#13 IH Results'!$A$2:$C$302,2,0),0)+IFERROR(VLOOKUP(A184,'#12 IH Results'!$A$2:$C$302,2,0),0)+IFERROR(VLOOKUP(A184,'#11 IH Results'!$A$2:$C$302,2,0),0)+IFERROR(VLOOKUP(A184,'#10 IH Results'!$A$2:$C$302,2,0),0)+IFERROR(VLOOKUP(A184,'#9 IH Results'!$A$2:$C$302,2,0),0)+IFERROR(VLOOKUP(A184,'#8 IH Results'!$A$2:$C$302,2,0),0)+IFERROR(VLOOKUP(A184,'#7 IH Results'!$A$2:$C$302,2,0),0)+IFERROR(VLOOKUP(A184,'#6 IH Results'!$A$2:$C$302,2,0),0)+IFERROR(VLOOKUP(A184,'#5 IH Results'!$A$2:$C$303,2,0),0)+IFERROR(VLOOKUP(A184,'#4 IH Results'!$A$2:$C$300,2,0),0)+IFERROR(VLOOKUP(A184,'#3 IH Results'!$A$2:$C$101,2,0),0)+IFERROR(VLOOKUP(A184,'#2 IH Results'!$A$2:$C$101,2,0),0)+IFERROR(VLOOKUP(A184,'#1 IH Results'!$A$2:$C$101,2,0),0)+IFERROR(VLOOKUP(A184,'#0 IH Results'!$A$3:$C$102,2,0),0)</f>
        <v>3.739579903</v>
      </c>
    </row>
    <row r="185">
      <c r="A185" s="8" t="s">
        <v>185</v>
      </c>
      <c r="B185" s="6">
        <f>IFERROR(VLOOKUP(A185,'#17 IH Results'!$A$2:$C$301,2,0),0)+IFERROR(VLOOKUP(A185,'#16 IH Results'!$A$2:$C$301,2,0),0)+IFERROR(VLOOKUP(A185,'#15 IH Results'!$A$2:$C$301,2,0),0)+IFERROR(VLOOKUP(A185,'#14 IH Results'!$A$2:$C$302,2,0),0)+IFERROR(VLOOKUP(A185,'#13 IH Results'!$A$2:$C$302,2,0),0)+IFERROR(VLOOKUP(A185,'#12 IH Results'!$A$2:$C$302,2,0),0)+IFERROR(VLOOKUP(A185,'#11 IH Results'!$A$2:$C$302,2,0),0)+IFERROR(VLOOKUP(A185,'#10 IH Results'!$A$2:$C$302,2,0),0)+IFERROR(VLOOKUP(A185,'#9 IH Results'!$A$2:$C$302,2,0),0)+IFERROR(VLOOKUP(A185,'#8 IH Results'!$A$2:$C$302,2,0),0)+IFERROR(VLOOKUP(A185,'#7 IH Results'!$A$2:$C$302,2,0),0)+IFERROR(VLOOKUP(A185,'#6 IH Results'!$A$2:$C$302,2,0),0)+IFERROR(VLOOKUP(A185,'#5 IH Results'!$A$2:$C$303,2,0),0)+IFERROR(VLOOKUP(A185,'#4 IH Results'!$A$2:$C$300,2,0),0)+IFERROR(VLOOKUP(A185,'#3 IH Results'!$A$2:$C$101,2,0),0)+IFERROR(VLOOKUP(A185,'#2 IH Results'!$A$2:$C$101,2,0),0)+IFERROR(VLOOKUP(A185,'#1 IH Results'!$A$2:$C$101,2,0),0)+IFERROR(VLOOKUP(A185,'#0 IH Results'!$A$3:$C$102,2,0),0)</f>
        <v>3.631472528</v>
      </c>
    </row>
    <row r="186">
      <c r="A186" s="8" t="s">
        <v>186</v>
      </c>
      <c r="B186" s="6">
        <f>IFERROR(VLOOKUP(A186,'#17 IH Results'!$A$2:$C$301,2,0),0)+IFERROR(VLOOKUP(A186,'#16 IH Results'!$A$2:$C$301,2,0),0)+IFERROR(VLOOKUP(A186,'#15 IH Results'!$A$2:$C$301,2,0),0)+IFERROR(VLOOKUP(A186,'#14 IH Results'!$A$2:$C$302,2,0),0)+IFERROR(VLOOKUP(A186,'#13 IH Results'!$A$2:$C$302,2,0),0)+IFERROR(VLOOKUP(A186,'#12 IH Results'!$A$2:$C$302,2,0),0)+IFERROR(VLOOKUP(A186,'#11 IH Results'!$A$2:$C$302,2,0),0)+IFERROR(VLOOKUP(A186,'#10 IH Results'!$A$2:$C$302,2,0),0)+IFERROR(VLOOKUP(A186,'#9 IH Results'!$A$2:$C$302,2,0),0)+IFERROR(VLOOKUP(A186,'#8 IH Results'!$A$2:$C$302,2,0),0)+IFERROR(VLOOKUP(A186,'#7 IH Results'!$A$2:$C$302,2,0),0)+IFERROR(VLOOKUP(A186,'#6 IH Results'!$A$2:$C$302,2,0),0)+IFERROR(VLOOKUP(A186,'#5 IH Results'!$A$2:$C$303,2,0),0)+IFERROR(VLOOKUP(A186,'#4 IH Results'!$A$2:$C$300,2,0),0)+IFERROR(VLOOKUP(A186,'#3 IH Results'!$A$2:$C$101,2,0),0)+IFERROR(VLOOKUP(A186,'#2 IH Results'!$A$2:$C$101,2,0),0)+IFERROR(VLOOKUP(A186,'#1 IH Results'!$A$2:$C$101,2,0),0)+IFERROR(VLOOKUP(A186,'#0 IH Results'!$A$3:$C$102,2,0),0)</f>
        <v>3.588207798</v>
      </c>
    </row>
    <row r="187">
      <c r="A187" s="8" t="s">
        <v>187</v>
      </c>
      <c r="B187" s="6">
        <f>IFERROR(VLOOKUP(A187,'#17 IH Results'!$A$2:$C$301,2,0),0)+IFERROR(VLOOKUP(A187,'#16 IH Results'!$A$2:$C$301,2,0),0)+IFERROR(VLOOKUP(A187,'#15 IH Results'!$A$2:$C$301,2,0),0)+IFERROR(VLOOKUP(A187,'#14 IH Results'!$A$2:$C$302,2,0),0)+IFERROR(VLOOKUP(A187,'#13 IH Results'!$A$2:$C$302,2,0),0)+IFERROR(VLOOKUP(A187,'#12 IH Results'!$A$2:$C$302,2,0),0)+IFERROR(VLOOKUP(A187,'#11 IH Results'!$A$2:$C$302,2,0),0)+IFERROR(VLOOKUP(A187,'#10 IH Results'!$A$2:$C$302,2,0),0)+IFERROR(VLOOKUP(A187,'#9 IH Results'!$A$2:$C$302,2,0),0)+IFERROR(VLOOKUP(A187,'#8 IH Results'!$A$2:$C$302,2,0),0)+IFERROR(VLOOKUP(A187,'#7 IH Results'!$A$2:$C$302,2,0),0)+IFERROR(VLOOKUP(A187,'#6 IH Results'!$A$2:$C$302,2,0),0)+IFERROR(VLOOKUP(A187,'#5 IH Results'!$A$2:$C$303,2,0),0)+IFERROR(VLOOKUP(A187,'#4 IH Results'!$A$2:$C$300,2,0),0)+IFERROR(VLOOKUP(A187,'#3 IH Results'!$A$2:$C$101,2,0),0)+IFERROR(VLOOKUP(A187,'#2 IH Results'!$A$2:$C$101,2,0),0)+IFERROR(VLOOKUP(A187,'#1 IH Results'!$A$2:$C$101,2,0),0)+IFERROR(VLOOKUP(A187,'#0 IH Results'!$A$3:$C$102,2,0),0)</f>
        <v>3.584432655</v>
      </c>
    </row>
    <row r="188">
      <c r="A188" s="12" t="s">
        <v>188</v>
      </c>
      <c r="B188" s="6">
        <f>IFERROR(VLOOKUP(A188,'#17 IH Results'!$A$2:$C$301,2,0),0)+IFERROR(VLOOKUP(A188,'#16 IH Results'!$A$2:$C$301,2,0),0)+IFERROR(VLOOKUP(A188,'#15 IH Results'!$A$2:$C$301,2,0),0)+IFERROR(VLOOKUP(A188,'#14 IH Results'!$A$2:$C$302,2,0),0)+IFERROR(VLOOKUP(A188,'#13 IH Results'!$A$2:$C$302,2,0),0)+IFERROR(VLOOKUP(A188,'#12 IH Results'!$A$2:$C$302,2,0),0)+IFERROR(VLOOKUP(A188,'#11 IH Results'!$A$2:$C$302,2,0),0)+IFERROR(VLOOKUP(A188,'#10 IH Results'!$A$2:$C$302,2,0),0)+IFERROR(VLOOKUP(A188,'#9 IH Results'!$A$2:$C$302,2,0),0)+IFERROR(VLOOKUP(A188,'#8 IH Results'!$A$2:$C$302,2,0),0)+IFERROR(VLOOKUP(A188,'#7 IH Results'!$A$2:$C$302,2,0),0)+IFERROR(VLOOKUP(A188,'#6 IH Results'!$A$2:$C$302,2,0),0)+IFERROR(VLOOKUP(A188,'#5 IH Results'!$A$2:$C$303,2,0),0)+IFERROR(VLOOKUP(A188,'#4 IH Results'!$A$2:$C$300,2,0),0)+IFERROR(VLOOKUP(A188,'#3 IH Results'!$A$2:$C$101,2,0),0)+IFERROR(VLOOKUP(A188,'#2 IH Results'!$A$2:$C$101,2,0),0)+IFERROR(VLOOKUP(A188,'#1 IH Results'!$A$2:$C$101,2,0),0)+IFERROR(VLOOKUP(A188,'#0 IH Results'!$A$3:$C$102,2,0),0)</f>
        <v>3.498741416</v>
      </c>
    </row>
    <row r="189">
      <c r="A189" s="8" t="s">
        <v>189</v>
      </c>
      <c r="B189" s="6">
        <f>IFERROR(VLOOKUP(A189,'#17 IH Results'!$A$2:$C$301,2,0),0)+IFERROR(VLOOKUP(A189,'#16 IH Results'!$A$2:$C$301,2,0),0)+IFERROR(VLOOKUP(A189,'#15 IH Results'!$A$2:$C$301,2,0),0)+IFERROR(VLOOKUP(A189,'#14 IH Results'!$A$2:$C$302,2,0),0)+IFERROR(VLOOKUP(A189,'#13 IH Results'!$A$2:$C$302,2,0),0)+IFERROR(VLOOKUP(A189,'#12 IH Results'!$A$2:$C$302,2,0),0)+IFERROR(VLOOKUP(A189,'#11 IH Results'!$A$2:$C$302,2,0),0)+IFERROR(VLOOKUP(A189,'#10 IH Results'!$A$2:$C$302,2,0),0)+IFERROR(VLOOKUP(A189,'#9 IH Results'!$A$2:$C$302,2,0),0)+IFERROR(VLOOKUP(A189,'#8 IH Results'!$A$2:$C$302,2,0),0)+IFERROR(VLOOKUP(A189,'#7 IH Results'!$A$2:$C$302,2,0),0)+IFERROR(VLOOKUP(A189,'#6 IH Results'!$A$2:$C$302,2,0),0)+IFERROR(VLOOKUP(A189,'#5 IH Results'!$A$2:$C$303,2,0),0)+IFERROR(VLOOKUP(A189,'#4 IH Results'!$A$2:$C$300,2,0),0)+IFERROR(VLOOKUP(A189,'#3 IH Results'!$A$2:$C$101,2,0),0)+IFERROR(VLOOKUP(A189,'#2 IH Results'!$A$2:$C$101,2,0),0)+IFERROR(VLOOKUP(A189,'#1 IH Results'!$A$2:$C$101,2,0),0)+IFERROR(VLOOKUP(A189,'#0 IH Results'!$A$3:$C$102,2,0),0)</f>
        <v>3.460194673</v>
      </c>
    </row>
    <row r="190">
      <c r="A190" s="8" t="s">
        <v>190</v>
      </c>
      <c r="B190" s="6">
        <f>IFERROR(VLOOKUP(A190,'#17 IH Results'!$A$2:$C$301,2,0),0)+IFERROR(VLOOKUP(A190,'#16 IH Results'!$A$2:$C$301,2,0),0)+IFERROR(VLOOKUP(A190,'#15 IH Results'!$A$2:$C$301,2,0),0)+IFERROR(VLOOKUP(A190,'#14 IH Results'!$A$2:$C$302,2,0),0)+IFERROR(VLOOKUP(A190,'#13 IH Results'!$A$2:$C$302,2,0),0)+IFERROR(VLOOKUP(A190,'#12 IH Results'!$A$2:$C$302,2,0),0)+IFERROR(VLOOKUP(A190,'#11 IH Results'!$A$2:$C$302,2,0),0)+IFERROR(VLOOKUP(A190,'#10 IH Results'!$A$2:$C$302,2,0),0)+IFERROR(VLOOKUP(A190,'#9 IH Results'!$A$2:$C$302,2,0),0)+IFERROR(VLOOKUP(A190,'#8 IH Results'!$A$2:$C$302,2,0),0)+IFERROR(VLOOKUP(A190,'#7 IH Results'!$A$2:$C$302,2,0),0)+IFERROR(VLOOKUP(A190,'#6 IH Results'!$A$2:$C$302,2,0),0)+IFERROR(VLOOKUP(A190,'#5 IH Results'!$A$2:$C$303,2,0),0)+IFERROR(VLOOKUP(A190,'#4 IH Results'!$A$2:$C$300,2,0),0)+IFERROR(VLOOKUP(A190,'#3 IH Results'!$A$2:$C$101,2,0),0)+IFERROR(VLOOKUP(A190,'#2 IH Results'!$A$2:$C$101,2,0),0)+IFERROR(VLOOKUP(A190,'#1 IH Results'!$A$2:$C$101,2,0),0)+IFERROR(VLOOKUP(A190,'#0 IH Results'!$A$3:$C$102,2,0),0)</f>
        <v>3.449693932</v>
      </c>
    </row>
    <row r="191">
      <c r="A191" s="8" t="s">
        <v>191</v>
      </c>
      <c r="B191" s="6">
        <f>IFERROR(VLOOKUP(A191,'#17 IH Results'!$A$2:$C$301,2,0),0)+IFERROR(VLOOKUP(A191,'#16 IH Results'!$A$2:$C$301,2,0),0)+IFERROR(VLOOKUP(A191,'#15 IH Results'!$A$2:$C$301,2,0),0)+IFERROR(VLOOKUP(A191,'#14 IH Results'!$A$2:$C$302,2,0),0)+IFERROR(VLOOKUP(A191,'#13 IH Results'!$A$2:$C$302,2,0),0)+IFERROR(VLOOKUP(A191,'#12 IH Results'!$A$2:$C$302,2,0),0)+IFERROR(VLOOKUP(A191,'#11 IH Results'!$A$2:$C$302,2,0),0)+IFERROR(VLOOKUP(A191,'#10 IH Results'!$A$2:$C$302,2,0),0)+IFERROR(VLOOKUP(A191,'#9 IH Results'!$A$2:$C$302,2,0),0)+IFERROR(VLOOKUP(A191,'#8 IH Results'!$A$2:$C$302,2,0),0)+IFERROR(VLOOKUP(A191,'#7 IH Results'!$A$2:$C$302,2,0),0)+IFERROR(VLOOKUP(A191,'#6 IH Results'!$A$2:$C$302,2,0),0)+IFERROR(VLOOKUP(A191,'#5 IH Results'!$A$2:$C$303,2,0),0)+IFERROR(VLOOKUP(A191,'#4 IH Results'!$A$2:$C$300,2,0),0)+IFERROR(VLOOKUP(A191,'#3 IH Results'!$A$2:$C$101,2,0),0)+IFERROR(VLOOKUP(A191,'#2 IH Results'!$A$2:$C$101,2,0),0)+IFERROR(VLOOKUP(A191,'#1 IH Results'!$A$2:$C$101,2,0),0)+IFERROR(VLOOKUP(A191,'#0 IH Results'!$A$3:$C$102,2,0),0)</f>
        <v>3.397212824</v>
      </c>
    </row>
    <row r="192">
      <c r="A192" s="8" t="s">
        <v>192</v>
      </c>
      <c r="B192" s="6">
        <f>IFERROR(VLOOKUP(A192,'#17 IH Results'!$A$2:$C$301,2,0),0)+IFERROR(VLOOKUP(A192,'#16 IH Results'!$A$2:$C$301,2,0),0)+IFERROR(VLOOKUP(A192,'#15 IH Results'!$A$2:$C$301,2,0),0)+IFERROR(VLOOKUP(A192,'#14 IH Results'!$A$2:$C$302,2,0),0)+IFERROR(VLOOKUP(A192,'#13 IH Results'!$A$2:$C$302,2,0),0)+IFERROR(VLOOKUP(A192,'#12 IH Results'!$A$2:$C$302,2,0),0)+IFERROR(VLOOKUP(A192,'#11 IH Results'!$A$2:$C$302,2,0),0)+IFERROR(VLOOKUP(A192,'#10 IH Results'!$A$2:$C$302,2,0),0)+IFERROR(VLOOKUP(A192,'#9 IH Results'!$A$2:$C$302,2,0),0)+IFERROR(VLOOKUP(A192,'#8 IH Results'!$A$2:$C$302,2,0),0)+IFERROR(VLOOKUP(A192,'#7 IH Results'!$A$2:$C$302,2,0),0)+IFERROR(VLOOKUP(A192,'#6 IH Results'!$A$2:$C$302,2,0),0)+IFERROR(VLOOKUP(A192,'#5 IH Results'!$A$2:$C$303,2,0),0)+IFERROR(VLOOKUP(A192,'#4 IH Results'!$A$2:$C$300,2,0),0)+IFERROR(VLOOKUP(A192,'#3 IH Results'!$A$2:$C$101,2,0),0)+IFERROR(VLOOKUP(A192,'#2 IH Results'!$A$2:$C$101,2,0),0)+IFERROR(VLOOKUP(A192,'#1 IH Results'!$A$2:$C$101,2,0),0)+IFERROR(VLOOKUP(A192,'#0 IH Results'!$A$3:$C$102,2,0),0)</f>
        <v>3.343350634</v>
      </c>
    </row>
    <row r="193">
      <c r="A193" s="8" t="s">
        <v>193</v>
      </c>
      <c r="B193" s="6">
        <f>IFERROR(VLOOKUP(A193,'#17 IH Results'!$A$2:$C$301,2,0),0)+IFERROR(VLOOKUP(A193,'#16 IH Results'!$A$2:$C$301,2,0),0)+IFERROR(VLOOKUP(A193,'#15 IH Results'!$A$2:$C$301,2,0),0)+IFERROR(VLOOKUP(A193,'#14 IH Results'!$A$2:$C$302,2,0),0)+IFERROR(VLOOKUP(A193,'#13 IH Results'!$A$2:$C$302,2,0),0)+IFERROR(VLOOKUP(A193,'#12 IH Results'!$A$2:$C$302,2,0),0)+IFERROR(VLOOKUP(A193,'#11 IH Results'!$A$2:$C$302,2,0),0)+IFERROR(VLOOKUP(A193,'#10 IH Results'!$A$2:$C$302,2,0),0)+IFERROR(VLOOKUP(A193,'#9 IH Results'!$A$2:$C$302,2,0),0)+IFERROR(VLOOKUP(A193,'#8 IH Results'!$A$2:$C$302,2,0),0)+IFERROR(VLOOKUP(A193,'#7 IH Results'!$A$2:$C$302,2,0),0)+IFERROR(VLOOKUP(A193,'#6 IH Results'!$A$2:$C$302,2,0),0)+IFERROR(VLOOKUP(A193,'#5 IH Results'!$A$2:$C$303,2,0),0)+IFERROR(VLOOKUP(A193,'#4 IH Results'!$A$2:$C$300,2,0),0)+IFERROR(VLOOKUP(A193,'#3 IH Results'!$A$2:$C$101,2,0),0)+IFERROR(VLOOKUP(A193,'#2 IH Results'!$A$2:$C$101,2,0),0)+IFERROR(VLOOKUP(A193,'#1 IH Results'!$A$2:$C$101,2,0),0)+IFERROR(VLOOKUP(A193,'#0 IH Results'!$A$3:$C$102,2,0),0)</f>
        <v>3.310017348</v>
      </c>
    </row>
    <row r="194">
      <c r="A194" s="14" t="s">
        <v>194</v>
      </c>
      <c r="B194" s="6">
        <f>IFERROR(VLOOKUP(A194,'#17 IH Results'!$A$2:$C$301,2,0),0)+IFERROR(VLOOKUP(A194,'#16 IH Results'!$A$2:$C$301,2,0),0)+IFERROR(VLOOKUP(A194,'#15 IH Results'!$A$2:$C$301,2,0),0)+IFERROR(VLOOKUP(A194,'#14 IH Results'!$A$2:$C$302,2,0),0)+IFERROR(VLOOKUP(A194,'#13 IH Results'!$A$2:$C$302,2,0),0)+IFERROR(VLOOKUP(A194,'#12 IH Results'!$A$2:$C$302,2,0),0)+IFERROR(VLOOKUP(A194,'#11 IH Results'!$A$2:$C$302,2,0),0)+IFERROR(VLOOKUP(A194,'#10 IH Results'!$A$2:$C$302,2,0),0)+IFERROR(VLOOKUP(A194,'#9 IH Results'!$A$2:$C$302,2,0),0)+IFERROR(VLOOKUP(A194,'#8 IH Results'!$A$2:$C$302,2,0),0)+IFERROR(VLOOKUP(A194,'#7 IH Results'!$A$2:$C$302,2,0),0)+IFERROR(VLOOKUP(A194,'#6 IH Results'!$A$2:$C$302,2,0),0)+IFERROR(VLOOKUP(A194,'#5 IH Results'!$A$2:$C$303,2,0),0)+IFERROR(VLOOKUP(A194,'#4 IH Results'!$A$2:$C$300,2,0),0)+IFERROR(VLOOKUP(A194,'#3 IH Results'!$A$2:$C$101,2,0),0)+IFERROR(VLOOKUP(A194,'#2 IH Results'!$A$2:$C$101,2,0),0)+IFERROR(VLOOKUP(A194,'#1 IH Results'!$A$2:$C$101,2,0),0)+IFERROR(VLOOKUP(A194,'#0 IH Results'!$A$3:$C$102,2,0),0)</f>
        <v>3.304420306</v>
      </c>
    </row>
    <row r="195">
      <c r="A195" s="8" t="s">
        <v>195</v>
      </c>
      <c r="B195" s="6">
        <f>IFERROR(VLOOKUP(A195,'#17 IH Results'!$A$2:$C$301,2,0),0)+IFERROR(VLOOKUP(A195,'#16 IH Results'!$A$2:$C$301,2,0),0)+IFERROR(VLOOKUP(A195,'#15 IH Results'!$A$2:$C$301,2,0),0)+IFERROR(VLOOKUP(A195,'#14 IH Results'!$A$2:$C$302,2,0),0)+IFERROR(VLOOKUP(A195,'#13 IH Results'!$A$2:$C$302,2,0),0)+IFERROR(VLOOKUP(A195,'#12 IH Results'!$A$2:$C$302,2,0),0)+IFERROR(VLOOKUP(A195,'#11 IH Results'!$A$2:$C$302,2,0),0)+IFERROR(VLOOKUP(A195,'#10 IH Results'!$A$2:$C$302,2,0),0)+IFERROR(VLOOKUP(A195,'#9 IH Results'!$A$2:$C$302,2,0),0)+IFERROR(VLOOKUP(A195,'#8 IH Results'!$A$2:$C$302,2,0),0)+IFERROR(VLOOKUP(A195,'#7 IH Results'!$A$2:$C$302,2,0),0)+IFERROR(VLOOKUP(A195,'#6 IH Results'!$A$2:$C$302,2,0),0)+IFERROR(VLOOKUP(A195,'#5 IH Results'!$A$2:$C$303,2,0),0)+IFERROR(VLOOKUP(A195,'#4 IH Results'!$A$2:$C$300,2,0),0)+IFERROR(VLOOKUP(A195,'#3 IH Results'!$A$2:$C$101,2,0),0)+IFERROR(VLOOKUP(A195,'#2 IH Results'!$A$2:$C$101,2,0),0)+IFERROR(VLOOKUP(A195,'#1 IH Results'!$A$2:$C$101,2,0),0)+IFERROR(VLOOKUP(A195,'#0 IH Results'!$A$3:$C$102,2,0),0)</f>
        <v>3.288681486</v>
      </c>
    </row>
    <row r="196">
      <c r="A196" s="8" t="s">
        <v>196</v>
      </c>
      <c r="B196" s="6">
        <f>IFERROR(VLOOKUP(A196,'#17 IH Results'!$A$2:$C$301,2,0),0)+IFERROR(VLOOKUP(A196,'#16 IH Results'!$A$2:$C$301,2,0),0)+IFERROR(VLOOKUP(A196,'#15 IH Results'!$A$2:$C$301,2,0),0)+IFERROR(VLOOKUP(A196,'#14 IH Results'!$A$2:$C$302,2,0),0)+IFERROR(VLOOKUP(A196,'#13 IH Results'!$A$2:$C$302,2,0),0)+IFERROR(VLOOKUP(A196,'#12 IH Results'!$A$2:$C$302,2,0),0)+IFERROR(VLOOKUP(A196,'#11 IH Results'!$A$2:$C$302,2,0),0)+IFERROR(VLOOKUP(A196,'#10 IH Results'!$A$2:$C$302,2,0),0)+IFERROR(VLOOKUP(A196,'#9 IH Results'!$A$2:$C$302,2,0),0)+IFERROR(VLOOKUP(A196,'#8 IH Results'!$A$2:$C$302,2,0),0)+IFERROR(VLOOKUP(A196,'#7 IH Results'!$A$2:$C$302,2,0),0)+IFERROR(VLOOKUP(A196,'#6 IH Results'!$A$2:$C$302,2,0),0)+IFERROR(VLOOKUP(A196,'#5 IH Results'!$A$2:$C$303,2,0),0)+IFERROR(VLOOKUP(A196,'#4 IH Results'!$A$2:$C$300,2,0),0)+IFERROR(VLOOKUP(A196,'#3 IH Results'!$A$2:$C$101,2,0),0)+IFERROR(VLOOKUP(A196,'#2 IH Results'!$A$2:$C$101,2,0),0)+IFERROR(VLOOKUP(A196,'#1 IH Results'!$A$2:$C$101,2,0),0)+IFERROR(VLOOKUP(A196,'#0 IH Results'!$A$3:$C$102,2,0),0)</f>
        <v>3.204968999</v>
      </c>
    </row>
    <row r="197">
      <c r="A197" s="8" t="s">
        <v>197</v>
      </c>
      <c r="B197" s="6">
        <f>IFERROR(VLOOKUP(A197,'#17 IH Results'!$A$2:$C$301,2,0),0)+IFERROR(VLOOKUP(A197,'#16 IH Results'!$A$2:$C$301,2,0),0)+IFERROR(VLOOKUP(A197,'#15 IH Results'!$A$2:$C$301,2,0),0)+IFERROR(VLOOKUP(A197,'#14 IH Results'!$A$2:$C$302,2,0),0)+IFERROR(VLOOKUP(A197,'#13 IH Results'!$A$2:$C$302,2,0),0)+IFERROR(VLOOKUP(A197,'#12 IH Results'!$A$2:$C$302,2,0),0)+IFERROR(VLOOKUP(A197,'#11 IH Results'!$A$2:$C$302,2,0),0)+IFERROR(VLOOKUP(A197,'#10 IH Results'!$A$2:$C$302,2,0),0)+IFERROR(VLOOKUP(A197,'#9 IH Results'!$A$2:$C$302,2,0),0)+IFERROR(VLOOKUP(A197,'#8 IH Results'!$A$2:$C$302,2,0),0)+IFERROR(VLOOKUP(A197,'#7 IH Results'!$A$2:$C$302,2,0),0)+IFERROR(VLOOKUP(A197,'#6 IH Results'!$A$2:$C$302,2,0),0)+IFERROR(VLOOKUP(A197,'#5 IH Results'!$A$2:$C$303,2,0),0)+IFERROR(VLOOKUP(A197,'#4 IH Results'!$A$2:$C$300,2,0),0)+IFERROR(VLOOKUP(A197,'#3 IH Results'!$A$2:$C$101,2,0),0)+IFERROR(VLOOKUP(A197,'#2 IH Results'!$A$2:$C$101,2,0),0)+IFERROR(VLOOKUP(A197,'#1 IH Results'!$A$2:$C$101,2,0),0)+IFERROR(VLOOKUP(A197,'#0 IH Results'!$A$3:$C$102,2,0),0)</f>
        <v>3.19966254</v>
      </c>
    </row>
    <row r="198">
      <c r="A198" s="8" t="s">
        <v>198</v>
      </c>
      <c r="B198" s="6">
        <f>IFERROR(VLOOKUP(A198,'#17 IH Results'!$A$2:$C$301,2,0),0)+IFERROR(VLOOKUP(A198,'#16 IH Results'!$A$2:$C$301,2,0),0)+IFERROR(VLOOKUP(A198,'#15 IH Results'!$A$2:$C$301,2,0),0)+IFERROR(VLOOKUP(A198,'#14 IH Results'!$A$2:$C$302,2,0),0)+IFERROR(VLOOKUP(A198,'#13 IH Results'!$A$2:$C$302,2,0),0)+IFERROR(VLOOKUP(A198,'#12 IH Results'!$A$2:$C$302,2,0),0)+IFERROR(VLOOKUP(A198,'#11 IH Results'!$A$2:$C$302,2,0),0)+IFERROR(VLOOKUP(A198,'#10 IH Results'!$A$2:$C$302,2,0),0)+IFERROR(VLOOKUP(A198,'#9 IH Results'!$A$2:$C$302,2,0),0)+IFERROR(VLOOKUP(A198,'#8 IH Results'!$A$2:$C$302,2,0),0)+IFERROR(VLOOKUP(A198,'#7 IH Results'!$A$2:$C$302,2,0),0)+IFERROR(VLOOKUP(A198,'#6 IH Results'!$A$2:$C$302,2,0),0)+IFERROR(VLOOKUP(A198,'#5 IH Results'!$A$2:$C$303,2,0),0)+IFERROR(VLOOKUP(A198,'#4 IH Results'!$A$2:$C$300,2,0),0)+IFERROR(VLOOKUP(A198,'#3 IH Results'!$A$2:$C$101,2,0),0)+IFERROR(VLOOKUP(A198,'#2 IH Results'!$A$2:$C$101,2,0),0)+IFERROR(VLOOKUP(A198,'#1 IH Results'!$A$2:$C$101,2,0),0)+IFERROR(VLOOKUP(A198,'#0 IH Results'!$A$3:$C$102,2,0),0)</f>
        <v>3.19966254</v>
      </c>
    </row>
    <row r="199">
      <c r="A199" s="8" t="s">
        <v>199</v>
      </c>
      <c r="B199" s="6">
        <f>IFERROR(VLOOKUP(A199,'#17 IH Results'!$A$2:$C$301,2,0),0)+IFERROR(VLOOKUP(A199,'#16 IH Results'!$A$2:$C$301,2,0),0)+IFERROR(VLOOKUP(A199,'#15 IH Results'!$A$2:$C$301,2,0),0)+IFERROR(VLOOKUP(A199,'#14 IH Results'!$A$2:$C$302,2,0),0)+IFERROR(VLOOKUP(A199,'#13 IH Results'!$A$2:$C$302,2,0),0)+IFERROR(VLOOKUP(A199,'#12 IH Results'!$A$2:$C$302,2,0),0)+IFERROR(VLOOKUP(A199,'#11 IH Results'!$A$2:$C$302,2,0),0)+IFERROR(VLOOKUP(A199,'#10 IH Results'!$A$2:$C$302,2,0),0)+IFERROR(VLOOKUP(A199,'#9 IH Results'!$A$2:$C$302,2,0),0)+IFERROR(VLOOKUP(A199,'#8 IH Results'!$A$2:$C$302,2,0),0)+IFERROR(VLOOKUP(A199,'#7 IH Results'!$A$2:$C$302,2,0),0)+IFERROR(VLOOKUP(A199,'#6 IH Results'!$A$2:$C$302,2,0),0)+IFERROR(VLOOKUP(A199,'#5 IH Results'!$A$2:$C$303,2,0),0)+IFERROR(VLOOKUP(A199,'#4 IH Results'!$A$2:$C$300,2,0),0)+IFERROR(VLOOKUP(A199,'#3 IH Results'!$A$2:$C$101,2,0),0)+IFERROR(VLOOKUP(A199,'#2 IH Results'!$A$2:$C$101,2,0),0)+IFERROR(VLOOKUP(A199,'#1 IH Results'!$A$2:$C$101,2,0),0)+IFERROR(VLOOKUP(A199,'#0 IH Results'!$A$3:$C$102,2,0),0)</f>
        <v>3.19966254</v>
      </c>
    </row>
    <row r="200">
      <c r="A200" s="8" t="s">
        <v>200</v>
      </c>
      <c r="B200" s="6">
        <f>IFERROR(VLOOKUP(A200,'#17 IH Results'!$A$2:$C$301,2,0),0)+IFERROR(VLOOKUP(A200,'#16 IH Results'!$A$2:$C$301,2,0),0)+IFERROR(VLOOKUP(A200,'#15 IH Results'!$A$2:$C$301,2,0),0)+IFERROR(VLOOKUP(A200,'#14 IH Results'!$A$2:$C$302,2,0),0)+IFERROR(VLOOKUP(A200,'#13 IH Results'!$A$2:$C$302,2,0),0)+IFERROR(VLOOKUP(A200,'#12 IH Results'!$A$2:$C$302,2,0),0)+IFERROR(VLOOKUP(A200,'#11 IH Results'!$A$2:$C$302,2,0),0)+IFERROR(VLOOKUP(A200,'#10 IH Results'!$A$2:$C$302,2,0),0)+IFERROR(VLOOKUP(A200,'#9 IH Results'!$A$2:$C$302,2,0),0)+IFERROR(VLOOKUP(A200,'#8 IH Results'!$A$2:$C$302,2,0),0)+IFERROR(VLOOKUP(A200,'#7 IH Results'!$A$2:$C$302,2,0),0)+IFERROR(VLOOKUP(A200,'#6 IH Results'!$A$2:$C$302,2,0),0)+IFERROR(VLOOKUP(A200,'#5 IH Results'!$A$2:$C$303,2,0),0)+IFERROR(VLOOKUP(A200,'#4 IH Results'!$A$2:$C$300,2,0),0)+IFERROR(VLOOKUP(A200,'#3 IH Results'!$A$2:$C$101,2,0),0)+IFERROR(VLOOKUP(A200,'#2 IH Results'!$A$2:$C$101,2,0),0)+IFERROR(VLOOKUP(A200,'#1 IH Results'!$A$2:$C$101,2,0),0)+IFERROR(VLOOKUP(A200,'#0 IH Results'!$A$3:$C$102,2,0),0)</f>
        <v>3.137411343</v>
      </c>
    </row>
    <row r="201">
      <c r="A201" s="8" t="s">
        <v>201</v>
      </c>
      <c r="B201" s="6">
        <f>IFERROR(VLOOKUP(A201,'#17 IH Results'!$A$2:$C$301,2,0),0)+IFERROR(VLOOKUP(A201,'#16 IH Results'!$A$2:$C$301,2,0),0)+IFERROR(VLOOKUP(A201,'#15 IH Results'!$A$2:$C$301,2,0),0)+IFERROR(VLOOKUP(A201,'#14 IH Results'!$A$2:$C$302,2,0),0)+IFERROR(VLOOKUP(A201,'#13 IH Results'!$A$2:$C$302,2,0),0)+IFERROR(VLOOKUP(A201,'#12 IH Results'!$A$2:$C$302,2,0),0)+IFERROR(VLOOKUP(A201,'#11 IH Results'!$A$2:$C$302,2,0),0)+IFERROR(VLOOKUP(A201,'#10 IH Results'!$A$2:$C$302,2,0),0)+IFERROR(VLOOKUP(A201,'#9 IH Results'!$A$2:$C$302,2,0),0)+IFERROR(VLOOKUP(A201,'#8 IH Results'!$A$2:$C$302,2,0),0)+IFERROR(VLOOKUP(A201,'#7 IH Results'!$A$2:$C$302,2,0),0)+IFERROR(VLOOKUP(A201,'#6 IH Results'!$A$2:$C$302,2,0),0)+IFERROR(VLOOKUP(A201,'#5 IH Results'!$A$2:$C$303,2,0),0)+IFERROR(VLOOKUP(A201,'#4 IH Results'!$A$2:$C$300,2,0),0)+IFERROR(VLOOKUP(A201,'#3 IH Results'!$A$2:$C$101,2,0),0)+IFERROR(VLOOKUP(A201,'#2 IH Results'!$A$2:$C$101,2,0),0)+IFERROR(VLOOKUP(A201,'#1 IH Results'!$A$2:$C$101,2,0),0)+IFERROR(VLOOKUP(A201,'#0 IH Results'!$A$3:$C$102,2,0),0)</f>
        <v>3.125436379</v>
      </c>
    </row>
    <row r="202">
      <c r="A202" s="8" t="s">
        <v>202</v>
      </c>
      <c r="B202" s="6">
        <f>IFERROR(VLOOKUP(A202,'#17 IH Results'!$A$2:$C$301,2,0),0)+IFERROR(VLOOKUP(A202,'#16 IH Results'!$A$2:$C$301,2,0),0)+IFERROR(VLOOKUP(A202,'#15 IH Results'!$A$2:$C$301,2,0),0)+IFERROR(VLOOKUP(A202,'#14 IH Results'!$A$2:$C$302,2,0),0)+IFERROR(VLOOKUP(A202,'#13 IH Results'!$A$2:$C$302,2,0),0)+IFERROR(VLOOKUP(A202,'#12 IH Results'!$A$2:$C$302,2,0),0)+IFERROR(VLOOKUP(A202,'#11 IH Results'!$A$2:$C$302,2,0),0)+IFERROR(VLOOKUP(A202,'#10 IH Results'!$A$2:$C$302,2,0),0)+IFERROR(VLOOKUP(A202,'#9 IH Results'!$A$2:$C$302,2,0),0)+IFERROR(VLOOKUP(A202,'#8 IH Results'!$A$2:$C$302,2,0),0)+IFERROR(VLOOKUP(A202,'#7 IH Results'!$A$2:$C$302,2,0),0)+IFERROR(VLOOKUP(A202,'#6 IH Results'!$A$2:$C$302,2,0),0)+IFERROR(VLOOKUP(A202,'#5 IH Results'!$A$2:$C$303,2,0),0)+IFERROR(VLOOKUP(A202,'#4 IH Results'!$A$2:$C$300,2,0),0)+IFERROR(VLOOKUP(A202,'#3 IH Results'!$A$2:$C$101,2,0),0)+IFERROR(VLOOKUP(A202,'#2 IH Results'!$A$2:$C$101,2,0),0)+IFERROR(VLOOKUP(A202,'#1 IH Results'!$A$2:$C$101,2,0),0)+IFERROR(VLOOKUP(A202,'#0 IH Results'!$A$3:$C$102,2,0),0)</f>
        <v>3.117804512</v>
      </c>
    </row>
    <row r="203">
      <c r="A203" s="8" t="s">
        <v>203</v>
      </c>
      <c r="B203" s="6">
        <f>IFERROR(VLOOKUP(A203,'#17 IH Results'!$A$2:$C$301,2,0),0)+IFERROR(VLOOKUP(A203,'#16 IH Results'!$A$2:$C$301,2,0),0)+IFERROR(VLOOKUP(A203,'#15 IH Results'!$A$2:$C$301,2,0),0)+IFERROR(VLOOKUP(A203,'#14 IH Results'!$A$2:$C$302,2,0),0)+IFERROR(VLOOKUP(A203,'#13 IH Results'!$A$2:$C$302,2,0),0)+IFERROR(VLOOKUP(A203,'#12 IH Results'!$A$2:$C$302,2,0),0)+IFERROR(VLOOKUP(A203,'#11 IH Results'!$A$2:$C$302,2,0),0)+IFERROR(VLOOKUP(A203,'#10 IH Results'!$A$2:$C$302,2,0),0)+IFERROR(VLOOKUP(A203,'#9 IH Results'!$A$2:$C$302,2,0),0)+IFERROR(VLOOKUP(A203,'#8 IH Results'!$A$2:$C$302,2,0),0)+IFERROR(VLOOKUP(A203,'#7 IH Results'!$A$2:$C$302,2,0),0)+IFERROR(VLOOKUP(A203,'#6 IH Results'!$A$2:$C$302,2,0),0)+IFERROR(VLOOKUP(A203,'#5 IH Results'!$A$2:$C$303,2,0),0)+IFERROR(VLOOKUP(A203,'#4 IH Results'!$A$2:$C$300,2,0),0)+IFERROR(VLOOKUP(A203,'#3 IH Results'!$A$2:$C$101,2,0),0)+IFERROR(VLOOKUP(A203,'#2 IH Results'!$A$2:$C$101,2,0),0)+IFERROR(VLOOKUP(A203,'#1 IH Results'!$A$2:$C$101,2,0),0)+IFERROR(VLOOKUP(A203,'#0 IH Results'!$A$3:$C$102,2,0),0)</f>
        <v>3.028224999</v>
      </c>
    </row>
    <row r="204">
      <c r="A204" s="8" t="s">
        <v>204</v>
      </c>
      <c r="B204" s="6">
        <f>IFERROR(VLOOKUP(A204,'#17 IH Results'!$A$2:$C$301,2,0),0)+IFERROR(VLOOKUP(A204,'#16 IH Results'!$A$2:$C$301,2,0),0)+IFERROR(VLOOKUP(A204,'#15 IH Results'!$A$2:$C$301,2,0),0)+IFERROR(VLOOKUP(A204,'#14 IH Results'!$A$2:$C$302,2,0),0)+IFERROR(VLOOKUP(A204,'#13 IH Results'!$A$2:$C$302,2,0),0)+IFERROR(VLOOKUP(A204,'#12 IH Results'!$A$2:$C$302,2,0),0)+IFERROR(VLOOKUP(A204,'#11 IH Results'!$A$2:$C$302,2,0),0)+IFERROR(VLOOKUP(A204,'#10 IH Results'!$A$2:$C$302,2,0),0)+IFERROR(VLOOKUP(A204,'#9 IH Results'!$A$2:$C$302,2,0),0)+IFERROR(VLOOKUP(A204,'#8 IH Results'!$A$2:$C$302,2,0),0)+IFERROR(VLOOKUP(A204,'#7 IH Results'!$A$2:$C$302,2,0),0)+IFERROR(VLOOKUP(A204,'#6 IH Results'!$A$2:$C$302,2,0),0)+IFERROR(VLOOKUP(A204,'#5 IH Results'!$A$2:$C$303,2,0),0)+IFERROR(VLOOKUP(A204,'#4 IH Results'!$A$2:$C$300,2,0),0)+IFERROR(VLOOKUP(A204,'#3 IH Results'!$A$2:$C$101,2,0),0)+IFERROR(VLOOKUP(A204,'#2 IH Results'!$A$2:$C$101,2,0),0)+IFERROR(VLOOKUP(A204,'#1 IH Results'!$A$2:$C$101,2,0),0)+IFERROR(VLOOKUP(A204,'#0 IH Results'!$A$3:$C$102,2,0),0)</f>
        <v>3.028224999</v>
      </c>
    </row>
    <row r="205">
      <c r="A205" s="13" t="s">
        <v>205</v>
      </c>
      <c r="B205" s="6">
        <f>IFERROR(VLOOKUP(A205,'#17 IH Results'!$A$2:$C$301,2,0),0)+IFERROR(VLOOKUP(A205,'#16 IH Results'!$A$2:$C$301,2,0),0)+IFERROR(VLOOKUP(A205,'#15 IH Results'!$A$2:$C$301,2,0),0)+IFERROR(VLOOKUP(A205,'#14 IH Results'!$A$2:$C$302,2,0),0)+IFERROR(VLOOKUP(A205,'#13 IH Results'!$A$2:$C$302,2,0),0)+IFERROR(VLOOKUP(A205,'#12 IH Results'!$A$2:$C$302,2,0),0)+IFERROR(VLOOKUP(A205,'#11 IH Results'!$A$2:$C$302,2,0),0)+IFERROR(VLOOKUP(A205,'#10 IH Results'!$A$2:$C$302,2,0),0)+IFERROR(VLOOKUP(A205,'#9 IH Results'!$A$2:$C$302,2,0),0)+IFERROR(VLOOKUP(A205,'#8 IH Results'!$A$2:$C$302,2,0),0)+IFERROR(VLOOKUP(A205,'#7 IH Results'!$A$2:$C$302,2,0),0)+IFERROR(VLOOKUP(A205,'#6 IH Results'!$A$2:$C$302,2,0),0)+IFERROR(VLOOKUP(A205,'#5 IH Results'!$A$2:$C$303,2,0),0)+IFERROR(VLOOKUP(A205,'#4 IH Results'!$A$2:$C$300,2,0),0)+IFERROR(VLOOKUP(A205,'#3 IH Results'!$A$2:$C$101,2,0),0)+IFERROR(VLOOKUP(A205,'#2 IH Results'!$A$2:$C$101,2,0),0)+IFERROR(VLOOKUP(A205,'#1 IH Results'!$A$2:$C$101,2,0),0)+IFERROR(VLOOKUP(A205,'#0 IH Results'!$A$3:$C$102,2,0),0)</f>
        <v>2.963931196</v>
      </c>
    </row>
    <row r="206">
      <c r="A206" s="8" t="s">
        <v>206</v>
      </c>
      <c r="B206" s="6">
        <f>IFERROR(VLOOKUP(A206,'#17 IH Results'!$A$2:$C$301,2,0),0)+IFERROR(VLOOKUP(A206,'#16 IH Results'!$A$2:$C$301,2,0),0)+IFERROR(VLOOKUP(A206,'#15 IH Results'!$A$2:$C$301,2,0),0)+IFERROR(VLOOKUP(A206,'#14 IH Results'!$A$2:$C$302,2,0),0)+IFERROR(VLOOKUP(A206,'#13 IH Results'!$A$2:$C$302,2,0),0)+IFERROR(VLOOKUP(A206,'#12 IH Results'!$A$2:$C$302,2,0),0)+IFERROR(VLOOKUP(A206,'#11 IH Results'!$A$2:$C$302,2,0),0)+IFERROR(VLOOKUP(A206,'#10 IH Results'!$A$2:$C$302,2,0),0)+IFERROR(VLOOKUP(A206,'#9 IH Results'!$A$2:$C$302,2,0),0)+IFERROR(VLOOKUP(A206,'#8 IH Results'!$A$2:$C$302,2,0),0)+IFERROR(VLOOKUP(A206,'#7 IH Results'!$A$2:$C$302,2,0),0)+IFERROR(VLOOKUP(A206,'#6 IH Results'!$A$2:$C$302,2,0),0)+IFERROR(VLOOKUP(A206,'#5 IH Results'!$A$2:$C$303,2,0),0)+IFERROR(VLOOKUP(A206,'#4 IH Results'!$A$2:$C$300,2,0),0)+IFERROR(VLOOKUP(A206,'#3 IH Results'!$A$2:$C$101,2,0),0)+IFERROR(VLOOKUP(A206,'#2 IH Results'!$A$2:$C$101,2,0),0)+IFERROR(VLOOKUP(A206,'#1 IH Results'!$A$2:$C$101,2,0),0)+IFERROR(VLOOKUP(A206,'#0 IH Results'!$A$3:$C$102,2,0),0)</f>
        <v>2.915896682</v>
      </c>
    </row>
    <row r="207">
      <c r="A207" s="8" t="s">
        <v>207</v>
      </c>
      <c r="B207" s="6">
        <f>IFERROR(VLOOKUP(A207,'#17 IH Results'!$A$2:$C$301,2,0),0)+IFERROR(VLOOKUP(A207,'#16 IH Results'!$A$2:$C$301,2,0),0)+IFERROR(VLOOKUP(A207,'#15 IH Results'!$A$2:$C$301,2,0),0)+IFERROR(VLOOKUP(A207,'#14 IH Results'!$A$2:$C$302,2,0),0)+IFERROR(VLOOKUP(A207,'#13 IH Results'!$A$2:$C$302,2,0),0)+IFERROR(VLOOKUP(A207,'#12 IH Results'!$A$2:$C$302,2,0),0)+IFERROR(VLOOKUP(A207,'#11 IH Results'!$A$2:$C$302,2,0),0)+IFERROR(VLOOKUP(A207,'#10 IH Results'!$A$2:$C$302,2,0),0)+IFERROR(VLOOKUP(A207,'#9 IH Results'!$A$2:$C$302,2,0),0)+IFERROR(VLOOKUP(A207,'#8 IH Results'!$A$2:$C$302,2,0),0)+IFERROR(VLOOKUP(A207,'#7 IH Results'!$A$2:$C$302,2,0),0)+IFERROR(VLOOKUP(A207,'#6 IH Results'!$A$2:$C$302,2,0),0)+IFERROR(VLOOKUP(A207,'#5 IH Results'!$A$2:$C$303,2,0),0)+IFERROR(VLOOKUP(A207,'#4 IH Results'!$A$2:$C$300,2,0),0)+IFERROR(VLOOKUP(A207,'#3 IH Results'!$A$2:$C$101,2,0),0)+IFERROR(VLOOKUP(A207,'#2 IH Results'!$A$2:$C$101,2,0),0)+IFERROR(VLOOKUP(A207,'#1 IH Results'!$A$2:$C$101,2,0),0)+IFERROR(VLOOKUP(A207,'#0 IH Results'!$A$3:$C$102,2,0),0)</f>
        <v>2.88282691</v>
      </c>
    </row>
    <row r="208">
      <c r="A208" s="8" t="s">
        <v>208</v>
      </c>
      <c r="B208" s="6">
        <f>IFERROR(VLOOKUP(A208,'#17 IH Results'!$A$2:$C$301,2,0),0)+IFERROR(VLOOKUP(A208,'#16 IH Results'!$A$2:$C$301,2,0),0)+IFERROR(VLOOKUP(A208,'#15 IH Results'!$A$2:$C$301,2,0),0)+IFERROR(VLOOKUP(A208,'#14 IH Results'!$A$2:$C$302,2,0),0)+IFERROR(VLOOKUP(A208,'#13 IH Results'!$A$2:$C$302,2,0),0)+IFERROR(VLOOKUP(A208,'#12 IH Results'!$A$2:$C$302,2,0),0)+IFERROR(VLOOKUP(A208,'#11 IH Results'!$A$2:$C$302,2,0),0)+IFERROR(VLOOKUP(A208,'#10 IH Results'!$A$2:$C$302,2,0),0)+IFERROR(VLOOKUP(A208,'#9 IH Results'!$A$2:$C$302,2,0),0)+IFERROR(VLOOKUP(A208,'#8 IH Results'!$A$2:$C$302,2,0),0)+IFERROR(VLOOKUP(A208,'#7 IH Results'!$A$2:$C$302,2,0),0)+IFERROR(VLOOKUP(A208,'#6 IH Results'!$A$2:$C$302,2,0),0)+IFERROR(VLOOKUP(A208,'#5 IH Results'!$A$2:$C$303,2,0),0)+IFERROR(VLOOKUP(A208,'#4 IH Results'!$A$2:$C$300,2,0),0)+IFERROR(VLOOKUP(A208,'#3 IH Results'!$A$2:$C$101,2,0),0)+IFERROR(VLOOKUP(A208,'#2 IH Results'!$A$2:$C$101,2,0),0)+IFERROR(VLOOKUP(A208,'#1 IH Results'!$A$2:$C$101,2,0),0)+IFERROR(VLOOKUP(A208,'#0 IH Results'!$A$3:$C$102,2,0),0)</f>
        <v>2.873119247</v>
      </c>
    </row>
    <row r="209">
      <c r="A209" s="8" t="s">
        <v>209</v>
      </c>
      <c r="B209" s="6">
        <f>IFERROR(VLOOKUP(A209,'#17 IH Results'!$A$2:$C$301,2,0),0)+IFERROR(VLOOKUP(A209,'#16 IH Results'!$A$2:$C$301,2,0),0)+IFERROR(VLOOKUP(A209,'#15 IH Results'!$A$2:$C$301,2,0),0)+IFERROR(VLOOKUP(A209,'#14 IH Results'!$A$2:$C$302,2,0),0)+IFERROR(VLOOKUP(A209,'#13 IH Results'!$A$2:$C$302,2,0),0)+IFERROR(VLOOKUP(A209,'#12 IH Results'!$A$2:$C$302,2,0),0)+IFERROR(VLOOKUP(A209,'#11 IH Results'!$A$2:$C$302,2,0),0)+IFERROR(VLOOKUP(A209,'#10 IH Results'!$A$2:$C$302,2,0),0)+IFERROR(VLOOKUP(A209,'#9 IH Results'!$A$2:$C$302,2,0),0)+IFERROR(VLOOKUP(A209,'#8 IH Results'!$A$2:$C$302,2,0),0)+IFERROR(VLOOKUP(A209,'#7 IH Results'!$A$2:$C$302,2,0),0)+IFERROR(VLOOKUP(A209,'#6 IH Results'!$A$2:$C$302,2,0),0)+IFERROR(VLOOKUP(A209,'#5 IH Results'!$A$2:$C$303,2,0),0)+IFERROR(VLOOKUP(A209,'#4 IH Results'!$A$2:$C$300,2,0),0)+IFERROR(VLOOKUP(A209,'#3 IH Results'!$A$2:$C$101,2,0),0)+IFERROR(VLOOKUP(A209,'#2 IH Results'!$A$2:$C$101,2,0),0)+IFERROR(VLOOKUP(A209,'#1 IH Results'!$A$2:$C$101,2,0),0)+IFERROR(VLOOKUP(A209,'#0 IH Results'!$A$3:$C$102,2,0),0)</f>
        <v>2.870010848</v>
      </c>
    </row>
    <row r="210">
      <c r="A210" s="11" t="s">
        <v>210</v>
      </c>
      <c r="B210" s="6">
        <f>IFERROR(VLOOKUP(A210,'#17 IH Results'!$A$2:$C$301,2,0),0)+IFERROR(VLOOKUP(A210,'#16 IH Results'!$A$2:$C$301,2,0),0)+IFERROR(VLOOKUP(A210,'#15 IH Results'!$A$2:$C$301,2,0),0)+IFERROR(VLOOKUP(A210,'#14 IH Results'!$A$2:$C$302,2,0),0)+IFERROR(VLOOKUP(A210,'#13 IH Results'!$A$2:$C$302,2,0),0)+IFERROR(VLOOKUP(A210,'#12 IH Results'!$A$2:$C$302,2,0),0)+IFERROR(VLOOKUP(A210,'#11 IH Results'!$A$2:$C$302,2,0),0)+IFERROR(VLOOKUP(A210,'#10 IH Results'!$A$2:$C$302,2,0),0)+IFERROR(VLOOKUP(A210,'#9 IH Results'!$A$2:$C$302,2,0),0)+IFERROR(VLOOKUP(A210,'#8 IH Results'!$A$2:$C$302,2,0),0)+IFERROR(VLOOKUP(A210,'#7 IH Results'!$A$2:$C$302,2,0),0)+IFERROR(VLOOKUP(A210,'#6 IH Results'!$A$2:$C$302,2,0),0)+IFERROR(VLOOKUP(A210,'#5 IH Results'!$A$2:$C$303,2,0),0)+IFERROR(VLOOKUP(A210,'#4 IH Results'!$A$2:$C$300,2,0),0)+IFERROR(VLOOKUP(A210,'#3 IH Results'!$A$2:$C$101,2,0),0)+IFERROR(VLOOKUP(A210,'#2 IH Results'!$A$2:$C$101,2,0),0)+IFERROR(VLOOKUP(A210,'#1 IH Results'!$A$2:$C$101,2,0),0)+IFERROR(VLOOKUP(A210,'#0 IH Results'!$A$3:$C$102,2,0),0)</f>
        <v>2.850333502</v>
      </c>
    </row>
    <row r="211">
      <c r="A211" s="8" t="s">
        <v>211</v>
      </c>
      <c r="B211" s="6">
        <f>IFERROR(VLOOKUP(A211,'#17 IH Results'!$A$2:$C$301,2,0),0)+IFERROR(VLOOKUP(A211,'#16 IH Results'!$A$2:$C$301,2,0),0)+IFERROR(VLOOKUP(A211,'#15 IH Results'!$A$2:$C$301,2,0),0)+IFERROR(VLOOKUP(A211,'#14 IH Results'!$A$2:$C$302,2,0),0)+IFERROR(VLOOKUP(A211,'#13 IH Results'!$A$2:$C$302,2,0),0)+IFERROR(VLOOKUP(A211,'#12 IH Results'!$A$2:$C$302,2,0),0)+IFERROR(VLOOKUP(A211,'#11 IH Results'!$A$2:$C$302,2,0),0)+IFERROR(VLOOKUP(A211,'#10 IH Results'!$A$2:$C$302,2,0),0)+IFERROR(VLOOKUP(A211,'#9 IH Results'!$A$2:$C$302,2,0),0)+IFERROR(VLOOKUP(A211,'#8 IH Results'!$A$2:$C$302,2,0),0)+IFERROR(VLOOKUP(A211,'#7 IH Results'!$A$2:$C$302,2,0),0)+IFERROR(VLOOKUP(A211,'#6 IH Results'!$A$2:$C$302,2,0),0)+IFERROR(VLOOKUP(A211,'#5 IH Results'!$A$2:$C$303,2,0),0)+IFERROR(VLOOKUP(A211,'#4 IH Results'!$A$2:$C$300,2,0),0)+IFERROR(VLOOKUP(A211,'#3 IH Results'!$A$2:$C$101,2,0),0)+IFERROR(VLOOKUP(A211,'#2 IH Results'!$A$2:$C$101,2,0),0)+IFERROR(VLOOKUP(A211,'#1 IH Results'!$A$2:$C$101,2,0),0)+IFERROR(VLOOKUP(A211,'#0 IH Results'!$A$3:$C$102,2,0),0)</f>
        <v>2.736768725</v>
      </c>
    </row>
    <row r="212">
      <c r="A212" s="12" t="s">
        <v>212</v>
      </c>
      <c r="B212" s="6">
        <f>IFERROR(VLOOKUP(A212,'#17 IH Results'!$A$2:$C$301,2,0),0)+IFERROR(VLOOKUP(A212,'#16 IH Results'!$A$2:$C$301,2,0),0)+IFERROR(VLOOKUP(A212,'#15 IH Results'!$A$2:$C$301,2,0),0)+IFERROR(VLOOKUP(A212,'#14 IH Results'!$A$2:$C$302,2,0),0)+IFERROR(VLOOKUP(A212,'#13 IH Results'!$A$2:$C$302,2,0),0)+IFERROR(VLOOKUP(A212,'#12 IH Results'!$A$2:$C$302,2,0),0)+IFERROR(VLOOKUP(A212,'#11 IH Results'!$A$2:$C$302,2,0),0)+IFERROR(VLOOKUP(A212,'#10 IH Results'!$A$2:$C$302,2,0),0)+IFERROR(VLOOKUP(A212,'#9 IH Results'!$A$2:$C$302,2,0),0)+IFERROR(VLOOKUP(A212,'#8 IH Results'!$A$2:$C$302,2,0),0)+IFERROR(VLOOKUP(A212,'#7 IH Results'!$A$2:$C$302,2,0),0)+IFERROR(VLOOKUP(A212,'#6 IH Results'!$A$2:$C$302,2,0),0)+IFERROR(VLOOKUP(A212,'#5 IH Results'!$A$2:$C$303,2,0),0)+IFERROR(VLOOKUP(A212,'#4 IH Results'!$A$2:$C$300,2,0),0)+IFERROR(VLOOKUP(A212,'#3 IH Results'!$A$2:$C$101,2,0),0)+IFERROR(VLOOKUP(A212,'#2 IH Results'!$A$2:$C$101,2,0),0)+IFERROR(VLOOKUP(A212,'#1 IH Results'!$A$2:$C$101,2,0),0)+IFERROR(VLOOKUP(A212,'#0 IH Results'!$A$3:$C$102,2,0),0)</f>
        <v>2.724343554</v>
      </c>
    </row>
    <row r="213">
      <c r="A213" s="8" t="s">
        <v>213</v>
      </c>
      <c r="B213" s="6">
        <f>IFERROR(VLOOKUP(A213,'#17 IH Results'!$A$2:$C$301,2,0),0)+IFERROR(VLOOKUP(A213,'#16 IH Results'!$A$2:$C$301,2,0),0)+IFERROR(VLOOKUP(A213,'#15 IH Results'!$A$2:$C$301,2,0),0)+IFERROR(VLOOKUP(A213,'#14 IH Results'!$A$2:$C$302,2,0),0)+IFERROR(VLOOKUP(A213,'#13 IH Results'!$A$2:$C$302,2,0),0)+IFERROR(VLOOKUP(A213,'#12 IH Results'!$A$2:$C$302,2,0),0)+IFERROR(VLOOKUP(A213,'#11 IH Results'!$A$2:$C$302,2,0),0)+IFERROR(VLOOKUP(A213,'#10 IH Results'!$A$2:$C$302,2,0),0)+IFERROR(VLOOKUP(A213,'#9 IH Results'!$A$2:$C$302,2,0),0)+IFERROR(VLOOKUP(A213,'#8 IH Results'!$A$2:$C$302,2,0),0)+IFERROR(VLOOKUP(A213,'#7 IH Results'!$A$2:$C$302,2,0),0)+IFERROR(VLOOKUP(A213,'#6 IH Results'!$A$2:$C$302,2,0),0)+IFERROR(VLOOKUP(A213,'#5 IH Results'!$A$2:$C$303,2,0),0)+IFERROR(VLOOKUP(A213,'#4 IH Results'!$A$2:$C$300,2,0),0)+IFERROR(VLOOKUP(A213,'#3 IH Results'!$A$2:$C$101,2,0),0)+IFERROR(VLOOKUP(A213,'#2 IH Results'!$A$2:$C$101,2,0),0)+IFERROR(VLOOKUP(A213,'#1 IH Results'!$A$2:$C$101,2,0),0)+IFERROR(VLOOKUP(A213,'#0 IH Results'!$A$3:$C$102,2,0),0)</f>
        <v>2.713596376</v>
      </c>
    </row>
    <row r="214">
      <c r="A214" s="8" t="s">
        <v>214</v>
      </c>
      <c r="B214" s="6">
        <f>IFERROR(VLOOKUP(A214,'#17 IH Results'!$A$2:$C$301,2,0),0)+IFERROR(VLOOKUP(A214,'#16 IH Results'!$A$2:$C$301,2,0),0)+IFERROR(VLOOKUP(A214,'#15 IH Results'!$A$2:$C$301,2,0),0)+IFERROR(VLOOKUP(A214,'#14 IH Results'!$A$2:$C$302,2,0),0)+IFERROR(VLOOKUP(A214,'#13 IH Results'!$A$2:$C$302,2,0),0)+IFERROR(VLOOKUP(A214,'#12 IH Results'!$A$2:$C$302,2,0),0)+IFERROR(VLOOKUP(A214,'#11 IH Results'!$A$2:$C$302,2,0),0)+IFERROR(VLOOKUP(A214,'#10 IH Results'!$A$2:$C$302,2,0),0)+IFERROR(VLOOKUP(A214,'#9 IH Results'!$A$2:$C$302,2,0),0)+IFERROR(VLOOKUP(A214,'#8 IH Results'!$A$2:$C$302,2,0),0)+IFERROR(VLOOKUP(A214,'#7 IH Results'!$A$2:$C$302,2,0),0)+IFERROR(VLOOKUP(A214,'#6 IH Results'!$A$2:$C$302,2,0),0)+IFERROR(VLOOKUP(A214,'#5 IH Results'!$A$2:$C$303,2,0),0)+IFERROR(VLOOKUP(A214,'#4 IH Results'!$A$2:$C$300,2,0),0)+IFERROR(VLOOKUP(A214,'#3 IH Results'!$A$2:$C$101,2,0),0)+IFERROR(VLOOKUP(A214,'#2 IH Results'!$A$2:$C$101,2,0),0)+IFERROR(VLOOKUP(A214,'#1 IH Results'!$A$2:$C$101,2,0),0)+IFERROR(VLOOKUP(A214,'#0 IH Results'!$A$3:$C$102,2,0),0)</f>
        <v>2.560843168</v>
      </c>
    </row>
    <row r="215">
      <c r="A215" s="8" t="s">
        <v>215</v>
      </c>
      <c r="B215" s="6">
        <f>IFERROR(VLOOKUP(A215,'#17 IH Results'!$A$2:$C$301,2,0),0)+IFERROR(VLOOKUP(A215,'#16 IH Results'!$A$2:$C$301,2,0),0)+IFERROR(VLOOKUP(A215,'#15 IH Results'!$A$2:$C$301,2,0),0)+IFERROR(VLOOKUP(A215,'#14 IH Results'!$A$2:$C$302,2,0),0)+IFERROR(VLOOKUP(A215,'#13 IH Results'!$A$2:$C$302,2,0),0)+IFERROR(VLOOKUP(A215,'#12 IH Results'!$A$2:$C$302,2,0),0)+IFERROR(VLOOKUP(A215,'#11 IH Results'!$A$2:$C$302,2,0),0)+IFERROR(VLOOKUP(A215,'#10 IH Results'!$A$2:$C$302,2,0),0)+IFERROR(VLOOKUP(A215,'#9 IH Results'!$A$2:$C$302,2,0),0)+IFERROR(VLOOKUP(A215,'#8 IH Results'!$A$2:$C$302,2,0),0)+IFERROR(VLOOKUP(A215,'#7 IH Results'!$A$2:$C$302,2,0),0)+IFERROR(VLOOKUP(A215,'#6 IH Results'!$A$2:$C$302,2,0),0)+IFERROR(VLOOKUP(A215,'#5 IH Results'!$A$2:$C$303,2,0),0)+IFERROR(VLOOKUP(A215,'#4 IH Results'!$A$2:$C$300,2,0),0)+IFERROR(VLOOKUP(A215,'#3 IH Results'!$A$2:$C$101,2,0),0)+IFERROR(VLOOKUP(A215,'#2 IH Results'!$A$2:$C$101,2,0),0)+IFERROR(VLOOKUP(A215,'#1 IH Results'!$A$2:$C$101,2,0),0)+IFERROR(VLOOKUP(A215,'#0 IH Results'!$A$3:$C$102,2,0),0)</f>
        <v>2.560843168</v>
      </c>
    </row>
    <row r="216">
      <c r="A216" s="8" t="s">
        <v>216</v>
      </c>
      <c r="B216" s="6">
        <f>IFERROR(VLOOKUP(A216,'#17 IH Results'!$A$2:$C$301,2,0),0)+IFERROR(VLOOKUP(A216,'#16 IH Results'!$A$2:$C$301,2,0),0)+IFERROR(VLOOKUP(A216,'#15 IH Results'!$A$2:$C$301,2,0),0)+IFERROR(VLOOKUP(A216,'#14 IH Results'!$A$2:$C$302,2,0),0)+IFERROR(VLOOKUP(A216,'#13 IH Results'!$A$2:$C$302,2,0),0)+IFERROR(VLOOKUP(A216,'#12 IH Results'!$A$2:$C$302,2,0),0)+IFERROR(VLOOKUP(A216,'#11 IH Results'!$A$2:$C$302,2,0),0)+IFERROR(VLOOKUP(A216,'#10 IH Results'!$A$2:$C$302,2,0),0)+IFERROR(VLOOKUP(A216,'#9 IH Results'!$A$2:$C$302,2,0),0)+IFERROR(VLOOKUP(A216,'#8 IH Results'!$A$2:$C$302,2,0),0)+IFERROR(VLOOKUP(A216,'#7 IH Results'!$A$2:$C$302,2,0),0)+IFERROR(VLOOKUP(A216,'#6 IH Results'!$A$2:$C$302,2,0),0)+IFERROR(VLOOKUP(A216,'#5 IH Results'!$A$2:$C$303,2,0),0)+IFERROR(VLOOKUP(A216,'#4 IH Results'!$A$2:$C$300,2,0),0)+IFERROR(VLOOKUP(A216,'#3 IH Results'!$A$2:$C$101,2,0),0)+IFERROR(VLOOKUP(A216,'#2 IH Results'!$A$2:$C$101,2,0),0)+IFERROR(VLOOKUP(A216,'#1 IH Results'!$A$2:$C$101,2,0),0)+IFERROR(VLOOKUP(A216,'#0 IH Results'!$A$3:$C$102,2,0),0)</f>
        <v>2.54061664</v>
      </c>
    </row>
    <row r="217">
      <c r="A217" s="8" t="s">
        <v>217</v>
      </c>
      <c r="B217" s="6">
        <f>IFERROR(VLOOKUP(A217,'#17 IH Results'!$A$2:$C$301,2,0),0)+IFERROR(VLOOKUP(A217,'#16 IH Results'!$A$2:$C$301,2,0),0)+IFERROR(VLOOKUP(A217,'#15 IH Results'!$A$2:$C$301,2,0),0)+IFERROR(VLOOKUP(A217,'#14 IH Results'!$A$2:$C$302,2,0),0)+IFERROR(VLOOKUP(A217,'#13 IH Results'!$A$2:$C$302,2,0),0)+IFERROR(VLOOKUP(A217,'#12 IH Results'!$A$2:$C$302,2,0),0)+IFERROR(VLOOKUP(A217,'#11 IH Results'!$A$2:$C$302,2,0),0)+IFERROR(VLOOKUP(A217,'#10 IH Results'!$A$2:$C$302,2,0),0)+IFERROR(VLOOKUP(A217,'#9 IH Results'!$A$2:$C$302,2,0),0)+IFERROR(VLOOKUP(A217,'#8 IH Results'!$A$2:$C$302,2,0),0)+IFERROR(VLOOKUP(A217,'#7 IH Results'!$A$2:$C$302,2,0),0)+IFERROR(VLOOKUP(A217,'#6 IH Results'!$A$2:$C$302,2,0),0)+IFERROR(VLOOKUP(A217,'#5 IH Results'!$A$2:$C$303,2,0),0)+IFERROR(VLOOKUP(A217,'#4 IH Results'!$A$2:$C$300,2,0),0)+IFERROR(VLOOKUP(A217,'#3 IH Results'!$A$2:$C$101,2,0),0)+IFERROR(VLOOKUP(A217,'#2 IH Results'!$A$2:$C$101,2,0),0)+IFERROR(VLOOKUP(A217,'#1 IH Results'!$A$2:$C$101,2,0),0)+IFERROR(VLOOKUP(A217,'#0 IH Results'!$A$3:$C$102,2,0),0)</f>
        <v>2.489385263</v>
      </c>
    </row>
    <row r="218">
      <c r="A218" s="8" t="s">
        <v>218</v>
      </c>
      <c r="B218" s="6">
        <f>IFERROR(VLOOKUP(A218,'#17 IH Results'!$A$2:$C$301,2,0),0)+IFERROR(VLOOKUP(A218,'#16 IH Results'!$A$2:$C$301,2,0),0)+IFERROR(VLOOKUP(A218,'#15 IH Results'!$A$2:$C$301,2,0),0)+IFERROR(VLOOKUP(A218,'#14 IH Results'!$A$2:$C$302,2,0),0)+IFERROR(VLOOKUP(A218,'#13 IH Results'!$A$2:$C$302,2,0),0)+IFERROR(VLOOKUP(A218,'#12 IH Results'!$A$2:$C$302,2,0),0)+IFERROR(VLOOKUP(A218,'#11 IH Results'!$A$2:$C$302,2,0),0)+IFERROR(VLOOKUP(A218,'#10 IH Results'!$A$2:$C$302,2,0),0)+IFERROR(VLOOKUP(A218,'#9 IH Results'!$A$2:$C$302,2,0),0)+IFERROR(VLOOKUP(A218,'#8 IH Results'!$A$2:$C$302,2,0),0)+IFERROR(VLOOKUP(A218,'#7 IH Results'!$A$2:$C$302,2,0),0)+IFERROR(VLOOKUP(A218,'#6 IH Results'!$A$2:$C$302,2,0),0)+IFERROR(VLOOKUP(A218,'#5 IH Results'!$A$2:$C$303,2,0),0)+IFERROR(VLOOKUP(A218,'#4 IH Results'!$A$2:$C$300,2,0),0)+IFERROR(VLOOKUP(A218,'#3 IH Results'!$A$2:$C$101,2,0),0)+IFERROR(VLOOKUP(A218,'#2 IH Results'!$A$2:$C$101,2,0),0)+IFERROR(VLOOKUP(A218,'#1 IH Results'!$A$2:$C$101,2,0),0)+IFERROR(VLOOKUP(A218,'#0 IH Results'!$A$3:$C$102,2,0),0)</f>
        <v>2.477678574</v>
      </c>
    </row>
    <row r="219">
      <c r="A219" s="8" t="s">
        <v>219</v>
      </c>
      <c r="B219" s="6">
        <f>IFERROR(VLOOKUP(A219,'#17 IH Results'!$A$2:$C$301,2,0),0)+IFERROR(VLOOKUP(A219,'#16 IH Results'!$A$2:$C$301,2,0),0)+IFERROR(VLOOKUP(A219,'#15 IH Results'!$A$2:$C$301,2,0),0)+IFERROR(VLOOKUP(A219,'#14 IH Results'!$A$2:$C$302,2,0),0)+IFERROR(VLOOKUP(A219,'#13 IH Results'!$A$2:$C$302,2,0),0)+IFERROR(VLOOKUP(A219,'#12 IH Results'!$A$2:$C$302,2,0),0)+IFERROR(VLOOKUP(A219,'#11 IH Results'!$A$2:$C$302,2,0),0)+IFERROR(VLOOKUP(A219,'#10 IH Results'!$A$2:$C$302,2,0),0)+IFERROR(VLOOKUP(A219,'#9 IH Results'!$A$2:$C$302,2,0),0)+IFERROR(VLOOKUP(A219,'#8 IH Results'!$A$2:$C$302,2,0),0)+IFERROR(VLOOKUP(A219,'#7 IH Results'!$A$2:$C$302,2,0),0)+IFERROR(VLOOKUP(A219,'#6 IH Results'!$A$2:$C$302,2,0),0)+IFERROR(VLOOKUP(A219,'#5 IH Results'!$A$2:$C$303,2,0),0)+IFERROR(VLOOKUP(A219,'#4 IH Results'!$A$2:$C$300,2,0),0)+IFERROR(VLOOKUP(A219,'#3 IH Results'!$A$2:$C$101,2,0),0)+IFERROR(VLOOKUP(A219,'#2 IH Results'!$A$2:$C$101,2,0),0)+IFERROR(VLOOKUP(A219,'#1 IH Results'!$A$2:$C$101,2,0),0)+IFERROR(VLOOKUP(A219,'#0 IH Results'!$A$3:$C$102,2,0),0)</f>
        <v>2.420608497</v>
      </c>
    </row>
    <row r="220">
      <c r="A220" s="13" t="s">
        <v>220</v>
      </c>
      <c r="B220" s="6">
        <f>IFERROR(VLOOKUP(A220,'#17 IH Results'!$A$2:$C$301,2,0),0)+IFERROR(VLOOKUP(A220,'#16 IH Results'!$A$2:$C$301,2,0),0)+IFERROR(VLOOKUP(A220,'#15 IH Results'!$A$2:$C$301,2,0),0)+IFERROR(VLOOKUP(A220,'#14 IH Results'!$A$2:$C$302,2,0),0)+IFERROR(VLOOKUP(A220,'#13 IH Results'!$A$2:$C$302,2,0),0)+IFERROR(VLOOKUP(A220,'#12 IH Results'!$A$2:$C$302,2,0),0)+IFERROR(VLOOKUP(A220,'#11 IH Results'!$A$2:$C$302,2,0),0)+IFERROR(VLOOKUP(A220,'#10 IH Results'!$A$2:$C$302,2,0),0)+IFERROR(VLOOKUP(A220,'#9 IH Results'!$A$2:$C$302,2,0),0)+IFERROR(VLOOKUP(A220,'#8 IH Results'!$A$2:$C$302,2,0),0)+IFERROR(VLOOKUP(A220,'#7 IH Results'!$A$2:$C$302,2,0),0)+IFERROR(VLOOKUP(A220,'#6 IH Results'!$A$2:$C$302,2,0),0)+IFERROR(VLOOKUP(A220,'#5 IH Results'!$A$2:$C$303,2,0),0)+IFERROR(VLOOKUP(A220,'#4 IH Results'!$A$2:$C$300,2,0),0)+IFERROR(VLOOKUP(A220,'#3 IH Results'!$A$2:$C$101,2,0),0)+IFERROR(VLOOKUP(A220,'#2 IH Results'!$A$2:$C$101,2,0),0)+IFERROR(VLOOKUP(A220,'#1 IH Results'!$A$2:$C$101,2,0),0)+IFERROR(VLOOKUP(A220,'#0 IH Results'!$A$3:$C$102,2,0),0)</f>
        <v>2.40845545</v>
      </c>
    </row>
    <row r="221">
      <c r="A221" s="8" t="s">
        <v>221</v>
      </c>
      <c r="B221" s="6">
        <f>IFERROR(VLOOKUP(A221,'#17 IH Results'!$A$2:$C$301,2,0),0)+IFERROR(VLOOKUP(A221,'#16 IH Results'!$A$2:$C$301,2,0),0)+IFERROR(VLOOKUP(A221,'#15 IH Results'!$A$2:$C$301,2,0),0)+IFERROR(VLOOKUP(A221,'#14 IH Results'!$A$2:$C$302,2,0),0)+IFERROR(VLOOKUP(A221,'#13 IH Results'!$A$2:$C$302,2,0),0)+IFERROR(VLOOKUP(A221,'#12 IH Results'!$A$2:$C$302,2,0),0)+IFERROR(VLOOKUP(A221,'#11 IH Results'!$A$2:$C$302,2,0),0)+IFERROR(VLOOKUP(A221,'#10 IH Results'!$A$2:$C$302,2,0),0)+IFERROR(VLOOKUP(A221,'#9 IH Results'!$A$2:$C$302,2,0),0)+IFERROR(VLOOKUP(A221,'#8 IH Results'!$A$2:$C$302,2,0),0)+IFERROR(VLOOKUP(A221,'#7 IH Results'!$A$2:$C$302,2,0),0)+IFERROR(VLOOKUP(A221,'#6 IH Results'!$A$2:$C$302,2,0),0)+IFERROR(VLOOKUP(A221,'#5 IH Results'!$A$2:$C$303,2,0),0)+IFERROR(VLOOKUP(A221,'#4 IH Results'!$A$2:$C$300,2,0),0)+IFERROR(VLOOKUP(A221,'#3 IH Results'!$A$2:$C$101,2,0),0)+IFERROR(VLOOKUP(A221,'#2 IH Results'!$A$2:$C$101,2,0),0)+IFERROR(VLOOKUP(A221,'#1 IH Results'!$A$2:$C$101,2,0),0)+IFERROR(VLOOKUP(A221,'#0 IH Results'!$A$3:$C$102,2,0),0)</f>
        <v>2.393205707</v>
      </c>
    </row>
    <row r="222">
      <c r="A222" s="13" t="s">
        <v>222</v>
      </c>
      <c r="B222" s="6">
        <f>IFERROR(VLOOKUP(A222,'#17 IH Results'!$A$2:$C$301,2,0),0)+IFERROR(VLOOKUP(A222,'#16 IH Results'!$A$2:$C$301,2,0),0)+IFERROR(VLOOKUP(A222,'#15 IH Results'!$A$2:$C$301,2,0),0)+IFERROR(VLOOKUP(A222,'#14 IH Results'!$A$2:$C$302,2,0),0)+IFERROR(VLOOKUP(A222,'#13 IH Results'!$A$2:$C$302,2,0),0)+IFERROR(VLOOKUP(A222,'#12 IH Results'!$A$2:$C$302,2,0),0)+IFERROR(VLOOKUP(A222,'#11 IH Results'!$A$2:$C$302,2,0),0)+IFERROR(VLOOKUP(A222,'#10 IH Results'!$A$2:$C$302,2,0),0)+IFERROR(VLOOKUP(A222,'#9 IH Results'!$A$2:$C$302,2,0),0)+IFERROR(VLOOKUP(A222,'#8 IH Results'!$A$2:$C$302,2,0),0)+IFERROR(VLOOKUP(A222,'#7 IH Results'!$A$2:$C$302,2,0),0)+IFERROR(VLOOKUP(A222,'#6 IH Results'!$A$2:$C$302,2,0),0)+IFERROR(VLOOKUP(A222,'#5 IH Results'!$A$2:$C$303,2,0),0)+IFERROR(VLOOKUP(A222,'#4 IH Results'!$A$2:$C$300,2,0),0)+IFERROR(VLOOKUP(A222,'#3 IH Results'!$A$2:$C$101,2,0),0)+IFERROR(VLOOKUP(A222,'#2 IH Results'!$A$2:$C$101,2,0),0)+IFERROR(VLOOKUP(A222,'#1 IH Results'!$A$2:$C$101,2,0),0)+IFERROR(VLOOKUP(A222,'#0 IH Results'!$A$3:$C$102,2,0),0)</f>
        <v>2.382381662</v>
      </c>
    </row>
    <row r="223">
      <c r="A223" s="8" t="s">
        <v>223</v>
      </c>
      <c r="B223" s="6">
        <f>IFERROR(VLOOKUP(A223,'#17 IH Results'!$A$2:$C$301,2,0),0)+IFERROR(VLOOKUP(A223,'#16 IH Results'!$A$2:$C$301,2,0),0)+IFERROR(VLOOKUP(A223,'#15 IH Results'!$A$2:$C$301,2,0),0)+IFERROR(VLOOKUP(A223,'#14 IH Results'!$A$2:$C$302,2,0),0)+IFERROR(VLOOKUP(A223,'#13 IH Results'!$A$2:$C$302,2,0),0)+IFERROR(VLOOKUP(A223,'#12 IH Results'!$A$2:$C$302,2,0),0)+IFERROR(VLOOKUP(A223,'#11 IH Results'!$A$2:$C$302,2,0),0)+IFERROR(VLOOKUP(A223,'#10 IH Results'!$A$2:$C$302,2,0),0)+IFERROR(VLOOKUP(A223,'#9 IH Results'!$A$2:$C$302,2,0),0)+IFERROR(VLOOKUP(A223,'#8 IH Results'!$A$2:$C$302,2,0),0)+IFERROR(VLOOKUP(A223,'#7 IH Results'!$A$2:$C$302,2,0),0)+IFERROR(VLOOKUP(A223,'#6 IH Results'!$A$2:$C$302,2,0),0)+IFERROR(VLOOKUP(A223,'#5 IH Results'!$A$2:$C$303,2,0),0)+IFERROR(VLOOKUP(A223,'#4 IH Results'!$A$2:$C$300,2,0),0)+IFERROR(VLOOKUP(A223,'#3 IH Results'!$A$2:$C$101,2,0),0)+IFERROR(VLOOKUP(A223,'#2 IH Results'!$A$2:$C$101,2,0),0)+IFERROR(VLOOKUP(A223,'#1 IH Results'!$A$2:$C$101,2,0),0)+IFERROR(VLOOKUP(A223,'#0 IH Results'!$A$3:$C$102,2,0),0)</f>
        <v>2.365313414</v>
      </c>
    </row>
    <row r="224">
      <c r="A224" s="11" t="s">
        <v>224</v>
      </c>
      <c r="B224" s="6">
        <f>IFERROR(VLOOKUP(A224,'#17 IH Results'!$A$2:$C$301,2,0),0)+IFERROR(VLOOKUP(A224,'#16 IH Results'!$A$2:$C$301,2,0),0)+IFERROR(VLOOKUP(A224,'#15 IH Results'!$A$2:$C$301,2,0),0)+IFERROR(VLOOKUP(A224,'#14 IH Results'!$A$2:$C$302,2,0),0)+IFERROR(VLOOKUP(A224,'#13 IH Results'!$A$2:$C$302,2,0),0)+IFERROR(VLOOKUP(A224,'#12 IH Results'!$A$2:$C$302,2,0),0)+IFERROR(VLOOKUP(A224,'#11 IH Results'!$A$2:$C$302,2,0),0)+IFERROR(VLOOKUP(A224,'#10 IH Results'!$A$2:$C$302,2,0),0)+IFERROR(VLOOKUP(A224,'#9 IH Results'!$A$2:$C$302,2,0),0)+IFERROR(VLOOKUP(A224,'#8 IH Results'!$A$2:$C$302,2,0),0)+IFERROR(VLOOKUP(A224,'#7 IH Results'!$A$2:$C$302,2,0),0)+IFERROR(VLOOKUP(A224,'#6 IH Results'!$A$2:$C$302,2,0),0)+IFERROR(VLOOKUP(A224,'#5 IH Results'!$A$2:$C$303,2,0),0)+IFERROR(VLOOKUP(A224,'#4 IH Results'!$A$2:$C$300,2,0),0)+IFERROR(VLOOKUP(A224,'#3 IH Results'!$A$2:$C$101,2,0),0)+IFERROR(VLOOKUP(A224,'#2 IH Results'!$A$2:$C$101,2,0),0)+IFERROR(VLOOKUP(A224,'#1 IH Results'!$A$2:$C$101,2,0),0)+IFERROR(VLOOKUP(A224,'#0 IH Results'!$A$3:$C$102,2,0),0)</f>
        <v>2.358338179</v>
      </c>
    </row>
    <row r="225">
      <c r="A225" s="15" t="s">
        <v>225</v>
      </c>
      <c r="B225" s="6">
        <f>IFERROR(VLOOKUP(A225,'#17 IH Results'!$A$2:$C$301,2,0),0)+IFERROR(VLOOKUP(A225,'#16 IH Results'!$A$2:$C$301,2,0),0)+IFERROR(VLOOKUP(A225,'#15 IH Results'!$A$2:$C$301,2,0),0)+IFERROR(VLOOKUP(A225,'#14 IH Results'!$A$2:$C$302,2,0),0)+IFERROR(VLOOKUP(A225,'#13 IH Results'!$A$2:$C$302,2,0),0)+IFERROR(VLOOKUP(A225,'#12 IH Results'!$A$2:$C$302,2,0),0)+IFERROR(VLOOKUP(A225,'#11 IH Results'!$A$2:$C$302,2,0),0)+IFERROR(VLOOKUP(A225,'#10 IH Results'!$A$2:$C$302,2,0),0)+IFERROR(VLOOKUP(A225,'#9 IH Results'!$A$2:$C$302,2,0),0)+IFERROR(VLOOKUP(A225,'#8 IH Results'!$A$2:$C$302,2,0),0)+IFERROR(VLOOKUP(A225,'#7 IH Results'!$A$2:$C$302,2,0),0)+IFERROR(VLOOKUP(A225,'#6 IH Results'!$A$2:$C$302,2,0),0)+IFERROR(VLOOKUP(A225,'#5 IH Results'!$A$2:$C$303,2,0),0)+IFERROR(VLOOKUP(A225,'#4 IH Results'!$A$2:$C$300,2,0),0)+IFERROR(VLOOKUP(A225,'#3 IH Results'!$A$2:$C$101,2,0),0)+IFERROR(VLOOKUP(A225,'#2 IH Results'!$A$2:$C$101,2,0),0)+IFERROR(VLOOKUP(A225,'#1 IH Results'!$A$2:$C$101,2,0),0)+IFERROR(VLOOKUP(A225,'#0 IH Results'!$A$3:$C$102,2,0),0)</f>
        <v>2.346531911</v>
      </c>
    </row>
    <row r="226">
      <c r="A226" s="15" t="s">
        <v>226</v>
      </c>
      <c r="B226" s="6">
        <f>IFERROR(VLOOKUP(A226,'#17 IH Results'!$A$2:$C$301,2,0),0)+IFERROR(VLOOKUP(A226,'#16 IH Results'!$A$2:$C$301,2,0),0)+IFERROR(VLOOKUP(A226,'#15 IH Results'!$A$2:$C$301,2,0),0)+IFERROR(VLOOKUP(A226,'#14 IH Results'!$A$2:$C$302,2,0),0)+IFERROR(VLOOKUP(A226,'#13 IH Results'!$A$2:$C$302,2,0),0)+IFERROR(VLOOKUP(A226,'#12 IH Results'!$A$2:$C$302,2,0),0)+IFERROR(VLOOKUP(A226,'#11 IH Results'!$A$2:$C$302,2,0),0)+IFERROR(VLOOKUP(A226,'#10 IH Results'!$A$2:$C$302,2,0),0)+IFERROR(VLOOKUP(A226,'#9 IH Results'!$A$2:$C$302,2,0),0)+IFERROR(VLOOKUP(A226,'#8 IH Results'!$A$2:$C$302,2,0),0)+IFERROR(VLOOKUP(A226,'#7 IH Results'!$A$2:$C$302,2,0),0)+IFERROR(VLOOKUP(A226,'#6 IH Results'!$A$2:$C$302,2,0),0)+IFERROR(VLOOKUP(A226,'#5 IH Results'!$A$2:$C$303,2,0),0)+IFERROR(VLOOKUP(A226,'#4 IH Results'!$A$2:$C$300,2,0),0)+IFERROR(VLOOKUP(A226,'#3 IH Results'!$A$2:$C$101,2,0),0)+IFERROR(VLOOKUP(A226,'#2 IH Results'!$A$2:$C$101,2,0),0)+IFERROR(VLOOKUP(A226,'#1 IH Results'!$A$2:$C$101,2,0),0)+IFERROR(VLOOKUP(A226,'#0 IH Results'!$A$3:$C$102,2,0),0)</f>
        <v>2.346531911</v>
      </c>
    </row>
    <row r="227">
      <c r="A227" s="15" t="s">
        <v>227</v>
      </c>
      <c r="B227" s="6">
        <f>IFERROR(VLOOKUP(A227,'#17 IH Results'!$A$2:$C$301,2,0),0)+IFERROR(VLOOKUP(A227,'#16 IH Results'!$A$2:$C$301,2,0),0)+IFERROR(VLOOKUP(A227,'#15 IH Results'!$A$2:$C$301,2,0),0)+IFERROR(VLOOKUP(A227,'#14 IH Results'!$A$2:$C$302,2,0),0)+IFERROR(VLOOKUP(A227,'#13 IH Results'!$A$2:$C$302,2,0),0)+IFERROR(VLOOKUP(A227,'#12 IH Results'!$A$2:$C$302,2,0),0)+IFERROR(VLOOKUP(A227,'#11 IH Results'!$A$2:$C$302,2,0),0)+IFERROR(VLOOKUP(A227,'#10 IH Results'!$A$2:$C$302,2,0),0)+IFERROR(VLOOKUP(A227,'#9 IH Results'!$A$2:$C$302,2,0),0)+IFERROR(VLOOKUP(A227,'#8 IH Results'!$A$2:$C$302,2,0),0)+IFERROR(VLOOKUP(A227,'#7 IH Results'!$A$2:$C$302,2,0),0)+IFERROR(VLOOKUP(A227,'#6 IH Results'!$A$2:$C$302,2,0),0)+IFERROR(VLOOKUP(A227,'#5 IH Results'!$A$2:$C$303,2,0),0)+IFERROR(VLOOKUP(A227,'#4 IH Results'!$A$2:$C$300,2,0),0)+IFERROR(VLOOKUP(A227,'#3 IH Results'!$A$2:$C$101,2,0),0)+IFERROR(VLOOKUP(A227,'#2 IH Results'!$A$2:$C$101,2,0),0)+IFERROR(VLOOKUP(A227,'#1 IH Results'!$A$2:$C$101,2,0),0)+IFERROR(VLOOKUP(A227,'#0 IH Results'!$A$3:$C$102,2,0),0)</f>
        <v>2.290676001</v>
      </c>
    </row>
    <row r="228">
      <c r="A228" s="15" t="s">
        <v>228</v>
      </c>
      <c r="B228" s="6">
        <f>IFERROR(VLOOKUP(A228,'#17 IH Results'!$A$2:$C$301,2,0),0)+IFERROR(VLOOKUP(A228,'#16 IH Results'!$A$2:$C$301,2,0),0)+IFERROR(VLOOKUP(A228,'#15 IH Results'!$A$2:$C$301,2,0),0)+IFERROR(VLOOKUP(A228,'#14 IH Results'!$A$2:$C$302,2,0),0)+IFERROR(VLOOKUP(A228,'#13 IH Results'!$A$2:$C$302,2,0),0)+IFERROR(VLOOKUP(A228,'#12 IH Results'!$A$2:$C$302,2,0),0)+IFERROR(VLOOKUP(A228,'#11 IH Results'!$A$2:$C$302,2,0),0)+IFERROR(VLOOKUP(A228,'#10 IH Results'!$A$2:$C$302,2,0),0)+IFERROR(VLOOKUP(A228,'#9 IH Results'!$A$2:$C$302,2,0),0)+IFERROR(VLOOKUP(A228,'#8 IH Results'!$A$2:$C$302,2,0),0)+IFERROR(VLOOKUP(A228,'#7 IH Results'!$A$2:$C$302,2,0),0)+IFERROR(VLOOKUP(A228,'#6 IH Results'!$A$2:$C$302,2,0),0)+IFERROR(VLOOKUP(A228,'#5 IH Results'!$A$2:$C$303,2,0),0)+IFERROR(VLOOKUP(A228,'#4 IH Results'!$A$2:$C$300,2,0),0)+IFERROR(VLOOKUP(A228,'#3 IH Results'!$A$2:$C$101,2,0),0)+IFERROR(VLOOKUP(A228,'#2 IH Results'!$A$2:$C$101,2,0),0)+IFERROR(VLOOKUP(A228,'#1 IH Results'!$A$2:$C$101,2,0),0)+IFERROR(VLOOKUP(A228,'#0 IH Results'!$A$3:$C$102,2,0),0)</f>
        <v>2.245699756</v>
      </c>
    </row>
    <row r="229">
      <c r="A229" s="15" t="s">
        <v>229</v>
      </c>
      <c r="B229" s="6">
        <f>IFERROR(VLOOKUP(A229,'#17 IH Results'!$A$2:$C$301,2,0),0)+IFERROR(VLOOKUP(A229,'#16 IH Results'!$A$2:$C$301,2,0),0)+IFERROR(VLOOKUP(A229,'#15 IH Results'!$A$2:$C$301,2,0),0)+IFERROR(VLOOKUP(A229,'#14 IH Results'!$A$2:$C$302,2,0),0)+IFERROR(VLOOKUP(A229,'#13 IH Results'!$A$2:$C$302,2,0),0)+IFERROR(VLOOKUP(A229,'#12 IH Results'!$A$2:$C$302,2,0),0)+IFERROR(VLOOKUP(A229,'#11 IH Results'!$A$2:$C$302,2,0),0)+IFERROR(VLOOKUP(A229,'#10 IH Results'!$A$2:$C$302,2,0),0)+IFERROR(VLOOKUP(A229,'#9 IH Results'!$A$2:$C$302,2,0),0)+IFERROR(VLOOKUP(A229,'#8 IH Results'!$A$2:$C$302,2,0),0)+IFERROR(VLOOKUP(A229,'#7 IH Results'!$A$2:$C$302,2,0),0)+IFERROR(VLOOKUP(A229,'#6 IH Results'!$A$2:$C$302,2,0),0)+IFERROR(VLOOKUP(A229,'#5 IH Results'!$A$2:$C$303,2,0),0)+IFERROR(VLOOKUP(A229,'#4 IH Results'!$A$2:$C$300,2,0),0)+IFERROR(VLOOKUP(A229,'#3 IH Results'!$A$2:$C$101,2,0),0)+IFERROR(VLOOKUP(A229,'#2 IH Results'!$A$2:$C$101,2,0),0)+IFERROR(VLOOKUP(A229,'#1 IH Results'!$A$2:$C$101,2,0),0)+IFERROR(VLOOKUP(A229,'#0 IH Results'!$A$3:$C$102,2,0),0)</f>
        <v>2.198583662</v>
      </c>
    </row>
    <row r="230">
      <c r="A230" s="15" t="s">
        <v>230</v>
      </c>
      <c r="B230" s="6">
        <f>IFERROR(VLOOKUP(A230,'#17 IH Results'!$A$2:$C$301,2,0),0)+IFERROR(VLOOKUP(A230,'#16 IH Results'!$A$2:$C$301,2,0),0)+IFERROR(VLOOKUP(A230,'#15 IH Results'!$A$2:$C$301,2,0),0)+IFERROR(VLOOKUP(A230,'#14 IH Results'!$A$2:$C$302,2,0),0)+IFERROR(VLOOKUP(A230,'#13 IH Results'!$A$2:$C$302,2,0),0)+IFERROR(VLOOKUP(A230,'#12 IH Results'!$A$2:$C$302,2,0),0)+IFERROR(VLOOKUP(A230,'#11 IH Results'!$A$2:$C$302,2,0),0)+IFERROR(VLOOKUP(A230,'#10 IH Results'!$A$2:$C$302,2,0),0)+IFERROR(VLOOKUP(A230,'#9 IH Results'!$A$2:$C$302,2,0),0)+IFERROR(VLOOKUP(A230,'#8 IH Results'!$A$2:$C$302,2,0),0)+IFERROR(VLOOKUP(A230,'#7 IH Results'!$A$2:$C$302,2,0),0)+IFERROR(VLOOKUP(A230,'#6 IH Results'!$A$2:$C$302,2,0),0)+IFERROR(VLOOKUP(A230,'#5 IH Results'!$A$2:$C$303,2,0),0)+IFERROR(VLOOKUP(A230,'#4 IH Results'!$A$2:$C$300,2,0),0)+IFERROR(VLOOKUP(A230,'#3 IH Results'!$A$2:$C$101,2,0),0)+IFERROR(VLOOKUP(A230,'#2 IH Results'!$A$2:$C$101,2,0),0)+IFERROR(VLOOKUP(A230,'#1 IH Results'!$A$2:$C$101,2,0),0)+IFERROR(VLOOKUP(A230,'#0 IH Results'!$A$3:$C$102,2,0),0)</f>
        <v>2.060896267</v>
      </c>
    </row>
    <row r="231">
      <c r="A231" s="15" t="s">
        <v>231</v>
      </c>
      <c r="B231" s="6">
        <f>IFERROR(VLOOKUP(A231,'#17 IH Results'!$A$2:$C$301,2,0),0)+IFERROR(VLOOKUP(A231,'#16 IH Results'!$A$2:$C$301,2,0),0)+IFERROR(VLOOKUP(A231,'#15 IH Results'!$A$2:$C$301,2,0),0)+IFERROR(VLOOKUP(A231,'#14 IH Results'!$A$2:$C$302,2,0),0)+IFERROR(VLOOKUP(A231,'#13 IH Results'!$A$2:$C$302,2,0),0)+IFERROR(VLOOKUP(A231,'#12 IH Results'!$A$2:$C$302,2,0),0)+IFERROR(VLOOKUP(A231,'#11 IH Results'!$A$2:$C$302,2,0),0)+IFERROR(VLOOKUP(A231,'#10 IH Results'!$A$2:$C$302,2,0),0)+IFERROR(VLOOKUP(A231,'#9 IH Results'!$A$2:$C$302,2,0),0)+IFERROR(VLOOKUP(A231,'#8 IH Results'!$A$2:$C$302,2,0),0)+IFERROR(VLOOKUP(A231,'#7 IH Results'!$A$2:$C$302,2,0),0)+IFERROR(VLOOKUP(A231,'#6 IH Results'!$A$2:$C$302,2,0),0)+IFERROR(VLOOKUP(A231,'#5 IH Results'!$A$2:$C$303,2,0),0)+IFERROR(VLOOKUP(A231,'#4 IH Results'!$A$2:$C$300,2,0),0)+IFERROR(VLOOKUP(A231,'#3 IH Results'!$A$2:$C$101,2,0),0)+IFERROR(VLOOKUP(A231,'#2 IH Results'!$A$2:$C$101,2,0),0)+IFERROR(VLOOKUP(A231,'#1 IH Results'!$A$2:$C$101,2,0),0)+IFERROR(VLOOKUP(A231,'#0 IH Results'!$A$3:$C$102,2,0),0)</f>
        <v>2.058873157</v>
      </c>
    </row>
    <row r="232">
      <c r="A232" s="15" t="s">
        <v>232</v>
      </c>
      <c r="B232" s="6">
        <f>IFERROR(VLOOKUP(A232,'#17 IH Results'!$A$2:$C$301,2,0),0)+IFERROR(VLOOKUP(A232,'#16 IH Results'!$A$2:$C$301,2,0),0)+IFERROR(VLOOKUP(A232,'#15 IH Results'!$A$2:$C$301,2,0),0)+IFERROR(VLOOKUP(A232,'#14 IH Results'!$A$2:$C$302,2,0),0)+IFERROR(VLOOKUP(A232,'#13 IH Results'!$A$2:$C$302,2,0),0)+IFERROR(VLOOKUP(A232,'#12 IH Results'!$A$2:$C$302,2,0),0)+IFERROR(VLOOKUP(A232,'#11 IH Results'!$A$2:$C$302,2,0),0)+IFERROR(VLOOKUP(A232,'#10 IH Results'!$A$2:$C$302,2,0),0)+IFERROR(VLOOKUP(A232,'#9 IH Results'!$A$2:$C$302,2,0),0)+IFERROR(VLOOKUP(A232,'#8 IH Results'!$A$2:$C$302,2,0),0)+IFERROR(VLOOKUP(A232,'#7 IH Results'!$A$2:$C$302,2,0),0)+IFERROR(VLOOKUP(A232,'#6 IH Results'!$A$2:$C$302,2,0),0)+IFERROR(VLOOKUP(A232,'#5 IH Results'!$A$2:$C$303,2,0),0)+IFERROR(VLOOKUP(A232,'#4 IH Results'!$A$2:$C$300,2,0),0)+IFERROR(VLOOKUP(A232,'#3 IH Results'!$A$2:$C$101,2,0),0)+IFERROR(VLOOKUP(A232,'#2 IH Results'!$A$2:$C$101,2,0),0)+IFERROR(VLOOKUP(A232,'#1 IH Results'!$A$2:$C$101,2,0),0)+IFERROR(VLOOKUP(A232,'#0 IH Results'!$A$3:$C$102,2,0),0)</f>
        <v>2.058873157</v>
      </c>
    </row>
    <row r="233">
      <c r="A233" s="15" t="s">
        <v>233</v>
      </c>
      <c r="B233" s="6">
        <f>IFERROR(VLOOKUP(A233,'#17 IH Results'!$A$2:$C$301,2,0),0)+IFERROR(VLOOKUP(A233,'#16 IH Results'!$A$2:$C$301,2,0),0)+IFERROR(VLOOKUP(A233,'#15 IH Results'!$A$2:$C$301,2,0),0)+IFERROR(VLOOKUP(A233,'#14 IH Results'!$A$2:$C$302,2,0),0)+IFERROR(VLOOKUP(A233,'#13 IH Results'!$A$2:$C$302,2,0),0)+IFERROR(VLOOKUP(A233,'#12 IH Results'!$A$2:$C$302,2,0),0)+IFERROR(VLOOKUP(A233,'#11 IH Results'!$A$2:$C$302,2,0),0)+IFERROR(VLOOKUP(A233,'#10 IH Results'!$A$2:$C$302,2,0),0)+IFERROR(VLOOKUP(A233,'#9 IH Results'!$A$2:$C$302,2,0),0)+IFERROR(VLOOKUP(A233,'#8 IH Results'!$A$2:$C$302,2,0),0)+IFERROR(VLOOKUP(A233,'#7 IH Results'!$A$2:$C$302,2,0),0)+IFERROR(VLOOKUP(A233,'#6 IH Results'!$A$2:$C$302,2,0),0)+IFERROR(VLOOKUP(A233,'#5 IH Results'!$A$2:$C$303,2,0),0)+IFERROR(VLOOKUP(A233,'#4 IH Results'!$A$2:$C$300,2,0),0)+IFERROR(VLOOKUP(A233,'#3 IH Results'!$A$2:$C$101,2,0),0)+IFERROR(VLOOKUP(A233,'#2 IH Results'!$A$2:$C$101,2,0),0)+IFERROR(VLOOKUP(A233,'#1 IH Results'!$A$2:$C$101,2,0),0)+IFERROR(VLOOKUP(A233,'#0 IH Results'!$A$3:$C$102,2,0),0)</f>
        <v>2.02818803</v>
      </c>
    </row>
    <row r="234">
      <c r="A234" s="16" t="s">
        <v>234</v>
      </c>
      <c r="B234" s="6">
        <f>IFERROR(VLOOKUP(A234,'#17 IH Results'!$A$2:$C$301,2,0),0)+IFERROR(VLOOKUP(A234,'#16 IH Results'!$A$2:$C$301,2,0),0)+IFERROR(VLOOKUP(A234,'#15 IH Results'!$A$2:$C$301,2,0),0)+IFERROR(VLOOKUP(A234,'#14 IH Results'!$A$2:$C$302,2,0),0)+IFERROR(VLOOKUP(A234,'#13 IH Results'!$A$2:$C$302,2,0),0)+IFERROR(VLOOKUP(A234,'#12 IH Results'!$A$2:$C$302,2,0),0)+IFERROR(VLOOKUP(A234,'#11 IH Results'!$A$2:$C$302,2,0),0)+IFERROR(VLOOKUP(A234,'#10 IH Results'!$A$2:$C$302,2,0),0)+IFERROR(VLOOKUP(A234,'#9 IH Results'!$A$2:$C$302,2,0),0)+IFERROR(VLOOKUP(A234,'#8 IH Results'!$A$2:$C$302,2,0),0)+IFERROR(VLOOKUP(A234,'#7 IH Results'!$A$2:$C$302,2,0),0)+IFERROR(VLOOKUP(A234,'#6 IH Results'!$A$2:$C$302,2,0),0)+IFERROR(VLOOKUP(A234,'#5 IH Results'!$A$2:$C$303,2,0),0)+IFERROR(VLOOKUP(A234,'#4 IH Results'!$A$2:$C$300,2,0),0)+IFERROR(VLOOKUP(A234,'#3 IH Results'!$A$2:$C$101,2,0),0)+IFERROR(VLOOKUP(A234,'#2 IH Results'!$A$2:$C$101,2,0),0)+IFERROR(VLOOKUP(A234,'#1 IH Results'!$A$2:$C$101,2,0),0)+IFERROR(VLOOKUP(A234,'#0 IH Results'!$A$3:$C$102,2,0),0)</f>
        <v>2.023149848</v>
      </c>
    </row>
    <row r="235">
      <c r="A235" s="17" t="s">
        <v>235</v>
      </c>
      <c r="B235" s="6">
        <f>IFERROR(VLOOKUP(A235,'#17 IH Results'!$A$2:$C$301,2,0),0)+IFERROR(VLOOKUP(A235,'#16 IH Results'!$A$2:$C$301,2,0),0)+IFERROR(VLOOKUP(A235,'#15 IH Results'!$A$2:$C$301,2,0),0)+IFERROR(VLOOKUP(A235,'#14 IH Results'!$A$2:$C$302,2,0),0)+IFERROR(VLOOKUP(A235,'#13 IH Results'!$A$2:$C$302,2,0),0)+IFERROR(VLOOKUP(A235,'#12 IH Results'!$A$2:$C$302,2,0),0)+IFERROR(VLOOKUP(A235,'#11 IH Results'!$A$2:$C$302,2,0),0)+IFERROR(VLOOKUP(A235,'#10 IH Results'!$A$2:$C$302,2,0),0)+IFERROR(VLOOKUP(A235,'#9 IH Results'!$A$2:$C$302,2,0),0)+IFERROR(VLOOKUP(A235,'#8 IH Results'!$A$2:$C$302,2,0),0)+IFERROR(VLOOKUP(A235,'#7 IH Results'!$A$2:$C$302,2,0),0)+IFERROR(VLOOKUP(A235,'#6 IH Results'!$A$2:$C$302,2,0),0)+IFERROR(VLOOKUP(A235,'#5 IH Results'!$A$2:$C$303,2,0),0)+IFERROR(VLOOKUP(A235,'#4 IH Results'!$A$2:$C$300,2,0),0)+IFERROR(VLOOKUP(A235,'#3 IH Results'!$A$2:$C$101,2,0),0)+IFERROR(VLOOKUP(A235,'#2 IH Results'!$A$2:$C$101,2,0),0)+IFERROR(VLOOKUP(A235,'#1 IH Results'!$A$2:$C$101,2,0),0)+IFERROR(VLOOKUP(A235,'#0 IH Results'!$A$3:$C$102,2,0),0)</f>
        <v>1.970012994</v>
      </c>
    </row>
    <row r="236">
      <c r="A236" s="8" t="s">
        <v>236</v>
      </c>
      <c r="B236" s="6">
        <f>IFERROR(VLOOKUP(A236,'#17 IH Results'!$A$2:$C$301,2,0),0)+IFERROR(VLOOKUP(A236,'#16 IH Results'!$A$2:$C$301,2,0),0)+IFERROR(VLOOKUP(A236,'#15 IH Results'!$A$2:$C$301,2,0),0)+IFERROR(VLOOKUP(A236,'#14 IH Results'!$A$2:$C$302,2,0),0)+IFERROR(VLOOKUP(A236,'#13 IH Results'!$A$2:$C$302,2,0),0)+IFERROR(VLOOKUP(A236,'#12 IH Results'!$A$2:$C$302,2,0),0)+IFERROR(VLOOKUP(A236,'#11 IH Results'!$A$2:$C$302,2,0),0)+IFERROR(VLOOKUP(A236,'#10 IH Results'!$A$2:$C$302,2,0),0)+IFERROR(VLOOKUP(A236,'#9 IH Results'!$A$2:$C$302,2,0),0)+IFERROR(VLOOKUP(A236,'#8 IH Results'!$A$2:$C$302,2,0),0)+IFERROR(VLOOKUP(A236,'#7 IH Results'!$A$2:$C$302,2,0),0)+IFERROR(VLOOKUP(A236,'#6 IH Results'!$A$2:$C$302,2,0),0)+IFERROR(VLOOKUP(A236,'#5 IH Results'!$A$2:$C$303,2,0),0)+IFERROR(VLOOKUP(A236,'#4 IH Results'!$A$2:$C$300,2,0),0)+IFERROR(VLOOKUP(A236,'#3 IH Results'!$A$2:$C$101,2,0),0)+IFERROR(VLOOKUP(A236,'#2 IH Results'!$A$2:$C$101,2,0),0)+IFERROR(VLOOKUP(A236,'#1 IH Results'!$A$2:$C$101,2,0),0)+IFERROR(VLOOKUP(A236,'#0 IH Results'!$A$3:$C$102,2,0),0)</f>
        <v>1.866318619</v>
      </c>
    </row>
    <row r="237">
      <c r="A237" s="8" t="s">
        <v>237</v>
      </c>
      <c r="B237" s="6">
        <f>IFERROR(VLOOKUP(A237,'#17 IH Results'!$A$2:$C$301,2,0),0)+IFERROR(VLOOKUP(A237,'#16 IH Results'!$A$2:$C$301,2,0),0)+IFERROR(VLOOKUP(A237,'#15 IH Results'!$A$2:$C$301,2,0),0)+IFERROR(VLOOKUP(A237,'#14 IH Results'!$A$2:$C$302,2,0),0)+IFERROR(VLOOKUP(A237,'#13 IH Results'!$A$2:$C$302,2,0),0)+IFERROR(VLOOKUP(A237,'#12 IH Results'!$A$2:$C$302,2,0),0)+IFERROR(VLOOKUP(A237,'#11 IH Results'!$A$2:$C$302,2,0),0)+IFERROR(VLOOKUP(A237,'#10 IH Results'!$A$2:$C$302,2,0),0)+IFERROR(VLOOKUP(A237,'#9 IH Results'!$A$2:$C$302,2,0),0)+IFERROR(VLOOKUP(A237,'#8 IH Results'!$A$2:$C$302,2,0),0)+IFERROR(VLOOKUP(A237,'#7 IH Results'!$A$2:$C$302,2,0),0)+IFERROR(VLOOKUP(A237,'#6 IH Results'!$A$2:$C$302,2,0),0)+IFERROR(VLOOKUP(A237,'#5 IH Results'!$A$2:$C$303,2,0),0)+IFERROR(VLOOKUP(A237,'#4 IH Results'!$A$2:$C$300,2,0),0)+IFERROR(VLOOKUP(A237,'#3 IH Results'!$A$2:$C$101,2,0),0)+IFERROR(VLOOKUP(A237,'#2 IH Results'!$A$2:$C$101,2,0),0)+IFERROR(VLOOKUP(A237,'#1 IH Results'!$A$2:$C$101,2,0),0)+IFERROR(VLOOKUP(A237,'#0 IH Results'!$A$3:$C$102,2,0),0)</f>
        <v>1.860862024</v>
      </c>
    </row>
    <row r="238">
      <c r="A238" s="8" t="s">
        <v>238</v>
      </c>
      <c r="B238" s="6">
        <f>IFERROR(VLOOKUP(A238,'#17 IH Results'!$A$2:$C$301,2,0),0)+IFERROR(VLOOKUP(A238,'#16 IH Results'!$A$2:$C$301,2,0),0)+IFERROR(VLOOKUP(A238,'#15 IH Results'!$A$2:$C$301,2,0),0)+IFERROR(VLOOKUP(A238,'#14 IH Results'!$A$2:$C$302,2,0),0)+IFERROR(VLOOKUP(A238,'#13 IH Results'!$A$2:$C$302,2,0),0)+IFERROR(VLOOKUP(A238,'#12 IH Results'!$A$2:$C$302,2,0),0)+IFERROR(VLOOKUP(A238,'#11 IH Results'!$A$2:$C$302,2,0),0)+IFERROR(VLOOKUP(A238,'#10 IH Results'!$A$2:$C$302,2,0),0)+IFERROR(VLOOKUP(A238,'#9 IH Results'!$A$2:$C$302,2,0),0)+IFERROR(VLOOKUP(A238,'#8 IH Results'!$A$2:$C$302,2,0),0)+IFERROR(VLOOKUP(A238,'#7 IH Results'!$A$2:$C$302,2,0),0)+IFERROR(VLOOKUP(A238,'#6 IH Results'!$A$2:$C$302,2,0),0)+IFERROR(VLOOKUP(A238,'#5 IH Results'!$A$2:$C$303,2,0),0)+IFERROR(VLOOKUP(A238,'#4 IH Results'!$A$2:$C$300,2,0),0)+IFERROR(VLOOKUP(A238,'#3 IH Results'!$A$2:$C$101,2,0),0)+IFERROR(VLOOKUP(A238,'#2 IH Results'!$A$2:$C$101,2,0),0)+IFERROR(VLOOKUP(A238,'#1 IH Results'!$A$2:$C$101,2,0),0)+IFERROR(VLOOKUP(A238,'#0 IH Results'!$A$3:$C$102,2,0),0)</f>
        <v>1.818732761</v>
      </c>
    </row>
    <row r="239">
      <c r="A239" s="8" t="s">
        <v>239</v>
      </c>
      <c r="B239" s="6">
        <f>IFERROR(VLOOKUP(A239,'#17 IH Results'!$A$2:$C$301,2,0),0)+IFERROR(VLOOKUP(A239,'#16 IH Results'!$A$2:$C$301,2,0),0)+IFERROR(VLOOKUP(A239,'#15 IH Results'!$A$2:$C$301,2,0),0)+IFERROR(VLOOKUP(A239,'#14 IH Results'!$A$2:$C$302,2,0),0)+IFERROR(VLOOKUP(A239,'#13 IH Results'!$A$2:$C$302,2,0),0)+IFERROR(VLOOKUP(A239,'#12 IH Results'!$A$2:$C$302,2,0),0)+IFERROR(VLOOKUP(A239,'#11 IH Results'!$A$2:$C$302,2,0),0)+IFERROR(VLOOKUP(A239,'#10 IH Results'!$A$2:$C$302,2,0),0)+IFERROR(VLOOKUP(A239,'#9 IH Results'!$A$2:$C$302,2,0),0)+IFERROR(VLOOKUP(A239,'#8 IH Results'!$A$2:$C$302,2,0),0)+IFERROR(VLOOKUP(A239,'#7 IH Results'!$A$2:$C$302,2,0),0)+IFERROR(VLOOKUP(A239,'#6 IH Results'!$A$2:$C$302,2,0),0)+IFERROR(VLOOKUP(A239,'#5 IH Results'!$A$2:$C$303,2,0),0)+IFERROR(VLOOKUP(A239,'#4 IH Results'!$A$2:$C$300,2,0),0)+IFERROR(VLOOKUP(A239,'#3 IH Results'!$A$2:$C$101,2,0),0)+IFERROR(VLOOKUP(A239,'#2 IH Results'!$A$2:$C$101,2,0),0)+IFERROR(VLOOKUP(A239,'#1 IH Results'!$A$2:$C$101,2,0),0)+IFERROR(VLOOKUP(A239,'#0 IH Results'!$A$3:$C$102,2,0),0)</f>
        <v>1.810341959</v>
      </c>
    </row>
    <row r="240">
      <c r="A240" s="8" t="s">
        <v>240</v>
      </c>
      <c r="B240" s="6">
        <f>IFERROR(VLOOKUP(A240,'#17 IH Results'!$A$2:$C$301,2,0),0)+IFERROR(VLOOKUP(A240,'#16 IH Results'!$A$2:$C$301,2,0),0)+IFERROR(VLOOKUP(A240,'#15 IH Results'!$A$2:$C$301,2,0),0)+IFERROR(VLOOKUP(A240,'#14 IH Results'!$A$2:$C$302,2,0),0)+IFERROR(VLOOKUP(A240,'#13 IH Results'!$A$2:$C$302,2,0),0)+IFERROR(VLOOKUP(A240,'#12 IH Results'!$A$2:$C$302,2,0),0)+IFERROR(VLOOKUP(A240,'#11 IH Results'!$A$2:$C$302,2,0),0)+IFERROR(VLOOKUP(A240,'#10 IH Results'!$A$2:$C$302,2,0),0)+IFERROR(VLOOKUP(A240,'#9 IH Results'!$A$2:$C$302,2,0),0)+IFERROR(VLOOKUP(A240,'#8 IH Results'!$A$2:$C$302,2,0),0)+IFERROR(VLOOKUP(A240,'#7 IH Results'!$A$2:$C$302,2,0),0)+IFERROR(VLOOKUP(A240,'#6 IH Results'!$A$2:$C$302,2,0),0)+IFERROR(VLOOKUP(A240,'#5 IH Results'!$A$2:$C$303,2,0),0)+IFERROR(VLOOKUP(A240,'#4 IH Results'!$A$2:$C$300,2,0),0)+IFERROR(VLOOKUP(A240,'#3 IH Results'!$A$2:$C$101,2,0),0)+IFERROR(VLOOKUP(A240,'#2 IH Results'!$A$2:$C$101,2,0),0)+IFERROR(VLOOKUP(A240,'#1 IH Results'!$A$2:$C$101,2,0),0)+IFERROR(VLOOKUP(A240,'#0 IH Results'!$A$3:$C$102,2,0),0)</f>
        <v>1.755730771</v>
      </c>
    </row>
    <row r="241">
      <c r="A241" s="8" t="s">
        <v>241</v>
      </c>
      <c r="B241" s="6">
        <f>IFERROR(VLOOKUP(A241,'#17 IH Results'!$A$2:$C$301,2,0),0)+IFERROR(VLOOKUP(A241,'#16 IH Results'!$A$2:$C$301,2,0),0)+IFERROR(VLOOKUP(A241,'#15 IH Results'!$A$2:$C$301,2,0),0)+IFERROR(VLOOKUP(A241,'#14 IH Results'!$A$2:$C$302,2,0),0)+IFERROR(VLOOKUP(A241,'#13 IH Results'!$A$2:$C$302,2,0),0)+IFERROR(VLOOKUP(A241,'#12 IH Results'!$A$2:$C$302,2,0),0)+IFERROR(VLOOKUP(A241,'#11 IH Results'!$A$2:$C$302,2,0),0)+IFERROR(VLOOKUP(A241,'#10 IH Results'!$A$2:$C$302,2,0),0)+IFERROR(VLOOKUP(A241,'#9 IH Results'!$A$2:$C$302,2,0),0)+IFERROR(VLOOKUP(A241,'#8 IH Results'!$A$2:$C$302,2,0),0)+IFERROR(VLOOKUP(A241,'#7 IH Results'!$A$2:$C$302,2,0),0)+IFERROR(VLOOKUP(A241,'#6 IH Results'!$A$2:$C$302,2,0),0)+IFERROR(VLOOKUP(A241,'#5 IH Results'!$A$2:$C$303,2,0),0)+IFERROR(VLOOKUP(A241,'#4 IH Results'!$A$2:$C$300,2,0),0)+IFERROR(VLOOKUP(A241,'#3 IH Results'!$A$2:$C$101,2,0),0)+IFERROR(VLOOKUP(A241,'#2 IH Results'!$A$2:$C$101,2,0),0)+IFERROR(VLOOKUP(A241,'#1 IH Results'!$A$2:$C$101,2,0),0)+IFERROR(VLOOKUP(A241,'#0 IH Results'!$A$3:$C$102,2,0),0)</f>
        <v>1.736100925</v>
      </c>
    </row>
    <row r="242">
      <c r="A242" s="8" t="s">
        <v>242</v>
      </c>
      <c r="B242" s="6">
        <f>IFERROR(VLOOKUP(A242,'#17 IH Results'!$A$2:$C$301,2,0),0)+IFERROR(VLOOKUP(A242,'#16 IH Results'!$A$2:$C$301,2,0),0)+IFERROR(VLOOKUP(A242,'#15 IH Results'!$A$2:$C$301,2,0),0)+IFERROR(VLOOKUP(A242,'#14 IH Results'!$A$2:$C$302,2,0),0)+IFERROR(VLOOKUP(A242,'#13 IH Results'!$A$2:$C$302,2,0),0)+IFERROR(VLOOKUP(A242,'#12 IH Results'!$A$2:$C$302,2,0),0)+IFERROR(VLOOKUP(A242,'#11 IH Results'!$A$2:$C$302,2,0),0)+IFERROR(VLOOKUP(A242,'#10 IH Results'!$A$2:$C$302,2,0),0)+IFERROR(VLOOKUP(A242,'#9 IH Results'!$A$2:$C$302,2,0),0)+IFERROR(VLOOKUP(A242,'#8 IH Results'!$A$2:$C$302,2,0),0)+IFERROR(VLOOKUP(A242,'#7 IH Results'!$A$2:$C$302,2,0),0)+IFERROR(VLOOKUP(A242,'#6 IH Results'!$A$2:$C$302,2,0),0)+IFERROR(VLOOKUP(A242,'#5 IH Results'!$A$2:$C$303,2,0),0)+IFERROR(VLOOKUP(A242,'#4 IH Results'!$A$2:$C$300,2,0),0)+IFERROR(VLOOKUP(A242,'#3 IH Results'!$A$2:$C$101,2,0),0)+IFERROR(VLOOKUP(A242,'#2 IH Results'!$A$2:$C$101,2,0),0)+IFERROR(VLOOKUP(A242,'#1 IH Results'!$A$2:$C$101,2,0),0)+IFERROR(VLOOKUP(A242,'#0 IH Results'!$A$3:$C$102,2,0),0)</f>
        <v>1.714267953</v>
      </c>
    </row>
    <row r="243">
      <c r="A243" s="13" t="s">
        <v>243</v>
      </c>
      <c r="B243" s="6">
        <f>IFERROR(VLOOKUP(A243,'#17 IH Results'!$A$2:$C$301,2,0),0)+IFERROR(VLOOKUP(A243,'#16 IH Results'!$A$2:$C$301,2,0),0)+IFERROR(VLOOKUP(A243,'#15 IH Results'!$A$2:$C$301,2,0),0)+IFERROR(VLOOKUP(A243,'#14 IH Results'!$A$2:$C$302,2,0),0)+IFERROR(VLOOKUP(A243,'#13 IH Results'!$A$2:$C$302,2,0),0)+IFERROR(VLOOKUP(A243,'#12 IH Results'!$A$2:$C$302,2,0),0)+IFERROR(VLOOKUP(A243,'#11 IH Results'!$A$2:$C$302,2,0),0)+IFERROR(VLOOKUP(A243,'#10 IH Results'!$A$2:$C$302,2,0),0)+IFERROR(VLOOKUP(A243,'#9 IH Results'!$A$2:$C$302,2,0),0)+IFERROR(VLOOKUP(A243,'#8 IH Results'!$A$2:$C$302,2,0),0)+IFERROR(VLOOKUP(A243,'#7 IH Results'!$A$2:$C$302,2,0),0)+IFERROR(VLOOKUP(A243,'#6 IH Results'!$A$2:$C$302,2,0),0)+IFERROR(VLOOKUP(A243,'#5 IH Results'!$A$2:$C$303,2,0),0)+IFERROR(VLOOKUP(A243,'#4 IH Results'!$A$2:$C$300,2,0),0)+IFERROR(VLOOKUP(A243,'#3 IH Results'!$A$2:$C$101,2,0),0)+IFERROR(VLOOKUP(A243,'#2 IH Results'!$A$2:$C$101,2,0),0)+IFERROR(VLOOKUP(A243,'#1 IH Results'!$A$2:$C$101,2,0),0)+IFERROR(VLOOKUP(A243,'#0 IH Results'!$A$3:$C$102,2,0),0)</f>
        <v>1.712771486</v>
      </c>
    </row>
    <row r="244">
      <c r="A244" s="8" t="s">
        <v>244</v>
      </c>
      <c r="B244" s="6">
        <f>IFERROR(VLOOKUP(A244,'#17 IH Results'!$A$2:$C$301,2,0),0)+IFERROR(VLOOKUP(A244,'#16 IH Results'!$A$2:$C$301,2,0),0)+IFERROR(VLOOKUP(A244,'#15 IH Results'!$A$2:$C$301,2,0),0)+IFERROR(VLOOKUP(A244,'#14 IH Results'!$A$2:$C$302,2,0),0)+IFERROR(VLOOKUP(A244,'#13 IH Results'!$A$2:$C$302,2,0),0)+IFERROR(VLOOKUP(A244,'#12 IH Results'!$A$2:$C$302,2,0),0)+IFERROR(VLOOKUP(A244,'#11 IH Results'!$A$2:$C$302,2,0),0)+IFERROR(VLOOKUP(A244,'#10 IH Results'!$A$2:$C$302,2,0),0)+IFERROR(VLOOKUP(A244,'#9 IH Results'!$A$2:$C$302,2,0),0)+IFERROR(VLOOKUP(A244,'#8 IH Results'!$A$2:$C$302,2,0),0)+IFERROR(VLOOKUP(A244,'#7 IH Results'!$A$2:$C$302,2,0),0)+IFERROR(VLOOKUP(A244,'#6 IH Results'!$A$2:$C$302,2,0),0)+IFERROR(VLOOKUP(A244,'#5 IH Results'!$A$2:$C$303,2,0),0)+IFERROR(VLOOKUP(A244,'#4 IH Results'!$A$2:$C$300,2,0),0)+IFERROR(VLOOKUP(A244,'#3 IH Results'!$A$2:$C$101,2,0),0)+IFERROR(VLOOKUP(A244,'#2 IH Results'!$A$2:$C$101,2,0),0)+IFERROR(VLOOKUP(A244,'#1 IH Results'!$A$2:$C$101,2,0),0)+IFERROR(VLOOKUP(A244,'#0 IH Results'!$A$3:$C$102,2,0),0)</f>
        <v>1.670794236</v>
      </c>
    </row>
    <row r="245">
      <c r="A245" s="8" t="s">
        <v>245</v>
      </c>
      <c r="B245" s="6">
        <f>IFERROR(VLOOKUP(A245,'#17 IH Results'!$A$2:$C$301,2,0),0)+IFERROR(VLOOKUP(A245,'#16 IH Results'!$A$2:$C$301,2,0),0)+IFERROR(VLOOKUP(A245,'#15 IH Results'!$A$2:$C$301,2,0),0)+IFERROR(VLOOKUP(A245,'#14 IH Results'!$A$2:$C$302,2,0),0)+IFERROR(VLOOKUP(A245,'#13 IH Results'!$A$2:$C$302,2,0),0)+IFERROR(VLOOKUP(A245,'#12 IH Results'!$A$2:$C$302,2,0),0)+IFERROR(VLOOKUP(A245,'#11 IH Results'!$A$2:$C$302,2,0),0)+IFERROR(VLOOKUP(A245,'#10 IH Results'!$A$2:$C$302,2,0),0)+IFERROR(VLOOKUP(A245,'#9 IH Results'!$A$2:$C$302,2,0),0)+IFERROR(VLOOKUP(A245,'#8 IH Results'!$A$2:$C$302,2,0),0)+IFERROR(VLOOKUP(A245,'#7 IH Results'!$A$2:$C$302,2,0),0)+IFERROR(VLOOKUP(A245,'#6 IH Results'!$A$2:$C$302,2,0),0)+IFERROR(VLOOKUP(A245,'#5 IH Results'!$A$2:$C$303,2,0),0)+IFERROR(VLOOKUP(A245,'#4 IH Results'!$A$2:$C$300,2,0),0)+IFERROR(VLOOKUP(A245,'#3 IH Results'!$A$2:$C$101,2,0),0)+IFERROR(VLOOKUP(A245,'#2 IH Results'!$A$2:$C$101,2,0),0)+IFERROR(VLOOKUP(A245,'#1 IH Results'!$A$2:$C$101,2,0),0)+IFERROR(VLOOKUP(A245,'#0 IH Results'!$A$3:$C$102,2,0),0)</f>
        <v>1.651785716</v>
      </c>
    </row>
    <row r="246">
      <c r="A246" s="8" t="s">
        <v>246</v>
      </c>
      <c r="B246" s="6">
        <f>IFERROR(VLOOKUP(A246,'#17 IH Results'!$A$2:$C$301,2,0),0)+IFERROR(VLOOKUP(A246,'#16 IH Results'!$A$2:$C$301,2,0),0)+IFERROR(VLOOKUP(A246,'#15 IH Results'!$A$2:$C$301,2,0),0)+IFERROR(VLOOKUP(A246,'#14 IH Results'!$A$2:$C$302,2,0),0)+IFERROR(VLOOKUP(A246,'#13 IH Results'!$A$2:$C$302,2,0),0)+IFERROR(VLOOKUP(A246,'#12 IH Results'!$A$2:$C$302,2,0),0)+IFERROR(VLOOKUP(A246,'#11 IH Results'!$A$2:$C$302,2,0),0)+IFERROR(VLOOKUP(A246,'#10 IH Results'!$A$2:$C$302,2,0),0)+IFERROR(VLOOKUP(A246,'#9 IH Results'!$A$2:$C$302,2,0),0)+IFERROR(VLOOKUP(A246,'#8 IH Results'!$A$2:$C$302,2,0),0)+IFERROR(VLOOKUP(A246,'#7 IH Results'!$A$2:$C$302,2,0),0)+IFERROR(VLOOKUP(A246,'#6 IH Results'!$A$2:$C$302,2,0),0)+IFERROR(VLOOKUP(A246,'#5 IH Results'!$A$2:$C$303,2,0),0)+IFERROR(VLOOKUP(A246,'#4 IH Results'!$A$2:$C$300,2,0),0)+IFERROR(VLOOKUP(A246,'#3 IH Results'!$A$2:$C$101,2,0),0)+IFERROR(VLOOKUP(A246,'#2 IH Results'!$A$2:$C$101,2,0),0)+IFERROR(VLOOKUP(A246,'#1 IH Results'!$A$2:$C$101,2,0),0)+IFERROR(VLOOKUP(A246,'#0 IH Results'!$A$3:$C$102,2,0),0)</f>
        <v>1.651785716</v>
      </c>
    </row>
    <row r="247">
      <c r="A247" s="16" t="s">
        <v>247</v>
      </c>
      <c r="B247" s="6">
        <f>IFERROR(VLOOKUP(A247,'#17 IH Results'!$A$2:$C$301,2,0),0)+IFERROR(VLOOKUP(A247,'#16 IH Results'!$A$2:$C$301,2,0),0)+IFERROR(VLOOKUP(A247,'#15 IH Results'!$A$2:$C$301,2,0),0)+IFERROR(VLOOKUP(A247,'#14 IH Results'!$A$2:$C$302,2,0),0)+IFERROR(VLOOKUP(A247,'#13 IH Results'!$A$2:$C$302,2,0),0)+IFERROR(VLOOKUP(A247,'#12 IH Results'!$A$2:$C$302,2,0),0)+IFERROR(VLOOKUP(A247,'#11 IH Results'!$A$2:$C$302,2,0),0)+IFERROR(VLOOKUP(A247,'#10 IH Results'!$A$2:$C$302,2,0),0)+IFERROR(VLOOKUP(A247,'#9 IH Results'!$A$2:$C$302,2,0),0)+IFERROR(VLOOKUP(A247,'#8 IH Results'!$A$2:$C$302,2,0),0)+IFERROR(VLOOKUP(A247,'#7 IH Results'!$A$2:$C$302,2,0),0)+IFERROR(VLOOKUP(A247,'#6 IH Results'!$A$2:$C$302,2,0),0)+IFERROR(VLOOKUP(A247,'#5 IH Results'!$A$2:$C$303,2,0),0)+IFERROR(VLOOKUP(A247,'#4 IH Results'!$A$2:$C$300,2,0),0)+IFERROR(VLOOKUP(A247,'#3 IH Results'!$A$2:$C$101,2,0),0)+IFERROR(VLOOKUP(A247,'#2 IH Results'!$A$2:$C$101,2,0),0)+IFERROR(VLOOKUP(A247,'#1 IH Results'!$A$2:$C$101,2,0),0)+IFERROR(VLOOKUP(A247,'#0 IH Results'!$A$3:$C$102,2,0),0)</f>
        <v>1.651785716</v>
      </c>
    </row>
    <row r="248">
      <c r="A248" s="8" t="s">
        <v>248</v>
      </c>
      <c r="B248" s="6">
        <f>IFERROR(VLOOKUP(A248,'#17 IH Results'!$A$2:$C$301,2,0),0)+IFERROR(VLOOKUP(A248,'#16 IH Results'!$A$2:$C$301,2,0),0)+IFERROR(VLOOKUP(A248,'#15 IH Results'!$A$2:$C$301,2,0),0)+IFERROR(VLOOKUP(A248,'#14 IH Results'!$A$2:$C$302,2,0),0)+IFERROR(VLOOKUP(A248,'#13 IH Results'!$A$2:$C$302,2,0),0)+IFERROR(VLOOKUP(A248,'#12 IH Results'!$A$2:$C$302,2,0),0)+IFERROR(VLOOKUP(A248,'#11 IH Results'!$A$2:$C$302,2,0),0)+IFERROR(VLOOKUP(A248,'#10 IH Results'!$A$2:$C$302,2,0),0)+IFERROR(VLOOKUP(A248,'#9 IH Results'!$A$2:$C$302,2,0),0)+IFERROR(VLOOKUP(A248,'#8 IH Results'!$A$2:$C$302,2,0),0)+IFERROR(VLOOKUP(A248,'#7 IH Results'!$A$2:$C$302,2,0),0)+IFERROR(VLOOKUP(A248,'#6 IH Results'!$A$2:$C$302,2,0),0)+IFERROR(VLOOKUP(A248,'#5 IH Results'!$A$2:$C$303,2,0),0)+IFERROR(VLOOKUP(A248,'#4 IH Results'!$A$2:$C$300,2,0),0)+IFERROR(VLOOKUP(A248,'#3 IH Results'!$A$2:$C$101,2,0),0)+IFERROR(VLOOKUP(A248,'#2 IH Results'!$A$2:$C$101,2,0),0)+IFERROR(VLOOKUP(A248,'#1 IH Results'!$A$2:$C$101,2,0),0)+IFERROR(VLOOKUP(A248,'#0 IH Results'!$A$3:$C$102,2,0),0)</f>
        <v>1.651785716</v>
      </c>
    </row>
    <row r="249">
      <c r="A249" s="8" t="s">
        <v>249</v>
      </c>
      <c r="B249" s="6">
        <f>IFERROR(VLOOKUP(A249,'#17 IH Results'!$A$2:$C$301,2,0),0)+IFERROR(VLOOKUP(A249,'#16 IH Results'!$A$2:$C$301,2,0),0)+IFERROR(VLOOKUP(A249,'#15 IH Results'!$A$2:$C$301,2,0),0)+IFERROR(VLOOKUP(A249,'#14 IH Results'!$A$2:$C$302,2,0),0)+IFERROR(VLOOKUP(A249,'#13 IH Results'!$A$2:$C$302,2,0),0)+IFERROR(VLOOKUP(A249,'#12 IH Results'!$A$2:$C$302,2,0),0)+IFERROR(VLOOKUP(A249,'#11 IH Results'!$A$2:$C$302,2,0),0)+IFERROR(VLOOKUP(A249,'#10 IH Results'!$A$2:$C$302,2,0),0)+IFERROR(VLOOKUP(A249,'#9 IH Results'!$A$2:$C$302,2,0),0)+IFERROR(VLOOKUP(A249,'#8 IH Results'!$A$2:$C$302,2,0),0)+IFERROR(VLOOKUP(A249,'#7 IH Results'!$A$2:$C$302,2,0),0)+IFERROR(VLOOKUP(A249,'#6 IH Results'!$A$2:$C$302,2,0),0)+IFERROR(VLOOKUP(A249,'#5 IH Results'!$A$2:$C$303,2,0),0)+IFERROR(VLOOKUP(A249,'#4 IH Results'!$A$2:$C$300,2,0),0)+IFERROR(VLOOKUP(A249,'#3 IH Results'!$A$2:$C$101,2,0),0)+IFERROR(VLOOKUP(A249,'#2 IH Results'!$A$2:$C$101,2,0),0)+IFERROR(VLOOKUP(A249,'#1 IH Results'!$A$2:$C$101,2,0),0)+IFERROR(VLOOKUP(A249,'#0 IH Results'!$A$3:$C$102,2,0),0)</f>
        <v>1.650637803</v>
      </c>
    </row>
    <row r="250">
      <c r="A250" s="8" t="s">
        <v>250</v>
      </c>
      <c r="B250" s="6">
        <f>IFERROR(VLOOKUP(A250,'#17 IH Results'!$A$2:$C$301,2,0),0)+IFERROR(VLOOKUP(A250,'#16 IH Results'!$A$2:$C$301,2,0),0)+IFERROR(VLOOKUP(A250,'#15 IH Results'!$A$2:$C$301,2,0),0)+IFERROR(VLOOKUP(A250,'#14 IH Results'!$A$2:$C$302,2,0),0)+IFERROR(VLOOKUP(A250,'#13 IH Results'!$A$2:$C$302,2,0),0)+IFERROR(VLOOKUP(A250,'#12 IH Results'!$A$2:$C$302,2,0),0)+IFERROR(VLOOKUP(A250,'#11 IH Results'!$A$2:$C$302,2,0),0)+IFERROR(VLOOKUP(A250,'#10 IH Results'!$A$2:$C$302,2,0),0)+IFERROR(VLOOKUP(A250,'#9 IH Results'!$A$2:$C$302,2,0),0)+IFERROR(VLOOKUP(A250,'#8 IH Results'!$A$2:$C$302,2,0),0)+IFERROR(VLOOKUP(A250,'#7 IH Results'!$A$2:$C$302,2,0),0)+IFERROR(VLOOKUP(A250,'#6 IH Results'!$A$2:$C$302,2,0),0)+IFERROR(VLOOKUP(A250,'#5 IH Results'!$A$2:$C$303,2,0),0)+IFERROR(VLOOKUP(A250,'#4 IH Results'!$A$2:$C$300,2,0),0)+IFERROR(VLOOKUP(A250,'#3 IH Results'!$A$2:$C$101,2,0),0)+IFERROR(VLOOKUP(A250,'#2 IH Results'!$A$2:$C$101,2,0),0)+IFERROR(VLOOKUP(A250,'#1 IH Results'!$A$2:$C$101,2,0),0)+IFERROR(VLOOKUP(A250,'#0 IH Results'!$A$3:$C$102,2,0),0)</f>
        <v>1.636916585</v>
      </c>
    </row>
    <row r="251">
      <c r="A251" s="8" t="s">
        <v>251</v>
      </c>
      <c r="B251" s="6">
        <f>IFERROR(VLOOKUP(A251,'#17 IH Results'!$A$2:$C$301,2,0),0)+IFERROR(VLOOKUP(A251,'#16 IH Results'!$A$2:$C$301,2,0),0)+IFERROR(VLOOKUP(A251,'#15 IH Results'!$A$2:$C$301,2,0),0)+IFERROR(VLOOKUP(A251,'#14 IH Results'!$A$2:$C$302,2,0),0)+IFERROR(VLOOKUP(A251,'#13 IH Results'!$A$2:$C$302,2,0),0)+IFERROR(VLOOKUP(A251,'#12 IH Results'!$A$2:$C$302,2,0),0)+IFERROR(VLOOKUP(A251,'#11 IH Results'!$A$2:$C$302,2,0),0)+IFERROR(VLOOKUP(A251,'#10 IH Results'!$A$2:$C$302,2,0),0)+IFERROR(VLOOKUP(A251,'#9 IH Results'!$A$2:$C$302,2,0),0)+IFERROR(VLOOKUP(A251,'#8 IH Results'!$A$2:$C$302,2,0),0)+IFERROR(VLOOKUP(A251,'#7 IH Results'!$A$2:$C$302,2,0),0)+IFERROR(VLOOKUP(A251,'#6 IH Results'!$A$2:$C$302,2,0),0)+IFERROR(VLOOKUP(A251,'#5 IH Results'!$A$2:$C$303,2,0),0)+IFERROR(VLOOKUP(A251,'#4 IH Results'!$A$2:$C$300,2,0),0)+IFERROR(VLOOKUP(A251,'#3 IH Results'!$A$2:$C$101,2,0),0)+IFERROR(VLOOKUP(A251,'#2 IH Results'!$A$2:$C$101,2,0),0)+IFERROR(VLOOKUP(A251,'#1 IH Results'!$A$2:$C$101,2,0),0)+IFERROR(VLOOKUP(A251,'#0 IH Results'!$A$3:$C$102,2,0),0)</f>
        <v>1.622523842</v>
      </c>
    </row>
    <row r="252">
      <c r="A252" s="8" t="s">
        <v>252</v>
      </c>
      <c r="B252" s="6">
        <f>IFERROR(VLOOKUP(A252,'#17 IH Results'!$A$2:$C$301,2,0),0)+IFERROR(VLOOKUP(A252,'#16 IH Results'!$A$2:$C$301,2,0),0)+IFERROR(VLOOKUP(A252,'#15 IH Results'!$A$2:$C$301,2,0),0)+IFERROR(VLOOKUP(A252,'#14 IH Results'!$A$2:$C$302,2,0),0)+IFERROR(VLOOKUP(A252,'#13 IH Results'!$A$2:$C$302,2,0),0)+IFERROR(VLOOKUP(A252,'#12 IH Results'!$A$2:$C$302,2,0),0)+IFERROR(VLOOKUP(A252,'#11 IH Results'!$A$2:$C$302,2,0),0)+IFERROR(VLOOKUP(A252,'#10 IH Results'!$A$2:$C$302,2,0),0)+IFERROR(VLOOKUP(A252,'#9 IH Results'!$A$2:$C$302,2,0),0)+IFERROR(VLOOKUP(A252,'#8 IH Results'!$A$2:$C$302,2,0),0)+IFERROR(VLOOKUP(A252,'#7 IH Results'!$A$2:$C$302,2,0),0)+IFERROR(VLOOKUP(A252,'#6 IH Results'!$A$2:$C$302,2,0),0)+IFERROR(VLOOKUP(A252,'#5 IH Results'!$A$2:$C$303,2,0),0)+IFERROR(VLOOKUP(A252,'#4 IH Results'!$A$2:$C$300,2,0),0)+IFERROR(VLOOKUP(A252,'#3 IH Results'!$A$2:$C$101,2,0),0)+IFERROR(VLOOKUP(A252,'#2 IH Results'!$A$2:$C$101,2,0),0)+IFERROR(VLOOKUP(A252,'#1 IH Results'!$A$2:$C$101,2,0),0)+IFERROR(VLOOKUP(A252,'#0 IH Results'!$A$3:$C$102,2,0),0)</f>
        <v>1.612676123</v>
      </c>
    </row>
    <row r="253">
      <c r="A253" s="11" t="s">
        <v>253</v>
      </c>
      <c r="B253" s="6">
        <f>IFERROR(VLOOKUP(A253,'#17 IH Results'!$A$2:$C$301,2,0),0)+IFERROR(VLOOKUP(A253,'#16 IH Results'!$A$2:$C$301,2,0),0)+IFERROR(VLOOKUP(A253,'#15 IH Results'!$A$2:$C$301,2,0),0)+IFERROR(VLOOKUP(A253,'#14 IH Results'!$A$2:$C$302,2,0),0)+IFERROR(VLOOKUP(A253,'#13 IH Results'!$A$2:$C$302,2,0),0)+IFERROR(VLOOKUP(A253,'#12 IH Results'!$A$2:$C$302,2,0),0)+IFERROR(VLOOKUP(A253,'#11 IH Results'!$A$2:$C$302,2,0),0)+IFERROR(VLOOKUP(A253,'#10 IH Results'!$A$2:$C$302,2,0),0)+IFERROR(VLOOKUP(A253,'#9 IH Results'!$A$2:$C$302,2,0),0)+IFERROR(VLOOKUP(A253,'#8 IH Results'!$A$2:$C$302,2,0),0)+IFERROR(VLOOKUP(A253,'#7 IH Results'!$A$2:$C$302,2,0),0)+IFERROR(VLOOKUP(A253,'#6 IH Results'!$A$2:$C$302,2,0),0)+IFERROR(VLOOKUP(A253,'#5 IH Results'!$A$2:$C$303,2,0),0)+IFERROR(VLOOKUP(A253,'#4 IH Results'!$A$2:$C$300,2,0),0)+IFERROR(VLOOKUP(A253,'#3 IH Results'!$A$2:$C$101,2,0),0)+IFERROR(VLOOKUP(A253,'#2 IH Results'!$A$2:$C$101,2,0),0)+IFERROR(VLOOKUP(A253,'#1 IH Results'!$A$2:$C$101,2,0),0)+IFERROR(VLOOKUP(A253,'#0 IH Results'!$A$3:$C$102,2,0),0)</f>
        <v>1.612069523</v>
      </c>
    </row>
    <row r="254">
      <c r="A254" s="8" t="s">
        <v>254</v>
      </c>
      <c r="B254" s="6">
        <f>IFERROR(VLOOKUP(A254,'#17 IH Results'!$A$2:$C$301,2,0),0)+IFERROR(VLOOKUP(A254,'#16 IH Results'!$A$2:$C$301,2,0),0)+IFERROR(VLOOKUP(A254,'#15 IH Results'!$A$2:$C$301,2,0),0)+IFERROR(VLOOKUP(A254,'#14 IH Results'!$A$2:$C$302,2,0),0)+IFERROR(VLOOKUP(A254,'#13 IH Results'!$A$2:$C$302,2,0),0)+IFERROR(VLOOKUP(A254,'#12 IH Results'!$A$2:$C$302,2,0),0)+IFERROR(VLOOKUP(A254,'#11 IH Results'!$A$2:$C$302,2,0),0)+IFERROR(VLOOKUP(A254,'#10 IH Results'!$A$2:$C$302,2,0),0)+IFERROR(VLOOKUP(A254,'#9 IH Results'!$A$2:$C$302,2,0),0)+IFERROR(VLOOKUP(A254,'#8 IH Results'!$A$2:$C$302,2,0),0)+IFERROR(VLOOKUP(A254,'#7 IH Results'!$A$2:$C$302,2,0),0)+IFERROR(VLOOKUP(A254,'#6 IH Results'!$A$2:$C$302,2,0),0)+IFERROR(VLOOKUP(A254,'#5 IH Results'!$A$2:$C$303,2,0),0)+IFERROR(VLOOKUP(A254,'#4 IH Results'!$A$2:$C$300,2,0),0)+IFERROR(VLOOKUP(A254,'#3 IH Results'!$A$2:$C$101,2,0),0)+IFERROR(VLOOKUP(A254,'#2 IH Results'!$A$2:$C$101,2,0),0)+IFERROR(VLOOKUP(A254,'#1 IH Results'!$A$2:$C$101,2,0),0)+IFERROR(VLOOKUP(A254,'#0 IH Results'!$A$3:$C$102,2,0),0)</f>
        <v>1.608973975</v>
      </c>
    </row>
    <row r="255">
      <c r="A255" s="13" t="s">
        <v>255</v>
      </c>
      <c r="B255" s="6">
        <f>IFERROR(VLOOKUP(A255,'#17 IH Results'!$A$2:$C$301,2,0),0)+IFERROR(VLOOKUP(A255,'#16 IH Results'!$A$2:$C$301,2,0),0)+IFERROR(VLOOKUP(A255,'#15 IH Results'!$A$2:$C$301,2,0),0)+IFERROR(VLOOKUP(A255,'#14 IH Results'!$A$2:$C$302,2,0),0)+IFERROR(VLOOKUP(A255,'#13 IH Results'!$A$2:$C$302,2,0),0)+IFERROR(VLOOKUP(A255,'#12 IH Results'!$A$2:$C$302,2,0),0)+IFERROR(VLOOKUP(A255,'#11 IH Results'!$A$2:$C$302,2,0),0)+IFERROR(VLOOKUP(A255,'#10 IH Results'!$A$2:$C$302,2,0),0)+IFERROR(VLOOKUP(A255,'#9 IH Results'!$A$2:$C$302,2,0),0)+IFERROR(VLOOKUP(A255,'#8 IH Results'!$A$2:$C$302,2,0),0)+IFERROR(VLOOKUP(A255,'#7 IH Results'!$A$2:$C$302,2,0),0)+IFERROR(VLOOKUP(A255,'#6 IH Results'!$A$2:$C$302,2,0),0)+IFERROR(VLOOKUP(A255,'#5 IH Results'!$A$2:$C$303,2,0),0)+IFERROR(VLOOKUP(A255,'#4 IH Results'!$A$2:$C$300,2,0),0)+IFERROR(VLOOKUP(A255,'#3 IH Results'!$A$2:$C$101,2,0),0)+IFERROR(VLOOKUP(A255,'#2 IH Results'!$A$2:$C$101,2,0),0)+IFERROR(VLOOKUP(A255,'#1 IH Results'!$A$2:$C$101,2,0),0)+IFERROR(VLOOKUP(A255,'#0 IH Results'!$A$3:$C$102,2,0),0)</f>
        <v>1.587497449</v>
      </c>
    </row>
    <row r="256">
      <c r="A256" s="8" t="s">
        <v>256</v>
      </c>
      <c r="B256" s="6">
        <f>IFERROR(VLOOKUP(A256,'#17 IH Results'!$A$2:$C$301,2,0),0)+IFERROR(VLOOKUP(A256,'#16 IH Results'!$A$2:$C$301,2,0),0)+IFERROR(VLOOKUP(A256,'#15 IH Results'!$A$2:$C$301,2,0),0)+IFERROR(VLOOKUP(A256,'#14 IH Results'!$A$2:$C$302,2,0),0)+IFERROR(VLOOKUP(A256,'#13 IH Results'!$A$2:$C$302,2,0),0)+IFERROR(VLOOKUP(A256,'#12 IH Results'!$A$2:$C$302,2,0),0)+IFERROR(VLOOKUP(A256,'#11 IH Results'!$A$2:$C$302,2,0),0)+IFERROR(VLOOKUP(A256,'#10 IH Results'!$A$2:$C$302,2,0),0)+IFERROR(VLOOKUP(A256,'#9 IH Results'!$A$2:$C$302,2,0),0)+IFERROR(VLOOKUP(A256,'#8 IH Results'!$A$2:$C$302,2,0),0)+IFERROR(VLOOKUP(A256,'#7 IH Results'!$A$2:$C$302,2,0),0)+IFERROR(VLOOKUP(A256,'#6 IH Results'!$A$2:$C$302,2,0),0)+IFERROR(VLOOKUP(A256,'#5 IH Results'!$A$2:$C$303,2,0),0)+IFERROR(VLOOKUP(A256,'#4 IH Results'!$A$2:$C$300,2,0),0)+IFERROR(VLOOKUP(A256,'#3 IH Results'!$A$2:$C$101,2,0),0)+IFERROR(VLOOKUP(A256,'#2 IH Results'!$A$2:$C$101,2,0),0)+IFERROR(VLOOKUP(A256,'#1 IH Results'!$A$2:$C$101,2,0),0)+IFERROR(VLOOKUP(A256,'#0 IH Results'!$A$3:$C$102,2,0),0)</f>
        <v>1.580190446</v>
      </c>
    </row>
    <row r="257">
      <c r="A257" s="8" t="s">
        <v>257</v>
      </c>
      <c r="B257" s="6">
        <f>IFERROR(VLOOKUP(A257,'#17 IH Results'!$A$2:$C$301,2,0),0)+IFERROR(VLOOKUP(A257,'#16 IH Results'!$A$2:$C$301,2,0),0)+IFERROR(VLOOKUP(A257,'#15 IH Results'!$A$2:$C$301,2,0),0)+IFERROR(VLOOKUP(A257,'#14 IH Results'!$A$2:$C$302,2,0),0)+IFERROR(VLOOKUP(A257,'#13 IH Results'!$A$2:$C$302,2,0),0)+IFERROR(VLOOKUP(A257,'#12 IH Results'!$A$2:$C$302,2,0),0)+IFERROR(VLOOKUP(A257,'#11 IH Results'!$A$2:$C$302,2,0),0)+IFERROR(VLOOKUP(A257,'#10 IH Results'!$A$2:$C$302,2,0),0)+IFERROR(VLOOKUP(A257,'#9 IH Results'!$A$2:$C$302,2,0),0)+IFERROR(VLOOKUP(A257,'#8 IH Results'!$A$2:$C$302,2,0),0)+IFERROR(VLOOKUP(A257,'#7 IH Results'!$A$2:$C$302,2,0),0)+IFERROR(VLOOKUP(A257,'#6 IH Results'!$A$2:$C$302,2,0),0)+IFERROR(VLOOKUP(A257,'#5 IH Results'!$A$2:$C$303,2,0),0)+IFERROR(VLOOKUP(A257,'#4 IH Results'!$A$2:$C$300,2,0),0)+IFERROR(VLOOKUP(A257,'#3 IH Results'!$A$2:$C$101,2,0),0)+IFERROR(VLOOKUP(A257,'#2 IH Results'!$A$2:$C$101,2,0),0)+IFERROR(VLOOKUP(A257,'#1 IH Results'!$A$2:$C$101,2,0),0)+IFERROR(VLOOKUP(A257,'#0 IH Results'!$A$3:$C$102,2,0),0)</f>
        <v>1.574501561</v>
      </c>
    </row>
    <row r="258">
      <c r="A258" s="13" t="s">
        <v>258</v>
      </c>
      <c r="B258" s="6">
        <f>IFERROR(VLOOKUP(A258,'#17 IH Results'!$A$2:$C$301,2,0),0)+IFERROR(VLOOKUP(A258,'#16 IH Results'!$A$2:$C$301,2,0),0)+IFERROR(VLOOKUP(A258,'#15 IH Results'!$A$2:$C$301,2,0),0)+IFERROR(VLOOKUP(A258,'#14 IH Results'!$A$2:$C$302,2,0),0)+IFERROR(VLOOKUP(A258,'#13 IH Results'!$A$2:$C$302,2,0),0)+IFERROR(VLOOKUP(A258,'#12 IH Results'!$A$2:$C$302,2,0),0)+IFERROR(VLOOKUP(A258,'#11 IH Results'!$A$2:$C$302,2,0),0)+IFERROR(VLOOKUP(A258,'#10 IH Results'!$A$2:$C$302,2,0),0)+IFERROR(VLOOKUP(A258,'#9 IH Results'!$A$2:$C$302,2,0),0)+IFERROR(VLOOKUP(A258,'#8 IH Results'!$A$2:$C$302,2,0),0)+IFERROR(VLOOKUP(A258,'#7 IH Results'!$A$2:$C$302,2,0),0)+IFERROR(VLOOKUP(A258,'#6 IH Results'!$A$2:$C$302,2,0),0)+IFERROR(VLOOKUP(A258,'#5 IH Results'!$A$2:$C$303,2,0),0)+IFERROR(VLOOKUP(A258,'#4 IH Results'!$A$2:$C$300,2,0),0)+IFERROR(VLOOKUP(A258,'#3 IH Results'!$A$2:$C$101,2,0),0)+IFERROR(VLOOKUP(A258,'#2 IH Results'!$A$2:$C$101,2,0),0)+IFERROR(VLOOKUP(A258,'#1 IH Results'!$A$2:$C$101,2,0),0)+IFERROR(VLOOKUP(A258,'#0 IH Results'!$A$3:$C$102,2,0),0)</f>
        <v>1.544602616</v>
      </c>
    </row>
    <row r="259">
      <c r="A259" s="8" t="s">
        <v>259</v>
      </c>
      <c r="B259" s="6">
        <f>IFERROR(VLOOKUP(A259,'#17 IH Results'!$A$2:$C$301,2,0),0)+IFERROR(VLOOKUP(A259,'#16 IH Results'!$A$2:$C$301,2,0),0)+IFERROR(VLOOKUP(A259,'#15 IH Results'!$A$2:$C$301,2,0),0)+IFERROR(VLOOKUP(A259,'#14 IH Results'!$A$2:$C$302,2,0),0)+IFERROR(VLOOKUP(A259,'#13 IH Results'!$A$2:$C$302,2,0),0)+IFERROR(VLOOKUP(A259,'#12 IH Results'!$A$2:$C$302,2,0),0)+IFERROR(VLOOKUP(A259,'#11 IH Results'!$A$2:$C$302,2,0),0)+IFERROR(VLOOKUP(A259,'#10 IH Results'!$A$2:$C$302,2,0),0)+IFERROR(VLOOKUP(A259,'#9 IH Results'!$A$2:$C$302,2,0),0)+IFERROR(VLOOKUP(A259,'#8 IH Results'!$A$2:$C$302,2,0),0)+IFERROR(VLOOKUP(A259,'#7 IH Results'!$A$2:$C$302,2,0),0)+IFERROR(VLOOKUP(A259,'#6 IH Results'!$A$2:$C$302,2,0),0)+IFERROR(VLOOKUP(A259,'#5 IH Results'!$A$2:$C$303,2,0),0)+IFERROR(VLOOKUP(A259,'#4 IH Results'!$A$2:$C$300,2,0),0)+IFERROR(VLOOKUP(A259,'#3 IH Results'!$A$2:$C$101,2,0),0)+IFERROR(VLOOKUP(A259,'#2 IH Results'!$A$2:$C$101,2,0),0)+IFERROR(VLOOKUP(A259,'#1 IH Results'!$A$2:$C$101,2,0),0)+IFERROR(VLOOKUP(A259,'#0 IH Results'!$A$3:$C$102,2,0),0)</f>
        <v>1.524384039</v>
      </c>
    </row>
    <row r="260">
      <c r="A260" s="8" t="s">
        <v>260</v>
      </c>
      <c r="B260" s="6">
        <f>IFERROR(VLOOKUP(A260,'#17 IH Results'!$A$2:$C$301,2,0),0)+IFERROR(VLOOKUP(A260,'#16 IH Results'!$A$2:$C$301,2,0),0)+IFERROR(VLOOKUP(A260,'#15 IH Results'!$A$2:$C$301,2,0),0)+IFERROR(VLOOKUP(A260,'#14 IH Results'!$A$2:$C$302,2,0),0)+IFERROR(VLOOKUP(A260,'#13 IH Results'!$A$2:$C$302,2,0),0)+IFERROR(VLOOKUP(A260,'#12 IH Results'!$A$2:$C$302,2,0),0)+IFERROR(VLOOKUP(A260,'#11 IH Results'!$A$2:$C$302,2,0),0)+IFERROR(VLOOKUP(A260,'#10 IH Results'!$A$2:$C$302,2,0),0)+IFERROR(VLOOKUP(A260,'#9 IH Results'!$A$2:$C$302,2,0),0)+IFERROR(VLOOKUP(A260,'#8 IH Results'!$A$2:$C$302,2,0),0)+IFERROR(VLOOKUP(A260,'#7 IH Results'!$A$2:$C$302,2,0),0)+IFERROR(VLOOKUP(A260,'#6 IH Results'!$A$2:$C$302,2,0),0)+IFERROR(VLOOKUP(A260,'#5 IH Results'!$A$2:$C$303,2,0),0)+IFERROR(VLOOKUP(A260,'#4 IH Results'!$A$2:$C$300,2,0),0)+IFERROR(VLOOKUP(A260,'#3 IH Results'!$A$2:$C$101,2,0),0)+IFERROR(VLOOKUP(A260,'#2 IH Results'!$A$2:$C$101,2,0),0)+IFERROR(VLOOKUP(A260,'#1 IH Results'!$A$2:$C$101,2,0),0)+IFERROR(VLOOKUP(A260,'#0 IH Results'!$A$3:$C$102,2,0),0)</f>
        <v>1.524263172</v>
      </c>
    </row>
    <row r="261">
      <c r="A261" s="8" t="s">
        <v>261</v>
      </c>
      <c r="B261" s="6">
        <f>IFERROR(VLOOKUP(A261,'#17 IH Results'!$A$2:$C$301,2,0),0)+IFERROR(VLOOKUP(A261,'#16 IH Results'!$A$2:$C$301,2,0),0)+IFERROR(VLOOKUP(A261,'#15 IH Results'!$A$2:$C$301,2,0),0)+IFERROR(VLOOKUP(A261,'#14 IH Results'!$A$2:$C$302,2,0),0)+IFERROR(VLOOKUP(A261,'#13 IH Results'!$A$2:$C$302,2,0),0)+IFERROR(VLOOKUP(A261,'#12 IH Results'!$A$2:$C$302,2,0),0)+IFERROR(VLOOKUP(A261,'#11 IH Results'!$A$2:$C$302,2,0),0)+IFERROR(VLOOKUP(A261,'#10 IH Results'!$A$2:$C$302,2,0),0)+IFERROR(VLOOKUP(A261,'#9 IH Results'!$A$2:$C$302,2,0),0)+IFERROR(VLOOKUP(A261,'#8 IH Results'!$A$2:$C$302,2,0),0)+IFERROR(VLOOKUP(A261,'#7 IH Results'!$A$2:$C$302,2,0),0)+IFERROR(VLOOKUP(A261,'#6 IH Results'!$A$2:$C$302,2,0),0)+IFERROR(VLOOKUP(A261,'#5 IH Results'!$A$2:$C$303,2,0),0)+IFERROR(VLOOKUP(A261,'#4 IH Results'!$A$2:$C$300,2,0),0)+IFERROR(VLOOKUP(A261,'#3 IH Results'!$A$2:$C$101,2,0),0)+IFERROR(VLOOKUP(A261,'#2 IH Results'!$A$2:$C$101,2,0),0)+IFERROR(VLOOKUP(A261,'#1 IH Results'!$A$2:$C$101,2,0),0)+IFERROR(VLOOKUP(A261,'#0 IH Results'!$A$3:$C$102,2,0),0)</f>
        <v>1.524263172</v>
      </c>
    </row>
    <row r="262">
      <c r="A262" s="8" t="s">
        <v>262</v>
      </c>
      <c r="B262" s="6">
        <f>IFERROR(VLOOKUP(A262,'#17 IH Results'!$A$2:$C$301,2,0),0)+IFERROR(VLOOKUP(A262,'#16 IH Results'!$A$2:$C$301,2,0),0)+IFERROR(VLOOKUP(A262,'#15 IH Results'!$A$2:$C$301,2,0),0)+IFERROR(VLOOKUP(A262,'#14 IH Results'!$A$2:$C$302,2,0),0)+IFERROR(VLOOKUP(A262,'#13 IH Results'!$A$2:$C$302,2,0),0)+IFERROR(VLOOKUP(A262,'#12 IH Results'!$A$2:$C$302,2,0),0)+IFERROR(VLOOKUP(A262,'#11 IH Results'!$A$2:$C$302,2,0),0)+IFERROR(VLOOKUP(A262,'#10 IH Results'!$A$2:$C$302,2,0),0)+IFERROR(VLOOKUP(A262,'#9 IH Results'!$A$2:$C$302,2,0),0)+IFERROR(VLOOKUP(A262,'#8 IH Results'!$A$2:$C$302,2,0),0)+IFERROR(VLOOKUP(A262,'#7 IH Results'!$A$2:$C$302,2,0),0)+IFERROR(VLOOKUP(A262,'#6 IH Results'!$A$2:$C$302,2,0),0)+IFERROR(VLOOKUP(A262,'#5 IH Results'!$A$2:$C$303,2,0),0)+IFERROR(VLOOKUP(A262,'#4 IH Results'!$A$2:$C$300,2,0),0)+IFERROR(VLOOKUP(A262,'#3 IH Results'!$A$2:$C$101,2,0),0)+IFERROR(VLOOKUP(A262,'#2 IH Results'!$A$2:$C$101,2,0),0)+IFERROR(VLOOKUP(A262,'#1 IH Results'!$A$2:$C$101,2,0),0)+IFERROR(VLOOKUP(A262,'#0 IH Results'!$A$3:$C$102,2,0),0)</f>
        <v>1.48536555</v>
      </c>
    </row>
    <row r="263">
      <c r="A263" s="8" t="s">
        <v>263</v>
      </c>
      <c r="B263" s="6">
        <f>IFERROR(VLOOKUP(A263,'#17 IH Results'!$A$2:$C$301,2,0),0)+IFERROR(VLOOKUP(A263,'#16 IH Results'!$A$2:$C$301,2,0),0)+IFERROR(VLOOKUP(A263,'#15 IH Results'!$A$2:$C$301,2,0),0)+IFERROR(VLOOKUP(A263,'#14 IH Results'!$A$2:$C$302,2,0),0)+IFERROR(VLOOKUP(A263,'#13 IH Results'!$A$2:$C$302,2,0),0)+IFERROR(VLOOKUP(A263,'#12 IH Results'!$A$2:$C$302,2,0),0)+IFERROR(VLOOKUP(A263,'#11 IH Results'!$A$2:$C$302,2,0),0)+IFERROR(VLOOKUP(A263,'#10 IH Results'!$A$2:$C$302,2,0),0)+IFERROR(VLOOKUP(A263,'#9 IH Results'!$A$2:$C$302,2,0),0)+IFERROR(VLOOKUP(A263,'#8 IH Results'!$A$2:$C$302,2,0),0)+IFERROR(VLOOKUP(A263,'#7 IH Results'!$A$2:$C$302,2,0),0)+IFERROR(VLOOKUP(A263,'#6 IH Results'!$A$2:$C$302,2,0),0)+IFERROR(VLOOKUP(A263,'#5 IH Results'!$A$2:$C$303,2,0),0)+IFERROR(VLOOKUP(A263,'#4 IH Results'!$A$2:$C$300,2,0),0)+IFERROR(VLOOKUP(A263,'#3 IH Results'!$A$2:$C$101,2,0),0)+IFERROR(VLOOKUP(A263,'#2 IH Results'!$A$2:$C$101,2,0),0)+IFERROR(VLOOKUP(A263,'#1 IH Results'!$A$2:$C$101,2,0),0)+IFERROR(VLOOKUP(A263,'#0 IH Results'!$A$3:$C$102,2,0),0)</f>
        <v>1.481151607</v>
      </c>
    </row>
    <row r="264">
      <c r="A264" s="8" t="s">
        <v>264</v>
      </c>
      <c r="B264" s="6">
        <f>IFERROR(VLOOKUP(A264,'#17 IH Results'!$A$2:$C$301,2,0),0)+IFERROR(VLOOKUP(A264,'#16 IH Results'!$A$2:$C$301,2,0),0)+IFERROR(VLOOKUP(A264,'#15 IH Results'!$A$2:$C$301,2,0),0)+IFERROR(VLOOKUP(A264,'#14 IH Results'!$A$2:$C$302,2,0),0)+IFERROR(VLOOKUP(A264,'#13 IH Results'!$A$2:$C$302,2,0),0)+IFERROR(VLOOKUP(A264,'#12 IH Results'!$A$2:$C$302,2,0),0)+IFERROR(VLOOKUP(A264,'#11 IH Results'!$A$2:$C$302,2,0),0)+IFERROR(VLOOKUP(A264,'#10 IH Results'!$A$2:$C$302,2,0),0)+IFERROR(VLOOKUP(A264,'#9 IH Results'!$A$2:$C$302,2,0),0)+IFERROR(VLOOKUP(A264,'#8 IH Results'!$A$2:$C$302,2,0),0)+IFERROR(VLOOKUP(A264,'#7 IH Results'!$A$2:$C$302,2,0),0)+IFERROR(VLOOKUP(A264,'#6 IH Results'!$A$2:$C$302,2,0),0)+IFERROR(VLOOKUP(A264,'#5 IH Results'!$A$2:$C$303,2,0),0)+IFERROR(VLOOKUP(A264,'#4 IH Results'!$A$2:$C$300,2,0),0)+IFERROR(VLOOKUP(A264,'#3 IH Results'!$A$2:$C$101,2,0),0)+IFERROR(VLOOKUP(A264,'#2 IH Results'!$A$2:$C$101,2,0),0)+IFERROR(VLOOKUP(A264,'#1 IH Results'!$A$2:$C$101,2,0),0)+IFERROR(VLOOKUP(A264,'#0 IH Results'!$A$3:$C$102,2,0),0)</f>
        <v>1.457801467</v>
      </c>
    </row>
    <row r="265">
      <c r="A265" s="8" t="s">
        <v>265</v>
      </c>
      <c r="B265" s="6">
        <f>IFERROR(VLOOKUP(A265,'#17 IH Results'!$A$2:$C$301,2,0),0)+IFERROR(VLOOKUP(A265,'#16 IH Results'!$A$2:$C$301,2,0),0)+IFERROR(VLOOKUP(A265,'#15 IH Results'!$A$2:$C$301,2,0),0)+IFERROR(VLOOKUP(A265,'#14 IH Results'!$A$2:$C$302,2,0),0)+IFERROR(VLOOKUP(A265,'#13 IH Results'!$A$2:$C$302,2,0),0)+IFERROR(VLOOKUP(A265,'#12 IH Results'!$A$2:$C$302,2,0),0)+IFERROR(VLOOKUP(A265,'#11 IH Results'!$A$2:$C$302,2,0),0)+IFERROR(VLOOKUP(A265,'#10 IH Results'!$A$2:$C$302,2,0),0)+IFERROR(VLOOKUP(A265,'#9 IH Results'!$A$2:$C$302,2,0),0)+IFERROR(VLOOKUP(A265,'#8 IH Results'!$A$2:$C$302,2,0),0)+IFERROR(VLOOKUP(A265,'#7 IH Results'!$A$2:$C$302,2,0),0)+IFERROR(VLOOKUP(A265,'#6 IH Results'!$A$2:$C$302,2,0),0)+IFERROR(VLOOKUP(A265,'#5 IH Results'!$A$2:$C$303,2,0),0)+IFERROR(VLOOKUP(A265,'#4 IH Results'!$A$2:$C$300,2,0),0)+IFERROR(VLOOKUP(A265,'#3 IH Results'!$A$2:$C$101,2,0),0)+IFERROR(VLOOKUP(A265,'#2 IH Results'!$A$2:$C$101,2,0),0)+IFERROR(VLOOKUP(A265,'#1 IH Results'!$A$2:$C$101,2,0),0)+IFERROR(VLOOKUP(A265,'#0 IH Results'!$A$3:$C$102,2,0),0)</f>
        <v>1.405743782</v>
      </c>
    </row>
    <row r="266">
      <c r="A266" s="8" t="s">
        <v>266</v>
      </c>
      <c r="B266" s="6">
        <f>IFERROR(VLOOKUP(A266,'#17 IH Results'!$A$2:$C$301,2,0),0)+IFERROR(VLOOKUP(A266,'#16 IH Results'!$A$2:$C$301,2,0),0)+IFERROR(VLOOKUP(A266,'#15 IH Results'!$A$2:$C$301,2,0),0)+IFERROR(VLOOKUP(A266,'#14 IH Results'!$A$2:$C$302,2,0),0)+IFERROR(VLOOKUP(A266,'#13 IH Results'!$A$2:$C$302,2,0),0)+IFERROR(VLOOKUP(A266,'#12 IH Results'!$A$2:$C$302,2,0),0)+IFERROR(VLOOKUP(A266,'#11 IH Results'!$A$2:$C$302,2,0),0)+IFERROR(VLOOKUP(A266,'#10 IH Results'!$A$2:$C$302,2,0),0)+IFERROR(VLOOKUP(A266,'#9 IH Results'!$A$2:$C$302,2,0),0)+IFERROR(VLOOKUP(A266,'#8 IH Results'!$A$2:$C$302,2,0),0)+IFERROR(VLOOKUP(A266,'#7 IH Results'!$A$2:$C$302,2,0),0)+IFERROR(VLOOKUP(A266,'#6 IH Results'!$A$2:$C$302,2,0),0)+IFERROR(VLOOKUP(A266,'#5 IH Results'!$A$2:$C$303,2,0),0)+IFERROR(VLOOKUP(A266,'#4 IH Results'!$A$2:$C$300,2,0),0)+IFERROR(VLOOKUP(A266,'#3 IH Results'!$A$2:$C$101,2,0),0)+IFERROR(VLOOKUP(A266,'#2 IH Results'!$A$2:$C$101,2,0),0)+IFERROR(VLOOKUP(A266,'#1 IH Results'!$A$2:$C$101,2,0),0)+IFERROR(VLOOKUP(A266,'#0 IH Results'!$A$3:$C$102,2,0),0)</f>
        <v>1.384366639</v>
      </c>
    </row>
    <row r="267">
      <c r="A267" s="8" t="s">
        <v>267</v>
      </c>
      <c r="B267" s="6">
        <f>IFERROR(VLOOKUP(A267,'#17 IH Results'!$A$2:$C$301,2,0),0)+IFERROR(VLOOKUP(A267,'#16 IH Results'!$A$2:$C$301,2,0),0)+IFERROR(VLOOKUP(A267,'#15 IH Results'!$A$2:$C$301,2,0),0)+IFERROR(VLOOKUP(A267,'#14 IH Results'!$A$2:$C$302,2,0),0)+IFERROR(VLOOKUP(A267,'#13 IH Results'!$A$2:$C$302,2,0),0)+IFERROR(VLOOKUP(A267,'#12 IH Results'!$A$2:$C$302,2,0),0)+IFERROR(VLOOKUP(A267,'#11 IH Results'!$A$2:$C$302,2,0),0)+IFERROR(VLOOKUP(A267,'#10 IH Results'!$A$2:$C$302,2,0),0)+IFERROR(VLOOKUP(A267,'#9 IH Results'!$A$2:$C$302,2,0),0)+IFERROR(VLOOKUP(A267,'#8 IH Results'!$A$2:$C$302,2,0),0)+IFERROR(VLOOKUP(A267,'#7 IH Results'!$A$2:$C$302,2,0),0)+IFERROR(VLOOKUP(A267,'#6 IH Results'!$A$2:$C$302,2,0),0)+IFERROR(VLOOKUP(A267,'#5 IH Results'!$A$2:$C$303,2,0),0)+IFERROR(VLOOKUP(A267,'#4 IH Results'!$A$2:$C$300,2,0),0)+IFERROR(VLOOKUP(A267,'#3 IH Results'!$A$2:$C$101,2,0),0)+IFERROR(VLOOKUP(A267,'#2 IH Results'!$A$2:$C$101,2,0),0)+IFERROR(VLOOKUP(A267,'#1 IH Results'!$A$2:$C$101,2,0),0)+IFERROR(VLOOKUP(A267,'#0 IH Results'!$A$3:$C$102,2,0),0)</f>
        <v>1.378441511</v>
      </c>
    </row>
    <row r="268">
      <c r="A268" s="8" t="s">
        <v>268</v>
      </c>
      <c r="B268" s="6">
        <f>IFERROR(VLOOKUP(A268,'#17 IH Results'!$A$2:$C$301,2,0),0)+IFERROR(VLOOKUP(A268,'#16 IH Results'!$A$2:$C$301,2,0),0)+IFERROR(VLOOKUP(A268,'#15 IH Results'!$A$2:$C$301,2,0),0)+IFERROR(VLOOKUP(A268,'#14 IH Results'!$A$2:$C$302,2,0),0)+IFERROR(VLOOKUP(A268,'#13 IH Results'!$A$2:$C$302,2,0),0)+IFERROR(VLOOKUP(A268,'#12 IH Results'!$A$2:$C$302,2,0),0)+IFERROR(VLOOKUP(A268,'#11 IH Results'!$A$2:$C$302,2,0),0)+IFERROR(VLOOKUP(A268,'#10 IH Results'!$A$2:$C$302,2,0),0)+IFERROR(VLOOKUP(A268,'#9 IH Results'!$A$2:$C$302,2,0),0)+IFERROR(VLOOKUP(A268,'#8 IH Results'!$A$2:$C$302,2,0),0)+IFERROR(VLOOKUP(A268,'#7 IH Results'!$A$2:$C$302,2,0),0)+IFERROR(VLOOKUP(A268,'#6 IH Results'!$A$2:$C$302,2,0),0)+IFERROR(VLOOKUP(A268,'#5 IH Results'!$A$2:$C$303,2,0),0)+IFERROR(VLOOKUP(A268,'#4 IH Results'!$A$2:$C$300,2,0),0)+IFERROR(VLOOKUP(A268,'#3 IH Results'!$A$2:$C$101,2,0),0)+IFERROR(VLOOKUP(A268,'#2 IH Results'!$A$2:$C$101,2,0),0)+IFERROR(VLOOKUP(A268,'#1 IH Results'!$A$2:$C$101,2,0),0)+IFERROR(VLOOKUP(A268,'#0 IH Results'!$A$3:$C$102,2,0),0)</f>
        <v>1.36032556</v>
      </c>
    </row>
    <row r="269">
      <c r="A269" s="18" t="s">
        <v>269</v>
      </c>
      <c r="B269" s="6">
        <f>IFERROR(VLOOKUP(A269,'#17 IH Results'!$A$2:$C$301,2,0),0)+IFERROR(VLOOKUP(A269,'#16 IH Results'!$A$2:$C$301,2,0),0)+IFERROR(VLOOKUP(A269,'#15 IH Results'!$A$2:$C$301,2,0),0)+IFERROR(VLOOKUP(A269,'#14 IH Results'!$A$2:$C$302,2,0),0)+IFERROR(VLOOKUP(A269,'#13 IH Results'!$A$2:$C$302,2,0),0)+IFERROR(VLOOKUP(A269,'#12 IH Results'!$A$2:$C$302,2,0),0)+IFERROR(VLOOKUP(A269,'#11 IH Results'!$A$2:$C$302,2,0),0)+IFERROR(VLOOKUP(A269,'#10 IH Results'!$A$2:$C$302,2,0),0)+IFERROR(VLOOKUP(A269,'#9 IH Results'!$A$2:$C$302,2,0),0)+IFERROR(VLOOKUP(A269,'#8 IH Results'!$A$2:$C$302,2,0),0)+IFERROR(VLOOKUP(A269,'#7 IH Results'!$A$2:$C$302,2,0),0)+IFERROR(VLOOKUP(A269,'#6 IH Results'!$A$2:$C$302,2,0),0)+IFERROR(VLOOKUP(A269,'#5 IH Results'!$A$2:$C$303,2,0),0)+IFERROR(VLOOKUP(A269,'#4 IH Results'!$A$2:$C$300,2,0),0)+IFERROR(VLOOKUP(A269,'#3 IH Results'!$A$2:$C$101,2,0),0)+IFERROR(VLOOKUP(A269,'#2 IH Results'!$A$2:$C$101,2,0),0)+IFERROR(VLOOKUP(A269,'#1 IH Results'!$A$2:$C$101,2,0),0)+IFERROR(VLOOKUP(A269,'#0 IH Results'!$A$3:$C$102,2,0),0)</f>
        <v>1.313796728</v>
      </c>
    </row>
    <row r="270">
      <c r="A270" s="15" t="s">
        <v>270</v>
      </c>
      <c r="B270" s="6">
        <f>IFERROR(VLOOKUP(A270,'#17 IH Results'!$A$2:$C$301,2,0),0)+IFERROR(VLOOKUP(A270,'#16 IH Results'!$A$2:$C$301,2,0),0)+IFERROR(VLOOKUP(A270,'#15 IH Results'!$A$2:$C$301,2,0),0)+IFERROR(VLOOKUP(A270,'#14 IH Results'!$A$2:$C$302,2,0),0)+IFERROR(VLOOKUP(A270,'#13 IH Results'!$A$2:$C$302,2,0),0)+IFERROR(VLOOKUP(A270,'#12 IH Results'!$A$2:$C$302,2,0),0)+IFERROR(VLOOKUP(A270,'#11 IH Results'!$A$2:$C$302,2,0),0)+IFERROR(VLOOKUP(A270,'#10 IH Results'!$A$2:$C$302,2,0),0)+IFERROR(VLOOKUP(A270,'#9 IH Results'!$A$2:$C$302,2,0),0)+IFERROR(VLOOKUP(A270,'#8 IH Results'!$A$2:$C$302,2,0),0)+IFERROR(VLOOKUP(A270,'#7 IH Results'!$A$2:$C$302,2,0),0)+IFERROR(VLOOKUP(A270,'#6 IH Results'!$A$2:$C$302,2,0),0)+IFERROR(VLOOKUP(A270,'#5 IH Results'!$A$2:$C$303,2,0),0)+IFERROR(VLOOKUP(A270,'#4 IH Results'!$A$2:$C$300,2,0),0)+IFERROR(VLOOKUP(A270,'#3 IH Results'!$A$2:$C$101,2,0),0)+IFERROR(VLOOKUP(A270,'#2 IH Results'!$A$2:$C$101,2,0),0)+IFERROR(VLOOKUP(A270,'#1 IH Results'!$A$2:$C$101,2,0),0)+IFERROR(VLOOKUP(A270,'#0 IH Results'!$A$3:$C$102,2,0),0)</f>
        <v>1.303846642</v>
      </c>
    </row>
    <row r="271">
      <c r="A271" s="19" t="s">
        <v>271</v>
      </c>
      <c r="B271" s="6">
        <f>IFERROR(VLOOKUP(A271,'#17 IH Results'!$A$2:$C$301,2,0),0)+IFERROR(VLOOKUP(A271,'#16 IH Results'!$A$2:$C$301,2,0),0)+IFERROR(VLOOKUP(A271,'#15 IH Results'!$A$2:$C$301,2,0),0)+IFERROR(VLOOKUP(A271,'#14 IH Results'!$A$2:$C$302,2,0),0)+IFERROR(VLOOKUP(A271,'#13 IH Results'!$A$2:$C$302,2,0),0)+IFERROR(VLOOKUP(A271,'#12 IH Results'!$A$2:$C$302,2,0),0)+IFERROR(VLOOKUP(A271,'#11 IH Results'!$A$2:$C$302,2,0),0)+IFERROR(VLOOKUP(A271,'#10 IH Results'!$A$2:$C$302,2,0),0)+IFERROR(VLOOKUP(A271,'#9 IH Results'!$A$2:$C$302,2,0),0)+IFERROR(VLOOKUP(A271,'#8 IH Results'!$A$2:$C$302,2,0),0)+IFERROR(VLOOKUP(A271,'#7 IH Results'!$A$2:$C$302,2,0),0)+IFERROR(VLOOKUP(A271,'#6 IH Results'!$A$2:$C$302,2,0),0)+IFERROR(VLOOKUP(A271,'#5 IH Results'!$A$2:$C$303,2,0),0)+IFERROR(VLOOKUP(A271,'#4 IH Results'!$A$2:$C$300,2,0),0)+IFERROR(VLOOKUP(A271,'#3 IH Results'!$A$2:$C$101,2,0),0)+IFERROR(VLOOKUP(A271,'#2 IH Results'!$A$2:$C$101,2,0),0)+IFERROR(VLOOKUP(A271,'#1 IH Results'!$A$2:$C$101,2,0),0)+IFERROR(VLOOKUP(A271,'#0 IH Results'!$A$3:$C$102,2,0),0)</f>
        <v>1.293891748</v>
      </c>
    </row>
    <row r="272">
      <c r="A272" s="15" t="s">
        <v>272</v>
      </c>
      <c r="B272" s="6">
        <f>IFERROR(VLOOKUP(A272,'#17 IH Results'!$A$2:$C$301,2,0),0)+IFERROR(VLOOKUP(A272,'#16 IH Results'!$A$2:$C$301,2,0),0)+IFERROR(VLOOKUP(A272,'#15 IH Results'!$A$2:$C$301,2,0),0)+IFERROR(VLOOKUP(A272,'#14 IH Results'!$A$2:$C$302,2,0),0)+IFERROR(VLOOKUP(A272,'#13 IH Results'!$A$2:$C$302,2,0),0)+IFERROR(VLOOKUP(A272,'#12 IH Results'!$A$2:$C$302,2,0),0)+IFERROR(VLOOKUP(A272,'#11 IH Results'!$A$2:$C$302,2,0),0)+IFERROR(VLOOKUP(A272,'#10 IH Results'!$A$2:$C$302,2,0),0)+IFERROR(VLOOKUP(A272,'#9 IH Results'!$A$2:$C$302,2,0),0)+IFERROR(VLOOKUP(A272,'#8 IH Results'!$A$2:$C$302,2,0),0)+IFERROR(VLOOKUP(A272,'#7 IH Results'!$A$2:$C$302,2,0),0)+IFERROR(VLOOKUP(A272,'#6 IH Results'!$A$2:$C$302,2,0),0)+IFERROR(VLOOKUP(A272,'#5 IH Results'!$A$2:$C$303,2,0),0)+IFERROR(VLOOKUP(A272,'#4 IH Results'!$A$2:$C$300,2,0),0)+IFERROR(VLOOKUP(A272,'#3 IH Results'!$A$2:$C$101,2,0),0)+IFERROR(VLOOKUP(A272,'#2 IH Results'!$A$2:$C$101,2,0),0)+IFERROR(VLOOKUP(A272,'#1 IH Results'!$A$2:$C$101,2,0),0)+IFERROR(VLOOKUP(A272,'#0 IH Results'!$A$3:$C$102,2,0),0)</f>
        <v>1.290409085</v>
      </c>
    </row>
    <row r="273">
      <c r="A273" s="15" t="s">
        <v>273</v>
      </c>
      <c r="B273" s="6">
        <f>IFERROR(VLOOKUP(A273,'#17 IH Results'!$A$2:$C$301,2,0),0)+IFERROR(VLOOKUP(A273,'#16 IH Results'!$A$2:$C$301,2,0),0)+IFERROR(VLOOKUP(A273,'#15 IH Results'!$A$2:$C$301,2,0),0)+IFERROR(VLOOKUP(A273,'#14 IH Results'!$A$2:$C$302,2,0),0)+IFERROR(VLOOKUP(A273,'#13 IH Results'!$A$2:$C$302,2,0),0)+IFERROR(VLOOKUP(A273,'#12 IH Results'!$A$2:$C$302,2,0),0)+IFERROR(VLOOKUP(A273,'#11 IH Results'!$A$2:$C$302,2,0),0)+IFERROR(VLOOKUP(A273,'#10 IH Results'!$A$2:$C$302,2,0),0)+IFERROR(VLOOKUP(A273,'#9 IH Results'!$A$2:$C$302,2,0),0)+IFERROR(VLOOKUP(A273,'#8 IH Results'!$A$2:$C$302,2,0),0)+IFERROR(VLOOKUP(A273,'#7 IH Results'!$A$2:$C$302,2,0),0)+IFERROR(VLOOKUP(A273,'#6 IH Results'!$A$2:$C$302,2,0),0)+IFERROR(VLOOKUP(A273,'#5 IH Results'!$A$2:$C$303,2,0),0)+IFERROR(VLOOKUP(A273,'#4 IH Results'!$A$2:$C$300,2,0),0)+IFERROR(VLOOKUP(A273,'#3 IH Results'!$A$2:$C$101,2,0),0)+IFERROR(VLOOKUP(A273,'#2 IH Results'!$A$2:$C$101,2,0),0)+IFERROR(VLOOKUP(A273,'#1 IH Results'!$A$2:$C$101,2,0),0)+IFERROR(VLOOKUP(A273,'#0 IH Results'!$A$3:$C$102,2,0),0)</f>
        <v>1.267405073</v>
      </c>
    </row>
    <row r="274">
      <c r="A274" s="18" t="s">
        <v>274</v>
      </c>
      <c r="B274" s="6">
        <f>IFERROR(VLOOKUP(A274,'#17 IH Results'!$A$2:$C$301,2,0),0)+IFERROR(VLOOKUP(A274,'#16 IH Results'!$A$2:$C$301,2,0),0)+IFERROR(VLOOKUP(A274,'#15 IH Results'!$A$2:$C$301,2,0),0)+IFERROR(VLOOKUP(A274,'#14 IH Results'!$A$2:$C$302,2,0),0)+IFERROR(VLOOKUP(A274,'#13 IH Results'!$A$2:$C$302,2,0),0)+IFERROR(VLOOKUP(A274,'#12 IH Results'!$A$2:$C$302,2,0),0)+IFERROR(VLOOKUP(A274,'#11 IH Results'!$A$2:$C$302,2,0),0)+IFERROR(VLOOKUP(A274,'#10 IH Results'!$A$2:$C$302,2,0),0)+IFERROR(VLOOKUP(A274,'#9 IH Results'!$A$2:$C$302,2,0),0)+IFERROR(VLOOKUP(A274,'#8 IH Results'!$A$2:$C$302,2,0),0)+IFERROR(VLOOKUP(A274,'#7 IH Results'!$A$2:$C$302,2,0),0)+IFERROR(VLOOKUP(A274,'#6 IH Results'!$A$2:$C$302,2,0),0)+IFERROR(VLOOKUP(A274,'#5 IH Results'!$A$2:$C$303,2,0),0)+IFERROR(VLOOKUP(A274,'#4 IH Results'!$A$2:$C$300,2,0),0)+IFERROR(VLOOKUP(A274,'#3 IH Results'!$A$2:$C$101,2,0),0)+IFERROR(VLOOKUP(A274,'#2 IH Results'!$A$2:$C$101,2,0),0)+IFERROR(VLOOKUP(A274,'#1 IH Results'!$A$2:$C$101,2,0),0)+IFERROR(VLOOKUP(A274,'#0 IH Results'!$A$3:$C$102,2,0),0)</f>
        <v>1.25115971</v>
      </c>
    </row>
    <row r="275">
      <c r="A275" s="15" t="s">
        <v>275</v>
      </c>
      <c r="B275" s="6">
        <f>IFERROR(VLOOKUP(A275,'#17 IH Results'!$A$2:$C$301,2,0),0)+IFERROR(VLOOKUP(A275,'#16 IH Results'!$A$2:$C$301,2,0),0)+IFERROR(VLOOKUP(A275,'#15 IH Results'!$A$2:$C$301,2,0),0)+IFERROR(VLOOKUP(A275,'#14 IH Results'!$A$2:$C$302,2,0),0)+IFERROR(VLOOKUP(A275,'#13 IH Results'!$A$2:$C$302,2,0),0)+IFERROR(VLOOKUP(A275,'#12 IH Results'!$A$2:$C$302,2,0),0)+IFERROR(VLOOKUP(A275,'#11 IH Results'!$A$2:$C$302,2,0),0)+IFERROR(VLOOKUP(A275,'#10 IH Results'!$A$2:$C$302,2,0),0)+IFERROR(VLOOKUP(A275,'#9 IH Results'!$A$2:$C$302,2,0),0)+IFERROR(VLOOKUP(A275,'#8 IH Results'!$A$2:$C$302,2,0),0)+IFERROR(VLOOKUP(A275,'#7 IH Results'!$A$2:$C$302,2,0),0)+IFERROR(VLOOKUP(A275,'#6 IH Results'!$A$2:$C$302,2,0),0)+IFERROR(VLOOKUP(A275,'#5 IH Results'!$A$2:$C$303,2,0),0)+IFERROR(VLOOKUP(A275,'#4 IH Results'!$A$2:$C$300,2,0),0)+IFERROR(VLOOKUP(A275,'#3 IH Results'!$A$2:$C$101,2,0),0)+IFERROR(VLOOKUP(A275,'#2 IH Results'!$A$2:$C$101,2,0),0)+IFERROR(VLOOKUP(A275,'#1 IH Results'!$A$2:$C$101,2,0),0)+IFERROR(VLOOKUP(A275,'#0 IH Results'!$A$3:$C$102,2,0),0)</f>
        <v>1.238263979</v>
      </c>
    </row>
    <row r="276">
      <c r="A276" s="15" t="s">
        <v>276</v>
      </c>
      <c r="B276" s="6">
        <f>IFERROR(VLOOKUP(A276,'#17 IH Results'!$A$2:$C$301,2,0),0)+IFERROR(VLOOKUP(A276,'#16 IH Results'!$A$2:$C$301,2,0),0)+IFERROR(VLOOKUP(A276,'#15 IH Results'!$A$2:$C$301,2,0),0)+IFERROR(VLOOKUP(A276,'#14 IH Results'!$A$2:$C$302,2,0),0)+IFERROR(VLOOKUP(A276,'#13 IH Results'!$A$2:$C$302,2,0),0)+IFERROR(VLOOKUP(A276,'#12 IH Results'!$A$2:$C$302,2,0),0)+IFERROR(VLOOKUP(A276,'#11 IH Results'!$A$2:$C$302,2,0),0)+IFERROR(VLOOKUP(A276,'#10 IH Results'!$A$2:$C$302,2,0),0)+IFERROR(VLOOKUP(A276,'#9 IH Results'!$A$2:$C$302,2,0),0)+IFERROR(VLOOKUP(A276,'#8 IH Results'!$A$2:$C$302,2,0),0)+IFERROR(VLOOKUP(A276,'#7 IH Results'!$A$2:$C$302,2,0),0)+IFERROR(VLOOKUP(A276,'#6 IH Results'!$A$2:$C$302,2,0),0)+IFERROR(VLOOKUP(A276,'#5 IH Results'!$A$2:$C$303,2,0),0)+IFERROR(VLOOKUP(A276,'#4 IH Results'!$A$2:$C$300,2,0),0)+IFERROR(VLOOKUP(A276,'#3 IH Results'!$A$2:$C$101,2,0),0)+IFERROR(VLOOKUP(A276,'#2 IH Results'!$A$2:$C$101,2,0),0)+IFERROR(VLOOKUP(A276,'#1 IH Results'!$A$2:$C$101,2,0),0)+IFERROR(VLOOKUP(A276,'#0 IH Results'!$A$3:$C$102,2,0),0)</f>
        <v>1.237900744</v>
      </c>
    </row>
    <row r="277">
      <c r="A277" s="15" t="s">
        <v>277</v>
      </c>
      <c r="B277" s="6">
        <f>IFERROR(VLOOKUP(A277,'#17 IH Results'!$A$2:$C$301,2,0),0)+IFERROR(VLOOKUP(A277,'#16 IH Results'!$A$2:$C$301,2,0),0)+IFERROR(VLOOKUP(A277,'#15 IH Results'!$A$2:$C$301,2,0),0)+IFERROR(VLOOKUP(A277,'#14 IH Results'!$A$2:$C$302,2,0),0)+IFERROR(VLOOKUP(A277,'#13 IH Results'!$A$2:$C$302,2,0),0)+IFERROR(VLOOKUP(A277,'#12 IH Results'!$A$2:$C$302,2,0),0)+IFERROR(VLOOKUP(A277,'#11 IH Results'!$A$2:$C$302,2,0),0)+IFERROR(VLOOKUP(A277,'#10 IH Results'!$A$2:$C$302,2,0),0)+IFERROR(VLOOKUP(A277,'#9 IH Results'!$A$2:$C$302,2,0),0)+IFERROR(VLOOKUP(A277,'#8 IH Results'!$A$2:$C$302,2,0),0)+IFERROR(VLOOKUP(A277,'#7 IH Results'!$A$2:$C$302,2,0),0)+IFERROR(VLOOKUP(A277,'#6 IH Results'!$A$2:$C$302,2,0),0)+IFERROR(VLOOKUP(A277,'#5 IH Results'!$A$2:$C$303,2,0),0)+IFERROR(VLOOKUP(A277,'#4 IH Results'!$A$2:$C$300,2,0),0)+IFERROR(VLOOKUP(A277,'#3 IH Results'!$A$2:$C$101,2,0),0)+IFERROR(VLOOKUP(A277,'#2 IH Results'!$A$2:$C$101,2,0),0)+IFERROR(VLOOKUP(A277,'#1 IH Results'!$A$2:$C$101,2,0),0)+IFERROR(VLOOKUP(A277,'#0 IH Results'!$A$3:$C$102,2,0),0)</f>
        <v>1.237609842</v>
      </c>
    </row>
    <row r="278">
      <c r="A278" s="18" t="s">
        <v>278</v>
      </c>
      <c r="B278" s="6">
        <f>IFERROR(VLOOKUP(A278,'#17 IH Results'!$A$2:$C$301,2,0),0)+IFERROR(VLOOKUP(A278,'#16 IH Results'!$A$2:$C$301,2,0),0)+IFERROR(VLOOKUP(A278,'#15 IH Results'!$A$2:$C$301,2,0),0)+IFERROR(VLOOKUP(A278,'#14 IH Results'!$A$2:$C$302,2,0),0)+IFERROR(VLOOKUP(A278,'#13 IH Results'!$A$2:$C$302,2,0),0)+IFERROR(VLOOKUP(A278,'#12 IH Results'!$A$2:$C$302,2,0),0)+IFERROR(VLOOKUP(A278,'#11 IH Results'!$A$2:$C$302,2,0),0)+IFERROR(VLOOKUP(A278,'#10 IH Results'!$A$2:$C$302,2,0),0)+IFERROR(VLOOKUP(A278,'#9 IH Results'!$A$2:$C$302,2,0),0)+IFERROR(VLOOKUP(A278,'#8 IH Results'!$A$2:$C$302,2,0),0)+IFERROR(VLOOKUP(A278,'#7 IH Results'!$A$2:$C$302,2,0),0)+IFERROR(VLOOKUP(A278,'#6 IH Results'!$A$2:$C$302,2,0),0)+IFERROR(VLOOKUP(A278,'#5 IH Results'!$A$2:$C$303,2,0),0)+IFERROR(VLOOKUP(A278,'#4 IH Results'!$A$2:$C$300,2,0),0)+IFERROR(VLOOKUP(A278,'#3 IH Results'!$A$2:$C$101,2,0),0)+IFERROR(VLOOKUP(A278,'#2 IH Results'!$A$2:$C$101,2,0),0)+IFERROR(VLOOKUP(A278,'#1 IH Results'!$A$2:$C$101,2,0),0)+IFERROR(VLOOKUP(A278,'#0 IH Results'!$A$3:$C$102,2,0),0)</f>
        <v>1.227785219</v>
      </c>
    </row>
    <row r="279">
      <c r="A279" s="18" t="s">
        <v>279</v>
      </c>
      <c r="B279" s="6">
        <f>IFERROR(VLOOKUP(A279,'#17 IH Results'!$A$2:$C$301,2,0),0)+IFERROR(VLOOKUP(A279,'#16 IH Results'!$A$2:$C$301,2,0),0)+IFERROR(VLOOKUP(A279,'#15 IH Results'!$A$2:$C$301,2,0),0)+IFERROR(VLOOKUP(A279,'#14 IH Results'!$A$2:$C$302,2,0),0)+IFERROR(VLOOKUP(A279,'#13 IH Results'!$A$2:$C$302,2,0),0)+IFERROR(VLOOKUP(A279,'#12 IH Results'!$A$2:$C$302,2,0),0)+IFERROR(VLOOKUP(A279,'#11 IH Results'!$A$2:$C$302,2,0),0)+IFERROR(VLOOKUP(A279,'#10 IH Results'!$A$2:$C$302,2,0),0)+IFERROR(VLOOKUP(A279,'#9 IH Results'!$A$2:$C$302,2,0),0)+IFERROR(VLOOKUP(A279,'#8 IH Results'!$A$2:$C$302,2,0),0)+IFERROR(VLOOKUP(A279,'#7 IH Results'!$A$2:$C$302,2,0),0)+IFERROR(VLOOKUP(A279,'#6 IH Results'!$A$2:$C$302,2,0),0)+IFERROR(VLOOKUP(A279,'#5 IH Results'!$A$2:$C$303,2,0),0)+IFERROR(VLOOKUP(A279,'#4 IH Results'!$A$2:$C$300,2,0),0)+IFERROR(VLOOKUP(A279,'#3 IH Results'!$A$2:$C$101,2,0),0)+IFERROR(VLOOKUP(A279,'#2 IH Results'!$A$2:$C$101,2,0),0)+IFERROR(VLOOKUP(A279,'#1 IH Results'!$A$2:$C$101,2,0),0)+IFERROR(VLOOKUP(A279,'#0 IH Results'!$A$3:$C$102,2,0),0)</f>
        <v>1.227785219</v>
      </c>
    </row>
    <row r="280">
      <c r="A280" s="18" t="s">
        <v>280</v>
      </c>
      <c r="B280" s="6">
        <f>IFERROR(VLOOKUP(A280,'#17 IH Results'!$A$2:$C$301,2,0),0)+IFERROR(VLOOKUP(A280,'#16 IH Results'!$A$2:$C$301,2,0),0)+IFERROR(VLOOKUP(A280,'#15 IH Results'!$A$2:$C$301,2,0),0)+IFERROR(VLOOKUP(A280,'#14 IH Results'!$A$2:$C$302,2,0),0)+IFERROR(VLOOKUP(A280,'#13 IH Results'!$A$2:$C$302,2,0),0)+IFERROR(VLOOKUP(A280,'#12 IH Results'!$A$2:$C$302,2,0),0)+IFERROR(VLOOKUP(A280,'#11 IH Results'!$A$2:$C$302,2,0),0)+IFERROR(VLOOKUP(A280,'#10 IH Results'!$A$2:$C$302,2,0),0)+IFERROR(VLOOKUP(A280,'#9 IH Results'!$A$2:$C$302,2,0),0)+IFERROR(VLOOKUP(A280,'#8 IH Results'!$A$2:$C$302,2,0),0)+IFERROR(VLOOKUP(A280,'#7 IH Results'!$A$2:$C$302,2,0),0)+IFERROR(VLOOKUP(A280,'#6 IH Results'!$A$2:$C$302,2,0),0)+IFERROR(VLOOKUP(A280,'#5 IH Results'!$A$2:$C$303,2,0),0)+IFERROR(VLOOKUP(A280,'#4 IH Results'!$A$2:$C$300,2,0),0)+IFERROR(VLOOKUP(A280,'#3 IH Results'!$A$2:$C$101,2,0),0)+IFERROR(VLOOKUP(A280,'#2 IH Results'!$A$2:$C$101,2,0),0)+IFERROR(VLOOKUP(A280,'#1 IH Results'!$A$2:$C$101,2,0),0)+IFERROR(VLOOKUP(A280,'#0 IH Results'!$A$3:$C$102,2,0),0)</f>
        <v>1.227785219</v>
      </c>
    </row>
    <row r="281">
      <c r="A281" s="18" t="s">
        <v>281</v>
      </c>
      <c r="B281" s="6">
        <f>IFERROR(VLOOKUP(A281,'#17 IH Results'!$A$2:$C$301,2,0),0)+IFERROR(VLOOKUP(A281,'#16 IH Results'!$A$2:$C$301,2,0),0)+IFERROR(VLOOKUP(A281,'#15 IH Results'!$A$2:$C$301,2,0),0)+IFERROR(VLOOKUP(A281,'#14 IH Results'!$A$2:$C$302,2,0),0)+IFERROR(VLOOKUP(A281,'#13 IH Results'!$A$2:$C$302,2,0),0)+IFERROR(VLOOKUP(A281,'#12 IH Results'!$A$2:$C$302,2,0),0)+IFERROR(VLOOKUP(A281,'#11 IH Results'!$A$2:$C$302,2,0),0)+IFERROR(VLOOKUP(A281,'#10 IH Results'!$A$2:$C$302,2,0),0)+IFERROR(VLOOKUP(A281,'#9 IH Results'!$A$2:$C$302,2,0),0)+IFERROR(VLOOKUP(A281,'#8 IH Results'!$A$2:$C$302,2,0),0)+IFERROR(VLOOKUP(A281,'#7 IH Results'!$A$2:$C$302,2,0),0)+IFERROR(VLOOKUP(A281,'#6 IH Results'!$A$2:$C$302,2,0),0)+IFERROR(VLOOKUP(A281,'#5 IH Results'!$A$2:$C$303,2,0),0)+IFERROR(VLOOKUP(A281,'#4 IH Results'!$A$2:$C$300,2,0),0)+IFERROR(VLOOKUP(A281,'#3 IH Results'!$A$2:$C$101,2,0),0)+IFERROR(VLOOKUP(A281,'#2 IH Results'!$A$2:$C$101,2,0),0)+IFERROR(VLOOKUP(A281,'#1 IH Results'!$A$2:$C$101,2,0),0)+IFERROR(VLOOKUP(A281,'#0 IH Results'!$A$3:$C$102,2,0),0)</f>
        <v>1.227785219</v>
      </c>
    </row>
    <row r="282">
      <c r="A282" s="15" t="s">
        <v>282</v>
      </c>
      <c r="B282" s="6">
        <f>IFERROR(VLOOKUP(A282,'#17 IH Results'!$A$2:$C$301,2,0),0)+IFERROR(VLOOKUP(A282,'#16 IH Results'!$A$2:$C$301,2,0),0)+IFERROR(VLOOKUP(A282,'#15 IH Results'!$A$2:$C$301,2,0),0)+IFERROR(VLOOKUP(A282,'#14 IH Results'!$A$2:$C$302,2,0),0)+IFERROR(VLOOKUP(A282,'#13 IH Results'!$A$2:$C$302,2,0),0)+IFERROR(VLOOKUP(A282,'#12 IH Results'!$A$2:$C$302,2,0),0)+IFERROR(VLOOKUP(A282,'#11 IH Results'!$A$2:$C$302,2,0),0)+IFERROR(VLOOKUP(A282,'#10 IH Results'!$A$2:$C$302,2,0),0)+IFERROR(VLOOKUP(A282,'#9 IH Results'!$A$2:$C$302,2,0),0)+IFERROR(VLOOKUP(A282,'#8 IH Results'!$A$2:$C$302,2,0),0)+IFERROR(VLOOKUP(A282,'#7 IH Results'!$A$2:$C$302,2,0),0)+IFERROR(VLOOKUP(A282,'#6 IH Results'!$A$2:$C$302,2,0),0)+IFERROR(VLOOKUP(A282,'#5 IH Results'!$A$2:$C$303,2,0),0)+IFERROR(VLOOKUP(A282,'#4 IH Results'!$A$2:$C$300,2,0),0)+IFERROR(VLOOKUP(A282,'#3 IH Results'!$A$2:$C$101,2,0),0)+IFERROR(VLOOKUP(A282,'#2 IH Results'!$A$2:$C$101,2,0),0)+IFERROR(VLOOKUP(A282,'#1 IH Results'!$A$2:$C$101,2,0),0)+IFERROR(VLOOKUP(A282,'#0 IH Results'!$A$3:$C$102,2,0),0)</f>
        <v>1.21627467</v>
      </c>
    </row>
    <row r="283">
      <c r="A283" s="15" t="s">
        <v>283</v>
      </c>
      <c r="B283" s="6">
        <f>IFERROR(VLOOKUP(A283,'#17 IH Results'!$A$2:$C$301,2,0),0)+IFERROR(VLOOKUP(A283,'#16 IH Results'!$A$2:$C$301,2,0),0)+IFERROR(VLOOKUP(A283,'#15 IH Results'!$A$2:$C$301,2,0),0)+IFERROR(VLOOKUP(A283,'#14 IH Results'!$A$2:$C$302,2,0),0)+IFERROR(VLOOKUP(A283,'#13 IH Results'!$A$2:$C$302,2,0),0)+IFERROR(VLOOKUP(A283,'#12 IH Results'!$A$2:$C$302,2,0),0)+IFERROR(VLOOKUP(A283,'#11 IH Results'!$A$2:$C$302,2,0),0)+IFERROR(VLOOKUP(A283,'#10 IH Results'!$A$2:$C$302,2,0),0)+IFERROR(VLOOKUP(A283,'#9 IH Results'!$A$2:$C$302,2,0),0)+IFERROR(VLOOKUP(A283,'#8 IH Results'!$A$2:$C$302,2,0),0)+IFERROR(VLOOKUP(A283,'#7 IH Results'!$A$2:$C$302,2,0),0)+IFERROR(VLOOKUP(A283,'#6 IH Results'!$A$2:$C$302,2,0),0)+IFERROR(VLOOKUP(A283,'#5 IH Results'!$A$2:$C$303,2,0),0)+IFERROR(VLOOKUP(A283,'#4 IH Results'!$A$2:$C$300,2,0),0)+IFERROR(VLOOKUP(A283,'#3 IH Results'!$A$2:$C$101,2,0),0)+IFERROR(VLOOKUP(A283,'#2 IH Results'!$A$2:$C$101,2,0),0)+IFERROR(VLOOKUP(A283,'#1 IH Results'!$A$2:$C$101,2,0),0)+IFERROR(VLOOKUP(A283,'#0 IH Results'!$A$3:$C$102,2,0),0)</f>
        <v>1.139267953</v>
      </c>
    </row>
    <row r="284">
      <c r="A284" s="15" t="s">
        <v>284</v>
      </c>
      <c r="B284" s="6">
        <f>IFERROR(VLOOKUP(A284,'#17 IH Results'!$A$2:$C$301,2,0),0)+IFERROR(VLOOKUP(A284,'#16 IH Results'!$A$2:$C$301,2,0),0)+IFERROR(VLOOKUP(A284,'#15 IH Results'!$A$2:$C$301,2,0),0)+IFERROR(VLOOKUP(A284,'#14 IH Results'!$A$2:$C$302,2,0),0)+IFERROR(VLOOKUP(A284,'#13 IH Results'!$A$2:$C$302,2,0),0)+IFERROR(VLOOKUP(A284,'#12 IH Results'!$A$2:$C$302,2,0),0)+IFERROR(VLOOKUP(A284,'#11 IH Results'!$A$2:$C$302,2,0),0)+IFERROR(VLOOKUP(A284,'#10 IH Results'!$A$2:$C$302,2,0),0)+IFERROR(VLOOKUP(A284,'#9 IH Results'!$A$2:$C$302,2,0),0)+IFERROR(VLOOKUP(A284,'#8 IH Results'!$A$2:$C$302,2,0),0)+IFERROR(VLOOKUP(A284,'#7 IH Results'!$A$2:$C$302,2,0),0)+IFERROR(VLOOKUP(A284,'#6 IH Results'!$A$2:$C$302,2,0),0)+IFERROR(VLOOKUP(A284,'#5 IH Results'!$A$2:$C$303,2,0),0)+IFERROR(VLOOKUP(A284,'#4 IH Results'!$A$2:$C$300,2,0),0)+IFERROR(VLOOKUP(A284,'#3 IH Results'!$A$2:$C$101,2,0),0)+IFERROR(VLOOKUP(A284,'#2 IH Results'!$A$2:$C$101,2,0),0)+IFERROR(VLOOKUP(A284,'#1 IH Results'!$A$2:$C$101,2,0),0)+IFERROR(VLOOKUP(A284,'#0 IH Results'!$A$3:$C$102,2,0),0)</f>
        <v>1.137085788</v>
      </c>
    </row>
    <row r="285">
      <c r="A285" s="15" t="s">
        <v>285</v>
      </c>
      <c r="B285" s="6">
        <f>IFERROR(VLOOKUP(A285,'#17 IH Results'!$A$2:$C$301,2,0),0)+IFERROR(VLOOKUP(A285,'#16 IH Results'!$A$2:$C$301,2,0),0)+IFERROR(VLOOKUP(A285,'#15 IH Results'!$A$2:$C$301,2,0),0)+IFERROR(VLOOKUP(A285,'#14 IH Results'!$A$2:$C$302,2,0),0)+IFERROR(VLOOKUP(A285,'#13 IH Results'!$A$2:$C$302,2,0),0)+IFERROR(VLOOKUP(A285,'#12 IH Results'!$A$2:$C$302,2,0),0)+IFERROR(VLOOKUP(A285,'#11 IH Results'!$A$2:$C$302,2,0),0)+IFERROR(VLOOKUP(A285,'#10 IH Results'!$A$2:$C$302,2,0),0)+IFERROR(VLOOKUP(A285,'#9 IH Results'!$A$2:$C$302,2,0),0)+IFERROR(VLOOKUP(A285,'#8 IH Results'!$A$2:$C$302,2,0),0)+IFERROR(VLOOKUP(A285,'#7 IH Results'!$A$2:$C$302,2,0),0)+IFERROR(VLOOKUP(A285,'#6 IH Results'!$A$2:$C$302,2,0),0)+IFERROR(VLOOKUP(A285,'#5 IH Results'!$A$2:$C$303,2,0),0)+IFERROR(VLOOKUP(A285,'#4 IH Results'!$A$2:$C$300,2,0),0)+IFERROR(VLOOKUP(A285,'#3 IH Results'!$A$2:$C$101,2,0),0)+IFERROR(VLOOKUP(A285,'#2 IH Results'!$A$2:$C$101,2,0),0)+IFERROR(VLOOKUP(A285,'#1 IH Results'!$A$2:$C$101,2,0),0)+IFERROR(VLOOKUP(A285,'#0 IH Results'!$A$3:$C$102,2,0),0)</f>
        <v>1.135214761</v>
      </c>
    </row>
    <row r="286">
      <c r="A286" s="15" t="s">
        <v>286</v>
      </c>
      <c r="B286" s="6">
        <f>IFERROR(VLOOKUP(A286,'#17 IH Results'!$A$2:$C$301,2,0),0)+IFERROR(VLOOKUP(A286,'#16 IH Results'!$A$2:$C$301,2,0),0)+IFERROR(VLOOKUP(A286,'#15 IH Results'!$A$2:$C$301,2,0),0)+IFERROR(VLOOKUP(A286,'#14 IH Results'!$A$2:$C$302,2,0),0)+IFERROR(VLOOKUP(A286,'#13 IH Results'!$A$2:$C$302,2,0),0)+IFERROR(VLOOKUP(A286,'#12 IH Results'!$A$2:$C$302,2,0),0)+IFERROR(VLOOKUP(A286,'#11 IH Results'!$A$2:$C$302,2,0),0)+IFERROR(VLOOKUP(A286,'#10 IH Results'!$A$2:$C$302,2,0),0)+IFERROR(VLOOKUP(A286,'#9 IH Results'!$A$2:$C$302,2,0),0)+IFERROR(VLOOKUP(A286,'#8 IH Results'!$A$2:$C$302,2,0),0)+IFERROR(VLOOKUP(A286,'#7 IH Results'!$A$2:$C$302,2,0),0)+IFERROR(VLOOKUP(A286,'#6 IH Results'!$A$2:$C$302,2,0),0)+IFERROR(VLOOKUP(A286,'#5 IH Results'!$A$2:$C$303,2,0),0)+IFERROR(VLOOKUP(A286,'#4 IH Results'!$A$2:$C$300,2,0),0)+IFERROR(VLOOKUP(A286,'#3 IH Results'!$A$2:$C$101,2,0),0)+IFERROR(VLOOKUP(A286,'#2 IH Results'!$A$2:$C$101,2,0),0)+IFERROR(VLOOKUP(A286,'#1 IH Results'!$A$2:$C$101,2,0),0)+IFERROR(VLOOKUP(A286,'#0 IH Results'!$A$3:$C$102,2,0),0)</f>
        <v>1.135214761</v>
      </c>
    </row>
    <row r="287">
      <c r="A287" s="15" t="s">
        <v>287</v>
      </c>
      <c r="B287" s="6">
        <f>IFERROR(VLOOKUP(A287,'#17 IH Results'!$A$2:$C$301,2,0),0)+IFERROR(VLOOKUP(A287,'#16 IH Results'!$A$2:$C$301,2,0),0)+IFERROR(VLOOKUP(A287,'#15 IH Results'!$A$2:$C$301,2,0),0)+IFERROR(VLOOKUP(A287,'#14 IH Results'!$A$2:$C$302,2,0),0)+IFERROR(VLOOKUP(A287,'#13 IH Results'!$A$2:$C$302,2,0),0)+IFERROR(VLOOKUP(A287,'#12 IH Results'!$A$2:$C$302,2,0),0)+IFERROR(VLOOKUP(A287,'#11 IH Results'!$A$2:$C$302,2,0),0)+IFERROR(VLOOKUP(A287,'#10 IH Results'!$A$2:$C$302,2,0),0)+IFERROR(VLOOKUP(A287,'#9 IH Results'!$A$2:$C$302,2,0),0)+IFERROR(VLOOKUP(A287,'#8 IH Results'!$A$2:$C$302,2,0),0)+IFERROR(VLOOKUP(A287,'#7 IH Results'!$A$2:$C$302,2,0),0)+IFERROR(VLOOKUP(A287,'#6 IH Results'!$A$2:$C$302,2,0),0)+IFERROR(VLOOKUP(A287,'#5 IH Results'!$A$2:$C$303,2,0),0)+IFERROR(VLOOKUP(A287,'#4 IH Results'!$A$2:$C$300,2,0),0)+IFERROR(VLOOKUP(A287,'#3 IH Results'!$A$2:$C$101,2,0),0)+IFERROR(VLOOKUP(A287,'#2 IH Results'!$A$2:$C$101,2,0),0)+IFERROR(VLOOKUP(A287,'#1 IH Results'!$A$2:$C$101,2,0),0)+IFERROR(VLOOKUP(A287,'#0 IH Results'!$A$3:$C$102,2,0),0)</f>
        <v>1.09670639</v>
      </c>
    </row>
    <row r="288">
      <c r="A288" s="15" t="s">
        <v>288</v>
      </c>
      <c r="B288" s="6">
        <f>IFERROR(VLOOKUP(A288,'#17 IH Results'!$A$2:$C$301,2,0),0)+IFERROR(VLOOKUP(A288,'#16 IH Results'!$A$2:$C$301,2,0),0)+IFERROR(VLOOKUP(A288,'#15 IH Results'!$A$2:$C$301,2,0),0)+IFERROR(VLOOKUP(A288,'#14 IH Results'!$A$2:$C$302,2,0),0)+IFERROR(VLOOKUP(A288,'#13 IH Results'!$A$2:$C$302,2,0),0)+IFERROR(VLOOKUP(A288,'#12 IH Results'!$A$2:$C$302,2,0),0)+IFERROR(VLOOKUP(A288,'#11 IH Results'!$A$2:$C$302,2,0),0)+IFERROR(VLOOKUP(A288,'#10 IH Results'!$A$2:$C$302,2,0),0)+IFERROR(VLOOKUP(A288,'#9 IH Results'!$A$2:$C$302,2,0),0)+IFERROR(VLOOKUP(A288,'#8 IH Results'!$A$2:$C$302,2,0),0)+IFERROR(VLOOKUP(A288,'#7 IH Results'!$A$2:$C$302,2,0),0)+IFERROR(VLOOKUP(A288,'#6 IH Results'!$A$2:$C$302,2,0),0)+IFERROR(VLOOKUP(A288,'#5 IH Results'!$A$2:$C$303,2,0),0)+IFERROR(VLOOKUP(A288,'#4 IH Results'!$A$2:$C$300,2,0),0)+IFERROR(VLOOKUP(A288,'#3 IH Results'!$A$2:$C$101,2,0),0)+IFERROR(VLOOKUP(A288,'#2 IH Results'!$A$2:$C$101,2,0),0)+IFERROR(VLOOKUP(A288,'#1 IH Results'!$A$2:$C$101,2,0),0)+IFERROR(VLOOKUP(A288,'#0 IH Results'!$A$3:$C$102,2,0),0)</f>
        <v>1.075386639</v>
      </c>
    </row>
    <row r="289">
      <c r="A289" s="15" t="s">
        <v>289</v>
      </c>
      <c r="B289" s="6">
        <f>IFERROR(VLOOKUP(A289,'#17 IH Results'!$A$2:$C$301,2,0),0)+IFERROR(VLOOKUP(A289,'#16 IH Results'!$A$2:$C$301,2,0),0)+IFERROR(VLOOKUP(A289,'#15 IH Results'!$A$2:$C$301,2,0),0)+IFERROR(VLOOKUP(A289,'#14 IH Results'!$A$2:$C$302,2,0),0)+IFERROR(VLOOKUP(A289,'#13 IH Results'!$A$2:$C$302,2,0),0)+IFERROR(VLOOKUP(A289,'#12 IH Results'!$A$2:$C$302,2,0),0)+IFERROR(VLOOKUP(A289,'#11 IH Results'!$A$2:$C$302,2,0),0)+IFERROR(VLOOKUP(A289,'#10 IH Results'!$A$2:$C$302,2,0),0)+IFERROR(VLOOKUP(A289,'#9 IH Results'!$A$2:$C$302,2,0),0)+IFERROR(VLOOKUP(A289,'#8 IH Results'!$A$2:$C$302,2,0),0)+IFERROR(VLOOKUP(A289,'#7 IH Results'!$A$2:$C$302,2,0),0)+IFERROR(VLOOKUP(A289,'#6 IH Results'!$A$2:$C$302,2,0),0)+IFERROR(VLOOKUP(A289,'#5 IH Results'!$A$2:$C$303,2,0),0)+IFERROR(VLOOKUP(A289,'#4 IH Results'!$A$2:$C$300,2,0),0)+IFERROR(VLOOKUP(A289,'#3 IH Results'!$A$2:$C$101,2,0),0)+IFERROR(VLOOKUP(A289,'#2 IH Results'!$A$2:$C$101,2,0),0)+IFERROR(VLOOKUP(A289,'#1 IH Results'!$A$2:$C$101,2,0),0)+IFERROR(VLOOKUP(A289,'#0 IH Results'!$A$3:$C$102,2,0),0)</f>
        <v>1.061784244</v>
      </c>
    </row>
    <row r="290">
      <c r="A290" s="8" t="s">
        <v>290</v>
      </c>
      <c r="B290" s="6">
        <f>IFERROR(VLOOKUP(A290,'#17 IH Results'!$A$2:$C$301,2,0),0)+IFERROR(VLOOKUP(A290,'#16 IH Results'!$A$2:$C$301,2,0),0)+IFERROR(VLOOKUP(A290,'#15 IH Results'!$A$2:$C$301,2,0),0)+IFERROR(VLOOKUP(A290,'#14 IH Results'!$A$2:$C$302,2,0),0)+IFERROR(VLOOKUP(A290,'#13 IH Results'!$A$2:$C$302,2,0),0)+IFERROR(VLOOKUP(A290,'#12 IH Results'!$A$2:$C$302,2,0),0)+IFERROR(VLOOKUP(A290,'#11 IH Results'!$A$2:$C$302,2,0),0)+IFERROR(VLOOKUP(A290,'#10 IH Results'!$A$2:$C$302,2,0),0)+IFERROR(VLOOKUP(A290,'#9 IH Results'!$A$2:$C$302,2,0),0)+IFERROR(VLOOKUP(A290,'#8 IH Results'!$A$2:$C$302,2,0),0)+IFERROR(VLOOKUP(A290,'#7 IH Results'!$A$2:$C$302,2,0),0)+IFERROR(VLOOKUP(A290,'#6 IH Results'!$A$2:$C$302,2,0),0)+IFERROR(VLOOKUP(A290,'#5 IH Results'!$A$2:$C$303,2,0),0)+IFERROR(VLOOKUP(A290,'#4 IH Results'!$A$2:$C$300,2,0),0)+IFERROR(VLOOKUP(A290,'#3 IH Results'!$A$2:$C$101,2,0),0)+IFERROR(VLOOKUP(A290,'#2 IH Results'!$A$2:$C$101,2,0),0)+IFERROR(VLOOKUP(A290,'#1 IH Results'!$A$2:$C$101,2,0),0)+IFERROR(VLOOKUP(A290,'#0 IH Results'!$A$3:$C$102,2,0),0)</f>
        <v>1.05210528</v>
      </c>
    </row>
    <row r="291">
      <c r="A291" s="13" t="s">
        <v>291</v>
      </c>
      <c r="B291" s="6">
        <f>IFERROR(VLOOKUP(A291,'#17 IH Results'!$A$2:$C$301,2,0),0)+IFERROR(VLOOKUP(A291,'#16 IH Results'!$A$2:$C$301,2,0),0)+IFERROR(VLOOKUP(A291,'#15 IH Results'!$A$2:$C$301,2,0),0)+IFERROR(VLOOKUP(A291,'#14 IH Results'!$A$2:$C$302,2,0),0)+IFERROR(VLOOKUP(A291,'#13 IH Results'!$A$2:$C$302,2,0),0)+IFERROR(VLOOKUP(A291,'#12 IH Results'!$A$2:$C$302,2,0),0)+IFERROR(VLOOKUP(A291,'#11 IH Results'!$A$2:$C$302,2,0),0)+IFERROR(VLOOKUP(A291,'#10 IH Results'!$A$2:$C$302,2,0),0)+IFERROR(VLOOKUP(A291,'#9 IH Results'!$A$2:$C$302,2,0),0)+IFERROR(VLOOKUP(A291,'#8 IH Results'!$A$2:$C$302,2,0),0)+IFERROR(VLOOKUP(A291,'#7 IH Results'!$A$2:$C$302,2,0),0)+IFERROR(VLOOKUP(A291,'#6 IH Results'!$A$2:$C$302,2,0),0)+IFERROR(VLOOKUP(A291,'#5 IH Results'!$A$2:$C$303,2,0),0)+IFERROR(VLOOKUP(A291,'#4 IH Results'!$A$2:$C$300,2,0),0)+IFERROR(VLOOKUP(A291,'#3 IH Results'!$A$2:$C$101,2,0),0)+IFERROR(VLOOKUP(A291,'#2 IH Results'!$A$2:$C$101,2,0),0)+IFERROR(VLOOKUP(A291,'#1 IH Results'!$A$2:$C$101,2,0),0)+IFERROR(VLOOKUP(A291,'#0 IH Results'!$A$3:$C$102,2,0),0)</f>
        <v>1.036241858</v>
      </c>
    </row>
    <row r="292">
      <c r="A292" s="13" t="s">
        <v>292</v>
      </c>
      <c r="B292" s="6">
        <f>IFERROR(VLOOKUP(A292,'#17 IH Results'!$A$2:$C$301,2,0),0)+IFERROR(VLOOKUP(A292,'#16 IH Results'!$A$2:$C$301,2,0),0)+IFERROR(VLOOKUP(A292,'#15 IH Results'!$A$2:$C$301,2,0),0)+IFERROR(VLOOKUP(A292,'#14 IH Results'!$A$2:$C$302,2,0),0)+IFERROR(VLOOKUP(A292,'#13 IH Results'!$A$2:$C$302,2,0),0)+IFERROR(VLOOKUP(A292,'#12 IH Results'!$A$2:$C$302,2,0),0)+IFERROR(VLOOKUP(A292,'#11 IH Results'!$A$2:$C$302,2,0),0)+IFERROR(VLOOKUP(A292,'#10 IH Results'!$A$2:$C$302,2,0),0)+IFERROR(VLOOKUP(A292,'#9 IH Results'!$A$2:$C$302,2,0),0)+IFERROR(VLOOKUP(A292,'#8 IH Results'!$A$2:$C$302,2,0),0)+IFERROR(VLOOKUP(A292,'#7 IH Results'!$A$2:$C$302,2,0),0)+IFERROR(VLOOKUP(A292,'#6 IH Results'!$A$2:$C$302,2,0),0)+IFERROR(VLOOKUP(A292,'#5 IH Results'!$A$2:$C$303,2,0),0)+IFERROR(VLOOKUP(A292,'#4 IH Results'!$A$2:$C$300,2,0),0)+IFERROR(VLOOKUP(A292,'#3 IH Results'!$A$2:$C$101,2,0),0)+IFERROR(VLOOKUP(A292,'#2 IH Results'!$A$2:$C$101,2,0),0)+IFERROR(VLOOKUP(A292,'#1 IH Results'!$A$2:$C$101,2,0),0)+IFERROR(VLOOKUP(A292,'#0 IH Results'!$A$3:$C$102,2,0),0)</f>
        <v>1.036241858</v>
      </c>
    </row>
    <row r="293">
      <c r="A293" s="13" t="s">
        <v>293</v>
      </c>
      <c r="B293" s="6">
        <f>IFERROR(VLOOKUP(A293,'#17 IH Results'!$A$2:$C$301,2,0),0)+IFERROR(VLOOKUP(A293,'#16 IH Results'!$A$2:$C$301,2,0),0)+IFERROR(VLOOKUP(A293,'#15 IH Results'!$A$2:$C$301,2,0),0)+IFERROR(VLOOKUP(A293,'#14 IH Results'!$A$2:$C$302,2,0),0)+IFERROR(VLOOKUP(A293,'#13 IH Results'!$A$2:$C$302,2,0),0)+IFERROR(VLOOKUP(A293,'#12 IH Results'!$A$2:$C$302,2,0),0)+IFERROR(VLOOKUP(A293,'#11 IH Results'!$A$2:$C$302,2,0),0)+IFERROR(VLOOKUP(A293,'#10 IH Results'!$A$2:$C$302,2,0),0)+IFERROR(VLOOKUP(A293,'#9 IH Results'!$A$2:$C$302,2,0),0)+IFERROR(VLOOKUP(A293,'#8 IH Results'!$A$2:$C$302,2,0),0)+IFERROR(VLOOKUP(A293,'#7 IH Results'!$A$2:$C$302,2,0),0)+IFERROR(VLOOKUP(A293,'#6 IH Results'!$A$2:$C$302,2,0),0)+IFERROR(VLOOKUP(A293,'#5 IH Results'!$A$2:$C$303,2,0),0)+IFERROR(VLOOKUP(A293,'#4 IH Results'!$A$2:$C$300,2,0),0)+IFERROR(VLOOKUP(A293,'#3 IH Results'!$A$2:$C$101,2,0),0)+IFERROR(VLOOKUP(A293,'#2 IH Results'!$A$2:$C$101,2,0),0)+IFERROR(VLOOKUP(A293,'#1 IH Results'!$A$2:$C$101,2,0),0)+IFERROR(VLOOKUP(A293,'#0 IH Results'!$A$3:$C$102,2,0),0)</f>
        <v>1.036241858</v>
      </c>
    </row>
    <row r="294">
      <c r="A294" s="8" t="s">
        <v>294</v>
      </c>
      <c r="B294" s="6">
        <f>IFERROR(VLOOKUP(A294,'#17 IH Results'!$A$2:$C$301,2,0),0)+IFERROR(VLOOKUP(A294,'#16 IH Results'!$A$2:$C$301,2,0),0)+IFERROR(VLOOKUP(A294,'#15 IH Results'!$A$2:$C$301,2,0),0)+IFERROR(VLOOKUP(A294,'#14 IH Results'!$A$2:$C$302,2,0),0)+IFERROR(VLOOKUP(A294,'#13 IH Results'!$A$2:$C$302,2,0),0)+IFERROR(VLOOKUP(A294,'#12 IH Results'!$A$2:$C$302,2,0),0)+IFERROR(VLOOKUP(A294,'#11 IH Results'!$A$2:$C$302,2,0),0)+IFERROR(VLOOKUP(A294,'#10 IH Results'!$A$2:$C$302,2,0),0)+IFERROR(VLOOKUP(A294,'#9 IH Results'!$A$2:$C$302,2,0),0)+IFERROR(VLOOKUP(A294,'#8 IH Results'!$A$2:$C$302,2,0),0)+IFERROR(VLOOKUP(A294,'#7 IH Results'!$A$2:$C$302,2,0),0)+IFERROR(VLOOKUP(A294,'#6 IH Results'!$A$2:$C$302,2,0),0)+IFERROR(VLOOKUP(A294,'#5 IH Results'!$A$2:$C$303,2,0),0)+IFERROR(VLOOKUP(A294,'#4 IH Results'!$A$2:$C$300,2,0),0)+IFERROR(VLOOKUP(A294,'#3 IH Results'!$A$2:$C$101,2,0),0)+IFERROR(VLOOKUP(A294,'#2 IH Results'!$A$2:$C$101,2,0),0)+IFERROR(VLOOKUP(A294,'#1 IH Results'!$A$2:$C$101,2,0),0)+IFERROR(VLOOKUP(A294,'#0 IH Results'!$A$3:$C$102,2,0),0)</f>
        <v>0.9867772631</v>
      </c>
    </row>
    <row r="295">
      <c r="A295" s="8" t="s">
        <v>295</v>
      </c>
      <c r="B295" s="6">
        <f>IFERROR(VLOOKUP(A295,'#17 IH Results'!$A$2:$C$301,2,0),0)+IFERROR(VLOOKUP(A295,'#16 IH Results'!$A$2:$C$301,2,0),0)+IFERROR(VLOOKUP(A295,'#15 IH Results'!$A$2:$C$301,2,0),0)+IFERROR(VLOOKUP(A295,'#14 IH Results'!$A$2:$C$302,2,0),0)+IFERROR(VLOOKUP(A295,'#13 IH Results'!$A$2:$C$302,2,0),0)+IFERROR(VLOOKUP(A295,'#12 IH Results'!$A$2:$C$302,2,0),0)+IFERROR(VLOOKUP(A295,'#11 IH Results'!$A$2:$C$302,2,0),0)+IFERROR(VLOOKUP(A295,'#10 IH Results'!$A$2:$C$302,2,0),0)+IFERROR(VLOOKUP(A295,'#9 IH Results'!$A$2:$C$302,2,0),0)+IFERROR(VLOOKUP(A295,'#8 IH Results'!$A$2:$C$302,2,0),0)+IFERROR(VLOOKUP(A295,'#7 IH Results'!$A$2:$C$302,2,0),0)+IFERROR(VLOOKUP(A295,'#6 IH Results'!$A$2:$C$302,2,0),0)+IFERROR(VLOOKUP(A295,'#5 IH Results'!$A$2:$C$303,2,0),0)+IFERROR(VLOOKUP(A295,'#4 IH Results'!$A$2:$C$300,2,0),0)+IFERROR(VLOOKUP(A295,'#3 IH Results'!$A$2:$C$101,2,0),0)+IFERROR(VLOOKUP(A295,'#2 IH Results'!$A$2:$C$101,2,0),0)+IFERROR(VLOOKUP(A295,'#1 IH Results'!$A$2:$C$101,2,0),0)+IFERROR(VLOOKUP(A295,'#0 IH Results'!$A$3:$C$102,2,0),0)</f>
        <v>0.9340066275</v>
      </c>
    </row>
    <row r="296">
      <c r="A296" s="13" t="s">
        <v>296</v>
      </c>
      <c r="B296" s="6">
        <f>IFERROR(VLOOKUP(A296,'#17 IH Results'!$A$2:$C$301,2,0),0)+IFERROR(VLOOKUP(A296,'#16 IH Results'!$A$2:$C$301,2,0),0)+IFERROR(VLOOKUP(A296,'#15 IH Results'!$A$2:$C$301,2,0),0)+IFERROR(VLOOKUP(A296,'#14 IH Results'!$A$2:$C$302,2,0),0)+IFERROR(VLOOKUP(A296,'#13 IH Results'!$A$2:$C$302,2,0),0)+IFERROR(VLOOKUP(A296,'#12 IH Results'!$A$2:$C$302,2,0),0)+IFERROR(VLOOKUP(A296,'#11 IH Results'!$A$2:$C$302,2,0),0)+IFERROR(VLOOKUP(A296,'#10 IH Results'!$A$2:$C$302,2,0),0)+IFERROR(VLOOKUP(A296,'#9 IH Results'!$A$2:$C$302,2,0),0)+IFERROR(VLOOKUP(A296,'#8 IH Results'!$A$2:$C$302,2,0),0)+IFERROR(VLOOKUP(A296,'#7 IH Results'!$A$2:$C$302,2,0),0)+IFERROR(VLOOKUP(A296,'#6 IH Results'!$A$2:$C$302,2,0),0)+IFERROR(VLOOKUP(A296,'#5 IH Results'!$A$2:$C$303,2,0),0)+IFERROR(VLOOKUP(A296,'#4 IH Results'!$A$2:$C$300,2,0),0)+IFERROR(VLOOKUP(A296,'#3 IH Results'!$A$2:$C$101,2,0),0)+IFERROR(VLOOKUP(A296,'#2 IH Results'!$A$2:$C$101,2,0),0)+IFERROR(VLOOKUP(A296,'#1 IH Results'!$A$2:$C$101,2,0),0)+IFERROR(VLOOKUP(A296,'#0 IH Results'!$A$3:$C$102,2,0),0)</f>
        <v>0.9307100069</v>
      </c>
    </row>
    <row r="297">
      <c r="A297" s="8" t="s">
        <v>297</v>
      </c>
      <c r="B297" s="6">
        <f>IFERROR(VLOOKUP(A297,'#17 IH Results'!$A$2:$C$301,2,0),0)+IFERROR(VLOOKUP(A297,'#16 IH Results'!$A$2:$C$301,2,0),0)+IFERROR(VLOOKUP(A297,'#15 IH Results'!$A$2:$C$301,2,0),0)+IFERROR(VLOOKUP(A297,'#14 IH Results'!$A$2:$C$302,2,0),0)+IFERROR(VLOOKUP(A297,'#13 IH Results'!$A$2:$C$302,2,0),0)+IFERROR(VLOOKUP(A297,'#12 IH Results'!$A$2:$C$302,2,0),0)+IFERROR(VLOOKUP(A297,'#11 IH Results'!$A$2:$C$302,2,0),0)+IFERROR(VLOOKUP(A297,'#10 IH Results'!$A$2:$C$302,2,0),0)+IFERROR(VLOOKUP(A297,'#9 IH Results'!$A$2:$C$302,2,0),0)+IFERROR(VLOOKUP(A297,'#8 IH Results'!$A$2:$C$302,2,0),0)+IFERROR(VLOOKUP(A297,'#7 IH Results'!$A$2:$C$302,2,0),0)+IFERROR(VLOOKUP(A297,'#6 IH Results'!$A$2:$C$302,2,0),0)+IFERROR(VLOOKUP(A297,'#5 IH Results'!$A$2:$C$303,2,0),0)+IFERROR(VLOOKUP(A297,'#4 IH Results'!$A$2:$C$300,2,0),0)+IFERROR(VLOOKUP(A297,'#3 IH Results'!$A$2:$C$101,2,0),0)+IFERROR(VLOOKUP(A297,'#2 IH Results'!$A$2:$C$101,2,0),0)+IFERROR(VLOOKUP(A297,'#1 IH Results'!$A$2:$C$101,2,0),0)+IFERROR(VLOOKUP(A297,'#0 IH Results'!$A$3:$C$102,2,0),0)</f>
        <v>0.9090574516</v>
      </c>
    </row>
    <row r="298">
      <c r="A298" s="8" t="s">
        <v>298</v>
      </c>
      <c r="B298" s="6">
        <f>IFERROR(VLOOKUP(A298,'#17 IH Results'!$A$2:$C$301,2,0),0)+IFERROR(VLOOKUP(A298,'#16 IH Results'!$A$2:$C$301,2,0),0)+IFERROR(VLOOKUP(A298,'#15 IH Results'!$A$2:$C$301,2,0),0)+IFERROR(VLOOKUP(A298,'#14 IH Results'!$A$2:$C$302,2,0),0)+IFERROR(VLOOKUP(A298,'#13 IH Results'!$A$2:$C$302,2,0),0)+IFERROR(VLOOKUP(A298,'#12 IH Results'!$A$2:$C$302,2,0),0)+IFERROR(VLOOKUP(A298,'#11 IH Results'!$A$2:$C$302,2,0),0)+IFERROR(VLOOKUP(A298,'#10 IH Results'!$A$2:$C$302,2,0),0)+IFERROR(VLOOKUP(A298,'#9 IH Results'!$A$2:$C$302,2,0),0)+IFERROR(VLOOKUP(A298,'#8 IH Results'!$A$2:$C$302,2,0),0)+IFERROR(VLOOKUP(A298,'#7 IH Results'!$A$2:$C$302,2,0),0)+IFERROR(VLOOKUP(A298,'#6 IH Results'!$A$2:$C$302,2,0),0)+IFERROR(VLOOKUP(A298,'#5 IH Results'!$A$2:$C$303,2,0),0)+IFERROR(VLOOKUP(A298,'#4 IH Results'!$A$2:$C$300,2,0),0)+IFERROR(VLOOKUP(A298,'#3 IH Results'!$A$2:$C$101,2,0),0)+IFERROR(VLOOKUP(A298,'#2 IH Results'!$A$2:$C$101,2,0),0)+IFERROR(VLOOKUP(A298,'#1 IH Results'!$A$2:$C$101,2,0),0)+IFERROR(VLOOKUP(A298,'#0 IH Results'!$A$3:$C$102,2,0),0)</f>
        <v>0.9075640141</v>
      </c>
    </row>
    <row r="299">
      <c r="A299" s="8" t="s">
        <v>299</v>
      </c>
      <c r="B299" s="6">
        <f>IFERROR(VLOOKUP(A299,'#17 IH Results'!$A$2:$C$301,2,0),0)+IFERROR(VLOOKUP(A299,'#16 IH Results'!$A$2:$C$301,2,0),0)+IFERROR(VLOOKUP(A299,'#15 IH Results'!$A$2:$C$301,2,0),0)+IFERROR(VLOOKUP(A299,'#14 IH Results'!$A$2:$C$302,2,0),0)+IFERROR(VLOOKUP(A299,'#13 IH Results'!$A$2:$C$302,2,0),0)+IFERROR(VLOOKUP(A299,'#12 IH Results'!$A$2:$C$302,2,0),0)+IFERROR(VLOOKUP(A299,'#11 IH Results'!$A$2:$C$302,2,0),0)+IFERROR(VLOOKUP(A299,'#10 IH Results'!$A$2:$C$302,2,0),0)+IFERROR(VLOOKUP(A299,'#9 IH Results'!$A$2:$C$302,2,0),0)+IFERROR(VLOOKUP(A299,'#8 IH Results'!$A$2:$C$302,2,0),0)+IFERROR(VLOOKUP(A299,'#7 IH Results'!$A$2:$C$302,2,0),0)+IFERROR(VLOOKUP(A299,'#6 IH Results'!$A$2:$C$302,2,0),0)+IFERROR(VLOOKUP(A299,'#5 IH Results'!$A$2:$C$303,2,0),0)+IFERROR(VLOOKUP(A299,'#4 IH Results'!$A$2:$C$300,2,0),0)+IFERROR(VLOOKUP(A299,'#3 IH Results'!$A$2:$C$101,2,0),0)+IFERROR(VLOOKUP(A299,'#2 IH Results'!$A$2:$C$101,2,0),0)+IFERROR(VLOOKUP(A299,'#1 IH Results'!$A$2:$C$101,2,0),0)+IFERROR(VLOOKUP(A299,'#0 IH Results'!$A$3:$C$102,2,0),0)</f>
        <v>0.9040009918</v>
      </c>
    </row>
    <row r="300">
      <c r="A300" s="13" t="s">
        <v>300</v>
      </c>
      <c r="B300" s="6">
        <f>IFERROR(VLOOKUP(A300,'#17 IH Results'!$A$2:$C$301,2,0),0)+IFERROR(VLOOKUP(A300,'#16 IH Results'!$A$2:$C$301,2,0),0)+IFERROR(VLOOKUP(A300,'#15 IH Results'!$A$2:$C$301,2,0),0)+IFERROR(VLOOKUP(A300,'#14 IH Results'!$A$2:$C$302,2,0),0)+IFERROR(VLOOKUP(A300,'#13 IH Results'!$A$2:$C$302,2,0),0)+IFERROR(VLOOKUP(A300,'#12 IH Results'!$A$2:$C$302,2,0),0)+IFERROR(VLOOKUP(A300,'#11 IH Results'!$A$2:$C$302,2,0),0)+IFERROR(VLOOKUP(A300,'#10 IH Results'!$A$2:$C$302,2,0),0)+IFERROR(VLOOKUP(A300,'#9 IH Results'!$A$2:$C$302,2,0),0)+IFERROR(VLOOKUP(A300,'#8 IH Results'!$A$2:$C$302,2,0),0)+IFERROR(VLOOKUP(A300,'#7 IH Results'!$A$2:$C$302,2,0),0)+IFERROR(VLOOKUP(A300,'#6 IH Results'!$A$2:$C$302,2,0),0)+IFERROR(VLOOKUP(A300,'#5 IH Results'!$A$2:$C$303,2,0),0)+IFERROR(VLOOKUP(A300,'#4 IH Results'!$A$2:$C$300,2,0),0)+IFERROR(VLOOKUP(A300,'#3 IH Results'!$A$2:$C$101,2,0),0)+IFERROR(VLOOKUP(A300,'#2 IH Results'!$A$2:$C$101,2,0),0)+IFERROR(VLOOKUP(A300,'#1 IH Results'!$A$2:$C$101,2,0),0)+IFERROR(VLOOKUP(A300,'#0 IH Results'!$A$3:$C$102,2,0),0)</f>
        <v>0.8680729884</v>
      </c>
    </row>
    <row r="301">
      <c r="A301" s="13" t="s">
        <v>301</v>
      </c>
      <c r="B301" s="6">
        <f>IFERROR(VLOOKUP(A301,'#17 IH Results'!$A$2:$C$301,2,0),0)+IFERROR(VLOOKUP(A301,'#16 IH Results'!$A$2:$C$301,2,0),0)+IFERROR(VLOOKUP(A301,'#15 IH Results'!$A$2:$C$301,2,0),0)+IFERROR(VLOOKUP(A301,'#14 IH Results'!$A$2:$C$302,2,0),0)+IFERROR(VLOOKUP(A301,'#13 IH Results'!$A$2:$C$302,2,0),0)+IFERROR(VLOOKUP(A301,'#12 IH Results'!$A$2:$C$302,2,0),0)+IFERROR(VLOOKUP(A301,'#11 IH Results'!$A$2:$C$302,2,0),0)+IFERROR(VLOOKUP(A301,'#10 IH Results'!$A$2:$C$302,2,0),0)+IFERROR(VLOOKUP(A301,'#9 IH Results'!$A$2:$C$302,2,0),0)+IFERROR(VLOOKUP(A301,'#8 IH Results'!$A$2:$C$302,2,0),0)+IFERROR(VLOOKUP(A301,'#7 IH Results'!$A$2:$C$302,2,0),0)+IFERROR(VLOOKUP(A301,'#6 IH Results'!$A$2:$C$302,2,0),0)+IFERROR(VLOOKUP(A301,'#5 IH Results'!$A$2:$C$303,2,0),0)+IFERROR(VLOOKUP(A301,'#4 IH Results'!$A$2:$C$300,2,0),0)+IFERROR(VLOOKUP(A301,'#3 IH Results'!$A$2:$C$101,2,0),0)+IFERROR(VLOOKUP(A301,'#2 IH Results'!$A$2:$C$101,2,0),0)+IFERROR(VLOOKUP(A301,'#1 IH Results'!$A$2:$C$101,2,0),0)+IFERROR(VLOOKUP(A301,'#0 IH Results'!$A$3:$C$102,2,0),0)</f>
        <v>0.8680729884</v>
      </c>
    </row>
    <row r="302">
      <c r="A302" s="13" t="s">
        <v>302</v>
      </c>
      <c r="B302" s="6">
        <f>IFERROR(VLOOKUP(A302,'#17 IH Results'!$A$2:$C$301,2,0),0)+IFERROR(VLOOKUP(A302,'#16 IH Results'!$A$2:$C$301,2,0),0)+IFERROR(VLOOKUP(A302,'#15 IH Results'!$A$2:$C$301,2,0),0)+IFERROR(VLOOKUP(A302,'#14 IH Results'!$A$2:$C$302,2,0),0)+IFERROR(VLOOKUP(A302,'#13 IH Results'!$A$2:$C$302,2,0),0)+IFERROR(VLOOKUP(A302,'#12 IH Results'!$A$2:$C$302,2,0),0)+IFERROR(VLOOKUP(A302,'#11 IH Results'!$A$2:$C$302,2,0),0)+IFERROR(VLOOKUP(A302,'#10 IH Results'!$A$2:$C$302,2,0),0)+IFERROR(VLOOKUP(A302,'#9 IH Results'!$A$2:$C$302,2,0),0)+IFERROR(VLOOKUP(A302,'#8 IH Results'!$A$2:$C$302,2,0),0)+IFERROR(VLOOKUP(A302,'#7 IH Results'!$A$2:$C$302,2,0),0)+IFERROR(VLOOKUP(A302,'#6 IH Results'!$A$2:$C$302,2,0),0)+IFERROR(VLOOKUP(A302,'#5 IH Results'!$A$2:$C$303,2,0),0)+IFERROR(VLOOKUP(A302,'#4 IH Results'!$A$2:$C$300,2,0),0)+IFERROR(VLOOKUP(A302,'#3 IH Results'!$A$2:$C$101,2,0),0)+IFERROR(VLOOKUP(A302,'#2 IH Results'!$A$2:$C$101,2,0),0)+IFERROR(VLOOKUP(A302,'#1 IH Results'!$A$2:$C$101,2,0),0)+IFERROR(VLOOKUP(A302,'#0 IH Results'!$A$3:$C$102,2,0),0)</f>
        <v>0.8680729884</v>
      </c>
    </row>
    <row r="303">
      <c r="A303" s="13" t="s">
        <v>303</v>
      </c>
      <c r="B303" s="6">
        <f>IFERROR(VLOOKUP(A303,'#17 IH Results'!$A$2:$C$301,2,0),0)+IFERROR(VLOOKUP(A303,'#16 IH Results'!$A$2:$C$301,2,0),0)+IFERROR(VLOOKUP(A303,'#15 IH Results'!$A$2:$C$301,2,0),0)+IFERROR(VLOOKUP(A303,'#14 IH Results'!$A$2:$C$302,2,0),0)+IFERROR(VLOOKUP(A303,'#13 IH Results'!$A$2:$C$302,2,0),0)+IFERROR(VLOOKUP(A303,'#12 IH Results'!$A$2:$C$302,2,0),0)+IFERROR(VLOOKUP(A303,'#11 IH Results'!$A$2:$C$302,2,0),0)+IFERROR(VLOOKUP(A303,'#10 IH Results'!$A$2:$C$302,2,0),0)+IFERROR(VLOOKUP(A303,'#9 IH Results'!$A$2:$C$302,2,0),0)+IFERROR(VLOOKUP(A303,'#8 IH Results'!$A$2:$C$302,2,0),0)+IFERROR(VLOOKUP(A303,'#7 IH Results'!$A$2:$C$302,2,0),0)+IFERROR(VLOOKUP(A303,'#6 IH Results'!$A$2:$C$302,2,0),0)+IFERROR(VLOOKUP(A303,'#5 IH Results'!$A$2:$C$303,2,0),0)+IFERROR(VLOOKUP(A303,'#4 IH Results'!$A$2:$C$300,2,0),0)+IFERROR(VLOOKUP(A303,'#3 IH Results'!$A$2:$C$101,2,0),0)+IFERROR(VLOOKUP(A303,'#2 IH Results'!$A$2:$C$101,2,0),0)+IFERROR(VLOOKUP(A303,'#1 IH Results'!$A$2:$C$101,2,0),0)+IFERROR(VLOOKUP(A303,'#0 IH Results'!$A$3:$C$102,2,0),0)</f>
        <v>0.8680729884</v>
      </c>
    </row>
    <row r="304">
      <c r="A304" s="13" t="s">
        <v>304</v>
      </c>
      <c r="B304" s="6">
        <f>IFERROR(VLOOKUP(A304,'#17 IH Results'!$A$2:$C$301,2,0),0)+IFERROR(VLOOKUP(A304,'#16 IH Results'!$A$2:$C$301,2,0),0)+IFERROR(VLOOKUP(A304,'#15 IH Results'!$A$2:$C$301,2,0),0)+IFERROR(VLOOKUP(A304,'#14 IH Results'!$A$2:$C$302,2,0),0)+IFERROR(VLOOKUP(A304,'#13 IH Results'!$A$2:$C$302,2,0),0)+IFERROR(VLOOKUP(A304,'#12 IH Results'!$A$2:$C$302,2,0),0)+IFERROR(VLOOKUP(A304,'#11 IH Results'!$A$2:$C$302,2,0),0)+IFERROR(VLOOKUP(A304,'#10 IH Results'!$A$2:$C$302,2,0),0)+IFERROR(VLOOKUP(A304,'#9 IH Results'!$A$2:$C$302,2,0),0)+IFERROR(VLOOKUP(A304,'#8 IH Results'!$A$2:$C$302,2,0),0)+IFERROR(VLOOKUP(A304,'#7 IH Results'!$A$2:$C$302,2,0),0)+IFERROR(VLOOKUP(A304,'#6 IH Results'!$A$2:$C$302,2,0),0)+IFERROR(VLOOKUP(A304,'#5 IH Results'!$A$2:$C$303,2,0),0)+IFERROR(VLOOKUP(A304,'#4 IH Results'!$A$2:$C$300,2,0),0)+IFERROR(VLOOKUP(A304,'#3 IH Results'!$A$2:$C$101,2,0),0)+IFERROR(VLOOKUP(A304,'#2 IH Results'!$A$2:$C$101,2,0),0)+IFERROR(VLOOKUP(A304,'#1 IH Results'!$A$2:$C$101,2,0),0)+IFERROR(VLOOKUP(A304,'#0 IH Results'!$A$3:$C$102,2,0),0)</f>
        <v>0.8680729884</v>
      </c>
    </row>
    <row r="305">
      <c r="A305" s="13" t="s">
        <v>305</v>
      </c>
      <c r="B305" s="6">
        <f>IFERROR(VLOOKUP(A305,'#17 IH Results'!$A$2:$C$301,2,0),0)+IFERROR(VLOOKUP(A305,'#16 IH Results'!$A$2:$C$301,2,0),0)+IFERROR(VLOOKUP(A305,'#15 IH Results'!$A$2:$C$301,2,0),0)+IFERROR(VLOOKUP(A305,'#14 IH Results'!$A$2:$C$302,2,0),0)+IFERROR(VLOOKUP(A305,'#13 IH Results'!$A$2:$C$302,2,0),0)+IFERROR(VLOOKUP(A305,'#12 IH Results'!$A$2:$C$302,2,0),0)+IFERROR(VLOOKUP(A305,'#11 IH Results'!$A$2:$C$302,2,0),0)+IFERROR(VLOOKUP(A305,'#10 IH Results'!$A$2:$C$302,2,0),0)+IFERROR(VLOOKUP(A305,'#9 IH Results'!$A$2:$C$302,2,0),0)+IFERROR(VLOOKUP(A305,'#8 IH Results'!$A$2:$C$302,2,0),0)+IFERROR(VLOOKUP(A305,'#7 IH Results'!$A$2:$C$302,2,0),0)+IFERROR(VLOOKUP(A305,'#6 IH Results'!$A$2:$C$302,2,0),0)+IFERROR(VLOOKUP(A305,'#5 IH Results'!$A$2:$C$303,2,0),0)+IFERROR(VLOOKUP(A305,'#4 IH Results'!$A$2:$C$300,2,0),0)+IFERROR(VLOOKUP(A305,'#3 IH Results'!$A$2:$C$101,2,0),0)+IFERROR(VLOOKUP(A305,'#2 IH Results'!$A$2:$C$101,2,0),0)+IFERROR(VLOOKUP(A305,'#1 IH Results'!$A$2:$C$101,2,0),0)+IFERROR(VLOOKUP(A305,'#0 IH Results'!$A$3:$C$102,2,0),0)</f>
        <v>0.8680729884</v>
      </c>
    </row>
    <row r="306">
      <c r="A306" s="13" t="s">
        <v>306</v>
      </c>
      <c r="B306" s="6">
        <f>IFERROR(VLOOKUP(A306,'#17 IH Results'!$A$2:$C$301,2,0),0)+IFERROR(VLOOKUP(A306,'#16 IH Results'!$A$2:$C$301,2,0),0)+IFERROR(VLOOKUP(A306,'#15 IH Results'!$A$2:$C$301,2,0),0)+IFERROR(VLOOKUP(A306,'#14 IH Results'!$A$2:$C$302,2,0),0)+IFERROR(VLOOKUP(A306,'#13 IH Results'!$A$2:$C$302,2,0),0)+IFERROR(VLOOKUP(A306,'#12 IH Results'!$A$2:$C$302,2,0),0)+IFERROR(VLOOKUP(A306,'#11 IH Results'!$A$2:$C$302,2,0),0)+IFERROR(VLOOKUP(A306,'#10 IH Results'!$A$2:$C$302,2,0),0)+IFERROR(VLOOKUP(A306,'#9 IH Results'!$A$2:$C$302,2,0),0)+IFERROR(VLOOKUP(A306,'#8 IH Results'!$A$2:$C$302,2,0),0)+IFERROR(VLOOKUP(A306,'#7 IH Results'!$A$2:$C$302,2,0),0)+IFERROR(VLOOKUP(A306,'#6 IH Results'!$A$2:$C$302,2,0),0)+IFERROR(VLOOKUP(A306,'#5 IH Results'!$A$2:$C$303,2,0),0)+IFERROR(VLOOKUP(A306,'#4 IH Results'!$A$2:$C$300,2,0),0)+IFERROR(VLOOKUP(A306,'#3 IH Results'!$A$2:$C$101,2,0),0)+IFERROR(VLOOKUP(A306,'#2 IH Results'!$A$2:$C$101,2,0),0)+IFERROR(VLOOKUP(A306,'#1 IH Results'!$A$2:$C$101,2,0),0)+IFERROR(VLOOKUP(A306,'#0 IH Results'!$A$3:$C$102,2,0),0)</f>
        <v>0.8680729884</v>
      </c>
    </row>
    <row r="307">
      <c r="A307" s="8" t="s">
        <v>307</v>
      </c>
      <c r="B307" s="6">
        <f>IFERROR(VLOOKUP(A307,'#17 IH Results'!$A$2:$C$301,2,0),0)+IFERROR(VLOOKUP(A307,'#16 IH Results'!$A$2:$C$301,2,0),0)+IFERROR(VLOOKUP(A307,'#15 IH Results'!$A$2:$C$301,2,0),0)+IFERROR(VLOOKUP(A307,'#14 IH Results'!$A$2:$C$302,2,0),0)+IFERROR(VLOOKUP(A307,'#13 IH Results'!$A$2:$C$302,2,0),0)+IFERROR(VLOOKUP(A307,'#12 IH Results'!$A$2:$C$302,2,0),0)+IFERROR(VLOOKUP(A307,'#11 IH Results'!$A$2:$C$302,2,0),0)+IFERROR(VLOOKUP(A307,'#10 IH Results'!$A$2:$C$302,2,0),0)+IFERROR(VLOOKUP(A307,'#9 IH Results'!$A$2:$C$302,2,0),0)+IFERROR(VLOOKUP(A307,'#8 IH Results'!$A$2:$C$302,2,0),0)+IFERROR(VLOOKUP(A307,'#7 IH Results'!$A$2:$C$302,2,0),0)+IFERROR(VLOOKUP(A307,'#6 IH Results'!$A$2:$C$302,2,0),0)+IFERROR(VLOOKUP(A307,'#5 IH Results'!$A$2:$C$303,2,0),0)+IFERROR(VLOOKUP(A307,'#4 IH Results'!$A$2:$C$300,2,0),0)+IFERROR(VLOOKUP(A307,'#3 IH Results'!$A$2:$C$101,2,0),0)+IFERROR(VLOOKUP(A307,'#2 IH Results'!$A$2:$C$101,2,0),0)+IFERROR(VLOOKUP(A307,'#1 IH Results'!$A$2:$C$101,2,0),0)+IFERROR(VLOOKUP(A307,'#0 IH Results'!$A$3:$C$102,2,0),0)</f>
        <v>0.8398238981</v>
      </c>
    </row>
    <row r="308">
      <c r="A308" s="8" t="s">
        <v>308</v>
      </c>
      <c r="B308" s="6">
        <f>IFERROR(VLOOKUP(A308,'#17 IH Results'!$A$2:$C$301,2,0),0)+IFERROR(VLOOKUP(A308,'#16 IH Results'!$A$2:$C$301,2,0),0)+IFERROR(VLOOKUP(A308,'#15 IH Results'!$A$2:$C$301,2,0),0)+IFERROR(VLOOKUP(A308,'#14 IH Results'!$A$2:$C$302,2,0),0)+IFERROR(VLOOKUP(A308,'#13 IH Results'!$A$2:$C$302,2,0),0)+IFERROR(VLOOKUP(A308,'#12 IH Results'!$A$2:$C$302,2,0),0)+IFERROR(VLOOKUP(A308,'#11 IH Results'!$A$2:$C$302,2,0),0)+IFERROR(VLOOKUP(A308,'#10 IH Results'!$A$2:$C$302,2,0),0)+IFERROR(VLOOKUP(A308,'#9 IH Results'!$A$2:$C$302,2,0),0)+IFERROR(VLOOKUP(A308,'#8 IH Results'!$A$2:$C$302,2,0),0)+IFERROR(VLOOKUP(A308,'#7 IH Results'!$A$2:$C$302,2,0),0)+IFERROR(VLOOKUP(A308,'#6 IH Results'!$A$2:$C$302,2,0),0)+IFERROR(VLOOKUP(A308,'#5 IH Results'!$A$2:$C$303,2,0),0)+IFERROR(VLOOKUP(A308,'#4 IH Results'!$A$2:$C$300,2,0),0)+IFERROR(VLOOKUP(A308,'#3 IH Results'!$A$2:$C$101,2,0),0)+IFERROR(VLOOKUP(A308,'#2 IH Results'!$A$2:$C$101,2,0),0)+IFERROR(VLOOKUP(A308,'#1 IH Results'!$A$2:$C$101,2,0),0)+IFERROR(VLOOKUP(A308,'#0 IH Results'!$A$3:$C$102,2,0),0)</f>
        <v>0.8398238981</v>
      </c>
    </row>
    <row r="309">
      <c r="A309" s="8" t="s">
        <v>309</v>
      </c>
      <c r="B309" s="6">
        <f>IFERROR(VLOOKUP(A309,'#17 IH Results'!$A$2:$C$301,2,0),0)+IFERROR(VLOOKUP(A309,'#16 IH Results'!$A$2:$C$301,2,0),0)+IFERROR(VLOOKUP(A309,'#15 IH Results'!$A$2:$C$301,2,0),0)+IFERROR(VLOOKUP(A309,'#14 IH Results'!$A$2:$C$302,2,0),0)+IFERROR(VLOOKUP(A309,'#13 IH Results'!$A$2:$C$302,2,0),0)+IFERROR(VLOOKUP(A309,'#12 IH Results'!$A$2:$C$302,2,0),0)+IFERROR(VLOOKUP(A309,'#11 IH Results'!$A$2:$C$302,2,0),0)+IFERROR(VLOOKUP(A309,'#10 IH Results'!$A$2:$C$302,2,0),0)+IFERROR(VLOOKUP(A309,'#9 IH Results'!$A$2:$C$302,2,0),0)+IFERROR(VLOOKUP(A309,'#8 IH Results'!$A$2:$C$302,2,0),0)+IFERROR(VLOOKUP(A309,'#7 IH Results'!$A$2:$C$302,2,0),0)+IFERROR(VLOOKUP(A309,'#6 IH Results'!$A$2:$C$302,2,0),0)+IFERROR(VLOOKUP(A309,'#5 IH Results'!$A$2:$C$303,2,0),0)+IFERROR(VLOOKUP(A309,'#4 IH Results'!$A$2:$C$300,2,0),0)+IFERROR(VLOOKUP(A309,'#3 IH Results'!$A$2:$C$101,2,0),0)+IFERROR(VLOOKUP(A309,'#2 IH Results'!$A$2:$C$101,2,0),0)+IFERROR(VLOOKUP(A309,'#1 IH Results'!$A$2:$C$101,2,0),0)+IFERROR(VLOOKUP(A309,'#0 IH Results'!$A$3:$C$102,2,0),0)</f>
        <v>0.8303726279</v>
      </c>
    </row>
    <row r="310">
      <c r="A310" s="13" t="s">
        <v>310</v>
      </c>
      <c r="B310" s="6">
        <f>IFERROR(VLOOKUP(A310,'#17 IH Results'!$A$2:$C$301,2,0),0)+IFERROR(VLOOKUP(A310,'#16 IH Results'!$A$2:$C$301,2,0),0)+IFERROR(VLOOKUP(A310,'#15 IH Results'!$A$2:$C$301,2,0),0)+IFERROR(VLOOKUP(A310,'#14 IH Results'!$A$2:$C$302,2,0),0)+IFERROR(VLOOKUP(A310,'#13 IH Results'!$A$2:$C$302,2,0),0)+IFERROR(VLOOKUP(A310,'#12 IH Results'!$A$2:$C$302,2,0),0)+IFERROR(VLOOKUP(A310,'#11 IH Results'!$A$2:$C$302,2,0),0)+IFERROR(VLOOKUP(A310,'#10 IH Results'!$A$2:$C$302,2,0),0)+IFERROR(VLOOKUP(A310,'#9 IH Results'!$A$2:$C$302,2,0),0)+IFERROR(VLOOKUP(A310,'#8 IH Results'!$A$2:$C$302,2,0),0)+IFERROR(VLOOKUP(A310,'#7 IH Results'!$A$2:$C$302,2,0),0)+IFERROR(VLOOKUP(A310,'#6 IH Results'!$A$2:$C$302,2,0),0)+IFERROR(VLOOKUP(A310,'#5 IH Results'!$A$2:$C$303,2,0),0)+IFERROR(VLOOKUP(A310,'#4 IH Results'!$A$2:$C$300,2,0),0)+IFERROR(VLOOKUP(A310,'#3 IH Results'!$A$2:$C$101,2,0),0)+IFERROR(VLOOKUP(A310,'#2 IH Results'!$A$2:$C$101,2,0),0)+IFERROR(VLOOKUP(A310,'#1 IH Results'!$A$2:$C$101,2,0),0)+IFERROR(VLOOKUP(A310,'#0 IH Results'!$A$3:$C$102,2,0),0)</f>
        <v>0.8297643163</v>
      </c>
    </row>
    <row r="311">
      <c r="A311" s="8" t="s">
        <v>311</v>
      </c>
      <c r="B311" s="6">
        <f>IFERROR(VLOOKUP(A311,'#17 IH Results'!$A$2:$C$301,2,0),0)+IFERROR(VLOOKUP(A311,'#16 IH Results'!$A$2:$C$301,2,0),0)+IFERROR(VLOOKUP(A311,'#15 IH Results'!$A$2:$C$301,2,0),0)+IFERROR(VLOOKUP(A311,'#14 IH Results'!$A$2:$C$302,2,0),0)+IFERROR(VLOOKUP(A311,'#13 IH Results'!$A$2:$C$302,2,0),0)+IFERROR(VLOOKUP(A311,'#12 IH Results'!$A$2:$C$302,2,0),0)+IFERROR(VLOOKUP(A311,'#11 IH Results'!$A$2:$C$302,2,0),0)+IFERROR(VLOOKUP(A311,'#10 IH Results'!$A$2:$C$302,2,0),0)+IFERROR(VLOOKUP(A311,'#9 IH Results'!$A$2:$C$302,2,0),0)+IFERROR(VLOOKUP(A311,'#8 IH Results'!$A$2:$C$302,2,0),0)+IFERROR(VLOOKUP(A311,'#7 IH Results'!$A$2:$C$302,2,0),0)+IFERROR(VLOOKUP(A311,'#6 IH Results'!$A$2:$C$302,2,0),0)+IFERROR(VLOOKUP(A311,'#5 IH Results'!$A$2:$C$303,2,0),0)+IFERROR(VLOOKUP(A311,'#4 IH Results'!$A$2:$C$300,2,0),0)+IFERROR(VLOOKUP(A311,'#3 IH Results'!$A$2:$C$101,2,0),0)+IFERROR(VLOOKUP(A311,'#2 IH Results'!$A$2:$C$101,2,0),0)+IFERROR(VLOOKUP(A311,'#1 IH Results'!$A$2:$C$101,2,0),0)+IFERROR(VLOOKUP(A311,'#0 IH Results'!$A$3:$C$102,2,0),0)</f>
        <v>0.8258928581</v>
      </c>
    </row>
    <row r="312">
      <c r="A312" s="8" t="s">
        <v>312</v>
      </c>
      <c r="B312" s="6">
        <f>IFERROR(VLOOKUP(A312,'#17 IH Results'!$A$2:$C$301,2,0),0)+IFERROR(VLOOKUP(A312,'#16 IH Results'!$A$2:$C$301,2,0),0)+IFERROR(VLOOKUP(A312,'#15 IH Results'!$A$2:$C$301,2,0),0)+IFERROR(VLOOKUP(A312,'#14 IH Results'!$A$2:$C$302,2,0),0)+IFERROR(VLOOKUP(A312,'#13 IH Results'!$A$2:$C$302,2,0),0)+IFERROR(VLOOKUP(A312,'#12 IH Results'!$A$2:$C$302,2,0),0)+IFERROR(VLOOKUP(A312,'#11 IH Results'!$A$2:$C$302,2,0),0)+IFERROR(VLOOKUP(A312,'#10 IH Results'!$A$2:$C$302,2,0),0)+IFERROR(VLOOKUP(A312,'#9 IH Results'!$A$2:$C$302,2,0),0)+IFERROR(VLOOKUP(A312,'#8 IH Results'!$A$2:$C$302,2,0),0)+IFERROR(VLOOKUP(A312,'#7 IH Results'!$A$2:$C$302,2,0),0)+IFERROR(VLOOKUP(A312,'#6 IH Results'!$A$2:$C$302,2,0),0)+IFERROR(VLOOKUP(A312,'#5 IH Results'!$A$2:$C$303,2,0),0)+IFERROR(VLOOKUP(A312,'#4 IH Results'!$A$2:$C$300,2,0),0)+IFERROR(VLOOKUP(A312,'#3 IH Results'!$A$2:$C$101,2,0),0)+IFERROR(VLOOKUP(A312,'#2 IH Results'!$A$2:$C$101,2,0),0)+IFERROR(VLOOKUP(A312,'#1 IH Results'!$A$2:$C$101,2,0),0)+IFERROR(VLOOKUP(A312,'#0 IH Results'!$A$3:$C$102,2,0),0)</f>
        <v>0.8220578847</v>
      </c>
    </row>
    <row r="313">
      <c r="A313" s="8" t="s">
        <v>313</v>
      </c>
      <c r="B313" s="6">
        <f>IFERROR(VLOOKUP(A313,'#17 IH Results'!$A$2:$C$301,2,0),0)+IFERROR(VLOOKUP(A313,'#16 IH Results'!$A$2:$C$301,2,0),0)+IFERROR(VLOOKUP(A313,'#15 IH Results'!$A$2:$C$301,2,0),0)+IFERROR(VLOOKUP(A313,'#14 IH Results'!$A$2:$C$302,2,0),0)+IFERROR(VLOOKUP(A313,'#13 IH Results'!$A$2:$C$302,2,0),0)+IFERROR(VLOOKUP(A313,'#12 IH Results'!$A$2:$C$302,2,0),0)+IFERROR(VLOOKUP(A313,'#11 IH Results'!$A$2:$C$302,2,0),0)+IFERROR(VLOOKUP(A313,'#10 IH Results'!$A$2:$C$302,2,0),0)+IFERROR(VLOOKUP(A313,'#9 IH Results'!$A$2:$C$302,2,0),0)+IFERROR(VLOOKUP(A313,'#8 IH Results'!$A$2:$C$302,2,0),0)+IFERROR(VLOOKUP(A313,'#7 IH Results'!$A$2:$C$302,2,0),0)+IFERROR(VLOOKUP(A313,'#6 IH Results'!$A$2:$C$302,2,0),0)+IFERROR(VLOOKUP(A313,'#5 IH Results'!$A$2:$C$303,2,0),0)+IFERROR(VLOOKUP(A313,'#4 IH Results'!$A$2:$C$300,2,0),0)+IFERROR(VLOOKUP(A313,'#3 IH Results'!$A$2:$C$101,2,0),0)+IFERROR(VLOOKUP(A313,'#2 IH Results'!$A$2:$C$101,2,0),0)+IFERROR(VLOOKUP(A313,'#1 IH Results'!$A$2:$C$101,2,0),0)+IFERROR(VLOOKUP(A313,'#0 IH Results'!$A$3:$C$102,2,0),0)</f>
        <v>0.8170434755</v>
      </c>
    </row>
    <row r="314">
      <c r="A314" s="11" t="s">
        <v>314</v>
      </c>
      <c r="B314" s="6">
        <f>IFERROR(VLOOKUP(A314,'#17 IH Results'!$A$2:$C$301,2,0),0)+IFERROR(VLOOKUP(A314,'#16 IH Results'!$A$2:$C$301,2,0),0)+IFERROR(VLOOKUP(A314,'#15 IH Results'!$A$2:$C$301,2,0),0)+IFERROR(VLOOKUP(A314,'#14 IH Results'!$A$2:$C$302,2,0),0)+IFERROR(VLOOKUP(A314,'#13 IH Results'!$A$2:$C$302,2,0),0)+IFERROR(VLOOKUP(A314,'#12 IH Results'!$A$2:$C$302,2,0),0)+IFERROR(VLOOKUP(A314,'#11 IH Results'!$A$2:$C$302,2,0),0)+IFERROR(VLOOKUP(A314,'#10 IH Results'!$A$2:$C$302,2,0),0)+IFERROR(VLOOKUP(A314,'#9 IH Results'!$A$2:$C$302,2,0),0)+IFERROR(VLOOKUP(A314,'#8 IH Results'!$A$2:$C$302,2,0),0)+IFERROR(VLOOKUP(A314,'#7 IH Results'!$A$2:$C$302,2,0),0)+IFERROR(VLOOKUP(A314,'#6 IH Results'!$A$2:$C$302,2,0),0)+IFERROR(VLOOKUP(A314,'#5 IH Results'!$A$2:$C$303,2,0),0)+IFERROR(VLOOKUP(A314,'#4 IH Results'!$A$2:$C$300,2,0),0)+IFERROR(VLOOKUP(A314,'#3 IH Results'!$A$2:$C$101,2,0),0)+IFERROR(VLOOKUP(A314,'#2 IH Results'!$A$2:$C$101,2,0),0)+IFERROR(VLOOKUP(A314,'#1 IH Results'!$A$2:$C$101,2,0),0)+IFERROR(VLOOKUP(A314,'#0 IH Results'!$A$3:$C$102,2,0),0)</f>
        <v>0.8060347613</v>
      </c>
    </row>
    <row r="315">
      <c r="A315" s="8" t="s">
        <v>315</v>
      </c>
      <c r="B315" s="6">
        <f>IFERROR(VLOOKUP(A315,'#17 IH Results'!$A$2:$C$301,2,0),0)+IFERROR(VLOOKUP(A315,'#16 IH Results'!$A$2:$C$301,2,0),0)+IFERROR(VLOOKUP(A315,'#15 IH Results'!$A$2:$C$301,2,0),0)+IFERROR(VLOOKUP(A315,'#14 IH Results'!$A$2:$C$302,2,0),0)+IFERROR(VLOOKUP(A315,'#13 IH Results'!$A$2:$C$302,2,0),0)+IFERROR(VLOOKUP(A315,'#12 IH Results'!$A$2:$C$302,2,0),0)+IFERROR(VLOOKUP(A315,'#11 IH Results'!$A$2:$C$302,2,0),0)+IFERROR(VLOOKUP(A315,'#10 IH Results'!$A$2:$C$302,2,0),0)+IFERROR(VLOOKUP(A315,'#9 IH Results'!$A$2:$C$302,2,0),0)+IFERROR(VLOOKUP(A315,'#8 IH Results'!$A$2:$C$302,2,0),0)+IFERROR(VLOOKUP(A315,'#7 IH Results'!$A$2:$C$302,2,0),0)+IFERROR(VLOOKUP(A315,'#6 IH Results'!$A$2:$C$302,2,0),0)+IFERROR(VLOOKUP(A315,'#5 IH Results'!$A$2:$C$303,2,0),0)+IFERROR(VLOOKUP(A315,'#4 IH Results'!$A$2:$C$300,2,0),0)+IFERROR(VLOOKUP(A315,'#3 IH Results'!$A$2:$C$101,2,0),0)+IFERROR(VLOOKUP(A315,'#2 IH Results'!$A$2:$C$101,2,0),0)+IFERROR(VLOOKUP(A315,'#1 IH Results'!$A$2:$C$101,2,0),0)+IFERROR(VLOOKUP(A315,'#0 IH Results'!$A$3:$C$102,2,0),0)</f>
        <v>0.7967939956</v>
      </c>
    </row>
    <row r="316">
      <c r="A316" s="13" t="s">
        <v>316</v>
      </c>
      <c r="B316" s="6">
        <f>IFERROR(VLOOKUP(A316,'#17 IH Results'!$A$2:$C$301,2,0),0)+IFERROR(VLOOKUP(A316,'#16 IH Results'!$A$2:$C$301,2,0),0)+IFERROR(VLOOKUP(A316,'#15 IH Results'!$A$2:$C$301,2,0),0)+IFERROR(VLOOKUP(A316,'#14 IH Results'!$A$2:$C$302,2,0),0)+IFERROR(VLOOKUP(A316,'#13 IH Results'!$A$2:$C$302,2,0),0)+IFERROR(VLOOKUP(A316,'#12 IH Results'!$A$2:$C$302,2,0),0)+IFERROR(VLOOKUP(A316,'#11 IH Results'!$A$2:$C$302,2,0),0)+IFERROR(VLOOKUP(A316,'#10 IH Results'!$A$2:$C$302,2,0),0)+IFERROR(VLOOKUP(A316,'#9 IH Results'!$A$2:$C$302,2,0),0)+IFERROR(VLOOKUP(A316,'#8 IH Results'!$A$2:$C$302,2,0),0)+IFERROR(VLOOKUP(A316,'#7 IH Results'!$A$2:$C$302,2,0),0)+IFERROR(VLOOKUP(A316,'#6 IH Results'!$A$2:$C$302,2,0),0)+IFERROR(VLOOKUP(A316,'#5 IH Results'!$A$2:$C$303,2,0),0)+IFERROR(VLOOKUP(A316,'#4 IH Results'!$A$2:$C$300,2,0),0)+IFERROR(VLOOKUP(A316,'#3 IH Results'!$A$2:$C$101,2,0),0)+IFERROR(VLOOKUP(A316,'#2 IH Results'!$A$2:$C$101,2,0),0)+IFERROR(VLOOKUP(A316,'#1 IH Results'!$A$2:$C$101,2,0),0)+IFERROR(VLOOKUP(A316,'#0 IH Results'!$A$3:$C$102,2,0),0)</f>
        <v>0.7914556442</v>
      </c>
    </row>
    <row r="317">
      <c r="A317" s="13" t="s">
        <v>317</v>
      </c>
      <c r="B317" s="6">
        <f>IFERROR(VLOOKUP(A317,'#17 IH Results'!$A$2:$C$301,2,0),0)+IFERROR(VLOOKUP(A317,'#16 IH Results'!$A$2:$C$301,2,0),0)+IFERROR(VLOOKUP(A317,'#15 IH Results'!$A$2:$C$301,2,0),0)+IFERROR(VLOOKUP(A317,'#14 IH Results'!$A$2:$C$302,2,0),0)+IFERROR(VLOOKUP(A317,'#13 IH Results'!$A$2:$C$302,2,0),0)+IFERROR(VLOOKUP(A317,'#12 IH Results'!$A$2:$C$302,2,0),0)+IFERROR(VLOOKUP(A317,'#11 IH Results'!$A$2:$C$302,2,0),0)+IFERROR(VLOOKUP(A317,'#10 IH Results'!$A$2:$C$302,2,0),0)+IFERROR(VLOOKUP(A317,'#9 IH Results'!$A$2:$C$302,2,0),0)+IFERROR(VLOOKUP(A317,'#8 IH Results'!$A$2:$C$302,2,0),0)+IFERROR(VLOOKUP(A317,'#7 IH Results'!$A$2:$C$302,2,0),0)+IFERROR(VLOOKUP(A317,'#6 IH Results'!$A$2:$C$302,2,0),0)+IFERROR(VLOOKUP(A317,'#5 IH Results'!$A$2:$C$303,2,0),0)+IFERROR(VLOOKUP(A317,'#4 IH Results'!$A$2:$C$300,2,0),0)+IFERROR(VLOOKUP(A317,'#3 IH Results'!$A$2:$C$101,2,0),0)+IFERROR(VLOOKUP(A317,'#2 IH Results'!$A$2:$C$101,2,0),0)+IFERROR(VLOOKUP(A317,'#1 IH Results'!$A$2:$C$101,2,0),0)+IFERROR(VLOOKUP(A317,'#0 IH Results'!$A$3:$C$102,2,0),0)</f>
        <v>0.7914556442</v>
      </c>
    </row>
    <row r="318">
      <c r="A318" s="8" t="s">
        <v>318</v>
      </c>
      <c r="B318" s="6">
        <f>IFERROR(VLOOKUP(A318,'#17 IH Results'!$A$2:$C$301,2,0),0)+IFERROR(VLOOKUP(A318,'#16 IH Results'!$A$2:$C$301,2,0),0)+IFERROR(VLOOKUP(A318,'#15 IH Results'!$A$2:$C$301,2,0),0)+IFERROR(VLOOKUP(A318,'#14 IH Results'!$A$2:$C$302,2,0),0)+IFERROR(VLOOKUP(A318,'#13 IH Results'!$A$2:$C$302,2,0),0)+IFERROR(VLOOKUP(A318,'#12 IH Results'!$A$2:$C$302,2,0),0)+IFERROR(VLOOKUP(A318,'#11 IH Results'!$A$2:$C$302,2,0),0)+IFERROR(VLOOKUP(A318,'#10 IH Results'!$A$2:$C$302,2,0),0)+IFERROR(VLOOKUP(A318,'#9 IH Results'!$A$2:$C$302,2,0),0)+IFERROR(VLOOKUP(A318,'#8 IH Results'!$A$2:$C$302,2,0),0)+IFERROR(VLOOKUP(A318,'#7 IH Results'!$A$2:$C$302,2,0),0)+IFERROR(VLOOKUP(A318,'#6 IH Results'!$A$2:$C$302,2,0),0)+IFERROR(VLOOKUP(A318,'#5 IH Results'!$A$2:$C$303,2,0),0)+IFERROR(VLOOKUP(A318,'#4 IH Results'!$A$2:$C$300,2,0),0)+IFERROR(VLOOKUP(A318,'#3 IH Results'!$A$2:$C$101,2,0),0)+IFERROR(VLOOKUP(A318,'#2 IH Results'!$A$2:$C$101,2,0),0)+IFERROR(VLOOKUP(A318,'#1 IH Results'!$A$2:$C$101,2,0),0)+IFERROR(VLOOKUP(A318,'#0 IH Results'!$A$3:$C$102,2,0),0)</f>
        <v>0.7869732244</v>
      </c>
    </row>
    <row r="319">
      <c r="A319" s="8" t="s">
        <v>319</v>
      </c>
      <c r="B319" s="6">
        <f>IFERROR(VLOOKUP(A319,'#17 IH Results'!$A$2:$C$301,2,0),0)+IFERROR(VLOOKUP(A319,'#16 IH Results'!$A$2:$C$301,2,0),0)+IFERROR(VLOOKUP(A319,'#15 IH Results'!$A$2:$C$301,2,0),0)+IFERROR(VLOOKUP(A319,'#14 IH Results'!$A$2:$C$302,2,0),0)+IFERROR(VLOOKUP(A319,'#13 IH Results'!$A$2:$C$302,2,0),0)+IFERROR(VLOOKUP(A319,'#12 IH Results'!$A$2:$C$302,2,0),0)+IFERROR(VLOOKUP(A319,'#11 IH Results'!$A$2:$C$302,2,0),0)+IFERROR(VLOOKUP(A319,'#10 IH Results'!$A$2:$C$302,2,0),0)+IFERROR(VLOOKUP(A319,'#9 IH Results'!$A$2:$C$302,2,0),0)+IFERROR(VLOOKUP(A319,'#8 IH Results'!$A$2:$C$302,2,0),0)+IFERROR(VLOOKUP(A319,'#7 IH Results'!$A$2:$C$302,2,0),0)+IFERROR(VLOOKUP(A319,'#6 IH Results'!$A$2:$C$302,2,0),0)+IFERROR(VLOOKUP(A319,'#5 IH Results'!$A$2:$C$303,2,0),0)+IFERROR(VLOOKUP(A319,'#4 IH Results'!$A$2:$C$300,2,0),0)+IFERROR(VLOOKUP(A319,'#3 IH Results'!$A$2:$C$101,2,0),0)+IFERROR(VLOOKUP(A319,'#2 IH Results'!$A$2:$C$101,2,0),0)+IFERROR(VLOOKUP(A319,'#1 IH Results'!$A$2:$C$101,2,0),0)+IFERROR(VLOOKUP(A319,'#0 IH Results'!$A$3:$C$102,2,0),0)</f>
        <v>0.7645932205</v>
      </c>
    </row>
    <row r="320">
      <c r="A320" s="8" t="s">
        <v>320</v>
      </c>
      <c r="B320" s="6">
        <f>IFERROR(VLOOKUP(A320,'#17 IH Results'!$A$2:$C$301,2,0),0)+IFERROR(VLOOKUP(A320,'#16 IH Results'!$A$2:$C$301,2,0),0)+IFERROR(VLOOKUP(A320,'#15 IH Results'!$A$2:$C$301,2,0),0)+IFERROR(VLOOKUP(A320,'#14 IH Results'!$A$2:$C$302,2,0),0)+IFERROR(VLOOKUP(A320,'#13 IH Results'!$A$2:$C$302,2,0),0)+IFERROR(VLOOKUP(A320,'#12 IH Results'!$A$2:$C$302,2,0),0)+IFERROR(VLOOKUP(A320,'#11 IH Results'!$A$2:$C$302,2,0),0)+IFERROR(VLOOKUP(A320,'#10 IH Results'!$A$2:$C$302,2,0),0)+IFERROR(VLOOKUP(A320,'#9 IH Results'!$A$2:$C$302,2,0),0)+IFERROR(VLOOKUP(A320,'#8 IH Results'!$A$2:$C$302,2,0),0)+IFERROR(VLOOKUP(A320,'#7 IH Results'!$A$2:$C$302,2,0),0)+IFERROR(VLOOKUP(A320,'#6 IH Results'!$A$2:$C$302,2,0),0)+IFERROR(VLOOKUP(A320,'#5 IH Results'!$A$2:$C$303,2,0),0)+IFERROR(VLOOKUP(A320,'#4 IH Results'!$A$2:$C$300,2,0),0)+IFERROR(VLOOKUP(A320,'#3 IH Results'!$A$2:$C$101,2,0),0)+IFERROR(VLOOKUP(A320,'#2 IH Results'!$A$2:$C$101,2,0),0)+IFERROR(VLOOKUP(A320,'#1 IH Results'!$A$2:$C$101,2,0),0)+IFERROR(VLOOKUP(A320,'#0 IH Results'!$A$3:$C$102,2,0),0)</f>
        <v>0.75</v>
      </c>
    </row>
    <row r="321">
      <c r="A321" s="8" t="s">
        <v>321</v>
      </c>
      <c r="B321" s="6">
        <f>IFERROR(VLOOKUP(A321,'#17 IH Results'!$A$2:$C$301,2,0),0)+IFERROR(VLOOKUP(A321,'#16 IH Results'!$A$2:$C$301,2,0),0)+IFERROR(VLOOKUP(A321,'#15 IH Results'!$A$2:$C$301,2,0),0)+IFERROR(VLOOKUP(A321,'#14 IH Results'!$A$2:$C$302,2,0),0)+IFERROR(VLOOKUP(A321,'#13 IH Results'!$A$2:$C$302,2,0),0)+IFERROR(VLOOKUP(A321,'#12 IH Results'!$A$2:$C$302,2,0),0)+IFERROR(VLOOKUP(A321,'#11 IH Results'!$A$2:$C$302,2,0),0)+IFERROR(VLOOKUP(A321,'#10 IH Results'!$A$2:$C$302,2,0),0)+IFERROR(VLOOKUP(A321,'#9 IH Results'!$A$2:$C$302,2,0),0)+IFERROR(VLOOKUP(A321,'#8 IH Results'!$A$2:$C$302,2,0),0)+IFERROR(VLOOKUP(A321,'#7 IH Results'!$A$2:$C$302,2,0),0)+IFERROR(VLOOKUP(A321,'#6 IH Results'!$A$2:$C$302,2,0),0)+IFERROR(VLOOKUP(A321,'#5 IH Results'!$A$2:$C$303,2,0),0)+IFERROR(VLOOKUP(A321,'#4 IH Results'!$A$2:$C$300,2,0),0)+IFERROR(VLOOKUP(A321,'#3 IH Results'!$A$2:$C$101,2,0),0)+IFERROR(VLOOKUP(A321,'#2 IH Results'!$A$2:$C$101,2,0),0)+IFERROR(VLOOKUP(A321,'#1 IH Results'!$A$2:$C$101,2,0),0)+IFERROR(VLOOKUP(A321,'#0 IH Results'!$A$3:$C$102,2,0),0)</f>
        <v>0.7485816091</v>
      </c>
    </row>
    <row r="322">
      <c r="A322" s="8" t="s">
        <v>322</v>
      </c>
      <c r="B322" s="6">
        <f>IFERROR(VLOOKUP(A322,'#17 IH Results'!$A$2:$C$301,2,0),0)+IFERROR(VLOOKUP(A322,'#16 IH Results'!$A$2:$C$301,2,0),0)+IFERROR(VLOOKUP(A322,'#15 IH Results'!$A$2:$C$301,2,0),0)+IFERROR(VLOOKUP(A322,'#14 IH Results'!$A$2:$C$302,2,0),0)+IFERROR(VLOOKUP(A322,'#13 IH Results'!$A$2:$C$302,2,0),0)+IFERROR(VLOOKUP(A322,'#12 IH Results'!$A$2:$C$302,2,0),0)+IFERROR(VLOOKUP(A322,'#11 IH Results'!$A$2:$C$302,2,0),0)+IFERROR(VLOOKUP(A322,'#10 IH Results'!$A$2:$C$302,2,0),0)+IFERROR(VLOOKUP(A322,'#9 IH Results'!$A$2:$C$302,2,0),0)+IFERROR(VLOOKUP(A322,'#8 IH Results'!$A$2:$C$302,2,0),0)+IFERROR(VLOOKUP(A322,'#7 IH Results'!$A$2:$C$302,2,0),0)+IFERROR(VLOOKUP(A322,'#6 IH Results'!$A$2:$C$302,2,0),0)+IFERROR(VLOOKUP(A322,'#5 IH Results'!$A$2:$C$303,2,0),0)+IFERROR(VLOOKUP(A322,'#4 IH Results'!$A$2:$C$300,2,0),0)+IFERROR(VLOOKUP(A322,'#3 IH Results'!$A$2:$C$101,2,0),0)+IFERROR(VLOOKUP(A322,'#2 IH Results'!$A$2:$C$101,2,0),0)+IFERROR(VLOOKUP(A322,'#1 IH Results'!$A$2:$C$101,2,0),0)+IFERROR(VLOOKUP(A322,'#0 IH Results'!$A$3:$C$102,2,0),0)</f>
        <v>0.7485816091</v>
      </c>
    </row>
    <row r="323">
      <c r="A323" s="8" t="s">
        <v>323</v>
      </c>
      <c r="B323" s="6">
        <f>IFERROR(VLOOKUP(A323,'#17 IH Results'!$A$2:$C$301,2,0),0)+IFERROR(VLOOKUP(A323,'#16 IH Results'!$A$2:$C$301,2,0),0)+IFERROR(VLOOKUP(A323,'#15 IH Results'!$A$2:$C$301,2,0),0)+IFERROR(VLOOKUP(A323,'#14 IH Results'!$A$2:$C$302,2,0),0)+IFERROR(VLOOKUP(A323,'#13 IH Results'!$A$2:$C$302,2,0),0)+IFERROR(VLOOKUP(A323,'#12 IH Results'!$A$2:$C$302,2,0),0)+IFERROR(VLOOKUP(A323,'#11 IH Results'!$A$2:$C$302,2,0),0)+IFERROR(VLOOKUP(A323,'#10 IH Results'!$A$2:$C$302,2,0),0)+IFERROR(VLOOKUP(A323,'#9 IH Results'!$A$2:$C$302,2,0),0)+IFERROR(VLOOKUP(A323,'#8 IH Results'!$A$2:$C$302,2,0),0)+IFERROR(VLOOKUP(A323,'#7 IH Results'!$A$2:$C$302,2,0),0)+IFERROR(VLOOKUP(A323,'#6 IH Results'!$A$2:$C$302,2,0),0)+IFERROR(VLOOKUP(A323,'#5 IH Results'!$A$2:$C$303,2,0),0)+IFERROR(VLOOKUP(A323,'#4 IH Results'!$A$2:$C$300,2,0),0)+IFERROR(VLOOKUP(A323,'#3 IH Results'!$A$2:$C$101,2,0),0)+IFERROR(VLOOKUP(A323,'#2 IH Results'!$A$2:$C$101,2,0),0)+IFERROR(VLOOKUP(A323,'#1 IH Results'!$A$2:$C$101,2,0),0)+IFERROR(VLOOKUP(A323,'#0 IH Results'!$A$3:$C$102,2,0),0)</f>
        <v>0.7485816091</v>
      </c>
    </row>
    <row r="324">
      <c r="A324" s="8" t="s">
        <v>324</v>
      </c>
      <c r="B324" s="6">
        <f>IFERROR(VLOOKUP(A324,'#17 IH Results'!$A$2:$C$301,2,0),0)+IFERROR(VLOOKUP(A324,'#16 IH Results'!$A$2:$C$301,2,0),0)+IFERROR(VLOOKUP(A324,'#15 IH Results'!$A$2:$C$301,2,0),0)+IFERROR(VLOOKUP(A324,'#14 IH Results'!$A$2:$C$302,2,0),0)+IFERROR(VLOOKUP(A324,'#13 IH Results'!$A$2:$C$302,2,0),0)+IFERROR(VLOOKUP(A324,'#12 IH Results'!$A$2:$C$302,2,0),0)+IFERROR(VLOOKUP(A324,'#11 IH Results'!$A$2:$C$302,2,0),0)+IFERROR(VLOOKUP(A324,'#10 IH Results'!$A$2:$C$302,2,0),0)+IFERROR(VLOOKUP(A324,'#9 IH Results'!$A$2:$C$302,2,0),0)+IFERROR(VLOOKUP(A324,'#8 IH Results'!$A$2:$C$302,2,0),0)+IFERROR(VLOOKUP(A324,'#7 IH Results'!$A$2:$C$302,2,0),0)+IFERROR(VLOOKUP(A324,'#6 IH Results'!$A$2:$C$302,2,0),0)+IFERROR(VLOOKUP(A324,'#5 IH Results'!$A$2:$C$303,2,0),0)+IFERROR(VLOOKUP(A324,'#4 IH Results'!$A$2:$C$300,2,0),0)+IFERROR(VLOOKUP(A324,'#3 IH Results'!$A$2:$C$101,2,0),0)+IFERROR(VLOOKUP(A324,'#2 IH Results'!$A$2:$C$101,2,0),0)+IFERROR(VLOOKUP(A324,'#1 IH Results'!$A$2:$C$101,2,0),0)+IFERROR(VLOOKUP(A324,'#0 IH Results'!$A$3:$C$102,2,0),0)</f>
        <v>0.7385230508</v>
      </c>
    </row>
    <row r="325">
      <c r="A325" s="8" t="s">
        <v>325</v>
      </c>
      <c r="B325" s="6">
        <f>IFERROR(VLOOKUP(A325,'#17 IH Results'!$A$2:$C$301,2,0),0)+IFERROR(VLOOKUP(A325,'#16 IH Results'!$A$2:$C$301,2,0),0)+IFERROR(VLOOKUP(A325,'#15 IH Results'!$A$2:$C$301,2,0),0)+IFERROR(VLOOKUP(A325,'#14 IH Results'!$A$2:$C$302,2,0),0)+IFERROR(VLOOKUP(A325,'#13 IH Results'!$A$2:$C$302,2,0),0)+IFERROR(VLOOKUP(A325,'#12 IH Results'!$A$2:$C$302,2,0),0)+IFERROR(VLOOKUP(A325,'#11 IH Results'!$A$2:$C$302,2,0),0)+IFERROR(VLOOKUP(A325,'#10 IH Results'!$A$2:$C$302,2,0),0)+IFERROR(VLOOKUP(A325,'#9 IH Results'!$A$2:$C$302,2,0),0)+IFERROR(VLOOKUP(A325,'#8 IH Results'!$A$2:$C$302,2,0),0)+IFERROR(VLOOKUP(A325,'#7 IH Results'!$A$2:$C$302,2,0),0)+IFERROR(VLOOKUP(A325,'#6 IH Results'!$A$2:$C$302,2,0),0)+IFERROR(VLOOKUP(A325,'#5 IH Results'!$A$2:$C$303,2,0),0)+IFERROR(VLOOKUP(A325,'#4 IH Results'!$A$2:$C$300,2,0),0)+IFERROR(VLOOKUP(A325,'#3 IH Results'!$A$2:$C$101,2,0),0)+IFERROR(VLOOKUP(A325,'#2 IH Results'!$A$2:$C$101,2,0),0)+IFERROR(VLOOKUP(A325,'#1 IH Results'!$A$2:$C$101,2,0),0)+IFERROR(VLOOKUP(A325,'#0 IH Results'!$A$3:$C$102,2,0),0)</f>
        <v>0.7364431887</v>
      </c>
    </row>
    <row r="326">
      <c r="A326" s="13" t="s">
        <v>326</v>
      </c>
      <c r="B326" s="6">
        <f>IFERROR(VLOOKUP(A326,'#17 IH Results'!$A$2:$C$301,2,0),0)+IFERROR(VLOOKUP(A326,'#16 IH Results'!$A$2:$C$301,2,0),0)+IFERROR(VLOOKUP(A326,'#15 IH Results'!$A$2:$C$301,2,0),0)+IFERROR(VLOOKUP(A326,'#14 IH Results'!$A$2:$C$302,2,0),0)+IFERROR(VLOOKUP(A326,'#13 IH Results'!$A$2:$C$302,2,0),0)+IFERROR(VLOOKUP(A326,'#12 IH Results'!$A$2:$C$302,2,0),0)+IFERROR(VLOOKUP(A326,'#11 IH Results'!$A$2:$C$302,2,0),0)+IFERROR(VLOOKUP(A326,'#10 IH Results'!$A$2:$C$302,2,0),0)+IFERROR(VLOOKUP(A326,'#9 IH Results'!$A$2:$C$302,2,0),0)+IFERROR(VLOOKUP(A326,'#8 IH Results'!$A$2:$C$302,2,0),0)+IFERROR(VLOOKUP(A326,'#7 IH Results'!$A$2:$C$302,2,0),0)+IFERROR(VLOOKUP(A326,'#6 IH Results'!$A$2:$C$302,2,0),0)+IFERROR(VLOOKUP(A326,'#5 IH Results'!$A$2:$C$303,2,0),0)+IFERROR(VLOOKUP(A326,'#4 IH Results'!$A$2:$C$300,2,0),0)+IFERROR(VLOOKUP(A326,'#3 IH Results'!$A$2:$C$101,2,0),0)+IFERROR(VLOOKUP(A326,'#2 IH Results'!$A$2:$C$101,2,0),0)+IFERROR(VLOOKUP(A326,'#1 IH Results'!$A$2:$C$101,2,0),0)+IFERROR(VLOOKUP(A326,'#0 IH Results'!$A$3:$C$102,2,0),0)</f>
        <v>0.6765296278</v>
      </c>
    </row>
    <row r="327">
      <c r="A327" s="13" t="s">
        <v>327</v>
      </c>
      <c r="B327" s="6">
        <f>IFERROR(VLOOKUP(A327,'#17 IH Results'!$A$2:$C$301,2,0),0)+IFERROR(VLOOKUP(A327,'#16 IH Results'!$A$2:$C$301,2,0),0)+IFERROR(VLOOKUP(A327,'#15 IH Results'!$A$2:$C$301,2,0),0)+IFERROR(VLOOKUP(A327,'#14 IH Results'!$A$2:$C$302,2,0),0)+IFERROR(VLOOKUP(A327,'#13 IH Results'!$A$2:$C$302,2,0),0)+IFERROR(VLOOKUP(A327,'#12 IH Results'!$A$2:$C$302,2,0),0)+IFERROR(VLOOKUP(A327,'#11 IH Results'!$A$2:$C$302,2,0),0)+IFERROR(VLOOKUP(A327,'#10 IH Results'!$A$2:$C$302,2,0),0)+IFERROR(VLOOKUP(A327,'#9 IH Results'!$A$2:$C$302,2,0),0)+IFERROR(VLOOKUP(A327,'#8 IH Results'!$A$2:$C$302,2,0),0)+IFERROR(VLOOKUP(A327,'#7 IH Results'!$A$2:$C$302,2,0),0)+IFERROR(VLOOKUP(A327,'#6 IH Results'!$A$2:$C$302,2,0),0)+IFERROR(VLOOKUP(A327,'#5 IH Results'!$A$2:$C$303,2,0),0)+IFERROR(VLOOKUP(A327,'#4 IH Results'!$A$2:$C$300,2,0),0)+IFERROR(VLOOKUP(A327,'#3 IH Results'!$A$2:$C$101,2,0),0)+IFERROR(VLOOKUP(A327,'#2 IH Results'!$A$2:$C$101,2,0),0)+IFERROR(VLOOKUP(A327,'#1 IH Results'!$A$2:$C$101,2,0),0)+IFERROR(VLOOKUP(A327,'#0 IH Results'!$A$3:$C$102,2,0),0)</f>
        <v>0.6765296278</v>
      </c>
    </row>
    <row r="328">
      <c r="A328" s="13" t="s">
        <v>328</v>
      </c>
      <c r="B328" s="6">
        <f>IFERROR(VLOOKUP(A328,'#17 IH Results'!$A$2:$C$301,2,0),0)+IFERROR(VLOOKUP(A328,'#16 IH Results'!$A$2:$C$301,2,0),0)+IFERROR(VLOOKUP(A328,'#15 IH Results'!$A$2:$C$301,2,0),0)+IFERROR(VLOOKUP(A328,'#14 IH Results'!$A$2:$C$302,2,0),0)+IFERROR(VLOOKUP(A328,'#13 IH Results'!$A$2:$C$302,2,0),0)+IFERROR(VLOOKUP(A328,'#12 IH Results'!$A$2:$C$302,2,0),0)+IFERROR(VLOOKUP(A328,'#11 IH Results'!$A$2:$C$302,2,0),0)+IFERROR(VLOOKUP(A328,'#10 IH Results'!$A$2:$C$302,2,0),0)+IFERROR(VLOOKUP(A328,'#9 IH Results'!$A$2:$C$302,2,0),0)+IFERROR(VLOOKUP(A328,'#8 IH Results'!$A$2:$C$302,2,0),0)+IFERROR(VLOOKUP(A328,'#7 IH Results'!$A$2:$C$302,2,0),0)+IFERROR(VLOOKUP(A328,'#6 IH Results'!$A$2:$C$302,2,0),0)+IFERROR(VLOOKUP(A328,'#5 IH Results'!$A$2:$C$303,2,0),0)+IFERROR(VLOOKUP(A328,'#4 IH Results'!$A$2:$C$300,2,0),0)+IFERROR(VLOOKUP(A328,'#3 IH Results'!$A$2:$C$101,2,0),0)+IFERROR(VLOOKUP(A328,'#2 IH Results'!$A$2:$C$101,2,0),0)+IFERROR(VLOOKUP(A328,'#1 IH Results'!$A$2:$C$101,2,0),0)+IFERROR(VLOOKUP(A328,'#0 IH Results'!$A$3:$C$102,2,0),0)</f>
        <v>0.6765296278</v>
      </c>
    </row>
    <row r="329">
      <c r="A329" s="13" t="s">
        <v>329</v>
      </c>
      <c r="B329" s="6">
        <f>IFERROR(VLOOKUP(A329,'#17 IH Results'!$A$2:$C$301,2,0),0)+IFERROR(VLOOKUP(A329,'#16 IH Results'!$A$2:$C$301,2,0),0)+IFERROR(VLOOKUP(A329,'#15 IH Results'!$A$2:$C$301,2,0),0)+IFERROR(VLOOKUP(A329,'#14 IH Results'!$A$2:$C$302,2,0),0)+IFERROR(VLOOKUP(A329,'#13 IH Results'!$A$2:$C$302,2,0),0)+IFERROR(VLOOKUP(A329,'#12 IH Results'!$A$2:$C$302,2,0),0)+IFERROR(VLOOKUP(A329,'#11 IH Results'!$A$2:$C$302,2,0),0)+IFERROR(VLOOKUP(A329,'#10 IH Results'!$A$2:$C$302,2,0),0)+IFERROR(VLOOKUP(A329,'#9 IH Results'!$A$2:$C$302,2,0),0)+IFERROR(VLOOKUP(A329,'#8 IH Results'!$A$2:$C$302,2,0),0)+IFERROR(VLOOKUP(A329,'#7 IH Results'!$A$2:$C$302,2,0),0)+IFERROR(VLOOKUP(A329,'#6 IH Results'!$A$2:$C$302,2,0),0)+IFERROR(VLOOKUP(A329,'#5 IH Results'!$A$2:$C$303,2,0),0)+IFERROR(VLOOKUP(A329,'#4 IH Results'!$A$2:$C$300,2,0),0)+IFERROR(VLOOKUP(A329,'#3 IH Results'!$A$2:$C$101,2,0),0)+IFERROR(VLOOKUP(A329,'#2 IH Results'!$A$2:$C$101,2,0),0)+IFERROR(VLOOKUP(A329,'#1 IH Results'!$A$2:$C$101,2,0),0)+IFERROR(VLOOKUP(A329,'#0 IH Results'!$A$3:$C$102,2,0),0)</f>
        <v>0.6765296278</v>
      </c>
    </row>
    <row r="330">
      <c r="A330" s="13" t="s">
        <v>330</v>
      </c>
      <c r="B330" s="6">
        <f>IFERROR(VLOOKUP(A330,'#17 IH Results'!$A$2:$C$301,2,0),0)+IFERROR(VLOOKUP(A330,'#16 IH Results'!$A$2:$C$301,2,0),0)+IFERROR(VLOOKUP(A330,'#15 IH Results'!$A$2:$C$301,2,0),0)+IFERROR(VLOOKUP(A330,'#14 IH Results'!$A$2:$C$302,2,0),0)+IFERROR(VLOOKUP(A330,'#13 IH Results'!$A$2:$C$302,2,0),0)+IFERROR(VLOOKUP(A330,'#12 IH Results'!$A$2:$C$302,2,0),0)+IFERROR(VLOOKUP(A330,'#11 IH Results'!$A$2:$C$302,2,0),0)+IFERROR(VLOOKUP(A330,'#10 IH Results'!$A$2:$C$302,2,0),0)+IFERROR(VLOOKUP(A330,'#9 IH Results'!$A$2:$C$302,2,0),0)+IFERROR(VLOOKUP(A330,'#8 IH Results'!$A$2:$C$302,2,0),0)+IFERROR(VLOOKUP(A330,'#7 IH Results'!$A$2:$C$302,2,0),0)+IFERROR(VLOOKUP(A330,'#6 IH Results'!$A$2:$C$302,2,0),0)+IFERROR(VLOOKUP(A330,'#5 IH Results'!$A$2:$C$303,2,0),0)+IFERROR(VLOOKUP(A330,'#4 IH Results'!$A$2:$C$300,2,0),0)+IFERROR(VLOOKUP(A330,'#3 IH Results'!$A$2:$C$101,2,0),0)+IFERROR(VLOOKUP(A330,'#2 IH Results'!$A$2:$C$101,2,0),0)+IFERROR(VLOOKUP(A330,'#1 IH Results'!$A$2:$C$101,2,0),0)+IFERROR(VLOOKUP(A330,'#0 IH Results'!$A$3:$C$102,2,0),0)</f>
        <v>0.6765296278</v>
      </c>
    </row>
    <row r="331">
      <c r="A331" s="13" t="s">
        <v>331</v>
      </c>
      <c r="B331" s="6">
        <f>IFERROR(VLOOKUP(A331,'#17 IH Results'!$A$2:$C$301,2,0),0)+IFERROR(VLOOKUP(A331,'#16 IH Results'!$A$2:$C$301,2,0),0)+IFERROR(VLOOKUP(A331,'#15 IH Results'!$A$2:$C$301,2,0),0)+IFERROR(VLOOKUP(A331,'#14 IH Results'!$A$2:$C$302,2,0),0)+IFERROR(VLOOKUP(A331,'#13 IH Results'!$A$2:$C$302,2,0),0)+IFERROR(VLOOKUP(A331,'#12 IH Results'!$A$2:$C$302,2,0),0)+IFERROR(VLOOKUP(A331,'#11 IH Results'!$A$2:$C$302,2,0),0)+IFERROR(VLOOKUP(A331,'#10 IH Results'!$A$2:$C$302,2,0),0)+IFERROR(VLOOKUP(A331,'#9 IH Results'!$A$2:$C$302,2,0),0)+IFERROR(VLOOKUP(A331,'#8 IH Results'!$A$2:$C$302,2,0),0)+IFERROR(VLOOKUP(A331,'#7 IH Results'!$A$2:$C$302,2,0),0)+IFERROR(VLOOKUP(A331,'#6 IH Results'!$A$2:$C$302,2,0),0)+IFERROR(VLOOKUP(A331,'#5 IH Results'!$A$2:$C$303,2,0),0)+IFERROR(VLOOKUP(A331,'#4 IH Results'!$A$2:$C$300,2,0),0)+IFERROR(VLOOKUP(A331,'#3 IH Results'!$A$2:$C$101,2,0),0)+IFERROR(VLOOKUP(A331,'#2 IH Results'!$A$2:$C$101,2,0),0)+IFERROR(VLOOKUP(A331,'#1 IH Results'!$A$2:$C$101,2,0),0)+IFERROR(VLOOKUP(A331,'#0 IH Results'!$A$3:$C$102,2,0),0)</f>
        <v>0.6765296278</v>
      </c>
    </row>
    <row r="332">
      <c r="A332" s="13" t="s">
        <v>332</v>
      </c>
      <c r="B332" s="6">
        <f>IFERROR(VLOOKUP(A332,'#17 IH Results'!$A$2:$C$301,2,0),0)+IFERROR(VLOOKUP(A332,'#16 IH Results'!$A$2:$C$301,2,0),0)+IFERROR(VLOOKUP(A332,'#15 IH Results'!$A$2:$C$301,2,0),0)+IFERROR(VLOOKUP(A332,'#14 IH Results'!$A$2:$C$302,2,0),0)+IFERROR(VLOOKUP(A332,'#13 IH Results'!$A$2:$C$302,2,0),0)+IFERROR(VLOOKUP(A332,'#12 IH Results'!$A$2:$C$302,2,0),0)+IFERROR(VLOOKUP(A332,'#11 IH Results'!$A$2:$C$302,2,0),0)+IFERROR(VLOOKUP(A332,'#10 IH Results'!$A$2:$C$302,2,0),0)+IFERROR(VLOOKUP(A332,'#9 IH Results'!$A$2:$C$302,2,0),0)+IFERROR(VLOOKUP(A332,'#8 IH Results'!$A$2:$C$302,2,0),0)+IFERROR(VLOOKUP(A332,'#7 IH Results'!$A$2:$C$302,2,0),0)+IFERROR(VLOOKUP(A332,'#6 IH Results'!$A$2:$C$302,2,0),0)+IFERROR(VLOOKUP(A332,'#5 IH Results'!$A$2:$C$303,2,0),0)+IFERROR(VLOOKUP(A332,'#4 IH Results'!$A$2:$C$300,2,0),0)+IFERROR(VLOOKUP(A332,'#3 IH Results'!$A$2:$C$101,2,0),0)+IFERROR(VLOOKUP(A332,'#2 IH Results'!$A$2:$C$101,2,0),0)+IFERROR(VLOOKUP(A332,'#1 IH Results'!$A$2:$C$101,2,0),0)+IFERROR(VLOOKUP(A332,'#0 IH Results'!$A$3:$C$102,2,0),0)</f>
        <v>0.6765296278</v>
      </c>
    </row>
    <row r="333">
      <c r="A333" s="13" t="s">
        <v>333</v>
      </c>
      <c r="B333" s="6">
        <f>IFERROR(VLOOKUP(A333,'#17 IH Results'!$A$2:$C$301,2,0),0)+IFERROR(VLOOKUP(A333,'#16 IH Results'!$A$2:$C$301,2,0),0)+IFERROR(VLOOKUP(A333,'#15 IH Results'!$A$2:$C$301,2,0),0)+IFERROR(VLOOKUP(A333,'#14 IH Results'!$A$2:$C$302,2,0),0)+IFERROR(VLOOKUP(A333,'#13 IH Results'!$A$2:$C$302,2,0),0)+IFERROR(VLOOKUP(A333,'#12 IH Results'!$A$2:$C$302,2,0),0)+IFERROR(VLOOKUP(A333,'#11 IH Results'!$A$2:$C$302,2,0),0)+IFERROR(VLOOKUP(A333,'#10 IH Results'!$A$2:$C$302,2,0),0)+IFERROR(VLOOKUP(A333,'#9 IH Results'!$A$2:$C$302,2,0),0)+IFERROR(VLOOKUP(A333,'#8 IH Results'!$A$2:$C$302,2,0),0)+IFERROR(VLOOKUP(A333,'#7 IH Results'!$A$2:$C$302,2,0),0)+IFERROR(VLOOKUP(A333,'#6 IH Results'!$A$2:$C$302,2,0),0)+IFERROR(VLOOKUP(A333,'#5 IH Results'!$A$2:$C$303,2,0),0)+IFERROR(VLOOKUP(A333,'#4 IH Results'!$A$2:$C$300,2,0),0)+IFERROR(VLOOKUP(A333,'#3 IH Results'!$A$2:$C$101,2,0),0)+IFERROR(VLOOKUP(A333,'#2 IH Results'!$A$2:$C$101,2,0),0)+IFERROR(VLOOKUP(A333,'#1 IH Results'!$A$2:$C$101,2,0),0)+IFERROR(VLOOKUP(A333,'#0 IH Results'!$A$3:$C$102,2,0),0)</f>
        <v>0.6765296278</v>
      </c>
    </row>
    <row r="334">
      <c r="A334" s="13" t="s">
        <v>334</v>
      </c>
      <c r="B334" s="6">
        <f>IFERROR(VLOOKUP(A334,'#17 IH Results'!$A$2:$C$301,2,0),0)+IFERROR(VLOOKUP(A334,'#16 IH Results'!$A$2:$C$301,2,0),0)+IFERROR(VLOOKUP(A334,'#15 IH Results'!$A$2:$C$301,2,0),0)+IFERROR(VLOOKUP(A334,'#14 IH Results'!$A$2:$C$302,2,0),0)+IFERROR(VLOOKUP(A334,'#13 IH Results'!$A$2:$C$302,2,0),0)+IFERROR(VLOOKUP(A334,'#12 IH Results'!$A$2:$C$302,2,0),0)+IFERROR(VLOOKUP(A334,'#11 IH Results'!$A$2:$C$302,2,0),0)+IFERROR(VLOOKUP(A334,'#10 IH Results'!$A$2:$C$302,2,0),0)+IFERROR(VLOOKUP(A334,'#9 IH Results'!$A$2:$C$302,2,0),0)+IFERROR(VLOOKUP(A334,'#8 IH Results'!$A$2:$C$302,2,0),0)+IFERROR(VLOOKUP(A334,'#7 IH Results'!$A$2:$C$302,2,0),0)+IFERROR(VLOOKUP(A334,'#6 IH Results'!$A$2:$C$302,2,0),0)+IFERROR(VLOOKUP(A334,'#5 IH Results'!$A$2:$C$303,2,0),0)+IFERROR(VLOOKUP(A334,'#4 IH Results'!$A$2:$C$300,2,0),0)+IFERROR(VLOOKUP(A334,'#3 IH Results'!$A$2:$C$101,2,0),0)+IFERROR(VLOOKUP(A334,'#2 IH Results'!$A$2:$C$101,2,0),0)+IFERROR(VLOOKUP(A334,'#1 IH Results'!$A$2:$C$101,2,0),0)+IFERROR(VLOOKUP(A334,'#0 IH Results'!$A$3:$C$102,2,0),0)</f>
        <v>0.6765296278</v>
      </c>
    </row>
    <row r="335">
      <c r="A335" s="8" t="s">
        <v>335</v>
      </c>
      <c r="B335" s="6">
        <f>IFERROR(VLOOKUP(A335,'#17 IH Results'!$A$2:$C$301,2,0),0)+IFERROR(VLOOKUP(A335,'#16 IH Results'!$A$2:$C$301,2,0),0)+IFERROR(VLOOKUP(A335,'#15 IH Results'!$A$2:$C$301,2,0),0)+IFERROR(VLOOKUP(A335,'#14 IH Results'!$A$2:$C$302,2,0),0)+IFERROR(VLOOKUP(A335,'#13 IH Results'!$A$2:$C$302,2,0),0)+IFERROR(VLOOKUP(A335,'#12 IH Results'!$A$2:$C$302,2,0),0)+IFERROR(VLOOKUP(A335,'#11 IH Results'!$A$2:$C$302,2,0),0)+IFERROR(VLOOKUP(A335,'#10 IH Results'!$A$2:$C$302,2,0),0)+IFERROR(VLOOKUP(A335,'#9 IH Results'!$A$2:$C$302,2,0),0)+IFERROR(VLOOKUP(A335,'#8 IH Results'!$A$2:$C$302,2,0),0)+IFERROR(VLOOKUP(A335,'#7 IH Results'!$A$2:$C$302,2,0),0)+IFERROR(VLOOKUP(A335,'#6 IH Results'!$A$2:$C$302,2,0),0)+IFERROR(VLOOKUP(A335,'#5 IH Results'!$A$2:$C$303,2,0),0)+IFERROR(VLOOKUP(A335,'#4 IH Results'!$A$2:$C$300,2,0),0)+IFERROR(VLOOKUP(A335,'#3 IH Results'!$A$2:$C$101,2,0),0)+IFERROR(VLOOKUP(A335,'#2 IH Results'!$A$2:$C$101,2,0),0)+IFERROR(VLOOKUP(A335,'#1 IH Results'!$A$2:$C$101,2,0),0)+IFERROR(VLOOKUP(A335,'#0 IH Results'!$A$3:$C$102,2,0),0)</f>
        <v>0.6607142865</v>
      </c>
    </row>
    <row r="336">
      <c r="A336" s="8" t="s">
        <v>336</v>
      </c>
      <c r="B336" s="6">
        <f>IFERROR(VLOOKUP(A336,'#17 IH Results'!$A$2:$C$301,2,0),0)+IFERROR(VLOOKUP(A336,'#16 IH Results'!$A$2:$C$301,2,0),0)+IFERROR(VLOOKUP(A336,'#15 IH Results'!$A$2:$C$301,2,0),0)+IFERROR(VLOOKUP(A336,'#14 IH Results'!$A$2:$C$302,2,0),0)+IFERROR(VLOOKUP(A336,'#13 IH Results'!$A$2:$C$302,2,0),0)+IFERROR(VLOOKUP(A336,'#12 IH Results'!$A$2:$C$302,2,0),0)+IFERROR(VLOOKUP(A336,'#11 IH Results'!$A$2:$C$302,2,0),0)+IFERROR(VLOOKUP(A336,'#10 IH Results'!$A$2:$C$302,2,0),0)+IFERROR(VLOOKUP(A336,'#9 IH Results'!$A$2:$C$302,2,0),0)+IFERROR(VLOOKUP(A336,'#8 IH Results'!$A$2:$C$302,2,0),0)+IFERROR(VLOOKUP(A336,'#7 IH Results'!$A$2:$C$302,2,0),0)+IFERROR(VLOOKUP(A336,'#6 IH Results'!$A$2:$C$302,2,0),0)+IFERROR(VLOOKUP(A336,'#5 IH Results'!$A$2:$C$303,2,0),0)+IFERROR(VLOOKUP(A336,'#4 IH Results'!$A$2:$C$300,2,0),0)+IFERROR(VLOOKUP(A336,'#3 IH Results'!$A$2:$C$101,2,0),0)+IFERROR(VLOOKUP(A336,'#2 IH Results'!$A$2:$C$101,2,0),0)+IFERROR(VLOOKUP(A336,'#1 IH Results'!$A$2:$C$101,2,0),0)+IFERROR(VLOOKUP(A336,'#0 IH Results'!$A$3:$C$102,2,0),0)</f>
        <v>0.6607142865</v>
      </c>
    </row>
    <row r="337">
      <c r="A337" s="8" t="s">
        <v>337</v>
      </c>
      <c r="B337" s="6">
        <f>IFERROR(VLOOKUP(A337,'#17 IH Results'!$A$2:$C$301,2,0),0)+IFERROR(VLOOKUP(A337,'#16 IH Results'!$A$2:$C$301,2,0),0)+IFERROR(VLOOKUP(A337,'#15 IH Results'!$A$2:$C$301,2,0),0)+IFERROR(VLOOKUP(A337,'#14 IH Results'!$A$2:$C$302,2,0),0)+IFERROR(VLOOKUP(A337,'#13 IH Results'!$A$2:$C$302,2,0),0)+IFERROR(VLOOKUP(A337,'#12 IH Results'!$A$2:$C$302,2,0),0)+IFERROR(VLOOKUP(A337,'#11 IH Results'!$A$2:$C$302,2,0),0)+IFERROR(VLOOKUP(A337,'#10 IH Results'!$A$2:$C$302,2,0),0)+IFERROR(VLOOKUP(A337,'#9 IH Results'!$A$2:$C$302,2,0),0)+IFERROR(VLOOKUP(A337,'#8 IH Results'!$A$2:$C$302,2,0),0)+IFERROR(VLOOKUP(A337,'#7 IH Results'!$A$2:$C$302,2,0),0)+IFERROR(VLOOKUP(A337,'#6 IH Results'!$A$2:$C$302,2,0),0)+IFERROR(VLOOKUP(A337,'#5 IH Results'!$A$2:$C$303,2,0),0)+IFERROR(VLOOKUP(A337,'#4 IH Results'!$A$2:$C$300,2,0),0)+IFERROR(VLOOKUP(A337,'#3 IH Results'!$A$2:$C$101,2,0),0)+IFERROR(VLOOKUP(A337,'#2 IH Results'!$A$2:$C$101,2,0),0)+IFERROR(VLOOKUP(A337,'#1 IH Results'!$A$2:$C$101,2,0),0)+IFERROR(VLOOKUP(A337,'#0 IH Results'!$A$3:$C$102,2,0),0)</f>
        <v>0.6607142865</v>
      </c>
    </row>
    <row r="338">
      <c r="A338" s="8" t="s">
        <v>338</v>
      </c>
      <c r="B338" s="6">
        <f>IFERROR(VLOOKUP(A338,'#17 IH Results'!$A$2:$C$301,2,0),0)+IFERROR(VLOOKUP(A338,'#16 IH Results'!$A$2:$C$301,2,0),0)+IFERROR(VLOOKUP(A338,'#15 IH Results'!$A$2:$C$301,2,0),0)+IFERROR(VLOOKUP(A338,'#14 IH Results'!$A$2:$C$302,2,0),0)+IFERROR(VLOOKUP(A338,'#13 IH Results'!$A$2:$C$302,2,0),0)+IFERROR(VLOOKUP(A338,'#12 IH Results'!$A$2:$C$302,2,0),0)+IFERROR(VLOOKUP(A338,'#11 IH Results'!$A$2:$C$302,2,0),0)+IFERROR(VLOOKUP(A338,'#10 IH Results'!$A$2:$C$302,2,0),0)+IFERROR(VLOOKUP(A338,'#9 IH Results'!$A$2:$C$302,2,0),0)+IFERROR(VLOOKUP(A338,'#8 IH Results'!$A$2:$C$302,2,0),0)+IFERROR(VLOOKUP(A338,'#7 IH Results'!$A$2:$C$302,2,0),0)+IFERROR(VLOOKUP(A338,'#6 IH Results'!$A$2:$C$302,2,0),0)+IFERROR(VLOOKUP(A338,'#5 IH Results'!$A$2:$C$303,2,0),0)+IFERROR(VLOOKUP(A338,'#4 IH Results'!$A$2:$C$300,2,0),0)+IFERROR(VLOOKUP(A338,'#3 IH Results'!$A$2:$C$101,2,0),0)+IFERROR(VLOOKUP(A338,'#2 IH Results'!$A$2:$C$101,2,0),0)+IFERROR(VLOOKUP(A338,'#1 IH Results'!$A$2:$C$101,2,0),0)+IFERROR(VLOOKUP(A338,'#0 IH Results'!$A$3:$C$102,2,0),0)</f>
        <v>0.6607142865</v>
      </c>
    </row>
    <row r="339">
      <c r="A339" s="8" t="s">
        <v>339</v>
      </c>
      <c r="B339" s="6">
        <f>IFERROR(VLOOKUP(A339,'#17 IH Results'!$A$2:$C$301,2,0),0)+IFERROR(VLOOKUP(A339,'#16 IH Results'!$A$2:$C$301,2,0),0)+IFERROR(VLOOKUP(A339,'#15 IH Results'!$A$2:$C$301,2,0),0)+IFERROR(VLOOKUP(A339,'#14 IH Results'!$A$2:$C$302,2,0),0)+IFERROR(VLOOKUP(A339,'#13 IH Results'!$A$2:$C$302,2,0),0)+IFERROR(VLOOKUP(A339,'#12 IH Results'!$A$2:$C$302,2,0),0)+IFERROR(VLOOKUP(A339,'#11 IH Results'!$A$2:$C$302,2,0),0)+IFERROR(VLOOKUP(A339,'#10 IH Results'!$A$2:$C$302,2,0),0)+IFERROR(VLOOKUP(A339,'#9 IH Results'!$A$2:$C$302,2,0),0)+IFERROR(VLOOKUP(A339,'#8 IH Results'!$A$2:$C$302,2,0),0)+IFERROR(VLOOKUP(A339,'#7 IH Results'!$A$2:$C$302,2,0),0)+IFERROR(VLOOKUP(A339,'#6 IH Results'!$A$2:$C$302,2,0),0)+IFERROR(VLOOKUP(A339,'#5 IH Results'!$A$2:$C$303,2,0),0)+IFERROR(VLOOKUP(A339,'#4 IH Results'!$A$2:$C$300,2,0),0)+IFERROR(VLOOKUP(A339,'#3 IH Results'!$A$2:$C$101,2,0),0)+IFERROR(VLOOKUP(A339,'#2 IH Results'!$A$2:$C$101,2,0),0)+IFERROR(VLOOKUP(A339,'#1 IH Results'!$A$2:$C$101,2,0),0)+IFERROR(VLOOKUP(A339,'#0 IH Results'!$A$3:$C$102,2,0),0)</f>
        <v>0.6607142865</v>
      </c>
    </row>
    <row r="340">
      <c r="A340" s="8" t="s">
        <v>340</v>
      </c>
      <c r="B340" s="6">
        <f>IFERROR(VLOOKUP(A340,'#17 IH Results'!$A$2:$C$301,2,0),0)+IFERROR(VLOOKUP(A340,'#16 IH Results'!$A$2:$C$301,2,0),0)+IFERROR(VLOOKUP(A340,'#15 IH Results'!$A$2:$C$301,2,0),0)+IFERROR(VLOOKUP(A340,'#14 IH Results'!$A$2:$C$302,2,0),0)+IFERROR(VLOOKUP(A340,'#13 IH Results'!$A$2:$C$302,2,0),0)+IFERROR(VLOOKUP(A340,'#12 IH Results'!$A$2:$C$302,2,0),0)+IFERROR(VLOOKUP(A340,'#11 IH Results'!$A$2:$C$302,2,0),0)+IFERROR(VLOOKUP(A340,'#10 IH Results'!$A$2:$C$302,2,0),0)+IFERROR(VLOOKUP(A340,'#9 IH Results'!$A$2:$C$302,2,0),0)+IFERROR(VLOOKUP(A340,'#8 IH Results'!$A$2:$C$302,2,0),0)+IFERROR(VLOOKUP(A340,'#7 IH Results'!$A$2:$C$302,2,0),0)+IFERROR(VLOOKUP(A340,'#6 IH Results'!$A$2:$C$302,2,0),0)+IFERROR(VLOOKUP(A340,'#5 IH Results'!$A$2:$C$303,2,0),0)+IFERROR(VLOOKUP(A340,'#4 IH Results'!$A$2:$C$300,2,0),0)+IFERROR(VLOOKUP(A340,'#3 IH Results'!$A$2:$C$101,2,0),0)+IFERROR(VLOOKUP(A340,'#2 IH Results'!$A$2:$C$101,2,0),0)+IFERROR(VLOOKUP(A340,'#1 IH Results'!$A$2:$C$101,2,0),0)+IFERROR(VLOOKUP(A340,'#0 IH Results'!$A$3:$C$102,2,0),0)</f>
        <v>0.6486415708</v>
      </c>
    </row>
    <row r="341">
      <c r="A341" s="15" t="s">
        <v>341</v>
      </c>
      <c r="B341" s="6">
        <f>IFERROR(VLOOKUP(A341,'#17 IH Results'!$A$2:$C$301,2,0),0)+IFERROR(VLOOKUP(A341,'#16 IH Results'!$A$2:$C$301,2,0),0)+IFERROR(VLOOKUP(A341,'#15 IH Results'!$A$2:$C$301,2,0),0)+IFERROR(VLOOKUP(A341,'#14 IH Results'!$A$2:$C$302,2,0),0)+IFERROR(VLOOKUP(A341,'#13 IH Results'!$A$2:$C$302,2,0),0)+IFERROR(VLOOKUP(A341,'#12 IH Results'!$A$2:$C$302,2,0),0)+IFERROR(VLOOKUP(A341,'#11 IH Results'!$A$2:$C$302,2,0),0)+IFERROR(VLOOKUP(A341,'#10 IH Results'!$A$2:$C$302,2,0),0)+IFERROR(VLOOKUP(A341,'#9 IH Results'!$A$2:$C$302,2,0),0)+IFERROR(VLOOKUP(A341,'#8 IH Results'!$A$2:$C$302,2,0),0)+IFERROR(VLOOKUP(A341,'#7 IH Results'!$A$2:$C$302,2,0),0)+IFERROR(VLOOKUP(A341,'#6 IH Results'!$A$2:$C$302,2,0),0)+IFERROR(VLOOKUP(A341,'#5 IH Results'!$A$2:$C$303,2,0),0)+IFERROR(VLOOKUP(A341,'#4 IH Results'!$A$2:$C$300,2,0),0)+IFERROR(VLOOKUP(A341,'#3 IH Results'!$A$2:$C$101,2,0),0)+IFERROR(VLOOKUP(A341,'#2 IH Results'!$A$2:$C$101,2,0),0)+IFERROR(VLOOKUP(A341,'#1 IH Results'!$A$2:$C$101,2,0),0)+IFERROR(VLOOKUP(A341,'#0 IH Results'!$A$3:$C$102,2,0),0)</f>
        <v>0.6166991577</v>
      </c>
    </row>
    <row r="342">
      <c r="A342" s="15" t="s">
        <v>342</v>
      </c>
      <c r="B342" s="6">
        <f>IFERROR(VLOOKUP(A342,'#17 IH Results'!$A$2:$C$301,2,0),0)+IFERROR(VLOOKUP(A342,'#16 IH Results'!$A$2:$C$301,2,0),0)+IFERROR(VLOOKUP(A342,'#15 IH Results'!$A$2:$C$301,2,0),0)+IFERROR(VLOOKUP(A342,'#14 IH Results'!$A$2:$C$302,2,0),0)+IFERROR(VLOOKUP(A342,'#13 IH Results'!$A$2:$C$302,2,0),0)+IFERROR(VLOOKUP(A342,'#12 IH Results'!$A$2:$C$302,2,0),0)+IFERROR(VLOOKUP(A342,'#11 IH Results'!$A$2:$C$302,2,0),0)+IFERROR(VLOOKUP(A342,'#10 IH Results'!$A$2:$C$302,2,0),0)+IFERROR(VLOOKUP(A342,'#9 IH Results'!$A$2:$C$302,2,0),0)+IFERROR(VLOOKUP(A342,'#8 IH Results'!$A$2:$C$302,2,0),0)+IFERROR(VLOOKUP(A342,'#7 IH Results'!$A$2:$C$302,2,0),0)+IFERROR(VLOOKUP(A342,'#6 IH Results'!$A$2:$C$302,2,0),0)+IFERROR(VLOOKUP(A342,'#5 IH Results'!$A$2:$C$303,2,0),0)+IFERROR(VLOOKUP(A342,'#4 IH Results'!$A$2:$C$300,2,0),0)+IFERROR(VLOOKUP(A342,'#3 IH Results'!$A$2:$C$101,2,0),0)+IFERROR(VLOOKUP(A342,'#2 IH Results'!$A$2:$C$101,2,0),0)+IFERROR(VLOOKUP(A342,'#1 IH Results'!$A$2:$C$101,2,0),0)+IFERROR(VLOOKUP(A342,'#0 IH Results'!$A$3:$C$102,2,0),0)</f>
        <v>0.6166991577</v>
      </c>
    </row>
    <row r="343">
      <c r="A343" s="15" t="s">
        <v>343</v>
      </c>
      <c r="B343" s="6">
        <f>IFERROR(VLOOKUP(A343,'#17 IH Results'!$A$2:$C$301,2,0),0)+IFERROR(VLOOKUP(A343,'#16 IH Results'!$A$2:$C$301,2,0),0)+IFERROR(VLOOKUP(A343,'#15 IH Results'!$A$2:$C$301,2,0),0)+IFERROR(VLOOKUP(A343,'#14 IH Results'!$A$2:$C$302,2,0),0)+IFERROR(VLOOKUP(A343,'#13 IH Results'!$A$2:$C$302,2,0),0)+IFERROR(VLOOKUP(A343,'#12 IH Results'!$A$2:$C$302,2,0),0)+IFERROR(VLOOKUP(A343,'#11 IH Results'!$A$2:$C$302,2,0),0)+IFERROR(VLOOKUP(A343,'#10 IH Results'!$A$2:$C$302,2,0),0)+IFERROR(VLOOKUP(A343,'#9 IH Results'!$A$2:$C$302,2,0),0)+IFERROR(VLOOKUP(A343,'#8 IH Results'!$A$2:$C$302,2,0),0)+IFERROR(VLOOKUP(A343,'#7 IH Results'!$A$2:$C$302,2,0),0)+IFERROR(VLOOKUP(A343,'#6 IH Results'!$A$2:$C$302,2,0),0)+IFERROR(VLOOKUP(A343,'#5 IH Results'!$A$2:$C$303,2,0),0)+IFERROR(VLOOKUP(A343,'#4 IH Results'!$A$2:$C$300,2,0),0)+IFERROR(VLOOKUP(A343,'#3 IH Results'!$A$2:$C$101,2,0),0)+IFERROR(VLOOKUP(A343,'#2 IH Results'!$A$2:$C$101,2,0),0)+IFERROR(VLOOKUP(A343,'#1 IH Results'!$A$2:$C$101,2,0),0)+IFERROR(VLOOKUP(A343,'#0 IH Results'!$A$3:$C$102,2,0),0)</f>
        <v>0.6166991577</v>
      </c>
    </row>
    <row r="344">
      <c r="A344" s="15" t="s">
        <v>344</v>
      </c>
      <c r="B344" s="6">
        <f>IFERROR(VLOOKUP(A344,'#17 IH Results'!$A$2:$C$301,2,0),0)+IFERROR(VLOOKUP(A344,'#16 IH Results'!$A$2:$C$301,2,0),0)+IFERROR(VLOOKUP(A344,'#15 IH Results'!$A$2:$C$301,2,0),0)+IFERROR(VLOOKUP(A344,'#14 IH Results'!$A$2:$C$302,2,0),0)+IFERROR(VLOOKUP(A344,'#13 IH Results'!$A$2:$C$302,2,0),0)+IFERROR(VLOOKUP(A344,'#12 IH Results'!$A$2:$C$302,2,0),0)+IFERROR(VLOOKUP(A344,'#11 IH Results'!$A$2:$C$302,2,0),0)+IFERROR(VLOOKUP(A344,'#10 IH Results'!$A$2:$C$302,2,0),0)+IFERROR(VLOOKUP(A344,'#9 IH Results'!$A$2:$C$302,2,0),0)+IFERROR(VLOOKUP(A344,'#8 IH Results'!$A$2:$C$302,2,0),0)+IFERROR(VLOOKUP(A344,'#7 IH Results'!$A$2:$C$302,2,0),0)+IFERROR(VLOOKUP(A344,'#6 IH Results'!$A$2:$C$302,2,0),0)+IFERROR(VLOOKUP(A344,'#5 IH Results'!$A$2:$C$303,2,0),0)+IFERROR(VLOOKUP(A344,'#4 IH Results'!$A$2:$C$300,2,0),0)+IFERROR(VLOOKUP(A344,'#3 IH Results'!$A$2:$C$101,2,0),0)+IFERROR(VLOOKUP(A344,'#2 IH Results'!$A$2:$C$101,2,0),0)+IFERROR(VLOOKUP(A344,'#1 IH Results'!$A$2:$C$101,2,0),0)+IFERROR(VLOOKUP(A344,'#0 IH Results'!$A$3:$C$102,2,0),0)</f>
        <v>0.6166991577</v>
      </c>
    </row>
    <row r="345">
      <c r="A345" s="15" t="s">
        <v>345</v>
      </c>
      <c r="B345" s="6">
        <f>IFERROR(VLOOKUP(A345,'#17 IH Results'!$A$2:$C$301,2,0),0)+IFERROR(VLOOKUP(A345,'#16 IH Results'!$A$2:$C$301,2,0),0)+IFERROR(VLOOKUP(A345,'#15 IH Results'!$A$2:$C$301,2,0),0)+IFERROR(VLOOKUP(A345,'#14 IH Results'!$A$2:$C$302,2,0),0)+IFERROR(VLOOKUP(A345,'#13 IH Results'!$A$2:$C$302,2,0),0)+IFERROR(VLOOKUP(A345,'#12 IH Results'!$A$2:$C$302,2,0),0)+IFERROR(VLOOKUP(A345,'#11 IH Results'!$A$2:$C$302,2,0),0)+IFERROR(VLOOKUP(A345,'#10 IH Results'!$A$2:$C$302,2,0),0)+IFERROR(VLOOKUP(A345,'#9 IH Results'!$A$2:$C$302,2,0),0)+IFERROR(VLOOKUP(A345,'#8 IH Results'!$A$2:$C$302,2,0),0)+IFERROR(VLOOKUP(A345,'#7 IH Results'!$A$2:$C$302,2,0),0)+IFERROR(VLOOKUP(A345,'#6 IH Results'!$A$2:$C$302,2,0),0)+IFERROR(VLOOKUP(A345,'#5 IH Results'!$A$2:$C$303,2,0),0)+IFERROR(VLOOKUP(A345,'#4 IH Results'!$A$2:$C$300,2,0),0)+IFERROR(VLOOKUP(A345,'#3 IH Results'!$A$2:$C$101,2,0),0)+IFERROR(VLOOKUP(A345,'#2 IH Results'!$A$2:$C$101,2,0),0)+IFERROR(VLOOKUP(A345,'#1 IH Results'!$A$2:$C$101,2,0),0)+IFERROR(VLOOKUP(A345,'#0 IH Results'!$A$3:$C$102,2,0),0)</f>
        <v>0.6166991577</v>
      </c>
    </row>
    <row r="346">
      <c r="A346" s="15" t="s">
        <v>346</v>
      </c>
      <c r="B346" s="6">
        <f>IFERROR(VLOOKUP(A346,'#17 IH Results'!$A$2:$C$301,2,0),0)+IFERROR(VLOOKUP(A346,'#16 IH Results'!$A$2:$C$301,2,0),0)+IFERROR(VLOOKUP(A346,'#15 IH Results'!$A$2:$C$301,2,0),0)+IFERROR(VLOOKUP(A346,'#14 IH Results'!$A$2:$C$302,2,0),0)+IFERROR(VLOOKUP(A346,'#13 IH Results'!$A$2:$C$302,2,0),0)+IFERROR(VLOOKUP(A346,'#12 IH Results'!$A$2:$C$302,2,0),0)+IFERROR(VLOOKUP(A346,'#11 IH Results'!$A$2:$C$302,2,0),0)+IFERROR(VLOOKUP(A346,'#10 IH Results'!$A$2:$C$302,2,0),0)+IFERROR(VLOOKUP(A346,'#9 IH Results'!$A$2:$C$302,2,0),0)+IFERROR(VLOOKUP(A346,'#8 IH Results'!$A$2:$C$302,2,0),0)+IFERROR(VLOOKUP(A346,'#7 IH Results'!$A$2:$C$302,2,0),0)+IFERROR(VLOOKUP(A346,'#6 IH Results'!$A$2:$C$302,2,0),0)+IFERROR(VLOOKUP(A346,'#5 IH Results'!$A$2:$C$303,2,0),0)+IFERROR(VLOOKUP(A346,'#4 IH Results'!$A$2:$C$300,2,0),0)+IFERROR(VLOOKUP(A346,'#3 IH Results'!$A$2:$C$101,2,0),0)+IFERROR(VLOOKUP(A346,'#2 IH Results'!$A$2:$C$101,2,0),0)+IFERROR(VLOOKUP(A346,'#1 IH Results'!$A$2:$C$101,2,0),0)+IFERROR(VLOOKUP(A346,'#0 IH Results'!$A$3:$C$102,2,0),0)</f>
        <v>0.6166991577</v>
      </c>
    </row>
    <row r="347">
      <c r="A347" s="15" t="s">
        <v>347</v>
      </c>
      <c r="B347" s="6">
        <f>IFERROR(VLOOKUP(A347,'#17 IH Results'!$A$2:$C$301,2,0),0)+IFERROR(VLOOKUP(A347,'#16 IH Results'!$A$2:$C$301,2,0),0)+IFERROR(VLOOKUP(A347,'#15 IH Results'!$A$2:$C$301,2,0),0)+IFERROR(VLOOKUP(A347,'#14 IH Results'!$A$2:$C$302,2,0),0)+IFERROR(VLOOKUP(A347,'#13 IH Results'!$A$2:$C$302,2,0),0)+IFERROR(VLOOKUP(A347,'#12 IH Results'!$A$2:$C$302,2,0),0)+IFERROR(VLOOKUP(A347,'#11 IH Results'!$A$2:$C$302,2,0),0)+IFERROR(VLOOKUP(A347,'#10 IH Results'!$A$2:$C$302,2,0),0)+IFERROR(VLOOKUP(A347,'#9 IH Results'!$A$2:$C$302,2,0),0)+IFERROR(VLOOKUP(A347,'#8 IH Results'!$A$2:$C$302,2,0),0)+IFERROR(VLOOKUP(A347,'#7 IH Results'!$A$2:$C$302,2,0),0)+IFERROR(VLOOKUP(A347,'#6 IH Results'!$A$2:$C$302,2,0),0)+IFERROR(VLOOKUP(A347,'#5 IH Results'!$A$2:$C$303,2,0),0)+IFERROR(VLOOKUP(A347,'#4 IH Results'!$A$2:$C$300,2,0),0)+IFERROR(VLOOKUP(A347,'#3 IH Results'!$A$2:$C$101,2,0),0)+IFERROR(VLOOKUP(A347,'#2 IH Results'!$A$2:$C$101,2,0),0)+IFERROR(VLOOKUP(A347,'#1 IH Results'!$A$2:$C$101,2,0),0)+IFERROR(VLOOKUP(A347,'#0 IH Results'!$A$3:$C$102,2,0),0)</f>
        <v>0.6166991577</v>
      </c>
    </row>
    <row r="348">
      <c r="A348" s="15" t="s">
        <v>348</v>
      </c>
      <c r="B348" s="6">
        <f>IFERROR(VLOOKUP(A348,'#17 IH Results'!$A$2:$C$301,2,0),0)+IFERROR(VLOOKUP(A348,'#16 IH Results'!$A$2:$C$301,2,0),0)+IFERROR(VLOOKUP(A348,'#15 IH Results'!$A$2:$C$301,2,0),0)+IFERROR(VLOOKUP(A348,'#14 IH Results'!$A$2:$C$302,2,0),0)+IFERROR(VLOOKUP(A348,'#13 IH Results'!$A$2:$C$302,2,0),0)+IFERROR(VLOOKUP(A348,'#12 IH Results'!$A$2:$C$302,2,0),0)+IFERROR(VLOOKUP(A348,'#11 IH Results'!$A$2:$C$302,2,0),0)+IFERROR(VLOOKUP(A348,'#10 IH Results'!$A$2:$C$302,2,0),0)+IFERROR(VLOOKUP(A348,'#9 IH Results'!$A$2:$C$302,2,0),0)+IFERROR(VLOOKUP(A348,'#8 IH Results'!$A$2:$C$302,2,0),0)+IFERROR(VLOOKUP(A348,'#7 IH Results'!$A$2:$C$302,2,0),0)+IFERROR(VLOOKUP(A348,'#6 IH Results'!$A$2:$C$302,2,0),0)+IFERROR(VLOOKUP(A348,'#5 IH Results'!$A$2:$C$303,2,0),0)+IFERROR(VLOOKUP(A348,'#4 IH Results'!$A$2:$C$300,2,0),0)+IFERROR(VLOOKUP(A348,'#3 IH Results'!$A$2:$C$101,2,0),0)+IFERROR(VLOOKUP(A348,'#2 IH Results'!$A$2:$C$101,2,0),0)+IFERROR(VLOOKUP(A348,'#1 IH Results'!$A$2:$C$101,2,0),0)+IFERROR(VLOOKUP(A348,'#0 IH Results'!$A$3:$C$102,2,0),0)</f>
        <v>0.6166991577</v>
      </c>
    </row>
    <row r="349">
      <c r="A349" s="18" t="s">
        <v>349</v>
      </c>
      <c r="B349" s="6">
        <f>IFERROR(VLOOKUP(A349,'#17 IH Results'!$A$2:$C$301,2,0),0)+IFERROR(VLOOKUP(A349,'#16 IH Results'!$A$2:$C$301,2,0),0)+IFERROR(VLOOKUP(A349,'#15 IH Results'!$A$2:$C$301,2,0),0)+IFERROR(VLOOKUP(A349,'#14 IH Results'!$A$2:$C$302,2,0),0)+IFERROR(VLOOKUP(A349,'#13 IH Results'!$A$2:$C$302,2,0),0)+IFERROR(VLOOKUP(A349,'#12 IH Results'!$A$2:$C$302,2,0),0)+IFERROR(VLOOKUP(A349,'#11 IH Results'!$A$2:$C$302,2,0),0)+IFERROR(VLOOKUP(A349,'#10 IH Results'!$A$2:$C$302,2,0),0)+IFERROR(VLOOKUP(A349,'#9 IH Results'!$A$2:$C$302,2,0),0)+IFERROR(VLOOKUP(A349,'#8 IH Results'!$A$2:$C$302,2,0),0)+IFERROR(VLOOKUP(A349,'#7 IH Results'!$A$2:$C$302,2,0),0)+IFERROR(VLOOKUP(A349,'#6 IH Results'!$A$2:$C$302,2,0),0)+IFERROR(VLOOKUP(A349,'#5 IH Results'!$A$2:$C$303,2,0),0)+IFERROR(VLOOKUP(A349,'#4 IH Results'!$A$2:$C$300,2,0),0)+IFERROR(VLOOKUP(A349,'#3 IH Results'!$A$2:$C$101,2,0),0)+IFERROR(VLOOKUP(A349,'#2 IH Results'!$A$2:$C$101,2,0),0)+IFERROR(VLOOKUP(A349,'#1 IH Results'!$A$2:$C$101,2,0),0)+IFERROR(VLOOKUP(A349,'#0 IH Results'!$A$3:$C$102,2,0),0)</f>
        <v>0.5807579475</v>
      </c>
    </row>
    <row r="350">
      <c r="A350" s="18" t="s">
        <v>350</v>
      </c>
      <c r="B350" s="6">
        <f>IFERROR(VLOOKUP(A350,'#17 IH Results'!$A$2:$C$301,2,0),0)+IFERROR(VLOOKUP(A350,'#16 IH Results'!$A$2:$C$301,2,0),0)+IFERROR(VLOOKUP(A350,'#15 IH Results'!$A$2:$C$301,2,0),0)+IFERROR(VLOOKUP(A350,'#14 IH Results'!$A$2:$C$302,2,0),0)+IFERROR(VLOOKUP(A350,'#13 IH Results'!$A$2:$C$302,2,0),0)+IFERROR(VLOOKUP(A350,'#12 IH Results'!$A$2:$C$302,2,0),0)+IFERROR(VLOOKUP(A350,'#11 IH Results'!$A$2:$C$302,2,0),0)+IFERROR(VLOOKUP(A350,'#10 IH Results'!$A$2:$C$302,2,0),0)+IFERROR(VLOOKUP(A350,'#9 IH Results'!$A$2:$C$302,2,0),0)+IFERROR(VLOOKUP(A350,'#8 IH Results'!$A$2:$C$302,2,0),0)+IFERROR(VLOOKUP(A350,'#7 IH Results'!$A$2:$C$302,2,0),0)+IFERROR(VLOOKUP(A350,'#6 IH Results'!$A$2:$C$302,2,0),0)+IFERROR(VLOOKUP(A350,'#5 IH Results'!$A$2:$C$303,2,0),0)+IFERROR(VLOOKUP(A350,'#4 IH Results'!$A$2:$C$300,2,0),0)+IFERROR(VLOOKUP(A350,'#3 IH Results'!$A$2:$C$101,2,0),0)+IFERROR(VLOOKUP(A350,'#2 IH Results'!$A$2:$C$101,2,0),0)+IFERROR(VLOOKUP(A350,'#1 IH Results'!$A$2:$C$101,2,0),0)+IFERROR(VLOOKUP(A350,'#0 IH Results'!$A$3:$C$102,2,0),0)</f>
        <v>0.5807579475</v>
      </c>
    </row>
    <row r="351">
      <c r="A351" s="18" t="s">
        <v>351</v>
      </c>
      <c r="B351" s="6">
        <f>IFERROR(VLOOKUP(A351,'#17 IH Results'!$A$2:$C$301,2,0),0)+IFERROR(VLOOKUP(A351,'#16 IH Results'!$A$2:$C$301,2,0),0)+IFERROR(VLOOKUP(A351,'#15 IH Results'!$A$2:$C$301,2,0),0)+IFERROR(VLOOKUP(A351,'#14 IH Results'!$A$2:$C$302,2,0),0)+IFERROR(VLOOKUP(A351,'#13 IH Results'!$A$2:$C$302,2,0),0)+IFERROR(VLOOKUP(A351,'#12 IH Results'!$A$2:$C$302,2,0),0)+IFERROR(VLOOKUP(A351,'#11 IH Results'!$A$2:$C$302,2,0),0)+IFERROR(VLOOKUP(A351,'#10 IH Results'!$A$2:$C$302,2,0),0)+IFERROR(VLOOKUP(A351,'#9 IH Results'!$A$2:$C$302,2,0),0)+IFERROR(VLOOKUP(A351,'#8 IH Results'!$A$2:$C$302,2,0),0)+IFERROR(VLOOKUP(A351,'#7 IH Results'!$A$2:$C$302,2,0),0)+IFERROR(VLOOKUP(A351,'#6 IH Results'!$A$2:$C$302,2,0),0)+IFERROR(VLOOKUP(A351,'#5 IH Results'!$A$2:$C$303,2,0),0)+IFERROR(VLOOKUP(A351,'#4 IH Results'!$A$2:$C$300,2,0),0)+IFERROR(VLOOKUP(A351,'#3 IH Results'!$A$2:$C$101,2,0),0)+IFERROR(VLOOKUP(A351,'#2 IH Results'!$A$2:$C$101,2,0),0)+IFERROR(VLOOKUP(A351,'#1 IH Results'!$A$2:$C$101,2,0),0)+IFERROR(VLOOKUP(A351,'#0 IH Results'!$A$3:$C$102,2,0),0)</f>
        <v>0.5807579475</v>
      </c>
    </row>
    <row r="352">
      <c r="A352" s="18" t="s">
        <v>352</v>
      </c>
      <c r="B352" s="6">
        <f>IFERROR(VLOOKUP(A352,'#17 IH Results'!$A$2:$C$301,2,0),0)+IFERROR(VLOOKUP(A352,'#16 IH Results'!$A$2:$C$301,2,0),0)+IFERROR(VLOOKUP(A352,'#15 IH Results'!$A$2:$C$301,2,0),0)+IFERROR(VLOOKUP(A352,'#14 IH Results'!$A$2:$C$302,2,0),0)+IFERROR(VLOOKUP(A352,'#13 IH Results'!$A$2:$C$302,2,0),0)+IFERROR(VLOOKUP(A352,'#12 IH Results'!$A$2:$C$302,2,0),0)+IFERROR(VLOOKUP(A352,'#11 IH Results'!$A$2:$C$302,2,0),0)+IFERROR(VLOOKUP(A352,'#10 IH Results'!$A$2:$C$302,2,0),0)+IFERROR(VLOOKUP(A352,'#9 IH Results'!$A$2:$C$302,2,0),0)+IFERROR(VLOOKUP(A352,'#8 IH Results'!$A$2:$C$302,2,0),0)+IFERROR(VLOOKUP(A352,'#7 IH Results'!$A$2:$C$302,2,0),0)+IFERROR(VLOOKUP(A352,'#6 IH Results'!$A$2:$C$302,2,0),0)+IFERROR(VLOOKUP(A352,'#5 IH Results'!$A$2:$C$303,2,0),0)+IFERROR(VLOOKUP(A352,'#4 IH Results'!$A$2:$C$300,2,0),0)+IFERROR(VLOOKUP(A352,'#3 IH Results'!$A$2:$C$101,2,0),0)+IFERROR(VLOOKUP(A352,'#2 IH Results'!$A$2:$C$101,2,0),0)+IFERROR(VLOOKUP(A352,'#1 IH Results'!$A$2:$C$101,2,0),0)+IFERROR(VLOOKUP(A352,'#0 IH Results'!$A$3:$C$102,2,0),0)</f>
        <v>0.5807579475</v>
      </c>
    </row>
    <row r="353">
      <c r="A353" s="18" t="s">
        <v>353</v>
      </c>
      <c r="B353" s="6">
        <f>IFERROR(VLOOKUP(A353,'#17 IH Results'!$A$2:$C$301,2,0),0)+IFERROR(VLOOKUP(A353,'#16 IH Results'!$A$2:$C$301,2,0),0)+IFERROR(VLOOKUP(A353,'#15 IH Results'!$A$2:$C$301,2,0),0)+IFERROR(VLOOKUP(A353,'#14 IH Results'!$A$2:$C$302,2,0),0)+IFERROR(VLOOKUP(A353,'#13 IH Results'!$A$2:$C$302,2,0),0)+IFERROR(VLOOKUP(A353,'#12 IH Results'!$A$2:$C$302,2,0),0)+IFERROR(VLOOKUP(A353,'#11 IH Results'!$A$2:$C$302,2,0),0)+IFERROR(VLOOKUP(A353,'#10 IH Results'!$A$2:$C$302,2,0),0)+IFERROR(VLOOKUP(A353,'#9 IH Results'!$A$2:$C$302,2,0),0)+IFERROR(VLOOKUP(A353,'#8 IH Results'!$A$2:$C$302,2,0),0)+IFERROR(VLOOKUP(A353,'#7 IH Results'!$A$2:$C$302,2,0),0)+IFERROR(VLOOKUP(A353,'#6 IH Results'!$A$2:$C$302,2,0),0)+IFERROR(VLOOKUP(A353,'#5 IH Results'!$A$2:$C$303,2,0),0)+IFERROR(VLOOKUP(A353,'#4 IH Results'!$A$2:$C$300,2,0),0)+IFERROR(VLOOKUP(A353,'#3 IH Results'!$A$2:$C$101,2,0),0)+IFERROR(VLOOKUP(A353,'#2 IH Results'!$A$2:$C$101,2,0),0)+IFERROR(VLOOKUP(A353,'#1 IH Results'!$A$2:$C$101,2,0),0)+IFERROR(VLOOKUP(A353,'#0 IH Results'!$A$3:$C$102,2,0),0)</f>
        <v>0.5807579475</v>
      </c>
    </row>
    <row r="354">
      <c r="A354" s="18" t="s">
        <v>354</v>
      </c>
      <c r="B354" s="6">
        <f>IFERROR(VLOOKUP(A354,'#17 IH Results'!$A$2:$C$301,2,0),0)+IFERROR(VLOOKUP(A354,'#16 IH Results'!$A$2:$C$301,2,0),0)+IFERROR(VLOOKUP(A354,'#15 IH Results'!$A$2:$C$301,2,0),0)+IFERROR(VLOOKUP(A354,'#14 IH Results'!$A$2:$C$302,2,0),0)+IFERROR(VLOOKUP(A354,'#13 IH Results'!$A$2:$C$302,2,0),0)+IFERROR(VLOOKUP(A354,'#12 IH Results'!$A$2:$C$302,2,0),0)+IFERROR(VLOOKUP(A354,'#11 IH Results'!$A$2:$C$302,2,0),0)+IFERROR(VLOOKUP(A354,'#10 IH Results'!$A$2:$C$302,2,0),0)+IFERROR(VLOOKUP(A354,'#9 IH Results'!$A$2:$C$302,2,0),0)+IFERROR(VLOOKUP(A354,'#8 IH Results'!$A$2:$C$302,2,0),0)+IFERROR(VLOOKUP(A354,'#7 IH Results'!$A$2:$C$302,2,0),0)+IFERROR(VLOOKUP(A354,'#6 IH Results'!$A$2:$C$302,2,0),0)+IFERROR(VLOOKUP(A354,'#5 IH Results'!$A$2:$C$303,2,0),0)+IFERROR(VLOOKUP(A354,'#4 IH Results'!$A$2:$C$300,2,0),0)+IFERROR(VLOOKUP(A354,'#3 IH Results'!$A$2:$C$101,2,0),0)+IFERROR(VLOOKUP(A354,'#2 IH Results'!$A$2:$C$101,2,0),0)+IFERROR(VLOOKUP(A354,'#1 IH Results'!$A$2:$C$101,2,0),0)+IFERROR(VLOOKUP(A354,'#0 IH Results'!$A$3:$C$102,2,0),0)</f>
        <v>0.5807579475</v>
      </c>
    </row>
    <row r="355">
      <c r="A355" s="18" t="s">
        <v>355</v>
      </c>
      <c r="B355" s="6">
        <f>IFERROR(VLOOKUP(A355,'#17 IH Results'!$A$2:$C$301,2,0),0)+IFERROR(VLOOKUP(A355,'#16 IH Results'!$A$2:$C$301,2,0),0)+IFERROR(VLOOKUP(A355,'#15 IH Results'!$A$2:$C$301,2,0),0)+IFERROR(VLOOKUP(A355,'#14 IH Results'!$A$2:$C$302,2,0),0)+IFERROR(VLOOKUP(A355,'#13 IH Results'!$A$2:$C$302,2,0),0)+IFERROR(VLOOKUP(A355,'#12 IH Results'!$A$2:$C$302,2,0),0)+IFERROR(VLOOKUP(A355,'#11 IH Results'!$A$2:$C$302,2,0),0)+IFERROR(VLOOKUP(A355,'#10 IH Results'!$A$2:$C$302,2,0),0)+IFERROR(VLOOKUP(A355,'#9 IH Results'!$A$2:$C$302,2,0),0)+IFERROR(VLOOKUP(A355,'#8 IH Results'!$A$2:$C$302,2,0),0)+IFERROR(VLOOKUP(A355,'#7 IH Results'!$A$2:$C$302,2,0),0)+IFERROR(VLOOKUP(A355,'#6 IH Results'!$A$2:$C$302,2,0),0)+IFERROR(VLOOKUP(A355,'#5 IH Results'!$A$2:$C$303,2,0),0)+IFERROR(VLOOKUP(A355,'#4 IH Results'!$A$2:$C$300,2,0),0)+IFERROR(VLOOKUP(A355,'#3 IH Results'!$A$2:$C$101,2,0),0)+IFERROR(VLOOKUP(A355,'#2 IH Results'!$A$2:$C$101,2,0),0)+IFERROR(VLOOKUP(A355,'#1 IH Results'!$A$2:$C$101,2,0),0)+IFERROR(VLOOKUP(A355,'#0 IH Results'!$A$3:$C$102,2,0),0)</f>
        <v>0.5807579475</v>
      </c>
    </row>
    <row r="356">
      <c r="A356" s="15" t="s">
        <v>356</v>
      </c>
      <c r="B356" s="6">
        <f>IFERROR(VLOOKUP(A356,'#17 IH Results'!$A$2:$C$301,2,0),0)+IFERROR(VLOOKUP(A356,'#16 IH Results'!$A$2:$C$301,2,0),0)+IFERROR(VLOOKUP(A356,'#15 IH Results'!$A$2:$C$301,2,0),0)+IFERROR(VLOOKUP(A356,'#14 IH Results'!$A$2:$C$302,2,0),0)+IFERROR(VLOOKUP(A356,'#13 IH Results'!$A$2:$C$302,2,0),0)+IFERROR(VLOOKUP(A356,'#12 IH Results'!$A$2:$C$302,2,0),0)+IFERROR(VLOOKUP(A356,'#11 IH Results'!$A$2:$C$302,2,0),0)+IFERROR(VLOOKUP(A356,'#10 IH Results'!$A$2:$C$302,2,0),0)+IFERROR(VLOOKUP(A356,'#9 IH Results'!$A$2:$C$302,2,0),0)+IFERROR(VLOOKUP(A356,'#8 IH Results'!$A$2:$C$302,2,0),0)+IFERROR(VLOOKUP(A356,'#7 IH Results'!$A$2:$C$302,2,0),0)+IFERROR(VLOOKUP(A356,'#6 IH Results'!$A$2:$C$302,2,0),0)+IFERROR(VLOOKUP(A356,'#5 IH Results'!$A$2:$C$303,2,0),0)+IFERROR(VLOOKUP(A356,'#4 IH Results'!$A$2:$C$300,2,0),0)+IFERROR(VLOOKUP(A356,'#3 IH Results'!$A$2:$C$101,2,0),0)+IFERROR(VLOOKUP(A356,'#2 IH Results'!$A$2:$C$101,2,0),0)+IFERROR(VLOOKUP(A356,'#1 IH Results'!$A$2:$C$101,2,0),0)+IFERROR(VLOOKUP(A356,'#0 IH Results'!$A$3:$C$102,2,0),0)</f>
        <v>0.5691553863</v>
      </c>
    </row>
    <row r="357">
      <c r="A357" s="18" t="s">
        <v>357</v>
      </c>
      <c r="B357" s="6">
        <f>IFERROR(VLOOKUP(A357,'#17 IH Results'!$A$2:$C$301,2,0),0)+IFERROR(VLOOKUP(A357,'#16 IH Results'!$A$2:$C$301,2,0),0)+IFERROR(VLOOKUP(A357,'#15 IH Results'!$A$2:$C$301,2,0),0)+IFERROR(VLOOKUP(A357,'#14 IH Results'!$A$2:$C$302,2,0),0)+IFERROR(VLOOKUP(A357,'#13 IH Results'!$A$2:$C$302,2,0),0)+IFERROR(VLOOKUP(A357,'#12 IH Results'!$A$2:$C$302,2,0),0)+IFERROR(VLOOKUP(A357,'#11 IH Results'!$A$2:$C$302,2,0),0)+IFERROR(VLOOKUP(A357,'#10 IH Results'!$A$2:$C$302,2,0),0)+IFERROR(VLOOKUP(A357,'#9 IH Results'!$A$2:$C$302,2,0),0)+IFERROR(VLOOKUP(A357,'#8 IH Results'!$A$2:$C$302,2,0),0)+IFERROR(VLOOKUP(A357,'#7 IH Results'!$A$2:$C$302,2,0),0)+IFERROR(VLOOKUP(A357,'#6 IH Results'!$A$2:$C$302,2,0),0)+IFERROR(VLOOKUP(A357,'#5 IH Results'!$A$2:$C$303,2,0),0)+IFERROR(VLOOKUP(A357,'#4 IH Results'!$A$2:$C$300,2,0),0)+IFERROR(VLOOKUP(A357,'#3 IH Results'!$A$2:$C$101,2,0),0)+IFERROR(VLOOKUP(A357,'#2 IH Results'!$A$2:$C$101,2,0),0)+IFERROR(VLOOKUP(A357,'#1 IH Results'!$A$2:$C$101,2,0),0)+IFERROR(VLOOKUP(A357,'#0 IH Results'!$A$3:$C$102,2,0),0)</f>
        <v>0.518120929</v>
      </c>
    </row>
    <row r="358">
      <c r="A358" s="18" t="s">
        <v>358</v>
      </c>
      <c r="B358" s="6">
        <f>IFERROR(VLOOKUP(A358,'#17 IH Results'!$A$2:$C$301,2,0),0)+IFERROR(VLOOKUP(A358,'#16 IH Results'!$A$2:$C$301,2,0),0)+IFERROR(VLOOKUP(A358,'#15 IH Results'!$A$2:$C$301,2,0),0)+IFERROR(VLOOKUP(A358,'#14 IH Results'!$A$2:$C$302,2,0),0)+IFERROR(VLOOKUP(A358,'#13 IH Results'!$A$2:$C$302,2,0),0)+IFERROR(VLOOKUP(A358,'#12 IH Results'!$A$2:$C$302,2,0),0)+IFERROR(VLOOKUP(A358,'#11 IH Results'!$A$2:$C$302,2,0),0)+IFERROR(VLOOKUP(A358,'#10 IH Results'!$A$2:$C$302,2,0),0)+IFERROR(VLOOKUP(A358,'#9 IH Results'!$A$2:$C$302,2,0),0)+IFERROR(VLOOKUP(A358,'#8 IH Results'!$A$2:$C$302,2,0),0)+IFERROR(VLOOKUP(A358,'#7 IH Results'!$A$2:$C$302,2,0),0)+IFERROR(VLOOKUP(A358,'#6 IH Results'!$A$2:$C$302,2,0),0)+IFERROR(VLOOKUP(A358,'#5 IH Results'!$A$2:$C$303,2,0),0)+IFERROR(VLOOKUP(A358,'#4 IH Results'!$A$2:$C$300,2,0),0)+IFERROR(VLOOKUP(A358,'#3 IH Results'!$A$2:$C$101,2,0),0)+IFERROR(VLOOKUP(A358,'#2 IH Results'!$A$2:$C$101,2,0),0)+IFERROR(VLOOKUP(A358,'#1 IH Results'!$A$2:$C$101,2,0),0)+IFERROR(VLOOKUP(A358,'#0 IH Results'!$A$3:$C$102,2,0),0)</f>
        <v>0.518120929</v>
      </c>
    </row>
    <row r="359">
      <c r="A359" s="18" t="s">
        <v>359</v>
      </c>
      <c r="B359" s="6">
        <f>IFERROR(VLOOKUP(A359,'#17 IH Results'!$A$2:$C$301,2,0),0)+IFERROR(VLOOKUP(A359,'#16 IH Results'!$A$2:$C$301,2,0),0)+IFERROR(VLOOKUP(A359,'#15 IH Results'!$A$2:$C$301,2,0),0)+IFERROR(VLOOKUP(A359,'#14 IH Results'!$A$2:$C$302,2,0),0)+IFERROR(VLOOKUP(A359,'#13 IH Results'!$A$2:$C$302,2,0),0)+IFERROR(VLOOKUP(A359,'#12 IH Results'!$A$2:$C$302,2,0),0)+IFERROR(VLOOKUP(A359,'#11 IH Results'!$A$2:$C$302,2,0),0)+IFERROR(VLOOKUP(A359,'#10 IH Results'!$A$2:$C$302,2,0),0)+IFERROR(VLOOKUP(A359,'#9 IH Results'!$A$2:$C$302,2,0),0)+IFERROR(VLOOKUP(A359,'#8 IH Results'!$A$2:$C$302,2,0),0)+IFERROR(VLOOKUP(A359,'#7 IH Results'!$A$2:$C$302,2,0),0)+IFERROR(VLOOKUP(A359,'#6 IH Results'!$A$2:$C$302,2,0),0)+IFERROR(VLOOKUP(A359,'#5 IH Results'!$A$2:$C$303,2,0),0)+IFERROR(VLOOKUP(A359,'#4 IH Results'!$A$2:$C$300,2,0),0)+IFERROR(VLOOKUP(A359,'#3 IH Results'!$A$2:$C$101,2,0),0)+IFERROR(VLOOKUP(A359,'#2 IH Results'!$A$2:$C$101,2,0),0)+IFERROR(VLOOKUP(A359,'#1 IH Results'!$A$2:$C$101,2,0),0)+IFERROR(VLOOKUP(A359,'#0 IH Results'!$A$3:$C$102,2,0),0)</f>
        <v>0.518120929</v>
      </c>
    </row>
    <row r="360">
      <c r="A360" s="18" t="s">
        <v>360</v>
      </c>
      <c r="B360" s="6">
        <f>IFERROR(VLOOKUP(A360,'#17 IH Results'!$A$2:$C$301,2,0),0)+IFERROR(VLOOKUP(A360,'#16 IH Results'!$A$2:$C$301,2,0),0)+IFERROR(VLOOKUP(A360,'#15 IH Results'!$A$2:$C$301,2,0),0)+IFERROR(VLOOKUP(A360,'#14 IH Results'!$A$2:$C$302,2,0),0)+IFERROR(VLOOKUP(A360,'#13 IH Results'!$A$2:$C$302,2,0),0)+IFERROR(VLOOKUP(A360,'#12 IH Results'!$A$2:$C$302,2,0),0)+IFERROR(VLOOKUP(A360,'#11 IH Results'!$A$2:$C$302,2,0),0)+IFERROR(VLOOKUP(A360,'#10 IH Results'!$A$2:$C$302,2,0),0)+IFERROR(VLOOKUP(A360,'#9 IH Results'!$A$2:$C$302,2,0),0)+IFERROR(VLOOKUP(A360,'#8 IH Results'!$A$2:$C$302,2,0),0)+IFERROR(VLOOKUP(A360,'#7 IH Results'!$A$2:$C$302,2,0),0)+IFERROR(VLOOKUP(A360,'#6 IH Results'!$A$2:$C$302,2,0),0)+IFERROR(VLOOKUP(A360,'#5 IH Results'!$A$2:$C$303,2,0),0)+IFERROR(VLOOKUP(A360,'#4 IH Results'!$A$2:$C$300,2,0),0)+IFERROR(VLOOKUP(A360,'#3 IH Results'!$A$2:$C$101,2,0),0)+IFERROR(VLOOKUP(A360,'#2 IH Results'!$A$2:$C$101,2,0),0)+IFERROR(VLOOKUP(A360,'#1 IH Results'!$A$2:$C$101,2,0),0)+IFERROR(VLOOKUP(A360,'#0 IH Results'!$A$3:$C$102,2,0),0)</f>
        <v>0.518120929</v>
      </c>
    </row>
    <row r="361">
      <c r="A361" s="18" t="s">
        <v>361</v>
      </c>
      <c r="B361" s="6">
        <f>IFERROR(VLOOKUP(A361,'#17 IH Results'!$A$2:$C$301,2,0),0)+IFERROR(VLOOKUP(A361,'#16 IH Results'!$A$2:$C$301,2,0),0)+IFERROR(VLOOKUP(A361,'#15 IH Results'!$A$2:$C$301,2,0),0)+IFERROR(VLOOKUP(A361,'#14 IH Results'!$A$2:$C$302,2,0),0)+IFERROR(VLOOKUP(A361,'#13 IH Results'!$A$2:$C$302,2,0),0)+IFERROR(VLOOKUP(A361,'#12 IH Results'!$A$2:$C$302,2,0),0)+IFERROR(VLOOKUP(A361,'#11 IH Results'!$A$2:$C$302,2,0),0)+IFERROR(VLOOKUP(A361,'#10 IH Results'!$A$2:$C$302,2,0),0)+IFERROR(VLOOKUP(A361,'#9 IH Results'!$A$2:$C$302,2,0),0)+IFERROR(VLOOKUP(A361,'#8 IH Results'!$A$2:$C$302,2,0),0)+IFERROR(VLOOKUP(A361,'#7 IH Results'!$A$2:$C$302,2,0),0)+IFERROR(VLOOKUP(A361,'#6 IH Results'!$A$2:$C$302,2,0),0)+IFERROR(VLOOKUP(A361,'#5 IH Results'!$A$2:$C$303,2,0),0)+IFERROR(VLOOKUP(A361,'#4 IH Results'!$A$2:$C$300,2,0),0)+IFERROR(VLOOKUP(A361,'#3 IH Results'!$A$2:$C$101,2,0),0)+IFERROR(VLOOKUP(A361,'#2 IH Results'!$A$2:$C$101,2,0),0)+IFERROR(VLOOKUP(A361,'#1 IH Results'!$A$2:$C$101,2,0),0)+IFERROR(VLOOKUP(A361,'#0 IH Results'!$A$3:$C$102,2,0),0)</f>
        <v>0.518120929</v>
      </c>
    </row>
    <row r="362">
      <c r="A362" s="15" t="s">
        <v>362</v>
      </c>
      <c r="B362" s="6">
        <f>IFERROR(VLOOKUP(A362,'#17 IH Results'!$A$2:$C$301,2,0),0)+IFERROR(VLOOKUP(A362,'#16 IH Results'!$A$2:$C$301,2,0),0)+IFERROR(VLOOKUP(A362,'#15 IH Results'!$A$2:$C$301,2,0),0)+IFERROR(VLOOKUP(A362,'#14 IH Results'!$A$2:$C$302,2,0),0)+IFERROR(VLOOKUP(A362,'#13 IH Results'!$A$2:$C$302,2,0),0)+IFERROR(VLOOKUP(A362,'#12 IH Results'!$A$2:$C$302,2,0),0)+IFERROR(VLOOKUP(A362,'#11 IH Results'!$A$2:$C$302,2,0),0)+IFERROR(VLOOKUP(A362,'#10 IH Results'!$A$2:$C$302,2,0),0)+IFERROR(VLOOKUP(A362,'#9 IH Results'!$A$2:$C$302,2,0),0)+IFERROR(VLOOKUP(A362,'#8 IH Results'!$A$2:$C$302,2,0),0)+IFERROR(VLOOKUP(A362,'#7 IH Results'!$A$2:$C$302,2,0),0)+IFERROR(VLOOKUP(A362,'#6 IH Results'!$A$2:$C$302,2,0),0)+IFERROR(VLOOKUP(A362,'#5 IH Results'!$A$2:$C$303,2,0),0)+IFERROR(VLOOKUP(A362,'#4 IH Results'!$A$2:$C$300,2,0),0)+IFERROR(VLOOKUP(A362,'#3 IH Results'!$A$2:$C$101,2,0),0)+IFERROR(VLOOKUP(A362,'#2 IH Results'!$A$2:$C$101,2,0),0)+IFERROR(VLOOKUP(A362,'#1 IH Results'!$A$2:$C$101,2,0),0)+IFERROR(VLOOKUP(A362,'#0 IH Results'!$A$3:$C$102,2,0),0)</f>
        <v>0.5134541178</v>
      </c>
    </row>
    <row r="363">
      <c r="A363" s="15" t="s">
        <v>363</v>
      </c>
      <c r="B363" s="6">
        <f>IFERROR(VLOOKUP(A363,'#17 IH Results'!$A$2:$C$301,2,0),0)+IFERROR(VLOOKUP(A363,'#16 IH Results'!$A$2:$C$301,2,0),0)+IFERROR(VLOOKUP(A363,'#15 IH Results'!$A$2:$C$301,2,0),0)+IFERROR(VLOOKUP(A363,'#14 IH Results'!$A$2:$C$302,2,0),0)+IFERROR(VLOOKUP(A363,'#13 IH Results'!$A$2:$C$302,2,0),0)+IFERROR(VLOOKUP(A363,'#12 IH Results'!$A$2:$C$302,2,0),0)+IFERROR(VLOOKUP(A363,'#11 IH Results'!$A$2:$C$302,2,0),0)+IFERROR(VLOOKUP(A363,'#10 IH Results'!$A$2:$C$302,2,0),0)+IFERROR(VLOOKUP(A363,'#9 IH Results'!$A$2:$C$302,2,0),0)+IFERROR(VLOOKUP(A363,'#8 IH Results'!$A$2:$C$302,2,0),0)+IFERROR(VLOOKUP(A363,'#7 IH Results'!$A$2:$C$302,2,0),0)+IFERROR(VLOOKUP(A363,'#6 IH Results'!$A$2:$C$302,2,0),0)+IFERROR(VLOOKUP(A363,'#5 IH Results'!$A$2:$C$303,2,0),0)+IFERROR(VLOOKUP(A363,'#4 IH Results'!$A$2:$C$300,2,0),0)+IFERROR(VLOOKUP(A363,'#3 IH Results'!$A$2:$C$101,2,0),0)+IFERROR(VLOOKUP(A363,'#2 IH Results'!$A$2:$C$101,2,0),0)+IFERROR(VLOOKUP(A363,'#1 IH Results'!$A$2:$C$101,2,0),0)+IFERROR(VLOOKUP(A363,'#0 IH Results'!$A$3:$C$102,2,0),0)</f>
        <v>0.5083319774</v>
      </c>
    </row>
    <row r="364">
      <c r="A364" s="19" t="s">
        <v>364</v>
      </c>
      <c r="B364" s="6">
        <f>IFERROR(VLOOKUP(A364,'#17 IH Results'!$A$2:$C$301,2,0),0)+IFERROR(VLOOKUP(A364,'#16 IH Results'!$A$2:$C$301,2,0),0)+IFERROR(VLOOKUP(A364,'#15 IH Results'!$A$2:$C$301,2,0),0)+IFERROR(VLOOKUP(A364,'#14 IH Results'!$A$2:$C$302,2,0),0)+IFERROR(VLOOKUP(A364,'#13 IH Results'!$A$2:$C$302,2,0),0)+IFERROR(VLOOKUP(A364,'#12 IH Results'!$A$2:$C$302,2,0),0)+IFERROR(VLOOKUP(A364,'#11 IH Results'!$A$2:$C$302,2,0),0)+IFERROR(VLOOKUP(A364,'#10 IH Results'!$A$2:$C$302,2,0),0)+IFERROR(VLOOKUP(A364,'#9 IH Results'!$A$2:$C$302,2,0),0)+IFERROR(VLOOKUP(A364,'#8 IH Results'!$A$2:$C$302,2,0),0)+IFERROR(VLOOKUP(A364,'#7 IH Results'!$A$2:$C$302,2,0),0)+IFERROR(VLOOKUP(A364,'#6 IH Results'!$A$2:$C$302,2,0),0)+IFERROR(VLOOKUP(A364,'#5 IH Results'!$A$2:$C$303,2,0),0)+IFERROR(VLOOKUP(A364,'#4 IH Results'!$A$2:$C$300,2,0),0)+IFERROR(VLOOKUP(A364,'#3 IH Results'!$A$2:$C$101,2,0),0)+IFERROR(VLOOKUP(A364,'#2 IH Results'!$A$2:$C$101,2,0),0)+IFERROR(VLOOKUP(A364,'#1 IH Results'!$A$2:$C$101,2,0),0)+IFERROR(VLOOKUP(A364,'#0 IH Results'!$A$3:$C$102,2,0),0)</f>
        <v>0.4540678499</v>
      </c>
    </row>
    <row r="365">
      <c r="A365" s="15" t="s">
        <v>365</v>
      </c>
      <c r="B365" s="6">
        <f>IFERROR(VLOOKUP(A365,'#17 IH Results'!$A$2:$C$301,2,0),0)+IFERROR(VLOOKUP(A365,'#16 IH Results'!$A$2:$C$301,2,0),0)+IFERROR(VLOOKUP(A365,'#15 IH Results'!$A$2:$C$301,2,0),0)+IFERROR(VLOOKUP(A365,'#14 IH Results'!$A$2:$C$302,2,0),0)+IFERROR(VLOOKUP(A365,'#13 IH Results'!$A$2:$C$302,2,0),0)+IFERROR(VLOOKUP(A365,'#12 IH Results'!$A$2:$C$302,2,0),0)+IFERROR(VLOOKUP(A365,'#11 IH Results'!$A$2:$C$302,2,0),0)+IFERROR(VLOOKUP(A365,'#10 IH Results'!$A$2:$C$302,2,0),0)+IFERROR(VLOOKUP(A365,'#9 IH Results'!$A$2:$C$302,2,0),0)+IFERROR(VLOOKUP(A365,'#8 IH Results'!$A$2:$C$302,2,0),0)+IFERROR(VLOOKUP(A365,'#7 IH Results'!$A$2:$C$302,2,0),0)+IFERROR(VLOOKUP(A365,'#6 IH Results'!$A$2:$C$302,2,0),0)+IFERROR(VLOOKUP(A365,'#5 IH Results'!$A$2:$C$303,2,0),0)+IFERROR(VLOOKUP(A365,'#4 IH Results'!$A$2:$C$300,2,0),0)+IFERROR(VLOOKUP(A365,'#3 IH Results'!$A$2:$C$101,2,0),0)+IFERROR(VLOOKUP(A365,'#2 IH Results'!$A$2:$C$101,2,0),0)+IFERROR(VLOOKUP(A365,'#1 IH Results'!$A$2:$C$101,2,0),0)+IFERROR(VLOOKUP(A365,'#0 IH Results'!$A$3:$C$102,2,0),0)</f>
        <v>0.4315110107</v>
      </c>
    </row>
    <row r="366">
      <c r="A366" s="15" t="s">
        <v>366</v>
      </c>
      <c r="B366" s="6">
        <f>IFERROR(VLOOKUP(A366,'#17 IH Results'!$A$2:$C$301,2,0),0)+IFERROR(VLOOKUP(A366,'#16 IH Results'!$A$2:$C$301,2,0),0)+IFERROR(VLOOKUP(A366,'#15 IH Results'!$A$2:$C$301,2,0),0)+IFERROR(VLOOKUP(A366,'#14 IH Results'!$A$2:$C$302,2,0),0)+IFERROR(VLOOKUP(A366,'#13 IH Results'!$A$2:$C$302,2,0),0)+IFERROR(VLOOKUP(A366,'#12 IH Results'!$A$2:$C$302,2,0),0)+IFERROR(VLOOKUP(A366,'#11 IH Results'!$A$2:$C$302,2,0),0)+IFERROR(VLOOKUP(A366,'#10 IH Results'!$A$2:$C$302,2,0),0)+IFERROR(VLOOKUP(A366,'#9 IH Results'!$A$2:$C$302,2,0),0)+IFERROR(VLOOKUP(A366,'#8 IH Results'!$A$2:$C$302,2,0),0)+IFERROR(VLOOKUP(A366,'#7 IH Results'!$A$2:$C$302,2,0),0)+IFERROR(VLOOKUP(A366,'#6 IH Results'!$A$2:$C$302,2,0),0)+IFERROR(VLOOKUP(A366,'#5 IH Results'!$A$2:$C$303,2,0),0)+IFERROR(VLOOKUP(A366,'#4 IH Results'!$A$2:$C$300,2,0),0)+IFERROR(VLOOKUP(A366,'#3 IH Results'!$A$2:$C$101,2,0),0)+IFERROR(VLOOKUP(A366,'#2 IH Results'!$A$2:$C$101,2,0),0)+IFERROR(VLOOKUP(A366,'#1 IH Results'!$A$2:$C$101,2,0),0)+IFERROR(VLOOKUP(A366,'#0 IH Results'!$A$3:$C$102,2,0),0)</f>
        <v>0.3713641322</v>
      </c>
    </row>
    <row r="367">
      <c r="A367" s="15" t="s">
        <v>367</v>
      </c>
      <c r="B367" s="6">
        <f>IFERROR(VLOOKUP(A367,'#17 IH Results'!$A$2:$C$301,2,0),0)+IFERROR(VLOOKUP(A367,'#16 IH Results'!$A$2:$C$301,2,0),0)+IFERROR(VLOOKUP(A367,'#15 IH Results'!$A$2:$C$301,2,0),0)+IFERROR(VLOOKUP(A367,'#14 IH Results'!$A$2:$C$302,2,0),0)+IFERROR(VLOOKUP(A367,'#13 IH Results'!$A$2:$C$302,2,0),0)+IFERROR(VLOOKUP(A367,'#12 IH Results'!$A$2:$C$302,2,0),0)+IFERROR(VLOOKUP(A367,'#11 IH Results'!$A$2:$C$302,2,0),0)+IFERROR(VLOOKUP(A367,'#10 IH Results'!$A$2:$C$302,2,0),0)+IFERROR(VLOOKUP(A367,'#9 IH Results'!$A$2:$C$302,2,0),0)+IFERROR(VLOOKUP(A367,'#8 IH Results'!$A$2:$C$302,2,0),0)+IFERROR(VLOOKUP(A367,'#7 IH Results'!$A$2:$C$302,2,0),0)+IFERROR(VLOOKUP(A367,'#6 IH Results'!$A$2:$C$302,2,0),0)+IFERROR(VLOOKUP(A367,'#5 IH Results'!$A$2:$C$303,2,0),0)+IFERROR(VLOOKUP(A367,'#4 IH Results'!$A$2:$C$300,2,0),0)+IFERROR(VLOOKUP(A367,'#3 IH Results'!$A$2:$C$101,2,0),0)+IFERROR(VLOOKUP(A367,'#2 IH Results'!$A$2:$C$101,2,0),0)+IFERROR(VLOOKUP(A367,'#1 IH Results'!$A$2:$C$101,2,0),0)+IFERROR(VLOOKUP(A367,'#0 IH Results'!$A$3:$C$102,2,0),0)</f>
        <v>0.3713641322</v>
      </c>
    </row>
    <row r="368">
      <c r="A368" s="15" t="s">
        <v>368</v>
      </c>
      <c r="B368" s="6">
        <f>IFERROR(VLOOKUP(A368,'#17 IH Results'!$A$2:$C$301,2,0),0)+IFERROR(VLOOKUP(A368,'#16 IH Results'!$A$2:$C$301,2,0),0)+IFERROR(VLOOKUP(A368,'#15 IH Results'!$A$2:$C$301,2,0),0)+IFERROR(VLOOKUP(A368,'#14 IH Results'!$A$2:$C$302,2,0),0)+IFERROR(VLOOKUP(A368,'#13 IH Results'!$A$2:$C$302,2,0),0)+IFERROR(VLOOKUP(A368,'#12 IH Results'!$A$2:$C$302,2,0),0)+IFERROR(VLOOKUP(A368,'#11 IH Results'!$A$2:$C$302,2,0),0)+IFERROR(VLOOKUP(A368,'#10 IH Results'!$A$2:$C$302,2,0),0)+IFERROR(VLOOKUP(A368,'#9 IH Results'!$A$2:$C$302,2,0),0)+IFERROR(VLOOKUP(A368,'#8 IH Results'!$A$2:$C$302,2,0),0)+IFERROR(VLOOKUP(A368,'#7 IH Results'!$A$2:$C$302,2,0),0)+IFERROR(VLOOKUP(A368,'#6 IH Results'!$A$2:$C$302,2,0),0)+IFERROR(VLOOKUP(A368,'#5 IH Results'!$A$2:$C$303,2,0),0)+IFERROR(VLOOKUP(A368,'#4 IH Results'!$A$2:$C$300,2,0),0)+IFERROR(VLOOKUP(A368,'#3 IH Results'!$A$2:$C$101,2,0),0)+IFERROR(VLOOKUP(A368,'#2 IH Results'!$A$2:$C$101,2,0),0)+IFERROR(VLOOKUP(A368,'#1 IH Results'!$A$2:$C$101,2,0),0)+IFERROR(VLOOKUP(A368,'#0 IH Results'!$A$3:$C$102,2,0),0)</f>
        <v>0.3481247811</v>
      </c>
    </row>
    <row r="369">
      <c r="A369" s="15" t="s">
        <v>369</v>
      </c>
      <c r="B369" s="6">
        <f>IFERROR(VLOOKUP(A369,'#17 IH Results'!$A$2:$C$301,2,0),0)+IFERROR(VLOOKUP(A369,'#16 IH Results'!$A$2:$C$301,2,0),0)+IFERROR(VLOOKUP(A369,'#15 IH Results'!$A$2:$C$301,2,0),0)+IFERROR(VLOOKUP(A369,'#14 IH Results'!$A$2:$C$302,2,0),0)+IFERROR(VLOOKUP(A369,'#13 IH Results'!$A$2:$C$302,2,0),0)+IFERROR(VLOOKUP(A369,'#12 IH Results'!$A$2:$C$302,2,0),0)+IFERROR(VLOOKUP(A369,'#11 IH Results'!$A$2:$C$302,2,0),0)+IFERROR(VLOOKUP(A369,'#10 IH Results'!$A$2:$C$302,2,0),0)+IFERROR(VLOOKUP(A369,'#9 IH Results'!$A$2:$C$302,2,0),0)+IFERROR(VLOOKUP(A369,'#8 IH Results'!$A$2:$C$302,2,0),0)+IFERROR(VLOOKUP(A369,'#7 IH Results'!$A$2:$C$302,2,0),0)+IFERROR(VLOOKUP(A369,'#6 IH Results'!$A$2:$C$302,2,0),0)+IFERROR(VLOOKUP(A369,'#5 IH Results'!$A$2:$C$303,2,0),0)+IFERROR(VLOOKUP(A369,'#4 IH Results'!$A$2:$C$300,2,0),0)+IFERROR(VLOOKUP(A369,'#3 IH Results'!$A$2:$C$101,2,0),0)+IFERROR(VLOOKUP(A369,'#2 IH Results'!$A$2:$C$101,2,0),0)+IFERROR(VLOOKUP(A369,'#1 IH Results'!$A$2:$C$101,2,0),0)+IFERROR(VLOOKUP(A369,'#0 IH Results'!$A$3:$C$102,2,0),0)</f>
        <v>0.2893501542</v>
      </c>
    </row>
    <row r="370">
      <c r="A370" s="15" t="s">
        <v>370</v>
      </c>
      <c r="B370" s="6">
        <f>IFERROR(VLOOKUP(A370,'#17 IH Results'!$A$2:$C$301,2,0),0)+IFERROR(VLOOKUP(A370,'#16 IH Results'!$A$2:$C$301,2,0),0)+IFERROR(VLOOKUP(A370,'#15 IH Results'!$A$2:$C$301,2,0),0)+IFERROR(VLOOKUP(A370,'#14 IH Results'!$A$2:$C$302,2,0),0)+IFERROR(VLOOKUP(A370,'#13 IH Results'!$A$2:$C$302,2,0),0)+IFERROR(VLOOKUP(A370,'#12 IH Results'!$A$2:$C$302,2,0),0)+IFERROR(VLOOKUP(A370,'#11 IH Results'!$A$2:$C$302,2,0),0)+IFERROR(VLOOKUP(A370,'#10 IH Results'!$A$2:$C$302,2,0),0)+IFERROR(VLOOKUP(A370,'#9 IH Results'!$A$2:$C$302,2,0),0)+IFERROR(VLOOKUP(A370,'#8 IH Results'!$A$2:$C$302,2,0),0)+IFERROR(VLOOKUP(A370,'#7 IH Results'!$A$2:$C$302,2,0),0)+IFERROR(VLOOKUP(A370,'#6 IH Results'!$A$2:$C$302,2,0),0)+IFERROR(VLOOKUP(A370,'#5 IH Results'!$A$2:$C$303,2,0),0)+IFERROR(VLOOKUP(A370,'#4 IH Results'!$A$2:$C$300,2,0),0)+IFERROR(VLOOKUP(A370,'#3 IH Results'!$A$2:$C$101,2,0),0)+IFERROR(VLOOKUP(A370,'#2 IH Results'!$A$2:$C$101,2,0),0)+IFERROR(VLOOKUP(A370,'#1 IH Results'!$A$2:$C$101,2,0),0)+IFERROR(VLOOKUP(A370,'#0 IH Results'!$A$3:$C$102,2,0),0)</f>
        <v>0.2701628738</v>
      </c>
    </row>
    <row r="371">
      <c r="A371" s="15" t="s">
        <v>371</v>
      </c>
      <c r="B371" s="6">
        <f>IFERROR(VLOOKUP(A371,'#17 IH Results'!$A$2:$C$301,2,0),0)+IFERROR(VLOOKUP(A371,'#16 IH Results'!$A$2:$C$301,2,0),0)+IFERROR(VLOOKUP(A371,'#15 IH Results'!$A$2:$C$301,2,0),0)+IFERROR(VLOOKUP(A371,'#14 IH Results'!$A$2:$C$302,2,0),0)+IFERROR(VLOOKUP(A371,'#13 IH Results'!$A$2:$C$302,2,0),0)+IFERROR(VLOOKUP(A371,'#12 IH Results'!$A$2:$C$302,2,0),0)+IFERROR(VLOOKUP(A371,'#11 IH Results'!$A$2:$C$302,2,0),0)+IFERROR(VLOOKUP(A371,'#10 IH Results'!$A$2:$C$302,2,0),0)+IFERROR(VLOOKUP(A371,'#9 IH Results'!$A$2:$C$302,2,0),0)+IFERROR(VLOOKUP(A371,'#8 IH Results'!$A$2:$C$302,2,0),0)+IFERROR(VLOOKUP(A371,'#7 IH Results'!$A$2:$C$302,2,0),0)+IFERROR(VLOOKUP(A371,'#6 IH Results'!$A$2:$C$302,2,0),0)+IFERROR(VLOOKUP(A371,'#5 IH Results'!$A$2:$C$303,2,0),0)+IFERROR(VLOOKUP(A371,'#4 IH Results'!$A$2:$C$300,2,0),0)+IFERROR(VLOOKUP(A371,'#3 IH Results'!$A$2:$C$101,2,0),0)+IFERROR(VLOOKUP(A371,'#2 IH Results'!$A$2:$C$101,2,0),0)+IFERROR(VLOOKUP(A371,'#1 IH Results'!$A$2:$C$101,2,0),0)+IFERROR(VLOOKUP(A371,'#0 IH Results'!$A$3:$C$102,2,0),0)</f>
        <v>0.207593157</v>
      </c>
    </row>
    <row r="372">
      <c r="A372" s="15" t="s">
        <v>372</v>
      </c>
      <c r="B372" s="6">
        <f>IFERROR(VLOOKUP(A372,'#17 IH Results'!$A$2:$C$301,2,0),0)+IFERROR(VLOOKUP(A372,'#16 IH Results'!$A$2:$C$301,2,0),0)+IFERROR(VLOOKUP(A372,'#15 IH Results'!$A$2:$C$301,2,0),0)+IFERROR(VLOOKUP(A372,'#14 IH Results'!$A$2:$C$302,2,0),0)+IFERROR(VLOOKUP(A372,'#13 IH Results'!$A$2:$C$302,2,0),0)+IFERROR(VLOOKUP(A372,'#12 IH Results'!$A$2:$C$302,2,0),0)+IFERROR(VLOOKUP(A372,'#11 IH Results'!$A$2:$C$302,2,0),0)+IFERROR(VLOOKUP(A372,'#10 IH Results'!$A$2:$C$302,2,0),0)+IFERROR(VLOOKUP(A372,'#9 IH Results'!$A$2:$C$302,2,0),0)+IFERROR(VLOOKUP(A372,'#8 IH Results'!$A$2:$C$302,2,0),0)+IFERROR(VLOOKUP(A372,'#7 IH Results'!$A$2:$C$302,2,0),0)+IFERROR(VLOOKUP(A372,'#6 IH Results'!$A$2:$C$302,2,0),0)+IFERROR(VLOOKUP(A372,'#5 IH Results'!$A$2:$C$303,2,0),0)+IFERROR(VLOOKUP(A372,'#4 IH Results'!$A$2:$C$300,2,0),0)+IFERROR(VLOOKUP(A372,'#3 IH Results'!$A$2:$C$101,2,0),0)+IFERROR(VLOOKUP(A372,'#2 IH Results'!$A$2:$C$101,2,0),0)+IFERROR(VLOOKUP(A372,'#1 IH Results'!$A$2:$C$101,2,0),0)+IFERROR(VLOOKUP(A372,'#0 IH Results'!$A$3:$C$102,2,0),0)</f>
        <v>0.1230871751</v>
      </c>
    </row>
    <row r="373">
      <c r="A373" s="15" t="s">
        <v>373</v>
      </c>
      <c r="B373" s="6">
        <f>IFERROR(VLOOKUP(A373,'#17 IH Results'!$A$2:$C$301,2,0),0)+IFERROR(VLOOKUP(A373,'#16 IH Results'!$A$2:$C$301,2,0),0)+IFERROR(VLOOKUP(A373,'#15 IH Results'!$A$2:$C$301,2,0),0)+IFERROR(VLOOKUP(A373,'#14 IH Results'!$A$2:$C$302,2,0),0)+IFERROR(VLOOKUP(A373,'#13 IH Results'!$A$2:$C$302,2,0),0)+IFERROR(VLOOKUP(A373,'#12 IH Results'!$A$2:$C$302,2,0),0)+IFERROR(VLOOKUP(A373,'#11 IH Results'!$A$2:$C$302,2,0),0)+IFERROR(VLOOKUP(A373,'#10 IH Results'!$A$2:$C$302,2,0),0)+IFERROR(VLOOKUP(A373,'#9 IH Results'!$A$2:$C$302,2,0),0)+IFERROR(VLOOKUP(A373,'#8 IH Results'!$A$2:$C$302,2,0),0)+IFERROR(VLOOKUP(A373,'#7 IH Results'!$A$2:$C$302,2,0),0)+IFERROR(VLOOKUP(A373,'#6 IH Results'!$A$2:$C$302,2,0),0)+IFERROR(VLOOKUP(A373,'#5 IH Results'!$A$2:$C$303,2,0),0)+IFERROR(VLOOKUP(A373,'#4 IH Results'!$A$2:$C$300,2,0),0)+IFERROR(VLOOKUP(A373,'#3 IH Results'!$A$2:$C$101,2,0),0)+IFERROR(VLOOKUP(A373,'#2 IH Results'!$A$2:$C$101,2,0),0)+IFERROR(VLOOKUP(A373,'#1 IH Results'!$A$2:$C$101,2,0),0)+IFERROR(VLOOKUP(A373,'#0 IH Results'!$A$3:$C$102,2,0),0)</f>
        <v>0.1230871751</v>
      </c>
    </row>
    <row r="374">
      <c r="A374" s="15" t="s">
        <v>374</v>
      </c>
      <c r="B374" s="6">
        <f>IFERROR(VLOOKUP(A374,'#17 IH Results'!$A$2:$C$301,2,0),0)+IFERROR(VLOOKUP(A374,'#16 IH Results'!$A$2:$C$301,2,0),0)+IFERROR(VLOOKUP(A374,'#15 IH Results'!$A$2:$C$301,2,0),0)+IFERROR(VLOOKUP(A374,'#14 IH Results'!$A$2:$C$302,2,0),0)+IFERROR(VLOOKUP(A374,'#13 IH Results'!$A$2:$C$302,2,0),0)+IFERROR(VLOOKUP(A374,'#12 IH Results'!$A$2:$C$302,2,0),0)+IFERROR(VLOOKUP(A374,'#11 IH Results'!$A$2:$C$302,2,0),0)+IFERROR(VLOOKUP(A374,'#10 IH Results'!$A$2:$C$302,2,0),0)+IFERROR(VLOOKUP(A374,'#9 IH Results'!$A$2:$C$302,2,0),0)+IFERROR(VLOOKUP(A374,'#8 IH Results'!$A$2:$C$302,2,0),0)+IFERROR(VLOOKUP(A374,'#7 IH Results'!$A$2:$C$302,2,0),0)+IFERROR(VLOOKUP(A374,'#6 IH Results'!$A$2:$C$302,2,0),0)+IFERROR(VLOOKUP(A374,'#5 IH Results'!$A$2:$C$303,2,0),0)+IFERROR(VLOOKUP(A374,'#4 IH Results'!$A$2:$C$300,2,0),0)+IFERROR(VLOOKUP(A374,'#3 IH Results'!$A$2:$C$101,2,0),0)+IFERROR(VLOOKUP(A374,'#2 IH Results'!$A$2:$C$101,2,0),0)+IFERROR(VLOOKUP(A374,'#1 IH Results'!$A$2:$C$101,2,0),0)+IFERROR(VLOOKUP(A374,'#0 IH Results'!$A$3:$C$102,2,0),0)</f>
        <v>0.1230871751</v>
      </c>
    </row>
    <row r="375">
      <c r="A375" s="15" t="s">
        <v>375</v>
      </c>
      <c r="B375" s="6">
        <f>IFERROR(VLOOKUP(A375,'#17 IH Results'!$A$2:$C$301,2,0),0)+IFERROR(VLOOKUP(A375,'#16 IH Results'!$A$2:$C$301,2,0),0)+IFERROR(VLOOKUP(A375,'#15 IH Results'!$A$2:$C$301,2,0),0)+IFERROR(VLOOKUP(A375,'#14 IH Results'!$A$2:$C$302,2,0),0)+IFERROR(VLOOKUP(A375,'#13 IH Results'!$A$2:$C$302,2,0),0)+IFERROR(VLOOKUP(A375,'#12 IH Results'!$A$2:$C$302,2,0),0)+IFERROR(VLOOKUP(A375,'#11 IH Results'!$A$2:$C$302,2,0),0)+IFERROR(VLOOKUP(A375,'#10 IH Results'!$A$2:$C$302,2,0),0)+IFERROR(VLOOKUP(A375,'#9 IH Results'!$A$2:$C$302,2,0),0)+IFERROR(VLOOKUP(A375,'#8 IH Results'!$A$2:$C$302,2,0),0)+IFERROR(VLOOKUP(A375,'#7 IH Results'!$A$2:$C$302,2,0),0)+IFERROR(VLOOKUP(A375,'#6 IH Results'!$A$2:$C$302,2,0),0)+IFERROR(VLOOKUP(A375,'#5 IH Results'!$A$2:$C$303,2,0),0)+IFERROR(VLOOKUP(A375,'#4 IH Results'!$A$2:$C$300,2,0),0)+IFERROR(VLOOKUP(A375,'#3 IH Results'!$A$2:$C$101,2,0),0)+IFERROR(VLOOKUP(A375,'#2 IH Results'!$A$2:$C$101,2,0),0)+IFERROR(VLOOKUP(A375,'#1 IH Results'!$A$2:$C$101,2,0),0)+IFERROR(VLOOKUP(A375,'#0 IH Results'!$A$3:$C$102,2,0),0)</f>
        <v>0.1138547335</v>
      </c>
    </row>
    <row r="376">
      <c r="A376" s="15" t="s">
        <v>376</v>
      </c>
      <c r="B376" s="6">
        <f>IFERROR(VLOOKUP(A376,'#17 IH Results'!$A$2:$C$301,2,0),0)+IFERROR(VLOOKUP(A376,'#16 IH Results'!$A$2:$C$301,2,0),0)+IFERROR(VLOOKUP(A376,'#15 IH Results'!$A$2:$C$301,2,0),0)+IFERROR(VLOOKUP(A376,'#14 IH Results'!$A$2:$C$302,2,0),0)+IFERROR(VLOOKUP(A376,'#13 IH Results'!$A$2:$C$302,2,0),0)+IFERROR(VLOOKUP(A376,'#12 IH Results'!$A$2:$C$302,2,0),0)+IFERROR(VLOOKUP(A376,'#11 IH Results'!$A$2:$C$302,2,0),0)+IFERROR(VLOOKUP(A376,'#10 IH Results'!$A$2:$C$302,2,0),0)+IFERROR(VLOOKUP(A376,'#9 IH Results'!$A$2:$C$302,2,0),0)+IFERROR(VLOOKUP(A376,'#8 IH Results'!$A$2:$C$302,2,0),0)+IFERROR(VLOOKUP(A376,'#7 IH Results'!$A$2:$C$302,2,0),0)+IFERROR(VLOOKUP(A376,'#6 IH Results'!$A$2:$C$302,2,0),0)+IFERROR(VLOOKUP(A376,'#5 IH Results'!$A$2:$C$303,2,0),0)+IFERROR(VLOOKUP(A376,'#4 IH Results'!$A$2:$C$300,2,0),0)+IFERROR(VLOOKUP(A376,'#3 IH Results'!$A$2:$C$101,2,0),0)+IFERROR(VLOOKUP(A376,'#2 IH Results'!$A$2:$C$101,2,0),0)+IFERROR(VLOOKUP(A376,'#1 IH Results'!$A$2:$C$101,2,0),0)+IFERROR(VLOOKUP(A376,'#0 IH Results'!$A$3:$C$102,2,0),0)</f>
        <v>0.1138547335</v>
      </c>
    </row>
    <row r="377">
      <c r="A377" s="15" t="s">
        <v>377</v>
      </c>
      <c r="B377" s="6">
        <f>IFERROR(VLOOKUP(A377,'#17 IH Results'!$A$2:$C$301,2,0),0)+IFERROR(VLOOKUP(A377,'#16 IH Results'!$A$2:$C$301,2,0),0)+IFERROR(VLOOKUP(A377,'#15 IH Results'!$A$2:$C$301,2,0),0)+IFERROR(VLOOKUP(A377,'#14 IH Results'!$A$2:$C$302,2,0),0)+IFERROR(VLOOKUP(A377,'#13 IH Results'!$A$2:$C$302,2,0),0)+IFERROR(VLOOKUP(A377,'#12 IH Results'!$A$2:$C$302,2,0),0)+IFERROR(VLOOKUP(A377,'#11 IH Results'!$A$2:$C$302,2,0),0)+IFERROR(VLOOKUP(A377,'#10 IH Results'!$A$2:$C$302,2,0),0)+IFERROR(VLOOKUP(A377,'#9 IH Results'!$A$2:$C$302,2,0),0)+IFERROR(VLOOKUP(A377,'#8 IH Results'!$A$2:$C$302,2,0),0)+IFERROR(VLOOKUP(A377,'#7 IH Results'!$A$2:$C$302,2,0),0)+IFERROR(VLOOKUP(A377,'#6 IH Results'!$A$2:$C$302,2,0),0)+IFERROR(VLOOKUP(A377,'#5 IH Results'!$A$2:$C$303,2,0),0)+IFERROR(VLOOKUP(A377,'#4 IH Results'!$A$2:$C$300,2,0),0)+IFERROR(VLOOKUP(A377,'#3 IH Results'!$A$2:$C$101,2,0),0)+IFERROR(VLOOKUP(A377,'#2 IH Results'!$A$2:$C$101,2,0),0)+IFERROR(VLOOKUP(A377,'#1 IH Results'!$A$2:$C$101,2,0),0)+IFERROR(VLOOKUP(A377,'#0 IH Results'!$A$3:$C$102,2,0),0)</f>
        <v>0.1122849878</v>
      </c>
    </row>
    <row r="378">
      <c r="A378" s="15" t="s">
        <v>378</v>
      </c>
      <c r="B378" s="6">
        <f>IFERROR(VLOOKUP(A378,'#17 IH Results'!$A$2:$C$301,2,0),0)+IFERROR(VLOOKUP(A378,'#16 IH Results'!$A$2:$C$301,2,0),0)+IFERROR(VLOOKUP(A378,'#15 IH Results'!$A$2:$C$301,2,0),0)+IFERROR(VLOOKUP(A378,'#14 IH Results'!$A$2:$C$302,2,0),0)+IFERROR(VLOOKUP(A378,'#13 IH Results'!$A$2:$C$302,2,0),0)+IFERROR(VLOOKUP(A378,'#12 IH Results'!$A$2:$C$302,2,0),0)+IFERROR(VLOOKUP(A378,'#11 IH Results'!$A$2:$C$302,2,0),0)+IFERROR(VLOOKUP(A378,'#10 IH Results'!$A$2:$C$302,2,0),0)+IFERROR(VLOOKUP(A378,'#9 IH Results'!$A$2:$C$302,2,0),0)+IFERROR(VLOOKUP(A378,'#8 IH Results'!$A$2:$C$302,2,0),0)+IFERROR(VLOOKUP(A378,'#7 IH Results'!$A$2:$C$302,2,0),0)+IFERROR(VLOOKUP(A378,'#6 IH Results'!$A$2:$C$302,2,0),0)+IFERROR(VLOOKUP(A378,'#5 IH Results'!$A$2:$C$303,2,0),0)+IFERROR(VLOOKUP(A378,'#4 IH Results'!$A$2:$C$300,2,0),0)+IFERROR(VLOOKUP(A378,'#3 IH Results'!$A$2:$C$101,2,0),0)+IFERROR(VLOOKUP(A378,'#2 IH Results'!$A$2:$C$101,2,0),0)+IFERROR(VLOOKUP(A378,'#1 IH Results'!$A$2:$C$101,2,0),0)+IFERROR(VLOOKUP(A378,'#0 IH Results'!$A$3:$C$102,2,0),0)</f>
        <v>0.08933717579</v>
      </c>
    </row>
    <row r="379">
      <c r="A379" s="15" t="s">
        <v>379</v>
      </c>
      <c r="B379" s="6">
        <f>IFERROR(VLOOKUP(A379,'#17 IH Results'!$A$2:$C$301,2,0),0)+IFERROR(VLOOKUP(A379,'#16 IH Results'!$A$2:$C$301,2,0),0)+IFERROR(VLOOKUP(A379,'#15 IH Results'!$A$2:$C$301,2,0),0)+IFERROR(VLOOKUP(A379,'#14 IH Results'!$A$2:$C$302,2,0),0)+IFERROR(VLOOKUP(A379,'#13 IH Results'!$A$2:$C$302,2,0),0)+IFERROR(VLOOKUP(A379,'#12 IH Results'!$A$2:$C$302,2,0),0)+IFERROR(VLOOKUP(A379,'#11 IH Results'!$A$2:$C$302,2,0),0)+IFERROR(VLOOKUP(A379,'#10 IH Results'!$A$2:$C$302,2,0),0)+IFERROR(VLOOKUP(A379,'#9 IH Results'!$A$2:$C$302,2,0),0)+IFERROR(VLOOKUP(A379,'#8 IH Results'!$A$2:$C$302,2,0),0)+IFERROR(VLOOKUP(A379,'#7 IH Results'!$A$2:$C$302,2,0),0)+IFERROR(VLOOKUP(A379,'#6 IH Results'!$A$2:$C$302,2,0),0)+IFERROR(VLOOKUP(A379,'#5 IH Results'!$A$2:$C$303,2,0),0)+IFERROR(VLOOKUP(A379,'#4 IH Results'!$A$2:$C$300,2,0),0)+IFERROR(VLOOKUP(A379,'#3 IH Results'!$A$2:$C$101,2,0),0)+IFERROR(VLOOKUP(A379,'#2 IH Results'!$A$2:$C$101,2,0),0)+IFERROR(VLOOKUP(A379,'#1 IH Results'!$A$2:$C$101,2,0),0)+IFERROR(VLOOKUP(A379,'#0 IH Results'!$A$3:$C$102,2,0),0)</f>
        <v>0.07343633266</v>
      </c>
    </row>
    <row r="380">
      <c r="A380" s="15" t="s">
        <v>380</v>
      </c>
      <c r="B380" s="6">
        <f>IFERROR(VLOOKUP(A380,'#17 IH Results'!$A$2:$C$301,2,0),0)+IFERROR(VLOOKUP(A380,'#16 IH Results'!$A$2:$C$301,2,0),0)+IFERROR(VLOOKUP(A380,'#15 IH Results'!$A$2:$C$301,2,0),0)+IFERROR(VLOOKUP(A380,'#14 IH Results'!$A$2:$C$302,2,0),0)+IFERROR(VLOOKUP(A380,'#13 IH Results'!$A$2:$C$302,2,0),0)+IFERROR(VLOOKUP(A380,'#12 IH Results'!$A$2:$C$302,2,0),0)+IFERROR(VLOOKUP(A380,'#11 IH Results'!$A$2:$C$302,2,0),0)+IFERROR(VLOOKUP(A380,'#10 IH Results'!$A$2:$C$302,2,0),0)+IFERROR(VLOOKUP(A380,'#9 IH Results'!$A$2:$C$302,2,0),0)+IFERROR(VLOOKUP(A380,'#8 IH Results'!$A$2:$C$302,2,0),0)+IFERROR(VLOOKUP(A380,'#7 IH Results'!$A$2:$C$302,2,0),0)+IFERROR(VLOOKUP(A380,'#6 IH Results'!$A$2:$C$302,2,0),0)+IFERROR(VLOOKUP(A380,'#5 IH Results'!$A$2:$C$303,2,0),0)+IFERROR(VLOOKUP(A380,'#4 IH Results'!$A$2:$C$300,2,0),0)+IFERROR(VLOOKUP(A380,'#3 IH Results'!$A$2:$C$101,2,0),0)+IFERROR(VLOOKUP(A380,'#2 IH Results'!$A$2:$C$101,2,0),0)+IFERROR(VLOOKUP(A380,'#1 IH Results'!$A$2:$C$101,2,0),0)+IFERROR(VLOOKUP(A380,'#0 IH Results'!$A$3:$C$102,2,0),0)</f>
        <v>0.07343633266</v>
      </c>
    </row>
    <row r="381">
      <c r="A381" s="15" t="s">
        <v>381</v>
      </c>
      <c r="B381" s="6">
        <f>IFERROR(VLOOKUP(A381,'#17 IH Results'!$A$2:$C$301,2,0),0)+IFERROR(VLOOKUP(A381,'#16 IH Results'!$A$2:$C$301,2,0),0)+IFERROR(VLOOKUP(A381,'#15 IH Results'!$A$2:$C$301,2,0),0)+IFERROR(VLOOKUP(A381,'#14 IH Results'!$A$2:$C$302,2,0),0)+IFERROR(VLOOKUP(A381,'#13 IH Results'!$A$2:$C$302,2,0),0)+IFERROR(VLOOKUP(A381,'#12 IH Results'!$A$2:$C$302,2,0),0)+IFERROR(VLOOKUP(A381,'#11 IH Results'!$A$2:$C$302,2,0),0)+IFERROR(VLOOKUP(A381,'#10 IH Results'!$A$2:$C$302,2,0),0)+IFERROR(VLOOKUP(A381,'#9 IH Results'!$A$2:$C$302,2,0),0)+IFERROR(VLOOKUP(A381,'#8 IH Results'!$A$2:$C$302,2,0),0)+IFERROR(VLOOKUP(A381,'#7 IH Results'!$A$2:$C$302,2,0),0)+IFERROR(VLOOKUP(A381,'#6 IH Results'!$A$2:$C$302,2,0),0)+IFERROR(VLOOKUP(A381,'#5 IH Results'!$A$2:$C$303,2,0),0)+IFERROR(VLOOKUP(A381,'#4 IH Results'!$A$2:$C$300,2,0),0)+IFERROR(VLOOKUP(A381,'#3 IH Results'!$A$2:$C$101,2,0),0)+IFERROR(VLOOKUP(A381,'#2 IH Results'!$A$2:$C$101,2,0),0)+IFERROR(VLOOKUP(A381,'#1 IH Results'!$A$2:$C$101,2,0),0)+IFERROR(VLOOKUP(A381,'#0 IH Results'!$A$3:$C$102,2,0),0)</f>
        <v>0.07343633266</v>
      </c>
    </row>
    <row r="382">
      <c r="A382" s="15" t="s">
        <v>382</v>
      </c>
      <c r="B382" s="6">
        <f>IFERROR(VLOOKUP(A382,'#17 IH Results'!$A$2:$C$301,2,0),0)+IFERROR(VLOOKUP(A382,'#16 IH Results'!$A$2:$C$301,2,0),0)+IFERROR(VLOOKUP(A382,'#15 IH Results'!$A$2:$C$301,2,0),0)+IFERROR(VLOOKUP(A382,'#14 IH Results'!$A$2:$C$302,2,0),0)+IFERROR(VLOOKUP(A382,'#13 IH Results'!$A$2:$C$302,2,0),0)+IFERROR(VLOOKUP(A382,'#12 IH Results'!$A$2:$C$302,2,0),0)+IFERROR(VLOOKUP(A382,'#11 IH Results'!$A$2:$C$302,2,0),0)+IFERROR(VLOOKUP(A382,'#10 IH Results'!$A$2:$C$302,2,0),0)+IFERROR(VLOOKUP(A382,'#9 IH Results'!$A$2:$C$302,2,0),0)+IFERROR(VLOOKUP(A382,'#8 IH Results'!$A$2:$C$302,2,0),0)+IFERROR(VLOOKUP(A382,'#7 IH Results'!$A$2:$C$302,2,0),0)+IFERROR(VLOOKUP(A382,'#6 IH Results'!$A$2:$C$302,2,0),0)+IFERROR(VLOOKUP(A382,'#5 IH Results'!$A$2:$C$303,2,0),0)+IFERROR(VLOOKUP(A382,'#4 IH Results'!$A$2:$C$300,2,0),0)+IFERROR(VLOOKUP(A382,'#3 IH Results'!$A$2:$C$101,2,0),0)+IFERROR(VLOOKUP(A382,'#2 IH Results'!$A$2:$C$101,2,0),0)+IFERROR(VLOOKUP(A382,'#1 IH Results'!$A$2:$C$101,2,0),0)+IFERROR(VLOOKUP(A382,'#0 IH Results'!$A$3:$C$102,2,0),0)</f>
        <v>0.04831157635</v>
      </c>
    </row>
    <row r="383">
      <c r="A383" s="15" t="s">
        <v>383</v>
      </c>
      <c r="B383" s="6">
        <f>IFERROR(VLOOKUP(A383,'#17 IH Results'!$A$2:$C$301,2,0),0)+IFERROR(VLOOKUP(A383,'#16 IH Results'!$A$2:$C$301,2,0),0)+IFERROR(VLOOKUP(A383,'#15 IH Results'!$A$2:$C$301,2,0),0)+IFERROR(VLOOKUP(A383,'#14 IH Results'!$A$2:$C$302,2,0),0)+IFERROR(VLOOKUP(A383,'#13 IH Results'!$A$2:$C$302,2,0),0)+IFERROR(VLOOKUP(A383,'#12 IH Results'!$A$2:$C$302,2,0),0)+IFERROR(VLOOKUP(A383,'#11 IH Results'!$A$2:$C$302,2,0),0)+IFERROR(VLOOKUP(A383,'#10 IH Results'!$A$2:$C$302,2,0),0)+IFERROR(VLOOKUP(A383,'#9 IH Results'!$A$2:$C$302,2,0),0)+IFERROR(VLOOKUP(A383,'#8 IH Results'!$A$2:$C$302,2,0),0)+IFERROR(VLOOKUP(A383,'#7 IH Results'!$A$2:$C$302,2,0),0)+IFERROR(VLOOKUP(A383,'#6 IH Results'!$A$2:$C$302,2,0),0)+IFERROR(VLOOKUP(A383,'#5 IH Results'!$A$2:$C$303,2,0),0)+IFERROR(VLOOKUP(A383,'#4 IH Results'!$A$2:$C$300,2,0),0)+IFERROR(VLOOKUP(A383,'#3 IH Results'!$A$2:$C$101,2,0),0)+IFERROR(VLOOKUP(A383,'#2 IH Results'!$A$2:$C$101,2,0),0)+IFERROR(VLOOKUP(A383,'#1 IH Results'!$A$2:$C$101,2,0),0)+IFERROR(VLOOKUP(A383,'#0 IH Results'!$A$3:$C$102,2,0),0)</f>
        <v>0.03771202487</v>
      </c>
    </row>
    <row r="384">
      <c r="A384" s="15" t="s">
        <v>384</v>
      </c>
      <c r="B384" s="6">
        <f>IFERROR(VLOOKUP(A384,'#17 IH Results'!$A$2:$C$301,2,0),0)+IFERROR(VLOOKUP(A384,'#16 IH Results'!$A$2:$C$301,2,0),0)+IFERROR(VLOOKUP(A384,'#15 IH Results'!$A$2:$C$301,2,0),0)+IFERROR(VLOOKUP(A384,'#14 IH Results'!$A$2:$C$302,2,0),0)+IFERROR(VLOOKUP(A384,'#13 IH Results'!$A$2:$C$302,2,0),0)+IFERROR(VLOOKUP(A384,'#12 IH Results'!$A$2:$C$302,2,0),0)+IFERROR(VLOOKUP(A384,'#11 IH Results'!$A$2:$C$302,2,0),0)+IFERROR(VLOOKUP(A384,'#10 IH Results'!$A$2:$C$302,2,0),0)+IFERROR(VLOOKUP(A384,'#9 IH Results'!$A$2:$C$302,2,0),0)+IFERROR(VLOOKUP(A384,'#8 IH Results'!$A$2:$C$302,2,0),0)+IFERROR(VLOOKUP(A384,'#7 IH Results'!$A$2:$C$302,2,0),0)+IFERROR(VLOOKUP(A384,'#6 IH Results'!$A$2:$C$302,2,0),0)+IFERROR(VLOOKUP(A384,'#5 IH Results'!$A$2:$C$303,2,0),0)+IFERROR(VLOOKUP(A384,'#4 IH Results'!$A$2:$C$300,2,0),0)+IFERROR(VLOOKUP(A384,'#3 IH Results'!$A$2:$C$101,2,0),0)+IFERROR(VLOOKUP(A384,'#2 IH Results'!$A$2:$C$101,2,0),0)+IFERROR(VLOOKUP(A384,'#1 IH Results'!$A$2:$C$101,2,0),0)+IFERROR(VLOOKUP(A384,'#0 IH Results'!$A$3:$C$102,2,0),0)</f>
        <v>0.02762116382</v>
      </c>
    </row>
    <row r="385">
      <c r="A385" s="15" t="s">
        <v>385</v>
      </c>
      <c r="B385" s="6">
        <f>IFERROR(VLOOKUP(A385,'#17 IH Results'!$A$2:$C$301,2,0),0)+IFERROR(VLOOKUP(A385,'#16 IH Results'!$A$2:$C$301,2,0),0)+IFERROR(VLOOKUP(A385,'#15 IH Results'!$A$2:$C$301,2,0),0)+IFERROR(VLOOKUP(A385,'#14 IH Results'!$A$2:$C$302,2,0),0)+IFERROR(VLOOKUP(A385,'#13 IH Results'!$A$2:$C$302,2,0),0)+IFERROR(VLOOKUP(A385,'#12 IH Results'!$A$2:$C$302,2,0),0)+IFERROR(VLOOKUP(A385,'#11 IH Results'!$A$2:$C$302,2,0),0)+IFERROR(VLOOKUP(A385,'#10 IH Results'!$A$2:$C$302,2,0),0)+IFERROR(VLOOKUP(A385,'#9 IH Results'!$A$2:$C$302,2,0),0)+IFERROR(VLOOKUP(A385,'#8 IH Results'!$A$2:$C$302,2,0),0)+IFERROR(VLOOKUP(A385,'#7 IH Results'!$A$2:$C$302,2,0),0)+IFERROR(VLOOKUP(A385,'#6 IH Results'!$A$2:$C$302,2,0),0)+IFERROR(VLOOKUP(A385,'#5 IH Results'!$A$2:$C$303,2,0),0)+IFERROR(VLOOKUP(A385,'#4 IH Results'!$A$2:$C$300,2,0),0)+IFERROR(VLOOKUP(A385,'#3 IH Results'!$A$2:$C$101,2,0),0)+IFERROR(VLOOKUP(A385,'#2 IH Results'!$A$2:$C$101,2,0),0)+IFERROR(VLOOKUP(A385,'#1 IH Results'!$A$2:$C$101,2,0),0)+IFERROR(VLOOKUP(A385,'#0 IH Results'!$A$3:$C$102,2,0),0)</f>
        <v>0.02514134991</v>
      </c>
    </row>
    <row r="386">
      <c r="A386" s="15" t="s">
        <v>386</v>
      </c>
      <c r="B386" s="6">
        <f>IFERROR(VLOOKUP(A386,'#17 IH Results'!$A$2:$C$301,2,0),0)+IFERROR(VLOOKUP(A386,'#16 IH Results'!$A$2:$C$301,2,0),0)+IFERROR(VLOOKUP(A386,'#15 IH Results'!$A$2:$C$301,2,0),0)+IFERROR(VLOOKUP(A386,'#14 IH Results'!$A$2:$C$302,2,0),0)+IFERROR(VLOOKUP(A386,'#13 IH Results'!$A$2:$C$302,2,0),0)+IFERROR(VLOOKUP(A386,'#12 IH Results'!$A$2:$C$302,2,0),0)+IFERROR(VLOOKUP(A386,'#11 IH Results'!$A$2:$C$302,2,0),0)+IFERROR(VLOOKUP(A386,'#10 IH Results'!$A$2:$C$302,2,0),0)+IFERROR(VLOOKUP(A386,'#9 IH Results'!$A$2:$C$302,2,0),0)+IFERROR(VLOOKUP(A386,'#8 IH Results'!$A$2:$C$302,2,0),0)+IFERROR(VLOOKUP(A386,'#7 IH Results'!$A$2:$C$302,2,0),0)+IFERROR(VLOOKUP(A386,'#6 IH Results'!$A$2:$C$302,2,0),0)+IFERROR(VLOOKUP(A386,'#5 IH Results'!$A$2:$C$303,2,0),0)+IFERROR(VLOOKUP(A386,'#4 IH Results'!$A$2:$C$300,2,0),0)+IFERROR(VLOOKUP(A386,'#3 IH Results'!$A$2:$C$101,2,0),0)+IFERROR(VLOOKUP(A386,'#2 IH Results'!$A$2:$C$101,2,0),0)+IFERROR(VLOOKUP(A386,'#1 IH Results'!$A$2:$C$101,2,0),0)+IFERROR(VLOOKUP(A386,'#0 IH Results'!$A$3:$C$102,2,0),0)</f>
        <v>0.02514134991</v>
      </c>
    </row>
    <row r="387">
      <c r="B387" s="6">
        <f>IFERROR(VLOOKUP(A387,'#17 IH Results'!$A$2:$C$301,2,0),0)+IFERROR(VLOOKUP(A387,'#16 IH Results'!$A$2:$C$301,2,0),0)+IFERROR(VLOOKUP(A387,'#15 IH Results'!$A$2:$C$301,2,0),0)+IFERROR(VLOOKUP(A387,'#14 IH Results'!$A$2:$C$302,2,0),0)+IFERROR(VLOOKUP(A387,'#13 IH Results'!$A$2:$C$302,2,0),0)+IFERROR(VLOOKUP(A387,'#12 IH Results'!$A$2:$C$302,2,0),0)+IFERROR(VLOOKUP(A387,'#11 IH Results'!$A$2:$C$302,2,0),0)+IFERROR(VLOOKUP(A387,'#10 IH Results'!$A$2:$C$302,2,0),0)+IFERROR(VLOOKUP(A387,'#9 IH Results'!$A$2:$C$302,2,0),0)+IFERROR(VLOOKUP(A387,'#8 IH Results'!$A$2:$C$302,2,0),0)+IFERROR(VLOOKUP(A387,'#7 IH Results'!$A$2:$C$302,2,0),0)+IFERROR(VLOOKUP(A387,'#6 IH Results'!$A$2:$C$302,2,0),0)+IFERROR(VLOOKUP(A387,'#5 IH Results'!$A$2:$C$303,2,0),0)+IFERROR(VLOOKUP(A387,'#4 IH Results'!$A$2:$C$300,2,0),0)+IFERROR(VLOOKUP(A387,'#3 IH Results'!$A$2:$C$101,2,0),0)+IFERROR(VLOOKUP(A387,'#2 IH Results'!$A$2:$C$101,2,0),0)+IFERROR(VLOOKUP(A387,'#1 IH Results'!$A$2:$C$101,2,0),0)+IFERROR(VLOOKUP(A387,'#0 IH Results'!$A$3:$C$102,2,0),0)</f>
        <v>0</v>
      </c>
    </row>
    <row r="388">
      <c r="B388" s="6">
        <f>IFERROR(VLOOKUP(A388,'#17 IH Results'!$A$2:$C$301,2,0),0)+IFERROR(VLOOKUP(A388,'#16 IH Results'!$A$2:$C$301,2,0),0)+IFERROR(VLOOKUP(A388,'#15 IH Results'!$A$2:$C$301,2,0),0)+IFERROR(VLOOKUP(A388,'#14 IH Results'!$A$2:$C$302,2,0),0)+IFERROR(VLOOKUP(A388,'#13 IH Results'!$A$2:$C$302,2,0),0)+IFERROR(VLOOKUP(A388,'#12 IH Results'!$A$2:$C$302,2,0),0)+IFERROR(VLOOKUP(A388,'#11 IH Results'!$A$2:$C$302,2,0),0)+IFERROR(VLOOKUP(A388,'#10 IH Results'!$A$2:$C$302,2,0),0)+IFERROR(VLOOKUP(A388,'#9 IH Results'!$A$2:$C$302,2,0),0)+IFERROR(VLOOKUP(A388,'#8 IH Results'!$A$2:$C$302,2,0),0)+IFERROR(VLOOKUP(A388,'#7 IH Results'!$A$2:$C$302,2,0),0)+IFERROR(VLOOKUP(A388,'#6 IH Results'!$A$2:$C$302,2,0),0)+IFERROR(VLOOKUP(A388,'#5 IH Results'!$A$2:$C$303,2,0),0)+IFERROR(VLOOKUP(A388,'#4 IH Results'!$A$2:$C$300,2,0),0)+IFERROR(VLOOKUP(A388,'#3 IH Results'!$A$2:$C$101,2,0),0)+IFERROR(VLOOKUP(A388,'#2 IH Results'!$A$2:$C$101,2,0),0)+IFERROR(VLOOKUP(A388,'#1 IH Results'!$A$2:$C$101,2,0),0)+IFERROR(VLOOKUP(A388,'#0 IH Results'!$A$3:$C$102,2,0),0)</f>
        <v>0</v>
      </c>
    </row>
    <row r="389">
      <c r="B389" s="6">
        <f>IFERROR(VLOOKUP(A389,'#17 IH Results'!$A$2:$C$301,2,0),0)+IFERROR(VLOOKUP(A389,'#16 IH Results'!$A$2:$C$301,2,0),0)+IFERROR(VLOOKUP(A389,'#15 IH Results'!$A$2:$C$301,2,0),0)+IFERROR(VLOOKUP(A389,'#14 IH Results'!$A$2:$C$302,2,0),0)+IFERROR(VLOOKUP(A389,'#13 IH Results'!$A$2:$C$302,2,0),0)+IFERROR(VLOOKUP(A389,'#12 IH Results'!$A$2:$C$302,2,0),0)+IFERROR(VLOOKUP(A389,'#11 IH Results'!$A$2:$C$302,2,0),0)+IFERROR(VLOOKUP(A389,'#10 IH Results'!$A$2:$C$302,2,0),0)+IFERROR(VLOOKUP(A389,'#9 IH Results'!$A$2:$C$302,2,0),0)+IFERROR(VLOOKUP(A389,'#8 IH Results'!$A$2:$C$302,2,0),0)+IFERROR(VLOOKUP(A389,'#7 IH Results'!$A$2:$C$302,2,0),0)+IFERROR(VLOOKUP(A389,'#6 IH Results'!$A$2:$C$302,2,0),0)+IFERROR(VLOOKUP(A389,'#5 IH Results'!$A$2:$C$303,2,0),0)+IFERROR(VLOOKUP(A389,'#4 IH Results'!$A$2:$C$300,2,0),0)+IFERROR(VLOOKUP(A389,'#3 IH Results'!$A$2:$C$101,2,0),0)+IFERROR(VLOOKUP(A389,'#2 IH Results'!$A$2:$C$101,2,0),0)+IFERROR(VLOOKUP(A389,'#1 IH Results'!$A$2:$C$101,2,0),0)+IFERROR(VLOOKUP(A389,'#0 IH Results'!$A$3:$C$102,2,0),0)</f>
        <v>0</v>
      </c>
    </row>
    <row r="390">
      <c r="B390" s="6">
        <f>IFERROR(VLOOKUP(A390,'#17 IH Results'!$A$2:$C$301,2,0),0)+IFERROR(VLOOKUP(A390,'#16 IH Results'!$A$2:$C$301,2,0),0)+IFERROR(VLOOKUP(A390,'#15 IH Results'!$A$2:$C$301,2,0),0)+IFERROR(VLOOKUP(A390,'#14 IH Results'!$A$2:$C$302,2,0),0)+IFERROR(VLOOKUP(A390,'#13 IH Results'!$A$2:$C$302,2,0),0)+IFERROR(VLOOKUP(A390,'#12 IH Results'!$A$2:$C$302,2,0),0)+IFERROR(VLOOKUP(A390,'#11 IH Results'!$A$2:$C$302,2,0),0)+IFERROR(VLOOKUP(A390,'#10 IH Results'!$A$2:$C$302,2,0),0)+IFERROR(VLOOKUP(A390,'#9 IH Results'!$A$2:$C$302,2,0),0)+IFERROR(VLOOKUP(A390,'#8 IH Results'!$A$2:$C$302,2,0),0)+IFERROR(VLOOKUP(A390,'#7 IH Results'!$A$2:$C$302,2,0),0)+IFERROR(VLOOKUP(A390,'#6 IH Results'!$A$2:$C$302,2,0),0)+IFERROR(VLOOKUP(A390,'#5 IH Results'!$A$2:$C$303,2,0),0)+IFERROR(VLOOKUP(A390,'#4 IH Results'!$A$2:$C$300,2,0),0)+IFERROR(VLOOKUP(A390,'#3 IH Results'!$A$2:$C$101,2,0),0)+IFERROR(VLOOKUP(A390,'#2 IH Results'!$A$2:$C$101,2,0),0)+IFERROR(VLOOKUP(A390,'#1 IH Results'!$A$2:$C$101,2,0),0)+IFERROR(VLOOKUP(A390,'#0 IH Results'!$A$3:$C$102,2,0),0)</f>
        <v>0</v>
      </c>
    </row>
    <row r="391">
      <c r="B391" s="6">
        <f>IFERROR(VLOOKUP(A391,'#17 IH Results'!$A$2:$C$301,2,0),0)+IFERROR(VLOOKUP(A391,'#16 IH Results'!$A$2:$C$301,2,0),0)+IFERROR(VLOOKUP(A391,'#15 IH Results'!$A$2:$C$301,2,0),0)+IFERROR(VLOOKUP(A391,'#14 IH Results'!$A$2:$C$302,2,0),0)+IFERROR(VLOOKUP(A391,'#13 IH Results'!$A$2:$C$302,2,0),0)+IFERROR(VLOOKUP(A391,'#12 IH Results'!$A$2:$C$302,2,0),0)+IFERROR(VLOOKUP(A391,'#11 IH Results'!$A$2:$C$302,2,0),0)+IFERROR(VLOOKUP(A391,'#10 IH Results'!$A$2:$C$302,2,0),0)+IFERROR(VLOOKUP(A391,'#9 IH Results'!$A$2:$C$302,2,0),0)+IFERROR(VLOOKUP(A391,'#8 IH Results'!$A$2:$C$302,2,0),0)+IFERROR(VLOOKUP(A391,'#7 IH Results'!$A$2:$C$302,2,0),0)+IFERROR(VLOOKUP(A391,'#6 IH Results'!$A$2:$C$302,2,0),0)+IFERROR(VLOOKUP(A391,'#5 IH Results'!$A$2:$C$303,2,0),0)+IFERROR(VLOOKUP(A391,'#4 IH Results'!$A$2:$C$300,2,0),0)+IFERROR(VLOOKUP(A391,'#3 IH Results'!$A$2:$C$101,2,0),0)+IFERROR(VLOOKUP(A391,'#2 IH Results'!$A$2:$C$101,2,0),0)+IFERROR(VLOOKUP(A391,'#1 IH Results'!$A$2:$C$101,2,0),0)+IFERROR(VLOOKUP(A391,'#0 IH Results'!$A$3:$C$102,2,0),0)</f>
        <v>0</v>
      </c>
    </row>
    <row r="392">
      <c r="B392" s="6">
        <f>IFERROR(VLOOKUP(A392,'#17 IH Results'!$A$2:$C$301,2,0),0)+IFERROR(VLOOKUP(A392,'#16 IH Results'!$A$2:$C$301,2,0),0)+IFERROR(VLOOKUP(A392,'#15 IH Results'!$A$2:$C$301,2,0),0)+IFERROR(VLOOKUP(A392,'#14 IH Results'!$A$2:$C$302,2,0),0)+IFERROR(VLOOKUP(A392,'#13 IH Results'!$A$2:$C$302,2,0),0)+IFERROR(VLOOKUP(A392,'#12 IH Results'!$A$2:$C$302,2,0),0)+IFERROR(VLOOKUP(A392,'#11 IH Results'!$A$2:$C$302,2,0),0)+IFERROR(VLOOKUP(A392,'#10 IH Results'!$A$2:$C$302,2,0),0)+IFERROR(VLOOKUP(A392,'#9 IH Results'!$A$2:$C$302,2,0),0)+IFERROR(VLOOKUP(A392,'#8 IH Results'!$A$2:$C$302,2,0),0)+IFERROR(VLOOKUP(A392,'#7 IH Results'!$A$2:$C$302,2,0),0)+IFERROR(VLOOKUP(A392,'#6 IH Results'!$A$2:$C$302,2,0),0)+IFERROR(VLOOKUP(A392,'#5 IH Results'!$A$2:$C$303,2,0),0)+IFERROR(VLOOKUP(A392,'#4 IH Results'!$A$2:$C$300,2,0),0)+IFERROR(VLOOKUP(A392,'#3 IH Results'!$A$2:$C$101,2,0),0)+IFERROR(VLOOKUP(A392,'#2 IH Results'!$A$2:$C$101,2,0),0)+IFERROR(VLOOKUP(A392,'#1 IH Results'!$A$2:$C$101,2,0),0)+IFERROR(VLOOKUP(A392,'#0 IH Results'!$A$3:$C$102,2,0),0)</f>
        <v>0</v>
      </c>
    </row>
    <row r="393">
      <c r="B393" s="6">
        <f>IFERROR(VLOOKUP(A393,'#17 IH Results'!$A$2:$C$301,2,0),0)+IFERROR(VLOOKUP(A393,'#16 IH Results'!$A$2:$C$301,2,0),0)+IFERROR(VLOOKUP(A393,'#15 IH Results'!$A$2:$C$301,2,0),0)+IFERROR(VLOOKUP(A393,'#14 IH Results'!$A$2:$C$302,2,0),0)+IFERROR(VLOOKUP(A393,'#13 IH Results'!$A$2:$C$302,2,0),0)+IFERROR(VLOOKUP(A393,'#12 IH Results'!$A$2:$C$302,2,0),0)+IFERROR(VLOOKUP(A393,'#11 IH Results'!$A$2:$C$302,2,0),0)+IFERROR(VLOOKUP(A393,'#10 IH Results'!$A$2:$C$302,2,0),0)+IFERROR(VLOOKUP(A393,'#9 IH Results'!$A$2:$C$302,2,0),0)+IFERROR(VLOOKUP(A393,'#8 IH Results'!$A$2:$C$302,2,0),0)+IFERROR(VLOOKUP(A393,'#7 IH Results'!$A$2:$C$302,2,0),0)+IFERROR(VLOOKUP(A393,'#6 IH Results'!$A$2:$C$302,2,0),0)+IFERROR(VLOOKUP(A393,'#5 IH Results'!$A$2:$C$303,2,0),0)+IFERROR(VLOOKUP(A393,'#4 IH Results'!$A$2:$C$300,2,0),0)+IFERROR(VLOOKUP(A393,'#3 IH Results'!$A$2:$C$101,2,0),0)+IFERROR(VLOOKUP(A393,'#2 IH Results'!$A$2:$C$101,2,0),0)+IFERROR(VLOOKUP(A393,'#1 IH Results'!$A$2:$C$101,2,0),0)+IFERROR(VLOOKUP(A393,'#0 IH Results'!$A$3:$C$102,2,0),0)</f>
        <v>0</v>
      </c>
    </row>
    <row r="394">
      <c r="B394" s="6">
        <f>IFERROR(VLOOKUP(A394,'#17 IH Results'!$A$2:$C$301,2,0),0)+IFERROR(VLOOKUP(A394,'#16 IH Results'!$A$2:$C$301,2,0),0)+IFERROR(VLOOKUP(A394,'#15 IH Results'!$A$2:$C$301,2,0),0)+IFERROR(VLOOKUP(A394,'#14 IH Results'!$A$2:$C$302,2,0),0)+IFERROR(VLOOKUP(A394,'#13 IH Results'!$A$2:$C$302,2,0),0)+IFERROR(VLOOKUP(A394,'#12 IH Results'!$A$2:$C$302,2,0),0)+IFERROR(VLOOKUP(A394,'#11 IH Results'!$A$2:$C$302,2,0),0)+IFERROR(VLOOKUP(A394,'#10 IH Results'!$A$2:$C$302,2,0),0)+IFERROR(VLOOKUP(A394,'#9 IH Results'!$A$2:$C$302,2,0),0)+IFERROR(VLOOKUP(A394,'#8 IH Results'!$A$2:$C$302,2,0),0)+IFERROR(VLOOKUP(A394,'#7 IH Results'!$A$2:$C$302,2,0),0)+IFERROR(VLOOKUP(A394,'#6 IH Results'!$A$2:$C$302,2,0),0)+IFERROR(VLOOKUP(A394,'#5 IH Results'!$A$2:$C$303,2,0),0)+IFERROR(VLOOKUP(A394,'#4 IH Results'!$A$2:$C$300,2,0),0)+IFERROR(VLOOKUP(A394,'#3 IH Results'!$A$2:$C$101,2,0),0)+IFERROR(VLOOKUP(A394,'#2 IH Results'!$A$2:$C$101,2,0),0)+IFERROR(VLOOKUP(A394,'#1 IH Results'!$A$2:$C$101,2,0),0)+IFERROR(VLOOKUP(A394,'#0 IH Results'!$A$3:$C$102,2,0),0)</f>
        <v>0</v>
      </c>
    </row>
    <row r="395">
      <c r="B395" s="6">
        <f>IFERROR(VLOOKUP(A395,'#17 IH Results'!$A$2:$C$301,2,0),0)+IFERROR(VLOOKUP(A395,'#16 IH Results'!$A$2:$C$301,2,0),0)+IFERROR(VLOOKUP(A395,'#15 IH Results'!$A$2:$C$301,2,0),0)+IFERROR(VLOOKUP(A395,'#14 IH Results'!$A$2:$C$302,2,0),0)+IFERROR(VLOOKUP(A395,'#13 IH Results'!$A$2:$C$302,2,0),0)+IFERROR(VLOOKUP(A395,'#12 IH Results'!$A$2:$C$302,2,0),0)+IFERROR(VLOOKUP(A395,'#11 IH Results'!$A$2:$C$302,2,0),0)+IFERROR(VLOOKUP(A395,'#10 IH Results'!$A$2:$C$302,2,0),0)+IFERROR(VLOOKUP(A395,'#9 IH Results'!$A$2:$C$302,2,0),0)+IFERROR(VLOOKUP(A395,'#8 IH Results'!$A$2:$C$302,2,0),0)+IFERROR(VLOOKUP(A395,'#7 IH Results'!$A$2:$C$302,2,0),0)+IFERROR(VLOOKUP(A395,'#6 IH Results'!$A$2:$C$302,2,0),0)+IFERROR(VLOOKUP(A395,'#5 IH Results'!$A$2:$C$303,2,0),0)+IFERROR(VLOOKUP(A395,'#4 IH Results'!$A$2:$C$300,2,0),0)+IFERROR(VLOOKUP(A395,'#3 IH Results'!$A$2:$C$101,2,0),0)+IFERROR(VLOOKUP(A395,'#2 IH Results'!$A$2:$C$101,2,0),0)+IFERROR(VLOOKUP(A395,'#1 IH Results'!$A$2:$C$101,2,0),0)+IFERROR(VLOOKUP(A395,'#0 IH Results'!$A$3:$C$102,2,0),0)</f>
        <v>0</v>
      </c>
    </row>
    <row r="396">
      <c r="B396" s="6">
        <f>IFERROR(VLOOKUP(A396,'#17 IH Results'!$A$2:$C$301,2,0),0)+IFERROR(VLOOKUP(A396,'#16 IH Results'!$A$2:$C$301,2,0),0)+IFERROR(VLOOKUP(A396,'#15 IH Results'!$A$2:$C$301,2,0),0)+IFERROR(VLOOKUP(A396,'#14 IH Results'!$A$2:$C$302,2,0),0)+IFERROR(VLOOKUP(A396,'#13 IH Results'!$A$2:$C$302,2,0),0)+IFERROR(VLOOKUP(A396,'#12 IH Results'!$A$2:$C$302,2,0),0)+IFERROR(VLOOKUP(A396,'#11 IH Results'!$A$2:$C$302,2,0),0)+IFERROR(VLOOKUP(A396,'#10 IH Results'!$A$2:$C$302,2,0),0)+IFERROR(VLOOKUP(A396,'#9 IH Results'!$A$2:$C$302,2,0),0)+IFERROR(VLOOKUP(A396,'#8 IH Results'!$A$2:$C$302,2,0),0)+IFERROR(VLOOKUP(A396,'#7 IH Results'!$A$2:$C$302,2,0),0)+IFERROR(VLOOKUP(A396,'#6 IH Results'!$A$2:$C$302,2,0),0)+IFERROR(VLOOKUP(A396,'#5 IH Results'!$A$2:$C$303,2,0),0)+IFERROR(VLOOKUP(A396,'#4 IH Results'!$A$2:$C$300,2,0),0)+IFERROR(VLOOKUP(A396,'#3 IH Results'!$A$2:$C$101,2,0),0)+IFERROR(VLOOKUP(A396,'#2 IH Results'!$A$2:$C$101,2,0),0)+IFERROR(VLOOKUP(A396,'#1 IH Results'!$A$2:$C$101,2,0),0)+IFERROR(VLOOKUP(A396,'#0 IH Results'!$A$3:$C$102,2,0),0)</f>
        <v>0</v>
      </c>
    </row>
    <row r="397">
      <c r="B397" s="6">
        <f>IFERROR(VLOOKUP(A397,'#17 IH Results'!$A$2:$C$301,2,0),0)+IFERROR(VLOOKUP(A397,'#16 IH Results'!$A$2:$C$301,2,0),0)+IFERROR(VLOOKUP(A397,'#15 IH Results'!$A$2:$C$301,2,0),0)+IFERROR(VLOOKUP(A397,'#14 IH Results'!$A$2:$C$302,2,0),0)+IFERROR(VLOOKUP(A397,'#13 IH Results'!$A$2:$C$302,2,0),0)+IFERROR(VLOOKUP(A397,'#12 IH Results'!$A$2:$C$302,2,0),0)+IFERROR(VLOOKUP(A397,'#11 IH Results'!$A$2:$C$302,2,0),0)+IFERROR(VLOOKUP(A397,'#10 IH Results'!$A$2:$C$302,2,0),0)+IFERROR(VLOOKUP(A397,'#9 IH Results'!$A$2:$C$302,2,0),0)+IFERROR(VLOOKUP(A397,'#8 IH Results'!$A$2:$C$302,2,0),0)+IFERROR(VLOOKUP(A397,'#7 IH Results'!$A$2:$C$302,2,0),0)+IFERROR(VLOOKUP(A397,'#6 IH Results'!$A$2:$C$302,2,0),0)+IFERROR(VLOOKUP(A397,'#5 IH Results'!$A$2:$C$303,2,0),0)+IFERROR(VLOOKUP(A397,'#4 IH Results'!$A$2:$C$300,2,0),0)+IFERROR(VLOOKUP(A397,'#3 IH Results'!$A$2:$C$101,2,0),0)+IFERROR(VLOOKUP(A397,'#2 IH Results'!$A$2:$C$101,2,0),0)+IFERROR(VLOOKUP(A397,'#1 IH Results'!$A$2:$C$101,2,0),0)+IFERROR(VLOOKUP(A397,'#0 IH Results'!$A$3:$C$102,2,0),0)</f>
        <v>0</v>
      </c>
    </row>
    <row r="398">
      <c r="B398" s="6">
        <f>IFERROR(VLOOKUP(A398,'#17 IH Results'!$A$2:$C$301,2,0),0)+IFERROR(VLOOKUP(A398,'#16 IH Results'!$A$2:$C$301,2,0),0)+IFERROR(VLOOKUP(A398,'#15 IH Results'!$A$2:$C$301,2,0),0)+IFERROR(VLOOKUP(A398,'#14 IH Results'!$A$2:$C$302,2,0),0)+IFERROR(VLOOKUP(A398,'#13 IH Results'!$A$2:$C$302,2,0),0)+IFERROR(VLOOKUP(A398,'#12 IH Results'!$A$2:$C$302,2,0),0)+IFERROR(VLOOKUP(A398,'#11 IH Results'!$A$2:$C$302,2,0),0)+IFERROR(VLOOKUP(A398,'#10 IH Results'!$A$2:$C$302,2,0),0)+IFERROR(VLOOKUP(A398,'#9 IH Results'!$A$2:$C$302,2,0),0)+IFERROR(VLOOKUP(A398,'#8 IH Results'!$A$2:$C$302,2,0),0)+IFERROR(VLOOKUP(A398,'#7 IH Results'!$A$2:$C$302,2,0),0)+IFERROR(VLOOKUP(A398,'#6 IH Results'!$A$2:$C$302,2,0),0)+IFERROR(VLOOKUP(A398,'#5 IH Results'!$A$2:$C$303,2,0),0)+IFERROR(VLOOKUP(A398,'#4 IH Results'!$A$2:$C$300,2,0),0)+IFERROR(VLOOKUP(A398,'#3 IH Results'!$A$2:$C$101,2,0),0)+IFERROR(VLOOKUP(A398,'#2 IH Results'!$A$2:$C$101,2,0),0)+IFERROR(VLOOKUP(A398,'#1 IH Results'!$A$2:$C$101,2,0),0)+IFERROR(VLOOKUP(A398,'#0 IH Results'!$A$3:$C$102,2,0),0)</f>
        <v>0</v>
      </c>
    </row>
    <row r="399">
      <c r="B399" s="6">
        <f>IFERROR(VLOOKUP(A399,'#17 IH Results'!$A$2:$C$301,2,0),0)+IFERROR(VLOOKUP(A399,'#16 IH Results'!$A$2:$C$301,2,0),0)+IFERROR(VLOOKUP(A399,'#15 IH Results'!$A$2:$C$301,2,0),0)+IFERROR(VLOOKUP(A399,'#14 IH Results'!$A$2:$C$302,2,0),0)+IFERROR(VLOOKUP(A399,'#13 IH Results'!$A$2:$C$302,2,0),0)+IFERROR(VLOOKUP(A399,'#12 IH Results'!$A$2:$C$302,2,0),0)+IFERROR(VLOOKUP(A399,'#11 IH Results'!$A$2:$C$302,2,0),0)+IFERROR(VLOOKUP(A399,'#10 IH Results'!$A$2:$C$302,2,0),0)+IFERROR(VLOOKUP(A399,'#9 IH Results'!$A$2:$C$302,2,0),0)+IFERROR(VLOOKUP(A399,'#8 IH Results'!$A$2:$C$302,2,0),0)+IFERROR(VLOOKUP(A399,'#7 IH Results'!$A$2:$C$302,2,0),0)+IFERROR(VLOOKUP(A399,'#6 IH Results'!$A$2:$C$302,2,0),0)+IFERROR(VLOOKUP(A399,'#5 IH Results'!$A$2:$C$303,2,0),0)+IFERROR(VLOOKUP(A399,'#4 IH Results'!$A$2:$C$300,2,0),0)+IFERROR(VLOOKUP(A399,'#3 IH Results'!$A$2:$C$101,2,0),0)+IFERROR(VLOOKUP(A399,'#2 IH Results'!$A$2:$C$101,2,0),0)+IFERROR(VLOOKUP(A399,'#1 IH Results'!$A$2:$C$101,2,0),0)+IFERROR(VLOOKUP(A399,'#0 IH Results'!$A$3:$C$102,2,0),0)</f>
        <v>0</v>
      </c>
    </row>
    <row r="400">
      <c r="B400" s="6">
        <f>IFERROR(VLOOKUP(A400,'#17 IH Results'!$A$2:$C$301,2,0),0)+IFERROR(VLOOKUP(A400,'#16 IH Results'!$A$2:$C$301,2,0),0)+IFERROR(VLOOKUP(A400,'#15 IH Results'!$A$2:$C$301,2,0),0)+IFERROR(VLOOKUP(A400,'#14 IH Results'!$A$2:$C$302,2,0),0)+IFERROR(VLOOKUP(A400,'#13 IH Results'!$A$2:$C$302,2,0),0)+IFERROR(VLOOKUP(A400,'#12 IH Results'!$A$2:$C$302,2,0),0)+IFERROR(VLOOKUP(A400,'#11 IH Results'!$A$2:$C$302,2,0),0)+IFERROR(VLOOKUP(A400,'#10 IH Results'!$A$2:$C$302,2,0),0)+IFERROR(VLOOKUP(A400,'#9 IH Results'!$A$2:$C$302,2,0),0)+IFERROR(VLOOKUP(A400,'#8 IH Results'!$A$2:$C$302,2,0),0)+IFERROR(VLOOKUP(A400,'#7 IH Results'!$A$2:$C$302,2,0),0)+IFERROR(VLOOKUP(A400,'#6 IH Results'!$A$2:$C$302,2,0),0)+IFERROR(VLOOKUP(A400,'#5 IH Results'!$A$2:$C$303,2,0),0)+IFERROR(VLOOKUP(A400,'#4 IH Results'!$A$2:$C$300,2,0),0)+IFERROR(VLOOKUP(A400,'#3 IH Results'!$A$2:$C$101,2,0),0)+IFERROR(VLOOKUP(A400,'#2 IH Results'!$A$2:$C$101,2,0),0)+IFERROR(VLOOKUP(A400,'#1 IH Results'!$A$2:$C$101,2,0),0)+IFERROR(VLOOKUP(A400,'#0 IH Results'!$A$3:$C$102,2,0),0)</f>
        <v>0</v>
      </c>
    </row>
    <row r="401">
      <c r="B401" s="6">
        <f>IFERROR(VLOOKUP(A401,'#17 IH Results'!$A$2:$C$301,2,0),0)+IFERROR(VLOOKUP(A401,'#16 IH Results'!$A$2:$C$301,2,0),0)+IFERROR(VLOOKUP(A401,'#15 IH Results'!$A$2:$C$301,2,0),0)+IFERROR(VLOOKUP(A401,'#14 IH Results'!$A$2:$C$302,2,0),0)+IFERROR(VLOOKUP(A401,'#13 IH Results'!$A$2:$C$302,2,0),0)+IFERROR(VLOOKUP(A401,'#12 IH Results'!$A$2:$C$302,2,0),0)+IFERROR(VLOOKUP(A401,'#11 IH Results'!$A$2:$C$302,2,0),0)+IFERROR(VLOOKUP(A401,'#10 IH Results'!$A$2:$C$302,2,0),0)+IFERROR(VLOOKUP(A401,'#9 IH Results'!$A$2:$C$302,2,0),0)+IFERROR(VLOOKUP(A401,'#8 IH Results'!$A$2:$C$302,2,0),0)+IFERROR(VLOOKUP(A401,'#7 IH Results'!$A$2:$C$302,2,0),0)+IFERROR(VLOOKUP(A401,'#6 IH Results'!$A$2:$C$302,2,0),0)+IFERROR(VLOOKUP(A401,'#5 IH Results'!$A$2:$C$303,2,0),0)+IFERROR(VLOOKUP(A401,'#4 IH Results'!$A$2:$C$300,2,0),0)+IFERROR(VLOOKUP(A401,'#3 IH Results'!$A$2:$C$101,2,0),0)+IFERROR(VLOOKUP(A401,'#2 IH Results'!$A$2:$C$101,2,0),0)+IFERROR(VLOOKUP(A401,'#1 IH Results'!$A$2:$C$101,2,0),0)+IFERROR(VLOOKUP(A401,'#0 IH Results'!$A$3:$C$102,2,0),0)</f>
        <v>0</v>
      </c>
    </row>
    <row r="402">
      <c r="B402" s="6">
        <f>IFERROR(VLOOKUP(A402,'#17 IH Results'!$A$2:$C$301,2,0),0)+IFERROR(VLOOKUP(A402,'#16 IH Results'!$A$2:$C$301,2,0),0)+IFERROR(VLOOKUP(A402,'#15 IH Results'!$A$2:$C$301,2,0),0)+IFERROR(VLOOKUP(A402,'#14 IH Results'!$A$2:$C$302,2,0),0)+IFERROR(VLOOKUP(A402,'#13 IH Results'!$A$2:$C$302,2,0),0)+IFERROR(VLOOKUP(A402,'#12 IH Results'!$A$2:$C$302,2,0),0)+IFERROR(VLOOKUP(A402,'#11 IH Results'!$A$2:$C$302,2,0),0)+IFERROR(VLOOKUP(A402,'#10 IH Results'!$A$2:$C$302,2,0),0)+IFERROR(VLOOKUP(A402,'#9 IH Results'!$A$2:$C$302,2,0),0)+IFERROR(VLOOKUP(A402,'#8 IH Results'!$A$2:$C$302,2,0),0)+IFERROR(VLOOKUP(A402,'#7 IH Results'!$A$2:$C$302,2,0),0)+IFERROR(VLOOKUP(A402,'#6 IH Results'!$A$2:$C$302,2,0),0)+IFERROR(VLOOKUP(A402,'#5 IH Results'!$A$2:$C$303,2,0),0)+IFERROR(VLOOKUP(A402,'#4 IH Results'!$A$2:$C$300,2,0),0)+IFERROR(VLOOKUP(A402,'#3 IH Results'!$A$2:$C$101,2,0),0)+IFERROR(VLOOKUP(A402,'#2 IH Results'!$A$2:$C$101,2,0),0)+IFERROR(VLOOKUP(A402,'#1 IH Results'!$A$2:$C$101,2,0),0)+IFERROR(VLOOKUP(A402,'#0 IH Results'!$A$3:$C$102,2,0),0)</f>
        <v>0</v>
      </c>
    </row>
    <row r="403">
      <c r="B403" s="6">
        <f>IFERROR(VLOOKUP(A403,'#17 IH Results'!$A$2:$C$301,2,0),0)+IFERROR(VLOOKUP(A403,'#16 IH Results'!$A$2:$C$301,2,0),0)+IFERROR(VLOOKUP(A403,'#15 IH Results'!$A$2:$C$301,2,0),0)+IFERROR(VLOOKUP(A403,'#14 IH Results'!$A$2:$C$302,2,0),0)+IFERROR(VLOOKUP(A403,'#13 IH Results'!$A$2:$C$302,2,0),0)+IFERROR(VLOOKUP(A403,'#12 IH Results'!$A$2:$C$302,2,0),0)+IFERROR(VLOOKUP(A403,'#11 IH Results'!$A$2:$C$302,2,0),0)+IFERROR(VLOOKUP(A403,'#10 IH Results'!$A$2:$C$302,2,0),0)+IFERROR(VLOOKUP(A403,'#9 IH Results'!$A$2:$C$302,2,0),0)+IFERROR(VLOOKUP(A403,'#8 IH Results'!$A$2:$C$302,2,0),0)+IFERROR(VLOOKUP(A403,'#7 IH Results'!$A$2:$C$302,2,0),0)+IFERROR(VLOOKUP(A403,'#6 IH Results'!$A$2:$C$302,2,0),0)+IFERROR(VLOOKUP(A403,'#5 IH Results'!$A$2:$C$303,2,0),0)+IFERROR(VLOOKUP(A403,'#4 IH Results'!$A$2:$C$300,2,0),0)+IFERROR(VLOOKUP(A403,'#3 IH Results'!$A$2:$C$101,2,0),0)+IFERROR(VLOOKUP(A403,'#2 IH Results'!$A$2:$C$101,2,0),0)+IFERROR(VLOOKUP(A403,'#1 IH Results'!$A$2:$C$101,2,0),0)+IFERROR(VLOOKUP(A403,'#0 IH Results'!$A$3:$C$102,2,0),0)</f>
        <v>0</v>
      </c>
    </row>
    <row r="404">
      <c r="B404" s="6">
        <f>IFERROR(VLOOKUP(A404,'#17 IH Results'!$A$2:$C$301,2,0),0)+IFERROR(VLOOKUP(A404,'#16 IH Results'!$A$2:$C$301,2,0),0)+IFERROR(VLOOKUP(A404,'#15 IH Results'!$A$2:$C$301,2,0),0)+IFERROR(VLOOKUP(A404,'#14 IH Results'!$A$2:$C$302,2,0),0)+IFERROR(VLOOKUP(A404,'#13 IH Results'!$A$2:$C$302,2,0),0)+IFERROR(VLOOKUP(A404,'#12 IH Results'!$A$2:$C$302,2,0),0)+IFERROR(VLOOKUP(A404,'#11 IH Results'!$A$2:$C$302,2,0),0)+IFERROR(VLOOKUP(A404,'#10 IH Results'!$A$2:$C$302,2,0),0)+IFERROR(VLOOKUP(A404,'#9 IH Results'!$A$2:$C$302,2,0),0)+IFERROR(VLOOKUP(A404,'#8 IH Results'!$A$2:$C$302,2,0),0)+IFERROR(VLOOKUP(A404,'#7 IH Results'!$A$2:$C$302,2,0),0)+IFERROR(VLOOKUP(A404,'#6 IH Results'!$A$2:$C$302,2,0),0)+IFERROR(VLOOKUP(A404,'#5 IH Results'!$A$2:$C$303,2,0),0)+IFERROR(VLOOKUP(A404,'#4 IH Results'!$A$2:$C$300,2,0),0)+IFERROR(VLOOKUP(A404,'#3 IH Results'!$A$2:$C$101,2,0),0)+IFERROR(VLOOKUP(A404,'#2 IH Results'!$A$2:$C$101,2,0),0)+IFERROR(VLOOKUP(A404,'#1 IH Results'!$A$2:$C$101,2,0),0)+IFERROR(VLOOKUP(A404,'#0 IH Results'!$A$3:$C$102,2,0),0)</f>
        <v>0</v>
      </c>
    </row>
    <row r="405">
      <c r="B405" s="6">
        <f>IFERROR(VLOOKUP(A405,'#17 IH Results'!$A$2:$C$301,2,0),0)+IFERROR(VLOOKUP(A405,'#16 IH Results'!$A$2:$C$301,2,0),0)+IFERROR(VLOOKUP(A405,'#15 IH Results'!$A$2:$C$301,2,0),0)+IFERROR(VLOOKUP(A405,'#14 IH Results'!$A$2:$C$302,2,0),0)+IFERROR(VLOOKUP(A405,'#13 IH Results'!$A$2:$C$302,2,0),0)+IFERROR(VLOOKUP(A405,'#12 IH Results'!$A$2:$C$302,2,0),0)+IFERROR(VLOOKUP(A405,'#11 IH Results'!$A$2:$C$302,2,0),0)+IFERROR(VLOOKUP(A405,'#10 IH Results'!$A$2:$C$302,2,0),0)+IFERROR(VLOOKUP(A405,'#9 IH Results'!$A$2:$C$302,2,0),0)+IFERROR(VLOOKUP(A405,'#8 IH Results'!$A$2:$C$302,2,0),0)+IFERROR(VLOOKUP(A405,'#7 IH Results'!$A$2:$C$302,2,0),0)+IFERROR(VLOOKUP(A405,'#6 IH Results'!$A$2:$C$302,2,0),0)+IFERROR(VLOOKUP(A405,'#5 IH Results'!$A$2:$C$303,2,0),0)+IFERROR(VLOOKUP(A405,'#4 IH Results'!$A$2:$C$300,2,0),0)+IFERROR(VLOOKUP(A405,'#3 IH Results'!$A$2:$C$101,2,0),0)+IFERROR(VLOOKUP(A405,'#2 IH Results'!$A$2:$C$101,2,0),0)+IFERROR(VLOOKUP(A405,'#1 IH Results'!$A$2:$C$101,2,0),0)+IFERROR(VLOOKUP(A405,'#0 IH Results'!$A$3:$C$102,2,0),0)</f>
        <v>0</v>
      </c>
    </row>
    <row r="406">
      <c r="B406" s="6">
        <f>IFERROR(VLOOKUP(A406,'#17 IH Results'!$A$2:$C$301,2,0),0)+IFERROR(VLOOKUP(A406,'#16 IH Results'!$A$2:$C$301,2,0),0)+IFERROR(VLOOKUP(A406,'#15 IH Results'!$A$2:$C$301,2,0),0)+IFERROR(VLOOKUP(A406,'#14 IH Results'!$A$2:$C$302,2,0),0)+IFERROR(VLOOKUP(A406,'#13 IH Results'!$A$2:$C$302,2,0),0)+IFERROR(VLOOKUP(A406,'#12 IH Results'!$A$2:$C$302,2,0),0)+IFERROR(VLOOKUP(A406,'#11 IH Results'!$A$2:$C$302,2,0),0)+IFERROR(VLOOKUP(A406,'#10 IH Results'!$A$2:$C$302,2,0),0)+IFERROR(VLOOKUP(A406,'#9 IH Results'!$A$2:$C$302,2,0),0)+IFERROR(VLOOKUP(A406,'#8 IH Results'!$A$2:$C$302,2,0),0)+IFERROR(VLOOKUP(A406,'#7 IH Results'!$A$2:$C$302,2,0),0)+IFERROR(VLOOKUP(A406,'#6 IH Results'!$A$2:$C$302,2,0),0)+IFERROR(VLOOKUP(A406,'#5 IH Results'!$A$2:$C$303,2,0),0)+IFERROR(VLOOKUP(A406,'#4 IH Results'!$A$2:$C$300,2,0),0)+IFERROR(VLOOKUP(A406,'#3 IH Results'!$A$2:$C$101,2,0),0)+IFERROR(VLOOKUP(A406,'#2 IH Results'!$A$2:$C$101,2,0),0)+IFERROR(VLOOKUP(A406,'#1 IH Results'!$A$2:$C$101,2,0),0)+IFERROR(VLOOKUP(A406,'#0 IH Results'!$A$3:$C$102,2,0),0)</f>
        <v>0</v>
      </c>
    </row>
    <row r="407">
      <c r="B407" s="6">
        <f>IFERROR(VLOOKUP(A407,'#17 IH Results'!$A$2:$C$301,2,0),0)+IFERROR(VLOOKUP(A407,'#16 IH Results'!$A$2:$C$301,2,0),0)+IFERROR(VLOOKUP(A407,'#15 IH Results'!$A$2:$C$301,2,0),0)+IFERROR(VLOOKUP(A407,'#14 IH Results'!$A$2:$C$302,2,0),0)+IFERROR(VLOOKUP(A407,'#13 IH Results'!$A$2:$C$302,2,0),0)+IFERROR(VLOOKUP(A407,'#12 IH Results'!$A$2:$C$302,2,0),0)+IFERROR(VLOOKUP(A407,'#11 IH Results'!$A$2:$C$302,2,0),0)+IFERROR(VLOOKUP(A407,'#10 IH Results'!$A$2:$C$302,2,0),0)+IFERROR(VLOOKUP(A407,'#9 IH Results'!$A$2:$C$302,2,0),0)+IFERROR(VLOOKUP(A407,'#8 IH Results'!$A$2:$C$302,2,0),0)+IFERROR(VLOOKUP(A407,'#7 IH Results'!$A$2:$C$302,2,0),0)+IFERROR(VLOOKUP(A407,'#6 IH Results'!$A$2:$C$302,2,0),0)+IFERROR(VLOOKUP(A407,'#5 IH Results'!$A$2:$C$303,2,0),0)+IFERROR(VLOOKUP(A407,'#4 IH Results'!$A$2:$C$300,2,0),0)+IFERROR(VLOOKUP(A407,'#3 IH Results'!$A$2:$C$101,2,0),0)+IFERROR(VLOOKUP(A407,'#2 IH Results'!$A$2:$C$101,2,0),0)+IFERROR(VLOOKUP(A407,'#1 IH Results'!$A$2:$C$101,2,0),0)+IFERROR(VLOOKUP(A407,'#0 IH Results'!$A$3:$C$102,2,0),0)</f>
        <v>0</v>
      </c>
    </row>
    <row r="408">
      <c r="B408" s="6">
        <f>IFERROR(VLOOKUP(A408,'#17 IH Results'!$A$2:$C$301,2,0),0)+IFERROR(VLOOKUP(A408,'#16 IH Results'!$A$2:$C$301,2,0),0)+IFERROR(VLOOKUP(A408,'#15 IH Results'!$A$2:$C$301,2,0),0)+IFERROR(VLOOKUP(A408,'#14 IH Results'!$A$2:$C$302,2,0),0)+IFERROR(VLOOKUP(A408,'#13 IH Results'!$A$2:$C$302,2,0),0)+IFERROR(VLOOKUP(A408,'#12 IH Results'!$A$2:$C$302,2,0),0)+IFERROR(VLOOKUP(A408,'#11 IH Results'!$A$2:$C$302,2,0),0)+IFERROR(VLOOKUP(A408,'#10 IH Results'!$A$2:$C$302,2,0),0)+IFERROR(VLOOKUP(A408,'#9 IH Results'!$A$2:$C$302,2,0),0)+IFERROR(VLOOKUP(A408,'#8 IH Results'!$A$2:$C$302,2,0),0)+IFERROR(VLOOKUP(A408,'#7 IH Results'!$A$2:$C$302,2,0),0)+IFERROR(VLOOKUP(A408,'#6 IH Results'!$A$2:$C$302,2,0),0)+IFERROR(VLOOKUP(A408,'#5 IH Results'!$A$2:$C$303,2,0),0)+IFERROR(VLOOKUP(A408,'#4 IH Results'!$A$2:$C$300,2,0),0)+IFERROR(VLOOKUP(A408,'#3 IH Results'!$A$2:$C$101,2,0),0)+IFERROR(VLOOKUP(A408,'#2 IH Results'!$A$2:$C$101,2,0),0)+IFERROR(VLOOKUP(A408,'#1 IH Results'!$A$2:$C$101,2,0),0)+IFERROR(VLOOKUP(A408,'#0 IH Results'!$A$3:$C$102,2,0),0)</f>
        <v>0</v>
      </c>
    </row>
    <row r="409">
      <c r="B409" s="6">
        <f>IFERROR(VLOOKUP(A409,'#17 IH Results'!$A$2:$C$301,2,0),0)+IFERROR(VLOOKUP(A409,'#16 IH Results'!$A$2:$C$301,2,0),0)+IFERROR(VLOOKUP(A409,'#15 IH Results'!$A$2:$C$301,2,0),0)+IFERROR(VLOOKUP(A409,'#14 IH Results'!$A$2:$C$302,2,0),0)+IFERROR(VLOOKUP(A409,'#13 IH Results'!$A$2:$C$302,2,0),0)+IFERROR(VLOOKUP(A409,'#12 IH Results'!$A$2:$C$302,2,0),0)+IFERROR(VLOOKUP(A409,'#11 IH Results'!$A$2:$C$302,2,0),0)+IFERROR(VLOOKUP(A409,'#10 IH Results'!$A$2:$C$302,2,0),0)+IFERROR(VLOOKUP(A409,'#9 IH Results'!$A$2:$C$302,2,0),0)+IFERROR(VLOOKUP(A409,'#8 IH Results'!$A$2:$C$302,2,0),0)+IFERROR(VLOOKUP(A409,'#7 IH Results'!$A$2:$C$302,2,0),0)+IFERROR(VLOOKUP(A409,'#6 IH Results'!$A$2:$C$302,2,0),0)+IFERROR(VLOOKUP(A409,'#5 IH Results'!$A$2:$C$303,2,0),0)+IFERROR(VLOOKUP(A409,'#4 IH Results'!$A$2:$C$300,2,0),0)+IFERROR(VLOOKUP(A409,'#3 IH Results'!$A$2:$C$101,2,0),0)+IFERROR(VLOOKUP(A409,'#2 IH Results'!$A$2:$C$101,2,0),0)+IFERROR(VLOOKUP(A409,'#1 IH Results'!$A$2:$C$101,2,0),0)+IFERROR(VLOOKUP(A409,'#0 IH Results'!$A$3:$C$102,2,0),0)</f>
        <v>0</v>
      </c>
    </row>
    <row r="410">
      <c r="B410" s="6">
        <f>IFERROR(VLOOKUP(A410,'#17 IH Results'!$A$2:$C$301,2,0),0)+IFERROR(VLOOKUP(A410,'#16 IH Results'!$A$2:$C$301,2,0),0)+IFERROR(VLOOKUP(A410,'#15 IH Results'!$A$2:$C$301,2,0),0)+IFERROR(VLOOKUP(A410,'#14 IH Results'!$A$2:$C$302,2,0),0)+IFERROR(VLOOKUP(A410,'#13 IH Results'!$A$2:$C$302,2,0),0)+IFERROR(VLOOKUP(A410,'#12 IH Results'!$A$2:$C$302,2,0),0)+IFERROR(VLOOKUP(A410,'#11 IH Results'!$A$2:$C$302,2,0),0)+IFERROR(VLOOKUP(A410,'#10 IH Results'!$A$2:$C$302,2,0),0)+IFERROR(VLOOKUP(A410,'#9 IH Results'!$A$2:$C$302,2,0),0)+IFERROR(VLOOKUP(A410,'#8 IH Results'!$A$2:$C$302,2,0),0)+IFERROR(VLOOKUP(A410,'#7 IH Results'!$A$2:$C$302,2,0),0)+IFERROR(VLOOKUP(A410,'#6 IH Results'!$A$2:$C$302,2,0),0)+IFERROR(VLOOKUP(A410,'#5 IH Results'!$A$2:$C$303,2,0),0)+IFERROR(VLOOKUP(A410,'#4 IH Results'!$A$2:$C$300,2,0),0)+IFERROR(VLOOKUP(A410,'#3 IH Results'!$A$2:$C$101,2,0),0)+IFERROR(VLOOKUP(A410,'#2 IH Results'!$A$2:$C$101,2,0),0)+IFERROR(VLOOKUP(A410,'#1 IH Results'!$A$2:$C$101,2,0),0)+IFERROR(VLOOKUP(A410,'#0 IH Results'!$A$3:$C$102,2,0),0)</f>
        <v>0</v>
      </c>
    </row>
    <row r="411">
      <c r="B411" s="6">
        <f>IFERROR(VLOOKUP(A411,'#17 IH Results'!$A$2:$C$301,2,0),0)+IFERROR(VLOOKUP(A411,'#16 IH Results'!$A$2:$C$301,2,0),0)+IFERROR(VLOOKUP(A411,'#15 IH Results'!$A$2:$C$301,2,0),0)+IFERROR(VLOOKUP(A411,'#14 IH Results'!$A$2:$C$302,2,0),0)+IFERROR(VLOOKUP(A411,'#13 IH Results'!$A$2:$C$302,2,0),0)+IFERROR(VLOOKUP(A411,'#12 IH Results'!$A$2:$C$302,2,0),0)+IFERROR(VLOOKUP(A411,'#11 IH Results'!$A$2:$C$302,2,0),0)+IFERROR(VLOOKUP(A411,'#10 IH Results'!$A$2:$C$302,2,0),0)+IFERROR(VLOOKUP(A411,'#9 IH Results'!$A$2:$C$302,2,0),0)+IFERROR(VLOOKUP(A411,'#8 IH Results'!$A$2:$C$302,2,0),0)+IFERROR(VLOOKUP(A411,'#7 IH Results'!$A$2:$C$302,2,0),0)+IFERROR(VLOOKUP(A411,'#6 IH Results'!$A$2:$C$302,2,0),0)+IFERROR(VLOOKUP(A411,'#5 IH Results'!$A$2:$C$303,2,0),0)+IFERROR(VLOOKUP(A411,'#4 IH Results'!$A$2:$C$300,2,0),0)+IFERROR(VLOOKUP(A411,'#3 IH Results'!$A$2:$C$101,2,0),0)+IFERROR(VLOOKUP(A411,'#2 IH Results'!$A$2:$C$101,2,0),0)+IFERROR(VLOOKUP(A411,'#1 IH Results'!$A$2:$C$101,2,0),0)+IFERROR(VLOOKUP(A411,'#0 IH Results'!$A$3:$C$102,2,0),0)</f>
        <v>0</v>
      </c>
    </row>
    <row r="412">
      <c r="B412" s="6">
        <f>IFERROR(VLOOKUP(A412,'#17 IH Results'!$A$2:$C$301,2,0),0)+IFERROR(VLOOKUP(A412,'#16 IH Results'!$A$2:$C$301,2,0),0)+IFERROR(VLOOKUP(A412,'#15 IH Results'!$A$2:$C$301,2,0),0)+IFERROR(VLOOKUP(A412,'#14 IH Results'!$A$2:$C$302,2,0),0)+IFERROR(VLOOKUP(A412,'#13 IH Results'!$A$2:$C$302,2,0),0)+IFERROR(VLOOKUP(A412,'#12 IH Results'!$A$2:$C$302,2,0),0)+IFERROR(VLOOKUP(A412,'#11 IH Results'!$A$2:$C$302,2,0),0)+IFERROR(VLOOKUP(A412,'#10 IH Results'!$A$2:$C$302,2,0),0)+IFERROR(VLOOKUP(A412,'#9 IH Results'!$A$2:$C$302,2,0),0)+IFERROR(VLOOKUP(A412,'#8 IH Results'!$A$2:$C$302,2,0),0)+IFERROR(VLOOKUP(A412,'#7 IH Results'!$A$2:$C$302,2,0),0)+IFERROR(VLOOKUP(A412,'#6 IH Results'!$A$2:$C$302,2,0),0)+IFERROR(VLOOKUP(A412,'#5 IH Results'!$A$2:$C$303,2,0),0)+IFERROR(VLOOKUP(A412,'#4 IH Results'!$A$2:$C$300,2,0),0)+IFERROR(VLOOKUP(A412,'#3 IH Results'!$A$2:$C$101,2,0),0)+IFERROR(VLOOKUP(A412,'#2 IH Results'!$A$2:$C$101,2,0),0)+IFERROR(VLOOKUP(A412,'#1 IH Results'!$A$2:$C$101,2,0),0)+IFERROR(VLOOKUP(A412,'#0 IH Results'!$A$3:$C$102,2,0),0)</f>
        <v>0</v>
      </c>
    </row>
    <row r="413">
      <c r="B413" s="6">
        <f>IFERROR(VLOOKUP(A413,'#17 IH Results'!$A$2:$C$301,2,0),0)+IFERROR(VLOOKUP(A413,'#16 IH Results'!$A$2:$C$301,2,0),0)+IFERROR(VLOOKUP(A413,'#15 IH Results'!$A$2:$C$301,2,0),0)+IFERROR(VLOOKUP(A413,'#14 IH Results'!$A$2:$C$302,2,0),0)+IFERROR(VLOOKUP(A413,'#13 IH Results'!$A$2:$C$302,2,0),0)+IFERROR(VLOOKUP(A413,'#12 IH Results'!$A$2:$C$302,2,0),0)+IFERROR(VLOOKUP(A413,'#11 IH Results'!$A$2:$C$302,2,0),0)+IFERROR(VLOOKUP(A413,'#10 IH Results'!$A$2:$C$302,2,0),0)+IFERROR(VLOOKUP(A413,'#9 IH Results'!$A$2:$C$302,2,0),0)+IFERROR(VLOOKUP(A413,'#8 IH Results'!$A$2:$C$302,2,0),0)+IFERROR(VLOOKUP(A413,'#7 IH Results'!$A$2:$C$302,2,0),0)+IFERROR(VLOOKUP(A413,'#6 IH Results'!$A$2:$C$302,2,0),0)+IFERROR(VLOOKUP(A413,'#5 IH Results'!$A$2:$C$303,2,0),0)+IFERROR(VLOOKUP(A413,'#4 IH Results'!$A$2:$C$300,2,0),0)+IFERROR(VLOOKUP(A413,'#3 IH Results'!$A$2:$C$101,2,0),0)+IFERROR(VLOOKUP(A413,'#2 IH Results'!$A$2:$C$101,2,0),0)+IFERROR(VLOOKUP(A413,'#1 IH Results'!$A$2:$C$101,2,0),0)+IFERROR(VLOOKUP(A413,'#0 IH Results'!$A$3:$C$102,2,0),0)</f>
        <v>0</v>
      </c>
    </row>
    <row r="414">
      <c r="B414" s="6">
        <f>IFERROR(VLOOKUP(A414,'#17 IH Results'!$A$2:$C$301,2,0),0)+IFERROR(VLOOKUP(A414,'#16 IH Results'!$A$2:$C$301,2,0),0)+IFERROR(VLOOKUP(A414,'#15 IH Results'!$A$2:$C$301,2,0),0)+IFERROR(VLOOKUP(A414,'#14 IH Results'!$A$2:$C$302,2,0),0)+IFERROR(VLOOKUP(A414,'#13 IH Results'!$A$2:$C$302,2,0),0)+IFERROR(VLOOKUP(A414,'#12 IH Results'!$A$2:$C$302,2,0),0)+IFERROR(VLOOKUP(A414,'#11 IH Results'!$A$2:$C$302,2,0),0)+IFERROR(VLOOKUP(A414,'#10 IH Results'!$A$2:$C$302,2,0),0)+IFERROR(VLOOKUP(A414,'#9 IH Results'!$A$2:$C$302,2,0),0)+IFERROR(VLOOKUP(A414,'#8 IH Results'!$A$2:$C$302,2,0),0)+IFERROR(VLOOKUP(A414,'#7 IH Results'!$A$2:$C$302,2,0),0)+IFERROR(VLOOKUP(A414,'#6 IH Results'!$A$2:$C$302,2,0),0)+IFERROR(VLOOKUP(A414,'#5 IH Results'!$A$2:$C$303,2,0),0)+IFERROR(VLOOKUP(A414,'#4 IH Results'!$A$2:$C$300,2,0),0)+IFERROR(VLOOKUP(A414,'#3 IH Results'!$A$2:$C$101,2,0),0)+IFERROR(VLOOKUP(A414,'#2 IH Results'!$A$2:$C$101,2,0),0)+IFERROR(VLOOKUP(A414,'#1 IH Results'!$A$2:$C$101,2,0),0)+IFERROR(VLOOKUP(A414,'#0 IH Results'!$A$3:$C$102,2,0),0)</f>
        <v>0</v>
      </c>
    </row>
    <row r="415">
      <c r="B415" s="6">
        <f>IFERROR(VLOOKUP(A415,'#17 IH Results'!$A$2:$C$301,2,0),0)+IFERROR(VLOOKUP(A415,'#16 IH Results'!$A$2:$C$301,2,0),0)+IFERROR(VLOOKUP(A415,'#15 IH Results'!$A$2:$C$301,2,0),0)+IFERROR(VLOOKUP(A415,'#14 IH Results'!$A$2:$C$302,2,0),0)+IFERROR(VLOOKUP(A415,'#13 IH Results'!$A$2:$C$302,2,0),0)+IFERROR(VLOOKUP(A415,'#12 IH Results'!$A$2:$C$302,2,0),0)+IFERROR(VLOOKUP(A415,'#11 IH Results'!$A$2:$C$302,2,0),0)+IFERROR(VLOOKUP(A415,'#10 IH Results'!$A$2:$C$302,2,0),0)+IFERROR(VLOOKUP(A415,'#9 IH Results'!$A$2:$C$302,2,0),0)+IFERROR(VLOOKUP(A415,'#8 IH Results'!$A$2:$C$302,2,0),0)+IFERROR(VLOOKUP(A415,'#7 IH Results'!$A$2:$C$302,2,0),0)+IFERROR(VLOOKUP(A415,'#6 IH Results'!$A$2:$C$302,2,0),0)+IFERROR(VLOOKUP(A415,'#5 IH Results'!$A$2:$C$303,2,0),0)+IFERROR(VLOOKUP(A415,'#4 IH Results'!$A$2:$C$300,2,0),0)+IFERROR(VLOOKUP(A415,'#3 IH Results'!$A$2:$C$101,2,0),0)+IFERROR(VLOOKUP(A415,'#2 IH Results'!$A$2:$C$101,2,0),0)+IFERROR(VLOOKUP(A415,'#1 IH Results'!$A$2:$C$101,2,0),0)+IFERROR(VLOOKUP(A415,'#0 IH Results'!$A$3:$C$102,2,0),0)</f>
        <v>0</v>
      </c>
    </row>
    <row r="416">
      <c r="B416" s="6">
        <f>IFERROR(VLOOKUP(A416,'#17 IH Results'!$A$2:$C$301,2,0),0)+IFERROR(VLOOKUP(A416,'#16 IH Results'!$A$2:$C$301,2,0),0)+IFERROR(VLOOKUP(A416,'#15 IH Results'!$A$2:$C$301,2,0),0)+IFERROR(VLOOKUP(A416,'#14 IH Results'!$A$2:$C$302,2,0),0)+IFERROR(VLOOKUP(A416,'#13 IH Results'!$A$2:$C$302,2,0),0)+IFERROR(VLOOKUP(A416,'#12 IH Results'!$A$2:$C$302,2,0),0)+IFERROR(VLOOKUP(A416,'#11 IH Results'!$A$2:$C$302,2,0),0)+IFERROR(VLOOKUP(A416,'#10 IH Results'!$A$2:$C$302,2,0),0)+IFERROR(VLOOKUP(A416,'#9 IH Results'!$A$2:$C$302,2,0),0)+IFERROR(VLOOKUP(A416,'#8 IH Results'!$A$2:$C$302,2,0),0)+IFERROR(VLOOKUP(A416,'#7 IH Results'!$A$2:$C$302,2,0),0)+IFERROR(VLOOKUP(A416,'#6 IH Results'!$A$2:$C$302,2,0),0)+IFERROR(VLOOKUP(A416,'#5 IH Results'!$A$2:$C$303,2,0),0)+IFERROR(VLOOKUP(A416,'#4 IH Results'!$A$2:$C$300,2,0),0)+IFERROR(VLOOKUP(A416,'#3 IH Results'!$A$2:$C$101,2,0),0)+IFERROR(VLOOKUP(A416,'#2 IH Results'!$A$2:$C$101,2,0),0)+IFERROR(VLOOKUP(A416,'#1 IH Results'!$A$2:$C$101,2,0),0)+IFERROR(VLOOKUP(A416,'#0 IH Results'!$A$3:$C$102,2,0),0)</f>
        <v>0</v>
      </c>
    </row>
    <row r="417">
      <c r="B417" s="6">
        <f>IFERROR(VLOOKUP(A417,'#17 IH Results'!$A$2:$C$301,2,0),0)+IFERROR(VLOOKUP(A417,'#16 IH Results'!$A$2:$C$301,2,0),0)+IFERROR(VLOOKUP(A417,'#15 IH Results'!$A$2:$C$301,2,0),0)+IFERROR(VLOOKUP(A417,'#14 IH Results'!$A$2:$C$302,2,0),0)+IFERROR(VLOOKUP(A417,'#13 IH Results'!$A$2:$C$302,2,0),0)+IFERROR(VLOOKUP(A417,'#12 IH Results'!$A$2:$C$302,2,0),0)+IFERROR(VLOOKUP(A417,'#11 IH Results'!$A$2:$C$302,2,0),0)+IFERROR(VLOOKUP(A417,'#10 IH Results'!$A$2:$C$302,2,0),0)+IFERROR(VLOOKUP(A417,'#9 IH Results'!$A$2:$C$302,2,0),0)+IFERROR(VLOOKUP(A417,'#8 IH Results'!$A$2:$C$302,2,0),0)+IFERROR(VLOOKUP(A417,'#7 IH Results'!$A$2:$C$302,2,0),0)+IFERROR(VLOOKUP(A417,'#6 IH Results'!$A$2:$C$302,2,0),0)+IFERROR(VLOOKUP(A417,'#5 IH Results'!$A$2:$C$303,2,0),0)+IFERROR(VLOOKUP(A417,'#4 IH Results'!$A$2:$C$300,2,0),0)+IFERROR(VLOOKUP(A417,'#3 IH Results'!$A$2:$C$101,2,0),0)+IFERROR(VLOOKUP(A417,'#2 IH Results'!$A$2:$C$101,2,0),0)+IFERROR(VLOOKUP(A417,'#1 IH Results'!$A$2:$C$101,2,0),0)+IFERROR(VLOOKUP(A417,'#0 IH Results'!$A$3:$C$102,2,0),0)</f>
        <v>0</v>
      </c>
    </row>
    <row r="418">
      <c r="B418" s="6">
        <f>IFERROR(VLOOKUP(A418,'#17 IH Results'!$A$2:$C$301,2,0),0)+IFERROR(VLOOKUP(A418,'#16 IH Results'!$A$2:$C$301,2,0),0)+IFERROR(VLOOKUP(A418,'#15 IH Results'!$A$2:$C$301,2,0),0)+IFERROR(VLOOKUP(A418,'#14 IH Results'!$A$2:$C$302,2,0),0)+IFERROR(VLOOKUP(A418,'#13 IH Results'!$A$2:$C$302,2,0),0)+IFERROR(VLOOKUP(A418,'#12 IH Results'!$A$2:$C$302,2,0),0)+IFERROR(VLOOKUP(A418,'#11 IH Results'!$A$2:$C$302,2,0),0)+IFERROR(VLOOKUP(A418,'#10 IH Results'!$A$2:$C$302,2,0),0)+IFERROR(VLOOKUP(A418,'#9 IH Results'!$A$2:$C$302,2,0),0)+IFERROR(VLOOKUP(A418,'#8 IH Results'!$A$2:$C$302,2,0),0)+IFERROR(VLOOKUP(A418,'#7 IH Results'!$A$2:$C$302,2,0),0)+IFERROR(VLOOKUP(A418,'#6 IH Results'!$A$2:$C$302,2,0),0)+IFERROR(VLOOKUP(A418,'#5 IH Results'!$A$2:$C$303,2,0),0)+IFERROR(VLOOKUP(A418,'#4 IH Results'!$A$2:$C$300,2,0),0)+IFERROR(VLOOKUP(A418,'#3 IH Results'!$A$2:$C$101,2,0),0)+IFERROR(VLOOKUP(A418,'#2 IH Results'!$A$2:$C$101,2,0),0)+IFERROR(VLOOKUP(A418,'#1 IH Results'!$A$2:$C$101,2,0),0)+IFERROR(VLOOKUP(A418,'#0 IH Results'!$A$3:$C$102,2,0),0)</f>
        <v>0</v>
      </c>
    </row>
    <row r="419">
      <c r="B419" s="6">
        <f>IFERROR(VLOOKUP(A419,'#17 IH Results'!$A$2:$C$301,2,0),0)+IFERROR(VLOOKUP(A419,'#16 IH Results'!$A$2:$C$301,2,0),0)+IFERROR(VLOOKUP(A419,'#15 IH Results'!$A$2:$C$301,2,0),0)+IFERROR(VLOOKUP(A419,'#14 IH Results'!$A$2:$C$302,2,0),0)+IFERROR(VLOOKUP(A419,'#13 IH Results'!$A$2:$C$302,2,0),0)+IFERROR(VLOOKUP(A419,'#12 IH Results'!$A$2:$C$302,2,0),0)+IFERROR(VLOOKUP(A419,'#11 IH Results'!$A$2:$C$302,2,0),0)+IFERROR(VLOOKUP(A419,'#10 IH Results'!$A$2:$C$302,2,0),0)+IFERROR(VLOOKUP(A419,'#9 IH Results'!$A$2:$C$302,2,0),0)+IFERROR(VLOOKUP(A419,'#8 IH Results'!$A$2:$C$302,2,0),0)+IFERROR(VLOOKUP(A419,'#7 IH Results'!$A$2:$C$302,2,0),0)+IFERROR(VLOOKUP(A419,'#6 IH Results'!$A$2:$C$302,2,0),0)+IFERROR(VLOOKUP(A419,'#5 IH Results'!$A$2:$C$303,2,0),0)+IFERROR(VLOOKUP(A419,'#4 IH Results'!$A$2:$C$300,2,0),0)+IFERROR(VLOOKUP(A419,'#3 IH Results'!$A$2:$C$101,2,0),0)+IFERROR(VLOOKUP(A419,'#2 IH Results'!$A$2:$C$101,2,0),0)+IFERROR(VLOOKUP(A419,'#1 IH Results'!$A$2:$C$101,2,0),0)+IFERROR(VLOOKUP(A419,'#0 IH Results'!$A$3:$C$102,2,0),0)</f>
        <v>0</v>
      </c>
    </row>
    <row r="420">
      <c r="B420" s="6">
        <f>IFERROR(VLOOKUP(A420,'#17 IH Results'!$A$2:$C$301,2,0),0)+IFERROR(VLOOKUP(A420,'#16 IH Results'!$A$2:$C$301,2,0),0)+IFERROR(VLOOKUP(A420,'#15 IH Results'!$A$2:$C$301,2,0),0)+IFERROR(VLOOKUP(A420,'#14 IH Results'!$A$2:$C$302,2,0),0)+IFERROR(VLOOKUP(A420,'#13 IH Results'!$A$2:$C$302,2,0),0)+IFERROR(VLOOKUP(A420,'#12 IH Results'!$A$2:$C$302,2,0),0)+IFERROR(VLOOKUP(A420,'#11 IH Results'!$A$2:$C$302,2,0),0)+IFERROR(VLOOKUP(A420,'#10 IH Results'!$A$2:$C$302,2,0),0)+IFERROR(VLOOKUP(A420,'#9 IH Results'!$A$2:$C$302,2,0),0)+IFERROR(VLOOKUP(A420,'#8 IH Results'!$A$2:$C$302,2,0),0)+IFERROR(VLOOKUP(A420,'#7 IH Results'!$A$2:$C$302,2,0),0)+IFERROR(VLOOKUP(A420,'#6 IH Results'!$A$2:$C$302,2,0),0)+IFERROR(VLOOKUP(A420,'#5 IH Results'!$A$2:$C$303,2,0),0)+IFERROR(VLOOKUP(A420,'#4 IH Results'!$A$2:$C$300,2,0),0)+IFERROR(VLOOKUP(A420,'#3 IH Results'!$A$2:$C$101,2,0),0)+IFERROR(VLOOKUP(A420,'#2 IH Results'!$A$2:$C$101,2,0),0)+IFERROR(VLOOKUP(A420,'#1 IH Results'!$A$2:$C$101,2,0),0)+IFERROR(VLOOKUP(A420,'#0 IH Results'!$A$3:$C$102,2,0),0)</f>
        <v>0</v>
      </c>
    </row>
    <row r="421">
      <c r="B421" s="6">
        <f>IFERROR(VLOOKUP(A421,'#17 IH Results'!$A$2:$C$301,2,0),0)+IFERROR(VLOOKUP(A421,'#16 IH Results'!$A$2:$C$301,2,0),0)+IFERROR(VLOOKUP(A421,'#15 IH Results'!$A$2:$C$301,2,0),0)+IFERROR(VLOOKUP(A421,'#14 IH Results'!$A$2:$C$302,2,0),0)+IFERROR(VLOOKUP(A421,'#13 IH Results'!$A$2:$C$302,2,0),0)+IFERROR(VLOOKUP(A421,'#12 IH Results'!$A$2:$C$302,2,0),0)+IFERROR(VLOOKUP(A421,'#11 IH Results'!$A$2:$C$302,2,0),0)+IFERROR(VLOOKUP(A421,'#10 IH Results'!$A$2:$C$302,2,0),0)+IFERROR(VLOOKUP(A421,'#9 IH Results'!$A$2:$C$302,2,0),0)+IFERROR(VLOOKUP(A421,'#8 IH Results'!$A$2:$C$302,2,0),0)+IFERROR(VLOOKUP(A421,'#7 IH Results'!$A$2:$C$302,2,0),0)+IFERROR(VLOOKUP(A421,'#6 IH Results'!$A$2:$C$302,2,0),0)+IFERROR(VLOOKUP(A421,'#5 IH Results'!$A$2:$C$303,2,0),0)+IFERROR(VLOOKUP(A421,'#4 IH Results'!$A$2:$C$300,2,0),0)+IFERROR(VLOOKUP(A421,'#3 IH Results'!$A$2:$C$101,2,0),0)+IFERROR(VLOOKUP(A421,'#2 IH Results'!$A$2:$C$101,2,0),0)+IFERROR(VLOOKUP(A421,'#1 IH Results'!$A$2:$C$101,2,0),0)+IFERROR(VLOOKUP(A421,'#0 IH Results'!$A$3:$C$102,2,0),0)</f>
        <v>0</v>
      </c>
    </row>
    <row r="422">
      <c r="B422" s="6">
        <f>IFERROR(VLOOKUP(A422,'#17 IH Results'!$A$2:$C$301,2,0),0)+IFERROR(VLOOKUP(A422,'#16 IH Results'!$A$2:$C$301,2,0),0)+IFERROR(VLOOKUP(A422,'#15 IH Results'!$A$2:$C$301,2,0),0)+IFERROR(VLOOKUP(A422,'#14 IH Results'!$A$2:$C$302,2,0),0)+IFERROR(VLOOKUP(A422,'#13 IH Results'!$A$2:$C$302,2,0),0)+IFERROR(VLOOKUP(A422,'#12 IH Results'!$A$2:$C$302,2,0),0)+IFERROR(VLOOKUP(A422,'#11 IH Results'!$A$2:$C$302,2,0),0)+IFERROR(VLOOKUP(A422,'#10 IH Results'!$A$2:$C$302,2,0),0)+IFERROR(VLOOKUP(A422,'#9 IH Results'!$A$2:$C$302,2,0),0)+IFERROR(VLOOKUP(A422,'#8 IH Results'!$A$2:$C$302,2,0),0)+IFERROR(VLOOKUP(A422,'#7 IH Results'!$A$2:$C$302,2,0),0)+IFERROR(VLOOKUP(A422,'#6 IH Results'!$A$2:$C$302,2,0),0)+IFERROR(VLOOKUP(A422,'#5 IH Results'!$A$2:$C$303,2,0),0)+IFERROR(VLOOKUP(A422,'#4 IH Results'!$A$2:$C$300,2,0),0)+IFERROR(VLOOKUP(A422,'#3 IH Results'!$A$2:$C$101,2,0),0)+IFERROR(VLOOKUP(A422,'#2 IH Results'!$A$2:$C$101,2,0),0)+IFERROR(VLOOKUP(A422,'#1 IH Results'!$A$2:$C$101,2,0),0)+IFERROR(VLOOKUP(A422,'#0 IH Results'!$A$3:$C$102,2,0),0)</f>
        <v>0</v>
      </c>
    </row>
    <row r="423">
      <c r="B423" s="6">
        <f>IFERROR(VLOOKUP(A423,'#17 IH Results'!$A$2:$C$301,2,0),0)+IFERROR(VLOOKUP(A423,'#16 IH Results'!$A$2:$C$301,2,0),0)+IFERROR(VLOOKUP(A423,'#15 IH Results'!$A$2:$C$301,2,0),0)+IFERROR(VLOOKUP(A423,'#14 IH Results'!$A$2:$C$302,2,0),0)+IFERROR(VLOOKUP(A423,'#13 IH Results'!$A$2:$C$302,2,0),0)+IFERROR(VLOOKUP(A423,'#12 IH Results'!$A$2:$C$302,2,0),0)+IFERROR(VLOOKUP(A423,'#11 IH Results'!$A$2:$C$302,2,0),0)+IFERROR(VLOOKUP(A423,'#10 IH Results'!$A$2:$C$302,2,0),0)+IFERROR(VLOOKUP(A423,'#9 IH Results'!$A$2:$C$302,2,0),0)+IFERROR(VLOOKUP(A423,'#8 IH Results'!$A$2:$C$302,2,0),0)+IFERROR(VLOOKUP(A423,'#7 IH Results'!$A$2:$C$302,2,0),0)+IFERROR(VLOOKUP(A423,'#6 IH Results'!$A$2:$C$302,2,0),0)+IFERROR(VLOOKUP(A423,'#5 IH Results'!$A$2:$C$303,2,0),0)+IFERROR(VLOOKUP(A423,'#4 IH Results'!$A$2:$C$300,2,0),0)+IFERROR(VLOOKUP(A423,'#3 IH Results'!$A$2:$C$101,2,0),0)+IFERROR(VLOOKUP(A423,'#2 IH Results'!$A$2:$C$101,2,0),0)+IFERROR(VLOOKUP(A423,'#1 IH Results'!$A$2:$C$101,2,0),0)+IFERROR(VLOOKUP(A423,'#0 IH Results'!$A$3:$C$102,2,0),0)</f>
        <v>0</v>
      </c>
    </row>
    <row r="424">
      <c r="B424" s="6">
        <f>IFERROR(VLOOKUP(A424,'#17 IH Results'!$A$2:$C$301,2,0),0)+IFERROR(VLOOKUP(A424,'#16 IH Results'!$A$2:$C$301,2,0),0)+IFERROR(VLOOKUP(A424,'#15 IH Results'!$A$2:$C$301,2,0),0)+IFERROR(VLOOKUP(A424,'#14 IH Results'!$A$2:$C$302,2,0),0)+IFERROR(VLOOKUP(A424,'#13 IH Results'!$A$2:$C$302,2,0),0)+IFERROR(VLOOKUP(A424,'#12 IH Results'!$A$2:$C$302,2,0),0)+IFERROR(VLOOKUP(A424,'#11 IH Results'!$A$2:$C$302,2,0),0)+IFERROR(VLOOKUP(A424,'#10 IH Results'!$A$2:$C$302,2,0),0)+IFERROR(VLOOKUP(A424,'#9 IH Results'!$A$2:$C$302,2,0),0)+IFERROR(VLOOKUP(A424,'#8 IH Results'!$A$2:$C$302,2,0),0)+IFERROR(VLOOKUP(A424,'#7 IH Results'!$A$2:$C$302,2,0),0)+IFERROR(VLOOKUP(A424,'#6 IH Results'!$A$2:$C$302,2,0),0)+IFERROR(VLOOKUP(A424,'#5 IH Results'!$A$2:$C$303,2,0),0)+IFERROR(VLOOKUP(A424,'#4 IH Results'!$A$2:$C$300,2,0),0)+IFERROR(VLOOKUP(A424,'#3 IH Results'!$A$2:$C$101,2,0),0)+IFERROR(VLOOKUP(A424,'#2 IH Results'!$A$2:$C$101,2,0),0)+IFERROR(VLOOKUP(A424,'#1 IH Results'!$A$2:$C$101,2,0),0)+IFERROR(VLOOKUP(A424,'#0 IH Results'!$A$3:$C$102,2,0),0)</f>
        <v>0</v>
      </c>
    </row>
    <row r="425">
      <c r="B425" s="6">
        <f>IFERROR(VLOOKUP(A425,'#17 IH Results'!$A$2:$C$301,2,0),0)+IFERROR(VLOOKUP(A425,'#16 IH Results'!$A$2:$C$301,2,0),0)+IFERROR(VLOOKUP(A425,'#15 IH Results'!$A$2:$C$301,2,0),0)+IFERROR(VLOOKUP(A425,'#14 IH Results'!$A$2:$C$302,2,0),0)+IFERROR(VLOOKUP(A425,'#13 IH Results'!$A$2:$C$302,2,0),0)+IFERROR(VLOOKUP(A425,'#12 IH Results'!$A$2:$C$302,2,0),0)+IFERROR(VLOOKUP(A425,'#11 IH Results'!$A$2:$C$302,2,0),0)+IFERROR(VLOOKUP(A425,'#10 IH Results'!$A$2:$C$302,2,0),0)+IFERROR(VLOOKUP(A425,'#9 IH Results'!$A$2:$C$302,2,0),0)+IFERROR(VLOOKUP(A425,'#8 IH Results'!$A$2:$C$302,2,0),0)+IFERROR(VLOOKUP(A425,'#7 IH Results'!$A$2:$C$302,2,0),0)+IFERROR(VLOOKUP(A425,'#6 IH Results'!$A$2:$C$302,2,0),0)+IFERROR(VLOOKUP(A425,'#5 IH Results'!$A$2:$C$303,2,0),0)+IFERROR(VLOOKUP(A425,'#4 IH Results'!$A$2:$C$300,2,0),0)+IFERROR(VLOOKUP(A425,'#3 IH Results'!$A$2:$C$101,2,0),0)+IFERROR(VLOOKUP(A425,'#2 IH Results'!$A$2:$C$101,2,0),0)+IFERROR(VLOOKUP(A425,'#1 IH Results'!$A$2:$C$101,2,0),0)+IFERROR(VLOOKUP(A425,'#0 IH Results'!$A$3:$C$102,2,0),0)</f>
        <v>0</v>
      </c>
    </row>
    <row r="426">
      <c r="B426" s="6">
        <f>IFERROR(VLOOKUP(A426,'#17 IH Results'!$A$2:$C$301,2,0),0)+IFERROR(VLOOKUP(A426,'#16 IH Results'!$A$2:$C$301,2,0),0)+IFERROR(VLOOKUP(A426,'#15 IH Results'!$A$2:$C$301,2,0),0)+IFERROR(VLOOKUP(A426,'#14 IH Results'!$A$2:$C$302,2,0),0)+IFERROR(VLOOKUP(A426,'#13 IH Results'!$A$2:$C$302,2,0),0)+IFERROR(VLOOKUP(A426,'#12 IH Results'!$A$2:$C$302,2,0),0)+IFERROR(VLOOKUP(A426,'#11 IH Results'!$A$2:$C$302,2,0),0)+IFERROR(VLOOKUP(A426,'#10 IH Results'!$A$2:$C$302,2,0),0)+IFERROR(VLOOKUP(A426,'#9 IH Results'!$A$2:$C$302,2,0),0)+IFERROR(VLOOKUP(A426,'#8 IH Results'!$A$2:$C$302,2,0),0)+IFERROR(VLOOKUP(A426,'#7 IH Results'!$A$2:$C$302,2,0),0)+IFERROR(VLOOKUP(A426,'#6 IH Results'!$A$2:$C$302,2,0),0)+IFERROR(VLOOKUP(A426,'#5 IH Results'!$A$2:$C$303,2,0),0)+IFERROR(VLOOKUP(A426,'#4 IH Results'!$A$2:$C$300,2,0),0)+IFERROR(VLOOKUP(A426,'#3 IH Results'!$A$2:$C$101,2,0),0)+IFERROR(VLOOKUP(A426,'#2 IH Results'!$A$2:$C$101,2,0),0)+IFERROR(VLOOKUP(A426,'#1 IH Results'!$A$2:$C$101,2,0),0)+IFERROR(VLOOKUP(A426,'#0 IH Results'!$A$3:$C$102,2,0),0)</f>
        <v>0</v>
      </c>
    </row>
    <row r="427">
      <c r="B427" s="6">
        <f>IFERROR(VLOOKUP(A427,'#17 IH Results'!$A$2:$C$301,2,0),0)+IFERROR(VLOOKUP(A427,'#16 IH Results'!$A$2:$C$301,2,0),0)+IFERROR(VLOOKUP(A427,'#15 IH Results'!$A$2:$C$301,2,0),0)+IFERROR(VLOOKUP(A427,'#14 IH Results'!$A$2:$C$302,2,0),0)+IFERROR(VLOOKUP(A427,'#13 IH Results'!$A$2:$C$302,2,0),0)+IFERROR(VLOOKUP(A427,'#12 IH Results'!$A$2:$C$302,2,0),0)+IFERROR(VLOOKUP(A427,'#11 IH Results'!$A$2:$C$302,2,0),0)+IFERROR(VLOOKUP(A427,'#10 IH Results'!$A$2:$C$302,2,0),0)+IFERROR(VLOOKUP(A427,'#9 IH Results'!$A$2:$C$302,2,0),0)+IFERROR(VLOOKUP(A427,'#8 IH Results'!$A$2:$C$302,2,0),0)+IFERROR(VLOOKUP(A427,'#7 IH Results'!$A$2:$C$302,2,0),0)+IFERROR(VLOOKUP(A427,'#6 IH Results'!$A$2:$C$302,2,0),0)+IFERROR(VLOOKUP(A427,'#5 IH Results'!$A$2:$C$303,2,0),0)+IFERROR(VLOOKUP(A427,'#4 IH Results'!$A$2:$C$300,2,0),0)+IFERROR(VLOOKUP(A427,'#3 IH Results'!$A$2:$C$101,2,0),0)+IFERROR(VLOOKUP(A427,'#2 IH Results'!$A$2:$C$101,2,0),0)+IFERROR(VLOOKUP(A427,'#1 IH Results'!$A$2:$C$101,2,0),0)+IFERROR(VLOOKUP(A427,'#0 IH Results'!$A$3:$C$102,2,0),0)</f>
        <v>0</v>
      </c>
    </row>
    <row r="428">
      <c r="B428" s="6">
        <f>IFERROR(VLOOKUP(A428,'#17 IH Results'!$A$2:$C$301,2,0),0)+IFERROR(VLOOKUP(A428,'#16 IH Results'!$A$2:$C$301,2,0),0)+IFERROR(VLOOKUP(A428,'#15 IH Results'!$A$2:$C$301,2,0),0)+IFERROR(VLOOKUP(A428,'#14 IH Results'!$A$2:$C$302,2,0),0)+IFERROR(VLOOKUP(A428,'#13 IH Results'!$A$2:$C$302,2,0),0)+IFERROR(VLOOKUP(A428,'#12 IH Results'!$A$2:$C$302,2,0),0)+IFERROR(VLOOKUP(A428,'#11 IH Results'!$A$2:$C$302,2,0),0)+IFERROR(VLOOKUP(A428,'#10 IH Results'!$A$2:$C$302,2,0),0)+IFERROR(VLOOKUP(A428,'#9 IH Results'!$A$2:$C$302,2,0),0)+IFERROR(VLOOKUP(A428,'#8 IH Results'!$A$2:$C$302,2,0),0)+IFERROR(VLOOKUP(A428,'#7 IH Results'!$A$2:$C$302,2,0),0)+IFERROR(VLOOKUP(A428,'#6 IH Results'!$A$2:$C$302,2,0),0)+IFERROR(VLOOKUP(A428,'#5 IH Results'!$A$2:$C$303,2,0),0)+IFERROR(VLOOKUP(A428,'#4 IH Results'!$A$2:$C$300,2,0),0)+IFERROR(VLOOKUP(A428,'#3 IH Results'!$A$2:$C$101,2,0),0)+IFERROR(VLOOKUP(A428,'#2 IH Results'!$A$2:$C$101,2,0),0)+IFERROR(VLOOKUP(A428,'#1 IH Results'!$A$2:$C$101,2,0),0)+IFERROR(VLOOKUP(A428,'#0 IH Results'!$A$3:$C$102,2,0),0)</f>
        <v>0</v>
      </c>
    </row>
    <row r="429">
      <c r="B429" s="6">
        <f>IFERROR(VLOOKUP(A429,'#17 IH Results'!$A$2:$C$301,2,0),0)+IFERROR(VLOOKUP(A429,'#16 IH Results'!$A$2:$C$301,2,0),0)+IFERROR(VLOOKUP(A429,'#15 IH Results'!$A$2:$C$301,2,0),0)+IFERROR(VLOOKUP(A429,'#14 IH Results'!$A$2:$C$302,2,0),0)+IFERROR(VLOOKUP(A429,'#13 IH Results'!$A$2:$C$302,2,0),0)+IFERROR(VLOOKUP(A429,'#12 IH Results'!$A$2:$C$302,2,0),0)+IFERROR(VLOOKUP(A429,'#11 IH Results'!$A$2:$C$302,2,0),0)+IFERROR(VLOOKUP(A429,'#10 IH Results'!$A$2:$C$302,2,0),0)+IFERROR(VLOOKUP(A429,'#9 IH Results'!$A$2:$C$302,2,0),0)+IFERROR(VLOOKUP(A429,'#8 IH Results'!$A$2:$C$302,2,0),0)+IFERROR(VLOOKUP(A429,'#7 IH Results'!$A$2:$C$302,2,0),0)+IFERROR(VLOOKUP(A429,'#6 IH Results'!$A$2:$C$302,2,0),0)+IFERROR(VLOOKUP(A429,'#5 IH Results'!$A$2:$C$303,2,0),0)+IFERROR(VLOOKUP(A429,'#4 IH Results'!$A$2:$C$300,2,0),0)+IFERROR(VLOOKUP(A429,'#3 IH Results'!$A$2:$C$101,2,0),0)+IFERROR(VLOOKUP(A429,'#2 IH Results'!$A$2:$C$101,2,0),0)+IFERROR(VLOOKUP(A429,'#1 IH Results'!$A$2:$C$101,2,0),0)+IFERROR(VLOOKUP(A429,'#0 IH Results'!$A$3:$C$102,2,0),0)</f>
        <v>0</v>
      </c>
    </row>
    <row r="430">
      <c r="B430" s="6">
        <f>IFERROR(VLOOKUP(A430,'#17 IH Results'!$A$2:$C$301,2,0),0)+IFERROR(VLOOKUP(A430,'#16 IH Results'!$A$2:$C$301,2,0),0)+IFERROR(VLOOKUP(A430,'#15 IH Results'!$A$2:$C$301,2,0),0)+IFERROR(VLOOKUP(A430,'#14 IH Results'!$A$2:$C$302,2,0),0)+IFERROR(VLOOKUP(A430,'#13 IH Results'!$A$2:$C$302,2,0),0)+IFERROR(VLOOKUP(A430,'#12 IH Results'!$A$2:$C$302,2,0),0)+IFERROR(VLOOKUP(A430,'#11 IH Results'!$A$2:$C$302,2,0),0)+IFERROR(VLOOKUP(A430,'#10 IH Results'!$A$2:$C$302,2,0),0)+IFERROR(VLOOKUP(A430,'#9 IH Results'!$A$2:$C$302,2,0),0)+IFERROR(VLOOKUP(A430,'#8 IH Results'!$A$2:$C$302,2,0),0)+IFERROR(VLOOKUP(A430,'#7 IH Results'!$A$2:$C$302,2,0),0)+IFERROR(VLOOKUP(A430,'#6 IH Results'!$A$2:$C$302,2,0),0)+IFERROR(VLOOKUP(A430,'#5 IH Results'!$A$2:$C$303,2,0),0)+IFERROR(VLOOKUP(A430,'#4 IH Results'!$A$2:$C$300,2,0),0)+IFERROR(VLOOKUP(A430,'#3 IH Results'!$A$2:$C$101,2,0),0)+IFERROR(VLOOKUP(A430,'#2 IH Results'!$A$2:$C$101,2,0),0)+IFERROR(VLOOKUP(A430,'#1 IH Results'!$A$2:$C$101,2,0),0)+IFERROR(VLOOKUP(A430,'#0 IH Results'!$A$3:$C$102,2,0),0)</f>
        <v>0</v>
      </c>
    </row>
    <row r="431">
      <c r="B431" s="6">
        <f>IFERROR(VLOOKUP(A431,'#17 IH Results'!$A$2:$C$301,2,0),0)+IFERROR(VLOOKUP(A431,'#16 IH Results'!$A$2:$C$301,2,0),0)+IFERROR(VLOOKUP(A431,'#15 IH Results'!$A$2:$C$301,2,0),0)+IFERROR(VLOOKUP(A431,'#14 IH Results'!$A$2:$C$302,2,0),0)+IFERROR(VLOOKUP(A431,'#13 IH Results'!$A$2:$C$302,2,0),0)+IFERROR(VLOOKUP(A431,'#12 IH Results'!$A$2:$C$302,2,0),0)+IFERROR(VLOOKUP(A431,'#11 IH Results'!$A$2:$C$302,2,0),0)+IFERROR(VLOOKUP(A431,'#10 IH Results'!$A$2:$C$302,2,0),0)+IFERROR(VLOOKUP(A431,'#9 IH Results'!$A$2:$C$302,2,0),0)+IFERROR(VLOOKUP(A431,'#8 IH Results'!$A$2:$C$302,2,0),0)+IFERROR(VLOOKUP(A431,'#7 IH Results'!$A$2:$C$302,2,0),0)+IFERROR(VLOOKUP(A431,'#6 IH Results'!$A$2:$C$302,2,0),0)+IFERROR(VLOOKUP(A431,'#5 IH Results'!$A$2:$C$303,2,0),0)+IFERROR(VLOOKUP(A431,'#4 IH Results'!$A$2:$C$300,2,0),0)+IFERROR(VLOOKUP(A431,'#3 IH Results'!$A$2:$C$101,2,0),0)+IFERROR(VLOOKUP(A431,'#2 IH Results'!$A$2:$C$101,2,0),0)+IFERROR(VLOOKUP(A431,'#1 IH Results'!$A$2:$C$101,2,0),0)+IFERROR(VLOOKUP(A431,'#0 IH Results'!$A$3:$C$102,2,0),0)</f>
        <v>0</v>
      </c>
    </row>
    <row r="432">
      <c r="B432" s="6">
        <f>IFERROR(VLOOKUP(A432,'#17 IH Results'!$A$2:$C$301,2,0),0)+IFERROR(VLOOKUP(A432,'#16 IH Results'!$A$2:$C$301,2,0),0)+IFERROR(VLOOKUP(A432,'#15 IH Results'!$A$2:$C$301,2,0),0)+IFERROR(VLOOKUP(A432,'#14 IH Results'!$A$2:$C$302,2,0),0)+IFERROR(VLOOKUP(A432,'#13 IH Results'!$A$2:$C$302,2,0),0)+IFERROR(VLOOKUP(A432,'#12 IH Results'!$A$2:$C$302,2,0),0)+IFERROR(VLOOKUP(A432,'#11 IH Results'!$A$2:$C$302,2,0),0)+IFERROR(VLOOKUP(A432,'#10 IH Results'!$A$2:$C$302,2,0),0)+IFERROR(VLOOKUP(A432,'#9 IH Results'!$A$2:$C$302,2,0),0)+IFERROR(VLOOKUP(A432,'#8 IH Results'!$A$2:$C$302,2,0),0)+IFERROR(VLOOKUP(A432,'#7 IH Results'!$A$2:$C$302,2,0),0)+IFERROR(VLOOKUP(A432,'#6 IH Results'!$A$2:$C$302,2,0),0)+IFERROR(VLOOKUP(A432,'#5 IH Results'!$A$2:$C$303,2,0),0)+IFERROR(VLOOKUP(A432,'#4 IH Results'!$A$2:$C$300,2,0),0)+IFERROR(VLOOKUP(A432,'#3 IH Results'!$A$2:$C$101,2,0),0)+IFERROR(VLOOKUP(A432,'#2 IH Results'!$A$2:$C$101,2,0),0)+IFERROR(VLOOKUP(A432,'#1 IH Results'!$A$2:$C$101,2,0),0)+IFERROR(VLOOKUP(A432,'#0 IH Results'!$A$3:$C$102,2,0),0)</f>
        <v>0</v>
      </c>
    </row>
    <row r="433">
      <c r="B433" s="6">
        <f>IFERROR(VLOOKUP(A433,'#17 IH Results'!$A$2:$C$301,2,0),0)+IFERROR(VLOOKUP(A433,'#16 IH Results'!$A$2:$C$301,2,0),0)+IFERROR(VLOOKUP(A433,'#15 IH Results'!$A$2:$C$301,2,0),0)+IFERROR(VLOOKUP(A433,'#14 IH Results'!$A$2:$C$302,2,0),0)+IFERROR(VLOOKUP(A433,'#13 IH Results'!$A$2:$C$302,2,0),0)+IFERROR(VLOOKUP(A433,'#12 IH Results'!$A$2:$C$302,2,0),0)+IFERROR(VLOOKUP(A433,'#11 IH Results'!$A$2:$C$302,2,0),0)+IFERROR(VLOOKUP(A433,'#10 IH Results'!$A$2:$C$302,2,0),0)+IFERROR(VLOOKUP(A433,'#9 IH Results'!$A$2:$C$302,2,0),0)+IFERROR(VLOOKUP(A433,'#8 IH Results'!$A$2:$C$302,2,0),0)+IFERROR(VLOOKUP(A433,'#7 IH Results'!$A$2:$C$302,2,0),0)+IFERROR(VLOOKUP(A433,'#6 IH Results'!$A$2:$C$302,2,0),0)+IFERROR(VLOOKUP(A433,'#5 IH Results'!$A$2:$C$303,2,0),0)+IFERROR(VLOOKUP(A433,'#4 IH Results'!$A$2:$C$300,2,0),0)+IFERROR(VLOOKUP(A433,'#3 IH Results'!$A$2:$C$101,2,0),0)+IFERROR(VLOOKUP(A433,'#2 IH Results'!$A$2:$C$101,2,0),0)+IFERROR(VLOOKUP(A433,'#1 IH Results'!$A$2:$C$101,2,0),0)+IFERROR(VLOOKUP(A433,'#0 IH Results'!$A$3:$C$102,2,0),0)</f>
        <v>0</v>
      </c>
    </row>
    <row r="434">
      <c r="B434" s="6">
        <f>IFERROR(VLOOKUP(A434,'#17 IH Results'!$A$2:$C$301,2,0),0)+IFERROR(VLOOKUP(A434,'#16 IH Results'!$A$2:$C$301,2,0),0)+IFERROR(VLOOKUP(A434,'#15 IH Results'!$A$2:$C$301,2,0),0)+IFERROR(VLOOKUP(A434,'#14 IH Results'!$A$2:$C$302,2,0),0)+IFERROR(VLOOKUP(A434,'#13 IH Results'!$A$2:$C$302,2,0),0)+IFERROR(VLOOKUP(A434,'#12 IH Results'!$A$2:$C$302,2,0),0)+IFERROR(VLOOKUP(A434,'#11 IH Results'!$A$2:$C$302,2,0),0)+IFERROR(VLOOKUP(A434,'#10 IH Results'!$A$2:$C$302,2,0),0)+IFERROR(VLOOKUP(A434,'#9 IH Results'!$A$2:$C$302,2,0),0)+IFERROR(VLOOKUP(A434,'#8 IH Results'!$A$2:$C$302,2,0),0)+IFERROR(VLOOKUP(A434,'#7 IH Results'!$A$2:$C$302,2,0),0)+IFERROR(VLOOKUP(A434,'#6 IH Results'!$A$2:$C$302,2,0),0)+IFERROR(VLOOKUP(A434,'#5 IH Results'!$A$2:$C$303,2,0),0)+IFERROR(VLOOKUP(A434,'#4 IH Results'!$A$2:$C$300,2,0),0)+IFERROR(VLOOKUP(A434,'#3 IH Results'!$A$2:$C$101,2,0),0)+IFERROR(VLOOKUP(A434,'#2 IH Results'!$A$2:$C$101,2,0),0)+IFERROR(VLOOKUP(A434,'#1 IH Results'!$A$2:$C$101,2,0),0)+IFERROR(VLOOKUP(A434,'#0 IH Results'!$A$3:$C$102,2,0),0)</f>
        <v>0</v>
      </c>
    </row>
    <row r="435">
      <c r="B435" s="6">
        <f>IFERROR(VLOOKUP(A435,'#17 IH Results'!$A$2:$C$301,2,0),0)+IFERROR(VLOOKUP(A435,'#16 IH Results'!$A$2:$C$301,2,0),0)+IFERROR(VLOOKUP(A435,'#15 IH Results'!$A$2:$C$301,2,0),0)+IFERROR(VLOOKUP(A435,'#14 IH Results'!$A$2:$C$302,2,0),0)+IFERROR(VLOOKUP(A435,'#13 IH Results'!$A$2:$C$302,2,0),0)+IFERROR(VLOOKUP(A435,'#12 IH Results'!$A$2:$C$302,2,0),0)+IFERROR(VLOOKUP(A435,'#11 IH Results'!$A$2:$C$302,2,0),0)+IFERROR(VLOOKUP(A435,'#10 IH Results'!$A$2:$C$302,2,0),0)+IFERROR(VLOOKUP(A435,'#9 IH Results'!$A$2:$C$302,2,0),0)+IFERROR(VLOOKUP(A435,'#8 IH Results'!$A$2:$C$302,2,0),0)+IFERROR(VLOOKUP(A435,'#7 IH Results'!$A$2:$C$302,2,0),0)+IFERROR(VLOOKUP(A435,'#6 IH Results'!$A$2:$C$302,2,0),0)+IFERROR(VLOOKUP(A435,'#5 IH Results'!$A$2:$C$303,2,0),0)+IFERROR(VLOOKUP(A435,'#4 IH Results'!$A$2:$C$300,2,0),0)+IFERROR(VLOOKUP(A435,'#3 IH Results'!$A$2:$C$101,2,0),0)+IFERROR(VLOOKUP(A435,'#2 IH Results'!$A$2:$C$101,2,0),0)+IFERROR(VLOOKUP(A435,'#1 IH Results'!$A$2:$C$101,2,0),0)+IFERROR(VLOOKUP(A435,'#0 IH Results'!$A$3:$C$102,2,0),0)</f>
        <v>0</v>
      </c>
    </row>
    <row r="436">
      <c r="B436" s="6">
        <f>IFERROR(VLOOKUP(A436,'#17 IH Results'!$A$2:$C$301,2,0),0)+IFERROR(VLOOKUP(A436,'#16 IH Results'!$A$2:$C$301,2,0),0)+IFERROR(VLOOKUP(A436,'#15 IH Results'!$A$2:$C$301,2,0),0)+IFERROR(VLOOKUP(A436,'#14 IH Results'!$A$2:$C$302,2,0),0)+IFERROR(VLOOKUP(A436,'#13 IH Results'!$A$2:$C$302,2,0),0)+IFERROR(VLOOKUP(A436,'#12 IH Results'!$A$2:$C$302,2,0),0)+IFERROR(VLOOKUP(A436,'#11 IH Results'!$A$2:$C$302,2,0),0)+IFERROR(VLOOKUP(A436,'#10 IH Results'!$A$2:$C$302,2,0),0)+IFERROR(VLOOKUP(A436,'#9 IH Results'!$A$2:$C$302,2,0),0)+IFERROR(VLOOKUP(A436,'#8 IH Results'!$A$2:$C$302,2,0),0)+IFERROR(VLOOKUP(A436,'#7 IH Results'!$A$2:$C$302,2,0),0)+IFERROR(VLOOKUP(A436,'#6 IH Results'!$A$2:$C$302,2,0),0)+IFERROR(VLOOKUP(A436,'#5 IH Results'!$A$2:$C$303,2,0),0)+IFERROR(VLOOKUP(A436,'#4 IH Results'!$A$2:$C$300,2,0),0)+IFERROR(VLOOKUP(A436,'#3 IH Results'!$A$2:$C$101,2,0),0)+IFERROR(VLOOKUP(A436,'#2 IH Results'!$A$2:$C$101,2,0),0)+IFERROR(VLOOKUP(A436,'#1 IH Results'!$A$2:$C$101,2,0),0)+IFERROR(VLOOKUP(A436,'#0 IH Results'!$A$3:$C$102,2,0),0)</f>
        <v>0</v>
      </c>
    </row>
    <row r="437">
      <c r="B437" s="6">
        <f>IFERROR(VLOOKUP(A437,'#17 IH Results'!$A$2:$C$301,2,0),0)+IFERROR(VLOOKUP(A437,'#16 IH Results'!$A$2:$C$301,2,0),0)+IFERROR(VLOOKUP(A437,'#15 IH Results'!$A$2:$C$301,2,0),0)+IFERROR(VLOOKUP(A437,'#14 IH Results'!$A$2:$C$302,2,0),0)+IFERROR(VLOOKUP(A437,'#13 IH Results'!$A$2:$C$302,2,0),0)+IFERROR(VLOOKUP(A437,'#12 IH Results'!$A$2:$C$302,2,0),0)+IFERROR(VLOOKUP(A437,'#11 IH Results'!$A$2:$C$302,2,0),0)+IFERROR(VLOOKUP(A437,'#10 IH Results'!$A$2:$C$302,2,0),0)+IFERROR(VLOOKUP(A437,'#9 IH Results'!$A$2:$C$302,2,0),0)+IFERROR(VLOOKUP(A437,'#8 IH Results'!$A$2:$C$302,2,0),0)+IFERROR(VLOOKUP(A437,'#7 IH Results'!$A$2:$C$302,2,0),0)+IFERROR(VLOOKUP(A437,'#6 IH Results'!$A$2:$C$302,2,0),0)+IFERROR(VLOOKUP(A437,'#5 IH Results'!$A$2:$C$303,2,0),0)+IFERROR(VLOOKUP(A437,'#4 IH Results'!$A$2:$C$300,2,0),0)+IFERROR(VLOOKUP(A437,'#3 IH Results'!$A$2:$C$101,2,0),0)+IFERROR(VLOOKUP(A437,'#2 IH Results'!$A$2:$C$101,2,0),0)+IFERROR(VLOOKUP(A437,'#1 IH Results'!$A$2:$C$101,2,0),0)+IFERROR(VLOOKUP(A437,'#0 IH Results'!$A$3:$C$102,2,0),0)</f>
        <v>0</v>
      </c>
    </row>
    <row r="438">
      <c r="B438" s="6">
        <f>IFERROR(VLOOKUP(A438,'#17 IH Results'!$A$2:$C$301,2,0),0)+IFERROR(VLOOKUP(A438,'#16 IH Results'!$A$2:$C$301,2,0),0)+IFERROR(VLOOKUP(A438,'#15 IH Results'!$A$2:$C$301,2,0),0)+IFERROR(VLOOKUP(A438,'#14 IH Results'!$A$2:$C$302,2,0),0)+IFERROR(VLOOKUP(A438,'#13 IH Results'!$A$2:$C$302,2,0),0)+IFERROR(VLOOKUP(A438,'#12 IH Results'!$A$2:$C$302,2,0),0)+IFERROR(VLOOKUP(A438,'#11 IH Results'!$A$2:$C$302,2,0),0)+IFERROR(VLOOKUP(A438,'#10 IH Results'!$A$2:$C$302,2,0),0)+IFERROR(VLOOKUP(A438,'#9 IH Results'!$A$2:$C$302,2,0),0)+IFERROR(VLOOKUP(A438,'#8 IH Results'!$A$2:$C$302,2,0),0)+IFERROR(VLOOKUP(A438,'#7 IH Results'!$A$2:$C$302,2,0),0)+IFERROR(VLOOKUP(A438,'#6 IH Results'!$A$2:$C$302,2,0),0)+IFERROR(VLOOKUP(A438,'#5 IH Results'!$A$2:$C$303,2,0),0)+IFERROR(VLOOKUP(A438,'#4 IH Results'!$A$2:$C$300,2,0),0)+IFERROR(VLOOKUP(A438,'#3 IH Results'!$A$2:$C$101,2,0),0)+IFERROR(VLOOKUP(A438,'#2 IH Results'!$A$2:$C$101,2,0),0)+IFERROR(VLOOKUP(A438,'#1 IH Results'!$A$2:$C$101,2,0),0)+IFERROR(VLOOKUP(A438,'#0 IH Results'!$A$3:$C$102,2,0),0)</f>
        <v>0</v>
      </c>
    </row>
    <row r="439">
      <c r="B439" s="6">
        <f>IFERROR(VLOOKUP(A439,'#17 IH Results'!$A$2:$C$301,2,0),0)+IFERROR(VLOOKUP(A439,'#16 IH Results'!$A$2:$C$301,2,0),0)+IFERROR(VLOOKUP(A439,'#15 IH Results'!$A$2:$C$301,2,0),0)+IFERROR(VLOOKUP(A439,'#14 IH Results'!$A$2:$C$302,2,0),0)+IFERROR(VLOOKUP(A439,'#13 IH Results'!$A$2:$C$302,2,0),0)+IFERROR(VLOOKUP(A439,'#12 IH Results'!$A$2:$C$302,2,0),0)+IFERROR(VLOOKUP(A439,'#11 IH Results'!$A$2:$C$302,2,0),0)+IFERROR(VLOOKUP(A439,'#10 IH Results'!$A$2:$C$302,2,0),0)+IFERROR(VLOOKUP(A439,'#9 IH Results'!$A$2:$C$302,2,0),0)+IFERROR(VLOOKUP(A439,'#8 IH Results'!$A$2:$C$302,2,0),0)+IFERROR(VLOOKUP(A439,'#7 IH Results'!$A$2:$C$302,2,0),0)+IFERROR(VLOOKUP(A439,'#6 IH Results'!$A$2:$C$302,2,0),0)+IFERROR(VLOOKUP(A439,'#5 IH Results'!$A$2:$C$303,2,0),0)+IFERROR(VLOOKUP(A439,'#4 IH Results'!$A$2:$C$300,2,0),0)+IFERROR(VLOOKUP(A439,'#3 IH Results'!$A$2:$C$101,2,0),0)+IFERROR(VLOOKUP(A439,'#2 IH Results'!$A$2:$C$101,2,0),0)+IFERROR(VLOOKUP(A439,'#1 IH Results'!$A$2:$C$101,2,0),0)+IFERROR(VLOOKUP(A439,'#0 IH Results'!$A$3:$C$102,2,0),0)</f>
        <v>0</v>
      </c>
    </row>
    <row r="440">
      <c r="B440" s="6">
        <f>IFERROR(VLOOKUP(A440,'#17 IH Results'!$A$2:$C$301,2,0),0)+IFERROR(VLOOKUP(A440,'#16 IH Results'!$A$2:$C$301,2,0),0)+IFERROR(VLOOKUP(A440,'#15 IH Results'!$A$2:$C$301,2,0),0)+IFERROR(VLOOKUP(A440,'#14 IH Results'!$A$2:$C$302,2,0),0)+IFERROR(VLOOKUP(A440,'#13 IH Results'!$A$2:$C$302,2,0),0)+IFERROR(VLOOKUP(A440,'#12 IH Results'!$A$2:$C$302,2,0),0)+IFERROR(VLOOKUP(A440,'#11 IH Results'!$A$2:$C$302,2,0),0)+IFERROR(VLOOKUP(A440,'#10 IH Results'!$A$2:$C$302,2,0),0)+IFERROR(VLOOKUP(A440,'#9 IH Results'!$A$2:$C$302,2,0),0)+IFERROR(VLOOKUP(A440,'#8 IH Results'!$A$2:$C$302,2,0),0)+IFERROR(VLOOKUP(A440,'#7 IH Results'!$A$2:$C$302,2,0),0)+IFERROR(VLOOKUP(A440,'#6 IH Results'!$A$2:$C$302,2,0),0)+IFERROR(VLOOKUP(A440,'#5 IH Results'!$A$2:$C$303,2,0),0)+IFERROR(VLOOKUP(A440,'#4 IH Results'!$A$2:$C$300,2,0),0)+IFERROR(VLOOKUP(A440,'#3 IH Results'!$A$2:$C$101,2,0),0)+IFERROR(VLOOKUP(A440,'#2 IH Results'!$A$2:$C$101,2,0),0)+IFERROR(VLOOKUP(A440,'#1 IH Results'!$A$2:$C$101,2,0),0)+IFERROR(VLOOKUP(A440,'#0 IH Results'!$A$3:$C$102,2,0),0)</f>
        <v>0</v>
      </c>
    </row>
    <row r="441">
      <c r="B441" s="6">
        <f>IFERROR(VLOOKUP(A441,'#17 IH Results'!$A$2:$C$301,2,0),0)+IFERROR(VLOOKUP(A441,'#16 IH Results'!$A$2:$C$301,2,0),0)+IFERROR(VLOOKUP(A441,'#15 IH Results'!$A$2:$C$301,2,0),0)+IFERROR(VLOOKUP(A441,'#14 IH Results'!$A$2:$C$302,2,0),0)+IFERROR(VLOOKUP(A441,'#13 IH Results'!$A$2:$C$302,2,0),0)+IFERROR(VLOOKUP(A441,'#12 IH Results'!$A$2:$C$302,2,0),0)+IFERROR(VLOOKUP(A441,'#11 IH Results'!$A$2:$C$302,2,0),0)+IFERROR(VLOOKUP(A441,'#10 IH Results'!$A$2:$C$302,2,0),0)+IFERROR(VLOOKUP(A441,'#9 IH Results'!$A$2:$C$302,2,0),0)+IFERROR(VLOOKUP(A441,'#8 IH Results'!$A$2:$C$302,2,0),0)+IFERROR(VLOOKUP(A441,'#7 IH Results'!$A$2:$C$302,2,0),0)+IFERROR(VLOOKUP(A441,'#6 IH Results'!$A$2:$C$302,2,0),0)+IFERROR(VLOOKUP(A441,'#5 IH Results'!$A$2:$C$303,2,0),0)+IFERROR(VLOOKUP(A441,'#4 IH Results'!$A$2:$C$300,2,0),0)+IFERROR(VLOOKUP(A441,'#3 IH Results'!$A$2:$C$101,2,0),0)+IFERROR(VLOOKUP(A441,'#2 IH Results'!$A$2:$C$101,2,0),0)+IFERROR(VLOOKUP(A441,'#1 IH Results'!$A$2:$C$101,2,0),0)+IFERROR(VLOOKUP(A441,'#0 IH Results'!$A$3:$C$102,2,0),0)</f>
        <v>0</v>
      </c>
    </row>
    <row r="442">
      <c r="B442" s="6">
        <f>IFERROR(VLOOKUP(A442,'#17 IH Results'!$A$2:$C$301,2,0),0)+IFERROR(VLOOKUP(A442,'#16 IH Results'!$A$2:$C$301,2,0),0)+IFERROR(VLOOKUP(A442,'#15 IH Results'!$A$2:$C$301,2,0),0)+IFERROR(VLOOKUP(A442,'#14 IH Results'!$A$2:$C$302,2,0),0)+IFERROR(VLOOKUP(A442,'#13 IH Results'!$A$2:$C$302,2,0),0)+IFERROR(VLOOKUP(A442,'#12 IH Results'!$A$2:$C$302,2,0),0)+IFERROR(VLOOKUP(A442,'#11 IH Results'!$A$2:$C$302,2,0),0)+IFERROR(VLOOKUP(A442,'#10 IH Results'!$A$2:$C$302,2,0),0)+IFERROR(VLOOKUP(A442,'#9 IH Results'!$A$2:$C$302,2,0),0)+IFERROR(VLOOKUP(A442,'#8 IH Results'!$A$2:$C$302,2,0),0)+IFERROR(VLOOKUP(A442,'#7 IH Results'!$A$2:$C$302,2,0),0)+IFERROR(VLOOKUP(A442,'#6 IH Results'!$A$2:$C$302,2,0),0)+IFERROR(VLOOKUP(A442,'#5 IH Results'!$A$2:$C$303,2,0),0)+IFERROR(VLOOKUP(A442,'#4 IH Results'!$A$2:$C$300,2,0),0)+IFERROR(VLOOKUP(A442,'#3 IH Results'!$A$2:$C$101,2,0),0)+IFERROR(VLOOKUP(A442,'#2 IH Results'!$A$2:$C$101,2,0),0)+IFERROR(VLOOKUP(A442,'#1 IH Results'!$A$2:$C$101,2,0),0)+IFERROR(VLOOKUP(A442,'#0 IH Results'!$A$3:$C$102,2,0),0)</f>
        <v>0</v>
      </c>
    </row>
    <row r="443">
      <c r="B443" s="6">
        <f>IFERROR(VLOOKUP(A443,'#17 IH Results'!$A$2:$C$301,2,0),0)+IFERROR(VLOOKUP(A443,'#16 IH Results'!$A$2:$C$301,2,0),0)+IFERROR(VLOOKUP(A443,'#15 IH Results'!$A$2:$C$301,2,0),0)+IFERROR(VLOOKUP(A443,'#14 IH Results'!$A$2:$C$302,2,0),0)+IFERROR(VLOOKUP(A443,'#13 IH Results'!$A$2:$C$302,2,0),0)+IFERROR(VLOOKUP(A443,'#12 IH Results'!$A$2:$C$302,2,0),0)+IFERROR(VLOOKUP(A443,'#11 IH Results'!$A$2:$C$302,2,0),0)+IFERROR(VLOOKUP(A443,'#10 IH Results'!$A$2:$C$302,2,0),0)+IFERROR(VLOOKUP(A443,'#9 IH Results'!$A$2:$C$302,2,0),0)+IFERROR(VLOOKUP(A443,'#8 IH Results'!$A$2:$C$302,2,0),0)+IFERROR(VLOOKUP(A443,'#7 IH Results'!$A$2:$C$302,2,0),0)+IFERROR(VLOOKUP(A443,'#6 IH Results'!$A$2:$C$302,2,0),0)+IFERROR(VLOOKUP(A443,'#5 IH Results'!$A$2:$C$303,2,0),0)+IFERROR(VLOOKUP(A443,'#4 IH Results'!$A$2:$C$300,2,0),0)+IFERROR(VLOOKUP(A443,'#3 IH Results'!$A$2:$C$101,2,0),0)+IFERROR(VLOOKUP(A443,'#2 IH Results'!$A$2:$C$101,2,0),0)+IFERROR(VLOOKUP(A443,'#1 IH Results'!$A$2:$C$101,2,0),0)+IFERROR(VLOOKUP(A443,'#0 IH Results'!$A$3:$C$102,2,0),0)</f>
        <v>0</v>
      </c>
    </row>
    <row r="444">
      <c r="B444" s="6">
        <f>IFERROR(VLOOKUP(A444,'#17 IH Results'!$A$2:$C$301,2,0),0)+IFERROR(VLOOKUP(A444,'#16 IH Results'!$A$2:$C$301,2,0),0)+IFERROR(VLOOKUP(A444,'#15 IH Results'!$A$2:$C$301,2,0),0)+IFERROR(VLOOKUP(A444,'#14 IH Results'!$A$2:$C$302,2,0),0)+IFERROR(VLOOKUP(A444,'#13 IH Results'!$A$2:$C$302,2,0),0)+IFERROR(VLOOKUP(A444,'#12 IH Results'!$A$2:$C$302,2,0),0)+IFERROR(VLOOKUP(A444,'#11 IH Results'!$A$2:$C$302,2,0),0)+IFERROR(VLOOKUP(A444,'#10 IH Results'!$A$2:$C$302,2,0),0)+IFERROR(VLOOKUP(A444,'#9 IH Results'!$A$2:$C$302,2,0),0)+IFERROR(VLOOKUP(A444,'#8 IH Results'!$A$2:$C$302,2,0),0)+IFERROR(VLOOKUP(A444,'#7 IH Results'!$A$2:$C$302,2,0),0)+IFERROR(VLOOKUP(A444,'#6 IH Results'!$A$2:$C$302,2,0),0)+IFERROR(VLOOKUP(A444,'#5 IH Results'!$A$2:$C$303,2,0),0)+IFERROR(VLOOKUP(A444,'#4 IH Results'!$A$2:$C$300,2,0),0)+IFERROR(VLOOKUP(A444,'#3 IH Results'!$A$2:$C$101,2,0),0)+IFERROR(VLOOKUP(A444,'#2 IH Results'!$A$2:$C$101,2,0),0)+IFERROR(VLOOKUP(A444,'#1 IH Results'!$A$2:$C$101,2,0),0)+IFERROR(VLOOKUP(A444,'#0 IH Results'!$A$3:$C$102,2,0),0)</f>
        <v>0</v>
      </c>
    </row>
    <row r="445">
      <c r="B445" s="6">
        <f>IFERROR(VLOOKUP(A445,'#17 IH Results'!$A$2:$C$301,2,0),0)+IFERROR(VLOOKUP(A445,'#16 IH Results'!$A$2:$C$301,2,0),0)+IFERROR(VLOOKUP(A445,'#15 IH Results'!$A$2:$C$301,2,0),0)+IFERROR(VLOOKUP(A445,'#14 IH Results'!$A$2:$C$302,2,0),0)+IFERROR(VLOOKUP(A445,'#13 IH Results'!$A$2:$C$302,2,0),0)+IFERROR(VLOOKUP(A445,'#12 IH Results'!$A$2:$C$302,2,0),0)+IFERROR(VLOOKUP(A445,'#11 IH Results'!$A$2:$C$302,2,0),0)+IFERROR(VLOOKUP(A445,'#10 IH Results'!$A$2:$C$302,2,0),0)+IFERROR(VLOOKUP(A445,'#9 IH Results'!$A$2:$C$302,2,0),0)+IFERROR(VLOOKUP(A445,'#8 IH Results'!$A$2:$C$302,2,0),0)+IFERROR(VLOOKUP(A445,'#7 IH Results'!$A$2:$C$302,2,0),0)+IFERROR(VLOOKUP(A445,'#6 IH Results'!$A$2:$C$302,2,0),0)+IFERROR(VLOOKUP(A445,'#5 IH Results'!$A$2:$C$303,2,0),0)+IFERROR(VLOOKUP(A445,'#4 IH Results'!$A$2:$C$300,2,0),0)+IFERROR(VLOOKUP(A445,'#3 IH Results'!$A$2:$C$101,2,0),0)+IFERROR(VLOOKUP(A445,'#2 IH Results'!$A$2:$C$101,2,0),0)+IFERROR(VLOOKUP(A445,'#1 IH Results'!$A$2:$C$101,2,0),0)+IFERROR(VLOOKUP(A445,'#0 IH Results'!$A$3:$C$102,2,0),0)</f>
        <v>0</v>
      </c>
    </row>
    <row r="446">
      <c r="B446" s="6">
        <f>IFERROR(VLOOKUP(A446,'#17 IH Results'!$A$2:$C$301,2,0),0)+IFERROR(VLOOKUP(A446,'#16 IH Results'!$A$2:$C$301,2,0),0)+IFERROR(VLOOKUP(A446,'#15 IH Results'!$A$2:$C$301,2,0),0)+IFERROR(VLOOKUP(A446,'#14 IH Results'!$A$2:$C$302,2,0),0)+IFERROR(VLOOKUP(A446,'#13 IH Results'!$A$2:$C$302,2,0),0)+IFERROR(VLOOKUP(A446,'#12 IH Results'!$A$2:$C$302,2,0),0)+IFERROR(VLOOKUP(A446,'#11 IH Results'!$A$2:$C$302,2,0),0)+IFERROR(VLOOKUP(A446,'#10 IH Results'!$A$2:$C$302,2,0),0)+IFERROR(VLOOKUP(A446,'#9 IH Results'!$A$2:$C$302,2,0),0)+IFERROR(VLOOKUP(A446,'#8 IH Results'!$A$2:$C$302,2,0),0)+IFERROR(VLOOKUP(A446,'#7 IH Results'!$A$2:$C$302,2,0),0)+IFERROR(VLOOKUP(A446,'#6 IH Results'!$A$2:$C$302,2,0),0)+IFERROR(VLOOKUP(A446,'#5 IH Results'!$A$2:$C$303,2,0),0)+IFERROR(VLOOKUP(A446,'#4 IH Results'!$A$2:$C$300,2,0),0)+IFERROR(VLOOKUP(A446,'#3 IH Results'!$A$2:$C$101,2,0),0)+IFERROR(VLOOKUP(A446,'#2 IH Results'!$A$2:$C$101,2,0),0)+IFERROR(VLOOKUP(A446,'#1 IH Results'!$A$2:$C$101,2,0),0)+IFERROR(VLOOKUP(A446,'#0 IH Results'!$A$3:$C$102,2,0),0)</f>
        <v>0</v>
      </c>
    </row>
    <row r="447">
      <c r="B447" s="6">
        <f>IFERROR(VLOOKUP(A447,'#17 IH Results'!$A$2:$C$301,2,0),0)+IFERROR(VLOOKUP(A447,'#16 IH Results'!$A$2:$C$301,2,0),0)+IFERROR(VLOOKUP(A447,'#15 IH Results'!$A$2:$C$301,2,0),0)+IFERROR(VLOOKUP(A447,'#14 IH Results'!$A$2:$C$302,2,0),0)+IFERROR(VLOOKUP(A447,'#13 IH Results'!$A$2:$C$302,2,0),0)+IFERROR(VLOOKUP(A447,'#12 IH Results'!$A$2:$C$302,2,0),0)+IFERROR(VLOOKUP(A447,'#11 IH Results'!$A$2:$C$302,2,0),0)+IFERROR(VLOOKUP(A447,'#10 IH Results'!$A$2:$C$302,2,0),0)+IFERROR(VLOOKUP(A447,'#9 IH Results'!$A$2:$C$302,2,0),0)+IFERROR(VLOOKUP(A447,'#8 IH Results'!$A$2:$C$302,2,0),0)+IFERROR(VLOOKUP(A447,'#7 IH Results'!$A$2:$C$302,2,0),0)+IFERROR(VLOOKUP(A447,'#6 IH Results'!$A$2:$C$302,2,0),0)+IFERROR(VLOOKUP(A447,'#5 IH Results'!$A$2:$C$303,2,0),0)+IFERROR(VLOOKUP(A447,'#4 IH Results'!$A$2:$C$300,2,0),0)+IFERROR(VLOOKUP(A447,'#3 IH Results'!$A$2:$C$101,2,0),0)+IFERROR(VLOOKUP(A447,'#2 IH Results'!$A$2:$C$101,2,0),0)+IFERROR(VLOOKUP(A447,'#1 IH Results'!$A$2:$C$101,2,0),0)+IFERROR(VLOOKUP(A447,'#0 IH Results'!$A$3:$C$102,2,0),0)</f>
        <v>0</v>
      </c>
    </row>
    <row r="448">
      <c r="B448" s="6">
        <f>IFERROR(VLOOKUP(A448,'#17 IH Results'!$A$2:$C$301,2,0),0)+IFERROR(VLOOKUP(A448,'#16 IH Results'!$A$2:$C$301,2,0),0)+IFERROR(VLOOKUP(A448,'#15 IH Results'!$A$2:$C$301,2,0),0)+IFERROR(VLOOKUP(A448,'#14 IH Results'!$A$2:$C$302,2,0),0)+IFERROR(VLOOKUP(A448,'#13 IH Results'!$A$2:$C$302,2,0),0)+IFERROR(VLOOKUP(A448,'#12 IH Results'!$A$2:$C$302,2,0),0)+IFERROR(VLOOKUP(A448,'#11 IH Results'!$A$2:$C$302,2,0),0)+IFERROR(VLOOKUP(A448,'#10 IH Results'!$A$2:$C$302,2,0),0)+IFERROR(VLOOKUP(A448,'#9 IH Results'!$A$2:$C$302,2,0),0)+IFERROR(VLOOKUP(A448,'#8 IH Results'!$A$2:$C$302,2,0),0)+IFERROR(VLOOKUP(A448,'#7 IH Results'!$A$2:$C$302,2,0),0)+IFERROR(VLOOKUP(A448,'#6 IH Results'!$A$2:$C$302,2,0),0)+IFERROR(VLOOKUP(A448,'#5 IH Results'!$A$2:$C$303,2,0),0)+IFERROR(VLOOKUP(A448,'#4 IH Results'!$A$2:$C$300,2,0),0)+IFERROR(VLOOKUP(A448,'#3 IH Results'!$A$2:$C$101,2,0),0)+IFERROR(VLOOKUP(A448,'#2 IH Results'!$A$2:$C$101,2,0),0)+IFERROR(VLOOKUP(A448,'#1 IH Results'!$A$2:$C$101,2,0),0)+IFERROR(VLOOKUP(A448,'#0 IH Results'!$A$3:$C$102,2,0),0)</f>
        <v>0</v>
      </c>
    </row>
    <row r="449">
      <c r="B449" s="6">
        <f>IFERROR(VLOOKUP(A449,'#17 IH Results'!$A$2:$C$301,2,0),0)+IFERROR(VLOOKUP(A449,'#16 IH Results'!$A$2:$C$301,2,0),0)+IFERROR(VLOOKUP(A449,'#15 IH Results'!$A$2:$C$301,2,0),0)+IFERROR(VLOOKUP(A449,'#14 IH Results'!$A$2:$C$302,2,0),0)+IFERROR(VLOOKUP(A449,'#13 IH Results'!$A$2:$C$302,2,0),0)+IFERROR(VLOOKUP(A449,'#12 IH Results'!$A$2:$C$302,2,0),0)+IFERROR(VLOOKUP(A449,'#11 IH Results'!$A$2:$C$302,2,0),0)+IFERROR(VLOOKUP(A449,'#10 IH Results'!$A$2:$C$302,2,0),0)+IFERROR(VLOOKUP(A449,'#9 IH Results'!$A$2:$C$302,2,0),0)+IFERROR(VLOOKUP(A449,'#8 IH Results'!$A$2:$C$302,2,0),0)+IFERROR(VLOOKUP(A449,'#7 IH Results'!$A$2:$C$302,2,0),0)+IFERROR(VLOOKUP(A449,'#6 IH Results'!$A$2:$C$302,2,0),0)+IFERROR(VLOOKUP(A449,'#5 IH Results'!$A$2:$C$303,2,0),0)+IFERROR(VLOOKUP(A449,'#4 IH Results'!$A$2:$C$300,2,0),0)+IFERROR(VLOOKUP(A449,'#3 IH Results'!$A$2:$C$101,2,0),0)+IFERROR(VLOOKUP(A449,'#2 IH Results'!$A$2:$C$101,2,0),0)+IFERROR(VLOOKUP(A449,'#1 IH Results'!$A$2:$C$101,2,0),0)+IFERROR(VLOOKUP(A449,'#0 IH Results'!$A$3:$C$102,2,0),0)</f>
        <v>0</v>
      </c>
    </row>
    <row r="450">
      <c r="B450" s="6">
        <f>IFERROR(VLOOKUP(A450,'#17 IH Results'!$A$2:$C$301,2,0),0)+IFERROR(VLOOKUP(A450,'#16 IH Results'!$A$2:$C$301,2,0),0)+IFERROR(VLOOKUP(A450,'#15 IH Results'!$A$2:$C$301,2,0),0)+IFERROR(VLOOKUP(A450,'#14 IH Results'!$A$2:$C$302,2,0),0)+IFERROR(VLOOKUP(A450,'#13 IH Results'!$A$2:$C$302,2,0),0)+IFERROR(VLOOKUP(A450,'#12 IH Results'!$A$2:$C$302,2,0),0)+IFERROR(VLOOKUP(A450,'#11 IH Results'!$A$2:$C$302,2,0),0)+IFERROR(VLOOKUP(A450,'#10 IH Results'!$A$2:$C$302,2,0),0)+IFERROR(VLOOKUP(A450,'#9 IH Results'!$A$2:$C$302,2,0),0)+IFERROR(VLOOKUP(A450,'#8 IH Results'!$A$2:$C$302,2,0),0)+IFERROR(VLOOKUP(A450,'#7 IH Results'!$A$2:$C$302,2,0),0)+IFERROR(VLOOKUP(A450,'#6 IH Results'!$A$2:$C$302,2,0),0)+IFERROR(VLOOKUP(A450,'#5 IH Results'!$A$2:$C$303,2,0),0)+IFERROR(VLOOKUP(A450,'#4 IH Results'!$A$2:$C$300,2,0),0)+IFERROR(VLOOKUP(A450,'#3 IH Results'!$A$2:$C$101,2,0),0)+IFERROR(VLOOKUP(A450,'#2 IH Results'!$A$2:$C$101,2,0),0)+IFERROR(VLOOKUP(A450,'#1 IH Results'!$A$2:$C$101,2,0),0)+IFERROR(VLOOKUP(A450,'#0 IH Results'!$A$3:$C$102,2,0),0)</f>
        <v>0</v>
      </c>
    </row>
    <row r="451">
      <c r="B451" s="6">
        <f>IFERROR(VLOOKUP(A451,'#17 IH Results'!$A$2:$C$301,2,0),0)+IFERROR(VLOOKUP(A451,'#16 IH Results'!$A$2:$C$301,2,0),0)+IFERROR(VLOOKUP(A451,'#15 IH Results'!$A$2:$C$301,2,0),0)+IFERROR(VLOOKUP(A451,'#14 IH Results'!$A$2:$C$302,2,0),0)+IFERROR(VLOOKUP(A451,'#13 IH Results'!$A$2:$C$302,2,0),0)+IFERROR(VLOOKUP(A451,'#12 IH Results'!$A$2:$C$302,2,0),0)+IFERROR(VLOOKUP(A451,'#11 IH Results'!$A$2:$C$302,2,0),0)+IFERROR(VLOOKUP(A451,'#10 IH Results'!$A$2:$C$302,2,0),0)+IFERROR(VLOOKUP(A451,'#9 IH Results'!$A$2:$C$302,2,0),0)+IFERROR(VLOOKUP(A451,'#8 IH Results'!$A$2:$C$302,2,0),0)+IFERROR(VLOOKUP(A451,'#7 IH Results'!$A$2:$C$302,2,0),0)+IFERROR(VLOOKUP(A451,'#6 IH Results'!$A$2:$C$302,2,0),0)+IFERROR(VLOOKUP(A451,'#5 IH Results'!$A$2:$C$303,2,0),0)+IFERROR(VLOOKUP(A451,'#4 IH Results'!$A$2:$C$300,2,0),0)+IFERROR(VLOOKUP(A451,'#3 IH Results'!$A$2:$C$101,2,0),0)+IFERROR(VLOOKUP(A451,'#2 IH Results'!$A$2:$C$101,2,0),0)+IFERROR(VLOOKUP(A451,'#1 IH Results'!$A$2:$C$101,2,0),0)+IFERROR(VLOOKUP(A451,'#0 IH Results'!$A$3:$C$102,2,0),0)</f>
        <v>0</v>
      </c>
    </row>
    <row r="452">
      <c r="B452" s="6">
        <f>IFERROR(VLOOKUP(A452,'#17 IH Results'!$A$2:$C$301,2,0),0)+IFERROR(VLOOKUP(A452,'#16 IH Results'!$A$2:$C$301,2,0),0)+IFERROR(VLOOKUP(A452,'#15 IH Results'!$A$2:$C$301,2,0),0)+IFERROR(VLOOKUP(A452,'#14 IH Results'!$A$2:$C$302,2,0),0)+IFERROR(VLOOKUP(A452,'#13 IH Results'!$A$2:$C$302,2,0),0)+IFERROR(VLOOKUP(A452,'#12 IH Results'!$A$2:$C$302,2,0),0)+IFERROR(VLOOKUP(A452,'#11 IH Results'!$A$2:$C$302,2,0),0)+IFERROR(VLOOKUP(A452,'#10 IH Results'!$A$2:$C$302,2,0),0)+IFERROR(VLOOKUP(A452,'#9 IH Results'!$A$2:$C$302,2,0),0)+IFERROR(VLOOKUP(A452,'#8 IH Results'!$A$2:$C$302,2,0),0)+IFERROR(VLOOKUP(A452,'#7 IH Results'!$A$2:$C$302,2,0),0)+IFERROR(VLOOKUP(A452,'#6 IH Results'!$A$2:$C$302,2,0),0)+IFERROR(VLOOKUP(A452,'#5 IH Results'!$A$2:$C$303,2,0),0)+IFERROR(VLOOKUP(A452,'#4 IH Results'!$A$2:$C$300,2,0),0)+IFERROR(VLOOKUP(A452,'#3 IH Results'!$A$2:$C$101,2,0),0)+IFERROR(VLOOKUP(A452,'#2 IH Results'!$A$2:$C$101,2,0),0)+IFERROR(VLOOKUP(A452,'#1 IH Results'!$A$2:$C$101,2,0),0)+IFERROR(VLOOKUP(A452,'#0 IH Results'!$A$3:$C$102,2,0),0)</f>
        <v>0</v>
      </c>
    </row>
    <row r="453">
      <c r="B453" s="6">
        <f>IFERROR(VLOOKUP(A453,'#17 IH Results'!$A$2:$C$301,2,0),0)+IFERROR(VLOOKUP(A453,'#16 IH Results'!$A$2:$C$301,2,0),0)+IFERROR(VLOOKUP(A453,'#15 IH Results'!$A$2:$C$301,2,0),0)+IFERROR(VLOOKUP(A453,'#14 IH Results'!$A$2:$C$302,2,0),0)+IFERROR(VLOOKUP(A453,'#13 IH Results'!$A$2:$C$302,2,0),0)+IFERROR(VLOOKUP(A453,'#12 IH Results'!$A$2:$C$302,2,0),0)+IFERROR(VLOOKUP(A453,'#11 IH Results'!$A$2:$C$302,2,0),0)+IFERROR(VLOOKUP(A453,'#10 IH Results'!$A$2:$C$302,2,0),0)+IFERROR(VLOOKUP(A453,'#9 IH Results'!$A$2:$C$302,2,0),0)+IFERROR(VLOOKUP(A453,'#8 IH Results'!$A$2:$C$302,2,0),0)+IFERROR(VLOOKUP(A453,'#7 IH Results'!$A$2:$C$302,2,0),0)+IFERROR(VLOOKUP(A453,'#6 IH Results'!$A$2:$C$302,2,0),0)+IFERROR(VLOOKUP(A453,'#5 IH Results'!$A$2:$C$303,2,0),0)+IFERROR(VLOOKUP(A453,'#4 IH Results'!$A$2:$C$300,2,0),0)+IFERROR(VLOOKUP(A453,'#3 IH Results'!$A$2:$C$101,2,0),0)+IFERROR(VLOOKUP(A453,'#2 IH Results'!$A$2:$C$101,2,0),0)+IFERROR(VLOOKUP(A453,'#1 IH Results'!$A$2:$C$101,2,0),0)+IFERROR(VLOOKUP(A453,'#0 IH Results'!$A$3:$C$102,2,0),0)</f>
        <v>0</v>
      </c>
    </row>
    <row r="454">
      <c r="B454" s="6">
        <f>IFERROR(VLOOKUP(A454,'#17 IH Results'!$A$2:$C$301,2,0),0)+IFERROR(VLOOKUP(A454,'#16 IH Results'!$A$2:$C$301,2,0),0)+IFERROR(VLOOKUP(A454,'#15 IH Results'!$A$2:$C$301,2,0),0)+IFERROR(VLOOKUP(A454,'#14 IH Results'!$A$2:$C$302,2,0),0)+IFERROR(VLOOKUP(A454,'#13 IH Results'!$A$2:$C$302,2,0),0)+IFERROR(VLOOKUP(A454,'#12 IH Results'!$A$2:$C$302,2,0),0)+IFERROR(VLOOKUP(A454,'#11 IH Results'!$A$2:$C$302,2,0),0)+IFERROR(VLOOKUP(A454,'#10 IH Results'!$A$2:$C$302,2,0),0)+IFERROR(VLOOKUP(A454,'#9 IH Results'!$A$2:$C$302,2,0),0)+IFERROR(VLOOKUP(A454,'#8 IH Results'!$A$2:$C$302,2,0),0)+IFERROR(VLOOKUP(A454,'#7 IH Results'!$A$2:$C$302,2,0),0)+IFERROR(VLOOKUP(A454,'#6 IH Results'!$A$2:$C$302,2,0),0)+IFERROR(VLOOKUP(A454,'#5 IH Results'!$A$2:$C$303,2,0),0)+IFERROR(VLOOKUP(A454,'#4 IH Results'!$A$2:$C$300,2,0),0)+IFERROR(VLOOKUP(A454,'#3 IH Results'!$A$2:$C$101,2,0),0)+IFERROR(VLOOKUP(A454,'#2 IH Results'!$A$2:$C$101,2,0),0)+IFERROR(VLOOKUP(A454,'#1 IH Results'!$A$2:$C$101,2,0),0)+IFERROR(VLOOKUP(A454,'#0 IH Results'!$A$3:$C$102,2,0),0)</f>
        <v>0</v>
      </c>
    </row>
    <row r="455">
      <c r="B455" s="6">
        <f>IFERROR(VLOOKUP(A455,'#17 IH Results'!$A$2:$C$301,2,0),0)+IFERROR(VLOOKUP(A455,'#16 IH Results'!$A$2:$C$301,2,0),0)+IFERROR(VLOOKUP(A455,'#15 IH Results'!$A$2:$C$301,2,0),0)+IFERROR(VLOOKUP(A455,'#14 IH Results'!$A$2:$C$302,2,0),0)+IFERROR(VLOOKUP(A455,'#13 IH Results'!$A$2:$C$302,2,0),0)+IFERROR(VLOOKUP(A455,'#12 IH Results'!$A$2:$C$302,2,0),0)+IFERROR(VLOOKUP(A455,'#11 IH Results'!$A$2:$C$302,2,0),0)+IFERROR(VLOOKUP(A455,'#10 IH Results'!$A$2:$C$302,2,0),0)+IFERROR(VLOOKUP(A455,'#9 IH Results'!$A$2:$C$302,2,0),0)+IFERROR(VLOOKUP(A455,'#8 IH Results'!$A$2:$C$302,2,0),0)+IFERROR(VLOOKUP(A455,'#7 IH Results'!$A$2:$C$302,2,0),0)+IFERROR(VLOOKUP(A455,'#6 IH Results'!$A$2:$C$302,2,0),0)+IFERROR(VLOOKUP(A455,'#5 IH Results'!$A$2:$C$303,2,0),0)+IFERROR(VLOOKUP(A455,'#4 IH Results'!$A$2:$C$300,2,0),0)+IFERROR(VLOOKUP(A455,'#3 IH Results'!$A$2:$C$101,2,0),0)+IFERROR(VLOOKUP(A455,'#2 IH Results'!$A$2:$C$101,2,0),0)+IFERROR(VLOOKUP(A455,'#1 IH Results'!$A$2:$C$101,2,0),0)+IFERROR(VLOOKUP(A455,'#0 IH Results'!$A$3:$C$102,2,0),0)</f>
        <v>0</v>
      </c>
    </row>
    <row r="456">
      <c r="B456" s="6">
        <f>IFERROR(VLOOKUP(A456,'#17 IH Results'!$A$2:$C$301,2,0),0)+IFERROR(VLOOKUP(A456,'#16 IH Results'!$A$2:$C$301,2,0),0)+IFERROR(VLOOKUP(A456,'#15 IH Results'!$A$2:$C$301,2,0),0)+IFERROR(VLOOKUP(A456,'#14 IH Results'!$A$2:$C$302,2,0),0)+IFERROR(VLOOKUP(A456,'#13 IH Results'!$A$2:$C$302,2,0),0)+IFERROR(VLOOKUP(A456,'#12 IH Results'!$A$2:$C$302,2,0),0)+IFERROR(VLOOKUP(A456,'#11 IH Results'!$A$2:$C$302,2,0),0)+IFERROR(VLOOKUP(A456,'#10 IH Results'!$A$2:$C$302,2,0),0)+IFERROR(VLOOKUP(A456,'#9 IH Results'!$A$2:$C$302,2,0),0)+IFERROR(VLOOKUP(A456,'#8 IH Results'!$A$2:$C$302,2,0),0)+IFERROR(VLOOKUP(A456,'#7 IH Results'!$A$2:$C$302,2,0),0)+IFERROR(VLOOKUP(A456,'#6 IH Results'!$A$2:$C$302,2,0),0)+IFERROR(VLOOKUP(A456,'#5 IH Results'!$A$2:$C$303,2,0),0)+IFERROR(VLOOKUP(A456,'#4 IH Results'!$A$2:$C$300,2,0),0)+IFERROR(VLOOKUP(A456,'#3 IH Results'!$A$2:$C$101,2,0),0)+IFERROR(VLOOKUP(A456,'#2 IH Results'!$A$2:$C$101,2,0),0)+IFERROR(VLOOKUP(A456,'#1 IH Results'!$A$2:$C$101,2,0),0)+IFERROR(VLOOKUP(A456,'#0 IH Results'!$A$3:$C$102,2,0),0)</f>
        <v>0</v>
      </c>
    </row>
    <row r="457">
      <c r="B457" s="6">
        <f>IFERROR(VLOOKUP(A457,'#17 IH Results'!$A$2:$C$301,2,0),0)+IFERROR(VLOOKUP(A457,'#16 IH Results'!$A$2:$C$301,2,0),0)+IFERROR(VLOOKUP(A457,'#15 IH Results'!$A$2:$C$301,2,0),0)+IFERROR(VLOOKUP(A457,'#14 IH Results'!$A$2:$C$302,2,0),0)+IFERROR(VLOOKUP(A457,'#13 IH Results'!$A$2:$C$302,2,0),0)+IFERROR(VLOOKUP(A457,'#12 IH Results'!$A$2:$C$302,2,0),0)+IFERROR(VLOOKUP(A457,'#11 IH Results'!$A$2:$C$302,2,0),0)+IFERROR(VLOOKUP(A457,'#10 IH Results'!$A$2:$C$302,2,0),0)+IFERROR(VLOOKUP(A457,'#9 IH Results'!$A$2:$C$302,2,0),0)+IFERROR(VLOOKUP(A457,'#8 IH Results'!$A$2:$C$302,2,0),0)+IFERROR(VLOOKUP(A457,'#7 IH Results'!$A$2:$C$302,2,0),0)+IFERROR(VLOOKUP(A457,'#6 IH Results'!$A$2:$C$302,2,0),0)+IFERROR(VLOOKUP(A457,'#5 IH Results'!$A$2:$C$303,2,0),0)+IFERROR(VLOOKUP(A457,'#4 IH Results'!$A$2:$C$300,2,0),0)+IFERROR(VLOOKUP(A457,'#3 IH Results'!$A$2:$C$101,2,0),0)+IFERROR(VLOOKUP(A457,'#2 IH Results'!$A$2:$C$101,2,0),0)+IFERROR(VLOOKUP(A457,'#1 IH Results'!$A$2:$C$101,2,0),0)+IFERROR(VLOOKUP(A457,'#0 IH Results'!$A$3:$C$102,2,0),0)</f>
        <v>0</v>
      </c>
    </row>
    <row r="458">
      <c r="B458" s="6">
        <f>IFERROR(VLOOKUP(A458,'#17 IH Results'!$A$2:$C$301,2,0),0)+IFERROR(VLOOKUP(A458,'#16 IH Results'!$A$2:$C$301,2,0),0)+IFERROR(VLOOKUP(A458,'#15 IH Results'!$A$2:$C$301,2,0),0)+IFERROR(VLOOKUP(A458,'#14 IH Results'!$A$2:$C$302,2,0),0)+IFERROR(VLOOKUP(A458,'#13 IH Results'!$A$2:$C$302,2,0),0)+IFERROR(VLOOKUP(A458,'#12 IH Results'!$A$2:$C$302,2,0),0)+IFERROR(VLOOKUP(A458,'#11 IH Results'!$A$2:$C$302,2,0),0)+IFERROR(VLOOKUP(A458,'#10 IH Results'!$A$2:$C$302,2,0),0)+IFERROR(VLOOKUP(A458,'#9 IH Results'!$A$2:$C$302,2,0),0)+IFERROR(VLOOKUP(A458,'#8 IH Results'!$A$2:$C$302,2,0),0)+IFERROR(VLOOKUP(A458,'#7 IH Results'!$A$2:$C$302,2,0),0)+IFERROR(VLOOKUP(A458,'#6 IH Results'!$A$2:$C$302,2,0),0)+IFERROR(VLOOKUP(A458,'#5 IH Results'!$A$2:$C$303,2,0),0)+IFERROR(VLOOKUP(A458,'#4 IH Results'!$A$2:$C$300,2,0),0)+IFERROR(VLOOKUP(A458,'#3 IH Results'!$A$2:$C$101,2,0),0)+IFERROR(VLOOKUP(A458,'#2 IH Results'!$A$2:$C$101,2,0),0)+IFERROR(VLOOKUP(A458,'#1 IH Results'!$A$2:$C$101,2,0),0)+IFERROR(VLOOKUP(A458,'#0 IH Results'!$A$3:$C$102,2,0),0)</f>
        <v>0</v>
      </c>
    </row>
    <row r="459">
      <c r="B459" s="6">
        <f>IFERROR(VLOOKUP(A459,'#17 IH Results'!$A$2:$C$301,2,0),0)+IFERROR(VLOOKUP(A459,'#16 IH Results'!$A$2:$C$301,2,0),0)+IFERROR(VLOOKUP(A459,'#15 IH Results'!$A$2:$C$301,2,0),0)+IFERROR(VLOOKUP(A459,'#14 IH Results'!$A$2:$C$302,2,0),0)+IFERROR(VLOOKUP(A459,'#13 IH Results'!$A$2:$C$302,2,0),0)+IFERROR(VLOOKUP(A459,'#12 IH Results'!$A$2:$C$302,2,0),0)+IFERROR(VLOOKUP(A459,'#11 IH Results'!$A$2:$C$302,2,0),0)+IFERROR(VLOOKUP(A459,'#10 IH Results'!$A$2:$C$302,2,0),0)+IFERROR(VLOOKUP(A459,'#9 IH Results'!$A$2:$C$302,2,0),0)+IFERROR(VLOOKUP(A459,'#8 IH Results'!$A$2:$C$302,2,0),0)+IFERROR(VLOOKUP(A459,'#7 IH Results'!$A$2:$C$302,2,0),0)+IFERROR(VLOOKUP(A459,'#6 IH Results'!$A$2:$C$302,2,0),0)+IFERROR(VLOOKUP(A459,'#5 IH Results'!$A$2:$C$303,2,0),0)+IFERROR(VLOOKUP(A459,'#4 IH Results'!$A$2:$C$300,2,0),0)+IFERROR(VLOOKUP(A459,'#3 IH Results'!$A$2:$C$101,2,0),0)+IFERROR(VLOOKUP(A459,'#2 IH Results'!$A$2:$C$101,2,0),0)+IFERROR(VLOOKUP(A459,'#1 IH Results'!$A$2:$C$101,2,0),0)+IFERROR(VLOOKUP(A459,'#0 IH Results'!$A$3:$C$102,2,0),0)</f>
        <v>0</v>
      </c>
    </row>
    <row r="460">
      <c r="B460" s="6">
        <f>IFERROR(VLOOKUP(A460,'#17 IH Results'!$A$2:$C$301,2,0),0)+IFERROR(VLOOKUP(A460,'#16 IH Results'!$A$2:$C$301,2,0),0)+IFERROR(VLOOKUP(A460,'#15 IH Results'!$A$2:$C$301,2,0),0)+IFERROR(VLOOKUP(A460,'#14 IH Results'!$A$2:$C$302,2,0),0)+IFERROR(VLOOKUP(A460,'#13 IH Results'!$A$2:$C$302,2,0),0)+IFERROR(VLOOKUP(A460,'#12 IH Results'!$A$2:$C$302,2,0),0)+IFERROR(VLOOKUP(A460,'#11 IH Results'!$A$2:$C$302,2,0),0)+IFERROR(VLOOKUP(A460,'#10 IH Results'!$A$2:$C$302,2,0),0)+IFERROR(VLOOKUP(A460,'#9 IH Results'!$A$2:$C$302,2,0),0)+IFERROR(VLOOKUP(A460,'#8 IH Results'!$A$2:$C$302,2,0),0)+IFERROR(VLOOKUP(A460,'#7 IH Results'!$A$2:$C$302,2,0),0)+IFERROR(VLOOKUP(A460,'#6 IH Results'!$A$2:$C$302,2,0),0)+IFERROR(VLOOKUP(A460,'#5 IH Results'!$A$2:$C$303,2,0),0)+IFERROR(VLOOKUP(A460,'#4 IH Results'!$A$2:$C$300,2,0),0)+IFERROR(VLOOKUP(A460,'#3 IH Results'!$A$2:$C$101,2,0),0)+IFERROR(VLOOKUP(A460,'#2 IH Results'!$A$2:$C$101,2,0),0)+IFERROR(VLOOKUP(A460,'#1 IH Results'!$A$2:$C$101,2,0),0)+IFERROR(VLOOKUP(A460,'#0 IH Results'!$A$3:$C$102,2,0),0)</f>
        <v>0</v>
      </c>
    </row>
    <row r="461">
      <c r="B461" s="6">
        <f>IFERROR(VLOOKUP(A461,'#17 IH Results'!$A$2:$C$301,2,0),0)+IFERROR(VLOOKUP(A461,'#16 IH Results'!$A$2:$C$301,2,0),0)+IFERROR(VLOOKUP(A461,'#15 IH Results'!$A$2:$C$301,2,0),0)+IFERROR(VLOOKUP(A461,'#14 IH Results'!$A$2:$C$302,2,0),0)+IFERROR(VLOOKUP(A461,'#13 IH Results'!$A$2:$C$302,2,0),0)+IFERROR(VLOOKUP(A461,'#12 IH Results'!$A$2:$C$302,2,0),0)+IFERROR(VLOOKUP(A461,'#11 IH Results'!$A$2:$C$302,2,0),0)+IFERROR(VLOOKUP(A461,'#10 IH Results'!$A$2:$C$302,2,0),0)+IFERROR(VLOOKUP(A461,'#9 IH Results'!$A$2:$C$302,2,0),0)+IFERROR(VLOOKUP(A461,'#8 IH Results'!$A$2:$C$302,2,0),0)+IFERROR(VLOOKUP(A461,'#7 IH Results'!$A$2:$C$302,2,0),0)+IFERROR(VLOOKUP(A461,'#6 IH Results'!$A$2:$C$302,2,0),0)+IFERROR(VLOOKUP(A461,'#5 IH Results'!$A$2:$C$303,2,0),0)+IFERROR(VLOOKUP(A461,'#4 IH Results'!$A$2:$C$300,2,0),0)+IFERROR(VLOOKUP(A461,'#3 IH Results'!$A$2:$C$101,2,0),0)+IFERROR(VLOOKUP(A461,'#2 IH Results'!$A$2:$C$101,2,0),0)+IFERROR(VLOOKUP(A461,'#1 IH Results'!$A$2:$C$101,2,0),0)+IFERROR(VLOOKUP(A461,'#0 IH Results'!$A$3:$C$102,2,0),0)</f>
        <v>0</v>
      </c>
    </row>
    <row r="462">
      <c r="B462" s="6">
        <f>IFERROR(VLOOKUP(A462,'#17 IH Results'!$A$2:$C$301,2,0),0)+IFERROR(VLOOKUP(A462,'#16 IH Results'!$A$2:$C$301,2,0),0)+IFERROR(VLOOKUP(A462,'#15 IH Results'!$A$2:$C$301,2,0),0)+IFERROR(VLOOKUP(A462,'#14 IH Results'!$A$2:$C$302,2,0),0)+IFERROR(VLOOKUP(A462,'#13 IH Results'!$A$2:$C$302,2,0),0)+IFERROR(VLOOKUP(A462,'#12 IH Results'!$A$2:$C$302,2,0),0)+IFERROR(VLOOKUP(A462,'#11 IH Results'!$A$2:$C$302,2,0),0)+IFERROR(VLOOKUP(A462,'#10 IH Results'!$A$2:$C$302,2,0),0)+IFERROR(VLOOKUP(A462,'#9 IH Results'!$A$2:$C$302,2,0),0)+IFERROR(VLOOKUP(A462,'#8 IH Results'!$A$2:$C$302,2,0),0)+IFERROR(VLOOKUP(A462,'#7 IH Results'!$A$2:$C$302,2,0),0)+IFERROR(VLOOKUP(A462,'#6 IH Results'!$A$2:$C$302,2,0),0)+IFERROR(VLOOKUP(A462,'#5 IH Results'!$A$2:$C$303,2,0),0)+IFERROR(VLOOKUP(A462,'#4 IH Results'!$A$2:$C$300,2,0),0)+IFERROR(VLOOKUP(A462,'#3 IH Results'!$A$2:$C$101,2,0),0)+IFERROR(VLOOKUP(A462,'#2 IH Results'!$A$2:$C$101,2,0),0)+IFERROR(VLOOKUP(A462,'#1 IH Results'!$A$2:$C$101,2,0),0)+IFERROR(VLOOKUP(A462,'#0 IH Results'!$A$3:$C$102,2,0),0)</f>
        <v>0</v>
      </c>
    </row>
    <row r="463">
      <c r="B463" s="6">
        <f>IFERROR(VLOOKUP(A463,'#17 IH Results'!$A$2:$C$301,2,0),0)+IFERROR(VLOOKUP(A463,'#16 IH Results'!$A$2:$C$301,2,0),0)+IFERROR(VLOOKUP(A463,'#15 IH Results'!$A$2:$C$301,2,0),0)+IFERROR(VLOOKUP(A463,'#14 IH Results'!$A$2:$C$302,2,0),0)+IFERROR(VLOOKUP(A463,'#13 IH Results'!$A$2:$C$302,2,0),0)+IFERROR(VLOOKUP(A463,'#12 IH Results'!$A$2:$C$302,2,0),0)+IFERROR(VLOOKUP(A463,'#11 IH Results'!$A$2:$C$302,2,0),0)+IFERROR(VLOOKUP(A463,'#10 IH Results'!$A$2:$C$302,2,0),0)+IFERROR(VLOOKUP(A463,'#9 IH Results'!$A$2:$C$302,2,0),0)+IFERROR(VLOOKUP(A463,'#8 IH Results'!$A$2:$C$302,2,0),0)+IFERROR(VLOOKUP(A463,'#7 IH Results'!$A$2:$C$302,2,0),0)+IFERROR(VLOOKUP(A463,'#6 IH Results'!$A$2:$C$302,2,0),0)+IFERROR(VLOOKUP(A463,'#5 IH Results'!$A$2:$C$303,2,0),0)+IFERROR(VLOOKUP(A463,'#4 IH Results'!$A$2:$C$300,2,0),0)+IFERROR(VLOOKUP(A463,'#3 IH Results'!$A$2:$C$101,2,0),0)+IFERROR(VLOOKUP(A463,'#2 IH Results'!$A$2:$C$101,2,0),0)+IFERROR(VLOOKUP(A463,'#1 IH Results'!$A$2:$C$101,2,0),0)+IFERROR(VLOOKUP(A463,'#0 IH Results'!$A$3:$C$102,2,0),0)</f>
        <v>0</v>
      </c>
    </row>
    <row r="464">
      <c r="B464" s="6">
        <f>IFERROR(VLOOKUP(A464,'#17 IH Results'!$A$2:$C$301,2,0),0)+IFERROR(VLOOKUP(A464,'#16 IH Results'!$A$2:$C$301,2,0),0)+IFERROR(VLOOKUP(A464,'#15 IH Results'!$A$2:$C$301,2,0),0)+IFERROR(VLOOKUP(A464,'#14 IH Results'!$A$2:$C$302,2,0),0)+IFERROR(VLOOKUP(A464,'#13 IH Results'!$A$2:$C$302,2,0),0)+IFERROR(VLOOKUP(A464,'#12 IH Results'!$A$2:$C$302,2,0),0)+IFERROR(VLOOKUP(A464,'#11 IH Results'!$A$2:$C$302,2,0),0)+IFERROR(VLOOKUP(A464,'#10 IH Results'!$A$2:$C$302,2,0),0)+IFERROR(VLOOKUP(A464,'#9 IH Results'!$A$2:$C$302,2,0),0)+IFERROR(VLOOKUP(A464,'#8 IH Results'!$A$2:$C$302,2,0),0)+IFERROR(VLOOKUP(A464,'#7 IH Results'!$A$2:$C$302,2,0),0)+IFERROR(VLOOKUP(A464,'#6 IH Results'!$A$2:$C$302,2,0),0)+IFERROR(VLOOKUP(A464,'#5 IH Results'!$A$2:$C$303,2,0),0)+IFERROR(VLOOKUP(A464,'#4 IH Results'!$A$2:$C$300,2,0),0)+IFERROR(VLOOKUP(A464,'#3 IH Results'!$A$2:$C$101,2,0),0)+IFERROR(VLOOKUP(A464,'#2 IH Results'!$A$2:$C$101,2,0),0)+IFERROR(VLOOKUP(A464,'#1 IH Results'!$A$2:$C$101,2,0),0)+IFERROR(VLOOKUP(A464,'#0 IH Results'!$A$3:$C$102,2,0),0)</f>
        <v>0</v>
      </c>
    </row>
    <row r="465">
      <c r="B465" s="6">
        <f>IFERROR(VLOOKUP(A465,'#17 IH Results'!$A$2:$C$301,2,0),0)+IFERROR(VLOOKUP(A465,'#16 IH Results'!$A$2:$C$301,2,0),0)+IFERROR(VLOOKUP(A465,'#15 IH Results'!$A$2:$C$301,2,0),0)+IFERROR(VLOOKUP(A465,'#14 IH Results'!$A$2:$C$302,2,0),0)+IFERROR(VLOOKUP(A465,'#13 IH Results'!$A$2:$C$302,2,0),0)+IFERROR(VLOOKUP(A465,'#12 IH Results'!$A$2:$C$302,2,0),0)+IFERROR(VLOOKUP(A465,'#11 IH Results'!$A$2:$C$302,2,0),0)+IFERROR(VLOOKUP(A465,'#10 IH Results'!$A$2:$C$302,2,0),0)+IFERROR(VLOOKUP(A465,'#9 IH Results'!$A$2:$C$302,2,0),0)+IFERROR(VLOOKUP(A465,'#8 IH Results'!$A$2:$C$302,2,0),0)+IFERROR(VLOOKUP(A465,'#7 IH Results'!$A$2:$C$302,2,0),0)+IFERROR(VLOOKUP(A465,'#6 IH Results'!$A$2:$C$302,2,0),0)+IFERROR(VLOOKUP(A465,'#5 IH Results'!$A$2:$C$303,2,0),0)+IFERROR(VLOOKUP(A465,'#4 IH Results'!$A$2:$C$300,2,0),0)+IFERROR(VLOOKUP(A465,'#3 IH Results'!$A$2:$C$101,2,0),0)+IFERROR(VLOOKUP(A465,'#2 IH Results'!$A$2:$C$101,2,0),0)+IFERROR(VLOOKUP(A465,'#1 IH Results'!$A$2:$C$101,2,0),0)+IFERROR(VLOOKUP(A465,'#0 IH Results'!$A$3:$C$102,2,0),0)</f>
        <v>0</v>
      </c>
    </row>
    <row r="466">
      <c r="B466" s="6">
        <f>IFERROR(VLOOKUP(A466,'#17 IH Results'!$A$2:$C$301,2,0),0)+IFERROR(VLOOKUP(A466,'#16 IH Results'!$A$2:$C$301,2,0),0)+IFERROR(VLOOKUP(A466,'#15 IH Results'!$A$2:$C$301,2,0),0)+IFERROR(VLOOKUP(A466,'#14 IH Results'!$A$2:$C$302,2,0),0)+IFERROR(VLOOKUP(A466,'#13 IH Results'!$A$2:$C$302,2,0),0)+IFERROR(VLOOKUP(A466,'#12 IH Results'!$A$2:$C$302,2,0),0)+IFERROR(VLOOKUP(A466,'#11 IH Results'!$A$2:$C$302,2,0),0)+IFERROR(VLOOKUP(A466,'#10 IH Results'!$A$2:$C$302,2,0),0)+IFERROR(VLOOKUP(A466,'#9 IH Results'!$A$2:$C$302,2,0),0)+IFERROR(VLOOKUP(A466,'#8 IH Results'!$A$2:$C$302,2,0),0)+IFERROR(VLOOKUP(A466,'#7 IH Results'!$A$2:$C$302,2,0),0)+IFERROR(VLOOKUP(A466,'#6 IH Results'!$A$2:$C$302,2,0),0)+IFERROR(VLOOKUP(A466,'#5 IH Results'!$A$2:$C$303,2,0),0)+IFERROR(VLOOKUP(A466,'#4 IH Results'!$A$2:$C$300,2,0),0)+IFERROR(VLOOKUP(A466,'#3 IH Results'!$A$2:$C$101,2,0),0)+IFERROR(VLOOKUP(A466,'#2 IH Results'!$A$2:$C$101,2,0),0)+IFERROR(VLOOKUP(A466,'#1 IH Results'!$A$2:$C$101,2,0),0)+IFERROR(VLOOKUP(A466,'#0 IH Results'!$A$3:$C$102,2,0),0)</f>
        <v>0</v>
      </c>
    </row>
    <row r="467">
      <c r="B467" s="6">
        <f>IFERROR(VLOOKUP(A467,'#17 IH Results'!$A$2:$C$301,2,0),0)+IFERROR(VLOOKUP(A467,'#16 IH Results'!$A$2:$C$301,2,0),0)+IFERROR(VLOOKUP(A467,'#15 IH Results'!$A$2:$C$301,2,0),0)+IFERROR(VLOOKUP(A467,'#14 IH Results'!$A$2:$C$302,2,0),0)+IFERROR(VLOOKUP(A467,'#13 IH Results'!$A$2:$C$302,2,0),0)+IFERROR(VLOOKUP(A467,'#12 IH Results'!$A$2:$C$302,2,0),0)+IFERROR(VLOOKUP(A467,'#11 IH Results'!$A$2:$C$302,2,0),0)+IFERROR(VLOOKUP(A467,'#10 IH Results'!$A$2:$C$302,2,0),0)+IFERROR(VLOOKUP(A467,'#9 IH Results'!$A$2:$C$302,2,0),0)+IFERROR(VLOOKUP(A467,'#8 IH Results'!$A$2:$C$302,2,0),0)+IFERROR(VLOOKUP(A467,'#7 IH Results'!$A$2:$C$302,2,0),0)+IFERROR(VLOOKUP(A467,'#6 IH Results'!$A$2:$C$302,2,0),0)+IFERROR(VLOOKUP(A467,'#5 IH Results'!$A$2:$C$303,2,0),0)+IFERROR(VLOOKUP(A467,'#4 IH Results'!$A$2:$C$300,2,0),0)+IFERROR(VLOOKUP(A467,'#3 IH Results'!$A$2:$C$101,2,0),0)+IFERROR(VLOOKUP(A467,'#2 IH Results'!$A$2:$C$101,2,0),0)+IFERROR(VLOOKUP(A467,'#1 IH Results'!$A$2:$C$101,2,0),0)+IFERROR(VLOOKUP(A467,'#0 IH Results'!$A$3:$C$102,2,0),0)</f>
        <v>0</v>
      </c>
    </row>
    <row r="468">
      <c r="B468" s="6">
        <f>IFERROR(VLOOKUP(A468,'#17 IH Results'!$A$2:$C$301,2,0),0)+IFERROR(VLOOKUP(A468,'#16 IH Results'!$A$2:$C$301,2,0),0)+IFERROR(VLOOKUP(A468,'#15 IH Results'!$A$2:$C$301,2,0),0)+IFERROR(VLOOKUP(A468,'#14 IH Results'!$A$2:$C$302,2,0),0)+IFERROR(VLOOKUP(A468,'#13 IH Results'!$A$2:$C$302,2,0),0)+IFERROR(VLOOKUP(A468,'#12 IH Results'!$A$2:$C$302,2,0),0)+IFERROR(VLOOKUP(A468,'#11 IH Results'!$A$2:$C$302,2,0),0)+IFERROR(VLOOKUP(A468,'#10 IH Results'!$A$2:$C$302,2,0),0)+IFERROR(VLOOKUP(A468,'#9 IH Results'!$A$2:$C$302,2,0),0)+IFERROR(VLOOKUP(A468,'#8 IH Results'!$A$2:$C$302,2,0),0)+IFERROR(VLOOKUP(A468,'#7 IH Results'!$A$2:$C$302,2,0),0)+IFERROR(VLOOKUP(A468,'#6 IH Results'!$A$2:$C$302,2,0),0)+IFERROR(VLOOKUP(A468,'#5 IH Results'!$A$2:$C$303,2,0),0)+IFERROR(VLOOKUP(A468,'#4 IH Results'!$A$2:$C$300,2,0),0)+IFERROR(VLOOKUP(A468,'#3 IH Results'!$A$2:$C$101,2,0),0)+IFERROR(VLOOKUP(A468,'#2 IH Results'!$A$2:$C$101,2,0),0)+IFERROR(VLOOKUP(A468,'#1 IH Results'!$A$2:$C$101,2,0),0)+IFERROR(VLOOKUP(A468,'#0 IH Results'!$A$3:$C$102,2,0),0)</f>
        <v>0</v>
      </c>
    </row>
    <row r="469">
      <c r="B469" s="6">
        <f>IFERROR(VLOOKUP(A469,'#17 IH Results'!$A$2:$C$301,2,0),0)+IFERROR(VLOOKUP(A469,'#16 IH Results'!$A$2:$C$301,2,0),0)+IFERROR(VLOOKUP(A469,'#15 IH Results'!$A$2:$C$301,2,0),0)+IFERROR(VLOOKUP(A469,'#14 IH Results'!$A$2:$C$302,2,0),0)+IFERROR(VLOOKUP(A469,'#13 IH Results'!$A$2:$C$302,2,0),0)+IFERROR(VLOOKUP(A469,'#12 IH Results'!$A$2:$C$302,2,0),0)+IFERROR(VLOOKUP(A469,'#11 IH Results'!$A$2:$C$302,2,0),0)+IFERROR(VLOOKUP(A469,'#10 IH Results'!$A$2:$C$302,2,0),0)+IFERROR(VLOOKUP(A469,'#9 IH Results'!$A$2:$C$302,2,0),0)+IFERROR(VLOOKUP(A469,'#8 IH Results'!$A$2:$C$302,2,0),0)+IFERROR(VLOOKUP(A469,'#7 IH Results'!$A$2:$C$302,2,0),0)+IFERROR(VLOOKUP(A469,'#6 IH Results'!$A$2:$C$302,2,0),0)+IFERROR(VLOOKUP(A469,'#5 IH Results'!$A$2:$C$303,2,0),0)+IFERROR(VLOOKUP(A469,'#4 IH Results'!$A$2:$C$300,2,0),0)+IFERROR(VLOOKUP(A469,'#3 IH Results'!$A$2:$C$101,2,0),0)+IFERROR(VLOOKUP(A469,'#2 IH Results'!$A$2:$C$101,2,0),0)+IFERROR(VLOOKUP(A469,'#1 IH Results'!$A$2:$C$101,2,0),0)+IFERROR(VLOOKUP(A469,'#0 IH Results'!$A$3:$C$102,2,0),0)</f>
        <v>0</v>
      </c>
    </row>
    <row r="470">
      <c r="B470" s="6">
        <f>IFERROR(VLOOKUP(A470,'#17 IH Results'!$A$2:$C$301,2,0),0)+IFERROR(VLOOKUP(A470,'#16 IH Results'!$A$2:$C$301,2,0),0)+IFERROR(VLOOKUP(A470,'#15 IH Results'!$A$2:$C$301,2,0),0)+IFERROR(VLOOKUP(A470,'#14 IH Results'!$A$2:$C$302,2,0),0)+IFERROR(VLOOKUP(A470,'#13 IH Results'!$A$2:$C$302,2,0),0)+IFERROR(VLOOKUP(A470,'#12 IH Results'!$A$2:$C$302,2,0),0)+IFERROR(VLOOKUP(A470,'#11 IH Results'!$A$2:$C$302,2,0),0)+IFERROR(VLOOKUP(A470,'#10 IH Results'!$A$2:$C$302,2,0),0)+IFERROR(VLOOKUP(A470,'#9 IH Results'!$A$2:$C$302,2,0),0)+IFERROR(VLOOKUP(A470,'#8 IH Results'!$A$2:$C$302,2,0),0)+IFERROR(VLOOKUP(A470,'#7 IH Results'!$A$2:$C$302,2,0),0)+IFERROR(VLOOKUP(A470,'#6 IH Results'!$A$2:$C$302,2,0),0)+IFERROR(VLOOKUP(A470,'#5 IH Results'!$A$2:$C$303,2,0),0)+IFERROR(VLOOKUP(A470,'#4 IH Results'!$A$2:$C$300,2,0),0)+IFERROR(VLOOKUP(A470,'#3 IH Results'!$A$2:$C$101,2,0),0)+IFERROR(VLOOKUP(A470,'#2 IH Results'!$A$2:$C$101,2,0),0)+IFERROR(VLOOKUP(A470,'#1 IH Results'!$A$2:$C$101,2,0),0)+IFERROR(VLOOKUP(A470,'#0 IH Results'!$A$3:$C$102,2,0),0)</f>
        <v>0</v>
      </c>
    </row>
    <row r="471">
      <c r="B471" s="6">
        <f>IFERROR(VLOOKUP(A471,'#17 IH Results'!$A$2:$C$301,2,0),0)+IFERROR(VLOOKUP(A471,'#16 IH Results'!$A$2:$C$301,2,0),0)+IFERROR(VLOOKUP(A471,'#15 IH Results'!$A$2:$C$301,2,0),0)+IFERROR(VLOOKUP(A471,'#14 IH Results'!$A$2:$C$302,2,0),0)+IFERROR(VLOOKUP(A471,'#13 IH Results'!$A$2:$C$302,2,0),0)+IFERROR(VLOOKUP(A471,'#12 IH Results'!$A$2:$C$302,2,0),0)+IFERROR(VLOOKUP(A471,'#11 IH Results'!$A$2:$C$302,2,0),0)+IFERROR(VLOOKUP(A471,'#10 IH Results'!$A$2:$C$302,2,0),0)+IFERROR(VLOOKUP(A471,'#9 IH Results'!$A$2:$C$302,2,0),0)+IFERROR(VLOOKUP(A471,'#8 IH Results'!$A$2:$C$302,2,0),0)+IFERROR(VLOOKUP(A471,'#7 IH Results'!$A$2:$C$302,2,0),0)+IFERROR(VLOOKUP(A471,'#6 IH Results'!$A$2:$C$302,2,0),0)+IFERROR(VLOOKUP(A471,'#5 IH Results'!$A$2:$C$303,2,0),0)+IFERROR(VLOOKUP(A471,'#4 IH Results'!$A$2:$C$300,2,0),0)+IFERROR(VLOOKUP(A471,'#3 IH Results'!$A$2:$C$101,2,0),0)+IFERROR(VLOOKUP(A471,'#2 IH Results'!$A$2:$C$101,2,0),0)+IFERROR(VLOOKUP(A471,'#1 IH Results'!$A$2:$C$101,2,0),0)+IFERROR(VLOOKUP(A471,'#0 IH Results'!$A$3:$C$102,2,0),0)</f>
        <v>0</v>
      </c>
    </row>
    <row r="472">
      <c r="B472" s="6">
        <f>IFERROR(VLOOKUP(A472,'#17 IH Results'!$A$2:$C$301,2,0),0)+IFERROR(VLOOKUP(A472,'#16 IH Results'!$A$2:$C$301,2,0),0)+IFERROR(VLOOKUP(A472,'#15 IH Results'!$A$2:$C$301,2,0),0)+IFERROR(VLOOKUP(A472,'#14 IH Results'!$A$2:$C$302,2,0),0)+IFERROR(VLOOKUP(A472,'#13 IH Results'!$A$2:$C$302,2,0),0)+IFERROR(VLOOKUP(A472,'#12 IH Results'!$A$2:$C$302,2,0),0)+IFERROR(VLOOKUP(A472,'#11 IH Results'!$A$2:$C$302,2,0),0)+IFERROR(VLOOKUP(A472,'#10 IH Results'!$A$2:$C$302,2,0),0)+IFERROR(VLOOKUP(A472,'#9 IH Results'!$A$2:$C$302,2,0),0)+IFERROR(VLOOKUP(A472,'#8 IH Results'!$A$2:$C$302,2,0),0)+IFERROR(VLOOKUP(A472,'#7 IH Results'!$A$2:$C$302,2,0),0)+IFERROR(VLOOKUP(A472,'#6 IH Results'!$A$2:$C$302,2,0),0)+IFERROR(VLOOKUP(A472,'#5 IH Results'!$A$2:$C$303,2,0),0)+IFERROR(VLOOKUP(A472,'#4 IH Results'!$A$2:$C$300,2,0),0)+IFERROR(VLOOKUP(A472,'#3 IH Results'!$A$2:$C$101,2,0),0)+IFERROR(VLOOKUP(A472,'#2 IH Results'!$A$2:$C$101,2,0),0)+IFERROR(VLOOKUP(A472,'#1 IH Results'!$A$2:$C$101,2,0),0)+IFERROR(VLOOKUP(A472,'#0 IH Results'!$A$3:$C$102,2,0),0)</f>
        <v>0</v>
      </c>
    </row>
    <row r="473">
      <c r="B473" s="6">
        <f>IFERROR(VLOOKUP(A473,'#17 IH Results'!$A$2:$C$301,2,0),0)+IFERROR(VLOOKUP(A473,'#16 IH Results'!$A$2:$C$301,2,0),0)+IFERROR(VLOOKUP(A473,'#15 IH Results'!$A$2:$C$301,2,0),0)+IFERROR(VLOOKUP(A473,'#14 IH Results'!$A$2:$C$302,2,0),0)+IFERROR(VLOOKUP(A473,'#13 IH Results'!$A$2:$C$302,2,0),0)+IFERROR(VLOOKUP(A473,'#12 IH Results'!$A$2:$C$302,2,0),0)+IFERROR(VLOOKUP(A473,'#11 IH Results'!$A$2:$C$302,2,0),0)+IFERROR(VLOOKUP(A473,'#10 IH Results'!$A$2:$C$302,2,0),0)+IFERROR(VLOOKUP(A473,'#9 IH Results'!$A$2:$C$302,2,0),0)+IFERROR(VLOOKUP(A473,'#8 IH Results'!$A$2:$C$302,2,0),0)+IFERROR(VLOOKUP(A473,'#7 IH Results'!$A$2:$C$302,2,0),0)+IFERROR(VLOOKUP(A473,'#6 IH Results'!$A$2:$C$302,2,0),0)+IFERROR(VLOOKUP(A473,'#5 IH Results'!$A$2:$C$303,2,0),0)+IFERROR(VLOOKUP(A473,'#4 IH Results'!$A$2:$C$300,2,0),0)+IFERROR(VLOOKUP(A473,'#3 IH Results'!$A$2:$C$101,2,0),0)+IFERROR(VLOOKUP(A473,'#2 IH Results'!$A$2:$C$101,2,0),0)+IFERROR(VLOOKUP(A473,'#1 IH Results'!$A$2:$C$101,2,0),0)+IFERROR(VLOOKUP(A473,'#0 IH Results'!$A$3:$C$102,2,0),0)</f>
        <v>0</v>
      </c>
    </row>
    <row r="474">
      <c r="B474" s="6">
        <f>IFERROR(VLOOKUP(A474,'#17 IH Results'!$A$2:$C$301,2,0),0)+IFERROR(VLOOKUP(A474,'#16 IH Results'!$A$2:$C$301,2,0),0)+IFERROR(VLOOKUP(A474,'#15 IH Results'!$A$2:$C$301,2,0),0)+IFERROR(VLOOKUP(A474,'#14 IH Results'!$A$2:$C$302,2,0),0)+IFERROR(VLOOKUP(A474,'#13 IH Results'!$A$2:$C$302,2,0),0)+IFERROR(VLOOKUP(A474,'#12 IH Results'!$A$2:$C$302,2,0),0)+IFERROR(VLOOKUP(A474,'#11 IH Results'!$A$2:$C$302,2,0),0)+IFERROR(VLOOKUP(A474,'#10 IH Results'!$A$2:$C$302,2,0),0)+IFERROR(VLOOKUP(A474,'#9 IH Results'!$A$2:$C$302,2,0),0)+IFERROR(VLOOKUP(A474,'#8 IH Results'!$A$2:$C$302,2,0),0)+IFERROR(VLOOKUP(A474,'#7 IH Results'!$A$2:$C$302,2,0),0)+IFERROR(VLOOKUP(A474,'#6 IH Results'!$A$2:$C$302,2,0),0)+IFERROR(VLOOKUP(A474,'#5 IH Results'!$A$2:$C$303,2,0),0)+IFERROR(VLOOKUP(A474,'#4 IH Results'!$A$2:$C$300,2,0),0)+IFERROR(VLOOKUP(A474,'#3 IH Results'!$A$2:$C$101,2,0),0)+IFERROR(VLOOKUP(A474,'#2 IH Results'!$A$2:$C$101,2,0),0)+IFERROR(VLOOKUP(A474,'#1 IH Results'!$A$2:$C$101,2,0),0)+IFERROR(VLOOKUP(A474,'#0 IH Results'!$A$3:$C$102,2,0),0)</f>
        <v>0</v>
      </c>
    </row>
    <row r="475">
      <c r="B475" s="6">
        <f>IFERROR(VLOOKUP(A475,'#17 IH Results'!$A$2:$C$301,2,0),0)+IFERROR(VLOOKUP(A475,'#16 IH Results'!$A$2:$C$301,2,0),0)+IFERROR(VLOOKUP(A475,'#15 IH Results'!$A$2:$C$301,2,0),0)+IFERROR(VLOOKUP(A475,'#14 IH Results'!$A$2:$C$302,2,0),0)+IFERROR(VLOOKUP(A475,'#13 IH Results'!$A$2:$C$302,2,0),0)+IFERROR(VLOOKUP(A475,'#12 IH Results'!$A$2:$C$302,2,0),0)+IFERROR(VLOOKUP(A475,'#11 IH Results'!$A$2:$C$302,2,0),0)+IFERROR(VLOOKUP(A475,'#10 IH Results'!$A$2:$C$302,2,0),0)+IFERROR(VLOOKUP(A475,'#9 IH Results'!$A$2:$C$302,2,0),0)+IFERROR(VLOOKUP(A475,'#8 IH Results'!$A$2:$C$302,2,0),0)+IFERROR(VLOOKUP(A475,'#7 IH Results'!$A$2:$C$302,2,0),0)+IFERROR(VLOOKUP(A475,'#6 IH Results'!$A$2:$C$302,2,0),0)+IFERROR(VLOOKUP(A475,'#5 IH Results'!$A$2:$C$303,2,0),0)+IFERROR(VLOOKUP(A475,'#4 IH Results'!$A$2:$C$300,2,0),0)+IFERROR(VLOOKUP(A475,'#3 IH Results'!$A$2:$C$101,2,0),0)+IFERROR(VLOOKUP(A475,'#2 IH Results'!$A$2:$C$101,2,0),0)+IFERROR(VLOOKUP(A475,'#1 IH Results'!$A$2:$C$101,2,0),0)+IFERROR(VLOOKUP(A475,'#0 IH Results'!$A$3:$C$102,2,0),0)</f>
        <v>0</v>
      </c>
    </row>
    <row r="476">
      <c r="B476" s="6">
        <f>IFERROR(VLOOKUP(A476,'#17 IH Results'!$A$2:$C$301,2,0),0)+IFERROR(VLOOKUP(A476,'#16 IH Results'!$A$2:$C$301,2,0),0)+IFERROR(VLOOKUP(A476,'#15 IH Results'!$A$2:$C$301,2,0),0)+IFERROR(VLOOKUP(A476,'#14 IH Results'!$A$2:$C$302,2,0),0)+IFERROR(VLOOKUP(A476,'#13 IH Results'!$A$2:$C$302,2,0),0)+IFERROR(VLOOKUP(A476,'#12 IH Results'!$A$2:$C$302,2,0),0)+IFERROR(VLOOKUP(A476,'#11 IH Results'!$A$2:$C$302,2,0),0)+IFERROR(VLOOKUP(A476,'#10 IH Results'!$A$2:$C$302,2,0),0)+IFERROR(VLOOKUP(A476,'#9 IH Results'!$A$2:$C$302,2,0),0)+IFERROR(VLOOKUP(A476,'#8 IH Results'!$A$2:$C$302,2,0),0)+IFERROR(VLOOKUP(A476,'#7 IH Results'!$A$2:$C$302,2,0),0)+IFERROR(VLOOKUP(A476,'#6 IH Results'!$A$2:$C$302,2,0),0)+IFERROR(VLOOKUP(A476,'#5 IH Results'!$A$2:$C$303,2,0),0)+IFERROR(VLOOKUP(A476,'#4 IH Results'!$A$2:$C$300,2,0),0)+IFERROR(VLOOKUP(A476,'#3 IH Results'!$A$2:$C$101,2,0),0)+IFERROR(VLOOKUP(A476,'#2 IH Results'!$A$2:$C$101,2,0),0)+IFERROR(VLOOKUP(A476,'#1 IH Results'!$A$2:$C$101,2,0),0)+IFERROR(VLOOKUP(A476,'#0 IH Results'!$A$3:$C$102,2,0),0)</f>
        <v>0</v>
      </c>
    </row>
    <row r="477">
      <c r="B477" s="6">
        <f>IFERROR(VLOOKUP(A477,'#17 IH Results'!$A$2:$C$301,2,0),0)+IFERROR(VLOOKUP(A477,'#16 IH Results'!$A$2:$C$301,2,0),0)+IFERROR(VLOOKUP(A477,'#15 IH Results'!$A$2:$C$301,2,0),0)+IFERROR(VLOOKUP(A477,'#14 IH Results'!$A$2:$C$302,2,0),0)+IFERROR(VLOOKUP(A477,'#13 IH Results'!$A$2:$C$302,2,0),0)+IFERROR(VLOOKUP(A477,'#12 IH Results'!$A$2:$C$302,2,0),0)+IFERROR(VLOOKUP(A477,'#11 IH Results'!$A$2:$C$302,2,0),0)+IFERROR(VLOOKUP(A477,'#10 IH Results'!$A$2:$C$302,2,0),0)+IFERROR(VLOOKUP(A477,'#9 IH Results'!$A$2:$C$302,2,0),0)+IFERROR(VLOOKUP(A477,'#8 IH Results'!$A$2:$C$302,2,0),0)+IFERROR(VLOOKUP(A477,'#7 IH Results'!$A$2:$C$302,2,0),0)+IFERROR(VLOOKUP(A477,'#6 IH Results'!$A$2:$C$302,2,0),0)+IFERROR(VLOOKUP(A477,'#5 IH Results'!$A$2:$C$303,2,0),0)+IFERROR(VLOOKUP(A477,'#4 IH Results'!$A$2:$C$300,2,0),0)+IFERROR(VLOOKUP(A477,'#3 IH Results'!$A$2:$C$101,2,0),0)+IFERROR(VLOOKUP(A477,'#2 IH Results'!$A$2:$C$101,2,0),0)+IFERROR(VLOOKUP(A477,'#1 IH Results'!$A$2:$C$101,2,0),0)+IFERROR(VLOOKUP(A477,'#0 IH Results'!$A$3:$C$102,2,0),0)</f>
        <v>0</v>
      </c>
    </row>
    <row r="478">
      <c r="B478" s="6">
        <f>IFERROR(VLOOKUP(A478,'#17 IH Results'!$A$2:$C$301,2,0),0)+IFERROR(VLOOKUP(A478,'#16 IH Results'!$A$2:$C$301,2,0),0)+IFERROR(VLOOKUP(A478,'#15 IH Results'!$A$2:$C$301,2,0),0)+IFERROR(VLOOKUP(A478,'#14 IH Results'!$A$2:$C$302,2,0),0)+IFERROR(VLOOKUP(A478,'#13 IH Results'!$A$2:$C$302,2,0),0)+IFERROR(VLOOKUP(A478,'#12 IH Results'!$A$2:$C$302,2,0),0)+IFERROR(VLOOKUP(A478,'#11 IH Results'!$A$2:$C$302,2,0),0)+IFERROR(VLOOKUP(A478,'#10 IH Results'!$A$2:$C$302,2,0),0)+IFERROR(VLOOKUP(A478,'#9 IH Results'!$A$2:$C$302,2,0),0)+IFERROR(VLOOKUP(A478,'#8 IH Results'!$A$2:$C$302,2,0),0)+IFERROR(VLOOKUP(A478,'#7 IH Results'!$A$2:$C$302,2,0),0)+IFERROR(VLOOKUP(A478,'#6 IH Results'!$A$2:$C$302,2,0),0)+IFERROR(VLOOKUP(A478,'#5 IH Results'!$A$2:$C$303,2,0),0)+IFERROR(VLOOKUP(A478,'#4 IH Results'!$A$2:$C$300,2,0),0)+IFERROR(VLOOKUP(A478,'#3 IH Results'!$A$2:$C$101,2,0),0)+IFERROR(VLOOKUP(A478,'#2 IH Results'!$A$2:$C$101,2,0),0)+IFERROR(VLOOKUP(A478,'#1 IH Results'!$A$2:$C$101,2,0),0)+IFERROR(VLOOKUP(A478,'#0 IH Results'!$A$3:$C$102,2,0),0)</f>
        <v>0</v>
      </c>
    </row>
    <row r="479">
      <c r="B479" s="6">
        <f>IFERROR(VLOOKUP(A479,'#17 IH Results'!$A$2:$C$301,2,0),0)+IFERROR(VLOOKUP(A479,'#16 IH Results'!$A$2:$C$301,2,0),0)+IFERROR(VLOOKUP(A479,'#15 IH Results'!$A$2:$C$301,2,0),0)+IFERROR(VLOOKUP(A479,'#14 IH Results'!$A$2:$C$302,2,0),0)+IFERROR(VLOOKUP(A479,'#13 IH Results'!$A$2:$C$302,2,0),0)+IFERROR(VLOOKUP(A479,'#12 IH Results'!$A$2:$C$302,2,0),0)+IFERROR(VLOOKUP(A479,'#11 IH Results'!$A$2:$C$302,2,0),0)+IFERROR(VLOOKUP(A479,'#10 IH Results'!$A$2:$C$302,2,0),0)+IFERROR(VLOOKUP(A479,'#9 IH Results'!$A$2:$C$302,2,0),0)+IFERROR(VLOOKUP(A479,'#8 IH Results'!$A$2:$C$302,2,0),0)+IFERROR(VLOOKUP(A479,'#7 IH Results'!$A$2:$C$302,2,0),0)+IFERROR(VLOOKUP(A479,'#6 IH Results'!$A$2:$C$302,2,0),0)+IFERROR(VLOOKUP(A479,'#5 IH Results'!$A$2:$C$303,2,0),0)+IFERROR(VLOOKUP(A479,'#4 IH Results'!$A$2:$C$300,2,0),0)+IFERROR(VLOOKUP(A479,'#3 IH Results'!$A$2:$C$101,2,0),0)+IFERROR(VLOOKUP(A479,'#2 IH Results'!$A$2:$C$101,2,0),0)+IFERROR(VLOOKUP(A479,'#1 IH Results'!$A$2:$C$101,2,0),0)+IFERROR(VLOOKUP(A479,'#0 IH Results'!$A$3:$C$102,2,0),0)</f>
        <v>0</v>
      </c>
    </row>
    <row r="480">
      <c r="B480" s="6">
        <f>IFERROR(VLOOKUP(A480,'#17 IH Results'!$A$2:$C$301,2,0),0)+IFERROR(VLOOKUP(A480,'#16 IH Results'!$A$2:$C$301,2,0),0)+IFERROR(VLOOKUP(A480,'#15 IH Results'!$A$2:$C$301,2,0),0)+IFERROR(VLOOKUP(A480,'#14 IH Results'!$A$2:$C$302,2,0),0)+IFERROR(VLOOKUP(A480,'#13 IH Results'!$A$2:$C$302,2,0),0)+IFERROR(VLOOKUP(A480,'#12 IH Results'!$A$2:$C$302,2,0),0)+IFERROR(VLOOKUP(A480,'#11 IH Results'!$A$2:$C$302,2,0),0)+IFERROR(VLOOKUP(A480,'#10 IH Results'!$A$2:$C$302,2,0),0)+IFERROR(VLOOKUP(A480,'#9 IH Results'!$A$2:$C$302,2,0),0)+IFERROR(VLOOKUP(A480,'#8 IH Results'!$A$2:$C$302,2,0),0)+IFERROR(VLOOKUP(A480,'#7 IH Results'!$A$2:$C$302,2,0),0)+IFERROR(VLOOKUP(A480,'#6 IH Results'!$A$2:$C$302,2,0),0)+IFERROR(VLOOKUP(A480,'#5 IH Results'!$A$2:$C$303,2,0),0)+IFERROR(VLOOKUP(A480,'#4 IH Results'!$A$2:$C$300,2,0),0)+IFERROR(VLOOKUP(A480,'#3 IH Results'!$A$2:$C$101,2,0),0)+IFERROR(VLOOKUP(A480,'#2 IH Results'!$A$2:$C$101,2,0),0)+IFERROR(VLOOKUP(A480,'#1 IH Results'!$A$2:$C$101,2,0),0)+IFERROR(VLOOKUP(A480,'#0 IH Results'!$A$3:$C$102,2,0),0)</f>
        <v>0</v>
      </c>
    </row>
    <row r="481">
      <c r="B481" s="6">
        <f>IFERROR(VLOOKUP(A481,'#17 IH Results'!$A$2:$C$301,2,0),0)+IFERROR(VLOOKUP(A481,'#16 IH Results'!$A$2:$C$301,2,0),0)+IFERROR(VLOOKUP(A481,'#15 IH Results'!$A$2:$C$301,2,0),0)+IFERROR(VLOOKUP(A481,'#14 IH Results'!$A$2:$C$302,2,0),0)+IFERROR(VLOOKUP(A481,'#13 IH Results'!$A$2:$C$302,2,0),0)+IFERROR(VLOOKUP(A481,'#12 IH Results'!$A$2:$C$302,2,0),0)+IFERROR(VLOOKUP(A481,'#11 IH Results'!$A$2:$C$302,2,0),0)+IFERROR(VLOOKUP(A481,'#10 IH Results'!$A$2:$C$302,2,0),0)+IFERROR(VLOOKUP(A481,'#9 IH Results'!$A$2:$C$302,2,0),0)+IFERROR(VLOOKUP(A481,'#8 IH Results'!$A$2:$C$302,2,0),0)+IFERROR(VLOOKUP(A481,'#7 IH Results'!$A$2:$C$302,2,0),0)+IFERROR(VLOOKUP(A481,'#6 IH Results'!$A$2:$C$302,2,0),0)+IFERROR(VLOOKUP(A481,'#5 IH Results'!$A$2:$C$303,2,0),0)+IFERROR(VLOOKUP(A481,'#4 IH Results'!$A$2:$C$300,2,0),0)+IFERROR(VLOOKUP(A481,'#3 IH Results'!$A$2:$C$101,2,0),0)+IFERROR(VLOOKUP(A481,'#2 IH Results'!$A$2:$C$101,2,0),0)+IFERROR(VLOOKUP(A481,'#1 IH Results'!$A$2:$C$101,2,0),0)+IFERROR(VLOOKUP(A481,'#0 IH Results'!$A$3:$C$102,2,0),0)</f>
        <v>0</v>
      </c>
    </row>
    <row r="482">
      <c r="B482" s="6">
        <f>IFERROR(VLOOKUP(A482,'#17 IH Results'!$A$2:$C$301,2,0),0)+IFERROR(VLOOKUP(A482,'#16 IH Results'!$A$2:$C$301,2,0),0)+IFERROR(VLOOKUP(A482,'#15 IH Results'!$A$2:$C$301,2,0),0)+IFERROR(VLOOKUP(A482,'#14 IH Results'!$A$2:$C$302,2,0),0)+IFERROR(VLOOKUP(A482,'#13 IH Results'!$A$2:$C$302,2,0),0)+IFERROR(VLOOKUP(A482,'#12 IH Results'!$A$2:$C$302,2,0),0)+IFERROR(VLOOKUP(A482,'#11 IH Results'!$A$2:$C$302,2,0),0)+IFERROR(VLOOKUP(A482,'#10 IH Results'!$A$2:$C$302,2,0),0)+IFERROR(VLOOKUP(A482,'#9 IH Results'!$A$2:$C$302,2,0),0)+IFERROR(VLOOKUP(A482,'#8 IH Results'!$A$2:$C$302,2,0),0)+IFERROR(VLOOKUP(A482,'#7 IH Results'!$A$2:$C$302,2,0),0)+IFERROR(VLOOKUP(A482,'#6 IH Results'!$A$2:$C$302,2,0),0)+IFERROR(VLOOKUP(A482,'#5 IH Results'!$A$2:$C$303,2,0),0)+IFERROR(VLOOKUP(A482,'#4 IH Results'!$A$2:$C$300,2,0),0)+IFERROR(VLOOKUP(A482,'#3 IH Results'!$A$2:$C$101,2,0),0)+IFERROR(VLOOKUP(A482,'#2 IH Results'!$A$2:$C$101,2,0),0)+IFERROR(VLOOKUP(A482,'#1 IH Results'!$A$2:$C$101,2,0),0)+IFERROR(VLOOKUP(A482,'#0 IH Results'!$A$3:$C$102,2,0),0)</f>
        <v>0</v>
      </c>
    </row>
    <row r="483">
      <c r="B483" s="6">
        <f>IFERROR(VLOOKUP(A483,'#17 IH Results'!$A$2:$C$301,2,0),0)+IFERROR(VLOOKUP(A483,'#16 IH Results'!$A$2:$C$301,2,0),0)+IFERROR(VLOOKUP(A483,'#15 IH Results'!$A$2:$C$301,2,0),0)+IFERROR(VLOOKUP(A483,'#14 IH Results'!$A$2:$C$302,2,0),0)+IFERROR(VLOOKUP(A483,'#13 IH Results'!$A$2:$C$302,2,0),0)+IFERROR(VLOOKUP(A483,'#12 IH Results'!$A$2:$C$302,2,0),0)+IFERROR(VLOOKUP(A483,'#11 IH Results'!$A$2:$C$302,2,0),0)+IFERROR(VLOOKUP(A483,'#10 IH Results'!$A$2:$C$302,2,0),0)+IFERROR(VLOOKUP(A483,'#9 IH Results'!$A$2:$C$302,2,0),0)+IFERROR(VLOOKUP(A483,'#8 IH Results'!$A$2:$C$302,2,0),0)+IFERROR(VLOOKUP(A483,'#7 IH Results'!$A$2:$C$302,2,0),0)+IFERROR(VLOOKUP(A483,'#6 IH Results'!$A$2:$C$302,2,0),0)+IFERROR(VLOOKUP(A483,'#5 IH Results'!$A$2:$C$303,2,0),0)+IFERROR(VLOOKUP(A483,'#4 IH Results'!$A$2:$C$300,2,0),0)+IFERROR(VLOOKUP(A483,'#3 IH Results'!$A$2:$C$101,2,0),0)+IFERROR(VLOOKUP(A483,'#2 IH Results'!$A$2:$C$101,2,0),0)+IFERROR(VLOOKUP(A483,'#1 IH Results'!$A$2:$C$101,2,0),0)+IFERROR(VLOOKUP(A483,'#0 IH Results'!$A$3:$C$102,2,0),0)</f>
        <v>0</v>
      </c>
    </row>
    <row r="484">
      <c r="B484" s="6">
        <f>IFERROR(VLOOKUP(A484,'#17 IH Results'!$A$2:$C$301,2,0),0)+IFERROR(VLOOKUP(A484,'#16 IH Results'!$A$2:$C$301,2,0),0)+IFERROR(VLOOKUP(A484,'#15 IH Results'!$A$2:$C$301,2,0),0)+IFERROR(VLOOKUP(A484,'#14 IH Results'!$A$2:$C$302,2,0),0)+IFERROR(VLOOKUP(A484,'#13 IH Results'!$A$2:$C$302,2,0),0)+IFERROR(VLOOKUP(A484,'#12 IH Results'!$A$2:$C$302,2,0),0)+IFERROR(VLOOKUP(A484,'#11 IH Results'!$A$2:$C$302,2,0),0)+IFERROR(VLOOKUP(A484,'#10 IH Results'!$A$2:$C$302,2,0),0)+IFERROR(VLOOKUP(A484,'#9 IH Results'!$A$2:$C$302,2,0),0)+IFERROR(VLOOKUP(A484,'#8 IH Results'!$A$2:$C$302,2,0),0)+IFERROR(VLOOKUP(A484,'#7 IH Results'!$A$2:$C$302,2,0),0)+IFERROR(VLOOKUP(A484,'#6 IH Results'!$A$2:$C$302,2,0),0)+IFERROR(VLOOKUP(A484,'#5 IH Results'!$A$2:$C$303,2,0),0)+IFERROR(VLOOKUP(A484,'#4 IH Results'!$A$2:$C$300,2,0),0)+IFERROR(VLOOKUP(A484,'#3 IH Results'!$A$2:$C$101,2,0),0)+IFERROR(VLOOKUP(A484,'#2 IH Results'!$A$2:$C$101,2,0),0)+IFERROR(VLOOKUP(A484,'#1 IH Results'!$A$2:$C$101,2,0),0)+IFERROR(VLOOKUP(A484,'#0 IH Results'!$A$3:$C$102,2,0),0)</f>
        <v>0</v>
      </c>
    </row>
    <row r="485">
      <c r="B485" s="6">
        <f>IFERROR(VLOOKUP(A485,'#17 IH Results'!$A$2:$C$301,2,0),0)+IFERROR(VLOOKUP(A485,'#16 IH Results'!$A$2:$C$301,2,0),0)+IFERROR(VLOOKUP(A485,'#15 IH Results'!$A$2:$C$301,2,0),0)+IFERROR(VLOOKUP(A485,'#14 IH Results'!$A$2:$C$302,2,0),0)+IFERROR(VLOOKUP(A485,'#13 IH Results'!$A$2:$C$302,2,0),0)+IFERROR(VLOOKUP(A485,'#12 IH Results'!$A$2:$C$302,2,0),0)+IFERROR(VLOOKUP(A485,'#11 IH Results'!$A$2:$C$302,2,0),0)+IFERROR(VLOOKUP(A485,'#10 IH Results'!$A$2:$C$302,2,0),0)+IFERROR(VLOOKUP(A485,'#9 IH Results'!$A$2:$C$302,2,0),0)+IFERROR(VLOOKUP(A485,'#8 IH Results'!$A$2:$C$302,2,0),0)+IFERROR(VLOOKUP(A485,'#7 IH Results'!$A$2:$C$302,2,0),0)+IFERROR(VLOOKUP(A485,'#6 IH Results'!$A$2:$C$302,2,0),0)+IFERROR(VLOOKUP(A485,'#5 IH Results'!$A$2:$C$303,2,0),0)+IFERROR(VLOOKUP(A485,'#4 IH Results'!$A$2:$C$300,2,0),0)+IFERROR(VLOOKUP(A485,'#3 IH Results'!$A$2:$C$101,2,0),0)+IFERROR(VLOOKUP(A485,'#2 IH Results'!$A$2:$C$101,2,0),0)+IFERROR(VLOOKUP(A485,'#1 IH Results'!$A$2:$C$101,2,0),0)+IFERROR(VLOOKUP(A485,'#0 IH Results'!$A$3:$C$102,2,0),0)</f>
        <v>0</v>
      </c>
    </row>
    <row r="486">
      <c r="B486" s="6">
        <f>IFERROR(VLOOKUP(A486,'#17 IH Results'!$A$2:$C$301,2,0),0)+IFERROR(VLOOKUP(A486,'#16 IH Results'!$A$2:$C$301,2,0),0)+IFERROR(VLOOKUP(A486,'#15 IH Results'!$A$2:$C$301,2,0),0)+IFERROR(VLOOKUP(A486,'#14 IH Results'!$A$2:$C$302,2,0),0)+IFERROR(VLOOKUP(A486,'#13 IH Results'!$A$2:$C$302,2,0),0)+IFERROR(VLOOKUP(A486,'#12 IH Results'!$A$2:$C$302,2,0),0)+IFERROR(VLOOKUP(A486,'#11 IH Results'!$A$2:$C$302,2,0),0)+IFERROR(VLOOKUP(A486,'#10 IH Results'!$A$2:$C$302,2,0),0)+IFERROR(VLOOKUP(A486,'#9 IH Results'!$A$2:$C$302,2,0),0)+IFERROR(VLOOKUP(A486,'#8 IH Results'!$A$2:$C$302,2,0),0)+IFERROR(VLOOKUP(A486,'#7 IH Results'!$A$2:$C$302,2,0),0)+IFERROR(VLOOKUP(A486,'#6 IH Results'!$A$2:$C$302,2,0),0)+IFERROR(VLOOKUP(A486,'#5 IH Results'!$A$2:$C$303,2,0),0)+IFERROR(VLOOKUP(A486,'#4 IH Results'!$A$2:$C$300,2,0),0)+IFERROR(VLOOKUP(A486,'#3 IH Results'!$A$2:$C$101,2,0),0)+IFERROR(VLOOKUP(A486,'#2 IH Results'!$A$2:$C$101,2,0),0)+IFERROR(VLOOKUP(A486,'#1 IH Results'!$A$2:$C$101,2,0),0)+IFERROR(VLOOKUP(A486,'#0 IH Results'!$A$3:$C$102,2,0),0)</f>
        <v>0</v>
      </c>
    </row>
    <row r="487">
      <c r="B487" s="6">
        <f>IFERROR(VLOOKUP(A487,'#17 IH Results'!$A$2:$C$301,2,0),0)+IFERROR(VLOOKUP(A487,'#16 IH Results'!$A$2:$C$301,2,0),0)+IFERROR(VLOOKUP(A487,'#15 IH Results'!$A$2:$C$301,2,0),0)+IFERROR(VLOOKUP(A487,'#14 IH Results'!$A$2:$C$302,2,0),0)+IFERROR(VLOOKUP(A487,'#13 IH Results'!$A$2:$C$302,2,0),0)+IFERROR(VLOOKUP(A487,'#12 IH Results'!$A$2:$C$302,2,0),0)+IFERROR(VLOOKUP(A487,'#11 IH Results'!$A$2:$C$302,2,0),0)+IFERROR(VLOOKUP(A487,'#10 IH Results'!$A$2:$C$302,2,0),0)+IFERROR(VLOOKUP(A487,'#9 IH Results'!$A$2:$C$302,2,0),0)+IFERROR(VLOOKUP(A487,'#8 IH Results'!$A$2:$C$302,2,0),0)+IFERROR(VLOOKUP(A487,'#7 IH Results'!$A$2:$C$302,2,0),0)+IFERROR(VLOOKUP(A487,'#6 IH Results'!$A$2:$C$302,2,0),0)+IFERROR(VLOOKUP(A487,'#5 IH Results'!$A$2:$C$303,2,0),0)+IFERROR(VLOOKUP(A487,'#4 IH Results'!$A$2:$C$300,2,0),0)+IFERROR(VLOOKUP(A487,'#3 IH Results'!$A$2:$C$101,2,0),0)+IFERROR(VLOOKUP(A487,'#2 IH Results'!$A$2:$C$101,2,0),0)+IFERROR(VLOOKUP(A487,'#1 IH Results'!$A$2:$C$101,2,0),0)+IFERROR(VLOOKUP(A487,'#0 IH Results'!$A$3:$C$102,2,0),0)</f>
        <v>0</v>
      </c>
    </row>
    <row r="488">
      <c r="B488" s="6">
        <f>IFERROR(VLOOKUP(A488,'#17 IH Results'!$A$2:$C$301,2,0),0)+IFERROR(VLOOKUP(A488,'#16 IH Results'!$A$2:$C$301,2,0),0)+IFERROR(VLOOKUP(A488,'#15 IH Results'!$A$2:$C$301,2,0),0)+IFERROR(VLOOKUP(A488,'#14 IH Results'!$A$2:$C$302,2,0),0)+IFERROR(VLOOKUP(A488,'#13 IH Results'!$A$2:$C$302,2,0),0)+IFERROR(VLOOKUP(A488,'#12 IH Results'!$A$2:$C$302,2,0),0)+IFERROR(VLOOKUP(A488,'#11 IH Results'!$A$2:$C$302,2,0),0)+IFERROR(VLOOKUP(A488,'#10 IH Results'!$A$2:$C$302,2,0),0)+IFERROR(VLOOKUP(A488,'#9 IH Results'!$A$2:$C$302,2,0),0)+IFERROR(VLOOKUP(A488,'#8 IH Results'!$A$2:$C$302,2,0),0)+IFERROR(VLOOKUP(A488,'#7 IH Results'!$A$2:$C$302,2,0),0)+IFERROR(VLOOKUP(A488,'#6 IH Results'!$A$2:$C$302,2,0),0)+IFERROR(VLOOKUP(A488,'#5 IH Results'!$A$2:$C$303,2,0),0)+IFERROR(VLOOKUP(A488,'#4 IH Results'!$A$2:$C$300,2,0),0)+IFERROR(VLOOKUP(A488,'#3 IH Results'!$A$2:$C$101,2,0),0)+IFERROR(VLOOKUP(A488,'#2 IH Results'!$A$2:$C$101,2,0),0)+IFERROR(VLOOKUP(A488,'#1 IH Results'!$A$2:$C$101,2,0),0)+IFERROR(VLOOKUP(A488,'#0 IH Results'!$A$3:$C$102,2,0),0)</f>
        <v>0</v>
      </c>
    </row>
    <row r="489">
      <c r="B489" s="6">
        <f>IFERROR(VLOOKUP(A489,'#17 IH Results'!$A$2:$C$301,2,0),0)+IFERROR(VLOOKUP(A489,'#16 IH Results'!$A$2:$C$301,2,0),0)+IFERROR(VLOOKUP(A489,'#15 IH Results'!$A$2:$C$301,2,0),0)+IFERROR(VLOOKUP(A489,'#14 IH Results'!$A$2:$C$302,2,0),0)+IFERROR(VLOOKUP(A489,'#13 IH Results'!$A$2:$C$302,2,0),0)+IFERROR(VLOOKUP(A489,'#12 IH Results'!$A$2:$C$302,2,0),0)+IFERROR(VLOOKUP(A489,'#11 IH Results'!$A$2:$C$302,2,0),0)+IFERROR(VLOOKUP(A489,'#10 IH Results'!$A$2:$C$302,2,0),0)+IFERROR(VLOOKUP(A489,'#9 IH Results'!$A$2:$C$302,2,0),0)+IFERROR(VLOOKUP(A489,'#8 IH Results'!$A$2:$C$302,2,0),0)+IFERROR(VLOOKUP(A489,'#7 IH Results'!$A$2:$C$302,2,0),0)+IFERROR(VLOOKUP(A489,'#6 IH Results'!$A$2:$C$302,2,0),0)+IFERROR(VLOOKUP(A489,'#5 IH Results'!$A$2:$C$303,2,0),0)+IFERROR(VLOOKUP(A489,'#4 IH Results'!$A$2:$C$300,2,0),0)+IFERROR(VLOOKUP(A489,'#3 IH Results'!$A$2:$C$101,2,0),0)+IFERROR(VLOOKUP(A489,'#2 IH Results'!$A$2:$C$101,2,0),0)+IFERROR(VLOOKUP(A489,'#1 IH Results'!$A$2:$C$101,2,0),0)+IFERROR(VLOOKUP(A489,'#0 IH Results'!$A$3:$C$102,2,0),0)</f>
        <v>0</v>
      </c>
    </row>
    <row r="490">
      <c r="B490" s="6">
        <f>IFERROR(VLOOKUP(A490,'#17 IH Results'!$A$2:$C$301,2,0),0)+IFERROR(VLOOKUP(A490,'#16 IH Results'!$A$2:$C$301,2,0),0)+IFERROR(VLOOKUP(A490,'#15 IH Results'!$A$2:$C$301,2,0),0)+IFERROR(VLOOKUP(A490,'#14 IH Results'!$A$2:$C$302,2,0),0)+IFERROR(VLOOKUP(A490,'#13 IH Results'!$A$2:$C$302,2,0),0)+IFERROR(VLOOKUP(A490,'#12 IH Results'!$A$2:$C$302,2,0),0)+IFERROR(VLOOKUP(A490,'#11 IH Results'!$A$2:$C$302,2,0),0)+IFERROR(VLOOKUP(A490,'#10 IH Results'!$A$2:$C$302,2,0),0)+IFERROR(VLOOKUP(A490,'#9 IH Results'!$A$2:$C$302,2,0),0)+IFERROR(VLOOKUP(A490,'#8 IH Results'!$A$2:$C$302,2,0),0)+IFERROR(VLOOKUP(A490,'#7 IH Results'!$A$2:$C$302,2,0),0)+IFERROR(VLOOKUP(A490,'#6 IH Results'!$A$2:$C$302,2,0),0)+IFERROR(VLOOKUP(A490,'#5 IH Results'!$A$2:$C$303,2,0),0)+IFERROR(VLOOKUP(A490,'#4 IH Results'!$A$2:$C$300,2,0),0)+IFERROR(VLOOKUP(A490,'#3 IH Results'!$A$2:$C$101,2,0),0)+IFERROR(VLOOKUP(A490,'#2 IH Results'!$A$2:$C$101,2,0),0)+IFERROR(VLOOKUP(A490,'#1 IH Results'!$A$2:$C$101,2,0),0)+IFERROR(VLOOKUP(A490,'#0 IH Results'!$A$3:$C$102,2,0),0)</f>
        <v>0</v>
      </c>
    </row>
    <row r="491">
      <c r="B491" s="6">
        <f>IFERROR(VLOOKUP(A491,'#17 IH Results'!$A$2:$C$301,2,0),0)+IFERROR(VLOOKUP(A491,'#16 IH Results'!$A$2:$C$301,2,0),0)+IFERROR(VLOOKUP(A491,'#15 IH Results'!$A$2:$C$301,2,0),0)+IFERROR(VLOOKUP(A491,'#14 IH Results'!$A$2:$C$302,2,0),0)+IFERROR(VLOOKUP(A491,'#13 IH Results'!$A$2:$C$302,2,0),0)+IFERROR(VLOOKUP(A491,'#12 IH Results'!$A$2:$C$302,2,0),0)+IFERROR(VLOOKUP(A491,'#11 IH Results'!$A$2:$C$302,2,0),0)+IFERROR(VLOOKUP(A491,'#10 IH Results'!$A$2:$C$302,2,0),0)+IFERROR(VLOOKUP(A491,'#9 IH Results'!$A$2:$C$302,2,0),0)+IFERROR(VLOOKUP(A491,'#8 IH Results'!$A$2:$C$302,2,0),0)+IFERROR(VLOOKUP(A491,'#7 IH Results'!$A$2:$C$302,2,0),0)+IFERROR(VLOOKUP(A491,'#6 IH Results'!$A$2:$C$302,2,0),0)+IFERROR(VLOOKUP(A491,'#5 IH Results'!$A$2:$C$303,2,0),0)+IFERROR(VLOOKUP(A491,'#4 IH Results'!$A$2:$C$300,2,0),0)+IFERROR(VLOOKUP(A491,'#3 IH Results'!$A$2:$C$101,2,0),0)+IFERROR(VLOOKUP(A491,'#2 IH Results'!$A$2:$C$101,2,0),0)+IFERROR(VLOOKUP(A491,'#1 IH Results'!$A$2:$C$101,2,0),0)+IFERROR(VLOOKUP(A491,'#0 IH Results'!$A$3:$C$102,2,0),0)</f>
        <v>0</v>
      </c>
    </row>
    <row r="492">
      <c r="B492" s="6">
        <f>IFERROR(VLOOKUP(A492,'#17 IH Results'!$A$2:$C$301,2,0),0)+IFERROR(VLOOKUP(A492,'#16 IH Results'!$A$2:$C$301,2,0),0)+IFERROR(VLOOKUP(A492,'#15 IH Results'!$A$2:$C$301,2,0),0)+IFERROR(VLOOKUP(A492,'#14 IH Results'!$A$2:$C$302,2,0),0)+IFERROR(VLOOKUP(A492,'#13 IH Results'!$A$2:$C$302,2,0),0)+IFERROR(VLOOKUP(A492,'#12 IH Results'!$A$2:$C$302,2,0),0)+IFERROR(VLOOKUP(A492,'#11 IH Results'!$A$2:$C$302,2,0),0)+IFERROR(VLOOKUP(A492,'#10 IH Results'!$A$2:$C$302,2,0),0)+IFERROR(VLOOKUP(A492,'#9 IH Results'!$A$2:$C$302,2,0),0)+IFERROR(VLOOKUP(A492,'#8 IH Results'!$A$2:$C$302,2,0),0)+IFERROR(VLOOKUP(A492,'#7 IH Results'!$A$2:$C$302,2,0),0)+IFERROR(VLOOKUP(A492,'#6 IH Results'!$A$2:$C$302,2,0),0)+IFERROR(VLOOKUP(A492,'#5 IH Results'!$A$2:$C$303,2,0),0)+IFERROR(VLOOKUP(A492,'#4 IH Results'!$A$2:$C$300,2,0),0)+IFERROR(VLOOKUP(A492,'#3 IH Results'!$A$2:$C$101,2,0),0)+IFERROR(VLOOKUP(A492,'#2 IH Results'!$A$2:$C$101,2,0),0)+IFERROR(VLOOKUP(A492,'#1 IH Results'!$A$2:$C$101,2,0),0)+IFERROR(VLOOKUP(A492,'#0 IH Results'!$A$3:$C$102,2,0),0)</f>
        <v>0</v>
      </c>
    </row>
    <row r="493">
      <c r="B493" s="6">
        <f>IFERROR(VLOOKUP(A493,'#17 IH Results'!$A$2:$C$301,2,0),0)+IFERROR(VLOOKUP(A493,'#16 IH Results'!$A$2:$C$301,2,0),0)+IFERROR(VLOOKUP(A493,'#15 IH Results'!$A$2:$C$301,2,0),0)+IFERROR(VLOOKUP(A493,'#14 IH Results'!$A$2:$C$302,2,0),0)+IFERROR(VLOOKUP(A493,'#13 IH Results'!$A$2:$C$302,2,0),0)+IFERROR(VLOOKUP(A493,'#12 IH Results'!$A$2:$C$302,2,0),0)+IFERROR(VLOOKUP(A493,'#11 IH Results'!$A$2:$C$302,2,0),0)+IFERROR(VLOOKUP(A493,'#10 IH Results'!$A$2:$C$302,2,0),0)+IFERROR(VLOOKUP(A493,'#9 IH Results'!$A$2:$C$302,2,0),0)+IFERROR(VLOOKUP(A493,'#8 IH Results'!$A$2:$C$302,2,0),0)+IFERROR(VLOOKUP(A493,'#7 IH Results'!$A$2:$C$302,2,0),0)+IFERROR(VLOOKUP(A493,'#6 IH Results'!$A$2:$C$302,2,0),0)+IFERROR(VLOOKUP(A493,'#5 IH Results'!$A$2:$C$303,2,0),0)+IFERROR(VLOOKUP(A493,'#4 IH Results'!$A$2:$C$300,2,0),0)+IFERROR(VLOOKUP(A493,'#3 IH Results'!$A$2:$C$101,2,0),0)+IFERROR(VLOOKUP(A493,'#2 IH Results'!$A$2:$C$101,2,0),0)+IFERROR(VLOOKUP(A493,'#1 IH Results'!$A$2:$C$101,2,0),0)+IFERROR(VLOOKUP(A493,'#0 IH Results'!$A$3:$C$102,2,0),0)</f>
        <v>0</v>
      </c>
    </row>
    <row r="494">
      <c r="B494" s="6">
        <f>IFERROR(VLOOKUP(A494,'#17 IH Results'!$A$2:$C$301,2,0),0)+IFERROR(VLOOKUP(A494,'#16 IH Results'!$A$2:$C$301,2,0),0)+IFERROR(VLOOKUP(A494,'#15 IH Results'!$A$2:$C$301,2,0),0)+IFERROR(VLOOKUP(A494,'#14 IH Results'!$A$2:$C$302,2,0),0)+IFERROR(VLOOKUP(A494,'#13 IH Results'!$A$2:$C$302,2,0),0)+IFERROR(VLOOKUP(A494,'#12 IH Results'!$A$2:$C$302,2,0),0)+IFERROR(VLOOKUP(A494,'#11 IH Results'!$A$2:$C$302,2,0),0)+IFERROR(VLOOKUP(A494,'#10 IH Results'!$A$2:$C$302,2,0),0)+IFERROR(VLOOKUP(A494,'#9 IH Results'!$A$2:$C$302,2,0),0)+IFERROR(VLOOKUP(A494,'#8 IH Results'!$A$2:$C$302,2,0),0)+IFERROR(VLOOKUP(A494,'#7 IH Results'!$A$2:$C$302,2,0),0)+IFERROR(VLOOKUP(A494,'#6 IH Results'!$A$2:$C$302,2,0),0)+IFERROR(VLOOKUP(A494,'#5 IH Results'!$A$2:$C$303,2,0),0)+IFERROR(VLOOKUP(A494,'#4 IH Results'!$A$2:$C$300,2,0),0)+IFERROR(VLOOKUP(A494,'#3 IH Results'!$A$2:$C$101,2,0),0)+IFERROR(VLOOKUP(A494,'#2 IH Results'!$A$2:$C$101,2,0),0)+IFERROR(VLOOKUP(A494,'#1 IH Results'!$A$2:$C$101,2,0),0)+IFERROR(VLOOKUP(A494,'#0 IH Results'!$A$3:$C$102,2,0),0)</f>
        <v>0</v>
      </c>
    </row>
    <row r="495">
      <c r="B495" s="6">
        <f>IFERROR(VLOOKUP(A495,'#17 IH Results'!$A$2:$C$301,2,0),0)+IFERROR(VLOOKUP(A495,'#16 IH Results'!$A$2:$C$301,2,0),0)+IFERROR(VLOOKUP(A495,'#15 IH Results'!$A$2:$C$301,2,0),0)+IFERROR(VLOOKUP(A495,'#14 IH Results'!$A$2:$C$302,2,0),0)+IFERROR(VLOOKUP(A495,'#13 IH Results'!$A$2:$C$302,2,0),0)+IFERROR(VLOOKUP(A495,'#12 IH Results'!$A$2:$C$302,2,0),0)+IFERROR(VLOOKUP(A495,'#11 IH Results'!$A$2:$C$302,2,0),0)+IFERROR(VLOOKUP(A495,'#10 IH Results'!$A$2:$C$302,2,0),0)+IFERROR(VLOOKUP(A495,'#9 IH Results'!$A$2:$C$302,2,0),0)+IFERROR(VLOOKUP(A495,'#8 IH Results'!$A$2:$C$302,2,0),0)+IFERROR(VLOOKUP(A495,'#7 IH Results'!$A$2:$C$302,2,0),0)+IFERROR(VLOOKUP(A495,'#6 IH Results'!$A$2:$C$302,2,0),0)+IFERROR(VLOOKUP(A495,'#5 IH Results'!$A$2:$C$303,2,0),0)+IFERROR(VLOOKUP(A495,'#4 IH Results'!$A$2:$C$300,2,0),0)+IFERROR(VLOOKUP(A495,'#3 IH Results'!$A$2:$C$101,2,0),0)+IFERROR(VLOOKUP(A495,'#2 IH Results'!$A$2:$C$101,2,0),0)+IFERROR(VLOOKUP(A495,'#1 IH Results'!$A$2:$C$101,2,0),0)+IFERROR(VLOOKUP(A495,'#0 IH Results'!$A$3:$C$102,2,0),0)</f>
        <v>0</v>
      </c>
    </row>
    <row r="496">
      <c r="B496" s="6">
        <f>IFERROR(VLOOKUP(A496,'#17 IH Results'!$A$2:$C$301,2,0),0)+IFERROR(VLOOKUP(A496,'#16 IH Results'!$A$2:$C$301,2,0),0)+IFERROR(VLOOKUP(A496,'#15 IH Results'!$A$2:$C$301,2,0),0)+IFERROR(VLOOKUP(A496,'#14 IH Results'!$A$2:$C$302,2,0),0)+IFERROR(VLOOKUP(A496,'#13 IH Results'!$A$2:$C$302,2,0),0)+IFERROR(VLOOKUP(A496,'#12 IH Results'!$A$2:$C$302,2,0),0)+IFERROR(VLOOKUP(A496,'#11 IH Results'!$A$2:$C$302,2,0),0)+IFERROR(VLOOKUP(A496,'#10 IH Results'!$A$2:$C$302,2,0),0)+IFERROR(VLOOKUP(A496,'#9 IH Results'!$A$2:$C$302,2,0),0)+IFERROR(VLOOKUP(A496,'#8 IH Results'!$A$2:$C$302,2,0),0)+IFERROR(VLOOKUP(A496,'#7 IH Results'!$A$2:$C$302,2,0),0)+IFERROR(VLOOKUP(A496,'#6 IH Results'!$A$2:$C$302,2,0),0)+IFERROR(VLOOKUP(A496,'#5 IH Results'!$A$2:$C$303,2,0),0)+IFERROR(VLOOKUP(A496,'#4 IH Results'!$A$2:$C$300,2,0),0)+IFERROR(VLOOKUP(A496,'#3 IH Results'!$A$2:$C$101,2,0),0)+IFERROR(VLOOKUP(A496,'#2 IH Results'!$A$2:$C$101,2,0),0)+IFERROR(VLOOKUP(A496,'#1 IH Results'!$A$2:$C$101,2,0),0)+IFERROR(VLOOKUP(A496,'#0 IH Results'!$A$3:$C$102,2,0),0)</f>
        <v>0</v>
      </c>
    </row>
    <row r="497">
      <c r="B497" s="6">
        <f>IFERROR(VLOOKUP(A497,'#17 IH Results'!$A$2:$C$301,2,0),0)+IFERROR(VLOOKUP(A497,'#16 IH Results'!$A$2:$C$301,2,0),0)+IFERROR(VLOOKUP(A497,'#15 IH Results'!$A$2:$C$301,2,0),0)+IFERROR(VLOOKUP(A497,'#14 IH Results'!$A$2:$C$302,2,0),0)+IFERROR(VLOOKUP(A497,'#13 IH Results'!$A$2:$C$302,2,0),0)+IFERROR(VLOOKUP(A497,'#12 IH Results'!$A$2:$C$302,2,0),0)+IFERROR(VLOOKUP(A497,'#11 IH Results'!$A$2:$C$302,2,0),0)+IFERROR(VLOOKUP(A497,'#10 IH Results'!$A$2:$C$302,2,0),0)+IFERROR(VLOOKUP(A497,'#9 IH Results'!$A$2:$C$302,2,0),0)+IFERROR(VLOOKUP(A497,'#8 IH Results'!$A$2:$C$302,2,0),0)+IFERROR(VLOOKUP(A497,'#7 IH Results'!$A$2:$C$302,2,0),0)+IFERROR(VLOOKUP(A497,'#6 IH Results'!$A$2:$C$302,2,0),0)+IFERROR(VLOOKUP(A497,'#5 IH Results'!$A$2:$C$303,2,0),0)+IFERROR(VLOOKUP(A497,'#4 IH Results'!$A$2:$C$300,2,0),0)+IFERROR(VLOOKUP(A497,'#3 IH Results'!$A$2:$C$101,2,0),0)+IFERROR(VLOOKUP(A497,'#2 IH Results'!$A$2:$C$101,2,0),0)+IFERROR(VLOOKUP(A497,'#1 IH Results'!$A$2:$C$101,2,0),0)+IFERROR(VLOOKUP(A497,'#0 IH Results'!$A$3:$C$102,2,0),0)</f>
        <v>0</v>
      </c>
    </row>
    <row r="498">
      <c r="B498" s="6">
        <f>IFERROR(VLOOKUP(A498,'#17 IH Results'!$A$2:$C$301,2,0),0)+IFERROR(VLOOKUP(A498,'#16 IH Results'!$A$2:$C$301,2,0),0)+IFERROR(VLOOKUP(A498,'#15 IH Results'!$A$2:$C$301,2,0),0)+IFERROR(VLOOKUP(A498,'#14 IH Results'!$A$2:$C$302,2,0),0)+IFERROR(VLOOKUP(A498,'#13 IH Results'!$A$2:$C$302,2,0),0)+IFERROR(VLOOKUP(A498,'#12 IH Results'!$A$2:$C$302,2,0),0)+IFERROR(VLOOKUP(A498,'#11 IH Results'!$A$2:$C$302,2,0),0)+IFERROR(VLOOKUP(A498,'#10 IH Results'!$A$2:$C$302,2,0),0)+IFERROR(VLOOKUP(A498,'#9 IH Results'!$A$2:$C$302,2,0),0)+IFERROR(VLOOKUP(A498,'#8 IH Results'!$A$2:$C$302,2,0),0)+IFERROR(VLOOKUP(A498,'#7 IH Results'!$A$2:$C$302,2,0),0)+IFERROR(VLOOKUP(A498,'#6 IH Results'!$A$2:$C$302,2,0),0)+IFERROR(VLOOKUP(A498,'#5 IH Results'!$A$2:$C$303,2,0),0)+IFERROR(VLOOKUP(A498,'#4 IH Results'!$A$2:$C$300,2,0),0)+IFERROR(VLOOKUP(A498,'#3 IH Results'!$A$2:$C$101,2,0),0)+IFERROR(VLOOKUP(A498,'#2 IH Results'!$A$2:$C$101,2,0),0)+IFERROR(VLOOKUP(A498,'#1 IH Results'!$A$2:$C$101,2,0),0)+IFERROR(VLOOKUP(A498,'#0 IH Results'!$A$3:$C$102,2,0),0)</f>
        <v>0</v>
      </c>
    </row>
    <row r="499">
      <c r="B499" s="6">
        <f>IFERROR(VLOOKUP(A499,'#17 IH Results'!$A$2:$C$301,2,0),0)+IFERROR(VLOOKUP(A499,'#16 IH Results'!$A$2:$C$301,2,0),0)+IFERROR(VLOOKUP(A499,'#15 IH Results'!$A$2:$C$301,2,0),0)+IFERROR(VLOOKUP(A499,'#14 IH Results'!$A$2:$C$302,2,0),0)+IFERROR(VLOOKUP(A499,'#13 IH Results'!$A$2:$C$302,2,0),0)+IFERROR(VLOOKUP(A499,'#12 IH Results'!$A$2:$C$302,2,0),0)+IFERROR(VLOOKUP(A499,'#11 IH Results'!$A$2:$C$302,2,0),0)+IFERROR(VLOOKUP(A499,'#10 IH Results'!$A$2:$C$302,2,0),0)+IFERROR(VLOOKUP(A499,'#9 IH Results'!$A$2:$C$302,2,0),0)+IFERROR(VLOOKUP(A499,'#8 IH Results'!$A$2:$C$302,2,0),0)+IFERROR(VLOOKUP(A499,'#7 IH Results'!$A$2:$C$302,2,0),0)+IFERROR(VLOOKUP(A499,'#6 IH Results'!$A$2:$C$302,2,0),0)+IFERROR(VLOOKUP(A499,'#5 IH Results'!$A$2:$C$303,2,0),0)+IFERROR(VLOOKUP(A499,'#4 IH Results'!$A$2:$C$300,2,0),0)+IFERROR(VLOOKUP(A499,'#3 IH Results'!$A$2:$C$101,2,0),0)+IFERROR(VLOOKUP(A499,'#2 IH Results'!$A$2:$C$101,2,0),0)+IFERROR(VLOOKUP(A499,'#1 IH Results'!$A$2:$C$101,2,0),0)+IFERROR(VLOOKUP(A499,'#0 IH Results'!$A$3:$C$102,2,0),0)</f>
        <v>0</v>
      </c>
    </row>
    <row r="500">
      <c r="B500" s="6">
        <f>IFERROR(VLOOKUP(A500,'#17 IH Results'!$A$2:$C$301,2,0),0)+IFERROR(VLOOKUP(A500,'#16 IH Results'!$A$2:$C$301,2,0),0)+IFERROR(VLOOKUP(A500,'#15 IH Results'!$A$2:$C$301,2,0),0)+IFERROR(VLOOKUP(A500,'#14 IH Results'!$A$2:$C$302,2,0),0)+IFERROR(VLOOKUP(A500,'#13 IH Results'!$A$2:$C$302,2,0),0)+IFERROR(VLOOKUP(A500,'#12 IH Results'!$A$2:$C$302,2,0),0)+IFERROR(VLOOKUP(A500,'#11 IH Results'!$A$2:$C$302,2,0),0)+IFERROR(VLOOKUP(A500,'#10 IH Results'!$A$2:$C$302,2,0),0)+IFERROR(VLOOKUP(A500,'#9 IH Results'!$A$2:$C$302,2,0),0)+IFERROR(VLOOKUP(A500,'#8 IH Results'!$A$2:$C$302,2,0),0)+IFERROR(VLOOKUP(A500,'#7 IH Results'!$A$2:$C$302,2,0),0)+IFERROR(VLOOKUP(A500,'#6 IH Results'!$A$2:$C$302,2,0),0)+IFERROR(VLOOKUP(A500,'#5 IH Results'!$A$2:$C$303,2,0),0)+IFERROR(VLOOKUP(A500,'#4 IH Results'!$A$2:$C$300,2,0),0)+IFERROR(VLOOKUP(A500,'#3 IH Results'!$A$2:$C$101,2,0),0)+IFERROR(VLOOKUP(A500,'#2 IH Results'!$A$2:$C$101,2,0),0)+IFERROR(VLOOKUP(A500,'#1 IH Results'!$A$2:$C$101,2,0),0)+IFERROR(VLOOKUP(A500,'#0 IH Results'!$A$3:$C$102,2,0),0)</f>
        <v>0</v>
      </c>
    </row>
    <row r="501">
      <c r="B501" s="6">
        <f>IFERROR(VLOOKUP(A501,'#17 IH Results'!$A$2:$C$301,2,0),0)+IFERROR(VLOOKUP(A501,'#16 IH Results'!$A$2:$C$301,2,0),0)+IFERROR(VLOOKUP(A501,'#15 IH Results'!$A$2:$C$301,2,0),0)+IFERROR(VLOOKUP(A501,'#14 IH Results'!$A$2:$C$302,2,0),0)+IFERROR(VLOOKUP(A501,'#13 IH Results'!$A$2:$C$302,2,0),0)+IFERROR(VLOOKUP(A501,'#12 IH Results'!$A$2:$C$302,2,0),0)+IFERROR(VLOOKUP(A501,'#11 IH Results'!$A$2:$C$302,2,0),0)+IFERROR(VLOOKUP(A501,'#10 IH Results'!$A$2:$C$302,2,0),0)+IFERROR(VLOOKUP(A501,'#9 IH Results'!$A$2:$C$302,2,0),0)+IFERROR(VLOOKUP(A501,'#8 IH Results'!$A$2:$C$302,2,0),0)+IFERROR(VLOOKUP(A501,'#7 IH Results'!$A$2:$C$302,2,0),0)+IFERROR(VLOOKUP(A501,'#6 IH Results'!$A$2:$C$302,2,0),0)+IFERROR(VLOOKUP(A501,'#5 IH Results'!$A$2:$C$303,2,0),0)+IFERROR(VLOOKUP(A501,'#4 IH Results'!$A$2:$C$300,2,0),0)+IFERROR(VLOOKUP(A501,'#3 IH Results'!$A$2:$C$101,2,0),0)+IFERROR(VLOOKUP(A501,'#2 IH Results'!$A$2:$C$101,2,0),0)+IFERROR(VLOOKUP(A501,'#1 IH Results'!$A$2:$C$101,2,0),0)+IFERROR(VLOOKUP(A501,'#0 IH Results'!$A$3:$C$102,2,0),0)</f>
        <v>0</v>
      </c>
    </row>
    <row r="502">
      <c r="B502" s="6">
        <f>IFERROR(VLOOKUP(A502,'#17 IH Results'!$A$2:$C$301,2,0),0)+IFERROR(VLOOKUP(A502,'#16 IH Results'!$A$2:$C$301,2,0),0)+IFERROR(VLOOKUP(A502,'#15 IH Results'!$A$2:$C$301,2,0),0)+IFERROR(VLOOKUP(A502,'#14 IH Results'!$A$2:$C$302,2,0),0)+IFERROR(VLOOKUP(A502,'#13 IH Results'!$A$2:$C$302,2,0),0)+IFERROR(VLOOKUP(A502,'#12 IH Results'!$A$2:$C$302,2,0),0)+IFERROR(VLOOKUP(A502,'#11 IH Results'!$A$2:$C$302,2,0),0)+IFERROR(VLOOKUP(A502,'#10 IH Results'!$A$2:$C$302,2,0),0)+IFERROR(VLOOKUP(A502,'#9 IH Results'!$A$2:$C$302,2,0),0)+IFERROR(VLOOKUP(A502,'#8 IH Results'!$A$2:$C$302,2,0),0)+IFERROR(VLOOKUP(A502,'#7 IH Results'!$A$2:$C$302,2,0),0)+IFERROR(VLOOKUP(A502,'#6 IH Results'!$A$2:$C$302,2,0),0)+IFERROR(VLOOKUP(A502,'#5 IH Results'!$A$2:$C$303,2,0),0)+IFERROR(VLOOKUP(A502,'#4 IH Results'!$A$2:$C$300,2,0),0)+IFERROR(VLOOKUP(A502,'#3 IH Results'!$A$2:$C$101,2,0),0)+IFERROR(VLOOKUP(A502,'#2 IH Results'!$A$2:$C$101,2,0),0)+IFERROR(VLOOKUP(A502,'#1 IH Results'!$A$2:$C$101,2,0),0)+IFERROR(VLOOKUP(A502,'#0 IH Results'!$A$3:$C$102,2,0),0)</f>
        <v>0</v>
      </c>
    </row>
    <row r="503">
      <c r="B503" s="6">
        <f>IFERROR(VLOOKUP(A503,'#17 IH Results'!$A$2:$C$301,2,0),0)+IFERROR(VLOOKUP(A503,'#16 IH Results'!$A$2:$C$301,2,0),0)+IFERROR(VLOOKUP(A503,'#15 IH Results'!$A$2:$C$301,2,0),0)+IFERROR(VLOOKUP(A503,'#14 IH Results'!$A$2:$C$302,2,0),0)+IFERROR(VLOOKUP(A503,'#13 IH Results'!$A$2:$C$302,2,0),0)+IFERROR(VLOOKUP(A503,'#12 IH Results'!$A$2:$C$302,2,0),0)+IFERROR(VLOOKUP(A503,'#11 IH Results'!$A$2:$C$302,2,0),0)+IFERROR(VLOOKUP(A503,'#10 IH Results'!$A$2:$C$302,2,0),0)+IFERROR(VLOOKUP(A503,'#9 IH Results'!$A$2:$C$302,2,0),0)+IFERROR(VLOOKUP(A503,'#8 IH Results'!$A$2:$C$302,2,0),0)+IFERROR(VLOOKUP(A503,'#7 IH Results'!$A$2:$C$302,2,0),0)+IFERROR(VLOOKUP(A503,'#6 IH Results'!$A$2:$C$302,2,0),0)+IFERROR(VLOOKUP(A503,'#5 IH Results'!$A$2:$C$303,2,0),0)+IFERROR(VLOOKUP(A503,'#4 IH Results'!$A$2:$C$300,2,0),0)+IFERROR(VLOOKUP(A503,'#3 IH Results'!$A$2:$C$101,2,0),0)+IFERROR(VLOOKUP(A503,'#2 IH Results'!$A$2:$C$101,2,0),0)+IFERROR(VLOOKUP(A503,'#1 IH Results'!$A$2:$C$101,2,0),0)+IFERROR(VLOOKUP(A503,'#0 IH Results'!$A$3:$C$102,2,0),0)</f>
        <v>0</v>
      </c>
    </row>
    <row r="504">
      <c r="B504" s="6">
        <f>IFERROR(VLOOKUP(A504,'#17 IH Results'!$A$2:$C$301,2,0),0)+IFERROR(VLOOKUP(A504,'#16 IH Results'!$A$2:$C$301,2,0),0)+IFERROR(VLOOKUP(A504,'#15 IH Results'!$A$2:$C$301,2,0),0)+IFERROR(VLOOKUP(A504,'#14 IH Results'!$A$2:$C$302,2,0),0)+IFERROR(VLOOKUP(A504,'#13 IH Results'!$A$2:$C$302,2,0),0)+IFERROR(VLOOKUP(A504,'#12 IH Results'!$A$2:$C$302,2,0),0)+IFERROR(VLOOKUP(A504,'#11 IH Results'!$A$2:$C$302,2,0),0)+IFERROR(VLOOKUP(A504,'#10 IH Results'!$A$2:$C$302,2,0),0)+IFERROR(VLOOKUP(A504,'#9 IH Results'!$A$2:$C$302,2,0),0)+IFERROR(VLOOKUP(A504,'#8 IH Results'!$A$2:$C$302,2,0),0)+IFERROR(VLOOKUP(A504,'#7 IH Results'!$A$2:$C$302,2,0),0)+IFERROR(VLOOKUP(A504,'#6 IH Results'!$A$2:$C$302,2,0),0)+IFERROR(VLOOKUP(A504,'#5 IH Results'!$A$2:$C$303,2,0),0)+IFERROR(VLOOKUP(A504,'#4 IH Results'!$A$2:$C$300,2,0),0)+IFERROR(VLOOKUP(A504,'#3 IH Results'!$A$2:$C$101,2,0),0)+IFERROR(VLOOKUP(A504,'#2 IH Results'!$A$2:$C$101,2,0),0)+IFERROR(VLOOKUP(A504,'#1 IH Results'!$A$2:$C$101,2,0),0)+IFERROR(VLOOKUP(A504,'#0 IH Results'!$A$3:$C$102,2,0),0)</f>
        <v>0</v>
      </c>
    </row>
    <row r="505">
      <c r="B505" s="6">
        <f>IFERROR(VLOOKUP(A505,'#17 IH Results'!$A$2:$C$301,2,0),0)+IFERROR(VLOOKUP(A505,'#16 IH Results'!$A$2:$C$301,2,0),0)+IFERROR(VLOOKUP(A505,'#15 IH Results'!$A$2:$C$301,2,0),0)+IFERROR(VLOOKUP(A505,'#14 IH Results'!$A$2:$C$302,2,0),0)+IFERROR(VLOOKUP(A505,'#13 IH Results'!$A$2:$C$302,2,0),0)+IFERROR(VLOOKUP(A505,'#12 IH Results'!$A$2:$C$302,2,0),0)+IFERROR(VLOOKUP(A505,'#11 IH Results'!$A$2:$C$302,2,0),0)+IFERROR(VLOOKUP(A505,'#10 IH Results'!$A$2:$C$302,2,0),0)+IFERROR(VLOOKUP(A505,'#9 IH Results'!$A$2:$C$302,2,0),0)+IFERROR(VLOOKUP(A505,'#8 IH Results'!$A$2:$C$302,2,0),0)+IFERROR(VLOOKUP(A505,'#7 IH Results'!$A$2:$C$302,2,0),0)+IFERROR(VLOOKUP(A505,'#6 IH Results'!$A$2:$C$302,2,0),0)+IFERROR(VLOOKUP(A505,'#5 IH Results'!$A$2:$C$303,2,0),0)+IFERROR(VLOOKUP(A505,'#4 IH Results'!$A$2:$C$300,2,0),0)+IFERROR(VLOOKUP(A505,'#3 IH Results'!$A$2:$C$101,2,0),0)+IFERROR(VLOOKUP(A505,'#2 IH Results'!$A$2:$C$101,2,0),0)+IFERROR(VLOOKUP(A505,'#1 IH Results'!$A$2:$C$101,2,0),0)+IFERROR(VLOOKUP(A505,'#0 IH Results'!$A$3:$C$102,2,0),0)</f>
        <v>0</v>
      </c>
    </row>
    <row r="506">
      <c r="B506" s="6">
        <f>IFERROR(VLOOKUP(A506,'#17 IH Results'!$A$2:$C$301,2,0),0)+IFERROR(VLOOKUP(A506,'#16 IH Results'!$A$2:$C$301,2,0),0)+IFERROR(VLOOKUP(A506,'#15 IH Results'!$A$2:$C$301,2,0),0)+IFERROR(VLOOKUP(A506,'#14 IH Results'!$A$2:$C$302,2,0),0)+IFERROR(VLOOKUP(A506,'#13 IH Results'!$A$2:$C$302,2,0),0)+IFERROR(VLOOKUP(A506,'#12 IH Results'!$A$2:$C$302,2,0),0)+IFERROR(VLOOKUP(A506,'#11 IH Results'!$A$2:$C$302,2,0),0)+IFERROR(VLOOKUP(A506,'#10 IH Results'!$A$2:$C$302,2,0),0)+IFERROR(VLOOKUP(A506,'#9 IH Results'!$A$2:$C$302,2,0),0)+IFERROR(VLOOKUP(A506,'#8 IH Results'!$A$2:$C$302,2,0),0)+IFERROR(VLOOKUP(A506,'#7 IH Results'!$A$2:$C$302,2,0),0)+IFERROR(VLOOKUP(A506,'#6 IH Results'!$A$2:$C$302,2,0),0)+IFERROR(VLOOKUP(A506,'#5 IH Results'!$A$2:$C$303,2,0),0)+IFERROR(VLOOKUP(A506,'#4 IH Results'!$A$2:$C$300,2,0),0)+IFERROR(VLOOKUP(A506,'#3 IH Results'!$A$2:$C$101,2,0),0)+IFERROR(VLOOKUP(A506,'#2 IH Results'!$A$2:$C$101,2,0),0)+IFERROR(VLOOKUP(A506,'#1 IH Results'!$A$2:$C$101,2,0),0)+IFERROR(VLOOKUP(A506,'#0 IH Results'!$A$3:$C$102,2,0),0)</f>
        <v>0</v>
      </c>
    </row>
    <row r="507">
      <c r="B507" s="6">
        <f>IFERROR(VLOOKUP(A507,'#17 IH Results'!$A$2:$C$301,2,0),0)+IFERROR(VLOOKUP(A507,'#16 IH Results'!$A$2:$C$301,2,0),0)+IFERROR(VLOOKUP(A507,'#15 IH Results'!$A$2:$C$301,2,0),0)+IFERROR(VLOOKUP(A507,'#14 IH Results'!$A$2:$C$302,2,0),0)+IFERROR(VLOOKUP(A507,'#13 IH Results'!$A$2:$C$302,2,0),0)+IFERROR(VLOOKUP(A507,'#12 IH Results'!$A$2:$C$302,2,0),0)+IFERROR(VLOOKUP(A507,'#11 IH Results'!$A$2:$C$302,2,0),0)+IFERROR(VLOOKUP(A507,'#10 IH Results'!$A$2:$C$302,2,0),0)+IFERROR(VLOOKUP(A507,'#9 IH Results'!$A$2:$C$302,2,0),0)+IFERROR(VLOOKUP(A507,'#8 IH Results'!$A$2:$C$302,2,0),0)+IFERROR(VLOOKUP(A507,'#7 IH Results'!$A$2:$C$302,2,0),0)+IFERROR(VLOOKUP(A507,'#6 IH Results'!$A$2:$C$302,2,0),0)+IFERROR(VLOOKUP(A507,'#5 IH Results'!$A$2:$C$303,2,0),0)+IFERROR(VLOOKUP(A507,'#4 IH Results'!$A$2:$C$300,2,0),0)+IFERROR(VLOOKUP(A507,'#3 IH Results'!$A$2:$C$101,2,0),0)+IFERROR(VLOOKUP(A507,'#2 IH Results'!$A$2:$C$101,2,0),0)+IFERROR(VLOOKUP(A507,'#1 IH Results'!$A$2:$C$101,2,0),0)+IFERROR(VLOOKUP(A507,'#0 IH Results'!$A$3:$C$102,2,0),0)</f>
        <v>0</v>
      </c>
    </row>
    <row r="508">
      <c r="B508" s="6">
        <f>IFERROR(VLOOKUP(A508,'#17 IH Results'!$A$2:$C$301,2,0),0)+IFERROR(VLOOKUP(A508,'#16 IH Results'!$A$2:$C$301,2,0),0)+IFERROR(VLOOKUP(A508,'#15 IH Results'!$A$2:$C$301,2,0),0)+IFERROR(VLOOKUP(A508,'#14 IH Results'!$A$2:$C$302,2,0),0)+IFERROR(VLOOKUP(A508,'#13 IH Results'!$A$2:$C$302,2,0),0)+IFERROR(VLOOKUP(A508,'#12 IH Results'!$A$2:$C$302,2,0),0)+IFERROR(VLOOKUP(A508,'#11 IH Results'!$A$2:$C$302,2,0),0)+IFERROR(VLOOKUP(A508,'#10 IH Results'!$A$2:$C$302,2,0),0)+IFERROR(VLOOKUP(A508,'#9 IH Results'!$A$2:$C$302,2,0),0)+IFERROR(VLOOKUP(A508,'#8 IH Results'!$A$2:$C$302,2,0),0)+IFERROR(VLOOKUP(A508,'#7 IH Results'!$A$2:$C$302,2,0),0)+IFERROR(VLOOKUP(A508,'#6 IH Results'!$A$2:$C$302,2,0),0)+IFERROR(VLOOKUP(A508,'#5 IH Results'!$A$2:$C$303,2,0),0)+IFERROR(VLOOKUP(A508,'#4 IH Results'!$A$2:$C$300,2,0),0)+IFERROR(VLOOKUP(A508,'#3 IH Results'!$A$2:$C$101,2,0),0)+IFERROR(VLOOKUP(A508,'#2 IH Results'!$A$2:$C$101,2,0),0)+IFERROR(VLOOKUP(A508,'#1 IH Results'!$A$2:$C$101,2,0),0)+IFERROR(VLOOKUP(A508,'#0 IH Results'!$A$3:$C$102,2,0),0)</f>
        <v>0</v>
      </c>
    </row>
    <row r="509">
      <c r="B509" s="6">
        <f>IFERROR(VLOOKUP(A509,'#17 IH Results'!$A$2:$C$301,2,0),0)+IFERROR(VLOOKUP(A509,'#16 IH Results'!$A$2:$C$301,2,0),0)+IFERROR(VLOOKUP(A509,'#15 IH Results'!$A$2:$C$301,2,0),0)+IFERROR(VLOOKUP(A509,'#14 IH Results'!$A$2:$C$302,2,0),0)+IFERROR(VLOOKUP(A509,'#13 IH Results'!$A$2:$C$302,2,0),0)+IFERROR(VLOOKUP(A509,'#12 IH Results'!$A$2:$C$302,2,0),0)+IFERROR(VLOOKUP(A509,'#11 IH Results'!$A$2:$C$302,2,0),0)+IFERROR(VLOOKUP(A509,'#10 IH Results'!$A$2:$C$302,2,0),0)+IFERROR(VLOOKUP(A509,'#9 IH Results'!$A$2:$C$302,2,0),0)+IFERROR(VLOOKUP(A509,'#8 IH Results'!$A$2:$C$302,2,0),0)+IFERROR(VLOOKUP(A509,'#7 IH Results'!$A$2:$C$302,2,0),0)+IFERROR(VLOOKUP(A509,'#6 IH Results'!$A$2:$C$302,2,0),0)+IFERROR(VLOOKUP(A509,'#5 IH Results'!$A$2:$C$303,2,0),0)+IFERROR(VLOOKUP(A509,'#4 IH Results'!$A$2:$C$300,2,0),0)+IFERROR(VLOOKUP(A509,'#3 IH Results'!$A$2:$C$101,2,0),0)+IFERROR(VLOOKUP(A509,'#2 IH Results'!$A$2:$C$101,2,0),0)+IFERROR(VLOOKUP(A509,'#1 IH Results'!$A$2:$C$101,2,0),0)+IFERROR(VLOOKUP(A509,'#0 IH Results'!$A$3:$C$102,2,0),0)</f>
        <v>0</v>
      </c>
    </row>
    <row r="510">
      <c r="B510" s="6">
        <f>IFERROR(VLOOKUP(A510,'#17 IH Results'!$A$2:$C$301,2,0),0)+IFERROR(VLOOKUP(A510,'#16 IH Results'!$A$2:$C$301,2,0),0)+IFERROR(VLOOKUP(A510,'#15 IH Results'!$A$2:$C$301,2,0),0)+IFERROR(VLOOKUP(A510,'#14 IH Results'!$A$2:$C$302,2,0),0)+IFERROR(VLOOKUP(A510,'#13 IH Results'!$A$2:$C$302,2,0),0)+IFERROR(VLOOKUP(A510,'#12 IH Results'!$A$2:$C$302,2,0),0)+IFERROR(VLOOKUP(A510,'#11 IH Results'!$A$2:$C$302,2,0),0)+IFERROR(VLOOKUP(A510,'#10 IH Results'!$A$2:$C$302,2,0),0)+IFERROR(VLOOKUP(A510,'#9 IH Results'!$A$2:$C$302,2,0),0)+IFERROR(VLOOKUP(A510,'#8 IH Results'!$A$2:$C$302,2,0),0)+IFERROR(VLOOKUP(A510,'#7 IH Results'!$A$2:$C$302,2,0),0)+IFERROR(VLOOKUP(A510,'#6 IH Results'!$A$2:$C$302,2,0),0)+IFERROR(VLOOKUP(A510,'#5 IH Results'!$A$2:$C$303,2,0),0)+IFERROR(VLOOKUP(A510,'#4 IH Results'!$A$2:$C$300,2,0),0)+IFERROR(VLOOKUP(A510,'#3 IH Results'!$A$2:$C$101,2,0),0)+IFERROR(VLOOKUP(A510,'#2 IH Results'!$A$2:$C$101,2,0),0)+IFERROR(VLOOKUP(A510,'#1 IH Results'!$A$2:$C$101,2,0),0)+IFERROR(VLOOKUP(A510,'#0 IH Results'!$A$3:$C$102,2,0),0)</f>
        <v>0</v>
      </c>
    </row>
    <row r="511">
      <c r="B511" s="6">
        <f>IFERROR(VLOOKUP(A511,'#17 IH Results'!$A$2:$C$301,2,0),0)+IFERROR(VLOOKUP(A511,'#16 IH Results'!$A$2:$C$301,2,0),0)+IFERROR(VLOOKUP(A511,'#15 IH Results'!$A$2:$C$301,2,0),0)+IFERROR(VLOOKUP(A511,'#14 IH Results'!$A$2:$C$302,2,0),0)+IFERROR(VLOOKUP(A511,'#13 IH Results'!$A$2:$C$302,2,0),0)+IFERROR(VLOOKUP(A511,'#12 IH Results'!$A$2:$C$302,2,0),0)+IFERROR(VLOOKUP(A511,'#11 IH Results'!$A$2:$C$302,2,0),0)+IFERROR(VLOOKUP(A511,'#10 IH Results'!$A$2:$C$302,2,0),0)+IFERROR(VLOOKUP(A511,'#9 IH Results'!$A$2:$C$302,2,0),0)+IFERROR(VLOOKUP(A511,'#8 IH Results'!$A$2:$C$302,2,0),0)+IFERROR(VLOOKUP(A511,'#7 IH Results'!$A$2:$C$302,2,0),0)+IFERROR(VLOOKUP(A511,'#6 IH Results'!$A$2:$C$302,2,0),0)+IFERROR(VLOOKUP(A511,'#5 IH Results'!$A$2:$C$303,2,0),0)+IFERROR(VLOOKUP(A511,'#4 IH Results'!$A$2:$C$300,2,0),0)+IFERROR(VLOOKUP(A511,'#3 IH Results'!$A$2:$C$101,2,0),0)+IFERROR(VLOOKUP(A511,'#2 IH Results'!$A$2:$C$101,2,0),0)+IFERROR(VLOOKUP(A511,'#1 IH Results'!$A$2:$C$101,2,0),0)+IFERROR(VLOOKUP(A511,'#0 IH Results'!$A$3:$C$102,2,0),0)</f>
        <v>0</v>
      </c>
    </row>
    <row r="512">
      <c r="B512" s="6">
        <f>IFERROR(VLOOKUP(A512,'#17 IH Results'!$A$2:$C$301,2,0),0)+IFERROR(VLOOKUP(A512,'#16 IH Results'!$A$2:$C$301,2,0),0)+IFERROR(VLOOKUP(A512,'#15 IH Results'!$A$2:$C$301,2,0),0)+IFERROR(VLOOKUP(A512,'#14 IH Results'!$A$2:$C$302,2,0),0)+IFERROR(VLOOKUP(A512,'#13 IH Results'!$A$2:$C$302,2,0),0)+IFERROR(VLOOKUP(A512,'#12 IH Results'!$A$2:$C$302,2,0),0)+IFERROR(VLOOKUP(A512,'#11 IH Results'!$A$2:$C$302,2,0),0)+IFERROR(VLOOKUP(A512,'#10 IH Results'!$A$2:$C$302,2,0),0)+IFERROR(VLOOKUP(A512,'#9 IH Results'!$A$2:$C$302,2,0),0)+IFERROR(VLOOKUP(A512,'#8 IH Results'!$A$2:$C$302,2,0),0)+IFERROR(VLOOKUP(A512,'#7 IH Results'!$A$2:$C$302,2,0),0)+IFERROR(VLOOKUP(A512,'#6 IH Results'!$A$2:$C$302,2,0),0)+IFERROR(VLOOKUP(A512,'#5 IH Results'!$A$2:$C$303,2,0),0)+IFERROR(VLOOKUP(A512,'#4 IH Results'!$A$2:$C$300,2,0),0)+IFERROR(VLOOKUP(A512,'#3 IH Results'!$A$2:$C$101,2,0),0)+IFERROR(VLOOKUP(A512,'#2 IH Results'!$A$2:$C$101,2,0),0)+IFERROR(VLOOKUP(A512,'#1 IH Results'!$A$2:$C$101,2,0),0)+IFERROR(VLOOKUP(A512,'#0 IH Results'!$A$3:$C$102,2,0),0)</f>
        <v>0</v>
      </c>
    </row>
    <row r="513">
      <c r="B513" s="6">
        <f>IFERROR(VLOOKUP(A513,'#17 IH Results'!$A$2:$C$301,2,0),0)+IFERROR(VLOOKUP(A513,'#16 IH Results'!$A$2:$C$301,2,0),0)+IFERROR(VLOOKUP(A513,'#15 IH Results'!$A$2:$C$301,2,0),0)+IFERROR(VLOOKUP(A513,'#14 IH Results'!$A$2:$C$302,2,0),0)+IFERROR(VLOOKUP(A513,'#13 IH Results'!$A$2:$C$302,2,0),0)+IFERROR(VLOOKUP(A513,'#12 IH Results'!$A$2:$C$302,2,0),0)+IFERROR(VLOOKUP(A513,'#11 IH Results'!$A$2:$C$302,2,0),0)+IFERROR(VLOOKUP(A513,'#10 IH Results'!$A$2:$C$302,2,0),0)+IFERROR(VLOOKUP(A513,'#9 IH Results'!$A$2:$C$302,2,0),0)+IFERROR(VLOOKUP(A513,'#8 IH Results'!$A$2:$C$302,2,0),0)+IFERROR(VLOOKUP(A513,'#7 IH Results'!$A$2:$C$302,2,0),0)+IFERROR(VLOOKUP(A513,'#6 IH Results'!$A$2:$C$302,2,0),0)+IFERROR(VLOOKUP(A513,'#5 IH Results'!$A$2:$C$303,2,0),0)+IFERROR(VLOOKUP(A513,'#4 IH Results'!$A$2:$C$300,2,0),0)+IFERROR(VLOOKUP(A513,'#3 IH Results'!$A$2:$C$101,2,0),0)+IFERROR(VLOOKUP(A513,'#2 IH Results'!$A$2:$C$101,2,0),0)+IFERROR(VLOOKUP(A513,'#1 IH Results'!$A$2:$C$101,2,0),0)+IFERROR(VLOOKUP(A513,'#0 IH Results'!$A$3:$C$102,2,0),0)</f>
        <v>0</v>
      </c>
    </row>
    <row r="514">
      <c r="B514" s="6">
        <f>IFERROR(VLOOKUP(A514,'#17 IH Results'!$A$2:$C$301,2,0),0)+IFERROR(VLOOKUP(A514,'#16 IH Results'!$A$2:$C$301,2,0),0)+IFERROR(VLOOKUP(A514,'#15 IH Results'!$A$2:$C$301,2,0),0)+IFERROR(VLOOKUP(A514,'#14 IH Results'!$A$2:$C$302,2,0),0)+IFERROR(VLOOKUP(A514,'#13 IH Results'!$A$2:$C$302,2,0),0)+IFERROR(VLOOKUP(A514,'#12 IH Results'!$A$2:$C$302,2,0),0)+IFERROR(VLOOKUP(A514,'#11 IH Results'!$A$2:$C$302,2,0),0)+IFERROR(VLOOKUP(A514,'#10 IH Results'!$A$2:$C$302,2,0),0)+IFERROR(VLOOKUP(A514,'#9 IH Results'!$A$2:$C$302,2,0),0)+IFERROR(VLOOKUP(A514,'#8 IH Results'!$A$2:$C$302,2,0),0)+IFERROR(VLOOKUP(A514,'#7 IH Results'!$A$2:$C$302,2,0),0)+IFERROR(VLOOKUP(A514,'#6 IH Results'!$A$2:$C$302,2,0),0)+IFERROR(VLOOKUP(A514,'#5 IH Results'!$A$2:$C$303,2,0),0)+IFERROR(VLOOKUP(A514,'#4 IH Results'!$A$2:$C$300,2,0),0)+IFERROR(VLOOKUP(A514,'#3 IH Results'!$A$2:$C$101,2,0),0)+IFERROR(VLOOKUP(A514,'#2 IH Results'!$A$2:$C$101,2,0),0)+IFERROR(VLOOKUP(A514,'#1 IH Results'!$A$2:$C$101,2,0),0)+IFERROR(VLOOKUP(A514,'#0 IH Results'!$A$3:$C$102,2,0),0)</f>
        <v>0</v>
      </c>
    </row>
    <row r="515">
      <c r="B515" s="6">
        <f>IFERROR(VLOOKUP(A515,'#17 IH Results'!$A$2:$C$301,2,0),0)+IFERROR(VLOOKUP(A515,'#16 IH Results'!$A$2:$C$301,2,0),0)+IFERROR(VLOOKUP(A515,'#15 IH Results'!$A$2:$C$301,2,0),0)+IFERROR(VLOOKUP(A515,'#14 IH Results'!$A$2:$C$302,2,0),0)+IFERROR(VLOOKUP(A515,'#13 IH Results'!$A$2:$C$302,2,0),0)+IFERROR(VLOOKUP(A515,'#12 IH Results'!$A$2:$C$302,2,0),0)+IFERROR(VLOOKUP(A515,'#11 IH Results'!$A$2:$C$302,2,0),0)+IFERROR(VLOOKUP(A515,'#10 IH Results'!$A$2:$C$302,2,0),0)+IFERROR(VLOOKUP(A515,'#9 IH Results'!$A$2:$C$302,2,0),0)+IFERROR(VLOOKUP(A515,'#8 IH Results'!$A$2:$C$302,2,0),0)+IFERROR(VLOOKUP(A515,'#7 IH Results'!$A$2:$C$302,2,0),0)+IFERROR(VLOOKUP(A515,'#6 IH Results'!$A$2:$C$302,2,0),0)+IFERROR(VLOOKUP(A515,'#5 IH Results'!$A$2:$C$303,2,0),0)+IFERROR(VLOOKUP(A515,'#4 IH Results'!$A$2:$C$300,2,0),0)+IFERROR(VLOOKUP(A515,'#3 IH Results'!$A$2:$C$101,2,0),0)+IFERROR(VLOOKUP(A515,'#2 IH Results'!$A$2:$C$101,2,0),0)+IFERROR(VLOOKUP(A515,'#1 IH Results'!$A$2:$C$101,2,0),0)+IFERROR(VLOOKUP(A515,'#0 IH Results'!$A$3:$C$102,2,0),0)</f>
        <v>0</v>
      </c>
    </row>
    <row r="516">
      <c r="B516" s="6">
        <f>IFERROR(VLOOKUP(A516,'#17 IH Results'!$A$2:$C$301,2,0),0)+IFERROR(VLOOKUP(A516,'#16 IH Results'!$A$2:$C$301,2,0),0)+IFERROR(VLOOKUP(A516,'#15 IH Results'!$A$2:$C$301,2,0),0)+IFERROR(VLOOKUP(A516,'#14 IH Results'!$A$2:$C$302,2,0),0)+IFERROR(VLOOKUP(A516,'#13 IH Results'!$A$2:$C$302,2,0),0)+IFERROR(VLOOKUP(A516,'#12 IH Results'!$A$2:$C$302,2,0),0)+IFERROR(VLOOKUP(A516,'#11 IH Results'!$A$2:$C$302,2,0),0)+IFERROR(VLOOKUP(A516,'#10 IH Results'!$A$2:$C$302,2,0),0)+IFERROR(VLOOKUP(A516,'#9 IH Results'!$A$2:$C$302,2,0),0)+IFERROR(VLOOKUP(A516,'#8 IH Results'!$A$2:$C$302,2,0),0)+IFERROR(VLOOKUP(A516,'#7 IH Results'!$A$2:$C$302,2,0),0)+IFERROR(VLOOKUP(A516,'#6 IH Results'!$A$2:$C$302,2,0),0)+IFERROR(VLOOKUP(A516,'#5 IH Results'!$A$2:$C$303,2,0),0)+IFERROR(VLOOKUP(A516,'#4 IH Results'!$A$2:$C$300,2,0),0)+IFERROR(VLOOKUP(A516,'#3 IH Results'!$A$2:$C$101,2,0),0)+IFERROR(VLOOKUP(A516,'#2 IH Results'!$A$2:$C$101,2,0),0)+IFERROR(VLOOKUP(A516,'#1 IH Results'!$A$2:$C$101,2,0),0)+IFERROR(VLOOKUP(A516,'#0 IH Results'!$A$3:$C$102,2,0),0)</f>
        <v>0</v>
      </c>
    </row>
    <row r="517">
      <c r="B517" s="6">
        <f>IFERROR(VLOOKUP(A517,'#17 IH Results'!$A$2:$C$301,2,0),0)+IFERROR(VLOOKUP(A517,'#16 IH Results'!$A$2:$C$301,2,0),0)+IFERROR(VLOOKUP(A517,'#15 IH Results'!$A$2:$C$301,2,0),0)+IFERROR(VLOOKUP(A517,'#14 IH Results'!$A$2:$C$302,2,0),0)+IFERROR(VLOOKUP(A517,'#13 IH Results'!$A$2:$C$302,2,0),0)+IFERROR(VLOOKUP(A517,'#12 IH Results'!$A$2:$C$302,2,0),0)+IFERROR(VLOOKUP(A517,'#11 IH Results'!$A$2:$C$302,2,0),0)+IFERROR(VLOOKUP(A517,'#10 IH Results'!$A$2:$C$302,2,0),0)+IFERROR(VLOOKUP(A517,'#9 IH Results'!$A$2:$C$302,2,0),0)+IFERROR(VLOOKUP(A517,'#8 IH Results'!$A$2:$C$302,2,0),0)+IFERROR(VLOOKUP(A517,'#7 IH Results'!$A$2:$C$302,2,0),0)+IFERROR(VLOOKUP(A517,'#6 IH Results'!$A$2:$C$302,2,0),0)+IFERROR(VLOOKUP(A517,'#5 IH Results'!$A$2:$C$303,2,0),0)+IFERROR(VLOOKUP(A517,'#4 IH Results'!$A$2:$C$300,2,0),0)+IFERROR(VLOOKUP(A517,'#3 IH Results'!$A$2:$C$101,2,0),0)+IFERROR(VLOOKUP(A517,'#2 IH Results'!$A$2:$C$101,2,0),0)+IFERROR(VLOOKUP(A517,'#1 IH Results'!$A$2:$C$101,2,0),0)+IFERROR(VLOOKUP(A517,'#0 IH Results'!$A$3:$C$102,2,0),0)</f>
        <v>0</v>
      </c>
    </row>
    <row r="518">
      <c r="B518" s="6">
        <f>IFERROR(VLOOKUP(A518,'#17 IH Results'!$A$2:$C$301,2,0),0)+IFERROR(VLOOKUP(A518,'#16 IH Results'!$A$2:$C$301,2,0),0)+IFERROR(VLOOKUP(A518,'#15 IH Results'!$A$2:$C$301,2,0),0)+IFERROR(VLOOKUP(A518,'#14 IH Results'!$A$2:$C$302,2,0),0)+IFERROR(VLOOKUP(A518,'#13 IH Results'!$A$2:$C$302,2,0),0)+IFERROR(VLOOKUP(A518,'#12 IH Results'!$A$2:$C$302,2,0),0)+IFERROR(VLOOKUP(A518,'#11 IH Results'!$A$2:$C$302,2,0),0)+IFERROR(VLOOKUP(A518,'#10 IH Results'!$A$2:$C$302,2,0),0)+IFERROR(VLOOKUP(A518,'#9 IH Results'!$A$2:$C$302,2,0),0)+IFERROR(VLOOKUP(A518,'#8 IH Results'!$A$2:$C$302,2,0),0)+IFERROR(VLOOKUP(A518,'#7 IH Results'!$A$2:$C$302,2,0),0)+IFERROR(VLOOKUP(A518,'#6 IH Results'!$A$2:$C$302,2,0),0)+IFERROR(VLOOKUP(A518,'#5 IH Results'!$A$2:$C$303,2,0),0)+IFERROR(VLOOKUP(A518,'#4 IH Results'!$A$2:$C$300,2,0),0)+IFERROR(VLOOKUP(A518,'#3 IH Results'!$A$2:$C$101,2,0),0)+IFERROR(VLOOKUP(A518,'#2 IH Results'!$A$2:$C$101,2,0),0)+IFERROR(VLOOKUP(A518,'#1 IH Results'!$A$2:$C$101,2,0),0)+IFERROR(VLOOKUP(A518,'#0 IH Results'!$A$3:$C$102,2,0),0)</f>
        <v>0</v>
      </c>
    </row>
    <row r="519">
      <c r="B519" s="6">
        <f>IFERROR(VLOOKUP(A519,'#17 IH Results'!$A$2:$C$301,2,0),0)+IFERROR(VLOOKUP(A519,'#16 IH Results'!$A$2:$C$301,2,0),0)+IFERROR(VLOOKUP(A519,'#15 IH Results'!$A$2:$C$301,2,0),0)+IFERROR(VLOOKUP(A519,'#14 IH Results'!$A$2:$C$302,2,0),0)+IFERROR(VLOOKUP(A519,'#13 IH Results'!$A$2:$C$302,2,0),0)+IFERROR(VLOOKUP(A519,'#12 IH Results'!$A$2:$C$302,2,0),0)+IFERROR(VLOOKUP(A519,'#11 IH Results'!$A$2:$C$302,2,0),0)+IFERROR(VLOOKUP(A519,'#10 IH Results'!$A$2:$C$302,2,0),0)+IFERROR(VLOOKUP(A519,'#9 IH Results'!$A$2:$C$302,2,0),0)+IFERROR(VLOOKUP(A519,'#8 IH Results'!$A$2:$C$302,2,0),0)+IFERROR(VLOOKUP(A519,'#7 IH Results'!$A$2:$C$302,2,0),0)+IFERROR(VLOOKUP(A519,'#6 IH Results'!$A$2:$C$302,2,0),0)+IFERROR(VLOOKUP(A519,'#5 IH Results'!$A$2:$C$303,2,0),0)+IFERROR(VLOOKUP(A519,'#4 IH Results'!$A$2:$C$300,2,0),0)+IFERROR(VLOOKUP(A519,'#3 IH Results'!$A$2:$C$101,2,0),0)+IFERROR(VLOOKUP(A519,'#2 IH Results'!$A$2:$C$101,2,0),0)+IFERROR(VLOOKUP(A519,'#1 IH Results'!$A$2:$C$101,2,0),0)+IFERROR(VLOOKUP(A519,'#0 IH Results'!$A$3:$C$102,2,0),0)</f>
        <v>0</v>
      </c>
    </row>
    <row r="520">
      <c r="B520" s="6">
        <f>IFERROR(VLOOKUP(A520,'#17 IH Results'!$A$2:$C$301,2,0),0)+IFERROR(VLOOKUP(A520,'#16 IH Results'!$A$2:$C$301,2,0),0)+IFERROR(VLOOKUP(A520,'#15 IH Results'!$A$2:$C$301,2,0),0)+IFERROR(VLOOKUP(A520,'#14 IH Results'!$A$2:$C$302,2,0),0)+IFERROR(VLOOKUP(A520,'#13 IH Results'!$A$2:$C$302,2,0),0)+IFERROR(VLOOKUP(A520,'#12 IH Results'!$A$2:$C$302,2,0),0)+IFERROR(VLOOKUP(A520,'#11 IH Results'!$A$2:$C$302,2,0),0)+IFERROR(VLOOKUP(A520,'#10 IH Results'!$A$2:$C$302,2,0),0)+IFERROR(VLOOKUP(A520,'#9 IH Results'!$A$2:$C$302,2,0),0)+IFERROR(VLOOKUP(A520,'#8 IH Results'!$A$2:$C$302,2,0),0)+IFERROR(VLOOKUP(A520,'#7 IH Results'!$A$2:$C$302,2,0),0)+IFERROR(VLOOKUP(A520,'#6 IH Results'!$A$2:$C$302,2,0),0)+IFERROR(VLOOKUP(A520,'#5 IH Results'!$A$2:$C$303,2,0),0)+IFERROR(VLOOKUP(A520,'#4 IH Results'!$A$2:$C$300,2,0),0)+IFERROR(VLOOKUP(A520,'#3 IH Results'!$A$2:$C$101,2,0),0)+IFERROR(VLOOKUP(A520,'#2 IH Results'!$A$2:$C$101,2,0),0)+IFERROR(VLOOKUP(A520,'#1 IH Results'!$A$2:$C$101,2,0),0)+IFERROR(VLOOKUP(A520,'#0 IH Results'!$A$3:$C$102,2,0),0)</f>
        <v>0</v>
      </c>
    </row>
    <row r="521">
      <c r="B521" s="6">
        <f>IFERROR(VLOOKUP(A521,'#17 IH Results'!$A$2:$C$301,2,0),0)+IFERROR(VLOOKUP(A521,'#16 IH Results'!$A$2:$C$301,2,0),0)+IFERROR(VLOOKUP(A521,'#15 IH Results'!$A$2:$C$301,2,0),0)+IFERROR(VLOOKUP(A521,'#14 IH Results'!$A$2:$C$302,2,0),0)+IFERROR(VLOOKUP(A521,'#13 IH Results'!$A$2:$C$302,2,0),0)+IFERROR(VLOOKUP(A521,'#12 IH Results'!$A$2:$C$302,2,0),0)+IFERROR(VLOOKUP(A521,'#11 IH Results'!$A$2:$C$302,2,0),0)+IFERROR(VLOOKUP(A521,'#10 IH Results'!$A$2:$C$302,2,0),0)+IFERROR(VLOOKUP(A521,'#9 IH Results'!$A$2:$C$302,2,0),0)+IFERROR(VLOOKUP(A521,'#8 IH Results'!$A$2:$C$302,2,0),0)+IFERROR(VLOOKUP(A521,'#7 IH Results'!$A$2:$C$302,2,0),0)+IFERROR(VLOOKUP(A521,'#6 IH Results'!$A$2:$C$302,2,0),0)+IFERROR(VLOOKUP(A521,'#5 IH Results'!$A$2:$C$303,2,0),0)+IFERROR(VLOOKUP(A521,'#4 IH Results'!$A$2:$C$300,2,0),0)+IFERROR(VLOOKUP(A521,'#3 IH Results'!$A$2:$C$101,2,0),0)+IFERROR(VLOOKUP(A521,'#2 IH Results'!$A$2:$C$101,2,0),0)+IFERROR(VLOOKUP(A521,'#1 IH Results'!$A$2:$C$101,2,0),0)+IFERROR(VLOOKUP(A521,'#0 IH Results'!$A$3:$C$102,2,0),0)</f>
        <v>0</v>
      </c>
    </row>
    <row r="522">
      <c r="B522" s="6">
        <f>IFERROR(VLOOKUP(A522,'#17 IH Results'!$A$2:$C$301,2,0),0)+IFERROR(VLOOKUP(A522,'#16 IH Results'!$A$2:$C$301,2,0),0)+IFERROR(VLOOKUP(A522,'#15 IH Results'!$A$2:$C$301,2,0),0)+IFERROR(VLOOKUP(A522,'#14 IH Results'!$A$2:$C$302,2,0),0)+IFERROR(VLOOKUP(A522,'#13 IH Results'!$A$2:$C$302,2,0),0)+IFERROR(VLOOKUP(A522,'#12 IH Results'!$A$2:$C$302,2,0),0)+IFERROR(VLOOKUP(A522,'#11 IH Results'!$A$2:$C$302,2,0),0)+IFERROR(VLOOKUP(A522,'#10 IH Results'!$A$2:$C$302,2,0),0)+IFERROR(VLOOKUP(A522,'#9 IH Results'!$A$2:$C$302,2,0),0)+IFERROR(VLOOKUP(A522,'#8 IH Results'!$A$2:$C$302,2,0),0)+IFERROR(VLOOKUP(A522,'#7 IH Results'!$A$2:$C$302,2,0),0)+IFERROR(VLOOKUP(A522,'#6 IH Results'!$A$2:$C$302,2,0),0)+IFERROR(VLOOKUP(A522,'#5 IH Results'!$A$2:$C$303,2,0),0)+IFERROR(VLOOKUP(A522,'#4 IH Results'!$A$2:$C$300,2,0),0)+IFERROR(VLOOKUP(A522,'#3 IH Results'!$A$2:$C$101,2,0),0)+IFERROR(VLOOKUP(A522,'#2 IH Results'!$A$2:$C$101,2,0),0)+IFERROR(VLOOKUP(A522,'#1 IH Results'!$A$2:$C$101,2,0),0)+IFERROR(VLOOKUP(A522,'#0 IH Results'!$A$3:$C$102,2,0),0)</f>
        <v>0</v>
      </c>
    </row>
    <row r="523">
      <c r="B523" s="6">
        <f>IFERROR(VLOOKUP(A523,'#17 IH Results'!$A$2:$C$301,2,0),0)+IFERROR(VLOOKUP(A523,'#16 IH Results'!$A$2:$C$301,2,0),0)+IFERROR(VLOOKUP(A523,'#15 IH Results'!$A$2:$C$301,2,0),0)+IFERROR(VLOOKUP(A523,'#14 IH Results'!$A$2:$C$302,2,0),0)+IFERROR(VLOOKUP(A523,'#13 IH Results'!$A$2:$C$302,2,0),0)+IFERROR(VLOOKUP(A523,'#12 IH Results'!$A$2:$C$302,2,0),0)+IFERROR(VLOOKUP(A523,'#11 IH Results'!$A$2:$C$302,2,0),0)+IFERROR(VLOOKUP(A523,'#10 IH Results'!$A$2:$C$302,2,0),0)+IFERROR(VLOOKUP(A523,'#9 IH Results'!$A$2:$C$302,2,0),0)+IFERROR(VLOOKUP(A523,'#8 IH Results'!$A$2:$C$302,2,0),0)+IFERROR(VLOOKUP(A523,'#7 IH Results'!$A$2:$C$302,2,0),0)+IFERROR(VLOOKUP(A523,'#6 IH Results'!$A$2:$C$302,2,0),0)+IFERROR(VLOOKUP(A523,'#5 IH Results'!$A$2:$C$303,2,0),0)+IFERROR(VLOOKUP(A523,'#4 IH Results'!$A$2:$C$300,2,0),0)+IFERROR(VLOOKUP(A523,'#3 IH Results'!$A$2:$C$101,2,0),0)+IFERROR(VLOOKUP(A523,'#2 IH Results'!$A$2:$C$101,2,0),0)+IFERROR(VLOOKUP(A523,'#1 IH Results'!$A$2:$C$101,2,0),0)+IFERROR(VLOOKUP(A523,'#0 IH Results'!$A$3:$C$102,2,0),0)</f>
        <v>0</v>
      </c>
    </row>
    <row r="524">
      <c r="B524" s="6">
        <f>IFERROR(VLOOKUP(A524,'#17 IH Results'!$A$2:$C$301,2,0),0)+IFERROR(VLOOKUP(A524,'#16 IH Results'!$A$2:$C$301,2,0),0)+IFERROR(VLOOKUP(A524,'#15 IH Results'!$A$2:$C$301,2,0),0)+IFERROR(VLOOKUP(A524,'#14 IH Results'!$A$2:$C$302,2,0),0)+IFERROR(VLOOKUP(A524,'#13 IH Results'!$A$2:$C$302,2,0),0)+IFERROR(VLOOKUP(A524,'#12 IH Results'!$A$2:$C$302,2,0),0)+IFERROR(VLOOKUP(A524,'#11 IH Results'!$A$2:$C$302,2,0),0)+IFERROR(VLOOKUP(A524,'#10 IH Results'!$A$2:$C$302,2,0),0)+IFERROR(VLOOKUP(A524,'#9 IH Results'!$A$2:$C$302,2,0),0)+IFERROR(VLOOKUP(A524,'#8 IH Results'!$A$2:$C$302,2,0),0)+IFERROR(VLOOKUP(A524,'#7 IH Results'!$A$2:$C$302,2,0),0)+IFERROR(VLOOKUP(A524,'#6 IH Results'!$A$2:$C$302,2,0),0)+IFERROR(VLOOKUP(A524,'#5 IH Results'!$A$2:$C$303,2,0),0)+IFERROR(VLOOKUP(A524,'#4 IH Results'!$A$2:$C$300,2,0),0)+IFERROR(VLOOKUP(A524,'#3 IH Results'!$A$2:$C$101,2,0),0)+IFERROR(VLOOKUP(A524,'#2 IH Results'!$A$2:$C$101,2,0),0)+IFERROR(VLOOKUP(A524,'#1 IH Results'!$A$2:$C$101,2,0),0)+IFERROR(VLOOKUP(A524,'#0 IH Results'!$A$3:$C$102,2,0),0)</f>
        <v>0</v>
      </c>
    </row>
    <row r="525">
      <c r="B525" s="6">
        <f>IFERROR(VLOOKUP(A525,'#17 IH Results'!$A$2:$C$301,2,0),0)+IFERROR(VLOOKUP(A525,'#16 IH Results'!$A$2:$C$301,2,0),0)+IFERROR(VLOOKUP(A525,'#15 IH Results'!$A$2:$C$301,2,0),0)+IFERROR(VLOOKUP(A525,'#14 IH Results'!$A$2:$C$302,2,0),0)+IFERROR(VLOOKUP(A525,'#13 IH Results'!$A$2:$C$302,2,0),0)+IFERROR(VLOOKUP(A525,'#12 IH Results'!$A$2:$C$302,2,0),0)+IFERROR(VLOOKUP(A525,'#11 IH Results'!$A$2:$C$302,2,0),0)+IFERROR(VLOOKUP(A525,'#10 IH Results'!$A$2:$C$302,2,0),0)+IFERROR(VLOOKUP(A525,'#9 IH Results'!$A$2:$C$302,2,0),0)+IFERROR(VLOOKUP(A525,'#8 IH Results'!$A$2:$C$302,2,0),0)+IFERROR(VLOOKUP(A525,'#7 IH Results'!$A$2:$C$302,2,0),0)+IFERROR(VLOOKUP(A525,'#6 IH Results'!$A$2:$C$302,2,0),0)+IFERROR(VLOOKUP(A525,'#5 IH Results'!$A$2:$C$303,2,0),0)+IFERROR(VLOOKUP(A525,'#4 IH Results'!$A$2:$C$300,2,0),0)+IFERROR(VLOOKUP(A525,'#3 IH Results'!$A$2:$C$101,2,0),0)+IFERROR(VLOOKUP(A525,'#2 IH Results'!$A$2:$C$101,2,0),0)+IFERROR(VLOOKUP(A525,'#1 IH Results'!$A$2:$C$101,2,0),0)+IFERROR(VLOOKUP(A525,'#0 IH Results'!$A$3:$C$102,2,0),0)</f>
        <v>0</v>
      </c>
    </row>
    <row r="526">
      <c r="B526" s="6">
        <f>IFERROR(VLOOKUP(A526,'#17 IH Results'!$A$2:$C$301,2,0),0)+IFERROR(VLOOKUP(A526,'#16 IH Results'!$A$2:$C$301,2,0),0)+IFERROR(VLOOKUP(A526,'#15 IH Results'!$A$2:$C$301,2,0),0)+IFERROR(VLOOKUP(A526,'#14 IH Results'!$A$2:$C$302,2,0),0)+IFERROR(VLOOKUP(A526,'#13 IH Results'!$A$2:$C$302,2,0),0)+IFERROR(VLOOKUP(A526,'#12 IH Results'!$A$2:$C$302,2,0),0)+IFERROR(VLOOKUP(A526,'#11 IH Results'!$A$2:$C$302,2,0),0)+IFERROR(VLOOKUP(A526,'#10 IH Results'!$A$2:$C$302,2,0),0)+IFERROR(VLOOKUP(A526,'#9 IH Results'!$A$2:$C$302,2,0),0)+IFERROR(VLOOKUP(A526,'#8 IH Results'!$A$2:$C$302,2,0),0)+IFERROR(VLOOKUP(A526,'#7 IH Results'!$A$2:$C$302,2,0),0)+IFERROR(VLOOKUP(A526,'#6 IH Results'!$A$2:$C$302,2,0),0)+IFERROR(VLOOKUP(A526,'#5 IH Results'!$A$2:$C$303,2,0),0)+IFERROR(VLOOKUP(A526,'#4 IH Results'!$A$2:$C$300,2,0),0)+IFERROR(VLOOKUP(A526,'#3 IH Results'!$A$2:$C$101,2,0),0)+IFERROR(VLOOKUP(A526,'#2 IH Results'!$A$2:$C$101,2,0),0)+IFERROR(VLOOKUP(A526,'#1 IH Results'!$A$2:$C$101,2,0),0)+IFERROR(VLOOKUP(A526,'#0 IH Results'!$A$3:$C$102,2,0),0)</f>
        <v>0</v>
      </c>
    </row>
    <row r="527">
      <c r="B527" s="6">
        <f>IFERROR(VLOOKUP(A527,'#17 IH Results'!$A$2:$C$301,2,0),0)+IFERROR(VLOOKUP(A527,'#16 IH Results'!$A$2:$C$301,2,0),0)+IFERROR(VLOOKUP(A527,'#15 IH Results'!$A$2:$C$301,2,0),0)+IFERROR(VLOOKUP(A527,'#14 IH Results'!$A$2:$C$302,2,0),0)+IFERROR(VLOOKUP(A527,'#13 IH Results'!$A$2:$C$302,2,0),0)+IFERROR(VLOOKUP(A527,'#12 IH Results'!$A$2:$C$302,2,0),0)+IFERROR(VLOOKUP(A527,'#11 IH Results'!$A$2:$C$302,2,0),0)+IFERROR(VLOOKUP(A527,'#10 IH Results'!$A$2:$C$302,2,0),0)+IFERROR(VLOOKUP(A527,'#9 IH Results'!$A$2:$C$302,2,0),0)+IFERROR(VLOOKUP(A527,'#8 IH Results'!$A$2:$C$302,2,0),0)+IFERROR(VLOOKUP(A527,'#7 IH Results'!$A$2:$C$302,2,0),0)+IFERROR(VLOOKUP(A527,'#6 IH Results'!$A$2:$C$302,2,0),0)+IFERROR(VLOOKUP(A527,'#5 IH Results'!$A$2:$C$303,2,0),0)+IFERROR(VLOOKUP(A527,'#4 IH Results'!$A$2:$C$300,2,0),0)+IFERROR(VLOOKUP(A527,'#3 IH Results'!$A$2:$C$101,2,0),0)+IFERROR(VLOOKUP(A527,'#2 IH Results'!$A$2:$C$101,2,0),0)+IFERROR(VLOOKUP(A527,'#1 IH Results'!$A$2:$C$101,2,0),0)+IFERROR(VLOOKUP(A527,'#0 IH Results'!$A$3:$C$102,2,0),0)</f>
        <v>0</v>
      </c>
    </row>
    <row r="528">
      <c r="B528" s="6">
        <f>IFERROR(VLOOKUP(A528,'#17 IH Results'!$A$2:$C$301,2,0),0)+IFERROR(VLOOKUP(A528,'#16 IH Results'!$A$2:$C$301,2,0),0)+IFERROR(VLOOKUP(A528,'#15 IH Results'!$A$2:$C$301,2,0),0)+IFERROR(VLOOKUP(A528,'#14 IH Results'!$A$2:$C$302,2,0),0)+IFERROR(VLOOKUP(A528,'#13 IH Results'!$A$2:$C$302,2,0),0)+IFERROR(VLOOKUP(A528,'#12 IH Results'!$A$2:$C$302,2,0),0)+IFERROR(VLOOKUP(A528,'#11 IH Results'!$A$2:$C$302,2,0),0)+IFERROR(VLOOKUP(A528,'#10 IH Results'!$A$2:$C$302,2,0),0)+IFERROR(VLOOKUP(A528,'#9 IH Results'!$A$2:$C$302,2,0),0)+IFERROR(VLOOKUP(A528,'#8 IH Results'!$A$2:$C$302,2,0),0)+IFERROR(VLOOKUP(A528,'#7 IH Results'!$A$2:$C$302,2,0),0)+IFERROR(VLOOKUP(A528,'#6 IH Results'!$A$2:$C$302,2,0),0)+IFERROR(VLOOKUP(A528,'#5 IH Results'!$A$2:$C$303,2,0),0)+IFERROR(VLOOKUP(A528,'#4 IH Results'!$A$2:$C$300,2,0),0)+IFERROR(VLOOKUP(A528,'#3 IH Results'!$A$2:$C$101,2,0),0)+IFERROR(VLOOKUP(A528,'#2 IH Results'!$A$2:$C$101,2,0),0)+IFERROR(VLOOKUP(A528,'#1 IH Results'!$A$2:$C$101,2,0),0)+IFERROR(VLOOKUP(A528,'#0 IH Results'!$A$3:$C$102,2,0),0)</f>
        <v>0</v>
      </c>
    </row>
    <row r="529">
      <c r="B529" s="6">
        <f>IFERROR(VLOOKUP(A529,'#17 IH Results'!$A$2:$C$301,2,0),0)+IFERROR(VLOOKUP(A529,'#16 IH Results'!$A$2:$C$301,2,0),0)+IFERROR(VLOOKUP(A529,'#15 IH Results'!$A$2:$C$301,2,0),0)+IFERROR(VLOOKUP(A529,'#14 IH Results'!$A$2:$C$302,2,0),0)+IFERROR(VLOOKUP(A529,'#13 IH Results'!$A$2:$C$302,2,0),0)+IFERROR(VLOOKUP(A529,'#12 IH Results'!$A$2:$C$302,2,0),0)+IFERROR(VLOOKUP(A529,'#11 IH Results'!$A$2:$C$302,2,0),0)+IFERROR(VLOOKUP(A529,'#10 IH Results'!$A$2:$C$302,2,0),0)+IFERROR(VLOOKUP(A529,'#9 IH Results'!$A$2:$C$302,2,0),0)+IFERROR(VLOOKUP(A529,'#8 IH Results'!$A$2:$C$302,2,0),0)+IFERROR(VLOOKUP(A529,'#7 IH Results'!$A$2:$C$302,2,0),0)+IFERROR(VLOOKUP(A529,'#6 IH Results'!$A$2:$C$302,2,0),0)+IFERROR(VLOOKUP(A529,'#5 IH Results'!$A$2:$C$303,2,0),0)+IFERROR(VLOOKUP(A529,'#4 IH Results'!$A$2:$C$300,2,0),0)+IFERROR(VLOOKUP(A529,'#3 IH Results'!$A$2:$C$101,2,0),0)+IFERROR(VLOOKUP(A529,'#2 IH Results'!$A$2:$C$101,2,0),0)+IFERROR(VLOOKUP(A529,'#1 IH Results'!$A$2:$C$101,2,0),0)+IFERROR(VLOOKUP(A529,'#0 IH Results'!$A$3:$C$102,2,0),0)</f>
        <v>0</v>
      </c>
    </row>
    <row r="530">
      <c r="B530" s="6">
        <f>IFERROR(VLOOKUP(A530,'#17 IH Results'!$A$2:$C$301,2,0),0)+IFERROR(VLOOKUP(A530,'#16 IH Results'!$A$2:$C$301,2,0),0)+IFERROR(VLOOKUP(A530,'#15 IH Results'!$A$2:$C$301,2,0),0)+IFERROR(VLOOKUP(A530,'#14 IH Results'!$A$2:$C$302,2,0),0)+IFERROR(VLOOKUP(A530,'#13 IH Results'!$A$2:$C$302,2,0),0)+IFERROR(VLOOKUP(A530,'#12 IH Results'!$A$2:$C$302,2,0),0)+IFERROR(VLOOKUP(A530,'#11 IH Results'!$A$2:$C$302,2,0),0)+IFERROR(VLOOKUP(A530,'#10 IH Results'!$A$2:$C$302,2,0),0)+IFERROR(VLOOKUP(A530,'#9 IH Results'!$A$2:$C$302,2,0),0)+IFERROR(VLOOKUP(A530,'#8 IH Results'!$A$2:$C$302,2,0),0)+IFERROR(VLOOKUP(A530,'#7 IH Results'!$A$2:$C$302,2,0),0)+IFERROR(VLOOKUP(A530,'#6 IH Results'!$A$2:$C$302,2,0),0)+IFERROR(VLOOKUP(A530,'#5 IH Results'!$A$2:$C$303,2,0),0)+IFERROR(VLOOKUP(A530,'#4 IH Results'!$A$2:$C$300,2,0),0)+IFERROR(VLOOKUP(A530,'#3 IH Results'!$A$2:$C$101,2,0),0)+IFERROR(VLOOKUP(A530,'#2 IH Results'!$A$2:$C$101,2,0),0)+IFERROR(VLOOKUP(A530,'#1 IH Results'!$A$2:$C$101,2,0),0)+IFERROR(VLOOKUP(A530,'#0 IH Results'!$A$3:$C$102,2,0),0)</f>
        <v>0</v>
      </c>
    </row>
    <row r="531">
      <c r="B531" s="6">
        <f>IFERROR(VLOOKUP(A531,'#17 IH Results'!$A$2:$C$301,2,0),0)+IFERROR(VLOOKUP(A531,'#16 IH Results'!$A$2:$C$301,2,0),0)+IFERROR(VLOOKUP(A531,'#15 IH Results'!$A$2:$C$301,2,0),0)+IFERROR(VLOOKUP(A531,'#14 IH Results'!$A$2:$C$302,2,0),0)+IFERROR(VLOOKUP(A531,'#13 IH Results'!$A$2:$C$302,2,0),0)+IFERROR(VLOOKUP(A531,'#12 IH Results'!$A$2:$C$302,2,0),0)+IFERROR(VLOOKUP(A531,'#11 IH Results'!$A$2:$C$302,2,0),0)+IFERROR(VLOOKUP(A531,'#10 IH Results'!$A$2:$C$302,2,0),0)+IFERROR(VLOOKUP(A531,'#9 IH Results'!$A$2:$C$302,2,0),0)+IFERROR(VLOOKUP(A531,'#8 IH Results'!$A$2:$C$302,2,0),0)+IFERROR(VLOOKUP(A531,'#7 IH Results'!$A$2:$C$302,2,0),0)+IFERROR(VLOOKUP(A531,'#6 IH Results'!$A$2:$C$302,2,0),0)+IFERROR(VLOOKUP(A531,'#5 IH Results'!$A$2:$C$303,2,0),0)+IFERROR(VLOOKUP(A531,'#4 IH Results'!$A$2:$C$300,2,0),0)+IFERROR(VLOOKUP(A531,'#3 IH Results'!$A$2:$C$101,2,0),0)+IFERROR(VLOOKUP(A531,'#2 IH Results'!$A$2:$C$101,2,0),0)+IFERROR(VLOOKUP(A531,'#1 IH Results'!$A$2:$C$101,2,0),0)+IFERROR(VLOOKUP(A531,'#0 IH Results'!$A$3:$C$102,2,0),0)</f>
        <v>0</v>
      </c>
    </row>
    <row r="532">
      <c r="B532" s="6">
        <f>IFERROR(VLOOKUP(A532,'#17 IH Results'!$A$2:$C$301,2,0),0)+IFERROR(VLOOKUP(A532,'#16 IH Results'!$A$2:$C$301,2,0),0)+IFERROR(VLOOKUP(A532,'#15 IH Results'!$A$2:$C$301,2,0),0)+IFERROR(VLOOKUP(A532,'#14 IH Results'!$A$2:$C$302,2,0),0)+IFERROR(VLOOKUP(A532,'#13 IH Results'!$A$2:$C$302,2,0),0)+IFERROR(VLOOKUP(A532,'#12 IH Results'!$A$2:$C$302,2,0),0)+IFERROR(VLOOKUP(A532,'#11 IH Results'!$A$2:$C$302,2,0),0)+IFERROR(VLOOKUP(A532,'#10 IH Results'!$A$2:$C$302,2,0),0)+IFERROR(VLOOKUP(A532,'#9 IH Results'!$A$2:$C$302,2,0),0)+IFERROR(VLOOKUP(A532,'#8 IH Results'!$A$2:$C$302,2,0),0)+IFERROR(VLOOKUP(A532,'#7 IH Results'!$A$2:$C$302,2,0),0)+IFERROR(VLOOKUP(A532,'#6 IH Results'!$A$2:$C$302,2,0),0)+IFERROR(VLOOKUP(A532,'#5 IH Results'!$A$2:$C$303,2,0),0)+IFERROR(VLOOKUP(A532,'#4 IH Results'!$A$2:$C$300,2,0),0)+IFERROR(VLOOKUP(A532,'#3 IH Results'!$A$2:$C$101,2,0),0)+IFERROR(VLOOKUP(A532,'#2 IH Results'!$A$2:$C$101,2,0),0)+IFERROR(VLOOKUP(A532,'#1 IH Results'!$A$2:$C$101,2,0),0)+IFERROR(VLOOKUP(A532,'#0 IH Results'!$A$3:$C$102,2,0),0)</f>
        <v>0</v>
      </c>
    </row>
    <row r="533">
      <c r="B533" s="6">
        <f>IFERROR(VLOOKUP(A533,'#17 IH Results'!$A$2:$C$301,2,0),0)+IFERROR(VLOOKUP(A533,'#16 IH Results'!$A$2:$C$301,2,0),0)+IFERROR(VLOOKUP(A533,'#15 IH Results'!$A$2:$C$301,2,0),0)+IFERROR(VLOOKUP(A533,'#14 IH Results'!$A$2:$C$302,2,0),0)+IFERROR(VLOOKUP(A533,'#13 IH Results'!$A$2:$C$302,2,0),0)+IFERROR(VLOOKUP(A533,'#12 IH Results'!$A$2:$C$302,2,0),0)+IFERROR(VLOOKUP(A533,'#11 IH Results'!$A$2:$C$302,2,0),0)+IFERROR(VLOOKUP(A533,'#10 IH Results'!$A$2:$C$302,2,0),0)+IFERROR(VLOOKUP(A533,'#9 IH Results'!$A$2:$C$302,2,0),0)+IFERROR(VLOOKUP(A533,'#8 IH Results'!$A$2:$C$302,2,0),0)+IFERROR(VLOOKUP(A533,'#7 IH Results'!$A$2:$C$302,2,0),0)+IFERROR(VLOOKUP(A533,'#6 IH Results'!$A$2:$C$302,2,0),0)+IFERROR(VLOOKUP(A533,'#5 IH Results'!$A$2:$C$303,2,0),0)+IFERROR(VLOOKUP(A533,'#4 IH Results'!$A$2:$C$300,2,0),0)+IFERROR(VLOOKUP(A533,'#3 IH Results'!$A$2:$C$101,2,0),0)+IFERROR(VLOOKUP(A533,'#2 IH Results'!$A$2:$C$101,2,0),0)+IFERROR(VLOOKUP(A533,'#1 IH Results'!$A$2:$C$101,2,0),0)+IFERROR(VLOOKUP(A533,'#0 IH Results'!$A$3:$C$102,2,0),0)</f>
        <v>0</v>
      </c>
    </row>
    <row r="534">
      <c r="B534" s="6">
        <f>IFERROR(VLOOKUP(A534,'#17 IH Results'!$A$2:$C$301,2,0),0)+IFERROR(VLOOKUP(A534,'#16 IH Results'!$A$2:$C$301,2,0),0)+IFERROR(VLOOKUP(A534,'#15 IH Results'!$A$2:$C$301,2,0),0)+IFERROR(VLOOKUP(A534,'#14 IH Results'!$A$2:$C$302,2,0),0)+IFERROR(VLOOKUP(A534,'#13 IH Results'!$A$2:$C$302,2,0),0)+IFERROR(VLOOKUP(A534,'#12 IH Results'!$A$2:$C$302,2,0),0)+IFERROR(VLOOKUP(A534,'#11 IH Results'!$A$2:$C$302,2,0),0)+IFERROR(VLOOKUP(A534,'#10 IH Results'!$A$2:$C$302,2,0),0)+IFERROR(VLOOKUP(A534,'#9 IH Results'!$A$2:$C$302,2,0),0)+IFERROR(VLOOKUP(A534,'#8 IH Results'!$A$2:$C$302,2,0),0)+IFERROR(VLOOKUP(A534,'#7 IH Results'!$A$2:$C$302,2,0),0)+IFERROR(VLOOKUP(A534,'#6 IH Results'!$A$2:$C$302,2,0),0)+IFERROR(VLOOKUP(A534,'#5 IH Results'!$A$2:$C$303,2,0),0)+IFERROR(VLOOKUP(A534,'#4 IH Results'!$A$2:$C$300,2,0),0)+IFERROR(VLOOKUP(A534,'#3 IH Results'!$A$2:$C$101,2,0),0)+IFERROR(VLOOKUP(A534,'#2 IH Results'!$A$2:$C$101,2,0),0)+IFERROR(VLOOKUP(A534,'#1 IH Results'!$A$2:$C$101,2,0),0)+IFERROR(VLOOKUP(A534,'#0 IH Results'!$A$3:$C$102,2,0),0)</f>
        <v>0</v>
      </c>
    </row>
    <row r="535">
      <c r="B535" s="6">
        <f>IFERROR(VLOOKUP(A535,'#17 IH Results'!$A$2:$C$301,2,0),0)+IFERROR(VLOOKUP(A535,'#16 IH Results'!$A$2:$C$301,2,0),0)+IFERROR(VLOOKUP(A535,'#15 IH Results'!$A$2:$C$301,2,0),0)+IFERROR(VLOOKUP(A535,'#14 IH Results'!$A$2:$C$302,2,0),0)+IFERROR(VLOOKUP(A535,'#13 IH Results'!$A$2:$C$302,2,0),0)+IFERROR(VLOOKUP(A535,'#12 IH Results'!$A$2:$C$302,2,0),0)+IFERROR(VLOOKUP(A535,'#11 IH Results'!$A$2:$C$302,2,0),0)+IFERROR(VLOOKUP(A535,'#10 IH Results'!$A$2:$C$302,2,0),0)+IFERROR(VLOOKUP(A535,'#9 IH Results'!$A$2:$C$302,2,0),0)+IFERROR(VLOOKUP(A535,'#8 IH Results'!$A$2:$C$302,2,0),0)+IFERROR(VLOOKUP(A535,'#7 IH Results'!$A$2:$C$302,2,0),0)+IFERROR(VLOOKUP(A535,'#6 IH Results'!$A$2:$C$302,2,0),0)+IFERROR(VLOOKUP(A535,'#5 IH Results'!$A$2:$C$303,2,0),0)+IFERROR(VLOOKUP(A535,'#4 IH Results'!$A$2:$C$300,2,0),0)+IFERROR(VLOOKUP(A535,'#3 IH Results'!$A$2:$C$101,2,0),0)+IFERROR(VLOOKUP(A535,'#2 IH Results'!$A$2:$C$101,2,0),0)+IFERROR(VLOOKUP(A535,'#1 IH Results'!$A$2:$C$101,2,0),0)+IFERROR(VLOOKUP(A535,'#0 IH Results'!$A$3:$C$102,2,0),0)</f>
        <v>0</v>
      </c>
    </row>
    <row r="536">
      <c r="B536" s="6">
        <f>IFERROR(VLOOKUP(A536,'#17 IH Results'!$A$2:$C$301,2,0),0)+IFERROR(VLOOKUP(A536,'#16 IH Results'!$A$2:$C$301,2,0),0)+IFERROR(VLOOKUP(A536,'#15 IH Results'!$A$2:$C$301,2,0),0)+IFERROR(VLOOKUP(A536,'#14 IH Results'!$A$2:$C$302,2,0),0)+IFERROR(VLOOKUP(A536,'#13 IH Results'!$A$2:$C$302,2,0),0)+IFERROR(VLOOKUP(A536,'#12 IH Results'!$A$2:$C$302,2,0),0)+IFERROR(VLOOKUP(A536,'#11 IH Results'!$A$2:$C$302,2,0),0)+IFERROR(VLOOKUP(A536,'#10 IH Results'!$A$2:$C$302,2,0),0)+IFERROR(VLOOKUP(A536,'#9 IH Results'!$A$2:$C$302,2,0),0)+IFERROR(VLOOKUP(A536,'#8 IH Results'!$A$2:$C$302,2,0),0)+IFERROR(VLOOKUP(A536,'#7 IH Results'!$A$2:$C$302,2,0),0)+IFERROR(VLOOKUP(A536,'#6 IH Results'!$A$2:$C$302,2,0),0)+IFERROR(VLOOKUP(A536,'#5 IH Results'!$A$2:$C$303,2,0),0)+IFERROR(VLOOKUP(A536,'#4 IH Results'!$A$2:$C$300,2,0),0)+IFERROR(VLOOKUP(A536,'#3 IH Results'!$A$2:$C$101,2,0),0)+IFERROR(VLOOKUP(A536,'#2 IH Results'!$A$2:$C$101,2,0),0)+IFERROR(VLOOKUP(A536,'#1 IH Results'!$A$2:$C$101,2,0),0)+IFERROR(VLOOKUP(A536,'#0 IH Results'!$A$3:$C$102,2,0),0)</f>
        <v>0</v>
      </c>
    </row>
    <row r="537">
      <c r="B537" s="6">
        <f>IFERROR(VLOOKUP(A537,'#17 IH Results'!$A$2:$C$301,2,0),0)+IFERROR(VLOOKUP(A537,'#16 IH Results'!$A$2:$C$301,2,0),0)+IFERROR(VLOOKUP(A537,'#15 IH Results'!$A$2:$C$301,2,0),0)+IFERROR(VLOOKUP(A537,'#14 IH Results'!$A$2:$C$302,2,0),0)+IFERROR(VLOOKUP(A537,'#13 IH Results'!$A$2:$C$302,2,0),0)+IFERROR(VLOOKUP(A537,'#12 IH Results'!$A$2:$C$302,2,0),0)+IFERROR(VLOOKUP(A537,'#11 IH Results'!$A$2:$C$302,2,0),0)+IFERROR(VLOOKUP(A537,'#10 IH Results'!$A$2:$C$302,2,0),0)+IFERROR(VLOOKUP(A537,'#9 IH Results'!$A$2:$C$302,2,0),0)+IFERROR(VLOOKUP(A537,'#8 IH Results'!$A$2:$C$302,2,0),0)+IFERROR(VLOOKUP(A537,'#7 IH Results'!$A$2:$C$302,2,0),0)+IFERROR(VLOOKUP(A537,'#6 IH Results'!$A$2:$C$302,2,0),0)+IFERROR(VLOOKUP(A537,'#5 IH Results'!$A$2:$C$303,2,0),0)+IFERROR(VLOOKUP(A537,'#4 IH Results'!$A$2:$C$300,2,0),0)+IFERROR(VLOOKUP(A537,'#3 IH Results'!$A$2:$C$101,2,0),0)+IFERROR(VLOOKUP(A537,'#2 IH Results'!$A$2:$C$101,2,0),0)+IFERROR(VLOOKUP(A537,'#1 IH Results'!$A$2:$C$101,2,0),0)+IFERROR(VLOOKUP(A537,'#0 IH Results'!$A$3:$C$102,2,0),0)</f>
        <v>0</v>
      </c>
    </row>
    <row r="538">
      <c r="B538" s="6">
        <f>IFERROR(VLOOKUP(A538,'#17 IH Results'!$A$2:$C$301,2,0),0)+IFERROR(VLOOKUP(A538,'#16 IH Results'!$A$2:$C$301,2,0),0)+IFERROR(VLOOKUP(A538,'#15 IH Results'!$A$2:$C$301,2,0),0)+IFERROR(VLOOKUP(A538,'#14 IH Results'!$A$2:$C$302,2,0),0)+IFERROR(VLOOKUP(A538,'#13 IH Results'!$A$2:$C$302,2,0),0)+IFERROR(VLOOKUP(A538,'#12 IH Results'!$A$2:$C$302,2,0),0)+IFERROR(VLOOKUP(A538,'#11 IH Results'!$A$2:$C$302,2,0),0)+IFERROR(VLOOKUP(A538,'#10 IH Results'!$A$2:$C$302,2,0),0)+IFERROR(VLOOKUP(A538,'#9 IH Results'!$A$2:$C$302,2,0),0)+IFERROR(VLOOKUP(A538,'#8 IH Results'!$A$2:$C$302,2,0),0)+IFERROR(VLOOKUP(A538,'#7 IH Results'!$A$2:$C$302,2,0),0)+IFERROR(VLOOKUP(A538,'#6 IH Results'!$A$2:$C$302,2,0),0)+IFERROR(VLOOKUP(A538,'#5 IH Results'!$A$2:$C$303,2,0),0)+IFERROR(VLOOKUP(A538,'#4 IH Results'!$A$2:$C$300,2,0),0)+IFERROR(VLOOKUP(A538,'#3 IH Results'!$A$2:$C$101,2,0),0)+IFERROR(VLOOKUP(A538,'#2 IH Results'!$A$2:$C$101,2,0),0)+IFERROR(VLOOKUP(A538,'#1 IH Results'!$A$2:$C$101,2,0),0)+IFERROR(VLOOKUP(A538,'#0 IH Results'!$A$3:$C$102,2,0),0)</f>
        <v>0</v>
      </c>
    </row>
    <row r="539">
      <c r="B539" s="6">
        <f>IFERROR(VLOOKUP(A539,'#17 IH Results'!$A$2:$C$301,2,0),0)+IFERROR(VLOOKUP(A539,'#16 IH Results'!$A$2:$C$301,2,0),0)+IFERROR(VLOOKUP(A539,'#15 IH Results'!$A$2:$C$301,2,0),0)+IFERROR(VLOOKUP(A539,'#14 IH Results'!$A$2:$C$302,2,0),0)+IFERROR(VLOOKUP(A539,'#13 IH Results'!$A$2:$C$302,2,0),0)+IFERROR(VLOOKUP(A539,'#12 IH Results'!$A$2:$C$302,2,0),0)+IFERROR(VLOOKUP(A539,'#11 IH Results'!$A$2:$C$302,2,0),0)+IFERROR(VLOOKUP(A539,'#10 IH Results'!$A$2:$C$302,2,0),0)+IFERROR(VLOOKUP(A539,'#9 IH Results'!$A$2:$C$302,2,0),0)+IFERROR(VLOOKUP(A539,'#8 IH Results'!$A$2:$C$302,2,0),0)+IFERROR(VLOOKUP(A539,'#7 IH Results'!$A$2:$C$302,2,0),0)+IFERROR(VLOOKUP(A539,'#6 IH Results'!$A$2:$C$302,2,0),0)+IFERROR(VLOOKUP(A539,'#5 IH Results'!$A$2:$C$303,2,0),0)+IFERROR(VLOOKUP(A539,'#4 IH Results'!$A$2:$C$300,2,0),0)+IFERROR(VLOOKUP(A539,'#3 IH Results'!$A$2:$C$101,2,0),0)+IFERROR(VLOOKUP(A539,'#2 IH Results'!$A$2:$C$101,2,0),0)+IFERROR(VLOOKUP(A539,'#1 IH Results'!$A$2:$C$101,2,0),0)+IFERROR(VLOOKUP(A539,'#0 IH Results'!$A$3:$C$102,2,0),0)</f>
        <v>0</v>
      </c>
    </row>
    <row r="540">
      <c r="B540" s="6">
        <f>IFERROR(VLOOKUP(A540,'#17 IH Results'!$A$2:$C$301,2,0),0)+IFERROR(VLOOKUP(A540,'#16 IH Results'!$A$2:$C$301,2,0),0)+IFERROR(VLOOKUP(A540,'#15 IH Results'!$A$2:$C$301,2,0),0)+IFERROR(VLOOKUP(A540,'#14 IH Results'!$A$2:$C$302,2,0),0)+IFERROR(VLOOKUP(A540,'#13 IH Results'!$A$2:$C$302,2,0),0)+IFERROR(VLOOKUP(A540,'#12 IH Results'!$A$2:$C$302,2,0),0)+IFERROR(VLOOKUP(A540,'#11 IH Results'!$A$2:$C$302,2,0),0)+IFERROR(VLOOKUP(A540,'#10 IH Results'!$A$2:$C$302,2,0),0)+IFERROR(VLOOKUP(A540,'#9 IH Results'!$A$2:$C$302,2,0),0)+IFERROR(VLOOKUP(A540,'#8 IH Results'!$A$2:$C$302,2,0),0)+IFERROR(VLOOKUP(A540,'#7 IH Results'!$A$2:$C$302,2,0),0)+IFERROR(VLOOKUP(A540,'#6 IH Results'!$A$2:$C$302,2,0),0)+IFERROR(VLOOKUP(A540,'#5 IH Results'!$A$2:$C$303,2,0),0)+IFERROR(VLOOKUP(A540,'#4 IH Results'!$A$2:$C$300,2,0),0)+IFERROR(VLOOKUP(A540,'#3 IH Results'!$A$2:$C$101,2,0),0)+IFERROR(VLOOKUP(A540,'#2 IH Results'!$A$2:$C$101,2,0),0)+IFERROR(VLOOKUP(A540,'#1 IH Results'!$A$2:$C$101,2,0),0)+IFERROR(VLOOKUP(A540,'#0 IH Results'!$A$3:$C$102,2,0),0)</f>
        <v>0</v>
      </c>
    </row>
    <row r="541">
      <c r="B541" s="6">
        <f>IFERROR(VLOOKUP(A541,'#17 IH Results'!$A$2:$C$301,2,0),0)+IFERROR(VLOOKUP(A541,'#16 IH Results'!$A$2:$C$301,2,0),0)+IFERROR(VLOOKUP(A541,'#15 IH Results'!$A$2:$C$301,2,0),0)+IFERROR(VLOOKUP(A541,'#14 IH Results'!$A$2:$C$302,2,0),0)+IFERROR(VLOOKUP(A541,'#13 IH Results'!$A$2:$C$302,2,0),0)+IFERROR(VLOOKUP(A541,'#12 IH Results'!$A$2:$C$302,2,0),0)+IFERROR(VLOOKUP(A541,'#11 IH Results'!$A$2:$C$302,2,0),0)+IFERROR(VLOOKUP(A541,'#10 IH Results'!$A$2:$C$302,2,0),0)+IFERROR(VLOOKUP(A541,'#9 IH Results'!$A$2:$C$302,2,0),0)+IFERROR(VLOOKUP(A541,'#8 IH Results'!$A$2:$C$302,2,0),0)+IFERROR(VLOOKUP(A541,'#7 IH Results'!$A$2:$C$302,2,0),0)+IFERROR(VLOOKUP(A541,'#6 IH Results'!$A$2:$C$302,2,0),0)+IFERROR(VLOOKUP(A541,'#5 IH Results'!$A$2:$C$303,2,0),0)+IFERROR(VLOOKUP(A541,'#4 IH Results'!$A$2:$C$300,2,0),0)+IFERROR(VLOOKUP(A541,'#3 IH Results'!$A$2:$C$101,2,0),0)+IFERROR(VLOOKUP(A541,'#2 IH Results'!$A$2:$C$101,2,0),0)+IFERROR(VLOOKUP(A541,'#1 IH Results'!$A$2:$C$101,2,0),0)+IFERROR(VLOOKUP(A541,'#0 IH Results'!$A$3:$C$102,2,0),0)</f>
        <v>0</v>
      </c>
    </row>
    <row r="542">
      <c r="B542" s="6">
        <f>IFERROR(VLOOKUP(A542,'#17 IH Results'!$A$2:$C$301,2,0),0)+IFERROR(VLOOKUP(A542,'#16 IH Results'!$A$2:$C$301,2,0),0)+IFERROR(VLOOKUP(A542,'#15 IH Results'!$A$2:$C$301,2,0),0)+IFERROR(VLOOKUP(A542,'#14 IH Results'!$A$2:$C$302,2,0),0)+IFERROR(VLOOKUP(A542,'#13 IH Results'!$A$2:$C$302,2,0),0)+IFERROR(VLOOKUP(A542,'#12 IH Results'!$A$2:$C$302,2,0),0)+IFERROR(VLOOKUP(A542,'#11 IH Results'!$A$2:$C$302,2,0),0)+IFERROR(VLOOKUP(A542,'#10 IH Results'!$A$2:$C$302,2,0),0)+IFERROR(VLOOKUP(A542,'#9 IH Results'!$A$2:$C$302,2,0),0)+IFERROR(VLOOKUP(A542,'#8 IH Results'!$A$2:$C$302,2,0),0)+IFERROR(VLOOKUP(A542,'#7 IH Results'!$A$2:$C$302,2,0),0)+IFERROR(VLOOKUP(A542,'#6 IH Results'!$A$2:$C$302,2,0),0)+IFERROR(VLOOKUP(A542,'#5 IH Results'!$A$2:$C$303,2,0),0)+IFERROR(VLOOKUP(A542,'#4 IH Results'!$A$2:$C$300,2,0),0)+IFERROR(VLOOKUP(A542,'#3 IH Results'!$A$2:$C$101,2,0),0)+IFERROR(VLOOKUP(A542,'#2 IH Results'!$A$2:$C$101,2,0),0)+IFERROR(VLOOKUP(A542,'#1 IH Results'!$A$2:$C$101,2,0),0)+IFERROR(VLOOKUP(A542,'#0 IH Results'!$A$3:$C$102,2,0),0)</f>
        <v>0</v>
      </c>
    </row>
    <row r="543">
      <c r="B543" s="6">
        <f>IFERROR(VLOOKUP(A543,'#17 IH Results'!$A$2:$C$301,2,0),0)+IFERROR(VLOOKUP(A543,'#16 IH Results'!$A$2:$C$301,2,0),0)+IFERROR(VLOOKUP(A543,'#15 IH Results'!$A$2:$C$301,2,0),0)+IFERROR(VLOOKUP(A543,'#14 IH Results'!$A$2:$C$302,2,0),0)+IFERROR(VLOOKUP(A543,'#13 IH Results'!$A$2:$C$302,2,0),0)+IFERROR(VLOOKUP(A543,'#12 IH Results'!$A$2:$C$302,2,0),0)+IFERROR(VLOOKUP(A543,'#11 IH Results'!$A$2:$C$302,2,0),0)+IFERROR(VLOOKUP(A543,'#10 IH Results'!$A$2:$C$302,2,0),0)+IFERROR(VLOOKUP(A543,'#9 IH Results'!$A$2:$C$302,2,0),0)+IFERROR(VLOOKUP(A543,'#8 IH Results'!$A$2:$C$302,2,0),0)+IFERROR(VLOOKUP(A543,'#7 IH Results'!$A$2:$C$302,2,0),0)+IFERROR(VLOOKUP(A543,'#6 IH Results'!$A$2:$C$302,2,0),0)+IFERROR(VLOOKUP(A543,'#5 IH Results'!$A$2:$C$303,2,0),0)+IFERROR(VLOOKUP(A543,'#4 IH Results'!$A$2:$C$300,2,0),0)+IFERROR(VLOOKUP(A543,'#3 IH Results'!$A$2:$C$101,2,0),0)+IFERROR(VLOOKUP(A543,'#2 IH Results'!$A$2:$C$101,2,0),0)+IFERROR(VLOOKUP(A543,'#1 IH Results'!$A$2:$C$101,2,0),0)+IFERROR(VLOOKUP(A543,'#0 IH Results'!$A$3:$C$102,2,0),0)</f>
        <v>0</v>
      </c>
    </row>
    <row r="544">
      <c r="B544" s="6">
        <f>IFERROR(VLOOKUP(A544,'#17 IH Results'!$A$2:$C$301,2,0),0)+IFERROR(VLOOKUP(A544,'#16 IH Results'!$A$2:$C$301,2,0),0)+IFERROR(VLOOKUP(A544,'#15 IH Results'!$A$2:$C$301,2,0),0)+IFERROR(VLOOKUP(A544,'#14 IH Results'!$A$2:$C$302,2,0),0)+IFERROR(VLOOKUP(A544,'#13 IH Results'!$A$2:$C$302,2,0),0)+IFERROR(VLOOKUP(A544,'#12 IH Results'!$A$2:$C$302,2,0),0)+IFERROR(VLOOKUP(A544,'#11 IH Results'!$A$2:$C$302,2,0),0)+IFERROR(VLOOKUP(A544,'#10 IH Results'!$A$2:$C$302,2,0),0)+IFERROR(VLOOKUP(A544,'#9 IH Results'!$A$2:$C$302,2,0),0)+IFERROR(VLOOKUP(A544,'#8 IH Results'!$A$2:$C$302,2,0),0)+IFERROR(VLOOKUP(A544,'#7 IH Results'!$A$2:$C$302,2,0),0)+IFERROR(VLOOKUP(A544,'#6 IH Results'!$A$2:$C$302,2,0),0)+IFERROR(VLOOKUP(A544,'#5 IH Results'!$A$2:$C$303,2,0),0)+IFERROR(VLOOKUP(A544,'#4 IH Results'!$A$2:$C$300,2,0),0)+IFERROR(VLOOKUP(A544,'#3 IH Results'!$A$2:$C$101,2,0),0)+IFERROR(VLOOKUP(A544,'#2 IH Results'!$A$2:$C$101,2,0),0)+IFERROR(VLOOKUP(A544,'#1 IH Results'!$A$2:$C$101,2,0),0)+IFERROR(VLOOKUP(A544,'#0 IH Results'!$A$3:$C$102,2,0),0)</f>
        <v>0</v>
      </c>
    </row>
    <row r="545">
      <c r="B545" s="6">
        <f>IFERROR(VLOOKUP(A545,'#17 IH Results'!$A$2:$C$301,2,0),0)+IFERROR(VLOOKUP(A545,'#16 IH Results'!$A$2:$C$301,2,0),0)+IFERROR(VLOOKUP(A545,'#15 IH Results'!$A$2:$C$301,2,0),0)+IFERROR(VLOOKUP(A545,'#14 IH Results'!$A$2:$C$302,2,0),0)+IFERROR(VLOOKUP(A545,'#13 IH Results'!$A$2:$C$302,2,0),0)+IFERROR(VLOOKUP(A545,'#12 IH Results'!$A$2:$C$302,2,0),0)+IFERROR(VLOOKUP(A545,'#11 IH Results'!$A$2:$C$302,2,0),0)+IFERROR(VLOOKUP(A545,'#10 IH Results'!$A$2:$C$302,2,0),0)+IFERROR(VLOOKUP(A545,'#9 IH Results'!$A$2:$C$302,2,0),0)+IFERROR(VLOOKUP(A545,'#8 IH Results'!$A$2:$C$302,2,0),0)+IFERROR(VLOOKUP(A545,'#7 IH Results'!$A$2:$C$302,2,0),0)+IFERROR(VLOOKUP(A545,'#6 IH Results'!$A$2:$C$302,2,0),0)+IFERROR(VLOOKUP(A545,'#5 IH Results'!$A$2:$C$303,2,0),0)+IFERROR(VLOOKUP(A545,'#4 IH Results'!$A$2:$C$300,2,0),0)+IFERROR(VLOOKUP(A545,'#3 IH Results'!$A$2:$C$101,2,0),0)+IFERROR(VLOOKUP(A545,'#2 IH Results'!$A$2:$C$101,2,0),0)+IFERROR(VLOOKUP(A545,'#1 IH Results'!$A$2:$C$101,2,0),0)+IFERROR(VLOOKUP(A545,'#0 IH Results'!$A$3:$C$102,2,0),0)</f>
        <v>0</v>
      </c>
    </row>
    <row r="546">
      <c r="B546" s="6">
        <f>IFERROR(VLOOKUP(A546,'#17 IH Results'!$A$2:$C$301,2,0),0)+IFERROR(VLOOKUP(A546,'#16 IH Results'!$A$2:$C$301,2,0),0)+IFERROR(VLOOKUP(A546,'#15 IH Results'!$A$2:$C$301,2,0),0)+IFERROR(VLOOKUP(A546,'#14 IH Results'!$A$2:$C$302,2,0),0)+IFERROR(VLOOKUP(A546,'#13 IH Results'!$A$2:$C$302,2,0),0)+IFERROR(VLOOKUP(A546,'#12 IH Results'!$A$2:$C$302,2,0),0)+IFERROR(VLOOKUP(A546,'#11 IH Results'!$A$2:$C$302,2,0),0)+IFERROR(VLOOKUP(A546,'#10 IH Results'!$A$2:$C$302,2,0),0)+IFERROR(VLOOKUP(A546,'#9 IH Results'!$A$2:$C$302,2,0),0)+IFERROR(VLOOKUP(A546,'#8 IH Results'!$A$2:$C$302,2,0),0)+IFERROR(VLOOKUP(A546,'#7 IH Results'!$A$2:$C$302,2,0),0)+IFERROR(VLOOKUP(A546,'#6 IH Results'!$A$2:$C$302,2,0),0)+IFERROR(VLOOKUP(A546,'#5 IH Results'!$A$2:$C$303,2,0),0)+IFERROR(VLOOKUP(A546,'#4 IH Results'!$A$2:$C$300,2,0),0)+IFERROR(VLOOKUP(A546,'#3 IH Results'!$A$2:$C$101,2,0),0)+IFERROR(VLOOKUP(A546,'#2 IH Results'!$A$2:$C$101,2,0),0)+IFERROR(VLOOKUP(A546,'#1 IH Results'!$A$2:$C$101,2,0),0)+IFERROR(VLOOKUP(A546,'#0 IH Results'!$A$3:$C$102,2,0),0)</f>
        <v>0</v>
      </c>
    </row>
    <row r="547">
      <c r="B547" s="6">
        <f>IFERROR(VLOOKUP(A547,'#17 IH Results'!$A$2:$C$301,2,0),0)+IFERROR(VLOOKUP(A547,'#16 IH Results'!$A$2:$C$301,2,0),0)+IFERROR(VLOOKUP(A547,'#15 IH Results'!$A$2:$C$301,2,0),0)+IFERROR(VLOOKUP(A547,'#14 IH Results'!$A$2:$C$302,2,0),0)+IFERROR(VLOOKUP(A547,'#13 IH Results'!$A$2:$C$302,2,0),0)+IFERROR(VLOOKUP(A547,'#12 IH Results'!$A$2:$C$302,2,0),0)+IFERROR(VLOOKUP(A547,'#11 IH Results'!$A$2:$C$302,2,0),0)+IFERROR(VLOOKUP(A547,'#10 IH Results'!$A$2:$C$302,2,0),0)+IFERROR(VLOOKUP(A547,'#9 IH Results'!$A$2:$C$302,2,0),0)+IFERROR(VLOOKUP(A547,'#8 IH Results'!$A$2:$C$302,2,0),0)+IFERROR(VLOOKUP(A547,'#7 IH Results'!$A$2:$C$302,2,0),0)+IFERROR(VLOOKUP(A547,'#6 IH Results'!$A$2:$C$302,2,0),0)+IFERROR(VLOOKUP(A547,'#5 IH Results'!$A$2:$C$303,2,0),0)+IFERROR(VLOOKUP(A547,'#4 IH Results'!$A$2:$C$300,2,0),0)+IFERROR(VLOOKUP(A547,'#3 IH Results'!$A$2:$C$101,2,0),0)+IFERROR(VLOOKUP(A547,'#2 IH Results'!$A$2:$C$101,2,0),0)+IFERROR(VLOOKUP(A547,'#1 IH Results'!$A$2:$C$101,2,0),0)+IFERROR(VLOOKUP(A547,'#0 IH Results'!$A$3:$C$102,2,0),0)</f>
        <v>0</v>
      </c>
    </row>
    <row r="548">
      <c r="B548" s="6">
        <f>IFERROR(VLOOKUP(A548,'#17 IH Results'!$A$2:$C$301,2,0),0)+IFERROR(VLOOKUP(A548,'#16 IH Results'!$A$2:$C$301,2,0),0)+IFERROR(VLOOKUP(A548,'#15 IH Results'!$A$2:$C$301,2,0),0)+IFERROR(VLOOKUP(A548,'#14 IH Results'!$A$2:$C$302,2,0),0)+IFERROR(VLOOKUP(A548,'#13 IH Results'!$A$2:$C$302,2,0),0)+IFERROR(VLOOKUP(A548,'#12 IH Results'!$A$2:$C$302,2,0),0)+IFERROR(VLOOKUP(A548,'#11 IH Results'!$A$2:$C$302,2,0),0)+IFERROR(VLOOKUP(A548,'#10 IH Results'!$A$2:$C$302,2,0),0)+IFERROR(VLOOKUP(A548,'#9 IH Results'!$A$2:$C$302,2,0),0)+IFERROR(VLOOKUP(A548,'#8 IH Results'!$A$2:$C$302,2,0),0)+IFERROR(VLOOKUP(A548,'#7 IH Results'!$A$2:$C$302,2,0),0)+IFERROR(VLOOKUP(A548,'#6 IH Results'!$A$2:$C$302,2,0),0)+IFERROR(VLOOKUP(A548,'#5 IH Results'!$A$2:$C$303,2,0),0)+IFERROR(VLOOKUP(A548,'#4 IH Results'!$A$2:$C$300,2,0),0)+IFERROR(VLOOKUP(A548,'#3 IH Results'!$A$2:$C$101,2,0),0)+IFERROR(VLOOKUP(A548,'#2 IH Results'!$A$2:$C$101,2,0),0)+IFERROR(VLOOKUP(A548,'#1 IH Results'!$A$2:$C$101,2,0),0)+IFERROR(VLOOKUP(A548,'#0 IH Results'!$A$3:$C$102,2,0),0)</f>
        <v>0</v>
      </c>
    </row>
    <row r="549">
      <c r="B549" s="6">
        <f>IFERROR(VLOOKUP(A549,'#17 IH Results'!$A$2:$C$301,2,0),0)+IFERROR(VLOOKUP(A549,'#16 IH Results'!$A$2:$C$301,2,0),0)+IFERROR(VLOOKUP(A549,'#15 IH Results'!$A$2:$C$301,2,0),0)+IFERROR(VLOOKUP(A549,'#14 IH Results'!$A$2:$C$302,2,0),0)+IFERROR(VLOOKUP(A549,'#13 IH Results'!$A$2:$C$302,2,0),0)+IFERROR(VLOOKUP(A549,'#12 IH Results'!$A$2:$C$302,2,0),0)+IFERROR(VLOOKUP(A549,'#11 IH Results'!$A$2:$C$302,2,0),0)+IFERROR(VLOOKUP(A549,'#10 IH Results'!$A$2:$C$302,2,0),0)+IFERROR(VLOOKUP(A549,'#9 IH Results'!$A$2:$C$302,2,0),0)+IFERROR(VLOOKUP(A549,'#8 IH Results'!$A$2:$C$302,2,0),0)+IFERROR(VLOOKUP(A549,'#7 IH Results'!$A$2:$C$302,2,0),0)+IFERROR(VLOOKUP(A549,'#6 IH Results'!$A$2:$C$302,2,0),0)+IFERROR(VLOOKUP(A549,'#5 IH Results'!$A$2:$C$303,2,0),0)+IFERROR(VLOOKUP(A549,'#4 IH Results'!$A$2:$C$300,2,0),0)+IFERROR(VLOOKUP(A549,'#3 IH Results'!$A$2:$C$101,2,0),0)+IFERROR(VLOOKUP(A549,'#2 IH Results'!$A$2:$C$101,2,0),0)+IFERROR(VLOOKUP(A549,'#1 IH Results'!$A$2:$C$101,2,0),0)+IFERROR(VLOOKUP(A549,'#0 IH Results'!$A$3:$C$102,2,0),0)</f>
        <v>0</v>
      </c>
    </row>
    <row r="550">
      <c r="B550" s="6">
        <f>IFERROR(VLOOKUP(A550,'#17 IH Results'!$A$2:$C$301,2,0),0)+IFERROR(VLOOKUP(A550,'#16 IH Results'!$A$2:$C$301,2,0),0)+IFERROR(VLOOKUP(A550,'#15 IH Results'!$A$2:$C$301,2,0),0)+IFERROR(VLOOKUP(A550,'#14 IH Results'!$A$2:$C$302,2,0),0)+IFERROR(VLOOKUP(A550,'#13 IH Results'!$A$2:$C$302,2,0),0)+IFERROR(VLOOKUP(A550,'#12 IH Results'!$A$2:$C$302,2,0),0)+IFERROR(VLOOKUP(A550,'#11 IH Results'!$A$2:$C$302,2,0),0)+IFERROR(VLOOKUP(A550,'#10 IH Results'!$A$2:$C$302,2,0),0)+IFERROR(VLOOKUP(A550,'#9 IH Results'!$A$2:$C$302,2,0),0)+IFERROR(VLOOKUP(A550,'#8 IH Results'!$A$2:$C$302,2,0),0)+IFERROR(VLOOKUP(A550,'#7 IH Results'!$A$2:$C$302,2,0),0)+IFERROR(VLOOKUP(A550,'#6 IH Results'!$A$2:$C$302,2,0),0)+IFERROR(VLOOKUP(A550,'#5 IH Results'!$A$2:$C$303,2,0),0)+IFERROR(VLOOKUP(A550,'#4 IH Results'!$A$2:$C$300,2,0),0)+IFERROR(VLOOKUP(A550,'#3 IH Results'!$A$2:$C$101,2,0),0)+IFERROR(VLOOKUP(A550,'#2 IH Results'!$A$2:$C$101,2,0),0)+IFERROR(VLOOKUP(A550,'#1 IH Results'!$A$2:$C$101,2,0),0)+IFERROR(VLOOKUP(A550,'#0 IH Results'!$A$3:$C$102,2,0),0)</f>
        <v>0</v>
      </c>
    </row>
    <row r="551">
      <c r="B551" s="6">
        <f>IFERROR(VLOOKUP(A551,'#17 IH Results'!$A$2:$C$301,2,0),0)+IFERROR(VLOOKUP(A551,'#16 IH Results'!$A$2:$C$301,2,0),0)+IFERROR(VLOOKUP(A551,'#15 IH Results'!$A$2:$C$301,2,0),0)+IFERROR(VLOOKUP(A551,'#14 IH Results'!$A$2:$C$302,2,0),0)+IFERROR(VLOOKUP(A551,'#13 IH Results'!$A$2:$C$302,2,0),0)+IFERROR(VLOOKUP(A551,'#12 IH Results'!$A$2:$C$302,2,0),0)+IFERROR(VLOOKUP(A551,'#11 IH Results'!$A$2:$C$302,2,0),0)+IFERROR(VLOOKUP(A551,'#10 IH Results'!$A$2:$C$302,2,0),0)+IFERROR(VLOOKUP(A551,'#9 IH Results'!$A$2:$C$302,2,0),0)+IFERROR(VLOOKUP(A551,'#8 IH Results'!$A$2:$C$302,2,0),0)+IFERROR(VLOOKUP(A551,'#7 IH Results'!$A$2:$C$302,2,0),0)+IFERROR(VLOOKUP(A551,'#6 IH Results'!$A$2:$C$302,2,0),0)+IFERROR(VLOOKUP(A551,'#5 IH Results'!$A$2:$C$303,2,0),0)+IFERROR(VLOOKUP(A551,'#4 IH Results'!$A$2:$C$300,2,0),0)+IFERROR(VLOOKUP(A551,'#3 IH Results'!$A$2:$C$101,2,0),0)+IFERROR(VLOOKUP(A551,'#2 IH Results'!$A$2:$C$101,2,0),0)+IFERROR(VLOOKUP(A551,'#1 IH Results'!$A$2:$C$101,2,0),0)+IFERROR(VLOOKUP(A551,'#0 IH Results'!$A$3:$C$102,2,0),0)</f>
        <v>0</v>
      </c>
    </row>
    <row r="552">
      <c r="B552" s="6">
        <f>IFERROR(VLOOKUP(A552,'#17 IH Results'!$A$2:$C$301,2,0),0)+IFERROR(VLOOKUP(A552,'#16 IH Results'!$A$2:$C$301,2,0),0)+IFERROR(VLOOKUP(A552,'#15 IH Results'!$A$2:$C$301,2,0),0)+IFERROR(VLOOKUP(A552,'#14 IH Results'!$A$2:$C$302,2,0),0)+IFERROR(VLOOKUP(A552,'#13 IH Results'!$A$2:$C$302,2,0),0)+IFERROR(VLOOKUP(A552,'#12 IH Results'!$A$2:$C$302,2,0),0)+IFERROR(VLOOKUP(A552,'#11 IH Results'!$A$2:$C$302,2,0),0)+IFERROR(VLOOKUP(A552,'#10 IH Results'!$A$2:$C$302,2,0),0)+IFERROR(VLOOKUP(A552,'#9 IH Results'!$A$2:$C$302,2,0),0)+IFERROR(VLOOKUP(A552,'#8 IH Results'!$A$2:$C$302,2,0),0)+IFERROR(VLOOKUP(A552,'#7 IH Results'!$A$2:$C$302,2,0),0)+IFERROR(VLOOKUP(A552,'#6 IH Results'!$A$2:$C$302,2,0),0)+IFERROR(VLOOKUP(A552,'#5 IH Results'!$A$2:$C$303,2,0),0)+IFERROR(VLOOKUP(A552,'#4 IH Results'!$A$2:$C$300,2,0),0)+IFERROR(VLOOKUP(A552,'#3 IH Results'!$A$2:$C$101,2,0),0)+IFERROR(VLOOKUP(A552,'#2 IH Results'!$A$2:$C$101,2,0),0)+IFERROR(VLOOKUP(A552,'#1 IH Results'!$A$2:$C$101,2,0),0)+IFERROR(VLOOKUP(A552,'#0 IH Results'!$A$3:$C$102,2,0),0)</f>
        <v>0</v>
      </c>
    </row>
    <row r="553">
      <c r="B553" s="6">
        <f>IFERROR(VLOOKUP(A553,'#17 IH Results'!$A$2:$C$301,2,0),0)+IFERROR(VLOOKUP(A553,'#16 IH Results'!$A$2:$C$301,2,0),0)+IFERROR(VLOOKUP(A553,'#15 IH Results'!$A$2:$C$301,2,0),0)+IFERROR(VLOOKUP(A553,'#14 IH Results'!$A$2:$C$302,2,0),0)+IFERROR(VLOOKUP(A553,'#13 IH Results'!$A$2:$C$302,2,0),0)+IFERROR(VLOOKUP(A553,'#12 IH Results'!$A$2:$C$302,2,0),0)+IFERROR(VLOOKUP(A553,'#11 IH Results'!$A$2:$C$302,2,0),0)+IFERROR(VLOOKUP(A553,'#10 IH Results'!$A$2:$C$302,2,0),0)+IFERROR(VLOOKUP(A553,'#9 IH Results'!$A$2:$C$302,2,0),0)+IFERROR(VLOOKUP(A553,'#8 IH Results'!$A$2:$C$302,2,0),0)+IFERROR(VLOOKUP(A553,'#7 IH Results'!$A$2:$C$302,2,0),0)+IFERROR(VLOOKUP(A553,'#6 IH Results'!$A$2:$C$302,2,0),0)+IFERROR(VLOOKUP(A553,'#5 IH Results'!$A$2:$C$303,2,0),0)+IFERROR(VLOOKUP(A553,'#4 IH Results'!$A$2:$C$300,2,0),0)+IFERROR(VLOOKUP(A553,'#3 IH Results'!$A$2:$C$101,2,0),0)+IFERROR(VLOOKUP(A553,'#2 IH Results'!$A$2:$C$101,2,0),0)+IFERROR(VLOOKUP(A553,'#1 IH Results'!$A$2:$C$101,2,0),0)+IFERROR(VLOOKUP(A553,'#0 IH Results'!$A$3:$C$102,2,0),0)</f>
        <v>0</v>
      </c>
    </row>
    <row r="554">
      <c r="B554" s="6">
        <f>IFERROR(VLOOKUP(A554,'#17 IH Results'!$A$2:$C$301,2,0),0)+IFERROR(VLOOKUP(A554,'#16 IH Results'!$A$2:$C$301,2,0),0)+IFERROR(VLOOKUP(A554,'#15 IH Results'!$A$2:$C$301,2,0),0)+IFERROR(VLOOKUP(A554,'#14 IH Results'!$A$2:$C$302,2,0),0)+IFERROR(VLOOKUP(A554,'#13 IH Results'!$A$2:$C$302,2,0),0)+IFERROR(VLOOKUP(A554,'#12 IH Results'!$A$2:$C$302,2,0),0)+IFERROR(VLOOKUP(A554,'#11 IH Results'!$A$2:$C$302,2,0),0)+IFERROR(VLOOKUP(A554,'#10 IH Results'!$A$2:$C$302,2,0),0)+IFERROR(VLOOKUP(A554,'#9 IH Results'!$A$2:$C$302,2,0),0)+IFERROR(VLOOKUP(A554,'#8 IH Results'!$A$2:$C$302,2,0),0)+IFERROR(VLOOKUP(A554,'#7 IH Results'!$A$2:$C$302,2,0),0)+IFERROR(VLOOKUP(A554,'#6 IH Results'!$A$2:$C$302,2,0),0)+IFERROR(VLOOKUP(A554,'#5 IH Results'!$A$2:$C$303,2,0),0)+IFERROR(VLOOKUP(A554,'#4 IH Results'!$A$2:$C$300,2,0),0)+IFERROR(VLOOKUP(A554,'#3 IH Results'!$A$2:$C$101,2,0),0)+IFERROR(VLOOKUP(A554,'#2 IH Results'!$A$2:$C$101,2,0),0)+IFERROR(VLOOKUP(A554,'#1 IH Results'!$A$2:$C$101,2,0),0)+IFERROR(VLOOKUP(A554,'#0 IH Results'!$A$3:$C$102,2,0),0)</f>
        <v>0</v>
      </c>
    </row>
    <row r="555">
      <c r="B555" s="6">
        <f>IFERROR(VLOOKUP(A555,'#17 IH Results'!$A$2:$C$301,2,0),0)+IFERROR(VLOOKUP(A555,'#16 IH Results'!$A$2:$C$301,2,0),0)+IFERROR(VLOOKUP(A555,'#15 IH Results'!$A$2:$C$301,2,0),0)+IFERROR(VLOOKUP(A555,'#14 IH Results'!$A$2:$C$302,2,0),0)+IFERROR(VLOOKUP(A555,'#13 IH Results'!$A$2:$C$302,2,0),0)+IFERROR(VLOOKUP(A555,'#12 IH Results'!$A$2:$C$302,2,0),0)+IFERROR(VLOOKUP(A555,'#11 IH Results'!$A$2:$C$302,2,0),0)+IFERROR(VLOOKUP(A555,'#10 IH Results'!$A$2:$C$302,2,0),0)+IFERROR(VLOOKUP(A555,'#9 IH Results'!$A$2:$C$302,2,0),0)+IFERROR(VLOOKUP(A555,'#8 IH Results'!$A$2:$C$302,2,0),0)+IFERROR(VLOOKUP(A555,'#7 IH Results'!$A$2:$C$302,2,0),0)+IFERROR(VLOOKUP(A555,'#6 IH Results'!$A$2:$C$302,2,0),0)+IFERROR(VLOOKUP(A555,'#5 IH Results'!$A$2:$C$303,2,0),0)+IFERROR(VLOOKUP(A555,'#4 IH Results'!$A$2:$C$300,2,0),0)+IFERROR(VLOOKUP(A555,'#3 IH Results'!$A$2:$C$101,2,0),0)+IFERROR(VLOOKUP(A555,'#2 IH Results'!$A$2:$C$101,2,0),0)+IFERROR(VLOOKUP(A555,'#1 IH Results'!$A$2:$C$101,2,0),0)+IFERROR(VLOOKUP(A555,'#0 IH Results'!$A$3:$C$102,2,0),0)</f>
        <v>0</v>
      </c>
    </row>
    <row r="556">
      <c r="B556" s="6">
        <f>IFERROR(VLOOKUP(A556,'#17 IH Results'!$A$2:$C$301,2,0),0)+IFERROR(VLOOKUP(A556,'#16 IH Results'!$A$2:$C$301,2,0),0)+IFERROR(VLOOKUP(A556,'#15 IH Results'!$A$2:$C$301,2,0),0)+IFERROR(VLOOKUP(A556,'#14 IH Results'!$A$2:$C$302,2,0),0)+IFERROR(VLOOKUP(A556,'#13 IH Results'!$A$2:$C$302,2,0),0)+IFERROR(VLOOKUP(A556,'#12 IH Results'!$A$2:$C$302,2,0),0)+IFERROR(VLOOKUP(A556,'#11 IH Results'!$A$2:$C$302,2,0),0)+IFERROR(VLOOKUP(A556,'#10 IH Results'!$A$2:$C$302,2,0),0)+IFERROR(VLOOKUP(A556,'#9 IH Results'!$A$2:$C$302,2,0),0)+IFERROR(VLOOKUP(A556,'#8 IH Results'!$A$2:$C$302,2,0),0)+IFERROR(VLOOKUP(A556,'#7 IH Results'!$A$2:$C$302,2,0),0)+IFERROR(VLOOKUP(A556,'#6 IH Results'!$A$2:$C$302,2,0),0)+IFERROR(VLOOKUP(A556,'#5 IH Results'!$A$2:$C$303,2,0),0)+IFERROR(VLOOKUP(A556,'#4 IH Results'!$A$2:$C$300,2,0),0)+IFERROR(VLOOKUP(A556,'#3 IH Results'!$A$2:$C$101,2,0),0)+IFERROR(VLOOKUP(A556,'#2 IH Results'!$A$2:$C$101,2,0),0)+IFERROR(VLOOKUP(A556,'#1 IH Results'!$A$2:$C$101,2,0),0)+IFERROR(VLOOKUP(A556,'#0 IH Results'!$A$3:$C$102,2,0),0)</f>
        <v>0</v>
      </c>
    </row>
    <row r="557">
      <c r="B557" s="6">
        <f>IFERROR(VLOOKUP(A557,'#17 IH Results'!$A$2:$C$301,2,0),0)+IFERROR(VLOOKUP(A557,'#16 IH Results'!$A$2:$C$301,2,0),0)+IFERROR(VLOOKUP(A557,'#15 IH Results'!$A$2:$C$301,2,0),0)+IFERROR(VLOOKUP(A557,'#14 IH Results'!$A$2:$C$302,2,0),0)+IFERROR(VLOOKUP(A557,'#13 IH Results'!$A$2:$C$302,2,0),0)+IFERROR(VLOOKUP(A557,'#12 IH Results'!$A$2:$C$302,2,0),0)+IFERROR(VLOOKUP(A557,'#11 IH Results'!$A$2:$C$302,2,0),0)+IFERROR(VLOOKUP(A557,'#10 IH Results'!$A$2:$C$302,2,0),0)+IFERROR(VLOOKUP(A557,'#9 IH Results'!$A$2:$C$302,2,0),0)+IFERROR(VLOOKUP(A557,'#8 IH Results'!$A$2:$C$302,2,0),0)+IFERROR(VLOOKUP(A557,'#7 IH Results'!$A$2:$C$302,2,0),0)+IFERROR(VLOOKUP(A557,'#6 IH Results'!$A$2:$C$302,2,0),0)+IFERROR(VLOOKUP(A557,'#5 IH Results'!$A$2:$C$303,2,0),0)+IFERROR(VLOOKUP(A557,'#4 IH Results'!$A$2:$C$300,2,0),0)+IFERROR(VLOOKUP(A557,'#3 IH Results'!$A$2:$C$101,2,0),0)+IFERROR(VLOOKUP(A557,'#2 IH Results'!$A$2:$C$101,2,0),0)+IFERROR(VLOOKUP(A557,'#1 IH Results'!$A$2:$C$101,2,0),0)+IFERROR(VLOOKUP(A557,'#0 IH Results'!$A$3:$C$102,2,0),0)</f>
        <v>0</v>
      </c>
    </row>
    <row r="558">
      <c r="B558" s="6">
        <f>IFERROR(VLOOKUP(A558,'#17 IH Results'!$A$2:$C$301,2,0),0)+IFERROR(VLOOKUP(A558,'#16 IH Results'!$A$2:$C$301,2,0),0)+IFERROR(VLOOKUP(A558,'#15 IH Results'!$A$2:$C$301,2,0),0)+IFERROR(VLOOKUP(A558,'#14 IH Results'!$A$2:$C$302,2,0),0)+IFERROR(VLOOKUP(A558,'#13 IH Results'!$A$2:$C$302,2,0),0)+IFERROR(VLOOKUP(A558,'#12 IH Results'!$A$2:$C$302,2,0),0)+IFERROR(VLOOKUP(A558,'#11 IH Results'!$A$2:$C$302,2,0),0)+IFERROR(VLOOKUP(A558,'#10 IH Results'!$A$2:$C$302,2,0),0)+IFERROR(VLOOKUP(A558,'#9 IH Results'!$A$2:$C$302,2,0),0)+IFERROR(VLOOKUP(A558,'#8 IH Results'!$A$2:$C$302,2,0),0)+IFERROR(VLOOKUP(A558,'#7 IH Results'!$A$2:$C$302,2,0),0)+IFERROR(VLOOKUP(A558,'#6 IH Results'!$A$2:$C$302,2,0),0)+IFERROR(VLOOKUP(A558,'#5 IH Results'!$A$2:$C$303,2,0),0)+IFERROR(VLOOKUP(A558,'#4 IH Results'!$A$2:$C$300,2,0),0)+IFERROR(VLOOKUP(A558,'#3 IH Results'!$A$2:$C$101,2,0),0)+IFERROR(VLOOKUP(A558,'#2 IH Results'!$A$2:$C$101,2,0),0)+IFERROR(VLOOKUP(A558,'#1 IH Results'!$A$2:$C$101,2,0),0)+IFERROR(VLOOKUP(A558,'#0 IH Results'!$A$3:$C$102,2,0),0)</f>
        <v>0</v>
      </c>
    </row>
    <row r="559">
      <c r="B559" s="6">
        <f>IFERROR(VLOOKUP(A559,'#17 IH Results'!$A$2:$C$301,2,0),0)+IFERROR(VLOOKUP(A559,'#16 IH Results'!$A$2:$C$301,2,0),0)+IFERROR(VLOOKUP(A559,'#15 IH Results'!$A$2:$C$301,2,0),0)+IFERROR(VLOOKUP(A559,'#14 IH Results'!$A$2:$C$302,2,0),0)+IFERROR(VLOOKUP(A559,'#13 IH Results'!$A$2:$C$302,2,0),0)+IFERROR(VLOOKUP(A559,'#12 IH Results'!$A$2:$C$302,2,0),0)+IFERROR(VLOOKUP(A559,'#11 IH Results'!$A$2:$C$302,2,0),0)+IFERROR(VLOOKUP(A559,'#10 IH Results'!$A$2:$C$302,2,0),0)+IFERROR(VLOOKUP(A559,'#9 IH Results'!$A$2:$C$302,2,0),0)+IFERROR(VLOOKUP(A559,'#8 IH Results'!$A$2:$C$302,2,0),0)+IFERROR(VLOOKUP(A559,'#7 IH Results'!$A$2:$C$302,2,0),0)+IFERROR(VLOOKUP(A559,'#6 IH Results'!$A$2:$C$302,2,0),0)+IFERROR(VLOOKUP(A559,'#5 IH Results'!$A$2:$C$303,2,0),0)+IFERROR(VLOOKUP(A559,'#4 IH Results'!$A$2:$C$300,2,0),0)+IFERROR(VLOOKUP(A559,'#3 IH Results'!$A$2:$C$101,2,0),0)+IFERROR(VLOOKUP(A559,'#2 IH Results'!$A$2:$C$101,2,0),0)+IFERROR(VLOOKUP(A559,'#1 IH Results'!$A$2:$C$101,2,0),0)+IFERROR(VLOOKUP(A559,'#0 IH Results'!$A$3:$C$102,2,0),0)</f>
        <v>0</v>
      </c>
    </row>
    <row r="560">
      <c r="B560" s="6">
        <f>IFERROR(VLOOKUP(A560,'#17 IH Results'!$A$2:$C$301,2,0),0)+IFERROR(VLOOKUP(A560,'#16 IH Results'!$A$2:$C$301,2,0),0)+IFERROR(VLOOKUP(A560,'#15 IH Results'!$A$2:$C$301,2,0),0)+IFERROR(VLOOKUP(A560,'#14 IH Results'!$A$2:$C$302,2,0),0)+IFERROR(VLOOKUP(A560,'#13 IH Results'!$A$2:$C$302,2,0),0)+IFERROR(VLOOKUP(A560,'#12 IH Results'!$A$2:$C$302,2,0),0)+IFERROR(VLOOKUP(A560,'#11 IH Results'!$A$2:$C$302,2,0),0)+IFERROR(VLOOKUP(A560,'#10 IH Results'!$A$2:$C$302,2,0),0)+IFERROR(VLOOKUP(A560,'#9 IH Results'!$A$2:$C$302,2,0),0)+IFERROR(VLOOKUP(A560,'#8 IH Results'!$A$2:$C$302,2,0),0)+IFERROR(VLOOKUP(A560,'#7 IH Results'!$A$2:$C$302,2,0),0)+IFERROR(VLOOKUP(A560,'#6 IH Results'!$A$2:$C$302,2,0),0)+IFERROR(VLOOKUP(A560,'#5 IH Results'!$A$2:$C$303,2,0),0)+IFERROR(VLOOKUP(A560,'#4 IH Results'!$A$2:$C$300,2,0),0)+IFERROR(VLOOKUP(A560,'#3 IH Results'!$A$2:$C$101,2,0),0)+IFERROR(VLOOKUP(A560,'#2 IH Results'!$A$2:$C$101,2,0),0)+IFERROR(VLOOKUP(A560,'#1 IH Results'!$A$2:$C$101,2,0),0)+IFERROR(VLOOKUP(A560,'#0 IH Results'!$A$3:$C$102,2,0),0)</f>
        <v>0</v>
      </c>
    </row>
    <row r="561">
      <c r="B561" s="6">
        <f>IFERROR(VLOOKUP(A561,'#16 IH Results'!$A$2:$C$301,2,0),0)+IFERROR(VLOOKUP(A561,'#15 IH Results'!$A$2:$C$301,2,0),0)+IFERROR(VLOOKUP(A561,'#14 IH Results'!$A$2:$C$302,2,0),0)+IFERROR(VLOOKUP(A561,'#13 IH Results'!$A$2:$C$302,2,0),0)+IFERROR(VLOOKUP(A561,'#12 IH Results'!$A$2:$C$302,2,0),0)+IFERROR(VLOOKUP(A561,'#11 IH Results'!$A$2:$C$302,2,0),0)+IFERROR(VLOOKUP(A561,'#10 IH Results'!$A$2:$C$302,2,0),0)+IFERROR(VLOOKUP(A561,'#9 IH Results'!$A$2:$C$302,2,0),0)+IFERROR(VLOOKUP(A561,'#8 IH Results'!$A$2:$C$302,2,0),0)+IFERROR(VLOOKUP(A561,'#7 IH Results'!$A$2:$C$302,2,0),0)+IFERROR(VLOOKUP(A561,'#6 IH Results'!$A$2:$C$302,2,0),0)+IFERROR(VLOOKUP(A561,'#5 IH Results'!$A$2:$C$303,2,0),0)+IFERROR(VLOOKUP(A561,'#4 IH Results'!$A$2:$C$300,2,0),0)+IFERROR(VLOOKUP(A561,'#3 IH Results'!$A$2:$C$101,2,0),0)+IFERROR(VLOOKUP(A561,'#2 IH Results'!$A$2:$C$101,2,0),0)+IFERROR(VLOOKUP(A561,'#1 IH Results'!$A$2:$C$101,2,0),0)+IFERROR(VLOOKUP(A561,'#0 IH Results'!$A$3:$C$102,2,0),0)</f>
        <v>0</v>
      </c>
    </row>
    <row r="562">
      <c r="B562" s="6">
        <f>IFERROR(VLOOKUP(A562,'#16 IH Results'!$A$2:$C$301,2,0),0)+IFERROR(VLOOKUP(A562,'#15 IH Results'!$A$2:$C$301,2,0),0)+IFERROR(VLOOKUP(A562,'#14 IH Results'!$A$2:$C$302,2,0),0)+IFERROR(VLOOKUP(A562,'#13 IH Results'!$A$2:$C$302,2,0),0)+IFERROR(VLOOKUP(A562,'#12 IH Results'!$A$2:$C$302,2,0),0)+IFERROR(VLOOKUP(A562,'#11 IH Results'!$A$2:$C$302,2,0),0)+IFERROR(VLOOKUP(A562,'#10 IH Results'!$A$2:$C$302,2,0),0)+IFERROR(VLOOKUP(A562,'#9 IH Results'!$A$2:$C$302,2,0),0)+IFERROR(VLOOKUP(A562,'#8 IH Results'!$A$2:$C$302,2,0),0)+IFERROR(VLOOKUP(A562,'#7 IH Results'!$A$2:$C$302,2,0),0)+IFERROR(VLOOKUP(A562,'#6 IH Results'!$A$2:$C$302,2,0),0)+IFERROR(VLOOKUP(A562,'#5 IH Results'!$A$2:$C$303,2,0),0)+IFERROR(VLOOKUP(A562,'#4 IH Results'!$A$2:$C$300,2,0),0)+IFERROR(VLOOKUP(A562,'#3 IH Results'!$A$2:$C$101,2,0),0)+IFERROR(VLOOKUP(A562,'#2 IH Results'!$A$2:$C$101,2,0),0)+IFERROR(VLOOKUP(A562,'#1 IH Results'!$A$2:$C$101,2,0),0)+IFERROR(VLOOKUP(A562,'#0 IH Results'!$A$3:$C$102,2,0),0)</f>
        <v>0</v>
      </c>
    </row>
    <row r="563">
      <c r="B563" s="6">
        <f>IFERROR(VLOOKUP(A563,'#16 IH Results'!$A$2:$C$301,2,0),0)+IFERROR(VLOOKUP(A563,'#15 IH Results'!$A$2:$C$301,2,0),0)+IFERROR(VLOOKUP(A563,'#14 IH Results'!$A$2:$C$302,2,0),0)+IFERROR(VLOOKUP(A563,'#13 IH Results'!$A$2:$C$302,2,0),0)+IFERROR(VLOOKUP(A563,'#12 IH Results'!$A$2:$C$302,2,0),0)+IFERROR(VLOOKUP(A563,'#11 IH Results'!$A$2:$C$302,2,0),0)+IFERROR(VLOOKUP(A563,'#10 IH Results'!$A$2:$C$302,2,0),0)+IFERROR(VLOOKUP(A563,'#9 IH Results'!$A$2:$C$302,2,0),0)+IFERROR(VLOOKUP(A563,'#8 IH Results'!$A$2:$C$302,2,0),0)+IFERROR(VLOOKUP(A563,'#7 IH Results'!$A$2:$C$302,2,0),0)+IFERROR(VLOOKUP(A563,'#6 IH Results'!$A$2:$C$302,2,0),0)+IFERROR(VLOOKUP(A563,'#5 IH Results'!$A$2:$C$303,2,0),0)+IFERROR(VLOOKUP(A563,'#4 IH Results'!$A$2:$C$300,2,0),0)+IFERROR(VLOOKUP(A563,'#3 IH Results'!$A$2:$C$101,2,0),0)+IFERROR(VLOOKUP(A563,'#2 IH Results'!$A$2:$C$101,2,0),0)+IFERROR(VLOOKUP(A563,'#1 IH Results'!$A$2:$C$101,2,0),0)+IFERROR(VLOOKUP(A563,'#0 IH Results'!$A$3:$C$102,2,0),0)</f>
        <v>0</v>
      </c>
    </row>
    <row r="564">
      <c r="B564" s="6">
        <f>IFERROR(VLOOKUP(A564,'#16 IH Results'!$A$2:$C$301,2,0),0)+IFERROR(VLOOKUP(A564,'#15 IH Results'!$A$2:$C$301,2,0),0)+IFERROR(VLOOKUP(A564,'#14 IH Results'!$A$2:$C$302,2,0),0)+IFERROR(VLOOKUP(A564,'#13 IH Results'!$A$2:$C$302,2,0),0)+IFERROR(VLOOKUP(A564,'#12 IH Results'!$A$2:$C$302,2,0),0)+IFERROR(VLOOKUP(A564,'#11 IH Results'!$A$2:$C$302,2,0),0)+IFERROR(VLOOKUP(A564,'#10 IH Results'!$A$2:$C$302,2,0),0)+IFERROR(VLOOKUP(A564,'#9 IH Results'!$A$2:$C$302,2,0),0)+IFERROR(VLOOKUP(A564,'#8 IH Results'!$A$2:$C$302,2,0),0)+IFERROR(VLOOKUP(A564,'#7 IH Results'!$A$2:$C$302,2,0),0)+IFERROR(VLOOKUP(A564,'#6 IH Results'!$A$2:$C$302,2,0),0)+IFERROR(VLOOKUP(A564,'#5 IH Results'!$A$2:$C$303,2,0),0)+IFERROR(VLOOKUP(A564,'#4 IH Results'!$A$2:$C$300,2,0),0)+IFERROR(VLOOKUP(A564,'#3 IH Results'!$A$2:$C$101,2,0),0)+IFERROR(VLOOKUP(A564,'#2 IH Results'!$A$2:$C$101,2,0),0)+IFERROR(VLOOKUP(A564,'#1 IH Results'!$A$2:$C$101,2,0),0)+IFERROR(VLOOKUP(A564,'#0 IH Results'!$A$3:$C$102,2,0),0)</f>
        <v>0</v>
      </c>
    </row>
    <row r="565">
      <c r="B565" s="6">
        <f>IFERROR(VLOOKUP(A565,'#16 IH Results'!$A$2:$C$301,2,0),0)+IFERROR(VLOOKUP(A565,'#15 IH Results'!$A$2:$C$301,2,0),0)+IFERROR(VLOOKUP(A565,'#14 IH Results'!$A$2:$C$302,2,0),0)+IFERROR(VLOOKUP(A565,'#13 IH Results'!$A$2:$C$302,2,0),0)+IFERROR(VLOOKUP(A565,'#12 IH Results'!$A$2:$C$302,2,0),0)+IFERROR(VLOOKUP(A565,'#11 IH Results'!$A$2:$C$302,2,0),0)+IFERROR(VLOOKUP(A565,'#10 IH Results'!$A$2:$C$302,2,0),0)+IFERROR(VLOOKUP(A565,'#9 IH Results'!$A$2:$C$302,2,0),0)+IFERROR(VLOOKUP(A565,'#8 IH Results'!$A$2:$C$302,2,0),0)+IFERROR(VLOOKUP(A565,'#7 IH Results'!$A$2:$C$302,2,0),0)+IFERROR(VLOOKUP(A565,'#6 IH Results'!$A$2:$C$302,2,0),0)+IFERROR(VLOOKUP(A565,'#5 IH Results'!$A$2:$C$303,2,0),0)+IFERROR(VLOOKUP(A565,'#4 IH Results'!$A$2:$C$300,2,0),0)+IFERROR(VLOOKUP(A565,'#3 IH Results'!$A$2:$C$101,2,0),0)+IFERROR(VLOOKUP(A565,'#2 IH Results'!$A$2:$C$101,2,0),0)+IFERROR(VLOOKUP(A565,'#1 IH Results'!$A$2:$C$101,2,0),0)+IFERROR(VLOOKUP(A565,'#0 IH Results'!$A$3:$C$102,2,0),0)</f>
        <v>0</v>
      </c>
    </row>
    <row r="566">
      <c r="B566" s="6">
        <f>IFERROR(VLOOKUP(A566,'#16 IH Results'!$A$2:$C$301,2,0),0)+IFERROR(VLOOKUP(A566,'#15 IH Results'!$A$2:$C$301,2,0),0)+IFERROR(VLOOKUP(A566,'#14 IH Results'!$A$2:$C$302,2,0),0)+IFERROR(VLOOKUP(A566,'#13 IH Results'!$A$2:$C$302,2,0),0)+IFERROR(VLOOKUP(A566,'#12 IH Results'!$A$2:$C$302,2,0),0)+IFERROR(VLOOKUP(A566,'#11 IH Results'!$A$2:$C$302,2,0),0)+IFERROR(VLOOKUP(A566,'#10 IH Results'!$A$2:$C$302,2,0),0)+IFERROR(VLOOKUP(A566,'#9 IH Results'!$A$2:$C$302,2,0),0)+IFERROR(VLOOKUP(A566,'#8 IH Results'!$A$2:$C$302,2,0),0)+IFERROR(VLOOKUP(A566,'#7 IH Results'!$A$2:$C$302,2,0),0)+IFERROR(VLOOKUP(A566,'#6 IH Results'!$A$2:$C$302,2,0),0)+IFERROR(VLOOKUP(A566,'#5 IH Results'!$A$2:$C$303,2,0),0)+IFERROR(VLOOKUP(A566,'#4 IH Results'!$A$2:$C$300,2,0),0)+IFERROR(VLOOKUP(A566,'#3 IH Results'!$A$2:$C$101,2,0),0)+IFERROR(VLOOKUP(A566,'#2 IH Results'!$A$2:$C$101,2,0),0)+IFERROR(VLOOKUP(A566,'#1 IH Results'!$A$2:$C$101,2,0),0)+IFERROR(VLOOKUP(A566,'#0 IH Results'!$A$3:$C$102,2,0),0)</f>
        <v>0</v>
      </c>
    </row>
    <row r="567">
      <c r="B567" s="6">
        <f>IFERROR(VLOOKUP(A567,'#16 IH Results'!$A$2:$C$301,2,0),0)+IFERROR(VLOOKUP(A567,'#15 IH Results'!$A$2:$C$301,2,0),0)+IFERROR(VLOOKUP(A567,'#14 IH Results'!$A$2:$C$302,2,0),0)+IFERROR(VLOOKUP(A567,'#13 IH Results'!$A$2:$C$302,2,0),0)+IFERROR(VLOOKUP(A567,'#12 IH Results'!$A$2:$C$302,2,0),0)+IFERROR(VLOOKUP(A567,'#11 IH Results'!$A$2:$C$302,2,0),0)+IFERROR(VLOOKUP(A567,'#10 IH Results'!$A$2:$C$302,2,0),0)+IFERROR(VLOOKUP(A567,'#9 IH Results'!$A$2:$C$302,2,0),0)+IFERROR(VLOOKUP(A567,'#8 IH Results'!$A$2:$C$302,2,0),0)+IFERROR(VLOOKUP(A567,'#7 IH Results'!$A$2:$C$302,2,0),0)+IFERROR(VLOOKUP(A567,'#6 IH Results'!$A$2:$C$302,2,0),0)+IFERROR(VLOOKUP(A567,'#5 IH Results'!$A$2:$C$303,2,0),0)+IFERROR(VLOOKUP(A567,'#4 IH Results'!$A$2:$C$300,2,0),0)+IFERROR(VLOOKUP(A567,'#3 IH Results'!$A$2:$C$101,2,0),0)+IFERROR(VLOOKUP(A567,'#2 IH Results'!$A$2:$C$101,2,0),0)+IFERROR(VLOOKUP(A567,'#1 IH Results'!$A$2:$C$101,2,0),0)+IFERROR(VLOOKUP(A567,'#0 IH Results'!$A$3:$C$102,2,0),0)</f>
        <v>0</v>
      </c>
    </row>
    <row r="568">
      <c r="B568" s="6">
        <f>IFERROR(VLOOKUP(A568,'#16 IH Results'!$A$2:$C$301,2,0),0)+IFERROR(VLOOKUP(A568,'#15 IH Results'!$A$2:$C$301,2,0),0)+IFERROR(VLOOKUP(A568,'#14 IH Results'!$A$2:$C$302,2,0),0)+IFERROR(VLOOKUP(A568,'#13 IH Results'!$A$2:$C$302,2,0),0)+IFERROR(VLOOKUP(A568,'#12 IH Results'!$A$2:$C$302,2,0),0)+IFERROR(VLOOKUP(A568,'#11 IH Results'!$A$2:$C$302,2,0),0)+IFERROR(VLOOKUP(A568,'#10 IH Results'!$A$2:$C$302,2,0),0)+IFERROR(VLOOKUP(A568,'#9 IH Results'!$A$2:$C$302,2,0),0)+IFERROR(VLOOKUP(A568,'#8 IH Results'!$A$2:$C$302,2,0),0)+IFERROR(VLOOKUP(A568,'#7 IH Results'!$A$2:$C$302,2,0),0)+IFERROR(VLOOKUP(A568,'#6 IH Results'!$A$2:$C$302,2,0),0)+IFERROR(VLOOKUP(A568,'#5 IH Results'!$A$2:$C$303,2,0),0)+IFERROR(VLOOKUP(A568,'#4 IH Results'!$A$2:$C$300,2,0),0)+IFERROR(VLOOKUP(A568,'#3 IH Results'!$A$2:$C$101,2,0),0)+IFERROR(VLOOKUP(A568,'#2 IH Results'!$A$2:$C$101,2,0),0)+IFERROR(VLOOKUP(A568,'#1 IH Results'!$A$2:$C$101,2,0),0)+IFERROR(VLOOKUP(A568,'#0 IH Results'!$A$3:$C$102,2,0),0)</f>
        <v>0</v>
      </c>
    </row>
    <row r="569">
      <c r="B569" s="6">
        <f>IFERROR(VLOOKUP(A569,'#16 IH Results'!$A$2:$C$301,2,0),0)+IFERROR(VLOOKUP(A569,'#15 IH Results'!$A$2:$C$301,2,0),0)+IFERROR(VLOOKUP(A569,'#14 IH Results'!$A$2:$C$302,2,0),0)+IFERROR(VLOOKUP(A569,'#13 IH Results'!$A$2:$C$302,2,0),0)+IFERROR(VLOOKUP(A569,'#12 IH Results'!$A$2:$C$302,2,0),0)+IFERROR(VLOOKUP(A569,'#11 IH Results'!$A$2:$C$302,2,0),0)+IFERROR(VLOOKUP(A569,'#10 IH Results'!$A$2:$C$302,2,0),0)+IFERROR(VLOOKUP(A569,'#9 IH Results'!$A$2:$C$302,2,0),0)+IFERROR(VLOOKUP(A569,'#8 IH Results'!$A$2:$C$302,2,0),0)+IFERROR(VLOOKUP(A569,'#7 IH Results'!$A$2:$C$302,2,0),0)+IFERROR(VLOOKUP(A569,'#6 IH Results'!$A$2:$C$302,2,0),0)+IFERROR(VLOOKUP(A569,'#5 IH Results'!$A$2:$C$303,2,0),0)+IFERROR(VLOOKUP(A569,'#4 IH Results'!$A$2:$C$300,2,0),0)+IFERROR(VLOOKUP(A569,'#3 IH Results'!$A$2:$C$101,2,0),0)+IFERROR(VLOOKUP(A569,'#2 IH Results'!$A$2:$C$101,2,0),0)+IFERROR(VLOOKUP(A569,'#1 IH Results'!$A$2:$C$101,2,0),0)+IFERROR(VLOOKUP(A569,'#0 IH Results'!$A$3:$C$102,2,0),0)</f>
        <v>0</v>
      </c>
    </row>
    <row r="570">
      <c r="B570" s="6">
        <f>IFERROR(VLOOKUP(A570,'#16 IH Results'!$A$2:$C$301,2,0),0)+IFERROR(VLOOKUP(A570,'#15 IH Results'!$A$2:$C$301,2,0),0)+IFERROR(VLOOKUP(A570,'#14 IH Results'!$A$2:$C$302,2,0),0)+IFERROR(VLOOKUP(A570,'#13 IH Results'!$A$2:$C$302,2,0),0)+IFERROR(VLOOKUP(A570,'#12 IH Results'!$A$2:$C$302,2,0),0)+IFERROR(VLOOKUP(A570,'#11 IH Results'!$A$2:$C$302,2,0),0)+IFERROR(VLOOKUP(A570,'#10 IH Results'!$A$2:$C$302,2,0),0)+IFERROR(VLOOKUP(A570,'#9 IH Results'!$A$2:$C$302,2,0),0)+IFERROR(VLOOKUP(A570,'#8 IH Results'!$A$2:$C$302,2,0),0)+IFERROR(VLOOKUP(A570,'#7 IH Results'!$A$2:$C$302,2,0),0)+IFERROR(VLOOKUP(A570,'#6 IH Results'!$A$2:$C$302,2,0),0)+IFERROR(VLOOKUP(A570,'#5 IH Results'!$A$2:$C$303,2,0),0)+IFERROR(VLOOKUP(A570,'#4 IH Results'!$A$2:$C$300,2,0),0)+IFERROR(VLOOKUP(A570,'#3 IH Results'!$A$2:$C$101,2,0),0)+IFERROR(VLOOKUP(A570,'#2 IH Results'!$A$2:$C$101,2,0),0)+IFERROR(VLOOKUP(A570,'#1 IH Results'!$A$2:$C$101,2,0),0)+IFERROR(VLOOKUP(A570,'#0 IH Results'!$A$3:$C$102,2,0),0)</f>
        <v>0</v>
      </c>
    </row>
    <row r="571">
      <c r="B571" s="6">
        <f>IFERROR(VLOOKUP(A571,'#16 IH Results'!$A$2:$C$301,2,0),0)+IFERROR(VLOOKUP(A571,'#15 IH Results'!$A$2:$C$301,2,0),0)+IFERROR(VLOOKUP(A571,'#14 IH Results'!$A$2:$C$302,2,0),0)+IFERROR(VLOOKUP(A571,'#13 IH Results'!$A$2:$C$302,2,0),0)+IFERROR(VLOOKUP(A571,'#12 IH Results'!$A$2:$C$302,2,0),0)+IFERROR(VLOOKUP(A571,'#11 IH Results'!$A$2:$C$302,2,0),0)+IFERROR(VLOOKUP(A571,'#10 IH Results'!$A$2:$C$302,2,0),0)+IFERROR(VLOOKUP(A571,'#9 IH Results'!$A$2:$C$302,2,0),0)+IFERROR(VLOOKUP(A571,'#8 IH Results'!$A$2:$C$302,2,0),0)+IFERROR(VLOOKUP(A571,'#7 IH Results'!$A$2:$C$302,2,0),0)+IFERROR(VLOOKUP(A571,'#6 IH Results'!$A$2:$C$302,2,0),0)+IFERROR(VLOOKUP(A571,'#5 IH Results'!$A$2:$C$303,2,0),0)+IFERROR(VLOOKUP(A571,'#4 IH Results'!$A$2:$C$300,2,0),0)+IFERROR(VLOOKUP(A571,'#3 IH Results'!$A$2:$C$101,2,0),0)+IFERROR(VLOOKUP(A571,'#2 IH Results'!$A$2:$C$101,2,0),0)+IFERROR(VLOOKUP(A571,'#1 IH Results'!$A$2:$C$101,2,0),0)+IFERROR(VLOOKUP(A571,'#0 IH Results'!$A$3:$C$102,2,0),0)</f>
        <v>0</v>
      </c>
    </row>
    <row r="572">
      <c r="B572" s="6">
        <f>IFERROR(VLOOKUP(A572,'#16 IH Results'!$A$2:$C$301,2,0),0)+IFERROR(VLOOKUP(A572,'#15 IH Results'!$A$2:$C$301,2,0),0)+IFERROR(VLOOKUP(A572,'#14 IH Results'!$A$2:$C$302,2,0),0)+IFERROR(VLOOKUP(A572,'#13 IH Results'!$A$2:$C$302,2,0),0)+IFERROR(VLOOKUP(A572,'#12 IH Results'!$A$2:$C$302,2,0),0)+IFERROR(VLOOKUP(A572,'#11 IH Results'!$A$2:$C$302,2,0),0)+IFERROR(VLOOKUP(A572,'#10 IH Results'!$A$2:$C$302,2,0),0)+IFERROR(VLOOKUP(A572,'#9 IH Results'!$A$2:$C$302,2,0),0)+IFERROR(VLOOKUP(A572,'#8 IH Results'!$A$2:$C$302,2,0),0)+IFERROR(VLOOKUP(A572,'#7 IH Results'!$A$2:$C$302,2,0),0)+IFERROR(VLOOKUP(A572,'#6 IH Results'!$A$2:$C$302,2,0),0)+IFERROR(VLOOKUP(A572,'#5 IH Results'!$A$2:$C$303,2,0),0)+IFERROR(VLOOKUP(A572,'#4 IH Results'!$A$2:$C$300,2,0),0)+IFERROR(VLOOKUP(A572,'#3 IH Results'!$A$2:$C$101,2,0),0)+IFERROR(VLOOKUP(A572,'#2 IH Results'!$A$2:$C$101,2,0),0)+IFERROR(VLOOKUP(A572,'#1 IH Results'!$A$2:$C$101,2,0),0)+IFERROR(VLOOKUP(A572,'#0 IH Results'!$A$3:$C$102,2,0),0)</f>
        <v>0</v>
      </c>
    </row>
    <row r="573">
      <c r="B573" s="6">
        <f>IFERROR(VLOOKUP(A573,'#16 IH Results'!$A$2:$C$301,2,0),0)+IFERROR(VLOOKUP(A573,'#15 IH Results'!$A$2:$C$301,2,0),0)+IFERROR(VLOOKUP(A573,'#14 IH Results'!$A$2:$C$302,2,0),0)+IFERROR(VLOOKUP(A573,'#13 IH Results'!$A$2:$C$302,2,0),0)+IFERROR(VLOOKUP(A573,'#12 IH Results'!$A$2:$C$302,2,0),0)+IFERROR(VLOOKUP(A573,'#11 IH Results'!$A$2:$C$302,2,0),0)+IFERROR(VLOOKUP(A573,'#10 IH Results'!$A$2:$C$302,2,0),0)+IFERROR(VLOOKUP(A573,'#9 IH Results'!$A$2:$C$302,2,0),0)+IFERROR(VLOOKUP(A573,'#8 IH Results'!$A$2:$C$302,2,0),0)+IFERROR(VLOOKUP(A573,'#7 IH Results'!$A$2:$C$302,2,0),0)+IFERROR(VLOOKUP(A573,'#6 IH Results'!$A$2:$C$302,2,0),0)+IFERROR(VLOOKUP(A573,'#5 IH Results'!$A$2:$C$303,2,0),0)+IFERROR(VLOOKUP(A573,'#4 IH Results'!$A$2:$C$300,2,0),0)+IFERROR(VLOOKUP(A573,'#3 IH Results'!$A$2:$C$101,2,0),0)+IFERROR(VLOOKUP(A573,'#2 IH Results'!$A$2:$C$101,2,0),0)+IFERROR(VLOOKUP(A573,'#1 IH Results'!$A$2:$C$101,2,0),0)+IFERROR(VLOOKUP(A573,'#0 IH Results'!$A$3:$C$102,2,0),0)</f>
        <v>0</v>
      </c>
    </row>
    <row r="574">
      <c r="B574" s="6">
        <f>IFERROR(VLOOKUP(A574,'#16 IH Results'!$A$2:$C$301,2,0),0)+IFERROR(VLOOKUP(A574,'#15 IH Results'!$A$2:$C$301,2,0),0)+IFERROR(VLOOKUP(A574,'#14 IH Results'!$A$2:$C$302,2,0),0)+IFERROR(VLOOKUP(A574,'#13 IH Results'!$A$2:$C$302,2,0),0)+IFERROR(VLOOKUP(A574,'#12 IH Results'!$A$2:$C$302,2,0),0)+IFERROR(VLOOKUP(A574,'#11 IH Results'!$A$2:$C$302,2,0),0)+IFERROR(VLOOKUP(A574,'#10 IH Results'!$A$2:$C$302,2,0),0)+IFERROR(VLOOKUP(A574,'#9 IH Results'!$A$2:$C$302,2,0),0)+IFERROR(VLOOKUP(A574,'#8 IH Results'!$A$2:$C$302,2,0),0)+IFERROR(VLOOKUP(A574,'#7 IH Results'!$A$2:$C$302,2,0),0)+IFERROR(VLOOKUP(A574,'#6 IH Results'!$A$2:$C$302,2,0),0)+IFERROR(VLOOKUP(A574,'#5 IH Results'!$A$2:$C$303,2,0),0)+IFERROR(VLOOKUP(A574,'#4 IH Results'!$A$2:$C$300,2,0),0)+IFERROR(VLOOKUP(A574,'#3 IH Results'!$A$2:$C$101,2,0),0)+IFERROR(VLOOKUP(A574,'#2 IH Results'!$A$2:$C$101,2,0),0)+IFERROR(VLOOKUP(A574,'#1 IH Results'!$A$2:$C$101,2,0),0)+IFERROR(VLOOKUP(A574,'#0 IH Results'!$A$3:$C$102,2,0),0)</f>
        <v>0</v>
      </c>
    </row>
    <row r="575">
      <c r="B575" s="6">
        <f>IFERROR(VLOOKUP(A575,'#16 IH Results'!$A$2:$C$301,2,0),0)+IFERROR(VLOOKUP(A575,'#15 IH Results'!$A$2:$C$301,2,0),0)+IFERROR(VLOOKUP(A575,'#14 IH Results'!$A$2:$C$302,2,0),0)+IFERROR(VLOOKUP(A575,'#13 IH Results'!$A$2:$C$302,2,0),0)+IFERROR(VLOOKUP(A575,'#12 IH Results'!$A$2:$C$302,2,0),0)+IFERROR(VLOOKUP(A575,'#11 IH Results'!$A$2:$C$302,2,0),0)+IFERROR(VLOOKUP(A575,'#10 IH Results'!$A$2:$C$302,2,0),0)+IFERROR(VLOOKUP(A575,'#9 IH Results'!$A$2:$C$302,2,0),0)+IFERROR(VLOOKUP(A575,'#8 IH Results'!$A$2:$C$302,2,0),0)+IFERROR(VLOOKUP(A575,'#7 IH Results'!$A$2:$C$302,2,0),0)+IFERROR(VLOOKUP(A575,'#6 IH Results'!$A$2:$C$302,2,0),0)+IFERROR(VLOOKUP(A575,'#5 IH Results'!$A$2:$C$303,2,0),0)+IFERROR(VLOOKUP(A575,'#4 IH Results'!$A$2:$C$300,2,0),0)+IFERROR(VLOOKUP(A575,'#3 IH Results'!$A$2:$C$101,2,0),0)+IFERROR(VLOOKUP(A575,'#2 IH Results'!$A$2:$C$101,2,0),0)+IFERROR(VLOOKUP(A575,'#1 IH Results'!$A$2:$C$101,2,0),0)+IFERROR(VLOOKUP(A575,'#0 IH Results'!$A$3:$C$102,2,0),0)</f>
        <v>0</v>
      </c>
    </row>
    <row r="576">
      <c r="B576" s="6">
        <f>IFERROR(VLOOKUP(A576,'#16 IH Results'!$A$2:$C$301,2,0),0)+IFERROR(VLOOKUP(A576,'#15 IH Results'!$A$2:$C$301,2,0),0)+IFERROR(VLOOKUP(A576,'#14 IH Results'!$A$2:$C$302,2,0),0)+IFERROR(VLOOKUP(A576,'#13 IH Results'!$A$2:$C$302,2,0),0)+IFERROR(VLOOKUP(A576,'#12 IH Results'!$A$2:$C$302,2,0),0)+IFERROR(VLOOKUP(A576,'#11 IH Results'!$A$2:$C$302,2,0),0)+IFERROR(VLOOKUP(A576,'#10 IH Results'!$A$2:$C$302,2,0),0)+IFERROR(VLOOKUP(A576,'#9 IH Results'!$A$2:$C$302,2,0),0)+IFERROR(VLOOKUP(A576,'#8 IH Results'!$A$2:$C$302,2,0),0)+IFERROR(VLOOKUP(A576,'#7 IH Results'!$A$2:$C$302,2,0),0)+IFERROR(VLOOKUP(A576,'#6 IH Results'!$A$2:$C$302,2,0),0)+IFERROR(VLOOKUP(A576,'#5 IH Results'!$A$2:$C$303,2,0),0)+IFERROR(VLOOKUP(A576,'#4 IH Results'!$A$2:$C$300,2,0),0)+IFERROR(VLOOKUP(A576,'#3 IH Results'!$A$2:$C$101,2,0),0)+IFERROR(VLOOKUP(A576,'#2 IH Results'!$A$2:$C$101,2,0),0)+IFERROR(VLOOKUP(A576,'#1 IH Results'!$A$2:$C$101,2,0),0)+IFERROR(VLOOKUP(A576,'#0 IH Results'!$A$3:$C$102,2,0),0)</f>
        <v>0</v>
      </c>
    </row>
    <row r="577">
      <c r="B577" s="6">
        <f>IFERROR(VLOOKUP(A577,'#16 IH Results'!$A$2:$C$301,2,0),0)+IFERROR(VLOOKUP(A577,'#15 IH Results'!$A$2:$C$301,2,0),0)+IFERROR(VLOOKUP(A577,'#14 IH Results'!$A$2:$C$302,2,0),0)+IFERROR(VLOOKUP(A577,'#13 IH Results'!$A$2:$C$302,2,0),0)+IFERROR(VLOOKUP(A577,'#12 IH Results'!$A$2:$C$302,2,0),0)+IFERROR(VLOOKUP(A577,'#11 IH Results'!$A$2:$C$302,2,0),0)+IFERROR(VLOOKUP(A577,'#10 IH Results'!$A$2:$C$302,2,0),0)+IFERROR(VLOOKUP(A577,'#9 IH Results'!$A$2:$C$302,2,0),0)+IFERROR(VLOOKUP(A577,'#8 IH Results'!$A$2:$C$302,2,0),0)+IFERROR(VLOOKUP(A577,'#7 IH Results'!$A$2:$C$302,2,0),0)+IFERROR(VLOOKUP(A577,'#6 IH Results'!$A$2:$C$302,2,0),0)+IFERROR(VLOOKUP(A577,'#5 IH Results'!$A$2:$C$303,2,0),0)+IFERROR(VLOOKUP(A577,'#4 IH Results'!$A$2:$C$300,2,0),0)+IFERROR(VLOOKUP(A577,'#3 IH Results'!$A$2:$C$101,2,0),0)+IFERROR(VLOOKUP(A577,'#2 IH Results'!$A$2:$C$101,2,0),0)+IFERROR(VLOOKUP(A577,'#1 IH Results'!$A$2:$C$101,2,0),0)+IFERROR(VLOOKUP(A577,'#0 IH Results'!$A$3:$C$102,2,0),0)</f>
        <v>0</v>
      </c>
    </row>
    <row r="578">
      <c r="B578" s="6">
        <f>IFERROR(VLOOKUP(A578,'#16 IH Results'!$A$2:$C$301,2,0),0)+IFERROR(VLOOKUP(A578,'#15 IH Results'!$A$2:$C$301,2,0),0)+IFERROR(VLOOKUP(A578,'#14 IH Results'!$A$2:$C$302,2,0),0)+IFERROR(VLOOKUP(A578,'#13 IH Results'!$A$2:$C$302,2,0),0)+IFERROR(VLOOKUP(A578,'#12 IH Results'!$A$2:$C$302,2,0),0)+IFERROR(VLOOKUP(A578,'#11 IH Results'!$A$2:$C$302,2,0),0)+IFERROR(VLOOKUP(A578,'#10 IH Results'!$A$2:$C$302,2,0),0)+IFERROR(VLOOKUP(A578,'#9 IH Results'!$A$2:$C$302,2,0),0)+IFERROR(VLOOKUP(A578,'#8 IH Results'!$A$2:$C$302,2,0),0)+IFERROR(VLOOKUP(A578,'#7 IH Results'!$A$2:$C$302,2,0),0)+IFERROR(VLOOKUP(A578,'#6 IH Results'!$A$2:$C$302,2,0),0)+IFERROR(VLOOKUP(A578,'#5 IH Results'!$A$2:$C$303,2,0),0)+IFERROR(VLOOKUP(A578,'#4 IH Results'!$A$2:$C$300,2,0),0)+IFERROR(VLOOKUP(A578,'#3 IH Results'!$A$2:$C$101,2,0),0)+IFERROR(VLOOKUP(A578,'#2 IH Results'!$A$2:$C$101,2,0),0)+IFERROR(VLOOKUP(A578,'#1 IH Results'!$A$2:$C$101,2,0),0)+IFERROR(VLOOKUP(A578,'#0 IH Results'!$A$3:$C$102,2,0),0)</f>
        <v>0</v>
      </c>
    </row>
    <row r="579">
      <c r="B579" s="6">
        <f>IFERROR(VLOOKUP(A579,'#16 IH Results'!$A$2:$C$301,2,0),0)+IFERROR(VLOOKUP(A579,'#15 IH Results'!$A$2:$C$301,2,0),0)+IFERROR(VLOOKUP(A579,'#14 IH Results'!$A$2:$C$302,2,0),0)+IFERROR(VLOOKUP(A579,'#13 IH Results'!$A$2:$C$302,2,0),0)+IFERROR(VLOOKUP(A579,'#12 IH Results'!$A$2:$C$302,2,0),0)+IFERROR(VLOOKUP(A579,'#11 IH Results'!$A$2:$C$302,2,0),0)+IFERROR(VLOOKUP(A579,'#10 IH Results'!$A$2:$C$302,2,0),0)+IFERROR(VLOOKUP(A579,'#9 IH Results'!$A$2:$C$302,2,0),0)+IFERROR(VLOOKUP(A579,'#8 IH Results'!$A$2:$C$302,2,0),0)+IFERROR(VLOOKUP(A579,'#7 IH Results'!$A$2:$C$302,2,0),0)+IFERROR(VLOOKUP(A579,'#6 IH Results'!$A$2:$C$302,2,0),0)+IFERROR(VLOOKUP(A579,'#5 IH Results'!$A$2:$C$303,2,0),0)+IFERROR(VLOOKUP(A579,'#4 IH Results'!$A$2:$C$300,2,0),0)+IFERROR(VLOOKUP(A579,'#3 IH Results'!$A$2:$C$101,2,0),0)+IFERROR(VLOOKUP(A579,'#2 IH Results'!$A$2:$C$101,2,0),0)+IFERROR(VLOOKUP(A579,'#1 IH Results'!$A$2:$C$101,2,0),0)+IFERROR(VLOOKUP(A579,'#0 IH Results'!$A$3:$C$102,2,0),0)</f>
        <v>0</v>
      </c>
    </row>
    <row r="580">
      <c r="B580" s="6">
        <f>IFERROR(VLOOKUP(A580,'#16 IH Results'!$A$2:$C$301,2,0),0)+IFERROR(VLOOKUP(A580,'#15 IH Results'!$A$2:$C$301,2,0),0)+IFERROR(VLOOKUP(A580,'#14 IH Results'!$A$2:$C$302,2,0),0)+IFERROR(VLOOKUP(A580,'#13 IH Results'!$A$2:$C$302,2,0),0)+IFERROR(VLOOKUP(A580,'#12 IH Results'!$A$2:$C$302,2,0),0)+IFERROR(VLOOKUP(A580,'#11 IH Results'!$A$2:$C$302,2,0),0)+IFERROR(VLOOKUP(A580,'#10 IH Results'!$A$2:$C$302,2,0),0)+IFERROR(VLOOKUP(A580,'#9 IH Results'!$A$2:$C$302,2,0),0)+IFERROR(VLOOKUP(A580,'#8 IH Results'!$A$2:$C$302,2,0),0)+IFERROR(VLOOKUP(A580,'#7 IH Results'!$A$2:$C$302,2,0),0)+IFERROR(VLOOKUP(A580,'#6 IH Results'!$A$2:$C$302,2,0),0)+IFERROR(VLOOKUP(A580,'#5 IH Results'!$A$2:$C$303,2,0),0)+IFERROR(VLOOKUP(A580,'#4 IH Results'!$A$2:$C$300,2,0),0)+IFERROR(VLOOKUP(A580,'#3 IH Results'!$A$2:$C$101,2,0),0)+IFERROR(VLOOKUP(A580,'#2 IH Results'!$A$2:$C$101,2,0),0)+IFERROR(VLOOKUP(A580,'#1 IH Results'!$A$2:$C$101,2,0),0)+IFERROR(VLOOKUP(A580,'#0 IH Results'!$A$3:$C$102,2,0),0)</f>
        <v>0</v>
      </c>
    </row>
    <row r="581">
      <c r="B581" s="6">
        <f>IFERROR(VLOOKUP(A581,'#16 IH Results'!$A$2:$C$301,2,0),0)+IFERROR(VLOOKUP(A581,'#15 IH Results'!$A$2:$C$301,2,0),0)+IFERROR(VLOOKUP(A581,'#14 IH Results'!$A$2:$C$302,2,0),0)+IFERROR(VLOOKUP(A581,'#13 IH Results'!$A$2:$C$302,2,0),0)+IFERROR(VLOOKUP(A581,'#12 IH Results'!$A$2:$C$302,2,0),0)+IFERROR(VLOOKUP(A581,'#11 IH Results'!$A$2:$C$302,2,0),0)+IFERROR(VLOOKUP(A581,'#10 IH Results'!$A$2:$C$302,2,0),0)+IFERROR(VLOOKUP(A581,'#9 IH Results'!$A$2:$C$302,2,0),0)+IFERROR(VLOOKUP(A581,'#8 IH Results'!$A$2:$C$302,2,0),0)+IFERROR(VLOOKUP(A581,'#7 IH Results'!$A$2:$C$302,2,0),0)+IFERROR(VLOOKUP(A581,'#6 IH Results'!$A$2:$C$302,2,0),0)+IFERROR(VLOOKUP(A581,'#5 IH Results'!$A$2:$C$303,2,0),0)+IFERROR(VLOOKUP(A581,'#4 IH Results'!$A$2:$C$300,2,0),0)+IFERROR(VLOOKUP(A581,'#3 IH Results'!$A$2:$C$101,2,0),0)+IFERROR(VLOOKUP(A581,'#2 IH Results'!$A$2:$C$101,2,0),0)+IFERROR(VLOOKUP(A581,'#1 IH Results'!$A$2:$C$101,2,0),0)+IFERROR(VLOOKUP(A581,'#0 IH Results'!$A$3:$C$102,2,0),0)</f>
        <v>0</v>
      </c>
    </row>
    <row r="582">
      <c r="B582" s="6">
        <f>IFERROR(VLOOKUP(A582,'#16 IH Results'!$A$2:$C$301,2,0),0)+IFERROR(VLOOKUP(A582,'#15 IH Results'!$A$2:$C$301,2,0),0)+IFERROR(VLOOKUP(A582,'#14 IH Results'!$A$2:$C$302,2,0),0)+IFERROR(VLOOKUP(A582,'#13 IH Results'!$A$2:$C$302,2,0),0)+IFERROR(VLOOKUP(A582,'#12 IH Results'!$A$2:$C$302,2,0),0)+IFERROR(VLOOKUP(A582,'#11 IH Results'!$A$2:$C$302,2,0),0)+IFERROR(VLOOKUP(A582,'#10 IH Results'!$A$2:$C$302,2,0),0)+IFERROR(VLOOKUP(A582,'#9 IH Results'!$A$2:$C$302,2,0),0)+IFERROR(VLOOKUP(A582,'#8 IH Results'!$A$2:$C$302,2,0),0)+IFERROR(VLOOKUP(A582,'#7 IH Results'!$A$2:$C$302,2,0),0)+IFERROR(VLOOKUP(A582,'#6 IH Results'!$A$2:$C$302,2,0),0)+IFERROR(VLOOKUP(A582,'#5 IH Results'!$A$2:$C$303,2,0),0)+IFERROR(VLOOKUP(A582,'#4 IH Results'!$A$2:$C$300,2,0),0)+IFERROR(VLOOKUP(A582,'#3 IH Results'!$A$2:$C$101,2,0),0)+IFERROR(VLOOKUP(A582,'#2 IH Results'!$A$2:$C$101,2,0),0)+IFERROR(VLOOKUP(A582,'#1 IH Results'!$A$2:$C$101,2,0),0)+IFERROR(VLOOKUP(A582,'#0 IH Results'!$A$3:$C$102,2,0),0)</f>
        <v>0</v>
      </c>
    </row>
    <row r="583">
      <c r="B583" s="6">
        <f>IFERROR(VLOOKUP(A583,'#16 IH Results'!$A$2:$C$301,2,0),0)+IFERROR(VLOOKUP(A583,'#15 IH Results'!$A$2:$C$301,2,0),0)+IFERROR(VLOOKUP(A583,'#14 IH Results'!$A$2:$C$302,2,0),0)+IFERROR(VLOOKUP(A583,'#13 IH Results'!$A$2:$C$302,2,0),0)+IFERROR(VLOOKUP(A583,'#12 IH Results'!$A$2:$C$302,2,0),0)+IFERROR(VLOOKUP(A583,'#11 IH Results'!$A$2:$C$302,2,0),0)+IFERROR(VLOOKUP(A583,'#10 IH Results'!$A$2:$C$302,2,0),0)+IFERROR(VLOOKUP(A583,'#9 IH Results'!$A$2:$C$302,2,0),0)+IFERROR(VLOOKUP(A583,'#8 IH Results'!$A$2:$C$302,2,0),0)+IFERROR(VLOOKUP(A583,'#7 IH Results'!$A$2:$C$302,2,0),0)+IFERROR(VLOOKUP(A583,'#6 IH Results'!$A$2:$C$302,2,0),0)+IFERROR(VLOOKUP(A583,'#5 IH Results'!$A$2:$C$303,2,0),0)+IFERROR(VLOOKUP(A583,'#4 IH Results'!$A$2:$C$300,2,0),0)+IFERROR(VLOOKUP(A583,'#3 IH Results'!$A$2:$C$101,2,0),0)+IFERROR(VLOOKUP(A583,'#2 IH Results'!$A$2:$C$101,2,0),0)+IFERROR(VLOOKUP(A583,'#1 IH Results'!$A$2:$C$101,2,0),0)+IFERROR(VLOOKUP(A583,'#0 IH Results'!$A$3:$C$102,2,0),0)</f>
        <v>0</v>
      </c>
    </row>
    <row r="584">
      <c r="B584" s="6">
        <f>IFERROR(VLOOKUP(A584,'#16 IH Results'!$A$2:$C$301,2,0),0)+IFERROR(VLOOKUP(A584,'#15 IH Results'!$A$2:$C$301,2,0),0)+IFERROR(VLOOKUP(A584,'#14 IH Results'!$A$2:$C$302,2,0),0)+IFERROR(VLOOKUP(A584,'#13 IH Results'!$A$2:$C$302,2,0),0)+IFERROR(VLOOKUP(A584,'#12 IH Results'!$A$2:$C$302,2,0),0)+IFERROR(VLOOKUP(A584,'#11 IH Results'!$A$2:$C$302,2,0),0)+IFERROR(VLOOKUP(A584,'#10 IH Results'!$A$2:$C$302,2,0),0)+IFERROR(VLOOKUP(A584,'#9 IH Results'!$A$2:$C$302,2,0),0)+IFERROR(VLOOKUP(A584,'#8 IH Results'!$A$2:$C$302,2,0),0)+IFERROR(VLOOKUP(A584,'#7 IH Results'!$A$2:$C$302,2,0),0)+IFERROR(VLOOKUP(A584,'#6 IH Results'!$A$2:$C$302,2,0),0)+IFERROR(VLOOKUP(A584,'#5 IH Results'!$A$2:$C$303,2,0),0)+IFERROR(VLOOKUP(A584,'#4 IH Results'!$A$2:$C$300,2,0),0)+IFERROR(VLOOKUP(A584,'#3 IH Results'!$A$2:$C$101,2,0),0)+IFERROR(VLOOKUP(A584,'#2 IH Results'!$A$2:$C$101,2,0),0)+IFERROR(VLOOKUP(A584,'#1 IH Results'!$A$2:$C$101,2,0),0)+IFERROR(VLOOKUP(A584,'#0 IH Results'!$A$3:$C$102,2,0),0)</f>
        <v>0</v>
      </c>
    </row>
    <row r="585">
      <c r="B585" s="6">
        <f>IFERROR(VLOOKUP(A585,'#16 IH Results'!$A$2:$C$301,2,0),0)+IFERROR(VLOOKUP(A585,'#15 IH Results'!$A$2:$C$301,2,0),0)+IFERROR(VLOOKUP(A585,'#14 IH Results'!$A$2:$C$302,2,0),0)+IFERROR(VLOOKUP(A585,'#13 IH Results'!$A$2:$C$302,2,0),0)+IFERROR(VLOOKUP(A585,'#12 IH Results'!$A$2:$C$302,2,0),0)+IFERROR(VLOOKUP(A585,'#11 IH Results'!$A$2:$C$302,2,0),0)+IFERROR(VLOOKUP(A585,'#10 IH Results'!$A$2:$C$302,2,0),0)+IFERROR(VLOOKUP(A585,'#9 IH Results'!$A$2:$C$302,2,0),0)+IFERROR(VLOOKUP(A585,'#8 IH Results'!$A$2:$C$302,2,0),0)+IFERROR(VLOOKUP(A585,'#7 IH Results'!$A$2:$C$302,2,0),0)+IFERROR(VLOOKUP(A585,'#6 IH Results'!$A$2:$C$302,2,0),0)+IFERROR(VLOOKUP(A585,'#5 IH Results'!$A$2:$C$303,2,0),0)+IFERROR(VLOOKUP(A585,'#4 IH Results'!$A$2:$C$300,2,0),0)+IFERROR(VLOOKUP(A585,'#3 IH Results'!$A$2:$C$101,2,0),0)+IFERROR(VLOOKUP(A585,'#2 IH Results'!$A$2:$C$101,2,0),0)+IFERROR(VLOOKUP(A585,'#1 IH Results'!$A$2:$C$101,2,0),0)+IFERROR(VLOOKUP(A585,'#0 IH Results'!$A$3:$C$102,2,0),0)</f>
        <v>0</v>
      </c>
    </row>
    <row r="586">
      <c r="B586" s="6">
        <f>IFERROR(VLOOKUP(A586,'#16 IH Results'!$A$2:$C$301,2,0),0)+IFERROR(VLOOKUP(A586,'#15 IH Results'!$A$2:$C$301,2,0),0)+IFERROR(VLOOKUP(A586,'#14 IH Results'!$A$2:$C$302,2,0),0)+IFERROR(VLOOKUP(A586,'#13 IH Results'!$A$2:$C$302,2,0),0)+IFERROR(VLOOKUP(A586,'#12 IH Results'!$A$2:$C$302,2,0),0)+IFERROR(VLOOKUP(A586,'#11 IH Results'!$A$2:$C$302,2,0),0)+IFERROR(VLOOKUP(A586,'#10 IH Results'!$A$2:$C$302,2,0),0)+IFERROR(VLOOKUP(A586,'#9 IH Results'!$A$2:$C$302,2,0),0)+IFERROR(VLOOKUP(A586,'#8 IH Results'!$A$2:$C$302,2,0),0)+IFERROR(VLOOKUP(A586,'#7 IH Results'!$A$2:$C$302,2,0),0)+IFERROR(VLOOKUP(A586,'#6 IH Results'!$A$2:$C$302,2,0),0)+IFERROR(VLOOKUP(A586,'#5 IH Results'!$A$2:$C$303,2,0),0)+IFERROR(VLOOKUP(A586,'#4 IH Results'!$A$2:$C$300,2,0),0)+IFERROR(VLOOKUP(A586,'#3 IH Results'!$A$2:$C$101,2,0),0)+IFERROR(VLOOKUP(A586,'#2 IH Results'!$A$2:$C$101,2,0),0)+IFERROR(VLOOKUP(A586,'#1 IH Results'!$A$2:$C$101,2,0),0)+IFERROR(VLOOKUP(A586,'#0 IH Results'!$A$3:$C$102,2,0),0)</f>
        <v>0</v>
      </c>
    </row>
    <row r="587">
      <c r="B587" s="6">
        <f>IFERROR(VLOOKUP(A587,'#16 IH Results'!$A$2:$C$301,2,0),0)+IFERROR(VLOOKUP(A587,'#15 IH Results'!$A$2:$C$301,2,0),0)+IFERROR(VLOOKUP(A587,'#14 IH Results'!$A$2:$C$302,2,0),0)+IFERROR(VLOOKUP(A587,'#13 IH Results'!$A$2:$C$302,2,0),0)+IFERROR(VLOOKUP(A587,'#12 IH Results'!$A$2:$C$302,2,0),0)+IFERROR(VLOOKUP(A587,'#11 IH Results'!$A$2:$C$302,2,0),0)+IFERROR(VLOOKUP(A587,'#10 IH Results'!$A$2:$C$302,2,0),0)+IFERROR(VLOOKUP(A587,'#9 IH Results'!$A$2:$C$302,2,0),0)+IFERROR(VLOOKUP(A587,'#8 IH Results'!$A$2:$C$302,2,0),0)+IFERROR(VLOOKUP(A587,'#7 IH Results'!$A$2:$C$302,2,0),0)+IFERROR(VLOOKUP(A587,'#6 IH Results'!$A$2:$C$302,2,0),0)+IFERROR(VLOOKUP(A587,'#5 IH Results'!$A$2:$C$303,2,0),0)+IFERROR(VLOOKUP(A587,'#4 IH Results'!$A$2:$C$300,2,0),0)+IFERROR(VLOOKUP(A587,'#3 IH Results'!$A$2:$C$101,2,0),0)+IFERROR(VLOOKUP(A587,'#2 IH Results'!$A$2:$C$101,2,0),0)+IFERROR(VLOOKUP(A587,'#1 IH Results'!$A$2:$C$101,2,0),0)+IFERROR(VLOOKUP(A587,'#0 IH Results'!$A$3:$C$102,2,0),0)</f>
        <v>0</v>
      </c>
    </row>
    <row r="588">
      <c r="B588" s="6">
        <f>IFERROR(VLOOKUP(A588,'#16 IH Results'!$A$2:$C$301,2,0),0)+IFERROR(VLOOKUP(A588,'#15 IH Results'!$A$2:$C$301,2,0),0)+IFERROR(VLOOKUP(A588,'#14 IH Results'!$A$2:$C$302,2,0),0)+IFERROR(VLOOKUP(A588,'#13 IH Results'!$A$2:$C$302,2,0),0)+IFERROR(VLOOKUP(A588,'#12 IH Results'!$A$2:$C$302,2,0),0)+IFERROR(VLOOKUP(A588,'#11 IH Results'!$A$2:$C$302,2,0),0)+IFERROR(VLOOKUP(A588,'#10 IH Results'!$A$2:$C$302,2,0),0)+IFERROR(VLOOKUP(A588,'#9 IH Results'!$A$2:$C$302,2,0),0)+IFERROR(VLOOKUP(A588,'#8 IH Results'!$A$2:$C$302,2,0),0)+IFERROR(VLOOKUP(A588,'#7 IH Results'!$A$2:$C$302,2,0),0)+IFERROR(VLOOKUP(A588,'#6 IH Results'!$A$2:$C$302,2,0),0)+IFERROR(VLOOKUP(A588,'#5 IH Results'!$A$2:$C$303,2,0),0)+IFERROR(VLOOKUP(A588,'#4 IH Results'!$A$2:$C$300,2,0),0)+IFERROR(VLOOKUP(A588,'#3 IH Results'!$A$2:$C$101,2,0),0)+IFERROR(VLOOKUP(A588,'#2 IH Results'!$A$2:$C$101,2,0),0)+IFERROR(VLOOKUP(A588,'#1 IH Results'!$A$2:$C$101,2,0),0)+IFERROR(VLOOKUP(A588,'#0 IH Results'!$A$3:$C$102,2,0),0)</f>
        <v>0</v>
      </c>
    </row>
    <row r="589">
      <c r="B589" s="6">
        <f>IFERROR(VLOOKUP(A589,'#16 IH Results'!$A$2:$C$301,2,0),0)+IFERROR(VLOOKUP(A589,'#15 IH Results'!$A$2:$C$301,2,0),0)+IFERROR(VLOOKUP(A589,'#14 IH Results'!$A$2:$C$302,2,0),0)+IFERROR(VLOOKUP(A589,'#13 IH Results'!$A$2:$C$302,2,0),0)+IFERROR(VLOOKUP(A589,'#12 IH Results'!$A$2:$C$302,2,0),0)+IFERROR(VLOOKUP(A589,'#11 IH Results'!$A$2:$C$302,2,0),0)+IFERROR(VLOOKUP(A589,'#10 IH Results'!$A$2:$C$302,2,0),0)+IFERROR(VLOOKUP(A589,'#9 IH Results'!$A$2:$C$302,2,0),0)+IFERROR(VLOOKUP(A589,'#8 IH Results'!$A$2:$C$302,2,0),0)+IFERROR(VLOOKUP(A589,'#7 IH Results'!$A$2:$C$302,2,0),0)+IFERROR(VLOOKUP(A589,'#6 IH Results'!$A$2:$C$302,2,0),0)+IFERROR(VLOOKUP(A589,'#5 IH Results'!$A$2:$C$303,2,0),0)+IFERROR(VLOOKUP(A589,'#4 IH Results'!$A$2:$C$300,2,0),0)+IFERROR(VLOOKUP(A589,'#3 IH Results'!$A$2:$C$101,2,0),0)+IFERROR(VLOOKUP(A589,'#2 IH Results'!$A$2:$C$101,2,0),0)+IFERROR(VLOOKUP(A589,'#1 IH Results'!$A$2:$C$101,2,0),0)+IFERROR(VLOOKUP(A589,'#0 IH Results'!$A$3:$C$102,2,0),0)</f>
        <v>0</v>
      </c>
    </row>
    <row r="590">
      <c r="B590" s="6">
        <f>IFERROR(VLOOKUP(A590,'#16 IH Results'!$A$2:$C$301,2,0),0)+IFERROR(VLOOKUP(A590,'#15 IH Results'!$A$2:$C$301,2,0),0)+IFERROR(VLOOKUP(A590,'#14 IH Results'!$A$2:$C$302,2,0),0)+IFERROR(VLOOKUP(A590,'#13 IH Results'!$A$2:$C$302,2,0),0)+IFERROR(VLOOKUP(A590,'#12 IH Results'!$A$2:$C$302,2,0),0)+IFERROR(VLOOKUP(A590,'#11 IH Results'!$A$2:$C$302,2,0),0)+IFERROR(VLOOKUP(A590,'#10 IH Results'!$A$2:$C$302,2,0),0)+IFERROR(VLOOKUP(A590,'#9 IH Results'!$A$2:$C$302,2,0),0)+IFERROR(VLOOKUP(A590,'#8 IH Results'!$A$2:$C$302,2,0),0)+IFERROR(VLOOKUP(A590,'#7 IH Results'!$A$2:$C$302,2,0),0)+IFERROR(VLOOKUP(A590,'#6 IH Results'!$A$2:$C$302,2,0),0)+IFERROR(VLOOKUP(A590,'#5 IH Results'!$A$2:$C$303,2,0),0)+IFERROR(VLOOKUP(A590,'#4 IH Results'!$A$2:$C$300,2,0),0)+IFERROR(VLOOKUP(A590,'#3 IH Results'!$A$2:$C$101,2,0),0)+IFERROR(VLOOKUP(A590,'#2 IH Results'!$A$2:$C$101,2,0),0)+IFERROR(VLOOKUP(A590,'#1 IH Results'!$A$2:$C$101,2,0),0)+IFERROR(VLOOKUP(A590,'#0 IH Results'!$A$3:$C$102,2,0),0)</f>
        <v>0</v>
      </c>
    </row>
    <row r="591">
      <c r="B591" s="6">
        <f>IFERROR(VLOOKUP(A591,'#16 IH Results'!$A$2:$C$301,2,0),0)+IFERROR(VLOOKUP(A591,'#15 IH Results'!$A$2:$C$301,2,0),0)+IFERROR(VLOOKUP(A591,'#14 IH Results'!$A$2:$C$302,2,0),0)+IFERROR(VLOOKUP(A591,'#13 IH Results'!$A$2:$C$302,2,0),0)+IFERROR(VLOOKUP(A591,'#12 IH Results'!$A$2:$C$302,2,0),0)+IFERROR(VLOOKUP(A591,'#11 IH Results'!$A$2:$C$302,2,0),0)+IFERROR(VLOOKUP(A591,'#10 IH Results'!$A$2:$C$302,2,0),0)+IFERROR(VLOOKUP(A591,'#9 IH Results'!$A$2:$C$302,2,0),0)+IFERROR(VLOOKUP(A591,'#8 IH Results'!$A$2:$C$302,2,0),0)+IFERROR(VLOOKUP(A591,'#7 IH Results'!$A$2:$C$302,2,0),0)+IFERROR(VLOOKUP(A591,'#6 IH Results'!$A$2:$C$302,2,0),0)+IFERROR(VLOOKUP(A591,'#5 IH Results'!$A$2:$C$303,2,0),0)+IFERROR(VLOOKUP(A591,'#4 IH Results'!$A$2:$C$300,2,0),0)+IFERROR(VLOOKUP(A591,'#3 IH Results'!$A$2:$C$101,2,0),0)+IFERROR(VLOOKUP(A591,'#2 IH Results'!$A$2:$C$101,2,0),0)+IFERROR(VLOOKUP(A591,'#1 IH Results'!$A$2:$C$101,2,0),0)+IFERROR(VLOOKUP(A591,'#0 IH Results'!$A$3:$C$102,2,0),0)</f>
        <v>0</v>
      </c>
    </row>
    <row r="592">
      <c r="B592" s="6">
        <f>IFERROR(VLOOKUP(A592,'#16 IH Results'!$A$2:$C$301,2,0),0)+IFERROR(VLOOKUP(A592,'#15 IH Results'!$A$2:$C$301,2,0),0)+IFERROR(VLOOKUP(A592,'#14 IH Results'!$A$2:$C$302,2,0),0)+IFERROR(VLOOKUP(A592,'#13 IH Results'!$A$2:$C$302,2,0),0)+IFERROR(VLOOKUP(A592,'#12 IH Results'!$A$2:$C$302,2,0),0)+IFERROR(VLOOKUP(A592,'#11 IH Results'!$A$2:$C$302,2,0),0)+IFERROR(VLOOKUP(A592,'#10 IH Results'!$A$2:$C$302,2,0),0)+IFERROR(VLOOKUP(A592,'#9 IH Results'!$A$2:$C$302,2,0),0)+IFERROR(VLOOKUP(A592,'#8 IH Results'!$A$2:$C$302,2,0),0)+IFERROR(VLOOKUP(A592,'#7 IH Results'!$A$2:$C$302,2,0),0)+IFERROR(VLOOKUP(A592,'#6 IH Results'!$A$2:$C$302,2,0),0)+IFERROR(VLOOKUP(A592,'#5 IH Results'!$A$2:$C$303,2,0),0)+IFERROR(VLOOKUP(A592,'#4 IH Results'!$A$2:$C$300,2,0),0)+IFERROR(VLOOKUP(A592,'#3 IH Results'!$A$2:$C$101,2,0),0)+IFERROR(VLOOKUP(A592,'#2 IH Results'!$A$2:$C$101,2,0),0)+IFERROR(VLOOKUP(A592,'#1 IH Results'!$A$2:$C$101,2,0),0)+IFERROR(VLOOKUP(A592,'#0 IH Results'!$A$3:$C$102,2,0),0)</f>
        <v>0</v>
      </c>
    </row>
    <row r="593">
      <c r="B593" s="6">
        <f>IFERROR(VLOOKUP(A593,'#16 IH Results'!$A$2:$C$301,2,0),0)+IFERROR(VLOOKUP(A593,'#15 IH Results'!$A$2:$C$301,2,0),0)+IFERROR(VLOOKUP(A593,'#14 IH Results'!$A$2:$C$302,2,0),0)+IFERROR(VLOOKUP(A593,'#13 IH Results'!$A$2:$C$302,2,0),0)+IFERROR(VLOOKUP(A593,'#12 IH Results'!$A$2:$C$302,2,0),0)+IFERROR(VLOOKUP(A593,'#11 IH Results'!$A$2:$C$302,2,0),0)+IFERROR(VLOOKUP(A593,'#10 IH Results'!$A$2:$C$302,2,0),0)+IFERROR(VLOOKUP(A593,'#9 IH Results'!$A$2:$C$302,2,0),0)+IFERROR(VLOOKUP(A593,'#8 IH Results'!$A$2:$C$302,2,0),0)+IFERROR(VLOOKUP(A593,'#7 IH Results'!$A$2:$C$302,2,0),0)+IFERROR(VLOOKUP(A593,'#6 IH Results'!$A$2:$C$302,2,0),0)+IFERROR(VLOOKUP(A593,'#5 IH Results'!$A$2:$C$303,2,0),0)+IFERROR(VLOOKUP(A593,'#4 IH Results'!$A$2:$C$300,2,0),0)+IFERROR(VLOOKUP(A593,'#3 IH Results'!$A$2:$C$101,2,0),0)+IFERROR(VLOOKUP(A593,'#2 IH Results'!$A$2:$C$101,2,0),0)+IFERROR(VLOOKUP(A593,'#1 IH Results'!$A$2:$C$101,2,0),0)+IFERROR(VLOOKUP(A593,'#0 IH Results'!$A$3:$C$102,2,0),0)</f>
        <v>0</v>
      </c>
    </row>
    <row r="594">
      <c r="B594" s="6">
        <f>IFERROR(VLOOKUP(A594,'#16 IH Results'!$A$2:$C$301,2,0),0)+IFERROR(VLOOKUP(A594,'#15 IH Results'!$A$2:$C$301,2,0),0)+IFERROR(VLOOKUP(A594,'#14 IH Results'!$A$2:$C$302,2,0),0)+IFERROR(VLOOKUP(A594,'#13 IH Results'!$A$2:$C$302,2,0),0)+IFERROR(VLOOKUP(A594,'#12 IH Results'!$A$2:$C$302,2,0),0)+IFERROR(VLOOKUP(A594,'#11 IH Results'!$A$2:$C$302,2,0),0)+IFERROR(VLOOKUP(A594,'#10 IH Results'!$A$2:$C$302,2,0),0)+IFERROR(VLOOKUP(A594,'#9 IH Results'!$A$2:$C$302,2,0),0)+IFERROR(VLOOKUP(A594,'#8 IH Results'!$A$2:$C$302,2,0),0)+IFERROR(VLOOKUP(A594,'#7 IH Results'!$A$2:$C$302,2,0),0)+IFERROR(VLOOKUP(A594,'#6 IH Results'!$A$2:$C$302,2,0),0)+IFERROR(VLOOKUP(A594,'#5 IH Results'!$A$2:$C$303,2,0),0)+IFERROR(VLOOKUP(A594,'#4 IH Results'!$A$2:$C$300,2,0),0)+IFERROR(VLOOKUP(A594,'#3 IH Results'!$A$2:$C$101,2,0),0)+IFERROR(VLOOKUP(A594,'#2 IH Results'!$A$2:$C$101,2,0),0)+IFERROR(VLOOKUP(A594,'#1 IH Results'!$A$2:$C$101,2,0),0)+IFERROR(VLOOKUP(A594,'#0 IH Results'!$A$3:$C$102,2,0),0)</f>
        <v>0</v>
      </c>
    </row>
    <row r="595">
      <c r="B595" s="6">
        <f>IFERROR(VLOOKUP(A595,'#16 IH Results'!$A$2:$C$301,2,0),0)+IFERROR(VLOOKUP(A595,'#15 IH Results'!$A$2:$C$301,2,0),0)+IFERROR(VLOOKUP(A595,'#14 IH Results'!$A$2:$C$302,2,0),0)+IFERROR(VLOOKUP(A595,'#13 IH Results'!$A$2:$C$302,2,0),0)+IFERROR(VLOOKUP(A595,'#12 IH Results'!$A$2:$C$302,2,0),0)+IFERROR(VLOOKUP(A595,'#11 IH Results'!$A$2:$C$302,2,0),0)+IFERROR(VLOOKUP(A595,'#10 IH Results'!$A$2:$C$302,2,0),0)+IFERROR(VLOOKUP(A595,'#9 IH Results'!$A$2:$C$302,2,0),0)+IFERROR(VLOOKUP(A595,'#8 IH Results'!$A$2:$C$302,2,0),0)+IFERROR(VLOOKUP(A595,'#7 IH Results'!$A$2:$C$302,2,0),0)+IFERROR(VLOOKUP(A595,'#6 IH Results'!$A$2:$C$302,2,0),0)+IFERROR(VLOOKUP(A595,'#5 IH Results'!$A$2:$C$303,2,0),0)+IFERROR(VLOOKUP(A595,'#4 IH Results'!$A$2:$C$300,2,0),0)+IFERROR(VLOOKUP(A595,'#3 IH Results'!$A$2:$C$101,2,0),0)+IFERROR(VLOOKUP(A595,'#2 IH Results'!$A$2:$C$101,2,0),0)+IFERROR(VLOOKUP(A595,'#1 IH Results'!$A$2:$C$101,2,0),0)+IFERROR(VLOOKUP(A595,'#0 IH Results'!$A$3:$C$102,2,0),0)</f>
        <v>0</v>
      </c>
    </row>
    <row r="596">
      <c r="B596" s="6">
        <f>IFERROR(VLOOKUP(A596,'#16 IH Results'!$A$2:$C$301,2,0),0)+IFERROR(VLOOKUP(A596,'#15 IH Results'!$A$2:$C$301,2,0),0)+IFERROR(VLOOKUP(A596,'#14 IH Results'!$A$2:$C$302,2,0),0)+IFERROR(VLOOKUP(A596,'#13 IH Results'!$A$2:$C$302,2,0),0)+IFERROR(VLOOKUP(A596,'#12 IH Results'!$A$2:$C$302,2,0),0)+IFERROR(VLOOKUP(A596,'#11 IH Results'!$A$2:$C$302,2,0),0)+IFERROR(VLOOKUP(A596,'#10 IH Results'!$A$2:$C$302,2,0),0)+IFERROR(VLOOKUP(A596,'#9 IH Results'!$A$2:$C$302,2,0),0)+IFERROR(VLOOKUP(A596,'#8 IH Results'!$A$2:$C$302,2,0),0)+IFERROR(VLOOKUP(A596,'#7 IH Results'!$A$2:$C$302,2,0),0)+IFERROR(VLOOKUP(A596,'#6 IH Results'!$A$2:$C$302,2,0),0)+IFERROR(VLOOKUP(A596,'#5 IH Results'!$A$2:$C$303,2,0),0)+IFERROR(VLOOKUP(A596,'#4 IH Results'!$A$2:$C$300,2,0),0)+IFERROR(VLOOKUP(A596,'#3 IH Results'!$A$2:$C$101,2,0),0)+IFERROR(VLOOKUP(A596,'#2 IH Results'!$A$2:$C$101,2,0),0)+IFERROR(VLOOKUP(A596,'#1 IH Results'!$A$2:$C$101,2,0),0)+IFERROR(VLOOKUP(A596,'#0 IH Results'!$A$3:$C$102,2,0),0)</f>
        <v>0</v>
      </c>
    </row>
    <row r="597">
      <c r="B597" s="6">
        <f>IFERROR(VLOOKUP(A597,'#16 IH Results'!$A$2:$C$301,2,0),0)+IFERROR(VLOOKUP(A597,'#15 IH Results'!$A$2:$C$301,2,0),0)+IFERROR(VLOOKUP(A597,'#14 IH Results'!$A$2:$C$302,2,0),0)+IFERROR(VLOOKUP(A597,'#13 IH Results'!$A$2:$C$302,2,0),0)+IFERROR(VLOOKUP(A597,'#12 IH Results'!$A$2:$C$302,2,0),0)+IFERROR(VLOOKUP(A597,'#11 IH Results'!$A$2:$C$302,2,0),0)+IFERROR(VLOOKUP(A597,'#10 IH Results'!$A$2:$C$302,2,0),0)+IFERROR(VLOOKUP(A597,'#9 IH Results'!$A$2:$C$302,2,0),0)+IFERROR(VLOOKUP(A597,'#8 IH Results'!$A$2:$C$302,2,0),0)+IFERROR(VLOOKUP(A597,'#7 IH Results'!$A$2:$C$302,2,0),0)+IFERROR(VLOOKUP(A597,'#6 IH Results'!$A$2:$C$302,2,0),0)+IFERROR(VLOOKUP(A597,'#5 IH Results'!$A$2:$C$303,2,0),0)+IFERROR(VLOOKUP(A597,'#4 IH Results'!$A$2:$C$300,2,0),0)+IFERROR(VLOOKUP(A597,'#3 IH Results'!$A$2:$C$101,2,0),0)+IFERROR(VLOOKUP(A597,'#2 IH Results'!$A$2:$C$101,2,0),0)+IFERROR(VLOOKUP(A597,'#1 IH Results'!$A$2:$C$101,2,0),0)+IFERROR(VLOOKUP(A597,'#0 IH Results'!$A$3:$C$102,2,0),0)</f>
        <v>0</v>
      </c>
    </row>
    <row r="598">
      <c r="B598" s="6">
        <f>IFERROR(VLOOKUP(A598,'#16 IH Results'!$A$2:$C$301,2,0),0)+IFERROR(VLOOKUP(A598,'#15 IH Results'!$A$2:$C$301,2,0),0)+IFERROR(VLOOKUP(A598,'#14 IH Results'!$A$2:$C$302,2,0),0)+IFERROR(VLOOKUP(A598,'#13 IH Results'!$A$2:$C$302,2,0),0)+IFERROR(VLOOKUP(A598,'#12 IH Results'!$A$2:$C$302,2,0),0)+IFERROR(VLOOKUP(A598,'#11 IH Results'!$A$2:$C$302,2,0),0)+IFERROR(VLOOKUP(A598,'#10 IH Results'!$A$2:$C$302,2,0),0)+IFERROR(VLOOKUP(A598,'#9 IH Results'!$A$2:$C$302,2,0),0)+IFERROR(VLOOKUP(A598,'#8 IH Results'!$A$2:$C$302,2,0),0)+IFERROR(VLOOKUP(A598,'#7 IH Results'!$A$2:$C$302,2,0),0)+IFERROR(VLOOKUP(A598,'#6 IH Results'!$A$2:$C$302,2,0),0)+IFERROR(VLOOKUP(A598,'#5 IH Results'!$A$2:$C$303,2,0),0)+IFERROR(VLOOKUP(A598,'#4 IH Results'!$A$2:$C$300,2,0),0)+IFERROR(VLOOKUP(A598,'#3 IH Results'!$A$2:$C$101,2,0),0)+IFERROR(VLOOKUP(A598,'#2 IH Results'!$A$2:$C$101,2,0),0)+IFERROR(VLOOKUP(A598,'#1 IH Results'!$A$2:$C$101,2,0),0)+IFERROR(VLOOKUP(A598,'#0 IH Results'!$A$3:$C$102,2,0),0)</f>
        <v>0</v>
      </c>
    </row>
    <row r="599">
      <c r="B599" s="6">
        <f>IFERROR(VLOOKUP(A599,'#16 IH Results'!$A$2:$C$301,2,0),0)+IFERROR(VLOOKUP(A599,'#15 IH Results'!$A$2:$C$301,2,0),0)+IFERROR(VLOOKUP(A599,'#14 IH Results'!$A$2:$C$302,2,0),0)+IFERROR(VLOOKUP(A599,'#13 IH Results'!$A$2:$C$302,2,0),0)+IFERROR(VLOOKUP(A599,'#12 IH Results'!$A$2:$C$302,2,0),0)+IFERROR(VLOOKUP(A599,'#11 IH Results'!$A$2:$C$302,2,0),0)+IFERROR(VLOOKUP(A599,'#10 IH Results'!$A$2:$C$302,2,0),0)+IFERROR(VLOOKUP(A599,'#9 IH Results'!$A$2:$C$302,2,0),0)+IFERROR(VLOOKUP(A599,'#8 IH Results'!$A$2:$C$302,2,0),0)+IFERROR(VLOOKUP(A599,'#7 IH Results'!$A$2:$C$302,2,0),0)+IFERROR(VLOOKUP(A599,'#6 IH Results'!$A$2:$C$302,2,0),0)+IFERROR(VLOOKUP(A599,'#5 IH Results'!$A$2:$C$303,2,0),0)+IFERROR(VLOOKUP(A599,'#4 IH Results'!$A$2:$C$300,2,0),0)+IFERROR(VLOOKUP(A599,'#3 IH Results'!$A$2:$C$101,2,0),0)+IFERROR(VLOOKUP(A599,'#2 IH Results'!$A$2:$C$101,2,0),0)+IFERROR(VLOOKUP(A599,'#1 IH Results'!$A$2:$C$101,2,0),0)+IFERROR(VLOOKUP(A599,'#0 IH Results'!$A$3:$C$102,2,0),0)</f>
        <v>0</v>
      </c>
    </row>
    <row r="600">
      <c r="B600" s="6">
        <f>IFERROR(VLOOKUP(A600,'#16 IH Results'!$A$2:$C$301,2,0),0)+IFERROR(VLOOKUP(A600,'#15 IH Results'!$A$2:$C$301,2,0),0)+IFERROR(VLOOKUP(A600,'#14 IH Results'!$A$2:$C$302,2,0),0)+IFERROR(VLOOKUP(A600,'#13 IH Results'!$A$2:$C$302,2,0),0)+IFERROR(VLOOKUP(A600,'#12 IH Results'!$A$2:$C$302,2,0),0)+IFERROR(VLOOKUP(A600,'#11 IH Results'!$A$2:$C$302,2,0),0)+IFERROR(VLOOKUP(A600,'#10 IH Results'!$A$2:$C$302,2,0),0)+IFERROR(VLOOKUP(A600,'#9 IH Results'!$A$2:$C$302,2,0),0)+IFERROR(VLOOKUP(A600,'#8 IH Results'!$A$2:$C$302,2,0),0)+IFERROR(VLOOKUP(A600,'#7 IH Results'!$A$2:$C$302,2,0),0)+IFERROR(VLOOKUP(A600,'#6 IH Results'!$A$2:$C$302,2,0),0)+IFERROR(VLOOKUP(A600,'#5 IH Results'!$A$2:$C$303,2,0),0)+IFERROR(VLOOKUP(A600,'#4 IH Results'!$A$2:$C$300,2,0),0)+IFERROR(VLOOKUP(A600,'#3 IH Results'!$A$2:$C$101,2,0),0)+IFERROR(VLOOKUP(A600,'#2 IH Results'!$A$2:$C$101,2,0),0)+IFERROR(VLOOKUP(A600,'#1 IH Results'!$A$2:$C$101,2,0),0)+IFERROR(VLOOKUP(A600,'#0 IH Results'!$A$3:$C$102,2,0),0)</f>
        <v>0</v>
      </c>
    </row>
    <row r="601">
      <c r="B601" s="6">
        <f>IFERROR(VLOOKUP(A601,'#16 IH Results'!$A$2:$C$301,2,0),0)+IFERROR(VLOOKUP(A601,'#15 IH Results'!$A$2:$C$301,2,0),0)+IFERROR(VLOOKUP(A601,'#14 IH Results'!$A$2:$C$302,2,0),0)+IFERROR(VLOOKUP(A601,'#13 IH Results'!$A$2:$C$302,2,0),0)+IFERROR(VLOOKUP(A601,'#12 IH Results'!$A$2:$C$302,2,0),0)+IFERROR(VLOOKUP(A601,'#11 IH Results'!$A$2:$C$302,2,0),0)+IFERROR(VLOOKUP(A601,'#10 IH Results'!$A$2:$C$302,2,0),0)+IFERROR(VLOOKUP(A601,'#9 IH Results'!$A$2:$C$302,2,0),0)+IFERROR(VLOOKUP(A601,'#8 IH Results'!$A$2:$C$302,2,0),0)+IFERROR(VLOOKUP(A601,'#7 IH Results'!$A$2:$C$302,2,0),0)+IFERROR(VLOOKUP(A601,'#6 IH Results'!$A$2:$C$302,2,0),0)+IFERROR(VLOOKUP(A601,'#5 IH Results'!$A$2:$C$303,2,0),0)+IFERROR(VLOOKUP(A601,'#4 IH Results'!$A$2:$C$300,2,0),0)+IFERROR(VLOOKUP(A601,'#3 IH Results'!$A$2:$C$101,2,0),0)+IFERROR(VLOOKUP(A601,'#2 IH Results'!$A$2:$C$101,2,0),0)+IFERROR(VLOOKUP(A601,'#1 IH Results'!$A$2:$C$101,2,0),0)+IFERROR(VLOOKUP(A601,'#0 IH Results'!$A$3:$C$102,2,0),0)</f>
        <v>0</v>
      </c>
    </row>
    <row r="602">
      <c r="B602" s="6">
        <f>IFERROR(VLOOKUP(A602,'#16 IH Results'!$A$2:$C$301,2,0),0)+IFERROR(VLOOKUP(A602,'#15 IH Results'!$A$2:$C$301,2,0),0)+IFERROR(VLOOKUP(A602,'#14 IH Results'!$A$2:$C$302,2,0),0)+IFERROR(VLOOKUP(A602,'#13 IH Results'!$A$2:$C$302,2,0),0)+IFERROR(VLOOKUP(A602,'#12 IH Results'!$A$2:$C$302,2,0),0)+IFERROR(VLOOKUP(A602,'#11 IH Results'!$A$2:$C$302,2,0),0)+IFERROR(VLOOKUP(A602,'#10 IH Results'!$A$2:$C$302,2,0),0)+IFERROR(VLOOKUP(A602,'#9 IH Results'!$A$2:$C$302,2,0),0)+IFERROR(VLOOKUP(A602,'#8 IH Results'!$A$2:$C$302,2,0),0)+IFERROR(VLOOKUP(A602,'#7 IH Results'!$A$2:$C$302,2,0),0)+IFERROR(VLOOKUP(A602,'#6 IH Results'!$A$2:$C$302,2,0),0)+IFERROR(VLOOKUP(A602,'#5 IH Results'!$A$2:$C$303,2,0),0)+IFERROR(VLOOKUP(A602,'#4 IH Results'!$A$2:$C$300,2,0),0)+IFERROR(VLOOKUP(A602,'#3 IH Results'!$A$2:$C$101,2,0),0)+IFERROR(VLOOKUP(A602,'#2 IH Results'!$A$2:$C$101,2,0),0)+IFERROR(VLOOKUP(A602,'#1 IH Results'!$A$2:$C$101,2,0),0)+IFERROR(VLOOKUP(A602,'#0 IH Results'!$A$3:$C$102,2,0),0)</f>
        <v>0</v>
      </c>
    </row>
    <row r="603">
      <c r="B603" s="6">
        <f>IFERROR(VLOOKUP(A603,'#16 IH Results'!$A$2:$C$301,2,0),0)+IFERROR(VLOOKUP(A603,'#15 IH Results'!$A$2:$C$301,2,0),0)+IFERROR(VLOOKUP(A603,'#14 IH Results'!$A$2:$C$302,2,0),0)+IFERROR(VLOOKUP(A603,'#13 IH Results'!$A$2:$C$302,2,0),0)+IFERROR(VLOOKUP(A603,'#12 IH Results'!$A$2:$C$302,2,0),0)+IFERROR(VLOOKUP(A603,'#11 IH Results'!$A$2:$C$302,2,0),0)+IFERROR(VLOOKUP(A603,'#10 IH Results'!$A$2:$C$302,2,0),0)+IFERROR(VLOOKUP(A603,'#9 IH Results'!$A$2:$C$302,2,0),0)+IFERROR(VLOOKUP(A603,'#8 IH Results'!$A$2:$C$302,2,0),0)+IFERROR(VLOOKUP(A603,'#7 IH Results'!$A$2:$C$302,2,0),0)+IFERROR(VLOOKUP(A603,'#6 IH Results'!$A$2:$C$302,2,0),0)+IFERROR(VLOOKUP(A603,'#5 IH Results'!$A$2:$C$303,2,0),0)+IFERROR(VLOOKUP(A603,'#4 IH Results'!$A$2:$C$300,2,0),0)+IFERROR(VLOOKUP(A603,'#3 IH Results'!$A$2:$C$101,2,0),0)+IFERROR(VLOOKUP(A603,'#2 IH Results'!$A$2:$C$101,2,0),0)+IFERROR(VLOOKUP(A603,'#1 IH Results'!$A$2:$C$101,2,0),0)+IFERROR(VLOOKUP(A603,'#0 IH Results'!$A$3:$C$102,2,0),0)</f>
        <v>0</v>
      </c>
    </row>
    <row r="604">
      <c r="B604" s="6">
        <f>IFERROR(VLOOKUP(A604,'#16 IH Results'!$A$2:$C$301,2,0),0)+IFERROR(VLOOKUP(A604,'#15 IH Results'!$A$2:$C$301,2,0),0)+IFERROR(VLOOKUP(A604,'#14 IH Results'!$A$2:$C$302,2,0),0)+IFERROR(VLOOKUP(A604,'#13 IH Results'!$A$2:$C$302,2,0),0)+IFERROR(VLOOKUP(A604,'#12 IH Results'!$A$2:$C$302,2,0),0)+IFERROR(VLOOKUP(A604,'#11 IH Results'!$A$2:$C$302,2,0),0)+IFERROR(VLOOKUP(A604,'#10 IH Results'!$A$2:$C$302,2,0),0)+IFERROR(VLOOKUP(A604,'#9 IH Results'!$A$2:$C$302,2,0),0)+IFERROR(VLOOKUP(A604,'#8 IH Results'!$A$2:$C$302,2,0),0)+IFERROR(VLOOKUP(A604,'#7 IH Results'!$A$2:$C$302,2,0),0)+IFERROR(VLOOKUP(A604,'#6 IH Results'!$A$2:$C$302,2,0),0)+IFERROR(VLOOKUP(A604,'#5 IH Results'!$A$2:$C$303,2,0),0)+IFERROR(VLOOKUP(A604,'#4 IH Results'!$A$2:$C$300,2,0),0)+IFERROR(VLOOKUP(A604,'#3 IH Results'!$A$2:$C$101,2,0),0)+IFERROR(VLOOKUP(A604,'#2 IH Results'!$A$2:$C$101,2,0),0)+IFERROR(VLOOKUP(A604,'#1 IH Results'!$A$2:$C$101,2,0),0)+IFERROR(VLOOKUP(A604,'#0 IH Results'!$A$3:$C$102,2,0),0)</f>
        <v>0</v>
      </c>
    </row>
    <row r="605">
      <c r="B605" s="6">
        <f>IFERROR(VLOOKUP(A605,'#16 IH Results'!$A$2:$C$301,2,0),0)+IFERROR(VLOOKUP(A605,'#15 IH Results'!$A$2:$C$301,2,0),0)+IFERROR(VLOOKUP(A605,'#14 IH Results'!$A$2:$C$302,2,0),0)+IFERROR(VLOOKUP(A605,'#13 IH Results'!$A$2:$C$302,2,0),0)+IFERROR(VLOOKUP(A605,'#12 IH Results'!$A$2:$C$302,2,0),0)+IFERROR(VLOOKUP(A605,'#11 IH Results'!$A$2:$C$302,2,0),0)+IFERROR(VLOOKUP(A605,'#10 IH Results'!$A$2:$C$302,2,0),0)+IFERROR(VLOOKUP(A605,'#9 IH Results'!$A$2:$C$302,2,0),0)+IFERROR(VLOOKUP(A605,'#8 IH Results'!$A$2:$C$302,2,0),0)+IFERROR(VLOOKUP(A605,'#7 IH Results'!$A$2:$C$302,2,0),0)+IFERROR(VLOOKUP(A605,'#6 IH Results'!$A$2:$C$302,2,0),0)+IFERROR(VLOOKUP(A605,'#5 IH Results'!$A$2:$C$303,2,0),0)+IFERROR(VLOOKUP(A605,'#4 IH Results'!$A$2:$C$300,2,0),0)+IFERROR(VLOOKUP(A605,'#3 IH Results'!$A$2:$C$101,2,0),0)+IFERROR(VLOOKUP(A605,'#2 IH Results'!$A$2:$C$101,2,0),0)+IFERROR(VLOOKUP(A605,'#1 IH Results'!$A$2:$C$101,2,0),0)+IFERROR(VLOOKUP(A605,'#0 IH Results'!$A$3:$C$102,2,0),0)</f>
        <v>0</v>
      </c>
    </row>
    <row r="606">
      <c r="B606" s="6">
        <f>IFERROR(VLOOKUP(A606,'#16 IH Results'!$A$2:$C$301,2,0),0)+IFERROR(VLOOKUP(A606,'#15 IH Results'!$A$2:$C$301,2,0),0)+IFERROR(VLOOKUP(A606,'#14 IH Results'!$A$2:$C$302,2,0),0)+IFERROR(VLOOKUP(A606,'#13 IH Results'!$A$2:$C$302,2,0),0)+IFERROR(VLOOKUP(A606,'#12 IH Results'!$A$2:$C$302,2,0),0)+IFERROR(VLOOKUP(A606,'#11 IH Results'!$A$2:$C$302,2,0),0)+IFERROR(VLOOKUP(A606,'#10 IH Results'!$A$2:$C$302,2,0),0)+IFERROR(VLOOKUP(A606,'#9 IH Results'!$A$2:$C$302,2,0),0)+IFERROR(VLOOKUP(A606,'#8 IH Results'!$A$2:$C$302,2,0),0)+IFERROR(VLOOKUP(A606,'#7 IH Results'!$A$2:$C$302,2,0),0)+IFERROR(VLOOKUP(A606,'#6 IH Results'!$A$2:$C$302,2,0),0)+IFERROR(VLOOKUP(A606,'#5 IH Results'!$A$2:$C$303,2,0),0)+IFERROR(VLOOKUP(A606,'#4 IH Results'!$A$2:$C$300,2,0),0)+IFERROR(VLOOKUP(A606,'#3 IH Results'!$A$2:$C$101,2,0),0)+IFERROR(VLOOKUP(A606,'#2 IH Results'!$A$2:$C$101,2,0),0)+IFERROR(VLOOKUP(A606,'#1 IH Results'!$A$2:$C$101,2,0),0)+IFERROR(VLOOKUP(A606,'#0 IH Results'!$A$3:$C$102,2,0),0)</f>
        <v>0</v>
      </c>
    </row>
    <row r="607">
      <c r="B607" s="6">
        <f>IFERROR(VLOOKUP(A607,'#16 IH Results'!$A$2:$C$301,2,0),0)+IFERROR(VLOOKUP(A607,'#15 IH Results'!$A$2:$C$301,2,0),0)+IFERROR(VLOOKUP(A607,'#14 IH Results'!$A$2:$C$302,2,0),0)+IFERROR(VLOOKUP(A607,'#13 IH Results'!$A$2:$C$302,2,0),0)+IFERROR(VLOOKUP(A607,'#12 IH Results'!$A$2:$C$302,2,0),0)+IFERROR(VLOOKUP(A607,'#11 IH Results'!$A$2:$C$302,2,0),0)+IFERROR(VLOOKUP(A607,'#10 IH Results'!$A$2:$C$302,2,0),0)+IFERROR(VLOOKUP(A607,'#9 IH Results'!$A$2:$C$302,2,0),0)+IFERROR(VLOOKUP(A607,'#8 IH Results'!$A$2:$C$302,2,0),0)+IFERROR(VLOOKUP(A607,'#7 IH Results'!$A$2:$C$302,2,0),0)+IFERROR(VLOOKUP(A607,'#6 IH Results'!$A$2:$C$302,2,0),0)+IFERROR(VLOOKUP(A607,'#5 IH Results'!$A$2:$C$303,2,0),0)+IFERROR(VLOOKUP(A607,'#4 IH Results'!$A$2:$C$300,2,0),0)+IFERROR(VLOOKUP(A607,'#3 IH Results'!$A$2:$C$101,2,0),0)+IFERROR(VLOOKUP(A607,'#2 IH Results'!$A$2:$C$101,2,0),0)+IFERROR(VLOOKUP(A607,'#1 IH Results'!$A$2:$C$101,2,0),0)+IFERROR(VLOOKUP(A607,'#0 IH Results'!$A$3:$C$102,2,0),0)</f>
        <v>0</v>
      </c>
    </row>
    <row r="608">
      <c r="B608" s="6">
        <f>IFERROR(VLOOKUP(A608,'#16 IH Results'!$A$2:$C$301,2,0),0)+IFERROR(VLOOKUP(A608,'#15 IH Results'!$A$2:$C$301,2,0),0)+IFERROR(VLOOKUP(A608,'#14 IH Results'!$A$2:$C$302,2,0),0)+IFERROR(VLOOKUP(A608,'#13 IH Results'!$A$2:$C$302,2,0),0)+IFERROR(VLOOKUP(A608,'#12 IH Results'!$A$2:$C$302,2,0),0)+IFERROR(VLOOKUP(A608,'#11 IH Results'!$A$2:$C$302,2,0),0)+IFERROR(VLOOKUP(A608,'#10 IH Results'!$A$2:$C$302,2,0),0)+IFERROR(VLOOKUP(A608,'#9 IH Results'!$A$2:$C$302,2,0),0)+IFERROR(VLOOKUP(A608,'#8 IH Results'!$A$2:$C$302,2,0),0)+IFERROR(VLOOKUP(A608,'#7 IH Results'!$A$2:$C$302,2,0),0)+IFERROR(VLOOKUP(A608,'#6 IH Results'!$A$2:$C$302,2,0),0)+IFERROR(VLOOKUP(A608,'#5 IH Results'!$A$2:$C$303,2,0),0)+IFERROR(VLOOKUP(A608,'#4 IH Results'!$A$2:$C$300,2,0),0)+IFERROR(VLOOKUP(A608,'#3 IH Results'!$A$2:$C$101,2,0),0)+IFERROR(VLOOKUP(A608,'#2 IH Results'!$A$2:$C$101,2,0),0)+IFERROR(VLOOKUP(A608,'#1 IH Results'!$A$2:$C$101,2,0),0)+IFERROR(VLOOKUP(A608,'#0 IH Results'!$A$3:$C$102,2,0),0)</f>
        <v>0</v>
      </c>
    </row>
    <row r="609">
      <c r="B609" s="6"/>
    </row>
    <row r="610">
      <c r="B610" s="6"/>
    </row>
    <row r="611">
      <c r="B611" s="6"/>
    </row>
    <row r="612">
      <c r="B612" s="6"/>
    </row>
    <row r="613">
      <c r="B613" s="6"/>
    </row>
    <row r="614">
      <c r="B614" s="6"/>
    </row>
    <row r="615">
      <c r="B615" s="6"/>
    </row>
    <row r="616">
      <c r="B616" s="6"/>
    </row>
    <row r="617">
      <c r="B617" s="6"/>
    </row>
    <row r="618">
      <c r="B618" s="6"/>
    </row>
    <row r="619">
      <c r="B619" s="6"/>
    </row>
    <row r="620">
      <c r="B620" s="6"/>
    </row>
    <row r="621">
      <c r="B621" s="6"/>
    </row>
    <row r="622">
      <c r="B622" s="6"/>
    </row>
    <row r="623">
      <c r="B623" s="6"/>
    </row>
    <row r="624">
      <c r="B624" s="6"/>
    </row>
    <row r="625">
      <c r="B625" s="6"/>
    </row>
    <row r="626">
      <c r="B626" s="6"/>
    </row>
    <row r="627">
      <c r="B627" s="6"/>
    </row>
    <row r="628">
      <c r="B628" s="6"/>
    </row>
    <row r="629">
      <c r="B629" s="6"/>
    </row>
    <row r="630">
      <c r="B630" s="6"/>
    </row>
    <row r="631">
      <c r="B631" s="6"/>
    </row>
    <row r="632">
      <c r="B632" s="6"/>
    </row>
    <row r="633">
      <c r="B633" s="6"/>
    </row>
    <row r="634">
      <c r="B634" s="6"/>
    </row>
    <row r="635">
      <c r="B635" s="6"/>
    </row>
    <row r="636">
      <c r="B636" s="6"/>
    </row>
    <row r="637">
      <c r="B637" s="6"/>
    </row>
    <row r="638">
      <c r="B638" s="6"/>
    </row>
    <row r="639">
      <c r="B639" s="6"/>
    </row>
    <row r="640">
      <c r="B640" s="6"/>
    </row>
    <row r="641">
      <c r="B641" s="6"/>
    </row>
    <row r="642">
      <c r="B642" s="6"/>
    </row>
    <row r="643">
      <c r="B643" s="6"/>
    </row>
    <row r="644">
      <c r="B644" s="6"/>
    </row>
    <row r="645">
      <c r="B645" s="6"/>
    </row>
    <row r="646">
      <c r="B646" s="6"/>
    </row>
    <row r="647">
      <c r="B647" s="6"/>
    </row>
    <row r="648">
      <c r="B648" s="6"/>
    </row>
    <row r="649">
      <c r="B649" s="6"/>
    </row>
    <row r="650">
      <c r="B650" s="6"/>
    </row>
    <row r="651">
      <c r="B651" s="6"/>
    </row>
    <row r="652">
      <c r="B652" s="6"/>
    </row>
    <row r="653">
      <c r="B653" s="6"/>
    </row>
    <row r="654">
      <c r="B654" s="6"/>
    </row>
    <row r="655">
      <c r="B655" s="6"/>
    </row>
    <row r="656">
      <c r="B656" s="6"/>
    </row>
    <row r="657">
      <c r="B657" s="6"/>
    </row>
    <row r="658">
      <c r="B658" s="6"/>
    </row>
    <row r="659">
      <c r="B659" s="6"/>
    </row>
    <row r="660">
      <c r="B660" s="6"/>
    </row>
    <row r="661">
      <c r="B661" s="6"/>
    </row>
    <row r="662">
      <c r="B662" s="6"/>
    </row>
    <row r="663">
      <c r="B663" s="6"/>
    </row>
    <row r="664">
      <c r="B664" s="6"/>
    </row>
    <row r="665">
      <c r="B665" s="6"/>
    </row>
    <row r="666">
      <c r="B666" s="6"/>
    </row>
    <row r="667">
      <c r="B667" s="6"/>
    </row>
    <row r="668">
      <c r="B668" s="6"/>
    </row>
    <row r="669">
      <c r="B669" s="6"/>
    </row>
    <row r="670">
      <c r="B670" s="6"/>
    </row>
    <row r="671">
      <c r="B671" s="6"/>
    </row>
    <row r="672">
      <c r="B672" s="6"/>
    </row>
    <row r="673">
      <c r="B673" s="6"/>
    </row>
    <row r="674">
      <c r="B674" s="6"/>
    </row>
    <row r="675">
      <c r="B675" s="6"/>
    </row>
    <row r="676">
      <c r="B676" s="6"/>
    </row>
    <row r="677">
      <c r="B677" s="6"/>
    </row>
    <row r="678">
      <c r="B678" s="6"/>
    </row>
    <row r="679">
      <c r="B679" s="6"/>
    </row>
    <row r="680">
      <c r="B680" s="6"/>
    </row>
    <row r="681">
      <c r="B681" s="6"/>
    </row>
    <row r="682">
      <c r="B682" s="6"/>
    </row>
    <row r="683">
      <c r="B683" s="6"/>
    </row>
    <row r="684">
      <c r="B684" s="6"/>
    </row>
    <row r="685">
      <c r="B685" s="6"/>
    </row>
    <row r="686">
      <c r="B686" s="6"/>
    </row>
    <row r="687">
      <c r="B687" s="6"/>
    </row>
    <row r="688">
      <c r="B688" s="6"/>
    </row>
    <row r="689">
      <c r="B689" s="6"/>
    </row>
    <row r="690">
      <c r="B690" s="6"/>
    </row>
    <row r="691">
      <c r="B691" s="6"/>
    </row>
    <row r="692">
      <c r="B692" s="6"/>
    </row>
    <row r="693">
      <c r="B693" s="6"/>
    </row>
    <row r="694">
      <c r="B694" s="6"/>
    </row>
    <row r="695">
      <c r="B695" s="6"/>
    </row>
    <row r="696">
      <c r="B696" s="6"/>
    </row>
    <row r="697">
      <c r="B697" s="6"/>
    </row>
    <row r="698">
      <c r="B698" s="6"/>
    </row>
    <row r="699">
      <c r="B699" s="6"/>
    </row>
    <row r="700">
      <c r="B700" s="6"/>
    </row>
    <row r="701">
      <c r="B701" s="6"/>
    </row>
    <row r="702">
      <c r="B702" s="6"/>
    </row>
    <row r="703">
      <c r="B703" s="6"/>
    </row>
    <row r="704">
      <c r="B704" s="6"/>
    </row>
    <row r="705">
      <c r="B705" s="6"/>
    </row>
    <row r="706">
      <c r="B706" s="6"/>
    </row>
    <row r="707">
      <c r="B707" s="6"/>
    </row>
    <row r="708">
      <c r="B708" s="6"/>
    </row>
    <row r="709">
      <c r="B709" s="6"/>
    </row>
    <row r="710">
      <c r="B710" s="6"/>
    </row>
    <row r="711">
      <c r="B711" s="6"/>
    </row>
    <row r="712">
      <c r="B712" s="6"/>
    </row>
    <row r="713">
      <c r="B713" s="6"/>
    </row>
    <row r="714">
      <c r="B714" s="6"/>
    </row>
    <row r="715">
      <c r="B715" s="6"/>
    </row>
    <row r="716">
      <c r="B716" s="6"/>
    </row>
    <row r="717">
      <c r="B717" s="6"/>
    </row>
    <row r="718">
      <c r="B718" s="6"/>
    </row>
    <row r="719">
      <c r="B719" s="6"/>
    </row>
    <row r="720">
      <c r="B720" s="6"/>
    </row>
    <row r="721">
      <c r="B721" s="6"/>
    </row>
    <row r="722">
      <c r="B722" s="6"/>
    </row>
    <row r="723">
      <c r="B723" s="6"/>
    </row>
    <row r="724">
      <c r="B724" s="6"/>
    </row>
    <row r="725">
      <c r="B725" s="6"/>
    </row>
    <row r="726">
      <c r="B726" s="6"/>
    </row>
    <row r="727">
      <c r="B727" s="6"/>
    </row>
    <row r="728">
      <c r="B728" s="6"/>
    </row>
    <row r="729">
      <c r="B729" s="6"/>
    </row>
    <row r="730">
      <c r="B730" s="6"/>
    </row>
    <row r="731">
      <c r="B731" s="6"/>
    </row>
    <row r="732">
      <c r="B732" s="6"/>
    </row>
    <row r="733">
      <c r="B733" s="6"/>
    </row>
    <row r="734">
      <c r="B734" s="6"/>
    </row>
    <row r="735">
      <c r="B735" s="6"/>
    </row>
    <row r="736">
      <c r="B736" s="6"/>
    </row>
    <row r="737">
      <c r="B737" s="6"/>
    </row>
    <row r="738">
      <c r="B738" s="6"/>
    </row>
    <row r="739">
      <c r="B739" s="6"/>
    </row>
    <row r="740">
      <c r="B740" s="6"/>
    </row>
    <row r="741">
      <c r="B741" s="6"/>
    </row>
    <row r="742">
      <c r="B742" s="6"/>
    </row>
    <row r="743">
      <c r="B743" s="6"/>
    </row>
    <row r="744">
      <c r="B744" s="6"/>
    </row>
    <row r="745">
      <c r="B745" s="6"/>
    </row>
    <row r="746">
      <c r="B746" s="6"/>
    </row>
    <row r="747">
      <c r="B747" s="6"/>
    </row>
    <row r="748">
      <c r="B748" s="6"/>
    </row>
    <row r="749">
      <c r="B749" s="6"/>
    </row>
    <row r="750">
      <c r="B750" s="6"/>
    </row>
    <row r="751">
      <c r="B751" s="6"/>
    </row>
    <row r="752">
      <c r="B752" s="6"/>
    </row>
    <row r="753">
      <c r="B753" s="6"/>
    </row>
    <row r="754">
      <c r="B754" s="6"/>
    </row>
    <row r="755">
      <c r="B755" s="6"/>
    </row>
    <row r="756">
      <c r="B756" s="6"/>
    </row>
    <row r="757">
      <c r="B757" s="6"/>
    </row>
    <row r="758">
      <c r="B758" s="6"/>
    </row>
    <row r="759">
      <c r="B759" s="6"/>
    </row>
    <row r="760">
      <c r="B760" s="6"/>
    </row>
    <row r="761">
      <c r="B761" s="6"/>
    </row>
    <row r="762">
      <c r="B762" s="6"/>
    </row>
    <row r="763">
      <c r="B763" s="6"/>
    </row>
    <row r="764">
      <c r="B764" s="6"/>
    </row>
    <row r="765">
      <c r="B765" s="6"/>
    </row>
    <row r="766">
      <c r="B766" s="6"/>
    </row>
    <row r="767">
      <c r="B767" s="6"/>
    </row>
    <row r="768">
      <c r="B768" s="6"/>
    </row>
    <row r="769">
      <c r="B769" s="6"/>
    </row>
    <row r="770">
      <c r="B770" s="6"/>
    </row>
    <row r="771">
      <c r="B771" s="6"/>
    </row>
    <row r="772">
      <c r="B772" s="6"/>
    </row>
    <row r="773">
      <c r="B773" s="6"/>
    </row>
    <row r="774">
      <c r="B774" s="6"/>
    </row>
    <row r="775">
      <c r="B775" s="6"/>
    </row>
    <row r="776">
      <c r="B776" s="6"/>
    </row>
    <row r="777">
      <c r="B777" s="6"/>
    </row>
    <row r="778">
      <c r="B778" s="6"/>
    </row>
    <row r="779">
      <c r="B779" s="6"/>
    </row>
    <row r="780">
      <c r="B780" s="6"/>
    </row>
    <row r="781">
      <c r="B781" s="6"/>
    </row>
    <row r="782">
      <c r="B782" s="6"/>
    </row>
    <row r="783">
      <c r="B783" s="6"/>
    </row>
    <row r="784">
      <c r="B784" s="6"/>
    </row>
    <row r="785">
      <c r="B785" s="6"/>
    </row>
    <row r="786">
      <c r="B786" s="6"/>
    </row>
    <row r="787">
      <c r="B787" s="6"/>
    </row>
    <row r="788">
      <c r="B788" s="6"/>
    </row>
    <row r="789">
      <c r="B789" s="6"/>
    </row>
    <row r="790">
      <c r="B790" s="6"/>
    </row>
    <row r="791">
      <c r="B791" s="6"/>
    </row>
    <row r="792">
      <c r="B792" s="6"/>
    </row>
    <row r="793">
      <c r="B793" s="6"/>
    </row>
    <row r="794">
      <c r="B794" s="6"/>
    </row>
    <row r="795">
      <c r="B795" s="6"/>
    </row>
    <row r="796">
      <c r="B796" s="6"/>
    </row>
    <row r="797">
      <c r="B797" s="6"/>
    </row>
    <row r="798">
      <c r="B798" s="6"/>
    </row>
    <row r="799">
      <c r="B799" s="6"/>
    </row>
    <row r="800">
      <c r="B800" s="6"/>
    </row>
    <row r="801">
      <c r="B801" s="6"/>
    </row>
    <row r="802">
      <c r="B802" s="6"/>
    </row>
    <row r="803">
      <c r="B803" s="6"/>
    </row>
    <row r="804">
      <c r="B804" s="6"/>
    </row>
    <row r="805">
      <c r="B805" s="6"/>
    </row>
    <row r="806">
      <c r="B806" s="6"/>
    </row>
    <row r="807">
      <c r="B807" s="6"/>
    </row>
    <row r="808">
      <c r="B808" s="6"/>
    </row>
    <row r="809">
      <c r="B809" s="6"/>
    </row>
    <row r="810">
      <c r="B810" s="6"/>
    </row>
    <row r="811">
      <c r="B811" s="6"/>
    </row>
    <row r="812">
      <c r="B812" s="6"/>
    </row>
    <row r="813">
      <c r="B813" s="6"/>
    </row>
    <row r="814">
      <c r="B814" s="6"/>
    </row>
    <row r="815">
      <c r="B815" s="6"/>
    </row>
    <row r="816">
      <c r="B816" s="6"/>
    </row>
    <row r="817">
      <c r="B817" s="6"/>
    </row>
    <row r="818">
      <c r="B818" s="6"/>
    </row>
    <row r="819">
      <c r="B819" s="6"/>
    </row>
    <row r="820">
      <c r="B820" s="6"/>
    </row>
    <row r="821">
      <c r="B821" s="6"/>
    </row>
    <row r="822">
      <c r="B822" s="6"/>
    </row>
    <row r="823">
      <c r="B823" s="6"/>
    </row>
    <row r="824">
      <c r="B824" s="6"/>
    </row>
    <row r="825">
      <c r="B825" s="6"/>
    </row>
    <row r="826">
      <c r="B826" s="6"/>
    </row>
    <row r="827">
      <c r="B827" s="6"/>
    </row>
    <row r="828">
      <c r="B828" s="6"/>
    </row>
    <row r="829">
      <c r="B829" s="6"/>
    </row>
    <row r="830">
      <c r="B830" s="6"/>
    </row>
    <row r="831">
      <c r="B831" s="6"/>
    </row>
    <row r="832">
      <c r="B832" s="6"/>
    </row>
    <row r="833">
      <c r="B833" s="6"/>
    </row>
    <row r="834">
      <c r="B834" s="6"/>
    </row>
    <row r="835">
      <c r="B835" s="6"/>
    </row>
    <row r="836">
      <c r="B836" s="6"/>
    </row>
    <row r="837">
      <c r="B837" s="6"/>
    </row>
    <row r="838">
      <c r="B838" s="6"/>
    </row>
    <row r="839">
      <c r="B839" s="6"/>
    </row>
    <row r="840">
      <c r="B840" s="6"/>
    </row>
    <row r="841">
      <c r="B841" s="6"/>
    </row>
    <row r="842">
      <c r="B842" s="6"/>
    </row>
    <row r="843">
      <c r="B843" s="6"/>
    </row>
    <row r="844">
      <c r="B844" s="6"/>
    </row>
    <row r="845">
      <c r="B845" s="6"/>
    </row>
    <row r="846">
      <c r="B846" s="6"/>
    </row>
    <row r="847">
      <c r="B847" s="6"/>
    </row>
    <row r="848">
      <c r="B848" s="6"/>
    </row>
    <row r="849">
      <c r="B849" s="6"/>
    </row>
    <row r="850">
      <c r="B850" s="6"/>
    </row>
    <row r="851">
      <c r="B851" s="6"/>
    </row>
    <row r="852">
      <c r="B852" s="6"/>
    </row>
    <row r="853">
      <c r="B853" s="6"/>
    </row>
    <row r="854">
      <c r="B854" s="6"/>
    </row>
    <row r="855">
      <c r="B855" s="6"/>
    </row>
    <row r="856">
      <c r="B856" s="6"/>
    </row>
    <row r="857">
      <c r="B857" s="6"/>
    </row>
    <row r="858">
      <c r="B858" s="6"/>
    </row>
    <row r="859">
      <c r="B859" s="6"/>
    </row>
    <row r="860">
      <c r="B860" s="6"/>
    </row>
    <row r="861">
      <c r="B861" s="6"/>
    </row>
    <row r="862">
      <c r="B862" s="6"/>
    </row>
    <row r="863">
      <c r="B863" s="6"/>
    </row>
    <row r="864">
      <c r="B864" s="6"/>
    </row>
    <row r="865">
      <c r="B865" s="6"/>
    </row>
    <row r="866">
      <c r="B866" s="6"/>
    </row>
    <row r="867">
      <c r="B867" s="6"/>
    </row>
    <row r="868">
      <c r="B868" s="6"/>
    </row>
    <row r="869">
      <c r="B869" s="6"/>
    </row>
    <row r="870">
      <c r="B870" s="6"/>
    </row>
    <row r="871">
      <c r="B871" s="6"/>
    </row>
    <row r="872">
      <c r="B872" s="6"/>
    </row>
    <row r="873">
      <c r="B873" s="6"/>
    </row>
    <row r="874">
      <c r="B874" s="6"/>
    </row>
    <row r="875">
      <c r="B875" s="6"/>
    </row>
    <row r="876">
      <c r="B876" s="6"/>
    </row>
    <row r="877">
      <c r="B877" s="6"/>
    </row>
    <row r="878">
      <c r="B878" s="6"/>
    </row>
    <row r="879">
      <c r="B879" s="6"/>
    </row>
    <row r="880">
      <c r="B880" s="6"/>
    </row>
    <row r="881">
      <c r="B881" s="6"/>
    </row>
    <row r="882">
      <c r="B882" s="6"/>
    </row>
    <row r="883">
      <c r="B883" s="6"/>
    </row>
    <row r="884">
      <c r="B884" s="6"/>
    </row>
    <row r="885">
      <c r="B885" s="6"/>
    </row>
    <row r="886">
      <c r="B886" s="6"/>
    </row>
    <row r="887">
      <c r="B887" s="6"/>
    </row>
    <row r="888">
      <c r="B888" s="6"/>
    </row>
    <row r="889">
      <c r="B889" s="6"/>
    </row>
    <row r="890">
      <c r="B890" s="6"/>
    </row>
    <row r="891">
      <c r="B891" s="6"/>
    </row>
    <row r="892">
      <c r="B892" s="6"/>
    </row>
    <row r="893">
      <c r="B893" s="6"/>
    </row>
    <row r="894">
      <c r="B894" s="6"/>
    </row>
    <row r="895">
      <c r="B895" s="6"/>
    </row>
    <row r="896">
      <c r="B896" s="6"/>
    </row>
    <row r="897">
      <c r="B897" s="6"/>
    </row>
    <row r="898">
      <c r="B898" s="6"/>
    </row>
    <row r="899">
      <c r="B899" s="6"/>
    </row>
    <row r="900">
      <c r="B900" s="6"/>
    </row>
    <row r="901">
      <c r="B901" s="6"/>
    </row>
    <row r="902">
      <c r="B902" s="6"/>
    </row>
    <row r="903">
      <c r="B903" s="6"/>
    </row>
    <row r="904">
      <c r="B904" s="6"/>
    </row>
    <row r="905">
      <c r="B905" s="6"/>
    </row>
    <row r="906">
      <c r="B906" s="6"/>
    </row>
    <row r="907">
      <c r="B907" s="6"/>
    </row>
    <row r="908">
      <c r="B908" s="6"/>
    </row>
    <row r="909">
      <c r="B909" s="6"/>
    </row>
    <row r="910">
      <c r="B910" s="6"/>
    </row>
    <row r="911">
      <c r="B911" s="6"/>
    </row>
    <row r="912">
      <c r="B912" s="6"/>
    </row>
    <row r="913">
      <c r="B913" s="6"/>
    </row>
    <row r="914">
      <c r="B914" s="6"/>
    </row>
    <row r="915">
      <c r="B915" s="6"/>
    </row>
    <row r="916">
      <c r="B916" s="6"/>
    </row>
    <row r="917">
      <c r="B917" s="6"/>
    </row>
    <row r="918">
      <c r="B918" s="6"/>
    </row>
    <row r="919">
      <c r="B919" s="6"/>
    </row>
    <row r="920">
      <c r="B920" s="6"/>
    </row>
    <row r="921">
      <c r="B921" s="6"/>
    </row>
    <row r="922">
      <c r="B922" s="6"/>
    </row>
    <row r="923">
      <c r="B923" s="6"/>
    </row>
    <row r="924">
      <c r="B924" s="6"/>
    </row>
    <row r="925">
      <c r="B925" s="6"/>
    </row>
    <row r="926">
      <c r="B926" s="6"/>
    </row>
    <row r="927">
      <c r="B927" s="6"/>
    </row>
    <row r="928">
      <c r="B928" s="6"/>
    </row>
    <row r="929">
      <c r="B929" s="6"/>
    </row>
    <row r="930">
      <c r="B930" s="6"/>
    </row>
    <row r="931">
      <c r="B931" s="6"/>
    </row>
    <row r="932">
      <c r="B932" s="6"/>
    </row>
    <row r="933">
      <c r="B933" s="6"/>
    </row>
    <row r="934">
      <c r="B934" s="6"/>
    </row>
    <row r="935">
      <c r="B935" s="6"/>
    </row>
    <row r="936">
      <c r="B936" s="6"/>
    </row>
    <row r="937">
      <c r="B937" s="6"/>
    </row>
    <row r="938">
      <c r="B938" s="6"/>
    </row>
    <row r="939">
      <c r="B939" s="6"/>
    </row>
    <row r="940">
      <c r="B940" s="6"/>
    </row>
    <row r="941">
      <c r="B941" s="6"/>
    </row>
    <row r="942">
      <c r="B942" s="6"/>
    </row>
    <row r="943">
      <c r="B943" s="6"/>
    </row>
    <row r="944">
      <c r="B944" s="6"/>
    </row>
    <row r="945">
      <c r="B945" s="6"/>
    </row>
    <row r="946">
      <c r="B946" s="6"/>
    </row>
    <row r="947">
      <c r="B947" s="6"/>
    </row>
    <row r="948">
      <c r="B948" s="6"/>
    </row>
    <row r="949">
      <c r="B949" s="6"/>
    </row>
    <row r="950">
      <c r="B950" s="6"/>
    </row>
    <row r="951">
      <c r="B951" s="6"/>
    </row>
    <row r="952">
      <c r="B952" s="6"/>
    </row>
    <row r="953">
      <c r="B953" s="6"/>
    </row>
    <row r="954">
      <c r="B954" s="6"/>
    </row>
    <row r="955">
      <c r="B955" s="6"/>
    </row>
    <row r="956">
      <c r="B956" s="6"/>
    </row>
    <row r="957">
      <c r="B957" s="6"/>
    </row>
    <row r="958">
      <c r="B958" s="6"/>
    </row>
    <row r="959">
      <c r="B959" s="6"/>
    </row>
    <row r="960">
      <c r="B960" s="6"/>
    </row>
    <row r="961">
      <c r="B961" s="6"/>
    </row>
    <row r="962">
      <c r="B962" s="6"/>
    </row>
    <row r="963">
      <c r="B963" s="6"/>
    </row>
    <row r="964">
      <c r="B964" s="6"/>
    </row>
    <row r="965">
      <c r="B965" s="6"/>
    </row>
    <row r="966">
      <c r="B966" s="6"/>
    </row>
    <row r="967">
      <c r="B967" s="6"/>
    </row>
    <row r="968">
      <c r="B968" s="6"/>
    </row>
    <row r="969">
      <c r="B969" s="6"/>
    </row>
    <row r="970">
      <c r="B970" s="6"/>
    </row>
    <row r="971">
      <c r="B971" s="6"/>
    </row>
    <row r="972">
      <c r="B972" s="6"/>
    </row>
    <row r="973">
      <c r="B973" s="6"/>
    </row>
    <row r="974">
      <c r="B974" s="6"/>
    </row>
    <row r="975">
      <c r="B975" s="6"/>
    </row>
    <row r="976">
      <c r="B976" s="6"/>
    </row>
    <row r="977">
      <c r="B977" s="6"/>
    </row>
    <row r="978">
      <c r="B978" s="6"/>
    </row>
    <row r="979">
      <c r="B979" s="6"/>
    </row>
    <row r="980">
      <c r="B980" s="6"/>
    </row>
    <row r="981">
      <c r="B981" s="6"/>
    </row>
    <row r="982">
      <c r="B982" s="20"/>
    </row>
    <row r="983">
      <c r="B983" s="20"/>
    </row>
    <row r="984">
      <c r="B984" s="20"/>
    </row>
    <row r="985">
      <c r="B985" s="20"/>
    </row>
    <row r="986">
      <c r="B986" s="20"/>
    </row>
    <row r="987">
      <c r="B987" s="20"/>
    </row>
    <row r="988">
      <c r="B988" s="20"/>
    </row>
    <row r="989">
      <c r="B989" s="20"/>
    </row>
    <row r="990">
      <c r="B990" s="20"/>
    </row>
    <row r="991">
      <c r="B991" s="20"/>
    </row>
    <row r="992">
      <c r="B992" s="20"/>
    </row>
    <row r="993">
      <c r="B993" s="20"/>
    </row>
    <row r="994">
      <c r="B994" s="20"/>
    </row>
    <row r="995">
      <c r="B995" s="20"/>
    </row>
    <row r="996">
      <c r="B996" s="20"/>
    </row>
    <row r="997">
      <c r="B997" s="20"/>
    </row>
    <row r="998">
      <c r="B998" s="20"/>
    </row>
    <row r="999">
      <c r="B999" s="20"/>
    </row>
    <row r="1000">
      <c r="B1000" s="20"/>
    </row>
    <row r="1001">
      <c r="B1001" s="20"/>
    </row>
    <row r="1002">
      <c r="B1002" s="20"/>
    </row>
    <row r="1003">
      <c r="B1003" s="20"/>
    </row>
    <row r="1004">
      <c r="B1004" s="20"/>
    </row>
    <row r="1005">
      <c r="B1005" s="20"/>
    </row>
    <row r="1006">
      <c r="B1006" s="20"/>
    </row>
    <row r="1007">
      <c r="B1007" s="20"/>
    </row>
    <row r="1008">
      <c r="B1008" s="20"/>
    </row>
    <row r="1009">
      <c r="B1009" s="20"/>
    </row>
    <row r="1010">
      <c r="B1010" s="20"/>
    </row>
    <row r="1011">
      <c r="B1011" s="20"/>
    </row>
    <row r="1012">
      <c r="B1012" s="20"/>
    </row>
    <row r="1013">
      <c r="B1013" s="20"/>
    </row>
    <row r="1014">
      <c r="B1014" s="20"/>
    </row>
    <row r="1015">
      <c r="B1015" s="20"/>
    </row>
    <row r="1016">
      <c r="B1016" s="20"/>
    </row>
    <row r="1017">
      <c r="B1017" s="20"/>
    </row>
    <row r="1018">
      <c r="B1018" s="20"/>
    </row>
    <row r="1019">
      <c r="B1019" s="20"/>
    </row>
    <row r="1020">
      <c r="B1020" s="20"/>
    </row>
    <row r="1021">
      <c r="B1021" s="20"/>
    </row>
    <row r="1022">
      <c r="B1022" s="20"/>
    </row>
    <row r="1023">
      <c r="B1023" s="20"/>
    </row>
    <row r="1024">
      <c r="B1024" s="20"/>
    </row>
    <row r="1025">
      <c r="B1025" s="20"/>
    </row>
    <row r="1026">
      <c r="B1026" s="20"/>
    </row>
    <row r="1027">
      <c r="B1027" s="20"/>
    </row>
    <row r="1028">
      <c r="B1028" s="20"/>
    </row>
    <row r="1029">
      <c r="B1029" s="20"/>
    </row>
    <row r="1030">
      <c r="B1030" s="20"/>
    </row>
    <row r="1031">
      <c r="B1031" s="20"/>
    </row>
    <row r="1032">
      <c r="B1032" s="20"/>
    </row>
    <row r="1033">
      <c r="B1033" s="20"/>
    </row>
    <row r="1034">
      <c r="B1034" s="20"/>
    </row>
    <row r="1035">
      <c r="B1035" s="20"/>
    </row>
    <row r="1036">
      <c r="B1036" s="20"/>
    </row>
    <row r="1037">
      <c r="B1037" s="20"/>
    </row>
    <row r="1038">
      <c r="B1038" s="20"/>
    </row>
    <row r="1039">
      <c r="B1039" s="20"/>
    </row>
    <row r="1040">
      <c r="B1040" s="20"/>
    </row>
    <row r="1041">
      <c r="B1041" s="20"/>
    </row>
    <row r="1042">
      <c r="B1042" s="20"/>
    </row>
    <row r="1043">
      <c r="B1043" s="20"/>
    </row>
    <row r="1044">
      <c r="B1044" s="20"/>
    </row>
    <row r="1045">
      <c r="B1045" s="20"/>
    </row>
    <row r="1046">
      <c r="B1046" s="20"/>
    </row>
    <row r="1047">
      <c r="B1047" s="20"/>
    </row>
    <row r="1048">
      <c r="B1048" s="20"/>
    </row>
    <row r="1049">
      <c r="B1049" s="20"/>
    </row>
    <row r="1050">
      <c r="B1050" s="20"/>
    </row>
    <row r="1051">
      <c r="B1051" s="20"/>
    </row>
    <row r="1052">
      <c r="B1052" s="20"/>
    </row>
    <row r="1053">
      <c r="B1053" s="20"/>
    </row>
    <row r="1054">
      <c r="B1054" s="20"/>
    </row>
    <row r="1055">
      <c r="B1055" s="20"/>
    </row>
    <row r="1056">
      <c r="B1056" s="20"/>
    </row>
    <row r="1057">
      <c r="B1057" s="20"/>
    </row>
    <row r="1058">
      <c r="B1058" s="20"/>
    </row>
    <row r="1059">
      <c r="B1059" s="20"/>
    </row>
    <row r="1060">
      <c r="B1060" s="20"/>
    </row>
    <row r="1061">
      <c r="B1061" s="20"/>
    </row>
    <row r="1062">
      <c r="B1062" s="20"/>
    </row>
    <row r="1063">
      <c r="B1063" s="20"/>
    </row>
    <row r="1064">
      <c r="B1064" s="20"/>
    </row>
    <row r="1065">
      <c r="B1065" s="20"/>
    </row>
    <row r="1066">
      <c r="B1066" s="20"/>
    </row>
    <row r="1067">
      <c r="B1067" s="20"/>
    </row>
    <row r="1068">
      <c r="B1068" s="20"/>
    </row>
    <row r="1069">
      <c r="B1069" s="20"/>
    </row>
    <row r="1070">
      <c r="B1070" s="20"/>
    </row>
    <row r="1071">
      <c r="B1071" s="20"/>
    </row>
    <row r="1072">
      <c r="B1072" s="20"/>
    </row>
    <row r="1073">
      <c r="B1073" s="20"/>
    </row>
    <row r="1074">
      <c r="B1074" s="20"/>
    </row>
    <row r="1075">
      <c r="B1075" s="20"/>
    </row>
    <row r="1076">
      <c r="B1076" s="20"/>
    </row>
    <row r="1077">
      <c r="B1077" s="20"/>
    </row>
    <row r="1078">
      <c r="B1078" s="20"/>
    </row>
    <row r="1079">
      <c r="B1079" s="20"/>
    </row>
    <row r="1080">
      <c r="B1080" s="20"/>
    </row>
    <row r="1081">
      <c r="B1081" s="20"/>
    </row>
    <row r="1082">
      <c r="B1082" s="20"/>
    </row>
    <row r="1083">
      <c r="B1083" s="20"/>
    </row>
    <row r="1084">
      <c r="B1084" s="20"/>
    </row>
    <row r="1085">
      <c r="B1085" s="20"/>
    </row>
    <row r="1086">
      <c r="B1086" s="20"/>
    </row>
    <row r="1087">
      <c r="B1087" s="20"/>
    </row>
    <row r="1088">
      <c r="B1088" s="20"/>
    </row>
    <row r="1089">
      <c r="B1089" s="20"/>
    </row>
    <row r="1090">
      <c r="B1090" s="20"/>
    </row>
    <row r="1091">
      <c r="B1091" s="20"/>
    </row>
    <row r="1092">
      <c r="B1092" s="20"/>
    </row>
    <row r="1093">
      <c r="B1093" s="20"/>
    </row>
    <row r="1094">
      <c r="B1094" s="20"/>
    </row>
    <row r="1095">
      <c r="B1095" s="20"/>
    </row>
    <row r="1096">
      <c r="B1096" s="20"/>
    </row>
    <row r="1097">
      <c r="B1097" s="20"/>
    </row>
    <row r="1098">
      <c r="B1098" s="20"/>
    </row>
    <row r="1099">
      <c r="B1099" s="20"/>
    </row>
    <row r="1100">
      <c r="B1100" s="20"/>
    </row>
    <row r="1101">
      <c r="B1101" s="20"/>
    </row>
    <row r="1102">
      <c r="B1102" s="20"/>
    </row>
    <row r="1103">
      <c r="B1103" s="20"/>
    </row>
    <row r="1104">
      <c r="B1104" s="20"/>
    </row>
    <row r="1105">
      <c r="B1105" s="20"/>
    </row>
    <row r="1106">
      <c r="B1106" s="20"/>
    </row>
    <row r="1107">
      <c r="B1107" s="20"/>
    </row>
    <row r="1108">
      <c r="B1108" s="20"/>
    </row>
    <row r="1109">
      <c r="B1109" s="20"/>
    </row>
    <row r="1110">
      <c r="B1110" s="20"/>
    </row>
    <row r="1111">
      <c r="B1111" s="20"/>
    </row>
    <row r="1112">
      <c r="B1112" s="20"/>
    </row>
    <row r="1113">
      <c r="B1113" s="20"/>
    </row>
    <row r="1114">
      <c r="B1114" s="20"/>
    </row>
    <row r="1115">
      <c r="B1115" s="20"/>
    </row>
    <row r="1116">
      <c r="B1116" s="20"/>
    </row>
    <row r="1117">
      <c r="B1117" s="20"/>
    </row>
    <row r="1118">
      <c r="B1118" s="20"/>
    </row>
    <row r="1119">
      <c r="B1119" s="20"/>
    </row>
    <row r="1120">
      <c r="B1120" s="20"/>
    </row>
    <row r="1121">
      <c r="B1121" s="20"/>
    </row>
    <row r="1122">
      <c r="B1122" s="20"/>
    </row>
    <row r="1123">
      <c r="B1123" s="20"/>
    </row>
    <row r="1124">
      <c r="B1124" s="20"/>
    </row>
    <row r="1125">
      <c r="B1125" s="20"/>
    </row>
    <row r="1126">
      <c r="B1126" s="20"/>
    </row>
    <row r="1127">
      <c r="B1127" s="20"/>
    </row>
    <row r="1128">
      <c r="B1128" s="20"/>
    </row>
    <row r="1129">
      <c r="B1129" s="20"/>
    </row>
    <row r="1130">
      <c r="B1130" s="20"/>
    </row>
    <row r="1131">
      <c r="B1131" s="20"/>
    </row>
    <row r="1132">
      <c r="B1132" s="20"/>
    </row>
    <row r="1133">
      <c r="B1133" s="20"/>
    </row>
    <row r="1134">
      <c r="B1134" s="20"/>
    </row>
    <row r="1135">
      <c r="B1135" s="20"/>
    </row>
    <row r="1136">
      <c r="B1136" s="20"/>
    </row>
    <row r="1137">
      <c r="B1137" s="20"/>
    </row>
    <row r="1138">
      <c r="B1138" s="20"/>
    </row>
    <row r="1139">
      <c r="B1139" s="20"/>
    </row>
    <row r="1140">
      <c r="B1140" s="20"/>
    </row>
    <row r="1141">
      <c r="B1141" s="20"/>
    </row>
    <row r="1142">
      <c r="B1142" s="20"/>
    </row>
    <row r="1143">
      <c r="B1143" s="20"/>
    </row>
    <row r="1144">
      <c r="B1144" s="20"/>
    </row>
    <row r="1145">
      <c r="B1145" s="20"/>
    </row>
    <row r="1146">
      <c r="B1146" s="20"/>
    </row>
    <row r="1147">
      <c r="B1147" s="20"/>
    </row>
    <row r="1148">
      <c r="B1148" s="20"/>
    </row>
    <row r="1149">
      <c r="B1149" s="20"/>
    </row>
    <row r="1150">
      <c r="B1150" s="20"/>
    </row>
    <row r="1151">
      <c r="B1151" s="20"/>
    </row>
    <row r="1152">
      <c r="B1152" s="20"/>
    </row>
    <row r="1153">
      <c r="B1153" s="20"/>
    </row>
    <row r="1154">
      <c r="B1154" s="20"/>
    </row>
    <row r="1155">
      <c r="B1155" s="20"/>
    </row>
    <row r="1156">
      <c r="B1156" s="20"/>
    </row>
    <row r="1157">
      <c r="B1157" s="20"/>
    </row>
    <row r="1158">
      <c r="B1158" s="20"/>
    </row>
    <row r="1159">
      <c r="B1159" s="20"/>
    </row>
    <row r="1160">
      <c r="B1160" s="20"/>
    </row>
    <row r="1161">
      <c r="B1161" s="20"/>
    </row>
    <row r="1162">
      <c r="B1162" s="20"/>
    </row>
    <row r="1163">
      <c r="B1163" s="20"/>
    </row>
    <row r="1164">
      <c r="B1164" s="20"/>
    </row>
    <row r="1165">
      <c r="B1165" s="20"/>
    </row>
    <row r="1166">
      <c r="B1166" s="20"/>
    </row>
    <row r="1167">
      <c r="B1167" s="20"/>
    </row>
    <row r="1168">
      <c r="B1168" s="20"/>
    </row>
    <row r="1169">
      <c r="B1169" s="20"/>
    </row>
    <row r="1170">
      <c r="B1170" s="20"/>
    </row>
    <row r="1171">
      <c r="B1171" s="20"/>
    </row>
    <row r="1172">
      <c r="B1172" s="20"/>
    </row>
    <row r="1173">
      <c r="B1173" s="20"/>
    </row>
    <row r="1174">
      <c r="B1174" s="20"/>
    </row>
    <row r="1175">
      <c r="B1175" s="20"/>
    </row>
    <row r="1176">
      <c r="B1176" s="20"/>
    </row>
    <row r="1177">
      <c r="B1177" s="20"/>
    </row>
    <row r="1178">
      <c r="B1178" s="20"/>
    </row>
    <row r="1179">
      <c r="B1179" s="20"/>
    </row>
    <row r="1180">
      <c r="B1180" s="20"/>
    </row>
    <row r="1181">
      <c r="B1181" s="20"/>
    </row>
    <row r="1182">
      <c r="B1182" s="20"/>
    </row>
    <row r="1183">
      <c r="B1183" s="20"/>
    </row>
    <row r="1184">
      <c r="B1184" s="20"/>
    </row>
    <row r="1185">
      <c r="B1185" s="20"/>
    </row>
    <row r="1186">
      <c r="B1186" s="20"/>
    </row>
    <row r="1187">
      <c r="B1187" s="20"/>
    </row>
    <row r="1188">
      <c r="B1188" s="20"/>
    </row>
  </sheetData>
  <autoFilter ref="$A$2:$Z$1188">
    <sortState ref="A2:Z1188">
      <sortCondition descending="1" ref="B2:B1188"/>
      <sortCondition descending="1" ref="A2:A1188"/>
    </sortState>
  </autoFilter>
  <printOptions gridLines="1" horizontalCentered="1"/>
  <pageMargins bottom="0.75" footer="0.0" header="0.0" left="0.7" right="0.7" top="0.75"/>
  <pageSetup fitToHeight="0" cellComments="atEnd" orientation="portrait" pageOrder="overThenDown" paperHeight="40in" paperWidth="11i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4.29"/>
    <col customWidth="1" min="3" max="3" width="1.57"/>
    <col customWidth="1" min="4" max="4" width="3.71"/>
    <col customWidth="1" min="5" max="5" width="31.29"/>
    <col customWidth="1" min="6" max="6" width="7.0"/>
    <col customWidth="1" min="7" max="7" width="1.57"/>
    <col customWidth="1" min="8" max="8" width="5.71"/>
    <col customWidth="1" min="9" max="9" width="34.43"/>
    <col customWidth="1" min="10" max="10" width="4.29"/>
  </cols>
  <sheetData>
    <row r="1" ht="22.5" customHeight="1">
      <c r="A1" s="21"/>
      <c r="B1" s="21"/>
      <c r="C1" s="21"/>
      <c r="D1" s="21"/>
      <c r="E1" s="21"/>
      <c r="F1" s="21"/>
      <c r="G1" s="21"/>
      <c r="H1" s="21"/>
      <c r="I1" s="22"/>
      <c r="J1" s="22"/>
    </row>
    <row r="2">
      <c r="A2" s="21"/>
      <c r="B2" s="23"/>
      <c r="C2" s="24"/>
      <c r="D2" s="24"/>
      <c r="E2" s="24"/>
      <c r="F2" s="24"/>
      <c r="G2" s="24"/>
      <c r="H2" s="24"/>
      <c r="I2" s="25"/>
      <c r="J2" s="22"/>
    </row>
    <row r="3" ht="49.5" customHeight="1">
      <c r="A3" s="21"/>
      <c r="B3" s="26"/>
      <c r="C3" s="27"/>
      <c r="D3" s="27"/>
      <c r="E3" s="27"/>
      <c r="F3" s="27"/>
      <c r="G3" s="28"/>
      <c r="H3" s="27"/>
      <c r="I3" s="29"/>
      <c r="J3" s="22"/>
    </row>
    <row r="4">
      <c r="A4" s="21"/>
      <c r="B4" s="26"/>
      <c r="C4" s="28"/>
      <c r="D4" s="28"/>
      <c r="E4" s="28"/>
      <c r="F4" s="28"/>
      <c r="G4" s="28"/>
      <c r="H4" s="30"/>
      <c r="I4" s="31"/>
      <c r="J4" s="22"/>
    </row>
    <row r="5" ht="31.5" customHeight="1">
      <c r="A5" s="21"/>
      <c r="B5" s="32"/>
      <c r="C5" s="33"/>
      <c r="D5" s="33"/>
      <c r="E5" s="33"/>
      <c r="F5" s="33"/>
      <c r="G5" s="34"/>
      <c r="H5" s="35"/>
      <c r="I5" s="36"/>
      <c r="J5" s="22"/>
    </row>
    <row r="6">
      <c r="A6" s="21"/>
      <c r="B6" s="37"/>
      <c r="C6" s="21"/>
      <c r="D6" s="21"/>
      <c r="E6" s="38" t="s">
        <v>387</v>
      </c>
      <c r="F6" s="39">
        <f>'Total Impact Hours so far'!B1</f>
        <v>8540.893491</v>
      </c>
      <c r="G6" s="40"/>
      <c r="H6" s="40"/>
      <c r="I6" s="41"/>
      <c r="J6" s="22"/>
    </row>
    <row r="7" ht="28.5" customHeight="1">
      <c r="A7" s="42"/>
      <c r="B7" s="43"/>
      <c r="C7" s="44"/>
      <c r="D7" s="44"/>
      <c r="E7" s="44"/>
      <c r="F7" s="45"/>
      <c r="G7" s="45"/>
      <c r="H7" s="45"/>
      <c r="I7" s="46"/>
      <c r="J7" s="47"/>
      <c r="K7" s="48"/>
      <c r="L7" s="48"/>
      <c r="M7" s="48"/>
      <c r="N7" s="48"/>
      <c r="O7" s="48"/>
      <c r="P7" s="48"/>
      <c r="Q7" s="48"/>
      <c r="R7" s="48"/>
      <c r="S7" s="48"/>
      <c r="T7" s="48"/>
      <c r="U7" s="48"/>
      <c r="V7" s="48"/>
      <c r="W7" s="48"/>
      <c r="X7" s="48"/>
      <c r="Y7" s="48"/>
      <c r="Z7" s="48"/>
      <c r="AA7" s="48"/>
      <c r="AB7" s="48"/>
      <c r="AC7" s="48"/>
      <c r="AD7" s="48"/>
      <c r="AE7" s="48"/>
      <c r="AF7" s="48"/>
      <c r="AG7" s="48"/>
    </row>
    <row r="8" ht="30.75" customHeight="1">
      <c r="A8" s="42"/>
      <c r="B8" s="49"/>
      <c r="C8" s="50"/>
      <c r="D8" s="50"/>
      <c r="E8" s="51" t="s">
        <v>388</v>
      </c>
      <c r="F8" s="52"/>
      <c r="G8" s="52"/>
      <c r="H8" s="52"/>
      <c r="I8" s="53" t="s">
        <v>2</v>
      </c>
      <c r="J8" s="47"/>
      <c r="K8" s="48"/>
      <c r="L8" s="48"/>
      <c r="M8" s="48"/>
      <c r="N8" s="48"/>
      <c r="O8" s="48"/>
      <c r="P8" s="48"/>
      <c r="Q8" s="48"/>
      <c r="R8" s="48"/>
      <c r="S8" s="48"/>
      <c r="T8" s="48"/>
      <c r="U8" s="48"/>
      <c r="V8" s="48"/>
      <c r="W8" s="48"/>
      <c r="X8" s="48"/>
      <c r="Y8" s="48"/>
      <c r="Z8" s="48"/>
      <c r="AA8" s="48"/>
      <c r="AB8" s="48"/>
      <c r="AC8" s="48"/>
      <c r="AD8" s="48"/>
      <c r="AE8" s="48"/>
      <c r="AF8" s="48"/>
      <c r="AG8" s="48"/>
    </row>
    <row r="9" ht="15.75" customHeight="1">
      <c r="A9" s="54"/>
      <c r="B9" s="55"/>
      <c r="C9" s="56"/>
      <c r="D9" s="56"/>
      <c r="E9" s="56"/>
      <c r="F9" s="57"/>
      <c r="G9" s="58"/>
      <c r="H9" s="58"/>
      <c r="I9" s="59"/>
      <c r="J9" s="47"/>
      <c r="K9" s="48"/>
      <c r="L9" s="48"/>
      <c r="M9" s="48"/>
      <c r="N9" s="48"/>
      <c r="O9" s="48"/>
      <c r="P9" s="48"/>
      <c r="Q9" s="48"/>
      <c r="R9" s="48"/>
      <c r="S9" s="48"/>
      <c r="T9" s="48"/>
      <c r="U9" s="48"/>
      <c r="V9" s="48"/>
      <c r="W9" s="48"/>
      <c r="X9" s="48"/>
      <c r="Y9" s="48"/>
      <c r="Z9" s="48"/>
      <c r="AA9" s="48"/>
      <c r="AB9" s="48"/>
      <c r="AC9" s="48"/>
      <c r="AD9" s="48"/>
      <c r="AE9" s="48"/>
      <c r="AF9" s="48"/>
      <c r="AG9" s="48"/>
    </row>
    <row r="10" ht="26.25" customHeight="1">
      <c r="A10" s="60"/>
      <c r="B10" s="61"/>
      <c r="C10" s="62"/>
      <c r="D10" s="63" t="s">
        <v>389</v>
      </c>
      <c r="E10" s="64" t="str">
        <f>'Total Impact Hours so far'!A3</f>
        <v>zeptimusq</v>
      </c>
      <c r="F10" s="65"/>
      <c r="G10" s="66"/>
      <c r="H10" s="67" t="s">
        <v>390</v>
      </c>
      <c r="I10" s="68">
        <f>'Total Impact Hours so far'!B3</f>
        <v>598.0581662</v>
      </c>
      <c r="J10" s="47"/>
      <c r="K10" s="48"/>
      <c r="L10" s="48"/>
      <c r="M10" s="48"/>
      <c r="N10" s="48"/>
      <c r="O10" s="48"/>
      <c r="P10" s="48"/>
      <c r="Q10" s="48"/>
      <c r="R10" s="48"/>
      <c r="S10" s="48"/>
      <c r="T10" s="48"/>
      <c r="U10" s="48"/>
      <c r="V10" s="48"/>
      <c r="W10" s="48"/>
      <c r="X10" s="48"/>
      <c r="Y10" s="48"/>
      <c r="Z10" s="48"/>
      <c r="AA10" s="48"/>
      <c r="AB10" s="48"/>
      <c r="AC10" s="48"/>
      <c r="AD10" s="48"/>
      <c r="AE10" s="48"/>
      <c r="AF10" s="48"/>
      <c r="AG10" s="48"/>
    </row>
    <row r="11" ht="26.25" customHeight="1">
      <c r="A11" s="60"/>
      <c r="B11" s="61"/>
      <c r="C11" s="62"/>
      <c r="D11" s="63" t="s">
        <v>389</v>
      </c>
      <c r="E11" s="64" t="str">
        <f>'Total Impact Hours so far'!A4</f>
        <v>santigs67</v>
      </c>
      <c r="F11" s="65"/>
      <c r="G11" s="66"/>
      <c r="H11" s="67" t="s">
        <v>390</v>
      </c>
      <c r="I11" s="68">
        <f>'Total Impact Hours so far'!B4</f>
        <v>526.1360623</v>
      </c>
      <c r="J11" s="47"/>
      <c r="K11" s="48"/>
      <c r="L11" s="48"/>
      <c r="M11" s="48"/>
      <c r="N11" s="48"/>
      <c r="O11" s="48"/>
      <c r="P11" s="48"/>
      <c r="Q11" s="48"/>
      <c r="R11" s="48"/>
      <c r="S11" s="48"/>
      <c r="T11" s="48"/>
      <c r="U11" s="48"/>
      <c r="V11" s="48"/>
      <c r="W11" s="48"/>
      <c r="X11" s="48"/>
      <c r="Y11" s="48"/>
      <c r="Z11" s="48"/>
      <c r="AA11" s="48"/>
      <c r="AB11" s="48"/>
      <c r="AC11" s="48"/>
      <c r="AD11" s="48"/>
      <c r="AE11" s="48"/>
      <c r="AF11" s="48"/>
      <c r="AG11" s="48"/>
    </row>
    <row r="12" ht="26.25" customHeight="1">
      <c r="A12" s="60"/>
      <c r="B12" s="61"/>
      <c r="C12" s="62"/>
      <c r="D12" s="63" t="s">
        <v>389</v>
      </c>
      <c r="E12" s="64" t="str">
        <f>'Total Impact Hours so far'!A5</f>
        <v>cranders71</v>
      </c>
      <c r="F12" s="65"/>
      <c r="G12" s="66"/>
      <c r="H12" s="67" t="s">
        <v>390</v>
      </c>
      <c r="I12" s="68">
        <f>'Total Impact Hours so far'!B5</f>
        <v>341.2257713</v>
      </c>
      <c r="J12" s="47"/>
      <c r="K12" s="48"/>
      <c r="L12" s="48"/>
      <c r="M12" s="48"/>
      <c r="N12" s="48"/>
      <c r="O12" s="48"/>
      <c r="P12" s="48"/>
      <c r="Q12" s="48"/>
      <c r="R12" s="48"/>
      <c r="S12" s="48"/>
      <c r="T12" s="48"/>
      <c r="U12" s="48"/>
      <c r="V12" s="48"/>
      <c r="W12" s="48"/>
      <c r="X12" s="48"/>
      <c r="Y12" s="48"/>
      <c r="Z12" s="48"/>
      <c r="AA12" s="48"/>
      <c r="AB12" s="48"/>
      <c r="AC12" s="48"/>
      <c r="AD12" s="48"/>
      <c r="AE12" s="48"/>
      <c r="AF12" s="48"/>
      <c r="AG12" s="48"/>
    </row>
    <row r="13" ht="26.25" customHeight="1">
      <c r="A13" s="69"/>
      <c r="B13" s="70"/>
      <c r="C13" s="71"/>
      <c r="D13" s="63" t="s">
        <v>389</v>
      </c>
      <c r="E13" s="64" t="str">
        <f>'Total Impact Hours so far'!A6</f>
        <v>sembrestels</v>
      </c>
      <c r="F13" s="65"/>
      <c r="G13" s="66"/>
      <c r="H13" s="67" t="s">
        <v>390</v>
      </c>
      <c r="I13" s="68">
        <f>'Total Impact Hours so far'!B6</f>
        <v>320.9188491</v>
      </c>
      <c r="J13" s="47"/>
      <c r="K13" s="48"/>
      <c r="L13" s="48"/>
      <c r="M13" s="48"/>
      <c r="N13" s="48"/>
      <c r="O13" s="48"/>
      <c r="P13" s="48"/>
      <c r="Q13" s="48"/>
      <c r="R13" s="48"/>
      <c r="S13" s="48"/>
      <c r="T13" s="48"/>
      <c r="U13" s="48"/>
      <c r="V13" s="48"/>
      <c r="W13" s="48"/>
      <c r="X13" s="48"/>
      <c r="Y13" s="48"/>
      <c r="Z13" s="48"/>
      <c r="AA13" s="48"/>
      <c r="AB13" s="48"/>
      <c r="AC13" s="48"/>
      <c r="AD13" s="48"/>
      <c r="AE13" s="48"/>
      <c r="AF13" s="48"/>
      <c r="AG13" s="48"/>
    </row>
    <row r="14" ht="26.25" customHeight="1">
      <c r="A14" s="60"/>
      <c r="B14" s="72"/>
      <c r="C14" s="62"/>
      <c r="D14" s="63" t="s">
        <v>389</v>
      </c>
      <c r="E14" s="64" t="str">
        <f>'Total Impact Hours so far'!A7</f>
        <v>ygganderson</v>
      </c>
      <c r="F14" s="65"/>
      <c r="G14" s="66"/>
      <c r="H14" s="67" t="s">
        <v>390</v>
      </c>
      <c r="I14" s="68">
        <f>'Total Impact Hours so far'!B7</f>
        <v>238.0020374</v>
      </c>
      <c r="J14" s="47"/>
      <c r="K14" s="48"/>
      <c r="L14" s="48"/>
      <c r="M14" s="48"/>
      <c r="N14" s="48"/>
      <c r="O14" s="48"/>
      <c r="P14" s="48"/>
      <c r="Q14" s="48"/>
      <c r="R14" s="48"/>
      <c r="S14" s="48"/>
      <c r="T14" s="48"/>
      <c r="U14" s="48"/>
      <c r="V14" s="48"/>
      <c r="W14" s="48"/>
      <c r="X14" s="48"/>
      <c r="Y14" s="48"/>
      <c r="Z14" s="48"/>
      <c r="AA14" s="48"/>
      <c r="AB14" s="48"/>
      <c r="AC14" s="48"/>
      <c r="AD14" s="48"/>
      <c r="AE14" s="48"/>
      <c r="AF14" s="48"/>
      <c r="AG14" s="48"/>
    </row>
    <row r="15" ht="26.25" customHeight="1">
      <c r="A15" s="60"/>
      <c r="B15" s="72"/>
      <c r="C15" s="62"/>
      <c r="D15" s="63" t="s">
        <v>389</v>
      </c>
      <c r="E15" s="64" t="str">
        <f>'Total Impact Hours so far'!A8</f>
        <v>solsista</v>
      </c>
      <c r="F15" s="65"/>
      <c r="G15" s="66"/>
      <c r="H15" s="67" t="s">
        <v>390</v>
      </c>
      <c r="I15" s="68">
        <f>'Total Impact Hours so far'!B8</f>
        <v>235.9516375</v>
      </c>
      <c r="J15" s="47"/>
      <c r="K15" s="48"/>
      <c r="L15" s="48"/>
      <c r="M15" s="48"/>
      <c r="N15" s="48"/>
      <c r="O15" s="48"/>
      <c r="P15" s="48"/>
      <c r="Q15" s="48"/>
      <c r="R15" s="48"/>
      <c r="S15" s="48"/>
      <c r="T15" s="48"/>
      <c r="U15" s="48"/>
      <c r="V15" s="48"/>
      <c r="W15" s="48"/>
      <c r="X15" s="48"/>
      <c r="Y15" s="48"/>
      <c r="Z15" s="48"/>
      <c r="AA15" s="48"/>
      <c r="AB15" s="48"/>
      <c r="AC15" s="48"/>
      <c r="AD15" s="48"/>
      <c r="AE15" s="48"/>
      <c r="AF15" s="48"/>
      <c r="AG15" s="48"/>
    </row>
    <row r="16" ht="26.25" customHeight="1">
      <c r="A16" s="60"/>
      <c r="B16" s="72"/>
      <c r="C16" s="62"/>
      <c r="D16" s="63" t="s">
        <v>389</v>
      </c>
      <c r="E16" s="64" t="str">
        <f>'Total Impact Hours so far'!A9</f>
        <v>akrtws</v>
      </c>
      <c r="F16" s="65"/>
      <c r="G16" s="66"/>
      <c r="H16" s="67" t="s">
        <v>390</v>
      </c>
      <c r="I16" s="68">
        <f>'Total Impact Hours so far'!B9</f>
        <v>204.0971181</v>
      </c>
      <c r="J16" s="47"/>
      <c r="K16" s="48"/>
      <c r="L16" s="48"/>
      <c r="M16" s="48"/>
      <c r="N16" s="48"/>
      <c r="O16" s="48"/>
      <c r="P16" s="48"/>
      <c r="Q16" s="48"/>
      <c r="R16" s="48"/>
      <c r="S16" s="48"/>
      <c r="T16" s="48"/>
      <c r="U16" s="48"/>
      <c r="V16" s="48"/>
      <c r="W16" s="48"/>
      <c r="X16" s="48"/>
      <c r="Y16" s="48"/>
      <c r="Z16" s="48"/>
      <c r="AA16" s="48"/>
      <c r="AB16" s="48"/>
      <c r="AC16" s="48"/>
      <c r="AD16" s="48"/>
      <c r="AE16" s="48"/>
      <c r="AF16" s="48"/>
      <c r="AG16" s="48"/>
    </row>
    <row r="17" ht="26.25" customHeight="1">
      <c r="A17" s="69"/>
      <c r="B17" s="70"/>
      <c r="C17" s="71"/>
      <c r="D17" s="63" t="s">
        <v>389</v>
      </c>
      <c r="E17" s="64" t="str">
        <f>'Total Impact Hours so far'!A10</f>
        <v>iviangita</v>
      </c>
      <c r="F17" s="65"/>
      <c r="G17" s="66"/>
      <c r="H17" s="67" t="s">
        <v>390</v>
      </c>
      <c r="I17" s="68">
        <f>'Total Impact Hours so far'!B10</f>
        <v>198.8372139</v>
      </c>
      <c r="J17" s="47"/>
      <c r="K17" s="48"/>
      <c r="L17" s="48"/>
      <c r="M17" s="73"/>
      <c r="N17" s="74"/>
      <c r="O17" s="48"/>
      <c r="P17" s="48"/>
      <c r="Q17" s="48"/>
      <c r="R17" s="48"/>
      <c r="S17" s="48"/>
      <c r="T17" s="48"/>
      <c r="U17" s="48"/>
      <c r="V17" s="48"/>
      <c r="W17" s="48"/>
      <c r="X17" s="48"/>
      <c r="Y17" s="48"/>
      <c r="Z17" s="48"/>
      <c r="AA17" s="48"/>
      <c r="AB17" s="48"/>
      <c r="AC17" s="48"/>
      <c r="AD17" s="48"/>
      <c r="AE17" s="48"/>
      <c r="AF17" s="48"/>
      <c r="AG17" s="48"/>
    </row>
    <row r="18" ht="26.25" customHeight="1">
      <c r="A18" s="60"/>
      <c r="B18" s="72"/>
      <c r="C18" s="62"/>
      <c r="D18" s="63" t="s">
        <v>389</v>
      </c>
      <c r="E18" s="64" t="str">
        <f>'Total Impact Hours so far'!A11</f>
        <v>mateodaza</v>
      </c>
      <c r="F18" s="65"/>
      <c r="G18" s="66"/>
      <c r="H18" s="67" t="s">
        <v>390</v>
      </c>
      <c r="I18" s="68">
        <f>'Total Impact Hours so far'!B11</f>
        <v>198.7304109</v>
      </c>
      <c r="J18" s="47"/>
      <c r="K18" s="48"/>
      <c r="L18" s="48"/>
      <c r="M18" s="48"/>
      <c r="N18" s="48"/>
      <c r="O18" s="48"/>
      <c r="P18" s="48"/>
      <c r="Q18" s="48"/>
      <c r="R18" s="48"/>
      <c r="S18" s="48"/>
      <c r="T18" s="48"/>
      <c r="U18" s="48"/>
      <c r="V18" s="48"/>
      <c r="W18" s="48"/>
      <c r="X18" s="48"/>
      <c r="Y18" s="48"/>
      <c r="Z18" s="48"/>
      <c r="AA18" s="48"/>
      <c r="AB18" s="48"/>
      <c r="AC18" s="48"/>
      <c r="AD18" s="48"/>
      <c r="AE18" s="48"/>
      <c r="AF18" s="48"/>
      <c r="AG18" s="48"/>
    </row>
    <row r="19" ht="26.25" customHeight="1">
      <c r="A19" s="60"/>
      <c r="B19" s="72"/>
      <c r="C19" s="62"/>
      <c r="D19" s="63" t="s">
        <v>389</v>
      </c>
      <c r="E19" s="64" t="str">
        <f>'Total Impact Hours so far'!A12</f>
        <v>metaverde</v>
      </c>
      <c r="F19" s="65"/>
      <c r="G19" s="66"/>
      <c r="H19" s="67" t="s">
        <v>390</v>
      </c>
      <c r="I19" s="68">
        <f>'Total Impact Hours so far'!B12</f>
        <v>165.3437714</v>
      </c>
      <c r="J19" s="47"/>
      <c r="K19" s="48"/>
      <c r="L19" s="48"/>
      <c r="M19" s="48"/>
      <c r="N19" s="48"/>
      <c r="O19" s="48"/>
      <c r="P19" s="48"/>
      <c r="Q19" s="48"/>
      <c r="R19" s="48"/>
      <c r="S19" s="48"/>
      <c r="T19" s="48"/>
      <c r="U19" s="48"/>
      <c r="V19" s="48"/>
      <c r="W19" s="48"/>
      <c r="X19" s="48"/>
      <c r="Y19" s="48"/>
      <c r="Z19" s="48"/>
      <c r="AA19" s="48"/>
      <c r="AB19" s="48"/>
      <c r="AC19" s="48"/>
      <c r="AD19" s="48"/>
      <c r="AE19" s="48"/>
      <c r="AF19" s="48"/>
      <c r="AG19" s="48"/>
    </row>
    <row r="20" ht="26.25" customHeight="1">
      <c r="A20" s="69"/>
      <c r="B20" s="70"/>
      <c r="C20" s="71"/>
      <c r="D20" s="63" t="s">
        <v>389</v>
      </c>
      <c r="E20" s="64" t="str">
        <f>'Total Impact Hours so far'!A13</f>
        <v>durgadasji</v>
      </c>
      <c r="F20" s="65"/>
      <c r="G20" s="66"/>
      <c r="H20" s="67" t="s">
        <v>390</v>
      </c>
      <c r="I20" s="68">
        <f>'Total Impact Hours so far'!B13</f>
        <v>164.6739109</v>
      </c>
      <c r="J20" s="47"/>
      <c r="K20" s="48"/>
      <c r="L20" s="48"/>
      <c r="M20" s="48"/>
      <c r="N20" s="48"/>
      <c r="O20" s="48"/>
      <c r="P20" s="48"/>
      <c r="Q20" s="48"/>
      <c r="R20" s="48"/>
      <c r="S20" s="48"/>
      <c r="T20" s="48"/>
      <c r="U20" s="48"/>
      <c r="V20" s="48"/>
      <c r="W20" s="48"/>
      <c r="X20" s="48"/>
      <c r="Y20" s="48"/>
      <c r="Z20" s="48"/>
      <c r="AA20" s="48"/>
      <c r="AB20" s="48"/>
      <c r="AC20" s="48"/>
      <c r="AD20" s="48"/>
      <c r="AE20" s="48"/>
      <c r="AF20" s="48"/>
      <c r="AG20" s="48"/>
    </row>
    <row r="21" ht="26.25" customHeight="1">
      <c r="A21" s="69"/>
      <c r="B21" s="70"/>
      <c r="C21" s="71"/>
      <c r="D21" s="63" t="s">
        <v>389</v>
      </c>
      <c r="E21" s="64" t="str">
        <f>'Total Impact Hours so far'!A14</f>
        <v>jessicazartler</v>
      </c>
      <c r="F21" s="65"/>
      <c r="G21" s="66"/>
      <c r="H21" s="67" t="s">
        <v>390</v>
      </c>
      <c r="I21" s="68">
        <f>'Total Impact Hours so far'!B14</f>
        <v>150.4079068</v>
      </c>
      <c r="J21" s="47"/>
      <c r="K21" s="48"/>
      <c r="L21" s="48"/>
      <c r="M21" s="48"/>
      <c r="N21" s="48"/>
      <c r="O21" s="48"/>
      <c r="P21" s="48"/>
      <c r="Q21" s="48"/>
      <c r="R21" s="48"/>
      <c r="S21" s="48"/>
      <c r="T21" s="48"/>
      <c r="U21" s="48"/>
      <c r="V21" s="48"/>
      <c r="W21" s="48"/>
      <c r="X21" s="48"/>
      <c r="Y21" s="48"/>
      <c r="Z21" s="48"/>
      <c r="AA21" s="48"/>
      <c r="AB21" s="48"/>
      <c r="AC21" s="48"/>
      <c r="AD21" s="48"/>
      <c r="AE21" s="48"/>
      <c r="AF21" s="48"/>
      <c r="AG21" s="48"/>
    </row>
    <row r="22" ht="26.25" customHeight="1">
      <c r="A22" s="60"/>
      <c r="B22" s="72"/>
      <c r="C22" s="62"/>
      <c r="D22" s="63" t="s">
        <v>389</v>
      </c>
      <c r="E22" s="64" t="str">
        <f>'Total Impact Hours so far'!A15</f>
        <v>juankbell</v>
      </c>
      <c r="F22" s="65"/>
      <c r="G22" s="66"/>
      <c r="H22" s="67" t="s">
        <v>390</v>
      </c>
      <c r="I22" s="68">
        <f>'Total Impact Hours so far'!B15</f>
        <v>146.0063432</v>
      </c>
      <c r="J22" s="47"/>
      <c r="K22" s="48"/>
      <c r="L22" s="48"/>
      <c r="M22" s="48"/>
      <c r="N22" s="48"/>
      <c r="O22" s="48"/>
      <c r="P22" s="48"/>
      <c r="Q22" s="48"/>
      <c r="R22" s="48"/>
      <c r="S22" s="48"/>
      <c r="T22" s="48"/>
      <c r="U22" s="48"/>
      <c r="V22" s="48"/>
      <c r="W22" s="48"/>
      <c r="X22" s="48"/>
      <c r="Y22" s="48"/>
      <c r="Z22" s="48"/>
      <c r="AA22" s="48"/>
      <c r="AB22" s="48"/>
      <c r="AC22" s="48"/>
      <c r="AD22" s="48"/>
      <c r="AE22" s="48"/>
      <c r="AF22" s="48"/>
      <c r="AG22" s="48"/>
    </row>
    <row r="23" ht="26.25" customHeight="1">
      <c r="A23" s="60"/>
      <c r="B23" s="72"/>
      <c r="C23" s="62"/>
      <c r="D23" s="63" t="s">
        <v>389</v>
      </c>
      <c r="E23" s="64" t="str">
        <f>'Total Impact Hours so far'!A16</f>
        <v>griffgreen</v>
      </c>
      <c r="F23" s="65"/>
      <c r="G23" s="66"/>
      <c r="H23" s="67" t="s">
        <v>390</v>
      </c>
      <c r="I23" s="68">
        <f>'Total Impact Hours so far'!B16</f>
        <v>120.0284707</v>
      </c>
      <c r="J23" s="47"/>
      <c r="K23" s="48"/>
      <c r="L23" s="48"/>
      <c r="M23" s="48"/>
      <c r="N23" s="48"/>
      <c r="O23" s="48"/>
      <c r="P23" s="48"/>
      <c r="Q23" s="48"/>
      <c r="R23" s="48"/>
      <c r="S23" s="48"/>
      <c r="T23" s="48"/>
      <c r="U23" s="48"/>
      <c r="V23" s="48"/>
      <c r="W23" s="48"/>
      <c r="X23" s="48"/>
      <c r="Y23" s="48"/>
      <c r="Z23" s="48"/>
      <c r="AA23" s="48"/>
      <c r="AB23" s="48"/>
      <c r="AC23" s="48"/>
      <c r="AD23" s="48"/>
      <c r="AE23" s="48"/>
      <c r="AF23" s="48"/>
      <c r="AG23" s="48"/>
    </row>
    <row r="24" ht="26.25" customHeight="1">
      <c r="A24" s="60"/>
      <c r="B24" s="72"/>
      <c r="C24" s="62"/>
      <c r="D24" s="63" t="s">
        <v>389</v>
      </c>
      <c r="E24" s="64" t="str">
        <f>'Total Impact Hours so far'!A17</f>
        <v>tonga2020</v>
      </c>
      <c r="F24" s="65"/>
      <c r="G24" s="66"/>
      <c r="H24" s="67" t="s">
        <v>390</v>
      </c>
      <c r="I24" s="68">
        <f>'Total Impact Hours so far'!B17</f>
        <v>115.6545999</v>
      </c>
      <c r="J24" s="47"/>
      <c r="K24" s="48"/>
      <c r="L24" s="48"/>
      <c r="M24" s="48"/>
      <c r="N24" s="48"/>
      <c r="O24" s="48"/>
      <c r="P24" s="48"/>
      <c r="Q24" s="48"/>
      <c r="R24" s="48"/>
      <c r="S24" s="48"/>
      <c r="T24" s="48"/>
      <c r="U24" s="48"/>
      <c r="V24" s="48"/>
      <c r="W24" s="48"/>
      <c r="X24" s="48"/>
      <c r="Y24" s="48"/>
      <c r="Z24" s="48"/>
      <c r="AA24" s="48"/>
      <c r="AB24" s="48"/>
      <c r="AC24" s="48"/>
      <c r="AD24" s="48"/>
      <c r="AE24" s="48"/>
      <c r="AF24" s="48"/>
      <c r="AG24" s="48"/>
    </row>
    <row r="25" ht="26.25" customHeight="1">
      <c r="A25" s="60"/>
      <c r="B25" s="72"/>
      <c r="C25" s="62"/>
      <c r="D25" s="63" t="s">
        <v>389</v>
      </c>
      <c r="E25" s="64" t="str">
        <f>'Total Impact Hours so far'!A18</f>
        <v>liviade</v>
      </c>
      <c r="F25" s="65"/>
      <c r="G25" s="66"/>
      <c r="H25" s="67" t="s">
        <v>390</v>
      </c>
      <c r="I25" s="68">
        <f>'Total Impact Hours so far'!B18</f>
        <v>114.1663029</v>
      </c>
      <c r="J25" s="47"/>
      <c r="K25" s="48"/>
      <c r="L25" s="48"/>
      <c r="M25" s="48"/>
      <c r="N25" s="48"/>
      <c r="O25" s="48"/>
      <c r="P25" s="48"/>
      <c r="Q25" s="48"/>
      <c r="R25" s="48"/>
      <c r="S25" s="48"/>
      <c r="T25" s="48"/>
      <c r="U25" s="48"/>
      <c r="V25" s="48"/>
      <c r="W25" s="48"/>
      <c r="X25" s="48"/>
      <c r="Y25" s="48"/>
      <c r="Z25" s="48"/>
      <c r="AA25" s="48"/>
      <c r="AB25" s="48"/>
      <c r="AC25" s="48"/>
      <c r="AD25" s="48"/>
      <c r="AE25" s="48"/>
      <c r="AF25" s="48"/>
      <c r="AG25" s="48"/>
    </row>
    <row r="26" ht="26.25" customHeight="1">
      <c r="A26" s="69"/>
      <c r="B26" s="70"/>
      <c r="C26" s="71"/>
      <c r="D26" s="63" t="s">
        <v>389</v>
      </c>
      <c r="E26" s="64" t="str">
        <f>'Total Impact Hours so far'!A19</f>
        <v>mzargham</v>
      </c>
      <c r="F26" s="65"/>
      <c r="G26" s="66"/>
      <c r="H26" s="67" t="s">
        <v>390</v>
      </c>
      <c r="I26" s="68">
        <f>'Total Impact Hours so far'!B19</f>
        <v>106.2349604</v>
      </c>
      <c r="J26" s="47"/>
      <c r="K26" s="48"/>
      <c r="L26" s="48"/>
      <c r="M26" s="48"/>
      <c r="N26" s="48"/>
      <c r="O26" s="48"/>
      <c r="P26" s="48"/>
      <c r="Q26" s="48"/>
      <c r="R26" s="48"/>
      <c r="S26" s="48"/>
      <c r="T26" s="48"/>
      <c r="U26" s="48"/>
      <c r="V26" s="48"/>
      <c r="W26" s="48"/>
      <c r="X26" s="48"/>
      <c r="Y26" s="48"/>
      <c r="Z26" s="48"/>
      <c r="AA26" s="48"/>
      <c r="AB26" s="48"/>
      <c r="AC26" s="48"/>
      <c r="AD26" s="48"/>
      <c r="AE26" s="48"/>
      <c r="AF26" s="48"/>
      <c r="AG26" s="48"/>
    </row>
    <row r="27" ht="26.25" customHeight="1">
      <c r="A27" s="60"/>
      <c r="B27" s="72"/>
      <c r="C27" s="62"/>
      <c r="D27" s="63" t="s">
        <v>389</v>
      </c>
      <c r="E27" s="64" t="str">
        <f>'Total Impact Hours so far'!A20</f>
        <v>Vyvy-vi#5040</v>
      </c>
      <c r="F27" s="65"/>
      <c r="G27" s="66"/>
      <c r="H27" s="67" t="s">
        <v>390</v>
      </c>
      <c r="I27" s="68">
        <f>'Total Impact Hours so far'!B20</f>
        <v>104.858099</v>
      </c>
      <c r="J27" s="47"/>
      <c r="K27" s="48"/>
      <c r="L27" s="48"/>
      <c r="M27" s="48"/>
      <c r="N27" s="48"/>
      <c r="O27" s="48"/>
      <c r="P27" s="48"/>
      <c r="Q27" s="48"/>
      <c r="R27" s="48"/>
      <c r="S27" s="48"/>
      <c r="T27" s="48"/>
      <c r="U27" s="48"/>
      <c r="V27" s="48"/>
      <c r="W27" s="48"/>
      <c r="X27" s="48"/>
      <c r="Y27" s="48"/>
      <c r="Z27" s="48"/>
      <c r="AA27" s="48"/>
      <c r="AB27" s="48"/>
      <c r="AC27" s="48"/>
      <c r="AD27" s="48"/>
      <c r="AE27" s="48"/>
      <c r="AF27" s="48"/>
      <c r="AG27" s="48"/>
    </row>
    <row r="28" ht="26.25" customHeight="1">
      <c r="A28" s="60"/>
      <c r="B28" s="72"/>
      <c r="C28" s="62"/>
      <c r="D28" s="63" t="s">
        <v>389</v>
      </c>
      <c r="E28" s="64" t="str">
        <f>'Total Impact Hours so far'!A21</f>
        <v>shawn_westrick</v>
      </c>
      <c r="F28" s="65"/>
      <c r="G28" s="66"/>
      <c r="H28" s="67" t="s">
        <v>390</v>
      </c>
      <c r="I28" s="68">
        <f>'Total Impact Hours so far'!B21</f>
        <v>97.03534636</v>
      </c>
      <c r="J28" s="47"/>
      <c r="K28" s="48"/>
      <c r="L28" s="48"/>
      <c r="M28" s="48"/>
      <c r="N28" s="48"/>
      <c r="O28" s="48"/>
      <c r="P28" s="48"/>
      <c r="Q28" s="48"/>
      <c r="R28" s="48"/>
      <c r="S28" s="48"/>
      <c r="T28" s="48"/>
      <c r="U28" s="48"/>
      <c r="V28" s="48"/>
      <c r="W28" s="48"/>
      <c r="X28" s="48"/>
      <c r="Y28" s="48"/>
      <c r="Z28" s="48"/>
      <c r="AA28" s="48"/>
      <c r="AB28" s="48"/>
      <c r="AC28" s="48"/>
      <c r="AD28" s="48"/>
      <c r="AE28" s="48"/>
      <c r="AF28" s="48"/>
      <c r="AG28" s="48"/>
    </row>
    <row r="29" ht="26.25" customHeight="1">
      <c r="A29" s="60"/>
      <c r="B29" s="72"/>
      <c r="C29" s="62"/>
      <c r="D29" s="63" t="s">
        <v>389</v>
      </c>
      <c r="E29" s="64" t="str">
        <f>'Total Impact Hours so far'!A22</f>
        <v>naynaysoo</v>
      </c>
      <c r="F29" s="65"/>
      <c r="G29" s="66"/>
      <c r="H29" s="67" t="s">
        <v>390</v>
      </c>
      <c r="I29" s="68">
        <f>'Total Impact Hours so far'!B22</f>
        <v>95.88339881</v>
      </c>
      <c r="J29" s="47"/>
      <c r="K29" s="48"/>
      <c r="L29" s="48"/>
      <c r="M29" s="48"/>
      <c r="N29" s="48"/>
      <c r="O29" s="48"/>
      <c r="P29" s="48"/>
      <c r="Q29" s="48"/>
      <c r="R29" s="48"/>
      <c r="S29" s="48"/>
      <c r="T29" s="48"/>
      <c r="U29" s="48"/>
      <c r="V29" s="48"/>
      <c r="W29" s="48"/>
      <c r="X29" s="48"/>
      <c r="Y29" s="48"/>
      <c r="Z29" s="48"/>
      <c r="AA29" s="48"/>
      <c r="AB29" s="48"/>
      <c r="AC29" s="48"/>
      <c r="AD29" s="48"/>
      <c r="AE29" s="48"/>
      <c r="AF29" s="48"/>
      <c r="AG29" s="48"/>
    </row>
    <row r="30" ht="26.25" customHeight="1">
      <c r="A30" s="60"/>
      <c r="B30" s="72"/>
      <c r="C30" s="62"/>
      <c r="D30" s="63" t="s">
        <v>389</v>
      </c>
      <c r="E30" s="64" t="str">
        <f>'Total Impact Hours so far'!A23</f>
        <v>laurenluz</v>
      </c>
      <c r="F30" s="65"/>
      <c r="G30" s="66"/>
      <c r="H30" s="67" t="s">
        <v>390</v>
      </c>
      <c r="I30" s="68">
        <f>'Total Impact Hours so far'!B23</f>
        <v>94.43508538</v>
      </c>
      <c r="J30" s="47"/>
      <c r="K30" s="48"/>
      <c r="L30" s="48"/>
      <c r="M30" s="48"/>
      <c r="N30" s="48"/>
      <c r="O30" s="48"/>
      <c r="P30" s="48"/>
      <c r="Q30" s="48"/>
      <c r="R30" s="48"/>
      <c r="S30" s="48"/>
      <c r="T30" s="48"/>
      <c r="U30" s="48"/>
      <c r="V30" s="48"/>
      <c r="W30" s="48"/>
      <c r="X30" s="48"/>
      <c r="Y30" s="48"/>
      <c r="Z30" s="48"/>
      <c r="AA30" s="48"/>
      <c r="AB30" s="48"/>
      <c r="AC30" s="48"/>
      <c r="AD30" s="48"/>
      <c r="AE30" s="48"/>
      <c r="AF30" s="48"/>
      <c r="AG30" s="48"/>
    </row>
    <row r="31" ht="26.25" customHeight="1">
      <c r="A31" s="69"/>
      <c r="B31" s="70"/>
      <c r="C31" s="71"/>
      <c r="D31" s="63" t="s">
        <v>389</v>
      </c>
      <c r="E31" s="64" t="str">
        <f>'Total Impact Hours so far'!A24</f>
        <v>danlessa</v>
      </c>
      <c r="F31" s="65"/>
      <c r="G31" s="66"/>
      <c r="H31" s="67" t="s">
        <v>390</v>
      </c>
      <c r="I31" s="68">
        <f>'Total Impact Hours so far'!B24</f>
        <v>94.03300186</v>
      </c>
      <c r="J31" s="47"/>
      <c r="K31" s="48"/>
      <c r="L31" s="48"/>
      <c r="M31" s="48"/>
      <c r="N31" s="48"/>
      <c r="O31" s="48"/>
      <c r="P31" s="48"/>
      <c r="Q31" s="48"/>
      <c r="R31" s="48"/>
      <c r="S31" s="48"/>
      <c r="T31" s="48"/>
      <c r="U31" s="48"/>
      <c r="V31" s="48"/>
      <c r="W31" s="48"/>
      <c r="X31" s="48"/>
      <c r="Y31" s="48"/>
      <c r="Z31" s="48"/>
      <c r="AA31" s="48"/>
      <c r="AB31" s="48"/>
      <c r="AC31" s="48"/>
      <c r="AD31" s="48"/>
      <c r="AE31" s="48"/>
      <c r="AF31" s="48"/>
      <c r="AG31" s="48"/>
    </row>
    <row r="32" ht="26.25" customHeight="1">
      <c r="A32" s="69"/>
      <c r="B32" s="70"/>
      <c r="C32" s="71"/>
      <c r="D32" s="63" t="s">
        <v>389</v>
      </c>
      <c r="E32" s="64" t="str">
        <f>'Total Impact Hours so far'!A25</f>
        <v>freedumbs00</v>
      </c>
      <c r="F32" s="65"/>
      <c r="G32" s="66"/>
      <c r="H32" s="67" t="s">
        <v>390</v>
      </c>
      <c r="I32" s="68">
        <f>'Total Impact Hours so far'!B25</f>
        <v>87.4604459</v>
      </c>
      <c r="J32" s="47"/>
      <c r="K32" s="48"/>
      <c r="L32" s="48"/>
      <c r="M32" s="48"/>
      <c r="N32" s="48"/>
      <c r="O32" s="48"/>
      <c r="P32" s="48"/>
      <c r="Q32" s="48"/>
      <c r="R32" s="48"/>
      <c r="S32" s="48"/>
      <c r="T32" s="48"/>
      <c r="U32" s="48"/>
      <c r="V32" s="48"/>
      <c r="W32" s="48"/>
      <c r="X32" s="48"/>
      <c r="Y32" s="48"/>
      <c r="Z32" s="48"/>
      <c r="AA32" s="48"/>
      <c r="AB32" s="48"/>
      <c r="AC32" s="48"/>
      <c r="AD32" s="48"/>
      <c r="AE32" s="48"/>
      <c r="AF32" s="48"/>
      <c r="AG32" s="48"/>
    </row>
    <row r="33" ht="26.25" customHeight="1">
      <c r="A33" s="60"/>
      <c r="B33" s="72"/>
      <c r="C33" s="62"/>
      <c r="D33" s="63" t="s">
        <v>389</v>
      </c>
      <c r="E33" s="64" t="str">
        <f>'Total Impact Hours so far'!A26</f>
        <v>sgonzt</v>
      </c>
      <c r="F33" s="65"/>
      <c r="G33" s="66"/>
      <c r="H33" s="67" t="s">
        <v>390</v>
      </c>
      <c r="I33" s="68">
        <f>'Total Impact Hours so far'!B26</f>
        <v>80.73173051</v>
      </c>
      <c r="J33" s="47"/>
      <c r="K33" s="48"/>
      <c r="L33" s="48"/>
      <c r="M33" s="48"/>
      <c r="N33" s="48"/>
      <c r="O33" s="48"/>
      <c r="P33" s="48"/>
      <c r="Q33" s="48"/>
      <c r="R33" s="48"/>
      <c r="S33" s="48"/>
      <c r="T33" s="48"/>
      <c r="U33" s="48"/>
      <c r="V33" s="48"/>
      <c r="W33" s="48"/>
      <c r="X33" s="48"/>
      <c r="Y33" s="48"/>
      <c r="Z33" s="48"/>
      <c r="AA33" s="48"/>
      <c r="AB33" s="48"/>
      <c r="AC33" s="48"/>
      <c r="AD33" s="48"/>
      <c r="AE33" s="48"/>
      <c r="AF33" s="48"/>
      <c r="AG33" s="48"/>
    </row>
    <row r="34" ht="26.25" customHeight="1">
      <c r="A34" s="60"/>
      <c r="B34" s="72"/>
      <c r="C34" s="62"/>
      <c r="D34" s="63" t="s">
        <v>389</v>
      </c>
      <c r="E34" s="64" t="str">
        <f>'Total Impact Hours so far'!A27</f>
        <v>merlinegalite</v>
      </c>
      <c r="F34" s="65"/>
      <c r="G34" s="66"/>
      <c r="H34" s="67" t="s">
        <v>390</v>
      </c>
      <c r="I34" s="68">
        <f>'Total Impact Hours so far'!B27</f>
        <v>78.46304888</v>
      </c>
      <c r="J34" s="47"/>
      <c r="K34" s="48"/>
      <c r="L34" s="48"/>
      <c r="M34" s="48"/>
      <c r="N34" s="48"/>
      <c r="O34" s="48"/>
      <c r="P34" s="48"/>
      <c r="Q34" s="48"/>
      <c r="R34" s="48"/>
      <c r="S34" s="48"/>
      <c r="T34" s="48"/>
      <c r="U34" s="48"/>
      <c r="V34" s="48"/>
      <c r="W34" s="48"/>
      <c r="X34" s="48"/>
      <c r="Y34" s="48"/>
      <c r="Z34" s="48"/>
      <c r="AA34" s="48"/>
      <c r="AB34" s="48"/>
      <c r="AC34" s="48"/>
      <c r="AD34" s="48"/>
      <c r="AE34" s="48"/>
      <c r="AF34" s="48"/>
      <c r="AG34" s="48"/>
    </row>
    <row r="35" ht="26.25" customHeight="1">
      <c r="A35" s="60"/>
      <c r="B35" s="72"/>
      <c r="C35" s="62"/>
      <c r="D35" s="63" t="s">
        <v>389</v>
      </c>
      <c r="E35" s="64" t="str">
        <f>'Total Impact Hours so far'!A28</f>
        <v>tam2140</v>
      </c>
      <c r="F35" s="65"/>
      <c r="G35" s="66"/>
      <c r="H35" s="67" t="s">
        <v>390</v>
      </c>
      <c r="I35" s="68">
        <f>'Total Impact Hours so far'!B28</f>
        <v>77.33355908</v>
      </c>
      <c r="J35" s="47"/>
      <c r="K35" s="48"/>
      <c r="L35" s="48"/>
      <c r="M35" s="48"/>
      <c r="N35" s="48"/>
      <c r="O35" s="48"/>
      <c r="P35" s="48"/>
      <c r="Q35" s="48"/>
      <c r="R35" s="48"/>
      <c r="S35" s="48"/>
      <c r="T35" s="48"/>
      <c r="U35" s="48"/>
      <c r="V35" s="48"/>
      <c r="W35" s="48"/>
      <c r="X35" s="48"/>
      <c r="Y35" s="48"/>
      <c r="Z35" s="48"/>
      <c r="AA35" s="48"/>
      <c r="AB35" s="48"/>
      <c r="AC35" s="48"/>
      <c r="AD35" s="48"/>
      <c r="AE35" s="48"/>
      <c r="AF35" s="48"/>
      <c r="AG35" s="48"/>
    </row>
    <row r="36" ht="26.25" customHeight="1">
      <c r="A36" s="60"/>
      <c r="B36" s="72"/>
      <c r="C36" s="62"/>
      <c r="D36" s="63" t="s">
        <v>389</v>
      </c>
      <c r="E36" s="64" t="str">
        <f>'Total Impact Hours so far'!A29</f>
        <v>jeffemmett</v>
      </c>
      <c r="F36" s="65"/>
      <c r="G36" s="66"/>
      <c r="H36" s="67" t="s">
        <v>390</v>
      </c>
      <c r="I36" s="68">
        <f>'Total Impact Hours so far'!B29</f>
        <v>76.56700671</v>
      </c>
      <c r="J36" s="47"/>
      <c r="K36" s="48"/>
      <c r="L36" s="48"/>
      <c r="M36" s="48"/>
      <c r="N36" s="48"/>
      <c r="O36" s="48"/>
      <c r="P36" s="48"/>
      <c r="Q36" s="48"/>
      <c r="R36" s="48"/>
      <c r="S36" s="48"/>
      <c r="T36" s="48"/>
      <c r="U36" s="48"/>
      <c r="V36" s="48"/>
      <c r="W36" s="48"/>
      <c r="X36" s="48"/>
      <c r="Y36" s="48"/>
      <c r="Z36" s="48"/>
      <c r="AA36" s="48"/>
      <c r="AB36" s="48"/>
      <c r="AC36" s="48"/>
      <c r="AD36" s="48"/>
      <c r="AE36" s="48"/>
      <c r="AF36" s="48"/>
      <c r="AG36" s="48"/>
    </row>
    <row r="37" ht="26.25" customHeight="1">
      <c r="A37" s="60"/>
      <c r="B37" s="72"/>
      <c r="C37" s="62"/>
      <c r="D37" s="63" t="s">
        <v>389</v>
      </c>
      <c r="E37" s="64" t="str">
        <f>'Total Impact Hours so far'!A30</f>
        <v>paulo_c2d</v>
      </c>
      <c r="F37" s="65"/>
      <c r="G37" s="66"/>
      <c r="H37" s="67" t="s">
        <v>390</v>
      </c>
      <c r="I37" s="68">
        <f>'Total Impact Hours so far'!B30</f>
        <v>74.41543336</v>
      </c>
      <c r="J37" s="47"/>
      <c r="K37" s="48"/>
      <c r="L37" s="48"/>
      <c r="M37" s="48"/>
      <c r="N37" s="48"/>
      <c r="O37" s="48"/>
      <c r="P37" s="48"/>
      <c r="Q37" s="48"/>
      <c r="R37" s="48"/>
      <c r="S37" s="48"/>
      <c r="T37" s="48"/>
      <c r="U37" s="48"/>
      <c r="V37" s="48"/>
      <c r="W37" s="48"/>
      <c r="X37" s="48"/>
      <c r="Y37" s="48"/>
      <c r="Z37" s="48"/>
      <c r="AA37" s="48"/>
      <c r="AB37" s="48"/>
      <c r="AC37" s="48"/>
      <c r="AD37" s="48"/>
      <c r="AE37" s="48"/>
      <c r="AF37" s="48"/>
      <c r="AG37" s="48"/>
    </row>
    <row r="38" ht="26.25" customHeight="1">
      <c r="A38" s="60"/>
      <c r="B38" s="72"/>
      <c r="C38" s="62"/>
      <c r="D38" s="63" t="s">
        <v>389</v>
      </c>
      <c r="E38" s="64" t="str">
        <f>'Total Impact Hours so far'!A31</f>
        <v>sponnet2</v>
      </c>
      <c r="F38" s="65"/>
      <c r="G38" s="66"/>
      <c r="H38" s="67" t="s">
        <v>390</v>
      </c>
      <c r="I38" s="68">
        <f>'Total Impact Hours so far'!B31</f>
        <v>70.66343576</v>
      </c>
      <c r="J38" s="47"/>
      <c r="K38" s="48"/>
      <c r="L38" s="48"/>
      <c r="M38" s="48"/>
      <c r="N38" s="48"/>
      <c r="O38" s="48"/>
      <c r="P38" s="48"/>
      <c r="Q38" s="48"/>
      <c r="R38" s="48"/>
      <c r="S38" s="48"/>
      <c r="T38" s="48"/>
      <c r="U38" s="48"/>
      <c r="V38" s="48"/>
      <c r="W38" s="48"/>
      <c r="X38" s="48"/>
      <c r="Y38" s="48"/>
      <c r="Z38" s="48"/>
      <c r="AA38" s="48"/>
      <c r="AB38" s="48"/>
      <c r="AC38" s="48"/>
      <c r="AD38" s="48"/>
      <c r="AE38" s="48"/>
      <c r="AF38" s="48"/>
      <c r="AG38" s="48"/>
    </row>
    <row r="39" ht="26.25" customHeight="1">
      <c r="A39" s="75"/>
      <c r="B39" s="76"/>
      <c r="C39" s="77"/>
      <c r="D39" s="63" t="s">
        <v>389</v>
      </c>
      <c r="E39" s="64" t="str">
        <f>'Total Impact Hours so far'!A32</f>
        <v>Mount Manu#3530</v>
      </c>
      <c r="F39" s="65"/>
      <c r="G39" s="66"/>
      <c r="H39" s="67" t="s">
        <v>390</v>
      </c>
      <c r="I39" s="68">
        <f>'Total Impact Hours so far'!B32</f>
        <v>69.65442465</v>
      </c>
      <c r="J39" s="47"/>
      <c r="K39" s="48"/>
      <c r="L39" s="48"/>
      <c r="M39" s="48"/>
      <c r="N39" s="48"/>
      <c r="O39" s="48"/>
      <c r="P39" s="48"/>
      <c r="Q39" s="48"/>
      <c r="R39" s="48"/>
      <c r="S39" s="48"/>
      <c r="T39" s="48"/>
      <c r="U39" s="48"/>
      <c r="V39" s="48"/>
      <c r="W39" s="48"/>
      <c r="X39" s="48"/>
      <c r="Y39" s="48"/>
      <c r="Z39" s="48"/>
      <c r="AA39" s="48"/>
      <c r="AB39" s="48"/>
      <c r="AC39" s="48"/>
      <c r="AD39" s="48"/>
      <c r="AE39" s="48"/>
      <c r="AF39" s="48"/>
      <c r="AG39" s="48"/>
    </row>
    <row r="40" ht="26.25" customHeight="1">
      <c r="A40" s="60"/>
      <c r="B40" s="72"/>
      <c r="C40" s="62"/>
      <c r="D40" s="63" t="s">
        <v>389</v>
      </c>
      <c r="E40" s="64" t="str">
        <f>'Total Impact Hours so far'!A33</f>
        <v>vegayp</v>
      </c>
      <c r="F40" s="65"/>
      <c r="G40" s="66"/>
      <c r="H40" s="67" t="s">
        <v>390</v>
      </c>
      <c r="I40" s="68">
        <f>'Total Impact Hours so far'!B33</f>
        <v>69.59828405</v>
      </c>
      <c r="J40" s="47"/>
      <c r="K40" s="48"/>
      <c r="L40" s="48"/>
      <c r="M40" s="48"/>
      <c r="N40" s="48"/>
      <c r="O40" s="48"/>
      <c r="P40" s="48"/>
      <c r="Q40" s="48"/>
      <c r="R40" s="48"/>
      <c r="S40" s="48"/>
      <c r="T40" s="48"/>
      <c r="U40" s="48"/>
      <c r="V40" s="48"/>
      <c r="W40" s="48"/>
      <c r="X40" s="48"/>
      <c r="Y40" s="48"/>
      <c r="Z40" s="48"/>
      <c r="AA40" s="48"/>
      <c r="AB40" s="48"/>
      <c r="AC40" s="48"/>
      <c r="AD40" s="48"/>
      <c r="AE40" s="48"/>
      <c r="AF40" s="48"/>
      <c r="AG40" s="48"/>
    </row>
    <row r="41" ht="26.25" customHeight="1">
      <c r="A41" s="69"/>
      <c r="B41" s="70"/>
      <c r="C41" s="71"/>
      <c r="D41" s="63" t="s">
        <v>389</v>
      </c>
      <c r="E41" s="64" t="str">
        <f>'Total Impact Hours so far'!A34</f>
        <v>xgabi</v>
      </c>
      <c r="F41" s="65"/>
      <c r="G41" s="66"/>
      <c r="H41" s="67" t="s">
        <v>390</v>
      </c>
      <c r="I41" s="68">
        <f>'Total Impact Hours so far'!B34</f>
        <v>68.06115939</v>
      </c>
      <c r="J41" s="47"/>
      <c r="K41" s="48"/>
      <c r="L41" s="48"/>
      <c r="M41" s="48"/>
      <c r="N41" s="48"/>
      <c r="O41" s="48"/>
      <c r="P41" s="48"/>
      <c r="Q41" s="48"/>
      <c r="R41" s="48"/>
      <c r="S41" s="48"/>
      <c r="T41" s="48"/>
      <c r="U41" s="48"/>
      <c r="V41" s="48"/>
      <c r="W41" s="48"/>
      <c r="X41" s="48"/>
      <c r="Y41" s="48"/>
      <c r="Z41" s="48"/>
      <c r="AA41" s="48"/>
      <c r="AB41" s="48"/>
      <c r="AC41" s="48"/>
      <c r="AD41" s="48"/>
      <c r="AE41" s="48"/>
      <c r="AF41" s="48"/>
      <c r="AG41" s="48"/>
    </row>
    <row r="42" ht="26.25" customHeight="1">
      <c r="A42" s="60"/>
      <c r="B42" s="72"/>
      <c r="C42" s="62"/>
      <c r="D42" s="63" t="s">
        <v>389</v>
      </c>
      <c r="E42" s="64" t="str">
        <f>'Total Impact Hours so far'!A35</f>
        <v>vitormarthendal</v>
      </c>
      <c r="F42" s="65"/>
      <c r="G42" s="66"/>
      <c r="H42" s="67" t="s">
        <v>390</v>
      </c>
      <c r="I42" s="68">
        <f>'Total Impact Hours so far'!B35</f>
        <v>68.01965379</v>
      </c>
      <c r="J42" s="47"/>
      <c r="K42" s="48"/>
      <c r="L42" s="48"/>
      <c r="M42" s="48"/>
      <c r="N42" s="48"/>
      <c r="O42" s="48"/>
      <c r="P42" s="48"/>
      <c r="Q42" s="48"/>
      <c r="R42" s="48"/>
      <c r="S42" s="48"/>
      <c r="T42" s="48"/>
      <c r="U42" s="48"/>
      <c r="V42" s="48"/>
      <c r="W42" s="48"/>
      <c r="X42" s="48"/>
      <c r="Y42" s="48"/>
      <c r="Z42" s="48"/>
      <c r="AA42" s="48"/>
      <c r="AB42" s="48"/>
      <c r="AC42" s="48"/>
      <c r="AD42" s="48"/>
      <c r="AE42" s="48"/>
      <c r="AF42" s="48"/>
      <c r="AG42" s="48"/>
    </row>
    <row r="43" ht="26.25" customHeight="1">
      <c r="A43" s="60"/>
      <c r="B43" s="72"/>
      <c r="C43" s="62"/>
      <c r="D43" s="63" t="s">
        <v>389</v>
      </c>
      <c r="E43" s="64" t="str">
        <f>'Total Impact Hours so far'!A36</f>
        <v>wslyvh</v>
      </c>
      <c r="F43" s="65"/>
      <c r="G43" s="66"/>
      <c r="H43" s="67" t="s">
        <v>390</v>
      </c>
      <c r="I43" s="68">
        <f>'Total Impact Hours so far'!B36</f>
        <v>67.28332338</v>
      </c>
      <c r="J43" s="47"/>
      <c r="K43" s="48"/>
      <c r="L43" s="48"/>
      <c r="M43" s="48"/>
      <c r="N43" s="48"/>
      <c r="O43" s="48"/>
      <c r="P43" s="48"/>
      <c r="Q43" s="48"/>
      <c r="R43" s="48"/>
      <c r="S43" s="48"/>
      <c r="T43" s="48"/>
      <c r="U43" s="48"/>
      <c r="V43" s="48"/>
      <c r="W43" s="48"/>
      <c r="X43" s="48"/>
      <c r="Y43" s="48"/>
      <c r="Z43" s="48"/>
      <c r="AA43" s="48"/>
      <c r="AB43" s="48"/>
      <c r="AC43" s="48"/>
      <c r="AD43" s="48"/>
      <c r="AE43" s="48"/>
      <c r="AF43" s="48"/>
      <c r="AG43" s="48"/>
    </row>
    <row r="44" ht="26.25" customHeight="1">
      <c r="A44" s="75"/>
      <c r="B44" s="76"/>
      <c r="C44" s="77"/>
      <c r="D44" s="63" t="s">
        <v>389</v>
      </c>
      <c r="E44" s="64" t="str">
        <f>'Total Impact Hours so far'!A37</f>
        <v>simondlr</v>
      </c>
      <c r="F44" s="65"/>
      <c r="G44" s="66"/>
      <c r="H44" s="67" t="s">
        <v>390</v>
      </c>
      <c r="I44" s="68">
        <f>'Total Impact Hours so far'!B37</f>
        <v>67.25898424</v>
      </c>
      <c r="J44" s="47"/>
      <c r="K44" s="48"/>
      <c r="L44" s="48"/>
      <c r="M44" s="48"/>
      <c r="N44" s="48"/>
      <c r="O44" s="48"/>
      <c r="P44" s="48"/>
      <c r="Q44" s="48"/>
      <c r="R44" s="48"/>
      <c r="S44" s="48"/>
      <c r="T44" s="48"/>
      <c r="U44" s="48"/>
      <c r="V44" s="48"/>
      <c r="W44" s="48"/>
      <c r="X44" s="48"/>
      <c r="Y44" s="48"/>
      <c r="Z44" s="48"/>
      <c r="AA44" s="48"/>
      <c r="AB44" s="48"/>
      <c r="AC44" s="48"/>
      <c r="AD44" s="48"/>
      <c r="AE44" s="48"/>
      <c r="AF44" s="48"/>
      <c r="AG44" s="48"/>
    </row>
    <row r="45" ht="26.25" customHeight="1">
      <c r="A45" s="60"/>
      <c r="B45" s="72"/>
      <c r="C45" s="62"/>
      <c r="D45" s="63" t="s">
        <v>389</v>
      </c>
      <c r="E45" s="64" t="str">
        <f>'Total Impact Hours so far'!A38</f>
        <v>danibelle</v>
      </c>
      <c r="F45" s="65"/>
      <c r="G45" s="66"/>
      <c r="H45" s="67" t="s">
        <v>390</v>
      </c>
      <c r="I45" s="68">
        <f>'Total Impact Hours so far'!B38</f>
        <v>66.17615329</v>
      </c>
      <c r="J45" s="47"/>
      <c r="K45" s="48"/>
      <c r="L45" s="48"/>
      <c r="M45" s="48"/>
      <c r="N45" s="48"/>
      <c r="O45" s="48"/>
      <c r="P45" s="48"/>
      <c r="Q45" s="48"/>
      <c r="R45" s="48"/>
      <c r="S45" s="48"/>
      <c r="T45" s="48"/>
      <c r="U45" s="48"/>
      <c r="V45" s="48"/>
      <c r="W45" s="48"/>
      <c r="X45" s="48"/>
      <c r="Y45" s="48"/>
      <c r="Z45" s="48"/>
      <c r="AA45" s="48"/>
      <c r="AB45" s="48"/>
      <c r="AC45" s="48"/>
      <c r="AD45" s="48"/>
      <c r="AE45" s="48"/>
      <c r="AF45" s="48"/>
      <c r="AG45" s="48"/>
    </row>
    <row r="46" ht="26.25" customHeight="1">
      <c r="A46" s="69"/>
      <c r="B46" s="70"/>
      <c r="C46" s="71"/>
      <c r="D46" s="63" t="s">
        <v>389</v>
      </c>
      <c r="E46" s="64" t="str">
        <f>'Total Impact Hours so far'!A39</f>
        <v>manualzuru</v>
      </c>
      <c r="F46" s="65"/>
      <c r="G46" s="66"/>
      <c r="H46" s="67" t="s">
        <v>390</v>
      </c>
      <c r="I46" s="68">
        <f>'Total Impact Hours so far'!B39</f>
        <v>65.87106219</v>
      </c>
      <c r="J46" s="47"/>
      <c r="K46" s="48"/>
      <c r="L46" s="48"/>
      <c r="M46" s="48"/>
      <c r="N46" s="48"/>
      <c r="O46" s="48"/>
      <c r="P46" s="48"/>
      <c r="Q46" s="48"/>
      <c r="R46" s="48"/>
      <c r="S46" s="48"/>
      <c r="T46" s="48"/>
      <c r="U46" s="48"/>
      <c r="V46" s="48"/>
      <c r="W46" s="48"/>
      <c r="X46" s="48"/>
      <c r="Y46" s="48"/>
      <c r="Z46" s="48"/>
      <c r="AA46" s="48"/>
      <c r="AB46" s="48"/>
      <c r="AC46" s="48"/>
      <c r="AD46" s="48"/>
      <c r="AE46" s="48"/>
      <c r="AF46" s="48"/>
      <c r="AG46" s="48"/>
    </row>
    <row r="47" ht="26.25" customHeight="1">
      <c r="A47" s="60"/>
      <c r="B47" s="72"/>
      <c r="C47" s="62"/>
      <c r="D47" s="63" t="s">
        <v>389</v>
      </c>
      <c r="E47" s="64" t="str">
        <f>'Total Impact Hours so far'!A40</f>
        <v>lkngtn</v>
      </c>
      <c r="F47" s="65"/>
      <c r="G47" s="66"/>
      <c r="H47" s="67" t="s">
        <v>390</v>
      </c>
      <c r="I47" s="68">
        <f>'Total Impact Hours so far'!B40</f>
        <v>65.57938505</v>
      </c>
      <c r="J47" s="47"/>
      <c r="K47" s="48"/>
      <c r="L47" s="48"/>
      <c r="M47" s="48"/>
      <c r="N47" s="48"/>
      <c r="O47" s="48"/>
      <c r="P47" s="48"/>
      <c r="Q47" s="48"/>
      <c r="R47" s="48"/>
      <c r="S47" s="48"/>
      <c r="T47" s="48"/>
      <c r="U47" s="48"/>
      <c r="V47" s="48"/>
      <c r="W47" s="48"/>
      <c r="X47" s="48"/>
      <c r="Y47" s="48"/>
      <c r="Z47" s="48"/>
      <c r="AA47" s="48"/>
      <c r="AB47" s="48"/>
      <c r="AC47" s="48"/>
      <c r="AD47" s="48"/>
      <c r="AE47" s="48"/>
      <c r="AF47" s="48"/>
      <c r="AG47" s="48"/>
    </row>
    <row r="48" ht="26.25" customHeight="1">
      <c r="A48" s="69"/>
      <c r="B48" s="70"/>
      <c r="C48" s="71"/>
      <c r="D48" s="63" t="s">
        <v>389</v>
      </c>
      <c r="E48" s="64" t="str">
        <f>'Total Impact Hours so far'!A41</f>
        <v>blairv</v>
      </c>
      <c r="F48" s="65"/>
      <c r="G48" s="66"/>
      <c r="H48" s="67" t="s">
        <v>390</v>
      </c>
      <c r="I48" s="68">
        <f>'Total Impact Hours so far'!B41</f>
        <v>63.84408535</v>
      </c>
      <c r="J48" s="47"/>
      <c r="K48" s="48"/>
      <c r="L48" s="48"/>
      <c r="M48" s="48"/>
      <c r="N48" s="48"/>
      <c r="O48" s="48"/>
      <c r="P48" s="48"/>
      <c r="Q48" s="48"/>
      <c r="R48" s="48"/>
      <c r="S48" s="48"/>
      <c r="T48" s="48"/>
      <c r="U48" s="48"/>
      <c r="V48" s="48"/>
      <c r="W48" s="48"/>
      <c r="X48" s="48"/>
      <c r="Y48" s="48"/>
      <c r="Z48" s="48"/>
      <c r="AA48" s="48"/>
      <c r="AB48" s="48"/>
      <c r="AC48" s="48"/>
      <c r="AD48" s="48"/>
      <c r="AE48" s="48"/>
      <c r="AF48" s="48"/>
      <c r="AG48" s="48"/>
    </row>
    <row r="49" ht="26.25" customHeight="1">
      <c r="A49" s="60"/>
      <c r="B49" s="72"/>
      <c r="C49" s="62"/>
      <c r="D49" s="63" t="s">
        <v>389</v>
      </c>
      <c r="E49" s="64" t="str">
        <f>'Total Impact Hours so far'!A42</f>
        <v>tannra</v>
      </c>
      <c r="F49" s="65"/>
      <c r="G49" s="66"/>
      <c r="H49" s="67" t="s">
        <v>390</v>
      </c>
      <c r="I49" s="68">
        <f>'Total Impact Hours so far'!B42</f>
        <v>63.37209756</v>
      </c>
      <c r="J49" s="47"/>
      <c r="K49" s="48"/>
      <c r="L49" s="48"/>
      <c r="M49" s="48"/>
      <c r="N49" s="48"/>
      <c r="O49" s="48"/>
      <c r="P49" s="48"/>
      <c r="Q49" s="48"/>
      <c r="R49" s="48"/>
      <c r="S49" s="48"/>
      <c r="T49" s="48"/>
      <c r="U49" s="48"/>
      <c r="V49" s="48"/>
      <c r="W49" s="48"/>
      <c r="X49" s="48"/>
      <c r="Y49" s="48"/>
      <c r="Z49" s="48"/>
      <c r="AA49" s="48"/>
      <c r="AB49" s="48"/>
      <c r="AC49" s="48"/>
      <c r="AD49" s="48"/>
      <c r="AE49" s="48"/>
      <c r="AF49" s="48"/>
      <c r="AG49" s="48"/>
    </row>
    <row r="50" ht="26.25" customHeight="1">
      <c r="A50" s="69"/>
      <c r="B50" s="70"/>
      <c r="C50" s="71"/>
      <c r="D50" s="63" t="s">
        <v>389</v>
      </c>
      <c r="E50" s="64" t="str">
        <f>'Total Impact Hours so far'!A43</f>
        <v>markop</v>
      </c>
      <c r="F50" s="65"/>
      <c r="G50" s="66"/>
      <c r="H50" s="67" t="s">
        <v>390</v>
      </c>
      <c r="I50" s="68">
        <f>'Total Impact Hours so far'!B43</f>
        <v>63.19042563</v>
      </c>
      <c r="J50" s="47"/>
      <c r="K50" s="48"/>
      <c r="L50" s="48"/>
      <c r="M50" s="48"/>
      <c r="N50" s="48"/>
      <c r="O50" s="48"/>
      <c r="P50" s="48"/>
      <c r="Q50" s="48"/>
      <c r="R50" s="48"/>
      <c r="S50" s="48"/>
      <c r="T50" s="48"/>
      <c r="U50" s="48"/>
      <c r="V50" s="48"/>
      <c r="W50" s="48"/>
      <c r="X50" s="48"/>
      <c r="Y50" s="48"/>
      <c r="Z50" s="48"/>
      <c r="AA50" s="48"/>
      <c r="AB50" s="48"/>
      <c r="AC50" s="48"/>
      <c r="AD50" s="48"/>
      <c r="AE50" s="48"/>
      <c r="AF50" s="48"/>
      <c r="AG50" s="48"/>
    </row>
    <row r="51" ht="26.25" customHeight="1">
      <c r="A51" s="60"/>
      <c r="B51" s="72"/>
      <c r="C51" s="62"/>
      <c r="D51" s="63" t="s">
        <v>389</v>
      </c>
      <c r="E51" s="64" t="str">
        <f>'Total Impact Hours so far'!A44</f>
        <v>kristoferkristofer</v>
      </c>
      <c r="F51" s="65"/>
      <c r="G51" s="66"/>
      <c r="H51" s="67" t="s">
        <v>390</v>
      </c>
      <c r="I51" s="68">
        <f>'Total Impact Hours so far'!B44</f>
        <v>62.5792293</v>
      </c>
      <c r="J51" s="47"/>
      <c r="K51" s="48"/>
      <c r="L51" s="48"/>
      <c r="M51" s="48"/>
      <c r="N51" s="48"/>
      <c r="O51" s="48"/>
      <c r="P51" s="48"/>
      <c r="Q51" s="48"/>
      <c r="R51" s="48"/>
      <c r="S51" s="48"/>
      <c r="T51" s="48"/>
      <c r="U51" s="48"/>
      <c r="V51" s="48"/>
      <c r="W51" s="48"/>
      <c r="X51" s="48"/>
      <c r="Y51" s="48"/>
      <c r="Z51" s="48"/>
      <c r="AA51" s="48"/>
      <c r="AB51" s="48"/>
      <c r="AC51" s="48"/>
      <c r="AD51" s="48"/>
      <c r="AE51" s="48"/>
      <c r="AF51" s="48"/>
      <c r="AG51" s="48"/>
    </row>
    <row r="52" ht="26.25" customHeight="1">
      <c r="A52" s="69"/>
      <c r="B52" s="70"/>
      <c r="C52" s="71"/>
      <c r="D52" s="63" t="s">
        <v>389</v>
      </c>
      <c r="E52" s="64" t="str">
        <f>'Total Impact Hours so far'!A45</f>
        <v>Suga#8514</v>
      </c>
      <c r="F52" s="65"/>
      <c r="G52" s="66"/>
      <c r="H52" s="67" t="s">
        <v>390</v>
      </c>
      <c r="I52" s="68">
        <f>'Total Impact Hours so far'!B45</f>
        <v>57.64135797</v>
      </c>
      <c r="J52" s="47"/>
      <c r="K52" s="48"/>
      <c r="L52" s="48"/>
      <c r="M52" s="48"/>
      <c r="N52" s="48"/>
      <c r="O52" s="48"/>
      <c r="P52" s="48"/>
      <c r="Q52" s="48"/>
      <c r="R52" s="48"/>
      <c r="S52" s="48"/>
      <c r="T52" s="48"/>
      <c r="U52" s="48"/>
      <c r="V52" s="48"/>
      <c r="W52" s="48"/>
      <c r="X52" s="48"/>
      <c r="Y52" s="48"/>
      <c r="Z52" s="48"/>
      <c r="AA52" s="48"/>
      <c r="AB52" s="48"/>
      <c r="AC52" s="48"/>
      <c r="AD52" s="48"/>
      <c r="AE52" s="48"/>
      <c r="AF52" s="48"/>
      <c r="AG52" s="48"/>
    </row>
    <row r="53" ht="26.25" customHeight="1">
      <c r="A53" s="60"/>
      <c r="B53" s="72"/>
      <c r="C53" s="62"/>
      <c r="D53" s="63" t="s">
        <v>389</v>
      </c>
      <c r="E53" s="64" t="str">
        <f>'Total Impact Hours so far'!A46</f>
        <v>ddan#2489</v>
      </c>
      <c r="F53" s="65"/>
      <c r="G53" s="66"/>
      <c r="H53" s="67" t="s">
        <v>390</v>
      </c>
      <c r="I53" s="68">
        <f>'Total Impact Hours so far'!B46</f>
        <v>55.43185519</v>
      </c>
      <c r="J53" s="47"/>
      <c r="K53" s="48"/>
      <c r="L53" s="48"/>
      <c r="M53" s="48"/>
      <c r="N53" s="48"/>
      <c r="O53" s="48"/>
      <c r="P53" s="48"/>
      <c r="Q53" s="48"/>
      <c r="R53" s="48"/>
      <c r="S53" s="48"/>
      <c r="T53" s="48"/>
      <c r="U53" s="48"/>
      <c r="V53" s="48"/>
      <c r="W53" s="48"/>
      <c r="X53" s="48"/>
      <c r="Y53" s="48"/>
      <c r="Z53" s="48"/>
      <c r="AA53" s="48"/>
      <c r="AB53" s="48"/>
      <c r="AC53" s="48"/>
      <c r="AD53" s="48"/>
      <c r="AE53" s="48"/>
      <c r="AF53" s="48"/>
      <c r="AG53" s="48"/>
    </row>
    <row r="54" ht="26.25" customHeight="1">
      <c r="A54" s="78"/>
      <c r="B54" s="79"/>
      <c r="C54" s="71"/>
      <c r="D54" s="63" t="s">
        <v>389</v>
      </c>
      <c r="E54" s="64" t="str">
        <f>'Total Impact Hours so far'!A47</f>
        <v>benjaminscholtz</v>
      </c>
      <c r="F54" s="65"/>
      <c r="G54" s="66"/>
      <c r="H54" s="67" t="s">
        <v>390</v>
      </c>
      <c r="I54" s="68">
        <f>'Total Impact Hours so far'!B47</f>
        <v>53.11418589</v>
      </c>
      <c r="J54" s="47"/>
      <c r="K54" s="48"/>
      <c r="L54" s="48"/>
      <c r="M54" s="48"/>
      <c r="N54" s="48"/>
      <c r="O54" s="48"/>
      <c r="P54" s="48"/>
      <c r="Q54" s="48"/>
      <c r="R54" s="48"/>
      <c r="S54" s="48"/>
      <c r="T54" s="48"/>
      <c r="U54" s="48"/>
      <c r="V54" s="48"/>
      <c r="W54" s="48"/>
      <c r="X54" s="48"/>
      <c r="Y54" s="48"/>
      <c r="Z54" s="48"/>
      <c r="AA54" s="48"/>
      <c r="AB54" s="48"/>
      <c r="AC54" s="48"/>
      <c r="AD54" s="48"/>
      <c r="AE54" s="48"/>
      <c r="AF54" s="48"/>
      <c r="AG54" s="48"/>
    </row>
    <row r="55" ht="26.25" customHeight="1">
      <c r="A55" s="69"/>
      <c r="B55" s="70"/>
      <c r="C55" s="71"/>
      <c r="D55" s="63" t="s">
        <v>389</v>
      </c>
      <c r="E55" s="64" t="str">
        <f>'Total Impact Hours so far'!A48</f>
        <v>divine_comedian</v>
      </c>
      <c r="F55" s="65"/>
      <c r="G55" s="66"/>
      <c r="H55" s="67" t="s">
        <v>390</v>
      </c>
      <c r="I55" s="68">
        <f>'Total Impact Hours so far'!B48</f>
        <v>52.56795015</v>
      </c>
      <c r="J55" s="47"/>
      <c r="K55" s="48"/>
      <c r="L55" s="48"/>
      <c r="M55" s="48"/>
      <c r="N55" s="48"/>
      <c r="O55" s="48"/>
      <c r="P55" s="48"/>
      <c r="Q55" s="48"/>
      <c r="R55" s="48"/>
      <c r="S55" s="48"/>
      <c r="T55" s="48"/>
      <c r="U55" s="48"/>
      <c r="V55" s="48"/>
      <c r="W55" s="48"/>
      <c r="X55" s="48"/>
      <c r="Y55" s="48"/>
      <c r="Z55" s="48"/>
      <c r="AA55" s="48"/>
      <c r="AB55" s="48"/>
      <c r="AC55" s="48"/>
      <c r="AD55" s="48"/>
      <c r="AE55" s="48"/>
      <c r="AF55" s="48"/>
      <c r="AG55" s="48"/>
    </row>
    <row r="56" ht="26.25" customHeight="1">
      <c r="A56" s="60"/>
      <c r="B56" s="72"/>
      <c r="C56" s="62"/>
      <c r="D56" s="63" t="s">
        <v>389</v>
      </c>
      <c r="E56" s="64" t="str">
        <f>'Total Impact Hours so far'!A49</f>
        <v>knobsdao</v>
      </c>
      <c r="F56" s="65"/>
      <c r="G56" s="66"/>
      <c r="H56" s="67" t="s">
        <v>390</v>
      </c>
      <c r="I56" s="68">
        <f>'Total Impact Hours so far'!B49</f>
        <v>47.85046549</v>
      </c>
      <c r="J56" s="47"/>
      <c r="K56" s="48"/>
      <c r="L56" s="48"/>
      <c r="M56" s="48"/>
      <c r="N56" s="48"/>
      <c r="O56" s="48"/>
      <c r="P56" s="48"/>
      <c r="Q56" s="48"/>
      <c r="R56" s="48"/>
      <c r="S56" s="48"/>
      <c r="T56" s="48"/>
      <c r="U56" s="48"/>
      <c r="V56" s="48"/>
      <c r="W56" s="48"/>
      <c r="X56" s="48"/>
      <c r="Y56" s="48"/>
      <c r="Z56" s="48"/>
      <c r="AA56" s="48"/>
      <c r="AB56" s="48"/>
      <c r="AC56" s="48"/>
      <c r="AD56" s="48"/>
      <c r="AE56" s="48"/>
      <c r="AF56" s="48"/>
      <c r="AG56" s="48"/>
    </row>
    <row r="57" ht="26.25" customHeight="1">
      <c r="A57" s="69"/>
      <c r="B57" s="70"/>
      <c r="C57" s="71"/>
      <c r="D57" s="63" t="s">
        <v>389</v>
      </c>
      <c r="E57" s="64" t="str">
        <f>'Total Impact Hours so far'!A50</f>
        <v>geleeroyale</v>
      </c>
      <c r="F57" s="65"/>
      <c r="G57" s="66"/>
      <c r="H57" s="67" t="s">
        <v>390</v>
      </c>
      <c r="I57" s="68">
        <f>'Total Impact Hours so far'!B50</f>
        <v>46.74060597</v>
      </c>
      <c r="J57" s="47"/>
      <c r="K57" s="48"/>
      <c r="L57" s="48"/>
      <c r="M57" s="48"/>
      <c r="N57" s="48"/>
      <c r="O57" s="48"/>
      <c r="P57" s="48"/>
      <c r="Q57" s="48"/>
      <c r="R57" s="48"/>
      <c r="S57" s="48"/>
      <c r="T57" s="48"/>
      <c r="U57" s="48"/>
      <c r="V57" s="48"/>
      <c r="W57" s="48"/>
      <c r="X57" s="48"/>
      <c r="Y57" s="48"/>
      <c r="Z57" s="48"/>
      <c r="AA57" s="48"/>
      <c r="AB57" s="48"/>
      <c r="AC57" s="48"/>
      <c r="AD57" s="48"/>
      <c r="AE57" s="48"/>
      <c r="AF57" s="48"/>
      <c r="AG57" s="48"/>
    </row>
    <row r="58" ht="26.25" customHeight="1">
      <c r="A58" s="69"/>
      <c r="B58" s="70"/>
      <c r="C58" s="71"/>
      <c r="D58" s="63" t="s">
        <v>389</v>
      </c>
      <c r="E58" s="64" t="str">
        <f>'Total Impact Hours so far'!A51</f>
        <v>rdfbbx#6437</v>
      </c>
      <c r="F58" s="65"/>
      <c r="G58" s="66"/>
      <c r="H58" s="67" t="s">
        <v>390</v>
      </c>
      <c r="I58" s="68">
        <f>'Total Impact Hours so far'!B51</f>
        <v>45.58664402</v>
      </c>
      <c r="J58" s="47"/>
      <c r="K58" s="48"/>
      <c r="L58" s="48"/>
      <c r="M58" s="48"/>
      <c r="N58" s="48"/>
      <c r="O58" s="48"/>
      <c r="P58" s="48"/>
      <c r="Q58" s="48"/>
      <c r="R58" s="48"/>
      <c r="S58" s="48"/>
      <c r="T58" s="48"/>
      <c r="U58" s="48"/>
      <c r="V58" s="48"/>
      <c r="W58" s="48"/>
      <c r="X58" s="48"/>
      <c r="Y58" s="48"/>
      <c r="Z58" s="48"/>
      <c r="AA58" s="48"/>
      <c r="AB58" s="48"/>
      <c r="AC58" s="48"/>
      <c r="AD58" s="48"/>
      <c r="AE58" s="48"/>
      <c r="AF58" s="48"/>
      <c r="AG58" s="48"/>
    </row>
    <row r="59" ht="26.25" customHeight="1">
      <c r="A59" s="60"/>
      <c r="B59" s="72"/>
      <c r="C59" s="62"/>
      <c r="D59" s="63" t="s">
        <v>389</v>
      </c>
      <c r="E59" s="64" t="str">
        <f>'Total Impact Hours so far'!A52</f>
        <v>randomshinichi</v>
      </c>
      <c r="F59" s="65"/>
      <c r="G59" s="66"/>
      <c r="H59" s="67" t="s">
        <v>390</v>
      </c>
      <c r="I59" s="68">
        <f>'Total Impact Hours so far'!B52</f>
        <v>45.31196822</v>
      </c>
      <c r="J59" s="47"/>
      <c r="K59" s="48"/>
      <c r="L59" s="48"/>
      <c r="M59" s="48"/>
      <c r="N59" s="48"/>
      <c r="O59" s="48"/>
      <c r="P59" s="48"/>
      <c r="Q59" s="48"/>
      <c r="R59" s="48"/>
      <c r="S59" s="48"/>
      <c r="T59" s="48"/>
      <c r="U59" s="48"/>
      <c r="V59" s="48"/>
      <c r="W59" s="48"/>
      <c r="X59" s="48"/>
      <c r="Y59" s="48"/>
      <c r="Z59" s="48"/>
      <c r="AA59" s="48"/>
      <c r="AB59" s="48"/>
      <c r="AC59" s="48"/>
      <c r="AD59" s="48"/>
      <c r="AE59" s="48"/>
      <c r="AF59" s="48"/>
      <c r="AG59" s="48"/>
    </row>
    <row r="60" ht="26.25" customHeight="1">
      <c r="A60" s="60"/>
      <c r="B60" s="72"/>
      <c r="C60" s="62"/>
      <c r="D60" s="63" t="s">
        <v>389</v>
      </c>
      <c r="E60" s="64" t="str">
        <f>'Total Impact Hours so far'!A53</f>
        <v>vntrp</v>
      </c>
      <c r="F60" s="65"/>
      <c r="G60" s="66"/>
      <c r="H60" s="67" t="s">
        <v>390</v>
      </c>
      <c r="I60" s="68">
        <f>'Total Impact Hours so far'!B53</f>
        <v>44.31867887</v>
      </c>
      <c r="J60" s="47"/>
      <c r="K60" s="48"/>
      <c r="L60" s="48"/>
      <c r="M60" s="48"/>
      <c r="N60" s="48"/>
      <c r="O60" s="48"/>
      <c r="P60" s="48"/>
      <c r="Q60" s="48"/>
      <c r="R60" s="48"/>
      <c r="S60" s="48"/>
      <c r="T60" s="48"/>
      <c r="U60" s="48"/>
      <c r="V60" s="48"/>
      <c r="W60" s="48"/>
      <c r="X60" s="48"/>
      <c r="Y60" s="48"/>
      <c r="Z60" s="48"/>
      <c r="AA60" s="48"/>
      <c r="AB60" s="48"/>
      <c r="AC60" s="48"/>
      <c r="AD60" s="48"/>
      <c r="AE60" s="48"/>
      <c r="AF60" s="48"/>
      <c r="AG60" s="48"/>
    </row>
    <row r="61" ht="26.25" customHeight="1">
      <c r="A61" s="69"/>
      <c r="B61" s="70"/>
      <c r="C61" s="71"/>
      <c r="D61" s="63" t="s">
        <v>389</v>
      </c>
      <c r="E61" s="64" t="str">
        <f>'Total Impact Hours so far'!A54</f>
        <v>hbesso31</v>
      </c>
      <c r="F61" s="65"/>
      <c r="G61" s="66"/>
      <c r="H61" s="67" t="s">
        <v>390</v>
      </c>
      <c r="I61" s="68">
        <f>'Total Impact Hours so far'!B54</f>
        <v>42.61022249</v>
      </c>
      <c r="J61" s="47"/>
      <c r="K61" s="48"/>
      <c r="L61" s="48"/>
      <c r="M61" s="48"/>
      <c r="N61" s="48"/>
      <c r="O61" s="48"/>
      <c r="P61" s="48"/>
      <c r="Q61" s="48"/>
      <c r="R61" s="48"/>
      <c r="S61" s="48"/>
      <c r="T61" s="48"/>
      <c r="U61" s="48"/>
      <c r="V61" s="48"/>
      <c r="W61" s="48"/>
      <c r="X61" s="48"/>
      <c r="Y61" s="48"/>
      <c r="Z61" s="48"/>
      <c r="AA61" s="48"/>
      <c r="AB61" s="48"/>
      <c r="AC61" s="48"/>
      <c r="AD61" s="48"/>
      <c r="AE61" s="48"/>
      <c r="AF61" s="48"/>
      <c r="AG61" s="48"/>
    </row>
    <row r="62" ht="26.25" customHeight="1">
      <c r="A62" s="69"/>
      <c r="B62" s="70"/>
      <c r="C62" s="71"/>
      <c r="D62" s="63" t="s">
        <v>389</v>
      </c>
      <c r="E62" s="64" t="str">
        <f>'Total Impact Hours so far'!A55</f>
        <v>atacas</v>
      </c>
      <c r="F62" s="65"/>
      <c r="G62" s="66"/>
      <c r="H62" s="67" t="s">
        <v>390</v>
      </c>
      <c r="I62" s="68">
        <f>'Total Impact Hours so far'!B55</f>
        <v>41.6902896</v>
      </c>
      <c r="J62" s="47"/>
      <c r="K62" s="48"/>
      <c r="L62" s="48"/>
      <c r="M62" s="48"/>
      <c r="N62" s="48"/>
      <c r="O62" s="48"/>
      <c r="P62" s="48"/>
      <c r="Q62" s="48"/>
      <c r="R62" s="48"/>
      <c r="S62" s="48"/>
      <c r="T62" s="48"/>
      <c r="U62" s="48"/>
      <c r="V62" s="48"/>
      <c r="W62" s="48"/>
      <c r="X62" s="48"/>
      <c r="Y62" s="48"/>
      <c r="Z62" s="48"/>
      <c r="AA62" s="48"/>
      <c r="AB62" s="48"/>
      <c r="AC62" s="48"/>
      <c r="AD62" s="48"/>
      <c r="AE62" s="48"/>
      <c r="AF62" s="48"/>
      <c r="AG62" s="48"/>
    </row>
    <row r="63" ht="26.25" customHeight="1">
      <c r="A63" s="69"/>
      <c r="B63" s="70"/>
      <c r="C63" s="71"/>
      <c r="D63" s="63" t="s">
        <v>389</v>
      </c>
      <c r="E63" s="64" t="str">
        <f>'Total Impact Hours so far'!A56</f>
        <v>rosamoc</v>
      </c>
      <c r="F63" s="65"/>
      <c r="G63" s="66"/>
      <c r="H63" s="67" t="s">
        <v>390</v>
      </c>
      <c r="I63" s="68">
        <f>'Total Impact Hours so far'!B56</f>
        <v>41.27510754</v>
      </c>
      <c r="J63" s="47"/>
      <c r="K63" s="48"/>
      <c r="L63" s="48"/>
      <c r="M63" s="48"/>
      <c r="N63" s="48"/>
      <c r="O63" s="48"/>
      <c r="P63" s="48"/>
      <c r="Q63" s="48"/>
      <c r="R63" s="48"/>
      <c r="S63" s="48"/>
      <c r="T63" s="48"/>
      <c r="U63" s="48"/>
      <c r="V63" s="48"/>
      <c r="W63" s="48"/>
      <c r="X63" s="48"/>
      <c r="Y63" s="48"/>
      <c r="Z63" s="48"/>
      <c r="AA63" s="48"/>
      <c r="AB63" s="48"/>
      <c r="AC63" s="48"/>
      <c r="AD63" s="48"/>
      <c r="AE63" s="48"/>
      <c r="AF63" s="48"/>
      <c r="AG63" s="48"/>
    </row>
    <row r="64" ht="26.25" customHeight="1">
      <c r="A64" s="69"/>
      <c r="B64" s="70"/>
      <c r="C64" s="71"/>
      <c r="D64" s="63" t="s">
        <v>389</v>
      </c>
      <c r="E64" s="64" t="str">
        <f>'Total Impact Hours so far'!A57</f>
        <v>fabiosmendes</v>
      </c>
      <c r="F64" s="65"/>
      <c r="G64" s="66"/>
      <c r="H64" s="67" t="s">
        <v>390</v>
      </c>
      <c r="I64" s="68">
        <f>'Total Impact Hours so far'!B57</f>
        <v>39.85271004</v>
      </c>
      <c r="J64" s="47"/>
      <c r="K64" s="48"/>
      <c r="L64" s="48"/>
      <c r="M64" s="48"/>
      <c r="N64" s="48"/>
      <c r="O64" s="48"/>
      <c r="P64" s="48"/>
      <c r="Q64" s="48"/>
      <c r="R64" s="48"/>
      <c r="S64" s="48"/>
      <c r="T64" s="48"/>
      <c r="U64" s="48"/>
      <c r="V64" s="48"/>
      <c r="W64" s="48"/>
      <c r="X64" s="48"/>
      <c r="Y64" s="48"/>
      <c r="Z64" s="48"/>
      <c r="AA64" s="48"/>
      <c r="AB64" s="48"/>
      <c r="AC64" s="48"/>
      <c r="AD64" s="48"/>
      <c r="AE64" s="48"/>
      <c r="AF64" s="48"/>
      <c r="AG64" s="48"/>
    </row>
    <row r="65" ht="26.25" customHeight="1">
      <c r="A65" s="60"/>
      <c r="B65" s="72"/>
      <c r="C65" s="62"/>
      <c r="D65" s="63" t="s">
        <v>389</v>
      </c>
      <c r="E65" s="64" t="str">
        <f>'Total Impact Hours so far'!A58</f>
        <v>heater03</v>
      </c>
      <c r="F65" s="65"/>
      <c r="G65" s="66"/>
      <c r="H65" s="67" t="s">
        <v>390</v>
      </c>
      <c r="I65" s="68">
        <f>'Total Impact Hours so far'!B58</f>
        <v>39.58864661</v>
      </c>
      <c r="J65" s="47"/>
      <c r="K65" s="48"/>
      <c r="L65" s="48"/>
      <c r="M65" s="48"/>
      <c r="N65" s="48"/>
      <c r="O65" s="48"/>
      <c r="P65" s="48"/>
      <c r="Q65" s="48"/>
      <c r="R65" s="48"/>
      <c r="S65" s="48"/>
      <c r="T65" s="48"/>
      <c r="U65" s="48"/>
      <c r="V65" s="48"/>
      <c r="W65" s="48"/>
      <c r="X65" s="48"/>
      <c r="Y65" s="48"/>
      <c r="Z65" s="48"/>
      <c r="AA65" s="48"/>
      <c r="AB65" s="48"/>
      <c r="AC65" s="48"/>
      <c r="AD65" s="48"/>
      <c r="AE65" s="48"/>
      <c r="AF65" s="48"/>
      <c r="AG65" s="48"/>
    </row>
    <row r="66" ht="26.25" customHeight="1">
      <c r="A66" s="69"/>
      <c r="B66" s="70"/>
      <c r="C66" s="71"/>
      <c r="D66" s="63" t="s">
        <v>389</v>
      </c>
      <c r="E66" s="64" t="str">
        <f>'Total Impact Hours so far'!A59</f>
        <v>krisjones</v>
      </c>
      <c r="F66" s="65"/>
      <c r="G66" s="66"/>
      <c r="H66" s="67" t="s">
        <v>390</v>
      </c>
      <c r="I66" s="68">
        <f>'Total Impact Hours so far'!B59</f>
        <v>38.79117018</v>
      </c>
      <c r="J66" s="47"/>
      <c r="K66" s="48"/>
      <c r="L66" s="48"/>
      <c r="M66" s="48"/>
      <c r="N66" s="48"/>
      <c r="O66" s="48"/>
      <c r="P66" s="48"/>
      <c r="Q66" s="48"/>
      <c r="R66" s="48"/>
      <c r="S66" s="48"/>
      <c r="T66" s="48"/>
      <c r="U66" s="48"/>
      <c r="V66" s="48"/>
      <c r="W66" s="48"/>
      <c r="X66" s="48"/>
      <c r="Y66" s="48"/>
      <c r="Z66" s="48"/>
      <c r="AA66" s="48"/>
      <c r="AB66" s="48"/>
      <c r="AC66" s="48"/>
      <c r="AD66" s="48"/>
      <c r="AE66" s="48"/>
      <c r="AF66" s="48"/>
      <c r="AG66" s="48"/>
    </row>
    <row r="67" ht="26.25" customHeight="1">
      <c r="A67" s="60"/>
      <c r="B67" s="72"/>
      <c r="C67" s="62"/>
      <c r="D67" s="63" t="s">
        <v>389</v>
      </c>
      <c r="E67" s="64" t="str">
        <f>'Total Impact Hours so far'!A60</f>
        <v>niranb</v>
      </c>
      <c r="F67" s="65"/>
      <c r="G67" s="66"/>
      <c r="H67" s="67" t="s">
        <v>390</v>
      </c>
      <c r="I67" s="68">
        <f>'Total Impact Hours so far'!B60</f>
        <v>38.65254448</v>
      </c>
      <c r="J67" s="47"/>
      <c r="K67" s="48"/>
      <c r="L67" s="48"/>
      <c r="M67" s="48"/>
      <c r="N67" s="48"/>
      <c r="O67" s="48"/>
      <c r="P67" s="48"/>
      <c r="Q67" s="48"/>
      <c r="R67" s="48"/>
      <c r="S67" s="48"/>
      <c r="T67" s="48"/>
      <c r="U67" s="48"/>
      <c r="V67" s="48"/>
      <c r="W67" s="48"/>
      <c r="X67" s="48"/>
      <c r="Y67" s="48"/>
      <c r="Z67" s="48"/>
      <c r="AA67" s="48"/>
      <c r="AB67" s="48"/>
      <c r="AC67" s="48"/>
      <c r="AD67" s="48"/>
      <c r="AE67" s="48"/>
      <c r="AF67" s="48"/>
      <c r="AG67" s="48"/>
    </row>
    <row r="68" ht="26.25" customHeight="1">
      <c r="A68" s="69"/>
      <c r="B68" s="70"/>
      <c r="C68" s="71"/>
      <c r="D68" s="63" t="s">
        <v>389</v>
      </c>
      <c r="E68" s="64" t="str">
        <f>'Total Impact Hours so far'!A61</f>
        <v>fabimol</v>
      </c>
      <c r="F68" s="65"/>
      <c r="G68" s="66"/>
      <c r="H68" s="67" t="s">
        <v>390</v>
      </c>
      <c r="I68" s="68">
        <f>'Total Impact Hours so far'!B61</f>
        <v>37.80786722</v>
      </c>
      <c r="J68" s="47"/>
      <c r="K68" s="48"/>
      <c r="L68" s="48"/>
      <c r="M68" s="48"/>
      <c r="N68" s="48"/>
      <c r="O68" s="48"/>
      <c r="P68" s="48"/>
      <c r="Q68" s="48"/>
      <c r="R68" s="48"/>
      <c r="S68" s="48"/>
      <c r="T68" s="48"/>
      <c r="U68" s="48"/>
      <c r="V68" s="48"/>
      <c r="W68" s="48"/>
      <c r="X68" s="48"/>
      <c r="Y68" s="48"/>
      <c r="Z68" s="48"/>
      <c r="AA68" s="48"/>
      <c r="AB68" s="48"/>
      <c r="AC68" s="48"/>
      <c r="AD68" s="48"/>
      <c r="AE68" s="48"/>
      <c r="AF68" s="48"/>
      <c r="AG68" s="48"/>
    </row>
    <row r="69" ht="26.25" customHeight="1">
      <c r="A69" s="69"/>
      <c r="B69" s="70"/>
      <c r="C69" s="71"/>
      <c r="D69" s="63" t="s">
        <v>389</v>
      </c>
      <c r="E69" s="64" t="str">
        <f>'Total Impact Hours so far'!A62</f>
        <v>fiorebotta</v>
      </c>
      <c r="F69" s="65"/>
      <c r="G69" s="66"/>
      <c r="H69" s="67" t="s">
        <v>390</v>
      </c>
      <c r="I69" s="68">
        <f>'Total Impact Hours so far'!B62</f>
        <v>37.69743304</v>
      </c>
      <c r="J69" s="47"/>
      <c r="K69" s="48"/>
      <c r="L69" s="48"/>
      <c r="M69" s="48"/>
      <c r="N69" s="48"/>
      <c r="O69" s="48"/>
      <c r="P69" s="48"/>
      <c r="Q69" s="48"/>
      <c r="R69" s="48"/>
      <c r="S69" s="48"/>
      <c r="T69" s="48"/>
      <c r="U69" s="48"/>
      <c r="V69" s="48"/>
      <c r="W69" s="48"/>
      <c r="X69" s="48"/>
      <c r="Y69" s="48"/>
      <c r="Z69" s="48"/>
      <c r="AA69" s="48"/>
      <c r="AB69" s="48"/>
      <c r="AC69" s="48"/>
      <c r="AD69" s="48"/>
      <c r="AE69" s="48"/>
      <c r="AF69" s="48"/>
      <c r="AG69" s="48"/>
    </row>
    <row r="70" ht="26.25" customHeight="1">
      <c r="A70" s="69"/>
      <c r="B70" s="70"/>
      <c r="C70" s="71"/>
      <c r="D70" s="63" t="s">
        <v>389</v>
      </c>
      <c r="E70" s="64" t="str">
        <f>'Total Impact Hours so far'!A63</f>
        <v>chuygarcia92</v>
      </c>
      <c r="F70" s="65"/>
      <c r="G70" s="66"/>
      <c r="H70" s="67" t="s">
        <v>390</v>
      </c>
      <c r="I70" s="68">
        <f>'Total Impact Hours so far'!B63</f>
        <v>37.18808325</v>
      </c>
      <c r="J70" s="47"/>
      <c r="K70" s="48"/>
      <c r="L70" s="48"/>
      <c r="M70" s="48"/>
      <c r="N70" s="48"/>
      <c r="O70" s="48"/>
      <c r="P70" s="48"/>
      <c r="Q70" s="48"/>
      <c r="R70" s="48"/>
      <c r="S70" s="48"/>
      <c r="T70" s="48"/>
      <c r="U70" s="48"/>
      <c r="V70" s="48"/>
      <c r="W70" s="48"/>
      <c r="X70" s="48"/>
      <c r="Y70" s="48"/>
      <c r="Z70" s="48"/>
      <c r="AA70" s="48"/>
      <c r="AB70" s="48"/>
      <c r="AC70" s="48"/>
      <c r="AD70" s="48"/>
      <c r="AE70" s="48"/>
      <c r="AF70" s="48"/>
      <c r="AG70" s="48"/>
    </row>
    <row r="71" ht="26.25" customHeight="1">
      <c r="A71" s="60"/>
      <c r="B71" s="72"/>
      <c r="C71" s="62"/>
      <c r="D71" s="63" t="s">
        <v>389</v>
      </c>
      <c r="E71" s="64" t="str">
        <f>'Total Impact Hours so far'!A64</f>
        <v>trentmc0</v>
      </c>
      <c r="F71" s="65"/>
      <c r="G71" s="66"/>
      <c r="H71" s="67" t="s">
        <v>390</v>
      </c>
      <c r="I71" s="68">
        <f>'Total Impact Hours so far'!B64</f>
        <v>35.91102368</v>
      </c>
      <c r="J71" s="47"/>
      <c r="K71" s="48"/>
      <c r="L71" s="48"/>
      <c r="M71" s="48"/>
      <c r="N71" s="48"/>
      <c r="O71" s="48"/>
      <c r="P71" s="48"/>
      <c r="Q71" s="48"/>
      <c r="R71" s="48"/>
      <c r="S71" s="48"/>
      <c r="T71" s="48"/>
      <c r="U71" s="48"/>
      <c r="V71" s="48"/>
      <c r="W71" s="48"/>
      <c r="X71" s="48"/>
      <c r="Y71" s="48"/>
      <c r="Z71" s="48"/>
      <c r="AA71" s="48"/>
      <c r="AB71" s="48"/>
      <c r="AC71" s="48"/>
      <c r="AD71" s="48"/>
      <c r="AE71" s="48"/>
      <c r="AF71" s="48"/>
      <c r="AG71" s="48"/>
    </row>
    <row r="72" ht="26.25" customHeight="1">
      <c r="A72" s="78"/>
      <c r="B72" s="79"/>
      <c r="C72" s="71"/>
      <c r="D72" s="63" t="s">
        <v>389</v>
      </c>
      <c r="E72" s="64" t="str">
        <f>'Total Impact Hours so far'!A65</f>
        <v>loie_giveth</v>
      </c>
      <c r="F72" s="65"/>
      <c r="G72" s="66"/>
      <c r="H72" s="67" t="s">
        <v>390</v>
      </c>
      <c r="I72" s="68">
        <f>'Total Impact Hours so far'!B65</f>
        <v>35.25949202</v>
      </c>
      <c r="J72" s="47"/>
      <c r="K72" s="48"/>
      <c r="L72" s="48"/>
      <c r="M72" s="48"/>
      <c r="N72" s="48"/>
      <c r="O72" s="48"/>
      <c r="P72" s="48"/>
      <c r="Q72" s="48"/>
      <c r="R72" s="48"/>
      <c r="S72" s="48"/>
      <c r="T72" s="48"/>
      <c r="U72" s="48"/>
      <c r="V72" s="48"/>
      <c r="W72" s="48"/>
      <c r="X72" s="48"/>
      <c r="Y72" s="48"/>
      <c r="Z72" s="48"/>
      <c r="AA72" s="48"/>
      <c r="AB72" s="48"/>
      <c r="AC72" s="48"/>
      <c r="AD72" s="48"/>
      <c r="AE72" s="48"/>
      <c r="AF72" s="48"/>
      <c r="AG72" s="48"/>
    </row>
    <row r="73" ht="26.25" customHeight="1">
      <c r="A73" s="69"/>
      <c r="B73" s="70"/>
      <c r="C73" s="71"/>
      <c r="D73" s="63" t="s">
        <v>389</v>
      </c>
      <c r="E73" s="64" t="str">
        <f>'Total Impact Hours so far'!A66</f>
        <v>willjgriff</v>
      </c>
      <c r="F73" s="65"/>
      <c r="G73" s="66"/>
      <c r="H73" s="67" t="s">
        <v>390</v>
      </c>
      <c r="I73" s="68">
        <f>'Total Impact Hours so far'!B66</f>
        <v>35.07390619</v>
      </c>
      <c r="J73" s="47"/>
      <c r="K73" s="48"/>
      <c r="L73" s="48"/>
      <c r="M73" s="48"/>
      <c r="N73" s="48"/>
      <c r="O73" s="48"/>
      <c r="P73" s="48"/>
      <c r="Q73" s="48"/>
      <c r="R73" s="48"/>
      <c r="S73" s="48"/>
      <c r="T73" s="48"/>
      <c r="U73" s="48"/>
      <c r="V73" s="48"/>
      <c r="W73" s="48"/>
      <c r="X73" s="48"/>
      <c r="Y73" s="48"/>
      <c r="Z73" s="48"/>
      <c r="AA73" s="48"/>
      <c r="AB73" s="48"/>
      <c r="AC73" s="48"/>
      <c r="AD73" s="48"/>
      <c r="AE73" s="48"/>
      <c r="AF73" s="48"/>
      <c r="AG73" s="48"/>
    </row>
    <row r="74" ht="26.25" customHeight="1">
      <c r="A74" s="60"/>
      <c r="B74" s="72"/>
      <c r="C74" s="62"/>
      <c r="D74" s="63" t="s">
        <v>389</v>
      </c>
      <c r="E74" s="64" t="str">
        <f>'Total Impact Hours so far'!A67</f>
        <v>AnnaMarieSwan#8824</v>
      </c>
      <c r="F74" s="65"/>
      <c r="G74" s="66"/>
      <c r="H74" s="67" t="s">
        <v>390</v>
      </c>
      <c r="I74" s="68">
        <f>'Total Impact Hours so far'!B67</f>
        <v>33.02089376</v>
      </c>
      <c r="J74" s="47"/>
      <c r="K74" s="48"/>
      <c r="L74" s="48"/>
      <c r="M74" s="48"/>
      <c r="N74" s="48"/>
      <c r="O74" s="48"/>
      <c r="P74" s="48"/>
      <c r="Q74" s="48"/>
      <c r="R74" s="48"/>
      <c r="S74" s="48"/>
      <c r="T74" s="48"/>
      <c r="U74" s="48"/>
      <c r="V74" s="48"/>
      <c r="W74" s="48"/>
      <c r="X74" s="48"/>
      <c r="Y74" s="48"/>
      <c r="Z74" s="48"/>
      <c r="AA74" s="48"/>
      <c r="AB74" s="48"/>
      <c r="AC74" s="48"/>
      <c r="AD74" s="48"/>
      <c r="AE74" s="48"/>
      <c r="AF74" s="48"/>
      <c r="AG74" s="48"/>
    </row>
    <row r="75" ht="26.25" customHeight="1">
      <c r="A75" s="60"/>
      <c r="B75" s="72"/>
      <c r="C75" s="62"/>
      <c r="D75" s="63" t="s">
        <v>389</v>
      </c>
      <c r="E75" s="64" t="str">
        <f>'Total Impact Hours so far'!A68</f>
        <v>tylerdmace</v>
      </c>
      <c r="F75" s="65"/>
      <c r="G75" s="66"/>
      <c r="H75" s="67" t="s">
        <v>390</v>
      </c>
      <c r="I75" s="68">
        <f>'Total Impact Hours so far'!B68</f>
        <v>32.9610683</v>
      </c>
      <c r="J75" s="47"/>
      <c r="K75" s="48"/>
      <c r="L75" s="48"/>
      <c r="M75" s="48"/>
      <c r="N75" s="48"/>
      <c r="O75" s="48"/>
      <c r="P75" s="48"/>
      <c r="Q75" s="48"/>
      <c r="R75" s="48"/>
      <c r="S75" s="48"/>
      <c r="T75" s="48"/>
      <c r="U75" s="48"/>
      <c r="V75" s="48"/>
      <c r="W75" s="48"/>
      <c r="X75" s="48"/>
      <c r="Y75" s="48"/>
      <c r="Z75" s="48"/>
      <c r="AA75" s="48"/>
      <c r="AB75" s="48"/>
      <c r="AC75" s="48"/>
      <c r="AD75" s="48"/>
      <c r="AE75" s="48"/>
      <c r="AF75" s="48"/>
      <c r="AG75" s="48"/>
    </row>
    <row r="76" ht="26.25" customHeight="1">
      <c r="A76" s="69"/>
      <c r="B76" s="70"/>
      <c r="C76" s="71"/>
      <c r="D76" s="63" t="s">
        <v>389</v>
      </c>
      <c r="E76" s="64" t="str">
        <f>'Total Impact Hours so far'!A69</f>
        <v>owocki</v>
      </c>
      <c r="F76" s="65"/>
      <c r="G76" s="66"/>
      <c r="H76" s="67" t="s">
        <v>390</v>
      </c>
      <c r="I76" s="68">
        <f>'Total Impact Hours so far'!B69</f>
        <v>32.89321308</v>
      </c>
      <c r="J76" s="47"/>
      <c r="K76" s="48"/>
      <c r="L76" s="48"/>
      <c r="M76" s="48"/>
      <c r="N76" s="48"/>
      <c r="O76" s="48"/>
      <c r="P76" s="48"/>
      <c r="Q76" s="48"/>
      <c r="R76" s="48"/>
      <c r="S76" s="48"/>
      <c r="T76" s="48"/>
      <c r="U76" s="48"/>
      <c r="V76" s="48"/>
      <c r="W76" s="48"/>
      <c r="X76" s="48"/>
      <c r="Y76" s="48"/>
      <c r="Z76" s="48"/>
      <c r="AA76" s="48"/>
      <c r="AB76" s="48"/>
      <c r="AC76" s="48"/>
      <c r="AD76" s="48"/>
      <c r="AE76" s="48"/>
      <c r="AF76" s="48"/>
      <c r="AG76" s="48"/>
    </row>
    <row r="77" ht="26.25" customHeight="1">
      <c r="A77" s="60"/>
      <c r="B77" s="72"/>
      <c r="C77" s="62"/>
      <c r="D77" s="63" t="s">
        <v>389</v>
      </c>
      <c r="E77" s="64" t="str">
        <f>'Total Impact Hours so far'!A70</f>
        <v>rubenrussel7</v>
      </c>
      <c r="F77" s="65"/>
      <c r="G77" s="66"/>
      <c r="H77" s="67" t="s">
        <v>390</v>
      </c>
      <c r="I77" s="68">
        <f>'Total Impact Hours so far'!B70</f>
        <v>32.47640777</v>
      </c>
      <c r="J77" s="47"/>
      <c r="K77" s="48"/>
      <c r="L77" s="48"/>
      <c r="M77" s="48"/>
      <c r="N77" s="48"/>
      <c r="O77" s="48"/>
      <c r="P77" s="48"/>
      <c r="Q77" s="48"/>
      <c r="R77" s="48"/>
      <c r="S77" s="48"/>
      <c r="T77" s="48"/>
      <c r="U77" s="48"/>
      <c r="V77" s="48"/>
      <c r="W77" s="48"/>
      <c r="X77" s="48"/>
      <c r="Y77" s="48"/>
      <c r="Z77" s="48"/>
      <c r="AA77" s="48"/>
      <c r="AB77" s="48"/>
      <c r="AC77" s="48"/>
      <c r="AD77" s="48"/>
      <c r="AE77" s="48"/>
      <c r="AF77" s="48"/>
      <c r="AG77" s="48"/>
    </row>
    <row r="78" ht="26.25" customHeight="1">
      <c r="A78" s="69"/>
      <c r="B78" s="70"/>
      <c r="C78" s="70"/>
      <c r="D78" s="70"/>
      <c r="E78" s="80" t="s">
        <v>391</v>
      </c>
      <c r="F78" s="81"/>
      <c r="G78" s="82"/>
      <c r="H78" s="82"/>
      <c r="I78" s="83"/>
      <c r="J78" s="84"/>
      <c r="K78" s="48"/>
      <c r="L78" s="48"/>
      <c r="M78" s="48"/>
      <c r="N78" s="48"/>
      <c r="O78" s="48"/>
      <c r="P78" s="48"/>
      <c r="Q78" s="48"/>
      <c r="R78" s="48"/>
      <c r="S78" s="48"/>
      <c r="T78" s="48"/>
      <c r="U78" s="48"/>
      <c r="V78" s="48"/>
      <c r="W78" s="48"/>
      <c r="X78" s="48"/>
      <c r="Y78" s="48"/>
      <c r="Z78" s="48"/>
      <c r="AA78" s="48"/>
      <c r="AB78" s="48"/>
      <c r="AC78" s="48"/>
      <c r="AD78" s="48"/>
      <c r="AE78" s="48"/>
      <c r="AF78" s="48"/>
      <c r="AG78" s="48"/>
    </row>
    <row r="79" ht="26.25" customHeight="1">
      <c r="A79" s="69"/>
      <c r="B79" s="85"/>
      <c r="C79" s="85"/>
      <c r="D79" s="85"/>
      <c r="E79" s="86"/>
      <c r="F79" s="87"/>
      <c r="G79" s="88"/>
      <c r="H79" s="88"/>
      <c r="I79" s="89"/>
      <c r="J79" s="84"/>
      <c r="K79" s="48"/>
      <c r="L79" s="48"/>
      <c r="M79" s="48"/>
      <c r="N79" s="48"/>
      <c r="O79" s="48"/>
      <c r="P79" s="48"/>
      <c r="Q79" s="48"/>
      <c r="R79" s="48"/>
      <c r="S79" s="48"/>
      <c r="T79" s="48"/>
      <c r="U79" s="48"/>
      <c r="V79" s="48"/>
      <c r="W79" s="48"/>
      <c r="X79" s="48"/>
      <c r="Y79" s="48"/>
      <c r="Z79" s="48"/>
      <c r="AA79" s="48"/>
      <c r="AB79" s="48"/>
      <c r="AC79" s="48"/>
      <c r="AD79" s="48"/>
      <c r="AE79" s="48"/>
      <c r="AF79" s="48"/>
      <c r="AG79" s="48"/>
    </row>
    <row r="80" ht="26.25" customHeight="1">
      <c r="A80" s="69"/>
      <c r="B80" s="90"/>
      <c r="C80" s="90"/>
      <c r="D80" s="90"/>
      <c r="E80" s="90"/>
      <c r="F80" s="90"/>
      <c r="G80" s="90"/>
      <c r="H80" s="90"/>
      <c r="I80" s="91"/>
      <c r="J80" s="84"/>
      <c r="K80" s="48"/>
      <c r="L80" s="48"/>
      <c r="M80" s="48"/>
      <c r="N80" s="48"/>
      <c r="O80" s="48"/>
      <c r="P80" s="48"/>
      <c r="Q80" s="48"/>
      <c r="R80" s="48"/>
      <c r="S80" s="48"/>
      <c r="T80" s="48"/>
      <c r="U80" s="48"/>
      <c r="V80" s="48"/>
      <c r="W80" s="48"/>
      <c r="X80" s="48"/>
      <c r="Y80" s="48"/>
      <c r="Z80" s="48"/>
      <c r="AA80" s="48"/>
      <c r="AB80" s="48"/>
      <c r="AC80" s="48"/>
      <c r="AD80" s="48"/>
      <c r="AE80" s="48"/>
      <c r="AF80" s="48"/>
      <c r="AG80" s="48"/>
    </row>
    <row r="81">
      <c r="A81" s="92"/>
      <c r="B81" s="92"/>
      <c r="C81" s="92"/>
      <c r="D81" s="92"/>
      <c r="E81" s="92"/>
      <c r="F81" s="92"/>
      <c r="G81" s="92"/>
      <c r="H81" s="92"/>
      <c r="I81" s="20"/>
      <c r="J81" s="93"/>
    </row>
    <row r="82">
      <c r="A82" s="92"/>
      <c r="B82" s="92"/>
      <c r="C82" s="92"/>
      <c r="D82" s="92"/>
      <c r="E82" s="92"/>
      <c r="F82" s="92"/>
      <c r="G82" s="92"/>
      <c r="H82" s="92"/>
      <c r="I82" s="20"/>
      <c r="J82" s="93"/>
    </row>
    <row r="83">
      <c r="A83" s="92"/>
      <c r="B83" s="92"/>
      <c r="C83" s="92"/>
      <c r="D83" s="92"/>
      <c r="E83" s="92"/>
      <c r="F83" s="92"/>
      <c r="G83" s="92"/>
      <c r="H83" s="92"/>
      <c r="I83" s="20"/>
      <c r="J83" s="93"/>
    </row>
    <row r="84">
      <c r="A84" s="92"/>
      <c r="B84" s="92"/>
      <c r="C84" s="92"/>
      <c r="D84" s="92"/>
      <c r="E84" s="92"/>
      <c r="F84" s="92"/>
      <c r="G84" s="92"/>
      <c r="H84" s="92"/>
      <c r="I84" s="20"/>
      <c r="J84" s="93"/>
    </row>
    <row r="85">
      <c r="A85" s="92"/>
      <c r="B85" s="92"/>
      <c r="C85" s="92"/>
      <c r="D85" s="92"/>
      <c r="E85" s="92"/>
      <c r="F85" s="92"/>
      <c r="G85" s="92"/>
      <c r="H85" s="92"/>
      <c r="I85" s="20"/>
      <c r="J85" s="93"/>
    </row>
    <row r="86">
      <c r="A86" s="92"/>
      <c r="B86" s="92"/>
      <c r="C86" s="92"/>
      <c r="D86" s="92"/>
      <c r="E86" s="92"/>
      <c r="F86" s="92"/>
      <c r="G86" s="92"/>
      <c r="H86" s="92"/>
      <c r="I86" s="20"/>
      <c r="J86" s="93"/>
    </row>
    <row r="87">
      <c r="A87" s="92"/>
      <c r="B87" s="92"/>
      <c r="C87" s="92"/>
      <c r="D87" s="92"/>
      <c r="E87" s="92"/>
      <c r="F87" s="92"/>
      <c r="G87" s="92"/>
      <c r="H87" s="92"/>
      <c r="I87" s="20"/>
      <c r="J87" s="93"/>
    </row>
    <row r="88">
      <c r="A88" s="92"/>
      <c r="B88" s="92"/>
      <c r="C88" s="92"/>
      <c r="D88" s="92"/>
      <c r="E88" s="92"/>
      <c r="F88" s="92"/>
      <c r="G88" s="92"/>
      <c r="H88" s="92"/>
      <c r="I88" s="20"/>
      <c r="J88" s="93"/>
    </row>
    <row r="89">
      <c r="A89" s="92"/>
      <c r="B89" s="92"/>
      <c r="C89" s="92"/>
      <c r="D89" s="92"/>
      <c r="E89" s="92"/>
      <c r="F89" s="92"/>
      <c r="G89" s="92"/>
      <c r="H89" s="92"/>
      <c r="I89" s="20"/>
      <c r="J89" s="93"/>
    </row>
    <row r="90">
      <c r="A90" s="92"/>
      <c r="B90" s="92"/>
      <c r="C90" s="92"/>
      <c r="D90" s="92"/>
      <c r="E90" s="92"/>
      <c r="F90" s="92"/>
      <c r="G90" s="92"/>
      <c r="H90" s="92"/>
      <c r="I90" s="20"/>
      <c r="J90" s="93"/>
    </row>
    <row r="91">
      <c r="A91" s="92"/>
      <c r="B91" s="92"/>
      <c r="C91" s="92"/>
      <c r="D91" s="92"/>
      <c r="E91" s="92"/>
      <c r="F91" s="92"/>
      <c r="G91" s="92"/>
      <c r="H91" s="92"/>
      <c r="I91" s="20"/>
      <c r="J91" s="93"/>
    </row>
    <row r="92">
      <c r="A92" s="92"/>
      <c r="B92" s="92"/>
      <c r="C92" s="92"/>
      <c r="D92" s="92"/>
      <c r="E92" s="92"/>
      <c r="F92" s="92"/>
      <c r="G92" s="92"/>
      <c r="H92" s="92"/>
      <c r="I92" s="20"/>
      <c r="J92" s="93"/>
    </row>
    <row r="93">
      <c r="A93" s="92"/>
      <c r="B93" s="92"/>
      <c r="C93" s="92"/>
      <c r="D93" s="92"/>
      <c r="E93" s="92"/>
      <c r="F93" s="92"/>
      <c r="G93" s="92"/>
      <c r="H93" s="92"/>
      <c r="I93" s="20"/>
      <c r="J93" s="93"/>
    </row>
    <row r="94">
      <c r="A94" s="92"/>
      <c r="B94" s="92"/>
      <c r="C94" s="92"/>
      <c r="D94" s="92"/>
      <c r="E94" s="92"/>
      <c r="F94" s="92"/>
      <c r="G94" s="92"/>
      <c r="H94" s="92"/>
      <c r="I94" s="20"/>
      <c r="J94" s="93"/>
    </row>
    <row r="95">
      <c r="A95" s="92"/>
      <c r="B95" s="92"/>
      <c r="C95" s="92"/>
      <c r="D95" s="92"/>
      <c r="E95" s="92"/>
      <c r="F95" s="92"/>
      <c r="G95" s="92"/>
      <c r="H95" s="92"/>
      <c r="I95" s="20"/>
      <c r="J95" s="93"/>
    </row>
    <row r="96">
      <c r="A96" s="92"/>
      <c r="B96" s="92"/>
      <c r="C96" s="92"/>
      <c r="D96" s="92"/>
      <c r="E96" s="92"/>
      <c r="F96" s="92"/>
      <c r="G96" s="92"/>
      <c r="H96" s="92"/>
      <c r="I96" s="20"/>
      <c r="J96" s="93"/>
    </row>
    <row r="97">
      <c r="A97" s="92"/>
      <c r="B97" s="92"/>
      <c r="C97" s="92"/>
      <c r="D97" s="92"/>
      <c r="E97" s="92"/>
      <c r="F97" s="92"/>
      <c r="G97" s="92"/>
      <c r="H97" s="92"/>
      <c r="I97" s="20"/>
      <c r="J97" s="93"/>
    </row>
    <row r="98">
      <c r="A98" s="92"/>
      <c r="B98" s="92"/>
      <c r="C98" s="92"/>
      <c r="D98" s="92"/>
      <c r="E98" s="92"/>
      <c r="F98" s="92"/>
      <c r="G98" s="92"/>
      <c r="H98" s="92"/>
      <c r="I98" s="20"/>
      <c r="J98" s="93"/>
    </row>
    <row r="99">
      <c r="A99" s="92"/>
      <c r="B99" s="92"/>
      <c r="C99" s="92"/>
      <c r="D99" s="92"/>
      <c r="E99" s="92"/>
      <c r="F99" s="92"/>
      <c r="G99" s="92"/>
      <c r="H99" s="92"/>
      <c r="I99" s="20"/>
      <c r="J99" s="93"/>
    </row>
    <row r="100">
      <c r="A100" s="92"/>
      <c r="B100" s="92"/>
      <c r="C100" s="92"/>
      <c r="D100" s="92"/>
      <c r="E100" s="92"/>
      <c r="F100" s="92"/>
      <c r="G100" s="92"/>
      <c r="H100" s="92"/>
      <c r="I100" s="20"/>
      <c r="J100" s="93"/>
    </row>
    <row r="101">
      <c r="A101" s="92"/>
      <c r="B101" s="92"/>
      <c r="C101" s="92"/>
      <c r="D101" s="92"/>
      <c r="E101" s="92"/>
      <c r="F101" s="92"/>
      <c r="G101" s="92"/>
      <c r="H101" s="92"/>
      <c r="I101" s="20"/>
      <c r="J101" s="93"/>
    </row>
    <row r="102">
      <c r="A102" s="92"/>
      <c r="B102" s="92"/>
      <c r="C102" s="92"/>
      <c r="D102" s="92"/>
      <c r="E102" s="92"/>
      <c r="F102" s="92"/>
      <c r="G102" s="92"/>
      <c r="H102" s="92"/>
      <c r="I102" s="20"/>
      <c r="J102" s="93"/>
    </row>
    <row r="103">
      <c r="A103" s="92"/>
      <c r="B103" s="92"/>
      <c r="C103" s="92"/>
      <c r="D103" s="92"/>
      <c r="E103" s="92"/>
      <c r="F103" s="92"/>
      <c r="G103" s="92"/>
      <c r="H103" s="92"/>
      <c r="I103" s="20"/>
      <c r="J103" s="93"/>
    </row>
    <row r="104">
      <c r="A104" s="92"/>
      <c r="B104" s="92"/>
      <c r="C104" s="92"/>
      <c r="D104" s="92"/>
      <c r="E104" s="92"/>
      <c r="F104" s="92"/>
      <c r="G104" s="92"/>
      <c r="H104" s="92"/>
      <c r="I104" s="20"/>
      <c r="J104" s="93"/>
    </row>
    <row r="105">
      <c r="A105" s="92"/>
      <c r="B105" s="92"/>
      <c r="C105" s="92"/>
      <c r="D105" s="92"/>
      <c r="E105" s="92"/>
      <c r="F105" s="92"/>
      <c r="G105" s="92"/>
      <c r="H105" s="92"/>
      <c r="I105" s="20"/>
      <c r="J105" s="93"/>
    </row>
    <row r="106">
      <c r="A106" s="92"/>
      <c r="B106" s="92"/>
      <c r="C106" s="92"/>
      <c r="D106" s="92"/>
      <c r="E106" s="92"/>
      <c r="F106" s="92"/>
      <c r="G106" s="92"/>
      <c r="H106" s="92"/>
      <c r="I106" s="20"/>
      <c r="J106" s="93"/>
    </row>
    <row r="107">
      <c r="A107" s="92"/>
      <c r="B107" s="92"/>
      <c r="C107" s="92"/>
      <c r="D107" s="92"/>
      <c r="E107" s="92"/>
      <c r="F107" s="92"/>
      <c r="G107" s="92"/>
      <c r="H107" s="92"/>
      <c r="I107" s="20"/>
      <c r="J107" s="93"/>
    </row>
    <row r="108">
      <c r="A108" s="92"/>
      <c r="B108" s="92"/>
      <c r="C108" s="92"/>
      <c r="D108" s="92"/>
      <c r="E108" s="92"/>
      <c r="F108" s="92"/>
      <c r="G108" s="92"/>
      <c r="H108" s="92"/>
      <c r="I108" s="20"/>
      <c r="J108" s="93"/>
    </row>
    <row r="109">
      <c r="A109" s="92"/>
      <c r="B109" s="92"/>
      <c r="C109" s="92"/>
      <c r="D109" s="92"/>
      <c r="E109" s="92"/>
      <c r="F109" s="92"/>
      <c r="G109" s="92"/>
      <c r="H109" s="92"/>
      <c r="I109" s="20"/>
      <c r="J109" s="93"/>
    </row>
    <row r="110">
      <c r="A110" s="92"/>
      <c r="B110" s="92"/>
      <c r="C110" s="92"/>
      <c r="D110" s="92"/>
      <c r="E110" s="92"/>
      <c r="F110" s="92"/>
      <c r="G110" s="92"/>
      <c r="H110" s="92"/>
      <c r="I110" s="20"/>
      <c r="J110" s="93"/>
    </row>
    <row r="111">
      <c r="A111" s="92"/>
      <c r="B111" s="92"/>
      <c r="C111" s="92"/>
      <c r="D111" s="92"/>
      <c r="E111" s="92"/>
      <c r="F111" s="92"/>
      <c r="G111" s="92"/>
      <c r="H111" s="92"/>
      <c r="I111" s="20"/>
      <c r="J111" s="93"/>
    </row>
    <row r="112">
      <c r="A112" s="92"/>
      <c r="B112" s="92"/>
      <c r="C112" s="92"/>
      <c r="D112" s="92"/>
      <c r="E112" s="92"/>
      <c r="F112" s="92"/>
      <c r="G112" s="92"/>
      <c r="H112" s="92"/>
      <c r="I112" s="20"/>
      <c r="J112" s="93"/>
    </row>
    <row r="113">
      <c r="A113" s="92"/>
      <c r="B113" s="92"/>
      <c r="C113" s="92"/>
      <c r="D113" s="92"/>
      <c r="E113" s="92"/>
      <c r="F113" s="92"/>
      <c r="G113" s="92"/>
      <c r="H113" s="92"/>
      <c r="I113" s="20"/>
      <c r="J113" s="93"/>
    </row>
    <row r="114">
      <c r="A114" s="92"/>
      <c r="B114" s="92"/>
      <c r="C114" s="92"/>
      <c r="D114" s="92"/>
      <c r="E114" s="92"/>
      <c r="F114" s="92"/>
      <c r="G114" s="92"/>
      <c r="H114" s="92"/>
      <c r="I114" s="20"/>
      <c r="J114" s="93"/>
    </row>
    <row r="115">
      <c r="A115" s="92"/>
      <c r="B115" s="92"/>
      <c r="C115" s="92"/>
      <c r="D115" s="92"/>
      <c r="E115" s="92"/>
      <c r="F115" s="92"/>
      <c r="G115" s="92"/>
      <c r="H115" s="92"/>
      <c r="I115" s="20"/>
      <c r="J115" s="93"/>
    </row>
    <row r="116">
      <c r="A116" s="92"/>
      <c r="B116" s="92"/>
      <c r="C116" s="92"/>
      <c r="D116" s="92"/>
      <c r="E116" s="92"/>
      <c r="F116" s="92"/>
      <c r="G116" s="92"/>
      <c r="H116" s="92"/>
      <c r="I116" s="20"/>
      <c r="J116" s="93"/>
    </row>
    <row r="117">
      <c r="A117" s="92"/>
      <c r="B117" s="92"/>
      <c r="C117" s="92"/>
      <c r="D117" s="92"/>
      <c r="E117" s="92"/>
      <c r="F117" s="92"/>
      <c r="G117" s="92"/>
      <c r="H117" s="92"/>
      <c r="I117" s="20"/>
      <c r="J117" s="93"/>
    </row>
    <row r="118">
      <c r="A118" s="92"/>
      <c r="B118" s="92"/>
      <c r="C118" s="92"/>
      <c r="D118" s="92"/>
      <c r="E118" s="92"/>
      <c r="F118" s="92"/>
      <c r="G118" s="92"/>
      <c r="H118" s="92"/>
      <c r="I118" s="20"/>
      <c r="J118" s="93"/>
    </row>
    <row r="119">
      <c r="A119" s="92"/>
      <c r="B119" s="92"/>
      <c r="C119" s="92"/>
      <c r="D119" s="92"/>
      <c r="E119" s="92"/>
      <c r="F119" s="92"/>
      <c r="G119" s="92"/>
      <c r="H119" s="92"/>
      <c r="I119" s="20"/>
      <c r="J119" s="93"/>
    </row>
    <row r="120">
      <c r="A120" s="92"/>
      <c r="B120" s="92"/>
      <c r="C120" s="92"/>
      <c r="D120" s="92"/>
      <c r="E120" s="92"/>
      <c r="F120" s="92"/>
      <c r="G120" s="92"/>
      <c r="H120" s="92"/>
      <c r="I120" s="20"/>
      <c r="J120" s="93"/>
    </row>
    <row r="121">
      <c r="A121" s="92"/>
      <c r="B121" s="92"/>
      <c r="C121" s="92"/>
      <c r="D121" s="92"/>
      <c r="E121" s="92"/>
      <c r="F121" s="92"/>
      <c r="G121" s="92"/>
      <c r="H121" s="92"/>
      <c r="I121" s="20"/>
      <c r="J121" s="93"/>
    </row>
    <row r="122">
      <c r="A122" s="92"/>
      <c r="B122" s="92"/>
      <c r="C122" s="92"/>
      <c r="D122" s="92"/>
      <c r="E122" s="92"/>
      <c r="F122" s="92"/>
      <c r="G122" s="92"/>
      <c r="H122" s="92"/>
      <c r="I122" s="20"/>
      <c r="J122" s="93"/>
    </row>
    <row r="123">
      <c r="A123" s="92"/>
      <c r="B123" s="92"/>
      <c r="C123" s="92"/>
      <c r="D123" s="92"/>
      <c r="E123" s="92"/>
      <c r="F123" s="92"/>
      <c r="G123" s="92"/>
      <c r="H123" s="92"/>
      <c r="I123" s="20"/>
      <c r="J123" s="93"/>
    </row>
    <row r="124">
      <c r="A124" s="92"/>
      <c r="B124" s="92"/>
      <c r="C124" s="92"/>
      <c r="D124" s="92"/>
      <c r="E124" s="92"/>
      <c r="F124" s="92"/>
      <c r="G124" s="92"/>
      <c r="H124" s="92"/>
      <c r="I124" s="20"/>
      <c r="J124" s="93"/>
    </row>
    <row r="125">
      <c r="A125" s="92"/>
      <c r="B125" s="92"/>
      <c r="C125" s="92"/>
      <c r="D125" s="92"/>
      <c r="E125" s="92"/>
      <c r="F125" s="92"/>
      <c r="G125" s="92"/>
      <c r="H125" s="92"/>
      <c r="I125" s="20"/>
      <c r="J125" s="93"/>
    </row>
    <row r="126">
      <c r="A126" s="92"/>
      <c r="B126" s="92"/>
      <c r="C126" s="92"/>
      <c r="D126" s="92"/>
      <c r="E126" s="92"/>
      <c r="F126" s="92"/>
      <c r="G126" s="92"/>
      <c r="H126" s="92"/>
      <c r="I126" s="20"/>
      <c r="J126" s="93"/>
    </row>
    <row r="127">
      <c r="A127" s="92"/>
      <c r="B127" s="92"/>
      <c r="C127" s="92"/>
      <c r="D127" s="92"/>
      <c r="E127" s="92"/>
      <c r="F127" s="92"/>
      <c r="G127" s="92"/>
      <c r="H127" s="92"/>
      <c r="I127" s="20"/>
      <c r="J127" s="93"/>
    </row>
    <row r="128">
      <c r="A128" s="92"/>
      <c r="B128" s="92"/>
      <c r="C128" s="92"/>
      <c r="D128" s="92"/>
      <c r="E128" s="92"/>
      <c r="F128" s="92"/>
      <c r="G128" s="92"/>
      <c r="H128" s="92"/>
      <c r="I128" s="20"/>
      <c r="J128" s="93"/>
    </row>
    <row r="129">
      <c r="A129" s="92"/>
      <c r="B129" s="92"/>
      <c r="C129" s="92"/>
      <c r="D129" s="92"/>
      <c r="E129" s="92"/>
      <c r="F129" s="92"/>
      <c r="G129" s="92"/>
      <c r="H129" s="92"/>
      <c r="I129" s="20"/>
      <c r="J129" s="93"/>
    </row>
    <row r="130">
      <c r="A130" s="92"/>
      <c r="B130" s="92"/>
      <c r="C130" s="92"/>
      <c r="D130" s="92"/>
      <c r="E130" s="92"/>
      <c r="F130" s="92"/>
      <c r="G130" s="92"/>
      <c r="H130" s="92"/>
      <c r="I130" s="20"/>
      <c r="J130" s="93"/>
    </row>
    <row r="131">
      <c r="A131" s="92"/>
      <c r="B131" s="92"/>
      <c r="C131" s="92"/>
      <c r="D131" s="92"/>
      <c r="E131" s="92"/>
      <c r="F131" s="92"/>
      <c r="G131" s="92"/>
      <c r="H131" s="92"/>
      <c r="I131" s="20"/>
      <c r="J131" s="93"/>
    </row>
    <row r="132">
      <c r="A132" s="92"/>
      <c r="B132" s="92"/>
      <c r="C132" s="92"/>
      <c r="D132" s="92"/>
      <c r="E132" s="92"/>
      <c r="F132" s="92"/>
      <c r="G132" s="92"/>
      <c r="H132" s="92"/>
      <c r="I132" s="20"/>
      <c r="J132" s="93"/>
    </row>
    <row r="133">
      <c r="A133" s="92"/>
      <c r="B133" s="92"/>
      <c r="C133" s="92"/>
      <c r="D133" s="92"/>
      <c r="E133" s="92"/>
      <c r="F133" s="92"/>
      <c r="G133" s="92"/>
      <c r="H133" s="92"/>
      <c r="I133" s="20"/>
      <c r="J133" s="93"/>
    </row>
    <row r="134">
      <c r="A134" s="92"/>
      <c r="B134" s="92"/>
      <c r="C134" s="92"/>
      <c r="D134" s="92"/>
      <c r="E134" s="92"/>
      <c r="F134" s="92"/>
      <c r="G134" s="92"/>
      <c r="H134" s="92"/>
      <c r="I134" s="20"/>
      <c r="J134" s="93"/>
    </row>
    <row r="135">
      <c r="A135" s="92"/>
      <c r="B135" s="92"/>
      <c r="C135" s="92"/>
      <c r="D135" s="92"/>
      <c r="E135" s="92"/>
      <c r="F135" s="92"/>
      <c r="G135" s="92"/>
      <c r="H135" s="92"/>
      <c r="I135" s="20"/>
      <c r="J135" s="93"/>
    </row>
    <row r="136">
      <c r="A136" s="92"/>
      <c r="B136" s="92"/>
      <c r="C136" s="92"/>
      <c r="D136" s="92"/>
      <c r="E136" s="92"/>
      <c r="F136" s="92"/>
      <c r="G136" s="92"/>
      <c r="H136" s="92"/>
      <c r="I136" s="20"/>
      <c r="J136" s="93"/>
    </row>
    <row r="137">
      <c r="A137" s="92"/>
      <c r="B137" s="92"/>
      <c r="C137" s="92"/>
      <c r="D137" s="92"/>
      <c r="E137" s="92"/>
      <c r="F137" s="92"/>
      <c r="G137" s="92"/>
      <c r="H137" s="92"/>
      <c r="I137" s="20"/>
      <c r="J137" s="93"/>
    </row>
    <row r="138">
      <c r="A138" s="92"/>
      <c r="B138" s="92"/>
      <c r="C138" s="92"/>
      <c r="D138" s="92"/>
      <c r="E138" s="92"/>
      <c r="F138" s="92"/>
      <c r="G138" s="92"/>
      <c r="H138" s="92"/>
      <c r="I138" s="20"/>
      <c r="J138" s="93"/>
    </row>
    <row r="139">
      <c r="A139" s="92"/>
      <c r="B139" s="92"/>
      <c r="C139" s="92"/>
      <c r="D139" s="92"/>
      <c r="E139" s="92"/>
      <c r="F139" s="92"/>
      <c r="G139" s="92"/>
      <c r="H139" s="92"/>
      <c r="I139" s="20"/>
      <c r="J139" s="93"/>
    </row>
    <row r="140">
      <c r="A140" s="92"/>
      <c r="B140" s="92"/>
      <c r="C140" s="92"/>
      <c r="D140" s="92"/>
      <c r="E140" s="92"/>
      <c r="F140" s="92"/>
      <c r="G140" s="92"/>
      <c r="H140" s="92"/>
      <c r="I140" s="20"/>
      <c r="J140" s="94"/>
    </row>
    <row r="141">
      <c r="A141" s="92"/>
      <c r="B141" s="92"/>
      <c r="C141" s="92"/>
      <c r="D141" s="92"/>
      <c r="E141" s="92"/>
      <c r="F141" s="92"/>
      <c r="G141" s="92"/>
      <c r="H141" s="92"/>
      <c r="I141" s="20"/>
      <c r="J141" s="95"/>
    </row>
    <row r="142">
      <c r="A142" s="92"/>
      <c r="B142" s="92"/>
      <c r="C142" s="92"/>
      <c r="D142" s="92"/>
      <c r="E142" s="92"/>
      <c r="F142" s="92"/>
      <c r="G142" s="92"/>
      <c r="H142" s="92"/>
      <c r="I142" s="20"/>
      <c r="J142" s="95"/>
    </row>
    <row r="143">
      <c r="A143" s="92"/>
      <c r="B143" s="92"/>
      <c r="C143" s="92"/>
      <c r="D143" s="92"/>
      <c r="E143" s="92"/>
      <c r="F143" s="92"/>
      <c r="G143" s="92"/>
      <c r="H143" s="92"/>
      <c r="I143" s="20"/>
      <c r="J143" s="95"/>
    </row>
    <row r="144">
      <c r="A144" s="92"/>
      <c r="B144" s="92"/>
      <c r="C144" s="92"/>
      <c r="D144" s="92"/>
      <c r="E144" s="92"/>
      <c r="F144" s="92"/>
      <c r="G144" s="92"/>
      <c r="H144" s="92"/>
      <c r="I144" s="20"/>
      <c r="J144" s="95"/>
    </row>
    <row r="145">
      <c r="A145" s="92"/>
      <c r="B145" s="92"/>
      <c r="C145" s="92"/>
      <c r="D145" s="92"/>
      <c r="E145" s="92"/>
      <c r="F145" s="92"/>
      <c r="G145" s="92"/>
      <c r="H145" s="92"/>
      <c r="I145" s="20"/>
      <c r="J145" s="95"/>
    </row>
    <row r="146">
      <c r="A146" s="92"/>
      <c r="B146" s="92"/>
      <c r="C146" s="92"/>
      <c r="D146" s="92"/>
      <c r="E146" s="92"/>
      <c r="F146" s="92"/>
      <c r="G146" s="92"/>
      <c r="H146" s="92"/>
      <c r="I146" s="20"/>
      <c r="J146" s="95"/>
    </row>
    <row r="147">
      <c r="A147" s="92"/>
      <c r="B147" s="92"/>
      <c r="C147" s="92"/>
      <c r="D147" s="92"/>
      <c r="E147" s="92"/>
      <c r="F147" s="92"/>
      <c r="G147" s="92"/>
      <c r="H147" s="92"/>
      <c r="I147" s="20"/>
      <c r="J147" s="95"/>
    </row>
    <row r="148">
      <c r="A148" s="92"/>
      <c r="B148" s="92"/>
      <c r="C148" s="92"/>
      <c r="D148" s="92"/>
      <c r="E148" s="92"/>
      <c r="F148" s="92"/>
      <c r="G148" s="92"/>
      <c r="H148" s="92"/>
      <c r="I148" s="20"/>
      <c r="J148" s="95"/>
    </row>
    <row r="149">
      <c r="A149" s="92"/>
      <c r="B149" s="92"/>
      <c r="C149" s="92"/>
      <c r="D149" s="92"/>
      <c r="E149" s="92"/>
      <c r="F149" s="92"/>
      <c r="G149" s="92"/>
      <c r="H149" s="92"/>
      <c r="I149" s="20"/>
      <c r="J149" s="95"/>
    </row>
    <row r="150">
      <c r="A150" s="92"/>
      <c r="B150" s="92"/>
      <c r="C150" s="92"/>
      <c r="D150" s="92"/>
      <c r="E150" s="92"/>
      <c r="F150" s="92"/>
      <c r="G150" s="92"/>
      <c r="H150" s="92"/>
      <c r="I150" s="20"/>
      <c r="J150" s="95"/>
    </row>
    <row r="151">
      <c r="A151" s="92"/>
      <c r="B151" s="92"/>
      <c r="C151" s="92"/>
      <c r="D151" s="92"/>
      <c r="E151" s="92"/>
      <c r="F151" s="92"/>
      <c r="G151" s="92"/>
      <c r="H151" s="92"/>
      <c r="I151" s="20"/>
      <c r="J151" s="95"/>
    </row>
    <row r="152">
      <c r="A152" s="92"/>
      <c r="B152" s="92"/>
      <c r="C152" s="92"/>
      <c r="D152" s="92"/>
      <c r="E152" s="92"/>
      <c r="F152" s="92"/>
      <c r="G152" s="92"/>
      <c r="H152" s="92"/>
      <c r="I152" s="20"/>
      <c r="J152" s="95"/>
    </row>
    <row r="153">
      <c r="A153" s="92"/>
      <c r="B153" s="92"/>
      <c r="C153" s="92"/>
      <c r="D153" s="92"/>
      <c r="E153" s="92"/>
      <c r="F153" s="92"/>
      <c r="G153" s="92"/>
      <c r="H153" s="92"/>
      <c r="I153" s="20"/>
      <c r="J153" s="95"/>
    </row>
    <row r="154">
      <c r="A154" s="92"/>
      <c r="B154" s="92"/>
      <c r="C154" s="92"/>
      <c r="D154" s="92"/>
      <c r="E154" s="92"/>
      <c r="F154" s="92"/>
      <c r="G154" s="92"/>
      <c r="H154" s="92"/>
      <c r="I154" s="20"/>
      <c r="J154" s="95"/>
    </row>
    <row r="155">
      <c r="A155" s="92"/>
      <c r="B155" s="92"/>
      <c r="C155" s="92"/>
      <c r="D155" s="92"/>
      <c r="E155" s="92"/>
      <c r="F155" s="92"/>
      <c r="G155" s="92"/>
      <c r="H155" s="92"/>
      <c r="I155" s="20"/>
      <c r="J155" s="95"/>
    </row>
    <row r="156">
      <c r="A156" s="92"/>
      <c r="B156" s="92"/>
      <c r="C156" s="92"/>
      <c r="D156" s="92"/>
      <c r="E156" s="92"/>
      <c r="F156" s="92"/>
      <c r="G156" s="92"/>
      <c r="H156" s="92"/>
      <c r="I156" s="20"/>
      <c r="J156" s="95"/>
    </row>
    <row r="157">
      <c r="A157" s="92"/>
      <c r="B157" s="92"/>
      <c r="C157" s="92"/>
      <c r="D157" s="92"/>
      <c r="E157" s="92"/>
      <c r="F157" s="92"/>
      <c r="G157" s="92"/>
      <c r="H157" s="92"/>
      <c r="I157" s="20"/>
      <c r="J157" s="95"/>
    </row>
    <row r="158">
      <c r="A158" s="92"/>
      <c r="B158" s="92"/>
      <c r="C158" s="92"/>
      <c r="D158" s="92"/>
      <c r="E158" s="92"/>
      <c r="F158" s="92"/>
      <c r="G158" s="92"/>
      <c r="H158" s="92"/>
      <c r="I158" s="20"/>
      <c r="J158" s="95"/>
    </row>
    <row r="159">
      <c r="A159" s="92"/>
      <c r="B159" s="92"/>
      <c r="C159" s="92"/>
      <c r="D159" s="92"/>
      <c r="E159" s="92"/>
      <c r="F159" s="92"/>
      <c r="G159" s="92"/>
      <c r="H159" s="92"/>
      <c r="I159" s="20"/>
      <c r="J159" s="95"/>
    </row>
    <row r="160">
      <c r="A160" s="92"/>
      <c r="B160" s="92"/>
      <c r="C160" s="92"/>
      <c r="D160" s="92"/>
      <c r="E160" s="92"/>
      <c r="F160" s="92"/>
      <c r="G160" s="92"/>
      <c r="H160" s="92"/>
      <c r="I160" s="20"/>
      <c r="J160" s="95"/>
    </row>
    <row r="161">
      <c r="A161" s="92"/>
      <c r="B161" s="92"/>
      <c r="C161" s="92"/>
      <c r="D161" s="92"/>
      <c r="E161" s="92"/>
      <c r="F161" s="92"/>
      <c r="G161" s="92"/>
      <c r="H161" s="92"/>
      <c r="I161" s="20"/>
      <c r="J161" s="95"/>
    </row>
    <row r="162">
      <c r="A162" s="92"/>
      <c r="B162" s="92"/>
      <c r="C162" s="92"/>
      <c r="D162" s="92"/>
      <c r="E162" s="92"/>
      <c r="F162" s="92"/>
      <c r="G162" s="92"/>
      <c r="H162" s="92"/>
      <c r="I162" s="20"/>
      <c r="J162" s="95"/>
    </row>
    <row r="163">
      <c r="A163" s="92"/>
      <c r="B163" s="92"/>
      <c r="C163" s="92"/>
      <c r="D163" s="92"/>
      <c r="E163" s="92"/>
      <c r="F163" s="92"/>
      <c r="G163" s="92"/>
      <c r="H163" s="92"/>
      <c r="I163" s="20"/>
      <c r="J163" s="95"/>
    </row>
    <row r="164">
      <c r="A164" s="92"/>
      <c r="B164" s="92"/>
      <c r="C164" s="92"/>
      <c r="D164" s="92"/>
      <c r="E164" s="92"/>
      <c r="F164" s="92"/>
      <c r="G164" s="92"/>
      <c r="H164" s="92"/>
      <c r="I164" s="20"/>
      <c r="J164" s="95"/>
    </row>
    <row r="165">
      <c r="A165" s="92"/>
      <c r="B165" s="92"/>
      <c r="C165" s="92"/>
      <c r="D165" s="92"/>
      <c r="E165" s="92"/>
      <c r="F165" s="92"/>
      <c r="G165" s="92"/>
      <c r="H165" s="92"/>
      <c r="I165" s="20"/>
      <c r="J165" s="95"/>
    </row>
    <row r="166">
      <c r="A166" s="92"/>
      <c r="B166" s="92"/>
      <c r="C166" s="92"/>
      <c r="D166" s="92"/>
      <c r="E166" s="92"/>
      <c r="F166" s="92"/>
      <c r="G166" s="92"/>
      <c r="H166" s="92"/>
      <c r="I166" s="20"/>
      <c r="J166" s="95"/>
    </row>
    <row r="167">
      <c r="A167" s="92"/>
      <c r="B167" s="92"/>
      <c r="C167" s="92"/>
      <c r="D167" s="92"/>
      <c r="E167" s="92"/>
      <c r="F167" s="92"/>
      <c r="G167" s="92"/>
      <c r="H167" s="92"/>
      <c r="I167" s="20"/>
      <c r="J167" s="95"/>
    </row>
    <row r="168">
      <c r="A168" s="92"/>
      <c r="B168" s="92"/>
      <c r="C168" s="92"/>
      <c r="D168" s="92"/>
      <c r="E168" s="92"/>
      <c r="F168" s="92"/>
      <c r="G168" s="92"/>
      <c r="H168" s="92"/>
      <c r="I168" s="20"/>
      <c r="J168" s="95"/>
    </row>
    <row r="169">
      <c r="A169" s="92"/>
      <c r="B169" s="92"/>
      <c r="C169" s="92"/>
      <c r="D169" s="92"/>
      <c r="E169" s="92"/>
      <c r="F169" s="92"/>
      <c r="G169" s="92"/>
      <c r="H169" s="92"/>
      <c r="I169" s="20"/>
      <c r="J169" s="95"/>
    </row>
    <row r="170">
      <c r="A170" s="92"/>
      <c r="B170" s="92"/>
      <c r="C170" s="92"/>
      <c r="D170" s="92"/>
      <c r="E170" s="92"/>
      <c r="F170" s="92"/>
      <c r="G170" s="92"/>
      <c r="H170" s="92"/>
      <c r="I170" s="20"/>
      <c r="J170" s="95"/>
    </row>
    <row r="171">
      <c r="A171" s="92"/>
      <c r="B171" s="92"/>
      <c r="C171" s="92"/>
      <c r="D171" s="92"/>
      <c r="E171" s="92"/>
      <c r="F171" s="92"/>
      <c r="G171" s="92"/>
      <c r="H171" s="92"/>
      <c r="I171" s="20"/>
      <c r="J171" s="95"/>
    </row>
    <row r="172">
      <c r="A172" s="92"/>
      <c r="B172" s="92"/>
      <c r="C172" s="92"/>
      <c r="D172" s="92"/>
      <c r="E172" s="92"/>
      <c r="F172" s="92"/>
      <c r="G172" s="92"/>
      <c r="H172" s="92"/>
      <c r="I172" s="20"/>
      <c r="J172" s="95"/>
    </row>
    <row r="173">
      <c r="A173" s="92"/>
      <c r="B173" s="92"/>
      <c r="C173" s="92"/>
      <c r="D173" s="92"/>
      <c r="E173" s="92"/>
      <c r="F173" s="92"/>
      <c r="G173" s="92"/>
      <c r="H173" s="92"/>
      <c r="I173" s="20"/>
      <c r="J173" s="95"/>
    </row>
    <row r="174">
      <c r="A174" s="92"/>
      <c r="B174" s="92"/>
      <c r="C174" s="92"/>
      <c r="D174" s="92"/>
      <c r="E174" s="92"/>
      <c r="F174" s="92"/>
      <c r="G174" s="92"/>
      <c r="H174" s="92"/>
      <c r="I174" s="20"/>
      <c r="J174" s="95"/>
    </row>
    <row r="175">
      <c r="A175" s="92"/>
      <c r="B175" s="92"/>
      <c r="C175" s="92"/>
      <c r="D175" s="92"/>
      <c r="E175" s="92"/>
      <c r="F175" s="92"/>
      <c r="G175" s="92"/>
      <c r="H175" s="92"/>
      <c r="I175" s="20"/>
      <c r="J175" s="95"/>
    </row>
    <row r="176">
      <c r="A176" s="92"/>
      <c r="B176" s="92"/>
      <c r="C176" s="92"/>
      <c r="D176" s="92"/>
      <c r="E176" s="92"/>
      <c r="F176" s="92"/>
      <c r="G176" s="92"/>
      <c r="H176" s="92"/>
      <c r="I176" s="20"/>
      <c r="J176" s="95"/>
    </row>
    <row r="177">
      <c r="A177" s="92"/>
      <c r="B177" s="92"/>
      <c r="C177" s="92"/>
      <c r="D177" s="92"/>
      <c r="E177" s="92"/>
      <c r="F177" s="92"/>
      <c r="G177" s="92"/>
      <c r="H177" s="92"/>
      <c r="I177" s="20"/>
      <c r="J177" s="95"/>
    </row>
    <row r="178">
      <c r="A178" s="92"/>
      <c r="B178" s="92"/>
      <c r="C178" s="92"/>
      <c r="D178" s="92"/>
      <c r="E178" s="92"/>
      <c r="F178" s="92"/>
      <c r="G178" s="92"/>
      <c r="H178" s="92"/>
      <c r="I178" s="20"/>
      <c r="J178" s="95"/>
    </row>
    <row r="179">
      <c r="A179" s="92"/>
      <c r="B179" s="92"/>
      <c r="C179" s="92"/>
      <c r="D179" s="92"/>
      <c r="E179" s="92"/>
      <c r="F179" s="92"/>
      <c r="G179" s="92"/>
      <c r="H179" s="92"/>
      <c r="I179" s="20"/>
      <c r="J179" s="95"/>
    </row>
    <row r="180">
      <c r="A180" s="92"/>
      <c r="B180" s="92"/>
      <c r="C180" s="92"/>
      <c r="D180" s="92"/>
      <c r="E180" s="92"/>
      <c r="F180" s="92"/>
      <c r="G180" s="92"/>
      <c r="H180" s="92"/>
      <c r="I180" s="20"/>
      <c r="J180" s="95"/>
    </row>
    <row r="181">
      <c r="A181" s="92"/>
      <c r="B181" s="92"/>
      <c r="C181" s="92"/>
      <c r="D181" s="92"/>
      <c r="E181" s="92"/>
      <c r="F181" s="92"/>
      <c r="G181" s="92"/>
      <c r="H181" s="92"/>
      <c r="I181" s="20"/>
      <c r="J181" s="95"/>
    </row>
    <row r="182">
      <c r="A182" s="92"/>
      <c r="B182" s="92"/>
      <c r="C182" s="92"/>
      <c r="D182" s="92"/>
      <c r="E182" s="92"/>
      <c r="F182" s="92"/>
      <c r="G182" s="92"/>
      <c r="H182" s="92"/>
      <c r="I182" s="20"/>
      <c r="J182" s="95"/>
    </row>
    <row r="183">
      <c r="A183" s="92"/>
      <c r="B183" s="92"/>
      <c r="C183" s="92"/>
      <c r="D183" s="92"/>
      <c r="E183" s="92"/>
      <c r="F183" s="92"/>
      <c r="G183" s="92"/>
      <c r="H183" s="92"/>
      <c r="I183" s="20"/>
      <c r="J183" s="95"/>
    </row>
    <row r="184">
      <c r="A184" s="92"/>
      <c r="B184" s="92"/>
      <c r="C184" s="92"/>
      <c r="D184" s="92"/>
      <c r="E184" s="92"/>
      <c r="F184" s="92"/>
      <c r="G184" s="92"/>
      <c r="H184" s="92"/>
      <c r="I184" s="20"/>
      <c r="J184" s="95"/>
    </row>
    <row r="185">
      <c r="A185" s="92"/>
      <c r="B185" s="92"/>
      <c r="C185" s="92"/>
      <c r="D185" s="92"/>
      <c r="E185" s="92"/>
      <c r="F185" s="92"/>
      <c r="G185" s="92"/>
      <c r="H185" s="92"/>
      <c r="I185" s="20"/>
      <c r="J185" s="95"/>
    </row>
    <row r="186">
      <c r="A186" s="92"/>
      <c r="B186" s="92"/>
      <c r="C186" s="92"/>
      <c r="D186" s="92"/>
      <c r="E186" s="92"/>
      <c r="F186" s="92"/>
      <c r="G186" s="92"/>
      <c r="H186" s="92"/>
      <c r="I186" s="20"/>
      <c r="J186" s="95"/>
    </row>
    <row r="187">
      <c r="A187" s="92"/>
      <c r="B187" s="92"/>
      <c r="C187" s="92"/>
      <c r="D187" s="92"/>
      <c r="E187" s="92"/>
      <c r="F187" s="92"/>
      <c r="G187" s="92"/>
      <c r="H187" s="92"/>
      <c r="I187" s="20"/>
      <c r="J187" s="95"/>
    </row>
    <row r="188">
      <c r="A188" s="92"/>
      <c r="B188" s="92"/>
      <c r="C188" s="92"/>
      <c r="D188" s="92"/>
      <c r="E188" s="92"/>
      <c r="F188" s="92"/>
      <c r="G188" s="92"/>
      <c r="H188" s="92"/>
      <c r="I188" s="20"/>
      <c r="J188" s="95"/>
    </row>
    <row r="189">
      <c r="A189" s="92"/>
      <c r="B189" s="92"/>
      <c r="C189" s="92"/>
      <c r="D189" s="92"/>
      <c r="E189" s="92"/>
      <c r="F189" s="92"/>
      <c r="G189" s="92"/>
      <c r="H189" s="92"/>
      <c r="I189" s="20"/>
      <c r="J189" s="95"/>
    </row>
    <row r="190">
      <c r="A190" s="92"/>
      <c r="B190" s="92"/>
      <c r="C190" s="92"/>
      <c r="D190" s="92"/>
      <c r="E190" s="92"/>
      <c r="F190" s="92"/>
      <c r="G190" s="92"/>
      <c r="H190" s="92"/>
      <c r="I190" s="20"/>
      <c r="J190" s="95"/>
    </row>
    <row r="191">
      <c r="A191" s="92"/>
      <c r="B191" s="92"/>
      <c r="C191" s="92"/>
      <c r="D191" s="92"/>
      <c r="E191" s="92"/>
      <c r="F191" s="92"/>
      <c r="G191" s="92"/>
      <c r="H191" s="92"/>
      <c r="I191" s="20"/>
      <c r="J191" s="95"/>
    </row>
    <row r="192">
      <c r="A192" s="92"/>
      <c r="B192" s="92"/>
      <c r="C192" s="92"/>
      <c r="D192" s="92"/>
      <c r="E192" s="92"/>
      <c r="F192" s="92"/>
      <c r="G192" s="92"/>
      <c r="H192" s="92"/>
      <c r="I192" s="20"/>
      <c r="J192" s="95"/>
    </row>
    <row r="193">
      <c r="A193" s="92"/>
      <c r="B193" s="92"/>
      <c r="C193" s="92"/>
      <c r="D193" s="92"/>
      <c r="E193" s="92"/>
      <c r="F193" s="92"/>
      <c r="G193" s="92"/>
      <c r="H193" s="92"/>
      <c r="I193" s="20"/>
      <c r="J193" s="95"/>
    </row>
    <row r="194">
      <c r="A194" s="92"/>
      <c r="B194" s="92"/>
      <c r="C194" s="92"/>
      <c r="D194" s="92"/>
      <c r="E194" s="92"/>
      <c r="F194" s="92"/>
      <c r="G194" s="92"/>
      <c r="H194" s="92"/>
      <c r="I194" s="20"/>
      <c r="J194" s="95"/>
    </row>
    <row r="195">
      <c r="A195" s="92"/>
      <c r="B195" s="92"/>
      <c r="C195" s="92"/>
      <c r="D195" s="92"/>
      <c r="E195" s="92"/>
      <c r="F195" s="92"/>
      <c r="G195" s="92"/>
      <c r="H195" s="92"/>
      <c r="I195" s="20"/>
      <c r="J195" s="95"/>
    </row>
    <row r="196">
      <c r="A196" s="92"/>
      <c r="B196" s="92"/>
      <c r="C196" s="92"/>
      <c r="D196" s="92"/>
      <c r="E196" s="92"/>
      <c r="F196" s="92"/>
      <c r="G196" s="92"/>
      <c r="H196" s="92"/>
      <c r="I196" s="20"/>
      <c r="J196" s="95"/>
    </row>
    <row r="197">
      <c r="A197" s="92"/>
      <c r="B197" s="92"/>
      <c r="C197" s="92"/>
      <c r="D197" s="92"/>
      <c r="E197" s="92"/>
      <c r="F197" s="92"/>
      <c r="G197" s="92"/>
      <c r="H197" s="92"/>
      <c r="I197" s="20"/>
      <c r="J197" s="95"/>
    </row>
    <row r="198">
      <c r="A198" s="92"/>
      <c r="B198" s="92"/>
      <c r="C198" s="92"/>
      <c r="D198" s="92"/>
      <c r="E198" s="92"/>
      <c r="F198" s="92"/>
      <c r="G198" s="92"/>
      <c r="H198" s="92"/>
      <c r="I198" s="20"/>
      <c r="J198" s="95"/>
    </row>
    <row r="199">
      <c r="A199" s="92"/>
      <c r="B199" s="92"/>
      <c r="C199" s="92"/>
      <c r="D199" s="92"/>
      <c r="E199" s="92"/>
      <c r="F199" s="92"/>
      <c r="G199" s="92"/>
      <c r="H199" s="92"/>
      <c r="I199" s="20"/>
      <c r="J199" s="95"/>
    </row>
    <row r="200">
      <c r="A200" s="92"/>
      <c r="B200" s="92"/>
      <c r="C200" s="92"/>
      <c r="D200" s="92"/>
      <c r="E200" s="92"/>
      <c r="F200" s="92"/>
      <c r="G200" s="92"/>
      <c r="H200" s="92"/>
      <c r="I200" s="20"/>
      <c r="J200" s="95"/>
    </row>
    <row r="201">
      <c r="A201" s="92"/>
      <c r="B201" s="92"/>
      <c r="C201" s="92"/>
      <c r="D201" s="92"/>
      <c r="E201" s="92"/>
      <c r="F201" s="92"/>
      <c r="G201" s="92"/>
      <c r="H201" s="92"/>
      <c r="I201" s="20"/>
      <c r="J201" s="95"/>
    </row>
    <row r="202">
      <c r="A202" s="92"/>
      <c r="B202" s="92"/>
      <c r="C202" s="92"/>
      <c r="D202" s="92"/>
      <c r="E202" s="92"/>
      <c r="F202" s="92"/>
      <c r="G202" s="92"/>
      <c r="H202" s="92"/>
      <c r="I202" s="20"/>
      <c r="J202" s="95"/>
    </row>
    <row r="203">
      <c r="A203" s="92"/>
      <c r="B203" s="92"/>
      <c r="C203" s="92"/>
      <c r="D203" s="92"/>
      <c r="E203" s="92"/>
      <c r="F203" s="92"/>
      <c r="G203" s="92"/>
      <c r="H203" s="92"/>
      <c r="I203" s="20"/>
      <c r="J203" s="95"/>
    </row>
    <row r="204">
      <c r="A204" s="92"/>
      <c r="B204" s="92"/>
      <c r="C204" s="92"/>
      <c r="D204" s="92"/>
      <c r="E204" s="92"/>
      <c r="F204" s="92"/>
      <c r="G204" s="92"/>
      <c r="H204" s="92"/>
      <c r="I204" s="20"/>
      <c r="J204" s="95"/>
    </row>
    <row r="205">
      <c r="A205" s="92"/>
      <c r="B205" s="92"/>
      <c r="C205" s="92"/>
      <c r="D205" s="92"/>
      <c r="E205" s="92"/>
      <c r="F205" s="92"/>
      <c r="G205" s="92"/>
      <c r="H205" s="92"/>
      <c r="I205" s="20"/>
      <c r="J205" s="95"/>
    </row>
    <row r="206">
      <c r="A206" s="92"/>
      <c r="B206" s="92"/>
      <c r="C206" s="92"/>
      <c r="D206" s="92"/>
      <c r="E206" s="92"/>
      <c r="F206" s="92"/>
      <c r="G206" s="92"/>
      <c r="H206" s="92"/>
      <c r="I206" s="20"/>
      <c r="J206" s="95"/>
    </row>
    <row r="207">
      <c r="A207" s="92"/>
      <c r="B207" s="92"/>
      <c r="C207" s="92"/>
      <c r="D207" s="92"/>
      <c r="E207" s="92"/>
      <c r="F207" s="92"/>
      <c r="G207" s="92"/>
      <c r="H207" s="92"/>
      <c r="I207" s="20"/>
      <c r="J207" s="95"/>
    </row>
    <row r="208">
      <c r="A208" s="92"/>
      <c r="B208" s="92"/>
      <c r="C208" s="92"/>
      <c r="D208" s="92"/>
      <c r="E208" s="92"/>
      <c r="F208" s="92"/>
      <c r="G208" s="92"/>
      <c r="H208" s="92"/>
      <c r="I208" s="20"/>
      <c r="J208" s="95"/>
    </row>
    <row r="209">
      <c r="A209" s="92"/>
      <c r="B209" s="92"/>
      <c r="C209" s="92"/>
      <c r="D209" s="92"/>
      <c r="E209" s="92"/>
      <c r="F209" s="92"/>
      <c r="G209" s="92"/>
      <c r="H209" s="92"/>
      <c r="I209" s="20"/>
      <c r="J209" s="95"/>
    </row>
    <row r="210">
      <c r="A210" s="92"/>
      <c r="B210" s="92"/>
      <c r="C210" s="92"/>
      <c r="D210" s="92"/>
      <c r="E210" s="92"/>
      <c r="F210" s="92"/>
      <c r="G210" s="92"/>
      <c r="H210" s="92"/>
      <c r="I210" s="20"/>
      <c r="J210" s="95"/>
    </row>
    <row r="211">
      <c r="A211" s="92"/>
      <c r="B211" s="92"/>
      <c r="C211" s="92"/>
      <c r="D211" s="92"/>
      <c r="E211" s="92"/>
      <c r="F211" s="92"/>
      <c r="G211" s="92"/>
      <c r="H211" s="92"/>
      <c r="I211" s="20"/>
      <c r="J211" s="95"/>
    </row>
    <row r="212">
      <c r="A212" s="92"/>
      <c r="B212" s="92"/>
      <c r="C212" s="92"/>
      <c r="D212" s="92"/>
      <c r="E212" s="92"/>
      <c r="F212" s="92"/>
      <c r="G212" s="92"/>
      <c r="H212" s="92"/>
      <c r="I212" s="20"/>
      <c r="J212" s="95"/>
    </row>
    <row r="213">
      <c r="A213" s="92"/>
      <c r="B213" s="92"/>
      <c r="C213" s="92"/>
      <c r="D213" s="92"/>
      <c r="E213" s="92"/>
      <c r="F213" s="92"/>
      <c r="G213" s="92"/>
      <c r="H213" s="92"/>
      <c r="I213" s="20"/>
      <c r="J213" s="95"/>
    </row>
    <row r="214">
      <c r="A214" s="92"/>
      <c r="B214" s="92"/>
      <c r="C214" s="92"/>
      <c r="D214" s="92"/>
      <c r="E214" s="92"/>
      <c r="F214" s="92"/>
      <c r="G214" s="92"/>
      <c r="H214" s="92"/>
      <c r="I214" s="20"/>
      <c r="J214" s="95"/>
    </row>
    <row r="215">
      <c r="A215" s="92"/>
      <c r="B215" s="92"/>
      <c r="C215" s="92"/>
      <c r="D215" s="92"/>
      <c r="E215" s="92"/>
      <c r="F215" s="92"/>
      <c r="G215" s="92"/>
      <c r="H215" s="92"/>
      <c r="I215" s="20"/>
      <c r="J215" s="95"/>
    </row>
    <row r="216">
      <c r="A216" s="92"/>
      <c r="B216" s="92"/>
      <c r="C216" s="92"/>
      <c r="D216" s="92"/>
      <c r="E216" s="92"/>
      <c r="F216" s="92"/>
      <c r="G216" s="92"/>
      <c r="H216" s="92"/>
      <c r="I216" s="20"/>
      <c r="J216" s="95"/>
    </row>
    <row r="217">
      <c r="A217" s="92"/>
      <c r="B217" s="92"/>
      <c r="C217" s="92"/>
      <c r="D217" s="92"/>
      <c r="E217" s="92"/>
      <c r="F217" s="92"/>
      <c r="G217" s="92"/>
      <c r="H217" s="92"/>
      <c r="I217" s="20"/>
      <c r="J217" s="95"/>
    </row>
    <row r="218">
      <c r="A218" s="92"/>
      <c r="B218" s="92"/>
      <c r="C218" s="92"/>
      <c r="D218" s="92"/>
      <c r="E218" s="92"/>
      <c r="F218" s="92"/>
      <c r="G218" s="92"/>
      <c r="H218" s="92"/>
      <c r="I218" s="20"/>
      <c r="J218" s="95"/>
    </row>
    <row r="219">
      <c r="A219" s="92"/>
      <c r="B219" s="92"/>
      <c r="C219" s="92"/>
      <c r="D219" s="92"/>
      <c r="E219" s="92"/>
      <c r="F219" s="92"/>
      <c r="G219" s="92"/>
      <c r="H219" s="92"/>
      <c r="I219" s="20"/>
      <c r="J219" s="95"/>
    </row>
    <row r="220">
      <c r="A220" s="92"/>
      <c r="B220" s="92"/>
      <c r="C220" s="92"/>
      <c r="D220" s="92"/>
      <c r="E220" s="92"/>
      <c r="F220" s="92"/>
      <c r="G220" s="92"/>
      <c r="H220" s="92"/>
      <c r="I220" s="20"/>
      <c r="J220" s="95"/>
    </row>
    <row r="221">
      <c r="A221" s="92"/>
      <c r="B221" s="92"/>
      <c r="C221" s="92"/>
      <c r="D221" s="92"/>
      <c r="E221" s="92"/>
      <c r="F221" s="92"/>
      <c r="G221" s="92"/>
      <c r="H221" s="92"/>
      <c r="I221" s="20"/>
      <c r="J221" s="95"/>
    </row>
    <row r="222">
      <c r="A222" s="92"/>
      <c r="B222" s="92"/>
      <c r="C222" s="92"/>
      <c r="D222" s="92"/>
      <c r="E222" s="92"/>
      <c r="F222" s="92"/>
      <c r="G222" s="92"/>
      <c r="H222" s="92"/>
      <c r="I222" s="20"/>
      <c r="J222" s="95"/>
    </row>
    <row r="223">
      <c r="A223" s="92"/>
      <c r="B223" s="92"/>
      <c r="C223" s="92"/>
      <c r="D223" s="92"/>
      <c r="E223" s="92"/>
      <c r="F223" s="92"/>
      <c r="G223" s="92"/>
      <c r="H223" s="92"/>
      <c r="I223" s="20"/>
      <c r="J223" s="95"/>
    </row>
    <row r="224">
      <c r="A224" s="92"/>
      <c r="B224" s="92"/>
      <c r="C224" s="92"/>
      <c r="D224" s="92"/>
      <c r="E224" s="92"/>
      <c r="F224" s="92"/>
      <c r="G224" s="92"/>
      <c r="H224" s="92"/>
      <c r="I224" s="20"/>
      <c r="J224" s="95"/>
    </row>
    <row r="225">
      <c r="A225" s="92"/>
      <c r="B225" s="92"/>
      <c r="C225" s="92"/>
      <c r="D225" s="92"/>
      <c r="E225" s="92"/>
      <c r="F225" s="92"/>
      <c r="G225" s="92"/>
      <c r="H225" s="92"/>
      <c r="I225" s="20"/>
      <c r="J225" s="95"/>
    </row>
    <row r="226">
      <c r="A226" s="92"/>
      <c r="B226" s="92"/>
      <c r="C226" s="92"/>
      <c r="D226" s="92"/>
      <c r="E226" s="92"/>
      <c r="F226" s="92"/>
      <c r="G226" s="92"/>
      <c r="H226" s="92"/>
      <c r="I226" s="20"/>
      <c r="J226" s="95"/>
    </row>
    <row r="227">
      <c r="A227" s="92"/>
      <c r="B227" s="92"/>
      <c r="C227" s="92"/>
      <c r="D227" s="92"/>
      <c r="E227" s="92"/>
      <c r="F227" s="92"/>
      <c r="G227" s="92"/>
      <c r="H227" s="92"/>
      <c r="I227" s="20"/>
      <c r="J227" s="95"/>
    </row>
    <row r="228">
      <c r="A228" s="92"/>
      <c r="B228" s="92"/>
      <c r="C228" s="92"/>
      <c r="D228" s="92"/>
      <c r="E228" s="92"/>
      <c r="F228" s="92"/>
      <c r="G228" s="92"/>
      <c r="H228" s="92"/>
      <c r="I228" s="20"/>
      <c r="J228" s="95"/>
    </row>
    <row r="229">
      <c r="A229" s="92"/>
      <c r="B229" s="92"/>
      <c r="C229" s="92"/>
      <c r="D229" s="92"/>
      <c r="E229" s="92"/>
      <c r="F229" s="92"/>
      <c r="G229" s="92"/>
      <c r="H229" s="92"/>
      <c r="I229" s="20"/>
      <c r="J229" s="95"/>
    </row>
    <row r="230">
      <c r="A230" s="92"/>
      <c r="B230" s="92"/>
      <c r="C230" s="92"/>
      <c r="D230" s="92"/>
      <c r="E230" s="92"/>
      <c r="F230" s="92"/>
      <c r="G230" s="92"/>
      <c r="H230" s="92"/>
      <c r="I230" s="20"/>
      <c r="J230" s="95"/>
    </row>
    <row r="231">
      <c r="A231" s="92"/>
      <c r="B231" s="92"/>
      <c r="C231" s="92"/>
      <c r="D231" s="92"/>
      <c r="E231" s="92"/>
      <c r="F231" s="92"/>
      <c r="G231" s="92"/>
      <c r="H231" s="92"/>
      <c r="I231" s="20"/>
      <c r="J231" s="95"/>
    </row>
    <row r="232">
      <c r="A232" s="92"/>
      <c r="B232" s="92"/>
      <c r="C232" s="92"/>
      <c r="D232" s="92"/>
      <c r="E232" s="92"/>
      <c r="F232" s="92"/>
      <c r="G232" s="92"/>
      <c r="H232" s="92"/>
      <c r="I232" s="20"/>
      <c r="J232" s="95"/>
    </row>
    <row r="233">
      <c r="A233" s="92"/>
      <c r="B233" s="92"/>
      <c r="C233" s="92"/>
      <c r="D233" s="92"/>
      <c r="E233" s="92"/>
      <c r="F233" s="92"/>
      <c r="G233" s="92"/>
      <c r="H233" s="92"/>
      <c r="I233" s="20"/>
      <c r="J233" s="95"/>
    </row>
    <row r="234">
      <c r="A234" s="92"/>
      <c r="B234" s="92"/>
      <c r="C234" s="92"/>
      <c r="D234" s="92"/>
      <c r="E234" s="92"/>
      <c r="F234" s="92"/>
      <c r="G234" s="92"/>
      <c r="H234" s="92"/>
      <c r="I234" s="20"/>
      <c r="J234" s="95"/>
    </row>
    <row r="235">
      <c r="A235" s="92"/>
      <c r="B235" s="92"/>
      <c r="C235" s="92"/>
      <c r="D235" s="92"/>
      <c r="E235" s="92"/>
      <c r="F235" s="92"/>
      <c r="G235" s="92"/>
      <c r="H235" s="92"/>
      <c r="I235" s="20"/>
      <c r="J235" s="95"/>
    </row>
    <row r="236">
      <c r="A236" s="92"/>
      <c r="B236" s="92"/>
      <c r="C236" s="92"/>
      <c r="D236" s="92"/>
      <c r="E236" s="92"/>
      <c r="F236" s="92"/>
      <c r="G236" s="92"/>
      <c r="H236" s="92"/>
      <c r="I236" s="20"/>
      <c r="J236" s="95"/>
    </row>
    <row r="237">
      <c r="A237" s="92"/>
      <c r="B237" s="92"/>
      <c r="C237" s="92"/>
      <c r="D237" s="92"/>
      <c r="E237" s="92"/>
      <c r="F237" s="92"/>
      <c r="G237" s="92"/>
      <c r="H237" s="92"/>
      <c r="I237" s="20"/>
      <c r="J237" s="95"/>
    </row>
    <row r="238">
      <c r="A238" s="92"/>
      <c r="B238" s="92"/>
      <c r="C238" s="92"/>
      <c r="D238" s="92"/>
      <c r="E238" s="92"/>
      <c r="F238" s="92"/>
      <c r="G238" s="92"/>
      <c r="H238" s="92"/>
      <c r="I238" s="20"/>
      <c r="J238" s="95"/>
    </row>
    <row r="239">
      <c r="A239" s="92"/>
      <c r="B239" s="92"/>
      <c r="C239" s="92"/>
      <c r="D239" s="92"/>
      <c r="E239" s="92"/>
      <c r="F239" s="92"/>
      <c r="G239" s="92"/>
      <c r="H239" s="92"/>
      <c r="I239" s="20"/>
      <c r="J239" s="95"/>
    </row>
    <row r="240">
      <c r="A240" s="92"/>
      <c r="B240" s="92"/>
      <c r="C240" s="92"/>
      <c r="D240" s="92"/>
      <c r="E240" s="92"/>
      <c r="F240" s="92"/>
      <c r="G240" s="92"/>
      <c r="H240" s="92"/>
      <c r="I240" s="20"/>
      <c r="J240" s="95"/>
    </row>
    <row r="241">
      <c r="A241" s="92"/>
      <c r="B241" s="92"/>
      <c r="C241" s="92"/>
      <c r="D241" s="92"/>
      <c r="E241" s="92"/>
      <c r="F241" s="92"/>
      <c r="G241" s="92"/>
      <c r="H241" s="92"/>
      <c r="I241" s="20"/>
      <c r="J241" s="95"/>
    </row>
    <row r="242">
      <c r="A242" s="92"/>
      <c r="B242" s="92"/>
      <c r="C242" s="92"/>
      <c r="D242" s="92"/>
      <c r="E242" s="92"/>
      <c r="F242" s="92"/>
      <c r="G242" s="92"/>
      <c r="H242" s="92"/>
      <c r="I242" s="20"/>
      <c r="J242" s="95"/>
    </row>
    <row r="243">
      <c r="A243" s="92"/>
      <c r="B243" s="92"/>
      <c r="C243" s="92"/>
      <c r="D243" s="92"/>
      <c r="E243" s="92"/>
      <c r="F243" s="92"/>
      <c r="G243" s="92"/>
      <c r="H243" s="92"/>
      <c r="I243" s="20"/>
      <c r="J243" s="95"/>
    </row>
    <row r="244">
      <c r="A244" s="92"/>
      <c r="B244" s="92"/>
      <c r="C244" s="92"/>
      <c r="D244" s="92"/>
      <c r="E244" s="92"/>
      <c r="F244" s="92"/>
      <c r="G244" s="92"/>
      <c r="H244" s="92"/>
      <c r="I244" s="20"/>
      <c r="J244" s="95"/>
    </row>
    <row r="245">
      <c r="A245" s="92"/>
      <c r="B245" s="92"/>
      <c r="C245" s="92"/>
      <c r="D245" s="92"/>
      <c r="E245" s="92"/>
      <c r="F245" s="92"/>
      <c r="G245" s="92"/>
      <c r="H245" s="92"/>
      <c r="I245" s="20"/>
      <c r="J245" s="95"/>
    </row>
    <row r="246">
      <c r="A246" s="92"/>
      <c r="B246" s="92"/>
      <c r="C246" s="92"/>
      <c r="D246" s="92"/>
      <c r="E246" s="92"/>
      <c r="F246" s="92"/>
      <c r="G246" s="92"/>
      <c r="H246" s="92"/>
      <c r="I246" s="20"/>
      <c r="J246" s="95"/>
    </row>
    <row r="247">
      <c r="A247" s="92"/>
      <c r="B247" s="92"/>
      <c r="C247" s="92"/>
      <c r="D247" s="92"/>
      <c r="E247" s="92"/>
      <c r="F247" s="92"/>
      <c r="G247" s="92"/>
      <c r="H247" s="92"/>
      <c r="I247" s="20"/>
      <c r="J247" s="95"/>
    </row>
    <row r="248">
      <c r="A248" s="92"/>
      <c r="B248" s="92"/>
      <c r="C248" s="92"/>
      <c r="D248" s="92"/>
      <c r="E248" s="92"/>
      <c r="F248" s="92"/>
      <c r="G248" s="92"/>
      <c r="H248" s="92"/>
      <c r="I248" s="20"/>
      <c r="J248" s="95"/>
    </row>
    <row r="249">
      <c r="A249" s="92"/>
      <c r="B249" s="92"/>
      <c r="C249" s="92"/>
      <c r="D249" s="92"/>
      <c r="E249" s="92"/>
      <c r="F249" s="92"/>
      <c r="G249" s="92"/>
      <c r="H249" s="92"/>
      <c r="I249" s="20"/>
      <c r="J249" s="95"/>
    </row>
    <row r="250">
      <c r="A250" s="92"/>
      <c r="B250" s="92"/>
      <c r="C250" s="92"/>
      <c r="D250" s="92"/>
      <c r="E250" s="92"/>
      <c r="F250" s="92"/>
      <c r="G250" s="92"/>
      <c r="H250" s="92"/>
      <c r="I250" s="20"/>
      <c r="J250" s="95"/>
    </row>
    <row r="251">
      <c r="A251" s="92"/>
      <c r="B251" s="92"/>
      <c r="C251" s="92"/>
      <c r="D251" s="92"/>
      <c r="E251" s="92"/>
      <c r="F251" s="92"/>
      <c r="G251" s="92"/>
      <c r="H251" s="92"/>
      <c r="I251" s="20"/>
      <c r="J251" s="95"/>
    </row>
    <row r="252">
      <c r="A252" s="92"/>
      <c r="B252" s="92"/>
      <c r="C252" s="92"/>
      <c r="D252" s="92"/>
      <c r="E252" s="92"/>
      <c r="F252" s="92"/>
      <c r="G252" s="92"/>
      <c r="H252" s="92"/>
      <c r="I252" s="20"/>
      <c r="J252" s="95"/>
    </row>
    <row r="253">
      <c r="A253" s="92"/>
      <c r="B253" s="92"/>
      <c r="C253" s="92"/>
      <c r="D253" s="92"/>
      <c r="E253" s="92"/>
      <c r="F253" s="92"/>
      <c r="G253" s="92"/>
      <c r="H253" s="92"/>
      <c r="I253" s="20"/>
      <c r="J253" s="95"/>
    </row>
    <row r="254">
      <c r="A254" s="92"/>
      <c r="B254" s="92"/>
      <c r="C254" s="92"/>
      <c r="D254" s="92"/>
      <c r="E254" s="92"/>
      <c r="F254" s="92"/>
      <c r="G254" s="92"/>
      <c r="H254" s="92"/>
      <c r="I254" s="20"/>
      <c r="J254" s="95"/>
    </row>
    <row r="255">
      <c r="A255" s="92"/>
      <c r="B255" s="92"/>
      <c r="C255" s="92"/>
      <c r="D255" s="92"/>
      <c r="E255" s="92"/>
      <c r="F255" s="92"/>
      <c r="G255" s="92"/>
      <c r="H255" s="92"/>
      <c r="I255" s="20"/>
      <c r="J255" s="95"/>
    </row>
    <row r="256">
      <c r="A256" s="92"/>
      <c r="B256" s="92"/>
      <c r="C256" s="92"/>
      <c r="D256" s="92"/>
      <c r="E256" s="92"/>
      <c r="F256" s="92"/>
      <c r="G256" s="92"/>
      <c r="H256" s="92"/>
      <c r="I256" s="20"/>
      <c r="J256" s="95"/>
    </row>
    <row r="257">
      <c r="A257" s="92"/>
      <c r="B257" s="92"/>
      <c r="C257" s="92"/>
      <c r="D257" s="92"/>
      <c r="E257" s="92"/>
      <c r="F257" s="92"/>
      <c r="G257" s="92"/>
      <c r="H257" s="92"/>
      <c r="I257" s="20"/>
      <c r="J257" s="95"/>
    </row>
    <row r="258">
      <c r="A258" s="92"/>
      <c r="B258" s="92"/>
      <c r="C258" s="92"/>
      <c r="D258" s="92"/>
      <c r="E258" s="92"/>
      <c r="F258" s="92"/>
      <c r="G258" s="92"/>
      <c r="H258" s="92"/>
      <c r="I258" s="20"/>
      <c r="J258" s="95"/>
    </row>
    <row r="259">
      <c r="A259" s="92"/>
      <c r="B259" s="92"/>
      <c r="C259" s="92"/>
      <c r="D259" s="92"/>
      <c r="E259" s="92"/>
      <c r="F259" s="92"/>
      <c r="G259" s="92"/>
      <c r="H259" s="92"/>
      <c r="I259" s="20"/>
      <c r="J259" s="95"/>
    </row>
    <row r="260">
      <c r="A260" s="92"/>
      <c r="B260" s="92"/>
      <c r="C260" s="92"/>
      <c r="D260" s="92"/>
      <c r="E260" s="92"/>
      <c r="F260" s="92"/>
      <c r="G260" s="92"/>
      <c r="H260" s="92"/>
      <c r="I260" s="20"/>
      <c r="J260" s="95"/>
    </row>
    <row r="261">
      <c r="A261" s="92"/>
      <c r="B261" s="92"/>
      <c r="C261" s="92"/>
      <c r="D261" s="92"/>
      <c r="E261" s="92"/>
      <c r="F261" s="92"/>
      <c r="G261" s="92"/>
      <c r="H261" s="92"/>
      <c r="I261" s="20"/>
      <c r="J261" s="95"/>
    </row>
    <row r="262">
      <c r="A262" s="92"/>
      <c r="B262" s="92"/>
      <c r="C262" s="92"/>
      <c r="D262" s="92"/>
      <c r="E262" s="92"/>
      <c r="F262" s="92"/>
      <c r="G262" s="92"/>
      <c r="H262" s="92"/>
      <c r="I262" s="20"/>
      <c r="J262" s="95"/>
    </row>
    <row r="263">
      <c r="A263" s="92"/>
      <c r="B263" s="92"/>
      <c r="C263" s="92"/>
      <c r="D263" s="92"/>
      <c r="E263" s="92"/>
      <c r="F263" s="92"/>
      <c r="G263" s="92"/>
      <c r="H263" s="92"/>
      <c r="I263" s="20"/>
      <c r="J263" s="95"/>
    </row>
    <row r="264">
      <c r="A264" s="92"/>
      <c r="B264" s="92"/>
      <c r="C264" s="92"/>
      <c r="D264" s="92"/>
      <c r="E264" s="92"/>
      <c r="F264" s="92"/>
      <c r="G264" s="92"/>
      <c r="H264" s="92"/>
      <c r="I264" s="20"/>
      <c r="J264" s="95"/>
    </row>
    <row r="265">
      <c r="A265" s="92"/>
      <c r="B265" s="92"/>
      <c r="C265" s="92"/>
      <c r="D265" s="92"/>
      <c r="E265" s="92"/>
      <c r="F265" s="92"/>
      <c r="G265" s="92"/>
      <c r="H265" s="92"/>
      <c r="I265" s="20"/>
      <c r="J265" s="95"/>
    </row>
    <row r="266">
      <c r="A266" s="92"/>
      <c r="B266" s="92"/>
      <c r="C266" s="92"/>
      <c r="D266" s="92"/>
      <c r="E266" s="92"/>
      <c r="F266" s="92"/>
      <c r="G266" s="92"/>
      <c r="H266" s="92"/>
      <c r="I266" s="20"/>
      <c r="J266" s="95"/>
    </row>
    <row r="267">
      <c r="A267" s="92"/>
      <c r="B267" s="92"/>
      <c r="C267" s="92"/>
      <c r="D267" s="92"/>
      <c r="E267" s="92"/>
      <c r="F267" s="92"/>
      <c r="G267" s="92"/>
      <c r="H267" s="92"/>
      <c r="I267" s="20"/>
      <c r="J267" s="95"/>
    </row>
    <row r="268">
      <c r="A268" s="92"/>
      <c r="B268" s="92"/>
      <c r="C268" s="92"/>
      <c r="D268" s="92"/>
      <c r="E268" s="92"/>
      <c r="F268" s="92"/>
      <c r="G268" s="92"/>
      <c r="H268" s="92"/>
      <c r="I268" s="20"/>
      <c r="J268" s="95"/>
    </row>
    <row r="269">
      <c r="A269" s="92"/>
      <c r="B269" s="92"/>
      <c r="C269" s="92"/>
      <c r="D269" s="92"/>
      <c r="E269" s="92"/>
      <c r="F269" s="92"/>
      <c r="G269" s="92"/>
      <c r="H269" s="92"/>
      <c r="I269" s="20"/>
      <c r="J269" s="95"/>
    </row>
    <row r="270">
      <c r="A270" s="92"/>
      <c r="B270" s="92"/>
      <c r="C270" s="92"/>
      <c r="D270" s="92"/>
      <c r="E270" s="92"/>
      <c r="F270" s="92"/>
      <c r="G270" s="92"/>
      <c r="H270" s="92"/>
      <c r="I270" s="20"/>
      <c r="J270" s="95"/>
    </row>
    <row r="271">
      <c r="A271" s="92"/>
      <c r="B271" s="92"/>
      <c r="C271" s="92"/>
      <c r="D271" s="92"/>
      <c r="E271" s="92"/>
      <c r="F271" s="92"/>
      <c r="G271" s="92"/>
      <c r="H271" s="92"/>
      <c r="I271" s="20"/>
      <c r="J271" s="95"/>
    </row>
    <row r="272">
      <c r="A272" s="92"/>
      <c r="B272" s="92"/>
      <c r="C272" s="92"/>
      <c r="D272" s="92"/>
      <c r="E272" s="92"/>
      <c r="F272" s="92"/>
      <c r="G272" s="92"/>
      <c r="H272" s="92"/>
      <c r="I272" s="20"/>
      <c r="J272" s="95"/>
    </row>
    <row r="273">
      <c r="A273" s="92"/>
      <c r="B273" s="92"/>
      <c r="C273" s="92"/>
      <c r="D273" s="92"/>
      <c r="E273" s="92"/>
      <c r="F273" s="92"/>
      <c r="G273" s="92"/>
      <c r="H273" s="92"/>
      <c r="I273" s="20"/>
      <c r="J273" s="95"/>
    </row>
    <row r="274">
      <c r="A274" s="92"/>
      <c r="B274" s="92"/>
      <c r="C274" s="92"/>
      <c r="D274" s="92"/>
      <c r="E274" s="92"/>
      <c r="F274" s="92"/>
      <c r="G274" s="92"/>
      <c r="H274" s="92"/>
      <c r="I274" s="20"/>
      <c r="J274" s="95"/>
    </row>
    <row r="275">
      <c r="A275" s="92"/>
      <c r="B275" s="92"/>
      <c r="C275" s="92"/>
      <c r="D275" s="92"/>
      <c r="E275" s="92"/>
      <c r="F275" s="92"/>
      <c r="G275" s="92"/>
      <c r="H275" s="92"/>
      <c r="I275" s="20"/>
      <c r="J275" s="95"/>
    </row>
    <row r="276">
      <c r="A276" s="92"/>
      <c r="B276" s="92"/>
      <c r="C276" s="92"/>
      <c r="D276" s="92"/>
      <c r="E276" s="92"/>
      <c r="F276" s="92"/>
      <c r="G276" s="92"/>
      <c r="H276" s="92"/>
      <c r="I276" s="20"/>
      <c r="J276" s="95"/>
    </row>
    <row r="277">
      <c r="A277" s="92"/>
      <c r="B277" s="92"/>
      <c r="C277" s="92"/>
      <c r="D277" s="92"/>
      <c r="E277" s="92"/>
      <c r="F277" s="92"/>
      <c r="G277" s="92"/>
      <c r="H277" s="92"/>
      <c r="I277" s="20"/>
      <c r="J277" s="95"/>
    </row>
    <row r="278">
      <c r="A278" s="92"/>
      <c r="B278" s="92"/>
      <c r="C278" s="92"/>
      <c r="D278" s="92"/>
      <c r="E278" s="92"/>
      <c r="F278" s="92"/>
      <c r="G278" s="92"/>
      <c r="H278" s="92"/>
      <c r="I278" s="20"/>
      <c r="J278" s="95"/>
    </row>
    <row r="279">
      <c r="A279" s="92"/>
      <c r="B279" s="92"/>
      <c r="C279" s="92"/>
      <c r="D279" s="92"/>
      <c r="E279" s="92"/>
      <c r="F279" s="92"/>
      <c r="G279" s="92"/>
      <c r="H279" s="92"/>
      <c r="I279" s="20"/>
      <c r="J279" s="95"/>
    </row>
    <row r="280">
      <c r="A280" s="92"/>
      <c r="B280" s="92"/>
      <c r="C280" s="92"/>
      <c r="D280" s="92"/>
      <c r="E280" s="92"/>
      <c r="F280" s="92"/>
      <c r="G280" s="92"/>
      <c r="H280" s="92"/>
      <c r="I280" s="20"/>
      <c r="J280" s="95"/>
    </row>
    <row r="281">
      <c r="A281" s="92"/>
      <c r="B281" s="92"/>
      <c r="C281" s="92"/>
      <c r="D281" s="92"/>
      <c r="E281" s="92"/>
      <c r="F281" s="92"/>
      <c r="G281" s="92"/>
      <c r="H281" s="92"/>
      <c r="I281" s="20"/>
      <c r="J281" s="95"/>
    </row>
    <row r="282">
      <c r="A282" s="92"/>
      <c r="B282" s="92"/>
      <c r="C282" s="92"/>
      <c r="D282" s="92"/>
      <c r="E282" s="92"/>
      <c r="F282" s="92"/>
      <c r="G282" s="92"/>
      <c r="H282" s="92"/>
      <c r="I282" s="20"/>
      <c r="J282" s="95"/>
    </row>
    <row r="283">
      <c r="A283" s="92"/>
      <c r="B283" s="92"/>
      <c r="C283" s="92"/>
      <c r="D283" s="92"/>
      <c r="E283" s="92"/>
      <c r="F283" s="92"/>
      <c r="G283" s="92"/>
      <c r="H283" s="92"/>
      <c r="I283" s="20"/>
      <c r="J283" s="95"/>
    </row>
    <row r="284">
      <c r="A284" s="92"/>
      <c r="B284" s="92"/>
      <c r="C284" s="92"/>
      <c r="D284" s="92"/>
      <c r="E284" s="92"/>
      <c r="F284" s="92"/>
      <c r="G284" s="92"/>
      <c r="H284" s="92"/>
      <c r="I284" s="20"/>
      <c r="J284" s="95"/>
    </row>
    <row r="285">
      <c r="A285" s="92"/>
      <c r="B285" s="92"/>
      <c r="C285" s="92"/>
      <c r="D285" s="92"/>
      <c r="E285" s="92"/>
      <c r="F285" s="92"/>
      <c r="G285" s="92"/>
      <c r="H285" s="92"/>
      <c r="I285" s="20"/>
      <c r="J285" s="95"/>
    </row>
    <row r="286">
      <c r="A286" s="92"/>
      <c r="B286" s="92"/>
      <c r="C286" s="92"/>
      <c r="D286" s="92"/>
      <c r="E286" s="92"/>
      <c r="F286" s="92"/>
      <c r="G286" s="92"/>
      <c r="H286" s="92"/>
      <c r="I286" s="20"/>
      <c r="J286" s="95"/>
    </row>
    <row r="287">
      <c r="A287" s="92"/>
      <c r="B287" s="92"/>
      <c r="C287" s="92"/>
      <c r="D287" s="92"/>
      <c r="E287" s="92"/>
      <c r="F287" s="92"/>
      <c r="G287" s="92"/>
      <c r="H287" s="92"/>
      <c r="I287" s="20"/>
      <c r="J287" s="95"/>
    </row>
    <row r="288">
      <c r="A288" s="92"/>
      <c r="B288" s="92"/>
      <c r="C288" s="92"/>
      <c r="D288" s="92"/>
      <c r="E288" s="92"/>
      <c r="F288" s="92"/>
      <c r="G288" s="92"/>
      <c r="H288" s="92"/>
      <c r="I288" s="20"/>
      <c r="J288" s="95"/>
    </row>
    <row r="289">
      <c r="A289" s="92"/>
      <c r="B289" s="92"/>
      <c r="C289" s="92"/>
      <c r="D289" s="92"/>
      <c r="E289" s="92"/>
      <c r="F289" s="92"/>
      <c r="G289" s="92"/>
      <c r="H289" s="92"/>
      <c r="I289" s="20"/>
      <c r="J289" s="95"/>
    </row>
    <row r="290">
      <c r="A290" s="92"/>
      <c r="B290" s="92"/>
      <c r="C290" s="92"/>
      <c r="D290" s="92"/>
      <c r="E290" s="92"/>
      <c r="F290" s="92"/>
      <c r="G290" s="92"/>
      <c r="H290" s="92"/>
      <c r="I290" s="20"/>
      <c r="J290" s="95"/>
    </row>
    <row r="291">
      <c r="A291" s="92"/>
      <c r="B291" s="92"/>
      <c r="C291" s="92"/>
      <c r="D291" s="92"/>
      <c r="E291" s="92"/>
      <c r="F291" s="92"/>
      <c r="G291" s="92"/>
      <c r="H291" s="92"/>
      <c r="I291" s="20"/>
      <c r="J291" s="95"/>
    </row>
    <row r="292">
      <c r="A292" s="92"/>
      <c r="B292" s="92"/>
      <c r="C292" s="92"/>
      <c r="D292" s="92"/>
      <c r="E292" s="92"/>
      <c r="F292" s="92"/>
      <c r="G292" s="92"/>
      <c r="H292" s="92"/>
      <c r="I292" s="20"/>
      <c r="J292" s="95"/>
    </row>
    <row r="293">
      <c r="A293" s="92"/>
      <c r="B293" s="92"/>
      <c r="C293" s="92"/>
      <c r="D293" s="92"/>
      <c r="E293" s="92"/>
      <c r="F293" s="92"/>
      <c r="G293" s="92"/>
      <c r="H293" s="92"/>
      <c r="I293" s="20"/>
      <c r="J293" s="95"/>
    </row>
    <row r="294">
      <c r="A294" s="92"/>
      <c r="B294" s="92"/>
      <c r="C294" s="92"/>
      <c r="D294" s="92"/>
      <c r="E294" s="92"/>
      <c r="F294" s="92"/>
      <c r="G294" s="92"/>
      <c r="H294" s="92"/>
      <c r="I294" s="20"/>
      <c r="J294" s="95"/>
    </row>
    <row r="295">
      <c r="A295" s="92"/>
      <c r="B295" s="92"/>
      <c r="C295" s="92"/>
      <c r="D295" s="92"/>
      <c r="E295" s="92"/>
      <c r="F295" s="92"/>
      <c r="G295" s="92"/>
      <c r="H295" s="92"/>
      <c r="I295" s="20"/>
      <c r="J295" s="95"/>
    </row>
    <row r="296">
      <c r="A296" s="92"/>
      <c r="B296" s="92"/>
      <c r="C296" s="92"/>
      <c r="D296" s="92"/>
      <c r="E296" s="92"/>
      <c r="F296" s="92"/>
      <c r="G296" s="92"/>
      <c r="H296" s="92"/>
      <c r="I296" s="20"/>
      <c r="J296" s="95"/>
    </row>
    <row r="297">
      <c r="A297" s="92"/>
      <c r="B297" s="92"/>
      <c r="C297" s="92"/>
      <c r="D297" s="92"/>
      <c r="E297" s="92"/>
      <c r="F297" s="92"/>
      <c r="G297" s="92"/>
      <c r="H297" s="92"/>
      <c r="I297" s="20"/>
      <c r="J297" s="95"/>
    </row>
    <row r="298">
      <c r="A298" s="92"/>
      <c r="B298" s="92"/>
      <c r="C298" s="92"/>
      <c r="D298" s="92"/>
      <c r="E298" s="92"/>
      <c r="F298" s="92"/>
      <c r="G298" s="92"/>
      <c r="H298" s="92"/>
      <c r="I298" s="20"/>
      <c r="J298" s="95"/>
    </row>
    <row r="299">
      <c r="A299" s="92"/>
      <c r="B299" s="92"/>
      <c r="C299" s="92"/>
      <c r="D299" s="92"/>
      <c r="E299" s="92"/>
      <c r="F299" s="92"/>
      <c r="G299" s="92"/>
      <c r="H299" s="92"/>
      <c r="I299" s="20"/>
      <c r="J299" s="95"/>
    </row>
    <row r="300">
      <c r="A300" s="92"/>
      <c r="B300" s="92"/>
      <c r="C300" s="92"/>
      <c r="D300" s="92"/>
      <c r="E300" s="92"/>
      <c r="F300" s="92"/>
      <c r="G300" s="92"/>
      <c r="H300" s="92"/>
      <c r="I300" s="20"/>
      <c r="J300" s="95"/>
    </row>
    <row r="301">
      <c r="A301" s="92"/>
      <c r="B301" s="92"/>
      <c r="C301" s="92"/>
      <c r="D301" s="92"/>
      <c r="E301" s="92"/>
      <c r="F301" s="92"/>
      <c r="G301" s="92"/>
      <c r="H301" s="92"/>
      <c r="I301" s="20"/>
      <c r="J301" s="95"/>
    </row>
    <row r="302">
      <c r="A302" s="92"/>
      <c r="B302" s="92"/>
      <c r="C302" s="92"/>
      <c r="D302" s="92"/>
      <c r="E302" s="92"/>
      <c r="F302" s="92"/>
      <c r="G302" s="92"/>
      <c r="H302" s="92"/>
      <c r="I302" s="20"/>
      <c r="J302" s="95"/>
    </row>
    <row r="303">
      <c r="A303" s="92"/>
      <c r="B303" s="92"/>
      <c r="C303" s="92"/>
      <c r="D303" s="92"/>
      <c r="E303" s="92"/>
      <c r="F303" s="92"/>
      <c r="G303" s="92"/>
      <c r="H303" s="92"/>
      <c r="I303" s="20"/>
      <c r="J303" s="95"/>
    </row>
    <row r="304">
      <c r="A304" s="92"/>
      <c r="B304" s="92"/>
      <c r="C304" s="92"/>
      <c r="D304" s="92"/>
      <c r="E304" s="92"/>
      <c r="F304" s="92"/>
      <c r="G304" s="92"/>
      <c r="H304" s="92"/>
      <c r="I304" s="20"/>
      <c r="J304" s="95"/>
    </row>
    <row r="305">
      <c r="A305" s="92"/>
      <c r="B305" s="92"/>
      <c r="C305" s="92"/>
      <c r="D305" s="92"/>
      <c r="E305" s="92"/>
      <c r="F305" s="92"/>
      <c r="G305" s="92"/>
      <c r="H305" s="92"/>
      <c r="I305" s="20"/>
      <c r="J305" s="95"/>
    </row>
    <row r="306">
      <c r="A306" s="92"/>
      <c r="B306" s="92"/>
      <c r="C306" s="92"/>
      <c r="D306" s="92"/>
      <c r="E306" s="92"/>
      <c r="F306" s="92"/>
      <c r="G306" s="92"/>
      <c r="H306" s="92"/>
      <c r="I306" s="20"/>
      <c r="J306" s="95"/>
    </row>
    <row r="307">
      <c r="A307" s="92"/>
      <c r="B307" s="92"/>
      <c r="C307" s="92"/>
      <c r="D307" s="92"/>
      <c r="E307" s="92"/>
      <c r="F307" s="92"/>
      <c r="G307" s="92"/>
      <c r="H307" s="92"/>
      <c r="I307" s="20"/>
      <c r="J307" s="95"/>
    </row>
    <row r="308">
      <c r="A308" s="92"/>
      <c r="B308" s="92"/>
      <c r="C308" s="92"/>
      <c r="D308" s="92"/>
      <c r="E308" s="92"/>
      <c r="F308" s="92"/>
      <c r="G308" s="92"/>
      <c r="H308" s="92"/>
      <c r="I308" s="20"/>
      <c r="J308" s="95"/>
    </row>
    <row r="309">
      <c r="A309" s="92"/>
      <c r="B309" s="92"/>
      <c r="C309" s="92"/>
      <c r="D309" s="92"/>
      <c r="E309" s="92"/>
      <c r="F309" s="92"/>
      <c r="G309" s="92"/>
      <c r="H309" s="92"/>
      <c r="I309" s="20"/>
      <c r="J309" s="95"/>
    </row>
    <row r="310">
      <c r="A310" s="92"/>
      <c r="B310" s="92"/>
      <c r="C310" s="92"/>
      <c r="D310" s="92"/>
      <c r="E310" s="92"/>
      <c r="F310" s="92"/>
      <c r="G310" s="92"/>
      <c r="H310" s="92"/>
      <c r="I310" s="20"/>
      <c r="J310" s="95"/>
    </row>
    <row r="311">
      <c r="A311" s="92"/>
      <c r="B311" s="92"/>
      <c r="C311" s="92"/>
      <c r="D311" s="92"/>
      <c r="E311" s="92"/>
      <c r="F311" s="92"/>
      <c r="G311" s="92"/>
      <c r="H311" s="92"/>
      <c r="I311" s="20"/>
      <c r="J311" s="95"/>
    </row>
    <row r="312">
      <c r="A312" s="92"/>
      <c r="B312" s="92"/>
      <c r="C312" s="92"/>
      <c r="D312" s="92"/>
      <c r="E312" s="92"/>
      <c r="F312" s="92"/>
      <c r="G312" s="92"/>
      <c r="H312" s="92"/>
      <c r="I312" s="20"/>
      <c r="J312" s="95"/>
    </row>
    <row r="313">
      <c r="A313" s="92"/>
      <c r="B313" s="92"/>
      <c r="C313" s="92"/>
      <c r="D313" s="92"/>
      <c r="E313" s="92"/>
      <c r="F313" s="92"/>
      <c r="G313" s="92"/>
      <c r="H313" s="92"/>
      <c r="I313" s="20"/>
      <c r="J313" s="95"/>
    </row>
    <row r="314">
      <c r="A314" s="92"/>
      <c r="B314" s="92"/>
      <c r="C314" s="92"/>
      <c r="D314" s="92"/>
      <c r="E314" s="92"/>
      <c r="F314" s="92"/>
      <c r="G314" s="92"/>
      <c r="H314" s="92"/>
      <c r="I314" s="20"/>
      <c r="J314" s="95"/>
    </row>
    <row r="315">
      <c r="A315" s="92"/>
      <c r="B315" s="92"/>
      <c r="C315" s="92"/>
      <c r="D315" s="92"/>
      <c r="E315" s="92"/>
      <c r="F315" s="92"/>
      <c r="G315" s="92"/>
      <c r="H315" s="92"/>
      <c r="I315" s="20"/>
      <c r="J315" s="95"/>
    </row>
    <row r="316">
      <c r="A316" s="92"/>
      <c r="B316" s="92"/>
      <c r="C316" s="92"/>
      <c r="D316" s="92"/>
      <c r="E316" s="92"/>
      <c r="F316" s="92"/>
      <c r="G316" s="92"/>
      <c r="H316" s="92"/>
      <c r="I316" s="20"/>
      <c r="J316" s="95"/>
    </row>
    <row r="317">
      <c r="A317" s="92"/>
      <c r="B317" s="92"/>
      <c r="C317" s="92"/>
      <c r="D317" s="92"/>
      <c r="E317" s="92"/>
      <c r="F317" s="92"/>
      <c r="G317" s="92"/>
      <c r="H317" s="92"/>
      <c r="I317" s="20"/>
      <c r="J317" s="95"/>
    </row>
    <row r="318">
      <c r="A318" s="92"/>
      <c r="B318" s="92"/>
      <c r="C318" s="92"/>
      <c r="D318" s="92"/>
      <c r="E318" s="92"/>
      <c r="F318" s="92"/>
      <c r="G318" s="92"/>
      <c r="H318" s="92"/>
      <c r="I318" s="20"/>
      <c r="J318" s="95"/>
    </row>
    <row r="319">
      <c r="A319" s="92"/>
      <c r="B319" s="92"/>
      <c r="C319" s="92"/>
      <c r="D319" s="92"/>
      <c r="E319" s="92"/>
      <c r="F319" s="92"/>
      <c r="G319" s="92"/>
      <c r="H319" s="92"/>
      <c r="I319" s="20"/>
      <c r="J319" s="95"/>
    </row>
    <row r="320">
      <c r="A320" s="92"/>
      <c r="B320" s="92"/>
      <c r="C320" s="92"/>
      <c r="D320" s="92"/>
      <c r="E320" s="92"/>
      <c r="F320" s="92"/>
      <c r="G320" s="92"/>
      <c r="H320" s="92"/>
      <c r="I320" s="20"/>
      <c r="J320" s="95"/>
    </row>
    <row r="321">
      <c r="A321" s="92"/>
      <c r="B321" s="92"/>
      <c r="C321" s="92"/>
      <c r="D321" s="92"/>
      <c r="E321" s="92"/>
      <c r="F321" s="92"/>
      <c r="G321" s="92"/>
      <c r="H321" s="92"/>
      <c r="I321" s="20"/>
      <c r="J321" s="95"/>
    </row>
    <row r="322">
      <c r="A322" s="92"/>
      <c r="B322" s="92"/>
      <c r="C322" s="92"/>
      <c r="D322" s="92"/>
      <c r="E322" s="92"/>
      <c r="F322" s="92"/>
      <c r="G322" s="92"/>
      <c r="H322" s="92"/>
      <c r="I322" s="20"/>
      <c r="J322" s="95"/>
    </row>
    <row r="323">
      <c r="A323" s="92"/>
      <c r="B323" s="92"/>
      <c r="C323" s="92"/>
      <c r="D323" s="92"/>
      <c r="E323" s="92"/>
      <c r="F323" s="92"/>
      <c r="G323" s="92"/>
      <c r="H323" s="92"/>
      <c r="I323" s="20"/>
      <c r="J323" s="95"/>
    </row>
    <row r="324">
      <c r="A324" s="92"/>
      <c r="B324" s="92"/>
      <c r="C324" s="92"/>
      <c r="D324" s="92"/>
      <c r="E324" s="92"/>
      <c r="F324" s="92"/>
      <c r="G324" s="92"/>
      <c r="H324" s="92"/>
      <c r="I324" s="20"/>
      <c r="J324" s="95"/>
    </row>
    <row r="325">
      <c r="A325" s="92"/>
      <c r="B325" s="92"/>
      <c r="C325" s="92"/>
      <c r="D325" s="92"/>
      <c r="E325" s="92"/>
      <c r="F325" s="92"/>
      <c r="G325" s="92"/>
      <c r="H325" s="92"/>
      <c r="I325" s="20"/>
      <c r="J325" s="95"/>
    </row>
    <row r="326">
      <c r="A326" s="92"/>
      <c r="B326" s="92"/>
      <c r="C326" s="92"/>
      <c r="D326" s="92"/>
      <c r="E326" s="92"/>
      <c r="F326" s="92"/>
      <c r="G326" s="92"/>
      <c r="H326" s="92"/>
      <c r="I326" s="20"/>
      <c r="J326" s="95"/>
    </row>
    <row r="327">
      <c r="A327" s="92"/>
      <c r="B327" s="92"/>
      <c r="C327" s="92"/>
      <c r="D327" s="92"/>
      <c r="E327" s="92"/>
      <c r="F327" s="92"/>
      <c r="G327" s="92"/>
      <c r="H327" s="92"/>
      <c r="I327" s="20"/>
      <c r="J327" s="95"/>
    </row>
    <row r="328">
      <c r="A328" s="92"/>
      <c r="B328" s="92"/>
      <c r="C328" s="92"/>
      <c r="D328" s="92"/>
      <c r="E328" s="92"/>
      <c r="F328" s="92"/>
      <c r="G328" s="92"/>
      <c r="H328" s="92"/>
      <c r="I328" s="20"/>
      <c r="J328" s="95"/>
    </row>
    <row r="329">
      <c r="A329" s="92"/>
      <c r="B329" s="92"/>
      <c r="C329" s="92"/>
      <c r="D329" s="92"/>
      <c r="E329" s="92"/>
      <c r="F329" s="92"/>
      <c r="G329" s="92"/>
      <c r="H329" s="92"/>
      <c r="I329" s="20"/>
      <c r="J329" s="95"/>
    </row>
    <row r="330">
      <c r="A330" s="92"/>
      <c r="B330" s="92"/>
      <c r="C330" s="92"/>
      <c r="D330" s="92"/>
      <c r="E330" s="92"/>
      <c r="F330" s="92"/>
      <c r="G330" s="92"/>
      <c r="H330" s="92"/>
      <c r="I330" s="20"/>
      <c r="J330" s="95"/>
    </row>
    <row r="331">
      <c r="A331" s="92"/>
      <c r="B331" s="92"/>
      <c r="C331" s="92"/>
      <c r="D331" s="92"/>
      <c r="E331" s="92"/>
      <c r="F331" s="92"/>
      <c r="G331" s="92"/>
      <c r="H331" s="92"/>
      <c r="I331" s="20"/>
      <c r="J331" s="95"/>
    </row>
    <row r="332">
      <c r="A332" s="92"/>
      <c r="B332" s="92"/>
      <c r="C332" s="92"/>
      <c r="D332" s="92"/>
      <c r="E332" s="92"/>
      <c r="F332" s="92"/>
      <c r="G332" s="92"/>
      <c r="H332" s="92"/>
      <c r="I332" s="20"/>
      <c r="J332" s="95"/>
    </row>
    <row r="333">
      <c r="A333" s="92"/>
      <c r="B333" s="92"/>
      <c r="C333" s="92"/>
      <c r="D333" s="92"/>
      <c r="E333" s="92"/>
      <c r="F333" s="92"/>
      <c r="G333" s="92"/>
      <c r="H333" s="92"/>
      <c r="I333" s="20"/>
      <c r="J333" s="95"/>
    </row>
    <row r="334">
      <c r="A334" s="92"/>
      <c r="B334" s="92"/>
      <c r="C334" s="92"/>
      <c r="D334" s="92"/>
      <c r="E334" s="92"/>
      <c r="F334" s="92"/>
      <c r="G334" s="92"/>
      <c r="H334" s="92"/>
      <c r="I334" s="20"/>
      <c r="J334" s="95"/>
    </row>
    <row r="335">
      <c r="A335" s="92"/>
      <c r="B335" s="92"/>
      <c r="C335" s="92"/>
      <c r="D335" s="92"/>
      <c r="E335" s="92"/>
      <c r="F335" s="92"/>
      <c r="G335" s="92"/>
      <c r="H335" s="92"/>
      <c r="I335" s="20"/>
      <c r="J335" s="95"/>
    </row>
    <row r="336">
      <c r="A336" s="92"/>
      <c r="B336" s="92"/>
      <c r="C336" s="92"/>
      <c r="D336" s="92"/>
      <c r="E336" s="92"/>
      <c r="F336" s="92"/>
      <c r="G336" s="92"/>
      <c r="H336" s="92"/>
      <c r="I336" s="20"/>
      <c r="J336" s="95"/>
    </row>
    <row r="337">
      <c r="A337" s="92"/>
      <c r="B337" s="92"/>
      <c r="C337" s="92"/>
      <c r="D337" s="92"/>
      <c r="E337" s="92"/>
      <c r="F337" s="92"/>
      <c r="G337" s="92"/>
      <c r="H337" s="92"/>
      <c r="I337" s="20"/>
      <c r="J337" s="95"/>
    </row>
    <row r="338">
      <c r="A338" s="92"/>
      <c r="B338" s="92"/>
      <c r="C338" s="92"/>
      <c r="D338" s="92"/>
      <c r="E338" s="92"/>
      <c r="F338" s="92"/>
      <c r="G338" s="92"/>
      <c r="H338" s="92"/>
      <c r="I338" s="20"/>
      <c r="J338" s="95"/>
    </row>
    <row r="339">
      <c r="A339" s="92"/>
      <c r="B339" s="92"/>
      <c r="C339" s="92"/>
      <c r="D339" s="92"/>
      <c r="E339" s="92"/>
      <c r="F339" s="92"/>
      <c r="G339" s="92"/>
      <c r="H339" s="92"/>
      <c r="I339" s="20"/>
      <c r="J339" s="95"/>
    </row>
    <row r="340">
      <c r="A340" s="92"/>
      <c r="B340" s="92"/>
      <c r="C340" s="92"/>
      <c r="D340" s="92"/>
      <c r="E340" s="92"/>
      <c r="F340" s="92"/>
      <c r="G340" s="92"/>
      <c r="H340" s="92"/>
      <c r="I340" s="20"/>
      <c r="J340" s="95"/>
    </row>
    <row r="341">
      <c r="A341" s="92"/>
      <c r="B341" s="92"/>
      <c r="C341" s="92"/>
      <c r="D341" s="92"/>
      <c r="E341" s="92"/>
      <c r="F341" s="92"/>
      <c r="G341" s="92"/>
      <c r="H341" s="92"/>
      <c r="I341" s="20"/>
      <c r="J341" s="95"/>
    </row>
    <row r="342">
      <c r="A342" s="92"/>
      <c r="B342" s="92"/>
      <c r="C342" s="92"/>
      <c r="D342" s="92"/>
      <c r="E342" s="92"/>
      <c r="F342" s="92"/>
      <c r="G342" s="92"/>
      <c r="H342" s="92"/>
      <c r="I342" s="20"/>
      <c r="J342" s="95"/>
    </row>
    <row r="343">
      <c r="A343" s="92"/>
      <c r="B343" s="92"/>
      <c r="C343" s="92"/>
      <c r="D343" s="92"/>
      <c r="E343" s="92"/>
      <c r="F343" s="92"/>
      <c r="G343" s="92"/>
      <c r="H343" s="92"/>
      <c r="I343" s="20"/>
      <c r="J343" s="95"/>
    </row>
    <row r="344">
      <c r="A344" s="92"/>
      <c r="B344" s="92"/>
      <c r="C344" s="92"/>
      <c r="D344" s="92"/>
      <c r="E344" s="92"/>
      <c r="F344" s="92"/>
      <c r="G344" s="92"/>
      <c r="H344" s="92"/>
      <c r="I344" s="20"/>
      <c r="J344" s="95"/>
    </row>
    <row r="345">
      <c r="A345" s="92"/>
      <c r="B345" s="92"/>
      <c r="C345" s="92"/>
      <c r="D345" s="92"/>
      <c r="E345" s="92"/>
      <c r="F345" s="92"/>
      <c r="G345" s="92"/>
      <c r="H345" s="92"/>
      <c r="I345" s="20"/>
      <c r="J345" s="95"/>
    </row>
    <row r="346">
      <c r="A346" s="92"/>
      <c r="B346" s="92"/>
      <c r="C346" s="92"/>
      <c r="D346" s="92"/>
      <c r="E346" s="92"/>
      <c r="F346" s="92"/>
      <c r="G346" s="92"/>
      <c r="H346" s="92"/>
      <c r="I346" s="20"/>
      <c r="J346" s="95"/>
    </row>
    <row r="347">
      <c r="A347" s="92"/>
      <c r="B347" s="92"/>
      <c r="C347" s="92"/>
      <c r="D347" s="92"/>
      <c r="E347" s="92"/>
      <c r="F347" s="92"/>
      <c r="G347" s="92"/>
      <c r="H347" s="92"/>
      <c r="I347" s="20"/>
      <c r="J347" s="95"/>
    </row>
    <row r="348">
      <c r="A348" s="92"/>
      <c r="B348" s="92"/>
      <c r="C348" s="92"/>
      <c r="D348" s="92"/>
      <c r="E348" s="92"/>
      <c r="F348" s="92"/>
      <c r="G348" s="92"/>
      <c r="H348" s="92"/>
      <c r="I348" s="20"/>
      <c r="J348" s="95"/>
    </row>
    <row r="349">
      <c r="A349" s="92"/>
      <c r="B349" s="92"/>
      <c r="C349" s="92"/>
      <c r="D349" s="92"/>
      <c r="E349" s="92"/>
      <c r="F349" s="92"/>
      <c r="G349" s="92"/>
      <c r="H349" s="92"/>
      <c r="I349" s="20"/>
      <c r="J349" s="95"/>
    </row>
    <row r="350">
      <c r="A350" s="92"/>
      <c r="B350" s="92"/>
      <c r="C350" s="92"/>
      <c r="D350" s="92"/>
      <c r="E350" s="92"/>
      <c r="F350" s="92"/>
      <c r="G350" s="92"/>
      <c r="H350" s="92"/>
      <c r="I350" s="20"/>
      <c r="J350" s="95"/>
    </row>
    <row r="351">
      <c r="A351" s="92"/>
      <c r="B351" s="92"/>
      <c r="C351" s="92"/>
      <c r="D351" s="92"/>
      <c r="E351" s="92"/>
      <c r="F351" s="92"/>
      <c r="G351" s="92"/>
      <c r="H351" s="92"/>
      <c r="I351" s="20"/>
      <c r="J351" s="95"/>
    </row>
    <row r="352">
      <c r="A352" s="92"/>
      <c r="B352" s="92"/>
      <c r="C352" s="92"/>
      <c r="D352" s="92"/>
      <c r="E352" s="92"/>
      <c r="F352" s="92"/>
      <c r="G352" s="92"/>
      <c r="H352" s="92"/>
      <c r="I352" s="20"/>
      <c r="J352" s="95"/>
    </row>
    <row r="353">
      <c r="A353" s="92"/>
      <c r="B353" s="92"/>
      <c r="C353" s="92"/>
      <c r="D353" s="92"/>
      <c r="E353" s="92"/>
      <c r="F353" s="92"/>
      <c r="G353" s="92"/>
      <c r="H353" s="92"/>
      <c r="I353" s="20"/>
      <c r="J353" s="95"/>
    </row>
    <row r="354">
      <c r="A354" s="92"/>
      <c r="B354" s="92"/>
      <c r="C354" s="92"/>
      <c r="D354" s="92"/>
      <c r="E354" s="92"/>
      <c r="F354" s="92"/>
      <c r="G354" s="92"/>
      <c r="H354" s="92"/>
      <c r="I354" s="20"/>
      <c r="J354" s="95"/>
    </row>
    <row r="355">
      <c r="A355" s="92"/>
      <c r="B355" s="92"/>
      <c r="C355" s="92"/>
      <c r="D355" s="92"/>
      <c r="E355" s="92"/>
      <c r="F355" s="92"/>
      <c r="G355" s="92"/>
      <c r="H355" s="92"/>
      <c r="I355" s="20"/>
      <c r="J355" s="95"/>
    </row>
    <row r="356">
      <c r="A356" s="92"/>
      <c r="B356" s="92"/>
      <c r="C356" s="92"/>
      <c r="D356" s="92"/>
      <c r="E356" s="92"/>
      <c r="F356" s="92"/>
      <c r="G356" s="92"/>
      <c r="H356" s="92"/>
      <c r="I356" s="20"/>
      <c r="J356" s="95"/>
    </row>
    <row r="357">
      <c r="A357" s="92"/>
      <c r="B357" s="92"/>
      <c r="C357" s="92"/>
      <c r="D357" s="92"/>
      <c r="E357" s="92"/>
      <c r="F357" s="92"/>
      <c r="G357" s="92"/>
      <c r="H357" s="92"/>
      <c r="I357" s="20"/>
      <c r="J357" s="95"/>
    </row>
    <row r="358">
      <c r="A358" s="92"/>
      <c r="B358" s="92"/>
      <c r="C358" s="92"/>
      <c r="D358" s="92"/>
      <c r="E358" s="92"/>
      <c r="F358" s="92"/>
      <c r="G358" s="92"/>
      <c r="H358" s="92"/>
      <c r="I358" s="20"/>
      <c r="J358" s="95"/>
    </row>
    <row r="359">
      <c r="A359" s="92"/>
      <c r="B359" s="92"/>
      <c r="C359" s="92"/>
      <c r="D359" s="92"/>
      <c r="E359" s="92"/>
      <c r="F359" s="92"/>
      <c r="G359" s="92"/>
      <c r="H359" s="92"/>
      <c r="I359" s="20"/>
      <c r="J359" s="95"/>
    </row>
    <row r="360">
      <c r="A360" s="92"/>
      <c r="B360" s="92"/>
      <c r="C360" s="92"/>
      <c r="D360" s="92"/>
      <c r="E360" s="92"/>
      <c r="F360" s="92"/>
      <c r="G360" s="92"/>
      <c r="H360" s="92"/>
      <c r="I360" s="20"/>
      <c r="J360" s="95"/>
    </row>
    <row r="361">
      <c r="A361" s="92"/>
      <c r="B361" s="92"/>
      <c r="C361" s="92"/>
      <c r="D361" s="92"/>
      <c r="E361" s="92"/>
      <c r="F361" s="92"/>
      <c r="G361" s="92"/>
      <c r="H361" s="92"/>
      <c r="I361" s="20"/>
      <c r="J361" s="95"/>
    </row>
    <row r="362">
      <c r="A362" s="92"/>
      <c r="B362" s="92"/>
      <c r="C362" s="92"/>
      <c r="D362" s="92"/>
      <c r="E362" s="92"/>
      <c r="F362" s="92"/>
      <c r="G362" s="92"/>
      <c r="H362" s="92"/>
      <c r="I362" s="20"/>
      <c r="J362" s="95"/>
    </row>
    <row r="363">
      <c r="A363" s="92"/>
      <c r="B363" s="92"/>
      <c r="C363" s="92"/>
      <c r="D363" s="92"/>
      <c r="E363" s="92"/>
      <c r="F363" s="92"/>
      <c r="G363" s="92"/>
      <c r="H363" s="92"/>
      <c r="I363" s="20"/>
      <c r="J363" s="95"/>
    </row>
    <row r="364">
      <c r="A364" s="92"/>
      <c r="B364" s="92"/>
      <c r="C364" s="92"/>
      <c r="D364" s="92"/>
      <c r="E364" s="92"/>
      <c r="F364" s="92"/>
      <c r="G364" s="92"/>
      <c r="H364" s="92"/>
      <c r="I364" s="20"/>
      <c r="J364" s="95"/>
    </row>
    <row r="365">
      <c r="A365" s="92"/>
      <c r="B365" s="92"/>
      <c r="C365" s="92"/>
      <c r="D365" s="92"/>
      <c r="E365" s="92"/>
      <c r="F365" s="92"/>
      <c r="G365" s="92"/>
      <c r="H365" s="92"/>
      <c r="I365" s="20"/>
      <c r="J365" s="95"/>
    </row>
    <row r="366">
      <c r="A366" s="92"/>
      <c r="B366" s="92"/>
      <c r="C366" s="92"/>
      <c r="D366" s="92"/>
      <c r="E366" s="92"/>
      <c r="F366" s="92"/>
      <c r="G366" s="92"/>
      <c r="H366" s="92"/>
      <c r="I366" s="20"/>
      <c r="J366" s="95"/>
    </row>
    <row r="367">
      <c r="A367" s="92"/>
      <c r="B367" s="92"/>
      <c r="C367" s="92"/>
      <c r="D367" s="92"/>
      <c r="E367" s="92"/>
      <c r="F367" s="92"/>
      <c r="G367" s="92"/>
      <c r="H367" s="92"/>
      <c r="I367" s="20"/>
      <c r="J367" s="95"/>
    </row>
    <row r="368">
      <c r="A368" s="92"/>
      <c r="B368" s="92"/>
      <c r="C368" s="92"/>
      <c r="D368" s="92"/>
      <c r="E368" s="92"/>
      <c r="F368" s="92"/>
      <c r="G368" s="92"/>
      <c r="H368" s="92"/>
      <c r="I368" s="20"/>
      <c r="J368" s="95"/>
    </row>
    <row r="369">
      <c r="A369" s="92"/>
      <c r="B369" s="92"/>
      <c r="C369" s="92"/>
      <c r="D369" s="92"/>
      <c r="E369" s="92"/>
      <c r="F369" s="92"/>
      <c r="G369" s="92"/>
      <c r="H369" s="92"/>
      <c r="I369" s="20"/>
      <c r="J369" s="95"/>
    </row>
    <row r="370">
      <c r="A370" s="92"/>
      <c r="B370" s="92"/>
      <c r="C370" s="92"/>
      <c r="D370" s="92"/>
      <c r="E370" s="92"/>
      <c r="F370" s="92"/>
      <c r="G370" s="92"/>
      <c r="H370" s="92"/>
      <c r="I370" s="20"/>
      <c r="J370" s="95"/>
    </row>
    <row r="371">
      <c r="A371" s="92"/>
      <c r="B371" s="92"/>
      <c r="C371" s="92"/>
      <c r="D371" s="92"/>
      <c r="E371" s="92"/>
      <c r="F371" s="92"/>
      <c r="G371" s="92"/>
      <c r="H371" s="92"/>
      <c r="I371" s="20"/>
      <c r="J371" s="95"/>
    </row>
    <row r="372">
      <c r="A372" s="92"/>
      <c r="B372" s="92"/>
      <c r="C372" s="92"/>
      <c r="D372" s="92"/>
      <c r="E372" s="92"/>
      <c r="F372" s="92"/>
      <c r="G372" s="92"/>
      <c r="H372" s="92"/>
      <c r="I372" s="20"/>
      <c r="J372" s="95"/>
    </row>
    <row r="373">
      <c r="A373" s="92"/>
      <c r="B373" s="92"/>
      <c r="C373" s="92"/>
      <c r="D373" s="92"/>
      <c r="E373" s="92"/>
      <c r="F373" s="92"/>
      <c r="G373" s="92"/>
      <c r="H373" s="92"/>
      <c r="I373" s="20"/>
      <c r="J373" s="95"/>
    </row>
    <row r="374">
      <c r="A374" s="92"/>
      <c r="B374" s="92"/>
      <c r="C374" s="92"/>
      <c r="D374" s="92"/>
      <c r="E374" s="92"/>
      <c r="F374" s="92"/>
      <c r="G374" s="92"/>
      <c r="H374" s="92"/>
      <c r="I374" s="20"/>
      <c r="J374" s="95"/>
    </row>
    <row r="375">
      <c r="A375" s="92"/>
      <c r="B375" s="92"/>
      <c r="C375" s="92"/>
      <c r="D375" s="92"/>
      <c r="E375" s="92"/>
      <c r="F375" s="92"/>
      <c r="G375" s="92"/>
      <c r="H375" s="92"/>
      <c r="I375" s="20"/>
      <c r="J375" s="95"/>
    </row>
    <row r="376">
      <c r="A376" s="92"/>
      <c r="B376" s="92"/>
      <c r="C376" s="92"/>
      <c r="D376" s="92"/>
      <c r="E376" s="92"/>
      <c r="F376" s="92"/>
      <c r="G376" s="92"/>
      <c r="H376" s="92"/>
      <c r="I376" s="20"/>
      <c r="J376" s="95"/>
    </row>
    <row r="377">
      <c r="A377" s="92"/>
      <c r="B377" s="92"/>
      <c r="C377" s="92"/>
      <c r="D377" s="92"/>
      <c r="E377" s="92"/>
      <c r="F377" s="92"/>
      <c r="G377" s="92"/>
      <c r="H377" s="92"/>
      <c r="I377" s="20"/>
      <c r="J377" s="95"/>
    </row>
    <row r="378">
      <c r="A378" s="92"/>
      <c r="B378" s="92"/>
      <c r="C378" s="92"/>
      <c r="D378" s="92"/>
      <c r="E378" s="92"/>
      <c r="F378" s="92"/>
      <c r="G378" s="92"/>
      <c r="H378" s="92"/>
      <c r="I378" s="20"/>
      <c r="J378" s="95"/>
    </row>
    <row r="379">
      <c r="A379" s="92"/>
      <c r="B379" s="92"/>
      <c r="C379" s="92"/>
      <c r="D379" s="92"/>
      <c r="E379" s="92"/>
      <c r="F379" s="92"/>
      <c r="G379" s="92"/>
      <c r="H379" s="92"/>
      <c r="I379" s="20"/>
      <c r="J379" s="95"/>
    </row>
    <row r="380">
      <c r="A380" s="92"/>
      <c r="B380" s="92"/>
      <c r="C380" s="92"/>
      <c r="D380" s="92"/>
      <c r="E380" s="92"/>
      <c r="F380" s="92"/>
      <c r="G380" s="92"/>
      <c r="H380" s="92"/>
      <c r="I380" s="20"/>
      <c r="J380" s="95"/>
    </row>
    <row r="381">
      <c r="A381" s="92"/>
      <c r="B381" s="92"/>
      <c r="C381" s="92"/>
      <c r="D381" s="92"/>
      <c r="E381" s="92"/>
      <c r="F381" s="92"/>
      <c r="G381" s="92"/>
      <c r="H381" s="92"/>
      <c r="I381" s="20"/>
      <c r="J381" s="95"/>
    </row>
    <row r="382">
      <c r="A382" s="92"/>
      <c r="B382" s="92"/>
      <c r="C382" s="92"/>
      <c r="D382" s="92"/>
      <c r="E382" s="92"/>
      <c r="F382" s="92"/>
      <c r="G382" s="92"/>
      <c r="H382" s="92"/>
      <c r="I382" s="20"/>
      <c r="J382" s="95"/>
    </row>
    <row r="383">
      <c r="A383" s="92"/>
      <c r="B383" s="92"/>
      <c r="C383" s="92"/>
      <c r="D383" s="92"/>
      <c r="E383" s="92"/>
      <c r="F383" s="92"/>
      <c r="G383" s="92"/>
      <c r="H383" s="92"/>
      <c r="I383" s="20"/>
      <c r="J383" s="95"/>
    </row>
    <row r="384">
      <c r="A384" s="92"/>
      <c r="B384" s="92"/>
      <c r="C384" s="92"/>
      <c r="D384" s="92"/>
      <c r="E384" s="92"/>
      <c r="F384" s="92"/>
      <c r="G384" s="92"/>
      <c r="H384" s="92"/>
      <c r="I384" s="20"/>
      <c r="J384" s="95"/>
    </row>
    <row r="385">
      <c r="A385" s="92"/>
      <c r="B385" s="92"/>
      <c r="C385" s="92"/>
      <c r="D385" s="92"/>
      <c r="E385" s="92"/>
      <c r="F385" s="92"/>
      <c r="G385" s="92"/>
      <c r="H385" s="92"/>
      <c r="I385" s="20"/>
      <c r="J385" s="95"/>
    </row>
    <row r="386">
      <c r="A386" s="92"/>
      <c r="B386" s="92"/>
      <c r="C386" s="92"/>
      <c r="D386" s="92"/>
      <c r="E386" s="92"/>
      <c r="F386" s="92"/>
      <c r="G386" s="92"/>
      <c r="H386" s="92"/>
      <c r="I386" s="20"/>
      <c r="J386" s="95"/>
    </row>
    <row r="387">
      <c r="A387" s="92"/>
      <c r="B387" s="92"/>
      <c r="C387" s="92"/>
      <c r="D387" s="92"/>
      <c r="E387" s="92"/>
      <c r="F387" s="92"/>
      <c r="G387" s="92"/>
      <c r="H387" s="92"/>
      <c r="I387" s="20"/>
      <c r="J387" s="95"/>
    </row>
    <row r="388">
      <c r="A388" s="92"/>
      <c r="B388" s="92"/>
      <c r="C388" s="92"/>
      <c r="D388" s="92"/>
      <c r="E388" s="92"/>
      <c r="F388" s="92"/>
      <c r="G388" s="92"/>
      <c r="H388" s="92"/>
      <c r="I388" s="20"/>
      <c r="J388" s="95"/>
    </row>
    <row r="389">
      <c r="A389" s="92"/>
      <c r="B389" s="92"/>
      <c r="C389" s="92"/>
      <c r="D389" s="92"/>
      <c r="E389" s="92"/>
      <c r="F389" s="92"/>
      <c r="G389" s="92"/>
      <c r="H389" s="92"/>
      <c r="I389" s="20"/>
      <c r="J389" s="95"/>
    </row>
    <row r="390">
      <c r="A390" s="92"/>
      <c r="B390" s="92"/>
      <c r="C390" s="92"/>
      <c r="D390" s="92"/>
      <c r="E390" s="92"/>
      <c r="F390" s="92"/>
      <c r="G390" s="92"/>
      <c r="H390" s="92"/>
      <c r="I390" s="20"/>
      <c r="J390" s="95"/>
    </row>
    <row r="391">
      <c r="A391" s="92"/>
      <c r="B391" s="92"/>
      <c r="C391" s="92"/>
      <c r="D391" s="92"/>
      <c r="E391" s="92"/>
      <c r="F391" s="92"/>
      <c r="G391" s="92"/>
      <c r="H391" s="92"/>
      <c r="I391" s="20"/>
      <c r="J391" s="95"/>
    </row>
    <row r="392">
      <c r="A392" s="92"/>
      <c r="B392" s="92"/>
      <c r="C392" s="92"/>
      <c r="D392" s="92"/>
      <c r="E392" s="92"/>
      <c r="F392" s="92"/>
      <c r="G392" s="92"/>
      <c r="H392" s="92"/>
      <c r="I392" s="20"/>
      <c r="J392" s="95"/>
    </row>
    <row r="393">
      <c r="A393" s="92"/>
      <c r="B393" s="92"/>
      <c r="C393" s="92"/>
      <c r="D393" s="92"/>
      <c r="E393" s="92"/>
      <c r="F393" s="92"/>
      <c r="G393" s="92"/>
      <c r="H393" s="92"/>
      <c r="I393" s="20"/>
      <c r="J393" s="95"/>
    </row>
    <row r="394">
      <c r="A394" s="92"/>
      <c r="B394" s="92"/>
      <c r="C394" s="92"/>
      <c r="D394" s="92"/>
      <c r="E394" s="92"/>
      <c r="F394" s="92"/>
      <c r="G394" s="92"/>
      <c r="H394" s="92"/>
      <c r="I394" s="20"/>
      <c r="J394" s="95"/>
    </row>
    <row r="395">
      <c r="A395" s="92"/>
      <c r="B395" s="92"/>
      <c r="C395" s="92"/>
      <c r="D395" s="92"/>
      <c r="E395" s="92"/>
      <c r="F395" s="92"/>
      <c r="G395" s="92"/>
      <c r="H395" s="92"/>
      <c r="I395" s="20"/>
      <c r="J395" s="95"/>
    </row>
    <row r="396">
      <c r="A396" s="92"/>
      <c r="B396" s="92"/>
      <c r="C396" s="92"/>
      <c r="D396" s="92"/>
      <c r="E396" s="92"/>
      <c r="F396" s="92"/>
      <c r="G396" s="92"/>
      <c r="H396" s="92"/>
      <c r="I396" s="20"/>
      <c r="J396" s="95"/>
    </row>
    <row r="397">
      <c r="A397" s="92"/>
      <c r="B397" s="92"/>
      <c r="C397" s="92"/>
      <c r="D397" s="92"/>
      <c r="E397" s="92"/>
      <c r="F397" s="92"/>
      <c r="G397" s="92"/>
      <c r="H397" s="92"/>
      <c r="I397" s="20"/>
      <c r="J397" s="95"/>
    </row>
    <row r="398">
      <c r="A398" s="92"/>
      <c r="B398" s="92"/>
      <c r="C398" s="92"/>
      <c r="D398" s="92"/>
      <c r="E398" s="92"/>
      <c r="F398" s="92"/>
      <c r="G398" s="92"/>
      <c r="H398" s="92"/>
      <c r="I398" s="20"/>
      <c r="J398" s="95"/>
    </row>
    <row r="399">
      <c r="A399" s="92"/>
      <c r="B399" s="92"/>
      <c r="C399" s="92"/>
      <c r="D399" s="92"/>
      <c r="E399" s="92"/>
      <c r="F399" s="92"/>
      <c r="G399" s="92"/>
      <c r="H399" s="92"/>
      <c r="I399" s="20"/>
      <c r="J399" s="95"/>
    </row>
    <row r="400">
      <c r="A400" s="92"/>
      <c r="B400" s="92"/>
      <c r="C400" s="92"/>
      <c r="D400" s="92"/>
      <c r="E400" s="92"/>
      <c r="F400" s="92"/>
      <c r="G400" s="92"/>
      <c r="H400" s="92"/>
      <c r="I400" s="20"/>
      <c r="J400" s="95"/>
    </row>
    <row r="401">
      <c r="A401" s="92"/>
      <c r="B401" s="92"/>
      <c r="C401" s="92"/>
      <c r="D401" s="92"/>
      <c r="E401" s="92"/>
      <c r="F401" s="92"/>
      <c r="G401" s="92"/>
      <c r="H401" s="92"/>
      <c r="I401" s="20"/>
      <c r="J401" s="95"/>
    </row>
    <row r="402">
      <c r="A402" s="92"/>
      <c r="B402" s="92"/>
      <c r="C402" s="92"/>
      <c r="D402" s="92"/>
      <c r="E402" s="92"/>
      <c r="F402" s="92"/>
      <c r="G402" s="92"/>
      <c r="H402" s="92"/>
      <c r="I402" s="20"/>
      <c r="J402" s="95"/>
    </row>
    <row r="403">
      <c r="A403" s="92"/>
      <c r="B403" s="92"/>
      <c r="C403" s="92"/>
      <c r="D403" s="92"/>
      <c r="E403" s="92"/>
      <c r="F403" s="92"/>
      <c r="G403" s="92"/>
      <c r="H403" s="92"/>
      <c r="I403" s="20"/>
      <c r="J403" s="95"/>
    </row>
    <row r="404">
      <c r="A404" s="92"/>
      <c r="B404" s="92"/>
      <c r="C404" s="92"/>
      <c r="D404" s="92"/>
      <c r="E404" s="92"/>
      <c r="F404" s="92"/>
      <c r="G404" s="92"/>
      <c r="H404" s="92"/>
      <c r="I404" s="20"/>
      <c r="J404" s="95"/>
    </row>
    <row r="405">
      <c r="A405" s="92"/>
      <c r="B405" s="92"/>
      <c r="C405" s="92"/>
      <c r="D405" s="92"/>
      <c r="E405" s="92"/>
      <c r="F405" s="92"/>
      <c r="G405" s="92"/>
      <c r="H405" s="92"/>
      <c r="I405" s="20"/>
      <c r="J405" s="95"/>
    </row>
    <row r="406">
      <c r="A406" s="92"/>
      <c r="B406" s="92"/>
      <c r="C406" s="92"/>
      <c r="D406" s="92"/>
      <c r="E406" s="92"/>
      <c r="F406" s="92"/>
      <c r="G406" s="92"/>
      <c r="H406" s="92"/>
      <c r="I406" s="20"/>
      <c r="J406" s="95"/>
    </row>
    <row r="407">
      <c r="A407" s="92"/>
      <c r="B407" s="92"/>
      <c r="C407" s="92"/>
      <c r="D407" s="92"/>
      <c r="E407" s="92"/>
      <c r="F407" s="92"/>
      <c r="G407" s="92"/>
      <c r="H407" s="92"/>
      <c r="I407" s="20"/>
      <c r="J407" s="95"/>
    </row>
    <row r="408">
      <c r="A408" s="92"/>
      <c r="B408" s="92"/>
      <c r="C408" s="92"/>
      <c r="D408" s="92"/>
      <c r="E408" s="92"/>
      <c r="F408" s="92"/>
      <c r="G408" s="92"/>
      <c r="H408" s="92"/>
      <c r="I408" s="20"/>
      <c r="J408" s="95"/>
    </row>
    <row r="409">
      <c r="A409" s="92"/>
      <c r="B409" s="92"/>
      <c r="C409" s="92"/>
      <c r="D409" s="92"/>
      <c r="E409" s="92"/>
      <c r="F409" s="92"/>
      <c r="G409" s="92"/>
      <c r="H409" s="92"/>
      <c r="I409" s="20"/>
      <c r="J409" s="95"/>
    </row>
    <row r="410">
      <c r="A410" s="92"/>
      <c r="B410" s="92"/>
      <c r="C410" s="92"/>
      <c r="D410" s="92"/>
      <c r="E410" s="92"/>
      <c r="F410" s="92"/>
      <c r="G410" s="92"/>
      <c r="H410" s="92"/>
      <c r="I410" s="20"/>
      <c r="J410" s="95"/>
    </row>
    <row r="411">
      <c r="A411" s="92"/>
      <c r="B411" s="92"/>
      <c r="C411" s="92"/>
      <c r="D411" s="92"/>
      <c r="E411" s="92"/>
      <c r="F411" s="92"/>
      <c r="G411" s="92"/>
      <c r="H411" s="92"/>
      <c r="I411" s="20"/>
      <c r="J411" s="95"/>
    </row>
    <row r="412">
      <c r="A412" s="92"/>
      <c r="B412" s="92"/>
      <c r="C412" s="92"/>
      <c r="D412" s="92"/>
      <c r="E412" s="92"/>
      <c r="F412" s="92"/>
      <c r="G412" s="92"/>
      <c r="H412" s="92"/>
      <c r="I412" s="20"/>
      <c r="J412" s="95"/>
    </row>
    <row r="413">
      <c r="A413" s="92"/>
      <c r="B413" s="92"/>
      <c r="C413" s="92"/>
      <c r="D413" s="92"/>
      <c r="E413" s="92"/>
      <c r="F413" s="92"/>
      <c r="G413" s="92"/>
      <c r="H413" s="92"/>
      <c r="I413" s="20"/>
      <c r="J413" s="95"/>
    </row>
    <row r="414">
      <c r="A414" s="92"/>
      <c r="B414" s="92"/>
      <c r="C414" s="92"/>
      <c r="D414" s="92"/>
      <c r="E414" s="92"/>
      <c r="F414" s="92"/>
      <c r="G414" s="92"/>
      <c r="H414" s="92"/>
      <c r="I414" s="20"/>
      <c r="J414" s="95"/>
    </row>
    <row r="415">
      <c r="A415" s="92"/>
      <c r="B415" s="92"/>
      <c r="C415" s="92"/>
      <c r="D415" s="92"/>
      <c r="E415" s="92"/>
      <c r="F415" s="92"/>
      <c r="G415" s="92"/>
      <c r="H415" s="92"/>
      <c r="I415" s="20"/>
      <c r="J415" s="95"/>
    </row>
    <row r="416">
      <c r="A416" s="92"/>
      <c r="B416" s="92"/>
      <c r="C416" s="92"/>
      <c r="D416" s="92"/>
      <c r="E416" s="92"/>
      <c r="F416" s="92"/>
      <c r="G416" s="92"/>
      <c r="H416" s="92"/>
      <c r="I416" s="20"/>
      <c r="J416" s="95"/>
    </row>
    <row r="417">
      <c r="A417" s="92"/>
      <c r="B417" s="92"/>
      <c r="C417" s="92"/>
      <c r="D417" s="92"/>
      <c r="E417" s="92"/>
      <c r="F417" s="92"/>
      <c r="G417" s="92"/>
      <c r="H417" s="92"/>
      <c r="I417" s="20"/>
      <c r="J417" s="95"/>
    </row>
    <row r="418">
      <c r="A418" s="92"/>
      <c r="B418" s="92"/>
      <c r="C418" s="92"/>
      <c r="D418" s="92"/>
      <c r="E418" s="92"/>
      <c r="F418" s="92"/>
      <c r="G418" s="92"/>
      <c r="H418" s="92"/>
      <c r="I418" s="20"/>
      <c r="J418" s="95"/>
    </row>
    <row r="419">
      <c r="A419" s="92"/>
      <c r="B419" s="92"/>
      <c r="C419" s="92"/>
      <c r="D419" s="92"/>
      <c r="E419" s="92"/>
      <c r="F419" s="92"/>
      <c r="G419" s="92"/>
      <c r="H419" s="92"/>
      <c r="I419" s="20"/>
      <c r="J419" s="95"/>
    </row>
    <row r="420">
      <c r="A420" s="92"/>
      <c r="B420" s="92"/>
      <c r="C420" s="92"/>
      <c r="D420" s="92"/>
      <c r="E420" s="92"/>
      <c r="F420" s="92"/>
      <c r="G420" s="92"/>
      <c r="H420" s="92"/>
      <c r="I420" s="20"/>
      <c r="J420" s="95"/>
    </row>
    <row r="421">
      <c r="A421" s="92"/>
      <c r="B421" s="92"/>
      <c r="C421" s="92"/>
      <c r="D421" s="92"/>
      <c r="E421" s="92"/>
      <c r="F421" s="92"/>
      <c r="G421" s="92"/>
      <c r="H421" s="92"/>
      <c r="I421" s="20"/>
      <c r="J421" s="95"/>
    </row>
    <row r="422">
      <c r="A422" s="92"/>
      <c r="B422" s="92"/>
      <c r="C422" s="92"/>
      <c r="D422" s="92"/>
      <c r="E422" s="92"/>
      <c r="F422" s="92"/>
      <c r="G422" s="92"/>
      <c r="H422" s="92"/>
      <c r="I422" s="20"/>
      <c r="J422" s="95"/>
    </row>
    <row r="423">
      <c r="A423" s="92"/>
      <c r="B423" s="92"/>
      <c r="C423" s="92"/>
      <c r="D423" s="92"/>
      <c r="E423" s="92"/>
      <c r="F423" s="92"/>
      <c r="G423" s="92"/>
      <c r="H423" s="92"/>
      <c r="I423" s="20"/>
      <c r="J423" s="95"/>
    </row>
    <row r="424">
      <c r="A424" s="92"/>
      <c r="B424" s="92"/>
      <c r="C424" s="92"/>
      <c r="D424" s="92"/>
      <c r="E424" s="92"/>
      <c r="F424" s="92"/>
      <c r="G424" s="92"/>
      <c r="H424" s="92"/>
      <c r="I424" s="20"/>
      <c r="J424" s="95"/>
    </row>
    <row r="425">
      <c r="A425" s="92"/>
      <c r="B425" s="92"/>
      <c r="C425" s="92"/>
      <c r="D425" s="92"/>
      <c r="E425" s="92"/>
      <c r="F425" s="92"/>
      <c r="G425" s="92"/>
      <c r="H425" s="92"/>
      <c r="I425" s="20"/>
      <c r="J425" s="95"/>
    </row>
    <row r="426">
      <c r="A426" s="92"/>
      <c r="B426" s="92"/>
      <c r="C426" s="92"/>
      <c r="D426" s="92"/>
      <c r="E426" s="92"/>
      <c r="F426" s="92"/>
      <c r="G426" s="92"/>
      <c r="H426" s="92"/>
      <c r="I426" s="20"/>
      <c r="J426" s="95"/>
    </row>
    <row r="427">
      <c r="A427" s="92"/>
      <c r="B427" s="92"/>
      <c r="C427" s="92"/>
      <c r="D427" s="92"/>
      <c r="E427" s="92"/>
      <c r="F427" s="92"/>
      <c r="G427" s="92"/>
      <c r="H427" s="92"/>
      <c r="I427" s="20"/>
      <c r="J427" s="95"/>
    </row>
    <row r="428">
      <c r="A428" s="92"/>
      <c r="B428" s="92"/>
      <c r="C428" s="92"/>
      <c r="D428" s="92"/>
      <c r="E428" s="92"/>
      <c r="F428" s="92"/>
      <c r="G428" s="92"/>
      <c r="H428" s="92"/>
      <c r="I428" s="20"/>
      <c r="J428" s="95"/>
    </row>
    <row r="429">
      <c r="A429" s="92"/>
      <c r="B429" s="92"/>
      <c r="C429" s="92"/>
      <c r="D429" s="92"/>
      <c r="E429" s="92"/>
      <c r="F429" s="92"/>
      <c r="G429" s="92"/>
      <c r="H429" s="92"/>
      <c r="I429" s="20"/>
      <c r="J429" s="95"/>
    </row>
    <row r="430">
      <c r="A430" s="92"/>
      <c r="B430" s="92"/>
      <c r="C430" s="92"/>
      <c r="D430" s="92"/>
      <c r="E430" s="92"/>
      <c r="F430" s="92"/>
      <c r="G430" s="92"/>
      <c r="H430" s="92"/>
      <c r="I430" s="20"/>
      <c r="J430" s="95"/>
    </row>
    <row r="431">
      <c r="A431" s="92"/>
      <c r="B431" s="92"/>
      <c r="C431" s="92"/>
      <c r="D431" s="92"/>
      <c r="E431" s="92"/>
      <c r="F431" s="92"/>
      <c r="G431" s="92"/>
      <c r="H431" s="92"/>
      <c r="I431" s="20"/>
      <c r="J431" s="95"/>
    </row>
    <row r="432">
      <c r="A432" s="92"/>
      <c r="B432" s="92"/>
      <c r="C432" s="92"/>
      <c r="D432" s="92"/>
      <c r="E432" s="92"/>
      <c r="F432" s="92"/>
      <c r="G432" s="92"/>
      <c r="H432" s="92"/>
      <c r="I432" s="20"/>
      <c r="J432" s="95"/>
    </row>
    <row r="433">
      <c r="A433" s="92"/>
      <c r="B433" s="92"/>
      <c r="C433" s="92"/>
      <c r="D433" s="92"/>
      <c r="E433" s="92"/>
      <c r="F433" s="92"/>
      <c r="G433" s="92"/>
      <c r="H433" s="92"/>
      <c r="I433" s="20"/>
      <c r="J433" s="95"/>
    </row>
    <row r="434">
      <c r="A434" s="92"/>
      <c r="B434" s="92"/>
      <c r="C434" s="92"/>
      <c r="D434" s="92"/>
      <c r="E434" s="92"/>
      <c r="F434" s="92"/>
      <c r="G434" s="92"/>
      <c r="H434" s="92"/>
      <c r="I434" s="20"/>
      <c r="J434" s="95"/>
    </row>
    <row r="435">
      <c r="A435" s="92"/>
      <c r="B435" s="92"/>
      <c r="C435" s="92"/>
      <c r="D435" s="92"/>
      <c r="E435" s="92"/>
      <c r="F435" s="92"/>
      <c r="G435" s="92"/>
      <c r="H435" s="92"/>
      <c r="I435" s="20"/>
      <c r="J435" s="95"/>
    </row>
    <row r="436">
      <c r="A436" s="92"/>
      <c r="B436" s="92"/>
      <c r="C436" s="92"/>
      <c r="D436" s="92"/>
      <c r="E436" s="92"/>
      <c r="F436" s="92"/>
      <c r="G436" s="92"/>
      <c r="H436" s="92"/>
      <c r="I436" s="20"/>
      <c r="J436" s="95"/>
    </row>
    <row r="437">
      <c r="A437" s="92"/>
      <c r="B437" s="92"/>
      <c r="C437" s="92"/>
      <c r="D437" s="92"/>
      <c r="E437" s="92"/>
      <c r="F437" s="92"/>
      <c r="G437" s="92"/>
      <c r="H437" s="92"/>
      <c r="I437" s="20"/>
      <c r="J437" s="95"/>
    </row>
    <row r="438">
      <c r="A438" s="92"/>
      <c r="B438" s="92"/>
      <c r="C438" s="92"/>
      <c r="D438" s="92"/>
      <c r="E438" s="92"/>
      <c r="F438" s="92"/>
      <c r="G438" s="92"/>
      <c r="H438" s="92"/>
      <c r="I438" s="20"/>
      <c r="J438" s="95"/>
    </row>
    <row r="439">
      <c r="A439" s="92"/>
      <c r="B439" s="92"/>
      <c r="C439" s="92"/>
      <c r="D439" s="92"/>
      <c r="E439" s="92"/>
      <c r="F439" s="92"/>
      <c r="G439" s="92"/>
      <c r="H439" s="92"/>
      <c r="I439" s="20"/>
      <c r="J439" s="95"/>
    </row>
    <row r="440">
      <c r="A440" s="92"/>
      <c r="B440" s="92"/>
      <c r="C440" s="92"/>
      <c r="D440" s="92"/>
      <c r="E440" s="92"/>
      <c r="F440" s="92"/>
      <c r="G440" s="92"/>
      <c r="H440" s="92"/>
      <c r="I440" s="20"/>
      <c r="J440" s="95"/>
    </row>
    <row r="441">
      <c r="A441" s="92"/>
      <c r="B441" s="92"/>
      <c r="C441" s="92"/>
      <c r="D441" s="92"/>
      <c r="E441" s="92"/>
      <c r="F441" s="92"/>
      <c r="G441" s="92"/>
      <c r="H441" s="92"/>
      <c r="I441" s="20"/>
      <c r="J441" s="95"/>
    </row>
    <row r="442">
      <c r="A442" s="92"/>
      <c r="B442" s="92"/>
      <c r="C442" s="92"/>
      <c r="D442" s="92"/>
      <c r="E442" s="92"/>
      <c r="F442" s="92"/>
      <c r="G442" s="92"/>
      <c r="H442" s="92"/>
      <c r="I442" s="20"/>
      <c r="J442" s="95"/>
    </row>
    <row r="443">
      <c r="A443" s="92"/>
      <c r="B443" s="92"/>
      <c r="C443" s="92"/>
      <c r="D443" s="92"/>
      <c r="E443" s="92"/>
      <c r="F443" s="92"/>
      <c r="G443" s="92"/>
      <c r="H443" s="92"/>
      <c r="I443" s="20"/>
      <c r="J443" s="95"/>
    </row>
    <row r="444">
      <c r="A444" s="92"/>
      <c r="B444" s="92"/>
      <c r="C444" s="92"/>
      <c r="D444" s="92"/>
      <c r="E444" s="92"/>
      <c r="F444" s="92"/>
      <c r="G444" s="92"/>
      <c r="H444" s="92"/>
      <c r="I444" s="20"/>
      <c r="J444" s="95"/>
    </row>
    <row r="445">
      <c r="A445" s="92"/>
      <c r="B445" s="92"/>
      <c r="C445" s="92"/>
      <c r="D445" s="92"/>
      <c r="E445" s="92"/>
      <c r="F445" s="92"/>
      <c r="G445" s="92"/>
      <c r="H445" s="92"/>
      <c r="I445" s="20"/>
      <c r="J445" s="95"/>
    </row>
    <row r="446">
      <c r="A446" s="92"/>
      <c r="B446" s="92"/>
      <c r="C446" s="92"/>
      <c r="D446" s="92"/>
      <c r="E446" s="92"/>
      <c r="F446" s="92"/>
      <c r="G446" s="92"/>
      <c r="H446" s="92"/>
      <c r="I446" s="20"/>
      <c r="J446" s="95"/>
    </row>
    <row r="447">
      <c r="A447" s="92"/>
      <c r="B447" s="92"/>
      <c r="C447" s="92"/>
      <c r="D447" s="92"/>
      <c r="E447" s="92"/>
      <c r="F447" s="92"/>
      <c r="G447" s="92"/>
      <c r="H447" s="92"/>
      <c r="I447" s="20"/>
      <c r="J447" s="95"/>
    </row>
    <row r="448">
      <c r="A448" s="92"/>
      <c r="B448" s="92"/>
      <c r="C448" s="92"/>
      <c r="D448" s="92"/>
      <c r="E448" s="92"/>
      <c r="F448" s="92"/>
      <c r="G448" s="92"/>
      <c r="H448" s="92"/>
      <c r="I448" s="20"/>
      <c r="J448" s="95"/>
    </row>
    <row r="449">
      <c r="A449" s="92"/>
      <c r="B449" s="92"/>
      <c r="C449" s="92"/>
      <c r="D449" s="92"/>
      <c r="E449" s="92"/>
      <c r="F449" s="92"/>
      <c r="G449" s="92"/>
      <c r="H449" s="92"/>
      <c r="I449" s="20"/>
      <c r="J449" s="95"/>
    </row>
    <row r="450">
      <c r="A450" s="92"/>
      <c r="B450" s="92"/>
      <c r="C450" s="92"/>
      <c r="D450" s="92"/>
      <c r="E450" s="92"/>
      <c r="F450" s="92"/>
      <c r="G450" s="92"/>
      <c r="H450" s="92"/>
      <c r="I450" s="20"/>
      <c r="J450" s="95"/>
    </row>
    <row r="451">
      <c r="A451" s="92"/>
      <c r="B451" s="92"/>
      <c r="C451" s="92"/>
      <c r="D451" s="92"/>
      <c r="E451" s="92"/>
      <c r="F451" s="92"/>
      <c r="G451" s="92"/>
      <c r="H451" s="92"/>
      <c r="I451" s="20"/>
      <c r="J451" s="95"/>
    </row>
    <row r="452">
      <c r="A452" s="92"/>
      <c r="B452" s="92"/>
      <c r="C452" s="92"/>
      <c r="D452" s="92"/>
      <c r="E452" s="92"/>
      <c r="F452" s="92"/>
      <c r="G452" s="92"/>
      <c r="H452" s="92"/>
      <c r="I452" s="20"/>
      <c r="J452" s="95"/>
    </row>
    <row r="453">
      <c r="A453" s="92"/>
      <c r="B453" s="92"/>
      <c r="C453" s="92"/>
      <c r="D453" s="92"/>
      <c r="E453" s="92"/>
      <c r="F453" s="92"/>
      <c r="G453" s="92"/>
      <c r="H453" s="92"/>
      <c r="I453" s="20"/>
      <c r="J453" s="95"/>
    </row>
    <row r="454">
      <c r="A454" s="92"/>
      <c r="B454" s="92"/>
      <c r="C454" s="92"/>
      <c r="D454" s="92"/>
      <c r="E454" s="92"/>
      <c r="F454" s="92"/>
      <c r="G454" s="92"/>
      <c r="H454" s="92"/>
      <c r="I454" s="20"/>
      <c r="J454" s="95"/>
    </row>
    <row r="455">
      <c r="A455" s="92"/>
      <c r="B455" s="92"/>
      <c r="C455" s="92"/>
      <c r="D455" s="92"/>
      <c r="E455" s="92"/>
      <c r="F455" s="92"/>
      <c r="G455" s="92"/>
      <c r="H455" s="92"/>
      <c r="I455" s="20"/>
      <c r="J455" s="95"/>
    </row>
    <row r="456">
      <c r="A456" s="92"/>
      <c r="B456" s="92"/>
      <c r="C456" s="92"/>
      <c r="D456" s="92"/>
      <c r="E456" s="92"/>
      <c r="F456" s="92"/>
      <c r="G456" s="92"/>
      <c r="H456" s="92"/>
      <c r="I456" s="20"/>
      <c r="J456" s="95"/>
    </row>
    <row r="457">
      <c r="A457" s="92"/>
      <c r="B457" s="92"/>
      <c r="C457" s="92"/>
      <c r="D457" s="92"/>
      <c r="E457" s="92"/>
      <c r="F457" s="92"/>
      <c r="G457" s="92"/>
      <c r="H457" s="92"/>
      <c r="I457" s="20"/>
      <c r="J457" s="95"/>
    </row>
    <row r="458">
      <c r="A458" s="92"/>
      <c r="B458" s="92"/>
      <c r="C458" s="92"/>
      <c r="D458" s="92"/>
      <c r="E458" s="92"/>
      <c r="F458" s="92"/>
      <c r="G458" s="92"/>
      <c r="H458" s="92"/>
      <c r="I458" s="20"/>
      <c r="J458" s="95"/>
    </row>
    <row r="459">
      <c r="A459" s="92"/>
      <c r="B459" s="92"/>
      <c r="C459" s="92"/>
      <c r="D459" s="92"/>
      <c r="E459" s="92"/>
      <c r="F459" s="92"/>
      <c r="G459" s="92"/>
      <c r="H459" s="92"/>
      <c r="I459" s="20"/>
      <c r="J459" s="95"/>
    </row>
    <row r="460">
      <c r="A460" s="92"/>
      <c r="B460" s="92"/>
      <c r="C460" s="92"/>
      <c r="D460" s="92"/>
      <c r="E460" s="92"/>
      <c r="F460" s="92"/>
      <c r="G460" s="92"/>
      <c r="H460" s="92"/>
      <c r="I460" s="20"/>
      <c r="J460" s="95"/>
    </row>
    <row r="461">
      <c r="A461" s="92"/>
      <c r="B461" s="92"/>
      <c r="C461" s="92"/>
      <c r="D461" s="92"/>
      <c r="E461" s="92"/>
      <c r="F461" s="92"/>
      <c r="G461" s="92"/>
      <c r="H461" s="92"/>
      <c r="I461" s="20"/>
      <c r="J461" s="95"/>
    </row>
    <row r="462">
      <c r="A462" s="92"/>
      <c r="B462" s="92"/>
      <c r="C462" s="92"/>
      <c r="D462" s="92"/>
      <c r="E462" s="92"/>
      <c r="F462" s="92"/>
      <c r="G462" s="92"/>
      <c r="H462" s="92"/>
      <c r="I462" s="20"/>
      <c r="J462" s="95"/>
    </row>
    <row r="463">
      <c r="A463" s="92"/>
      <c r="B463" s="92"/>
      <c r="C463" s="92"/>
      <c r="D463" s="92"/>
      <c r="E463" s="92"/>
      <c r="F463" s="92"/>
      <c r="G463" s="92"/>
      <c r="H463" s="92"/>
      <c r="I463" s="20"/>
      <c r="J463" s="95"/>
    </row>
    <row r="464">
      <c r="A464" s="92"/>
      <c r="B464" s="92"/>
      <c r="C464" s="92"/>
      <c r="D464" s="92"/>
      <c r="E464" s="92"/>
      <c r="F464" s="92"/>
      <c r="G464" s="92"/>
      <c r="H464" s="92"/>
      <c r="I464" s="20"/>
      <c r="J464" s="95"/>
    </row>
    <row r="465">
      <c r="A465" s="92"/>
      <c r="B465" s="92"/>
      <c r="C465" s="92"/>
      <c r="D465" s="92"/>
      <c r="E465" s="92"/>
      <c r="F465" s="92"/>
      <c r="G465" s="92"/>
      <c r="H465" s="92"/>
      <c r="I465" s="20"/>
      <c r="J465" s="95"/>
    </row>
    <row r="466">
      <c r="A466" s="92"/>
      <c r="B466" s="92"/>
      <c r="C466" s="92"/>
      <c r="D466" s="92"/>
      <c r="E466" s="92"/>
      <c r="F466" s="92"/>
      <c r="G466" s="92"/>
      <c r="H466" s="92"/>
      <c r="I466" s="20"/>
      <c r="J466" s="95"/>
    </row>
    <row r="467">
      <c r="A467" s="92"/>
      <c r="B467" s="92"/>
      <c r="C467" s="92"/>
      <c r="D467" s="92"/>
      <c r="E467" s="92"/>
      <c r="F467" s="92"/>
      <c r="G467" s="92"/>
      <c r="H467" s="92"/>
      <c r="I467" s="20"/>
      <c r="J467" s="95"/>
    </row>
    <row r="468">
      <c r="A468" s="92"/>
      <c r="B468" s="92"/>
      <c r="C468" s="92"/>
      <c r="D468" s="92"/>
      <c r="E468" s="92"/>
      <c r="F468" s="92"/>
      <c r="G468" s="92"/>
      <c r="H468" s="92"/>
      <c r="I468" s="20"/>
      <c r="J468" s="95"/>
    </row>
    <row r="469">
      <c r="A469" s="92"/>
      <c r="B469" s="92"/>
      <c r="C469" s="92"/>
      <c r="D469" s="92"/>
      <c r="E469" s="92"/>
      <c r="F469" s="92"/>
      <c r="G469" s="92"/>
      <c r="H469" s="92"/>
      <c r="I469" s="20"/>
      <c r="J469" s="95"/>
    </row>
    <row r="470">
      <c r="A470" s="92"/>
      <c r="B470" s="92"/>
      <c r="C470" s="92"/>
      <c r="D470" s="92"/>
      <c r="E470" s="92"/>
      <c r="F470" s="92"/>
      <c r="G470" s="92"/>
      <c r="H470" s="92"/>
      <c r="I470" s="20"/>
      <c r="J470" s="95"/>
    </row>
    <row r="471">
      <c r="A471" s="92"/>
      <c r="B471" s="92"/>
      <c r="C471" s="92"/>
      <c r="D471" s="92"/>
      <c r="E471" s="92"/>
      <c r="F471" s="92"/>
      <c r="G471" s="92"/>
      <c r="H471" s="92"/>
      <c r="I471" s="20"/>
      <c r="J471" s="95"/>
    </row>
    <row r="472">
      <c r="A472" s="92"/>
      <c r="B472" s="92"/>
      <c r="C472" s="92"/>
      <c r="D472" s="92"/>
      <c r="E472" s="92"/>
      <c r="F472" s="92"/>
      <c r="G472" s="92"/>
      <c r="H472" s="92"/>
      <c r="I472" s="20"/>
      <c r="J472" s="95"/>
    </row>
    <row r="473">
      <c r="A473" s="92"/>
      <c r="B473" s="92"/>
      <c r="C473" s="92"/>
      <c r="D473" s="92"/>
      <c r="E473" s="92"/>
      <c r="F473" s="92"/>
      <c r="G473" s="92"/>
      <c r="H473" s="92"/>
      <c r="I473" s="20"/>
      <c r="J473" s="95"/>
    </row>
    <row r="474">
      <c r="A474" s="92"/>
      <c r="B474" s="92"/>
      <c r="C474" s="92"/>
      <c r="D474" s="92"/>
      <c r="E474" s="92"/>
      <c r="F474" s="92"/>
      <c r="G474" s="92"/>
      <c r="H474" s="92"/>
      <c r="I474" s="20"/>
      <c r="J474" s="95"/>
    </row>
    <row r="475">
      <c r="A475" s="92"/>
      <c r="B475" s="92"/>
      <c r="C475" s="92"/>
      <c r="D475" s="92"/>
      <c r="E475" s="92"/>
      <c r="F475" s="92"/>
      <c r="G475" s="92"/>
      <c r="H475" s="92"/>
      <c r="I475" s="20"/>
      <c r="J475" s="95"/>
    </row>
    <row r="476">
      <c r="A476" s="92"/>
      <c r="B476" s="92"/>
      <c r="C476" s="92"/>
      <c r="D476" s="92"/>
      <c r="E476" s="92"/>
      <c r="F476" s="92"/>
      <c r="G476" s="92"/>
      <c r="H476" s="92"/>
      <c r="I476" s="20"/>
      <c r="J476" s="95"/>
    </row>
    <row r="477">
      <c r="A477" s="92"/>
      <c r="B477" s="92"/>
      <c r="C477" s="92"/>
      <c r="D477" s="92"/>
      <c r="E477" s="92"/>
      <c r="F477" s="92"/>
      <c r="G477" s="92"/>
      <c r="H477" s="92"/>
      <c r="I477" s="20"/>
      <c r="J477" s="95"/>
    </row>
    <row r="478">
      <c r="A478" s="92"/>
      <c r="B478" s="92"/>
      <c r="C478" s="92"/>
      <c r="D478" s="92"/>
      <c r="E478" s="92"/>
      <c r="F478" s="92"/>
      <c r="G478" s="92"/>
      <c r="H478" s="92"/>
      <c r="I478" s="20"/>
      <c r="J478" s="95"/>
    </row>
    <row r="479">
      <c r="A479" s="92"/>
      <c r="B479" s="92"/>
      <c r="C479" s="92"/>
      <c r="D479" s="92"/>
      <c r="E479" s="92"/>
      <c r="F479" s="92"/>
      <c r="G479" s="92"/>
      <c r="H479" s="92"/>
      <c r="I479" s="20"/>
      <c r="J479" s="95"/>
    </row>
    <row r="480">
      <c r="A480" s="92"/>
      <c r="B480" s="92"/>
      <c r="C480" s="92"/>
      <c r="D480" s="92"/>
      <c r="E480" s="92"/>
      <c r="F480" s="92"/>
      <c r="G480" s="92"/>
      <c r="H480" s="92"/>
      <c r="I480" s="20"/>
      <c r="J480" s="95"/>
    </row>
    <row r="481">
      <c r="A481" s="92"/>
      <c r="B481" s="92"/>
      <c r="C481" s="92"/>
      <c r="D481" s="92"/>
      <c r="E481" s="92"/>
      <c r="F481" s="92"/>
      <c r="G481" s="92"/>
      <c r="H481" s="92"/>
      <c r="I481" s="20"/>
      <c r="J481" s="95"/>
    </row>
    <row r="482">
      <c r="A482" s="92"/>
      <c r="B482" s="92"/>
      <c r="C482" s="92"/>
      <c r="D482" s="92"/>
      <c r="E482" s="92"/>
      <c r="F482" s="92"/>
      <c r="G482" s="92"/>
      <c r="H482" s="92"/>
      <c r="I482" s="20"/>
      <c r="J482" s="95"/>
    </row>
    <row r="483">
      <c r="A483" s="92"/>
      <c r="B483" s="92"/>
      <c r="C483" s="92"/>
      <c r="D483" s="92"/>
      <c r="E483" s="92"/>
      <c r="F483" s="92"/>
      <c r="G483" s="92"/>
      <c r="H483" s="92"/>
      <c r="I483" s="20"/>
      <c r="J483" s="95"/>
    </row>
    <row r="484">
      <c r="A484" s="92"/>
      <c r="B484" s="92"/>
      <c r="C484" s="92"/>
      <c r="D484" s="92"/>
      <c r="E484" s="92"/>
      <c r="F484" s="92"/>
      <c r="G484" s="92"/>
      <c r="H484" s="92"/>
      <c r="I484" s="20"/>
      <c r="J484" s="95"/>
    </row>
    <row r="485">
      <c r="A485" s="92"/>
      <c r="B485" s="92"/>
      <c r="C485" s="92"/>
      <c r="D485" s="92"/>
      <c r="E485" s="92"/>
      <c r="F485" s="92"/>
      <c r="G485" s="92"/>
      <c r="H485" s="92"/>
      <c r="I485" s="20"/>
      <c r="J485" s="95"/>
    </row>
    <row r="486">
      <c r="A486" s="92"/>
      <c r="B486" s="92"/>
      <c r="C486" s="92"/>
      <c r="D486" s="92"/>
      <c r="E486" s="92"/>
      <c r="F486" s="92"/>
      <c r="G486" s="92"/>
      <c r="H486" s="92"/>
      <c r="I486" s="20"/>
      <c r="J486" s="95"/>
    </row>
    <row r="487">
      <c r="A487" s="92"/>
      <c r="B487" s="92"/>
      <c r="C487" s="92"/>
      <c r="D487" s="92"/>
      <c r="E487" s="92"/>
      <c r="F487" s="92"/>
      <c r="G487" s="92"/>
      <c r="H487" s="92"/>
      <c r="I487" s="20"/>
      <c r="J487" s="95"/>
    </row>
    <row r="488">
      <c r="A488" s="92"/>
      <c r="B488" s="92"/>
      <c r="C488" s="92"/>
      <c r="D488" s="92"/>
      <c r="E488" s="92"/>
      <c r="F488" s="92"/>
      <c r="G488" s="92"/>
      <c r="H488" s="92"/>
      <c r="I488" s="20"/>
      <c r="J488" s="95"/>
    </row>
    <row r="489">
      <c r="A489" s="92"/>
      <c r="B489" s="92"/>
      <c r="C489" s="92"/>
      <c r="D489" s="92"/>
      <c r="E489" s="92"/>
      <c r="F489" s="92"/>
      <c r="G489" s="92"/>
      <c r="H489" s="92"/>
      <c r="I489" s="20"/>
      <c r="J489" s="95"/>
    </row>
    <row r="490">
      <c r="A490" s="92"/>
      <c r="B490" s="92"/>
      <c r="C490" s="92"/>
      <c r="D490" s="92"/>
      <c r="E490" s="92"/>
      <c r="F490" s="92"/>
      <c r="G490" s="92"/>
      <c r="H490" s="92"/>
      <c r="I490" s="20"/>
      <c r="J490" s="95"/>
    </row>
    <row r="491">
      <c r="A491" s="92"/>
      <c r="B491" s="92"/>
      <c r="C491" s="92"/>
      <c r="D491" s="92"/>
      <c r="E491" s="92"/>
      <c r="F491" s="92"/>
      <c r="G491" s="92"/>
      <c r="H491" s="92"/>
      <c r="I491" s="20"/>
      <c r="J491" s="95"/>
    </row>
    <row r="492">
      <c r="A492" s="92"/>
      <c r="B492" s="92"/>
      <c r="C492" s="92"/>
      <c r="D492" s="92"/>
      <c r="E492" s="92"/>
      <c r="F492" s="92"/>
      <c r="G492" s="92"/>
      <c r="H492" s="92"/>
      <c r="I492" s="20"/>
      <c r="J492" s="95"/>
    </row>
    <row r="493">
      <c r="A493" s="92"/>
      <c r="B493" s="92"/>
      <c r="C493" s="92"/>
      <c r="D493" s="92"/>
      <c r="E493" s="92"/>
      <c r="F493" s="92"/>
      <c r="G493" s="92"/>
      <c r="H493" s="92"/>
      <c r="I493" s="20"/>
      <c r="J493" s="95"/>
    </row>
    <row r="494">
      <c r="A494" s="92"/>
      <c r="B494" s="92"/>
      <c r="C494" s="92"/>
      <c r="D494" s="92"/>
      <c r="E494" s="92"/>
      <c r="F494" s="92"/>
      <c r="G494" s="92"/>
      <c r="H494" s="92"/>
      <c r="I494" s="20"/>
      <c r="J494" s="95"/>
    </row>
    <row r="495">
      <c r="A495" s="92"/>
      <c r="B495" s="92"/>
      <c r="C495" s="92"/>
      <c r="D495" s="92"/>
      <c r="E495" s="92"/>
      <c r="F495" s="92"/>
      <c r="G495" s="92"/>
      <c r="H495" s="92"/>
      <c r="I495" s="20"/>
      <c r="J495" s="95"/>
    </row>
    <row r="496">
      <c r="A496" s="92"/>
      <c r="B496" s="92"/>
      <c r="C496" s="92"/>
      <c r="D496" s="92"/>
      <c r="E496" s="92"/>
      <c r="F496" s="92"/>
      <c r="G496" s="92"/>
      <c r="H496" s="92"/>
      <c r="I496" s="20"/>
      <c r="J496" s="95"/>
    </row>
    <row r="497">
      <c r="A497" s="92"/>
      <c r="B497" s="92"/>
      <c r="C497" s="92"/>
      <c r="D497" s="92"/>
      <c r="E497" s="92"/>
      <c r="F497" s="92"/>
      <c r="G497" s="92"/>
      <c r="H497" s="92"/>
      <c r="I497" s="20"/>
      <c r="J497" s="95"/>
    </row>
    <row r="498">
      <c r="A498" s="92"/>
      <c r="B498" s="92"/>
      <c r="C498" s="92"/>
      <c r="D498" s="92"/>
      <c r="E498" s="92"/>
      <c r="F498" s="92"/>
      <c r="G498" s="92"/>
      <c r="H498" s="92"/>
      <c r="I498" s="20"/>
      <c r="J498" s="95"/>
    </row>
    <row r="499">
      <c r="A499" s="92"/>
      <c r="B499" s="92"/>
      <c r="C499" s="92"/>
      <c r="D499" s="92"/>
      <c r="E499" s="92"/>
      <c r="F499" s="92"/>
      <c r="G499" s="92"/>
      <c r="H499" s="92"/>
      <c r="I499" s="20"/>
      <c r="J499" s="95"/>
    </row>
    <row r="500">
      <c r="A500" s="92"/>
      <c r="B500" s="92"/>
      <c r="C500" s="92"/>
      <c r="D500" s="92"/>
      <c r="E500" s="92"/>
      <c r="F500" s="92"/>
      <c r="G500" s="92"/>
      <c r="H500" s="92"/>
      <c r="I500" s="20"/>
      <c r="J500" s="95"/>
    </row>
    <row r="501">
      <c r="A501" s="92"/>
      <c r="B501" s="92"/>
      <c r="C501" s="92"/>
      <c r="D501" s="92"/>
      <c r="E501" s="92"/>
      <c r="F501" s="92"/>
      <c r="G501" s="92"/>
      <c r="H501" s="92"/>
      <c r="I501" s="20"/>
      <c r="J501" s="95"/>
    </row>
    <row r="502">
      <c r="A502" s="92"/>
      <c r="B502" s="92"/>
      <c r="C502" s="92"/>
      <c r="D502" s="92"/>
      <c r="E502" s="92"/>
      <c r="F502" s="92"/>
      <c r="G502" s="92"/>
      <c r="H502" s="92"/>
      <c r="I502" s="20"/>
      <c r="J502" s="95"/>
    </row>
    <row r="503">
      <c r="A503" s="92"/>
      <c r="B503" s="92"/>
      <c r="C503" s="92"/>
      <c r="D503" s="92"/>
      <c r="E503" s="92"/>
      <c r="F503" s="92"/>
      <c r="G503" s="92"/>
      <c r="H503" s="92"/>
      <c r="I503" s="20"/>
      <c r="J503" s="95"/>
    </row>
    <row r="504">
      <c r="A504" s="92"/>
      <c r="B504" s="92"/>
      <c r="C504" s="92"/>
      <c r="D504" s="92"/>
      <c r="E504" s="92"/>
      <c r="F504" s="92"/>
      <c r="G504" s="92"/>
      <c r="H504" s="92"/>
      <c r="I504" s="20"/>
      <c r="J504" s="95"/>
    </row>
    <row r="505">
      <c r="A505" s="92"/>
      <c r="B505" s="92"/>
      <c r="C505" s="92"/>
      <c r="D505" s="92"/>
      <c r="E505" s="92"/>
      <c r="F505" s="92"/>
      <c r="G505" s="92"/>
      <c r="H505" s="92"/>
      <c r="I505" s="20"/>
      <c r="J505" s="95"/>
    </row>
    <row r="506">
      <c r="A506" s="92"/>
      <c r="B506" s="92"/>
      <c r="C506" s="92"/>
      <c r="D506" s="92"/>
      <c r="E506" s="92"/>
      <c r="F506" s="92"/>
      <c r="G506" s="92"/>
      <c r="H506" s="92"/>
      <c r="I506" s="20"/>
      <c r="J506" s="95"/>
    </row>
    <row r="507">
      <c r="A507" s="92"/>
      <c r="B507" s="92"/>
      <c r="C507" s="92"/>
      <c r="D507" s="92"/>
      <c r="E507" s="92"/>
      <c r="F507" s="92"/>
      <c r="G507" s="92"/>
      <c r="H507" s="92"/>
      <c r="I507" s="20"/>
      <c r="J507" s="95"/>
    </row>
    <row r="508">
      <c r="A508" s="92"/>
      <c r="B508" s="92"/>
      <c r="C508" s="92"/>
      <c r="D508" s="92"/>
      <c r="E508" s="92"/>
      <c r="F508" s="92"/>
      <c r="G508" s="92"/>
      <c r="H508" s="92"/>
      <c r="I508" s="20"/>
      <c r="J508" s="95"/>
    </row>
    <row r="509">
      <c r="A509" s="92"/>
      <c r="B509" s="92"/>
      <c r="C509" s="92"/>
      <c r="D509" s="92"/>
      <c r="E509" s="92"/>
      <c r="F509" s="92"/>
      <c r="G509" s="92"/>
      <c r="H509" s="92"/>
      <c r="I509" s="20"/>
      <c r="J509" s="95"/>
    </row>
    <row r="510">
      <c r="A510" s="92"/>
      <c r="B510" s="92"/>
      <c r="C510" s="92"/>
      <c r="D510" s="92"/>
      <c r="E510" s="92"/>
      <c r="F510" s="92"/>
      <c r="G510" s="92"/>
      <c r="H510" s="92"/>
      <c r="I510" s="20"/>
      <c r="J510" s="95"/>
    </row>
    <row r="511">
      <c r="A511" s="92"/>
      <c r="B511" s="92"/>
      <c r="C511" s="92"/>
      <c r="D511" s="92"/>
      <c r="E511" s="92"/>
      <c r="F511" s="92"/>
      <c r="G511" s="92"/>
      <c r="H511" s="92"/>
      <c r="I511" s="20"/>
      <c r="J511" s="95"/>
    </row>
    <row r="512">
      <c r="A512" s="92"/>
      <c r="B512" s="92"/>
      <c r="C512" s="92"/>
      <c r="D512" s="92"/>
      <c r="E512" s="92"/>
      <c r="F512" s="92"/>
      <c r="G512" s="92"/>
      <c r="H512" s="92"/>
      <c r="I512" s="20"/>
      <c r="J512" s="95"/>
    </row>
    <row r="513">
      <c r="A513" s="92"/>
      <c r="B513" s="92"/>
      <c r="C513" s="92"/>
      <c r="D513" s="92"/>
      <c r="E513" s="92"/>
      <c r="F513" s="92"/>
      <c r="G513" s="92"/>
      <c r="H513" s="92"/>
      <c r="I513" s="20"/>
      <c r="J513" s="95"/>
    </row>
    <row r="514">
      <c r="A514" s="92"/>
      <c r="B514" s="92"/>
      <c r="C514" s="92"/>
      <c r="D514" s="92"/>
      <c r="E514" s="92"/>
      <c r="F514" s="92"/>
      <c r="G514" s="92"/>
      <c r="H514" s="92"/>
      <c r="I514" s="20"/>
      <c r="J514" s="95"/>
    </row>
    <row r="515">
      <c r="A515" s="92"/>
      <c r="B515" s="92"/>
      <c r="C515" s="92"/>
      <c r="D515" s="92"/>
      <c r="E515" s="92"/>
      <c r="F515" s="92"/>
      <c r="G515" s="92"/>
      <c r="H515" s="92"/>
      <c r="I515" s="20"/>
      <c r="J515" s="95"/>
    </row>
    <row r="516">
      <c r="A516" s="92"/>
      <c r="B516" s="92"/>
      <c r="C516" s="92"/>
      <c r="D516" s="92"/>
      <c r="E516" s="92"/>
      <c r="F516" s="92"/>
      <c r="G516" s="92"/>
      <c r="H516" s="92"/>
      <c r="I516" s="20"/>
      <c r="J516" s="95"/>
    </row>
    <row r="517">
      <c r="A517" s="92"/>
      <c r="B517" s="92"/>
      <c r="C517" s="92"/>
      <c r="D517" s="92"/>
      <c r="E517" s="92"/>
      <c r="F517" s="92"/>
      <c r="G517" s="92"/>
      <c r="H517" s="92"/>
      <c r="I517" s="20"/>
      <c r="J517" s="95"/>
    </row>
    <row r="518">
      <c r="A518" s="92"/>
      <c r="B518" s="92"/>
      <c r="C518" s="92"/>
      <c r="D518" s="92"/>
      <c r="E518" s="92"/>
      <c r="F518" s="92"/>
      <c r="G518" s="92"/>
      <c r="H518" s="92"/>
      <c r="I518" s="20"/>
      <c r="J518" s="95"/>
    </row>
    <row r="519">
      <c r="A519" s="92"/>
      <c r="B519" s="92"/>
      <c r="C519" s="92"/>
      <c r="D519" s="92"/>
      <c r="E519" s="92"/>
      <c r="F519" s="92"/>
      <c r="G519" s="92"/>
      <c r="H519" s="92"/>
      <c r="I519" s="20"/>
      <c r="J519" s="95"/>
    </row>
    <row r="520">
      <c r="A520" s="92"/>
      <c r="B520" s="92"/>
      <c r="C520" s="92"/>
      <c r="D520" s="92"/>
      <c r="E520" s="92"/>
      <c r="F520" s="92"/>
      <c r="G520" s="92"/>
      <c r="H520" s="92"/>
      <c r="I520" s="20"/>
      <c r="J520" s="95"/>
    </row>
    <row r="521">
      <c r="A521" s="92"/>
      <c r="B521" s="92"/>
      <c r="C521" s="92"/>
      <c r="D521" s="92"/>
      <c r="E521" s="92"/>
      <c r="F521" s="92"/>
      <c r="G521" s="92"/>
      <c r="H521" s="92"/>
      <c r="I521" s="20"/>
      <c r="J521" s="95"/>
    </row>
    <row r="522">
      <c r="A522" s="92"/>
      <c r="B522" s="92"/>
      <c r="C522" s="92"/>
      <c r="D522" s="92"/>
      <c r="E522" s="92"/>
      <c r="F522" s="92"/>
      <c r="G522" s="92"/>
      <c r="H522" s="92"/>
      <c r="I522" s="20"/>
      <c r="J522" s="95"/>
    </row>
    <row r="523">
      <c r="A523" s="92"/>
      <c r="B523" s="92"/>
      <c r="C523" s="92"/>
      <c r="D523" s="92"/>
      <c r="E523" s="92"/>
      <c r="F523" s="92"/>
      <c r="G523" s="92"/>
      <c r="H523" s="92"/>
      <c r="I523" s="20"/>
      <c r="J523" s="95"/>
    </row>
    <row r="524">
      <c r="A524" s="92"/>
      <c r="B524" s="92"/>
      <c r="C524" s="92"/>
      <c r="D524" s="92"/>
      <c r="E524" s="92"/>
      <c r="F524" s="92"/>
      <c r="G524" s="92"/>
      <c r="H524" s="92"/>
      <c r="I524" s="20"/>
      <c r="J524" s="95"/>
    </row>
    <row r="525">
      <c r="A525" s="92"/>
      <c r="B525" s="92"/>
      <c r="C525" s="92"/>
      <c r="D525" s="92"/>
      <c r="E525" s="92"/>
      <c r="F525" s="92"/>
      <c r="G525" s="92"/>
      <c r="H525" s="92"/>
      <c r="I525" s="20"/>
      <c r="J525" s="95"/>
    </row>
    <row r="526">
      <c r="A526" s="92"/>
      <c r="B526" s="92"/>
      <c r="C526" s="92"/>
      <c r="D526" s="92"/>
      <c r="E526" s="92"/>
      <c r="F526" s="92"/>
      <c r="G526" s="92"/>
      <c r="H526" s="92"/>
      <c r="I526" s="20"/>
      <c r="J526" s="95"/>
    </row>
    <row r="527">
      <c r="A527" s="92"/>
      <c r="B527" s="92"/>
      <c r="C527" s="92"/>
      <c r="D527" s="92"/>
      <c r="E527" s="92"/>
      <c r="F527" s="92"/>
      <c r="G527" s="92"/>
      <c r="H527" s="92"/>
      <c r="I527" s="20"/>
      <c r="J527" s="95"/>
    </row>
    <row r="528">
      <c r="A528" s="92"/>
      <c r="B528" s="92"/>
      <c r="C528" s="92"/>
      <c r="D528" s="92"/>
      <c r="E528" s="92"/>
      <c r="F528" s="92"/>
      <c r="G528" s="92"/>
      <c r="H528" s="92"/>
      <c r="I528" s="20"/>
      <c r="J528" s="95"/>
    </row>
    <row r="529">
      <c r="A529" s="92"/>
      <c r="B529" s="92"/>
      <c r="C529" s="92"/>
      <c r="D529" s="92"/>
      <c r="E529" s="92"/>
      <c r="F529" s="92"/>
      <c r="G529" s="92"/>
      <c r="H529" s="92"/>
      <c r="I529" s="20"/>
      <c r="J529" s="95"/>
    </row>
    <row r="530">
      <c r="A530" s="92"/>
      <c r="B530" s="92"/>
      <c r="C530" s="92"/>
      <c r="D530" s="92"/>
      <c r="E530" s="92"/>
      <c r="F530" s="92"/>
      <c r="G530" s="92"/>
      <c r="H530" s="92"/>
      <c r="I530" s="20"/>
      <c r="J530" s="95"/>
    </row>
    <row r="531">
      <c r="A531" s="92"/>
      <c r="B531" s="92"/>
      <c r="C531" s="92"/>
      <c r="D531" s="92"/>
      <c r="E531" s="92"/>
      <c r="F531" s="92"/>
      <c r="G531" s="92"/>
      <c r="H531" s="92"/>
      <c r="I531" s="20"/>
      <c r="J531" s="95"/>
    </row>
    <row r="532">
      <c r="A532" s="92"/>
      <c r="B532" s="92"/>
      <c r="C532" s="92"/>
      <c r="D532" s="92"/>
      <c r="E532" s="92"/>
      <c r="F532" s="92"/>
      <c r="G532" s="92"/>
      <c r="H532" s="92"/>
      <c r="I532" s="20"/>
      <c r="J532" s="95"/>
    </row>
    <row r="533">
      <c r="A533" s="92"/>
      <c r="B533" s="92"/>
      <c r="C533" s="92"/>
      <c r="D533" s="92"/>
      <c r="E533" s="92"/>
      <c r="F533" s="92"/>
      <c r="G533" s="92"/>
      <c r="H533" s="92"/>
      <c r="I533" s="20"/>
      <c r="J533" s="95"/>
    </row>
    <row r="534">
      <c r="A534" s="92"/>
      <c r="B534" s="92"/>
      <c r="C534" s="92"/>
      <c r="D534" s="92"/>
      <c r="E534" s="92"/>
      <c r="F534" s="92"/>
      <c r="G534" s="92"/>
      <c r="H534" s="92"/>
      <c r="I534" s="20"/>
      <c r="J534" s="95"/>
    </row>
    <row r="535">
      <c r="A535" s="92"/>
      <c r="B535" s="92"/>
      <c r="C535" s="92"/>
      <c r="D535" s="92"/>
      <c r="E535" s="92"/>
      <c r="F535" s="92"/>
      <c r="G535" s="92"/>
      <c r="H535" s="92"/>
      <c r="I535" s="20"/>
      <c r="J535" s="95"/>
    </row>
    <row r="536">
      <c r="A536" s="92"/>
      <c r="B536" s="92"/>
      <c r="C536" s="92"/>
      <c r="D536" s="92"/>
      <c r="E536" s="92"/>
      <c r="F536" s="92"/>
      <c r="G536" s="92"/>
      <c r="H536" s="92"/>
      <c r="I536" s="20"/>
      <c r="J536" s="95"/>
    </row>
    <row r="537">
      <c r="A537" s="92"/>
      <c r="B537" s="92"/>
      <c r="C537" s="92"/>
      <c r="D537" s="92"/>
      <c r="E537" s="92"/>
      <c r="F537" s="92"/>
      <c r="G537" s="92"/>
      <c r="H537" s="92"/>
      <c r="I537" s="20"/>
      <c r="J537" s="95"/>
    </row>
    <row r="538">
      <c r="A538" s="92"/>
      <c r="B538" s="92"/>
      <c r="C538" s="92"/>
      <c r="D538" s="92"/>
      <c r="E538" s="92"/>
      <c r="F538" s="92"/>
      <c r="G538" s="92"/>
      <c r="H538" s="92"/>
      <c r="I538" s="20"/>
      <c r="J538" s="95"/>
    </row>
    <row r="539">
      <c r="A539" s="92"/>
      <c r="B539" s="92"/>
      <c r="C539" s="92"/>
      <c r="D539" s="92"/>
      <c r="E539" s="92"/>
      <c r="F539" s="92"/>
      <c r="G539" s="92"/>
      <c r="H539" s="92"/>
      <c r="I539" s="20"/>
      <c r="J539" s="95"/>
    </row>
    <row r="540">
      <c r="A540" s="92"/>
      <c r="B540" s="92"/>
      <c r="C540" s="92"/>
      <c r="D540" s="92"/>
      <c r="E540" s="92"/>
      <c r="F540" s="92"/>
      <c r="G540" s="92"/>
      <c r="H540" s="92"/>
      <c r="I540" s="20"/>
      <c r="J540" s="95"/>
    </row>
    <row r="541">
      <c r="A541" s="92"/>
      <c r="B541" s="92"/>
      <c r="C541" s="92"/>
      <c r="D541" s="92"/>
      <c r="E541" s="92"/>
      <c r="F541" s="92"/>
      <c r="G541" s="92"/>
      <c r="H541" s="92"/>
      <c r="I541" s="20"/>
      <c r="J541" s="95"/>
    </row>
    <row r="542">
      <c r="A542" s="92"/>
      <c r="B542" s="92"/>
      <c r="C542" s="92"/>
      <c r="D542" s="92"/>
      <c r="E542" s="92"/>
      <c r="F542" s="92"/>
      <c r="G542" s="92"/>
      <c r="H542" s="92"/>
      <c r="I542" s="20"/>
      <c r="J542" s="95"/>
    </row>
    <row r="543">
      <c r="A543" s="92"/>
      <c r="B543" s="92"/>
      <c r="C543" s="92"/>
      <c r="D543" s="92"/>
      <c r="E543" s="92"/>
      <c r="F543" s="92"/>
      <c r="G543" s="92"/>
      <c r="H543" s="92"/>
      <c r="I543" s="20"/>
      <c r="J543" s="95"/>
    </row>
    <row r="544">
      <c r="A544" s="92"/>
      <c r="B544" s="92"/>
      <c r="C544" s="92"/>
      <c r="D544" s="92"/>
      <c r="E544" s="92"/>
      <c r="F544" s="92"/>
      <c r="G544" s="92"/>
      <c r="H544" s="92"/>
      <c r="I544" s="20"/>
      <c r="J544" s="95"/>
    </row>
    <row r="545">
      <c r="A545" s="92"/>
      <c r="B545" s="92"/>
      <c r="C545" s="92"/>
      <c r="D545" s="92"/>
      <c r="E545" s="92"/>
      <c r="F545" s="92"/>
      <c r="G545" s="92"/>
      <c r="H545" s="92"/>
      <c r="I545" s="20"/>
      <c r="J545" s="95"/>
    </row>
    <row r="546">
      <c r="A546" s="92"/>
      <c r="B546" s="92"/>
      <c r="C546" s="92"/>
      <c r="D546" s="92"/>
      <c r="E546" s="92"/>
      <c r="F546" s="92"/>
      <c r="G546" s="92"/>
      <c r="H546" s="92"/>
      <c r="I546" s="20"/>
      <c r="J546" s="95"/>
    </row>
    <row r="547">
      <c r="A547" s="92"/>
      <c r="B547" s="92"/>
      <c r="C547" s="92"/>
      <c r="D547" s="92"/>
      <c r="E547" s="92"/>
      <c r="F547" s="92"/>
      <c r="G547" s="92"/>
      <c r="H547" s="92"/>
      <c r="I547" s="20"/>
      <c r="J547" s="95"/>
    </row>
    <row r="548">
      <c r="A548" s="92"/>
      <c r="B548" s="92"/>
      <c r="C548" s="92"/>
      <c r="D548" s="92"/>
      <c r="E548" s="92"/>
      <c r="F548" s="92"/>
      <c r="G548" s="92"/>
      <c r="H548" s="92"/>
      <c r="I548" s="20"/>
      <c r="J548" s="95"/>
    </row>
    <row r="549">
      <c r="A549" s="92"/>
      <c r="B549" s="92"/>
      <c r="C549" s="92"/>
      <c r="D549" s="92"/>
      <c r="E549" s="92"/>
      <c r="F549" s="92"/>
      <c r="G549" s="92"/>
      <c r="H549" s="92"/>
      <c r="I549" s="20"/>
      <c r="J549" s="95"/>
    </row>
    <row r="550">
      <c r="A550" s="92"/>
      <c r="B550" s="92"/>
      <c r="C550" s="92"/>
      <c r="D550" s="92"/>
      <c r="E550" s="92"/>
      <c r="F550" s="92"/>
      <c r="G550" s="92"/>
      <c r="H550" s="92"/>
      <c r="I550" s="20"/>
      <c r="J550" s="95"/>
    </row>
    <row r="551">
      <c r="A551" s="92"/>
      <c r="B551" s="92"/>
      <c r="C551" s="92"/>
      <c r="D551" s="92"/>
      <c r="E551" s="92"/>
      <c r="F551" s="92"/>
      <c r="G551" s="92"/>
      <c r="H551" s="92"/>
      <c r="I551" s="20"/>
      <c r="J551" s="95"/>
    </row>
    <row r="552">
      <c r="A552" s="92"/>
      <c r="B552" s="92"/>
      <c r="C552" s="92"/>
      <c r="D552" s="92"/>
      <c r="E552" s="92"/>
      <c r="F552" s="92"/>
      <c r="G552" s="92"/>
      <c r="H552" s="92"/>
      <c r="I552" s="20"/>
      <c r="J552" s="95"/>
    </row>
    <row r="553">
      <c r="A553" s="92"/>
      <c r="B553" s="92"/>
      <c r="C553" s="92"/>
      <c r="D553" s="92"/>
      <c r="E553" s="92"/>
      <c r="F553" s="92"/>
      <c r="G553" s="92"/>
      <c r="H553" s="92"/>
      <c r="I553" s="20"/>
      <c r="J553" s="95"/>
    </row>
    <row r="554">
      <c r="A554" s="92"/>
      <c r="B554" s="92"/>
      <c r="C554" s="92"/>
      <c r="D554" s="92"/>
      <c r="E554" s="92"/>
      <c r="F554" s="92"/>
      <c r="G554" s="92"/>
      <c r="H554" s="92"/>
      <c r="I554" s="20"/>
      <c r="J554" s="95"/>
    </row>
    <row r="555">
      <c r="A555" s="92"/>
      <c r="B555" s="92"/>
      <c r="C555" s="92"/>
      <c r="D555" s="92"/>
      <c r="E555" s="92"/>
      <c r="F555" s="92"/>
      <c r="G555" s="92"/>
      <c r="H555" s="92"/>
      <c r="I555" s="20"/>
      <c r="J555" s="95"/>
    </row>
    <row r="556">
      <c r="A556" s="92"/>
      <c r="B556" s="92"/>
      <c r="C556" s="92"/>
      <c r="D556" s="92"/>
      <c r="E556" s="92"/>
      <c r="F556" s="92"/>
      <c r="G556" s="92"/>
      <c r="H556" s="92"/>
      <c r="I556" s="20"/>
      <c r="J556" s="95"/>
    </row>
    <row r="557">
      <c r="A557" s="92"/>
      <c r="B557" s="92"/>
      <c r="C557" s="92"/>
      <c r="D557" s="92"/>
      <c r="E557" s="92"/>
      <c r="F557" s="92"/>
      <c r="G557" s="92"/>
      <c r="H557" s="92"/>
      <c r="I557" s="20"/>
      <c r="J557" s="95"/>
    </row>
    <row r="558">
      <c r="A558" s="92"/>
      <c r="B558" s="92"/>
      <c r="C558" s="92"/>
      <c r="D558" s="92"/>
      <c r="E558" s="92"/>
      <c r="F558" s="92"/>
      <c r="G558" s="92"/>
      <c r="H558" s="92"/>
      <c r="I558" s="20"/>
      <c r="J558" s="95"/>
    </row>
    <row r="559">
      <c r="A559" s="92"/>
      <c r="B559" s="92"/>
      <c r="C559" s="92"/>
      <c r="D559" s="92"/>
      <c r="E559" s="92"/>
      <c r="F559" s="92"/>
      <c r="G559" s="92"/>
      <c r="H559" s="92"/>
      <c r="I559" s="20"/>
      <c r="J559" s="95"/>
    </row>
    <row r="560">
      <c r="A560" s="92"/>
      <c r="B560" s="92"/>
      <c r="C560" s="92"/>
      <c r="D560" s="92"/>
      <c r="E560" s="92"/>
      <c r="F560" s="92"/>
      <c r="G560" s="92"/>
      <c r="H560" s="92"/>
      <c r="I560" s="20"/>
      <c r="J560" s="95"/>
    </row>
    <row r="561">
      <c r="A561" s="92"/>
      <c r="B561" s="92"/>
      <c r="C561" s="92"/>
      <c r="D561" s="92"/>
      <c r="E561" s="92"/>
      <c r="F561" s="92"/>
      <c r="G561" s="92"/>
      <c r="H561" s="92"/>
      <c r="I561" s="20"/>
      <c r="J561" s="95"/>
    </row>
    <row r="562">
      <c r="A562" s="92"/>
      <c r="B562" s="92"/>
      <c r="C562" s="92"/>
      <c r="D562" s="92"/>
      <c r="E562" s="92"/>
      <c r="F562" s="92"/>
      <c r="G562" s="92"/>
      <c r="H562" s="92"/>
      <c r="I562" s="20"/>
      <c r="J562" s="95"/>
    </row>
    <row r="563">
      <c r="A563" s="92"/>
      <c r="B563" s="92"/>
      <c r="C563" s="92"/>
      <c r="D563" s="92"/>
      <c r="E563" s="92"/>
      <c r="F563" s="92"/>
      <c r="G563" s="92"/>
      <c r="H563" s="92"/>
      <c r="I563" s="20"/>
      <c r="J563" s="95"/>
    </row>
    <row r="564">
      <c r="A564" s="92"/>
      <c r="B564" s="92"/>
      <c r="C564" s="92"/>
      <c r="D564" s="92"/>
      <c r="E564" s="92"/>
      <c r="F564" s="92"/>
      <c r="G564" s="92"/>
      <c r="H564" s="92"/>
      <c r="I564" s="20"/>
      <c r="J564" s="95"/>
    </row>
    <row r="565">
      <c r="A565" s="92"/>
      <c r="B565" s="92"/>
      <c r="C565" s="92"/>
      <c r="D565" s="92"/>
      <c r="E565" s="92"/>
      <c r="F565" s="92"/>
      <c r="G565" s="92"/>
      <c r="H565" s="92"/>
      <c r="I565" s="20"/>
      <c r="J565" s="95"/>
    </row>
    <row r="566">
      <c r="A566" s="92"/>
      <c r="B566" s="92"/>
      <c r="C566" s="92"/>
      <c r="D566" s="92"/>
      <c r="E566" s="92"/>
      <c r="F566" s="92"/>
      <c r="G566" s="92"/>
      <c r="H566" s="92"/>
      <c r="I566" s="20"/>
      <c r="J566" s="95"/>
    </row>
    <row r="567">
      <c r="A567" s="92"/>
      <c r="B567" s="92"/>
      <c r="C567" s="92"/>
      <c r="D567" s="92"/>
      <c r="E567" s="92"/>
      <c r="F567" s="92"/>
      <c r="G567" s="92"/>
      <c r="H567" s="92"/>
      <c r="I567" s="20"/>
      <c r="J567" s="95"/>
    </row>
    <row r="568">
      <c r="A568" s="92"/>
      <c r="B568" s="92"/>
      <c r="C568" s="92"/>
      <c r="D568" s="92"/>
      <c r="E568" s="92"/>
      <c r="F568" s="92"/>
      <c r="G568" s="92"/>
      <c r="H568" s="92"/>
      <c r="I568" s="20"/>
      <c r="J568" s="95"/>
    </row>
    <row r="569">
      <c r="A569" s="92"/>
      <c r="B569" s="92"/>
      <c r="C569" s="92"/>
      <c r="D569" s="92"/>
      <c r="E569" s="92"/>
      <c r="F569" s="92"/>
      <c r="G569" s="92"/>
      <c r="H569" s="92"/>
      <c r="I569" s="20"/>
      <c r="J569" s="95"/>
    </row>
    <row r="570">
      <c r="A570" s="92"/>
      <c r="B570" s="92"/>
      <c r="C570" s="92"/>
      <c r="D570" s="92"/>
      <c r="E570" s="92"/>
      <c r="F570" s="92"/>
      <c r="G570" s="92"/>
      <c r="H570" s="92"/>
      <c r="I570" s="20"/>
      <c r="J570" s="95"/>
    </row>
    <row r="571">
      <c r="A571" s="92"/>
      <c r="B571" s="92"/>
      <c r="C571" s="92"/>
      <c r="D571" s="92"/>
      <c r="E571" s="92"/>
      <c r="F571" s="92"/>
      <c r="G571" s="92"/>
      <c r="H571" s="92"/>
      <c r="I571" s="20"/>
      <c r="J571" s="95"/>
    </row>
    <row r="572">
      <c r="A572" s="92"/>
      <c r="B572" s="92"/>
      <c r="C572" s="92"/>
      <c r="D572" s="92"/>
      <c r="E572" s="92"/>
      <c r="F572" s="92"/>
      <c r="G572" s="92"/>
      <c r="H572" s="92"/>
      <c r="I572" s="20"/>
      <c r="J572" s="95"/>
    </row>
    <row r="573">
      <c r="A573" s="92"/>
      <c r="B573" s="92"/>
      <c r="C573" s="92"/>
      <c r="D573" s="92"/>
      <c r="E573" s="92"/>
      <c r="F573" s="92"/>
      <c r="G573" s="92"/>
      <c r="H573" s="92"/>
      <c r="I573" s="20"/>
      <c r="J573" s="95"/>
    </row>
    <row r="574">
      <c r="A574" s="92"/>
      <c r="B574" s="92"/>
      <c r="C574" s="92"/>
      <c r="D574" s="92"/>
      <c r="E574" s="92"/>
      <c r="F574" s="92"/>
      <c r="G574" s="92"/>
      <c r="H574" s="92"/>
      <c r="I574" s="20"/>
      <c r="J574" s="95"/>
    </row>
    <row r="575">
      <c r="A575" s="92"/>
      <c r="B575" s="92"/>
      <c r="C575" s="92"/>
      <c r="D575" s="92"/>
      <c r="E575" s="92"/>
      <c r="F575" s="92"/>
      <c r="G575" s="92"/>
      <c r="H575" s="92"/>
      <c r="I575" s="20"/>
      <c r="J575" s="95"/>
    </row>
    <row r="576">
      <c r="A576" s="92"/>
      <c r="B576" s="92"/>
      <c r="C576" s="92"/>
      <c r="D576" s="92"/>
      <c r="E576" s="92"/>
      <c r="F576" s="92"/>
      <c r="G576" s="92"/>
      <c r="H576" s="92"/>
      <c r="I576" s="20"/>
      <c r="J576" s="95"/>
    </row>
    <row r="577">
      <c r="A577" s="92"/>
      <c r="B577" s="92"/>
      <c r="C577" s="92"/>
      <c r="D577" s="92"/>
      <c r="E577" s="92"/>
      <c r="F577" s="92"/>
      <c r="G577" s="92"/>
      <c r="H577" s="92"/>
      <c r="I577" s="20"/>
      <c r="J577" s="95"/>
    </row>
    <row r="578">
      <c r="A578" s="92"/>
      <c r="B578" s="92"/>
      <c r="C578" s="92"/>
      <c r="D578" s="92"/>
      <c r="E578" s="92"/>
      <c r="F578" s="92"/>
      <c r="G578" s="92"/>
      <c r="H578" s="92"/>
      <c r="I578" s="20"/>
      <c r="J578" s="95"/>
    </row>
    <row r="579">
      <c r="A579" s="92"/>
      <c r="B579" s="92"/>
      <c r="C579" s="92"/>
      <c r="D579" s="92"/>
      <c r="E579" s="92"/>
      <c r="F579" s="92"/>
      <c r="G579" s="92"/>
      <c r="H579" s="92"/>
      <c r="I579" s="20"/>
      <c r="J579" s="95"/>
    </row>
    <row r="580">
      <c r="A580" s="92"/>
      <c r="B580" s="92"/>
      <c r="C580" s="92"/>
      <c r="D580" s="92"/>
      <c r="E580" s="92"/>
      <c r="F580" s="92"/>
      <c r="G580" s="92"/>
      <c r="H580" s="92"/>
      <c r="I580" s="20"/>
      <c r="J580" s="95"/>
    </row>
    <row r="581">
      <c r="A581" s="92"/>
      <c r="B581" s="92"/>
      <c r="C581" s="92"/>
      <c r="D581" s="92"/>
      <c r="E581" s="92"/>
      <c r="F581" s="92"/>
      <c r="G581" s="92"/>
      <c r="H581" s="92"/>
      <c r="I581" s="20"/>
      <c r="J581" s="95"/>
    </row>
    <row r="582">
      <c r="A582" s="92"/>
      <c r="B582" s="92"/>
      <c r="C582" s="92"/>
      <c r="D582" s="92"/>
      <c r="E582" s="92"/>
      <c r="F582" s="92"/>
      <c r="G582" s="92"/>
      <c r="H582" s="92"/>
      <c r="I582" s="20"/>
      <c r="J582" s="95"/>
    </row>
    <row r="583">
      <c r="A583" s="92"/>
      <c r="B583" s="92"/>
      <c r="C583" s="92"/>
      <c r="D583" s="92"/>
      <c r="E583" s="92"/>
      <c r="F583" s="92"/>
      <c r="G583" s="92"/>
      <c r="H583" s="92"/>
      <c r="I583" s="20"/>
      <c r="J583" s="95"/>
    </row>
    <row r="584">
      <c r="A584" s="92"/>
      <c r="B584" s="92"/>
      <c r="C584" s="92"/>
      <c r="D584" s="92"/>
      <c r="E584" s="92"/>
      <c r="F584" s="92"/>
      <c r="G584" s="92"/>
      <c r="H584" s="92"/>
      <c r="I584" s="20"/>
      <c r="J584" s="95"/>
    </row>
    <row r="585">
      <c r="A585" s="92"/>
      <c r="B585" s="92"/>
      <c r="C585" s="92"/>
      <c r="D585" s="92"/>
      <c r="E585" s="92"/>
      <c r="F585" s="92"/>
      <c r="G585" s="92"/>
      <c r="H585" s="92"/>
      <c r="I585" s="20"/>
      <c r="J585" s="95"/>
    </row>
    <row r="586">
      <c r="A586" s="92"/>
      <c r="B586" s="92"/>
      <c r="C586" s="92"/>
      <c r="D586" s="92"/>
      <c r="E586" s="92"/>
      <c r="F586" s="92"/>
      <c r="G586" s="92"/>
      <c r="H586" s="92"/>
      <c r="I586" s="20"/>
      <c r="J586" s="95"/>
    </row>
    <row r="587">
      <c r="A587" s="92"/>
      <c r="B587" s="92"/>
      <c r="C587" s="92"/>
      <c r="D587" s="92"/>
      <c r="E587" s="92"/>
      <c r="F587" s="92"/>
      <c r="G587" s="92"/>
      <c r="H587" s="92"/>
      <c r="I587" s="20"/>
      <c r="J587" s="95"/>
    </row>
    <row r="588">
      <c r="A588" s="92"/>
      <c r="B588" s="92"/>
      <c r="C588" s="92"/>
      <c r="D588" s="92"/>
      <c r="E588" s="92"/>
      <c r="F588" s="92"/>
      <c r="G588" s="92"/>
      <c r="H588" s="92"/>
      <c r="I588" s="20"/>
      <c r="J588" s="95"/>
    </row>
    <row r="589">
      <c r="A589" s="92"/>
      <c r="B589" s="92"/>
      <c r="C589" s="92"/>
      <c r="D589" s="92"/>
      <c r="E589" s="92"/>
      <c r="F589" s="92"/>
      <c r="G589" s="92"/>
      <c r="H589" s="92"/>
      <c r="I589" s="20"/>
      <c r="J589" s="95"/>
    </row>
    <row r="590">
      <c r="A590" s="92"/>
      <c r="B590" s="92"/>
      <c r="C590" s="92"/>
      <c r="D590" s="92"/>
      <c r="E590" s="92"/>
      <c r="F590" s="92"/>
      <c r="G590" s="92"/>
      <c r="H590" s="92"/>
      <c r="I590" s="20"/>
      <c r="J590" s="95"/>
    </row>
    <row r="591">
      <c r="A591" s="92"/>
      <c r="B591" s="92"/>
      <c r="C591" s="92"/>
      <c r="D591" s="92"/>
      <c r="E591" s="92"/>
      <c r="F591" s="92"/>
      <c r="G591" s="92"/>
      <c r="H591" s="92"/>
      <c r="I591" s="20"/>
      <c r="J591" s="95"/>
    </row>
    <row r="592">
      <c r="A592" s="92"/>
      <c r="B592" s="92"/>
      <c r="C592" s="92"/>
      <c r="D592" s="92"/>
      <c r="E592" s="92"/>
      <c r="F592" s="92"/>
      <c r="G592" s="92"/>
      <c r="H592" s="92"/>
      <c r="I592" s="20"/>
      <c r="J592" s="95"/>
    </row>
    <row r="593">
      <c r="A593" s="92"/>
      <c r="B593" s="92"/>
      <c r="C593" s="92"/>
      <c r="D593" s="92"/>
      <c r="E593" s="92"/>
      <c r="F593" s="92"/>
      <c r="G593" s="92"/>
      <c r="H593" s="92"/>
      <c r="I593" s="20"/>
      <c r="J593" s="95"/>
    </row>
    <row r="594">
      <c r="A594" s="92"/>
      <c r="B594" s="92"/>
      <c r="C594" s="92"/>
      <c r="D594" s="92"/>
      <c r="E594" s="92"/>
      <c r="F594" s="92"/>
      <c r="G594" s="92"/>
      <c r="H594" s="92"/>
      <c r="I594" s="20"/>
      <c r="J594" s="95"/>
    </row>
    <row r="595">
      <c r="A595" s="92"/>
      <c r="B595" s="92"/>
      <c r="C595" s="92"/>
      <c r="D595" s="92"/>
      <c r="E595" s="92"/>
      <c r="F595" s="92"/>
      <c r="G595" s="92"/>
      <c r="H595" s="92"/>
      <c r="I595" s="20"/>
      <c r="J595" s="95"/>
    </row>
    <row r="596">
      <c r="A596" s="92"/>
      <c r="B596" s="92"/>
      <c r="C596" s="92"/>
      <c r="D596" s="92"/>
      <c r="E596" s="92"/>
      <c r="F596" s="92"/>
      <c r="G596" s="92"/>
      <c r="H596" s="92"/>
      <c r="I596" s="20"/>
      <c r="J596" s="95"/>
    </row>
    <row r="597">
      <c r="A597" s="92"/>
      <c r="B597" s="92"/>
      <c r="C597" s="92"/>
      <c r="D597" s="92"/>
      <c r="E597" s="92"/>
      <c r="F597" s="92"/>
      <c r="G597" s="92"/>
      <c r="H597" s="92"/>
      <c r="I597" s="20"/>
      <c r="J597" s="95"/>
    </row>
    <row r="598">
      <c r="A598" s="92"/>
      <c r="B598" s="92"/>
      <c r="C598" s="92"/>
      <c r="D598" s="92"/>
      <c r="E598" s="92"/>
      <c r="F598" s="92"/>
      <c r="G598" s="92"/>
      <c r="H598" s="92"/>
      <c r="I598" s="20"/>
      <c r="J598" s="95"/>
    </row>
    <row r="599">
      <c r="A599" s="92"/>
      <c r="B599" s="92"/>
      <c r="C599" s="92"/>
      <c r="D599" s="92"/>
      <c r="E599" s="92"/>
      <c r="F599" s="92"/>
      <c r="G599" s="92"/>
      <c r="H599" s="92"/>
      <c r="I599" s="20"/>
      <c r="J599" s="95"/>
    </row>
    <row r="600">
      <c r="A600" s="92"/>
      <c r="B600" s="92"/>
      <c r="C600" s="92"/>
      <c r="D600" s="92"/>
      <c r="E600" s="92"/>
      <c r="F600" s="92"/>
      <c r="G600" s="92"/>
      <c r="H600" s="92"/>
      <c r="I600" s="20"/>
      <c r="J600" s="95"/>
    </row>
    <row r="601">
      <c r="A601" s="92"/>
      <c r="B601" s="92"/>
      <c r="C601" s="92"/>
      <c r="D601" s="92"/>
      <c r="E601" s="92"/>
      <c r="F601" s="92"/>
      <c r="G601" s="92"/>
      <c r="H601" s="92"/>
      <c r="I601" s="20"/>
      <c r="J601" s="95"/>
    </row>
    <row r="602">
      <c r="A602" s="92"/>
      <c r="B602" s="92"/>
      <c r="C602" s="92"/>
      <c r="D602" s="92"/>
      <c r="E602" s="92"/>
      <c r="F602" s="92"/>
      <c r="G602" s="92"/>
      <c r="H602" s="92"/>
      <c r="I602" s="20"/>
      <c r="J602" s="95"/>
    </row>
    <row r="603">
      <c r="A603" s="92"/>
      <c r="B603" s="92"/>
      <c r="C603" s="92"/>
      <c r="D603" s="92"/>
      <c r="E603" s="92"/>
      <c r="F603" s="92"/>
      <c r="G603" s="92"/>
      <c r="H603" s="92"/>
      <c r="I603" s="20"/>
      <c r="J603" s="95"/>
    </row>
    <row r="604">
      <c r="A604" s="92"/>
      <c r="B604" s="92"/>
      <c r="C604" s="92"/>
      <c r="D604" s="92"/>
      <c r="E604" s="92"/>
      <c r="F604" s="92"/>
      <c r="G604" s="92"/>
      <c r="H604" s="92"/>
      <c r="I604" s="20"/>
      <c r="J604" s="95"/>
    </row>
    <row r="605">
      <c r="A605" s="92"/>
      <c r="B605" s="92"/>
      <c r="C605" s="92"/>
      <c r="D605" s="92"/>
      <c r="E605" s="92"/>
      <c r="F605" s="92"/>
      <c r="G605" s="92"/>
      <c r="H605" s="92"/>
      <c r="I605" s="20"/>
      <c r="J605" s="95"/>
    </row>
    <row r="606">
      <c r="A606" s="92"/>
      <c r="B606" s="92"/>
      <c r="C606" s="92"/>
      <c r="D606" s="92"/>
      <c r="E606" s="92"/>
      <c r="F606" s="92"/>
      <c r="G606" s="92"/>
      <c r="H606" s="92"/>
      <c r="I606" s="20"/>
      <c r="J606" s="95"/>
    </row>
    <row r="607">
      <c r="A607" s="92"/>
      <c r="B607" s="92"/>
      <c r="C607" s="92"/>
      <c r="D607" s="92"/>
      <c r="E607" s="92"/>
      <c r="F607" s="92"/>
      <c r="G607" s="92"/>
      <c r="H607" s="92"/>
      <c r="I607" s="20"/>
      <c r="J607" s="95"/>
    </row>
    <row r="608">
      <c r="A608" s="92"/>
      <c r="B608" s="92"/>
      <c r="C608" s="92"/>
      <c r="D608" s="92"/>
      <c r="E608" s="92"/>
      <c r="F608" s="92"/>
      <c r="G608" s="92"/>
      <c r="H608" s="92"/>
      <c r="I608" s="20"/>
      <c r="J608" s="95"/>
    </row>
    <row r="609">
      <c r="A609" s="92"/>
      <c r="B609" s="92"/>
      <c r="C609" s="92"/>
      <c r="D609" s="92"/>
      <c r="E609" s="92"/>
      <c r="F609" s="92"/>
      <c r="G609" s="92"/>
      <c r="H609" s="92"/>
      <c r="I609" s="20"/>
      <c r="J609" s="95"/>
    </row>
    <row r="610">
      <c r="A610" s="92"/>
      <c r="B610" s="92"/>
      <c r="C610" s="92"/>
      <c r="D610" s="92"/>
      <c r="E610" s="92"/>
      <c r="F610" s="92"/>
      <c r="G610" s="92"/>
      <c r="H610" s="92"/>
      <c r="I610" s="20"/>
      <c r="J610" s="95"/>
    </row>
    <row r="611">
      <c r="A611" s="92"/>
      <c r="B611" s="92"/>
      <c r="C611" s="92"/>
      <c r="D611" s="92"/>
      <c r="E611" s="92"/>
      <c r="F611" s="92"/>
      <c r="G611" s="92"/>
      <c r="H611" s="92"/>
      <c r="I611" s="20"/>
      <c r="J611" s="95"/>
    </row>
    <row r="612">
      <c r="A612" s="92"/>
      <c r="B612" s="92"/>
      <c r="C612" s="92"/>
      <c r="D612" s="92"/>
      <c r="E612" s="92"/>
      <c r="F612" s="92"/>
      <c r="G612" s="92"/>
      <c r="H612" s="92"/>
      <c r="I612" s="20"/>
      <c r="J612" s="95"/>
    </row>
    <row r="613">
      <c r="A613" s="92"/>
      <c r="B613" s="92"/>
      <c r="C613" s="92"/>
      <c r="D613" s="92"/>
      <c r="E613" s="92"/>
      <c r="F613" s="92"/>
      <c r="G613" s="92"/>
      <c r="H613" s="92"/>
      <c r="I613" s="20"/>
      <c r="J613" s="95"/>
    </row>
    <row r="614">
      <c r="A614" s="92"/>
      <c r="B614" s="92"/>
      <c r="C614" s="92"/>
      <c r="D614" s="92"/>
      <c r="E614" s="92"/>
      <c r="F614" s="92"/>
      <c r="G614" s="92"/>
      <c r="H614" s="92"/>
      <c r="I614" s="20"/>
      <c r="J614" s="95"/>
    </row>
    <row r="615">
      <c r="A615" s="92"/>
      <c r="B615" s="92"/>
      <c r="C615" s="92"/>
      <c r="D615" s="92"/>
      <c r="E615" s="92"/>
      <c r="F615" s="92"/>
      <c r="G615" s="92"/>
      <c r="H615" s="92"/>
      <c r="I615" s="20"/>
      <c r="J615" s="95"/>
    </row>
    <row r="616">
      <c r="A616" s="92"/>
      <c r="B616" s="92"/>
      <c r="C616" s="92"/>
      <c r="D616" s="92"/>
      <c r="E616" s="92"/>
      <c r="F616" s="92"/>
      <c r="G616" s="92"/>
      <c r="H616" s="92"/>
      <c r="I616" s="20"/>
      <c r="J616" s="95"/>
    </row>
    <row r="617">
      <c r="A617" s="92"/>
      <c r="B617" s="92"/>
      <c r="C617" s="92"/>
      <c r="D617" s="92"/>
      <c r="E617" s="92"/>
      <c r="F617" s="92"/>
      <c r="G617" s="92"/>
      <c r="H617" s="92"/>
      <c r="I617" s="20"/>
      <c r="J617" s="95"/>
    </row>
    <row r="618">
      <c r="A618" s="92"/>
      <c r="B618" s="92"/>
      <c r="C618" s="92"/>
      <c r="D618" s="92"/>
      <c r="E618" s="92"/>
      <c r="F618" s="92"/>
      <c r="G618" s="92"/>
      <c r="H618" s="92"/>
      <c r="I618" s="20"/>
      <c r="J618" s="95"/>
    </row>
    <row r="619">
      <c r="A619" s="92"/>
      <c r="B619" s="92"/>
      <c r="C619" s="92"/>
      <c r="D619" s="92"/>
      <c r="E619" s="92"/>
      <c r="F619" s="92"/>
      <c r="G619" s="92"/>
      <c r="H619" s="92"/>
      <c r="I619" s="20"/>
      <c r="J619" s="95"/>
    </row>
    <row r="620">
      <c r="A620" s="92"/>
      <c r="B620" s="92"/>
      <c r="C620" s="92"/>
      <c r="D620" s="92"/>
      <c r="E620" s="92"/>
      <c r="F620" s="92"/>
      <c r="G620" s="92"/>
      <c r="H620" s="92"/>
      <c r="I620" s="20"/>
      <c r="J620" s="95"/>
    </row>
    <row r="621">
      <c r="A621" s="92"/>
      <c r="B621" s="92"/>
      <c r="C621" s="92"/>
      <c r="D621" s="92"/>
      <c r="E621" s="92"/>
      <c r="F621" s="92"/>
      <c r="G621" s="92"/>
      <c r="H621" s="92"/>
      <c r="I621" s="20"/>
      <c r="J621" s="95"/>
    </row>
    <row r="622">
      <c r="A622" s="92"/>
      <c r="B622" s="92"/>
      <c r="C622" s="92"/>
      <c r="D622" s="92"/>
      <c r="E622" s="92"/>
      <c r="F622" s="92"/>
      <c r="G622" s="92"/>
      <c r="H622" s="92"/>
      <c r="I622" s="20"/>
      <c r="J622" s="95"/>
    </row>
    <row r="623">
      <c r="A623" s="92"/>
      <c r="B623" s="92"/>
      <c r="C623" s="92"/>
      <c r="D623" s="92"/>
      <c r="E623" s="92"/>
      <c r="F623" s="92"/>
      <c r="G623" s="92"/>
      <c r="H623" s="92"/>
      <c r="I623" s="20"/>
      <c r="J623" s="95"/>
    </row>
    <row r="624">
      <c r="A624" s="92"/>
      <c r="B624" s="92"/>
      <c r="C624" s="92"/>
      <c r="D624" s="92"/>
      <c r="E624" s="92"/>
      <c r="F624" s="92"/>
      <c r="G624" s="92"/>
      <c r="H624" s="92"/>
      <c r="I624" s="20"/>
      <c r="J624" s="95"/>
    </row>
    <row r="625">
      <c r="A625" s="92"/>
      <c r="B625" s="92"/>
      <c r="C625" s="92"/>
      <c r="D625" s="92"/>
      <c r="E625" s="92"/>
      <c r="F625" s="92"/>
      <c r="G625" s="92"/>
      <c r="H625" s="92"/>
      <c r="I625" s="20"/>
      <c r="J625" s="95"/>
    </row>
    <row r="626">
      <c r="A626" s="92"/>
      <c r="B626" s="92"/>
      <c r="C626" s="92"/>
      <c r="D626" s="92"/>
      <c r="E626" s="92"/>
      <c r="F626" s="92"/>
      <c r="G626" s="92"/>
      <c r="H626" s="92"/>
      <c r="I626" s="20"/>
      <c r="J626" s="95"/>
    </row>
    <row r="627">
      <c r="A627" s="92"/>
      <c r="B627" s="92"/>
      <c r="C627" s="92"/>
      <c r="D627" s="92"/>
      <c r="E627" s="92"/>
      <c r="F627" s="92"/>
      <c r="G627" s="92"/>
      <c r="H627" s="92"/>
      <c r="I627" s="20"/>
      <c r="J627" s="95"/>
    </row>
    <row r="628">
      <c r="A628" s="92"/>
      <c r="B628" s="92"/>
      <c r="C628" s="92"/>
      <c r="D628" s="92"/>
      <c r="E628" s="92"/>
      <c r="F628" s="92"/>
      <c r="G628" s="92"/>
      <c r="H628" s="92"/>
      <c r="I628" s="20"/>
      <c r="J628" s="95"/>
    </row>
    <row r="629">
      <c r="A629" s="92"/>
      <c r="B629" s="92"/>
      <c r="C629" s="92"/>
      <c r="D629" s="92"/>
      <c r="E629" s="92"/>
      <c r="F629" s="92"/>
      <c r="G629" s="92"/>
      <c r="H629" s="92"/>
      <c r="I629" s="20"/>
      <c r="J629" s="95"/>
    </row>
    <row r="630">
      <c r="A630" s="92"/>
      <c r="B630" s="92"/>
      <c r="C630" s="92"/>
      <c r="D630" s="92"/>
      <c r="E630" s="92"/>
      <c r="F630" s="92"/>
      <c r="G630" s="92"/>
      <c r="H630" s="92"/>
      <c r="I630" s="20"/>
      <c r="J630" s="95"/>
    </row>
    <row r="631">
      <c r="A631" s="92"/>
      <c r="B631" s="92"/>
      <c r="C631" s="92"/>
      <c r="D631" s="92"/>
      <c r="E631" s="92"/>
      <c r="F631" s="92"/>
      <c r="G631" s="92"/>
      <c r="H631" s="92"/>
      <c r="I631" s="20"/>
      <c r="J631" s="95"/>
    </row>
    <row r="632">
      <c r="A632" s="92"/>
      <c r="B632" s="92"/>
      <c r="C632" s="92"/>
      <c r="D632" s="92"/>
      <c r="E632" s="92"/>
      <c r="F632" s="92"/>
      <c r="G632" s="92"/>
      <c r="H632" s="92"/>
      <c r="I632" s="20"/>
      <c r="J632" s="95"/>
    </row>
    <row r="633">
      <c r="A633" s="92"/>
      <c r="B633" s="92"/>
      <c r="C633" s="92"/>
      <c r="D633" s="92"/>
      <c r="E633" s="92"/>
      <c r="F633" s="92"/>
      <c r="G633" s="92"/>
      <c r="H633" s="92"/>
      <c r="I633" s="20"/>
      <c r="J633" s="95"/>
    </row>
    <row r="634">
      <c r="A634" s="92"/>
      <c r="B634" s="92"/>
      <c r="C634" s="92"/>
      <c r="D634" s="92"/>
      <c r="E634" s="92"/>
      <c r="F634" s="92"/>
      <c r="G634" s="92"/>
      <c r="H634" s="92"/>
      <c r="I634" s="20"/>
      <c r="J634" s="95"/>
    </row>
    <row r="635">
      <c r="A635" s="92"/>
      <c r="B635" s="92"/>
      <c r="C635" s="92"/>
      <c r="D635" s="92"/>
      <c r="E635" s="92"/>
      <c r="F635" s="92"/>
      <c r="G635" s="92"/>
      <c r="H635" s="92"/>
      <c r="I635" s="20"/>
      <c r="J635" s="95"/>
    </row>
    <row r="636">
      <c r="A636" s="92"/>
      <c r="B636" s="92"/>
      <c r="C636" s="92"/>
      <c r="D636" s="92"/>
      <c r="E636" s="92"/>
      <c r="F636" s="92"/>
      <c r="G636" s="92"/>
      <c r="H636" s="92"/>
      <c r="I636" s="20"/>
      <c r="J636" s="95"/>
    </row>
    <row r="637">
      <c r="A637" s="92"/>
      <c r="B637" s="92"/>
      <c r="C637" s="92"/>
      <c r="D637" s="92"/>
      <c r="E637" s="92"/>
      <c r="F637" s="92"/>
      <c r="G637" s="92"/>
      <c r="H637" s="92"/>
      <c r="I637" s="20"/>
      <c r="J637" s="95"/>
    </row>
    <row r="638">
      <c r="A638" s="92"/>
      <c r="B638" s="92"/>
      <c r="C638" s="92"/>
      <c r="D638" s="92"/>
      <c r="E638" s="92"/>
      <c r="F638" s="92"/>
      <c r="G638" s="92"/>
      <c r="H638" s="92"/>
      <c r="I638" s="20"/>
      <c r="J638" s="95"/>
    </row>
    <row r="639">
      <c r="A639" s="92"/>
      <c r="B639" s="92"/>
      <c r="C639" s="92"/>
      <c r="D639" s="92"/>
      <c r="E639" s="92"/>
      <c r="F639" s="92"/>
      <c r="G639" s="92"/>
      <c r="H639" s="92"/>
      <c r="I639" s="20"/>
      <c r="J639" s="95"/>
    </row>
    <row r="640">
      <c r="A640" s="92"/>
      <c r="B640" s="92"/>
      <c r="C640" s="92"/>
      <c r="D640" s="92"/>
      <c r="E640" s="92"/>
      <c r="F640" s="92"/>
      <c r="G640" s="92"/>
      <c r="H640" s="92"/>
      <c r="I640" s="20"/>
      <c r="J640" s="95"/>
    </row>
    <row r="641">
      <c r="A641" s="92"/>
      <c r="B641" s="92"/>
      <c r="C641" s="92"/>
      <c r="D641" s="92"/>
      <c r="E641" s="92"/>
      <c r="F641" s="92"/>
      <c r="G641" s="92"/>
      <c r="H641" s="92"/>
      <c r="I641" s="20"/>
      <c r="J641" s="95"/>
    </row>
    <row r="642">
      <c r="A642" s="92"/>
      <c r="B642" s="92"/>
      <c r="C642" s="92"/>
      <c r="D642" s="92"/>
      <c r="E642" s="92"/>
      <c r="F642" s="92"/>
      <c r="G642" s="92"/>
      <c r="H642" s="92"/>
      <c r="I642" s="20"/>
      <c r="J642" s="95"/>
    </row>
    <row r="643">
      <c r="A643" s="92"/>
      <c r="B643" s="92"/>
      <c r="C643" s="92"/>
      <c r="D643" s="92"/>
      <c r="E643" s="92"/>
      <c r="F643" s="92"/>
      <c r="G643" s="92"/>
      <c r="H643" s="92"/>
      <c r="I643" s="20"/>
      <c r="J643" s="95"/>
    </row>
    <row r="644">
      <c r="A644" s="92"/>
      <c r="B644" s="92"/>
      <c r="C644" s="92"/>
      <c r="D644" s="92"/>
      <c r="E644" s="92"/>
      <c r="F644" s="92"/>
      <c r="G644" s="92"/>
      <c r="H644" s="92"/>
      <c r="I644" s="20"/>
      <c r="J644" s="95"/>
    </row>
    <row r="645">
      <c r="A645" s="92"/>
      <c r="B645" s="92"/>
      <c r="C645" s="92"/>
      <c r="D645" s="92"/>
      <c r="E645" s="92"/>
      <c r="F645" s="92"/>
      <c r="G645" s="92"/>
      <c r="H645" s="92"/>
      <c r="I645" s="20"/>
      <c r="J645" s="95"/>
    </row>
    <row r="646">
      <c r="A646" s="92"/>
      <c r="B646" s="92"/>
      <c r="C646" s="92"/>
      <c r="D646" s="92"/>
      <c r="E646" s="92"/>
      <c r="F646" s="92"/>
      <c r="G646" s="92"/>
      <c r="H646" s="92"/>
      <c r="I646" s="20"/>
      <c r="J646" s="95"/>
    </row>
    <row r="647">
      <c r="A647" s="92"/>
      <c r="B647" s="92"/>
      <c r="C647" s="92"/>
      <c r="D647" s="92"/>
      <c r="E647" s="92"/>
      <c r="F647" s="92"/>
      <c r="G647" s="92"/>
      <c r="H647" s="92"/>
      <c r="I647" s="20"/>
      <c r="J647" s="95"/>
    </row>
    <row r="648">
      <c r="A648" s="92"/>
      <c r="B648" s="92"/>
      <c r="C648" s="92"/>
      <c r="D648" s="92"/>
      <c r="E648" s="92"/>
      <c r="F648" s="92"/>
      <c r="G648" s="92"/>
      <c r="H648" s="92"/>
      <c r="I648" s="20"/>
      <c r="J648" s="95"/>
    </row>
    <row r="649">
      <c r="A649" s="92"/>
      <c r="B649" s="92"/>
      <c r="C649" s="92"/>
      <c r="D649" s="92"/>
      <c r="E649" s="92"/>
      <c r="F649" s="92"/>
      <c r="G649" s="92"/>
      <c r="H649" s="92"/>
      <c r="I649" s="20"/>
      <c r="J649" s="95"/>
    </row>
    <row r="650">
      <c r="A650" s="92"/>
      <c r="B650" s="92"/>
      <c r="C650" s="92"/>
      <c r="D650" s="92"/>
      <c r="E650" s="92"/>
      <c r="F650" s="92"/>
      <c r="G650" s="92"/>
      <c r="H650" s="92"/>
      <c r="I650" s="20"/>
      <c r="J650" s="95"/>
    </row>
    <row r="651">
      <c r="A651" s="92"/>
      <c r="B651" s="92"/>
      <c r="C651" s="92"/>
      <c r="D651" s="92"/>
      <c r="E651" s="92"/>
      <c r="F651" s="92"/>
      <c r="G651" s="92"/>
      <c r="H651" s="92"/>
      <c r="I651" s="20"/>
      <c r="J651" s="95"/>
    </row>
    <row r="652">
      <c r="A652" s="92"/>
      <c r="B652" s="92"/>
      <c r="C652" s="92"/>
      <c r="D652" s="92"/>
      <c r="E652" s="92"/>
      <c r="F652" s="92"/>
      <c r="G652" s="92"/>
      <c r="H652" s="92"/>
      <c r="I652" s="20"/>
      <c r="J652" s="95"/>
    </row>
    <row r="653">
      <c r="A653" s="92"/>
      <c r="B653" s="92"/>
      <c r="C653" s="92"/>
      <c r="D653" s="92"/>
      <c r="E653" s="92"/>
      <c r="F653" s="92"/>
      <c r="G653" s="92"/>
      <c r="H653" s="92"/>
      <c r="I653" s="20"/>
      <c r="J653" s="95"/>
    </row>
    <row r="654">
      <c r="A654" s="92"/>
      <c r="B654" s="92"/>
      <c r="C654" s="92"/>
      <c r="D654" s="92"/>
      <c r="E654" s="92"/>
      <c r="F654" s="92"/>
      <c r="G654" s="92"/>
      <c r="H654" s="92"/>
      <c r="I654" s="20"/>
      <c r="J654" s="95"/>
    </row>
    <row r="655">
      <c r="A655" s="92"/>
      <c r="B655" s="92"/>
      <c r="C655" s="92"/>
      <c r="D655" s="92"/>
      <c r="E655" s="92"/>
      <c r="F655" s="92"/>
      <c r="G655" s="92"/>
      <c r="H655" s="92"/>
      <c r="I655" s="20"/>
      <c r="J655" s="95"/>
    </row>
    <row r="656">
      <c r="A656" s="92"/>
      <c r="B656" s="92"/>
      <c r="C656" s="92"/>
      <c r="D656" s="92"/>
      <c r="E656" s="92"/>
      <c r="F656" s="92"/>
      <c r="G656" s="92"/>
      <c r="H656" s="92"/>
      <c r="I656" s="20"/>
      <c r="J656" s="95"/>
    </row>
    <row r="657">
      <c r="A657" s="92"/>
      <c r="B657" s="92"/>
      <c r="C657" s="92"/>
      <c r="D657" s="92"/>
      <c r="E657" s="92"/>
      <c r="F657" s="92"/>
      <c r="G657" s="92"/>
      <c r="H657" s="92"/>
      <c r="I657" s="20"/>
      <c r="J657" s="95"/>
    </row>
    <row r="658">
      <c r="A658" s="92"/>
      <c r="B658" s="92"/>
      <c r="C658" s="92"/>
      <c r="D658" s="92"/>
      <c r="E658" s="92"/>
      <c r="F658" s="92"/>
      <c r="G658" s="92"/>
      <c r="H658" s="92"/>
      <c r="I658" s="20"/>
      <c r="J658" s="95"/>
    </row>
    <row r="659">
      <c r="A659" s="92"/>
      <c r="B659" s="92"/>
      <c r="C659" s="92"/>
      <c r="D659" s="92"/>
      <c r="E659" s="92"/>
      <c r="F659" s="92"/>
      <c r="G659" s="92"/>
      <c r="H659" s="92"/>
      <c r="I659" s="20"/>
      <c r="J659" s="95"/>
    </row>
    <row r="660">
      <c r="A660" s="92"/>
      <c r="B660" s="92"/>
      <c r="C660" s="92"/>
      <c r="D660" s="92"/>
      <c r="E660" s="92"/>
      <c r="F660" s="92"/>
      <c r="G660" s="92"/>
      <c r="H660" s="92"/>
      <c r="I660" s="20"/>
      <c r="J660" s="95"/>
    </row>
    <row r="661">
      <c r="A661" s="92"/>
      <c r="B661" s="92"/>
      <c r="C661" s="92"/>
      <c r="D661" s="92"/>
      <c r="E661" s="92"/>
      <c r="F661" s="92"/>
      <c r="G661" s="92"/>
      <c r="H661" s="92"/>
      <c r="I661" s="20"/>
      <c r="J661" s="95"/>
    </row>
    <row r="662">
      <c r="A662" s="92"/>
      <c r="B662" s="92"/>
      <c r="C662" s="92"/>
      <c r="D662" s="92"/>
      <c r="E662" s="92"/>
      <c r="F662" s="92"/>
      <c r="G662" s="92"/>
      <c r="H662" s="92"/>
      <c r="I662" s="20"/>
      <c r="J662" s="95"/>
    </row>
    <row r="663">
      <c r="A663" s="92"/>
      <c r="B663" s="92"/>
      <c r="C663" s="92"/>
      <c r="D663" s="92"/>
      <c r="E663" s="92"/>
      <c r="F663" s="92"/>
      <c r="G663" s="92"/>
      <c r="H663" s="92"/>
      <c r="I663" s="20"/>
      <c r="J663" s="95"/>
    </row>
    <row r="664">
      <c r="A664" s="92"/>
      <c r="B664" s="92"/>
      <c r="C664" s="92"/>
      <c r="D664" s="92"/>
      <c r="E664" s="92"/>
      <c r="F664" s="92"/>
      <c r="G664" s="92"/>
      <c r="H664" s="92"/>
      <c r="I664" s="20"/>
      <c r="J664" s="95"/>
    </row>
    <row r="665">
      <c r="A665" s="92"/>
      <c r="B665" s="92"/>
      <c r="C665" s="92"/>
      <c r="D665" s="92"/>
      <c r="E665" s="92"/>
      <c r="F665" s="92"/>
      <c r="G665" s="92"/>
      <c r="H665" s="92"/>
      <c r="I665" s="20"/>
      <c r="J665" s="95"/>
    </row>
    <row r="666">
      <c r="A666" s="92"/>
      <c r="B666" s="92"/>
      <c r="C666" s="92"/>
      <c r="D666" s="92"/>
      <c r="E666" s="92"/>
      <c r="F666" s="92"/>
      <c r="G666" s="92"/>
      <c r="H666" s="92"/>
      <c r="I666" s="20"/>
      <c r="J666" s="95"/>
    </row>
    <row r="667">
      <c r="A667" s="92"/>
      <c r="B667" s="92"/>
      <c r="C667" s="92"/>
      <c r="D667" s="92"/>
      <c r="E667" s="92"/>
      <c r="F667" s="92"/>
      <c r="G667" s="92"/>
      <c r="H667" s="92"/>
      <c r="I667" s="20"/>
      <c r="J667" s="95"/>
    </row>
    <row r="668">
      <c r="A668" s="92"/>
      <c r="B668" s="92"/>
      <c r="C668" s="92"/>
      <c r="D668" s="92"/>
      <c r="E668" s="92"/>
      <c r="F668" s="92"/>
      <c r="G668" s="92"/>
      <c r="H668" s="92"/>
      <c r="I668" s="20"/>
      <c r="J668" s="95"/>
    </row>
    <row r="669">
      <c r="A669" s="92"/>
      <c r="B669" s="92"/>
      <c r="C669" s="92"/>
      <c r="D669" s="92"/>
      <c r="E669" s="92"/>
      <c r="F669" s="92"/>
      <c r="G669" s="92"/>
      <c r="H669" s="92"/>
      <c r="I669" s="20"/>
      <c r="J669" s="95"/>
    </row>
    <row r="670">
      <c r="A670" s="92"/>
      <c r="B670" s="92"/>
      <c r="C670" s="92"/>
      <c r="D670" s="92"/>
      <c r="E670" s="92"/>
      <c r="F670" s="92"/>
      <c r="G670" s="92"/>
      <c r="H670" s="92"/>
      <c r="I670" s="20"/>
      <c r="J670" s="95"/>
    </row>
    <row r="671">
      <c r="A671" s="92"/>
      <c r="B671" s="92"/>
      <c r="C671" s="92"/>
      <c r="D671" s="92"/>
      <c r="E671" s="92"/>
      <c r="F671" s="92"/>
      <c r="G671" s="92"/>
      <c r="H671" s="92"/>
      <c r="I671" s="20"/>
      <c r="J671" s="95"/>
    </row>
    <row r="672">
      <c r="A672" s="92"/>
      <c r="B672" s="92"/>
      <c r="C672" s="92"/>
      <c r="D672" s="92"/>
      <c r="E672" s="92"/>
      <c r="F672" s="92"/>
      <c r="G672" s="92"/>
      <c r="H672" s="92"/>
      <c r="I672" s="20"/>
      <c r="J672" s="95"/>
    </row>
    <row r="673">
      <c r="A673" s="92"/>
      <c r="B673" s="92"/>
      <c r="C673" s="92"/>
      <c r="D673" s="92"/>
      <c r="E673" s="92"/>
      <c r="F673" s="92"/>
      <c r="G673" s="92"/>
      <c r="H673" s="92"/>
      <c r="I673" s="20"/>
      <c r="J673" s="95"/>
    </row>
    <row r="674">
      <c r="A674" s="92"/>
      <c r="B674" s="92"/>
      <c r="C674" s="92"/>
      <c r="D674" s="92"/>
      <c r="E674" s="92"/>
      <c r="F674" s="92"/>
      <c r="G674" s="92"/>
      <c r="H674" s="92"/>
      <c r="I674" s="20"/>
      <c r="J674" s="95"/>
    </row>
    <row r="675">
      <c r="A675" s="92"/>
      <c r="B675" s="92"/>
      <c r="C675" s="92"/>
      <c r="D675" s="92"/>
      <c r="E675" s="92"/>
      <c r="F675" s="92"/>
      <c r="G675" s="92"/>
      <c r="H675" s="92"/>
      <c r="I675" s="20"/>
      <c r="J675" s="95"/>
    </row>
    <row r="676">
      <c r="A676" s="92"/>
      <c r="B676" s="92"/>
      <c r="C676" s="92"/>
      <c r="D676" s="92"/>
      <c r="E676" s="92"/>
      <c r="F676" s="92"/>
      <c r="G676" s="92"/>
      <c r="H676" s="92"/>
      <c r="I676" s="20"/>
      <c r="J676" s="95"/>
    </row>
    <row r="677">
      <c r="A677" s="92"/>
      <c r="B677" s="92"/>
      <c r="C677" s="92"/>
      <c r="D677" s="92"/>
      <c r="E677" s="92"/>
      <c r="F677" s="92"/>
      <c r="G677" s="92"/>
      <c r="H677" s="92"/>
      <c r="I677" s="20"/>
      <c r="J677" s="95"/>
    </row>
    <row r="678">
      <c r="A678" s="92"/>
      <c r="B678" s="92"/>
      <c r="C678" s="92"/>
      <c r="D678" s="92"/>
      <c r="E678" s="92"/>
      <c r="F678" s="92"/>
      <c r="G678" s="92"/>
      <c r="H678" s="92"/>
      <c r="I678" s="20"/>
      <c r="J678" s="95"/>
    </row>
    <row r="679">
      <c r="A679" s="92"/>
      <c r="B679" s="92"/>
      <c r="C679" s="92"/>
      <c r="D679" s="92"/>
      <c r="E679" s="92"/>
      <c r="F679" s="92"/>
      <c r="G679" s="92"/>
      <c r="H679" s="92"/>
      <c r="I679" s="20"/>
      <c r="J679" s="95"/>
    </row>
    <row r="680">
      <c r="A680" s="92"/>
      <c r="B680" s="92"/>
      <c r="C680" s="92"/>
      <c r="D680" s="92"/>
      <c r="E680" s="92"/>
      <c r="F680" s="92"/>
      <c r="G680" s="92"/>
      <c r="H680" s="92"/>
      <c r="I680" s="20"/>
      <c r="J680" s="95"/>
    </row>
    <row r="681">
      <c r="A681" s="92"/>
      <c r="B681" s="92"/>
      <c r="C681" s="92"/>
      <c r="D681" s="92"/>
      <c r="E681" s="92"/>
      <c r="F681" s="92"/>
      <c r="G681" s="92"/>
      <c r="H681" s="92"/>
      <c r="I681" s="20"/>
      <c r="J681" s="95"/>
    </row>
    <row r="682">
      <c r="A682" s="92"/>
      <c r="B682" s="92"/>
      <c r="C682" s="92"/>
      <c r="D682" s="92"/>
      <c r="E682" s="92"/>
      <c r="F682" s="92"/>
      <c r="G682" s="92"/>
      <c r="H682" s="92"/>
      <c r="I682" s="20"/>
      <c r="J682" s="95"/>
    </row>
    <row r="683">
      <c r="A683" s="92"/>
      <c r="B683" s="92"/>
      <c r="C683" s="92"/>
      <c r="D683" s="92"/>
      <c r="E683" s="92"/>
      <c r="F683" s="92"/>
      <c r="G683" s="92"/>
      <c r="H683" s="92"/>
      <c r="I683" s="20"/>
      <c r="J683" s="95"/>
    </row>
    <row r="684">
      <c r="A684" s="92"/>
      <c r="B684" s="92"/>
      <c r="C684" s="92"/>
      <c r="D684" s="92"/>
      <c r="E684" s="92"/>
      <c r="F684" s="92"/>
      <c r="G684" s="92"/>
      <c r="H684" s="92"/>
      <c r="I684" s="20"/>
      <c r="J684" s="95"/>
    </row>
    <row r="685">
      <c r="A685" s="92"/>
      <c r="B685" s="92"/>
      <c r="C685" s="92"/>
      <c r="D685" s="92"/>
      <c r="E685" s="92"/>
      <c r="F685" s="92"/>
      <c r="G685" s="92"/>
      <c r="H685" s="92"/>
      <c r="I685" s="20"/>
      <c r="J685" s="95"/>
    </row>
    <row r="686">
      <c r="A686" s="92"/>
      <c r="B686" s="92"/>
      <c r="C686" s="92"/>
      <c r="D686" s="92"/>
      <c r="E686" s="92"/>
      <c r="F686" s="92"/>
      <c r="G686" s="92"/>
      <c r="H686" s="92"/>
      <c r="I686" s="20"/>
      <c r="J686" s="95"/>
    </row>
    <row r="687">
      <c r="A687" s="92"/>
      <c r="B687" s="92"/>
      <c r="C687" s="92"/>
      <c r="D687" s="92"/>
      <c r="E687" s="92"/>
      <c r="F687" s="92"/>
      <c r="G687" s="92"/>
      <c r="H687" s="92"/>
      <c r="I687" s="20"/>
      <c r="J687" s="95"/>
    </row>
    <row r="688">
      <c r="A688" s="92"/>
      <c r="B688" s="92"/>
      <c r="C688" s="92"/>
      <c r="D688" s="92"/>
      <c r="E688" s="92"/>
      <c r="F688" s="92"/>
      <c r="G688" s="92"/>
      <c r="H688" s="92"/>
      <c r="I688" s="20"/>
      <c r="J688" s="95"/>
    </row>
    <row r="689">
      <c r="A689" s="92"/>
      <c r="B689" s="92"/>
      <c r="C689" s="92"/>
      <c r="D689" s="92"/>
      <c r="E689" s="92"/>
      <c r="F689" s="92"/>
      <c r="G689" s="92"/>
      <c r="H689" s="92"/>
      <c r="I689" s="20"/>
      <c r="J689" s="95"/>
    </row>
    <row r="690">
      <c r="A690" s="92"/>
      <c r="B690" s="92"/>
      <c r="C690" s="92"/>
      <c r="D690" s="92"/>
      <c r="E690" s="92"/>
      <c r="F690" s="92"/>
      <c r="G690" s="92"/>
      <c r="H690" s="92"/>
      <c r="I690" s="20"/>
      <c r="J690" s="95"/>
    </row>
    <row r="691">
      <c r="A691" s="92"/>
      <c r="B691" s="92"/>
      <c r="C691" s="92"/>
      <c r="D691" s="92"/>
      <c r="E691" s="92"/>
      <c r="F691" s="92"/>
      <c r="G691" s="92"/>
      <c r="H691" s="92"/>
      <c r="I691" s="20"/>
      <c r="J691" s="95"/>
    </row>
    <row r="692">
      <c r="A692" s="92"/>
      <c r="B692" s="92"/>
      <c r="C692" s="92"/>
      <c r="D692" s="92"/>
      <c r="E692" s="92"/>
      <c r="F692" s="92"/>
      <c r="G692" s="92"/>
      <c r="H692" s="92"/>
      <c r="I692" s="20"/>
      <c r="J692" s="95"/>
    </row>
    <row r="693">
      <c r="A693" s="92"/>
      <c r="B693" s="92"/>
      <c r="C693" s="92"/>
      <c r="D693" s="92"/>
      <c r="E693" s="92"/>
      <c r="F693" s="92"/>
      <c r="G693" s="92"/>
      <c r="H693" s="92"/>
      <c r="I693" s="20"/>
      <c r="J693" s="95"/>
    </row>
    <row r="694">
      <c r="A694" s="92"/>
      <c r="B694" s="92"/>
      <c r="C694" s="92"/>
      <c r="D694" s="92"/>
      <c r="E694" s="92"/>
      <c r="F694" s="92"/>
      <c r="G694" s="92"/>
      <c r="H694" s="92"/>
      <c r="I694" s="20"/>
      <c r="J694" s="95"/>
    </row>
    <row r="695">
      <c r="A695" s="92"/>
      <c r="B695" s="92"/>
      <c r="C695" s="92"/>
      <c r="D695" s="92"/>
      <c r="E695" s="92"/>
      <c r="F695" s="92"/>
      <c r="G695" s="92"/>
      <c r="H695" s="92"/>
      <c r="I695" s="20"/>
      <c r="J695" s="95"/>
    </row>
    <row r="696">
      <c r="A696" s="92"/>
      <c r="B696" s="92"/>
      <c r="C696" s="92"/>
      <c r="D696" s="92"/>
      <c r="E696" s="92"/>
      <c r="F696" s="92"/>
      <c r="G696" s="92"/>
      <c r="H696" s="92"/>
      <c r="I696" s="20"/>
      <c r="J696" s="95"/>
    </row>
    <row r="697">
      <c r="A697" s="92"/>
      <c r="B697" s="92"/>
      <c r="C697" s="92"/>
      <c r="D697" s="92"/>
      <c r="E697" s="92"/>
      <c r="F697" s="92"/>
      <c r="G697" s="92"/>
      <c r="H697" s="92"/>
      <c r="I697" s="20"/>
      <c r="J697" s="95"/>
    </row>
    <row r="698">
      <c r="A698" s="92"/>
      <c r="B698" s="92"/>
      <c r="C698" s="92"/>
      <c r="D698" s="92"/>
      <c r="E698" s="92"/>
      <c r="F698" s="92"/>
      <c r="G698" s="92"/>
      <c r="H698" s="92"/>
      <c r="I698" s="20"/>
      <c r="J698" s="95"/>
    </row>
    <row r="699">
      <c r="A699" s="92"/>
      <c r="B699" s="92"/>
      <c r="C699" s="92"/>
      <c r="D699" s="92"/>
      <c r="E699" s="92"/>
      <c r="F699" s="92"/>
      <c r="G699" s="92"/>
      <c r="H699" s="92"/>
      <c r="I699" s="20"/>
      <c r="J699" s="95"/>
    </row>
    <row r="700">
      <c r="A700" s="92"/>
      <c r="B700" s="92"/>
      <c r="C700" s="92"/>
      <c r="D700" s="92"/>
      <c r="E700" s="92"/>
      <c r="F700" s="92"/>
      <c r="G700" s="92"/>
      <c r="H700" s="92"/>
      <c r="I700" s="20"/>
      <c r="J700" s="95"/>
    </row>
    <row r="701">
      <c r="A701" s="92"/>
      <c r="B701" s="92"/>
      <c r="C701" s="92"/>
      <c r="D701" s="92"/>
      <c r="E701" s="92"/>
      <c r="F701" s="92"/>
      <c r="G701" s="92"/>
      <c r="H701" s="92"/>
      <c r="I701" s="20"/>
      <c r="J701" s="95"/>
    </row>
    <row r="702">
      <c r="A702" s="92"/>
      <c r="B702" s="92"/>
      <c r="C702" s="92"/>
      <c r="D702" s="92"/>
      <c r="E702" s="92"/>
      <c r="F702" s="92"/>
      <c r="G702" s="92"/>
      <c r="H702" s="92"/>
      <c r="I702" s="20"/>
      <c r="J702" s="95"/>
    </row>
    <row r="703">
      <c r="A703" s="92"/>
      <c r="B703" s="92"/>
      <c r="C703" s="92"/>
      <c r="D703" s="92"/>
      <c r="E703" s="92"/>
      <c r="F703" s="92"/>
      <c r="G703" s="92"/>
      <c r="H703" s="92"/>
      <c r="I703" s="20"/>
      <c r="J703" s="95"/>
    </row>
    <row r="704">
      <c r="A704" s="92"/>
      <c r="B704" s="92"/>
      <c r="C704" s="92"/>
      <c r="D704" s="92"/>
      <c r="E704" s="92"/>
      <c r="F704" s="92"/>
      <c r="G704" s="92"/>
      <c r="H704" s="92"/>
      <c r="I704" s="20"/>
      <c r="J704" s="95"/>
    </row>
    <row r="705">
      <c r="A705" s="92"/>
      <c r="B705" s="92"/>
      <c r="C705" s="92"/>
      <c r="D705" s="92"/>
      <c r="E705" s="92"/>
      <c r="F705" s="92"/>
      <c r="G705" s="92"/>
      <c r="H705" s="92"/>
      <c r="I705" s="20"/>
      <c r="J705" s="95"/>
    </row>
    <row r="706">
      <c r="A706" s="92"/>
      <c r="B706" s="92"/>
      <c r="C706" s="92"/>
      <c r="D706" s="92"/>
      <c r="E706" s="92"/>
      <c r="F706" s="92"/>
      <c r="G706" s="92"/>
      <c r="H706" s="92"/>
      <c r="I706" s="20"/>
      <c r="J706" s="95"/>
    </row>
    <row r="707">
      <c r="A707" s="92"/>
      <c r="B707" s="92"/>
      <c r="C707" s="92"/>
      <c r="D707" s="92"/>
      <c r="E707" s="92"/>
      <c r="F707" s="92"/>
      <c r="G707" s="92"/>
      <c r="H707" s="92"/>
      <c r="I707" s="20"/>
      <c r="J707" s="95"/>
    </row>
    <row r="708">
      <c r="A708" s="92"/>
      <c r="B708" s="92"/>
      <c r="C708" s="92"/>
      <c r="D708" s="92"/>
      <c r="E708" s="92"/>
      <c r="F708" s="92"/>
      <c r="G708" s="92"/>
      <c r="H708" s="92"/>
      <c r="I708" s="20"/>
      <c r="J708" s="95"/>
    </row>
    <row r="709">
      <c r="A709" s="92"/>
      <c r="B709" s="92"/>
      <c r="C709" s="92"/>
      <c r="D709" s="92"/>
      <c r="E709" s="92"/>
      <c r="F709" s="92"/>
      <c r="G709" s="92"/>
      <c r="H709" s="92"/>
      <c r="I709" s="20"/>
      <c r="J709" s="95"/>
    </row>
    <row r="710">
      <c r="A710" s="92"/>
      <c r="B710" s="92"/>
      <c r="C710" s="92"/>
      <c r="D710" s="92"/>
      <c r="E710" s="92"/>
      <c r="F710" s="92"/>
      <c r="G710" s="92"/>
      <c r="H710" s="92"/>
      <c r="I710" s="20"/>
      <c r="J710" s="95"/>
    </row>
    <row r="711">
      <c r="A711" s="92"/>
      <c r="B711" s="92"/>
      <c r="C711" s="92"/>
      <c r="D711" s="92"/>
      <c r="E711" s="92"/>
      <c r="F711" s="92"/>
      <c r="G711" s="92"/>
      <c r="H711" s="92"/>
      <c r="I711" s="20"/>
      <c r="J711" s="95"/>
    </row>
    <row r="712">
      <c r="A712" s="92"/>
      <c r="B712" s="92"/>
      <c r="C712" s="92"/>
      <c r="D712" s="92"/>
      <c r="E712" s="92"/>
      <c r="F712" s="92"/>
      <c r="G712" s="92"/>
      <c r="H712" s="92"/>
      <c r="I712" s="20"/>
      <c r="J712" s="95"/>
    </row>
    <row r="713">
      <c r="A713" s="92"/>
      <c r="B713" s="92"/>
      <c r="C713" s="92"/>
      <c r="D713" s="92"/>
      <c r="E713" s="92"/>
      <c r="F713" s="92"/>
      <c r="G713" s="92"/>
      <c r="H713" s="92"/>
      <c r="I713" s="20"/>
      <c r="J713" s="95"/>
    </row>
    <row r="714">
      <c r="A714" s="92"/>
      <c r="B714" s="92"/>
      <c r="C714" s="92"/>
      <c r="D714" s="92"/>
      <c r="E714" s="92"/>
      <c r="F714" s="92"/>
      <c r="G714" s="92"/>
      <c r="H714" s="92"/>
      <c r="I714" s="20"/>
      <c r="J714" s="95"/>
    </row>
    <row r="715">
      <c r="A715" s="92"/>
      <c r="B715" s="92"/>
      <c r="C715" s="92"/>
      <c r="D715" s="92"/>
      <c r="E715" s="92"/>
      <c r="F715" s="92"/>
      <c r="G715" s="92"/>
      <c r="H715" s="92"/>
      <c r="I715" s="20"/>
      <c r="J715" s="95"/>
    </row>
    <row r="716">
      <c r="A716" s="92"/>
      <c r="B716" s="92"/>
      <c r="C716" s="92"/>
      <c r="D716" s="92"/>
      <c r="E716" s="92"/>
      <c r="F716" s="92"/>
      <c r="G716" s="92"/>
      <c r="H716" s="92"/>
      <c r="I716" s="20"/>
      <c r="J716" s="95"/>
    </row>
    <row r="717">
      <c r="A717" s="92"/>
      <c r="B717" s="92"/>
      <c r="C717" s="92"/>
      <c r="D717" s="92"/>
      <c r="E717" s="92"/>
      <c r="F717" s="92"/>
      <c r="G717" s="92"/>
      <c r="H717" s="92"/>
      <c r="I717" s="20"/>
      <c r="J717" s="95"/>
    </row>
    <row r="718">
      <c r="A718" s="92"/>
      <c r="B718" s="92"/>
      <c r="C718" s="92"/>
      <c r="D718" s="92"/>
      <c r="E718" s="92"/>
      <c r="F718" s="92"/>
      <c r="G718" s="92"/>
      <c r="H718" s="92"/>
      <c r="I718" s="20"/>
      <c r="J718" s="95"/>
    </row>
    <row r="719">
      <c r="A719" s="92"/>
      <c r="B719" s="92"/>
      <c r="C719" s="92"/>
      <c r="D719" s="92"/>
      <c r="E719" s="92"/>
      <c r="F719" s="92"/>
      <c r="G719" s="92"/>
      <c r="H719" s="92"/>
      <c r="I719" s="20"/>
      <c r="J719" s="95"/>
    </row>
    <row r="720">
      <c r="A720" s="92"/>
      <c r="B720" s="92"/>
      <c r="C720" s="92"/>
      <c r="D720" s="92"/>
      <c r="E720" s="92"/>
      <c r="F720" s="92"/>
      <c r="G720" s="92"/>
      <c r="H720" s="92"/>
      <c r="I720" s="20"/>
      <c r="J720" s="95"/>
    </row>
    <row r="721">
      <c r="A721" s="92"/>
      <c r="B721" s="92"/>
      <c r="C721" s="92"/>
      <c r="D721" s="92"/>
      <c r="E721" s="92"/>
      <c r="F721" s="92"/>
      <c r="G721" s="92"/>
      <c r="H721" s="92"/>
      <c r="I721" s="20"/>
      <c r="J721" s="95"/>
    </row>
    <row r="722">
      <c r="A722" s="92"/>
      <c r="B722" s="92"/>
      <c r="C722" s="92"/>
      <c r="D722" s="92"/>
      <c r="E722" s="92"/>
      <c r="F722" s="92"/>
      <c r="G722" s="92"/>
      <c r="H722" s="92"/>
      <c r="I722" s="20"/>
      <c r="J722" s="95"/>
    </row>
    <row r="723">
      <c r="A723" s="92"/>
      <c r="B723" s="92"/>
      <c r="C723" s="92"/>
      <c r="D723" s="92"/>
      <c r="E723" s="92"/>
      <c r="F723" s="92"/>
      <c r="G723" s="92"/>
      <c r="H723" s="92"/>
      <c r="I723" s="20"/>
      <c r="J723" s="95"/>
    </row>
    <row r="724">
      <c r="A724" s="92"/>
      <c r="B724" s="92"/>
      <c r="C724" s="92"/>
      <c r="D724" s="92"/>
      <c r="E724" s="92"/>
      <c r="F724" s="92"/>
      <c r="G724" s="92"/>
      <c r="H724" s="92"/>
      <c r="I724" s="20"/>
      <c r="J724" s="95"/>
    </row>
    <row r="725">
      <c r="A725" s="92"/>
      <c r="B725" s="92"/>
      <c r="C725" s="92"/>
      <c r="D725" s="92"/>
      <c r="E725" s="92"/>
      <c r="F725" s="92"/>
      <c r="G725" s="92"/>
      <c r="H725" s="92"/>
      <c r="I725" s="20"/>
      <c r="J725" s="95"/>
    </row>
    <row r="726">
      <c r="A726" s="92"/>
      <c r="B726" s="92"/>
      <c r="C726" s="92"/>
      <c r="D726" s="92"/>
      <c r="E726" s="92"/>
      <c r="F726" s="92"/>
      <c r="G726" s="92"/>
      <c r="H726" s="92"/>
      <c r="I726" s="20"/>
      <c r="J726" s="95"/>
    </row>
    <row r="727">
      <c r="A727" s="92"/>
      <c r="B727" s="92"/>
      <c r="C727" s="92"/>
      <c r="D727" s="92"/>
      <c r="E727" s="92"/>
      <c r="F727" s="92"/>
      <c r="G727" s="92"/>
      <c r="H727" s="92"/>
      <c r="I727" s="20"/>
      <c r="J727" s="95"/>
    </row>
    <row r="728">
      <c r="A728" s="92"/>
      <c r="B728" s="92"/>
      <c r="C728" s="92"/>
      <c r="D728" s="92"/>
      <c r="E728" s="92"/>
      <c r="F728" s="92"/>
      <c r="G728" s="92"/>
      <c r="H728" s="92"/>
      <c r="I728" s="20"/>
      <c r="J728" s="95"/>
    </row>
    <row r="729">
      <c r="A729" s="92"/>
      <c r="B729" s="92"/>
      <c r="C729" s="92"/>
      <c r="D729" s="92"/>
      <c r="E729" s="92"/>
      <c r="F729" s="92"/>
      <c r="G729" s="92"/>
      <c r="H729" s="92"/>
      <c r="I729" s="20"/>
      <c r="J729" s="95"/>
    </row>
    <row r="730">
      <c r="A730" s="92"/>
      <c r="B730" s="92"/>
      <c r="C730" s="92"/>
      <c r="D730" s="92"/>
      <c r="E730" s="92"/>
      <c r="F730" s="92"/>
      <c r="G730" s="92"/>
      <c r="H730" s="92"/>
      <c r="I730" s="20"/>
      <c r="J730" s="95"/>
    </row>
    <row r="731">
      <c r="A731" s="92"/>
      <c r="B731" s="92"/>
      <c r="C731" s="92"/>
      <c r="D731" s="92"/>
      <c r="E731" s="92"/>
      <c r="F731" s="92"/>
      <c r="G731" s="92"/>
      <c r="H731" s="92"/>
      <c r="I731" s="20"/>
      <c r="J731" s="95"/>
    </row>
    <row r="732">
      <c r="A732" s="92"/>
      <c r="B732" s="92"/>
      <c r="C732" s="92"/>
      <c r="D732" s="92"/>
      <c r="E732" s="92"/>
      <c r="F732" s="92"/>
      <c r="G732" s="92"/>
      <c r="H732" s="92"/>
      <c r="I732" s="20"/>
      <c r="J732" s="95"/>
    </row>
    <row r="733">
      <c r="A733" s="92"/>
      <c r="B733" s="92"/>
      <c r="C733" s="92"/>
      <c r="D733" s="92"/>
      <c r="E733" s="92"/>
      <c r="F733" s="92"/>
      <c r="G733" s="92"/>
      <c r="H733" s="92"/>
      <c r="I733" s="20"/>
      <c r="J733" s="95"/>
    </row>
    <row r="734">
      <c r="A734" s="92"/>
      <c r="B734" s="92"/>
      <c r="C734" s="92"/>
      <c r="D734" s="92"/>
      <c r="E734" s="92"/>
      <c r="F734" s="92"/>
      <c r="G734" s="92"/>
      <c r="H734" s="92"/>
      <c r="I734" s="20"/>
      <c r="J734" s="95"/>
    </row>
    <row r="735">
      <c r="A735" s="92"/>
      <c r="B735" s="92"/>
      <c r="C735" s="92"/>
      <c r="D735" s="92"/>
      <c r="E735" s="92"/>
      <c r="F735" s="92"/>
      <c r="G735" s="92"/>
      <c r="H735" s="92"/>
      <c r="I735" s="20"/>
      <c r="J735" s="95"/>
    </row>
    <row r="736">
      <c r="A736" s="92"/>
      <c r="B736" s="92"/>
      <c r="C736" s="92"/>
      <c r="D736" s="92"/>
      <c r="E736" s="92"/>
      <c r="F736" s="92"/>
      <c r="G736" s="92"/>
      <c r="H736" s="92"/>
      <c r="I736" s="20"/>
      <c r="J736" s="95"/>
    </row>
    <row r="737">
      <c r="A737" s="92"/>
      <c r="B737" s="92"/>
      <c r="C737" s="92"/>
      <c r="D737" s="92"/>
      <c r="E737" s="92"/>
      <c r="F737" s="92"/>
      <c r="G737" s="92"/>
      <c r="H737" s="92"/>
      <c r="I737" s="20"/>
      <c r="J737" s="95"/>
    </row>
    <row r="738">
      <c r="A738" s="92"/>
      <c r="B738" s="92"/>
      <c r="C738" s="92"/>
      <c r="D738" s="92"/>
      <c r="E738" s="92"/>
      <c r="F738" s="92"/>
      <c r="G738" s="92"/>
      <c r="H738" s="92"/>
      <c r="I738" s="20"/>
      <c r="J738" s="95"/>
    </row>
    <row r="739">
      <c r="A739" s="92"/>
      <c r="B739" s="92"/>
      <c r="C739" s="92"/>
      <c r="D739" s="92"/>
      <c r="E739" s="92"/>
      <c r="F739" s="92"/>
      <c r="G739" s="92"/>
      <c r="H739" s="92"/>
      <c r="I739" s="20"/>
      <c r="J739" s="95"/>
    </row>
    <row r="740">
      <c r="A740" s="92"/>
      <c r="B740" s="92"/>
      <c r="C740" s="92"/>
      <c r="D740" s="92"/>
      <c r="E740" s="92"/>
      <c r="F740" s="92"/>
      <c r="G740" s="92"/>
      <c r="H740" s="92"/>
      <c r="I740" s="20"/>
      <c r="J740" s="95"/>
    </row>
    <row r="741">
      <c r="A741" s="92"/>
      <c r="B741" s="92"/>
      <c r="C741" s="92"/>
      <c r="D741" s="92"/>
      <c r="E741" s="92"/>
      <c r="F741" s="92"/>
      <c r="G741" s="92"/>
      <c r="H741" s="92"/>
      <c r="I741" s="20"/>
      <c r="J741" s="95"/>
    </row>
    <row r="742">
      <c r="A742" s="92"/>
      <c r="B742" s="92"/>
      <c r="C742" s="92"/>
      <c r="D742" s="92"/>
      <c r="E742" s="92"/>
      <c r="F742" s="92"/>
      <c r="G742" s="92"/>
      <c r="H742" s="92"/>
      <c r="I742" s="20"/>
      <c r="J742" s="95"/>
    </row>
    <row r="743">
      <c r="A743" s="92"/>
      <c r="B743" s="92"/>
      <c r="C743" s="92"/>
      <c r="D743" s="92"/>
      <c r="E743" s="92"/>
      <c r="F743" s="92"/>
      <c r="G743" s="92"/>
      <c r="H743" s="92"/>
      <c r="I743" s="20"/>
      <c r="J743" s="95"/>
    </row>
    <row r="744">
      <c r="A744" s="92"/>
      <c r="B744" s="92"/>
      <c r="C744" s="92"/>
      <c r="D744" s="92"/>
      <c r="E744" s="92"/>
      <c r="F744" s="92"/>
      <c r="G744" s="92"/>
      <c r="H744" s="92"/>
      <c r="I744" s="20"/>
      <c r="J744" s="95"/>
    </row>
    <row r="745">
      <c r="A745" s="92"/>
      <c r="B745" s="92"/>
      <c r="C745" s="92"/>
      <c r="D745" s="92"/>
      <c r="E745" s="92"/>
      <c r="F745" s="92"/>
      <c r="G745" s="92"/>
      <c r="H745" s="92"/>
      <c r="I745" s="20"/>
      <c r="J745" s="95"/>
    </row>
    <row r="746">
      <c r="A746" s="92"/>
      <c r="B746" s="92"/>
      <c r="C746" s="92"/>
      <c r="D746" s="92"/>
      <c r="E746" s="92"/>
      <c r="F746" s="92"/>
      <c r="G746" s="92"/>
      <c r="H746" s="92"/>
      <c r="I746" s="20"/>
      <c r="J746" s="95"/>
    </row>
    <row r="747">
      <c r="A747" s="92"/>
      <c r="B747" s="92"/>
      <c r="C747" s="92"/>
      <c r="D747" s="92"/>
      <c r="E747" s="92"/>
      <c r="F747" s="92"/>
      <c r="G747" s="92"/>
      <c r="H747" s="92"/>
      <c r="I747" s="20"/>
      <c r="J747" s="95"/>
    </row>
    <row r="748">
      <c r="A748" s="92"/>
      <c r="B748" s="92"/>
      <c r="C748" s="92"/>
      <c r="D748" s="92"/>
      <c r="E748" s="92"/>
      <c r="F748" s="92"/>
      <c r="G748" s="92"/>
      <c r="H748" s="92"/>
      <c r="I748" s="20"/>
      <c r="J748" s="95"/>
    </row>
    <row r="749">
      <c r="A749" s="92"/>
      <c r="B749" s="92"/>
      <c r="C749" s="92"/>
      <c r="D749" s="92"/>
      <c r="E749" s="92"/>
      <c r="F749" s="92"/>
      <c r="G749" s="92"/>
      <c r="H749" s="92"/>
      <c r="I749" s="20"/>
      <c r="J749" s="95"/>
    </row>
    <row r="750">
      <c r="A750" s="92"/>
      <c r="B750" s="92"/>
      <c r="C750" s="92"/>
      <c r="D750" s="92"/>
      <c r="E750" s="92"/>
      <c r="F750" s="92"/>
      <c r="G750" s="92"/>
      <c r="H750" s="92"/>
      <c r="I750" s="20"/>
      <c r="J750" s="95"/>
    </row>
    <row r="751">
      <c r="A751" s="92"/>
      <c r="B751" s="92"/>
      <c r="C751" s="92"/>
      <c r="D751" s="92"/>
      <c r="E751" s="92"/>
      <c r="F751" s="92"/>
      <c r="G751" s="92"/>
      <c r="H751" s="92"/>
      <c r="I751" s="20"/>
      <c r="J751" s="95"/>
    </row>
    <row r="752">
      <c r="A752" s="92"/>
      <c r="B752" s="92"/>
      <c r="C752" s="92"/>
      <c r="D752" s="92"/>
      <c r="E752" s="92"/>
      <c r="F752" s="92"/>
      <c r="G752" s="92"/>
      <c r="H752" s="92"/>
      <c r="I752" s="20"/>
      <c r="J752" s="95"/>
    </row>
    <row r="753">
      <c r="A753" s="92"/>
      <c r="B753" s="92"/>
      <c r="C753" s="92"/>
      <c r="D753" s="92"/>
      <c r="E753" s="92"/>
      <c r="F753" s="92"/>
      <c r="G753" s="92"/>
      <c r="H753" s="92"/>
      <c r="I753" s="20"/>
      <c r="J753" s="95"/>
    </row>
    <row r="754">
      <c r="A754" s="92"/>
      <c r="B754" s="92"/>
      <c r="C754" s="92"/>
      <c r="D754" s="92"/>
      <c r="E754" s="92"/>
      <c r="F754" s="92"/>
      <c r="G754" s="92"/>
      <c r="H754" s="92"/>
      <c r="I754" s="20"/>
      <c r="J754" s="95"/>
    </row>
    <row r="755">
      <c r="A755" s="92"/>
      <c r="B755" s="92"/>
      <c r="C755" s="92"/>
      <c r="D755" s="92"/>
      <c r="E755" s="92"/>
      <c r="F755" s="92"/>
      <c r="G755" s="92"/>
      <c r="H755" s="92"/>
      <c r="I755" s="20"/>
      <c r="J755" s="95"/>
    </row>
    <row r="756">
      <c r="A756" s="92"/>
      <c r="B756" s="92"/>
      <c r="C756" s="92"/>
      <c r="D756" s="92"/>
      <c r="E756" s="92"/>
      <c r="F756" s="92"/>
      <c r="G756" s="92"/>
      <c r="H756" s="92"/>
      <c r="I756" s="20"/>
      <c r="J756" s="95"/>
    </row>
    <row r="757">
      <c r="A757" s="92"/>
      <c r="B757" s="92"/>
      <c r="C757" s="92"/>
      <c r="D757" s="92"/>
      <c r="E757" s="92"/>
      <c r="F757" s="92"/>
      <c r="G757" s="92"/>
      <c r="H757" s="92"/>
      <c r="I757" s="20"/>
      <c r="J757" s="95"/>
    </row>
    <row r="758">
      <c r="A758" s="92"/>
      <c r="B758" s="92"/>
      <c r="C758" s="92"/>
      <c r="D758" s="92"/>
      <c r="E758" s="92"/>
      <c r="F758" s="92"/>
      <c r="G758" s="92"/>
      <c r="H758" s="92"/>
      <c r="I758" s="20"/>
      <c r="J758" s="95"/>
    </row>
    <row r="759">
      <c r="A759" s="92"/>
      <c r="B759" s="92"/>
      <c r="C759" s="92"/>
      <c r="D759" s="92"/>
      <c r="E759" s="92"/>
      <c r="F759" s="92"/>
      <c r="G759" s="92"/>
      <c r="H759" s="92"/>
      <c r="I759" s="20"/>
      <c r="J759" s="95"/>
    </row>
    <row r="760">
      <c r="A760" s="92"/>
      <c r="B760" s="92"/>
      <c r="C760" s="92"/>
      <c r="D760" s="92"/>
      <c r="E760" s="92"/>
      <c r="F760" s="92"/>
      <c r="G760" s="92"/>
      <c r="H760" s="92"/>
      <c r="I760" s="20"/>
      <c r="J760" s="95"/>
    </row>
    <row r="761">
      <c r="A761" s="92"/>
      <c r="B761" s="92"/>
      <c r="C761" s="92"/>
      <c r="D761" s="92"/>
      <c r="E761" s="92"/>
      <c r="F761" s="92"/>
      <c r="G761" s="92"/>
      <c r="H761" s="92"/>
      <c r="I761" s="20"/>
      <c r="J761" s="95"/>
    </row>
    <row r="762">
      <c r="A762" s="92"/>
      <c r="B762" s="92"/>
      <c r="C762" s="92"/>
      <c r="D762" s="92"/>
      <c r="E762" s="92"/>
      <c r="F762" s="92"/>
      <c r="G762" s="92"/>
      <c r="H762" s="92"/>
      <c r="I762" s="20"/>
      <c r="J762" s="95"/>
    </row>
    <row r="763">
      <c r="A763" s="92"/>
      <c r="B763" s="92"/>
      <c r="C763" s="92"/>
      <c r="D763" s="92"/>
      <c r="E763" s="92"/>
      <c r="F763" s="92"/>
      <c r="G763" s="92"/>
      <c r="H763" s="92"/>
      <c r="I763" s="20"/>
      <c r="J763" s="95"/>
    </row>
    <row r="764">
      <c r="A764" s="92"/>
      <c r="B764" s="92"/>
      <c r="C764" s="92"/>
      <c r="D764" s="92"/>
      <c r="E764" s="92"/>
      <c r="F764" s="92"/>
      <c r="G764" s="92"/>
      <c r="H764" s="92"/>
      <c r="I764" s="20"/>
      <c r="J764" s="95"/>
    </row>
    <row r="765">
      <c r="A765" s="92"/>
      <c r="B765" s="92"/>
      <c r="C765" s="92"/>
      <c r="D765" s="92"/>
      <c r="E765" s="92"/>
      <c r="F765" s="92"/>
      <c r="G765" s="92"/>
      <c r="H765" s="92"/>
      <c r="I765" s="20"/>
      <c r="J765" s="95"/>
    </row>
    <row r="766">
      <c r="A766" s="92"/>
      <c r="B766" s="92"/>
      <c r="C766" s="92"/>
      <c r="D766" s="92"/>
      <c r="E766" s="92"/>
      <c r="F766" s="92"/>
      <c r="G766" s="92"/>
      <c r="H766" s="92"/>
      <c r="I766" s="20"/>
      <c r="J766" s="95"/>
    </row>
    <row r="767">
      <c r="A767" s="92"/>
      <c r="B767" s="92"/>
      <c r="C767" s="92"/>
      <c r="D767" s="92"/>
      <c r="E767" s="92"/>
      <c r="F767" s="92"/>
      <c r="G767" s="92"/>
      <c r="H767" s="92"/>
      <c r="I767" s="20"/>
      <c r="J767" s="95"/>
    </row>
    <row r="768">
      <c r="A768" s="92"/>
      <c r="B768" s="92"/>
      <c r="C768" s="92"/>
      <c r="D768" s="92"/>
      <c r="E768" s="92"/>
      <c r="F768" s="92"/>
      <c r="G768" s="92"/>
      <c r="H768" s="92"/>
      <c r="I768" s="20"/>
      <c r="J768" s="95"/>
    </row>
    <row r="769">
      <c r="A769" s="92"/>
      <c r="B769" s="92"/>
      <c r="C769" s="92"/>
      <c r="D769" s="92"/>
      <c r="E769" s="92"/>
      <c r="F769" s="92"/>
      <c r="G769" s="92"/>
      <c r="H769" s="92"/>
      <c r="I769" s="20"/>
      <c r="J769" s="95"/>
    </row>
    <row r="770">
      <c r="A770" s="92"/>
      <c r="B770" s="92"/>
      <c r="C770" s="92"/>
      <c r="D770" s="92"/>
      <c r="E770" s="92"/>
      <c r="F770" s="92"/>
      <c r="G770" s="92"/>
      <c r="H770" s="92"/>
      <c r="I770" s="20"/>
      <c r="J770" s="95"/>
    </row>
    <row r="771">
      <c r="A771" s="92"/>
      <c r="B771" s="92"/>
      <c r="C771" s="92"/>
      <c r="D771" s="92"/>
      <c r="E771" s="92"/>
      <c r="F771" s="92"/>
      <c r="G771" s="92"/>
      <c r="H771" s="92"/>
      <c r="I771" s="20"/>
      <c r="J771" s="95"/>
    </row>
    <row r="772">
      <c r="A772" s="92"/>
      <c r="B772" s="92"/>
      <c r="C772" s="92"/>
      <c r="D772" s="92"/>
      <c r="E772" s="92"/>
      <c r="F772" s="92"/>
      <c r="G772" s="92"/>
      <c r="H772" s="92"/>
      <c r="I772" s="20"/>
      <c r="J772" s="95"/>
    </row>
    <row r="773">
      <c r="A773" s="92"/>
      <c r="B773" s="92"/>
      <c r="C773" s="92"/>
      <c r="D773" s="92"/>
      <c r="E773" s="92"/>
      <c r="F773" s="92"/>
      <c r="G773" s="92"/>
      <c r="H773" s="92"/>
      <c r="I773" s="20"/>
      <c r="J773" s="95"/>
    </row>
    <row r="774">
      <c r="A774" s="92"/>
      <c r="B774" s="92"/>
      <c r="C774" s="92"/>
      <c r="D774" s="92"/>
      <c r="E774" s="92"/>
      <c r="F774" s="92"/>
      <c r="G774" s="92"/>
      <c r="H774" s="92"/>
      <c r="I774" s="20"/>
      <c r="J774" s="95"/>
    </row>
    <row r="775">
      <c r="A775" s="92"/>
      <c r="B775" s="92"/>
      <c r="C775" s="92"/>
      <c r="D775" s="92"/>
      <c r="E775" s="92"/>
      <c r="F775" s="92"/>
      <c r="G775" s="92"/>
      <c r="H775" s="92"/>
      <c r="I775" s="20"/>
      <c r="J775" s="95"/>
    </row>
    <row r="776">
      <c r="A776" s="92"/>
      <c r="B776" s="92"/>
      <c r="C776" s="92"/>
      <c r="D776" s="92"/>
      <c r="E776" s="92"/>
      <c r="F776" s="92"/>
      <c r="G776" s="92"/>
      <c r="H776" s="92"/>
      <c r="I776" s="20"/>
      <c r="J776" s="95"/>
    </row>
    <row r="777">
      <c r="A777" s="92"/>
      <c r="B777" s="92"/>
      <c r="C777" s="92"/>
      <c r="D777" s="92"/>
      <c r="E777" s="92"/>
      <c r="F777" s="92"/>
      <c r="G777" s="92"/>
      <c r="H777" s="92"/>
      <c r="I777" s="20"/>
      <c r="J777" s="95"/>
    </row>
    <row r="778">
      <c r="A778" s="92"/>
      <c r="B778" s="92"/>
      <c r="C778" s="92"/>
      <c r="D778" s="92"/>
      <c r="E778" s="92"/>
      <c r="F778" s="92"/>
      <c r="G778" s="92"/>
      <c r="H778" s="92"/>
      <c r="I778" s="20"/>
      <c r="J778" s="95"/>
    </row>
    <row r="779">
      <c r="A779" s="92"/>
      <c r="B779" s="92"/>
      <c r="C779" s="92"/>
      <c r="D779" s="92"/>
      <c r="E779" s="92"/>
      <c r="F779" s="92"/>
      <c r="G779" s="92"/>
      <c r="H779" s="92"/>
      <c r="I779" s="20"/>
      <c r="J779" s="95"/>
    </row>
    <row r="780">
      <c r="A780" s="92"/>
      <c r="B780" s="92"/>
      <c r="C780" s="92"/>
      <c r="D780" s="92"/>
      <c r="E780" s="92"/>
      <c r="F780" s="92"/>
      <c r="G780" s="92"/>
      <c r="H780" s="92"/>
      <c r="I780" s="20"/>
      <c r="J780" s="95"/>
    </row>
    <row r="781">
      <c r="A781" s="92"/>
      <c r="B781" s="92"/>
      <c r="C781" s="92"/>
      <c r="D781" s="92"/>
      <c r="E781" s="92"/>
      <c r="F781" s="92"/>
      <c r="G781" s="92"/>
      <c r="H781" s="92"/>
      <c r="I781" s="20"/>
      <c r="J781" s="95"/>
    </row>
    <row r="782">
      <c r="A782" s="92"/>
      <c r="B782" s="92"/>
      <c r="C782" s="92"/>
      <c r="D782" s="92"/>
      <c r="E782" s="92"/>
      <c r="F782" s="92"/>
      <c r="G782" s="92"/>
      <c r="H782" s="92"/>
      <c r="I782" s="20"/>
      <c r="J782" s="95"/>
    </row>
    <row r="783">
      <c r="A783" s="92"/>
      <c r="B783" s="92"/>
      <c r="C783" s="92"/>
      <c r="D783" s="92"/>
      <c r="E783" s="92"/>
      <c r="F783" s="92"/>
      <c r="G783" s="92"/>
      <c r="H783" s="92"/>
      <c r="I783" s="20"/>
      <c r="J783" s="95"/>
    </row>
    <row r="784">
      <c r="A784" s="92"/>
      <c r="B784" s="92"/>
      <c r="C784" s="92"/>
      <c r="D784" s="92"/>
      <c r="E784" s="92"/>
      <c r="F784" s="92"/>
      <c r="G784" s="92"/>
      <c r="H784" s="92"/>
      <c r="I784" s="20"/>
      <c r="J784" s="95"/>
    </row>
    <row r="785">
      <c r="A785" s="92"/>
      <c r="B785" s="92"/>
      <c r="C785" s="92"/>
      <c r="D785" s="92"/>
      <c r="E785" s="92"/>
      <c r="F785" s="92"/>
      <c r="G785" s="92"/>
      <c r="H785" s="92"/>
      <c r="I785" s="20"/>
      <c r="J785" s="95"/>
    </row>
    <row r="786">
      <c r="A786" s="92"/>
      <c r="B786" s="92"/>
      <c r="C786" s="92"/>
      <c r="D786" s="92"/>
      <c r="E786" s="92"/>
      <c r="F786" s="92"/>
      <c r="G786" s="92"/>
      <c r="H786" s="92"/>
      <c r="I786" s="20"/>
      <c r="J786" s="95"/>
    </row>
    <row r="787">
      <c r="A787" s="92"/>
      <c r="B787" s="92"/>
      <c r="C787" s="92"/>
      <c r="D787" s="92"/>
      <c r="E787" s="92"/>
      <c r="F787" s="92"/>
      <c r="G787" s="92"/>
      <c r="H787" s="92"/>
      <c r="I787" s="20"/>
      <c r="J787" s="95"/>
    </row>
    <row r="788">
      <c r="A788" s="92"/>
      <c r="B788" s="92"/>
      <c r="C788" s="92"/>
      <c r="D788" s="92"/>
      <c r="E788" s="92"/>
      <c r="F788" s="92"/>
      <c r="G788" s="92"/>
      <c r="H788" s="92"/>
      <c r="I788" s="20"/>
      <c r="J788" s="95"/>
    </row>
    <row r="789">
      <c r="A789" s="92"/>
      <c r="B789" s="92"/>
      <c r="C789" s="92"/>
      <c r="D789" s="92"/>
      <c r="E789" s="92"/>
      <c r="F789" s="92"/>
      <c r="G789" s="92"/>
      <c r="H789" s="92"/>
      <c r="I789" s="20"/>
      <c r="J789" s="95"/>
    </row>
    <row r="790">
      <c r="A790" s="92"/>
      <c r="B790" s="92"/>
      <c r="C790" s="92"/>
      <c r="D790" s="92"/>
      <c r="E790" s="92"/>
      <c r="F790" s="92"/>
      <c r="G790" s="92"/>
      <c r="H790" s="92"/>
      <c r="I790" s="20"/>
      <c r="J790" s="95"/>
    </row>
    <row r="791">
      <c r="A791" s="92"/>
      <c r="B791" s="92"/>
      <c r="C791" s="92"/>
      <c r="D791" s="92"/>
      <c r="E791" s="92"/>
      <c r="F791" s="92"/>
      <c r="G791" s="92"/>
      <c r="H791" s="92"/>
      <c r="I791" s="20"/>
      <c r="J791" s="95"/>
    </row>
    <row r="792">
      <c r="A792" s="92"/>
      <c r="B792" s="92"/>
      <c r="C792" s="92"/>
      <c r="D792" s="92"/>
      <c r="E792" s="92"/>
      <c r="F792" s="92"/>
      <c r="G792" s="92"/>
      <c r="H792" s="92"/>
      <c r="I792" s="20"/>
      <c r="J792" s="95"/>
    </row>
    <row r="793">
      <c r="A793" s="92"/>
      <c r="B793" s="92"/>
      <c r="C793" s="92"/>
      <c r="D793" s="92"/>
      <c r="E793" s="92"/>
      <c r="F793" s="92"/>
      <c r="G793" s="92"/>
      <c r="H793" s="92"/>
      <c r="I793" s="20"/>
      <c r="J793" s="95"/>
    </row>
    <row r="794">
      <c r="A794" s="92"/>
      <c r="B794" s="92"/>
      <c r="C794" s="92"/>
      <c r="D794" s="92"/>
      <c r="E794" s="92"/>
      <c r="F794" s="92"/>
      <c r="G794" s="92"/>
      <c r="H794" s="92"/>
      <c r="I794" s="20"/>
      <c r="J794" s="95"/>
    </row>
    <row r="795">
      <c r="A795" s="92"/>
      <c r="B795" s="92"/>
      <c r="C795" s="92"/>
      <c r="D795" s="92"/>
      <c r="E795" s="92"/>
      <c r="F795" s="92"/>
      <c r="G795" s="92"/>
      <c r="H795" s="92"/>
      <c r="I795" s="20"/>
      <c r="J795" s="95"/>
    </row>
    <row r="796">
      <c r="A796" s="92"/>
      <c r="B796" s="92"/>
      <c r="C796" s="92"/>
      <c r="D796" s="92"/>
      <c r="E796" s="92"/>
      <c r="F796" s="92"/>
      <c r="G796" s="92"/>
      <c r="H796" s="92"/>
      <c r="I796" s="20"/>
      <c r="J796" s="95"/>
    </row>
    <row r="797">
      <c r="A797" s="92"/>
      <c r="B797" s="92"/>
      <c r="C797" s="92"/>
      <c r="D797" s="92"/>
      <c r="E797" s="92"/>
      <c r="F797" s="92"/>
      <c r="G797" s="92"/>
      <c r="H797" s="92"/>
      <c r="I797" s="20"/>
      <c r="J797" s="95"/>
    </row>
    <row r="798">
      <c r="A798" s="92"/>
      <c r="B798" s="92"/>
      <c r="C798" s="92"/>
      <c r="D798" s="92"/>
      <c r="E798" s="92"/>
      <c r="F798" s="92"/>
      <c r="G798" s="92"/>
      <c r="H798" s="92"/>
      <c r="I798" s="20"/>
      <c r="J798" s="95"/>
    </row>
    <row r="799">
      <c r="A799" s="92"/>
      <c r="B799" s="92"/>
      <c r="C799" s="92"/>
      <c r="D799" s="92"/>
      <c r="E799" s="92"/>
      <c r="F799" s="92"/>
      <c r="G799" s="92"/>
      <c r="H799" s="92"/>
      <c r="I799" s="20"/>
      <c r="J799" s="95"/>
    </row>
    <row r="800">
      <c r="A800" s="92"/>
      <c r="B800" s="92"/>
      <c r="C800" s="92"/>
      <c r="D800" s="92"/>
      <c r="E800" s="92"/>
      <c r="F800" s="92"/>
      <c r="G800" s="92"/>
      <c r="H800" s="92"/>
      <c r="I800" s="20"/>
      <c r="J800" s="95"/>
    </row>
    <row r="801">
      <c r="A801" s="92"/>
      <c r="B801" s="92"/>
      <c r="C801" s="92"/>
      <c r="D801" s="92"/>
      <c r="E801" s="92"/>
      <c r="F801" s="92"/>
      <c r="G801" s="92"/>
      <c r="H801" s="92"/>
      <c r="I801" s="20"/>
      <c r="J801" s="95"/>
    </row>
    <row r="802">
      <c r="A802" s="92"/>
      <c r="B802" s="92"/>
      <c r="C802" s="92"/>
      <c r="D802" s="92"/>
      <c r="E802" s="92"/>
      <c r="F802" s="92"/>
      <c r="G802" s="92"/>
      <c r="H802" s="92"/>
      <c r="I802" s="20"/>
      <c r="J802" s="95"/>
    </row>
    <row r="803">
      <c r="A803" s="92"/>
      <c r="B803" s="92"/>
      <c r="C803" s="92"/>
      <c r="D803" s="92"/>
      <c r="E803" s="92"/>
      <c r="F803" s="92"/>
      <c r="G803" s="92"/>
      <c r="H803" s="92"/>
      <c r="I803" s="20"/>
      <c r="J803" s="95"/>
    </row>
    <row r="804">
      <c r="A804" s="92"/>
      <c r="B804" s="92"/>
      <c r="C804" s="92"/>
      <c r="D804" s="92"/>
      <c r="E804" s="92"/>
      <c r="F804" s="92"/>
      <c r="G804" s="92"/>
      <c r="H804" s="92"/>
      <c r="I804" s="20"/>
      <c r="J804" s="95"/>
    </row>
    <row r="805">
      <c r="A805" s="92"/>
      <c r="B805" s="92"/>
      <c r="C805" s="92"/>
      <c r="D805" s="92"/>
      <c r="E805" s="92"/>
      <c r="F805" s="92"/>
      <c r="G805" s="92"/>
      <c r="H805" s="92"/>
      <c r="I805" s="20"/>
      <c r="J805" s="95"/>
    </row>
    <row r="806">
      <c r="A806" s="92"/>
      <c r="B806" s="92"/>
      <c r="C806" s="92"/>
      <c r="D806" s="92"/>
      <c r="E806" s="92"/>
      <c r="F806" s="92"/>
      <c r="G806" s="92"/>
      <c r="H806" s="92"/>
      <c r="I806" s="20"/>
      <c r="J806" s="95"/>
    </row>
    <row r="807">
      <c r="A807" s="92"/>
      <c r="B807" s="92"/>
      <c r="C807" s="92"/>
      <c r="D807" s="92"/>
      <c r="E807" s="92"/>
      <c r="F807" s="92"/>
      <c r="G807" s="92"/>
      <c r="H807" s="92"/>
      <c r="I807" s="20"/>
      <c r="J807" s="95"/>
    </row>
    <row r="808">
      <c r="A808" s="92"/>
      <c r="B808" s="92"/>
      <c r="C808" s="92"/>
      <c r="D808" s="92"/>
      <c r="E808" s="92"/>
      <c r="F808" s="92"/>
      <c r="G808" s="92"/>
      <c r="H808" s="92"/>
      <c r="I808" s="20"/>
      <c r="J808" s="95"/>
    </row>
    <row r="809">
      <c r="A809" s="92"/>
      <c r="B809" s="92"/>
      <c r="C809" s="92"/>
      <c r="D809" s="92"/>
      <c r="E809" s="92"/>
      <c r="F809" s="92"/>
      <c r="G809" s="92"/>
      <c r="H809" s="92"/>
      <c r="I809" s="20"/>
      <c r="J809" s="95"/>
    </row>
    <row r="810">
      <c r="A810" s="92"/>
      <c r="B810" s="92"/>
      <c r="C810" s="92"/>
      <c r="D810" s="92"/>
      <c r="E810" s="92"/>
      <c r="F810" s="92"/>
      <c r="G810" s="92"/>
      <c r="H810" s="92"/>
      <c r="I810" s="20"/>
      <c r="J810" s="95"/>
    </row>
    <row r="811">
      <c r="A811" s="92"/>
      <c r="B811" s="92"/>
      <c r="C811" s="92"/>
      <c r="D811" s="92"/>
      <c r="E811" s="92"/>
      <c r="F811" s="92"/>
      <c r="G811" s="92"/>
      <c r="H811" s="92"/>
      <c r="I811" s="20"/>
      <c r="J811" s="95"/>
    </row>
    <row r="812">
      <c r="A812" s="92"/>
      <c r="B812" s="92"/>
      <c r="C812" s="92"/>
      <c r="D812" s="92"/>
      <c r="E812" s="92"/>
      <c r="F812" s="92"/>
      <c r="G812" s="92"/>
      <c r="H812" s="92"/>
      <c r="I812" s="20"/>
      <c r="J812" s="95"/>
    </row>
    <row r="813">
      <c r="A813" s="92"/>
      <c r="B813" s="92"/>
      <c r="C813" s="92"/>
      <c r="D813" s="92"/>
      <c r="E813" s="92"/>
      <c r="F813" s="92"/>
      <c r="G813" s="92"/>
      <c r="H813" s="92"/>
      <c r="I813" s="20"/>
      <c r="J813" s="95"/>
    </row>
    <row r="814">
      <c r="A814" s="92"/>
      <c r="B814" s="92"/>
      <c r="C814" s="92"/>
      <c r="D814" s="92"/>
      <c r="E814" s="92"/>
      <c r="F814" s="92"/>
      <c r="G814" s="92"/>
      <c r="H814" s="92"/>
      <c r="I814" s="20"/>
      <c r="J814" s="95"/>
    </row>
    <row r="815">
      <c r="A815" s="92"/>
      <c r="B815" s="92"/>
      <c r="C815" s="92"/>
      <c r="D815" s="92"/>
      <c r="E815" s="92"/>
      <c r="F815" s="92"/>
      <c r="G815" s="92"/>
      <c r="H815" s="92"/>
      <c r="I815" s="20"/>
      <c r="J815" s="95"/>
    </row>
    <row r="816">
      <c r="A816" s="92"/>
      <c r="B816" s="92"/>
      <c r="C816" s="92"/>
      <c r="D816" s="92"/>
      <c r="E816" s="92"/>
      <c r="F816" s="92"/>
      <c r="G816" s="92"/>
      <c r="H816" s="92"/>
      <c r="I816" s="20"/>
      <c r="J816" s="95"/>
    </row>
    <row r="817">
      <c r="A817" s="92"/>
      <c r="B817" s="92"/>
      <c r="C817" s="92"/>
      <c r="D817" s="92"/>
      <c r="E817" s="92"/>
      <c r="F817" s="92"/>
      <c r="G817" s="92"/>
      <c r="H817" s="92"/>
      <c r="I817" s="20"/>
      <c r="J817" s="95"/>
    </row>
    <row r="818">
      <c r="A818" s="92"/>
      <c r="B818" s="92"/>
      <c r="C818" s="92"/>
      <c r="D818" s="92"/>
      <c r="E818" s="92"/>
      <c r="F818" s="92"/>
      <c r="G818" s="92"/>
      <c r="H818" s="92"/>
      <c r="I818" s="20"/>
      <c r="J818" s="95"/>
    </row>
    <row r="819">
      <c r="A819" s="92"/>
      <c r="B819" s="92"/>
      <c r="C819" s="92"/>
      <c r="D819" s="92"/>
      <c r="E819" s="92"/>
      <c r="F819" s="92"/>
      <c r="G819" s="92"/>
      <c r="H819" s="92"/>
      <c r="I819" s="20"/>
      <c r="J819" s="95"/>
    </row>
    <row r="820">
      <c r="A820" s="92"/>
      <c r="B820" s="92"/>
      <c r="C820" s="92"/>
      <c r="D820" s="92"/>
      <c r="E820" s="92"/>
      <c r="F820" s="92"/>
      <c r="G820" s="92"/>
      <c r="H820" s="92"/>
      <c r="I820" s="20"/>
      <c r="J820" s="95"/>
    </row>
    <row r="821">
      <c r="A821" s="92"/>
      <c r="B821" s="92"/>
      <c r="C821" s="92"/>
      <c r="D821" s="92"/>
      <c r="E821" s="92"/>
      <c r="F821" s="92"/>
      <c r="G821" s="92"/>
      <c r="H821" s="92"/>
      <c r="I821" s="20"/>
      <c r="J821" s="95"/>
    </row>
    <row r="822">
      <c r="A822" s="92"/>
      <c r="B822" s="92"/>
      <c r="C822" s="92"/>
      <c r="D822" s="92"/>
      <c r="E822" s="92"/>
      <c r="F822" s="92"/>
      <c r="G822" s="92"/>
      <c r="H822" s="92"/>
      <c r="I822" s="20"/>
      <c r="J822" s="95"/>
    </row>
    <row r="823">
      <c r="A823" s="92"/>
      <c r="B823" s="92"/>
      <c r="C823" s="92"/>
      <c r="D823" s="92"/>
      <c r="E823" s="92"/>
      <c r="F823" s="92"/>
      <c r="G823" s="92"/>
      <c r="H823" s="92"/>
      <c r="I823" s="20"/>
      <c r="J823" s="95"/>
    </row>
    <row r="824">
      <c r="A824" s="92"/>
      <c r="B824" s="92"/>
      <c r="C824" s="92"/>
      <c r="D824" s="92"/>
      <c r="E824" s="92"/>
      <c r="F824" s="92"/>
      <c r="G824" s="92"/>
      <c r="H824" s="92"/>
      <c r="I824" s="20"/>
      <c r="J824" s="95"/>
    </row>
    <row r="825">
      <c r="A825" s="92"/>
      <c r="B825" s="92"/>
      <c r="C825" s="92"/>
      <c r="D825" s="92"/>
      <c r="E825" s="92"/>
      <c r="F825" s="92"/>
      <c r="G825" s="92"/>
      <c r="H825" s="92"/>
      <c r="I825" s="20"/>
      <c r="J825" s="95"/>
    </row>
    <row r="826">
      <c r="A826" s="92"/>
      <c r="B826" s="92"/>
      <c r="C826" s="92"/>
      <c r="D826" s="92"/>
      <c r="E826" s="92"/>
      <c r="F826" s="92"/>
      <c r="G826" s="92"/>
      <c r="H826" s="92"/>
      <c r="I826" s="20"/>
      <c r="J826" s="95"/>
    </row>
    <row r="827">
      <c r="A827" s="92"/>
      <c r="B827" s="92"/>
      <c r="C827" s="92"/>
      <c r="D827" s="92"/>
      <c r="E827" s="92"/>
      <c r="F827" s="92"/>
      <c r="G827" s="92"/>
      <c r="H827" s="92"/>
      <c r="I827" s="20"/>
      <c r="J827" s="95"/>
    </row>
    <row r="828">
      <c r="A828" s="92"/>
      <c r="B828" s="92"/>
      <c r="C828" s="92"/>
      <c r="D828" s="92"/>
      <c r="E828" s="92"/>
      <c r="F828" s="92"/>
      <c r="G828" s="92"/>
      <c r="H828" s="92"/>
      <c r="I828" s="20"/>
      <c r="J828" s="95"/>
    </row>
    <row r="829">
      <c r="A829" s="92"/>
      <c r="B829" s="92"/>
      <c r="C829" s="92"/>
      <c r="D829" s="92"/>
      <c r="E829" s="92"/>
      <c r="F829" s="92"/>
      <c r="G829" s="92"/>
      <c r="H829" s="92"/>
      <c r="I829" s="20"/>
      <c r="J829" s="95"/>
    </row>
    <row r="830">
      <c r="A830" s="92"/>
      <c r="B830" s="92"/>
      <c r="C830" s="92"/>
      <c r="D830" s="92"/>
      <c r="E830" s="92"/>
      <c r="F830" s="92"/>
      <c r="G830" s="92"/>
      <c r="H830" s="92"/>
      <c r="I830" s="20"/>
      <c r="J830" s="95"/>
    </row>
    <row r="831">
      <c r="A831" s="92"/>
      <c r="B831" s="92"/>
      <c r="C831" s="92"/>
      <c r="D831" s="92"/>
      <c r="E831" s="92"/>
      <c r="F831" s="92"/>
      <c r="G831" s="92"/>
      <c r="H831" s="92"/>
      <c r="I831" s="20"/>
      <c r="J831" s="95"/>
    </row>
    <row r="832">
      <c r="A832" s="92"/>
      <c r="B832" s="92"/>
      <c r="C832" s="92"/>
      <c r="D832" s="92"/>
      <c r="E832" s="92"/>
      <c r="F832" s="92"/>
      <c r="G832" s="92"/>
      <c r="H832" s="92"/>
      <c r="I832" s="20"/>
      <c r="J832" s="95"/>
    </row>
    <row r="833">
      <c r="A833" s="92"/>
      <c r="B833" s="92"/>
      <c r="C833" s="92"/>
      <c r="D833" s="92"/>
      <c r="E833" s="92"/>
      <c r="F833" s="92"/>
      <c r="G833" s="92"/>
      <c r="H833" s="92"/>
      <c r="I833" s="20"/>
      <c r="J833" s="95"/>
    </row>
    <row r="834">
      <c r="A834" s="92"/>
      <c r="B834" s="92"/>
      <c r="C834" s="92"/>
      <c r="D834" s="92"/>
      <c r="E834" s="92"/>
      <c r="F834" s="92"/>
      <c r="G834" s="92"/>
      <c r="H834" s="92"/>
      <c r="I834" s="20"/>
      <c r="J834" s="95"/>
    </row>
    <row r="835">
      <c r="A835" s="92"/>
      <c r="B835" s="92"/>
      <c r="C835" s="92"/>
      <c r="D835" s="92"/>
      <c r="E835" s="92"/>
      <c r="F835" s="92"/>
      <c r="G835" s="92"/>
      <c r="H835" s="92"/>
      <c r="I835" s="20"/>
      <c r="J835" s="95"/>
    </row>
    <row r="836">
      <c r="A836" s="92"/>
      <c r="B836" s="92"/>
      <c r="C836" s="92"/>
      <c r="D836" s="92"/>
      <c r="E836" s="92"/>
      <c r="F836" s="92"/>
      <c r="G836" s="92"/>
      <c r="H836" s="92"/>
      <c r="I836" s="20"/>
      <c r="J836" s="95"/>
    </row>
    <row r="837">
      <c r="A837" s="92"/>
      <c r="B837" s="92"/>
      <c r="C837" s="92"/>
      <c r="D837" s="92"/>
      <c r="E837" s="92"/>
      <c r="F837" s="92"/>
      <c r="G837" s="92"/>
      <c r="H837" s="92"/>
      <c r="I837" s="20"/>
      <c r="J837" s="95"/>
    </row>
    <row r="838">
      <c r="A838" s="92"/>
      <c r="B838" s="92"/>
      <c r="C838" s="92"/>
      <c r="D838" s="92"/>
      <c r="E838" s="92"/>
      <c r="F838" s="92"/>
      <c r="G838" s="92"/>
      <c r="H838" s="92"/>
      <c r="I838" s="20"/>
      <c r="J838" s="95"/>
    </row>
    <row r="839">
      <c r="A839" s="92"/>
      <c r="B839" s="92"/>
      <c r="C839" s="92"/>
      <c r="D839" s="92"/>
      <c r="E839" s="92"/>
      <c r="F839" s="92"/>
      <c r="G839" s="92"/>
      <c r="H839" s="92"/>
      <c r="I839" s="20"/>
      <c r="J839" s="95"/>
    </row>
    <row r="840">
      <c r="A840" s="92"/>
      <c r="B840" s="92"/>
      <c r="C840" s="92"/>
      <c r="D840" s="92"/>
      <c r="E840" s="92"/>
      <c r="F840" s="92"/>
      <c r="G840" s="92"/>
      <c r="H840" s="92"/>
      <c r="I840" s="20"/>
      <c r="J840" s="95"/>
    </row>
    <row r="841">
      <c r="A841" s="92"/>
      <c r="B841" s="92"/>
      <c r="C841" s="92"/>
      <c r="D841" s="92"/>
      <c r="E841" s="92"/>
      <c r="F841" s="92"/>
      <c r="G841" s="92"/>
      <c r="H841" s="92"/>
      <c r="I841" s="20"/>
      <c r="J841" s="95"/>
    </row>
    <row r="842">
      <c r="A842" s="92"/>
      <c r="B842" s="92"/>
      <c r="C842" s="92"/>
      <c r="D842" s="92"/>
      <c r="E842" s="92"/>
      <c r="F842" s="92"/>
      <c r="G842" s="92"/>
      <c r="H842" s="92"/>
      <c r="I842" s="20"/>
      <c r="J842" s="95"/>
    </row>
    <row r="843">
      <c r="A843" s="92"/>
      <c r="B843" s="92"/>
      <c r="C843" s="92"/>
      <c r="D843" s="92"/>
      <c r="E843" s="92"/>
      <c r="F843" s="92"/>
      <c r="G843" s="92"/>
      <c r="H843" s="92"/>
      <c r="I843" s="20"/>
      <c r="J843" s="95"/>
    </row>
    <row r="844">
      <c r="A844" s="92"/>
      <c r="B844" s="92"/>
      <c r="C844" s="92"/>
      <c r="D844" s="92"/>
      <c r="E844" s="92"/>
      <c r="F844" s="92"/>
      <c r="G844" s="92"/>
      <c r="H844" s="92"/>
      <c r="I844" s="20"/>
      <c r="J844" s="95"/>
    </row>
    <row r="845">
      <c r="A845" s="92"/>
      <c r="B845" s="92"/>
      <c r="C845" s="92"/>
      <c r="D845" s="92"/>
      <c r="E845" s="92"/>
      <c r="F845" s="92"/>
      <c r="G845" s="92"/>
      <c r="H845" s="92"/>
      <c r="I845" s="20"/>
      <c r="J845" s="95"/>
    </row>
    <row r="846">
      <c r="A846" s="92"/>
      <c r="B846" s="92"/>
      <c r="C846" s="92"/>
      <c r="D846" s="92"/>
      <c r="E846" s="92"/>
      <c r="F846" s="92"/>
      <c r="G846" s="92"/>
      <c r="H846" s="92"/>
      <c r="I846" s="20"/>
      <c r="J846" s="95"/>
    </row>
    <row r="847">
      <c r="A847" s="92"/>
      <c r="B847" s="92"/>
      <c r="C847" s="92"/>
      <c r="D847" s="92"/>
      <c r="E847" s="92"/>
      <c r="F847" s="92"/>
      <c r="G847" s="92"/>
      <c r="H847" s="92"/>
      <c r="I847" s="20"/>
      <c r="J847" s="95"/>
    </row>
    <row r="848">
      <c r="A848" s="92"/>
      <c r="B848" s="92"/>
      <c r="C848" s="92"/>
      <c r="D848" s="92"/>
      <c r="E848" s="92"/>
      <c r="F848" s="92"/>
      <c r="G848" s="92"/>
      <c r="H848" s="92"/>
      <c r="I848" s="20"/>
      <c r="J848" s="95"/>
    </row>
    <row r="849">
      <c r="A849" s="92"/>
      <c r="B849" s="92"/>
      <c r="C849" s="92"/>
      <c r="D849" s="92"/>
      <c r="E849" s="92"/>
      <c r="F849" s="92"/>
      <c r="G849" s="92"/>
      <c r="H849" s="92"/>
      <c r="I849" s="20"/>
      <c r="J849" s="95"/>
    </row>
    <row r="850">
      <c r="A850" s="92"/>
      <c r="B850" s="92"/>
      <c r="C850" s="92"/>
      <c r="D850" s="92"/>
      <c r="E850" s="92"/>
      <c r="F850" s="92"/>
      <c r="G850" s="92"/>
      <c r="H850" s="92"/>
      <c r="I850" s="20"/>
      <c r="J850" s="95"/>
    </row>
    <row r="851">
      <c r="A851" s="92"/>
      <c r="B851" s="92"/>
      <c r="C851" s="92"/>
      <c r="D851" s="92"/>
      <c r="E851" s="92"/>
      <c r="F851" s="92"/>
      <c r="G851" s="92"/>
      <c r="H851" s="92"/>
      <c r="I851" s="20"/>
      <c r="J851" s="95"/>
    </row>
    <row r="852">
      <c r="A852" s="92"/>
      <c r="B852" s="92"/>
      <c r="C852" s="92"/>
      <c r="D852" s="92"/>
      <c r="E852" s="92"/>
      <c r="F852" s="92"/>
      <c r="G852" s="92"/>
      <c r="H852" s="92"/>
      <c r="I852" s="20"/>
      <c r="J852" s="95"/>
    </row>
    <row r="853">
      <c r="A853" s="92"/>
      <c r="B853" s="92"/>
      <c r="C853" s="92"/>
      <c r="D853" s="92"/>
      <c r="E853" s="92"/>
      <c r="F853" s="92"/>
      <c r="G853" s="92"/>
      <c r="H853" s="92"/>
      <c r="I853" s="20"/>
      <c r="J853" s="95"/>
    </row>
    <row r="854">
      <c r="A854" s="92"/>
      <c r="B854" s="92"/>
      <c r="C854" s="92"/>
      <c r="D854" s="92"/>
      <c r="E854" s="92"/>
      <c r="F854" s="92"/>
      <c r="G854" s="92"/>
      <c r="H854" s="92"/>
      <c r="I854" s="20"/>
      <c r="J854" s="95"/>
    </row>
    <row r="855">
      <c r="A855" s="92"/>
      <c r="B855" s="92"/>
      <c r="C855" s="92"/>
      <c r="D855" s="92"/>
      <c r="E855" s="92"/>
      <c r="F855" s="92"/>
      <c r="G855" s="92"/>
      <c r="H855" s="92"/>
      <c r="I855" s="20"/>
      <c r="J855" s="95"/>
    </row>
    <row r="856">
      <c r="A856" s="92"/>
      <c r="B856" s="92"/>
      <c r="C856" s="92"/>
      <c r="D856" s="92"/>
      <c r="E856" s="92"/>
      <c r="F856" s="92"/>
      <c r="G856" s="92"/>
      <c r="H856" s="92"/>
      <c r="I856" s="20"/>
      <c r="J856" s="95"/>
    </row>
    <row r="857">
      <c r="A857" s="92"/>
      <c r="B857" s="92"/>
      <c r="C857" s="92"/>
      <c r="D857" s="92"/>
      <c r="E857" s="92"/>
      <c r="F857" s="92"/>
      <c r="G857" s="92"/>
      <c r="H857" s="92"/>
      <c r="I857" s="20"/>
      <c r="J857" s="95"/>
    </row>
    <row r="858">
      <c r="A858" s="92"/>
      <c r="B858" s="92"/>
      <c r="C858" s="92"/>
      <c r="D858" s="92"/>
      <c r="E858" s="92"/>
      <c r="F858" s="92"/>
      <c r="G858" s="92"/>
      <c r="H858" s="92"/>
      <c r="I858" s="20"/>
      <c r="J858" s="95"/>
    </row>
    <row r="859">
      <c r="A859" s="92"/>
      <c r="B859" s="92"/>
      <c r="C859" s="92"/>
      <c r="D859" s="92"/>
      <c r="E859" s="92"/>
      <c r="F859" s="92"/>
      <c r="G859" s="92"/>
      <c r="H859" s="92"/>
      <c r="I859" s="20"/>
      <c r="J859" s="95"/>
    </row>
    <row r="860">
      <c r="A860" s="92"/>
      <c r="B860" s="92"/>
      <c r="C860" s="92"/>
      <c r="D860" s="92"/>
      <c r="E860" s="92"/>
      <c r="F860" s="92"/>
      <c r="G860" s="92"/>
      <c r="H860" s="92"/>
      <c r="I860" s="20"/>
      <c r="J860" s="95"/>
    </row>
    <row r="861">
      <c r="A861" s="92"/>
      <c r="B861" s="92"/>
      <c r="C861" s="92"/>
      <c r="D861" s="92"/>
      <c r="E861" s="92"/>
      <c r="F861" s="92"/>
      <c r="G861" s="92"/>
      <c r="H861" s="92"/>
      <c r="I861" s="20"/>
      <c r="J861" s="95"/>
    </row>
    <row r="862">
      <c r="A862" s="92"/>
      <c r="B862" s="92"/>
      <c r="C862" s="92"/>
      <c r="D862" s="92"/>
      <c r="E862" s="92"/>
      <c r="F862" s="92"/>
      <c r="G862" s="92"/>
      <c r="H862" s="92"/>
      <c r="I862" s="20"/>
      <c r="J862" s="95"/>
    </row>
    <row r="863">
      <c r="A863" s="92"/>
      <c r="B863" s="92"/>
      <c r="C863" s="92"/>
      <c r="D863" s="92"/>
      <c r="E863" s="92"/>
      <c r="F863" s="92"/>
      <c r="G863" s="92"/>
      <c r="H863" s="92"/>
      <c r="I863" s="20"/>
      <c r="J863" s="95"/>
    </row>
    <row r="864">
      <c r="A864" s="92"/>
      <c r="B864" s="92"/>
      <c r="C864" s="92"/>
      <c r="D864" s="92"/>
      <c r="E864" s="92"/>
      <c r="F864" s="92"/>
      <c r="G864" s="92"/>
      <c r="H864" s="92"/>
      <c r="I864" s="20"/>
      <c r="J864" s="95"/>
    </row>
    <row r="865">
      <c r="A865" s="92"/>
      <c r="B865" s="92"/>
      <c r="C865" s="92"/>
      <c r="D865" s="92"/>
      <c r="E865" s="92"/>
      <c r="F865" s="92"/>
      <c r="G865" s="92"/>
      <c r="H865" s="92"/>
      <c r="I865" s="20"/>
      <c r="J865" s="95"/>
    </row>
    <row r="866">
      <c r="A866" s="92"/>
      <c r="B866" s="92"/>
      <c r="C866" s="92"/>
      <c r="D866" s="92"/>
      <c r="E866" s="92"/>
      <c r="F866" s="92"/>
      <c r="G866" s="92"/>
      <c r="H866" s="92"/>
      <c r="I866" s="20"/>
      <c r="J866" s="95"/>
    </row>
    <row r="867">
      <c r="A867" s="92"/>
      <c r="B867" s="92"/>
      <c r="C867" s="92"/>
      <c r="D867" s="92"/>
      <c r="E867" s="92"/>
      <c r="F867" s="92"/>
      <c r="G867" s="92"/>
      <c r="H867" s="92"/>
      <c r="I867" s="20"/>
      <c r="J867" s="95"/>
    </row>
    <row r="868">
      <c r="A868" s="92"/>
      <c r="B868" s="92"/>
      <c r="C868" s="92"/>
      <c r="D868" s="92"/>
      <c r="E868" s="92"/>
      <c r="F868" s="92"/>
      <c r="G868" s="92"/>
      <c r="H868" s="92"/>
      <c r="I868" s="20"/>
      <c r="J868" s="95"/>
    </row>
    <row r="869">
      <c r="A869" s="92"/>
      <c r="B869" s="92"/>
      <c r="C869" s="92"/>
      <c r="D869" s="92"/>
      <c r="E869" s="92"/>
      <c r="F869" s="92"/>
      <c r="G869" s="92"/>
      <c r="H869" s="92"/>
      <c r="I869" s="20"/>
      <c r="J869" s="95"/>
    </row>
    <row r="870">
      <c r="A870" s="92"/>
      <c r="B870" s="92"/>
      <c r="C870" s="92"/>
      <c r="D870" s="92"/>
      <c r="E870" s="92"/>
      <c r="F870" s="92"/>
      <c r="G870" s="92"/>
      <c r="H870" s="92"/>
      <c r="I870" s="20"/>
      <c r="J870" s="95"/>
    </row>
    <row r="871">
      <c r="A871" s="92"/>
      <c r="B871" s="92"/>
      <c r="C871" s="92"/>
      <c r="D871" s="92"/>
      <c r="E871" s="92"/>
      <c r="F871" s="92"/>
      <c r="G871" s="92"/>
      <c r="H871" s="92"/>
      <c r="I871" s="20"/>
      <c r="J871" s="95"/>
    </row>
    <row r="872">
      <c r="A872" s="92"/>
      <c r="B872" s="92"/>
      <c r="C872" s="92"/>
      <c r="D872" s="92"/>
      <c r="E872" s="92"/>
      <c r="F872" s="92"/>
      <c r="G872" s="92"/>
      <c r="H872" s="92"/>
      <c r="I872" s="20"/>
      <c r="J872" s="95"/>
    </row>
    <row r="873">
      <c r="A873" s="92"/>
      <c r="B873" s="92"/>
      <c r="C873" s="92"/>
      <c r="D873" s="92"/>
      <c r="E873" s="92"/>
      <c r="F873" s="92"/>
      <c r="G873" s="92"/>
      <c r="H873" s="92"/>
      <c r="I873" s="20"/>
      <c r="J873" s="95"/>
    </row>
    <row r="874">
      <c r="A874" s="92"/>
      <c r="B874" s="92"/>
      <c r="C874" s="92"/>
      <c r="D874" s="92"/>
      <c r="E874" s="92"/>
      <c r="F874" s="92"/>
      <c r="G874" s="92"/>
      <c r="H874" s="92"/>
      <c r="I874" s="20"/>
      <c r="J874" s="95"/>
    </row>
    <row r="875">
      <c r="A875" s="92"/>
      <c r="B875" s="92"/>
      <c r="C875" s="92"/>
      <c r="D875" s="92"/>
      <c r="E875" s="92"/>
      <c r="F875" s="92"/>
      <c r="G875" s="92"/>
      <c r="H875" s="92"/>
      <c r="I875" s="20"/>
      <c r="J875" s="95"/>
    </row>
    <row r="876">
      <c r="A876" s="92"/>
      <c r="B876" s="92"/>
      <c r="C876" s="92"/>
      <c r="D876" s="92"/>
      <c r="E876" s="92"/>
      <c r="F876" s="92"/>
      <c r="G876" s="92"/>
      <c r="H876" s="92"/>
      <c r="I876" s="20"/>
      <c r="J876" s="95"/>
    </row>
    <row r="877">
      <c r="A877" s="92"/>
      <c r="B877" s="92"/>
      <c r="C877" s="92"/>
      <c r="D877" s="92"/>
      <c r="E877" s="92"/>
      <c r="F877" s="92"/>
      <c r="G877" s="92"/>
      <c r="H877" s="92"/>
      <c r="I877" s="20"/>
      <c r="J877" s="95"/>
    </row>
    <row r="878">
      <c r="A878" s="92"/>
      <c r="B878" s="92"/>
      <c r="C878" s="92"/>
      <c r="D878" s="92"/>
      <c r="E878" s="92"/>
      <c r="F878" s="92"/>
      <c r="G878" s="92"/>
      <c r="H878" s="92"/>
      <c r="I878" s="20"/>
      <c r="J878" s="95"/>
    </row>
    <row r="879">
      <c r="A879" s="92"/>
      <c r="B879" s="92"/>
      <c r="C879" s="92"/>
      <c r="D879" s="92"/>
      <c r="E879" s="92"/>
      <c r="F879" s="92"/>
      <c r="G879" s="92"/>
      <c r="H879" s="92"/>
      <c r="I879" s="20"/>
      <c r="J879" s="95"/>
    </row>
    <row r="880">
      <c r="A880" s="92"/>
      <c r="B880" s="92"/>
      <c r="C880" s="92"/>
      <c r="D880" s="92"/>
      <c r="E880" s="92"/>
      <c r="F880" s="92"/>
      <c r="G880" s="92"/>
      <c r="H880" s="92"/>
      <c r="I880" s="20"/>
      <c r="J880" s="95"/>
    </row>
    <row r="881">
      <c r="A881" s="92"/>
      <c r="B881" s="92"/>
      <c r="C881" s="92"/>
      <c r="D881" s="92"/>
      <c r="E881" s="92"/>
      <c r="F881" s="92"/>
      <c r="G881" s="92"/>
      <c r="H881" s="92"/>
      <c r="I881" s="20"/>
      <c r="J881" s="95"/>
    </row>
    <row r="882">
      <c r="A882" s="92"/>
      <c r="B882" s="92"/>
      <c r="C882" s="92"/>
      <c r="D882" s="92"/>
      <c r="E882" s="92"/>
      <c r="F882" s="92"/>
      <c r="G882" s="92"/>
      <c r="H882" s="92"/>
      <c r="I882" s="20"/>
      <c r="J882" s="95"/>
    </row>
    <row r="883">
      <c r="A883" s="92"/>
      <c r="B883" s="92"/>
      <c r="C883" s="92"/>
      <c r="D883" s="92"/>
      <c r="E883" s="92"/>
      <c r="F883" s="92"/>
      <c r="G883" s="92"/>
      <c r="H883" s="92"/>
      <c r="I883" s="20"/>
      <c r="J883" s="95"/>
    </row>
    <row r="884">
      <c r="A884" s="92"/>
      <c r="B884" s="92"/>
      <c r="C884" s="92"/>
      <c r="D884" s="92"/>
      <c r="E884" s="92"/>
      <c r="F884" s="92"/>
      <c r="G884" s="92"/>
      <c r="H884" s="92"/>
      <c r="I884" s="20"/>
      <c r="J884" s="95"/>
    </row>
    <row r="885">
      <c r="A885" s="92"/>
      <c r="B885" s="92"/>
      <c r="C885" s="92"/>
      <c r="D885" s="92"/>
      <c r="E885" s="92"/>
      <c r="F885" s="92"/>
      <c r="G885" s="92"/>
      <c r="H885" s="92"/>
      <c r="I885" s="20"/>
      <c r="J885" s="95"/>
    </row>
    <row r="886">
      <c r="A886" s="92"/>
      <c r="B886" s="92"/>
      <c r="C886" s="92"/>
      <c r="D886" s="92"/>
      <c r="E886" s="92"/>
      <c r="F886" s="92"/>
      <c r="G886" s="92"/>
      <c r="H886" s="92"/>
      <c r="I886" s="20"/>
      <c r="J886" s="95"/>
    </row>
    <row r="887">
      <c r="A887" s="92"/>
      <c r="B887" s="92"/>
      <c r="C887" s="92"/>
      <c r="D887" s="92"/>
      <c r="E887" s="92"/>
      <c r="F887" s="92"/>
      <c r="G887" s="92"/>
      <c r="H887" s="92"/>
      <c r="I887" s="20"/>
      <c r="J887" s="95"/>
    </row>
    <row r="888">
      <c r="A888" s="92"/>
      <c r="B888" s="92"/>
      <c r="C888" s="92"/>
      <c r="D888" s="92"/>
      <c r="E888" s="92"/>
      <c r="F888" s="92"/>
      <c r="G888" s="92"/>
      <c r="H888" s="92"/>
      <c r="I888" s="20"/>
      <c r="J888" s="95"/>
    </row>
    <row r="889">
      <c r="A889" s="92"/>
      <c r="B889" s="92"/>
      <c r="C889" s="92"/>
      <c r="D889" s="92"/>
      <c r="E889" s="92"/>
      <c r="F889" s="92"/>
      <c r="G889" s="92"/>
      <c r="H889" s="92"/>
      <c r="I889" s="20"/>
      <c r="J889" s="95"/>
    </row>
    <row r="890">
      <c r="A890" s="92"/>
      <c r="B890" s="92"/>
      <c r="C890" s="92"/>
      <c r="D890" s="92"/>
      <c r="E890" s="92"/>
      <c r="F890" s="92"/>
      <c r="G890" s="92"/>
      <c r="H890" s="92"/>
      <c r="I890" s="20"/>
      <c r="J890" s="95"/>
    </row>
    <row r="891">
      <c r="A891" s="92"/>
      <c r="B891" s="92"/>
      <c r="C891" s="92"/>
      <c r="D891" s="92"/>
      <c r="E891" s="92"/>
      <c r="F891" s="92"/>
      <c r="G891" s="92"/>
      <c r="H891" s="92"/>
      <c r="I891" s="20"/>
      <c r="J891" s="95"/>
    </row>
    <row r="892">
      <c r="A892" s="92"/>
      <c r="B892" s="92"/>
      <c r="C892" s="92"/>
      <c r="D892" s="92"/>
      <c r="E892" s="92"/>
      <c r="F892" s="92"/>
      <c r="G892" s="92"/>
      <c r="H892" s="92"/>
      <c r="I892" s="20"/>
      <c r="J892" s="95"/>
    </row>
    <row r="893">
      <c r="A893" s="92"/>
      <c r="B893" s="92"/>
      <c r="C893" s="92"/>
      <c r="D893" s="92"/>
      <c r="E893" s="92"/>
      <c r="F893" s="92"/>
      <c r="G893" s="92"/>
      <c r="H893" s="92"/>
      <c r="I893" s="20"/>
      <c r="J893" s="95"/>
    </row>
    <row r="894">
      <c r="A894" s="92"/>
      <c r="B894" s="92"/>
      <c r="C894" s="92"/>
      <c r="D894" s="92"/>
      <c r="E894" s="92"/>
      <c r="F894" s="92"/>
      <c r="G894" s="92"/>
      <c r="H894" s="92"/>
      <c r="I894" s="20"/>
      <c r="J894" s="95"/>
    </row>
    <row r="895">
      <c r="A895" s="92"/>
      <c r="B895" s="92"/>
      <c r="C895" s="92"/>
      <c r="D895" s="92"/>
      <c r="E895" s="92"/>
      <c r="F895" s="92"/>
      <c r="G895" s="92"/>
      <c r="H895" s="92"/>
      <c r="I895" s="20"/>
      <c r="J895" s="95"/>
    </row>
    <row r="896">
      <c r="A896" s="92"/>
      <c r="B896" s="92"/>
      <c r="C896" s="92"/>
      <c r="D896" s="92"/>
      <c r="E896" s="92"/>
      <c r="F896" s="92"/>
      <c r="G896" s="92"/>
      <c r="H896" s="92"/>
      <c r="I896" s="20"/>
      <c r="J896" s="95"/>
    </row>
    <row r="897">
      <c r="A897" s="92"/>
      <c r="B897" s="92"/>
      <c r="C897" s="92"/>
      <c r="D897" s="92"/>
      <c r="E897" s="92"/>
      <c r="F897" s="92"/>
      <c r="G897" s="92"/>
      <c r="H897" s="92"/>
      <c r="I897" s="20"/>
      <c r="J897" s="95"/>
    </row>
    <row r="898">
      <c r="A898" s="92"/>
      <c r="B898" s="92"/>
      <c r="C898" s="92"/>
      <c r="D898" s="92"/>
      <c r="E898" s="92"/>
      <c r="F898" s="92"/>
      <c r="G898" s="92"/>
      <c r="H898" s="92"/>
      <c r="I898" s="20"/>
      <c r="J898" s="95"/>
    </row>
    <row r="899">
      <c r="A899" s="92"/>
      <c r="B899" s="92"/>
      <c r="C899" s="92"/>
      <c r="D899" s="92"/>
      <c r="E899" s="92"/>
      <c r="F899" s="92"/>
      <c r="G899" s="92"/>
      <c r="H899" s="92"/>
      <c r="I899" s="20"/>
      <c r="J899" s="95"/>
    </row>
    <row r="900">
      <c r="A900" s="92"/>
      <c r="B900" s="92"/>
      <c r="C900" s="92"/>
      <c r="D900" s="92"/>
      <c r="E900" s="92"/>
      <c r="F900" s="92"/>
      <c r="G900" s="92"/>
      <c r="H900" s="92"/>
      <c r="I900" s="20"/>
      <c r="J900" s="95"/>
    </row>
    <row r="901">
      <c r="A901" s="92"/>
      <c r="B901" s="92"/>
      <c r="C901" s="92"/>
      <c r="D901" s="92"/>
      <c r="E901" s="92"/>
      <c r="F901" s="92"/>
      <c r="G901" s="92"/>
      <c r="H901" s="92"/>
      <c r="I901" s="20"/>
      <c r="J901" s="95"/>
    </row>
    <row r="902">
      <c r="A902" s="92"/>
      <c r="B902" s="92"/>
      <c r="C902" s="92"/>
      <c r="D902" s="92"/>
      <c r="E902" s="92"/>
      <c r="F902" s="92"/>
      <c r="G902" s="92"/>
      <c r="H902" s="92"/>
      <c r="I902" s="20"/>
      <c r="J902" s="95"/>
    </row>
    <row r="903">
      <c r="A903" s="92"/>
      <c r="B903" s="92"/>
      <c r="C903" s="92"/>
      <c r="D903" s="92"/>
      <c r="E903" s="92"/>
      <c r="F903" s="92"/>
      <c r="G903" s="92"/>
      <c r="H903" s="92"/>
      <c r="I903" s="20"/>
      <c r="J903" s="95"/>
    </row>
    <row r="904">
      <c r="A904" s="92"/>
      <c r="B904" s="92"/>
      <c r="C904" s="92"/>
      <c r="D904" s="92"/>
      <c r="E904" s="92"/>
      <c r="F904" s="92"/>
      <c r="G904" s="92"/>
      <c r="H904" s="92"/>
      <c r="I904" s="20"/>
      <c r="J904" s="95"/>
    </row>
    <row r="905">
      <c r="A905" s="92"/>
      <c r="B905" s="92"/>
      <c r="C905" s="92"/>
      <c r="D905" s="92"/>
      <c r="E905" s="92"/>
      <c r="F905" s="92"/>
      <c r="G905" s="92"/>
      <c r="H905" s="92"/>
      <c r="I905" s="20"/>
      <c r="J905" s="95"/>
    </row>
    <row r="906">
      <c r="A906" s="92"/>
      <c r="B906" s="92"/>
      <c r="C906" s="92"/>
      <c r="D906" s="92"/>
      <c r="E906" s="92"/>
      <c r="F906" s="92"/>
      <c r="G906" s="92"/>
      <c r="H906" s="92"/>
      <c r="I906" s="20"/>
      <c r="J906" s="95"/>
    </row>
    <row r="907">
      <c r="A907" s="92"/>
      <c r="B907" s="92"/>
      <c r="C907" s="92"/>
      <c r="D907" s="92"/>
      <c r="E907" s="92"/>
      <c r="F907" s="92"/>
      <c r="G907" s="92"/>
      <c r="H907" s="92"/>
      <c r="I907" s="20"/>
      <c r="J907" s="95"/>
    </row>
    <row r="908">
      <c r="A908" s="92"/>
      <c r="B908" s="92"/>
      <c r="C908" s="92"/>
      <c r="D908" s="92"/>
      <c r="E908" s="92"/>
      <c r="F908" s="92"/>
      <c r="G908" s="92"/>
      <c r="H908" s="92"/>
      <c r="I908" s="20"/>
      <c r="J908" s="95"/>
    </row>
    <row r="909">
      <c r="A909" s="92"/>
      <c r="B909" s="92"/>
      <c r="C909" s="92"/>
      <c r="D909" s="92"/>
      <c r="E909" s="92"/>
      <c r="F909" s="92"/>
      <c r="G909" s="92"/>
      <c r="H909" s="92"/>
      <c r="I909" s="20"/>
      <c r="J909" s="95"/>
    </row>
    <row r="910">
      <c r="A910" s="92"/>
      <c r="B910" s="92"/>
      <c r="C910" s="92"/>
      <c r="D910" s="92"/>
      <c r="E910" s="92"/>
      <c r="F910" s="92"/>
      <c r="G910" s="92"/>
      <c r="H910" s="92"/>
      <c r="I910" s="20"/>
      <c r="J910" s="95"/>
    </row>
    <row r="911">
      <c r="A911" s="92"/>
      <c r="B911" s="92"/>
      <c r="C911" s="92"/>
      <c r="D911" s="92"/>
      <c r="E911" s="92"/>
      <c r="F911" s="92"/>
      <c r="G911" s="92"/>
      <c r="H911" s="92"/>
      <c r="I911" s="20"/>
      <c r="J911" s="95"/>
    </row>
    <row r="912">
      <c r="A912" s="92"/>
      <c r="B912" s="92"/>
      <c r="C912" s="92"/>
      <c r="D912" s="92"/>
      <c r="E912" s="92"/>
      <c r="F912" s="92"/>
      <c r="G912" s="92"/>
      <c r="H912" s="92"/>
      <c r="I912" s="20"/>
      <c r="J912" s="95"/>
    </row>
    <row r="913">
      <c r="A913" s="92"/>
      <c r="B913" s="92"/>
      <c r="C913" s="92"/>
      <c r="D913" s="92"/>
      <c r="E913" s="92"/>
      <c r="F913" s="92"/>
      <c r="G913" s="92"/>
      <c r="H913" s="92"/>
      <c r="I913" s="20"/>
      <c r="J913" s="95"/>
    </row>
    <row r="914">
      <c r="A914" s="92"/>
      <c r="B914" s="92"/>
      <c r="C914" s="92"/>
      <c r="D914" s="92"/>
      <c r="E914" s="92"/>
      <c r="F914" s="92"/>
      <c r="G914" s="92"/>
      <c r="H914" s="92"/>
      <c r="I914" s="20"/>
      <c r="J914" s="95"/>
    </row>
    <row r="915">
      <c r="A915" s="92"/>
      <c r="B915" s="92"/>
      <c r="C915" s="92"/>
      <c r="D915" s="92"/>
      <c r="E915" s="92"/>
      <c r="F915" s="92"/>
      <c r="G915" s="92"/>
      <c r="H915" s="92"/>
      <c r="I915" s="20"/>
      <c r="J915" s="95"/>
    </row>
    <row r="916">
      <c r="A916" s="92"/>
      <c r="B916" s="92"/>
      <c r="C916" s="92"/>
      <c r="D916" s="92"/>
      <c r="E916" s="92"/>
      <c r="F916" s="92"/>
      <c r="G916" s="92"/>
      <c r="H916" s="92"/>
      <c r="I916" s="20"/>
      <c r="J916" s="95"/>
    </row>
    <row r="917">
      <c r="A917" s="92"/>
      <c r="B917" s="92"/>
      <c r="C917" s="92"/>
      <c r="D917" s="92"/>
      <c r="E917" s="92"/>
      <c r="F917" s="92"/>
      <c r="G917" s="92"/>
      <c r="H917" s="92"/>
      <c r="I917" s="20"/>
      <c r="J917" s="95"/>
    </row>
    <row r="918">
      <c r="A918" s="92"/>
      <c r="B918" s="92"/>
      <c r="C918" s="92"/>
      <c r="D918" s="92"/>
      <c r="E918" s="92"/>
      <c r="F918" s="92"/>
      <c r="G918" s="92"/>
      <c r="H918" s="92"/>
      <c r="I918" s="20"/>
      <c r="J918" s="95"/>
    </row>
    <row r="919">
      <c r="A919" s="92"/>
      <c r="B919" s="92"/>
      <c r="C919" s="92"/>
      <c r="D919" s="92"/>
      <c r="E919" s="92"/>
      <c r="F919" s="92"/>
      <c r="G919" s="92"/>
      <c r="H919" s="92"/>
      <c r="I919" s="20"/>
      <c r="J919" s="95"/>
    </row>
    <row r="920">
      <c r="A920" s="92"/>
      <c r="B920" s="92"/>
      <c r="C920" s="92"/>
      <c r="D920" s="92"/>
      <c r="E920" s="92"/>
      <c r="F920" s="92"/>
      <c r="G920" s="92"/>
      <c r="H920" s="92"/>
      <c r="I920" s="20"/>
      <c r="J920" s="95"/>
    </row>
    <row r="921">
      <c r="A921" s="92"/>
      <c r="B921" s="92"/>
      <c r="C921" s="92"/>
      <c r="D921" s="92"/>
      <c r="E921" s="92"/>
      <c r="F921" s="92"/>
      <c r="G921" s="92"/>
      <c r="H921" s="92"/>
      <c r="I921" s="20"/>
      <c r="J921" s="95"/>
    </row>
    <row r="922">
      <c r="A922" s="92"/>
      <c r="B922" s="92"/>
      <c r="C922" s="92"/>
      <c r="D922" s="92"/>
      <c r="E922" s="92"/>
      <c r="F922" s="92"/>
      <c r="G922" s="92"/>
      <c r="H922" s="92"/>
      <c r="I922" s="20"/>
      <c r="J922" s="95"/>
    </row>
    <row r="923">
      <c r="A923" s="92"/>
      <c r="B923" s="92"/>
      <c r="C923" s="92"/>
      <c r="D923" s="92"/>
      <c r="E923" s="92"/>
      <c r="F923" s="92"/>
      <c r="G923" s="92"/>
      <c r="H923" s="92"/>
      <c r="I923" s="20"/>
      <c r="J923" s="95"/>
    </row>
    <row r="924">
      <c r="A924" s="92"/>
      <c r="B924" s="92"/>
      <c r="C924" s="92"/>
      <c r="D924" s="92"/>
      <c r="E924" s="92"/>
      <c r="F924" s="92"/>
      <c r="G924" s="92"/>
      <c r="H924" s="92"/>
      <c r="I924" s="20"/>
      <c r="J924" s="95"/>
    </row>
    <row r="925">
      <c r="A925" s="92"/>
      <c r="B925" s="92"/>
      <c r="C925" s="92"/>
      <c r="D925" s="92"/>
      <c r="E925" s="92"/>
      <c r="F925" s="92"/>
      <c r="G925" s="92"/>
      <c r="H925" s="92"/>
      <c r="I925" s="20"/>
      <c r="J925" s="95"/>
    </row>
    <row r="926">
      <c r="A926" s="92"/>
      <c r="B926" s="92"/>
      <c r="C926" s="92"/>
      <c r="D926" s="92"/>
      <c r="E926" s="92"/>
      <c r="F926" s="92"/>
      <c r="G926" s="92"/>
      <c r="H926" s="92"/>
      <c r="I926" s="20"/>
      <c r="J926" s="95"/>
    </row>
    <row r="927">
      <c r="A927" s="92"/>
      <c r="B927" s="92"/>
      <c r="C927" s="92"/>
      <c r="D927" s="92"/>
      <c r="E927" s="92"/>
      <c r="F927" s="92"/>
      <c r="G927" s="92"/>
      <c r="H927" s="92"/>
      <c r="I927" s="20"/>
      <c r="J927" s="95"/>
    </row>
    <row r="928">
      <c r="A928" s="92"/>
      <c r="B928" s="92"/>
      <c r="C928" s="92"/>
      <c r="D928" s="92"/>
      <c r="E928" s="92"/>
      <c r="F928" s="92"/>
      <c r="G928" s="92"/>
      <c r="H928" s="92"/>
      <c r="I928" s="20"/>
      <c r="J928" s="95"/>
    </row>
    <row r="929">
      <c r="A929" s="92"/>
      <c r="B929" s="92"/>
      <c r="C929" s="92"/>
      <c r="D929" s="92"/>
      <c r="E929" s="92"/>
      <c r="F929" s="92"/>
      <c r="G929" s="92"/>
      <c r="H929" s="92"/>
      <c r="I929" s="20"/>
      <c r="J929" s="95"/>
    </row>
    <row r="930">
      <c r="A930" s="92"/>
      <c r="B930" s="92"/>
      <c r="C930" s="92"/>
      <c r="D930" s="92"/>
      <c r="E930" s="92"/>
      <c r="F930" s="92"/>
      <c r="G930" s="92"/>
      <c r="H930" s="92"/>
      <c r="I930" s="20"/>
      <c r="J930" s="95"/>
    </row>
    <row r="931">
      <c r="A931" s="92"/>
      <c r="B931" s="92"/>
      <c r="C931" s="92"/>
      <c r="D931" s="92"/>
      <c r="E931" s="92"/>
      <c r="F931" s="92"/>
      <c r="G931" s="92"/>
      <c r="H931" s="92"/>
      <c r="I931" s="20"/>
      <c r="J931" s="95"/>
    </row>
    <row r="932">
      <c r="A932" s="92"/>
      <c r="B932" s="92"/>
      <c r="C932" s="92"/>
      <c r="D932" s="92"/>
      <c r="E932" s="92"/>
      <c r="F932" s="92"/>
      <c r="G932" s="92"/>
      <c r="H932" s="92"/>
      <c r="I932" s="20"/>
      <c r="J932" s="95"/>
    </row>
    <row r="933">
      <c r="A933" s="92"/>
      <c r="B933" s="92"/>
      <c r="C933" s="92"/>
      <c r="D933" s="92"/>
      <c r="E933" s="92"/>
      <c r="F933" s="92"/>
      <c r="G933" s="92"/>
      <c r="H933" s="92"/>
      <c r="I933" s="20"/>
      <c r="J933" s="95"/>
    </row>
    <row r="934">
      <c r="A934" s="92"/>
      <c r="B934" s="92"/>
      <c r="C934" s="92"/>
      <c r="D934" s="92"/>
      <c r="E934" s="92"/>
      <c r="F934" s="92"/>
      <c r="G934" s="92"/>
      <c r="H934" s="92"/>
      <c r="I934" s="20"/>
      <c r="J934" s="95"/>
    </row>
    <row r="935">
      <c r="A935" s="92"/>
      <c r="B935" s="92"/>
      <c r="C935" s="92"/>
      <c r="D935" s="92"/>
      <c r="E935" s="92"/>
      <c r="F935" s="92"/>
      <c r="G935" s="92"/>
      <c r="H935" s="92"/>
      <c r="I935" s="20"/>
      <c r="J935" s="95"/>
    </row>
    <row r="936">
      <c r="A936" s="92"/>
      <c r="B936" s="92"/>
      <c r="C936" s="92"/>
      <c r="D936" s="92"/>
      <c r="E936" s="92"/>
      <c r="F936" s="92"/>
      <c r="G936" s="92"/>
      <c r="H936" s="92"/>
      <c r="I936" s="20"/>
      <c r="J936" s="95"/>
    </row>
    <row r="937">
      <c r="A937" s="92"/>
      <c r="B937" s="92"/>
      <c r="C937" s="92"/>
      <c r="D937" s="92"/>
      <c r="E937" s="92"/>
      <c r="F937" s="92"/>
      <c r="G937" s="92"/>
      <c r="H937" s="92"/>
      <c r="I937" s="20"/>
      <c r="J937" s="95"/>
    </row>
    <row r="938">
      <c r="A938" s="92"/>
      <c r="B938" s="92"/>
      <c r="C938" s="92"/>
      <c r="D938" s="92"/>
      <c r="E938" s="92"/>
      <c r="F938" s="92"/>
      <c r="G938" s="92"/>
      <c r="H938" s="92"/>
      <c r="I938" s="20"/>
      <c r="J938" s="95"/>
    </row>
    <row r="939">
      <c r="A939" s="92"/>
      <c r="B939" s="92"/>
      <c r="C939" s="92"/>
      <c r="D939" s="92"/>
      <c r="E939" s="92"/>
      <c r="F939" s="92"/>
      <c r="G939" s="92"/>
      <c r="H939" s="92"/>
      <c r="I939" s="20"/>
      <c r="J939" s="95"/>
    </row>
    <row r="940">
      <c r="A940" s="92"/>
      <c r="B940" s="92"/>
      <c r="C940" s="92"/>
      <c r="D940" s="92"/>
      <c r="E940" s="92"/>
      <c r="F940" s="92"/>
      <c r="G940" s="92"/>
      <c r="H940" s="92"/>
      <c r="I940" s="20"/>
      <c r="J940" s="95"/>
    </row>
    <row r="941">
      <c r="A941" s="92"/>
      <c r="B941" s="92"/>
      <c r="C941" s="92"/>
      <c r="D941" s="92"/>
      <c r="E941" s="92"/>
      <c r="F941" s="92"/>
      <c r="G941" s="92"/>
      <c r="H941" s="92"/>
      <c r="I941" s="20"/>
      <c r="J941" s="95"/>
    </row>
    <row r="942">
      <c r="A942" s="92"/>
      <c r="B942" s="92"/>
      <c r="C942" s="92"/>
      <c r="D942" s="92"/>
      <c r="E942" s="92"/>
      <c r="F942" s="92"/>
      <c r="G942" s="92"/>
      <c r="H942" s="92"/>
      <c r="I942" s="20"/>
      <c r="J942" s="95"/>
    </row>
    <row r="943">
      <c r="A943" s="92"/>
      <c r="B943" s="92"/>
      <c r="C943" s="92"/>
      <c r="D943" s="92"/>
      <c r="E943" s="92"/>
      <c r="F943" s="92"/>
      <c r="G943" s="92"/>
      <c r="H943" s="92"/>
      <c r="I943" s="20"/>
      <c r="J943" s="95"/>
    </row>
    <row r="944">
      <c r="A944" s="92"/>
      <c r="B944" s="92"/>
      <c r="C944" s="92"/>
      <c r="D944" s="92"/>
      <c r="E944" s="92"/>
      <c r="F944" s="92"/>
      <c r="G944" s="92"/>
      <c r="H944" s="92"/>
      <c r="I944" s="20"/>
      <c r="J944" s="95"/>
    </row>
    <row r="945">
      <c r="A945" s="92"/>
      <c r="B945" s="92"/>
      <c r="C945" s="92"/>
      <c r="D945" s="92"/>
      <c r="E945" s="92"/>
      <c r="F945" s="92"/>
      <c r="G945" s="92"/>
      <c r="H945" s="92"/>
      <c r="I945" s="20"/>
      <c r="J945" s="95"/>
    </row>
    <row r="946">
      <c r="A946" s="92"/>
      <c r="B946" s="92"/>
      <c r="C946" s="92"/>
      <c r="D946" s="92"/>
      <c r="E946" s="92"/>
      <c r="F946" s="92"/>
      <c r="G946" s="92"/>
      <c r="H946" s="92"/>
      <c r="I946" s="20"/>
      <c r="J946" s="95"/>
    </row>
    <row r="947">
      <c r="A947" s="92"/>
      <c r="B947" s="92"/>
      <c r="C947" s="92"/>
      <c r="D947" s="92"/>
      <c r="E947" s="92"/>
      <c r="F947" s="92"/>
      <c r="G947" s="92"/>
      <c r="H947" s="92"/>
      <c r="I947" s="20"/>
      <c r="J947" s="95"/>
    </row>
    <row r="948">
      <c r="A948" s="92"/>
      <c r="B948" s="92"/>
      <c r="C948" s="92"/>
      <c r="D948" s="92"/>
      <c r="E948" s="92"/>
      <c r="F948" s="92"/>
      <c r="G948" s="92"/>
      <c r="H948" s="92"/>
      <c r="I948" s="20"/>
      <c r="J948" s="95"/>
    </row>
    <row r="949">
      <c r="A949" s="92"/>
      <c r="B949" s="92"/>
      <c r="C949" s="92"/>
      <c r="D949" s="92"/>
      <c r="E949" s="92"/>
      <c r="F949" s="92"/>
      <c r="G949" s="92"/>
      <c r="H949" s="92"/>
      <c r="I949" s="20"/>
      <c r="J949" s="95"/>
    </row>
    <row r="950">
      <c r="A950" s="92"/>
      <c r="B950" s="92"/>
      <c r="C950" s="92"/>
      <c r="D950" s="92"/>
      <c r="E950" s="92"/>
      <c r="F950" s="92"/>
      <c r="G950" s="92"/>
      <c r="H950" s="92"/>
      <c r="I950" s="20"/>
      <c r="J950" s="95"/>
    </row>
    <row r="951">
      <c r="A951" s="92"/>
      <c r="B951" s="92"/>
      <c r="C951" s="92"/>
      <c r="D951" s="92"/>
      <c r="E951" s="92"/>
      <c r="F951" s="92"/>
      <c r="G951" s="92"/>
      <c r="H951" s="92"/>
      <c r="I951" s="20"/>
      <c r="J951" s="95"/>
    </row>
    <row r="952">
      <c r="A952" s="92"/>
      <c r="B952" s="92"/>
      <c r="C952" s="92"/>
      <c r="D952" s="92"/>
      <c r="E952" s="92"/>
      <c r="F952" s="92"/>
      <c r="G952" s="92"/>
      <c r="H952" s="92"/>
      <c r="I952" s="20"/>
      <c r="J952" s="95"/>
    </row>
    <row r="953">
      <c r="A953" s="92"/>
      <c r="B953" s="92"/>
      <c r="C953" s="92"/>
      <c r="D953" s="92"/>
      <c r="E953" s="92"/>
      <c r="F953" s="92"/>
      <c r="G953" s="92"/>
      <c r="H953" s="92"/>
      <c r="I953" s="20"/>
      <c r="J953" s="95"/>
    </row>
    <row r="954">
      <c r="A954" s="92"/>
      <c r="B954" s="92"/>
      <c r="C954" s="92"/>
      <c r="D954" s="92"/>
      <c r="E954" s="92"/>
      <c r="F954" s="92"/>
      <c r="G954" s="92"/>
      <c r="H954" s="92"/>
      <c r="I954" s="20"/>
      <c r="J954" s="95"/>
    </row>
    <row r="955">
      <c r="A955" s="92"/>
      <c r="B955" s="92"/>
      <c r="C955" s="92"/>
      <c r="D955" s="92"/>
      <c r="E955" s="92"/>
      <c r="F955" s="92"/>
      <c r="G955" s="92"/>
      <c r="H955" s="92"/>
      <c r="I955" s="20"/>
      <c r="J955" s="95"/>
    </row>
    <row r="956">
      <c r="A956" s="92"/>
      <c r="B956" s="92"/>
      <c r="C956" s="92"/>
      <c r="D956" s="92"/>
      <c r="E956" s="92"/>
      <c r="F956" s="92"/>
      <c r="G956" s="92"/>
      <c r="H956" s="92"/>
      <c r="I956" s="20"/>
      <c r="J956" s="95"/>
    </row>
    <row r="957">
      <c r="A957" s="92"/>
      <c r="B957" s="92"/>
      <c r="C957" s="92"/>
      <c r="D957" s="92"/>
      <c r="E957" s="92"/>
      <c r="F957" s="92"/>
      <c r="G957" s="92"/>
      <c r="H957" s="92"/>
      <c r="I957" s="20"/>
      <c r="J957" s="95"/>
    </row>
    <row r="958">
      <c r="A958" s="92"/>
      <c r="B958" s="92"/>
      <c r="C958" s="92"/>
      <c r="D958" s="92"/>
      <c r="E958" s="92"/>
      <c r="F958" s="92"/>
      <c r="G958" s="92"/>
      <c r="H958" s="92"/>
      <c r="I958" s="20"/>
      <c r="J958" s="95"/>
    </row>
    <row r="959">
      <c r="A959" s="92"/>
      <c r="B959" s="92"/>
      <c r="C959" s="92"/>
      <c r="D959" s="92"/>
      <c r="E959" s="92"/>
      <c r="F959" s="92"/>
      <c r="G959" s="92"/>
      <c r="H959" s="92"/>
      <c r="I959" s="20"/>
      <c r="J959" s="95"/>
    </row>
    <row r="960">
      <c r="A960" s="92"/>
      <c r="B960" s="92"/>
      <c r="C960" s="92"/>
      <c r="D960" s="92"/>
      <c r="E960" s="92"/>
      <c r="F960" s="92"/>
      <c r="G960" s="92"/>
      <c r="H960" s="92"/>
      <c r="I960" s="20"/>
      <c r="J960" s="95"/>
    </row>
    <row r="961">
      <c r="A961" s="92"/>
      <c r="B961" s="92"/>
      <c r="C961" s="92"/>
      <c r="D961" s="92"/>
      <c r="E961" s="92"/>
      <c r="F961" s="92"/>
      <c r="G961" s="92"/>
      <c r="H961" s="92"/>
      <c r="I961" s="20"/>
      <c r="J961" s="95"/>
    </row>
    <row r="962">
      <c r="A962" s="92"/>
      <c r="B962" s="92"/>
      <c r="C962" s="92"/>
      <c r="D962" s="92"/>
      <c r="E962" s="92"/>
      <c r="F962" s="92"/>
      <c r="G962" s="92"/>
      <c r="H962" s="92"/>
      <c r="I962" s="20"/>
      <c r="J962" s="95"/>
    </row>
    <row r="963">
      <c r="A963" s="92"/>
      <c r="B963" s="92"/>
      <c r="C963" s="92"/>
      <c r="D963" s="92"/>
      <c r="E963" s="92"/>
      <c r="F963" s="92"/>
      <c r="G963" s="92"/>
      <c r="H963" s="92"/>
      <c r="I963" s="20"/>
      <c r="J963" s="95"/>
    </row>
    <row r="964">
      <c r="A964" s="92"/>
      <c r="B964" s="92"/>
      <c r="C964" s="92"/>
      <c r="D964" s="92"/>
      <c r="E964" s="92"/>
      <c r="F964" s="92"/>
      <c r="G964" s="92"/>
      <c r="H964" s="92"/>
      <c r="I964" s="20"/>
      <c r="J964" s="95"/>
    </row>
    <row r="965">
      <c r="A965" s="92"/>
      <c r="B965" s="92"/>
      <c r="C965" s="92"/>
      <c r="D965" s="92"/>
      <c r="E965" s="92"/>
      <c r="F965" s="92"/>
      <c r="G965" s="92"/>
      <c r="H965" s="92"/>
      <c r="I965" s="20"/>
      <c r="J965" s="95"/>
    </row>
    <row r="966">
      <c r="A966" s="92"/>
      <c r="B966" s="92"/>
      <c r="C966" s="92"/>
      <c r="D966" s="92"/>
      <c r="E966" s="92"/>
      <c r="F966" s="92"/>
      <c r="G966" s="92"/>
      <c r="H966" s="92"/>
      <c r="I966" s="20"/>
      <c r="J966" s="95"/>
    </row>
    <row r="967">
      <c r="A967" s="92"/>
      <c r="B967" s="92"/>
      <c r="C967" s="92"/>
      <c r="D967" s="92"/>
      <c r="E967" s="92"/>
      <c r="F967" s="92"/>
      <c r="G967" s="92"/>
      <c r="H967" s="92"/>
      <c r="I967" s="20"/>
      <c r="J967" s="95"/>
    </row>
    <row r="968">
      <c r="A968" s="92"/>
      <c r="B968" s="92"/>
      <c r="C968" s="92"/>
      <c r="D968" s="92"/>
      <c r="E968" s="92"/>
      <c r="F968" s="92"/>
      <c r="G968" s="92"/>
      <c r="H968" s="92"/>
      <c r="I968" s="20"/>
      <c r="J968" s="95"/>
    </row>
    <row r="969">
      <c r="A969" s="92"/>
      <c r="B969" s="92"/>
      <c r="C969" s="92"/>
      <c r="D969" s="92"/>
      <c r="E969" s="92"/>
      <c r="F969" s="92"/>
      <c r="G969" s="92"/>
      <c r="H969" s="92"/>
      <c r="I969" s="20"/>
      <c r="J969" s="95"/>
    </row>
    <row r="970">
      <c r="A970" s="92"/>
      <c r="B970" s="92"/>
      <c r="C970" s="92"/>
      <c r="D970" s="92"/>
      <c r="E970" s="92"/>
      <c r="F970" s="92"/>
      <c r="G970" s="92"/>
      <c r="H970" s="92"/>
      <c r="I970" s="20"/>
      <c r="J970" s="95"/>
    </row>
    <row r="971">
      <c r="A971" s="92"/>
      <c r="B971" s="92"/>
      <c r="C971" s="92"/>
      <c r="D971" s="92"/>
      <c r="E971" s="92"/>
      <c r="F971" s="92"/>
      <c r="G971" s="92"/>
      <c r="H971" s="92"/>
      <c r="I971" s="20"/>
      <c r="J971" s="95"/>
    </row>
    <row r="972">
      <c r="A972" s="92"/>
      <c r="B972" s="92"/>
      <c r="C972" s="92"/>
      <c r="D972" s="92"/>
      <c r="E972" s="92"/>
      <c r="F972" s="92"/>
      <c r="G972" s="92"/>
      <c r="H972" s="92"/>
      <c r="I972" s="20"/>
      <c r="J972" s="95"/>
    </row>
    <row r="973">
      <c r="A973" s="92"/>
      <c r="B973" s="92"/>
      <c r="C973" s="92"/>
      <c r="D973" s="92"/>
      <c r="E973" s="92"/>
      <c r="F973" s="92"/>
      <c r="G973" s="92"/>
      <c r="H973" s="92"/>
      <c r="I973" s="20"/>
      <c r="J973" s="95"/>
    </row>
    <row r="974">
      <c r="A974" s="92"/>
      <c r="B974" s="92"/>
      <c r="C974" s="92"/>
      <c r="D974" s="92"/>
      <c r="E974" s="92"/>
      <c r="F974" s="92"/>
      <c r="G974" s="92"/>
      <c r="H974" s="92"/>
      <c r="I974" s="20"/>
      <c r="J974" s="95"/>
    </row>
    <row r="975">
      <c r="A975" s="92"/>
      <c r="B975" s="92"/>
      <c r="C975" s="92"/>
      <c r="D975" s="92"/>
      <c r="E975" s="92"/>
      <c r="F975" s="92"/>
      <c r="G975" s="92"/>
      <c r="H975" s="92"/>
      <c r="I975" s="20"/>
      <c r="J975" s="95"/>
    </row>
    <row r="976">
      <c r="A976" s="92"/>
      <c r="B976" s="92"/>
      <c r="C976" s="92"/>
      <c r="D976" s="92"/>
      <c r="E976" s="92"/>
      <c r="F976" s="92"/>
      <c r="G976" s="92"/>
      <c r="H976" s="92"/>
      <c r="I976" s="20"/>
      <c r="J976" s="95"/>
    </row>
    <row r="977">
      <c r="A977" s="92"/>
      <c r="B977" s="92"/>
      <c r="C977" s="92"/>
      <c r="D977" s="92"/>
      <c r="E977" s="92"/>
      <c r="F977" s="92"/>
      <c r="G977" s="92"/>
      <c r="H977" s="92"/>
      <c r="I977" s="20"/>
      <c r="J977" s="95"/>
    </row>
    <row r="978">
      <c r="A978" s="92"/>
      <c r="B978" s="92"/>
      <c r="C978" s="92"/>
      <c r="D978" s="92"/>
      <c r="E978" s="92"/>
      <c r="F978" s="92"/>
      <c r="G978" s="92"/>
      <c r="H978" s="92"/>
      <c r="I978" s="20"/>
      <c r="J978" s="95"/>
    </row>
    <row r="979">
      <c r="A979" s="92"/>
      <c r="B979" s="92"/>
      <c r="C979" s="92"/>
      <c r="D979" s="92"/>
      <c r="E979" s="92"/>
      <c r="F979" s="92"/>
      <c r="G979" s="92"/>
      <c r="H979" s="92"/>
      <c r="I979" s="20"/>
      <c r="J979" s="95"/>
    </row>
    <row r="980">
      <c r="A980" s="92"/>
      <c r="B980" s="92"/>
      <c r="C980" s="92"/>
      <c r="D980" s="92"/>
      <c r="E980" s="92"/>
      <c r="F980" s="92"/>
      <c r="G980" s="92"/>
      <c r="H980" s="92"/>
      <c r="I980" s="20"/>
      <c r="J980" s="95"/>
    </row>
    <row r="981">
      <c r="A981" s="92"/>
      <c r="B981" s="92"/>
      <c r="C981" s="92"/>
      <c r="D981" s="92"/>
      <c r="E981" s="92"/>
      <c r="F981" s="92"/>
      <c r="G981" s="92"/>
      <c r="H981" s="92"/>
      <c r="I981" s="20"/>
      <c r="J981" s="95"/>
    </row>
    <row r="982">
      <c r="A982" s="92"/>
      <c r="B982" s="92"/>
      <c r="C982" s="92"/>
      <c r="D982" s="92"/>
      <c r="E982" s="92"/>
      <c r="F982" s="92"/>
      <c r="G982" s="92"/>
      <c r="H982" s="92"/>
      <c r="I982" s="20"/>
      <c r="J982" s="95"/>
    </row>
    <row r="983">
      <c r="A983" s="92"/>
      <c r="B983" s="92"/>
      <c r="C983" s="92"/>
      <c r="D983" s="92"/>
      <c r="E983" s="92"/>
      <c r="F983" s="92"/>
      <c r="G983" s="92"/>
      <c r="H983" s="92"/>
      <c r="I983" s="20"/>
      <c r="J983" s="95"/>
    </row>
    <row r="984">
      <c r="A984" s="92"/>
      <c r="B984" s="92"/>
      <c r="C984" s="92"/>
      <c r="D984" s="92"/>
      <c r="E984" s="92"/>
      <c r="F984" s="92"/>
      <c r="G984" s="92"/>
      <c r="H984" s="92"/>
      <c r="I984" s="20"/>
      <c r="J984" s="95"/>
    </row>
    <row r="985">
      <c r="A985" s="92"/>
      <c r="B985" s="92"/>
      <c r="C985" s="92"/>
      <c r="D985" s="92"/>
      <c r="E985" s="92"/>
      <c r="F985" s="92"/>
      <c r="G985" s="92"/>
      <c r="H985" s="92"/>
      <c r="I985" s="20"/>
      <c r="J985" s="95"/>
    </row>
    <row r="986">
      <c r="A986" s="92"/>
      <c r="B986" s="92"/>
      <c r="C986" s="92"/>
      <c r="D986" s="92"/>
      <c r="E986" s="92"/>
      <c r="F986" s="92"/>
      <c r="G986" s="92"/>
      <c r="H986" s="92"/>
      <c r="I986" s="20"/>
      <c r="J986" s="95"/>
    </row>
    <row r="987">
      <c r="A987" s="92"/>
      <c r="B987" s="92"/>
      <c r="C987" s="92"/>
      <c r="D987" s="92"/>
      <c r="E987" s="92"/>
      <c r="F987" s="92"/>
      <c r="G987" s="92"/>
      <c r="H987" s="92"/>
      <c r="I987" s="20"/>
      <c r="J987" s="95"/>
    </row>
    <row r="988">
      <c r="A988" s="92"/>
      <c r="B988" s="92"/>
      <c r="C988" s="92"/>
      <c r="D988" s="92"/>
      <c r="E988" s="92"/>
      <c r="F988" s="92"/>
      <c r="G988" s="92"/>
      <c r="H988" s="92"/>
      <c r="I988" s="20"/>
      <c r="J988" s="95"/>
    </row>
    <row r="989">
      <c r="A989" s="92"/>
      <c r="B989" s="92"/>
      <c r="C989" s="92"/>
      <c r="D989" s="92"/>
      <c r="E989" s="92"/>
      <c r="F989" s="92"/>
      <c r="G989" s="92"/>
      <c r="H989" s="92"/>
      <c r="I989" s="20"/>
      <c r="J989" s="95"/>
    </row>
    <row r="990">
      <c r="A990" s="92"/>
      <c r="B990" s="92"/>
      <c r="C990" s="92"/>
      <c r="D990" s="92"/>
      <c r="E990" s="92"/>
      <c r="F990" s="92"/>
      <c r="G990" s="92"/>
      <c r="H990" s="92"/>
      <c r="I990" s="20"/>
      <c r="J990" s="95"/>
    </row>
    <row r="991">
      <c r="A991" s="92"/>
      <c r="B991" s="92"/>
      <c r="C991" s="92"/>
      <c r="D991" s="92"/>
      <c r="E991" s="92"/>
      <c r="F991" s="92"/>
      <c r="G991" s="92"/>
      <c r="H991" s="92"/>
      <c r="I991" s="20"/>
      <c r="J991" s="95"/>
    </row>
    <row r="992">
      <c r="A992" s="92"/>
      <c r="B992" s="92"/>
      <c r="C992" s="92"/>
      <c r="D992" s="92"/>
      <c r="E992" s="92"/>
      <c r="F992" s="92"/>
      <c r="G992" s="92"/>
      <c r="H992" s="92"/>
      <c r="I992" s="20"/>
      <c r="J992" s="95"/>
    </row>
    <row r="993">
      <c r="A993" s="92"/>
      <c r="B993" s="92"/>
      <c r="C993" s="92"/>
      <c r="D993" s="92"/>
      <c r="E993" s="92"/>
      <c r="F993" s="92"/>
      <c r="G993" s="92"/>
      <c r="H993" s="92"/>
      <c r="I993" s="20"/>
      <c r="J993" s="95"/>
    </row>
    <row r="994">
      <c r="A994" s="92"/>
      <c r="B994" s="92"/>
      <c r="C994" s="92"/>
      <c r="D994" s="92"/>
      <c r="E994" s="92"/>
      <c r="F994" s="92"/>
      <c r="G994" s="92"/>
      <c r="H994" s="92"/>
      <c r="I994" s="20"/>
      <c r="J994" s="95"/>
    </row>
    <row r="995">
      <c r="A995" s="92"/>
      <c r="B995" s="92"/>
      <c r="C995" s="92"/>
      <c r="D995" s="92"/>
      <c r="E995" s="92"/>
      <c r="F995" s="92"/>
      <c r="G995" s="92"/>
      <c r="H995" s="92"/>
      <c r="I995" s="20"/>
      <c r="J995" s="95"/>
    </row>
    <row r="996">
      <c r="A996" s="92"/>
      <c r="B996" s="92"/>
      <c r="C996" s="92"/>
      <c r="D996" s="92"/>
      <c r="E996" s="92"/>
      <c r="F996" s="92"/>
      <c r="G996" s="92"/>
      <c r="H996" s="92"/>
      <c r="I996" s="20"/>
      <c r="J996" s="95"/>
    </row>
    <row r="997">
      <c r="A997" s="92"/>
      <c r="B997" s="92"/>
      <c r="C997" s="92"/>
      <c r="D997" s="92"/>
      <c r="E997" s="92"/>
      <c r="F997" s="92"/>
      <c r="G997" s="92"/>
      <c r="H997" s="92"/>
      <c r="I997" s="20"/>
      <c r="J997" s="95"/>
    </row>
    <row r="998">
      <c r="A998" s="92"/>
      <c r="B998" s="92"/>
      <c r="C998" s="92"/>
      <c r="D998" s="92"/>
      <c r="E998" s="92"/>
      <c r="F998" s="92"/>
      <c r="G998" s="92"/>
      <c r="H998" s="92"/>
      <c r="I998" s="20"/>
      <c r="J998" s="95"/>
    </row>
    <row r="999">
      <c r="A999" s="92"/>
      <c r="B999" s="92"/>
      <c r="C999" s="92"/>
      <c r="D999" s="92"/>
      <c r="E999" s="92"/>
      <c r="F999" s="92"/>
      <c r="G999" s="92"/>
      <c r="H999" s="92"/>
      <c r="I999" s="20"/>
      <c r="J999" s="95"/>
    </row>
    <row r="1000">
      <c r="A1000" s="92"/>
      <c r="B1000" s="92"/>
      <c r="C1000" s="92"/>
      <c r="D1000" s="92"/>
      <c r="E1000" s="92"/>
      <c r="F1000" s="92"/>
      <c r="G1000" s="92"/>
      <c r="H1000" s="92"/>
      <c r="I1000" s="20"/>
      <c r="J1000" s="95"/>
    </row>
    <row r="1001">
      <c r="A1001" s="92"/>
      <c r="B1001" s="92"/>
      <c r="C1001" s="92"/>
      <c r="D1001" s="92"/>
      <c r="E1001" s="92"/>
      <c r="F1001" s="92"/>
      <c r="G1001" s="92"/>
      <c r="H1001" s="92"/>
      <c r="I1001" s="20"/>
      <c r="J1001" s="95"/>
    </row>
    <row r="1002">
      <c r="A1002" s="92"/>
      <c r="B1002" s="92"/>
      <c r="C1002" s="92"/>
      <c r="D1002" s="92"/>
      <c r="E1002" s="92"/>
      <c r="F1002" s="92"/>
      <c r="G1002" s="92"/>
      <c r="H1002" s="92"/>
      <c r="I1002" s="20"/>
      <c r="J1002" s="95"/>
    </row>
    <row r="1003">
      <c r="A1003" s="92"/>
      <c r="B1003" s="92"/>
      <c r="C1003" s="92"/>
      <c r="D1003" s="92"/>
      <c r="E1003" s="92"/>
      <c r="F1003" s="92"/>
      <c r="G1003" s="92"/>
      <c r="H1003" s="92"/>
      <c r="I1003" s="20"/>
      <c r="J1003" s="95"/>
    </row>
  </sheetData>
  <mergeCells count="2">
    <mergeCell ref="H4:I4"/>
    <mergeCell ref="F6:I6"/>
  </mergeCells>
  <printOptions horizontalCentered="1"/>
  <pageMargins bottom="0.75" footer="0.0" header="0.0" left="0.25" right="0.25" top="0.75"/>
  <pageSetup orientation="portrait" pageOrder="overThenDown" paperHeight="32in" paperWidth="11i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4.29"/>
    <col customWidth="1" min="3" max="3" width="1.57"/>
    <col customWidth="1" min="4" max="4" width="3.71"/>
    <col customWidth="1" min="5" max="5" width="33.71"/>
    <col customWidth="1" min="6" max="6" width="5.43"/>
    <col customWidth="1" min="7" max="7" width="1.57"/>
    <col customWidth="1" min="8" max="8" width="5.71"/>
    <col customWidth="1" min="9" max="9" width="34.43"/>
    <col customWidth="1" min="10" max="10" width="4.29"/>
  </cols>
  <sheetData>
    <row r="1" ht="22.5" customHeight="1">
      <c r="A1" s="21"/>
      <c r="B1" s="21"/>
      <c r="C1" s="21"/>
      <c r="D1" s="21"/>
      <c r="E1" s="21"/>
      <c r="F1" s="21"/>
      <c r="G1" s="21"/>
      <c r="H1" s="21"/>
      <c r="I1" s="22"/>
      <c r="J1" s="22"/>
    </row>
    <row r="2">
      <c r="A2" s="21"/>
      <c r="B2" s="23"/>
      <c r="C2" s="24"/>
      <c r="D2" s="24"/>
      <c r="E2" s="24"/>
      <c r="F2" s="24"/>
      <c r="G2" s="24"/>
      <c r="H2" s="24"/>
      <c r="I2" s="25"/>
      <c r="J2" s="22"/>
    </row>
    <row r="3" ht="49.5" customHeight="1">
      <c r="A3" s="21"/>
      <c r="B3" s="26"/>
      <c r="C3" s="27"/>
      <c r="D3" s="27"/>
      <c r="E3" s="27"/>
      <c r="F3" s="27"/>
      <c r="G3" s="28"/>
      <c r="H3" s="27"/>
      <c r="I3" s="29"/>
      <c r="J3" s="22"/>
    </row>
    <row r="4">
      <c r="A4" s="21"/>
      <c r="B4" s="26"/>
      <c r="C4" s="28"/>
      <c r="D4" s="28"/>
      <c r="E4" s="28"/>
      <c r="F4" s="28"/>
      <c r="G4" s="28"/>
      <c r="H4" s="30"/>
      <c r="I4" s="31"/>
      <c r="J4" s="22"/>
    </row>
    <row r="5" ht="31.5" customHeight="1">
      <c r="A5" s="21"/>
      <c r="B5" s="32"/>
      <c r="C5" s="33"/>
      <c r="D5" s="33"/>
      <c r="E5" s="33"/>
      <c r="F5" s="33"/>
      <c r="G5" s="34"/>
      <c r="H5" s="35"/>
      <c r="I5" s="36"/>
      <c r="J5" s="22"/>
    </row>
    <row r="6">
      <c r="A6" s="21"/>
      <c r="B6" s="37"/>
      <c r="C6" s="21"/>
      <c r="D6" s="21"/>
      <c r="E6" s="38" t="s">
        <v>392</v>
      </c>
      <c r="F6" s="39">
        <f>'#17 IH Results'!B1</f>
        <v>672.5638475</v>
      </c>
      <c r="G6" s="40"/>
      <c r="H6" s="40"/>
      <c r="I6" s="41"/>
      <c r="J6" s="22"/>
    </row>
    <row r="7" ht="28.5" customHeight="1">
      <c r="A7" s="42"/>
      <c r="B7" s="43"/>
      <c r="C7" s="44"/>
      <c r="D7" s="44"/>
      <c r="E7" s="44"/>
      <c r="F7" s="45"/>
      <c r="G7" s="45"/>
      <c r="H7" s="45"/>
      <c r="I7" s="46"/>
      <c r="J7" s="47"/>
      <c r="K7" s="48"/>
      <c r="L7" s="48"/>
      <c r="M7" s="48"/>
      <c r="N7" s="48"/>
      <c r="O7" s="48"/>
      <c r="P7" s="48"/>
      <c r="Q7" s="48"/>
      <c r="R7" s="48"/>
      <c r="S7" s="48"/>
      <c r="T7" s="48"/>
      <c r="U7" s="48"/>
      <c r="V7" s="48"/>
      <c r="W7" s="48"/>
      <c r="X7" s="48"/>
      <c r="Y7" s="48"/>
      <c r="Z7" s="48"/>
      <c r="AA7" s="48"/>
      <c r="AB7" s="48"/>
      <c r="AC7" s="48"/>
      <c r="AD7" s="48"/>
      <c r="AE7" s="48"/>
      <c r="AF7" s="48"/>
      <c r="AG7" s="48"/>
    </row>
    <row r="8" ht="30.75" customHeight="1">
      <c r="A8" s="42"/>
      <c r="B8" s="49"/>
      <c r="C8" s="50"/>
      <c r="D8" s="50"/>
      <c r="E8" s="51" t="s">
        <v>393</v>
      </c>
      <c r="F8" s="52"/>
      <c r="G8" s="52"/>
      <c r="H8" s="52"/>
      <c r="I8" s="53" t="s">
        <v>2</v>
      </c>
      <c r="J8" s="47"/>
      <c r="K8" s="48"/>
      <c r="L8" s="48"/>
      <c r="M8" s="48"/>
      <c r="N8" s="48"/>
      <c r="O8" s="48"/>
      <c r="P8" s="48"/>
      <c r="Q8" s="48"/>
      <c r="R8" s="48"/>
      <c r="S8" s="48"/>
      <c r="T8" s="48"/>
      <c r="U8" s="48"/>
      <c r="V8" s="48"/>
      <c r="W8" s="48"/>
      <c r="X8" s="48"/>
      <c r="Y8" s="48"/>
      <c r="Z8" s="48"/>
      <c r="AA8" s="48"/>
      <c r="AB8" s="48"/>
      <c r="AC8" s="48"/>
      <c r="AD8" s="48"/>
      <c r="AE8" s="48"/>
      <c r="AF8" s="48"/>
      <c r="AG8" s="48"/>
    </row>
    <row r="9" ht="15.75" customHeight="1">
      <c r="A9" s="54"/>
      <c r="B9" s="55"/>
      <c r="C9" s="56"/>
      <c r="D9" s="56"/>
      <c r="E9" s="56"/>
      <c r="F9" s="57"/>
      <c r="G9" s="58"/>
      <c r="H9" s="58"/>
      <c r="I9" s="59"/>
      <c r="J9" s="47"/>
      <c r="K9" s="48"/>
      <c r="L9" s="48"/>
      <c r="M9" s="48"/>
      <c r="N9" s="48"/>
      <c r="O9" s="48"/>
      <c r="P9" s="48"/>
      <c r="Q9" s="48"/>
      <c r="R9" s="48"/>
      <c r="S9" s="48"/>
      <c r="T9" s="48"/>
      <c r="U9" s="48"/>
      <c r="V9" s="48"/>
      <c r="W9" s="48"/>
      <c r="X9" s="48"/>
      <c r="Y9" s="48"/>
      <c r="Z9" s="48"/>
      <c r="AA9" s="48"/>
      <c r="AB9" s="48"/>
      <c r="AC9" s="48"/>
      <c r="AD9" s="48"/>
      <c r="AE9" s="48"/>
      <c r="AF9" s="48"/>
      <c r="AG9" s="48"/>
    </row>
    <row r="10" ht="21.75" customHeight="1">
      <c r="A10" s="60"/>
      <c r="B10" s="72"/>
      <c r="C10" s="62"/>
      <c r="D10" s="63" t="s">
        <v>389</v>
      </c>
      <c r="E10" s="96" t="str">
        <f>'#17 IH Results'!A3</f>
        <v>zeptimusQ</v>
      </c>
      <c r="F10" s="65"/>
      <c r="G10" s="66"/>
      <c r="H10" s="67" t="s">
        <v>390</v>
      </c>
      <c r="I10" s="68">
        <f>'#17 IH Results'!B3</f>
        <v>39.04071991</v>
      </c>
      <c r="J10" s="47"/>
      <c r="K10" s="48"/>
      <c r="L10" s="48"/>
      <c r="M10" s="48"/>
      <c r="N10" s="48"/>
      <c r="O10" s="48"/>
      <c r="P10" s="48"/>
      <c r="Q10" s="48"/>
      <c r="R10" s="48"/>
      <c r="S10" s="48"/>
      <c r="T10" s="48"/>
      <c r="U10" s="48"/>
      <c r="V10" s="48"/>
      <c r="W10" s="48"/>
      <c r="X10" s="48"/>
      <c r="Y10" s="48"/>
      <c r="Z10" s="48"/>
      <c r="AA10" s="48"/>
      <c r="AB10" s="48"/>
      <c r="AC10" s="48"/>
      <c r="AD10" s="48"/>
      <c r="AE10" s="48"/>
      <c r="AF10" s="48"/>
      <c r="AG10" s="48"/>
    </row>
    <row r="11" ht="21.75" customHeight="1">
      <c r="A11" s="60"/>
      <c r="B11" s="72"/>
      <c r="C11" s="97"/>
      <c r="D11" s="98" t="s">
        <v>389</v>
      </c>
      <c r="E11" s="96" t="str">
        <f>'#17 IH Results'!A4</f>
        <v>solsista</v>
      </c>
      <c r="F11" s="99"/>
      <c r="G11" s="100"/>
      <c r="H11" s="67" t="s">
        <v>390</v>
      </c>
      <c r="I11" s="68">
        <f>'#17 IH Results'!B4</f>
        <v>28.49199425</v>
      </c>
      <c r="J11" s="47"/>
      <c r="K11" s="48"/>
      <c r="L11" s="48"/>
      <c r="M11" s="48"/>
      <c r="N11" s="48"/>
      <c r="O11" s="48"/>
      <c r="P11" s="48"/>
      <c r="Q11" s="48"/>
      <c r="R11" s="48"/>
      <c r="S11" s="48"/>
      <c r="T11" s="48"/>
      <c r="U11" s="48"/>
      <c r="V11" s="48"/>
      <c r="W11" s="48"/>
      <c r="X11" s="48"/>
      <c r="Y11" s="48"/>
      <c r="Z11" s="48"/>
      <c r="AA11" s="48"/>
      <c r="AB11" s="48"/>
      <c r="AC11" s="48"/>
      <c r="AD11" s="48"/>
      <c r="AE11" s="48"/>
      <c r="AF11" s="48"/>
      <c r="AG11" s="48"/>
    </row>
    <row r="12" ht="21.75" customHeight="1">
      <c r="A12" s="60"/>
      <c r="B12" s="72"/>
      <c r="C12" s="97"/>
      <c r="D12" s="98" t="s">
        <v>389</v>
      </c>
      <c r="E12" s="96" t="str">
        <f>'#17 IH Results'!A5</f>
        <v>iviangita</v>
      </c>
      <c r="F12" s="99"/>
      <c r="G12" s="100"/>
      <c r="H12" s="67" t="s">
        <v>390</v>
      </c>
      <c r="I12" s="68">
        <f>'#17 IH Results'!B5</f>
        <v>23.87003435</v>
      </c>
      <c r="J12" s="47"/>
      <c r="K12" s="48"/>
      <c r="L12" s="48"/>
      <c r="M12" s="48"/>
      <c r="N12" s="48"/>
      <c r="O12" s="48"/>
      <c r="P12" s="48"/>
      <c r="Q12" s="48"/>
      <c r="R12" s="48"/>
      <c r="S12" s="48"/>
      <c r="T12" s="48"/>
      <c r="U12" s="48"/>
      <c r="V12" s="48"/>
      <c r="W12" s="48"/>
      <c r="X12" s="48"/>
      <c r="Y12" s="48"/>
      <c r="Z12" s="48"/>
      <c r="AA12" s="48"/>
      <c r="AB12" s="48"/>
      <c r="AC12" s="48"/>
      <c r="AD12" s="48"/>
      <c r="AE12" s="48"/>
      <c r="AF12" s="48"/>
      <c r="AG12" s="48"/>
    </row>
    <row r="13" ht="21.75" customHeight="1">
      <c r="A13" s="60"/>
      <c r="B13" s="72"/>
      <c r="C13" s="97"/>
      <c r="D13" s="98" t="s">
        <v>389</v>
      </c>
      <c r="E13" s="96" t="str">
        <f>'#17 IH Results'!A6</f>
        <v>Suga#8514</v>
      </c>
      <c r="F13" s="99"/>
      <c r="G13" s="100"/>
      <c r="H13" s="67" t="s">
        <v>390</v>
      </c>
      <c r="I13" s="68">
        <f>'#17 IH Results'!B6</f>
        <v>20.12199683</v>
      </c>
      <c r="J13" s="47"/>
      <c r="K13" s="48"/>
      <c r="L13" s="48"/>
      <c r="M13" s="48"/>
      <c r="N13" s="48"/>
      <c r="O13" s="48"/>
      <c r="P13" s="48"/>
      <c r="Q13" s="48"/>
      <c r="R13" s="48"/>
      <c r="S13" s="48"/>
      <c r="T13" s="48"/>
      <c r="U13" s="48"/>
      <c r="V13" s="48"/>
      <c r="W13" s="48"/>
      <c r="X13" s="48"/>
      <c r="Y13" s="48"/>
      <c r="Z13" s="48"/>
      <c r="AA13" s="48"/>
      <c r="AB13" s="48"/>
      <c r="AC13" s="48"/>
      <c r="AD13" s="48"/>
      <c r="AE13" s="48"/>
      <c r="AF13" s="48"/>
      <c r="AG13" s="48"/>
    </row>
    <row r="14" ht="21.75" customHeight="1">
      <c r="A14" s="60"/>
      <c r="B14" s="72"/>
      <c r="C14" s="97"/>
      <c r="D14" s="98" t="s">
        <v>389</v>
      </c>
      <c r="E14" s="96" t="str">
        <f>'#17 IH Results'!A7</f>
        <v>ygganderson</v>
      </c>
      <c r="F14" s="99"/>
      <c r="G14" s="100"/>
      <c r="H14" s="67" t="s">
        <v>390</v>
      </c>
      <c r="I14" s="68">
        <f>'#17 IH Results'!B7</f>
        <v>19.82437273</v>
      </c>
      <c r="J14" s="47"/>
      <c r="K14" s="48"/>
      <c r="L14" s="48"/>
      <c r="M14" s="48"/>
      <c r="N14" s="48"/>
      <c r="O14" s="48"/>
      <c r="P14" s="48"/>
      <c r="Q14" s="48"/>
      <c r="R14" s="48"/>
      <c r="S14" s="48"/>
      <c r="T14" s="48"/>
      <c r="U14" s="48"/>
      <c r="V14" s="48"/>
      <c r="W14" s="48"/>
      <c r="X14" s="48"/>
      <c r="Y14" s="48"/>
      <c r="Z14" s="48"/>
      <c r="AA14" s="48"/>
      <c r="AB14" s="48"/>
      <c r="AC14" s="48"/>
      <c r="AD14" s="48"/>
      <c r="AE14" s="48"/>
      <c r="AF14" s="48"/>
      <c r="AG14" s="48"/>
    </row>
    <row r="15" ht="21.75" customHeight="1">
      <c r="A15" s="60"/>
      <c r="B15" s="72"/>
      <c r="C15" s="97"/>
      <c r="D15" s="98" t="s">
        <v>389</v>
      </c>
      <c r="E15" s="96" t="str">
        <f>'#17 IH Results'!A8</f>
        <v>AnnaMarieSwan#8824</v>
      </c>
      <c r="F15" s="99"/>
      <c r="G15" s="100"/>
      <c r="H15" s="67" t="s">
        <v>390</v>
      </c>
      <c r="I15" s="68">
        <f>'#17 IH Results'!B8</f>
        <v>19.08114174</v>
      </c>
      <c r="J15" s="47"/>
      <c r="K15" s="48"/>
      <c r="L15" s="48"/>
      <c r="M15" s="48"/>
      <c r="N15" s="48"/>
      <c r="O15" s="48"/>
      <c r="P15" s="48"/>
      <c r="Q15" s="48"/>
      <c r="R15" s="48"/>
      <c r="S15" s="48"/>
      <c r="T15" s="48"/>
      <c r="U15" s="48"/>
      <c r="V15" s="48"/>
      <c r="W15" s="48"/>
      <c r="X15" s="48"/>
      <c r="Y15" s="48"/>
      <c r="Z15" s="48"/>
      <c r="AA15" s="48"/>
      <c r="AB15" s="48"/>
      <c r="AC15" s="48"/>
      <c r="AD15" s="48"/>
      <c r="AE15" s="48"/>
      <c r="AF15" s="48"/>
      <c r="AG15" s="48"/>
    </row>
    <row r="16" ht="21.75" customHeight="1">
      <c r="A16" s="60"/>
      <c r="B16" s="72"/>
      <c r="C16" s="97"/>
      <c r="D16" s="98" t="s">
        <v>389</v>
      </c>
      <c r="E16" s="96" t="str">
        <f>'#17 IH Results'!A9</f>
        <v>Santigs67</v>
      </c>
      <c r="F16" s="99"/>
      <c r="G16" s="100"/>
      <c r="H16" s="67" t="s">
        <v>390</v>
      </c>
      <c r="I16" s="68">
        <f>'#17 IH Results'!B9</f>
        <v>18.56396279</v>
      </c>
      <c r="J16" s="47"/>
      <c r="K16" s="48"/>
      <c r="L16" s="48"/>
      <c r="M16" s="48"/>
      <c r="N16" s="48"/>
      <c r="O16" s="48"/>
      <c r="P16" s="48"/>
      <c r="Q16" s="48"/>
      <c r="R16" s="48"/>
      <c r="S16" s="48"/>
      <c r="T16" s="48"/>
      <c r="U16" s="48"/>
      <c r="V16" s="48"/>
      <c r="W16" s="48"/>
      <c r="X16" s="48"/>
      <c r="Y16" s="48"/>
      <c r="Z16" s="48"/>
      <c r="AA16" s="48"/>
      <c r="AB16" s="48"/>
      <c r="AC16" s="48"/>
      <c r="AD16" s="48"/>
      <c r="AE16" s="48"/>
      <c r="AF16" s="48"/>
      <c r="AG16" s="48"/>
    </row>
    <row r="17" ht="21.75" customHeight="1">
      <c r="A17" s="60"/>
      <c r="B17" s="72"/>
      <c r="C17" s="97"/>
      <c r="D17" s="98" t="s">
        <v>389</v>
      </c>
      <c r="E17" s="96" t="str">
        <f>'#17 IH Results'!A10</f>
        <v>akrtws</v>
      </c>
      <c r="F17" s="99"/>
      <c r="G17" s="100"/>
      <c r="H17" s="67" t="s">
        <v>390</v>
      </c>
      <c r="I17" s="68">
        <f>'#17 IH Results'!B10</f>
        <v>18.30184828</v>
      </c>
      <c r="J17" s="47"/>
      <c r="K17" s="48"/>
      <c r="L17" s="73"/>
      <c r="M17" s="74"/>
      <c r="N17" s="48"/>
      <c r="O17" s="48"/>
      <c r="P17" s="48"/>
      <c r="Q17" s="48"/>
      <c r="R17" s="48"/>
      <c r="S17" s="48"/>
      <c r="T17" s="48"/>
      <c r="U17" s="48"/>
      <c r="V17" s="48"/>
      <c r="W17" s="48"/>
      <c r="X17" s="48"/>
      <c r="Y17" s="48"/>
      <c r="Z17" s="48"/>
      <c r="AA17" s="48"/>
      <c r="AB17" s="48"/>
      <c r="AC17" s="48"/>
      <c r="AD17" s="48"/>
      <c r="AE17" s="48"/>
      <c r="AF17" s="48"/>
      <c r="AG17" s="48"/>
    </row>
    <row r="18" ht="21.75" customHeight="1">
      <c r="A18" s="60"/>
      <c r="B18" s="72"/>
      <c r="C18" s="97"/>
      <c r="D18" s="98" t="s">
        <v>389</v>
      </c>
      <c r="E18" s="96" t="str">
        <f>'#17 IH Results'!A11</f>
        <v>heater03</v>
      </c>
      <c r="F18" s="99"/>
      <c r="G18" s="100"/>
      <c r="H18" s="67" t="s">
        <v>390</v>
      </c>
      <c r="I18" s="68">
        <f>'#17 IH Results'!B11</f>
        <v>16.59866949</v>
      </c>
      <c r="J18" s="47"/>
      <c r="K18" s="48"/>
      <c r="L18" s="48"/>
      <c r="M18" s="48"/>
      <c r="N18" s="48"/>
      <c r="O18" s="48"/>
      <c r="P18" s="48"/>
      <c r="Q18" s="48"/>
      <c r="R18" s="48"/>
      <c r="S18" s="48"/>
      <c r="T18" s="48"/>
      <c r="U18" s="48"/>
      <c r="V18" s="48"/>
      <c r="W18" s="48"/>
      <c r="X18" s="48"/>
      <c r="Y18" s="48"/>
      <c r="Z18" s="48"/>
      <c r="AA18" s="48"/>
      <c r="AB18" s="48"/>
      <c r="AC18" s="48"/>
      <c r="AD18" s="48"/>
      <c r="AE18" s="48"/>
      <c r="AF18" s="48"/>
      <c r="AG18" s="48"/>
    </row>
    <row r="19" ht="21.75" customHeight="1">
      <c r="A19" s="60"/>
      <c r="B19" s="72"/>
      <c r="C19" s="97"/>
      <c r="D19" s="98" t="s">
        <v>389</v>
      </c>
      <c r="E19" s="96" t="str">
        <f>'#17 IH Results'!A12</f>
        <v>BlairV</v>
      </c>
      <c r="F19" s="99"/>
      <c r="G19" s="100"/>
      <c r="H19" s="67" t="s">
        <v>390</v>
      </c>
      <c r="I19" s="68">
        <f>'#17 IH Results'!B12</f>
        <v>16.15361151</v>
      </c>
      <c r="J19" s="47"/>
      <c r="K19" s="48"/>
      <c r="L19" s="48"/>
      <c r="M19" s="48"/>
      <c r="N19" s="48"/>
      <c r="O19" s="48"/>
      <c r="P19" s="48"/>
      <c r="Q19" s="48"/>
      <c r="R19" s="48"/>
      <c r="S19" s="48"/>
      <c r="T19" s="48"/>
      <c r="U19" s="48"/>
      <c r="V19" s="48"/>
      <c r="W19" s="48"/>
      <c r="X19" s="48"/>
      <c r="Y19" s="48"/>
      <c r="Z19" s="48"/>
      <c r="AA19" s="48"/>
      <c r="AB19" s="48"/>
      <c r="AC19" s="48"/>
      <c r="AD19" s="48"/>
      <c r="AE19" s="48"/>
      <c r="AF19" s="48"/>
      <c r="AG19" s="48"/>
    </row>
    <row r="20" ht="21.75" customHeight="1">
      <c r="A20" s="60"/>
      <c r="B20" s="72"/>
      <c r="C20" s="97"/>
      <c r="D20" s="98" t="s">
        <v>389</v>
      </c>
      <c r="E20" s="96" t="str">
        <f>'#17 IH Results'!A13</f>
        <v>cranders71</v>
      </c>
      <c r="F20" s="99"/>
      <c r="G20" s="100"/>
      <c r="H20" s="67" t="s">
        <v>390</v>
      </c>
      <c r="I20" s="68">
        <f>'#17 IH Results'!B13</f>
        <v>15.11309888</v>
      </c>
      <c r="J20" s="47"/>
      <c r="K20" s="48"/>
      <c r="L20" s="48"/>
      <c r="M20" s="48"/>
      <c r="N20" s="48"/>
      <c r="O20" s="48"/>
      <c r="P20" s="48"/>
      <c r="Q20" s="48"/>
      <c r="R20" s="48"/>
      <c r="S20" s="48"/>
      <c r="T20" s="48"/>
      <c r="U20" s="48"/>
      <c r="V20" s="48"/>
      <c r="W20" s="48"/>
      <c r="X20" s="48"/>
      <c r="Y20" s="48"/>
      <c r="Z20" s="48"/>
      <c r="AA20" s="48"/>
      <c r="AB20" s="48"/>
      <c r="AC20" s="48"/>
      <c r="AD20" s="48"/>
      <c r="AE20" s="48"/>
      <c r="AF20" s="48"/>
      <c r="AG20" s="48"/>
    </row>
    <row r="21" ht="21.75" customHeight="1">
      <c r="A21" s="60"/>
      <c r="B21" s="72"/>
      <c r="C21" s="97"/>
      <c r="D21" s="98" t="s">
        <v>389</v>
      </c>
      <c r="E21" s="96" t="str">
        <f>'#17 IH Results'!A14</f>
        <v>rdfbbx#6437</v>
      </c>
      <c r="F21" s="99"/>
      <c r="G21" s="100"/>
      <c r="H21" s="67" t="s">
        <v>390</v>
      </c>
      <c r="I21" s="68">
        <f>'#17 IH Results'!B14</f>
        <v>14.67233897</v>
      </c>
      <c r="J21" s="47"/>
      <c r="K21" s="48"/>
      <c r="L21" s="48"/>
      <c r="M21" s="48"/>
      <c r="N21" s="48"/>
      <c r="O21" s="48"/>
      <c r="P21" s="48"/>
      <c r="Q21" s="48"/>
      <c r="R21" s="48"/>
      <c r="S21" s="48"/>
      <c r="T21" s="48"/>
      <c r="U21" s="48"/>
      <c r="V21" s="48"/>
      <c r="W21" s="48"/>
      <c r="X21" s="48"/>
      <c r="Y21" s="48"/>
      <c r="Z21" s="48"/>
      <c r="AA21" s="48"/>
      <c r="AB21" s="48"/>
      <c r="AC21" s="48"/>
      <c r="AD21" s="48"/>
      <c r="AE21" s="48"/>
      <c r="AF21" s="48"/>
      <c r="AG21" s="48"/>
    </row>
    <row r="22" ht="21.75" customHeight="1">
      <c r="A22" s="60"/>
      <c r="B22" s="72"/>
      <c r="C22" s="97"/>
      <c r="D22" s="98" t="s">
        <v>389</v>
      </c>
      <c r="E22" s="96" t="str">
        <f>'#17 IH Results'!A15</f>
        <v>Nuggan#5183</v>
      </c>
      <c r="F22" s="99"/>
      <c r="G22" s="100"/>
      <c r="H22" s="67" t="s">
        <v>390</v>
      </c>
      <c r="I22" s="68">
        <f>'#17 IH Results'!B15</f>
        <v>14.54507931</v>
      </c>
      <c r="J22" s="47"/>
      <c r="K22" s="48"/>
      <c r="L22" s="48"/>
      <c r="M22" s="48"/>
      <c r="N22" s="48"/>
      <c r="O22" s="48"/>
      <c r="P22" s="48"/>
      <c r="Q22" s="48"/>
      <c r="R22" s="48"/>
      <c r="S22" s="48"/>
      <c r="T22" s="48"/>
      <c r="U22" s="48"/>
      <c r="V22" s="48"/>
      <c r="W22" s="48"/>
      <c r="X22" s="48"/>
      <c r="Y22" s="48"/>
      <c r="Z22" s="48"/>
      <c r="AA22" s="48"/>
      <c r="AB22" s="48"/>
      <c r="AC22" s="48"/>
      <c r="AD22" s="48"/>
      <c r="AE22" s="48"/>
      <c r="AF22" s="48"/>
      <c r="AG22" s="48"/>
    </row>
    <row r="23" ht="21.75" customHeight="1">
      <c r="A23" s="60"/>
      <c r="B23" s="72"/>
      <c r="C23" s="97"/>
      <c r="D23" s="98" t="s">
        <v>389</v>
      </c>
      <c r="E23" s="96" t="str">
        <f>'#17 IH Results'!A16</f>
        <v>Mount Manu#3530</v>
      </c>
      <c r="F23" s="99"/>
      <c r="G23" s="100"/>
      <c r="H23" s="67" t="s">
        <v>390</v>
      </c>
      <c r="I23" s="68">
        <f>'#17 IH Results'!B16</f>
        <v>13.61524525</v>
      </c>
      <c r="J23" s="47"/>
      <c r="K23" s="48"/>
      <c r="L23" s="48"/>
      <c r="M23" s="48"/>
      <c r="N23" s="48"/>
      <c r="O23" s="48"/>
      <c r="P23" s="48"/>
      <c r="Q23" s="48"/>
      <c r="R23" s="48"/>
      <c r="S23" s="48"/>
      <c r="T23" s="48"/>
      <c r="U23" s="48"/>
      <c r="V23" s="48"/>
      <c r="W23" s="48"/>
      <c r="X23" s="48"/>
      <c r="Y23" s="48"/>
      <c r="Z23" s="48"/>
      <c r="AA23" s="48"/>
      <c r="AB23" s="48"/>
      <c r="AC23" s="48"/>
      <c r="AD23" s="48"/>
      <c r="AE23" s="48"/>
      <c r="AF23" s="48"/>
      <c r="AG23" s="48"/>
    </row>
    <row r="24" ht="21.75" customHeight="1">
      <c r="A24" s="60"/>
      <c r="B24" s="72"/>
      <c r="C24" s="97"/>
      <c r="D24" s="98" t="s">
        <v>389</v>
      </c>
      <c r="E24" s="96" t="str">
        <f>'#17 IH Results'!A17</f>
        <v>shawn_westrick</v>
      </c>
      <c r="F24" s="99"/>
      <c r="G24" s="100"/>
      <c r="H24" s="67" t="s">
        <v>390</v>
      </c>
      <c r="I24" s="68">
        <f>'#17 IH Results'!B17</f>
        <v>11.40997375</v>
      </c>
      <c r="J24" s="47"/>
      <c r="K24" s="48"/>
      <c r="L24" s="48"/>
      <c r="M24" s="48"/>
      <c r="N24" s="48"/>
      <c r="O24" s="48"/>
      <c r="P24" s="48"/>
      <c r="Q24" s="48"/>
      <c r="R24" s="48"/>
      <c r="S24" s="48"/>
      <c r="T24" s="48"/>
      <c r="U24" s="48"/>
      <c r="V24" s="48"/>
      <c r="W24" s="48"/>
      <c r="X24" s="48"/>
      <c r="Y24" s="48"/>
      <c r="Z24" s="48"/>
      <c r="AA24" s="48"/>
      <c r="AB24" s="48"/>
      <c r="AC24" s="48"/>
      <c r="AD24" s="48"/>
      <c r="AE24" s="48"/>
      <c r="AF24" s="48"/>
      <c r="AG24" s="48"/>
    </row>
    <row r="25" ht="21.75" customHeight="1">
      <c r="A25" s="60"/>
      <c r="B25" s="72"/>
      <c r="C25" s="97"/>
      <c r="D25" s="98" t="s">
        <v>389</v>
      </c>
      <c r="E25" s="96" t="str">
        <f>'#17 IH Results'!A18</f>
        <v>T Wells#9070</v>
      </c>
      <c r="F25" s="99"/>
      <c r="G25" s="100"/>
      <c r="H25" s="67" t="s">
        <v>390</v>
      </c>
      <c r="I25" s="68">
        <f>'#17 IH Results'!B18</f>
        <v>11.16834885</v>
      </c>
      <c r="J25" s="47"/>
      <c r="K25" s="48"/>
      <c r="L25" s="48"/>
      <c r="M25" s="48"/>
      <c r="N25" s="48"/>
      <c r="O25" s="48"/>
      <c r="P25" s="48"/>
      <c r="Q25" s="48"/>
      <c r="R25" s="48"/>
      <c r="S25" s="48"/>
      <c r="T25" s="48"/>
      <c r="U25" s="48"/>
      <c r="V25" s="48"/>
      <c r="W25" s="48"/>
      <c r="X25" s="48"/>
      <c r="Y25" s="48"/>
      <c r="Z25" s="48"/>
      <c r="AA25" s="48"/>
      <c r="AB25" s="48"/>
      <c r="AC25" s="48"/>
      <c r="AD25" s="48"/>
      <c r="AE25" s="48"/>
      <c r="AF25" s="48"/>
      <c r="AG25" s="48"/>
    </row>
    <row r="26" ht="21.75" customHeight="1">
      <c r="A26" s="60"/>
      <c r="B26" s="72"/>
      <c r="C26" s="97"/>
      <c r="D26" s="98" t="s">
        <v>389</v>
      </c>
      <c r="E26" s="96" t="str">
        <f>'#17 IH Results'!A19</f>
        <v>sembrestels</v>
      </c>
      <c r="F26" s="99"/>
      <c r="G26" s="100"/>
      <c r="H26" s="67" t="s">
        <v>390</v>
      </c>
      <c r="I26" s="68">
        <f>'#17 IH Results'!B19</f>
        <v>11.11149818</v>
      </c>
      <c r="J26" s="47"/>
      <c r="K26" s="48"/>
      <c r="L26" s="48"/>
      <c r="M26" s="48"/>
      <c r="N26" s="48"/>
      <c r="O26" s="48"/>
      <c r="P26" s="48"/>
      <c r="Q26" s="48"/>
      <c r="R26" s="48"/>
      <c r="S26" s="48"/>
      <c r="T26" s="48"/>
      <c r="U26" s="48"/>
      <c r="V26" s="48"/>
      <c r="W26" s="48"/>
      <c r="X26" s="48"/>
      <c r="Y26" s="48"/>
      <c r="Z26" s="48"/>
      <c r="AA26" s="48"/>
      <c r="AB26" s="48"/>
      <c r="AC26" s="48"/>
      <c r="AD26" s="48"/>
      <c r="AE26" s="48"/>
      <c r="AF26" s="48"/>
      <c r="AG26" s="48"/>
    </row>
    <row r="27" ht="21.75" customHeight="1">
      <c r="A27" s="60"/>
      <c r="B27" s="72"/>
      <c r="C27" s="97"/>
      <c r="D27" s="98" t="s">
        <v>389</v>
      </c>
      <c r="E27" s="96" t="str">
        <f>'#17 IH Results'!A20</f>
        <v>paulo_c2d</v>
      </c>
      <c r="F27" s="99"/>
      <c r="G27" s="100"/>
      <c r="H27" s="67" t="s">
        <v>390</v>
      </c>
      <c r="I27" s="68">
        <f>'#17 IH Results'!B20</f>
        <v>10.85633422</v>
      </c>
      <c r="J27" s="47"/>
      <c r="K27" s="48"/>
      <c r="L27" s="48"/>
      <c r="M27" s="48"/>
      <c r="N27" s="48"/>
      <c r="O27" s="48"/>
      <c r="P27" s="48"/>
      <c r="Q27" s="48"/>
      <c r="R27" s="48"/>
      <c r="S27" s="48"/>
      <c r="T27" s="48"/>
      <c r="U27" s="48"/>
      <c r="V27" s="48"/>
      <c r="W27" s="48"/>
      <c r="X27" s="48"/>
      <c r="Y27" s="48"/>
      <c r="Z27" s="48"/>
      <c r="AA27" s="48"/>
      <c r="AB27" s="48"/>
      <c r="AC27" s="48"/>
      <c r="AD27" s="48"/>
      <c r="AE27" s="48"/>
      <c r="AF27" s="48"/>
      <c r="AG27" s="48"/>
    </row>
    <row r="28" ht="21.75" customHeight="1">
      <c r="A28" s="60"/>
      <c r="B28" s="72"/>
      <c r="C28" s="97"/>
      <c r="D28" s="98" t="s">
        <v>389</v>
      </c>
      <c r="E28" s="96" t="str">
        <f>'#17 IH Results'!A21</f>
        <v>danlessa</v>
      </c>
      <c r="F28" s="99"/>
      <c r="G28" s="100"/>
      <c r="H28" s="67" t="s">
        <v>390</v>
      </c>
      <c r="I28" s="68">
        <f>'#17 IH Results'!B21</f>
        <v>10.61543469</v>
      </c>
      <c r="J28" s="47"/>
      <c r="K28" s="48"/>
      <c r="L28" s="48"/>
      <c r="M28" s="48"/>
      <c r="N28" s="48"/>
      <c r="O28" s="48"/>
      <c r="P28" s="48"/>
      <c r="Q28" s="48"/>
      <c r="R28" s="48"/>
      <c r="S28" s="48"/>
      <c r="T28" s="48"/>
      <c r="U28" s="48"/>
      <c r="V28" s="48"/>
      <c r="W28" s="48"/>
      <c r="X28" s="48"/>
      <c r="Y28" s="48"/>
      <c r="Z28" s="48"/>
      <c r="AA28" s="48"/>
      <c r="AB28" s="48"/>
      <c r="AC28" s="48"/>
      <c r="AD28" s="48"/>
      <c r="AE28" s="48"/>
      <c r="AF28" s="48"/>
      <c r="AG28" s="48"/>
    </row>
    <row r="29" ht="21.75" customHeight="1">
      <c r="A29" s="60"/>
      <c r="B29" s="72"/>
      <c r="C29" s="97"/>
      <c r="D29" s="98" t="s">
        <v>389</v>
      </c>
      <c r="E29" s="96" t="str">
        <f>'#17 IH Results'!A22</f>
        <v>ddan#2489</v>
      </c>
      <c r="F29" s="99"/>
      <c r="G29" s="100"/>
      <c r="H29" s="67" t="s">
        <v>390</v>
      </c>
      <c r="I29" s="68">
        <f>'#17 IH Results'!B22</f>
        <v>10.51642401</v>
      </c>
      <c r="J29" s="47"/>
      <c r="K29" s="48"/>
      <c r="L29" s="48"/>
      <c r="M29" s="48"/>
      <c r="N29" s="48"/>
      <c r="O29" s="48"/>
      <c r="P29" s="48"/>
      <c r="Q29" s="48"/>
      <c r="R29" s="48"/>
      <c r="S29" s="48"/>
      <c r="T29" s="48"/>
      <c r="U29" s="48"/>
      <c r="V29" s="48"/>
      <c r="W29" s="48"/>
      <c r="X29" s="48"/>
      <c r="Y29" s="48"/>
      <c r="Z29" s="48"/>
      <c r="AA29" s="48"/>
      <c r="AB29" s="48"/>
      <c r="AC29" s="48"/>
      <c r="AD29" s="48"/>
      <c r="AE29" s="48"/>
      <c r="AF29" s="48"/>
      <c r="AG29" s="48"/>
    </row>
    <row r="30" ht="21.75" customHeight="1">
      <c r="A30" s="60"/>
      <c r="B30" s="72"/>
      <c r="C30" s="97"/>
      <c r="D30" s="98" t="s">
        <v>389</v>
      </c>
      <c r="E30" s="96" t="str">
        <f>'#17 IH Results'!A23</f>
        <v>Laurenluz</v>
      </c>
      <c r="F30" s="99"/>
      <c r="G30" s="100"/>
      <c r="H30" s="67" t="s">
        <v>390</v>
      </c>
      <c r="I30" s="68">
        <f>'#17 IH Results'!B23</f>
        <v>9.262478414</v>
      </c>
      <c r="J30" s="47"/>
      <c r="K30" s="48"/>
      <c r="L30" s="48"/>
      <c r="M30" s="48"/>
      <c r="N30" s="48"/>
      <c r="O30" s="48"/>
      <c r="P30" s="48"/>
      <c r="Q30" s="48"/>
      <c r="R30" s="48"/>
      <c r="S30" s="48"/>
      <c r="T30" s="48"/>
      <c r="U30" s="48"/>
      <c r="V30" s="48"/>
      <c r="W30" s="48"/>
      <c r="X30" s="48"/>
      <c r="Y30" s="48"/>
      <c r="Z30" s="48"/>
      <c r="AA30" s="48"/>
      <c r="AB30" s="48"/>
      <c r="AC30" s="48"/>
      <c r="AD30" s="48"/>
      <c r="AE30" s="48"/>
      <c r="AF30" s="48"/>
      <c r="AG30" s="48"/>
    </row>
    <row r="31" ht="21.75" customHeight="1">
      <c r="A31" s="60"/>
      <c r="B31" s="72"/>
      <c r="C31" s="97"/>
      <c r="D31" s="98" t="s">
        <v>389</v>
      </c>
      <c r="E31" s="96" t="str">
        <f>'#17 IH Results'!A24</f>
        <v>GriffGreen</v>
      </c>
      <c r="F31" s="99"/>
      <c r="G31" s="100"/>
      <c r="H31" s="67" t="s">
        <v>390</v>
      </c>
      <c r="I31" s="68">
        <f>'#17 IH Results'!B24</f>
        <v>8.927063614</v>
      </c>
      <c r="J31" s="47"/>
      <c r="K31" s="48"/>
      <c r="L31" s="48"/>
      <c r="M31" s="48"/>
      <c r="N31" s="48"/>
      <c r="O31" s="48"/>
      <c r="P31" s="48"/>
      <c r="Q31" s="48"/>
      <c r="R31" s="48"/>
      <c r="S31" s="48"/>
      <c r="T31" s="48"/>
      <c r="U31" s="48"/>
      <c r="V31" s="48"/>
      <c r="W31" s="48"/>
      <c r="X31" s="48"/>
      <c r="Y31" s="48"/>
      <c r="Z31" s="48"/>
      <c r="AA31" s="48"/>
      <c r="AB31" s="48"/>
      <c r="AC31" s="48"/>
      <c r="AD31" s="48"/>
      <c r="AE31" s="48"/>
      <c r="AF31" s="48"/>
      <c r="AG31" s="48"/>
    </row>
    <row r="32" ht="21.75" customHeight="1">
      <c r="A32" s="60"/>
      <c r="B32" s="72"/>
      <c r="C32" s="97"/>
      <c r="D32" s="98" t="s">
        <v>389</v>
      </c>
      <c r="E32" s="96" t="str">
        <f>'#17 IH Results'!A25</f>
        <v>atacas</v>
      </c>
      <c r="F32" s="99"/>
      <c r="G32" s="100"/>
      <c r="H32" s="67" t="s">
        <v>390</v>
      </c>
      <c r="I32" s="68">
        <f>'#17 IH Results'!B25</f>
        <v>7.823748029</v>
      </c>
      <c r="J32" s="47"/>
      <c r="K32" s="48"/>
      <c r="L32" s="48"/>
      <c r="M32" s="48"/>
      <c r="N32" s="48"/>
      <c r="O32" s="48"/>
      <c r="P32" s="48"/>
      <c r="Q32" s="48"/>
      <c r="R32" s="48"/>
      <c r="S32" s="48"/>
      <c r="T32" s="48"/>
      <c r="U32" s="48"/>
      <c r="V32" s="48"/>
      <c r="W32" s="48"/>
      <c r="X32" s="48"/>
      <c r="Y32" s="48"/>
      <c r="Z32" s="48"/>
      <c r="AA32" s="48"/>
      <c r="AB32" s="48"/>
      <c r="AC32" s="48"/>
      <c r="AD32" s="48"/>
      <c r="AE32" s="48"/>
      <c r="AF32" s="48"/>
      <c r="AG32" s="48"/>
    </row>
    <row r="33" ht="21.75" customHeight="1">
      <c r="A33" s="60"/>
      <c r="B33" s="72"/>
      <c r="C33" s="97"/>
      <c r="D33" s="98" t="s">
        <v>389</v>
      </c>
      <c r="E33" s="96" t="str">
        <f>'#17 IH Results'!A26</f>
        <v>VitorMarthendal</v>
      </c>
      <c r="F33" s="99"/>
      <c r="G33" s="100"/>
      <c r="H33" s="67" t="s">
        <v>390</v>
      </c>
      <c r="I33" s="68">
        <f>'#17 IH Results'!B26</f>
        <v>7.559265334</v>
      </c>
      <c r="J33" s="47"/>
      <c r="K33" s="48"/>
      <c r="L33" s="48"/>
      <c r="M33" s="48"/>
      <c r="N33" s="48"/>
      <c r="O33" s="48"/>
      <c r="P33" s="48"/>
      <c r="Q33" s="48"/>
      <c r="R33" s="48"/>
      <c r="S33" s="48"/>
      <c r="T33" s="48"/>
      <c r="U33" s="48"/>
      <c r="V33" s="48"/>
      <c r="W33" s="48"/>
      <c r="X33" s="48"/>
      <c r="Y33" s="48"/>
      <c r="Z33" s="48"/>
      <c r="AA33" s="48"/>
      <c r="AB33" s="48"/>
      <c r="AC33" s="48"/>
      <c r="AD33" s="48"/>
      <c r="AE33" s="48"/>
      <c r="AF33" s="48"/>
      <c r="AG33" s="48"/>
    </row>
    <row r="34" ht="21.75" customHeight="1">
      <c r="A34" s="60"/>
      <c r="B34" s="72"/>
      <c r="C34" s="97"/>
      <c r="D34" s="98" t="s">
        <v>389</v>
      </c>
      <c r="E34" s="96" t="str">
        <f>'#17 IH Results'!A27</f>
        <v>mateodaza</v>
      </c>
      <c r="F34" s="99"/>
      <c r="G34" s="100"/>
      <c r="H34" s="67" t="s">
        <v>390</v>
      </c>
      <c r="I34" s="68">
        <f>'#17 IH Results'!B27</f>
        <v>7.478048774</v>
      </c>
      <c r="J34" s="47"/>
      <c r="K34" s="48"/>
      <c r="L34" s="48"/>
      <c r="M34" s="48"/>
      <c r="N34" s="48"/>
      <c r="O34" s="48"/>
      <c r="P34" s="48"/>
      <c r="Q34" s="48"/>
      <c r="R34" s="48"/>
      <c r="S34" s="48"/>
      <c r="T34" s="48"/>
      <c r="U34" s="48"/>
      <c r="V34" s="48"/>
      <c r="W34" s="48"/>
      <c r="X34" s="48"/>
      <c r="Y34" s="48"/>
      <c r="Z34" s="48"/>
      <c r="AA34" s="48"/>
      <c r="AB34" s="48"/>
      <c r="AC34" s="48"/>
      <c r="AD34" s="48"/>
      <c r="AE34" s="48"/>
      <c r="AF34" s="48"/>
      <c r="AG34" s="48"/>
    </row>
    <row r="35" ht="21.75" customHeight="1">
      <c r="A35" s="60"/>
      <c r="B35" s="72"/>
      <c r="C35" s="97"/>
      <c r="D35" s="98" t="s">
        <v>389</v>
      </c>
      <c r="E35" s="96" t="str">
        <f>'#17 IH Results'!A28</f>
        <v>Letty#5399</v>
      </c>
      <c r="F35" s="99"/>
      <c r="G35" s="100"/>
      <c r="H35" s="67" t="s">
        <v>390</v>
      </c>
      <c r="I35" s="68">
        <f>'#17 IH Results'!B28</f>
        <v>7.464951256</v>
      </c>
      <c r="J35" s="47"/>
      <c r="K35" s="48"/>
      <c r="L35" s="48"/>
      <c r="M35" s="48"/>
      <c r="N35" s="48"/>
      <c r="O35" s="48"/>
      <c r="P35" s="48"/>
      <c r="Q35" s="48"/>
      <c r="R35" s="48"/>
      <c r="S35" s="48"/>
      <c r="T35" s="48"/>
      <c r="U35" s="48"/>
      <c r="V35" s="48"/>
      <c r="W35" s="48"/>
      <c r="X35" s="48"/>
      <c r="Y35" s="48"/>
      <c r="Z35" s="48"/>
      <c r="AA35" s="48"/>
      <c r="AB35" s="48"/>
      <c r="AC35" s="48"/>
      <c r="AD35" s="48"/>
      <c r="AE35" s="48"/>
      <c r="AF35" s="48"/>
      <c r="AG35" s="48"/>
    </row>
    <row r="36" ht="21.75" customHeight="1">
      <c r="A36" s="60"/>
      <c r="B36" s="72"/>
      <c r="C36" s="97"/>
      <c r="D36" s="98" t="s">
        <v>389</v>
      </c>
      <c r="E36" s="96" t="str">
        <f>'#17 IH Results'!A29</f>
        <v>chuygarcia92</v>
      </c>
      <c r="F36" s="99"/>
      <c r="G36" s="100"/>
      <c r="H36" s="67" t="s">
        <v>390</v>
      </c>
      <c r="I36" s="68">
        <f>'#17 IH Results'!B29</f>
        <v>7.18127319</v>
      </c>
      <c r="J36" s="47"/>
      <c r="K36" s="48"/>
      <c r="L36" s="48"/>
      <c r="M36" s="48"/>
      <c r="N36" s="48"/>
      <c r="O36" s="48"/>
      <c r="P36" s="48"/>
      <c r="Q36" s="48"/>
      <c r="R36" s="48"/>
      <c r="S36" s="48"/>
      <c r="T36" s="48"/>
      <c r="U36" s="48"/>
      <c r="V36" s="48"/>
      <c r="W36" s="48"/>
      <c r="X36" s="48"/>
      <c r="Y36" s="48"/>
      <c r="Z36" s="48"/>
      <c r="AA36" s="48"/>
      <c r="AB36" s="48"/>
      <c r="AC36" s="48"/>
      <c r="AD36" s="48"/>
      <c r="AE36" s="48"/>
      <c r="AF36" s="48"/>
      <c r="AG36" s="48"/>
    </row>
    <row r="37" ht="21.75" customHeight="1">
      <c r="A37" s="60"/>
      <c r="B37" s="72"/>
      <c r="C37" s="97"/>
      <c r="D37" s="98" t="s">
        <v>389</v>
      </c>
      <c r="E37" s="96" t="str">
        <f>'#17 IH Results'!A30</f>
        <v>metaverde</v>
      </c>
      <c r="F37" s="99"/>
      <c r="G37" s="100"/>
      <c r="H37" s="67" t="s">
        <v>390</v>
      </c>
      <c r="I37" s="68">
        <f>'#17 IH Results'!B30</f>
        <v>6.772009029</v>
      </c>
      <c r="J37" s="47"/>
      <c r="K37" s="48"/>
      <c r="L37" s="48"/>
      <c r="M37" s="48"/>
      <c r="N37" s="48"/>
      <c r="O37" s="48"/>
      <c r="P37" s="48"/>
      <c r="Q37" s="48"/>
      <c r="R37" s="48"/>
      <c r="S37" s="48"/>
      <c r="T37" s="48"/>
      <c r="U37" s="48"/>
      <c r="V37" s="48"/>
      <c r="W37" s="48"/>
      <c r="X37" s="48"/>
      <c r="Y37" s="48"/>
      <c r="Z37" s="48"/>
      <c r="AA37" s="48"/>
      <c r="AB37" s="48"/>
      <c r="AC37" s="48"/>
      <c r="AD37" s="48"/>
      <c r="AE37" s="48"/>
      <c r="AF37" s="48"/>
      <c r="AG37" s="48"/>
    </row>
    <row r="38" ht="21.75" customHeight="1">
      <c r="A38" s="60"/>
      <c r="B38" s="72"/>
      <c r="C38" s="97"/>
      <c r="D38" s="98" t="s">
        <v>389</v>
      </c>
      <c r="E38" s="96" t="str">
        <f>'#17 IH Results'!A31</f>
        <v>juankbell</v>
      </c>
      <c r="F38" s="99"/>
      <c r="G38" s="100"/>
      <c r="H38" s="67" t="s">
        <v>390</v>
      </c>
      <c r="I38" s="68">
        <f>'#17 IH Results'!B31</f>
        <v>6.501007788</v>
      </c>
      <c r="J38" s="47"/>
      <c r="K38" s="48"/>
      <c r="L38" s="48"/>
      <c r="M38" s="48"/>
      <c r="N38" s="48"/>
      <c r="O38" s="48"/>
      <c r="P38" s="48"/>
      <c r="Q38" s="48"/>
      <c r="R38" s="48"/>
      <c r="S38" s="48"/>
      <c r="T38" s="48"/>
      <c r="U38" s="48"/>
      <c r="V38" s="48"/>
      <c r="W38" s="48"/>
      <c r="X38" s="48"/>
      <c r="Y38" s="48"/>
      <c r="Z38" s="48"/>
      <c r="AA38" s="48"/>
      <c r="AB38" s="48"/>
      <c r="AC38" s="48"/>
      <c r="AD38" s="48"/>
      <c r="AE38" s="48"/>
      <c r="AF38" s="48"/>
      <c r="AG38" s="48"/>
    </row>
    <row r="39" ht="21.75" customHeight="1">
      <c r="A39" s="60"/>
      <c r="B39" s="72"/>
      <c r="C39" s="97"/>
      <c r="D39" s="98" t="s">
        <v>389</v>
      </c>
      <c r="E39" s="96" t="str">
        <f>'#17 IH Results'!A32</f>
        <v>jeffemmett</v>
      </c>
      <c r="F39" s="99"/>
      <c r="G39" s="100"/>
      <c r="H39" s="67" t="s">
        <v>390</v>
      </c>
      <c r="I39" s="68">
        <f>'#17 IH Results'!B32</f>
        <v>6.257951473</v>
      </c>
      <c r="J39" s="47"/>
      <c r="K39" s="48"/>
      <c r="L39" s="48"/>
      <c r="M39" s="48"/>
      <c r="N39" s="48"/>
      <c r="O39" s="48"/>
      <c r="P39" s="48"/>
      <c r="Q39" s="48"/>
      <c r="R39" s="48"/>
      <c r="S39" s="48"/>
      <c r="T39" s="48"/>
      <c r="U39" s="48"/>
      <c r="V39" s="48"/>
      <c r="W39" s="48"/>
      <c r="X39" s="48"/>
      <c r="Y39" s="48"/>
      <c r="Z39" s="48"/>
      <c r="AA39" s="48"/>
      <c r="AB39" s="48"/>
      <c r="AC39" s="48"/>
      <c r="AD39" s="48"/>
      <c r="AE39" s="48"/>
      <c r="AF39" s="48"/>
      <c r="AG39" s="48"/>
    </row>
    <row r="40" ht="21.75" customHeight="1">
      <c r="A40" s="60"/>
      <c r="B40" s="72"/>
      <c r="C40" s="97"/>
      <c r="D40" s="98" t="s">
        <v>389</v>
      </c>
      <c r="E40" s="96" t="str">
        <f>'#17 IH Results'!A33</f>
        <v>liviade</v>
      </c>
      <c r="F40" s="99"/>
      <c r="G40" s="100"/>
      <c r="H40" s="67" t="s">
        <v>390</v>
      </c>
      <c r="I40" s="68">
        <f>'#17 IH Results'!B33</f>
        <v>6.18923096</v>
      </c>
      <c r="J40" s="47"/>
      <c r="K40" s="48"/>
      <c r="L40" s="48"/>
      <c r="M40" s="48"/>
      <c r="N40" s="48"/>
      <c r="O40" s="48"/>
      <c r="P40" s="48"/>
      <c r="Q40" s="48"/>
      <c r="R40" s="48"/>
      <c r="S40" s="48"/>
      <c r="T40" s="48"/>
      <c r="U40" s="48"/>
      <c r="V40" s="48"/>
      <c r="W40" s="48"/>
      <c r="X40" s="48"/>
      <c r="Y40" s="48"/>
      <c r="Z40" s="48"/>
      <c r="AA40" s="48"/>
      <c r="AB40" s="48"/>
      <c r="AC40" s="48"/>
      <c r="AD40" s="48"/>
      <c r="AE40" s="48"/>
      <c r="AF40" s="48"/>
      <c r="AG40" s="48"/>
    </row>
    <row r="41" ht="21.75" customHeight="1">
      <c r="A41" s="60"/>
      <c r="B41" s="72"/>
      <c r="C41" s="97"/>
      <c r="D41" s="98" t="s">
        <v>389</v>
      </c>
      <c r="E41" s="96" t="str">
        <f>'#17 IH Results'!A34</f>
        <v>mehigher</v>
      </c>
      <c r="F41" s="99"/>
      <c r="G41" s="100"/>
      <c r="H41" s="67" t="s">
        <v>390</v>
      </c>
      <c r="I41" s="68">
        <f>'#17 IH Results'!B34</f>
        <v>6.114819591</v>
      </c>
      <c r="J41" s="47"/>
      <c r="K41" s="48"/>
      <c r="L41" s="48"/>
      <c r="M41" s="48"/>
      <c r="N41" s="48"/>
      <c r="O41" s="48"/>
      <c r="P41" s="48"/>
      <c r="Q41" s="48"/>
      <c r="R41" s="48"/>
      <c r="S41" s="48"/>
      <c r="T41" s="48"/>
      <c r="U41" s="48"/>
      <c r="V41" s="48"/>
      <c r="W41" s="48"/>
      <c r="X41" s="48"/>
      <c r="Y41" s="48"/>
      <c r="Z41" s="48"/>
      <c r="AA41" s="48"/>
      <c r="AB41" s="48"/>
      <c r="AC41" s="48"/>
      <c r="AD41" s="48"/>
      <c r="AE41" s="48"/>
      <c r="AF41" s="48"/>
      <c r="AG41" s="48"/>
    </row>
    <row r="42" ht="21.75" customHeight="1">
      <c r="A42" s="60"/>
      <c r="B42" s="72"/>
      <c r="C42" s="97"/>
      <c r="D42" s="98" t="s">
        <v>389</v>
      </c>
      <c r="E42" s="96" t="str">
        <f>'#17 IH Results'!A35</f>
        <v>sherminv</v>
      </c>
      <c r="F42" s="99"/>
      <c r="G42" s="100"/>
      <c r="H42" s="67" t="s">
        <v>390</v>
      </c>
      <c r="I42" s="68">
        <f>'#17 IH Results'!B35</f>
        <v>6.098055609</v>
      </c>
      <c r="J42" s="47"/>
      <c r="K42" s="48"/>
      <c r="L42" s="48"/>
      <c r="M42" s="48"/>
      <c r="N42" s="48"/>
      <c r="O42" s="48"/>
      <c r="P42" s="48"/>
      <c r="Q42" s="48"/>
      <c r="R42" s="48"/>
      <c r="S42" s="48"/>
      <c r="T42" s="48"/>
      <c r="U42" s="48"/>
      <c r="V42" s="48"/>
      <c r="W42" s="48"/>
      <c r="X42" s="48"/>
      <c r="Y42" s="48"/>
      <c r="Z42" s="48"/>
      <c r="AA42" s="48"/>
      <c r="AB42" s="48"/>
      <c r="AC42" s="48"/>
      <c r="AD42" s="48"/>
      <c r="AE42" s="48"/>
      <c r="AF42" s="48"/>
      <c r="AG42" s="48"/>
    </row>
    <row r="43" ht="21.75" customHeight="1">
      <c r="A43" s="60"/>
      <c r="B43" s="72"/>
      <c r="C43" s="97"/>
      <c r="D43" s="98" t="s">
        <v>389</v>
      </c>
      <c r="E43" s="96" t="str">
        <f>'#17 IH Results'!A36</f>
        <v>BenjaminScholtz</v>
      </c>
      <c r="F43" s="99"/>
      <c r="G43" s="100"/>
      <c r="H43" s="67" t="s">
        <v>390</v>
      </c>
      <c r="I43" s="68">
        <f>'#17 IH Results'!B36</f>
        <v>5.985037303</v>
      </c>
      <c r="J43" s="47"/>
      <c r="K43" s="48"/>
      <c r="L43" s="48"/>
      <c r="M43" s="48"/>
      <c r="N43" s="48"/>
      <c r="O43" s="48"/>
      <c r="P43" s="48"/>
      <c r="Q43" s="48"/>
      <c r="R43" s="48"/>
      <c r="S43" s="48"/>
      <c r="T43" s="48"/>
      <c r="U43" s="48"/>
      <c r="V43" s="48"/>
      <c r="W43" s="48"/>
      <c r="X43" s="48"/>
      <c r="Y43" s="48"/>
      <c r="Z43" s="48"/>
      <c r="AA43" s="48"/>
      <c r="AB43" s="48"/>
      <c r="AC43" s="48"/>
      <c r="AD43" s="48"/>
      <c r="AE43" s="48"/>
      <c r="AF43" s="48"/>
      <c r="AG43" s="48"/>
    </row>
    <row r="44" ht="21.75" customHeight="1">
      <c r="A44" s="60"/>
      <c r="B44" s="72"/>
      <c r="C44" s="97"/>
      <c r="D44" s="98" t="s">
        <v>389</v>
      </c>
      <c r="E44" s="96" t="str">
        <f>'#17 IH Results'!A37</f>
        <v>naynaysoo</v>
      </c>
      <c r="F44" s="99"/>
      <c r="G44" s="100"/>
      <c r="H44" s="67" t="s">
        <v>390</v>
      </c>
      <c r="I44" s="68">
        <f>'#17 IH Results'!B37</f>
        <v>5.86706192</v>
      </c>
      <c r="J44" s="47"/>
      <c r="K44" s="48"/>
      <c r="L44" s="48"/>
      <c r="M44" s="48"/>
      <c r="N44" s="48"/>
      <c r="O44" s="48"/>
      <c r="P44" s="48"/>
      <c r="Q44" s="48"/>
      <c r="R44" s="48"/>
      <c r="S44" s="48"/>
      <c r="T44" s="48"/>
      <c r="U44" s="48"/>
      <c r="V44" s="48"/>
      <c r="W44" s="48"/>
      <c r="X44" s="48"/>
      <c r="Y44" s="48"/>
      <c r="Z44" s="48"/>
      <c r="AA44" s="48"/>
      <c r="AB44" s="48"/>
      <c r="AC44" s="48"/>
      <c r="AD44" s="48"/>
      <c r="AE44" s="48"/>
      <c r="AF44" s="48"/>
      <c r="AG44" s="48"/>
    </row>
    <row r="45" ht="21.75" customHeight="1">
      <c r="A45" s="60"/>
      <c r="B45" s="72"/>
      <c r="C45" s="97"/>
      <c r="D45" s="98" t="s">
        <v>389</v>
      </c>
      <c r="E45" s="96" t="str">
        <f>'#17 IH Results'!A38</f>
        <v>owocki</v>
      </c>
      <c r="F45" s="99"/>
      <c r="G45" s="100"/>
      <c r="H45" s="67" t="s">
        <v>390</v>
      </c>
      <c r="I45" s="68">
        <f>'#17 IH Results'!B38</f>
        <v>5.813707114</v>
      </c>
      <c r="J45" s="47"/>
      <c r="K45" s="48"/>
      <c r="L45" s="48"/>
      <c r="M45" s="48"/>
      <c r="N45" s="48"/>
      <c r="O45" s="48"/>
      <c r="P45" s="48"/>
      <c r="Q45" s="48"/>
      <c r="R45" s="48"/>
      <c r="S45" s="48"/>
      <c r="T45" s="48"/>
      <c r="U45" s="48"/>
      <c r="V45" s="48"/>
      <c r="W45" s="48"/>
      <c r="X45" s="48"/>
      <c r="Y45" s="48"/>
      <c r="Z45" s="48"/>
      <c r="AA45" s="48"/>
      <c r="AB45" s="48"/>
      <c r="AC45" s="48"/>
      <c r="AD45" s="48"/>
      <c r="AE45" s="48"/>
      <c r="AF45" s="48"/>
      <c r="AG45" s="48"/>
    </row>
    <row r="46" ht="21.75" customHeight="1">
      <c r="A46" s="60"/>
      <c r="B46" s="72"/>
      <c r="C46" s="97"/>
      <c r="D46" s="98" t="s">
        <v>389</v>
      </c>
      <c r="E46" s="96" t="str">
        <f>'#17 IH Results'!A39</f>
        <v>Lydia#2825</v>
      </c>
      <c r="F46" s="99"/>
      <c r="G46" s="100"/>
      <c r="H46" s="67" t="s">
        <v>390</v>
      </c>
      <c r="I46" s="68">
        <f>'#17 IH Results'!B39</f>
        <v>5.369093049</v>
      </c>
      <c r="J46" s="47"/>
      <c r="K46" s="48"/>
      <c r="L46" s="48"/>
      <c r="M46" s="48"/>
      <c r="N46" s="48"/>
      <c r="O46" s="48"/>
      <c r="P46" s="48"/>
      <c r="Q46" s="48"/>
      <c r="R46" s="48"/>
      <c r="S46" s="48"/>
      <c r="T46" s="48"/>
      <c r="U46" s="48"/>
      <c r="V46" s="48"/>
      <c r="W46" s="48"/>
      <c r="X46" s="48"/>
      <c r="Y46" s="48"/>
      <c r="Z46" s="48"/>
      <c r="AA46" s="48"/>
      <c r="AB46" s="48"/>
      <c r="AC46" s="48"/>
      <c r="AD46" s="48"/>
      <c r="AE46" s="48"/>
      <c r="AF46" s="48"/>
      <c r="AG46" s="48"/>
    </row>
    <row r="47" ht="21.75" customHeight="1">
      <c r="A47" s="60"/>
      <c r="B47" s="72"/>
      <c r="C47" s="97"/>
      <c r="D47" s="98" t="s">
        <v>389</v>
      </c>
      <c r="E47" s="96" t="str">
        <f>'#17 IH Results'!A40</f>
        <v>xgabi</v>
      </c>
      <c r="F47" s="99"/>
      <c r="G47" s="100"/>
      <c r="H47" s="67" t="s">
        <v>390</v>
      </c>
      <c r="I47" s="68">
        <f>'#17 IH Results'!B40</f>
        <v>5.005165508</v>
      </c>
      <c r="J47" s="47"/>
      <c r="K47" s="48"/>
      <c r="L47" s="48"/>
      <c r="M47" s="48"/>
      <c r="N47" s="48"/>
      <c r="O47" s="48"/>
      <c r="P47" s="48"/>
      <c r="Q47" s="48"/>
      <c r="R47" s="48"/>
      <c r="S47" s="48"/>
      <c r="T47" s="48"/>
      <c r="U47" s="48"/>
      <c r="V47" s="48"/>
      <c r="W47" s="48"/>
      <c r="X47" s="48"/>
      <c r="Y47" s="48"/>
      <c r="Z47" s="48"/>
      <c r="AA47" s="48"/>
      <c r="AB47" s="48"/>
      <c r="AC47" s="48"/>
      <c r="AD47" s="48"/>
      <c r="AE47" s="48"/>
      <c r="AF47" s="48"/>
      <c r="AG47" s="48"/>
    </row>
    <row r="48" ht="21.75" customHeight="1">
      <c r="A48" s="60"/>
      <c r="B48" s="72"/>
      <c r="C48" s="97"/>
      <c r="D48" s="98" t="s">
        <v>389</v>
      </c>
      <c r="E48" s="96" t="str">
        <f>'#17 IH Results'!A41</f>
        <v>MerlinEgalite</v>
      </c>
      <c r="F48" s="99"/>
      <c r="G48" s="100"/>
      <c r="H48" s="67" t="s">
        <v>390</v>
      </c>
      <c r="I48" s="68">
        <f>'#17 IH Results'!B41</f>
        <v>4.974953593</v>
      </c>
      <c r="J48" s="47"/>
      <c r="K48" s="48"/>
      <c r="L48" s="48"/>
      <c r="M48" s="48"/>
      <c r="N48" s="48"/>
      <c r="O48" s="48"/>
      <c r="P48" s="48"/>
      <c r="Q48" s="48"/>
      <c r="R48" s="48"/>
      <c r="S48" s="48"/>
      <c r="T48" s="48"/>
      <c r="U48" s="48"/>
      <c r="V48" s="48"/>
      <c r="W48" s="48"/>
      <c r="X48" s="48"/>
      <c r="Y48" s="48"/>
      <c r="Z48" s="48"/>
      <c r="AA48" s="48"/>
      <c r="AB48" s="48"/>
      <c r="AC48" s="48"/>
      <c r="AD48" s="48"/>
      <c r="AE48" s="48"/>
      <c r="AF48" s="48"/>
      <c r="AG48" s="48"/>
    </row>
    <row r="49" ht="21.75" customHeight="1">
      <c r="A49" s="60"/>
      <c r="B49" s="72"/>
      <c r="C49" s="97"/>
      <c r="D49" s="98" t="s">
        <v>389</v>
      </c>
      <c r="E49" s="96" t="str">
        <f>'#17 IH Results'!A42</f>
        <v>gyalbo</v>
      </c>
      <c r="F49" s="99"/>
      <c r="G49" s="100"/>
      <c r="H49" s="67" t="s">
        <v>390</v>
      </c>
      <c r="I49" s="68">
        <f>'#17 IH Results'!B42</f>
        <v>4.868246042</v>
      </c>
      <c r="J49" s="47"/>
      <c r="K49" s="48"/>
      <c r="L49" s="48"/>
      <c r="M49" s="48"/>
      <c r="N49" s="48"/>
      <c r="O49" s="48"/>
      <c r="P49" s="48"/>
      <c r="Q49" s="48"/>
      <c r="R49" s="48"/>
      <c r="S49" s="48"/>
      <c r="T49" s="48"/>
      <c r="U49" s="48"/>
      <c r="V49" s="48"/>
      <c r="W49" s="48"/>
      <c r="X49" s="48"/>
      <c r="Y49" s="48"/>
      <c r="Z49" s="48"/>
      <c r="AA49" s="48"/>
      <c r="AB49" s="48"/>
      <c r="AC49" s="48"/>
      <c r="AD49" s="48"/>
      <c r="AE49" s="48"/>
      <c r="AF49" s="48"/>
      <c r="AG49" s="48"/>
    </row>
    <row r="50" ht="21.75" customHeight="1">
      <c r="A50" s="60"/>
      <c r="B50" s="72"/>
      <c r="C50" s="97"/>
      <c r="D50" s="98" t="s">
        <v>389</v>
      </c>
      <c r="E50" s="96" t="str">
        <f>'#17 IH Results'!A43</f>
        <v>fabiosmendes</v>
      </c>
      <c r="F50" s="99"/>
      <c r="G50" s="100"/>
      <c r="H50" s="67" t="s">
        <v>390</v>
      </c>
      <c r="I50" s="68">
        <f>'#17 IH Results'!B43</f>
        <v>4.814245574</v>
      </c>
      <c r="J50" s="47"/>
      <c r="K50" s="48"/>
      <c r="L50" s="48"/>
      <c r="M50" s="48"/>
      <c r="N50" s="48"/>
      <c r="O50" s="48"/>
      <c r="P50" s="48"/>
      <c r="Q50" s="48"/>
      <c r="R50" s="48"/>
      <c r="S50" s="48"/>
      <c r="T50" s="48"/>
      <c r="U50" s="48"/>
      <c r="V50" s="48"/>
      <c r="W50" s="48"/>
      <c r="X50" s="48"/>
      <c r="Y50" s="48"/>
      <c r="Z50" s="48"/>
      <c r="AA50" s="48"/>
      <c r="AB50" s="48"/>
      <c r="AC50" s="48"/>
      <c r="AD50" s="48"/>
      <c r="AE50" s="48"/>
      <c r="AF50" s="48"/>
      <c r="AG50" s="48"/>
    </row>
    <row r="51" ht="21.75" customHeight="1">
      <c r="A51" s="60"/>
      <c r="B51" s="72"/>
      <c r="C51" s="97"/>
      <c r="D51" s="98" t="s">
        <v>389</v>
      </c>
      <c r="E51" s="96" t="str">
        <f>'#17 IH Results'!A44</f>
        <v>Tam2140</v>
      </c>
      <c r="F51" s="99"/>
      <c r="G51" s="100"/>
      <c r="H51" s="67" t="s">
        <v>390</v>
      </c>
      <c r="I51" s="68">
        <f>'#17 IH Results'!B44</f>
        <v>4.797711404</v>
      </c>
      <c r="J51" s="47"/>
      <c r="K51" s="48"/>
      <c r="L51" s="48"/>
      <c r="M51" s="48"/>
      <c r="N51" s="48"/>
      <c r="O51" s="48"/>
      <c r="P51" s="48"/>
      <c r="Q51" s="48"/>
      <c r="R51" s="48"/>
      <c r="S51" s="48"/>
      <c r="T51" s="48"/>
      <c r="U51" s="48"/>
      <c r="V51" s="48"/>
      <c r="W51" s="48"/>
      <c r="X51" s="48"/>
      <c r="Y51" s="48"/>
      <c r="Z51" s="48"/>
      <c r="AA51" s="48"/>
      <c r="AB51" s="48"/>
      <c r="AC51" s="48"/>
      <c r="AD51" s="48"/>
      <c r="AE51" s="48"/>
      <c r="AF51" s="48"/>
      <c r="AG51" s="48"/>
    </row>
    <row r="52" ht="21.75" customHeight="1">
      <c r="A52" s="60"/>
      <c r="B52" s="72"/>
      <c r="C52" s="97"/>
      <c r="D52" s="98" t="s">
        <v>389</v>
      </c>
      <c r="E52" s="96" t="str">
        <f>'#17 IH Results'!A45</f>
        <v>durgadasji</v>
      </c>
      <c r="F52" s="99"/>
      <c r="G52" s="100"/>
      <c r="H52" s="67" t="s">
        <v>390</v>
      </c>
      <c r="I52" s="68">
        <f>'#17 IH Results'!B45</f>
        <v>4.723451663</v>
      </c>
      <c r="J52" s="47"/>
      <c r="K52" s="48"/>
      <c r="L52" s="48"/>
      <c r="M52" s="48"/>
      <c r="N52" s="48"/>
      <c r="O52" s="48"/>
      <c r="P52" s="48"/>
      <c r="Q52" s="48"/>
      <c r="R52" s="48"/>
      <c r="S52" s="48"/>
      <c r="T52" s="48"/>
      <c r="U52" s="48"/>
      <c r="V52" s="48"/>
      <c r="W52" s="48"/>
      <c r="X52" s="48"/>
      <c r="Y52" s="48"/>
      <c r="Z52" s="48"/>
      <c r="AA52" s="48"/>
      <c r="AB52" s="48"/>
      <c r="AC52" s="48"/>
      <c r="AD52" s="48"/>
      <c r="AE52" s="48"/>
      <c r="AF52" s="48"/>
      <c r="AG52" s="48"/>
    </row>
    <row r="53" ht="21.75" customHeight="1">
      <c r="A53" s="60"/>
      <c r="B53" s="72"/>
      <c r="C53" s="97"/>
      <c r="D53" s="98" t="s">
        <v>389</v>
      </c>
      <c r="E53" s="96" t="str">
        <f>'#17 IH Results'!A46</f>
        <v>Vyvy-vi#5040</v>
      </c>
      <c r="F53" s="99"/>
      <c r="G53" s="100"/>
      <c r="H53" s="67" t="s">
        <v>390</v>
      </c>
      <c r="I53" s="68">
        <f>'#17 IH Results'!B46</f>
        <v>4.554641424</v>
      </c>
      <c r="J53" s="47"/>
      <c r="K53" s="48"/>
      <c r="L53" s="48"/>
      <c r="M53" s="48"/>
      <c r="N53" s="48"/>
      <c r="O53" s="48"/>
      <c r="P53" s="48"/>
      <c r="Q53" s="48"/>
      <c r="R53" s="48"/>
      <c r="S53" s="48"/>
      <c r="T53" s="48"/>
      <c r="U53" s="48"/>
      <c r="V53" s="48"/>
      <c r="W53" s="48"/>
      <c r="X53" s="48"/>
      <c r="Y53" s="48"/>
      <c r="Z53" s="48"/>
      <c r="AA53" s="48"/>
      <c r="AB53" s="48"/>
      <c r="AC53" s="48"/>
      <c r="AD53" s="48"/>
      <c r="AE53" s="48"/>
      <c r="AF53" s="48"/>
      <c r="AG53" s="48"/>
    </row>
    <row r="54" ht="21.75" customHeight="1">
      <c r="A54" s="60"/>
      <c r="B54" s="72"/>
      <c r="C54" s="97"/>
      <c r="D54" s="98" t="s">
        <v>389</v>
      </c>
      <c r="E54" s="96" t="str">
        <f>'#17 IH Results'!A47</f>
        <v>markop</v>
      </c>
      <c r="F54" s="99"/>
      <c r="G54" s="100"/>
      <c r="H54" s="67" t="s">
        <v>390</v>
      </c>
      <c r="I54" s="68">
        <f>'#17 IH Results'!B47</f>
        <v>4.540587734</v>
      </c>
      <c r="J54" s="47"/>
      <c r="K54" s="48"/>
      <c r="L54" s="48"/>
      <c r="M54" s="48"/>
      <c r="N54" s="48"/>
      <c r="O54" s="48"/>
      <c r="P54" s="48"/>
      <c r="Q54" s="48"/>
      <c r="R54" s="48"/>
      <c r="S54" s="48"/>
      <c r="T54" s="48"/>
      <c r="U54" s="48"/>
      <c r="V54" s="48"/>
      <c r="W54" s="48"/>
      <c r="X54" s="48"/>
      <c r="Y54" s="48"/>
      <c r="Z54" s="48"/>
      <c r="AA54" s="48"/>
      <c r="AB54" s="48"/>
      <c r="AC54" s="48"/>
      <c r="AD54" s="48"/>
      <c r="AE54" s="48"/>
      <c r="AF54" s="48"/>
      <c r="AG54" s="48"/>
    </row>
    <row r="55" ht="21.75" customHeight="1">
      <c r="A55" s="60"/>
      <c r="B55" s="72"/>
      <c r="C55" s="97"/>
      <c r="D55" s="98" t="s">
        <v>389</v>
      </c>
      <c r="E55" s="96" t="str">
        <f>'#17 IH Results'!A48</f>
        <v>JonathanBSci</v>
      </c>
      <c r="F55" s="99"/>
      <c r="G55" s="100"/>
      <c r="H55" s="67" t="s">
        <v>390</v>
      </c>
      <c r="I55" s="68">
        <f>'#17 IH Results'!B48</f>
        <v>4.374165363</v>
      </c>
      <c r="J55" s="47"/>
      <c r="K55" s="48"/>
      <c r="L55" s="48"/>
      <c r="M55" s="48"/>
      <c r="N55" s="48"/>
      <c r="O55" s="48"/>
      <c r="P55" s="48"/>
      <c r="Q55" s="48"/>
      <c r="R55" s="48"/>
      <c r="S55" s="48"/>
      <c r="T55" s="48"/>
      <c r="U55" s="48"/>
      <c r="V55" s="48"/>
      <c r="W55" s="48"/>
      <c r="X55" s="48"/>
      <c r="Y55" s="48"/>
      <c r="Z55" s="48"/>
      <c r="AA55" s="48"/>
      <c r="AB55" s="48"/>
      <c r="AC55" s="48"/>
      <c r="AD55" s="48"/>
      <c r="AE55" s="48"/>
      <c r="AF55" s="48"/>
      <c r="AG55" s="48"/>
    </row>
    <row r="56" ht="21.75" customHeight="1">
      <c r="A56" s="60"/>
      <c r="B56" s="72"/>
      <c r="C56" s="97"/>
      <c r="D56" s="98" t="s">
        <v>389</v>
      </c>
      <c r="E56" s="96" t="str">
        <f>'#17 IH Results'!A49</f>
        <v>lkngtn</v>
      </c>
      <c r="F56" s="99"/>
      <c r="G56" s="100"/>
      <c r="H56" s="67" t="s">
        <v>390</v>
      </c>
      <c r="I56" s="68">
        <f>'#17 IH Results'!B49</f>
        <v>4.089816868</v>
      </c>
      <c r="J56" s="47"/>
      <c r="K56" s="48"/>
      <c r="L56" s="48"/>
      <c r="M56" s="48"/>
      <c r="N56" s="48"/>
      <c r="O56" s="48"/>
      <c r="P56" s="48"/>
      <c r="Q56" s="48"/>
      <c r="R56" s="48"/>
      <c r="S56" s="48"/>
      <c r="T56" s="48"/>
      <c r="U56" s="48"/>
      <c r="V56" s="48"/>
      <c r="W56" s="48"/>
      <c r="X56" s="48"/>
      <c r="Y56" s="48"/>
      <c r="Z56" s="48"/>
      <c r="AA56" s="48"/>
      <c r="AB56" s="48"/>
      <c r="AC56" s="48"/>
      <c r="AD56" s="48"/>
      <c r="AE56" s="48"/>
      <c r="AF56" s="48"/>
      <c r="AG56" s="48"/>
    </row>
    <row r="57" ht="21.75" customHeight="1">
      <c r="A57" s="60"/>
      <c r="B57" s="72"/>
      <c r="C57" s="97"/>
      <c r="D57" s="98" t="s">
        <v>389</v>
      </c>
      <c r="E57" s="96" t="str">
        <f>'#17 IH Results'!A50</f>
        <v>Ermini0#7687</v>
      </c>
      <c r="F57" s="99"/>
      <c r="G57" s="100"/>
      <c r="H57" s="67" t="s">
        <v>390</v>
      </c>
      <c r="I57" s="68">
        <f>'#17 IH Results'!B50</f>
        <v>3.966123491</v>
      </c>
      <c r="J57" s="47"/>
      <c r="K57" s="48"/>
      <c r="L57" s="48"/>
      <c r="M57" s="48"/>
      <c r="N57" s="48"/>
      <c r="O57" s="48"/>
      <c r="P57" s="48"/>
      <c r="Q57" s="48"/>
      <c r="R57" s="48"/>
      <c r="S57" s="48"/>
      <c r="T57" s="48"/>
      <c r="U57" s="48"/>
      <c r="V57" s="48"/>
      <c r="W57" s="48"/>
      <c r="X57" s="48"/>
      <c r="Y57" s="48"/>
      <c r="Z57" s="48"/>
      <c r="AA57" s="48"/>
      <c r="AB57" s="48"/>
      <c r="AC57" s="48"/>
      <c r="AD57" s="48"/>
      <c r="AE57" s="48"/>
      <c r="AF57" s="48"/>
      <c r="AG57" s="48"/>
    </row>
    <row r="58" ht="21.75" customHeight="1">
      <c r="A58" s="60"/>
      <c r="B58" s="72"/>
      <c r="C58" s="97"/>
      <c r="D58" s="98" t="s">
        <v>389</v>
      </c>
      <c r="E58" s="96" t="str">
        <f>'#17 IH Results'!A51</f>
        <v>sgonzt</v>
      </c>
      <c r="F58" s="99"/>
      <c r="G58" s="100"/>
      <c r="H58" s="67" t="s">
        <v>390</v>
      </c>
      <c r="I58" s="68">
        <f>'#17 IH Results'!B51</f>
        <v>3.94116834</v>
      </c>
      <c r="J58" s="47"/>
      <c r="K58" s="48"/>
      <c r="L58" s="48"/>
      <c r="M58" s="48"/>
      <c r="N58" s="48"/>
      <c r="O58" s="48"/>
      <c r="P58" s="48"/>
      <c r="Q58" s="48"/>
      <c r="R58" s="48"/>
      <c r="S58" s="48"/>
      <c r="T58" s="48"/>
      <c r="U58" s="48"/>
      <c r="V58" s="48"/>
      <c r="W58" s="48"/>
      <c r="X58" s="48"/>
      <c r="Y58" s="48"/>
      <c r="Z58" s="48"/>
      <c r="AA58" s="48"/>
      <c r="AB58" s="48"/>
      <c r="AC58" s="48"/>
      <c r="AD58" s="48"/>
      <c r="AE58" s="48"/>
      <c r="AF58" s="48"/>
      <c r="AG58" s="48"/>
    </row>
    <row r="59" ht="21.75" customHeight="1">
      <c r="A59" s="60"/>
      <c r="B59" s="72"/>
      <c r="C59" s="97"/>
      <c r="D59" s="98" t="s">
        <v>389</v>
      </c>
      <c r="E59" s="96" t="str">
        <f>'#17 IH Results'!A52</f>
        <v>sbilbao</v>
      </c>
      <c r="F59" s="99"/>
      <c r="G59" s="100"/>
      <c r="H59" s="67" t="s">
        <v>390</v>
      </c>
      <c r="I59" s="68">
        <f>'#17 IH Results'!B52</f>
        <v>3.904989223</v>
      </c>
      <c r="J59" s="47"/>
      <c r="K59" s="48"/>
      <c r="L59" s="48"/>
      <c r="M59" s="48"/>
      <c r="N59" s="48"/>
      <c r="O59" s="48"/>
      <c r="P59" s="48"/>
      <c r="Q59" s="48"/>
      <c r="R59" s="48"/>
      <c r="S59" s="48"/>
      <c r="T59" s="48"/>
      <c r="U59" s="48"/>
      <c r="V59" s="48"/>
      <c r="W59" s="48"/>
      <c r="X59" s="48"/>
      <c r="Y59" s="48"/>
      <c r="Z59" s="48"/>
      <c r="AA59" s="48"/>
      <c r="AB59" s="48"/>
      <c r="AC59" s="48"/>
      <c r="AD59" s="48"/>
      <c r="AE59" s="48"/>
      <c r="AF59" s="48"/>
      <c r="AG59" s="48"/>
    </row>
    <row r="60" ht="21.75" customHeight="1">
      <c r="A60" s="60"/>
      <c r="B60" s="72"/>
      <c r="C60" s="97"/>
      <c r="D60" s="98" t="s">
        <v>389</v>
      </c>
      <c r="E60" s="96" t="str">
        <f>'#17 IH Results'!A53</f>
        <v>JessicaZartler</v>
      </c>
      <c r="F60" s="99"/>
      <c r="G60" s="100"/>
      <c r="H60" s="67" t="s">
        <v>390</v>
      </c>
      <c r="I60" s="68">
        <f>'#17 IH Results'!B53</f>
        <v>3.818864055</v>
      </c>
      <c r="J60" s="47"/>
      <c r="K60" s="48"/>
      <c r="L60" s="48"/>
      <c r="M60" s="48"/>
      <c r="N60" s="48"/>
      <c r="O60" s="48"/>
      <c r="P60" s="48"/>
      <c r="Q60" s="48"/>
      <c r="R60" s="48"/>
      <c r="S60" s="48"/>
      <c r="T60" s="48"/>
      <c r="U60" s="48"/>
      <c r="V60" s="48"/>
      <c r="W60" s="48"/>
      <c r="X60" s="48"/>
      <c r="Y60" s="48"/>
      <c r="Z60" s="48"/>
      <c r="AA60" s="48"/>
      <c r="AB60" s="48"/>
      <c r="AC60" s="48"/>
      <c r="AD60" s="48"/>
      <c r="AE60" s="48"/>
      <c r="AF60" s="48"/>
      <c r="AG60" s="48"/>
    </row>
    <row r="61" ht="21.75" customHeight="1">
      <c r="A61" s="60"/>
      <c r="B61" s="72"/>
      <c r="C61" s="97"/>
      <c r="D61" s="98" t="s">
        <v>389</v>
      </c>
      <c r="E61" s="96" t="str">
        <f>'#17 IH Results'!A54</f>
        <v>baartch#5796</v>
      </c>
      <c r="F61" s="99"/>
      <c r="G61" s="100"/>
      <c r="H61" s="67" t="s">
        <v>390</v>
      </c>
      <c r="I61" s="68">
        <f>'#17 IH Results'!B54</f>
        <v>3.778761331</v>
      </c>
      <c r="J61" s="47"/>
      <c r="K61" s="48"/>
      <c r="L61" s="48"/>
      <c r="M61" s="48"/>
      <c r="N61" s="48"/>
      <c r="O61" s="48"/>
      <c r="P61" s="48"/>
      <c r="Q61" s="48"/>
      <c r="R61" s="48"/>
      <c r="S61" s="48"/>
      <c r="T61" s="48"/>
      <c r="U61" s="48"/>
      <c r="V61" s="48"/>
      <c r="W61" s="48"/>
      <c r="X61" s="48"/>
      <c r="Y61" s="48"/>
      <c r="Z61" s="48"/>
      <c r="AA61" s="48"/>
      <c r="AB61" s="48"/>
      <c r="AC61" s="48"/>
      <c r="AD61" s="48"/>
      <c r="AE61" s="48"/>
      <c r="AF61" s="48"/>
      <c r="AG61" s="48"/>
    </row>
    <row r="62" ht="21.75" customHeight="1">
      <c r="A62" s="60"/>
      <c r="B62" s="72"/>
      <c r="C62" s="97"/>
      <c r="D62" s="98" t="s">
        <v>389</v>
      </c>
      <c r="E62" s="96" t="str">
        <f>'#17 IH Results'!A55</f>
        <v>geleeroyale</v>
      </c>
      <c r="F62" s="99"/>
      <c r="G62" s="100"/>
      <c r="H62" s="67" t="s">
        <v>390</v>
      </c>
      <c r="I62" s="68">
        <f>'#17 IH Results'!B55</f>
        <v>3.694587521</v>
      </c>
      <c r="J62" s="47"/>
      <c r="K62" s="48"/>
      <c r="L62" s="48"/>
      <c r="M62" s="48"/>
      <c r="N62" s="48"/>
      <c r="O62" s="48"/>
      <c r="P62" s="48"/>
      <c r="Q62" s="48"/>
      <c r="R62" s="48"/>
      <c r="S62" s="48"/>
      <c r="T62" s="48"/>
      <c r="U62" s="48"/>
      <c r="V62" s="48"/>
      <c r="W62" s="48"/>
      <c r="X62" s="48"/>
      <c r="Y62" s="48"/>
      <c r="Z62" s="48"/>
      <c r="AA62" s="48"/>
      <c r="AB62" s="48"/>
      <c r="AC62" s="48"/>
      <c r="AD62" s="48"/>
      <c r="AE62" s="48"/>
      <c r="AF62" s="48"/>
      <c r="AG62" s="48"/>
    </row>
    <row r="63" ht="21.75" customHeight="1">
      <c r="A63" s="60"/>
      <c r="B63" s="72"/>
      <c r="C63" s="97"/>
      <c r="D63" s="98" t="s">
        <v>389</v>
      </c>
      <c r="E63" s="96" t="str">
        <f>'#17 IH Results'!A56</f>
        <v>JamesSimbouras</v>
      </c>
      <c r="F63" s="99"/>
      <c r="G63" s="100"/>
      <c r="H63" s="67" t="s">
        <v>390</v>
      </c>
      <c r="I63" s="68">
        <f>'#17 IH Results'!B56</f>
        <v>3.558303463</v>
      </c>
      <c r="J63" s="47"/>
      <c r="K63" s="48"/>
      <c r="L63" s="48"/>
      <c r="M63" s="48"/>
      <c r="N63" s="48"/>
      <c r="O63" s="48"/>
      <c r="P63" s="48"/>
      <c r="Q63" s="48"/>
      <c r="R63" s="48"/>
      <c r="S63" s="48"/>
      <c r="T63" s="48"/>
      <c r="U63" s="48"/>
      <c r="V63" s="48"/>
      <c r="W63" s="48"/>
      <c r="X63" s="48"/>
      <c r="Y63" s="48"/>
      <c r="Z63" s="48"/>
      <c r="AA63" s="48"/>
      <c r="AB63" s="48"/>
      <c r="AC63" s="48"/>
      <c r="AD63" s="48"/>
      <c r="AE63" s="48"/>
      <c r="AF63" s="48"/>
      <c r="AG63" s="48"/>
    </row>
    <row r="64" ht="21.75" customHeight="1">
      <c r="A64" s="60"/>
      <c r="B64" s="72"/>
      <c r="C64" s="97"/>
      <c r="D64" s="98" t="s">
        <v>389</v>
      </c>
      <c r="E64" s="96" t="str">
        <f>'#17 IH Results'!A57</f>
        <v>vegayp</v>
      </c>
      <c r="F64" s="99"/>
      <c r="G64" s="100"/>
      <c r="H64" s="67" t="s">
        <v>390</v>
      </c>
      <c r="I64" s="68">
        <f>'#17 IH Results'!B57</f>
        <v>3.4535807</v>
      </c>
      <c r="J64" s="47"/>
      <c r="K64" s="48"/>
      <c r="L64" s="48"/>
      <c r="M64" s="48"/>
      <c r="N64" s="48"/>
      <c r="O64" s="48"/>
      <c r="P64" s="48"/>
      <c r="Q64" s="48"/>
      <c r="R64" s="48"/>
      <c r="S64" s="48"/>
      <c r="T64" s="48"/>
      <c r="U64" s="48"/>
      <c r="V64" s="48"/>
      <c r="W64" s="48"/>
      <c r="X64" s="48"/>
      <c r="Y64" s="48"/>
      <c r="Z64" s="48"/>
      <c r="AA64" s="48"/>
      <c r="AB64" s="48"/>
      <c r="AC64" s="48"/>
      <c r="AD64" s="48"/>
      <c r="AE64" s="48"/>
      <c r="AF64" s="48"/>
      <c r="AG64" s="48"/>
    </row>
    <row r="65" ht="21.75" customHeight="1">
      <c r="A65" s="60"/>
      <c r="B65" s="72"/>
      <c r="C65" s="97"/>
      <c r="D65" s="98" t="s">
        <v>389</v>
      </c>
      <c r="E65" s="96" t="str">
        <f>'#17 IH Results'!A58</f>
        <v>kristoferkristofer</v>
      </c>
      <c r="F65" s="99"/>
      <c r="G65" s="100"/>
      <c r="H65" s="67" t="s">
        <v>390</v>
      </c>
      <c r="I65" s="68">
        <f>'#17 IH Results'!B58</f>
        <v>3.323643426</v>
      </c>
      <c r="J65" s="47"/>
      <c r="K65" s="48"/>
      <c r="L65" s="48"/>
      <c r="M65" s="48"/>
      <c r="N65" s="48"/>
      <c r="O65" s="48"/>
      <c r="P65" s="48"/>
      <c r="Q65" s="48"/>
      <c r="R65" s="48"/>
      <c r="S65" s="48"/>
      <c r="T65" s="48"/>
      <c r="U65" s="48"/>
      <c r="V65" s="48"/>
      <c r="W65" s="48"/>
      <c r="X65" s="48"/>
      <c r="Y65" s="48"/>
      <c r="Z65" s="48"/>
      <c r="AA65" s="48"/>
      <c r="AB65" s="48"/>
      <c r="AC65" s="48"/>
      <c r="AD65" s="48"/>
      <c r="AE65" s="48"/>
      <c r="AF65" s="48"/>
      <c r="AG65" s="48"/>
    </row>
    <row r="66" ht="21.75" customHeight="1">
      <c r="A66" s="60"/>
      <c r="B66" s="72"/>
      <c r="C66" s="97"/>
      <c r="D66" s="98" t="s">
        <v>389</v>
      </c>
      <c r="E66" s="96" t="str">
        <f>'#17 IH Results'!A59</f>
        <v>KZ Flyer#0926</v>
      </c>
      <c r="F66" s="99"/>
      <c r="G66" s="100"/>
      <c r="H66" s="67" t="s">
        <v>390</v>
      </c>
      <c r="I66" s="68">
        <f>'#17 IH Results'!B59</f>
        <v>3.300268935</v>
      </c>
      <c r="J66" s="47"/>
      <c r="K66" s="48"/>
      <c r="L66" s="48"/>
      <c r="M66" s="48"/>
      <c r="N66" s="48"/>
      <c r="O66" s="48"/>
      <c r="P66" s="48"/>
      <c r="Q66" s="48"/>
      <c r="R66" s="48"/>
      <c r="S66" s="48"/>
      <c r="T66" s="48"/>
      <c r="U66" s="48"/>
      <c r="V66" s="48"/>
      <c r="W66" s="48"/>
      <c r="X66" s="48"/>
      <c r="Y66" s="48"/>
      <c r="Z66" s="48"/>
      <c r="AA66" s="48"/>
      <c r="AB66" s="48"/>
      <c r="AC66" s="48"/>
      <c r="AD66" s="48"/>
      <c r="AE66" s="48"/>
      <c r="AF66" s="48"/>
      <c r="AG66" s="48"/>
    </row>
    <row r="67" ht="21.75" customHeight="1">
      <c r="A67" s="60"/>
      <c r="B67" s="72"/>
      <c r="C67" s="97"/>
      <c r="D67" s="98" t="s">
        <v>389</v>
      </c>
      <c r="E67" s="96" t="str">
        <f>'#17 IH Results'!A60</f>
        <v>divine_comedian</v>
      </c>
      <c r="F67" s="99"/>
      <c r="G67" s="100"/>
      <c r="H67" s="67" t="s">
        <v>390</v>
      </c>
      <c r="I67" s="68">
        <f>'#17 IH Results'!B60</f>
        <v>3.22455709</v>
      </c>
      <c r="J67" s="47"/>
      <c r="K67" s="48"/>
      <c r="L67" s="48"/>
      <c r="M67" s="48"/>
      <c r="N67" s="48"/>
      <c r="O67" s="48"/>
      <c r="P67" s="48"/>
      <c r="Q67" s="48"/>
      <c r="R67" s="48"/>
      <c r="S67" s="48"/>
      <c r="T67" s="48"/>
      <c r="U67" s="48"/>
      <c r="V67" s="48"/>
      <c r="W67" s="48"/>
      <c r="X67" s="48"/>
      <c r="Y67" s="48"/>
      <c r="Z67" s="48"/>
      <c r="AA67" s="48"/>
      <c r="AB67" s="48"/>
      <c r="AC67" s="48"/>
      <c r="AD67" s="48"/>
      <c r="AE67" s="48"/>
      <c r="AF67" s="48"/>
      <c r="AG67" s="48"/>
    </row>
    <row r="68" ht="21.75" customHeight="1">
      <c r="A68" s="60"/>
      <c r="B68" s="72"/>
      <c r="C68" s="97"/>
      <c r="D68" s="98" t="s">
        <v>389</v>
      </c>
      <c r="E68" s="96" t="str">
        <f>'#17 IH Results'!A61</f>
        <v>Krisjones</v>
      </c>
      <c r="F68" s="99"/>
      <c r="G68" s="100"/>
      <c r="H68" s="67" t="s">
        <v>390</v>
      </c>
      <c r="I68" s="68">
        <f>'#17 IH Results'!B61</f>
        <v>3.07265941</v>
      </c>
      <c r="J68" s="47"/>
      <c r="K68" s="48"/>
      <c r="L68" s="48"/>
      <c r="M68" s="48"/>
      <c r="N68" s="48"/>
      <c r="O68" s="48"/>
      <c r="P68" s="48"/>
      <c r="Q68" s="48"/>
      <c r="R68" s="48"/>
      <c r="S68" s="48"/>
      <c r="T68" s="48"/>
      <c r="U68" s="48"/>
      <c r="V68" s="48"/>
      <c r="W68" s="48"/>
      <c r="X68" s="48"/>
      <c r="Y68" s="48"/>
      <c r="Z68" s="48"/>
      <c r="AA68" s="48"/>
      <c r="AB68" s="48"/>
      <c r="AC68" s="48"/>
      <c r="AD68" s="48"/>
      <c r="AE68" s="48"/>
      <c r="AF68" s="48"/>
      <c r="AG68" s="48"/>
    </row>
    <row r="69" ht="21.75" customHeight="1">
      <c r="A69" s="60"/>
      <c r="B69" s="72"/>
      <c r="C69" s="97"/>
      <c r="D69" s="98" t="s">
        <v>389</v>
      </c>
      <c r="E69" s="96" t="str">
        <f>'#17 IH Results'!A62</f>
        <v>The Blockchain Socialist#5005</v>
      </c>
      <c r="F69" s="99"/>
      <c r="G69" s="100"/>
      <c r="H69" s="67" t="s">
        <v>390</v>
      </c>
      <c r="I69" s="68">
        <f>'#17 IH Results'!B62</f>
        <v>2.963931196</v>
      </c>
      <c r="J69" s="47"/>
      <c r="K69" s="48"/>
      <c r="L69" s="48"/>
      <c r="M69" s="48"/>
      <c r="N69" s="48"/>
      <c r="O69" s="48"/>
      <c r="P69" s="48"/>
      <c r="Q69" s="48"/>
      <c r="R69" s="48"/>
      <c r="S69" s="48"/>
      <c r="T69" s="48"/>
      <c r="U69" s="48"/>
      <c r="V69" s="48"/>
      <c r="W69" s="48"/>
      <c r="X69" s="48"/>
      <c r="Y69" s="48"/>
      <c r="Z69" s="48"/>
      <c r="AA69" s="48"/>
      <c r="AB69" s="48"/>
      <c r="AC69" s="48"/>
      <c r="AD69" s="48"/>
      <c r="AE69" s="48"/>
      <c r="AF69" s="48"/>
      <c r="AG69" s="48"/>
    </row>
    <row r="70" ht="21.75" customHeight="1">
      <c r="A70" s="60"/>
      <c r="B70" s="72"/>
      <c r="C70" s="97"/>
      <c r="D70" s="98" t="s">
        <v>389</v>
      </c>
      <c r="E70" s="96" t="str">
        <f>'#17 IH Results'!A63</f>
        <v>WhyldWanderer#7002</v>
      </c>
      <c r="F70" s="99"/>
      <c r="G70" s="100"/>
      <c r="H70" s="67" t="s">
        <v>390</v>
      </c>
      <c r="I70" s="68">
        <f>'#17 IH Results'!B63</f>
        <v>2.940556704</v>
      </c>
      <c r="J70" s="47"/>
      <c r="K70" s="48"/>
      <c r="L70" s="48"/>
      <c r="M70" s="48"/>
      <c r="N70" s="48"/>
      <c r="O70" s="48"/>
      <c r="P70" s="48"/>
      <c r="Q70" s="48"/>
      <c r="R70" s="48"/>
      <c r="S70" s="48"/>
      <c r="T70" s="48"/>
      <c r="U70" s="48"/>
      <c r="V70" s="48"/>
      <c r="W70" s="48"/>
      <c r="X70" s="48"/>
      <c r="Y70" s="48"/>
      <c r="Z70" s="48"/>
      <c r="AA70" s="48"/>
      <c r="AB70" s="48"/>
      <c r="AC70" s="48"/>
      <c r="AD70" s="48"/>
      <c r="AE70" s="48"/>
      <c r="AF70" s="48"/>
      <c r="AG70" s="48"/>
    </row>
    <row r="71" ht="21.75" customHeight="1">
      <c r="A71" s="60"/>
      <c r="B71" s="72"/>
      <c r="C71" s="97"/>
      <c r="D71" s="98" t="s">
        <v>389</v>
      </c>
      <c r="E71" s="96" t="str">
        <f>'#17 IH Results'!A64</f>
        <v>rubenrussel7</v>
      </c>
      <c r="F71" s="99"/>
      <c r="G71" s="100"/>
      <c r="H71" s="67" t="s">
        <v>390</v>
      </c>
      <c r="I71" s="68">
        <f>'#17 IH Results'!B64</f>
        <v>2.854179189</v>
      </c>
      <c r="J71" s="47"/>
      <c r="K71" s="48"/>
      <c r="L71" s="48"/>
      <c r="M71" s="48"/>
      <c r="N71" s="48"/>
      <c r="O71" s="48"/>
      <c r="P71" s="48"/>
      <c r="Q71" s="48"/>
      <c r="R71" s="48"/>
      <c r="S71" s="48"/>
      <c r="T71" s="48"/>
      <c r="U71" s="48"/>
      <c r="V71" s="48"/>
      <c r="W71" s="48"/>
      <c r="X71" s="48"/>
      <c r="Y71" s="48"/>
      <c r="Z71" s="48"/>
      <c r="AA71" s="48"/>
      <c r="AB71" s="48"/>
      <c r="AC71" s="48"/>
      <c r="AD71" s="48"/>
      <c r="AE71" s="48"/>
      <c r="AF71" s="48"/>
      <c r="AG71" s="48"/>
    </row>
    <row r="72" ht="21.75" customHeight="1">
      <c r="A72" s="60"/>
      <c r="B72" s="72"/>
      <c r="C72" s="97"/>
      <c r="D72" s="98" t="s">
        <v>389</v>
      </c>
      <c r="E72" s="96" t="str">
        <f>'#17 IH Results'!A65</f>
        <v>wslyvh</v>
      </c>
      <c r="F72" s="99"/>
      <c r="G72" s="100"/>
      <c r="H72" s="67" t="s">
        <v>390</v>
      </c>
      <c r="I72" s="68">
        <f>'#17 IH Results'!B65</f>
        <v>2.805522497</v>
      </c>
      <c r="J72" s="47"/>
      <c r="K72" s="48"/>
      <c r="L72" s="48"/>
      <c r="M72" s="48"/>
      <c r="N72" s="48"/>
      <c r="O72" s="48"/>
      <c r="P72" s="48"/>
      <c r="Q72" s="48"/>
      <c r="R72" s="48"/>
      <c r="S72" s="48"/>
      <c r="T72" s="48"/>
      <c r="U72" s="48"/>
      <c r="V72" s="48"/>
      <c r="W72" s="48"/>
      <c r="X72" s="48"/>
      <c r="Y72" s="48"/>
      <c r="Z72" s="48"/>
      <c r="AA72" s="48"/>
      <c r="AB72" s="48"/>
      <c r="AC72" s="48"/>
      <c r="AD72" s="48"/>
      <c r="AE72" s="48"/>
      <c r="AF72" s="48"/>
      <c r="AG72" s="48"/>
    </row>
    <row r="73" ht="21.75" customHeight="1">
      <c r="A73" s="60"/>
      <c r="B73" s="72"/>
      <c r="C73" s="97"/>
      <c r="D73" s="98" t="s">
        <v>389</v>
      </c>
      <c r="E73" s="96" t="str">
        <f>'#17 IH Results'!A66</f>
        <v>TannrA</v>
      </c>
      <c r="F73" s="99"/>
      <c r="G73" s="100"/>
      <c r="H73" s="67" t="s">
        <v>390</v>
      </c>
      <c r="I73" s="68">
        <f>'#17 IH Results'!B66</f>
        <v>2.761712764</v>
      </c>
      <c r="J73" s="47"/>
      <c r="K73" s="48"/>
      <c r="L73" s="48"/>
      <c r="M73" s="48"/>
      <c r="N73" s="48"/>
      <c r="O73" s="48"/>
      <c r="P73" s="48"/>
      <c r="Q73" s="48"/>
      <c r="R73" s="48"/>
      <c r="S73" s="48"/>
      <c r="T73" s="48"/>
      <c r="U73" s="48"/>
      <c r="V73" s="48"/>
      <c r="W73" s="48"/>
      <c r="X73" s="48"/>
      <c r="Y73" s="48"/>
      <c r="Z73" s="48"/>
      <c r="AA73" s="48"/>
      <c r="AB73" s="48"/>
      <c r="AC73" s="48"/>
      <c r="AD73" s="48"/>
      <c r="AE73" s="48"/>
      <c r="AF73" s="48"/>
      <c r="AG73" s="48"/>
    </row>
    <row r="74" ht="21.75" customHeight="1">
      <c r="A74" s="60"/>
      <c r="B74" s="72"/>
      <c r="C74" s="97"/>
      <c r="D74" s="98" t="s">
        <v>389</v>
      </c>
      <c r="E74" s="96" t="str">
        <f>'#17 IH Results'!A67</f>
        <v>mzargham</v>
      </c>
      <c r="F74" s="99"/>
      <c r="G74" s="100"/>
      <c r="H74" s="67" t="s">
        <v>390</v>
      </c>
      <c r="I74" s="68">
        <f>'#17 IH Results'!B67</f>
        <v>2.761712764</v>
      </c>
      <c r="J74" s="47"/>
      <c r="K74" s="48"/>
      <c r="L74" s="48"/>
      <c r="M74" s="48"/>
      <c r="N74" s="48"/>
      <c r="O74" s="48"/>
      <c r="P74" s="48"/>
      <c r="Q74" s="48"/>
      <c r="R74" s="48"/>
      <c r="S74" s="48"/>
      <c r="T74" s="48"/>
      <c r="U74" s="48"/>
      <c r="V74" s="48"/>
      <c r="W74" s="48"/>
      <c r="X74" s="48"/>
      <c r="Y74" s="48"/>
      <c r="Z74" s="48"/>
      <c r="AA74" s="48"/>
      <c r="AB74" s="48"/>
      <c r="AC74" s="48"/>
      <c r="AD74" s="48"/>
      <c r="AE74" s="48"/>
      <c r="AF74" s="48"/>
      <c r="AG74" s="48"/>
    </row>
    <row r="75" ht="21.75" customHeight="1">
      <c r="A75" s="60"/>
      <c r="B75" s="72"/>
      <c r="C75" s="97"/>
      <c r="D75" s="98" t="s">
        <v>389</v>
      </c>
      <c r="E75" s="96" t="str">
        <f>'#17 IH Results'!A68</f>
        <v>niranb</v>
      </c>
      <c r="F75" s="99"/>
      <c r="G75" s="100"/>
      <c r="H75" s="67" t="s">
        <v>390</v>
      </c>
      <c r="I75" s="68">
        <f>'#17 IH Results'!B68</f>
        <v>2.760132104</v>
      </c>
      <c r="J75" s="47"/>
      <c r="K75" s="48"/>
      <c r="L75" s="48"/>
      <c r="M75" s="48"/>
      <c r="N75" s="48"/>
      <c r="O75" s="48"/>
      <c r="P75" s="48"/>
      <c r="Q75" s="48"/>
      <c r="R75" s="48"/>
      <c r="S75" s="48"/>
      <c r="T75" s="48"/>
      <c r="U75" s="48"/>
      <c r="V75" s="48"/>
      <c r="W75" s="48"/>
      <c r="X75" s="48"/>
      <c r="Y75" s="48"/>
      <c r="Z75" s="48"/>
      <c r="AA75" s="48"/>
      <c r="AB75" s="48"/>
      <c r="AC75" s="48"/>
      <c r="AD75" s="48"/>
      <c r="AE75" s="48"/>
      <c r="AF75" s="48"/>
      <c r="AG75" s="48"/>
    </row>
    <row r="76" ht="21.75" customHeight="1">
      <c r="A76" s="60"/>
      <c r="B76" s="72"/>
      <c r="C76" s="97"/>
      <c r="D76" s="98" t="s">
        <v>389</v>
      </c>
      <c r="E76" s="96" t="str">
        <f>'#17 IH Results'!A69</f>
        <v>GraceRachmany</v>
      </c>
      <c r="F76" s="99"/>
      <c r="G76" s="100"/>
      <c r="H76" s="67" t="s">
        <v>390</v>
      </c>
      <c r="I76" s="68">
        <f>'#17 IH Results'!B69</f>
        <v>2.760132104</v>
      </c>
      <c r="J76" s="47"/>
      <c r="K76" s="48"/>
      <c r="L76" s="48"/>
      <c r="M76" s="48"/>
      <c r="N76" s="48"/>
      <c r="O76" s="48"/>
      <c r="P76" s="48"/>
      <c r="Q76" s="48"/>
      <c r="R76" s="48"/>
      <c r="S76" s="48"/>
      <c r="T76" s="48"/>
      <c r="U76" s="48"/>
      <c r="V76" s="48"/>
      <c r="W76" s="48"/>
      <c r="X76" s="48"/>
      <c r="Y76" s="48"/>
      <c r="Z76" s="48"/>
      <c r="AA76" s="48"/>
      <c r="AB76" s="48"/>
      <c r="AC76" s="48"/>
      <c r="AD76" s="48"/>
      <c r="AE76" s="48"/>
      <c r="AF76" s="48"/>
      <c r="AG76" s="48"/>
    </row>
    <row r="77" ht="21.75" customHeight="1">
      <c r="A77" s="60"/>
      <c r="B77" s="72"/>
      <c r="C77" s="97"/>
      <c r="D77" s="98" t="s">
        <v>389</v>
      </c>
      <c r="E77" s="96" t="str">
        <f>'#17 IH Results'!A70</f>
        <v>fabimol</v>
      </c>
      <c r="F77" s="99"/>
      <c r="G77" s="100"/>
      <c r="H77" s="67" t="s">
        <v>390</v>
      </c>
      <c r="I77" s="68">
        <f>'#17 IH Results'!B70</f>
        <v>2.637207254</v>
      </c>
      <c r="J77" s="47"/>
    </row>
    <row r="78" ht="21.75" customHeight="1">
      <c r="A78" s="60"/>
      <c r="B78" s="72"/>
      <c r="C78" s="97"/>
      <c r="D78" s="98" t="s">
        <v>389</v>
      </c>
      <c r="E78" s="96" t="str">
        <f>'#17 IH Results'!A71</f>
        <v>aidanbrodieo</v>
      </c>
      <c r="F78" s="99"/>
      <c r="G78" s="100"/>
      <c r="H78" s="67" t="s">
        <v>390</v>
      </c>
      <c r="I78" s="68">
        <f>'#17 IH Results'!B71</f>
        <v>2.580844474</v>
      </c>
      <c r="J78" s="47"/>
    </row>
    <row r="79" ht="21.75" customHeight="1">
      <c r="A79" s="60"/>
      <c r="B79" s="72"/>
      <c r="C79" s="97"/>
      <c r="D79" s="98" t="s">
        <v>389</v>
      </c>
      <c r="E79" s="96" t="str">
        <f>'#17 IH Results'!A72</f>
        <v>danibelle</v>
      </c>
      <c r="F79" s="99"/>
      <c r="G79" s="100"/>
      <c r="H79" s="67" t="s">
        <v>390</v>
      </c>
      <c r="I79" s="68">
        <f>'#17 IH Results'!B72</f>
        <v>2.535454081</v>
      </c>
      <c r="J79" s="47"/>
    </row>
    <row r="80" ht="21.75" customHeight="1">
      <c r="A80" s="60"/>
      <c r="B80" s="72"/>
      <c r="C80" s="97"/>
      <c r="D80" s="98" t="s">
        <v>389</v>
      </c>
      <c r="E80" s="96" t="str">
        <f>'#17 IH Results'!A73</f>
        <v>knobsDAO</v>
      </c>
      <c r="F80" s="99"/>
      <c r="G80" s="100"/>
      <c r="H80" s="67" t="s">
        <v>390</v>
      </c>
      <c r="I80" s="68">
        <f>'#17 IH Results'!B73</f>
        <v>2.527601621</v>
      </c>
      <c r="J80" s="47"/>
    </row>
    <row r="81" ht="21.75" customHeight="1">
      <c r="A81" s="60"/>
      <c r="B81" s="72"/>
      <c r="C81" s="97"/>
      <c r="D81" s="98" t="s">
        <v>389</v>
      </c>
      <c r="E81" s="96" t="str">
        <f>'#17 IH Results'!A74</f>
        <v>jwaup</v>
      </c>
      <c r="F81" s="99"/>
      <c r="G81" s="100"/>
      <c r="H81" s="67" t="s">
        <v>390</v>
      </c>
      <c r="I81" s="68">
        <f>'#17 IH Results'!B74</f>
        <v>2.489292949</v>
      </c>
      <c r="J81" s="47"/>
    </row>
    <row r="82" ht="21.75" customHeight="1">
      <c r="A82" s="60"/>
      <c r="B82" s="72"/>
      <c r="C82" s="97"/>
      <c r="D82" s="98" t="s">
        <v>389</v>
      </c>
      <c r="E82" s="96" t="str">
        <f>'#17 IH Results'!A75</f>
        <v>Pronoia🐙#2154</v>
      </c>
      <c r="F82" s="99"/>
      <c r="G82" s="100"/>
      <c r="H82" s="67" t="s">
        <v>390</v>
      </c>
      <c r="I82" s="68">
        <f>'#17 IH Results'!B75</f>
        <v>2.40845545</v>
      </c>
      <c r="J82" s="47"/>
    </row>
    <row r="83" ht="21.75" customHeight="1">
      <c r="A83" s="60"/>
      <c r="B83" s="72"/>
      <c r="C83" s="97"/>
      <c r="D83" s="98" t="s">
        <v>389</v>
      </c>
      <c r="E83" s="96" t="str">
        <f>'#17 IH Results'!A76</f>
        <v>PaulaBerman#9915</v>
      </c>
      <c r="F83" s="99"/>
      <c r="G83" s="100"/>
      <c r="H83" s="67" t="s">
        <v>390</v>
      </c>
      <c r="I83" s="68">
        <f>'#17 IH Results'!B76</f>
        <v>2.400419873</v>
      </c>
      <c r="J83" s="47"/>
    </row>
    <row r="84" ht="21.75" customHeight="1">
      <c r="A84" s="60"/>
      <c r="B84" s="72"/>
      <c r="C84" s="97"/>
      <c r="D84" s="98" t="s">
        <v>389</v>
      </c>
      <c r="E84" s="96" t="str">
        <f>'#17 IH Results'!A77</f>
        <v>felixfalafel</v>
      </c>
      <c r="F84" s="99"/>
      <c r="G84" s="100"/>
      <c r="H84" s="67" t="s">
        <v>390</v>
      </c>
      <c r="I84" s="68">
        <f>'#17 IH Results'!B77</f>
        <v>2.128992869</v>
      </c>
      <c r="J84" s="47"/>
    </row>
    <row r="85" ht="21.75" customHeight="1">
      <c r="A85" s="60"/>
      <c r="B85" s="72"/>
      <c r="C85" s="97"/>
      <c r="D85" s="98" t="s">
        <v>389</v>
      </c>
      <c r="E85" s="96" t="str">
        <f>'#17 IH Results'!A78</f>
        <v>kaikai520#0224</v>
      </c>
      <c r="F85" s="99"/>
      <c r="G85" s="100"/>
      <c r="H85" s="67" t="s">
        <v>390</v>
      </c>
      <c r="I85" s="68">
        <f>'#17 IH Results'!B78</f>
        <v>2.072483716</v>
      </c>
      <c r="J85" s="47"/>
    </row>
    <row r="86" ht="21.75" customHeight="1">
      <c r="A86" s="60"/>
      <c r="B86" s="72"/>
      <c r="C86" s="97"/>
      <c r="D86" s="98" t="s">
        <v>389</v>
      </c>
      <c r="E86" s="96" t="str">
        <f>'#17 IH Results'!A79</f>
        <v>CJ_33Logic#3171</v>
      </c>
      <c r="F86" s="99"/>
      <c r="G86" s="100"/>
      <c r="H86" s="67" t="s">
        <v>390</v>
      </c>
      <c r="I86" s="68">
        <f>'#17 IH Results'!B79</f>
        <v>2.072483716</v>
      </c>
      <c r="J86" s="47"/>
    </row>
    <row r="87" ht="21.75" customHeight="1">
      <c r="A87" s="60"/>
      <c r="B87" s="72"/>
      <c r="C87" s="97"/>
      <c r="D87" s="98" t="s">
        <v>389</v>
      </c>
      <c r="E87" s="96" t="str">
        <f>'#17 IH Results'!A80</f>
        <v>kei#9866</v>
      </c>
      <c r="F87" s="99"/>
      <c r="G87" s="100"/>
      <c r="H87" s="67" t="s">
        <v>390</v>
      </c>
      <c r="I87" s="68">
        <f>'#17 IH Results'!B80</f>
        <v>1.712771486</v>
      </c>
      <c r="J87" s="47"/>
      <c r="K87" s="48"/>
      <c r="L87" s="48"/>
      <c r="M87" s="48"/>
      <c r="N87" s="48"/>
      <c r="O87" s="48"/>
      <c r="P87" s="48"/>
      <c r="Q87" s="48"/>
      <c r="R87" s="48"/>
      <c r="S87" s="48"/>
      <c r="T87" s="48"/>
      <c r="U87" s="48"/>
      <c r="V87" s="48"/>
      <c r="W87" s="48"/>
      <c r="X87" s="48"/>
      <c r="Y87" s="48"/>
      <c r="Z87" s="48"/>
      <c r="AA87" s="48"/>
      <c r="AB87" s="48"/>
      <c r="AC87" s="48"/>
      <c r="AD87" s="48"/>
      <c r="AE87" s="48"/>
      <c r="AF87" s="48"/>
      <c r="AG87" s="48"/>
    </row>
    <row r="88" ht="21.75" customHeight="1">
      <c r="A88" s="60"/>
      <c r="B88" s="72"/>
      <c r="C88" s="97"/>
      <c r="D88" s="98" t="s">
        <v>389</v>
      </c>
      <c r="E88" s="96" t="str">
        <f>'#17 IH Results'!A81</f>
        <v>andythegreenie#7463</v>
      </c>
      <c r="F88" s="99"/>
      <c r="G88" s="100"/>
      <c r="H88" s="67" t="s">
        <v>390</v>
      </c>
      <c r="I88" s="68">
        <f>'#17 IH Results'!B81</f>
        <v>1.712771486</v>
      </c>
      <c r="J88" s="47"/>
    </row>
    <row r="89" ht="21.75" customHeight="1">
      <c r="A89" s="60"/>
      <c r="B89" s="72"/>
      <c r="C89" s="97"/>
      <c r="D89" s="98" t="s">
        <v>389</v>
      </c>
      <c r="E89" s="96" t="str">
        <f>'#17 IH Results'!A82</f>
        <v>nic#9212</v>
      </c>
      <c r="F89" s="99"/>
      <c r="G89" s="100"/>
      <c r="H89" s="67" t="s">
        <v>390</v>
      </c>
      <c r="I89" s="68">
        <f>'#17 IH Results'!B82</f>
        <v>1.587497449</v>
      </c>
      <c r="J89" s="47"/>
      <c r="K89" s="48"/>
      <c r="L89" s="48"/>
      <c r="M89" s="48"/>
      <c r="N89" s="48"/>
      <c r="O89" s="48"/>
      <c r="P89" s="48"/>
      <c r="Q89" s="48"/>
      <c r="R89" s="48"/>
      <c r="S89" s="48"/>
      <c r="T89" s="48"/>
      <c r="U89" s="48"/>
      <c r="V89" s="48"/>
      <c r="W89" s="48"/>
      <c r="X89" s="48"/>
      <c r="Y89" s="48"/>
      <c r="Z89" s="48"/>
      <c r="AA89" s="48"/>
      <c r="AB89" s="48"/>
      <c r="AC89" s="48"/>
      <c r="AD89" s="48"/>
      <c r="AE89" s="48"/>
      <c r="AF89" s="48"/>
      <c r="AG89" s="48"/>
    </row>
    <row r="90" ht="21.75" customHeight="1">
      <c r="A90" s="60"/>
      <c r="B90" s="72"/>
      <c r="C90" s="97"/>
      <c r="D90" s="98" t="s">
        <v>389</v>
      </c>
      <c r="E90" s="96" t="str">
        <f>'#17 IH Results'!A83</f>
        <v>aminlatifi</v>
      </c>
      <c r="F90" s="99"/>
      <c r="G90" s="100"/>
      <c r="H90" s="67" t="s">
        <v>390</v>
      </c>
      <c r="I90" s="68">
        <f>'#17 IH Results'!B83</f>
        <v>1.574104973</v>
      </c>
      <c r="J90" s="47"/>
    </row>
    <row r="91" ht="21.75" customHeight="1">
      <c r="A91" s="60"/>
      <c r="B91" s="72"/>
      <c r="C91" s="97"/>
      <c r="D91" s="98" t="s">
        <v>389</v>
      </c>
      <c r="E91" s="96" t="str">
        <f>'#17 IH Results'!A84</f>
        <v>HBesso31</v>
      </c>
      <c r="F91" s="99"/>
      <c r="G91" s="100"/>
      <c r="H91" s="67" t="s">
        <v>390</v>
      </c>
      <c r="I91" s="68">
        <f>'#17 IH Results'!B84</f>
        <v>1.554362787</v>
      </c>
      <c r="J91" s="47"/>
      <c r="K91" s="48"/>
      <c r="L91" s="48"/>
      <c r="M91" s="48"/>
      <c r="N91" s="48"/>
      <c r="O91" s="48"/>
      <c r="P91" s="48"/>
      <c r="Q91" s="48"/>
      <c r="R91" s="48"/>
      <c r="S91" s="48"/>
      <c r="T91" s="48"/>
      <c r="U91" s="48"/>
      <c r="V91" s="48"/>
      <c r="W91" s="48"/>
      <c r="X91" s="48"/>
      <c r="Y91" s="48"/>
      <c r="Z91" s="48"/>
      <c r="AA91" s="48"/>
      <c r="AB91" s="48"/>
      <c r="AC91" s="48"/>
      <c r="AD91" s="48"/>
      <c r="AE91" s="48"/>
      <c r="AF91" s="48"/>
      <c r="AG91" s="48"/>
    </row>
    <row r="92" ht="21.75" customHeight="1">
      <c r="A92" s="60"/>
      <c r="B92" s="72"/>
      <c r="C92" s="97"/>
      <c r="D92" s="98" t="s">
        <v>389</v>
      </c>
      <c r="E92" s="96" t="str">
        <f>'#17 IH Results'!A85</f>
        <v>Lin#3884</v>
      </c>
      <c r="F92" s="99"/>
      <c r="G92" s="100"/>
      <c r="H92" s="67" t="s">
        <v>390</v>
      </c>
      <c r="I92" s="68">
        <f>'#17 IH Results'!B85</f>
        <v>1.544602616</v>
      </c>
      <c r="J92" s="47"/>
      <c r="K92" s="48"/>
      <c r="L92" s="48"/>
      <c r="M92" s="48"/>
      <c r="N92" s="48"/>
      <c r="O92" s="48"/>
      <c r="P92" s="48"/>
      <c r="Q92" s="48"/>
      <c r="R92" s="48"/>
      <c r="S92" s="48"/>
      <c r="T92" s="48"/>
      <c r="U92" s="48"/>
      <c r="V92" s="48"/>
      <c r="W92" s="48"/>
      <c r="X92" s="48"/>
      <c r="Y92" s="48"/>
      <c r="Z92" s="48"/>
      <c r="AA92" s="48"/>
      <c r="AB92" s="48"/>
      <c r="AC92" s="48"/>
      <c r="AD92" s="48"/>
      <c r="AE92" s="48"/>
      <c r="AF92" s="48"/>
      <c r="AG92" s="48"/>
    </row>
    <row r="93" ht="21.75" customHeight="1">
      <c r="A93" s="60"/>
      <c r="B93" s="72"/>
      <c r="C93" s="97"/>
      <c r="D93" s="98" t="s">
        <v>389</v>
      </c>
      <c r="E93" s="96" t="str">
        <f>'#17 IH Results'!A86</f>
        <v>castall</v>
      </c>
      <c r="F93" s="99"/>
      <c r="G93" s="100"/>
      <c r="H93" s="67" t="s">
        <v>390</v>
      </c>
      <c r="I93" s="68">
        <f>'#17 IH Results'!B86</f>
        <v>1.544602616</v>
      </c>
      <c r="J93" s="47"/>
    </row>
    <row r="94" ht="21.75" customHeight="1">
      <c r="A94" s="60"/>
      <c r="B94" s="72"/>
      <c r="C94" s="97"/>
      <c r="D94" s="98" t="s">
        <v>389</v>
      </c>
      <c r="E94" s="96" t="str">
        <f>'#17 IH Results'!A87</f>
        <v>Typto</v>
      </c>
      <c r="F94" s="99"/>
      <c r="G94" s="100"/>
      <c r="H94" s="67" t="s">
        <v>390</v>
      </c>
      <c r="I94" s="68">
        <f>'#17 IH Results'!B87</f>
        <v>1.386193917</v>
      </c>
      <c r="J94" s="47"/>
    </row>
    <row r="95" ht="21.75" customHeight="1">
      <c r="A95" s="60"/>
      <c r="B95" s="72"/>
      <c r="C95" s="97"/>
      <c r="D95" s="98" t="s">
        <v>389</v>
      </c>
      <c r="E95" s="96" t="str">
        <f>'#17 IH Results'!A88</f>
        <v>bends#3537</v>
      </c>
      <c r="F95" s="99"/>
      <c r="G95" s="100"/>
      <c r="H95" s="67" t="s">
        <v>390</v>
      </c>
      <c r="I95" s="68">
        <f>'#17 IH Results'!B88</f>
        <v>1.386193917</v>
      </c>
      <c r="J95" s="47"/>
    </row>
    <row r="96" ht="21.75" customHeight="1">
      <c r="A96" s="60"/>
      <c r="B96" s="72"/>
      <c r="C96" s="97"/>
      <c r="D96" s="98" t="s">
        <v>389</v>
      </c>
      <c r="E96" s="96" t="str">
        <f>'#17 IH Results'!A89</f>
        <v>ajmaq</v>
      </c>
      <c r="F96" s="99"/>
      <c r="G96" s="100"/>
      <c r="H96" s="67" t="s">
        <v>390</v>
      </c>
      <c r="I96" s="68">
        <f>'#17 IH Results'!B89</f>
        <v>1.313796728</v>
      </c>
      <c r="J96" s="47"/>
    </row>
    <row r="97" ht="21.75" customHeight="1">
      <c r="A97" s="60"/>
      <c r="B97" s="72"/>
      <c r="C97" s="97"/>
      <c r="D97" s="98" t="s">
        <v>389</v>
      </c>
      <c r="E97" s="96" t="str">
        <f>'#17 IH Results'!A90</f>
        <v>Mayu ☪Dev Protocol🌟#8814</v>
      </c>
      <c r="F97" s="99"/>
      <c r="G97" s="100"/>
      <c r="H97" s="67" t="s">
        <v>390</v>
      </c>
      <c r="I97" s="68">
        <f>'#17 IH Results'!B90</f>
        <v>1.25115971</v>
      </c>
      <c r="J97" s="47"/>
    </row>
    <row r="98" ht="21.75" customHeight="1">
      <c r="A98" s="60"/>
      <c r="B98" s="72"/>
      <c r="C98" s="97"/>
      <c r="D98" s="98" t="s">
        <v>389</v>
      </c>
      <c r="E98" s="96" t="str">
        <f>'#17 IH Results'!A91</f>
        <v>Aggre 🗾🗼 Dev Protocol#3446</v>
      </c>
      <c r="F98" s="99"/>
      <c r="G98" s="100"/>
      <c r="H98" s="67" t="s">
        <v>390</v>
      </c>
      <c r="I98" s="68">
        <f>'#17 IH Results'!B91</f>
        <v>1.25115971</v>
      </c>
      <c r="J98" s="47"/>
    </row>
    <row r="99" ht="21.75" customHeight="1">
      <c r="A99" s="60"/>
      <c r="B99" s="72"/>
      <c r="C99" s="97"/>
      <c r="D99" s="98" t="s">
        <v>389</v>
      </c>
      <c r="E99" s="96" t="str">
        <f>'#17 IH Results'!A92</f>
        <v>rod266#3161</v>
      </c>
      <c r="F99" s="99"/>
      <c r="G99" s="100"/>
      <c r="H99" s="67" t="s">
        <v>390</v>
      </c>
      <c r="I99" s="68">
        <f>'#17 IH Results'!B92</f>
        <v>1.227785219</v>
      </c>
      <c r="J99" s="47"/>
    </row>
    <row r="100" ht="21.75" customHeight="1">
      <c r="A100" s="60"/>
      <c r="B100" s="72"/>
      <c r="C100" s="97"/>
      <c r="D100" s="98" t="s">
        <v>389</v>
      </c>
      <c r="E100" s="96" t="str">
        <f>'#17 IH Results'!A93</f>
        <v>lescanore</v>
      </c>
      <c r="F100" s="99"/>
      <c r="G100" s="100"/>
      <c r="H100" s="67" t="s">
        <v>390</v>
      </c>
      <c r="I100" s="68">
        <f>'#17 IH Results'!B93</f>
        <v>1.227785219</v>
      </c>
      <c r="J100" s="47"/>
    </row>
    <row r="101" ht="21.75" customHeight="1">
      <c r="A101" s="60"/>
      <c r="B101" s="72"/>
      <c r="C101" s="97"/>
      <c r="D101" s="98" t="s">
        <v>389</v>
      </c>
      <c r="E101" s="96" t="str">
        <f>'#17 IH Results'!A94</f>
        <v>enti#1546</v>
      </c>
      <c r="F101" s="99"/>
      <c r="G101" s="100"/>
      <c r="H101" s="67" t="s">
        <v>390</v>
      </c>
      <c r="I101" s="68">
        <f>'#17 IH Results'!B94</f>
        <v>1.227785219</v>
      </c>
      <c r="J101" s="47"/>
    </row>
    <row r="102" ht="21.75" customHeight="1">
      <c r="A102" s="60"/>
      <c r="B102" s="72"/>
      <c r="C102" s="97"/>
      <c r="D102" s="98" t="s">
        <v>389</v>
      </c>
      <c r="E102" s="96" t="str">
        <f>'#17 IH Results'!A95</f>
        <v>DW#5584</v>
      </c>
      <c r="F102" s="99"/>
      <c r="G102" s="100"/>
      <c r="H102" s="67" t="s">
        <v>390</v>
      </c>
      <c r="I102" s="68">
        <f>'#17 IH Results'!B95</f>
        <v>1.227785219</v>
      </c>
      <c r="J102" s="47"/>
    </row>
    <row r="103" ht="21.75" customHeight="1">
      <c r="A103" s="60"/>
      <c r="B103" s="72"/>
      <c r="C103" s="97"/>
      <c r="D103" s="98" t="s">
        <v>389</v>
      </c>
      <c r="E103" s="96" t="str">
        <f>'#17 IH Results'!A96</f>
        <v>vntrp</v>
      </c>
      <c r="F103" s="99"/>
      <c r="G103" s="100"/>
      <c r="H103" s="67" t="s">
        <v>390</v>
      </c>
      <c r="I103" s="68">
        <f>'#17 IH Results'!B96</f>
        <v>1.227785219</v>
      </c>
      <c r="J103" s="47"/>
    </row>
    <row r="104" ht="21.75" customHeight="1">
      <c r="A104" s="60"/>
      <c r="B104" s="72"/>
      <c r="C104" s="97"/>
      <c r="D104" s="98" t="s">
        <v>389</v>
      </c>
      <c r="E104" s="96" t="str">
        <f>'#17 IH Results'!A97</f>
        <v>CurlyBracketEffect#5572</v>
      </c>
      <c r="F104" s="99"/>
      <c r="G104" s="100"/>
      <c r="H104" s="67" t="s">
        <v>390</v>
      </c>
      <c r="I104" s="68">
        <f>'#17 IH Results'!B97</f>
        <v>1.227785219</v>
      </c>
      <c r="J104" s="47"/>
    </row>
    <row r="105" ht="21.75" customHeight="1">
      <c r="A105" s="60"/>
      <c r="B105" s="72"/>
      <c r="C105" s="97"/>
      <c r="D105" s="98" t="s">
        <v>389</v>
      </c>
      <c r="E105" s="96" t="str">
        <f>'#17 IH Results'!A98</f>
        <v>ontologymachine</v>
      </c>
      <c r="F105" s="99"/>
      <c r="G105" s="100"/>
      <c r="H105" s="67" t="s">
        <v>390</v>
      </c>
      <c r="I105" s="68">
        <f>'#17 IH Results'!B98</f>
        <v>1.122253368</v>
      </c>
      <c r="J105" s="47"/>
    </row>
    <row r="106" ht="21.75" customHeight="1">
      <c r="A106" s="60"/>
      <c r="B106" s="72"/>
      <c r="C106" s="97"/>
      <c r="D106" s="98" t="s">
        <v>389</v>
      </c>
      <c r="E106" s="96" t="str">
        <f>'#17 IH Results'!A99</f>
        <v>gcrewe</v>
      </c>
      <c r="F106" s="99"/>
      <c r="G106" s="100"/>
      <c r="H106" s="67" t="s">
        <v>390</v>
      </c>
      <c r="I106" s="68">
        <f>'#17 IH Results'!B99</f>
        <v>1.059616349</v>
      </c>
      <c r="J106" s="47"/>
    </row>
    <row r="107" ht="21.75" customHeight="1">
      <c r="A107" s="60"/>
      <c r="B107" s="72"/>
      <c r="C107" s="97"/>
      <c r="D107" s="98" t="s">
        <v>389</v>
      </c>
      <c r="E107" s="96" t="str">
        <f>'#17 IH Results'!A100</f>
        <v>ZoushHoang#2376</v>
      </c>
      <c r="F107" s="99"/>
      <c r="G107" s="100"/>
      <c r="H107" s="67" t="s">
        <v>390</v>
      </c>
      <c r="I107" s="68">
        <f>'#17 IH Results'!B100</f>
        <v>1.036241858</v>
      </c>
      <c r="J107" s="47"/>
    </row>
    <row r="108" ht="21.75" customHeight="1">
      <c r="A108" s="60"/>
      <c r="B108" s="72"/>
      <c r="C108" s="97"/>
      <c r="D108" s="98" t="s">
        <v>389</v>
      </c>
      <c r="E108" s="96" t="str">
        <f>'#17 IH Results'!A101</f>
        <v>uPaul</v>
      </c>
      <c r="F108" s="99"/>
      <c r="G108" s="100"/>
      <c r="H108" s="67" t="s">
        <v>390</v>
      </c>
      <c r="I108" s="68">
        <f>'#17 IH Results'!B101</f>
        <v>1.036241858</v>
      </c>
      <c r="J108" s="47"/>
    </row>
    <row r="109" ht="21.75" customHeight="1">
      <c r="A109" s="60"/>
      <c r="B109" s="72"/>
      <c r="C109" s="97"/>
      <c r="D109" s="98" t="s">
        <v>389</v>
      </c>
      <c r="E109" s="96" t="str">
        <f>'#17 IH Results'!A102</f>
        <v>terry#6288</v>
      </c>
      <c r="F109" s="99"/>
      <c r="G109" s="100"/>
      <c r="H109" s="67" t="s">
        <v>390</v>
      </c>
      <c r="I109" s="68">
        <f>'#17 IH Results'!B102</f>
        <v>1.036241858</v>
      </c>
      <c r="J109" s="47"/>
    </row>
    <row r="110" ht="21.75" customHeight="1">
      <c r="A110" s="60"/>
      <c r="B110" s="72"/>
      <c r="C110" s="97"/>
      <c r="D110" s="98" t="s">
        <v>389</v>
      </c>
      <c r="E110" s="96" t="str">
        <f>'#17 IH Results'!A103</f>
        <v>sergei_tran</v>
      </c>
      <c r="F110" s="99"/>
      <c r="G110" s="100"/>
      <c r="H110" s="67" t="s">
        <v>390</v>
      </c>
      <c r="I110" s="68">
        <f>'#17 IH Results'!B103</f>
        <v>1.036241858</v>
      </c>
      <c r="J110" s="47"/>
    </row>
    <row r="111" ht="21.75" customHeight="1">
      <c r="A111" s="60"/>
      <c r="B111" s="72"/>
      <c r="C111" s="97"/>
      <c r="D111" s="98" t="s">
        <v>389</v>
      </c>
      <c r="E111" s="96" t="str">
        <f>'#17 IH Results'!A104</f>
        <v>pprhsk</v>
      </c>
      <c r="F111" s="99"/>
      <c r="G111" s="100"/>
      <c r="H111" s="67" t="s">
        <v>390</v>
      </c>
      <c r="I111" s="68">
        <f>'#17 IH Results'!B104</f>
        <v>1.036241858</v>
      </c>
      <c r="J111" s="47"/>
    </row>
    <row r="112" ht="21.75" customHeight="1">
      <c r="A112" s="60"/>
      <c r="B112" s="72"/>
      <c r="C112" s="97"/>
      <c r="D112" s="98" t="s">
        <v>389</v>
      </c>
      <c r="E112" s="96" t="str">
        <f>'#17 IH Results'!A105</f>
        <v>morgangr</v>
      </c>
      <c r="F112" s="99"/>
      <c r="G112" s="100"/>
      <c r="H112" s="67" t="s">
        <v>390</v>
      </c>
      <c r="I112" s="68">
        <f>'#17 IH Results'!B105</f>
        <v>1.036241858</v>
      </c>
      <c r="J112" s="47"/>
    </row>
    <row r="113" ht="21.75" customHeight="1">
      <c r="A113" s="60"/>
      <c r="B113" s="72"/>
      <c r="C113" s="97"/>
      <c r="D113" s="98" t="s">
        <v>389</v>
      </c>
      <c r="E113" s="96" t="str">
        <f>'#17 IH Results'!A106</f>
        <v>MisterBoyfriend</v>
      </c>
      <c r="F113" s="99"/>
      <c r="G113" s="100"/>
      <c r="H113" s="67" t="s">
        <v>390</v>
      </c>
      <c r="I113" s="68">
        <f>'#17 IH Results'!B106</f>
        <v>1.036241858</v>
      </c>
      <c r="J113" s="47"/>
    </row>
    <row r="114" ht="21.75" customHeight="1">
      <c r="A114" s="60"/>
      <c r="B114" s="72"/>
      <c r="C114" s="97"/>
      <c r="D114" s="98" t="s">
        <v>389</v>
      </c>
      <c r="E114" s="96" t="str">
        <f>'#17 IH Results'!A107</f>
        <v>loie_giveth</v>
      </c>
      <c r="F114" s="99"/>
      <c r="G114" s="100"/>
      <c r="H114" s="67" t="s">
        <v>390</v>
      </c>
      <c r="I114" s="68">
        <f>'#17 IH Results'!B107</f>
        <v>1.036241858</v>
      </c>
      <c r="J114" s="47"/>
    </row>
    <row r="115" ht="21.75" customHeight="1">
      <c r="A115" s="60"/>
      <c r="B115" s="72"/>
      <c r="C115" s="97"/>
      <c r="D115" s="98" t="s">
        <v>389</v>
      </c>
      <c r="E115" s="96" t="str">
        <f>'#17 IH Results'!A108</f>
        <v>kentphilly</v>
      </c>
      <c r="F115" s="99"/>
      <c r="G115" s="100"/>
      <c r="H115" s="67" t="s">
        <v>390</v>
      </c>
      <c r="I115" s="68">
        <f>'#17 IH Results'!B108</f>
        <v>1.036241858</v>
      </c>
      <c r="J115" s="47"/>
    </row>
    <row r="116" ht="21.75" customHeight="1">
      <c r="A116" s="60"/>
      <c r="B116" s="72"/>
      <c r="C116" s="97"/>
      <c r="D116" s="98" t="s">
        <v>389</v>
      </c>
      <c r="E116" s="96" t="str">
        <f>'#17 IH Results'!A109</f>
        <v>hanna_nevermind</v>
      </c>
      <c r="F116" s="99"/>
      <c r="G116" s="100"/>
      <c r="H116" s="67" t="s">
        <v>390</v>
      </c>
      <c r="I116" s="68">
        <f>'#17 IH Results'!B109</f>
        <v>1.036241858</v>
      </c>
      <c r="J116" s="47"/>
    </row>
    <row r="117" ht="21.75" customHeight="1">
      <c r="A117" s="60"/>
      <c r="B117" s="72"/>
      <c r="C117" s="97"/>
      <c r="D117" s="98" t="s">
        <v>389</v>
      </c>
      <c r="E117" s="96" t="str">
        <f>'#17 IH Results'!A110</f>
        <v>existenialstoic</v>
      </c>
      <c r="F117" s="99"/>
      <c r="G117" s="100"/>
      <c r="H117" s="67" t="s">
        <v>390</v>
      </c>
      <c r="I117" s="68">
        <f>'#17 IH Results'!B110</f>
        <v>1.036241858</v>
      </c>
      <c r="J117" s="47"/>
    </row>
    <row r="118" ht="21.75" customHeight="1">
      <c r="A118" s="60"/>
      <c r="B118" s="72"/>
      <c r="C118" s="97"/>
      <c r="D118" s="98" t="s">
        <v>389</v>
      </c>
      <c r="E118" s="96" t="str">
        <f>'#17 IH Results'!A111</f>
        <v>dunks411 | Adept Camp#2178</v>
      </c>
      <c r="F118" s="99"/>
      <c r="G118" s="100"/>
      <c r="H118" s="67" t="s">
        <v>390</v>
      </c>
      <c r="I118" s="68">
        <f>'#17 IH Results'!B111</f>
        <v>1.036241858</v>
      </c>
      <c r="J118" s="47"/>
    </row>
    <row r="119" ht="21.75" customHeight="1">
      <c r="A119" s="60"/>
      <c r="B119" s="72"/>
      <c r="C119" s="97"/>
      <c r="D119" s="98" t="s">
        <v>389</v>
      </c>
      <c r="E119" s="96" t="str">
        <f>'#17 IH Results'!A112</f>
        <v>CaseyR#2795</v>
      </c>
      <c r="F119" s="99"/>
      <c r="G119" s="100"/>
      <c r="H119" s="67" t="s">
        <v>390</v>
      </c>
      <c r="I119" s="68">
        <f>'#17 IH Results'!B112</f>
        <v>1.036241858</v>
      </c>
      <c r="J119" s="47"/>
    </row>
    <row r="120" ht="21.75" customHeight="1">
      <c r="A120" s="60"/>
      <c r="B120" s="72"/>
      <c r="C120" s="97"/>
      <c r="D120" s="98" t="s">
        <v>389</v>
      </c>
      <c r="E120" s="96" t="str">
        <f>'#17 IH Results'!A113</f>
        <v>Andfletcher</v>
      </c>
      <c r="F120" s="99"/>
      <c r="G120" s="100"/>
      <c r="H120" s="67" t="s">
        <v>390</v>
      </c>
      <c r="I120" s="68">
        <f>'#17 IH Results'!B113</f>
        <v>1.036241858</v>
      </c>
      <c r="J120" s="47"/>
    </row>
    <row r="121" ht="21.75" customHeight="1">
      <c r="A121" s="60"/>
      <c r="B121" s="72"/>
      <c r="C121" s="97"/>
      <c r="D121" s="98" t="s">
        <v>389</v>
      </c>
      <c r="E121" s="96" t="str">
        <f>'#17 IH Results'!A114</f>
        <v>adnfx2#9648</v>
      </c>
      <c r="F121" s="99"/>
      <c r="G121" s="100"/>
      <c r="H121" s="67" t="s">
        <v>390</v>
      </c>
      <c r="I121" s="68">
        <f>'#17 IH Results'!B114</f>
        <v>1.036241858</v>
      </c>
      <c r="J121" s="47"/>
    </row>
    <row r="122" ht="21.75" customHeight="1">
      <c r="A122" s="69"/>
      <c r="B122" s="72"/>
      <c r="C122" s="97"/>
      <c r="D122" s="98" t="s">
        <v>389</v>
      </c>
      <c r="E122" s="96" t="str">
        <f>'#17 IH Results'!A115</f>
        <v>maxsong123</v>
      </c>
      <c r="F122" s="99"/>
      <c r="G122" s="100"/>
      <c r="H122" s="67" t="s">
        <v>390</v>
      </c>
      <c r="I122" s="68">
        <f>'#17 IH Results'!B115</f>
        <v>0.9307100069</v>
      </c>
      <c r="J122" s="47"/>
    </row>
    <row r="123" ht="21.75" customHeight="1">
      <c r="A123" s="69"/>
      <c r="B123" s="72"/>
      <c r="C123" s="97"/>
      <c r="D123" s="98" t="s">
        <v>389</v>
      </c>
      <c r="E123" s="96" t="str">
        <f>'#17 IH Results'!A116</f>
        <v>jantinine</v>
      </c>
      <c r="F123" s="99"/>
      <c r="G123" s="100"/>
      <c r="H123" s="67" t="s">
        <v>390</v>
      </c>
      <c r="I123" s="68">
        <f>'#17 IH Results'!B116</f>
        <v>0.9307100069</v>
      </c>
      <c r="J123" s="47"/>
    </row>
    <row r="124" ht="21.75" customHeight="1">
      <c r="A124" s="69"/>
      <c r="B124" s="72"/>
      <c r="C124" s="97"/>
      <c r="D124" s="98" t="s">
        <v>389</v>
      </c>
      <c r="E124" s="96" t="str">
        <f>'#17 IH Results'!A117</f>
        <v>atitcomb</v>
      </c>
      <c r="F124" s="99"/>
      <c r="G124" s="100"/>
      <c r="H124" s="67" t="s">
        <v>390</v>
      </c>
      <c r="I124" s="68">
        <f>'#17 IH Results'!B117</f>
        <v>0.9307100069</v>
      </c>
      <c r="J124" s="47"/>
    </row>
    <row r="125" ht="21.75" customHeight="1">
      <c r="A125" s="69"/>
      <c r="B125" s="72"/>
      <c r="C125" s="97"/>
      <c r="D125" s="98" t="s">
        <v>389</v>
      </c>
      <c r="E125" s="96" t="str">
        <f>'#17 IH Results'!A118</f>
        <v>Wright#9119</v>
      </c>
      <c r="F125" s="99"/>
      <c r="G125" s="100"/>
      <c r="H125" s="67" t="s">
        <v>390</v>
      </c>
      <c r="I125" s="68">
        <f>'#17 IH Results'!B118</f>
        <v>0.8680729884</v>
      </c>
      <c r="J125" s="47"/>
    </row>
    <row r="126" ht="21.75" customHeight="1">
      <c r="A126" s="69"/>
      <c r="B126" s="72"/>
      <c r="C126" s="97"/>
      <c r="D126" s="98" t="s">
        <v>389</v>
      </c>
      <c r="E126" s="96" t="str">
        <f>'#17 IH Results'!A119</f>
        <v>tomerba</v>
      </c>
      <c r="F126" s="99"/>
      <c r="G126" s="100"/>
      <c r="H126" s="67" t="s">
        <v>390</v>
      </c>
      <c r="I126" s="68">
        <f>'#17 IH Results'!B119</f>
        <v>0.8680729884</v>
      </c>
      <c r="J126" s="47"/>
    </row>
    <row r="127" ht="21.75" customHeight="1">
      <c r="A127" s="69"/>
      <c r="B127" s="72"/>
      <c r="C127" s="97"/>
      <c r="D127" s="98" t="s">
        <v>389</v>
      </c>
      <c r="E127" s="96" t="str">
        <f>'#17 IH Results'!A120</f>
        <v>Revathi#5324</v>
      </c>
      <c r="F127" s="99"/>
      <c r="G127" s="100"/>
      <c r="H127" s="67" t="s">
        <v>390</v>
      </c>
      <c r="I127" s="68">
        <f>'#17 IH Results'!B120</f>
        <v>0.8680729884</v>
      </c>
      <c r="J127" s="47"/>
    </row>
    <row r="128" ht="21.75" customHeight="1">
      <c r="A128" s="69"/>
      <c r="B128" s="72"/>
      <c r="C128" s="97"/>
      <c r="D128" s="98" t="s">
        <v>389</v>
      </c>
      <c r="E128" s="96" t="str">
        <f>'#17 IH Results'!A121</f>
        <v>JoeZ#9988</v>
      </c>
      <c r="F128" s="99"/>
      <c r="G128" s="100"/>
      <c r="H128" s="67" t="s">
        <v>390</v>
      </c>
      <c r="I128" s="68">
        <f>'#17 IH Results'!B121</f>
        <v>0.8680729884</v>
      </c>
      <c r="J128" s="47"/>
    </row>
    <row r="129" ht="21.75" customHeight="1">
      <c r="A129" s="69"/>
      <c r="B129" s="72"/>
      <c r="C129" s="97"/>
      <c r="D129" s="98" t="s">
        <v>389</v>
      </c>
      <c r="E129" s="96" t="str">
        <f>'#17 IH Results'!A122</f>
        <v>joaonit#7081</v>
      </c>
      <c r="F129" s="99"/>
      <c r="G129" s="100"/>
      <c r="H129" s="67" t="s">
        <v>390</v>
      </c>
      <c r="I129" s="68">
        <f>'#17 IH Results'!B122</f>
        <v>0.8680729884</v>
      </c>
      <c r="J129" s="47"/>
    </row>
    <row r="130" ht="21.75" customHeight="1">
      <c r="A130" s="69"/>
      <c r="B130" s="72"/>
      <c r="C130" s="97"/>
      <c r="D130" s="98" t="s">
        <v>389</v>
      </c>
      <c r="E130" s="96" t="str">
        <f>'#17 IH Results'!A123</f>
        <v>davidking 🐝#0780</v>
      </c>
      <c r="F130" s="99"/>
      <c r="G130" s="100"/>
      <c r="H130" s="67" t="s">
        <v>390</v>
      </c>
      <c r="I130" s="68">
        <f>'#17 IH Results'!B123</f>
        <v>0.8680729884</v>
      </c>
      <c r="J130" s="47"/>
    </row>
    <row r="131" ht="21.75" customHeight="1">
      <c r="A131" s="69"/>
      <c r="B131" s="72"/>
      <c r="C131" s="97"/>
      <c r="D131" s="98" t="s">
        <v>389</v>
      </c>
      <c r="E131" s="96" t="str">
        <f>'#17 IH Results'!A124</f>
        <v>dahlberry</v>
      </c>
      <c r="F131" s="99"/>
      <c r="G131" s="100"/>
      <c r="H131" s="67" t="s">
        <v>390</v>
      </c>
      <c r="I131" s="68">
        <f>'#17 IH Results'!B124</f>
        <v>0.8680729884</v>
      </c>
      <c r="J131" s="47"/>
    </row>
    <row r="132" ht="21.75" customHeight="1">
      <c r="A132" s="69"/>
      <c r="B132" s="72"/>
      <c r="C132" s="97"/>
      <c r="D132" s="98" t="s">
        <v>389</v>
      </c>
      <c r="E132" s="96" t="str">
        <f>'#17 IH Results'!A125</f>
        <v>antoniopaglino</v>
      </c>
      <c r="F132" s="99"/>
      <c r="G132" s="100"/>
      <c r="H132" s="67" t="s">
        <v>390</v>
      </c>
      <c r="I132" s="68">
        <f>'#17 IH Results'!B125</f>
        <v>0.8680729884</v>
      </c>
      <c r="J132" s="47"/>
    </row>
    <row r="133" ht="21.75" customHeight="1">
      <c r="A133" s="69"/>
      <c r="B133" s="72"/>
      <c r="C133" s="97"/>
      <c r="D133" s="98" t="s">
        <v>389</v>
      </c>
      <c r="E133" s="96" t="str">
        <f>'#17 IH Results'!A126</f>
        <v>rad casale#6107</v>
      </c>
      <c r="F133" s="99"/>
      <c r="G133" s="100"/>
      <c r="H133" s="67" t="s">
        <v>390</v>
      </c>
      <c r="I133" s="68">
        <f>'#17 IH Results'!B126</f>
        <v>0.8297643163</v>
      </c>
      <c r="J133" s="47"/>
    </row>
    <row r="134" ht="21.75" customHeight="1">
      <c r="A134" s="69"/>
      <c r="B134" s="72"/>
      <c r="C134" s="97"/>
      <c r="D134" s="98" t="s">
        <v>389</v>
      </c>
      <c r="E134" s="96" t="str">
        <f>'#17 IH Results'!A127</f>
        <v>fahern#7639</v>
      </c>
      <c r="F134" s="99"/>
      <c r="G134" s="100"/>
      <c r="H134" s="67" t="s">
        <v>390</v>
      </c>
      <c r="I134" s="68">
        <f>'#17 IH Results'!B127</f>
        <v>0.7914556442</v>
      </c>
      <c r="J134" s="47"/>
    </row>
    <row r="135" ht="21.75" customHeight="1">
      <c r="A135" s="69"/>
      <c r="B135" s="72"/>
      <c r="C135" s="97"/>
      <c r="D135" s="98" t="s">
        <v>389</v>
      </c>
      <c r="E135" s="96" t="str">
        <f>'#17 IH Results'!A128</f>
        <v>decentralizesdgs</v>
      </c>
      <c r="F135" s="99"/>
      <c r="G135" s="100"/>
      <c r="H135" s="67" t="s">
        <v>390</v>
      </c>
      <c r="I135" s="68">
        <f>'#17 IH Results'!B128</f>
        <v>0.7914556442</v>
      </c>
      <c r="J135" s="47"/>
    </row>
    <row r="136" ht="21.75" customHeight="1">
      <c r="A136" s="69"/>
      <c r="B136" s="72"/>
      <c r="C136" s="97"/>
      <c r="D136" s="98" t="s">
        <v>389</v>
      </c>
      <c r="E136" s="96" t="str">
        <f>'#17 IH Results'!A129</f>
        <v>D8N1#8408</v>
      </c>
      <c r="F136" s="99"/>
      <c r="G136" s="100"/>
      <c r="H136" s="67" t="s">
        <v>390</v>
      </c>
      <c r="I136" s="68">
        <f>'#17 IH Results'!B129</f>
        <v>0.7914556442</v>
      </c>
      <c r="J136" s="47"/>
    </row>
    <row r="137" ht="21.75" customHeight="1">
      <c r="A137" s="69"/>
      <c r="B137" s="72"/>
      <c r="C137" s="97"/>
      <c r="D137" s="98" t="s">
        <v>389</v>
      </c>
      <c r="E137" s="96" t="str">
        <f>'#17 IH Results'!A130</f>
        <v>Si Chen#0557</v>
      </c>
      <c r="F137" s="99"/>
      <c r="G137" s="100"/>
      <c r="H137" s="67" t="s">
        <v>390</v>
      </c>
      <c r="I137" s="68">
        <f>'#17 IH Results'!B130</f>
        <v>0.7531469721</v>
      </c>
      <c r="J137" s="47"/>
    </row>
    <row r="138" ht="21.75" customHeight="1">
      <c r="A138" s="69"/>
      <c r="B138" s="72"/>
      <c r="C138" s="97"/>
      <c r="D138" s="98" t="s">
        <v>389</v>
      </c>
      <c r="E138" s="96" t="str">
        <f>'#17 IH Results'!A131</f>
        <v>witwiki3</v>
      </c>
      <c r="F138" s="99"/>
      <c r="G138" s="100"/>
      <c r="H138" s="67" t="s">
        <v>390</v>
      </c>
      <c r="I138" s="68">
        <f>'#17 IH Results'!B131</f>
        <v>0.7391666463</v>
      </c>
      <c r="J138" s="47"/>
    </row>
    <row r="139" ht="21.75" customHeight="1">
      <c r="A139" s="69"/>
      <c r="B139" s="72"/>
      <c r="C139" s="97"/>
      <c r="D139" s="98" t="s">
        <v>389</v>
      </c>
      <c r="E139" s="96" t="str">
        <f>'#17 IH Results'!A132</f>
        <v>pehkah</v>
      </c>
      <c r="F139" s="99"/>
      <c r="G139" s="100"/>
      <c r="H139" s="67" t="s">
        <v>390</v>
      </c>
      <c r="I139" s="68">
        <f>'#17 IH Results'!B132</f>
        <v>0.7148382999</v>
      </c>
      <c r="J139" s="47"/>
    </row>
    <row r="140" ht="26.25" customHeight="1">
      <c r="A140" s="69"/>
      <c r="B140" s="85"/>
      <c r="C140" s="97"/>
      <c r="D140" s="98" t="s">
        <v>389</v>
      </c>
      <c r="E140" s="96" t="str">
        <f>'#17 IH Results'!A133</f>
        <v>TamedImpala#7142</v>
      </c>
      <c r="F140" s="99"/>
      <c r="G140" s="100"/>
      <c r="H140" s="67" t="s">
        <v>390</v>
      </c>
      <c r="I140" s="68">
        <f>'#17 IH Results'!B133</f>
        <v>0.6765296278</v>
      </c>
      <c r="J140" s="84"/>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row>
    <row r="141" ht="26.25" customHeight="1">
      <c r="A141" s="69"/>
      <c r="B141" s="101"/>
      <c r="C141" s="97"/>
      <c r="D141" s="98" t="s">
        <v>389</v>
      </c>
      <c r="E141" s="96" t="str">
        <f>'#17 IH Results'!A134</f>
        <v>Shaila#4348</v>
      </c>
      <c r="F141" s="99"/>
      <c r="G141" s="100"/>
      <c r="H141" s="67" t="s">
        <v>390</v>
      </c>
      <c r="I141" s="68">
        <f>'#17 IH Results'!B134</f>
        <v>0.6765296278</v>
      </c>
      <c r="J141" s="84"/>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row>
    <row r="142" ht="21.75" customHeight="1">
      <c r="A142" s="69"/>
      <c r="B142" s="101"/>
      <c r="C142" s="97"/>
      <c r="D142" s="98" t="s">
        <v>389</v>
      </c>
      <c r="E142" s="96" t="str">
        <f>'#17 IH Results'!A135</f>
        <v>JoaoEstellita#3866</v>
      </c>
      <c r="F142" s="99"/>
      <c r="G142" s="100"/>
      <c r="H142" s="67" t="s">
        <v>390</v>
      </c>
      <c r="I142" s="68">
        <f>'#17 IH Results'!B135</f>
        <v>0.6765296278</v>
      </c>
      <c r="J142" s="47"/>
    </row>
    <row r="143" ht="21.75" customHeight="1">
      <c r="A143" s="69"/>
      <c r="B143" s="101"/>
      <c r="C143" s="97"/>
      <c r="D143" s="98" t="s">
        <v>389</v>
      </c>
      <c r="E143" s="96" t="str">
        <f>'#17 IH Results'!A136</f>
        <v>itiszacs#2501</v>
      </c>
      <c r="F143" s="99"/>
      <c r="G143" s="100"/>
      <c r="H143" s="67" t="s">
        <v>390</v>
      </c>
      <c r="I143" s="68">
        <f>'#17 IH Results'!B136</f>
        <v>0.6765296278</v>
      </c>
      <c r="J143" s="47"/>
    </row>
    <row r="144" ht="21.75" customHeight="1">
      <c r="A144" s="69"/>
      <c r="B144" s="72"/>
      <c r="C144" s="97"/>
      <c r="D144" s="98" t="s">
        <v>389</v>
      </c>
      <c r="E144" s="96" t="str">
        <f>'#17 IH Results'!A137</f>
        <v>HazardJ#9101</v>
      </c>
      <c r="F144" s="99"/>
      <c r="G144" s="100"/>
      <c r="H144" s="67" t="s">
        <v>390</v>
      </c>
      <c r="I144" s="68">
        <f>'#17 IH Results'!B137</f>
        <v>0.6765296278</v>
      </c>
      <c r="J144" s="47"/>
    </row>
    <row r="145" ht="21.75" customHeight="1">
      <c r="A145" s="69"/>
      <c r="B145" s="72"/>
      <c r="C145" s="97"/>
      <c r="D145" s="98" t="s">
        <v>389</v>
      </c>
      <c r="E145" s="96" t="str">
        <f>'#17 IH Results'!A138</f>
        <v>Ezra#7391</v>
      </c>
      <c r="F145" s="99"/>
      <c r="G145" s="100"/>
      <c r="H145" s="67" t="s">
        <v>390</v>
      </c>
      <c r="I145" s="68">
        <f>'#17 IH Results'!B138</f>
        <v>0.6765296278</v>
      </c>
      <c r="J145" s="47"/>
    </row>
    <row r="146" ht="21.75" customHeight="1">
      <c r="A146" s="69"/>
      <c r="B146" s="72"/>
      <c r="C146" s="97"/>
      <c r="D146" s="98" t="s">
        <v>389</v>
      </c>
      <c r="E146" s="96" t="str">
        <f>'#17 IH Results'!A139</f>
        <v>emmy#1303</v>
      </c>
      <c r="F146" s="99"/>
      <c r="G146" s="100"/>
      <c r="H146" s="67" t="s">
        <v>390</v>
      </c>
      <c r="I146" s="68">
        <f>'#17 IH Results'!B139</f>
        <v>0.6765296278</v>
      </c>
      <c r="J146" s="47"/>
    </row>
    <row r="147" ht="21.75" customHeight="1">
      <c r="A147" s="69"/>
      <c r="B147" s="72"/>
      <c r="C147" s="97"/>
      <c r="D147" s="98" t="s">
        <v>389</v>
      </c>
      <c r="E147" s="96" t="str">
        <f>'#17 IH Results'!A140</f>
        <v>alex.v | Gnosis#4495</v>
      </c>
      <c r="F147" s="99"/>
      <c r="G147" s="100"/>
      <c r="H147" s="67" t="s">
        <v>390</v>
      </c>
      <c r="I147" s="68">
        <f>'#17 IH Results'!B140</f>
        <v>0.6765296278</v>
      </c>
      <c r="J147" s="47"/>
    </row>
    <row r="148" ht="21.75" customHeight="1">
      <c r="A148" s="69"/>
      <c r="B148" s="72"/>
      <c r="C148" s="97"/>
      <c r="D148" s="98" t="s">
        <v>389</v>
      </c>
      <c r="E148" s="96" t="str">
        <f>'#17 IH Results'!A141</f>
        <v>0xJoshua#0888</v>
      </c>
      <c r="F148" s="99"/>
      <c r="G148" s="100"/>
      <c r="H148" s="67" t="s">
        <v>390</v>
      </c>
      <c r="I148" s="68">
        <f>'#17 IH Results'!B141</f>
        <v>0.6765296278</v>
      </c>
      <c r="J148" s="47"/>
    </row>
    <row r="149" ht="21.75" customHeight="1">
      <c r="A149" s="69"/>
      <c r="B149" s="72"/>
      <c r="C149" s="97"/>
      <c r="D149" s="98" t="s">
        <v>389</v>
      </c>
      <c r="E149" s="96" t="str">
        <f>'#17 IH Results'!A142</f>
        <v>Xlebushek#6643</v>
      </c>
      <c r="F149" s="99"/>
      <c r="G149" s="100"/>
      <c r="H149" s="67" t="s">
        <v>390</v>
      </c>
      <c r="I149" s="68">
        <f>'#17 IH Results'!B142</f>
        <v>0.5807579475</v>
      </c>
      <c r="J149" s="47"/>
    </row>
    <row r="150" ht="21.75" customHeight="1">
      <c r="A150" s="69"/>
      <c r="B150" s="72"/>
      <c r="C150" s="97"/>
      <c r="D150" s="98" t="s">
        <v>389</v>
      </c>
      <c r="E150" s="96" t="str">
        <f>'#17 IH Results'!A143</f>
        <v>tian#6241</v>
      </c>
      <c r="F150" s="99"/>
      <c r="G150" s="100"/>
      <c r="H150" s="67" t="s">
        <v>390</v>
      </c>
      <c r="I150" s="68">
        <f>'#17 IH Results'!B143</f>
        <v>0.5807579475</v>
      </c>
      <c r="J150" s="47"/>
    </row>
    <row r="151" ht="21.75" customHeight="1">
      <c r="A151" s="69"/>
      <c r="B151" s="72"/>
      <c r="C151" s="97"/>
      <c r="D151" s="98" t="s">
        <v>389</v>
      </c>
      <c r="E151" s="96" t="str">
        <f>'#17 IH Results'!A144</f>
        <v>kaptan48#3044</v>
      </c>
      <c r="F151" s="99"/>
      <c r="G151" s="100"/>
      <c r="H151" s="67" t="s">
        <v>390</v>
      </c>
      <c r="I151" s="68">
        <f>'#17 IH Results'!B144</f>
        <v>0.5807579475</v>
      </c>
      <c r="J151" s="47"/>
    </row>
    <row r="152" ht="21.75" customHeight="1">
      <c r="A152" s="69"/>
      <c r="B152" s="72"/>
      <c r="C152" s="97"/>
      <c r="D152" s="98" t="s">
        <v>389</v>
      </c>
      <c r="E152" s="96" t="str">
        <f>'#17 IH Results'!A145</f>
        <v>jantanner#2104</v>
      </c>
      <c r="F152" s="99"/>
      <c r="G152" s="100"/>
      <c r="H152" s="67" t="s">
        <v>390</v>
      </c>
      <c r="I152" s="68">
        <f>'#17 IH Results'!B145</f>
        <v>0.5807579475</v>
      </c>
      <c r="J152" s="47"/>
    </row>
    <row r="153" ht="21.75" customHeight="1">
      <c r="A153" s="69"/>
      <c r="B153" s="72"/>
      <c r="C153" s="97"/>
      <c r="D153" s="98" t="s">
        <v>389</v>
      </c>
      <c r="E153" s="96" t="str">
        <f>'#17 IH Results'!A146</f>
        <v>jahed#1529</v>
      </c>
      <c r="F153" s="99"/>
      <c r="G153" s="100"/>
      <c r="H153" s="67" t="s">
        <v>390</v>
      </c>
      <c r="I153" s="68">
        <f>'#17 IH Results'!B146</f>
        <v>0.5807579475</v>
      </c>
      <c r="J153" s="47"/>
    </row>
    <row r="154" ht="21.75" customHeight="1">
      <c r="A154" s="69"/>
      <c r="B154" s="72"/>
      <c r="C154" s="97"/>
      <c r="D154" s="98" t="s">
        <v>389</v>
      </c>
      <c r="E154" s="96" t="str">
        <f>'#17 IH Results'!A147</f>
        <v>GOOMBZ#3280</v>
      </c>
      <c r="F154" s="99"/>
      <c r="G154" s="100"/>
      <c r="H154" s="67" t="s">
        <v>390</v>
      </c>
      <c r="I154" s="68">
        <f>'#17 IH Results'!B147</f>
        <v>0.5807579475</v>
      </c>
      <c r="J154" s="47"/>
    </row>
    <row r="155" ht="21.75" customHeight="1">
      <c r="A155" s="69"/>
      <c r="B155" s="72"/>
      <c r="C155" s="97"/>
      <c r="D155" s="98" t="s">
        <v>389</v>
      </c>
      <c r="E155" s="96" t="str">
        <f>'#17 IH Results'!A148</f>
        <v>fakepixels#6258</v>
      </c>
      <c r="F155" s="99"/>
      <c r="G155" s="100"/>
      <c r="H155" s="67" t="s">
        <v>390</v>
      </c>
      <c r="I155" s="68">
        <f>'#17 IH Results'!B148</f>
        <v>0.5807579475</v>
      </c>
      <c r="J155" s="47"/>
    </row>
    <row r="156" ht="26.25" customHeight="1">
      <c r="A156" s="69"/>
      <c r="B156" s="85"/>
      <c r="C156" s="97"/>
      <c r="D156" s="98" t="s">
        <v>389</v>
      </c>
      <c r="E156" s="96" t="str">
        <f>'#17 IH Results'!A149</f>
        <v>XQTStrategy</v>
      </c>
      <c r="F156" s="99"/>
      <c r="G156" s="100"/>
      <c r="H156" s="67" t="s">
        <v>390</v>
      </c>
      <c r="I156" s="68">
        <f>'#17 IH Results'!B149</f>
        <v>0.518120929</v>
      </c>
      <c r="J156" s="84"/>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row>
    <row r="157" ht="26.25" customHeight="1">
      <c r="A157" s="102"/>
      <c r="B157" s="101"/>
      <c r="C157" s="97"/>
      <c r="D157" s="98" t="s">
        <v>389</v>
      </c>
      <c r="E157" s="96" t="str">
        <f>'#17 IH Results'!A150</f>
        <v>willruddick</v>
      </c>
      <c r="F157" s="99"/>
      <c r="G157" s="100"/>
      <c r="H157" s="67" t="s">
        <v>390</v>
      </c>
      <c r="I157" s="68">
        <f>'#17 IH Results'!B150</f>
        <v>0.518120929</v>
      </c>
      <c r="J157" s="84"/>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row>
    <row r="158" ht="21.75" customHeight="1">
      <c r="A158" s="102"/>
      <c r="B158" s="101"/>
      <c r="C158" s="97"/>
      <c r="D158" s="98" t="s">
        <v>389</v>
      </c>
      <c r="E158" s="96" t="str">
        <f>'#17 IH Results'!A151</f>
        <v>unquaLe</v>
      </c>
      <c r="F158" s="99"/>
      <c r="G158" s="100"/>
      <c r="H158" s="67" t="s">
        <v>390</v>
      </c>
      <c r="I158" s="68">
        <f>'#17 IH Results'!B151</f>
        <v>0.518120929</v>
      </c>
      <c r="J158" s="103"/>
    </row>
    <row r="159" ht="21.75" customHeight="1">
      <c r="A159" s="102"/>
      <c r="B159" s="101"/>
      <c r="C159" s="97"/>
      <c r="D159" s="98" t="s">
        <v>389</v>
      </c>
      <c r="E159" s="96" t="str">
        <f>'#17 IH Results'!A152</f>
        <v>tunoncedemalis</v>
      </c>
      <c r="F159" s="99"/>
      <c r="G159" s="100"/>
      <c r="H159" s="67" t="s">
        <v>390</v>
      </c>
      <c r="I159" s="68">
        <f>'#17 IH Results'!B152</f>
        <v>0.518120929</v>
      </c>
      <c r="J159" s="103"/>
    </row>
    <row r="160" ht="21.75" customHeight="1">
      <c r="A160" s="102"/>
      <c r="B160" s="101"/>
      <c r="C160" s="97"/>
      <c r="D160" s="98" t="s">
        <v>389</v>
      </c>
      <c r="E160" s="96" t="str">
        <f>'#17 IH Results'!A153</f>
        <v>sepu85</v>
      </c>
      <c r="F160" s="99"/>
      <c r="G160" s="100"/>
      <c r="H160" s="67" t="s">
        <v>390</v>
      </c>
      <c r="I160" s="68">
        <f>'#17 IH Results'!B153</f>
        <v>0.518120929</v>
      </c>
      <c r="J160" s="103"/>
    </row>
    <row r="161" ht="21.75" customHeight="1">
      <c r="A161" s="102"/>
      <c r="B161" s="101"/>
      <c r="C161" s="97"/>
      <c r="D161" s="98" t="s">
        <v>389</v>
      </c>
      <c r="E161" s="96" t="str">
        <f>'#17 IH Results'!A154</f>
        <v>positonic</v>
      </c>
      <c r="F161" s="99"/>
      <c r="G161" s="100"/>
      <c r="H161" s="67" t="s">
        <v>390</v>
      </c>
      <c r="I161" s="68">
        <f>'#17 IH Results'!B154</f>
        <v>0.518120929</v>
      </c>
      <c r="J161" s="103"/>
    </row>
    <row r="162" ht="21.75" customHeight="1">
      <c r="A162" s="102"/>
      <c r="B162" s="101"/>
      <c r="C162" s="97"/>
      <c r="D162" s="98" t="s">
        <v>389</v>
      </c>
      <c r="E162" s="96" t="str">
        <f>'#17 IH Results'!A155</f>
        <v>OKDuncan</v>
      </c>
      <c r="F162" s="99"/>
      <c r="G162" s="100"/>
      <c r="H162" s="67" t="s">
        <v>390</v>
      </c>
      <c r="I162" s="68">
        <f>'#17 IH Results'!B155</f>
        <v>0.518120929</v>
      </c>
      <c r="J162" s="103"/>
    </row>
    <row r="163" ht="21.75" customHeight="1">
      <c r="A163" s="102"/>
      <c r="B163" s="101"/>
      <c r="C163" s="97"/>
      <c r="D163" s="98" t="s">
        <v>389</v>
      </c>
      <c r="E163" s="96" t="str">
        <f>'#17 IH Results'!A156</f>
        <v>Leanne#9678</v>
      </c>
      <c r="F163" s="99"/>
      <c r="G163" s="100"/>
      <c r="H163" s="67" t="s">
        <v>390</v>
      </c>
      <c r="I163" s="68">
        <f>'#17 IH Results'!B156</f>
        <v>0.518120929</v>
      </c>
      <c r="J163" s="103"/>
    </row>
    <row r="164" ht="21.75" customHeight="1">
      <c r="A164" s="102"/>
      <c r="B164" s="101"/>
      <c r="C164" s="97"/>
      <c r="D164" s="98" t="s">
        <v>389</v>
      </c>
      <c r="E164" s="96" t="str">
        <f>'#17 IH Results'!A157</f>
        <v>krrisis</v>
      </c>
      <c r="F164" s="99"/>
      <c r="G164" s="100"/>
      <c r="H164" s="67" t="s">
        <v>390</v>
      </c>
      <c r="I164" s="68">
        <f>'#17 IH Results'!B157</f>
        <v>0.518120929</v>
      </c>
      <c r="J164" s="103"/>
    </row>
    <row r="165" ht="21.75" customHeight="1">
      <c r="A165" s="102"/>
      <c r="B165" s="101"/>
      <c r="C165" s="97"/>
      <c r="D165" s="98" t="s">
        <v>389</v>
      </c>
      <c r="E165" s="96" t="str">
        <f>'#17 IH Results'!A158</f>
        <v>JoeEchidna</v>
      </c>
      <c r="F165" s="99"/>
      <c r="G165" s="100"/>
      <c r="H165" s="67" t="s">
        <v>390</v>
      </c>
      <c r="I165" s="68">
        <f>'#17 IH Results'!B158</f>
        <v>0.518120929</v>
      </c>
      <c r="J165" s="103"/>
    </row>
    <row r="166" ht="21.75" customHeight="1">
      <c r="A166" s="102"/>
      <c r="B166" s="101"/>
      <c r="C166" s="97"/>
      <c r="D166" s="98" t="s">
        <v>389</v>
      </c>
      <c r="E166" s="96" t="str">
        <f>'#17 IH Results'!A159</f>
        <v>cpt_grog</v>
      </c>
      <c r="F166" s="99"/>
      <c r="G166" s="100"/>
      <c r="H166" s="67" t="s">
        <v>390</v>
      </c>
      <c r="I166" s="68">
        <f>'#17 IH Results'!B159</f>
        <v>0.518120929</v>
      </c>
      <c r="J166" s="103"/>
    </row>
    <row r="167" ht="21.75" customHeight="1">
      <c r="A167" s="102"/>
      <c r="B167" s="101"/>
      <c r="C167" s="97"/>
      <c r="D167" s="98" t="s">
        <v>389</v>
      </c>
      <c r="E167" s="96" t="str">
        <f>'#17 IH Results'!A160</f>
        <v>CoachB</v>
      </c>
      <c r="F167" s="99"/>
      <c r="G167" s="100"/>
      <c r="H167" s="67" t="s">
        <v>390</v>
      </c>
      <c r="I167" s="68">
        <f>'#17 IH Results'!B160</f>
        <v>0.518120929</v>
      </c>
      <c r="J167" s="103"/>
    </row>
    <row r="168" ht="21.75" customHeight="1">
      <c r="A168" s="102"/>
      <c r="B168" s="101"/>
      <c r="C168" s="97"/>
      <c r="D168" s="98" t="s">
        <v>389</v>
      </c>
      <c r="E168" s="96" t="str">
        <f>'#17 IH Results'!A161</f>
        <v>arcorren</v>
      </c>
      <c r="F168" s="99"/>
      <c r="G168" s="100"/>
      <c r="H168" s="67" t="s">
        <v>390</v>
      </c>
      <c r="I168" s="68">
        <f>'#17 IH Results'!B161</f>
        <v>0.518120929</v>
      </c>
      <c r="J168" s="103"/>
    </row>
    <row r="169" ht="21.75" customHeight="1">
      <c r="A169" s="102"/>
      <c r="B169" s="101"/>
      <c r="C169" s="97"/>
      <c r="D169" s="98" t="s">
        <v>389</v>
      </c>
      <c r="E169" s="96" t="str">
        <f>'#17 IH Results'!A162</f>
        <v>acryptomuppet</v>
      </c>
      <c r="F169" s="99"/>
      <c r="G169" s="100"/>
      <c r="H169" s="67" t="s">
        <v>390</v>
      </c>
      <c r="I169" s="68">
        <f>'#17 IH Results'!B162</f>
        <v>0.518120929</v>
      </c>
      <c r="J169" s="103"/>
    </row>
    <row r="170" ht="21.75" customHeight="1">
      <c r="A170" s="102"/>
      <c r="B170" s="101"/>
      <c r="C170" s="97"/>
      <c r="D170" s="98" t="s">
        <v>389</v>
      </c>
      <c r="E170" s="96" t="str">
        <f>'#17 IH Results'!A163</f>
        <v>a_bornstein</v>
      </c>
      <c r="F170" s="99"/>
      <c r="G170" s="100"/>
      <c r="H170" s="67" t="s">
        <v>390</v>
      </c>
      <c r="I170" s="68">
        <f>'#17 IH Results'!B163</f>
        <v>0.518120929</v>
      </c>
      <c r="J170" s="103"/>
    </row>
    <row r="171" ht="21.75" customHeight="1">
      <c r="A171" s="102"/>
      <c r="B171" s="101"/>
      <c r="C171" s="101"/>
      <c r="D171" s="101"/>
      <c r="E171" s="101"/>
      <c r="F171" s="99"/>
      <c r="G171" s="100"/>
      <c r="H171" s="67"/>
      <c r="I171" s="68" t="str">
        <f>'#17 IH Results'!B164</f>
        <v/>
      </c>
      <c r="J171" s="103"/>
    </row>
    <row r="172" ht="21.75" customHeight="1">
      <c r="A172" s="102"/>
      <c r="B172" s="104"/>
      <c r="C172" s="104"/>
      <c r="D172" s="104"/>
      <c r="E172" s="104"/>
      <c r="F172" s="104"/>
      <c r="G172" s="104"/>
      <c r="H172" s="104"/>
      <c r="I172" s="104"/>
      <c r="J172" s="103"/>
    </row>
    <row r="173" ht="21.75" customHeight="1">
      <c r="A173" s="92"/>
      <c r="B173" s="92"/>
      <c r="C173" s="97"/>
      <c r="D173" s="98" t="s">
        <v>389</v>
      </c>
      <c r="E173" s="96" t="str">
        <f>'#17 IH Results'!A166</f>
        <v/>
      </c>
      <c r="F173" s="99"/>
      <c r="G173" s="100"/>
      <c r="H173" s="67" t="s">
        <v>390</v>
      </c>
      <c r="I173" s="68" t="str">
        <f>'#17 IH Results'!B166</f>
        <v/>
      </c>
      <c r="J173" s="95"/>
    </row>
    <row r="174" ht="21.75" customHeight="1">
      <c r="A174" s="92"/>
      <c r="B174" s="92"/>
      <c r="C174" s="97"/>
      <c r="D174" s="98" t="s">
        <v>389</v>
      </c>
      <c r="E174" s="96" t="str">
        <f>'#17 IH Results'!A167</f>
        <v/>
      </c>
      <c r="F174" s="99"/>
      <c r="G174" s="100"/>
      <c r="H174" s="67" t="s">
        <v>390</v>
      </c>
      <c r="I174" s="68" t="str">
        <f>'#17 IH Results'!B167</f>
        <v/>
      </c>
      <c r="J174" s="95"/>
    </row>
    <row r="175" ht="21.75" customHeight="1">
      <c r="A175" s="92"/>
      <c r="B175" s="92"/>
      <c r="C175" s="97"/>
      <c r="D175" s="98" t="s">
        <v>389</v>
      </c>
      <c r="E175" s="96" t="str">
        <f>'#17 IH Results'!A168</f>
        <v/>
      </c>
      <c r="F175" s="99"/>
      <c r="G175" s="100"/>
      <c r="H175" s="67" t="s">
        <v>390</v>
      </c>
      <c r="I175" s="68" t="str">
        <f>'#17 IH Results'!B168</f>
        <v/>
      </c>
      <c r="J175" s="95"/>
    </row>
    <row r="176" ht="21.75" customHeight="1">
      <c r="A176" s="92"/>
      <c r="B176" s="92"/>
      <c r="C176" s="97"/>
      <c r="D176" s="98" t="s">
        <v>389</v>
      </c>
      <c r="E176" s="96" t="str">
        <f>'#17 IH Results'!A169</f>
        <v/>
      </c>
      <c r="F176" s="99"/>
      <c r="G176" s="100"/>
      <c r="H176" s="67" t="s">
        <v>390</v>
      </c>
      <c r="I176" s="68" t="str">
        <f>'#17 IH Results'!B169</f>
        <v/>
      </c>
      <c r="J176" s="95"/>
    </row>
    <row r="177" ht="21.75" customHeight="1">
      <c r="A177" s="92"/>
      <c r="B177" s="92"/>
      <c r="C177" s="97"/>
      <c r="D177" s="98" t="s">
        <v>389</v>
      </c>
      <c r="E177" s="96" t="str">
        <f>'#17 IH Results'!A170</f>
        <v/>
      </c>
      <c r="F177" s="99"/>
      <c r="G177" s="100"/>
      <c r="H177" s="67" t="s">
        <v>390</v>
      </c>
      <c r="I177" s="68" t="str">
        <f>'#17 IH Results'!B170</f>
        <v/>
      </c>
      <c r="J177" s="95"/>
    </row>
    <row r="178" ht="21.75" customHeight="1">
      <c r="A178" s="92"/>
      <c r="B178" s="92"/>
      <c r="C178" s="97"/>
      <c r="D178" s="98" t="s">
        <v>389</v>
      </c>
      <c r="E178" s="96" t="str">
        <f>'#17 IH Results'!A171</f>
        <v/>
      </c>
      <c r="F178" s="99"/>
      <c r="G178" s="100"/>
      <c r="H178" s="67" t="s">
        <v>390</v>
      </c>
      <c r="I178" s="68" t="str">
        <f>'#17 IH Results'!B171</f>
        <v/>
      </c>
      <c r="J178" s="95"/>
    </row>
    <row r="179" ht="21.75" customHeight="1">
      <c r="A179" s="92"/>
      <c r="B179" s="92"/>
      <c r="C179" s="97"/>
      <c r="D179" s="98" t="s">
        <v>389</v>
      </c>
      <c r="E179" s="96" t="str">
        <f>'#17 IH Results'!A172</f>
        <v/>
      </c>
      <c r="F179" s="99"/>
      <c r="G179" s="100"/>
      <c r="H179" s="67" t="s">
        <v>390</v>
      </c>
      <c r="I179" s="68" t="str">
        <f>'#17 IH Results'!B172</f>
        <v/>
      </c>
      <c r="J179" s="95"/>
    </row>
    <row r="180" ht="21.75" customHeight="1">
      <c r="A180" s="92"/>
      <c r="B180" s="92"/>
      <c r="C180" s="92"/>
      <c r="D180" s="92"/>
      <c r="E180" s="92"/>
      <c r="F180" s="92"/>
      <c r="G180" s="92"/>
      <c r="H180" s="92"/>
      <c r="I180" s="20"/>
      <c r="J180" s="95"/>
    </row>
    <row r="181" ht="21.75" customHeight="1">
      <c r="A181" s="92"/>
      <c r="B181" s="92"/>
      <c r="C181" s="92"/>
      <c r="D181" s="92"/>
      <c r="E181" s="92"/>
      <c r="F181" s="92"/>
      <c r="G181" s="92"/>
      <c r="H181" s="92"/>
      <c r="I181" s="20"/>
      <c r="J181" s="95"/>
    </row>
    <row r="182" ht="21.75" customHeight="1">
      <c r="A182" s="92"/>
      <c r="B182" s="92"/>
      <c r="C182" s="92"/>
      <c r="D182" s="92"/>
      <c r="E182" s="92"/>
      <c r="F182" s="92"/>
      <c r="G182" s="92"/>
      <c r="H182" s="92"/>
      <c r="I182" s="20"/>
      <c r="J182" s="95"/>
    </row>
    <row r="183" ht="21.75" customHeight="1">
      <c r="A183" s="92"/>
      <c r="B183" s="92"/>
      <c r="C183" s="92"/>
      <c r="D183" s="92"/>
      <c r="E183" s="92"/>
      <c r="F183" s="92"/>
      <c r="G183" s="92"/>
      <c r="H183" s="92"/>
      <c r="I183" s="20"/>
      <c r="J183" s="95"/>
    </row>
    <row r="184" ht="21.75" customHeight="1">
      <c r="A184" s="92"/>
      <c r="B184" s="92"/>
      <c r="C184" s="92"/>
      <c r="D184" s="92"/>
      <c r="E184" s="92"/>
      <c r="F184" s="92"/>
      <c r="G184" s="92"/>
      <c r="H184" s="92"/>
      <c r="I184" s="20"/>
      <c r="J184" s="95"/>
    </row>
    <row r="185" ht="21.75" customHeight="1">
      <c r="A185" s="92"/>
      <c r="B185" s="92"/>
      <c r="C185" s="92"/>
      <c r="D185" s="92"/>
      <c r="E185" s="92"/>
      <c r="F185" s="92"/>
      <c r="G185" s="92"/>
      <c r="H185" s="92"/>
      <c r="I185" s="20"/>
      <c r="J185" s="95"/>
    </row>
    <row r="186" ht="21.75" customHeight="1">
      <c r="A186" s="92"/>
      <c r="B186" s="92"/>
      <c r="C186" s="92"/>
      <c r="D186" s="92"/>
      <c r="E186" s="92"/>
      <c r="F186" s="92"/>
      <c r="G186" s="92"/>
      <c r="H186" s="92"/>
      <c r="I186" s="20"/>
      <c r="J186" s="95"/>
    </row>
    <row r="187" ht="21.75" customHeight="1">
      <c r="A187" s="92"/>
      <c r="B187" s="92"/>
      <c r="C187" s="92"/>
      <c r="D187" s="92"/>
      <c r="E187" s="92"/>
      <c r="F187" s="92"/>
      <c r="G187" s="92"/>
      <c r="H187" s="92"/>
      <c r="I187" s="20"/>
      <c r="J187" s="95"/>
    </row>
    <row r="188" ht="21.75" customHeight="1">
      <c r="A188" s="92"/>
      <c r="B188" s="92"/>
      <c r="C188" s="92"/>
      <c r="D188" s="92"/>
      <c r="E188" s="92"/>
      <c r="F188" s="92"/>
      <c r="G188" s="92"/>
      <c r="H188" s="92"/>
      <c r="I188" s="20"/>
      <c r="J188" s="95"/>
    </row>
    <row r="189" ht="21.75" customHeight="1">
      <c r="A189" s="92"/>
      <c r="B189" s="92"/>
      <c r="C189" s="92"/>
      <c r="D189" s="92"/>
      <c r="E189" s="92"/>
      <c r="F189" s="92"/>
      <c r="G189" s="92"/>
      <c r="H189" s="92"/>
      <c r="I189" s="20"/>
      <c r="J189" s="95"/>
    </row>
    <row r="190" ht="21.75" customHeight="1">
      <c r="A190" s="92"/>
      <c r="B190" s="92"/>
      <c r="C190" s="92"/>
      <c r="D190" s="92"/>
      <c r="E190" s="92"/>
      <c r="F190" s="92"/>
      <c r="G190" s="92"/>
      <c r="H190" s="92"/>
      <c r="I190" s="20"/>
      <c r="J190" s="95"/>
    </row>
    <row r="191">
      <c r="A191" s="92"/>
      <c r="B191" s="92"/>
      <c r="C191" s="92"/>
      <c r="D191" s="92"/>
      <c r="E191" s="92"/>
      <c r="F191" s="92"/>
      <c r="G191" s="92"/>
      <c r="H191" s="92"/>
      <c r="I191" s="20"/>
      <c r="J191" s="95"/>
    </row>
    <row r="192">
      <c r="A192" s="92"/>
      <c r="B192" s="92"/>
      <c r="C192" s="92"/>
      <c r="D192" s="92"/>
      <c r="E192" s="92"/>
      <c r="F192" s="92"/>
      <c r="G192" s="92"/>
      <c r="H192" s="92"/>
      <c r="I192" s="20"/>
      <c r="J192" s="95"/>
    </row>
    <row r="193">
      <c r="A193" s="92"/>
      <c r="B193" s="92"/>
      <c r="C193" s="92"/>
      <c r="D193" s="92"/>
      <c r="E193" s="92"/>
      <c r="F193" s="92"/>
      <c r="G193" s="92"/>
      <c r="H193" s="92"/>
      <c r="I193" s="20"/>
      <c r="J193" s="95"/>
    </row>
    <row r="194">
      <c r="A194" s="92"/>
      <c r="B194" s="92"/>
      <c r="C194" s="92"/>
      <c r="D194" s="92"/>
      <c r="E194" s="92"/>
      <c r="F194" s="92"/>
      <c r="G194" s="92"/>
      <c r="H194" s="92"/>
      <c r="I194" s="20"/>
      <c r="J194" s="95"/>
    </row>
    <row r="195">
      <c r="A195" s="92"/>
      <c r="B195" s="92"/>
      <c r="C195" s="92"/>
      <c r="D195" s="92"/>
      <c r="E195" s="92"/>
      <c r="F195" s="92"/>
      <c r="G195" s="92"/>
      <c r="H195" s="92"/>
      <c r="I195" s="20"/>
      <c r="J195" s="95"/>
    </row>
    <row r="196">
      <c r="A196" s="92"/>
      <c r="B196" s="92"/>
      <c r="C196" s="92"/>
      <c r="D196" s="92"/>
      <c r="E196" s="92"/>
      <c r="F196" s="92"/>
      <c r="G196" s="92"/>
      <c r="H196" s="92"/>
      <c r="I196" s="20"/>
      <c r="J196" s="95"/>
    </row>
    <row r="197">
      <c r="A197" s="92"/>
      <c r="B197" s="92"/>
      <c r="C197" s="92"/>
      <c r="D197" s="92"/>
      <c r="E197" s="92"/>
      <c r="F197" s="92"/>
      <c r="G197" s="92"/>
      <c r="H197" s="92"/>
      <c r="I197" s="20"/>
      <c r="J197" s="95"/>
    </row>
    <row r="198">
      <c r="A198" s="92"/>
      <c r="B198" s="92"/>
      <c r="C198" s="92"/>
      <c r="D198" s="92"/>
      <c r="E198" s="92"/>
      <c r="F198" s="92"/>
      <c r="G198" s="92"/>
      <c r="H198" s="92"/>
      <c r="I198" s="20"/>
      <c r="J198" s="95"/>
    </row>
    <row r="199">
      <c r="A199" s="92"/>
      <c r="B199" s="92"/>
      <c r="C199" s="92"/>
      <c r="D199" s="92"/>
      <c r="E199" s="92"/>
      <c r="F199" s="92"/>
      <c r="G199" s="92"/>
      <c r="H199" s="92"/>
      <c r="I199" s="20"/>
      <c r="J199" s="95"/>
    </row>
    <row r="200">
      <c r="A200" s="92"/>
      <c r="B200" s="92"/>
      <c r="C200" s="92"/>
      <c r="D200" s="92"/>
      <c r="E200" s="92"/>
      <c r="F200" s="92"/>
      <c r="G200" s="92"/>
      <c r="H200" s="92"/>
      <c r="I200" s="20"/>
      <c r="J200" s="95"/>
    </row>
    <row r="201">
      <c r="A201" s="92"/>
      <c r="B201" s="92"/>
      <c r="C201" s="92"/>
      <c r="D201" s="92"/>
      <c r="E201" s="92"/>
      <c r="F201" s="92"/>
      <c r="G201" s="92"/>
      <c r="H201" s="92"/>
      <c r="I201" s="20"/>
      <c r="J201" s="95"/>
    </row>
    <row r="202">
      <c r="A202" s="92"/>
      <c r="B202" s="92"/>
      <c r="C202" s="92"/>
      <c r="D202" s="92"/>
      <c r="E202" s="92"/>
      <c r="F202" s="92"/>
      <c r="G202" s="92"/>
      <c r="H202" s="92"/>
      <c r="I202" s="20"/>
      <c r="J202" s="95"/>
    </row>
    <row r="203">
      <c r="A203" s="92"/>
      <c r="B203" s="92"/>
      <c r="C203" s="92"/>
      <c r="D203" s="92"/>
      <c r="E203" s="92"/>
      <c r="F203" s="92"/>
      <c r="G203" s="92"/>
      <c r="H203" s="92"/>
      <c r="I203" s="20"/>
      <c r="J203" s="95"/>
    </row>
    <row r="204">
      <c r="A204" s="92"/>
      <c r="B204" s="92"/>
      <c r="C204" s="92"/>
      <c r="D204" s="92"/>
      <c r="E204" s="92"/>
      <c r="F204" s="92"/>
      <c r="G204" s="92"/>
      <c r="H204" s="92"/>
      <c r="I204" s="20"/>
      <c r="J204" s="95"/>
    </row>
    <row r="205">
      <c r="A205" s="92"/>
      <c r="B205" s="92"/>
      <c r="C205" s="92"/>
      <c r="D205" s="92"/>
      <c r="E205" s="92"/>
      <c r="F205" s="92"/>
      <c r="G205" s="92"/>
      <c r="H205" s="92"/>
      <c r="I205" s="20"/>
      <c r="J205" s="95"/>
    </row>
    <row r="206">
      <c r="A206" s="92"/>
      <c r="B206" s="92"/>
      <c r="C206" s="92"/>
      <c r="D206" s="92"/>
      <c r="E206" s="92"/>
      <c r="F206" s="92"/>
      <c r="G206" s="92"/>
      <c r="H206" s="92"/>
      <c r="I206" s="20"/>
      <c r="J206" s="95"/>
    </row>
    <row r="207">
      <c r="A207" s="92"/>
      <c r="B207" s="92"/>
      <c r="C207" s="92"/>
      <c r="D207" s="92"/>
      <c r="E207" s="92"/>
      <c r="F207" s="92"/>
      <c r="G207" s="92"/>
      <c r="H207" s="92"/>
      <c r="I207" s="20"/>
      <c r="J207" s="95"/>
    </row>
    <row r="208">
      <c r="A208" s="92"/>
      <c r="B208" s="92"/>
      <c r="C208" s="92"/>
      <c r="D208" s="92"/>
      <c r="E208" s="92"/>
      <c r="F208" s="92"/>
      <c r="G208" s="92"/>
      <c r="H208" s="92"/>
      <c r="I208" s="20"/>
      <c r="J208" s="95"/>
    </row>
    <row r="209">
      <c r="A209" s="92"/>
      <c r="B209" s="92"/>
      <c r="C209" s="92"/>
      <c r="D209" s="92"/>
      <c r="E209" s="92"/>
      <c r="F209" s="92"/>
      <c r="G209" s="92"/>
      <c r="H209" s="92"/>
      <c r="I209" s="20"/>
      <c r="J209" s="95"/>
    </row>
    <row r="210">
      <c r="A210" s="92"/>
      <c r="B210" s="92"/>
      <c r="C210" s="92"/>
      <c r="D210" s="92"/>
      <c r="E210" s="92"/>
      <c r="F210" s="92"/>
      <c r="G210" s="92"/>
      <c r="H210" s="92"/>
      <c r="I210" s="20"/>
      <c r="J210" s="95"/>
    </row>
    <row r="211">
      <c r="A211" s="92"/>
      <c r="B211" s="92"/>
      <c r="C211" s="92"/>
      <c r="D211" s="92"/>
      <c r="E211" s="92"/>
      <c r="F211" s="92"/>
      <c r="G211" s="92"/>
      <c r="H211" s="92"/>
      <c r="I211" s="20"/>
      <c r="J211" s="95"/>
    </row>
    <row r="212">
      <c r="A212" s="92"/>
      <c r="B212" s="92"/>
      <c r="C212" s="92"/>
      <c r="D212" s="92"/>
      <c r="E212" s="92"/>
      <c r="F212" s="92"/>
      <c r="G212" s="92"/>
      <c r="H212" s="92"/>
      <c r="I212" s="20"/>
      <c r="J212" s="95"/>
    </row>
    <row r="213">
      <c r="A213" s="92"/>
      <c r="B213" s="92"/>
      <c r="C213" s="92"/>
      <c r="D213" s="92"/>
      <c r="E213" s="92"/>
      <c r="F213" s="92"/>
      <c r="G213" s="92"/>
      <c r="H213" s="92"/>
      <c r="I213" s="20"/>
      <c r="J213" s="95"/>
    </row>
    <row r="214">
      <c r="A214" s="92"/>
      <c r="B214" s="92"/>
      <c r="C214" s="92"/>
      <c r="D214" s="92"/>
      <c r="E214" s="92"/>
      <c r="F214" s="92"/>
      <c r="G214" s="92"/>
      <c r="H214" s="92"/>
      <c r="I214" s="20"/>
      <c r="J214" s="95"/>
    </row>
    <row r="215">
      <c r="A215" s="92"/>
      <c r="B215" s="92"/>
      <c r="C215" s="92"/>
      <c r="D215" s="92"/>
      <c r="E215" s="92"/>
      <c r="F215" s="92"/>
      <c r="G215" s="92"/>
      <c r="H215" s="92"/>
      <c r="I215" s="20"/>
      <c r="J215" s="95"/>
    </row>
    <row r="216">
      <c r="A216" s="92"/>
      <c r="B216" s="92"/>
      <c r="C216" s="92"/>
      <c r="D216" s="92"/>
      <c r="E216" s="92"/>
      <c r="F216" s="92"/>
      <c r="G216" s="92"/>
      <c r="H216" s="92"/>
      <c r="I216" s="20"/>
      <c r="J216" s="95"/>
    </row>
    <row r="217">
      <c r="A217" s="92"/>
      <c r="B217" s="92"/>
      <c r="C217" s="92"/>
      <c r="D217" s="92"/>
      <c r="E217" s="92"/>
      <c r="F217" s="92"/>
      <c r="G217" s="92"/>
      <c r="H217" s="92"/>
      <c r="I217" s="20"/>
      <c r="J217" s="95"/>
    </row>
    <row r="218">
      <c r="A218" s="92"/>
      <c r="B218" s="92"/>
      <c r="C218" s="92"/>
      <c r="D218" s="92"/>
      <c r="E218" s="92"/>
      <c r="F218" s="92"/>
      <c r="G218" s="92"/>
      <c r="H218" s="92"/>
      <c r="I218" s="20"/>
      <c r="J218" s="95"/>
    </row>
    <row r="219">
      <c r="A219" s="92"/>
      <c r="B219" s="92"/>
      <c r="C219" s="92"/>
      <c r="D219" s="92"/>
      <c r="E219" s="92"/>
      <c r="F219" s="92"/>
      <c r="G219" s="92"/>
      <c r="H219" s="92"/>
      <c r="I219" s="20"/>
      <c r="J219" s="95"/>
    </row>
    <row r="220">
      <c r="A220" s="92"/>
      <c r="B220" s="92"/>
      <c r="C220" s="92"/>
      <c r="D220" s="92"/>
      <c r="E220" s="92"/>
      <c r="F220" s="92"/>
      <c r="G220" s="92"/>
      <c r="H220" s="92"/>
      <c r="I220" s="20"/>
      <c r="J220" s="95"/>
    </row>
    <row r="221">
      <c r="A221" s="92"/>
      <c r="B221" s="92"/>
      <c r="C221" s="92"/>
      <c r="D221" s="92"/>
      <c r="E221" s="92"/>
      <c r="F221" s="92"/>
      <c r="G221" s="92"/>
      <c r="H221" s="92"/>
      <c r="I221" s="20"/>
      <c r="J221" s="95"/>
    </row>
    <row r="222">
      <c r="A222" s="92"/>
      <c r="B222" s="92"/>
      <c r="C222" s="92"/>
      <c r="D222" s="92"/>
      <c r="E222" s="92"/>
      <c r="F222" s="92"/>
      <c r="G222" s="92"/>
      <c r="H222" s="92"/>
      <c r="I222" s="20"/>
      <c r="J222" s="95"/>
    </row>
    <row r="223">
      <c r="A223" s="92"/>
      <c r="B223" s="92"/>
      <c r="C223" s="92"/>
      <c r="D223" s="92"/>
      <c r="E223" s="92"/>
      <c r="F223" s="92"/>
      <c r="G223" s="92"/>
      <c r="H223" s="92"/>
      <c r="I223" s="20"/>
      <c r="J223" s="95"/>
    </row>
    <row r="224">
      <c r="A224" s="92"/>
      <c r="B224" s="92"/>
      <c r="C224" s="92"/>
      <c r="D224" s="92"/>
      <c r="E224" s="92"/>
      <c r="F224" s="92"/>
      <c r="G224" s="92"/>
      <c r="H224" s="92"/>
      <c r="I224" s="20"/>
      <c r="J224" s="95"/>
    </row>
    <row r="225">
      <c r="A225" s="92"/>
      <c r="B225" s="92"/>
      <c r="C225" s="92"/>
      <c r="D225" s="92"/>
      <c r="E225" s="92"/>
      <c r="F225" s="92"/>
      <c r="G225" s="92"/>
      <c r="H225" s="92"/>
      <c r="I225" s="20"/>
      <c r="J225" s="95"/>
    </row>
    <row r="226">
      <c r="A226" s="92"/>
      <c r="B226" s="92"/>
      <c r="C226" s="92"/>
      <c r="D226" s="92"/>
      <c r="E226" s="92"/>
      <c r="F226" s="92"/>
      <c r="G226" s="92"/>
      <c r="H226" s="92"/>
      <c r="I226" s="20"/>
      <c r="J226" s="95"/>
    </row>
    <row r="227">
      <c r="A227" s="92"/>
      <c r="B227" s="92"/>
      <c r="C227" s="92"/>
      <c r="D227" s="92"/>
      <c r="E227" s="92"/>
      <c r="F227" s="92"/>
      <c r="G227" s="92"/>
      <c r="H227" s="92"/>
      <c r="I227" s="20"/>
      <c r="J227" s="95"/>
    </row>
    <row r="228">
      <c r="A228" s="92"/>
      <c r="B228" s="92"/>
      <c r="C228" s="92"/>
      <c r="D228" s="92"/>
      <c r="E228" s="92"/>
      <c r="F228" s="92"/>
      <c r="G228" s="92"/>
      <c r="H228" s="92"/>
      <c r="I228" s="20"/>
      <c r="J228" s="95"/>
    </row>
    <row r="229">
      <c r="A229" s="92"/>
      <c r="B229" s="92"/>
      <c r="C229" s="92"/>
      <c r="D229" s="92"/>
      <c r="E229" s="92"/>
      <c r="F229" s="92"/>
      <c r="G229" s="92"/>
      <c r="H229" s="92"/>
      <c r="I229" s="20"/>
      <c r="J229" s="95"/>
    </row>
    <row r="230">
      <c r="A230" s="92"/>
      <c r="B230" s="92"/>
      <c r="C230" s="92"/>
      <c r="D230" s="92"/>
      <c r="E230" s="92"/>
      <c r="F230" s="92"/>
      <c r="G230" s="92"/>
      <c r="H230" s="92"/>
      <c r="I230" s="20"/>
      <c r="J230" s="95"/>
    </row>
    <row r="231">
      <c r="A231" s="92"/>
      <c r="B231" s="92"/>
      <c r="C231" s="92"/>
      <c r="D231" s="92"/>
      <c r="E231" s="92"/>
      <c r="F231" s="92"/>
      <c r="G231" s="92"/>
      <c r="H231" s="92"/>
      <c r="I231" s="20"/>
      <c r="J231" s="95"/>
    </row>
    <row r="232">
      <c r="A232" s="92"/>
      <c r="B232" s="92"/>
      <c r="C232" s="92"/>
      <c r="D232" s="92"/>
      <c r="E232" s="92"/>
      <c r="F232" s="92"/>
      <c r="G232" s="92"/>
      <c r="H232" s="92"/>
      <c r="I232" s="20"/>
      <c r="J232" s="95"/>
    </row>
    <row r="233">
      <c r="A233" s="92"/>
      <c r="B233" s="92"/>
      <c r="C233" s="92"/>
      <c r="D233" s="92"/>
      <c r="E233" s="92"/>
      <c r="F233" s="92"/>
      <c r="G233" s="92"/>
      <c r="H233" s="92"/>
      <c r="I233" s="20"/>
      <c r="J233" s="95"/>
    </row>
    <row r="234">
      <c r="A234" s="92"/>
      <c r="B234" s="92"/>
      <c r="C234" s="92"/>
      <c r="D234" s="92"/>
      <c r="E234" s="92"/>
      <c r="F234" s="92"/>
      <c r="G234" s="92"/>
      <c r="H234" s="92"/>
      <c r="I234" s="20"/>
      <c r="J234" s="95"/>
    </row>
    <row r="235">
      <c r="A235" s="92"/>
      <c r="B235" s="92"/>
      <c r="C235" s="92"/>
      <c r="D235" s="92"/>
      <c r="E235" s="92"/>
      <c r="F235" s="92"/>
      <c r="G235" s="92"/>
      <c r="H235" s="92"/>
      <c r="I235" s="20"/>
      <c r="J235" s="95"/>
    </row>
    <row r="236">
      <c r="A236" s="92"/>
      <c r="B236" s="92"/>
      <c r="C236" s="92"/>
      <c r="D236" s="92"/>
      <c r="E236" s="92"/>
      <c r="F236" s="92"/>
      <c r="G236" s="92"/>
      <c r="H236" s="92"/>
      <c r="I236" s="20"/>
      <c r="J236" s="95"/>
    </row>
    <row r="237">
      <c r="A237" s="92"/>
      <c r="B237" s="92"/>
      <c r="C237" s="92"/>
      <c r="D237" s="92"/>
      <c r="E237" s="92"/>
      <c r="F237" s="92"/>
      <c r="G237" s="92"/>
      <c r="H237" s="92"/>
      <c r="I237" s="20"/>
      <c r="J237" s="95"/>
    </row>
    <row r="238">
      <c r="A238" s="92"/>
      <c r="B238" s="92"/>
      <c r="C238" s="92"/>
      <c r="D238" s="92"/>
      <c r="E238" s="92"/>
      <c r="F238" s="92"/>
      <c r="G238" s="92"/>
      <c r="H238" s="92"/>
      <c r="I238" s="20"/>
      <c r="J238" s="95"/>
    </row>
    <row r="239">
      <c r="A239" s="92"/>
      <c r="B239" s="92"/>
      <c r="C239" s="92"/>
      <c r="D239" s="92"/>
      <c r="E239" s="92"/>
      <c r="F239" s="92"/>
      <c r="G239" s="92"/>
      <c r="H239" s="92"/>
      <c r="I239" s="20"/>
      <c r="J239" s="95"/>
    </row>
    <row r="240">
      <c r="A240" s="92"/>
      <c r="B240" s="92"/>
      <c r="C240" s="92"/>
      <c r="D240" s="92"/>
      <c r="E240" s="92"/>
      <c r="F240" s="92"/>
      <c r="G240" s="92"/>
      <c r="H240" s="92"/>
      <c r="I240" s="20"/>
      <c r="J240" s="95"/>
    </row>
    <row r="241">
      <c r="A241" s="92"/>
      <c r="B241" s="92"/>
      <c r="C241" s="92"/>
      <c r="D241" s="92"/>
      <c r="E241" s="92"/>
      <c r="F241" s="92"/>
      <c r="G241" s="92"/>
      <c r="H241" s="92"/>
      <c r="I241" s="20"/>
      <c r="J241" s="95"/>
    </row>
    <row r="242">
      <c r="A242" s="92"/>
      <c r="B242" s="92"/>
      <c r="C242" s="92"/>
      <c r="D242" s="92"/>
      <c r="E242" s="92"/>
      <c r="F242" s="92"/>
      <c r="G242" s="92"/>
      <c r="H242" s="92"/>
      <c r="I242" s="20"/>
      <c r="J242" s="95"/>
    </row>
    <row r="243">
      <c r="A243" s="92"/>
      <c r="B243" s="92"/>
      <c r="C243" s="92"/>
      <c r="D243" s="92"/>
      <c r="E243" s="92"/>
      <c r="F243" s="92"/>
      <c r="G243" s="92"/>
      <c r="H243" s="92"/>
      <c r="I243" s="20"/>
      <c r="J243" s="95"/>
    </row>
    <row r="244">
      <c r="A244" s="92"/>
      <c r="B244" s="92"/>
      <c r="C244" s="92"/>
      <c r="D244" s="92"/>
      <c r="E244" s="92"/>
      <c r="F244" s="92"/>
      <c r="G244" s="92"/>
      <c r="H244" s="92"/>
      <c r="I244" s="20"/>
      <c r="J244" s="95"/>
    </row>
    <row r="245">
      <c r="A245" s="92"/>
      <c r="B245" s="92"/>
      <c r="C245" s="92"/>
      <c r="D245" s="92"/>
      <c r="E245" s="92"/>
      <c r="F245" s="92"/>
      <c r="G245" s="92"/>
      <c r="H245" s="92"/>
      <c r="I245" s="20"/>
      <c r="J245" s="95"/>
    </row>
    <row r="246">
      <c r="A246" s="92"/>
      <c r="B246" s="92"/>
      <c r="C246" s="92"/>
      <c r="D246" s="92"/>
      <c r="E246" s="92"/>
      <c r="F246" s="92"/>
      <c r="G246" s="92"/>
      <c r="H246" s="92"/>
      <c r="I246" s="20"/>
      <c r="J246" s="95"/>
    </row>
    <row r="247">
      <c r="A247" s="92"/>
      <c r="B247" s="92"/>
      <c r="C247" s="92"/>
      <c r="D247" s="92"/>
      <c r="E247" s="92"/>
      <c r="F247" s="92"/>
      <c r="G247" s="92"/>
      <c r="H247" s="92"/>
      <c r="I247" s="20"/>
      <c r="J247" s="95"/>
    </row>
    <row r="248">
      <c r="A248" s="92"/>
      <c r="B248" s="92"/>
      <c r="C248" s="92"/>
      <c r="D248" s="92"/>
      <c r="E248" s="92"/>
      <c r="F248" s="92"/>
      <c r="G248" s="92"/>
      <c r="H248" s="92"/>
      <c r="I248" s="20"/>
      <c r="J248" s="95"/>
    </row>
    <row r="249">
      <c r="A249" s="92"/>
      <c r="B249" s="92"/>
      <c r="C249" s="92"/>
      <c r="D249" s="92"/>
      <c r="E249" s="92"/>
      <c r="F249" s="92"/>
      <c r="G249" s="92"/>
      <c r="H249" s="92"/>
      <c r="I249" s="20"/>
      <c r="J249" s="95"/>
    </row>
    <row r="250">
      <c r="A250" s="92"/>
      <c r="B250" s="92"/>
      <c r="C250" s="92"/>
      <c r="D250" s="92"/>
      <c r="E250" s="92"/>
      <c r="F250" s="92"/>
      <c r="G250" s="92"/>
      <c r="H250" s="92"/>
      <c r="I250" s="20"/>
      <c r="J250" s="95"/>
    </row>
    <row r="251">
      <c r="A251" s="92"/>
      <c r="B251" s="92"/>
      <c r="C251" s="92"/>
      <c r="D251" s="92"/>
      <c r="E251" s="92"/>
      <c r="F251" s="92"/>
      <c r="G251" s="92"/>
      <c r="H251" s="92"/>
      <c r="I251" s="20"/>
      <c r="J251" s="95"/>
    </row>
    <row r="252">
      <c r="A252" s="92"/>
      <c r="B252" s="92"/>
      <c r="C252" s="92"/>
      <c r="D252" s="92"/>
      <c r="E252" s="92"/>
      <c r="F252" s="92"/>
      <c r="G252" s="92"/>
      <c r="H252" s="92"/>
      <c r="I252" s="20"/>
      <c r="J252" s="95"/>
    </row>
    <row r="253">
      <c r="A253" s="92"/>
      <c r="B253" s="92"/>
      <c r="C253" s="92"/>
      <c r="D253" s="92"/>
      <c r="E253" s="92"/>
      <c r="F253" s="92"/>
      <c r="G253" s="92"/>
      <c r="H253" s="92"/>
      <c r="I253" s="20"/>
      <c r="J253" s="95"/>
    </row>
    <row r="254">
      <c r="A254" s="92"/>
      <c r="B254" s="92"/>
      <c r="C254" s="92"/>
      <c r="D254" s="92"/>
      <c r="E254" s="92"/>
      <c r="F254" s="92"/>
      <c r="G254" s="92"/>
      <c r="H254" s="92"/>
      <c r="I254" s="20"/>
      <c r="J254" s="95"/>
    </row>
    <row r="255">
      <c r="A255" s="92"/>
      <c r="B255" s="92"/>
      <c r="C255" s="92"/>
      <c r="D255" s="92"/>
      <c r="E255" s="92"/>
      <c r="F255" s="92"/>
      <c r="G255" s="92"/>
      <c r="H255" s="92"/>
      <c r="I255" s="20"/>
      <c r="J255" s="95"/>
    </row>
    <row r="256">
      <c r="A256" s="92"/>
      <c r="B256" s="92"/>
      <c r="C256" s="92"/>
      <c r="D256" s="92"/>
      <c r="E256" s="92"/>
      <c r="F256" s="92"/>
      <c r="G256" s="92"/>
      <c r="H256" s="92"/>
      <c r="I256" s="20"/>
      <c r="J256" s="95"/>
    </row>
    <row r="257">
      <c r="A257" s="92"/>
      <c r="B257" s="92"/>
      <c r="C257" s="92"/>
      <c r="D257" s="92"/>
      <c r="E257" s="92"/>
      <c r="F257" s="92"/>
      <c r="G257" s="92"/>
      <c r="H257" s="92"/>
      <c r="I257" s="20"/>
      <c r="J257" s="95"/>
    </row>
    <row r="258">
      <c r="A258" s="92"/>
      <c r="B258" s="92"/>
      <c r="C258" s="92"/>
      <c r="D258" s="92"/>
      <c r="E258" s="92"/>
      <c r="F258" s="92"/>
      <c r="G258" s="92"/>
      <c r="H258" s="92"/>
      <c r="I258" s="20"/>
      <c r="J258" s="95"/>
    </row>
    <row r="259">
      <c r="A259" s="92"/>
      <c r="B259" s="92"/>
      <c r="C259" s="92"/>
      <c r="D259" s="92"/>
      <c r="E259" s="92"/>
      <c r="F259" s="92"/>
      <c r="G259" s="92"/>
      <c r="H259" s="92"/>
      <c r="I259" s="20"/>
      <c r="J259" s="95"/>
    </row>
    <row r="260">
      <c r="A260" s="92"/>
      <c r="B260" s="92"/>
      <c r="C260" s="92"/>
      <c r="D260" s="92"/>
      <c r="E260" s="92"/>
      <c r="F260" s="92"/>
      <c r="G260" s="92"/>
      <c r="H260" s="92"/>
      <c r="I260" s="20"/>
      <c r="J260" s="95"/>
    </row>
    <row r="261">
      <c r="A261" s="92"/>
      <c r="B261" s="92"/>
      <c r="C261" s="92"/>
      <c r="D261" s="92"/>
      <c r="E261" s="92"/>
      <c r="F261" s="92"/>
      <c r="G261" s="92"/>
      <c r="H261" s="92"/>
      <c r="I261" s="20"/>
      <c r="J261" s="95"/>
    </row>
    <row r="262">
      <c r="A262" s="92"/>
      <c r="B262" s="92"/>
      <c r="C262" s="92"/>
      <c r="D262" s="92"/>
      <c r="E262" s="92"/>
      <c r="F262" s="92"/>
      <c r="G262" s="92"/>
      <c r="H262" s="92"/>
      <c r="I262" s="20"/>
      <c r="J262" s="95"/>
    </row>
    <row r="263">
      <c r="A263" s="92"/>
      <c r="B263" s="92"/>
      <c r="C263" s="92"/>
      <c r="D263" s="92"/>
      <c r="E263" s="92"/>
      <c r="F263" s="92"/>
      <c r="G263" s="92"/>
      <c r="H263" s="92"/>
      <c r="I263" s="20"/>
      <c r="J263" s="95"/>
    </row>
    <row r="264">
      <c r="A264" s="92"/>
      <c r="B264" s="92"/>
      <c r="C264" s="92"/>
      <c r="D264" s="92"/>
      <c r="E264" s="92"/>
      <c r="F264" s="92"/>
      <c r="G264" s="92"/>
      <c r="H264" s="92"/>
      <c r="I264" s="20"/>
      <c r="J264" s="95"/>
    </row>
    <row r="265">
      <c r="A265" s="92"/>
      <c r="B265" s="92"/>
      <c r="C265" s="92"/>
      <c r="D265" s="92"/>
      <c r="E265" s="92"/>
      <c r="F265" s="92"/>
      <c r="G265" s="92"/>
      <c r="H265" s="92"/>
      <c r="I265" s="20"/>
      <c r="J265" s="95"/>
    </row>
    <row r="266">
      <c r="A266" s="92"/>
      <c r="B266" s="92"/>
      <c r="C266" s="92"/>
      <c r="D266" s="92"/>
      <c r="E266" s="92"/>
      <c r="F266" s="92"/>
      <c r="G266" s="92"/>
      <c r="H266" s="92"/>
      <c r="I266" s="20"/>
      <c r="J266" s="95"/>
    </row>
    <row r="267">
      <c r="A267" s="92"/>
      <c r="B267" s="92"/>
      <c r="C267" s="92"/>
      <c r="D267" s="92"/>
      <c r="E267" s="92"/>
      <c r="F267" s="92"/>
      <c r="G267" s="92"/>
      <c r="H267" s="92"/>
      <c r="I267" s="20"/>
      <c r="J267" s="95"/>
    </row>
    <row r="268">
      <c r="A268" s="92"/>
      <c r="B268" s="92"/>
      <c r="C268" s="92"/>
      <c r="D268" s="92"/>
      <c r="E268" s="92"/>
      <c r="F268" s="92"/>
      <c r="G268" s="92"/>
      <c r="H268" s="92"/>
      <c r="I268" s="20"/>
      <c r="J268" s="95"/>
    </row>
    <row r="269">
      <c r="A269" s="92"/>
      <c r="B269" s="92"/>
      <c r="C269" s="92"/>
      <c r="D269" s="92"/>
      <c r="E269" s="92"/>
      <c r="F269" s="92"/>
      <c r="G269" s="92"/>
      <c r="H269" s="92"/>
      <c r="I269" s="20"/>
      <c r="J269" s="95"/>
    </row>
    <row r="270">
      <c r="A270" s="92"/>
      <c r="B270" s="92"/>
      <c r="C270" s="92"/>
      <c r="D270" s="92"/>
      <c r="E270" s="92"/>
      <c r="F270" s="92"/>
      <c r="G270" s="92"/>
      <c r="H270" s="92"/>
      <c r="I270" s="20"/>
      <c r="J270" s="95"/>
    </row>
    <row r="271">
      <c r="A271" s="92"/>
      <c r="B271" s="92"/>
      <c r="C271" s="92"/>
      <c r="D271" s="92"/>
      <c r="E271" s="92"/>
      <c r="F271" s="92"/>
      <c r="G271" s="92"/>
      <c r="H271" s="92"/>
      <c r="I271" s="20"/>
      <c r="J271" s="95"/>
    </row>
    <row r="272">
      <c r="A272" s="92"/>
      <c r="B272" s="92"/>
      <c r="C272" s="92"/>
      <c r="D272" s="92"/>
      <c r="E272" s="92"/>
      <c r="F272" s="92"/>
      <c r="G272" s="92"/>
      <c r="H272" s="92"/>
      <c r="I272" s="20"/>
      <c r="J272" s="95"/>
    </row>
    <row r="273">
      <c r="A273" s="92"/>
      <c r="B273" s="92"/>
      <c r="C273" s="92"/>
      <c r="D273" s="92"/>
      <c r="E273" s="92"/>
      <c r="F273" s="92"/>
      <c r="G273" s="92"/>
      <c r="H273" s="92"/>
      <c r="I273" s="20"/>
      <c r="J273" s="95"/>
    </row>
    <row r="274">
      <c r="A274" s="92"/>
      <c r="B274" s="92"/>
      <c r="C274" s="92"/>
      <c r="D274" s="92"/>
      <c r="E274" s="92"/>
      <c r="F274" s="92"/>
      <c r="G274" s="92"/>
      <c r="H274" s="92"/>
      <c r="I274" s="20"/>
      <c r="J274" s="95"/>
    </row>
    <row r="275">
      <c r="A275" s="92"/>
      <c r="B275" s="92"/>
      <c r="C275" s="92"/>
      <c r="D275" s="92"/>
      <c r="E275" s="92"/>
      <c r="F275" s="92"/>
      <c r="G275" s="92"/>
      <c r="H275" s="92"/>
      <c r="I275" s="20"/>
      <c r="J275" s="95"/>
    </row>
    <row r="276">
      <c r="A276" s="92"/>
      <c r="B276" s="92"/>
      <c r="C276" s="92"/>
      <c r="D276" s="92"/>
      <c r="E276" s="92"/>
      <c r="F276" s="92"/>
      <c r="G276" s="92"/>
      <c r="H276" s="92"/>
      <c r="I276" s="20"/>
      <c r="J276" s="95"/>
    </row>
    <row r="277">
      <c r="A277" s="92"/>
      <c r="B277" s="92"/>
      <c r="C277" s="92"/>
      <c r="D277" s="92"/>
      <c r="E277" s="92"/>
      <c r="F277" s="92"/>
      <c r="G277" s="92"/>
      <c r="H277" s="92"/>
      <c r="I277" s="20"/>
      <c r="J277" s="95"/>
    </row>
    <row r="278">
      <c r="A278" s="92"/>
      <c r="B278" s="92"/>
      <c r="C278" s="92"/>
      <c r="D278" s="92"/>
      <c r="E278" s="92"/>
      <c r="F278" s="92"/>
      <c r="G278" s="92"/>
      <c r="H278" s="92"/>
      <c r="I278" s="20"/>
      <c r="J278" s="95"/>
    </row>
    <row r="279">
      <c r="A279" s="92"/>
      <c r="B279" s="92"/>
      <c r="C279" s="92"/>
      <c r="D279" s="92"/>
      <c r="E279" s="92"/>
      <c r="F279" s="92"/>
      <c r="G279" s="92"/>
      <c r="H279" s="92"/>
      <c r="I279" s="20"/>
      <c r="J279" s="95"/>
    </row>
    <row r="280">
      <c r="A280" s="92"/>
      <c r="B280" s="92"/>
      <c r="C280" s="92"/>
      <c r="D280" s="92"/>
      <c r="E280" s="92"/>
      <c r="F280" s="92"/>
      <c r="G280" s="92"/>
      <c r="H280" s="92"/>
      <c r="I280" s="20"/>
      <c r="J280" s="95"/>
    </row>
    <row r="281">
      <c r="A281" s="92"/>
      <c r="B281" s="92"/>
      <c r="C281" s="92"/>
      <c r="D281" s="92"/>
      <c r="E281" s="92"/>
      <c r="F281" s="92"/>
      <c r="G281" s="92"/>
      <c r="H281" s="92"/>
      <c r="I281" s="20"/>
      <c r="J281" s="95"/>
    </row>
    <row r="282">
      <c r="A282" s="92"/>
      <c r="B282" s="92"/>
      <c r="C282" s="92"/>
      <c r="D282" s="92"/>
      <c r="E282" s="92"/>
      <c r="F282" s="92"/>
      <c r="G282" s="92"/>
      <c r="H282" s="92"/>
      <c r="I282" s="20"/>
      <c r="J282" s="95"/>
    </row>
    <row r="283">
      <c r="A283" s="92"/>
      <c r="B283" s="92"/>
      <c r="C283" s="92"/>
      <c r="D283" s="92"/>
      <c r="E283" s="92"/>
      <c r="F283" s="92"/>
      <c r="G283" s="92"/>
      <c r="H283" s="92"/>
      <c r="I283" s="20"/>
      <c r="J283" s="95"/>
    </row>
    <row r="284">
      <c r="A284" s="92"/>
      <c r="B284" s="92"/>
      <c r="C284" s="92"/>
      <c r="D284" s="92"/>
      <c r="E284" s="92"/>
      <c r="F284" s="92"/>
      <c r="G284" s="92"/>
      <c r="H284" s="92"/>
      <c r="I284" s="20"/>
      <c r="J284" s="95"/>
    </row>
    <row r="285">
      <c r="A285" s="92"/>
      <c r="B285" s="92"/>
      <c r="C285" s="92"/>
      <c r="D285" s="92"/>
      <c r="E285" s="92"/>
      <c r="F285" s="92"/>
      <c r="G285" s="92"/>
      <c r="H285" s="92"/>
      <c r="I285" s="20"/>
      <c r="J285" s="95"/>
    </row>
    <row r="286">
      <c r="A286" s="92"/>
      <c r="B286" s="92"/>
      <c r="C286" s="92"/>
      <c r="D286" s="92"/>
      <c r="E286" s="92"/>
      <c r="F286" s="92"/>
      <c r="G286" s="92"/>
      <c r="H286" s="92"/>
      <c r="I286" s="20"/>
      <c r="J286" s="95"/>
    </row>
    <row r="287">
      <c r="A287" s="92"/>
      <c r="B287" s="92"/>
      <c r="C287" s="92"/>
      <c r="D287" s="92"/>
      <c r="E287" s="92"/>
      <c r="F287" s="92"/>
      <c r="G287" s="92"/>
      <c r="H287" s="92"/>
      <c r="I287" s="20"/>
      <c r="J287" s="95"/>
    </row>
    <row r="288">
      <c r="A288" s="92"/>
      <c r="B288" s="92"/>
      <c r="C288" s="92"/>
      <c r="D288" s="92"/>
      <c r="E288" s="92"/>
      <c r="F288" s="92"/>
      <c r="G288" s="92"/>
      <c r="H288" s="92"/>
      <c r="I288" s="20"/>
      <c r="J288" s="95"/>
    </row>
    <row r="289">
      <c r="A289" s="92"/>
      <c r="B289" s="92"/>
      <c r="C289" s="92"/>
      <c r="D289" s="92"/>
      <c r="E289" s="92"/>
      <c r="F289" s="92"/>
      <c r="G289" s="92"/>
      <c r="H289" s="92"/>
      <c r="I289" s="20"/>
      <c r="J289" s="95"/>
    </row>
    <row r="290">
      <c r="A290" s="92"/>
      <c r="B290" s="92"/>
      <c r="C290" s="92"/>
      <c r="D290" s="92"/>
      <c r="E290" s="92"/>
      <c r="F290" s="92"/>
      <c r="G290" s="92"/>
      <c r="H290" s="92"/>
      <c r="I290" s="20"/>
      <c r="J290" s="95"/>
    </row>
    <row r="291">
      <c r="A291" s="92"/>
      <c r="B291" s="92"/>
      <c r="C291" s="92"/>
      <c r="D291" s="92"/>
      <c r="E291" s="92"/>
      <c r="F291" s="92"/>
      <c r="G291" s="92"/>
      <c r="H291" s="92"/>
      <c r="I291" s="20"/>
      <c r="J291" s="95"/>
    </row>
    <row r="292">
      <c r="A292" s="92"/>
      <c r="B292" s="92"/>
      <c r="C292" s="92"/>
      <c r="D292" s="92"/>
      <c r="E292" s="92"/>
      <c r="F292" s="92"/>
      <c r="G292" s="92"/>
      <c r="H292" s="92"/>
      <c r="I292" s="20"/>
      <c r="J292" s="95"/>
    </row>
    <row r="293">
      <c r="A293" s="92"/>
      <c r="B293" s="92"/>
      <c r="C293" s="92"/>
      <c r="D293" s="92"/>
      <c r="E293" s="92"/>
      <c r="F293" s="92"/>
      <c r="G293" s="92"/>
      <c r="H293" s="92"/>
      <c r="I293" s="20"/>
      <c r="J293" s="95"/>
    </row>
    <row r="294">
      <c r="A294" s="92"/>
      <c r="B294" s="92"/>
      <c r="C294" s="92"/>
      <c r="D294" s="92"/>
      <c r="E294" s="92"/>
      <c r="F294" s="92"/>
      <c r="G294" s="92"/>
      <c r="H294" s="92"/>
      <c r="I294" s="20"/>
      <c r="J294" s="95"/>
    </row>
    <row r="295">
      <c r="A295" s="92"/>
      <c r="B295" s="92"/>
      <c r="C295" s="92"/>
      <c r="D295" s="92"/>
      <c r="E295" s="92"/>
      <c r="F295" s="92"/>
      <c r="G295" s="92"/>
      <c r="H295" s="92"/>
      <c r="I295" s="20"/>
      <c r="J295" s="95"/>
    </row>
    <row r="296">
      <c r="A296" s="92"/>
      <c r="B296" s="92"/>
      <c r="C296" s="92"/>
      <c r="D296" s="92"/>
      <c r="E296" s="92"/>
      <c r="F296" s="92"/>
      <c r="G296" s="92"/>
      <c r="H296" s="92"/>
      <c r="I296" s="20"/>
      <c r="J296" s="95"/>
    </row>
    <row r="297">
      <c r="A297" s="92"/>
      <c r="B297" s="92"/>
      <c r="C297" s="92"/>
      <c r="D297" s="92"/>
      <c r="E297" s="92"/>
      <c r="F297" s="92"/>
      <c r="G297" s="92"/>
      <c r="H297" s="92"/>
      <c r="I297" s="20"/>
      <c r="J297" s="95"/>
    </row>
    <row r="298">
      <c r="A298" s="92"/>
      <c r="B298" s="92"/>
      <c r="C298" s="92"/>
      <c r="D298" s="92"/>
      <c r="E298" s="92"/>
      <c r="F298" s="92"/>
      <c r="G298" s="92"/>
      <c r="H298" s="92"/>
      <c r="I298" s="20"/>
      <c r="J298" s="95"/>
    </row>
    <row r="299">
      <c r="A299" s="92"/>
      <c r="B299" s="92"/>
      <c r="C299" s="92"/>
      <c r="D299" s="92"/>
      <c r="E299" s="92"/>
      <c r="F299" s="92"/>
      <c r="G299" s="92"/>
      <c r="H299" s="92"/>
      <c r="I299" s="20"/>
      <c r="J299" s="95"/>
    </row>
    <row r="300">
      <c r="A300" s="92"/>
      <c r="B300" s="92"/>
      <c r="C300" s="92"/>
      <c r="D300" s="92"/>
      <c r="E300" s="92"/>
      <c r="F300" s="92"/>
      <c r="G300" s="92"/>
      <c r="H300" s="92"/>
      <c r="I300" s="20"/>
      <c r="J300" s="95"/>
    </row>
    <row r="301">
      <c r="A301" s="92"/>
      <c r="B301" s="92"/>
      <c r="C301" s="92"/>
      <c r="D301" s="92"/>
      <c r="E301" s="92"/>
      <c r="F301" s="92"/>
      <c r="G301" s="92"/>
      <c r="H301" s="92"/>
      <c r="I301" s="20"/>
      <c r="J301" s="95"/>
    </row>
    <row r="302">
      <c r="A302" s="92"/>
      <c r="B302" s="92"/>
      <c r="C302" s="92"/>
      <c r="D302" s="92"/>
      <c r="E302" s="92"/>
      <c r="F302" s="92"/>
      <c r="G302" s="92"/>
      <c r="H302" s="92"/>
      <c r="I302" s="20"/>
      <c r="J302" s="95"/>
    </row>
    <row r="303">
      <c r="A303" s="92"/>
      <c r="B303" s="92"/>
      <c r="C303" s="92"/>
      <c r="D303" s="92"/>
      <c r="E303" s="92"/>
      <c r="F303" s="92"/>
      <c r="G303" s="92"/>
      <c r="H303" s="92"/>
      <c r="I303" s="20"/>
      <c r="J303" s="95"/>
    </row>
    <row r="304">
      <c r="A304" s="92"/>
      <c r="B304" s="92"/>
      <c r="C304" s="92"/>
      <c r="D304" s="92"/>
      <c r="E304" s="92"/>
      <c r="F304" s="92"/>
      <c r="G304" s="92"/>
      <c r="H304" s="92"/>
      <c r="I304" s="20"/>
      <c r="J304" s="95"/>
    </row>
    <row r="305">
      <c r="A305" s="92"/>
      <c r="B305" s="92"/>
      <c r="C305" s="92"/>
      <c r="D305" s="92"/>
      <c r="E305" s="92"/>
      <c r="F305" s="92"/>
      <c r="G305" s="92"/>
      <c r="H305" s="92"/>
      <c r="I305" s="20"/>
      <c r="J305" s="95"/>
    </row>
    <row r="306">
      <c r="A306" s="92"/>
      <c r="B306" s="92"/>
      <c r="C306" s="92"/>
      <c r="D306" s="92"/>
      <c r="E306" s="92"/>
      <c r="F306" s="92"/>
      <c r="G306" s="92"/>
      <c r="H306" s="92"/>
      <c r="I306" s="20"/>
      <c r="J306" s="95"/>
    </row>
    <row r="307">
      <c r="A307" s="92"/>
      <c r="B307" s="92"/>
      <c r="C307" s="92"/>
      <c r="D307" s="92"/>
      <c r="E307" s="92"/>
      <c r="F307" s="92"/>
      <c r="G307" s="92"/>
      <c r="H307" s="92"/>
      <c r="I307" s="20"/>
      <c r="J307" s="95"/>
    </row>
    <row r="308">
      <c r="A308" s="92"/>
      <c r="B308" s="92"/>
      <c r="C308" s="92"/>
      <c r="D308" s="92"/>
      <c r="E308" s="92"/>
      <c r="F308" s="92"/>
      <c r="G308" s="92"/>
      <c r="H308" s="92"/>
      <c r="I308" s="20"/>
      <c r="J308" s="95"/>
    </row>
    <row r="309">
      <c r="A309" s="92"/>
      <c r="B309" s="92"/>
      <c r="C309" s="92"/>
      <c r="D309" s="92"/>
      <c r="E309" s="92"/>
      <c r="F309" s="92"/>
      <c r="G309" s="92"/>
      <c r="H309" s="92"/>
      <c r="I309" s="20"/>
      <c r="J309" s="95"/>
    </row>
    <row r="310">
      <c r="A310" s="92"/>
      <c r="B310" s="92"/>
      <c r="C310" s="92"/>
      <c r="D310" s="92"/>
      <c r="E310" s="92"/>
      <c r="F310" s="92"/>
      <c r="G310" s="92"/>
      <c r="H310" s="92"/>
      <c r="I310" s="20"/>
      <c r="J310" s="95"/>
    </row>
    <row r="311">
      <c r="A311" s="92"/>
      <c r="B311" s="92"/>
      <c r="C311" s="92"/>
      <c r="D311" s="92"/>
      <c r="E311" s="92"/>
      <c r="F311" s="92"/>
      <c r="G311" s="92"/>
      <c r="H311" s="92"/>
      <c r="I311" s="20"/>
      <c r="J311" s="95"/>
    </row>
    <row r="312">
      <c r="A312" s="92"/>
      <c r="B312" s="92"/>
      <c r="C312" s="92"/>
      <c r="D312" s="92"/>
      <c r="E312" s="92"/>
      <c r="F312" s="92"/>
      <c r="G312" s="92"/>
      <c r="H312" s="92"/>
      <c r="I312" s="20"/>
      <c r="J312" s="95"/>
    </row>
    <row r="313">
      <c r="A313" s="92"/>
      <c r="B313" s="92"/>
      <c r="C313" s="92"/>
      <c r="D313" s="92"/>
      <c r="E313" s="92"/>
      <c r="F313" s="92"/>
      <c r="G313" s="92"/>
      <c r="H313" s="92"/>
      <c r="I313" s="20"/>
      <c r="J313" s="95"/>
    </row>
    <row r="314">
      <c r="A314" s="92"/>
      <c r="B314" s="92"/>
      <c r="C314" s="92"/>
      <c r="D314" s="92"/>
      <c r="E314" s="92"/>
      <c r="F314" s="92"/>
      <c r="G314" s="92"/>
      <c r="H314" s="92"/>
      <c r="I314" s="20"/>
      <c r="J314" s="95"/>
    </row>
    <row r="315">
      <c r="A315" s="92"/>
      <c r="B315" s="92"/>
      <c r="C315" s="92"/>
      <c r="D315" s="92"/>
      <c r="E315" s="92"/>
      <c r="F315" s="92"/>
      <c r="G315" s="92"/>
      <c r="H315" s="92"/>
      <c r="I315" s="20"/>
      <c r="J315" s="95"/>
    </row>
    <row r="316">
      <c r="A316" s="92"/>
      <c r="B316" s="92"/>
      <c r="C316" s="92"/>
      <c r="D316" s="92"/>
      <c r="E316" s="92"/>
      <c r="F316" s="92"/>
      <c r="G316" s="92"/>
      <c r="H316" s="92"/>
      <c r="I316" s="20"/>
      <c r="J316" s="95"/>
    </row>
    <row r="317">
      <c r="A317" s="92"/>
      <c r="B317" s="92"/>
      <c r="C317" s="92"/>
      <c r="D317" s="92"/>
      <c r="E317" s="92"/>
      <c r="F317" s="92"/>
      <c r="G317" s="92"/>
      <c r="H317" s="92"/>
      <c r="I317" s="20"/>
      <c r="J317" s="95"/>
    </row>
    <row r="318">
      <c r="A318" s="92"/>
      <c r="B318" s="92"/>
      <c r="C318" s="92"/>
      <c r="D318" s="92"/>
      <c r="E318" s="92"/>
      <c r="F318" s="92"/>
      <c r="G318" s="92"/>
      <c r="H318" s="92"/>
      <c r="I318" s="20"/>
      <c r="J318" s="95"/>
    </row>
    <row r="319">
      <c r="A319" s="92"/>
      <c r="B319" s="92"/>
      <c r="C319" s="92"/>
      <c r="D319" s="92"/>
      <c r="E319" s="92"/>
      <c r="F319" s="92"/>
      <c r="G319" s="92"/>
      <c r="H319" s="92"/>
      <c r="I319" s="20"/>
      <c r="J319" s="95"/>
    </row>
    <row r="320">
      <c r="A320" s="92"/>
      <c r="B320" s="92"/>
      <c r="C320" s="92"/>
      <c r="D320" s="92"/>
      <c r="E320" s="92"/>
      <c r="F320" s="92"/>
      <c r="G320" s="92"/>
      <c r="H320" s="92"/>
      <c r="I320" s="20"/>
      <c r="J320" s="95"/>
    </row>
    <row r="321">
      <c r="A321" s="92"/>
      <c r="B321" s="92"/>
      <c r="C321" s="92"/>
      <c r="D321" s="92"/>
      <c r="E321" s="92"/>
      <c r="F321" s="92"/>
      <c r="G321" s="92"/>
      <c r="H321" s="92"/>
      <c r="I321" s="20"/>
      <c r="J321" s="95"/>
    </row>
    <row r="322">
      <c r="A322" s="92"/>
      <c r="B322" s="92"/>
      <c r="C322" s="92"/>
      <c r="D322" s="92"/>
      <c r="E322" s="92"/>
      <c r="F322" s="92"/>
      <c r="G322" s="92"/>
      <c r="H322" s="92"/>
      <c r="I322" s="20"/>
      <c r="J322" s="95"/>
    </row>
    <row r="323">
      <c r="A323" s="92"/>
      <c r="B323" s="92"/>
      <c r="C323" s="92"/>
      <c r="D323" s="92"/>
      <c r="E323" s="92"/>
      <c r="F323" s="92"/>
      <c r="G323" s="92"/>
      <c r="H323" s="92"/>
      <c r="I323" s="20"/>
      <c r="J323" s="95"/>
    </row>
    <row r="324">
      <c r="A324" s="92"/>
      <c r="B324" s="92"/>
      <c r="C324" s="92"/>
      <c r="D324" s="92"/>
      <c r="E324" s="92"/>
      <c r="F324" s="92"/>
      <c r="G324" s="92"/>
      <c r="H324" s="92"/>
      <c r="I324" s="20"/>
      <c r="J324" s="95"/>
    </row>
    <row r="325">
      <c r="A325" s="92"/>
      <c r="B325" s="92"/>
      <c r="C325" s="92"/>
      <c r="D325" s="92"/>
      <c r="E325" s="92"/>
      <c r="F325" s="92"/>
      <c r="G325" s="92"/>
      <c r="H325" s="92"/>
      <c r="I325" s="20"/>
      <c r="J325" s="95"/>
    </row>
    <row r="326">
      <c r="A326" s="92"/>
      <c r="B326" s="92"/>
      <c r="C326" s="92"/>
      <c r="D326" s="92"/>
      <c r="E326" s="92"/>
      <c r="F326" s="92"/>
      <c r="G326" s="92"/>
      <c r="H326" s="92"/>
      <c r="I326" s="20"/>
      <c r="J326" s="95"/>
    </row>
    <row r="327">
      <c r="A327" s="92"/>
      <c r="B327" s="92"/>
      <c r="C327" s="92"/>
      <c r="D327" s="92"/>
      <c r="E327" s="92"/>
      <c r="F327" s="92"/>
      <c r="G327" s="92"/>
      <c r="H327" s="92"/>
      <c r="I327" s="20"/>
      <c r="J327" s="95"/>
    </row>
    <row r="328">
      <c r="A328" s="92"/>
      <c r="B328" s="92"/>
      <c r="C328" s="92"/>
      <c r="D328" s="92"/>
      <c r="E328" s="92"/>
      <c r="F328" s="92"/>
      <c r="G328" s="92"/>
      <c r="H328" s="92"/>
      <c r="I328" s="20"/>
      <c r="J328" s="95"/>
    </row>
    <row r="329">
      <c r="A329" s="92"/>
      <c r="B329" s="92"/>
      <c r="C329" s="92"/>
      <c r="D329" s="92"/>
      <c r="E329" s="92"/>
      <c r="F329" s="92"/>
      <c r="G329" s="92"/>
      <c r="H329" s="92"/>
      <c r="I329" s="20"/>
      <c r="J329" s="95"/>
    </row>
    <row r="330">
      <c r="A330" s="92"/>
      <c r="B330" s="92"/>
      <c r="C330" s="92"/>
      <c r="D330" s="92"/>
      <c r="E330" s="92"/>
      <c r="F330" s="92"/>
      <c r="G330" s="92"/>
      <c r="H330" s="92"/>
      <c r="I330" s="20"/>
      <c r="J330" s="95"/>
    </row>
    <row r="331">
      <c r="A331" s="92"/>
      <c r="B331" s="92"/>
      <c r="C331" s="92"/>
      <c r="D331" s="92"/>
      <c r="E331" s="92"/>
      <c r="F331" s="92"/>
      <c r="G331" s="92"/>
      <c r="H331" s="92"/>
      <c r="I331" s="20"/>
      <c r="J331" s="95"/>
    </row>
    <row r="332">
      <c r="A332" s="92"/>
      <c r="B332" s="92"/>
      <c r="C332" s="92"/>
      <c r="D332" s="92"/>
      <c r="E332" s="92"/>
      <c r="F332" s="92"/>
      <c r="G332" s="92"/>
      <c r="H332" s="92"/>
      <c r="I332" s="20"/>
      <c r="J332" s="95"/>
    </row>
    <row r="333">
      <c r="A333" s="92"/>
      <c r="B333" s="92"/>
      <c r="C333" s="92"/>
      <c r="D333" s="92"/>
      <c r="E333" s="92"/>
      <c r="F333" s="92"/>
      <c r="G333" s="92"/>
      <c r="H333" s="92"/>
      <c r="I333" s="20"/>
      <c r="J333" s="95"/>
    </row>
    <row r="334">
      <c r="A334" s="92"/>
      <c r="B334" s="92"/>
      <c r="C334" s="92"/>
      <c r="D334" s="92"/>
      <c r="E334" s="92"/>
      <c r="F334" s="92"/>
      <c r="G334" s="92"/>
      <c r="H334" s="92"/>
      <c r="I334" s="20"/>
      <c r="J334" s="95"/>
    </row>
    <row r="335">
      <c r="A335" s="92"/>
      <c r="B335" s="92"/>
      <c r="C335" s="92"/>
      <c r="D335" s="92"/>
      <c r="E335" s="92"/>
      <c r="F335" s="92"/>
      <c r="G335" s="92"/>
      <c r="H335" s="92"/>
      <c r="I335" s="20"/>
      <c r="J335" s="95"/>
    </row>
    <row r="336">
      <c r="A336" s="92"/>
      <c r="B336" s="92"/>
      <c r="C336" s="92"/>
      <c r="D336" s="92"/>
      <c r="E336" s="92"/>
      <c r="F336" s="92"/>
      <c r="G336" s="92"/>
      <c r="H336" s="92"/>
      <c r="I336" s="20"/>
      <c r="J336" s="95"/>
    </row>
    <row r="337">
      <c r="A337" s="92"/>
      <c r="B337" s="92"/>
      <c r="C337" s="92"/>
      <c r="D337" s="92"/>
      <c r="E337" s="92"/>
      <c r="F337" s="92"/>
      <c r="G337" s="92"/>
      <c r="H337" s="92"/>
      <c r="I337" s="20"/>
      <c r="J337" s="95"/>
    </row>
    <row r="338">
      <c r="A338" s="92"/>
      <c r="B338" s="92"/>
      <c r="C338" s="92"/>
      <c r="D338" s="92"/>
      <c r="E338" s="92"/>
      <c r="F338" s="92"/>
      <c r="G338" s="92"/>
      <c r="H338" s="92"/>
      <c r="I338" s="20"/>
      <c r="J338" s="95"/>
    </row>
    <row r="339">
      <c r="A339" s="92"/>
      <c r="B339" s="92"/>
      <c r="C339" s="92"/>
      <c r="D339" s="92"/>
      <c r="E339" s="92"/>
      <c r="F339" s="92"/>
      <c r="G339" s="92"/>
      <c r="H339" s="92"/>
      <c r="I339" s="20"/>
      <c r="J339" s="95"/>
    </row>
    <row r="340">
      <c r="A340" s="92"/>
      <c r="B340" s="92"/>
      <c r="C340" s="92"/>
      <c r="D340" s="92"/>
      <c r="E340" s="92"/>
      <c r="F340" s="92"/>
      <c r="G340" s="92"/>
      <c r="H340" s="92"/>
      <c r="I340" s="20"/>
      <c r="J340" s="95"/>
    </row>
    <row r="341">
      <c r="A341" s="92"/>
      <c r="B341" s="92"/>
      <c r="C341" s="92"/>
      <c r="D341" s="92"/>
      <c r="E341" s="92"/>
      <c r="F341" s="92"/>
      <c r="G341" s="92"/>
      <c r="H341" s="92"/>
      <c r="I341" s="20"/>
      <c r="J341" s="95"/>
    </row>
    <row r="342">
      <c r="A342" s="92"/>
      <c r="B342" s="92"/>
      <c r="C342" s="92"/>
      <c r="D342" s="92"/>
      <c r="E342" s="92"/>
      <c r="F342" s="92"/>
      <c r="G342" s="92"/>
      <c r="H342" s="92"/>
      <c r="I342" s="20"/>
      <c r="J342" s="95"/>
    </row>
    <row r="343">
      <c r="A343" s="92"/>
      <c r="B343" s="92"/>
      <c r="C343" s="92"/>
      <c r="D343" s="92"/>
      <c r="E343" s="92"/>
      <c r="F343" s="92"/>
      <c r="G343" s="92"/>
      <c r="H343" s="92"/>
      <c r="I343" s="20"/>
      <c r="J343" s="95"/>
    </row>
    <row r="344">
      <c r="A344" s="92"/>
      <c r="B344" s="92"/>
      <c r="C344" s="92"/>
      <c r="D344" s="92"/>
      <c r="E344" s="92"/>
      <c r="F344" s="92"/>
      <c r="G344" s="92"/>
      <c r="H344" s="92"/>
      <c r="I344" s="20"/>
      <c r="J344" s="95"/>
    </row>
    <row r="345">
      <c r="A345" s="92"/>
      <c r="B345" s="92"/>
      <c r="C345" s="92"/>
      <c r="D345" s="92"/>
      <c r="E345" s="92"/>
      <c r="F345" s="92"/>
      <c r="G345" s="92"/>
      <c r="H345" s="92"/>
      <c r="I345" s="20"/>
      <c r="J345" s="95"/>
    </row>
    <row r="346">
      <c r="A346" s="92"/>
      <c r="B346" s="92"/>
      <c r="C346" s="92"/>
      <c r="D346" s="92"/>
      <c r="E346" s="92"/>
      <c r="F346" s="92"/>
      <c r="G346" s="92"/>
      <c r="H346" s="92"/>
      <c r="I346" s="20"/>
      <c r="J346" s="95"/>
    </row>
    <row r="347">
      <c r="A347" s="92"/>
      <c r="B347" s="92"/>
      <c r="C347" s="92"/>
      <c r="D347" s="92"/>
      <c r="E347" s="92"/>
      <c r="F347" s="92"/>
      <c r="G347" s="92"/>
      <c r="H347" s="92"/>
      <c r="I347" s="20"/>
      <c r="J347" s="95"/>
    </row>
    <row r="348">
      <c r="A348" s="92"/>
      <c r="B348" s="92"/>
      <c r="C348" s="92"/>
      <c r="D348" s="92"/>
      <c r="E348" s="92"/>
      <c r="F348" s="92"/>
      <c r="G348" s="92"/>
      <c r="H348" s="92"/>
      <c r="I348" s="20"/>
      <c r="J348" s="95"/>
    </row>
    <row r="349">
      <c r="A349" s="92"/>
      <c r="B349" s="92"/>
      <c r="C349" s="92"/>
      <c r="D349" s="92"/>
      <c r="E349" s="92"/>
      <c r="F349" s="92"/>
      <c r="G349" s="92"/>
      <c r="H349" s="92"/>
      <c r="I349" s="20"/>
      <c r="J349" s="95"/>
    </row>
    <row r="350">
      <c r="A350" s="92"/>
      <c r="B350" s="92"/>
      <c r="C350" s="92"/>
      <c r="D350" s="92"/>
      <c r="E350" s="92"/>
      <c r="F350" s="92"/>
      <c r="G350" s="92"/>
      <c r="H350" s="92"/>
      <c r="I350" s="20"/>
      <c r="J350" s="95"/>
    </row>
    <row r="351">
      <c r="A351" s="92"/>
      <c r="B351" s="92"/>
      <c r="C351" s="92"/>
      <c r="D351" s="92"/>
      <c r="E351" s="92"/>
      <c r="F351" s="92"/>
      <c r="G351" s="92"/>
      <c r="H351" s="92"/>
      <c r="I351" s="20"/>
      <c r="J351" s="95"/>
    </row>
    <row r="352">
      <c r="A352" s="92"/>
      <c r="B352" s="92"/>
      <c r="C352" s="92"/>
      <c r="D352" s="92"/>
      <c r="E352" s="92"/>
      <c r="F352" s="92"/>
      <c r="G352" s="92"/>
      <c r="H352" s="92"/>
      <c r="I352" s="20"/>
      <c r="J352" s="95"/>
    </row>
    <row r="353">
      <c r="A353" s="92"/>
      <c r="B353" s="92"/>
      <c r="C353" s="92"/>
      <c r="D353" s="92"/>
      <c r="E353" s="92"/>
      <c r="F353" s="92"/>
      <c r="G353" s="92"/>
      <c r="H353" s="92"/>
      <c r="I353" s="20"/>
      <c r="J353" s="95"/>
    </row>
    <row r="354">
      <c r="A354" s="92"/>
      <c r="B354" s="92"/>
      <c r="C354" s="92"/>
      <c r="D354" s="92"/>
      <c r="E354" s="92"/>
      <c r="F354" s="92"/>
      <c r="G354" s="92"/>
      <c r="H354" s="92"/>
      <c r="I354" s="20"/>
      <c r="J354" s="95"/>
    </row>
    <row r="355">
      <c r="A355" s="92"/>
      <c r="B355" s="92"/>
      <c r="C355" s="92"/>
      <c r="D355" s="92"/>
      <c r="E355" s="92"/>
      <c r="F355" s="92"/>
      <c r="G355" s="92"/>
      <c r="H355" s="92"/>
      <c r="I355" s="20"/>
      <c r="J355" s="95"/>
    </row>
    <row r="356">
      <c r="A356" s="92"/>
      <c r="B356" s="92"/>
      <c r="C356" s="92"/>
      <c r="D356" s="92"/>
      <c r="E356" s="92"/>
      <c r="F356" s="92"/>
      <c r="G356" s="92"/>
      <c r="H356" s="92"/>
      <c r="I356" s="20"/>
      <c r="J356" s="95"/>
    </row>
    <row r="357">
      <c r="A357" s="92"/>
      <c r="B357" s="92"/>
      <c r="C357" s="92"/>
      <c r="D357" s="92"/>
      <c r="E357" s="92"/>
      <c r="F357" s="92"/>
      <c r="G357" s="92"/>
      <c r="H357" s="92"/>
      <c r="I357" s="20"/>
      <c r="J357" s="95"/>
    </row>
    <row r="358">
      <c r="A358" s="92"/>
      <c r="B358" s="92"/>
      <c r="C358" s="92"/>
      <c r="D358" s="92"/>
      <c r="E358" s="92"/>
      <c r="F358" s="92"/>
      <c r="G358" s="92"/>
      <c r="H358" s="92"/>
      <c r="I358" s="20"/>
      <c r="J358" s="95"/>
    </row>
    <row r="359">
      <c r="A359" s="92"/>
      <c r="B359" s="92"/>
      <c r="C359" s="92"/>
      <c r="D359" s="92"/>
      <c r="E359" s="92"/>
      <c r="F359" s="92"/>
      <c r="G359" s="92"/>
      <c r="H359" s="92"/>
      <c r="I359" s="20"/>
      <c r="J359" s="95"/>
    </row>
    <row r="360">
      <c r="A360" s="92"/>
      <c r="B360" s="92"/>
      <c r="C360" s="92"/>
      <c r="D360" s="92"/>
      <c r="E360" s="92"/>
      <c r="F360" s="92"/>
      <c r="G360" s="92"/>
      <c r="H360" s="92"/>
      <c r="I360" s="20"/>
      <c r="J360" s="95"/>
    </row>
    <row r="361">
      <c r="A361" s="92"/>
      <c r="B361" s="92"/>
      <c r="C361" s="92"/>
      <c r="D361" s="92"/>
      <c r="E361" s="92"/>
      <c r="F361" s="92"/>
      <c r="G361" s="92"/>
      <c r="H361" s="92"/>
      <c r="I361" s="20"/>
      <c r="J361" s="95"/>
    </row>
    <row r="362">
      <c r="A362" s="92"/>
      <c r="B362" s="92"/>
      <c r="C362" s="92"/>
      <c r="D362" s="92"/>
      <c r="E362" s="92"/>
      <c r="F362" s="92"/>
      <c r="G362" s="92"/>
      <c r="H362" s="92"/>
      <c r="I362" s="20"/>
      <c r="J362" s="95"/>
    </row>
    <row r="363">
      <c r="A363" s="92"/>
      <c r="B363" s="92"/>
      <c r="C363" s="92"/>
      <c r="D363" s="92"/>
      <c r="E363" s="92"/>
      <c r="F363" s="92"/>
      <c r="G363" s="92"/>
      <c r="H363" s="92"/>
      <c r="I363" s="20"/>
      <c r="J363" s="95"/>
    </row>
    <row r="364">
      <c r="A364" s="92"/>
      <c r="B364" s="92"/>
      <c r="C364" s="92"/>
      <c r="D364" s="92"/>
      <c r="E364" s="92"/>
      <c r="F364" s="92"/>
      <c r="G364" s="92"/>
      <c r="H364" s="92"/>
      <c r="I364" s="20"/>
      <c r="J364" s="95"/>
    </row>
    <row r="365">
      <c r="A365" s="92"/>
      <c r="B365" s="92"/>
      <c r="C365" s="92"/>
      <c r="D365" s="92"/>
      <c r="E365" s="92"/>
      <c r="F365" s="92"/>
      <c r="G365" s="92"/>
      <c r="H365" s="92"/>
      <c r="I365" s="20"/>
      <c r="J365" s="95"/>
    </row>
    <row r="366">
      <c r="A366" s="92"/>
      <c r="B366" s="92"/>
      <c r="C366" s="92"/>
      <c r="D366" s="92"/>
      <c r="E366" s="92"/>
      <c r="F366" s="92"/>
      <c r="G366" s="92"/>
      <c r="H366" s="92"/>
      <c r="I366" s="20"/>
      <c r="J366" s="95"/>
    </row>
    <row r="367">
      <c r="A367" s="92"/>
      <c r="B367" s="92"/>
      <c r="C367" s="92"/>
      <c r="D367" s="92"/>
      <c r="E367" s="92"/>
      <c r="F367" s="92"/>
      <c r="G367" s="92"/>
      <c r="H367" s="92"/>
      <c r="I367" s="20"/>
      <c r="J367" s="95"/>
    </row>
    <row r="368">
      <c r="A368" s="92"/>
      <c r="B368" s="92"/>
      <c r="C368" s="92"/>
      <c r="D368" s="92"/>
      <c r="E368" s="92"/>
      <c r="F368" s="92"/>
      <c r="G368" s="92"/>
      <c r="H368" s="92"/>
      <c r="I368" s="20"/>
      <c r="J368" s="95"/>
    </row>
    <row r="369">
      <c r="A369" s="92"/>
      <c r="B369" s="92"/>
      <c r="C369" s="92"/>
      <c r="D369" s="92"/>
      <c r="E369" s="92"/>
      <c r="F369" s="92"/>
      <c r="G369" s="92"/>
      <c r="H369" s="92"/>
      <c r="I369" s="20"/>
      <c r="J369" s="95"/>
    </row>
    <row r="370">
      <c r="A370" s="92"/>
      <c r="B370" s="92"/>
      <c r="C370" s="92"/>
      <c r="D370" s="92"/>
      <c r="E370" s="92"/>
      <c r="F370" s="92"/>
      <c r="G370" s="92"/>
      <c r="H370" s="92"/>
      <c r="I370" s="20"/>
      <c r="J370" s="95"/>
    </row>
    <row r="371">
      <c r="A371" s="92"/>
      <c r="B371" s="92"/>
      <c r="C371" s="92"/>
      <c r="D371" s="92"/>
      <c r="E371" s="92"/>
      <c r="F371" s="92"/>
      <c r="G371" s="92"/>
      <c r="H371" s="92"/>
      <c r="I371" s="20"/>
      <c r="J371" s="95"/>
    </row>
    <row r="372">
      <c r="A372" s="92"/>
      <c r="B372" s="92"/>
      <c r="C372" s="92"/>
      <c r="D372" s="92"/>
      <c r="E372" s="92"/>
      <c r="F372" s="92"/>
      <c r="G372" s="92"/>
      <c r="H372" s="92"/>
      <c r="I372" s="20"/>
      <c r="J372" s="95"/>
    </row>
    <row r="373">
      <c r="A373" s="92"/>
      <c r="B373" s="92"/>
      <c r="C373" s="92"/>
      <c r="D373" s="92"/>
      <c r="E373" s="92"/>
      <c r="F373" s="92"/>
      <c r="G373" s="92"/>
      <c r="H373" s="92"/>
      <c r="I373" s="20"/>
      <c r="J373" s="95"/>
    </row>
    <row r="374">
      <c r="A374" s="92"/>
      <c r="B374" s="92"/>
      <c r="C374" s="92"/>
      <c r="D374" s="92"/>
      <c r="E374" s="92"/>
      <c r="F374" s="92"/>
      <c r="G374" s="92"/>
      <c r="H374" s="92"/>
      <c r="I374" s="20"/>
      <c r="J374" s="95"/>
    </row>
    <row r="375">
      <c r="A375" s="92"/>
      <c r="B375" s="92"/>
      <c r="C375" s="92"/>
      <c r="D375" s="92"/>
      <c r="E375" s="92"/>
      <c r="F375" s="92"/>
      <c r="G375" s="92"/>
      <c r="H375" s="92"/>
      <c r="I375" s="20"/>
      <c r="J375" s="95"/>
    </row>
    <row r="376">
      <c r="A376" s="92"/>
      <c r="B376" s="92"/>
      <c r="C376" s="92"/>
      <c r="D376" s="92"/>
      <c r="E376" s="92"/>
      <c r="F376" s="92"/>
      <c r="G376" s="92"/>
      <c r="H376" s="92"/>
      <c r="I376" s="20"/>
      <c r="J376" s="95"/>
    </row>
    <row r="377">
      <c r="A377" s="92"/>
      <c r="B377" s="92"/>
      <c r="C377" s="92"/>
      <c r="D377" s="92"/>
      <c r="E377" s="92"/>
      <c r="F377" s="92"/>
      <c r="G377" s="92"/>
      <c r="H377" s="92"/>
      <c r="I377" s="20"/>
      <c r="J377" s="95"/>
    </row>
    <row r="378">
      <c r="A378" s="92"/>
      <c r="B378" s="92"/>
      <c r="C378" s="92"/>
      <c r="D378" s="92"/>
      <c r="E378" s="92"/>
      <c r="F378" s="92"/>
      <c r="G378" s="92"/>
      <c r="H378" s="92"/>
      <c r="I378" s="20"/>
      <c r="J378" s="95"/>
    </row>
    <row r="379">
      <c r="A379" s="92"/>
      <c r="B379" s="92"/>
      <c r="C379" s="92"/>
      <c r="D379" s="92"/>
      <c r="E379" s="92"/>
      <c r="F379" s="92"/>
      <c r="G379" s="92"/>
      <c r="H379" s="92"/>
      <c r="I379" s="20"/>
      <c r="J379" s="95"/>
    </row>
    <row r="380">
      <c r="A380" s="92"/>
      <c r="B380" s="92"/>
      <c r="C380" s="92"/>
      <c r="D380" s="92"/>
      <c r="E380" s="92"/>
      <c r="F380" s="92"/>
      <c r="G380" s="92"/>
      <c r="H380" s="92"/>
      <c r="I380" s="20"/>
      <c r="J380" s="95"/>
    </row>
    <row r="381">
      <c r="A381" s="92"/>
      <c r="B381" s="92"/>
      <c r="C381" s="92"/>
      <c r="D381" s="92"/>
      <c r="E381" s="92"/>
      <c r="F381" s="92"/>
      <c r="G381" s="92"/>
      <c r="H381" s="92"/>
      <c r="I381" s="20"/>
      <c r="J381" s="95"/>
    </row>
    <row r="382">
      <c r="A382" s="92"/>
      <c r="B382" s="92"/>
      <c r="C382" s="92"/>
      <c r="D382" s="92"/>
      <c r="E382" s="92"/>
      <c r="F382" s="92"/>
      <c r="G382" s="92"/>
      <c r="H382" s="92"/>
      <c r="I382" s="20"/>
      <c r="J382" s="95"/>
    </row>
    <row r="383">
      <c r="A383" s="92"/>
      <c r="B383" s="92"/>
      <c r="C383" s="92"/>
      <c r="D383" s="92"/>
      <c r="E383" s="92"/>
      <c r="F383" s="92"/>
      <c r="G383" s="92"/>
      <c r="H383" s="92"/>
      <c r="I383" s="20"/>
      <c r="J383" s="95"/>
    </row>
    <row r="384">
      <c r="A384" s="92"/>
      <c r="B384" s="92"/>
      <c r="C384" s="92"/>
      <c r="D384" s="92"/>
      <c r="E384" s="92"/>
      <c r="F384" s="92"/>
      <c r="G384" s="92"/>
      <c r="H384" s="92"/>
      <c r="I384" s="20"/>
      <c r="J384" s="95"/>
    </row>
    <row r="385">
      <c r="A385" s="92"/>
      <c r="B385" s="92"/>
      <c r="C385" s="92"/>
      <c r="D385" s="92"/>
      <c r="E385" s="92"/>
      <c r="F385" s="92"/>
      <c r="G385" s="92"/>
      <c r="H385" s="92"/>
      <c r="I385" s="20"/>
      <c r="J385" s="95"/>
    </row>
    <row r="386">
      <c r="A386" s="92"/>
      <c r="B386" s="92"/>
      <c r="C386" s="92"/>
      <c r="D386" s="92"/>
      <c r="E386" s="92"/>
      <c r="F386" s="92"/>
      <c r="G386" s="92"/>
      <c r="H386" s="92"/>
      <c r="I386" s="20"/>
      <c r="J386" s="95"/>
    </row>
    <row r="387">
      <c r="A387" s="92"/>
      <c r="B387" s="92"/>
      <c r="C387" s="92"/>
      <c r="D387" s="92"/>
      <c r="E387" s="92"/>
      <c r="F387" s="92"/>
      <c r="G387" s="92"/>
      <c r="H387" s="92"/>
      <c r="I387" s="20"/>
      <c r="J387" s="95"/>
    </row>
    <row r="388">
      <c r="A388" s="92"/>
      <c r="B388" s="92"/>
      <c r="C388" s="92"/>
      <c r="D388" s="92"/>
      <c r="E388" s="92"/>
      <c r="F388" s="92"/>
      <c r="G388" s="92"/>
      <c r="H388" s="92"/>
      <c r="I388" s="20"/>
      <c r="J388" s="95"/>
    </row>
    <row r="389">
      <c r="A389" s="92"/>
      <c r="B389" s="92"/>
      <c r="C389" s="92"/>
      <c r="D389" s="92"/>
      <c r="E389" s="92"/>
      <c r="F389" s="92"/>
      <c r="G389" s="92"/>
      <c r="H389" s="92"/>
      <c r="I389" s="20"/>
      <c r="J389" s="95"/>
    </row>
    <row r="390">
      <c r="A390" s="92"/>
      <c r="B390" s="92"/>
      <c r="C390" s="92"/>
      <c r="D390" s="92"/>
      <c r="E390" s="92"/>
      <c r="F390" s="92"/>
      <c r="G390" s="92"/>
      <c r="H390" s="92"/>
      <c r="I390" s="20"/>
      <c r="J390" s="95"/>
    </row>
    <row r="391">
      <c r="A391" s="92"/>
      <c r="B391" s="92"/>
      <c r="C391" s="92"/>
      <c r="D391" s="92"/>
      <c r="E391" s="92"/>
      <c r="F391" s="92"/>
      <c r="G391" s="92"/>
      <c r="H391" s="92"/>
      <c r="I391" s="20"/>
      <c r="J391" s="95"/>
    </row>
    <row r="392">
      <c r="A392" s="92"/>
      <c r="B392" s="92"/>
      <c r="C392" s="92"/>
      <c r="D392" s="92"/>
      <c r="E392" s="92"/>
      <c r="F392" s="92"/>
      <c r="G392" s="92"/>
      <c r="H392" s="92"/>
      <c r="I392" s="20"/>
      <c r="J392" s="95"/>
    </row>
    <row r="393">
      <c r="A393" s="92"/>
      <c r="B393" s="92"/>
      <c r="C393" s="92"/>
      <c r="D393" s="92"/>
      <c r="E393" s="92"/>
      <c r="F393" s="92"/>
      <c r="G393" s="92"/>
      <c r="H393" s="92"/>
      <c r="I393" s="20"/>
      <c r="J393" s="95"/>
    </row>
    <row r="394">
      <c r="A394" s="92"/>
      <c r="B394" s="92"/>
      <c r="C394" s="92"/>
      <c r="D394" s="92"/>
      <c r="E394" s="92"/>
      <c r="F394" s="92"/>
      <c r="G394" s="92"/>
      <c r="H394" s="92"/>
      <c r="I394" s="20"/>
      <c r="J394" s="95"/>
    </row>
    <row r="395">
      <c r="A395" s="92"/>
      <c r="B395" s="92"/>
      <c r="C395" s="92"/>
      <c r="D395" s="92"/>
      <c r="E395" s="92"/>
      <c r="F395" s="92"/>
      <c r="G395" s="92"/>
      <c r="H395" s="92"/>
      <c r="I395" s="20"/>
      <c r="J395" s="95"/>
    </row>
    <row r="396">
      <c r="A396" s="92"/>
      <c r="B396" s="92"/>
      <c r="C396" s="92"/>
      <c r="D396" s="92"/>
      <c r="E396" s="92"/>
      <c r="F396" s="92"/>
      <c r="G396" s="92"/>
      <c r="H396" s="92"/>
      <c r="I396" s="20"/>
      <c r="J396" s="95"/>
    </row>
    <row r="397">
      <c r="A397" s="92"/>
      <c r="B397" s="92"/>
      <c r="C397" s="92"/>
      <c r="D397" s="92"/>
      <c r="E397" s="92"/>
      <c r="F397" s="92"/>
      <c r="G397" s="92"/>
      <c r="H397" s="92"/>
      <c r="I397" s="20"/>
      <c r="J397" s="95"/>
    </row>
    <row r="398">
      <c r="A398" s="92"/>
      <c r="B398" s="92"/>
      <c r="C398" s="92"/>
      <c r="D398" s="92"/>
      <c r="E398" s="92"/>
      <c r="F398" s="92"/>
      <c r="G398" s="92"/>
      <c r="H398" s="92"/>
      <c r="I398" s="20"/>
      <c r="J398" s="95"/>
    </row>
    <row r="399">
      <c r="A399" s="92"/>
      <c r="B399" s="92"/>
      <c r="C399" s="92"/>
      <c r="D399" s="92"/>
      <c r="E399" s="92"/>
      <c r="F399" s="92"/>
      <c r="G399" s="92"/>
      <c r="H399" s="92"/>
      <c r="I399" s="20"/>
      <c r="J399" s="95"/>
    </row>
    <row r="400">
      <c r="A400" s="92"/>
      <c r="B400" s="92"/>
      <c r="C400" s="92"/>
      <c r="D400" s="92"/>
      <c r="E400" s="92"/>
      <c r="F400" s="92"/>
      <c r="G400" s="92"/>
      <c r="H400" s="92"/>
      <c r="I400" s="20"/>
      <c r="J400" s="95"/>
    </row>
    <row r="401">
      <c r="A401" s="92"/>
      <c r="B401" s="92"/>
      <c r="C401" s="92"/>
      <c r="D401" s="92"/>
      <c r="E401" s="92"/>
      <c r="F401" s="92"/>
      <c r="G401" s="92"/>
      <c r="H401" s="92"/>
      <c r="I401" s="20"/>
      <c r="J401" s="95"/>
    </row>
    <row r="402">
      <c r="A402" s="92"/>
      <c r="B402" s="92"/>
      <c r="C402" s="92"/>
      <c r="D402" s="92"/>
      <c r="E402" s="92"/>
      <c r="F402" s="92"/>
      <c r="G402" s="92"/>
      <c r="H402" s="92"/>
      <c r="I402" s="20"/>
      <c r="J402" s="95"/>
    </row>
    <row r="403">
      <c r="A403" s="92"/>
      <c r="B403" s="92"/>
      <c r="C403" s="92"/>
      <c r="D403" s="92"/>
      <c r="E403" s="92"/>
      <c r="F403" s="92"/>
      <c r="G403" s="92"/>
      <c r="H403" s="92"/>
      <c r="I403" s="20"/>
      <c r="J403" s="95"/>
    </row>
    <row r="404">
      <c r="A404" s="92"/>
      <c r="B404" s="92"/>
      <c r="C404" s="92"/>
      <c r="D404" s="92"/>
      <c r="E404" s="92"/>
      <c r="F404" s="92"/>
      <c r="G404" s="92"/>
      <c r="H404" s="92"/>
      <c r="I404" s="20"/>
      <c r="J404" s="95"/>
    </row>
    <row r="405">
      <c r="A405" s="92"/>
      <c r="B405" s="92"/>
      <c r="C405" s="92"/>
      <c r="D405" s="92"/>
      <c r="E405" s="92"/>
      <c r="F405" s="92"/>
      <c r="G405" s="92"/>
      <c r="H405" s="92"/>
      <c r="I405" s="20"/>
      <c r="J405" s="95"/>
    </row>
    <row r="406">
      <c r="A406" s="92"/>
      <c r="B406" s="92"/>
      <c r="C406" s="92"/>
      <c r="D406" s="92"/>
      <c r="E406" s="92"/>
      <c r="F406" s="92"/>
      <c r="G406" s="92"/>
      <c r="H406" s="92"/>
      <c r="I406" s="20"/>
      <c r="J406" s="95"/>
    </row>
    <row r="407">
      <c r="A407" s="92"/>
      <c r="B407" s="92"/>
      <c r="C407" s="92"/>
      <c r="D407" s="92"/>
      <c r="E407" s="92"/>
      <c r="F407" s="92"/>
      <c r="G407" s="92"/>
      <c r="H407" s="92"/>
      <c r="I407" s="20"/>
      <c r="J407" s="95"/>
    </row>
    <row r="408">
      <c r="A408" s="92"/>
      <c r="B408" s="92"/>
      <c r="C408" s="92"/>
      <c r="D408" s="92"/>
      <c r="E408" s="92"/>
      <c r="F408" s="92"/>
      <c r="G408" s="92"/>
      <c r="H408" s="92"/>
      <c r="I408" s="20"/>
      <c r="J408" s="95"/>
    </row>
    <row r="409">
      <c r="A409" s="92"/>
      <c r="B409" s="92"/>
      <c r="C409" s="92"/>
      <c r="D409" s="92"/>
      <c r="E409" s="92"/>
      <c r="F409" s="92"/>
      <c r="G409" s="92"/>
      <c r="H409" s="92"/>
      <c r="I409" s="20"/>
      <c r="J409" s="95"/>
    </row>
    <row r="410">
      <c r="A410" s="92"/>
      <c r="B410" s="92"/>
      <c r="C410" s="92"/>
      <c r="D410" s="92"/>
      <c r="E410" s="92"/>
      <c r="F410" s="92"/>
      <c r="G410" s="92"/>
      <c r="H410" s="92"/>
      <c r="I410" s="20"/>
      <c r="J410" s="95"/>
    </row>
    <row r="411">
      <c r="A411" s="92"/>
      <c r="B411" s="92"/>
      <c r="C411" s="92"/>
      <c r="D411" s="92"/>
      <c r="E411" s="92"/>
      <c r="F411" s="92"/>
      <c r="G411" s="92"/>
      <c r="H411" s="92"/>
      <c r="I411" s="20"/>
      <c r="J411" s="95"/>
    </row>
    <row r="412">
      <c r="A412" s="92"/>
      <c r="B412" s="92"/>
      <c r="C412" s="92"/>
      <c r="D412" s="92"/>
      <c r="E412" s="92"/>
      <c r="F412" s="92"/>
      <c r="G412" s="92"/>
      <c r="H412" s="92"/>
      <c r="I412" s="20"/>
      <c r="J412" s="95"/>
    </row>
    <row r="413">
      <c r="A413" s="92"/>
      <c r="B413" s="92"/>
      <c r="C413" s="92"/>
      <c r="D413" s="92"/>
      <c r="E413" s="92"/>
      <c r="F413" s="92"/>
      <c r="G413" s="92"/>
      <c r="H413" s="92"/>
      <c r="I413" s="20"/>
      <c r="J413" s="95"/>
    </row>
    <row r="414">
      <c r="A414" s="92"/>
      <c r="B414" s="92"/>
      <c r="C414" s="92"/>
      <c r="D414" s="92"/>
      <c r="E414" s="92"/>
      <c r="F414" s="92"/>
      <c r="G414" s="92"/>
      <c r="H414" s="92"/>
      <c r="I414" s="20"/>
      <c r="J414" s="95"/>
    </row>
    <row r="415">
      <c r="A415" s="92"/>
      <c r="B415" s="92"/>
      <c r="C415" s="92"/>
      <c r="D415" s="92"/>
      <c r="E415" s="92"/>
      <c r="F415" s="92"/>
      <c r="G415" s="92"/>
      <c r="H415" s="92"/>
      <c r="I415" s="20"/>
      <c r="J415" s="95"/>
    </row>
    <row r="416">
      <c r="A416" s="92"/>
      <c r="B416" s="92"/>
      <c r="C416" s="92"/>
      <c r="D416" s="92"/>
      <c r="E416" s="92"/>
      <c r="F416" s="92"/>
      <c r="G416" s="92"/>
      <c r="H416" s="92"/>
      <c r="I416" s="20"/>
      <c r="J416" s="95"/>
    </row>
    <row r="417">
      <c r="A417" s="92"/>
      <c r="B417" s="92"/>
      <c r="C417" s="92"/>
      <c r="D417" s="92"/>
      <c r="E417" s="92"/>
      <c r="F417" s="92"/>
      <c r="G417" s="92"/>
      <c r="H417" s="92"/>
      <c r="I417" s="20"/>
      <c r="J417" s="95"/>
    </row>
    <row r="418">
      <c r="A418" s="92"/>
      <c r="B418" s="92"/>
      <c r="C418" s="92"/>
      <c r="D418" s="92"/>
      <c r="E418" s="92"/>
      <c r="F418" s="92"/>
      <c r="G418" s="92"/>
      <c r="H418" s="92"/>
      <c r="I418" s="20"/>
      <c r="J418" s="95"/>
    </row>
    <row r="419">
      <c r="A419" s="92"/>
      <c r="B419" s="92"/>
      <c r="C419" s="92"/>
      <c r="D419" s="92"/>
      <c r="E419" s="92"/>
      <c r="F419" s="92"/>
      <c r="G419" s="92"/>
      <c r="H419" s="92"/>
      <c r="I419" s="20"/>
      <c r="J419" s="95"/>
    </row>
    <row r="420">
      <c r="A420" s="92"/>
      <c r="B420" s="92"/>
      <c r="C420" s="92"/>
      <c r="D420" s="92"/>
      <c r="E420" s="92"/>
      <c r="F420" s="92"/>
      <c r="G420" s="92"/>
      <c r="H420" s="92"/>
      <c r="I420" s="20"/>
      <c r="J420" s="95"/>
    </row>
    <row r="421">
      <c r="A421" s="92"/>
      <c r="B421" s="92"/>
      <c r="C421" s="92"/>
      <c r="D421" s="92"/>
      <c r="E421" s="92"/>
      <c r="F421" s="92"/>
      <c r="G421" s="92"/>
      <c r="H421" s="92"/>
      <c r="I421" s="20"/>
      <c r="J421" s="95"/>
    </row>
    <row r="422">
      <c r="A422" s="92"/>
      <c r="B422" s="92"/>
      <c r="C422" s="92"/>
      <c r="D422" s="92"/>
      <c r="E422" s="92"/>
      <c r="F422" s="92"/>
      <c r="G422" s="92"/>
      <c r="H422" s="92"/>
      <c r="I422" s="20"/>
      <c r="J422" s="95"/>
    </row>
    <row r="423">
      <c r="A423" s="92"/>
      <c r="B423" s="92"/>
      <c r="C423" s="92"/>
      <c r="D423" s="92"/>
      <c r="E423" s="92"/>
      <c r="F423" s="92"/>
      <c r="G423" s="92"/>
      <c r="H423" s="92"/>
      <c r="I423" s="20"/>
      <c r="J423" s="95"/>
    </row>
    <row r="424">
      <c r="A424" s="92"/>
      <c r="B424" s="92"/>
      <c r="C424" s="92"/>
      <c r="D424" s="92"/>
      <c r="E424" s="92"/>
      <c r="F424" s="92"/>
      <c r="G424" s="92"/>
      <c r="H424" s="92"/>
      <c r="I424" s="20"/>
      <c r="J424" s="95"/>
    </row>
    <row r="425">
      <c r="A425" s="92"/>
      <c r="B425" s="92"/>
      <c r="C425" s="92"/>
      <c r="D425" s="92"/>
      <c r="E425" s="92"/>
      <c r="F425" s="92"/>
      <c r="G425" s="92"/>
      <c r="H425" s="92"/>
      <c r="I425" s="20"/>
      <c r="J425" s="95"/>
    </row>
    <row r="426">
      <c r="A426" s="92"/>
      <c r="B426" s="92"/>
      <c r="C426" s="92"/>
      <c r="D426" s="92"/>
      <c r="E426" s="92"/>
      <c r="F426" s="92"/>
      <c r="G426" s="92"/>
      <c r="H426" s="92"/>
      <c r="I426" s="20"/>
      <c r="J426" s="95"/>
    </row>
    <row r="427">
      <c r="A427" s="92"/>
      <c r="B427" s="92"/>
      <c r="C427" s="92"/>
      <c r="D427" s="92"/>
      <c r="E427" s="92"/>
      <c r="F427" s="92"/>
      <c r="G427" s="92"/>
      <c r="H427" s="92"/>
      <c r="I427" s="20"/>
      <c r="J427" s="95"/>
    </row>
    <row r="428">
      <c r="A428" s="92"/>
      <c r="B428" s="92"/>
      <c r="C428" s="92"/>
      <c r="D428" s="92"/>
      <c r="E428" s="92"/>
      <c r="F428" s="92"/>
      <c r="G428" s="92"/>
      <c r="H428" s="92"/>
      <c r="I428" s="20"/>
      <c r="J428" s="95"/>
    </row>
    <row r="429">
      <c r="A429" s="92"/>
      <c r="B429" s="92"/>
      <c r="C429" s="92"/>
      <c r="D429" s="92"/>
      <c r="E429" s="92"/>
      <c r="F429" s="92"/>
      <c r="G429" s="92"/>
      <c r="H429" s="92"/>
      <c r="I429" s="20"/>
      <c r="J429" s="95"/>
    </row>
    <row r="430">
      <c r="A430" s="92"/>
      <c r="B430" s="92"/>
      <c r="C430" s="92"/>
      <c r="D430" s="92"/>
      <c r="E430" s="92"/>
      <c r="F430" s="92"/>
      <c r="G430" s="92"/>
      <c r="H430" s="92"/>
      <c r="I430" s="20"/>
      <c r="J430" s="95"/>
    </row>
    <row r="431">
      <c r="A431" s="92"/>
      <c r="B431" s="92"/>
      <c r="C431" s="92"/>
      <c r="D431" s="92"/>
      <c r="E431" s="92"/>
      <c r="F431" s="92"/>
      <c r="G431" s="92"/>
      <c r="H431" s="92"/>
      <c r="I431" s="20"/>
      <c r="J431" s="95"/>
    </row>
    <row r="432">
      <c r="A432" s="92"/>
      <c r="B432" s="92"/>
      <c r="C432" s="92"/>
      <c r="D432" s="92"/>
      <c r="E432" s="92"/>
      <c r="F432" s="92"/>
      <c r="G432" s="92"/>
      <c r="H432" s="92"/>
      <c r="I432" s="20"/>
      <c r="J432" s="95"/>
    </row>
    <row r="433">
      <c r="A433" s="92"/>
      <c r="B433" s="92"/>
      <c r="C433" s="92"/>
      <c r="D433" s="92"/>
      <c r="E433" s="92"/>
      <c r="F433" s="92"/>
      <c r="G433" s="92"/>
      <c r="H433" s="92"/>
      <c r="I433" s="20"/>
      <c r="J433" s="95"/>
    </row>
    <row r="434">
      <c r="A434" s="92"/>
      <c r="B434" s="92"/>
      <c r="C434" s="92"/>
      <c r="D434" s="92"/>
      <c r="E434" s="92"/>
      <c r="F434" s="92"/>
      <c r="G434" s="92"/>
      <c r="H434" s="92"/>
      <c r="I434" s="20"/>
      <c r="J434" s="95"/>
    </row>
    <row r="435">
      <c r="A435" s="92"/>
      <c r="B435" s="92"/>
      <c r="C435" s="92"/>
      <c r="D435" s="92"/>
      <c r="E435" s="92"/>
      <c r="F435" s="92"/>
      <c r="G435" s="92"/>
      <c r="H435" s="92"/>
      <c r="I435" s="20"/>
      <c r="J435" s="95"/>
    </row>
    <row r="436">
      <c r="A436" s="92"/>
      <c r="B436" s="92"/>
      <c r="C436" s="92"/>
      <c r="D436" s="92"/>
      <c r="E436" s="92"/>
      <c r="F436" s="92"/>
      <c r="G436" s="92"/>
      <c r="H436" s="92"/>
      <c r="I436" s="20"/>
      <c r="J436" s="95"/>
    </row>
    <row r="437">
      <c r="A437" s="92"/>
      <c r="B437" s="92"/>
      <c r="C437" s="92"/>
      <c r="D437" s="92"/>
      <c r="E437" s="92"/>
      <c r="F437" s="92"/>
      <c r="G437" s="92"/>
      <c r="H437" s="92"/>
      <c r="I437" s="20"/>
      <c r="J437" s="95"/>
    </row>
    <row r="438">
      <c r="A438" s="92"/>
      <c r="B438" s="92"/>
      <c r="C438" s="92"/>
      <c r="D438" s="92"/>
      <c r="E438" s="92"/>
      <c r="F438" s="92"/>
      <c r="G438" s="92"/>
      <c r="H438" s="92"/>
      <c r="I438" s="20"/>
      <c r="J438" s="95"/>
    </row>
    <row r="439">
      <c r="A439" s="92"/>
      <c r="B439" s="92"/>
      <c r="C439" s="92"/>
      <c r="D439" s="92"/>
      <c r="E439" s="92"/>
      <c r="F439" s="92"/>
      <c r="G439" s="92"/>
      <c r="H439" s="92"/>
      <c r="I439" s="20"/>
      <c r="J439" s="95"/>
    </row>
    <row r="440">
      <c r="A440" s="92"/>
      <c r="B440" s="92"/>
      <c r="C440" s="92"/>
      <c r="D440" s="92"/>
      <c r="E440" s="92"/>
      <c r="F440" s="92"/>
      <c r="G440" s="92"/>
      <c r="H440" s="92"/>
      <c r="I440" s="20"/>
      <c r="J440" s="95"/>
    </row>
    <row r="441">
      <c r="A441" s="92"/>
      <c r="B441" s="92"/>
      <c r="C441" s="92"/>
      <c r="D441" s="92"/>
      <c r="E441" s="92"/>
      <c r="F441" s="92"/>
      <c r="G441" s="92"/>
      <c r="H441" s="92"/>
      <c r="I441" s="20"/>
      <c r="J441" s="95"/>
    </row>
    <row r="442">
      <c r="A442" s="92"/>
      <c r="B442" s="92"/>
      <c r="C442" s="92"/>
      <c r="D442" s="92"/>
      <c r="E442" s="92"/>
      <c r="F442" s="92"/>
      <c r="G442" s="92"/>
      <c r="H442" s="92"/>
      <c r="I442" s="20"/>
      <c r="J442" s="95"/>
    </row>
    <row r="443">
      <c r="A443" s="92"/>
      <c r="B443" s="92"/>
      <c r="C443" s="92"/>
      <c r="D443" s="92"/>
      <c r="E443" s="92"/>
      <c r="F443" s="92"/>
      <c r="G443" s="92"/>
      <c r="H443" s="92"/>
      <c r="I443" s="20"/>
      <c r="J443" s="95"/>
    </row>
    <row r="444">
      <c r="A444" s="92"/>
      <c r="B444" s="92"/>
      <c r="C444" s="92"/>
      <c r="D444" s="92"/>
      <c r="E444" s="92"/>
      <c r="F444" s="92"/>
      <c r="G444" s="92"/>
      <c r="H444" s="92"/>
      <c r="I444" s="20"/>
      <c r="J444" s="95"/>
    </row>
    <row r="445">
      <c r="A445" s="92"/>
      <c r="B445" s="92"/>
      <c r="C445" s="92"/>
      <c r="D445" s="92"/>
      <c r="E445" s="92"/>
      <c r="F445" s="92"/>
      <c r="G445" s="92"/>
      <c r="H445" s="92"/>
      <c r="I445" s="20"/>
      <c r="J445" s="95"/>
    </row>
    <row r="446">
      <c r="A446" s="92"/>
      <c r="B446" s="92"/>
      <c r="C446" s="92"/>
      <c r="D446" s="92"/>
      <c r="E446" s="92"/>
      <c r="F446" s="92"/>
      <c r="G446" s="92"/>
      <c r="H446" s="92"/>
      <c r="I446" s="20"/>
      <c r="J446" s="95"/>
    </row>
    <row r="447">
      <c r="A447" s="92"/>
      <c r="B447" s="92"/>
      <c r="C447" s="92"/>
      <c r="D447" s="92"/>
      <c r="E447" s="92"/>
      <c r="F447" s="92"/>
      <c r="G447" s="92"/>
      <c r="H447" s="92"/>
      <c r="I447" s="20"/>
      <c r="J447" s="95"/>
    </row>
    <row r="448">
      <c r="A448" s="92"/>
      <c r="B448" s="92"/>
      <c r="C448" s="92"/>
      <c r="D448" s="92"/>
      <c r="E448" s="92"/>
      <c r="F448" s="92"/>
      <c r="G448" s="92"/>
      <c r="H448" s="92"/>
      <c r="I448" s="20"/>
      <c r="J448" s="95"/>
    </row>
    <row r="449">
      <c r="A449" s="92"/>
      <c r="B449" s="92"/>
      <c r="C449" s="92"/>
      <c r="D449" s="92"/>
      <c r="E449" s="92"/>
      <c r="F449" s="92"/>
      <c r="G449" s="92"/>
      <c r="H449" s="92"/>
      <c r="I449" s="20"/>
      <c r="J449" s="95"/>
    </row>
    <row r="450">
      <c r="A450" s="92"/>
      <c r="B450" s="92"/>
      <c r="C450" s="92"/>
      <c r="D450" s="92"/>
      <c r="E450" s="92"/>
      <c r="F450" s="92"/>
      <c r="G450" s="92"/>
      <c r="H450" s="92"/>
      <c r="I450" s="20"/>
      <c r="J450" s="95"/>
    </row>
    <row r="451">
      <c r="A451" s="92"/>
      <c r="B451" s="92"/>
      <c r="C451" s="92"/>
      <c r="D451" s="92"/>
      <c r="E451" s="92"/>
      <c r="F451" s="92"/>
      <c r="G451" s="92"/>
      <c r="H451" s="92"/>
      <c r="I451" s="20"/>
      <c r="J451" s="95"/>
    </row>
    <row r="452">
      <c r="A452" s="92"/>
      <c r="B452" s="92"/>
      <c r="C452" s="92"/>
      <c r="D452" s="92"/>
      <c r="E452" s="92"/>
      <c r="F452" s="92"/>
      <c r="G452" s="92"/>
      <c r="H452" s="92"/>
      <c r="I452" s="20"/>
      <c r="J452" s="95"/>
    </row>
    <row r="453">
      <c r="A453" s="92"/>
      <c r="B453" s="92"/>
      <c r="C453" s="92"/>
      <c r="D453" s="92"/>
      <c r="E453" s="92"/>
      <c r="F453" s="92"/>
      <c r="G453" s="92"/>
      <c r="H453" s="92"/>
      <c r="I453" s="20"/>
      <c r="J453" s="95"/>
    </row>
    <row r="454">
      <c r="A454" s="92"/>
      <c r="B454" s="92"/>
      <c r="C454" s="92"/>
      <c r="D454" s="92"/>
      <c r="E454" s="92"/>
      <c r="F454" s="92"/>
      <c r="G454" s="92"/>
      <c r="H454" s="92"/>
      <c r="I454" s="20"/>
      <c r="J454" s="95"/>
    </row>
    <row r="455">
      <c r="A455" s="92"/>
      <c r="B455" s="92"/>
      <c r="C455" s="92"/>
      <c r="D455" s="92"/>
      <c r="E455" s="92"/>
      <c r="F455" s="92"/>
      <c r="G455" s="92"/>
      <c r="H455" s="92"/>
      <c r="I455" s="20"/>
      <c r="J455" s="95"/>
    </row>
    <row r="456">
      <c r="A456" s="92"/>
      <c r="B456" s="92"/>
      <c r="C456" s="92"/>
      <c r="D456" s="92"/>
      <c r="E456" s="92"/>
      <c r="F456" s="92"/>
      <c r="G456" s="92"/>
      <c r="H456" s="92"/>
      <c r="I456" s="20"/>
      <c r="J456" s="95"/>
    </row>
    <row r="457">
      <c r="A457" s="92"/>
      <c r="B457" s="92"/>
      <c r="C457" s="92"/>
      <c r="D457" s="92"/>
      <c r="E457" s="92"/>
      <c r="F457" s="92"/>
      <c r="G457" s="92"/>
      <c r="H457" s="92"/>
      <c r="I457" s="20"/>
      <c r="J457" s="95"/>
    </row>
    <row r="458">
      <c r="A458" s="92"/>
      <c r="B458" s="92"/>
      <c r="C458" s="92"/>
      <c r="D458" s="92"/>
      <c r="E458" s="92"/>
      <c r="F458" s="92"/>
      <c r="G458" s="92"/>
      <c r="H458" s="92"/>
      <c r="I458" s="20"/>
      <c r="J458" s="95"/>
    </row>
    <row r="459">
      <c r="A459" s="92"/>
      <c r="B459" s="92"/>
      <c r="C459" s="92"/>
      <c r="D459" s="92"/>
      <c r="E459" s="92"/>
      <c r="F459" s="92"/>
      <c r="G459" s="92"/>
      <c r="H459" s="92"/>
      <c r="I459" s="20"/>
      <c r="J459" s="95"/>
    </row>
    <row r="460">
      <c r="A460" s="92"/>
      <c r="B460" s="92"/>
      <c r="C460" s="92"/>
      <c r="D460" s="92"/>
      <c r="E460" s="92"/>
      <c r="F460" s="92"/>
      <c r="G460" s="92"/>
      <c r="H460" s="92"/>
      <c r="I460" s="20"/>
      <c r="J460" s="95"/>
    </row>
    <row r="461">
      <c r="A461" s="92"/>
      <c r="B461" s="92"/>
      <c r="C461" s="92"/>
      <c r="D461" s="92"/>
      <c r="E461" s="92"/>
      <c r="F461" s="92"/>
      <c r="G461" s="92"/>
      <c r="H461" s="92"/>
      <c r="I461" s="20"/>
      <c r="J461" s="95"/>
    </row>
    <row r="462">
      <c r="A462" s="92"/>
      <c r="B462" s="92"/>
      <c r="C462" s="92"/>
      <c r="D462" s="92"/>
      <c r="E462" s="92"/>
      <c r="F462" s="92"/>
      <c r="G462" s="92"/>
      <c r="H462" s="92"/>
      <c r="I462" s="20"/>
      <c r="J462" s="95"/>
    </row>
    <row r="463">
      <c r="A463" s="92"/>
      <c r="B463" s="92"/>
      <c r="C463" s="92"/>
      <c r="D463" s="92"/>
      <c r="E463" s="92"/>
      <c r="F463" s="92"/>
      <c r="G463" s="92"/>
      <c r="H463" s="92"/>
      <c r="I463" s="20"/>
      <c r="J463" s="95"/>
    </row>
    <row r="464">
      <c r="A464" s="92"/>
      <c r="B464" s="92"/>
      <c r="C464" s="92"/>
      <c r="D464" s="92"/>
      <c r="E464" s="92"/>
      <c r="F464" s="92"/>
      <c r="G464" s="92"/>
      <c r="H464" s="92"/>
      <c r="I464" s="20"/>
      <c r="J464" s="95"/>
    </row>
    <row r="465">
      <c r="A465" s="92"/>
      <c r="B465" s="92"/>
      <c r="C465" s="92"/>
      <c r="D465" s="92"/>
      <c r="E465" s="92"/>
      <c r="F465" s="92"/>
      <c r="G465" s="92"/>
      <c r="H465" s="92"/>
      <c r="I465" s="20"/>
      <c r="J465" s="95"/>
    </row>
    <row r="466">
      <c r="A466" s="92"/>
      <c r="B466" s="92"/>
      <c r="C466" s="92"/>
      <c r="D466" s="92"/>
      <c r="E466" s="92"/>
      <c r="F466" s="92"/>
      <c r="G466" s="92"/>
      <c r="H466" s="92"/>
      <c r="I466" s="20"/>
      <c r="J466" s="95"/>
    </row>
    <row r="467">
      <c r="A467" s="92"/>
      <c r="B467" s="92"/>
      <c r="C467" s="92"/>
      <c r="D467" s="92"/>
      <c r="E467" s="92"/>
      <c r="F467" s="92"/>
      <c r="G467" s="92"/>
      <c r="H467" s="92"/>
      <c r="I467" s="20"/>
      <c r="J467" s="95"/>
    </row>
    <row r="468">
      <c r="A468" s="92"/>
      <c r="B468" s="92"/>
      <c r="C468" s="92"/>
      <c r="D468" s="92"/>
      <c r="E468" s="92"/>
      <c r="F468" s="92"/>
      <c r="G468" s="92"/>
      <c r="H468" s="92"/>
      <c r="I468" s="20"/>
      <c r="J468" s="95"/>
    </row>
    <row r="469">
      <c r="A469" s="92"/>
      <c r="B469" s="92"/>
      <c r="C469" s="92"/>
      <c r="D469" s="92"/>
      <c r="E469" s="92"/>
      <c r="F469" s="92"/>
      <c r="G469" s="92"/>
      <c r="H469" s="92"/>
      <c r="I469" s="20"/>
      <c r="J469" s="95"/>
    </row>
    <row r="470">
      <c r="A470" s="92"/>
      <c r="B470" s="92"/>
      <c r="C470" s="92"/>
      <c r="D470" s="92"/>
      <c r="E470" s="92"/>
      <c r="F470" s="92"/>
      <c r="G470" s="92"/>
      <c r="H470" s="92"/>
      <c r="I470" s="20"/>
      <c r="J470" s="95"/>
    </row>
    <row r="471">
      <c r="A471" s="92"/>
      <c r="B471" s="92"/>
      <c r="C471" s="92"/>
      <c r="D471" s="92"/>
      <c r="E471" s="92"/>
      <c r="F471" s="92"/>
      <c r="G471" s="92"/>
      <c r="H471" s="92"/>
      <c r="I471" s="20"/>
      <c r="J471" s="95"/>
    </row>
    <row r="472">
      <c r="A472" s="92"/>
      <c r="B472" s="92"/>
      <c r="C472" s="92"/>
      <c r="D472" s="92"/>
      <c r="E472" s="92"/>
      <c r="F472" s="92"/>
      <c r="G472" s="92"/>
      <c r="H472" s="92"/>
      <c r="I472" s="20"/>
      <c r="J472" s="95"/>
    </row>
    <row r="473">
      <c r="A473" s="92"/>
      <c r="B473" s="92"/>
      <c r="C473" s="92"/>
      <c r="D473" s="92"/>
      <c r="E473" s="92"/>
      <c r="F473" s="92"/>
      <c r="G473" s="92"/>
      <c r="H473" s="92"/>
      <c r="I473" s="20"/>
      <c r="J473" s="95"/>
    </row>
    <row r="474">
      <c r="A474" s="92"/>
      <c r="B474" s="92"/>
      <c r="C474" s="92"/>
      <c r="D474" s="92"/>
      <c r="E474" s="92"/>
      <c r="F474" s="92"/>
      <c r="G474" s="92"/>
      <c r="H474" s="92"/>
      <c r="I474" s="20"/>
      <c r="J474" s="95"/>
    </row>
    <row r="475">
      <c r="A475" s="92"/>
      <c r="B475" s="92"/>
      <c r="C475" s="92"/>
      <c r="D475" s="92"/>
      <c r="E475" s="92"/>
      <c r="F475" s="92"/>
      <c r="G475" s="92"/>
      <c r="H475" s="92"/>
      <c r="I475" s="20"/>
      <c r="J475" s="95"/>
    </row>
    <row r="476">
      <c r="A476" s="92"/>
      <c r="B476" s="92"/>
      <c r="C476" s="92"/>
      <c r="D476" s="92"/>
      <c r="E476" s="92"/>
      <c r="F476" s="92"/>
      <c r="G476" s="92"/>
      <c r="H476" s="92"/>
      <c r="I476" s="20"/>
      <c r="J476" s="95"/>
    </row>
    <row r="477">
      <c r="A477" s="92"/>
      <c r="B477" s="92"/>
      <c r="C477" s="92"/>
      <c r="D477" s="92"/>
      <c r="E477" s="92"/>
      <c r="F477" s="92"/>
      <c r="G477" s="92"/>
      <c r="H477" s="92"/>
      <c r="I477" s="20"/>
      <c r="J477" s="95"/>
    </row>
    <row r="478">
      <c r="A478" s="92"/>
      <c r="B478" s="92"/>
      <c r="C478" s="92"/>
      <c r="D478" s="92"/>
      <c r="E478" s="92"/>
      <c r="F478" s="92"/>
      <c r="G478" s="92"/>
      <c r="H478" s="92"/>
      <c r="I478" s="20"/>
      <c r="J478" s="95"/>
    </row>
    <row r="479">
      <c r="A479" s="92"/>
      <c r="B479" s="92"/>
      <c r="C479" s="92"/>
      <c r="D479" s="92"/>
      <c r="E479" s="92"/>
      <c r="F479" s="92"/>
      <c r="G479" s="92"/>
      <c r="H479" s="92"/>
      <c r="I479" s="20"/>
      <c r="J479" s="95"/>
    </row>
    <row r="480">
      <c r="A480" s="92"/>
      <c r="B480" s="92"/>
      <c r="C480" s="92"/>
      <c r="D480" s="92"/>
      <c r="E480" s="92"/>
      <c r="F480" s="92"/>
      <c r="G480" s="92"/>
      <c r="H480" s="92"/>
      <c r="I480" s="20"/>
      <c r="J480" s="95"/>
    </row>
    <row r="481">
      <c r="A481" s="92"/>
      <c r="B481" s="92"/>
      <c r="C481" s="92"/>
      <c r="D481" s="92"/>
      <c r="E481" s="92"/>
      <c r="F481" s="92"/>
      <c r="G481" s="92"/>
      <c r="H481" s="92"/>
      <c r="I481" s="20"/>
      <c r="J481" s="95"/>
    </row>
    <row r="482">
      <c r="A482" s="92"/>
      <c r="B482" s="92"/>
      <c r="C482" s="92"/>
      <c r="D482" s="92"/>
      <c r="E482" s="92"/>
      <c r="F482" s="92"/>
      <c r="G482" s="92"/>
      <c r="H482" s="92"/>
      <c r="I482" s="20"/>
      <c r="J482" s="95"/>
    </row>
    <row r="483">
      <c r="A483" s="92"/>
      <c r="B483" s="92"/>
      <c r="C483" s="92"/>
      <c r="D483" s="92"/>
      <c r="E483" s="92"/>
      <c r="F483" s="92"/>
      <c r="G483" s="92"/>
      <c r="H483" s="92"/>
      <c r="I483" s="20"/>
      <c r="J483" s="95"/>
    </row>
    <row r="484">
      <c r="A484" s="92"/>
      <c r="B484" s="92"/>
      <c r="C484" s="92"/>
      <c r="D484" s="92"/>
      <c r="E484" s="92"/>
      <c r="F484" s="92"/>
      <c r="G484" s="92"/>
      <c r="H484" s="92"/>
      <c r="I484" s="20"/>
      <c r="J484" s="95"/>
    </row>
    <row r="485">
      <c r="A485" s="92"/>
      <c r="B485" s="92"/>
      <c r="C485" s="92"/>
      <c r="D485" s="92"/>
      <c r="E485" s="92"/>
      <c r="F485" s="92"/>
      <c r="G485" s="92"/>
      <c r="H485" s="92"/>
      <c r="I485" s="20"/>
      <c r="J485" s="95"/>
    </row>
    <row r="486">
      <c r="A486" s="92"/>
      <c r="B486" s="92"/>
      <c r="C486" s="92"/>
      <c r="D486" s="92"/>
      <c r="E486" s="92"/>
      <c r="F486" s="92"/>
      <c r="G486" s="92"/>
      <c r="H486" s="92"/>
      <c r="I486" s="20"/>
      <c r="J486" s="95"/>
    </row>
    <row r="487">
      <c r="A487" s="92"/>
      <c r="B487" s="92"/>
      <c r="C487" s="92"/>
      <c r="D487" s="92"/>
      <c r="E487" s="92"/>
      <c r="F487" s="92"/>
      <c r="G487" s="92"/>
      <c r="H487" s="92"/>
      <c r="I487" s="20"/>
      <c r="J487" s="95"/>
    </row>
    <row r="488">
      <c r="A488" s="92"/>
      <c r="B488" s="92"/>
      <c r="C488" s="92"/>
      <c r="D488" s="92"/>
      <c r="E488" s="92"/>
      <c r="F488" s="92"/>
      <c r="G488" s="92"/>
      <c r="H488" s="92"/>
      <c r="I488" s="20"/>
      <c r="J488" s="95"/>
    </row>
    <row r="489">
      <c r="A489" s="92"/>
      <c r="B489" s="92"/>
      <c r="C489" s="92"/>
      <c r="D489" s="92"/>
      <c r="E489" s="92"/>
      <c r="F489" s="92"/>
      <c r="G489" s="92"/>
      <c r="H489" s="92"/>
      <c r="I489" s="20"/>
      <c r="J489" s="95"/>
    </row>
    <row r="490">
      <c r="A490" s="92"/>
      <c r="B490" s="92"/>
      <c r="C490" s="92"/>
      <c r="D490" s="92"/>
      <c r="E490" s="92"/>
      <c r="F490" s="92"/>
      <c r="G490" s="92"/>
      <c r="H490" s="92"/>
      <c r="I490" s="20"/>
      <c r="J490" s="95"/>
    </row>
    <row r="491">
      <c r="A491" s="92"/>
      <c r="B491" s="92"/>
      <c r="C491" s="92"/>
      <c r="D491" s="92"/>
      <c r="E491" s="92"/>
      <c r="F491" s="92"/>
      <c r="G491" s="92"/>
      <c r="H491" s="92"/>
      <c r="I491" s="20"/>
      <c r="J491" s="95"/>
    </row>
    <row r="492">
      <c r="A492" s="92"/>
      <c r="B492" s="92"/>
      <c r="C492" s="92"/>
      <c r="D492" s="92"/>
      <c r="E492" s="92"/>
      <c r="F492" s="92"/>
      <c r="G492" s="92"/>
      <c r="H492" s="92"/>
      <c r="I492" s="20"/>
      <c r="J492" s="95"/>
    </row>
    <row r="493">
      <c r="A493" s="92"/>
      <c r="B493" s="92"/>
      <c r="C493" s="92"/>
      <c r="D493" s="92"/>
      <c r="E493" s="92"/>
      <c r="F493" s="92"/>
      <c r="G493" s="92"/>
      <c r="H493" s="92"/>
      <c r="I493" s="20"/>
      <c r="J493" s="95"/>
    </row>
    <row r="494">
      <c r="A494" s="92"/>
      <c r="B494" s="92"/>
      <c r="C494" s="92"/>
      <c r="D494" s="92"/>
      <c r="E494" s="92"/>
      <c r="F494" s="92"/>
      <c r="G494" s="92"/>
      <c r="H494" s="92"/>
      <c r="I494" s="20"/>
      <c r="J494" s="95"/>
    </row>
    <row r="495">
      <c r="A495" s="92"/>
      <c r="B495" s="92"/>
      <c r="C495" s="92"/>
      <c r="D495" s="92"/>
      <c r="E495" s="92"/>
      <c r="F495" s="92"/>
      <c r="G495" s="92"/>
      <c r="H495" s="92"/>
      <c r="I495" s="20"/>
      <c r="J495" s="95"/>
    </row>
    <row r="496">
      <c r="A496" s="92"/>
      <c r="B496" s="92"/>
      <c r="C496" s="92"/>
      <c r="D496" s="92"/>
      <c r="E496" s="92"/>
      <c r="F496" s="92"/>
      <c r="G496" s="92"/>
      <c r="H496" s="92"/>
      <c r="I496" s="20"/>
      <c r="J496" s="95"/>
    </row>
    <row r="497">
      <c r="A497" s="92"/>
      <c r="B497" s="92"/>
      <c r="C497" s="92"/>
      <c r="D497" s="92"/>
      <c r="E497" s="92"/>
      <c r="F497" s="92"/>
      <c r="G497" s="92"/>
      <c r="H497" s="92"/>
      <c r="I497" s="20"/>
      <c r="J497" s="95"/>
    </row>
    <row r="498">
      <c r="A498" s="92"/>
      <c r="B498" s="92"/>
      <c r="C498" s="92"/>
      <c r="D498" s="92"/>
      <c r="E498" s="92"/>
      <c r="F498" s="92"/>
      <c r="G498" s="92"/>
      <c r="H498" s="92"/>
      <c r="I498" s="20"/>
      <c r="J498" s="95"/>
    </row>
    <row r="499">
      <c r="A499" s="92"/>
      <c r="B499" s="92"/>
      <c r="C499" s="92"/>
      <c r="D499" s="92"/>
      <c r="E499" s="92"/>
      <c r="F499" s="92"/>
      <c r="G499" s="92"/>
      <c r="H499" s="92"/>
      <c r="I499" s="20"/>
      <c r="J499" s="95"/>
    </row>
    <row r="500">
      <c r="A500" s="92"/>
      <c r="B500" s="92"/>
      <c r="C500" s="92"/>
      <c r="D500" s="92"/>
      <c r="E500" s="92"/>
      <c r="F500" s="92"/>
      <c r="G500" s="92"/>
      <c r="H500" s="92"/>
      <c r="I500" s="20"/>
      <c r="J500" s="95"/>
    </row>
    <row r="501">
      <c r="A501" s="92"/>
      <c r="B501" s="92"/>
      <c r="C501" s="92"/>
      <c r="D501" s="92"/>
      <c r="E501" s="92"/>
      <c r="F501" s="92"/>
      <c r="G501" s="92"/>
      <c r="H501" s="92"/>
      <c r="I501" s="20"/>
      <c r="J501" s="95"/>
    </row>
    <row r="502">
      <c r="A502" s="92"/>
      <c r="B502" s="92"/>
      <c r="C502" s="92"/>
      <c r="D502" s="92"/>
      <c r="E502" s="92"/>
      <c r="F502" s="92"/>
      <c r="G502" s="92"/>
      <c r="H502" s="92"/>
      <c r="I502" s="20"/>
      <c r="J502" s="95"/>
    </row>
    <row r="503">
      <c r="A503" s="92"/>
      <c r="B503" s="92"/>
      <c r="C503" s="92"/>
      <c r="D503" s="92"/>
      <c r="E503" s="92"/>
      <c r="F503" s="92"/>
      <c r="G503" s="92"/>
      <c r="H503" s="92"/>
      <c r="I503" s="20"/>
      <c r="J503" s="95"/>
    </row>
    <row r="504">
      <c r="A504" s="92"/>
      <c r="B504" s="92"/>
      <c r="C504" s="92"/>
      <c r="D504" s="92"/>
      <c r="E504" s="92"/>
      <c r="F504" s="92"/>
      <c r="G504" s="92"/>
      <c r="H504" s="92"/>
      <c r="I504" s="20"/>
      <c r="J504" s="95"/>
    </row>
    <row r="505">
      <c r="A505" s="92"/>
      <c r="B505" s="92"/>
      <c r="C505" s="92"/>
      <c r="D505" s="92"/>
      <c r="E505" s="92"/>
      <c r="F505" s="92"/>
      <c r="G505" s="92"/>
      <c r="H505" s="92"/>
      <c r="I505" s="20"/>
      <c r="J505" s="95"/>
    </row>
    <row r="506">
      <c r="A506" s="92"/>
      <c r="B506" s="92"/>
      <c r="C506" s="92"/>
      <c r="D506" s="92"/>
      <c r="E506" s="92"/>
      <c r="F506" s="92"/>
      <c r="G506" s="92"/>
      <c r="H506" s="92"/>
      <c r="I506" s="20"/>
      <c r="J506" s="95"/>
    </row>
    <row r="507">
      <c r="A507" s="92"/>
      <c r="B507" s="92"/>
      <c r="C507" s="92"/>
      <c r="D507" s="92"/>
      <c r="E507" s="92"/>
      <c r="F507" s="92"/>
      <c r="G507" s="92"/>
      <c r="H507" s="92"/>
      <c r="I507" s="20"/>
      <c r="J507" s="95"/>
    </row>
    <row r="508">
      <c r="A508" s="92"/>
      <c r="B508" s="92"/>
      <c r="C508" s="92"/>
      <c r="D508" s="92"/>
      <c r="E508" s="92"/>
      <c r="F508" s="92"/>
      <c r="G508" s="92"/>
      <c r="H508" s="92"/>
      <c r="I508" s="20"/>
      <c r="J508" s="95"/>
    </row>
    <row r="509">
      <c r="A509" s="92"/>
      <c r="B509" s="92"/>
      <c r="C509" s="92"/>
      <c r="D509" s="92"/>
      <c r="E509" s="92"/>
      <c r="F509" s="92"/>
      <c r="G509" s="92"/>
      <c r="H509" s="92"/>
      <c r="I509" s="20"/>
      <c r="J509" s="95"/>
    </row>
    <row r="510">
      <c r="A510" s="92"/>
      <c r="B510" s="92"/>
      <c r="C510" s="92"/>
      <c r="D510" s="92"/>
      <c r="E510" s="92"/>
      <c r="F510" s="92"/>
      <c r="G510" s="92"/>
      <c r="H510" s="92"/>
      <c r="I510" s="20"/>
      <c r="J510" s="95"/>
    </row>
    <row r="511">
      <c r="A511" s="92"/>
      <c r="B511" s="92"/>
      <c r="C511" s="92"/>
      <c r="D511" s="92"/>
      <c r="E511" s="92"/>
      <c r="F511" s="92"/>
      <c r="G511" s="92"/>
      <c r="H511" s="92"/>
      <c r="I511" s="20"/>
      <c r="J511" s="95"/>
    </row>
    <row r="512">
      <c r="A512" s="92"/>
      <c r="B512" s="92"/>
      <c r="C512" s="92"/>
      <c r="D512" s="92"/>
      <c r="E512" s="92"/>
      <c r="F512" s="92"/>
      <c r="G512" s="92"/>
      <c r="H512" s="92"/>
      <c r="I512" s="20"/>
      <c r="J512" s="95"/>
    </row>
    <row r="513">
      <c r="A513" s="92"/>
      <c r="B513" s="92"/>
      <c r="C513" s="92"/>
      <c r="D513" s="92"/>
      <c r="E513" s="92"/>
      <c r="F513" s="92"/>
      <c r="G513" s="92"/>
      <c r="H513" s="92"/>
      <c r="I513" s="20"/>
      <c r="J513" s="95"/>
    </row>
    <row r="514">
      <c r="A514" s="92"/>
      <c r="B514" s="92"/>
      <c r="C514" s="92"/>
      <c r="D514" s="92"/>
      <c r="E514" s="92"/>
      <c r="F514" s="92"/>
      <c r="G514" s="92"/>
      <c r="H514" s="92"/>
      <c r="I514" s="20"/>
      <c r="J514" s="95"/>
    </row>
    <row r="515">
      <c r="A515" s="92"/>
      <c r="B515" s="92"/>
      <c r="C515" s="92"/>
      <c r="D515" s="92"/>
      <c r="E515" s="92"/>
      <c r="F515" s="92"/>
      <c r="G515" s="92"/>
      <c r="H515" s="92"/>
      <c r="I515" s="20"/>
      <c r="J515" s="95"/>
    </row>
    <row r="516">
      <c r="A516" s="92"/>
      <c r="B516" s="92"/>
      <c r="C516" s="92"/>
      <c r="D516" s="92"/>
      <c r="E516" s="92"/>
      <c r="F516" s="92"/>
      <c r="G516" s="92"/>
      <c r="H516" s="92"/>
      <c r="I516" s="20"/>
      <c r="J516" s="95"/>
    </row>
    <row r="517">
      <c r="A517" s="92"/>
      <c r="B517" s="92"/>
      <c r="C517" s="92"/>
      <c r="D517" s="92"/>
      <c r="E517" s="92"/>
      <c r="F517" s="92"/>
      <c r="G517" s="92"/>
      <c r="H517" s="92"/>
      <c r="I517" s="20"/>
      <c r="J517" s="95"/>
    </row>
    <row r="518">
      <c r="A518" s="92"/>
      <c r="B518" s="92"/>
      <c r="C518" s="92"/>
      <c r="D518" s="92"/>
      <c r="E518" s="92"/>
      <c r="F518" s="92"/>
      <c r="G518" s="92"/>
      <c r="H518" s="92"/>
      <c r="I518" s="20"/>
      <c r="J518" s="95"/>
    </row>
    <row r="519">
      <c r="A519" s="92"/>
      <c r="B519" s="92"/>
      <c r="C519" s="92"/>
      <c r="D519" s="92"/>
      <c r="E519" s="92"/>
      <c r="F519" s="92"/>
      <c r="G519" s="92"/>
      <c r="H519" s="92"/>
      <c r="I519" s="20"/>
      <c r="J519" s="95"/>
    </row>
    <row r="520">
      <c r="A520" s="92"/>
      <c r="B520" s="92"/>
      <c r="C520" s="92"/>
      <c r="D520" s="92"/>
      <c r="E520" s="92"/>
      <c r="F520" s="92"/>
      <c r="G520" s="92"/>
      <c r="H520" s="92"/>
      <c r="I520" s="20"/>
      <c r="J520" s="95"/>
    </row>
    <row r="521">
      <c r="A521" s="92"/>
      <c r="B521" s="92"/>
      <c r="C521" s="92"/>
      <c r="D521" s="92"/>
      <c r="E521" s="92"/>
      <c r="F521" s="92"/>
      <c r="G521" s="92"/>
      <c r="H521" s="92"/>
      <c r="I521" s="20"/>
      <c r="J521" s="95"/>
    </row>
    <row r="522">
      <c r="A522" s="92"/>
      <c r="B522" s="92"/>
      <c r="C522" s="92"/>
      <c r="D522" s="92"/>
      <c r="E522" s="92"/>
      <c r="F522" s="92"/>
      <c r="G522" s="92"/>
      <c r="H522" s="92"/>
      <c r="I522" s="20"/>
      <c r="J522" s="95"/>
    </row>
    <row r="523">
      <c r="A523" s="92"/>
      <c r="B523" s="92"/>
      <c r="C523" s="92"/>
      <c r="D523" s="92"/>
      <c r="E523" s="92"/>
      <c r="F523" s="92"/>
      <c r="G523" s="92"/>
      <c r="H523" s="92"/>
      <c r="I523" s="20"/>
      <c r="J523" s="95"/>
    </row>
    <row r="524">
      <c r="A524" s="92"/>
      <c r="B524" s="92"/>
      <c r="C524" s="92"/>
      <c r="D524" s="92"/>
      <c r="E524" s="92"/>
      <c r="F524" s="92"/>
      <c r="G524" s="92"/>
      <c r="H524" s="92"/>
      <c r="I524" s="20"/>
      <c r="J524" s="95"/>
    </row>
    <row r="525">
      <c r="A525" s="92"/>
      <c r="B525" s="92"/>
      <c r="C525" s="92"/>
      <c r="D525" s="92"/>
      <c r="E525" s="92"/>
      <c r="F525" s="92"/>
      <c r="G525" s="92"/>
      <c r="H525" s="92"/>
      <c r="I525" s="20"/>
      <c r="J525" s="95"/>
    </row>
    <row r="526">
      <c r="A526" s="92"/>
      <c r="B526" s="92"/>
      <c r="C526" s="92"/>
      <c r="D526" s="92"/>
      <c r="E526" s="92"/>
      <c r="F526" s="92"/>
      <c r="G526" s="92"/>
      <c r="H526" s="92"/>
      <c r="I526" s="20"/>
      <c r="J526" s="95"/>
    </row>
    <row r="527">
      <c r="A527" s="92"/>
      <c r="B527" s="92"/>
      <c r="C527" s="92"/>
      <c r="D527" s="92"/>
      <c r="E527" s="92"/>
      <c r="F527" s="92"/>
      <c r="G527" s="92"/>
      <c r="H527" s="92"/>
      <c r="I527" s="20"/>
      <c r="J527" s="95"/>
    </row>
    <row r="528">
      <c r="A528" s="92"/>
      <c r="B528" s="92"/>
      <c r="C528" s="92"/>
      <c r="D528" s="92"/>
      <c r="E528" s="92"/>
      <c r="F528" s="92"/>
      <c r="G528" s="92"/>
      <c r="H528" s="92"/>
      <c r="I528" s="20"/>
      <c r="J528" s="95"/>
    </row>
    <row r="529">
      <c r="A529" s="92"/>
      <c r="B529" s="92"/>
      <c r="C529" s="92"/>
      <c r="D529" s="92"/>
      <c r="E529" s="92"/>
      <c r="F529" s="92"/>
      <c r="G529" s="92"/>
      <c r="H529" s="92"/>
      <c r="I529" s="20"/>
      <c r="J529" s="95"/>
    </row>
    <row r="530">
      <c r="A530" s="92"/>
      <c r="B530" s="92"/>
      <c r="C530" s="92"/>
      <c r="D530" s="92"/>
      <c r="E530" s="92"/>
      <c r="F530" s="92"/>
      <c r="G530" s="92"/>
      <c r="H530" s="92"/>
      <c r="I530" s="20"/>
      <c r="J530" s="95"/>
    </row>
    <row r="531">
      <c r="A531" s="92"/>
      <c r="B531" s="92"/>
      <c r="C531" s="92"/>
      <c r="D531" s="92"/>
      <c r="E531" s="92"/>
      <c r="F531" s="92"/>
      <c r="G531" s="92"/>
      <c r="H531" s="92"/>
      <c r="I531" s="20"/>
      <c r="J531" s="95"/>
    </row>
    <row r="532">
      <c r="A532" s="92"/>
      <c r="B532" s="92"/>
      <c r="C532" s="92"/>
      <c r="D532" s="92"/>
      <c r="E532" s="92"/>
      <c r="F532" s="92"/>
      <c r="G532" s="92"/>
      <c r="H532" s="92"/>
      <c r="I532" s="20"/>
      <c r="J532" s="95"/>
    </row>
    <row r="533">
      <c r="A533" s="92"/>
      <c r="B533" s="92"/>
      <c r="C533" s="92"/>
      <c r="D533" s="92"/>
      <c r="E533" s="92"/>
      <c r="F533" s="92"/>
      <c r="G533" s="92"/>
      <c r="H533" s="92"/>
      <c r="I533" s="20"/>
      <c r="J533" s="95"/>
    </row>
    <row r="534">
      <c r="A534" s="92"/>
      <c r="B534" s="92"/>
      <c r="C534" s="92"/>
      <c r="D534" s="92"/>
      <c r="E534" s="92"/>
      <c r="F534" s="92"/>
      <c r="G534" s="92"/>
      <c r="H534" s="92"/>
      <c r="I534" s="20"/>
      <c r="J534" s="95"/>
    </row>
    <row r="535">
      <c r="A535" s="92"/>
      <c r="B535" s="92"/>
      <c r="C535" s="92"/>
      <c r="D535" s="92"/>
      <c r="E535" s="92"/>
      <c r="F535" s="92"/>
      <c r="G535" s="92"/>
      <c r="H535" s="92"/>
      <c r="I535" s="20"/>
      <c r="J535" s="95"/>
    </row>
    <row r="536">
      <c r="A536" s="92"/>
      <c r="B536" s="92"/>
      <c r="C536" s="92"/>
      <c r="D536" s="92"/>
      <c r="E536" s="92"/>
      <c r="F536" s="92"/>
      <c r="G536" s="92"/>
      <c r="H536" s="92"/>
      <c r="I536" s="20"/>
      <c r="J536" s="95"/>
    </row>
    <row r="537">
      <c r="A537" s="92"/>
      <c r="B537" s="92"/>
      <c r="C537" s="92"/>
      <c r="D537" s="92"/>
      <c r="E537" s="92"/>
      <c r="F537" s="92"/>
      <c r="G537" s="92"/>
      <c r="H537" s="92"/>
      <c r="I537" s="20"/>
      <c r="J537" s="95"/>
    </row>
    <row r="538">
      <c r="A538" s="92"/>
      <c r="B538" s="92"/>
      <c r="C538" s="92"/>
      <c r="D538" s="92"/>
      <c r="E538" s="92"/>
      <c r="F538" s="92"/>
      <c r="G538" s="92"/>
      <c r="H538" s="92"/>
      <c r="I538" s="20"/>
      <c r="J538" s="95"/>
    </row>
    <row r="539">
      <c r="A539" s="92"/>
      <c r="B539" s="92"/>
      <c r="C539" s="92"/>
      <c r="D539" s="92"/>
      <c r="E539" s="92"/>
      <c r="F539" s="92"/>
      <c r="G539" s="92"/>
      <c r="H539" s="92"/>
      <c r="I539" s="20"/>
      <c r="J539" s="95"/>
    </row>
    <row r="540">
      <c r="A540" s="92"/>
      <c r="B540" s="92"/>
      <c r="C540" s="92"/>
      <c r="D540" s="92"/>
      <c r="E540" s="92"/>
      <c r="F540" s="92"/>
      <c r="G540" s="92"/>
      <c r="H540" s="92"/>
      <c r="I540" s="20"/>
      <c r="J540" s="95"/>
    </row>
    <row r="541">
      <c r="A541" s="92"/>
      <c r="B541" s="92"/>
      <c r="C541" s="92"/>
      <c r="D541" s="92"/>
      <c r="E541" s="92"/>
      <c r="F541" s="92"/>
      <c r="G541" s="92"/>
      <c r="H541" s="92"/>
      <c r="I541" s="20"/>
      <c r="J541" s="95"/>
    </row>
    <row r="542">
      <c r="A542" s="92"/>
      <c r="B542" s="92"/>
      <c r="C542" s="92"/>
      <c r="D542" s="92"/>
      <c r="E542" s="92"/>
      <c r="F542" s="92"/>
      <c r="G542" s="92"/>
      <c r="H542" s="92"/>
      <c r="I542" s="20"/>
      <c r="J542" s="95"/>
    </row>
    <row r="543">
      <c r="A543" s="92"/>
      <c r="B543" s="92"/>
      <c r="C543" s="92"/>
      <c r="D543" s="92"/>
      <c r="E543" s="92"/>
      <c r="F543" s="92"/>
      <c r="G543" s="92"/>
      <c r="H543" s="92"/>
      <c r="I543" s="20"/>
      <c r="J543" s="95"/>
    </row>
    <row r="544">
      <c r="A544" s="92"/>
      <c r="B544" s="92"/>
      <c r="C544" s="92"/>
      <c r="D544" s="92"/>
      <c r="E544" s="92"/>
      <c r="F544" s="92"/>
      <c r="G544" s="92"/>
      <c r="H544" s="92"/>
      <c r="I544" s="20"/>
      <c r="J544" s="95"/>
    </row>
    <row r="545">
      <c r="A545" s="92"/>
      <c r="B545" s="92"/>
      <c r="C545" s="92"/>
      <c r="D545" s="92"/>
      <c r="E545" s="92"/>
      <c r="F545" s="92"/>
      <c r="G545" s="92"/>
      <c r="H545" s="92"/>
      <c r="I545" s="20"/>
      <c r="J545" s="95"/>
    </row>
    <row r="546">
      <c r="A546" s="92"/>
      <c r="B546" s="92"/>
      <c r="C546" s="92"/>
      <c r="D546" s="92"/>
      <c r="E546" s="92"/>
      <c r="F546" s="92"/>
      <c r="G546" s="92"/>
      <c r="H546" s="92"/>
      <c r="I546" s="20"/>
      <c r="J546" s="95"/>
    </row>
    <row r="547">
      <c r="A547" s="92"/>
      <c r="B547" s="92"/>
      <c r="C547" s="92"/>
      <c r="D547" s="92"/>
      <c r="E547" s="92"/>
      <c r="F547" s="92"/>
      <c r="G547" s="92"/>
      <c r="H547" s="92"/>
      <c r="I547" s="20"/>
      <c r="J547" s="95"/>
    </row>
    <row r="548">
      <c r="A548" s="92"/>
      <c r="B548" s="92"/>
      <c r="C548" s="92"/>
      <c r="D548" s="92"/>
      <c r="E548" s="92"/>
      <c r="F548" s="92"/>
      <c r="G548" s="92"/>
      <c r="H548" s="92"/>
      <c r="I548" s="20"/>
      <c r="J548" s="95"/>
    </row>
    <row r="549">
      <c r="A549" s="92"/>
      <c r="B549" s="92"/>
      <c r="C549" s="92"/>
      <c r="D549" s="92"/>
      <c r="E549" s="92"/>
      <c r="F549" s="92"/>
      <c r="G549" s="92"/>
      <c r="H549" s="92"/>
      <c r="I549" s="20"/>
      <c r="J549" s="95"/>
    </row>
    <row r="550">
      <c r="A550" s="92"/>
      <c r="B550" s="92"/>
      <c r="C550" s="92"/>
      <c r="D550" s="92"/>
      <c r="E550" s="92"/>
      <c r="F550" s="92"/>
      <c r="G550" s="92"/>
      <c r="H550" s="92"/>
      <c r="I550" s="20"/>
      <c r="J550" s="95"/>
    </row>
    <row r="551">
      <c r="A551" s="92"/>
      <c r="B551" s="92"/>
      <c r="C551" s="92"/>
      <c r="D551" s="92"/>
      <c r="E551" s="92"/>
      <c r="F551" s="92"/>
      <c r="G551" s="92"/>
      <c r="H551" s="92"/>
      <c r="I551" s="20"/>
      <c r="J551" s="95"/>
    </row>
    <row r="552">
      <c r="A552" s="92"/>
      <c r="B552" s="92"/>
      <c r="C552" s="92"/>
      <c r="D552" s="92"/>
      <c r="E552" s="92"/>
      <c r="F552" s="92"/>
      <c r="G552" s="92"/>
      <c r="H552" s="92"/>
      <c r="I552" s="20"/>
      <c r="J552" s="95"/>
    </row>
    <row r="553">
      <c r="A553" s="92"/>
      <c r="B553" s="92"/>
      <c r="C553" s="92"/>
      <c r="D553" s="92"/>
      <c r="E553" s="92"/>
      <c r="F553" s="92"/>
      <c r="G553" s="92"/>
      <c r="H553" s="92"/>
      <c r="I553" s="20"/>
      <c r="J553" s="95"/>
    </row>
    <row r="554">
      <c r="A554" s="92"/>
      <c r="B554" s="92"/>
      <c r="C554" s="92"/>
      <c r="D554" s="92"/>
      <c r="E554" s="92"/>
      <c r="F554" s="92"/>
      <c r="G554" s="92"/>
      <c r="H554" s="92"/>
      <c r="I554" s="20"/>
      <c r="J554" s="95"/>
    </row>
    <row r="555">
      <c r="A555" s="92"/>
      <c r="B555" s="92"/>
      <c r="C555" s="92"/>
      <c r="D555" s="92"/>
      <c r="E555" s="92"/>
      <c r="F555" s="92"/>
      <c r="G555" s="92"/>
      <c r="H555" s="92"/>
      <c r="I555" s="20"/>
      <c r="J555" s="95"/>
    </row>
    <row r="556">
      <c r="A556" s="92"/>
      <c r="B556" s="92"/>
      <c r="C556" s="92"/>
      <c r="D556" s="92"/>
      <c r="E556" s="92"/>
      <c r="F556" s="92"/>
      <c r="G556" s="92"/>
      <c r="H556" s="92"/>
      <c r="I556" s="20"/>
      <c r="J556" s="95"/>
    </row>
    <row r="557">
      <c r="A557" s="92"/>
      <c r="B557" s="92"/>
      <c r="C557" s="92"/>
      <c r="D557" s="92"/>
      <c r="E557" s="92"/>
      <c r="F557" s="92"/>
      <c r="G557" s="92"/>
      <c r="H557" s="92"/>
      <c r="I557" s="20"/>
      <c r="J557" s="95"/>
    </row>
    <row r="558">
      <c r="A558" s="92"/>
      <c r="B558" s="92"/>
      <c r="C558" s="92"/>
      <c r="D558" s="92"/>
      <c r="E558" s="92"/>
      <c r="F558" s="92"/>
      <c r="G558" s="92"/>
      <c r="H558" s="92"/>
      <c r="I558" s="20"/>
      <c r="J558" s="95"/>
    </row>
    <row r="559">
      <c r="A559" s="92"/>
      <c r="B559" s="92"/>
      <c r="C559" s="92"/>
      <c r="D559" s="92"/>
      <c r="E559" s="92"/>
      <c r="F559" s="92"/>
      <c r="G559" s="92"/>
      <c r="H559" s="92"/>
      <c r="I559" s="20"/>
      <c r="J559" s="95"/>
    </row>
    <row r="560">
      <c r="A560" s="92"/>
      <c r="B560" s="92"/>
      <c r="C560" s="92"/>
      <c r="D560" s="92"/>
      <c r="E560" s="92"/>
      <c r="F560" s="92"/>
      <c r="G560" s="92"/>
      <c r="H560" s="92"/>
      <c r="I560" s="20"/>
      <c r="J560" s="95"/>
    </row>
    <row r="561">
      <c r="A561" s="92"/>
      <c r="B561" s="92"/>
      <c r="C561" s="92"/>
      <c r="D561" s="92"/>
      <c r="E561" s="92"/>
      <c r="F561" s="92"/>
      <c r="G561" s="92"/>
      <c r="H561" s="92"/>
      <c r="I561" s="20"/>
      <c r="J561" s="95"/>
    </row>
    <row r="562">
      <c r="A562" s="92"/>
      <c r="B562" s="92"/>
      <c r="C562" s="92"/>
      <c r="D562" s="92"/>
      <c r="E562" s="92"/>
      <c r="F562" s="92"/>
      <c r="G562" s="92"/>
      <c r="H562" s="92"/>
      <c r="I562" s="20"/>
      <c r="J562" s="95"/>
    </row>
    <row r="563">
      <c r="A563" s="92"/>
      <c r="B563" s="92"/>
      <c r="C563" s="92"/>
      <c r="D563" s="92"/>
      <c r="E563" s="92"/>
      <c r="F563" s="92"/>
      <c r="G563" s="92"/>
      <c r="H563" s="92"/>
      <c r="I563" s="20"/>
      <c r="J563" s="95"/>
    </row>
    <row r="564">
      <c r="A564" s="92"/>
      <c r="B564" s="92"/>
      <c r="C564" s="92"/>
      <c r="D564" s="92"/>
      <c r="E564" s="92"/>
      <c r="F564" s="92"/>
      <c r="G564" s="92"/>
      <c r="H564" s="92"/>
      <c r="I564" s="20"/>
      <c r="J564" s="95"/>
    </row>
    <row r="565">
      <c r="A565" s="92"/>
      <c r="B565" s="92"/>
      <c r="C565" s="92"/>
      <c r="D565" s="92"/>
      <c r="E565" s="92"/>
      <c r="F565" s="92"/>
      <c r="G565" s="92"/>
      <c r="H565" s="92"/>
      <c r="I565" s="20"/>
      <c r="J565" s="95"/>
    </row>
    <row r="566">
      <c r="A566" s="92"/>
      <c r="B566" s="92"/>
      <c r="C566" s="92"/>
      <c r="D566" s="92"/>
      <c r="E566" s="92"/>
      <c r="F566" s="92"/>
      <c r="G566" s="92"/>
      <c r="H566" s="92"/>
      <c r="I566" s="20"/>
      <c r="J566" s="95"/>
    </row>
    <row r="567">
      <c r="A567" s="92"/>
      <c r="B567" s="92"/>
      <c r="C567" s="92"/>
      <c r="D567" s="92"/>
      <c r="E567" s="92"/>
      <c r="F567" s="92"/>
      <c r="G567" s="92"/>
      <c r="H567" s="92"/>
      <c r="I567" s="20"/>
      <c r="J567" s="95"/>
    </row>
    <row r="568">
      <c r="A568" s="92"/>
      <c r="B568" s="92"/>
      <c r="C568" s="92"/>
      <c r="D568" s="92"/>
      <c r="E568" s="92"/>
      <c r="F568" s="92"/>
      <c r="G568" s="92"/>
      <c r="H568" s="92"/>
      <c r="I568" s="20"/>
      <c r="J568" s="95"/>
    </row>
    <row r="569">
      <c r="A569" s="92"/>
      <c r="B569" s="92"/>
      <c r="C569" s="92"/>
      <c r="D569" s="92"/>
      <c r="E569" s="92"/>
      <c r="F569" s="92"/>
      <c r="G569" s="92"/>
      <c r="H569" s="92"/>
      <c r="I569" s="20"/>
      <c r="J569" s="95"/>
    </row>
    <row r="570">
      <c r="A570" s="92"/>
      <c r="B570" s="92"/>
      <c r="C570" s="92"/>
      <c r="D570" s="92"/>
      <c r="E570" s="92"/>
      <c r="F570" s="92"/>
      <c r="G570" s="92"/>
      <c r="H570" s="92"/>
      <c r="I570" s="20"/>
      <c r="J570" s="95"/>
    </row>
    <row r="571">
      <c r="A571" s="92"/>
      <c r="B571" s="92"/>
      <c r="C571" s="92"/>
      <c r="D571" s="92"/>
      <c r="E571" s="92"/>
      <c r="F571" s="92"/>
      <c r="G571" s="92"/>
      <c r="H571" s="92"/>
      <c r="I571" s="20"/>
      <c r="J571" s="95"/>
    </row>
    <row r="572">
      <c r="A572" s="92"/>
      <c r="B572" s="92"/>
      <c r="C572" s="92"/>
      <c r="D572" s="92"/>
      <c r="E572" s="92"/>
      <c r="F572" s="92"/>
      <c r="G572" s="92"/>
      <c r="H572" s="92"/>
      <c r="I572" s="20"/>
      <c r="J572" s="95"/>
    </row>
    <row r="573">
      <c r="A573" s="92"/>
      <c r="B573" s="92"/>
      <c r="C573" s="92"/>
      <c r="D573" s="92"/>
      <c r="E573" s="92"/>
      <c r="F573" s="92"/>
      <c r="G573" s="92"/>
      <c r="H573" s="92"/>
      <c r="I573" s="20"/>
      <c r="J573" s="95"/>
    </row>
    <row r="574">
      <c r="A574" s="92"/>
      <c r="B574" s="92"/>
      <c r="C574" s="92"/>
      <c r="D574" s="92"/>
      <c r="E574" s="92"/>
      <c r="F574" s="92"/>
      <c r="G574" s="92"/>
      <c r="H574" s="92"/>
      <c r="I574" s="20"/>
      <c r="J574" s="95"/>
    </row>
    <row r="575">
      <c r="A575" s="92"/>
      <c r="B575" s="92"/>
      <c r="C575" s="92"/>
      <c r="D575" s="92"/>
      <c r="E575" s="92"/>
      <c r="F575" s="92"/>
      <c r="G575" s="92"/>
      <c r="H575" s="92"/>
      <c r="I575" s="20"/>
      <c r="J575" s="95"/>
    </row>
    <row r="576">
      <c r="A576" s="92"/>
      <c r="B576" s="92"/>
      <c r="C576" s="92"/>
      <c r="D576" s="92"/>
      <c r="E576" s="92"/>
      <c r="F576" s="92"/>
      <c r="G576" s="92"/>
      <c r="H576" s="92"/>
      <c r="I576" s="20"/>
      <c r="J576" s="95"/>
    </row>
    <row r="577">
      <c r="A577" s="92"/>
      <c r="B577" s="92"/>
      <c r="C577" s="92"/>
      <c r="D577" s="92"/>
      <c r="E577" s="92"/>
      <c r="F577" s="92"/>
      <c r="G577" s="92"/>
      <c r="H577" s="92"/>
      <c r="I577" s="20"/>
      <c r="J577" s="95"/>
    </row>
    <row r="578">
      <c r="A578" s="92"/>
      <c r="B578" s="92"/>
      <c r="C578" s="92"/>
      <c r="D578" s="92"/>
      <c r="E578" s="92"/>
      <c r="F578" s="92"/>
      <c r="G578" s="92"/>
      <c r="H578" s="92"/>
      <c r="I578" s="20"/>
      <c r="J578" s="95"/>
    </row>
    <row r="579">
      <c r="A579" s="92"/>
      <c r="B579" s="92"/>
      <c r="C579" s="92"/>
      <c r="D579" s="92"/>
      <c r="E579" s="92"/>
      <c r="F579" s="92"/>
      <c r="G579" s="92"/>
      <c r="H579" s="92"/>
      <c r="I579" s="20"/>
      <c r="J579" s="95"/>
    </row>
    <row r="580">
      <c r="A580" s="92"/>
      <c r="B580" s="92"/>
      <c r="C580" s="92"/>
      <c r="D580" s="92"/>
      <c r="E580" s="92"/>
      <c r="F580" s="92"/>
      <c r="G580" s="92"/>
      <c r="H580" s="92"/>
      <c r="I580" s="20"/>
      <c r="J580" s="95"/>
    </row>
    <row r="581">
      <c r="A581" s="92"/>
      <c r="B581" s="92"/>
      <c r="C581" s="92"/>
      <c r="D581" s="92"/>
      <c r="E581" s="92"/>
      <c r="F581" s="92"/>
      <c r="G581" s="92"/>
      <c r="H581" s="92"/>
      <c r="I581" s="20"/>
      <c r="J581" s="95"/>
    </row>
    <row r="582">
      <c r="A582" s="92"/>
      <c r="B582" s="92"/>
      <c r="C582" s="92"/>
      <c r="D582" s="92"/>
      <c r="E582" s="92"/>
      <c r="F582" s="92"/>
      <c r="G582" s="92"/>
      <c r="H582" s="92"/>
      <c r="I582" s="20"/>
      <c r="J582" s="95"/>
    </row>
    <row r="583">
      <c r="A583" s="92"/>
      <c r="B583" s="92"/>
      <c r="C583" s="92"/>
      <c r="D583" s="92"/>
      <c r="E583" s="92"/>
      <c r="F583" s="92"/>
      <c r="G583" s="92"/>
      <c r="H583" s="92"/>
      <c r="I583" s="20"/>
      <c r="J583" s="95"/>
    </row>
    <row r="584">
      <c r="A584" s="92"/>
      <c r="B584" s="92"/>
      <c r="C584" s="92"/>
      <c r="D584" s="92"/>
      <c r="E584" s="92"/>
      <c r="F584" s="92"/>
      <c r="G584" s="92"/>
      <c r="H584" s="92"/>
      <c r="I584" s="20"/>
      <c r="J584" s="95"/>
    </row>
    <row r="585">
      <c r="A585" s="92"/>
      <c r="B585" s="92"/>
      <c r="C585" s="92"/>
      <c r="D585" s="92"/>
      <c r="E585" s="92"/>
      <c r="F585" s="92"/>
      <c r="G585" s="92"/>
      <c r="H585" s="92"/>
      <c r="I585" s="20"/>
      <c r="J585" s="95"/>
    </row>
    <row r="586">
      <c r="A586" s="92"/>
      <c r="B586" s="92"/>
      <c r="C586" s="92"/>
      <c r="D586" s="92"/>
      <c r="E586" s="92"/>
      <c r="F586" s="92"/>
      <c r="G586" s="92"/>
      <c r="H586" s="92"/>
      <c r="I586" s="20"/>
      <c r="J586" s="95"/>
    </row>
    <row r="587">
      <c r="A587" s="92"/>
      <c r="B587" s="92"/>
      <c r="C587" s="92"/>
      <c r="D587" s="92"/>
      <c r="E587" s="92"/>
      <c r="F587" s="92"/>
      <c r="G587" s="92"/>
      <c r="H587" s="92"/>
      <c r="I587" s="20"/>
      <c r="J587" s="95"/>
    </row>
    <row r="588">
      <c r="A588" s="92"/>
      <c r="B588" s="92"/>
      <c r="C588" s="92"/>
      <c r="D588" s="92"/>
      <c r="E588" s="92"/>
      <c r="F588" s="92"/>
      <c r="G588" s="92"/>
      <c r="H588" s="92"/>
      <c r="I588" s="20"/>
      <c r="J588" s="95"/>
    </row>
    <row r="589">
      <c r="A589" s="92"/>
      <c r="B589" s="92"/>
      <c r="C589" s="92"/>
      <c r="D589" s="92"/>
      <c r="E589" s="92"/>
      <c r="F589" s="92"/>
      <c r="G589" s="92"/>
      <c r="H589" s="92"/>
      <c r="I589" s="20"/>
      <c r="J589" s="95"/>
    </row>
    <row r="590">
      <c r="A590" s="92"/>
      <c r="B590" s="92"/>
      <c r="C590" s="92"/>
      <c r="D590" s="92"/>
      <c r="E590" s="92"/>
      <c r="F590" s="92"/>
      <c r="G590" s="92"/>
      <c r="H590" s="92"/>
      <c r="I590" s="20"/>
      <c r="J590" s="95"/>
    </row>
    <row r="591">
      <c r="A591" s="92"/>
      <c r="B591" s="92"/>
      <c r="C591" s="92"/>
      <c r="D591" s="92"/>
      <c r="E591" s="92"/>
      <c r="F591" s="92"/>
      <c r="G591" s="92"/>
      <c r="H591" s="92"/>
      <c r="I591" s="20"/>
      <c r="J591" s="95"/>
    </row>
    <row r="592">
      <c r="A592" s="92"/>
      <c r="B592" s="92"/>
      <c r="C592" s="92"/>
      <c r="D592" s="92"/>
      <c r="E592" s="92"/>
      <c r="F592" s="92"/>
      <c r="G592" s="92"/>
      <c r="H592" s="92"/>
      <c r="I592" s="20"/>
      <c r="J592" s="95"/>
    </row>
    <row r="593">
      <c r="A593" s="92"/>
      <c r="B593" s="92"/>
      <c r="C593" s="92"/>
      <c r="D593" s="92"/>
      <c r="E593" s="92"/>
      <c r="F593" s="92"/>
      <c r="G593" s="92"/>
      <c r="H593" s="92"/>
      <c r="I593" s="20"/>
      <c r="J593" s="95"/>
    </row>
    <row r="594">
      <c r="A594" s="92"/>
      <c r="B594" s="92"/>
      <c r="C594" s="92"/>
      <c r="D594" s="92"/>
      <c r="E594" s="92"/>
      <c r="F594" s="92"/>
      <c r="G594" s="92"/>
      <c r="H594" s="92"/>
      <c r="I594" s="20"/>
      <c r="J594" s="95"/>
    </row>
    <row r="595">
      <c r="A595" s="92"/>
      <c r="B595" s="92"/>
      <c r="C595" s="92"/>
      <c r="D595" s="92"/>
      <c r="E595" s="92"/>
      <c r="F595" s="92"/>
      <c r="G595" s="92"/>
      <c r="H595" s="92"/>
      <c r="I595" s="20"/>
      <c r="J595" s="95"/>
    </row>
    <row r="596">
      <c r="A596" s="92"/>
      <c r="B596" s="92"/>
      <c r="C596" s="92"/>
      <c r="D596" s="92"/>
      <c r="E596" s="92"/>
      <c r="F596" s="92"/>
      <c r="G596" s="92"/>
      <c r="H596" s="92"/>
      <c r="I596" s="20"/>
      <c r="J596" s="95"/>
    </row>
    <row r="597">
      <c r="A597" s="92"/>
      <c r="B597" s="92"/>
      <c r="C597" s="92"/>
      <c r="D597" s="92"/>
      <c r="E597" s="92"/>
      <c r="F597" s="92"/>
      <c r="G597" s="92"/>
      <c r="H597" s="92"/>
      <c r="I597" s="20"/>
      <c r="J597" s="95"/>
    </row>
    <row r="598">
      <c r="A598" s="92"/>
      <c r="B598" s="92"/>
      <c r="C598" s="92"/>
      <c r="D598" s="92"/>
      <c r="E598" s="92"/>
      <c r="F598" s="92"/>
      <c r="G598" s="92"/>
      <c r="H598" s="92"/>
      <c r="I598" s="20"/>
      <c r="J598" s="95"/>
    </row>
    <row r="599">
      <c r="A599" s="92"/>
      <c r="B599" s="92"/>
      <c r="C599" s="92"/>
      <c r="D599" s="92"/>
      <c r="E599" s="92"/>
      <c r="F599" s="92"/>
      <c r="G599" s="92"/>
      <c r="H599" s="92"/>
      <c r="I599" s="20"/>
      <c r="J599" s="95"/>
    </row>
    <row r="600">
      <c r="A600" s="92"/>
      <c r="B600" s="92"/>
      <c r="C600" s="92"/>
      <c r="D600" s="92"/>
      <c r="E600" s="92"/>
      <c r="F600" s="92"/>
      <c r="G600" s="92"/>
      <c r="H600" s="92"/>
      <c r="I600" s="20"/>
      <c r="J600" s="95"/>
    </row>
    <row r="601">
      <c r="A601" s="92"/>
      <c r="B601" s="92"/>
      <c r="C601" s="92"/>
      <c r="D601" s="92"/>
      <c r="E601" s="92"/>
      <c r="F601" s="92"/>
      <c r="G601" s="92"/>
      <c r="H601" s="92"/>
      <c r="I601" s="20"/>
      <c r="J601" s="95"/>
    </row>
    <row r="602">
      <c r="A602" s="92"/>
      <c r="B602" s="92"/>
      <c r="C602" s="92"/>
      <c r="D602" s="92"/>
      <c r="E602" s="92"/>
      <c r="F602" s="92"/>
      <c r="G602" s="92"/>
      <c r="H602" s="92"/>
      <c r="I602" s="20"/>
      <c r="J602" s="95"/>
    </row>
    <row r="603">
      <c r="A603" s="92"/>
      <c r="B603" s="92"/>
      <c r="C603" s="92"/>
      <c r="D603" s="92"/>
      <c r="E603" s="92"/>
      <c r="F603" s="92"/>
      <c r="G603" s="92"/>
      <c r="H603" s="92"/>
      <c r="I603" s="20"/>
      <c r="J603" s="95"/>
    </row>
    <row r="604">
      <c r="A604" s="92"/>
      <c r="B604" s="92"/>
      <c r="C604" s="92"/>
      <c r="D604" s="92"/>
      <c r="E604" s="92"/>
      <c r="F604" s="92"/>
      <c r="G604" s="92"/>
      <c r="H604" s="92"/>
      <c r="I604" s="20"/>
      <c r="J604" s="95"/>
    </row>
    <row r="605">
      <c r="A605" s="92"/>
      <c r="B605" s="92"/>
      <c r="C605" s="92"/>
      <c r="D605" s="92"/>
      <c r="E605" s="92"/>
      <c r="F605" s="92"/>
      <c r="G605" s="92"/>
      <c r="H605" s="92"/>
      <c r="I605" s="20"/>
      <c r="J605" s="95"/>
    </row>
    <row r="606">
      <c r="A606" s="92"/>
      <c r="B606" s="92"/>
      <c r="C606" s="92"/>
      <c r="D606" s="92"/>
      <c r="E606" s="92"/>
      <c r="F606" s="92"/>
      <c r="G606" s="92"/>
      <c r="H606" s="92"/>
      <c r="I606" s="20"/>
      <c r="J606" s="95"/>
    </row>
    <row r="607">
      <c r="A607" s="92"/>
      <c r="B607" s="92"/>
      <c r="C607" s="92"/>
      <c r="D607" s="92"/>
      <c r="E607" s="92"/>
      <c r="F607" s="92"/>
      <c r="G607" s="92"/>
      <c r="H607" s="92"/>
      <c r="I607" s="20"/>
      <c r="J607" s="95"/>
    </row>
    <row r="608">
      <c r="A608" s="92"/>
      <c r="B608" s="92"/>
      <c r="C608" s="92"/>
      <c r="D608" s="92"/>
      <c r="E608" s="92"/>
      <c r="F608" s="92"/>
      <c r="G608" s="92"/>
      <c r="H608" s="92"/>
      <c r="I608" s="20"/>
      <c r="J608" s="95"/>
    </row>
    <row r="609">
      <c r="A609" s="92"/>
      <c r="B609" s="92"/>
      <c r="C609" s="92"/>
      <c r="D609" s="92"/>
      <c r="E609" s="92"/>
      <c r="F609" s="92"/>
      <c r="G609" s="92"/>
      <c r="H609" s="92"/>
      <c r="I609" s="20"/>
      <c r="J609" s="95"/>
    </row>
    <row r="610">
      <c r="A610" s="92"/>
      <c r="B610" s="92"/>
      <c r="C610" s="92"/>
      <c r="D610" s="92"/>
      <c r="E610" s="92"/>
      <c r="F610" s="92"/>
      <c r="G610" s="92"/>
      <c r="H610" s="92"/>
      <c r="I610" s="20"/>
      <c r="J610" s="95"/>
    </row>
    <row r="611">
      <c r="A611" s="92"/>
      <c r="B611" s="92"/>
      <c r="C611" s="92"/>
      <c r="D611" s="92"/>
      <c r="E611" s="92"/>
      <c r="F611" s="92"/>
      <c r="G611" s="92"/>
      <c r="H611" s="92"/>
      <c r="I611" s="20"/>
      <c r="J611" s="95"/>
    </row>
    <row r="612">
      <c r="A612" s="92"/>
      <c r="B612" s="92"/>
      <c r="C612" s="92"/>
      <c r="D612" s="92"/>
      <c r="E612" s="92"/>
      <c r="F612" s="92"/>
      <c r="G612" s="92"/>
      <c r="H612" s="92"/>
      <c r="I612" s="20"/>
      <c r="J612" s="95"/>
    </row>
    <row r="613">
      <c r="A613" s="92"/>
      <c r="B613" s="92"/>
      <c r="C613" s="92"/>
      <c r="D613" s="92"/>
      <c r="E613" s="92"/>
      <c r="F613" s="92"/>
      <c r="G613" s="92"/>
      <c r="H613" s="92"/>
      <c r="I613" s="20"/>
      <c r="J613" s="95"/>
    </row>
    <row r="614">
      <c r="A614" s="92"/>
      <c r="B614" s="92"/>
      <c r="C614" s="92"/>
      <c r="D614" s="92"/>
      <c r="E614" s="92"/>
      <c r="F614" s="92"/>
      <c r="G614" s="92"/>
      <c r="H614" s="92"/>
      <c r="I614" s="20"/>
      <c r="J614" s="95"/>
    </row>
    <row r="615">
      <c r="A615" s="92"/>
      <c r="B615" s="92"/>
      <c r="C615" s="92"/>
      <c r="D615" s="92"/>
      <c r="E615" s="92"/>
      <c r="F615" s="92"/>
      <c r="G615" s="92"/>
      <c r="H615" s="92"/>
      <c r="I615" s="20"/>
      <c r="J615" s="95"/>
    </row>
    <row r="616">
      <c r="A616" s="92"/>
      <c r="B616" s="92"/>
      <c r="C616" s="92"/>
      <c r="D616" s="92"/>
      <c r="E616" s="92"/>
      <c r="F616" s="92"/>
      <c r="G616" s="92"/>
      <c r="H616" s="92"/>
      <c r="I616" s="20"/>
      <c r="J616" s="95"/>
    </row>
    <row r="617">
      <c r="A617" s="92"/>
      <c r="B617" s="92"/>
      <c r="C617" s="92"/>
      <c r="D617" s="92"/>
      <c r="E617" s="92"/>
      <c r="F617" s="92"/>
      <c r="G617" s="92"/>
      <c r="H617" s="92"/>
      <c r="I617" s="20"/>
      <c r="J617" s="95"/>
    </row>
    <row r="618">
      <c r="A618" s="92"/>
      <c r="B618" s="92"/>
      <c r="C618" s="92"/>
      <c r="D618" s="92"/>
      <c r="E618" s="92"/>
      <c r="F618" s="92"/>
      <c r="G618" s="92"/>
      <c r="H618" s="92"/>
      <c r="I618" s="20"/>
      <c r="J618" s="95"/>
    </row>
    <row r="619">
      <c r="A619" s="92"/>
      <c r="B619" s="92"/>
      <c r="C619" s="92"/>
      <c r="D619" s="92"/>
      <c r="E619" s="92"/>
      <c r="F619" s="92"/>
      <c r="G619" s="92"/>
      <c r="H619" s="92"/>
      <c r="I619" s="20"/>
      <c r="J619" s="95"/>
    </row>
    <row r="620">
      <c r="A620" s="92"/>
      <c r="B620" s="92"/>
      <c r="C620" s="92"/>
      <c r="D620" s="92"/>
      <c r="E620" s="92"/>
      <c r="F620" s="92"/>
      <c r="G620" s="92"/>
      <c r="H620" s="92"/>
      <c r="I620" s="20"/>
      <c r="J620" s="95"/>
    </row>
    <row r="621">
      <c r="A621" s="92"/>
      <c r="B621" s="92"/>
      <c r="C621" s="92"/>
      <c r="D621" s="92"/>
      <c r="E621" s="92"/>
      <c r="F621" s="92"/>
      <c r="G621" s="92"/>
      <c r="H621" s="92"/>
      <c r="I621" s="20"/>
      <c r="J621" s="95"/>
    </row>
    <row r="622">
      <c r="A622" s="92"/>
      <c r="B622" s="92"/>
      <c r="C622" s="92"/>
      <c r="D622" s="92"/>
      <c r="E622" s="92"/>
      <c r="F622" s="92"/>
      <c r="G622" s="92"/>
      <c r="H622" s="92"/>
      <c r="I622" s="20"/>
      <c r="J622" s="95"/>
    </row>
    <row r="623">
      <c r="A623" s="92"/>
      <c r="B623" s="92"/>
      <c r="C623" s="92"/>
      <c r="D623" s="92"/>
      <c r="E623" s="92"/>
      <c r="F623" s="92"/>
      <c r="G623" s="92"/>
      <c r="H623" s="92"/>
      <c r="I623" s="20"/>
      <c r="J623" s="95"/>
    </row>
    <row r="624">
      <c r="A624" s="92"/>
      <c r="B624" s="92"/>
      <c r="C624" s="92"/>
      <c r="D624" s="92"/>
      <c r="E624" s="92"/>
      <c r="F624" s="92"/>
      <c r="G624" s="92"/>
      <c r="H624" s="92"/>
      <c r="I624" s="20"/>
      <c r="J624" s="95"/>
    </row>
    <row r="625">
      <c r="A625" s="92"/>
      <c r="B625" s="92"/>
      <c r="C625" s="92"/>
      <c r="D625" s="92"/>
      <c r="E625" s="92"/>
      <c r="F625" s="92"/>
      <c r="G625" s="92"/>
      <c r="H625" s="92"/>
      <c r="I625" s="20"/>
      <c r="J625" s="95"/>
    </row>
    <row r="626">
      <c r="A626" s="92"/>
      <c r="B626" s="92"/>
      <c r="C626" s="92"/>
      <c r="D626" s="92"/>
      <c r="E626" s="92"/>
      <c r="F626" s="92"/>
      <c r="G626" s="92"/>
      <c r="H626" s="92"/>
      <c r="I626" s="20"/>
      <c r="J626" s="95"/>
    </row>
    <row r="627">
      <c r="A627" s="92"/>
      <c r="B627" s="92"/>
      <c r="C627" s="92"/>
      <c r="D627" s="92"/>
      <c r="E627" s="92"/>
      <c r="F627" s="92"/>
      <c r="G627" s="92"/>
      <c r="H627" s="92"/>
      <c r="I627" s="20"/>
      <c r="J627" s="95"/>
    </row>
    <row r="628">
      <c r="A628" s="92"/>
      <c r="B628" s="92"/>
      <c r="C628" s="92"/>
      <c r="D628" s="92"/>
      <c r="E628" s="92"/>
      <c r="F628" s="92"/>
      <c r="G628" s="92"/>
      <c r="H628" s="92"/>
      <c r="I628" s="20"/>
      <c r="J628" s="95"/>
    </row>
    <row r="629">
      <c r="A629" s="92"/>
      <c r="B629" s="92"/>
      <c r="C629" s="92"/>
      <c r="D629" s="92"/>
      <c r="E629" s="92"/>
      <c r="F629" s="92"/>
      <c r="G629" s="92"/>
      <c r="H629" s="92"/>
      <c r="I629" s="20"/>
      <c r="J629" s="95"/>
    </row>
    <row r="630">
      <c r="A630" s="92"/>
      <c r="B630" s="92"/>
      <c r="C630" s="92"/>
      <c r="D630" s="92"/>
      <c r="E630" s="92"/>
      <c r="F630" s="92"/>
      <c r="G630" s="92"/>
      <c r="H630" s="92"/>
      <c r="I630" s="20"/>
      <c r="J630" s="95"/>
    </row>
    <row r="631">
      <c r="A631" s="92"/>
      <c r="B631" s="92"/>
      <c r="C631" s="92"/>
      <c r="D631" s="92"/>
      <c r="E631" s="92"/>
      <c r="F631" s="92"/>
      <c r="G631" s="92"/>
      <c r="H631" s="92"/>
      <c r="I631" s="20"/>
      <c r="J631" s="95"/>
    </row>
    <row r="632">
      <c r="A632" s="92"/>
      <c r="B632" s="92"/>
      <c r="C632" s="92"/>
      <c r="D632" s="92"/>
      <c r="E632" s="92"/>
      <c r="F632" s="92"/>
      <c r="G632" s="92"/>
      <c r="H632" s="92"/>
      <c r="I632" s="20"/>
      <c r="J632" s="95"/>
    </row>
    <row r="633">
      <c r="A633" s="92"/>
      <c r="B633" s="92"/>
      <c r="C633" s="92"/>
      <c r="D633" s="92"/>
      <c r="E633" s="92"/>
      <c r="F633" s="92"/>
      <c r="G633" s="92"/>
      <c r="H633" s="92"/>
      <c r="I633" s="20"/>
      <c r="J633" s="95"/>
    </row>
    <row r="634">
      <c r="A634" s="92"/>
      <c r="B634" s="92"/>
      <c r="C634" s="92"/>
      <c r="D634" s="92"/>
      <c r="E634" s="92"/>
      <c r="F634" s="92"/>
      <c r="G634" s="92"/>
      <c r="H634" s="92"/>
      <c r="I634" s="20"/>
      <c r="J634" s="95"/>
    </row>
    <row r="635">
      <c r="A635" s="92"/>
      <c r="B635" s="92"/>
      <c r="C635" s="92"/>
      <c r="D635" s="92"/>
      <c r="E635" s="92"/>
      <c r="F635" s="92"/>
      <c r="G635" s="92"/>
      <c r="H635" s="92"/>
      <c r="I635" s="20"/>
      <c r="J635" s="95"/>
    </row>
    <row r="636">
      <c r="A636" s="92"/>
      <c r="B636" s="92"/>
      <c r="C636" s="92"/>
      <c r="D636" s="92"/>
      <c r="E636" s="92"/>
      <c r="F636" s="92"/>
      <c r="G636" s="92"/>
      <c r="H636" s="92"/>
      <c r="I636" s="20"/>
      <c r="J636" s="95"/>
    </row>
    <row r="637">
      <c r="A637" s="92"/>
      <c r="B637" s="92"/>
      <c r="C637" s="92"/>
      <c r="D637" s="92"/>
      <c r="E637" s="92"/>
      <c r="F637" s="92"/>
      <c r="G637" s="92"/>
      <c r="H637" s="92"/>
      <c r="I637" s="20"/>
      <c r="J637" s="95"/>
    </row>
    <row r="638">
      <c r="A638" s="92"/>
      <c r="B638" s="92"/>
      <c r="C638" s="92"/>
      <c r="D638" s="92"/>
      <c r="E638" s="92"/>
      <c r="F638" s="92"/>
      <c r="G638" s="92"/>
      <c r="H638" s="92"/>
      <c r="I638" s="20"/>
      <c r="J638" s="95"/>
    </row>
    <row r="639">
      <c r="A639" s="92"/>
      <c r="B639" s="92"/>
      <c r="C639" s="92"/>
      <c r="D639" s="92"/>
      <c r="E639" s="92"/>
      <c r="F639" s="92"/>
      <c r="G639" s="92"/>
      <c r="H639" s="92"/>
      <c r="I639" s="20"/>
      <c r="J639" s="95"/>
    </row>
    <row r="640">
      <c r="A640" s="92"/>
      <c r="B640" s="92"/>
      <c r="C640" s="92"/>
      <c r="D640" s="92"/>
      <c r="E640" s="92"/>
      <c r="F640" s="92"/>
      <c r="G640" s="92"/>
      <c r="H640" s="92"/>
      <c r="I640" s="20"/>
      <c r="J640" s="95"/>
    </row>
    <row r="641">
      <c r="A641" s="92"/>
      <c r="B641" s="92"/>
      <c r="C641" s="92"/>
      <c r="D641" s="92"/>
      <c r="E641" s="92"/>
      <c r="F641" s="92"/>
      <c r="G641" s="92"/>
      <c r="H641" s="92"/>
      <c r="I641" s="20"/>
      <c r="J641" s="95"/>
    </row>
    <row r="642">
      <c r="A642" s="92"/>
      <c r="B642" s="92"/>
      <c r="C642" s="92"/>
      <c r="D642" s="92"/>
      <c r="E642" s="92"/>
      <c r="F642" s="92"/>
      <c r="G642" s="92"/>
      <c r="H642" s="92"/>
      <c r="I642" s="20"/>
      <c r="J642" s="95"/>
    </row>
    <row r="643">
      <c r="A643" s="92"/>
      <c r="B643" s="92"/>
      <c r="C643" s="92"/>
      <c r="D643" s="92"/>
      <c r="E643" s="92"/>
      <c r="F643" s="92"/>
      <c r="G643" s="92"/>
      <c r="H643" s="92"/>
      <c r="I643" s="20"/>
      <c r="J643" s="95"/>
    </row>
    <row r="644">
      <c r="A644" s="92"/>
      <c r="B644" s="92"/>
      <c r="C644" s="92"/>
      <c r="D644" s="92"/>
      <c r="E644" s="92"/>
      <c r="F644" s="92"/>
      <c r="G644" s="92"/>
      <c r="H644" s="92"/>
      <c r="I644" s="20"/>
      <c r="J644" s="95"/>
    </row>
    <row r="645">
      <c r="A645" s="92"/>
      <c r="B645" s="92"/>
      <c r="C645" s="92"/>
      <c r="D645" s="92"/>
      <c r="E645" s="92"/>
      <c r="F645" s="92"/>
      <c r="G645" s="92"/>
      <c r="H645" s="92"/>
      <c r="I645" s="20"/>
      <c r="J645" s="95"/>
    </row>
    <row r="646">
      <c r="A646" s="92"/>
      <c r="B646" s="92"/>
      <c r="C646" s="92"/>
      <c r="D646" s="92"/>
      <c r="E646" s="92"/>
      <c r="F646" s="92"/>
      <c r="G646" s="92"/>
      <c r="H646" s="92"/>
      <c r="I646" s="20"/>
      <c r="J646" s="95"/>
    </row>
    <row r="647">
      <c r="A647" s="92"/>
      <c r="B647" s="92"/>
      <c r="C647" s="92"/>
      <c r="D647" s="92"/>
      <c r="E647" s="92"/>
      <c r="F647" s="92"/>
      <c r="G647" s="92"/>
      <c r="H647" s="92"/>
      <c r="I647" s="20"/>
      <c r="J647" s="95"/>
    </row>
    <row r="648">
      <c r="A648" s="92"/>
      <c r="B648" s="92"/>
      <c r="C648" s="92"/>
      <c r="D648" s="92"/>
      <c r="E648" s="92"/>
      <c r="F648" s="92"/>
      <c r="G648" s="92"/>
      <c r="H648" s="92"/>
      <c r="I648" s="20"/>
      <c r="J648" s="95"/>
    </row>
    <row r="649">
      <c r="A649" s="92"/>
      <c r="B649" s="92"/>
      <c r="C649" s="92"/>
      <c r="D649" s="92"/>
      <c r="E649" s="92"/>
      <c r="F649" s="92"/>
      <c r="G649" s="92"/>
      <c r="H649" s="92"/>
      <c r="I649" s="20"/>
      <c r="J649" s="95"/>
    </row>
    <row r="650">
      <c r="A650" s="92"/>
      <c r="B650" s="92"/>
      <c r="C650" s="92"/>
      <c r="D650" s="92"/>
      <c r="E650" s="92"/>
      <c r="F650" s="92"/>
      <c r="G650" s="92"/>
      <c r="H650" s="92"/>
      <c r="I650" s="20"/>
      <c r="J650" s="95"/>
    </row>
    <row r="651">
      <c r="A651" s="92"/>
      <c r="B651" s="92"/>
      <c r="C651" s="92"/>
      <c r="D651" s="92"/>
      <c r="E651" s="92"/>
      <c r="F651" s="92"/>
      <c r="G651" s="92"/>
      <c r="H651" s="92"/>
      <c r="I651" s="20"/>
      <c r="J651" s="95"/>
    </row>
    <row r="652">
      <c r="A652" s="92"/>
      <c r="B652" s="92"/>
      <c r="C652" s="92"/>
      <c r="D652" s="92"/>
      <c r="E652" s="92"/>
      <c r="F652" s="92"/>
      <c r="G652" s="92"/>
      <c r="H652" s="92"/>
      <c r="I652" s="20"/>
      <c r="J652" s="95"/>
    </row>
    <row r="653">
      <c r="A653" s="92"/>
      <c r="B653" s="92"/>
      <c r="C653" s="92"/>
      <c r="D653" s="92"/>
      <c r="E653" s="92"/>
      <c r="F653" s="92"/>
      <c r="G653" s="92"/>
      <c r="H653" s="92"/>
      <c r="I653" s="20"/>
      <c r="J653" s="95"/>
    </row>
    <row r="654">
      <c r="A654" s="92"/>
      <c r="B654" s="92"/>
      <c r="C654" s="92"/>
      <c r="D654" s="92"/>
      <c r="E654" s="92"/>
      <c r="F654" s="92"/>
      <c r="G654" s="92"/>
      <c r="H654" s="92"/>
      <c r="I654" s="20"/>
      <c r="J654" s="95"/>
    </row>
    <row r="655">
      <c r="A655" s="92"/>
      <c r="B655" s="92"/>
      <c r="C655" s="92"/>
      <c r="D655" s="92"/>
      <c r="E655" s="92"/>
      <c r="F655" s="92"/>
      <c r="G655" s="92"/>
      <c r="H655" s="92"/>
      <c r="I655" s="20"/>
      <c r="J655" s="95"/>
    </row>
    <row r="656">
      <c r="A656" s="92"/>
      <c r="B656" s="92"/>
      <c r="C656" s="92"/>
      <c r="D656" s="92"/>
      <c r="E656" s="92"/>
      <c r="F656" s="92"/>
      <c r="G656" s="92"/>
      <c r="H656" s="92"/>
      <c r="I656" s="20"/>
      <c r="J656" s="95"/>
    </row>
    <row r="657">
      <c r="A657" s="92"/>
      <c r="B657" s="92"/>
      <c r="C657" s="92"/>
      <c r="D657" s="92"/>
      <c r="E657" s="92"/>
      <c r="F657" s="92"/>
      <c r="G657" s="92"/>
      <c r="H657" s="92"/>
      <c r="I657" s="20"/>
      <c r="J657" s="95"/>
    </row>
    <row r="658">
      <c r="A658" s="92"/>
      <c r="B658" s="92"/>
      <c r="C658" s="92"/>
      <c r="D658" s="92"/>
      <c r="E658" s="92"/>
      <c r="F658" s="92"/>
      <c r="G658" s="92"/>
      <c r="H658" s="92"/>
      <c r="I658" s="20"/>
      <c r="J658" s="95"/>
    </row>
    <row r="659">
      <c r="A659" s="92"/>
      <c r="B659" s="92"/>
      <c r="C659" s="92"/>
      <c r="D659" s="92"/>
      <c r="E659" s="92"/>
      <c r="F659" s="92"/>
      <c r="G659" s="92"/>
      <c r="H659" s="92"/>
      <c r="I659" s="20"/>
      <c r="J659" s="95"/>
    </row>
    <row r="660">
      <c r="A660" s="92"/>
      <c r="B660" s="92"/>
      <c r="C660" s="92"/>
      <c r="D660" s="92"/>
      <c r="E660" s="92"/>
      <c r="F660" s="92"/>
      <c r="G660" s="92"/>
      <c r="H660" s="92"/>
      <c r="I660" s="20"/>
      <c r="J660" s="95"/>
    </row>
    <row r="661">
      <c r="A661" s="92"/>
      <c r="B661" s="92"/>
      <c r="C661" s="92"/>
      <c r="D661" s="92"/>
      <c r="E661" s="92"/>
      <c r="F661" s="92"/>
      <c r="G661" s="92"/>
      <c r="H661" s="92"/>
      <c r="I661" s="20"/>
      <c r="J661" s="95"/>
    </row>
    <row r="662">
      <c r="A662" s="92"/>
      <c r="B662" s="92"/>
      <c r="C662" s="92"/>
      <c r="D662" s="92"/>
      <c r="E662" s="92"/>
      <c r="F662" s="92"/>
      <c r="G662" s="92"/>
      <c r="H662" s="92"/>
      <c r="I662" s="20"/>
      <c r="J662" s="95"/>
    </row>
    <row r="663">
      <c r="A663" s="92"/>
      <c r="B663" s="92"/>
      <c r="C663" s="92"/>
      <c r="D663" s="92"/>
      <c r="E663" s="92"/>
      <c r="F663" s="92"/>
      <c r="G663" s="92"/>
      <c r="H663" s="92"/>
      <c r="I663" s="20"/>
      <c r="J663" s="95"/>
    </row>
    <row r="664">
      <c r="A664" s="92"/>
      <c r="B664" s="92"/>
      <c r="C664" s="92"/>
      <c r="D664" s="92"/>
      <c r="E664" s="92"/>
      <c r="F664" s="92"/>
      <c r="G664" s="92"/>
      <c r="H664" s="92"/>
      <c r="I664" s="20"/>
      <c r="J664" s="95"/>
    </row>
    <row r="665">
      <c r="A665" s="92"/>
      <c r="B665" s="92"/>
      <c r="C665" s="92"/>
      <c r="D665" s="92"/>
      <c r="E665" s="92"/>
      <c r="F665" s="92"/>
      <c r="G665" s="92"/>
      <c r="H665" s="92"/>
      <c r="I665" s="20"/>
      <c r="J665" s="95"/>
    </row>
    <row r="666">
      <c r="A666" s="92"/>
      <c r="B666" s="92"/>
      <c r="C666" s="92"/>
      <c r="D666" s="92"/>
      <c r="E666" s="92"/>
      <c r="F666" s="92"/>
      <c r="G666" s="92"/>
      <c r="H666" s="92"/>
      <c r="I666" s="20"/>
      <c r="J666" s="95"/>
    </row>
    <row r="667">
      <c r="A667" s="92"/>
      <c r="B667" s="92"/>
      <c r="C667" s="92"/>
      <c r="D667" s="92"/>
      <c r="E667" s="92"/>
      <c r="F667" s="92"/>
      <c r="G667" s="92"/>
      <c r="H667" s="92"/>
      <c r="I667" s="20"/>
      <c r="J667" s="95"/>
    </row>
    <row r="668">
      <c r="A668" s="92"/>
      <c r="B668" s="92"/>
      <c r="C668" s="92"/>
      <c r="D668" s="92"/>
      <c r="E668" s="92"/>
      <c r="F668" s="92"/>
      <c r="G668" s="92"/>
      <c r="H668" s="92"/>
      <c r="I668" s="20"/>
      <c r="J668" s="95"/>
    </row>
    <row r="669">
      <c r="A669" s="92"/>
      <c r="B669" s="92"/>
      <c r="C669" s="92"/>
      <c r="D669" s="92"/>
      <c r="E669" s="92"/>
      <c r="F669" s="92"/>
      <c r="G669" s="92"/>
      <c r="H669" s="92"/>
      <c r="I669" s="20"/>
      <c r="J669" s="95"/>
    </row>
    <row r="670">
      <c r="A670" s="92"/>
      <c r="B670" s="92"/>
      <c r="C670" s="92"/>
      <c r="D670" s="92"/>
      <c r="E670" s="92"/>
      <c r="F670" s="92"/>
      <c r="G670" s="92"/>
      <c r="H670" s="92"/>
      <c r="I670" s="20"/>
      <c r="J670" s="95"/>
    </row>
    <row r="671">
      <c r="A671" s="92"/>
      <c r="B671" s="92"/>
      <c r="C671" s="92"/>
      <c r="D671" s="92"/>
      <c r="E671" s="92"/>
      <c r="F671" s="92"/>
      <c r="G671" s="92"/>
      <c r="H671" s="92"/>
      <c r="I671" s="20"/>
      <c r="J671" s="95"/>
    </row>
    <row r="672">
      <c r="A672" s="92"/>
      <c r="B672" s="92"/>
      <c r="C672" s="92"/>
      <c r="D672" s="92"/>
      <c r="E672" s="92"/>
      <c r="F672" s="92"/>
      <c r="G672" s="92"/>
      <c r="H672" s="92"/>
      <c r="I672" s="20"/>
      <c r="J672" s="95"/>
    </row>
    <row r="673">
      <c r="A673" s="92"/>
      <c r="B673" s="92"/>
      <c r="C673" s="92"/>
      <c r="D673" s="92"/>
      <c r="E673" s="92"/>
      <c r="F673" s="92"/>
      <c r="G673" s="92"/>
      <c r="H673" s="92"/>
      <c r="I673" s="20"/>
      <c r="J673" s="95"/>
    </row>
    <row r="674">
      <c r="A674" s="92"/>
      <c r="B674" s="92"/>
      <c r="C674" s="92"/>
      <c r="D674" s="92"/>
      <c r="E674" s="92"/>
      <c r="F674" s="92"/>
      <c r="G674" s="92"/>
      <c r="H674" s="92"/>
      <c r="I674" s="20"/>
      <c r="J674" s="95"/>
    </row>
    <row r="675">
      <c r="A675" s="92"/>
      <c r="B675" s="92"/>
      <c r="C675" s="92"/>
      <c r="D675" s="92"/>
      <c r="E675" s="92"/>
      <c r="F675" s="92"/>
      <c r="G675" s="92"/>
      <c r="H675" s="92"/>
      <c r="I675" s="20"/>
      <c r="J675" s="95"/>
    </row>
    <row r="676">
      <c r="A676" s="92"/>
      <c r="B676" s="92"/>
      <c r="C676" s="92"/>
      <c r="D676" s="92"/>
      <c r="E676" s="92"/>
      <c r="F676" s="92"/>
      <c r="G676" s="92"/>
      <c r="H676" s="92"/>
      <c r="I676" s="20"/>
      <c r="J676" s="95"/>
    </row>
    <row r="677">
      <c r="A677" s="92"/>
      <c r="B677" s="92"/>
      <c r="C677" s="92"/>
      <c r="D677" s="92"/>
      <c r="E677" s="92"/>
      <c r="F677" s="92"/>
      <c r="G677" s="92"/>
      <c r="H677" s="92"/>
      <c r="I677" s="20"/>
      <c r="J677" s="95"/>
    </row>
    <row r="678">
      <c r="A678" s="92"/>
      <c r="B678" s="92"/>
      <c r="C678" s="92"/>
      <c r="D678" s="92"/>
      <c r="E678" s="92"/>
      <c r="F678" s="92"/>
      <c r="G678" s="92"/>
      <c r="H678" s="92"/>
      <c r="I678" s="20"/>
      <c r="J678" s="95"/>
    </row>
    <row r="679">
      <c r="A679" s="92"/>
      <c r="B679" s="92"/>
      <c r="C679" s="92"/>
      <c r="D679" s="92"/>
      <c r="E679" s="92"/>
      <c r="F679" s="92"/>
      <c r="G679" s="92"/>
      <c r="H679" s="92"/>
      <c r="I679" s="20"/>
      <c r="J679" s="95"/>
    </row>
    <row r="680">
      <c r="A680" s="92"/>
      <c r="B680" s="92"/>
      <c r="C680" s="92"/>
      <c r="D680" s="92"/>
      <c r="E680" s="92"/>
      <c r="F680" s="92"/>
      <c r="G680" s="92"/>
      <c r="H680" s="92"/>
      <c r="I680" s="20"/>
      <c r="J680" s="95"/>
    </row>
    <row r="681">
      <c r="A681" s="92"/>
      <c r="B681" s="92"/>
      <c r="C681" s="92"/>
      <c r="D681" s="92"/>
      <c r="E681" s="92"/>
      <c r="F681" s="92"/>
      <c r="G681" s="92"/>
      <c r="H681" s="92"/>
      <c r="I681" s="20"/>
      <c r="J681" s="95"/>
    </row>
    <row r="682">
      <c r="A682" s="92"/>
      <c r="B682" s="92"/>
      <c r="C682" s="92"/>
      <c r="D682" s="92"/>
      <c r="E682" s="92"/>
      <c r="F682" s="92"/>
      <c r="G682" s="92"/>
      <c r="H682" s="92"/>
      <c r="I682" s="20"/>
      <c r="J682" s="95"/>
    </row>
    <row r="683">
      <c r="A683" s="92"/>
      <c r="B683" s="92"/>
      <c r="C683" s="92"/>
      <c r="D683" s="92"/>
      <c r="E683" s="92"/>
      <c r="F683" s="92"/>
      <c r="G683" s="92"/>
      <c r="H683" s="92"/>
      <c r="I683" s="20"/>
      <c r="J683" s="95"/>
    </row>
    <row r="684">
      <c r="A684" s="92"/>
      <c r="B684" s="92"/>
      <c r="C684" s="92"/>
      <c r="D684" s="92"/>
      <c r="E684" s="92"/>
      <c r="F684" s="92"/>
      <c r="G684" s="92"/>
      <c r="H684" s="92"/>
      <c r="I684" s="20"/>
      <c r="J684" s="95"/>
    </row>
    <row r="685">
      <c r="A685" s="92"/>
      <c r="B685" s="92"/>
      <c r="C685" s="92"/>
      <c r="D685" s="92"/>
      <c r="E685" s="92"/>
      <c r="F685" s="92"/>
      <c r="G685" s="92"/>
      <c r="H685" s="92"/>
      <c r="I685" s="20"/>
      <c r="J685" s="95"/>
    </row>
    <row r="686">
      <c r="A686" s="92"/>
      <c r="B686" s="92"/>
      <c r="C686" s="92"/>
      <c r="D686" s="92"/>
      <c r="E686" s="92"/>
      <c r="F686" s="92"/>
      <c r="G686" s="92"/>
      <c r="H686" s="92"/>
      <c r="I686" s="20"/>
      <c r="J686" s="95"/>
    </row>
    <row r="687">
      <c r="A687" s="92"/>
      <c r="B687" s="92"/>
      <c r="C687" s="92"/>
      <c r="D687" s="92"/>
      <c r="E687" s="92"/>
      <c r="F687" s="92"/>
      <c r="G687" s="92"/>
      <c r="H687" s="92"/>
      <c r="I687" s="20"/>
      <c r="J687" s="95"/>
    </row>
    <row r="688">
      <c r="A688" s="92"/>
      <c r="B688" s="92"/>
      <c r="C688" s="92"/>
      <c r="D688" s="92"/>
      <c r="E688" s="92"/>
      <c r="F688" s="92"/>
      <c r="G688" s="92"/>
      <c r="H688" s="92"/>
      <c r="I688" s="20"/>
      <c r="J688" s="95"/>
    </row>
    <row r="689">
      <c r="A689" s="92"/>
      <c r="B689" s="92"/>
      <c r="C689" s="92"/>
      <c r="D689" s="92"/>
      <c r="E689" s="92"/>
      <c r="F689" s="92"/>
      <c r="G689" s="92"/>
      <c r="H689" s="92"/>
      <c r="I689" s="20"/>
      <c r="J689" s="95"/>
    </row>
    <row r="690">
      <c r="A690" s="92"/>
      <c r="B690" s="92"/>
      <c r="C690" s="92"/>
      <c r="D690" s="92"/>
      <c r="E690" s="92"/>
      <c r="F690" s="92"/>
      <c r="G690" s="92"/>
      <c r="H690" s="92"/>
      <c r="I690" s="20"/>
      <c r="J690" s="95"/>
    </row>
    <row r="691">
      <c r="A691" s="92"/>
      <c r="B691" s="92"/>
      <c r="C691" s="92"/>
      <c r="D691" s="92"/>
      <c r="E691" s="92"/>
      <c r="F691" s="92"/>
      <c r="G691" s="92"/>
      <c r="H691" s="92"/>
      <c r="I691" s="20"/>
      <c r="J691" s="95"/>
    </row>
    <row r="692">
      <c r="A692" s="92"/>
      <c r="B692" s="92"/>
      <c r="C692" s="92"/>
      <c r="D692" s="92"/>
      <c r="E692" s="92"/>
      <c r="F692" s="92"/>
      <c r="G692" s="92"/>
      <c r="H692" s="92"/>
      <c r="I692" s="20"/>
      <c r="J692" s="95"/>
    </row>
    <row r="693">
      <c r="A693" s="92"/>
      <c r="B693" s="92"/>
      <c r="C693" s="92"/>
      <c r="D693" s="92"/>
      <c r="E693" s="92"/>
      <c r="F693" s="92"/>
      <c r="G693" s="92"/>
      <c r="H693" s="92"/>
      <c r="I693" s="20"/>
      <c r="J693" s="95"/>
    </row>
    <row r="694">
      <c r="A694" s="92"/>
      <c r="B694" s="92"/>
      <c r="C694" s="92"/>
      <c r="D694" s="92"/>
      <c r="E694" s="92"/>
      <c r="F694" s="92"/>
      <c r="G694" s="92"/>
      <c r="H694" s="92"/>
      <c r="I694" s="20"/>
      <c r="J694" s="95"/>
    </row>
    <row r="695">
      <c r="A695" s="92"/>
      <c r="B695" s="92"/>
      <c r="C695" s="92"/>
      <c r="D695" s="92"/>
      <c r="E695" s="92"/>
      <c r="F695" s="92"/>
      <c r="G695" s="92"/>
      <c r="H695" s="92"/>
      <c r="I695" s="20"/>
      <c r="J695" s="95"/>
    </row>
    <row r="696">
      <c r="A696" s="92"/>
      <c r="B696" s="92"/>
      <c r="C696" s="92"/>
      <c r="D696" s="92"/>
      <c r="E696" s="92"/>
      <c r="F696" s="92"/>
      <c r="G696" s="92"/>
      <c r="H696" s="92"/>
      <c r="I696" s="20"/>
      <c r="J696" s="95"/>
    </row>
    <row r="697">
      <c r="A697" s="92"/>
      <c r="B697" s="92"/>
      <c r="C697" s="92"/>
      <c r="D697" s="92"/>
      <c r="E697" s="92"/>
      <c r="F697" s="92"/>
      <c r="G697" s="92"/>
      <c r="H697" s="92"/>
      <c r="I697" s="20"/>
      <c r="J697" s="95"/>
    </row>
    <row r="698">
      <c r="A698" s="92"/>
      <c r="B698" s="92"/>
      <c r="C698" s="92"/>
      <c r="D698" s="92"/>
      <c r="E698" s="92"/>
      <c r="F698" s="92"/>
      <c r="G698" s="92"/>
      <c r="H698" s="92"/>
      <c r="I698" s="20"/>
      <c r="J698" s="95"/>
    </row>
    <row r="699">
      <c r="A699" s="92"/>
      <c r="B699" s="92"/>
      <c r="C699" s="92"/>
      <c r="D699" s="92"/>
      <c r="E699" s="92"/>
      <c r="F699" s="92"/>
      <c r="G699" s="92"/>
      <c r="H699" s="92"/>
      <c r="I699" s="20"/>
      <c r="J699" s="95"/>
    </row>
    <row r="700">
      <c r="A700" s="92"/>
      <c r="B700" s="92"/>
      <c r="C700" s="92"/>
      <c r="D700" s="92"/>
      <c r="E700" s="92"/>
      <c r="F700" s="92"/>
      <c r="G700" s="92"/>
      <c r="H700" s="92"/>
      <c r="I700" s="20"/>
      <c r="J700" s="95"/>
    </row>
    <row r="701">
      <c r="A701" s="92"/>
      <c r="B701" s="92"/>
      <c r="C701" s="92"/>
      <c r="D701" s="92"/>
      <c r="E701" s="92"/>
      <c r="F701" s="92"/>
      <c r="G701" s="92"/>
      <c r="H701" s="92"/>
      <c r="I701" s="20"/>
      <c r="J701" s="95"/>
    </row>
    <row r="702">
      <c r="A702" s="92"/>
      <c r="B702" s="92"/>
      <c r="C702" s="92"/>
      <c r="D702" s="92"/>
      <c r="E702" s="92"/>
      <c r="F702" s="92"/>
      <c r="G702" s="92"/>
      <c r="H702" s="92"/>
      <c r="I702" s="20"/>
      <c r="J702" s="95"/>
    </row>
    <row r="703">
      <c r="A703" s="92"/>
      <c r="B703" s="92"/>
      <c r="C703" s="92"/>
      <c r="D703" s="92"/>
      <c r="E703" s="92"/>
      <c r="F703" s="92"/>
      <c r="G703" s="92"/>
      <c r="H703" s="92"/>
      <c r="I703" s="20"/>
      <c r="J703" s="95"/>
    </row>
    <row r="704">
      <c r="A704" s="92"/>
      <c r="B704" s="92"/>
      <c r="C704" s="92"/>
      <c r="D704" s="92"/>
      <c r="E704" s="92"/>
      <c r="F704" s="92"/>
      <c r="G704" s="92"/>
      <c r="H704" s="92"/>
      <c r="I704" s="20"/>
      <c r="J704" s="95"/>
    </row>
    <row r="705">
      <c r="A705" s="92"/>
      <c r="B705" s="92"/>
      <c r="C705" s="92"/>
      <c r="D705" s="92"/>
      <c r="E705" s="92"/>
      <c r="F705" s="92"/>
      <c r="G705" s="92"/>
      <c r="H705" s="92"/>
      <c r="I705" s="20"/>
      <c r="J705" s="95"/>
    </row>
    <row r="706">
      <c r="A706" s="92"/>
      <c r="B706" s="92"/>
      <c r="C706" s="92"/>
      <c r="D706" s="92"/>
      <c r="E706" s="92"/>
      <c r="F706" s="92"/>
      <c r="G706" s="92"/>
      <c r="H706" s="92"/>
      <c r="I706" s="20"/>
      <c r="J706" s="95"/>
    </row>
    <row r="707">
      <c r="A707" s="92"/>
      <c r="B707" s="92"/>
      <c r="C707" s="92"/>
      <c r="D707" s="92"/>
      <c r="E707" s="92"/>
      <c r="F707" s="92"/>
      <c r="G707" s="92"/>
      <c r="H707" s="92"/>
      <c r="I707" s="20"/>
      <c r="J707" s="95"/>
    </row>
    <row r="708">
      <c r="A708" s="92"/>
      <c r="B708" s="92"/>
      <c r="C708" s="92"/>
      <c r="D708" s="92"/>
      <c r="E708" s="92"/>
      <c r="F708" s="92"/>
      <c r="G708" s="92"/>
      <c r="H708" s="92"/>
      <c r="I708" s="20"/>
      <c r="J708" s="95"/>
    </row>
    <row r="709">
      <c r="A709" s="92"/>
      <c r="B709" s="92"/>
      <c r="C709" s="92"/>
      <c r="D709" s="92"/>
      <c r="E709" s="92"/>
      <c r="F709" s="92"/>
      <c r="G709" s="92"/>
      <c r="H709" s="92"/>
      <c r="I709" s="20"/>
      <c r="J709" s="95"/>
    </row>
    <row r="710">
      <c r="A710" s="92"/>
      <c r="B710" s="92"/>
      <c r="C710" s="92"/>
      <c r="D710" s="92"/>
      <c r="E710" s="92"/>
      <c r="F710" s="92"/>
      <c r="G710" s="92"/>
      <c r="H710" s="92"/>
      <c r="I710" s="20"/>
      <c r="J710" s="95"/>
    </row>
    <row r="711">
      <c r="A711" s="92"/>
      <c r="B711" s="92"/>
      <c r="C711" s="92"/>
      <c r="D711" s="92"/>
      <c r="E711" s="92"/>
      <c r="F711" s="92"/>
      <c r="G711" s="92"/>
      <c r="H711" s="92"/>
      <c r="I711" s="20"/>
      <c r="J711" s="95"/>
    </row>
    <row r="712">
      <c r="A712" s="92"/>
      <c r="B712" s="92"/>
      <c r="C712" s="92"/>
      <c r="D712" s="92"/>
      <c r="E712" s="92"/>
      <c r="F712" s="92"/>
      <c r="G712" s="92"/>
      <c r="H712" s="92"/>
      <c r="I712" s="20"/>
      <c r="J712" s="95"/>
    </row>
    <row r="713">
      <c r="A713" s="92"/>
      <c r="B713" s="92"/>
      <c r="C713" s="92"/>
      <c r="D713" s="92"/>
      <c r="E713" s="92"/>
      <c r="F713" s="92"/>
      <c r="G713" s="92"/>
      <c r="H713" s="92"/>
      <c r="I713" s="20"/>
      <c r="J713" s="95"/>
    </row>
    <row r="714">
      <c r="A714" s="92"/>
      <c r="B714" s="92"/>
      <c r="C714" s="92"/>
      <c r="D714" s="92"/>
      <c r="E714" s="92"/>
      <c r="F714" s="92"/>
      <c r="G714" s="92"/>
      <c r="H714" s="92"/>
      <c r="I714" s="20"/>
      <c r="J714" s="95"/>
    </row>
    <row r="715">
      <c r="A715" s="92"/>
      <c r="B715" s="92"/>
      <c r="C715" s="92"/>
      <c r="D715" s="92"/>
      <c r="E715" s="92"/>
      <c r="F715" s="92"/>
      <c r="G715" s="92"/>
      <c r="H715" s="92"/>
      <c r="I715" s="20"/>
      <c r="J715" s="95"/>
    </row>
    <row r="716">
      <c r="A716" s="92"/>
      <c r="B716" s="92"/>
      <c r="C716" s="92"/>
      <c r="D716" s="92"/>
      <c r="E716" s="92"/>
      <c r="F716" s="92"/>
      <c r="G716" s="92"/>
      <c r="H716" s="92"/>
      <c r="I716" s="20"/>
      <c r="J716" s="95"/>
    </row>
    <row r="717">
      <c r="A717" s="92"/>
      <c r="B717" s="92"/>
      <c r="C717" s="92"/>
      <c r="D717" s="92"/>
      <c r="E717" s="92"/>
      <c r="F717" s="92"/>
      <c r="G717" s="92"/>
      <c r="H717" s="92"/>
      <c r="I717" s="20"/>
      <c r="J717" s="95"/>
    </row>
    <row r="718">
      <c r="A718" s="92"/>
      <c r="B718" s="92"/>
      <c r="C718" s="92"/>
      <c r="D718" s="92"/>
      <c r="E718" s="92"/>
      <c r="F718" s="92"/>
      <c r="G718" s="92"/>
      <c r="H718" s="92"/>
      <c r="I718" s="20"/>
      <c r="J718" s="95"/>
    </row>
    <row r="719">
      <c r="A719" s="92"/>
      <c r="B719" s="92"/>
      <c r="C719" s="92"/>
      <c r="D719" s="92"/>
      <c r="E719" s="92"/>
      <c r="F719" s="92"/>
      <c r="G719" s="92"/>
      <c r="H719" s="92"/>
      <c r="I719" s="20"/>
      <c r="J719" s="95"/>
    </row>
    <row r="720">
      <c r="A720" s="92"/>
      <c r="B720" s="92"/>
      <c r="C720" s="92"/>
      <c r="D720" s="92"/>
      <c r="E720" s="92"/>
      <c r="F720" s="92"/>
      <c r="G720" s="92"/>
      <c r="H720" s="92"/>
      <c r="I720" s="20"/>
      <c r="J720" s="95"/>
    </row>
    <row r="721">
      <c r="A721" s="92"/>
      <c r="B721" s="92"/>
      <c r="C721" s="92"/>
      <c r="D721" s="92"/>
      <c r="E721" s="92"/>
      <c r="F721" s="92"/>
      <c r="G721" s="92"/>
      <c r="H721" s="92"/>
      <c r="I721" s="20"/>
      <c r="J721" s="95"/>
    </row>
    <row r="722">
      <c r="A722" s="92"/>
      <c r="B722" s="92"/>
      <c r="C722" s="92"/>
      <c r="D722" s="92"/>
      <c r="E722" s="92"/>
      <c r="F722" s="92"/>
      <c r="G722" s="92"/>
      <c r="H722" s="92"/>
      <c r="I722" s="20"/>
      <c r="J722" s="95"/>
    </row>
    <row r="723">
      <c r="A723" s="92"/>
      <c r="B723" s="92"/>
      <c r="C723" s="92"/>
      <c r="D723" s="92"/>
      <c r="E723" s="92"/>
      <c r="F723" s="92"/>
      <c r="G723" s="92"/>
      <c r="H723" s="92"/>
      <c r="I723" s="20"/>
      <c r="J723" s="95"/>
    </row>
    <row r="724">
      <c r="A724" s="92"/>
      <c r="B724" s="92"/>
      <c r="C724" s="92"/>
      <c r="D724" s="92"/>
      <c r="E724" s="92"/>
      <c r="F724" s="92"/>
      <c r="G724" s="92"/>
      <c r="H724" s="92"/>
      <c r="I724" s="20"/>
      <c r="J724" s="95"/>
    </row>
    <row r="725">
      <c r="A725" s="92"/>
      <c r="B725" s="92"/>
      <c r="C725" s="92"/>
      <c r="D725" s="92"/>
      <c r="E725" s="92"/>
      <c r="F725" s="92"/>
      <c r="G725" s="92"/>
      <c r="H725" s="92"/>
      <c r="I725" s="20"/>
      <c r="J725" s="95"/>
    </row>
    <row r="726">
      <c r="A726" s="92"/>
      <c r="B726" s="92"/>
      <c r="C726" s="92"/>
      <c r="D726" s="92"/>
      <c r="E726" s="92"/>
      <c r="F726" s="92"/>
      <c r="G726" s="92"/>
      <c r="H726" s="92"/>
      <c r="I726" s="20"/>
      <c r="J726" s="95"/>
    </row>
    <row r="727">
      <c r="A727" s="92"/>
      <c r="B727" s="92"/>
      <c r="C727" s="92"/>
      <c r="D727" s="92"/>
      <c r="E727" s="92"/>
      <c r="F727" s="92"/>
      <c r="G727" s="92"/>
      <c r="H727" s="92"/>
      <c r="I727" s="20"/>
      <c r="J727" s="95"/>
    </row>
    <row r="728">
      <c r="A728" s="92"/>
      <c r="B728" s="92"/>
      <c r="C728" s="92"/>
      <c r="D728" s="92"/>
      <c r="E728" s="92"/>
      <c r="F728" s="92"/>
      <c r="G728" s="92"/>
      <c r="H728" s="92"/>
      <c r="I728" s="20"/>
      <c r="J728" s="95"/>
    </row>
    <row r="729">
      <c r="A729" s="92"/>
      <c r="B729" s="92"/>
      <c r="C729" s="92"/>
      <c r="D729" s="92"/>
      <c r="E729" s="92"/>
      <c r="F729" s="92"/>
      <c r="G729" s="92"/>
      <c r="H729" s="92"/>
      <c r="I729" s="20"/>
      <c r="J729" s="95"/>
    </row>
    <row r="730">
      <c r="A730" s="92"/>
      <c r="B730" s="92"/>
      <c r="C730" s="92"/>
      <c r="D730" s="92"/>
      <c r="E730" s="92"/>
      <c r="F730" s="92"/>
      <c r="G730" s="92"/>
      <c r="H730" s="92"/>
      <c r="I730" s="20"/>
      <c r="J730" s="95"/>
    </row>
    <row r="731">
      <c r="A731" s="92"/>
      <c r="B731" s="92"/>
      <c r="C731" s="92"/>
      <c r="D731" s="92"/>
      <c r="E731" s="92"/>
      <c r="F731" s="92"/>
      <c r="G731" s="92"/>
      <c r="H731" s="92"/>
      <c r="I731" s="20"/>
      <c r="J731" s="95"/>
    </row>
    <row r="732">
      <c r="A732" s="92"/>
      <c r="B732" s="92"/>
      <c r="C732" s="92"/>
      <c r="D732" s="92"/>
      <c r="E732" s="92"/>
      <c r="F732" s="92"/>
      <c r="G732" s="92"/>
      <c r="H732" s="92"/>
      <c r="I732" s="20"/>
      <c r="J732" s="95"/>
    </row>
    <row r="733">
      <c r="A733" s="92"/>
      <c r="B733" s="92"/>
      <c r="C733" s="92"/>
      <c r="D733" s="92"/>
      <c r="E733" s="92"/>
      <c r="F733" s="92"/>
      <c r="G733" s="92"/>
      <c r="H733" s="92"/>
      <c r="I733" s="20"/>
      <c r="J733" s="95"/>
    </row>
    <row r="734">
      <c r="A734" s="92"/>
      <c r="B734" s="92"/>
      <c r="C734" s="92"/>
      <c r="D734" s="92"/>
      <c r="E734" s="92"/>
      <c r="F734" s="92"/>
      <c r="G734" s="92"/>
      <c r="H734" s="92"/>
      <c r="I734" s="20"/>
      <c r="J734" s="95"/>
    </row>
    <row r="735">
      <c r="A735" s="92"/>
      <c r="B735" s="92"/>
      <c r="C735" s="92"/>
      <c r="D735" s="92"/>
      <c r="E735" s="92"/>
      <c r="F735" s="92"/>
      <c r="G735" s="92"/>
      <c r="H735" s="92"/>
      <c r="I735" s="20"/>
      <c r="J735" s="95"/>
    </row>
    <row r="736">
      <c r="A736" s="92"/>
      <c r="B736" s="92"/>
      <c r="C736" s="92"/>
      <c r="D736" s="92"/>
      <c r="E736" s="92"/>
      <c r="F736" s="92"/>
      <c r="G736" s="92"/>
      <c r="H736" s="92"/>
      <c r="I736" s="20"/>
      <c r="J736" s="95"/>
    </row>
    <row r="737">
      <c r="A737" s="92"/>
      <c r="B737" s="92"/>
      <c r="C737" s="92"/>
      <c r="D737" s="92"/>
      <c r="E737" s="92"/>
      <c r="F737" s="92"/>
      <c r="G737" s="92"/>
      <c r="H737" s="92"/>
      <c r="I737" s="20"/>
      <c r="J737" s="95"/>
    </row>
    <row r="738">
      <c r="A738" s="92"/>
      <c r="B738" s="92"/>
      <c r="C738" s="92"/>
      <c r="D738" s="92"/>
      <c r="E738" s="92"/>
      <c r="F738" s="92"/>
      <c r="G738" s="92"/>
      <c r="H738" s="92"/>
      <c r="I738" s="20"/>
      <c r="J738" s="95"/>
    </row>
    <row r="739">
      <c r="A739" s="92"/>
      <c r="B739" s="92"/>
      <c r="C739" s="92"/>
      <c r="D739" s="92"/>
      <c r="E739" s="92"/>
      <c r="F739" s="92"/>
      <c r="G739" s="92"/>
      <c r="H739" s="92"/>
      <c r="I739" s="20"/>
      <c r="J739" s="95"/>
    </row>
    <row r="740">
      <c r="A740" s="92"/>
      <c r="B740" s="92"/>
      <c r="C740" s="92"/>
      <c r="D740" s="92"/>
      <c r="E740" s="92"/>
      <c r="F740" s="92"/>
      <c r="G740" s="92"/>
      <c r="H740" s="92"/>
      <c r="I740" s="20"/>
      <c r="J740" s="95"/>
    </row>
    <row r="741">
      <c r="A741" s="92"/>
      <c r="B741" s="92"/>
      <c r="C741" s="92"/>
      <c r="D741" s="92"/>
      <c r="E741" s="92"/>
      <c r="F741" s="92"/>
      <c r="G741" s="92"/>
      <c r="H741" s="92"/>
      <c r="I741" s="20"/>
      <c r="J741" s="95"/>
    </row>
    <row r="742">
      <c r="A742" s="92"/>
      <c r="B742" s="92"/>
      <c r="C742" s="92"/>
      <c r="D742" s="92"/>
      <c r="E742" s="92"/>
      <c r="F742" s="92"/>
      <c r="G742" s="92"/>
      <c r="H742" s="92"/>
      <c r="I742" s="20"/>
      <c r="J742" s="95"/>
    </row>
    <row r="743">
      <c r="A743" s="92"/>
      <c r="B743" s="92"/>
      <c r="C743" s="92"/>
      <c r="D743" s="92"/>
      <c r="E743" s="92"/>
      <c r="F743" s="92"/>
      <c r="G743" s="92"/>
      <c r="H743" s="92"/>
      <c r="I743" s="20"/>
      <c r="J743" s="95"/>
    </row>
    <row r="744">
      <c r="A744" s="92"/>
      <c r="B744" s="92"/>
      <c r="C744" s="92"/>
      <c r="D744" s="92"/>
      <c r="E744" s="92"/>
      <c r="F744" s="92"/>
      <c r="G744" s="92"/>
      <c r="H744" s="92"/>
      <c r="I744" s="20"/>
      <c r="J744" s="95"/>
    </row>
    <row r="745">
      <c r="A745" s="92"/>
      <c r="B745" s="92"/>
      <c r="C745" s="92"/>
      <c r="D745" s="92"/>
      <c r="E745" s="92"/>
      <c r="F745" s="92"/>
      <c r="G745" s="92"/>
      <c r="H745" s="92"/>
      <c r="I745" s="20"/>
      <c r="J745" s="95"/>
    </row>
    <row r="746">
      <c r="A746" s="92"/>
      <c r="B746" s="92"/>
      <c r="C746" s="92"/>
      <c r="D746" s="92"/>
      <c r="E746" s="92"/>
      <c r="F746" s="92"/>
      <c r="G746" s="92"/>
      <c r="H746" s="92"/>
      <c r="I746" s="20"/>
      <c r="J746" s="95"/>
    </row>
    <row r="747">
      <c r="A747" s="92"/>
      <c r="B747" s="92"/>
      <c r="C747" s="92"/>
      <c r="D747" s="92"/>
      <c r="E747" s="92"/>
      <c r="F747" s="92"/>
      <c r="G747" s="92"/>
      <c r="H747" s="92"/>
      <c r="I747" s="20"/>
      <c r="J747" s="95"/>
    </row>
    <row r="748">
      <c r="A748" s="92"/>
      <c r="B748" s="92"/>
      <c r="C748" s="92"/>
      <c r="D748" s="92"/>
      <c r="E748" s="92"/>
      <c r="F748" s="92"/>
      <c r="G748" s="92"/>
      <c r="H748" s="92"/>
      <c r="I748" s="20"/>
      <c r="J748" s="95"/>
    </row>
    <row r="749">
      <c r="A749" s="92"/>
      <c r="B749" s="92"/>
      <c r="C749" s="92"/>
      <c r="D749" s="92"/>
      <c r="E749" s="92"/>
      <c r="F749" s="92"/>
      <c r="G749" s="92"/>
      <c r="H749" s="92"/>
      <c r="I749" s="20"/>
      <c r="J749" s="95"/>
    </row>
    <row r="750">
      <c r="A750" s="92"/>
      <c r="B750" s="92"/>
      <c r="C750" s="92"/>
      <c r="D750" s="92"/>
      <c r="E750" s="92"/>
      <c r="F750" s="92"/>
      <c r="G750" s="92"/>
      <c r="H750" s="92"/>
      <c r="I750" s="20"/>
      <c r="J750" s="95"/>
    </row>
    <row r="751">
      <c r="A751" s="92"/>
      <c r="B751" s="92"/>
      <c r="C751" s="92"/>
      <c r="D751" s="92"/>
      <c r="E751" s="92"/>
      <c r="F751" s="92"/>
      <c r="G751" s="92"/>
      <c r="H751" s="92"/>
      <c r="I751" s="20"/>
      <c r="J751" s="95"/>
    </row>
    <row r="752">
      <c r="A752" s="92"/>
      <c r="B752" s="92"/>
      <c r="C752" s="92"/>
      <c r="D752" s="92"/>
      <c r="E752" s="92"/>
      <c r="F752" s="92"/>
      <c r="G752" s="92"/>
      <c r="H752" s="92"/>
      <c r="I752" s="20"/>
      <c r="J752" s="95"/>
    </row>
    <row r="753">
      <c r="A753" s="92"/>
      <c r="B753" s="92"/>
      <c r="C753" s="92"/>
      <c r="D753" s="92"/>
      <c r="E753" s="92"/>
      <c r="F753" s="92"/>
      <c r="G753" s="92"/>
      <c r="H753" s="92"/>
      <c r="I753" s="20"/>
      <c r="J753" s="95"/>
    </row>
    <row r="754">
      <c r="A754" s="92"/>
      <c r="B754" s="92"/>
      <c r="C754" s="92"/>
      <c r="D754" s="92"/>
      <c r="E754" s="92"/>
      <c r="F754" s="92"/>
      <c r="G754" s="92"/>
      <c r="H754" s="92"/>
      <c r="I754" s="20"/>
      <c r="J754" s="95"/>
    </row>
    <row r="755">
      <c r="A755" s="92"/>
      <c r="B755" s="92"/>
      <c r="C755" s="92"/>
      <c r="D755" s="92"/>
      <c r="E755" s="92"/>
      <c r="F755" s="92"/>
      <c r="G755" s="92"/>
      <c r="H755" s="92"/>
      <c r="I755" s="20"/>
      <c r="J755" s="95"/>
    </row>
    <row r="756">
      <c r="A756" s="92"/>
      <c r="B756" s="92"/>
      <c r="C756" s="92"/>
      <c r="D756" s="92"/>
      <c r="E756" s="92"/>
      <c r="F756" s="92"/>
      <c r="G756" s="92"/>
      <c r="H756" s="92"/>
      <c r="I756" s="20"/>
      <c r="J756" s="95"/>
    </row>
    <row r="757">
      <c r="A757" s="92"/>
      <c r="B757" s="92"/>
      <c r="C757" s="92"/>
      <c r="D757" s="92"/>
      <c r="E757" s="92"/>
      <c r="F757" s="92"/>
      <c r="G757" s="92"/>
      <c r="H757" s="92"/>
      <c r="I757" s="20"/>
      <c r="J757" s="95"/>
    </row>
    <row r="758">
      <c r="A758" s="92"/>
      <c r="B758" s="92"/>
      <c r="C758" s="92"/>
      <c r="D758" s="92"/>
      <c r="E758" s="92"/>
      <c r="F758" s="92"/>
      <c r="G758" s="92"/>
      <c r="H758" s="92"/>
      <c r="I758" s="20"/>
      <c r="J758" s="95"/>
    </row>
    <row r="759">
      <c r="A759" s="92"/>
      <c r="B759" s="92"/>
      <c r="C759" s="92"/>
      <c r="D759" s="92"/>
      <c r="E759" s="92"/>
      <c r="F759" s="92"/>
      <c r="G759" s="92"/>
      <c r="H759" s="92"/>
      <c r="I759" s="20"/>
      <c r="J759" s="95"/>
    </row>
    <row r="760">
      <c r="A760" s="92"/>
      <c r="B760" s="92"/>
      <c r="C760" s="92"/>
      <c r="D760" s="92"/>
      <c r="E760" s="92"/>
      <c r="F760" s="92"/>
      <c r="G760" s="92"/>
      <c r="H760" s="92"/>
      <c r="I760" s="20"/>
      <c r="J760" s="95"/>
    </row>
    <row r="761">
      <c r="A761" s="92"/>
      <c r="B761" s="92"/>
      <c r="C761" s="92"/>
      <c r="D761" s="92"/>
      <c r="E761" s="92"/>
      <c r="F761" s="92"/>
      <c r="G761" s="92"/>
      <c r="H761" s="92"/>
      <c r="I761" s="20"/>
      <c r="J761" s="95"/>
    </row>
    <row r="762">
      <c r="A762" s="92"/>
      <c r="B762" s="92"/>
      <c r="C762" s="92"/>
      <c r="D762" s="92"/>
      <c r="E762" s="92"/>
      <c r="F762" s="92"/>
      <c r="G762" s="92"/>
      <c r="H762" s="92"/>
      <c r="I762" s="20"/>
      <c r="J762" s="95"/>
    </row>
    <row r="763">
      <c r="A763" s="92"/>
      <c r="B763" s="92"/>
      <c r="C763" s="92"/>
      <c r="D763" s="92"/>
      <c r="E763" s="92"/>
      <c r="F763" s="92"/>
      <c r="G763" s="92"/>
      <c r="H763" s="92"/>
      <c r="I763" s="20"/>
      <c r="J763" s="95"/>
    </row>
    <row r="764">
      <c r="A764" s="92"/>
      <c r="B764" s="92"/>
      <c r="C764" s="92"/>
      <c r="D764" s="92"/>
      <c r="E764" s="92"/>
      <c r="F764" s="92"/>
      <c r="G764" s="92"/>
      <c r="H764" s="92"/>
      <c r="I764" s="20"/>
      <c r="J764" s="95"/>
    </row>
    <row r="765">
      <c r="A765" s="92"/>
      <c r="B765" s="92"/>
      <c r="C765" s="92"/>
      <c r="D765" s="92"/>
      <c r="E765" s="92"/>
      <c r="F765" s="92"/>
      <c r="G765" s="92"/>
      <c r="H765" s="92"/>
      <c r="I765" s="20"/>
      <c r="J765" s="95"/>
    </row>
    <row r="766">
      <c r="A766" s="92"/>
      <c r="B766" s="92"/>
      <c r="C766" s="92"/>
      <c r="D766" s="92"/>
      <c r="E766" s="92"/>
      <c r="F766" s="92"/>
      <c r="G766" s="92"/>
      <c r="H766" s="92"/>
      <c r="I766" s="20"/>
      <c r="J766" s="95"/>
    </row>
    <row r="767">
      <c r="A767" s="92"/>
      <c r="B767" s="92"/>
      <c r="C767" s="92"/>
      <c r="D767" s="92"/>
      <c r="E767" s="92"/>
      <c r="F767" s="92"/>
      <c r="G767" s="92"/>
      <c r="H767" s="92"/>
      <c r="I767" s="20"/>
      <c r="J767" s="95"/>
    </row>
    <row r="768">
      <c r="A768" s="92"/>
      <c r="B768" s="92"/>
      <c r="C768" s="92"/>
      <c r="D768" s="92"/>
      <c r="E768" s="92"/>
      <c r="F768" s="92"/>
      <c r="G768" s="92"/>
      <c r="H768" s="92"/>
      <c r="I768" s="20"/>
      <c r="J768" s="95"/>
    </row>
    <row r="769">
      <c r="A769" s="92"/>
      <c r="B769" s="92"/>
      <c r="C769" s="92"/>
      <c r="D769" s="92"/>
      <c r="E769" s="92"/>
      <c r="F769" s="92"/>
      <c r="G769" s="92"/>
      <c r="H769" s="92"/>
      <c r="I769" s="20"/>
      <c r="J769" s="95"/>
    </row>
    <row r="770">
      <c r="A770" s="92"/>
      <c r="B770" s="92"/>
      <c r="C770" s="92"/>
      <c r="D770" s="92"/>
      <c r="E770" s="92"/>
      <c r="F770" s="92"/>
      <c r="G770" s="92"/>
      <c r="H770" s="92"/>
      <c r="I770" s="20"/>
      <c r="J770" s="95"/>
    </row>
    <row r="771">
      <c r="A771" s="92"/>
      <c r="B771" s="92"/>
      <c r="C771" s="92"/>
      <c r="D771" s="92"/>
      <c r="E771" s="92"/>
      <c r="F771" s="92"/>
      <c r="G771" s="92"/>
      <c r="H771" s="92"/>
      <c r="I771" s="20"/>
      <c r="J771" s="95"/>
    </row>
    <row r="772">
      <c r="A772" s="92"/>
      <c r="B772" s="92"/>
      <c r="C772" s="92"/>
      <c r="D772" s="92"/>
      <c r="E772" s="92"/>
      <c r="F772" s="92"/>
      <c r="G772" s="92"/>
      <c r="H772" s="92"/>
      <c r="I772" s="20"/>
      <c r="J772" s="95"/>
    </row>
    <row r="773">
      <c r="A773" s="92"/>
      <c r="B773" s="92"/>
      <c r="C773" s="92"/>
      <c r="D773" s="92"/>
      <c r="E773" s="92"/>
      <c r="F773" s="92"/>
      <c r="G773" s="92"/>
      <c r="H773" s="92"/>
      <c r="I773" s="20"/>
      <c r="J773" s="95"/>
    </row>
    <row r="774">
      <c r="A774" s="92"/>
      <c r="B774" s="92"/>
      <c r="C774" s="92"/>
      <c r="D774" s="92"/>
      <c r="E774" s="92"/>
      <c r="F774" s="92"/>
      <c r="G774" s="92"/>
      <c r="H774" s="92"/>
      <c r="I774" s="20"/>
      <c r="J774" s="95"/>
    </row>
    <row r="775">
      <c r="A775" s="92"/>
      <c r="B775" s="92"/>
      <c r="C775" s="92"/>
      <c r="D775" s="92"/>
      <c r="E775" s="92"/>
      <c r="F775" s="92"/>
      <c r="G775" s="92"/>
      <c r="H775" s="92"/>
      <c r="I775" s="20"/>
      <c r="J775" s="95"/>
    </row>
    <row r="776">
      <c r="A776" s="92"/>
      <c r="B776" s="92"/>
      <c r="C776" s="92"/>
      <c r="D776" s="92"/>
      <c r="E776" s="92"/>
      <c r="F776" s="92"/>
      <c r="G776" s="92"/>
      <c r="H776" s="92"/>
      <c r="I776" s="20"/>
      <c r="J776" s="95"/>
    </row>
    <row r="777">
      <c r="A777" s="92"/>
      <c r="B777" s="92"/>
      <c r="C777" s="92"/>
      <c r="D777" s="92"/>
      <c r="E777" s="92"/>
      <c r="F777" s="92"/>
      <c r="G777" s="92"/>
      <c r="H777" s="92"/>
      <c r="I777" s="20"/>
      <c r="J777" s="95"/>
    </row>
    <row r="778">
      <c r="A778" s="92"/>
      <c r="B778" s="92"/>
      <c r="C778" s="92"/>
      <c r="D778" s="92"/>
      <c r="E778" s="92"/>
      <c r="F778" s="92"/>
      <c r="G778" s="92"/>
      <c r="H778" s="92"/>
      <c r="I778" s="20"/>
      <c r="J778" s="95"/>
    </row>
    <row r="779">
      <c r="A779" s="92"/>
      <c r="B779" s="92"/>
      <c r="C779" s="92"/>
      <c r="D779" s="92"/>
      <c r="E779" s="92"/>
      <c r="F779" s="92"/>
      <c r="G779" s="92"/>
      <c r="H779" s="92"/>
      <c r="I779" s="20"/>
      <c r="J779" s="95"/>
    </row>
    <row r="780">
      <c r="A780" s="92"/>
      <c r="B780" s="92"/>
      <c r="C780" s="92"/>
      <c r="D780" s="92"/>
      <c r="E780" s="92"/>
      <c r="F780" s="92"/>
      <c r="G780" s="92"/>
      <c r="H780" s="92"/>
      <c r="I780" s="20"/>
      <c r="J780" s="95"/>
    </row>
    <row r="781">
      <c r="A781" s="92"/>
      <c r="B781" s="92"/>
      <c r="C781" s="92"/>
      <c r="D781" s="92"/>
      <c r="E781" s="92"/>
      <c r="F781" s="92"/>
      <c r="G781" s="92"/>
      <c r="H781" s="92"/>
      <c r="I781" s="20"/>
      <c r="J781" s="95"/>
    </row>
    <row r="782">
      <c r="A782" s="92"/>
      <c r="B782" s="92"/>
      <c r="C782" s="92"/>
      <c r="D782" s="92"/>
      <c r="E782" s="92"/>
      <c r="F782" s="92"/>
      <c r="G782" s="92"/>
      <c r="H782" s="92"/>
      <c r="I782" s="20"/>
      <c r="J782" s="95"/>
    </row>
    <row r="783">
      <c r="A783" s="92"/>
      <c r="B783" s="92"/>
      <c r="C783" s="92"/>
      <c r="D783" s="92"/>
      <c r="E783" s="92"/>
      <c r="F783" s="92"/>
      <c r="G783" s="92"/>
      <c r="H783" s="92"/>
      <c r="I783" s="20"/>
      <c r="J783" s="95"/>
    </row>
    <row r="784">
      <c r="A784" s="92"/>
      <c r="B784" s="92"/>
      <c r="C784" s="92"/>
      <c r="D784" s="92"/>
      <c r="E784" s="92"/>
      <c r="F784" s="92"/>
      <c r="G784" s="92"/>
      <c r="H784" s="92"/>
      <c r="I784" s="20"/>
      <c r="J784" s="95"/>
    </row>
    <row r="785">
      <c r="A785" s="92"/>
      <c r="B785" s="92"/>
      <c r="C785" s="92"/>
      <c r="D785" s="92"/>
      <c r="E785" s="92"/>
      <c r="F785" s="92"/>
      <c r="G785" s="92"/>
      <c r="H785" s="92"/>
      <c r="I785" s="20"/>
      <c r="J785" s="95"/>
    </row>
    <row r="786">
      <c r="A786" s="92"/>
      <c r="B786" s="92"/>
      <c r="C786" s="92"/>
      <c r="D786" s="92"/>
      <c r="E786" s="92"/>
      <c r="F786" s="92"/>
      <c r="G786" s="92"/>
      <c r="H786" s="92"/>
      <c r="I786" s="20"/>
      <c r="J786" s="95"/>
    </row>
    <row r="787">
      <c r="A787" s="92"/>
      <c r="B787" s="92"/>
      <c r="C787" s="92"/>
      <c r="D787" s="92"/>
      <c r="E787" s="92"/>
      <c r="F787" s="92"/>
      <c r="G787" s="92"/>
      <c r="H787" s="92"/>
      <c r="I787" s="20"/>
      <c r="J787" s="95"/>
    </row>
    <row r="788">
      <c r="A788" s="92"/>
      <c r="B788" s="92"/>
      <c r="C788" s="92"/>
      <c r="D788" s="92"/>
      <c r="E788" s="92"/>
      <c r="F788" s="92"/>
      <c r="G788" s="92"/>
      <c r="H788" s="92"/>
      <c r="I788" s="20"/>
      <c r="J788" s="95"/>
    </row>
    <row r="789">
      <c r="A789" s="92"/>
      <c r="B789" s="92"/>
      <c r="C789" s="92"/>
      <c r="D789" s="92"/>
      <c r="E789" s="92"/>
      <c r="F789" s="92"/>
      <c r="G789" s="92"/>
      <c r="H789" s="92"/>
      <c r="I789" s="20"/>
      <c r="J789" s="95"/>
    </row>
    <row r="790">
      <c r="A790" s="92"/>
      <c r="B790" s="92"/>
      <c r="C790" s="92"/>
      <c r="D790" s="92"/>
      <c r="E790" s="92"/>
      <c r="F790" s="92"/>
      <c r="G790" s="92"/>
      <c r="H790" s="92"/>
      <c r="I790" s="20"/>
      <c r="J790" s="95"/>
    </row>
    <row r="791">
      <c r="A791" s="92"/>
      <c r="B791" s="92"/>
      <c r="C791" s="92"/>
      <c r="D791" s="92"/>
      <c r="E791" s="92"/>
      <c r="F791" s="92"/>
      <c r="G791" s="92"/>
      <c r="H791" s="92"/>
      <c r="I791" s="20"/>
      <c r="J791" s="95"/>
    </row>
    <row r="792">
      <c r="A792" s="92"/>
      <c r="B792" s="92"/>
      <c r="C792" s="92"/>
      <c r="D792" s="92"/>
      <c r="E792" s="92"/>
      <c r="F792" s="92"/>
      <c r="G792" s="92"/>
      <c r="H792" s="92"/>
      <c r="I792" s="20"/>
      <c r="J792" s="95"/>
    </row>
    <row r="793">
      <c r="A793" s="92"/>
      <c r="B793" s="92"/>
      <c r="C793" s="92"/>
      <c r="D793" s="92"/>
      <c r="E793" s="92"/>
      <c r="F793" s="92"/>
      <c r="G793" s="92"/>
      <c r="H793" s="92"/>
      <c r="I793" s="20"/>
      <c r="J793" s="95"/>
    </row>
    <row r="794">
      <c r="A794" s="92"/>
      <c r="B794" s="92"/>
      <c r="C794" s="92"/>
      <c r="D794" s="92"/>
      <c r="E794" s="92"/>
      <c r="F794" s="92"/>
      <c r="G794" s="92"/>
      <c r="H794" s="92"/>
      <c r="I794" s="20"/>
      <c r="J794" s="95"/>
    </row>
    <row r="795">
      <c r="A795" s="92"/>
      <c r="B795" s="92"/>
      <c r="C795" s="92"/>
      <c r="D795" s="92"/>
      <c r="E795" s="92"/>
      <c r="F795" s="92"/>
      <c r="G795" s="92"/>
      <c r="H795" s="92"/>
      <c r="I795" s="20"/>
      <c r="J795" s="95"/>
    </row>
    <row r="796">
      <c r="A796" s="92"/>
      <c r="B796" s="92"/>
      <c r="C796" s="92"/>
      <c r="D796" s="92"/>
      <c r="E796" s="92"/>
      <c r="F796" s="92"/>
      <c r="G796" s="92"/>
      <c r="H796" s="92"/>
      <c r="I796" s="20"/>
      <c r="J796" s="95"/>
    </row>
    <row r="797">
      <c r="A797" s="92"/>
      <c r="B797" s="92"/>
      <c r="C797" s="92"/>
      <c r="D797" s="92"/>
      <c r="E797" s="92"/>
      <c r="F797" s="92"/>
      <c r="G797" s="92"/>
      <c r="H797" s="92"/>
      <c r="I797" s="20"/>
      <c r="J797" s="95"/>
    </row>
    <row r="798">
      <c r="A798" s="92"/>
      <c r="B798" s="92"/>
      <c r="C798" s="92"/>
      <c r="D798" s="92"/>
      <c r="E798" s="92"/>
      <c r="F798" s="92"/>
      <c r="G798" s="92"/>
      <c r="H798" s="92"/>
      <c r="I798" s="20"/>
      <c r="J798" s="95"/>
    </row>
    <row r="799">
      <c r="A799" s="92"/>
      <c r="B799" s="92"/>
      <c r="C799" s="92"/>
      <c r="D799" s="92"/>
      <c r="E799" s="92"/>
      <c r="F799" s="92"/>
      <c r="G799" s="92"/>
      <c r="H799" s="92"/>
      <c r="I799" s="20"/>
      <c r="J799" s="95"/>
    </row>
    <row r="800">
      <c r="A800" s="92"/>
      <c r="B800" s="92"/>
      <c r="C800" s="92"/>
      <c r="D800" s="92"/>
      <c r="E800" s="92"/>
      <c r="F800" s="92"/>
      <c r="G800" s="92"/>
      <c r="H800" s="92"/>
      <c r="I800" s="20"/>
      <c r="J800" s="95"/>
    </row>
    <row r="801">
      <c r="A801" s="92"/>
      <c r="B801" s="92"/>
      <c r="C801" s="92"/>
      <c r="D801" s="92"/>
      <c r="E801" s="92"/>
      <c r="F801" s="92"/>
      <c r="G801" s="92"/>
      <c r="H801" s="92"/>
      <c r="I801" s="20"/>
      <c r="J801" s="95"/>
    </row>
    <row r="802">
      <c r="A802" s="92"/>
      <c r="B802" s="92"/>
      <c r="C802" s="92"/>
      <c r="D802" s="92"/>
      <c r="E802" s="92"/>
      <c r="F802" s="92"/>
      <c r="G802" s="92"/>
      <c r="H802" s="92"/>
      <c r="I802" s="20"/>
      <c r="J802" s="95"/>
    </row>
    <row r="803">
      <c r="A803" s="92"/>
      <c r="B803" s="92"/>
      <c r="C803" s="92"/>
      <c r="D803" s="92"/>
      <c r="E803" s="92"/>
      <c r="F803" s="92"/>
      <c r="G803" s="92"/>
      <c r="H803" s="92"/>
      <c r="I803" s="20"/>
      <c r="J803" s="95"/>
    </row>
    <row r="804">
      <c r="A804" s="92"/>
      <c r="B804" s="92"/>
      <c r="C804" s="92"/>
      <c r="D804" s="92"/>
      <c r="E804" s="92"/>
      <c r="F804" s="92"/>
      <c r="G804" s="92"/>
      <c r="H804" s="92"/>
      <c r="I804" s="20"/>
      <c r="J804" s="95"/>
    </row>
    <row r="805">
      <c r="A805" s="92"/>
      <c r="B805" s="92"/>
      <c r="C805" s="92"/>
      <c r="D805" s="92"/>
      <c r="E805" s="92"/>
      <c r="F805" s="92"/>
      <c r="G805" s="92"/>
      <c r="H805" s="92"/>
      <c r="I805" s="20"/>
      <c r="J805" s="95"/>
    </row>
    <row r="806">
      <c r="A806" s="92"/>
      <c r="B806" s="92"/>
      <c r="C806" s="92"/>
      <c r="D806" s="92"/>
      <c r="E806" s="92"/>
      <c r="F806" s="92"/>
      <c r="G806" s="92"/>
      <c r="H806" s="92"/>
      <c r="I806" s="20"/>
      <c r="J806" s="95"/>
    </row>
    <row r="807">
      <c r="A807" s="92"/>
      <c r="B807" s="92"/>
      <c r="C807" s="92"/>
      <c r="D807" s="92"/>
      <c r="E807" s="92"/>
      <c r="F807" s="92"/>
      <c r="G807" s="92"/>
      <c r="H807" s="92"/>
      <c r="I807" s="20"/>
      <c r="J807" s="95"/>
    </row>
    <row r="808">
      <c r="A808" s="92"/>
      <c r="B808" s="92"/>
      <c r="C808" s="92"/>
      <c r="D808" s="92"/>
      <c r="E808" s="92"/>
      <c r="F808" s="92"/>
      <c r="G808" s="92"/>
      <c r="H808" s="92"/>
      <c r="I808" s="20"/>
      <c r="J808" s="95"/>
    </row>
    <row r="809">
      <c r="A809" s="92"/>
      <c r="B809" s="92"/>
      <c r="C809" s="92"/>
      <c r="D809" s="92"/>
      <c r="E809" s="92"/>
      <c r="F809" s="92"/>
      <c r="G809" s="92"/>
      <c r="H809" s="92"/>
      <c r="I809" s="20"/>
      <c r="J809" s="95"/>
    </row>
    <row r="810">
      <c r="A810" s="92"/>
      <c r="B810" s="92"/>
      <c r="C810" s="92"/>
      <c r="D810" s="92"/>
      <c r="E810" s="92"/>
      <c r="F810" s="92"/>
      <c r="G810" s="92"/>
      <c r="H810" s="92"/>
      <c r="I810" s="20"/>
      <c r="J810" s="95"/>
    </row>
    <row r="811">
      <c r="A811" s="92"/>
      <c r="B811" s="92"/>
      <c r="C811" s="92"/>
      <c r="D811" s="92"/>
      <c r="E811" s="92"/>
      <c r="F811" s="92"/>
      <c r="G811" s="92"/>
      <c r="H811" s="92"/>
      <c r="I811" s="20"/>
      <c r="J811" s="95"/>
    </row>
    <row r="812">
      <c r="A812" s="92"/>
      <c r="B812" s="92"/>
      <c r="C812" s="92"/>
      <c r="D812" s="92"/>
      <c r="E812" s="92"/>
      <c r="F812" s="92"/>
      <c r="G812" s="92"/>
      <c r="H812" s="92"/>
      <c r="I812" s="20"/>
      <c r="J812" s="95"/>
    </row>
    <row r="813">
      <c r="A813" s="92"/>
      <c r="B813" s="92"/>
      <c r="C813" s="92"/>
      <c r="D813" s="92"/>
      <c r="E813" s="92"/>
      <c r="F813" s="92"/>
      <c r="G813" s="92"/>
      <c r="H813" s="92"/>
      <c r="I813" s="20"/>
      <c r="J813" s="95"/>
    </row>
    <row r="814">
      <c r="A814" s="92"/>
      <c r="B814" s="92"/>
      <c r="C814" s="92"/>
      <c r="D814" s="92"/>
      <c r="E814" s="92"/>
      <c r="F814" s="92"/>
      <c r="G814" s="92"/>
      <c r="H814" s="92"/>
      <c r="I814" s="20"/>
      <c r="J814" s="95"/>
    </row>
    <row r="815">
      <c r="A815" s="92"/>
      <c r="B815" s="92"/>
      <c r="C815" s="92"/>
      <c r="D815" s="92"/>
      <c r="E815" s="92"/>
      <c r="F815" s="92"/>
      <c r="G815" s="92"/>
      <c r="H815" s="92"/>
      <c r="I815" s="20"/>
      <c r="J815" s="95"/>
    </row>
    <row r="816">
      <c r="A816" s="92"/>
      <c r="B816" s="92"/>
      <c r="C816" s="92"/>
      <c r="D816" s="92"/>
      <c r="E816" s="92"/>
      <c r="F816" s="92"/>
      <c r="G816" s="92"/>
      <c r="H816" s="92"/>
      <c r="I816" s="20"/>
      <c r="J816" s="95"/>
    </row>
    <row r="817">
      <c r="A817" s="92"/>
      <c r="B817" s="92"/>
      <c r="C817" s="92"/>
      <c r="D817" s="92"/>
      <c r="E817" s="92"/>
      <c r="F817" s="92"/>
      <c r="G817" s="92"/>
      <c r="H817" s="92"/>
      <c r="I817" s="20"/>
      <c r="J817" s="95"/>
    </row>
    <row r="818">
      <c r="A818" s="92"/>
      <c r="B818" s="92"/>
      <c r="C818" s="92"/>
      <c r="D818" s="92"/>
      <c r="E818" s="92"/>
      <c r="F818" s="92"/>
      <c r="G818" s="92"/>
      <c r="H818" s="92"/>
      <c r="I818" s="20"/>
      <c r="J818" s="95"/>
    </row>
    <row r="819">
      <c r="A819" s="92"/>
      <c r="B819" s="92"/>
      <c r="C819" s="92"/>
      <c r="D819" s="92"/>
      <c r="E819" s="92"/>
      <c r="F819" s="92"/>
      <c r="G819" s="92"/>
      <c r="H819" s="92"/>
      <c r="I819" s="20"/>
      <c r="J819" s="95"/>
    </row>
    <row r="820">
      <c r="A820" s="92"/>
      <c r="B820" s="92"/>
      <c r="C820" s="92"/>
      <c r="D820" s="92"/>
      <c r="E820" s="92"/>
      <c r="F820" s="92"/>
      <c r="G820" s="92"/>
      <c r="H820" s="92"/>
      <c r="I820" s="20"/>
      <c r="J820" s="95"/>
    </row>
    <row r="821">
      <c r="A821" s="92"/>
      <c r="B821" s="92"/>
      <c r="C821" s="92"/>
      <c r="D821" s="92"/>
      <c r="E821" s="92"/>
      <c r="F821" s="92"/>
      <c r="G821" s="92"/>
      <c r="H821" s="92"/>
      <c r="I821" s="20"/>
      <c r="J821" s="95"/>
    </row>
    <row r="822">
      <c r="A822" s="92"/>
      <c r="B822" s="92"/>
      <c r="C822" s="92"/>
      <c r="D822" s="92"/>
      <c r="E822" s="92"/>
      <c r="F822" s="92"/>
      <c r="G822" s="92"/>
      <c r="H822" s="92"/>
      <c r="I822" s="20"/>
      <c r="J822" s="95"/>
    </row>
    <row r="823">
      <c r="A823" s="92"/>
      <c r="B823" s="92"/>
      <c r="C823" s="92"/>
      <c r="D823" s="92"/>
      <c r="E823" s="92"/>
      <c r="F823" s="92"/>
      <c r="G823" s="92"/>
      <c r="H823" s="92"/>
      <c r="I823" s="20"/>
      <c r="J823" s="95"/>
    </row>
    <row r="824">
      <c r="A824" s="92"/>
      <c r="B824" s="92"/>
      <c r="C824" s="92"/>
      <c r="D824" s="92"/>
      <c r="E824" s="92"/>
      <c r="F824" s="92"/>
      <c r="G824" s="92"/>
      <c r="H824" s="92"/>
      <c r="I824" s="20"/>
      <c r="J824" s="95"/>
    </row>
    <row r="825">
      <c r="A825" s="92"/>
      <c r="B825" s="92"/>
      <c r="C825" s="92"/>
      <c r="D825" s="92"/>
      <c r="E825" s="92"/>
      <c r="F825" s="92"/>
      <c r="G825" s="92"/>
      <c r="H825" s="92"/>
      <c r="I825" s="20"/>
      <c r="J825" s="95"/>
    </row>
    <row r="826">
      <c r="A826" s="92"/>
      <c r="B826" s="92"/>
      <c r="C826" s="92"/>
      <c r="D826" s="92"/>
      <c r="E826" s="92"/>
      <c r="F826" s="92"/>
      <c r="G826" s="92"/>
      <c r="H826" s="92"/>
      <c r="I826" s="20"/>
      <c r="J826" s="95"/>
    </row>
    <row r="827">
      <c r="A827" s="92"/>
      <c r="B827" s="92"/>
      <c r="C827" s="92"/>
      <c r="D827" s="92"/>
      <c r="E827" s="92"/>
      <c r="F827" s="92"/>
      <c r="G827" s="92"/>
      <c r="H827" s="92"/>
      <c r="I827" s="20"/>
      <c r="J827" s="95"/>
    </row>
    <row r="828">
      <c r="A828" s="92"/>
      <c r="B828" s="92"/>
      <c r="C828" s="92"/>
      <c r="D828" s="92"/>
      <c r="E828" s="92"/>
      <c r="F828" s="92"/>
      <c r="G828" s="92"/>
      <c r="H828" s="92"/>
      <c r="I828" s="20"/>
      <c r="J828" s="95"/>
    </row>
    <row r="829">
      <c r="A829" s="92"/>
      <c r="B829" s="92"/>
      <c r="C829" s="92"/>
      <c r="D829" s="92"/>
      <c r="E829" s="92"/>
      <c r="F829" s="92"/>
      <c r="G829" s="92"/>
      <c r="H829" s="92"/>
      <c r="I829" s="20"/>
      <c r="J829" s="95"/>
    </row>
    <row r="830">
      <c r="A830" s="92"/>
      <c r="B830" s="92"/>
      <c r="C830" s="92"/>
      <c r="D830" s="92"/>
      <c r="E830" s="92"/>
      <c r="F830" s="92"/>
      <c r="G830" s="92"/>
      <c r="H830" s="92"/>
      <c r="I830" s="20"/>
      <c r="J830" s="95"/>
    </row>
    <row r="831">
      <c r="A831" s="92"/>
      <c r="B831" s="92"/>
      <c r="C831" s="92"/>
      <c r="D831" s="92"/>
      <c r="E831" s="92"/>
      <c r="F831" s="92"/>
      <c r="G831" s="92"/>
      <c r="H831" s="92"/>
      <c r="I831" s="20"/>
      <c r="J831" s="95"/>
    </row>
    <row r="832">
      <c r="A832" s="92"/>
      <c r="B832" s="92"/>
      <c r="C832" s="92"/>
      <c r="D832" s="92"/>
      <c r="E832" s="92"/>
      <c r="F832" s="92"/>
      <c r="G832" s="92"/>
      <c r="H832" s="92"/>
      <c r="I832" s="20"/>
      <c r="J832" s="95"/>
    </row>
    <row r="833">
      <c r="A833" s="92"/>
      <c r="B833" s="92"/>
      <c r="C833" s="92"/>
      <c r="D833" s="92"/>
      <c r="E833" s="92"/>
      <c r="F833" s="92"/>
      <c r="G833" s="92"/>
      <c r="H833" s="92"/>
      <c r="I833" s="20"/>
      <c r="J833" s="95"/>
    </row>
    <row r="834">
      <c r="A834" s="92"/>
      <c r="B834" s="92"/>
      <c r="C834" s="92"/>
      <c r="D834" s="92"/>
      <c r="E834" s="92"/>
      <c r="F834" s="92"/>
      <c r="G834" s="92"/>
      <c r="H834" s="92"/>
      <c r="I834" s="20"/>
      <c r="J834" s="95"/>
    </row>
    <row r="835">
      <c r="A835" s="92"/>
      <c r="B835" s="92"/>
      <c r="C835" s="92"/>
      <c r="D835" s="92"/>
      <c r="E835" s="92"/>
      <c r="F835" s="92"/>
      <c r="G835" s="92"/>
      <c r="H835" s="92"/>
      <c r="I835" s="20"/>
      <c r="J835" s="95"/>
    </row>
    <row r="836">
      <c r="A836" s="92"/>
      <c r="B836" s="92"/>
      <c r="C836" s="92"/>
      <c r="D836" s="92"/>
      <c r="E836" s="92"/>
      <c r="F836" s="92"/>
      <c r="G836" s="92"/>
      <c r="H836" s="92"/>
      <c r="I836" s="20"/>
      <c r="J836" s="95"/>
    </row>
    <row r="837">
      <c r="A837" s="92"/>
      <c r="B837" s="92"/>
      <c r="C837" s="92"/>
      <c r="D837" s="92"/>
      <c r="E837" s="92"/>
      <c r="F837" s="92"/>
      <c r="G837" s="92"/>
      <c r="H837" s="92"/>
      <c r="I837" s="20"/>
      <c r="J837" s="95"/>
    </row>
    <row r="838">
      <c r="A838" s="92"/>
      <c r="B838" s="92"/>
      <c r="C838" s="92"/>
      <c r="D838" s="92"/>
      <c r="E838" s="92"/>
      <c r="F838" s="92"/>
      <c r="G838" s="92"/>
      <c r="H838" s="92"/>
      <c r="I838" s="20"/>
      <c r="J838" s="95"/>
    </row>
    <row r="839">
      <c r="A839" s="92"/>
      <c r="B839" s="92"/>
      <c r="C839" s="92"/>
      <c r="D839" s="92"/>
      <c r="E839" s="92"/>
      <c r="F839" s="92"/>
      <c r="G839" s="92"/>
      <c r="H839" s="92"/>
      <c r="I839" s="20"/>
      <c r="J839" s="95"/>
    </row>
    <row r="840">
      <c r="A840" s="92"/>
      <c r="B840" s="92"/>
      <c r="C840" s="92"/>
      <c r="D840" s="92"/>
      <c r="E840" s="92"/>
      <c r="F840" s="92"/>
      <c r="G840" s="92"/>
      <c r="H840" s="92"/>
      <c r="I840" s="20"/>
      <c r="J840" s="95"/>
    </row>
    <row r="841">
      <c r="A841" s="92"/>
      <c r="B841" s="92"/>
      <c r="C841" s="92"/>
      <c r="D841" s="92"/>
      <c r="E841" s="92"/>
      <c r="F841" s="92"/>
      <c r="G841" s="92"/>
      <c r="H841" s="92"/>
      <c r="I841" s="20"/>
      <c r="J841" s="95"/>
    </row>
  </sheetData>
  <mergeCells count="2">
    <mergeCell ref="H4:I4"/>
    <mergeCell ref="F6:I6"/>
  </mergeCells>
  <printOptions horizontalCentered="1"/>
  <pageMargins bottom="0.75" footer="0.0" header="0.0" left="0.25" right="0.25" top="0.75"/>
  <pageSetup orientation="portrait" pageOrder="overThenDown" paperHeight="54.6in" paperWidth="10i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4.0"/>
    <col customWidth="1" min="7" max="7" width="12.86"/>
    <col customWidth="1" min="8" max="8" width="13.57"/>
    <col customWidth="1" min="10" max="10" width="9.29"/>
    <col customWidth="1" min="11" max="11" width="8.86"/>
  </cols>
  <sheetData>
    <row r="1">
      <c r="A1" s="105" t="s">
        <v>394</v>
      </c>
      <c r="B1" s="105" t="s">
        <v>395</v>
      </c>
      <c r="C1" s="105" t="s">
        <v>396</v>
      </c>
      <c r="D1" s="105" t="s">
        <v>397</v>
      </c>
      <c r="E1" s="105" t="s">
        <v>398</v>
      </c>
      <c r="F1" s="105" t="s">
        <v>399</v>
      </c>
      <c r="G1" s="105" t="s">
        <v>400</v>
      </c>
      <c r="H1" s="106" t="s">
        <v>401</v>
      </c>
      <c r="I1" s="105" t="s">
        <v>402</v>
      </c>
      <c r="J1" s="105" t="s">
        <v>403</v>
      </c>
      <c r="K1" s="107">
        <f>sum(I4:I15)/12</f>
        <v>47.4250587</v>
      </c>
      <c r="L1" s="108"/>
      <c r="M1" s="108"/>
      <c r="N1" s="108"/>
      <c r="O1" s="108"/>
      <c r="P1" s="108"/>
      <c r="Q1" s="108"/>
      <c r="R1" s="108"/>
      <c r="S1" s="108"/>
      <c r="T1" s="108"/>
      <c r="U1" s="108"/>
      <c r="V1" s="108"/>
      <c r="W1" s="108"/>
    </row>
    <row r="2">
      <c r="A2" s="109" t="s">
        <v>404</v>
      </c>
      <c r="B2" s="110">
        <v>408.06</v>
      </c>
      <c r="C2" s="110" t="s">
        <v>405</v>
      </c>
      <c r="D2" s="111">
        <f t="shared" ref="D2:D8" si="1">D3-14</f>
        <v>44085</v>
      </c>
      <c r="E2" s="18">
        <f>B2</f>
        <v>408.06</v>
      </c>
      <c r="F2" s="112">
        <f t="shared" ref="F2:F18" si="2">E2*15/0.15</f>
        <v>40806</v>
      </c>
      <c r="G2" s="112">
        <f t="shared" ref="G2:G18" si="3">E2*10/0.15</f>
        <v>27204</v>
      </c>
      <c r="H2" s="112">
        <f t="shared" ref="H2:H18" si="4">E2*10/0.2</f>
        <v>20403</v>
      </c>
      <c r="J2" s="110"/>
    </row>
    <row r="3">
      <c r="A3" s="110">
        <v>1.0</v>
      </c>
      <c r="B3" s="110">
        <v>57.408</v>
      </c>
      <c r="C3" s="110" t="s">
        <v>405</v>
      </c>
      <c r="D3" s="111">
        <f t="shared" si="1"/>
        <v>44099</v>
      </c>
      <c r="E3" s="18">
        <f t="shared" ref="E3:E18" si="5">B3+E2</f>
        <v>465.468</v>
      </c>
      <c r="F3" s="112">
        <f t="shared" si="2"/>
        <v>46546.8</v>
      </c>
      <c r="G3" s="112">
        <f t="shared" si="3"/>
        <v>31031.2</v>
      </c>
      <c r="H3" s="112">
        <f t="shared" si="4"/>
        <v>23273.4</v>
      </c>
    </row>
    <row r="4">
      <c r="A4" s="110">
        <v>2.0</v>
      </c>
      <c r="B4" s="110">
        <v>159.39</v>
      </c>
      <c r="C4" s="110" t="s">
        <v>405</v>
      </c>
      <c r="D4" s="111">
        <f t="shared" si="1"/>
        <v>44113</v>
      </c>
      <c r="E4" s="18">
        <f t="shared" si="5"/>
        <v>624.858</v>
      </c>
      <c r="F4" s="112">
        <f t="shared" si="2"/>
        <v>62485.8</v>
      </c>
      <c r="G4" s="112">
        <f t="shared" si="3"/>
        <v>41657.2</v>
      </c>
      <c r="H4" s="112">
        <f t="shared" si="4"/>
        <v>31242.9</v>
      </c>
      <c r="I4" s="18">
        <f t="shared" ref="I4:I18" si="6">B4-B3</f>
        <v>101.982</v>
      </c>
    </row>
    <row r="5">
      <c r="A5" s="110">
        <v>3.0</v>
      </c>
      <c r="B5" s="110">
        <v>273.315</v>
      </c>
      <c r="C5" s="110" t="s">
        <v>405</v>
      </c>
      <c r="D5" s="111">
        <f t="shared" si="1"/>
        <v>44127</v>
      </c>
      <c r="E5" s="18">
        <f t="shared" si="5"/>
        <v>898.173</v>
      </c>
      <c r="F5" s="112">
        <f t="shared" si="2"/>
        <v>89817.3</v>
      </c>
      <c r="G5" s="112">
        <f t="shared" si="3"/>
        <v>59878.2</v>
      </c>
      <c r="H5" s="112">
        <f t="shared" si="4"/>
        <v>44908.65</v>
      </c>
      <c r="I5" s="18">
        <f t="shared" si="6"/>
        <v>113.925</v>
      </c>
    </row>
    <row r="6">
      <c r="A6" s="110">
        <v>4.0</v>
      </c>
      <c r="B6" s="110">
        <v>273.29</v>
      </c>
      <c r="C6" s="110" t="s">
        <v>405</v>
      </c>
      <c r="D6" s="111">
        <f t="shared" si="1"/>
        <v>44141</v>
      </c>
      <c r="E6" s="18">
        <f t="shared" si="5"/>
        <v>1171.463</v>
      </c>
      <c r="F6" s="112">
        <f t="shared" si="2"/>
        <v>117146.3</v>
      </c>
      <c r="G6" s="112">
        <f t="shared" si="3"/>
        <v>78097.53333</v>
      </c>
      <c r="H6" s="112">
        <f t="shared" si="4"/>
        <v>58573.15</v>
      </c>
      <c r="I6" s="18">
        <f t="shared" si="6"/>
        <v>-0.025</v>
      </c>
    </row>
    <row r="7">
      <c r="A7" s="110">
        <v>5.0</v>
      </c>
      <c r="B7" s="110">
        <v>404.56</v>
      </c>
      <c r="C7" s="110" t="s">
        <v>405</v>
      </c>
      <c r="D7" s="111">
        <f t="shared" si="1"/>
        <v>44155</v>
      </c>
      <c r="E7" s="18">
        <f t="shared" si="5"/>
        <v>1576.023</v>
      </c>
      <c r="F7" s="112">
        <f t="shared" si="2"/>
        <v>157602.3</v>
      </c>
      <c r="G7" s="112">
        <f t="shared" si="3"/>
        <v>105068.2</v>
      </c>
      <c r="H7" s="112">
        <f t="shared" si="4"/>
        <v>78801.15</v>
      </c>
      <c r="I7" s="18">
        <f t="shared" si="6"/>
        <v>131.27</v>
      </c>
    </row>
    <row r="8">
      <c r="A8" s="110">
        <v>6.0</v>
      </c>
      <c r="B8" s="110">
        <v>513.679</v>
      </c>
      <c r="C8" s="110" t="s">
        <v>405</v>
      </c>
      <c r="D8" s="111">
        <f t="shared" si="1"/>
        <v>44169</v>
      </c>
      <c r="E8" s="18">
        <f t="shared" si="5"/>
        <v>2089.702</v>
      </c>
      <c r="F8" s="112">
        <f t="shared" si="2"/>
        <v>208970.2</v>
      </c>
      <c r="G8" s="112">
        <f t="shared" si="3"/>
        <v>139313.4667</v>
      </c>
      <c r="H8" s="112">
        <f t="shared" si="4"/>
        <v>104485.1</v>
      </c>
      <c r="I8" s="18">
        <f t="shared" si="6"/>
        <v>109.119</v>
      </c>
    </row>
    <row r="9">
      <c r="A9" s="110">
        <v>7.0</v>
      </c>
      <c r="B9" s="113">
        <v>504.56453947368436</v>
      </c>
      <c r="C9" s="110" t="s">
        <v>405</v>
      </c>
      <c r="D9" s="114">
        <v>44183.0</v>
      </c>
      <c r="E9" s="18">
        <f t="shared" si="5"/>
        <v>2594.266539</v>
      </c>
      <c r="F9" s="112">
        <f t="shared" si="2"/>
        <v>259426.6539</v>
      </c>
      <c r="G9" s="112">
        <f t="shared" si="3"/>
        <v>172951.1026</v>
      </c>
      <c r="H9" s="112">
        <f t="shared" si="4"/>
        <v>129713.327</v>
      </c>
      <c r="I9" s="18">
        <f t="shared" si="6"/>
        <v>-9.114460526</v>
      </c>
    </row>
    <row r="10">
      <c r="A10" s="110">
        <v>8.0</v>
      </c>
      <c r="B10" s="113">
        <v>269.1187604683194</v>
      </c>
      <c r="C10" s="110" t="s">
        <v>405</v>
      </c>
      <c r="D10" s="111">
        <f t="shared" ref="D10:D18" si="7">D9+14</f>
        <v>44197</v>
      </c>
      <c r="E10" s="18">
        <f t="shared" si="5"/>
        <v>2863.3853</v>
      </c>
      <c r="F10" s="112">
        <f t="shared" si="2"/>
        <v>286338.53</v>
      </c>
      <c r="G10" s="112">
        <f t="shared" si="3"/>
        <v>190892.3533</v>
      </c>
      <c r="H10" s="112">
        <f t="shared" si="4"/>
        <v>143169.265</v>
      </c>
      <c r="I10" s="18">
        <f t="shared" si="6"/>
        <v>-235.445779</v>
      </c>
    </row>
    <row r="11">
      <c r="A11" s="110">
        <v>9.0</v>
      </c>
      <c r="B11" s="113">
        <v>497.42576578947376</v>
      </c>
      <c r="C11" s="110" t="s">
        <v>405</v>
      </c>
      <c r="D11" s="111">
        <f t="shared" si="7"/>
        <v>44211</v>
      </c>
      <c r="E11" s="18">
        <f t="shared" si="5"/>
        <v>3360.811066</v>
      </c>
      <c r="F11" s="112">
        <f t="shared" si="2"/>
        <v>336081.1066</v>
      </c>
      <c r="G11" s="112">
        <f t="shared" si="3"/>
        <v>224054.071</v>
      </c>
      <c r="H11" s="112">
        <f t="shared" si="4"/>
        <v>168040.5533</v>
      </c>
      <c r="I11" s="18">
        <f t="shared" si="6"/>
        <v>228.3070053</v>
      </c>
    </row>
    <row r="12">
      <c r="A12" s="110">
        <v>10.0</v>
      </c>
      <c r="B12" s="113">
        <v>542.9610000000006</v>
      </c>
      <c r="C12" s="110" t="s">
        <v>405</v>
      </c>
      <c r="D12" s="111">
        <f t="shared" si="7"/>
        <v>44225</v>
      </c>
      <c r="E12" s="18">
        <f t="shared" si="5"/>
        <v>3903.772066</v>
      </c>
      <c r="F12" s="112">
        <f t="shared" si="2"/>
        <v>390377.2066</v>
      </c>
      <c r="G12" s="112">
        <f t="shared" si="3"/>
        <v>260251.471</v>
      </c>
      <c r="H12" s="112">
        <f t="shared" si="4"/>
        <v>195188.6033</v>
      </c>
      <c r="I12" s="18">
        <f t="shared" si="6"/>
        <v>45.53523421</v>
      </c>
    </row>
    <row r="13">
      <c r="A13" s="110">
        <v>11.0</v>
      </c>
      <c r="B13" s="113">
        <v>473.6485087813622</v>
      </c>
      <c r="C13" s="110" t="s">
        <v>405</v>
      </c>
      <c r="D13" s="111">
        <f t="shared" si="7"/>
        <v>44239</v>
      </c>
      <c r="E13" s="18">
        <f t="shared" si="5"/>
        <v>4377.420575</v>
      </c>
      <c r="F13" s="112">
        <f t="shared" si="2"/>
        <v>437742.0575</v>
      </c>
      <c r="G13" s="112">
        <f t="shared" si="3"/>
        <v>291828.0383</v>
      </c>
      <c r="H13" s="112">
        <f t="shared" si="4"/>
        <v>218871.0287</v>
      </c>
      <c r="I13" s="18">
        <f t="shared" si="6"/>
        <v>-69.31249122</v>
      </c>
    </row>
    <row r="14">
      <c r="A14" s="110">
        <v>12.0</v>
      </c>
      <c r="B14" s="113">
        <v>968.377592116967</v>
      </c>
      <c r="C14" s="110" t="s">
        <v>405</v>
      </c>
      <c r="D14" s="111">
        <f t="shared" si="7"/>
        <v>44253</v>
      </c>
      <c r="E14" s="18">
        <f t="shared" si="5"/>
        <v>5345.798167</v>
      </c>
      <c r="F14" s="112">
        <f t="shared" si="2"/>
        <v>534579.8167</v>
      </c>
      <c r="G14" s="112">
        <f t="shared" si="3"/>
        <v>356386.5444</v>
      </c>
      <c r="H14" s="112">
        <f t="shared" si="4"/>
        <v>267289.9083</v>
      </c>
      <c r="I14" s="18">
        <f t="shared" si="6"/>
        <v>494.7290833</v>
      </c>
    </row>
    <row r="15">
      <c r="A15" s="115">
        <v>13.0</v>
      </c>
      <c r="B15" s="116">
        <v>626.5087043571</v>
      </c>
      <c r="C15" s="115" t="s">
        <v>405</v>
      </c>
      <c r="D15" s="117">
        <f t="shared" si="7"/>
        <v>44267</v>
      </c>
      <c r="E15" s="118">
        <f t="shared" si="5"/>
        <v>5972.306871</v>
      </c>
      <c r="F15" s="119">
        <f t="shared" si="2"/>
        <v>597230.6871</v>
      </c>
      <c r="G15" s="119">
        <f t="shared" si="3"/>
        <v>398153.7914</v>
      </c>
      <c r="H15" s="119">
        <f t="shared" si="4"/>
        <v>298615.3435</v>
      </c>
      <c r="I15" s="120">
        <f t="shared" si="6"/>
        <v>-341.8688878</v>
      </c>
      <c r="J15" s="118"/>
      <c r="K15" s="118"/>
      <c r="L15" s="118"/>
      <c r="M15" s="118"/>
      <c r="N15" s="118"/>
      <c r="O15" s="118"/>
      <c r="P15" s="118"/>
      <c r="Q15" s="118"/>
      <c r="R15" s="118"/>
      <c r="S15" s="118"/>
      <c r="T15" s="118"/>
      <c r="U15" s="118"/>
      <c r="V15" s="118"/>
      <c r="W15" s="118"/>
    </row>
    <row r="16">
      <c r="A16" s="110">
        <v>14.0</v>
      </c>
      <c r="B16" s="18">
        <f t="shared" ref="B16:B17" si="8">B15+$K$1</f>
        <v>673.9337631</v>
      </c>
      <c r="C16" s="110" t="s">
        <v>406</v>
      </c>
      <c r="D16" s="111">
        <f t="shared" si="7"/>
        <v>44281</v>
      </c>
      <c r="E16" s="18">
        <f t="shared" si="5"/>
        <v>6646.240634</v>
      </c>
      <c r="F16" s="112">
        <f t="shared" si="2"/>
        <v>664624.0634</v>
      </c>
      <c r="G16" s="112">
        <f t="shared" si="3"/>
        <v>443082.7089</v>
      </c>
      <c r="H16" s="112">
        <f t="shared" si="4"/>
        <v>332312.0317</v>
      </c>
      <c r="I16" s="18">
        <f t="shared" si="6"/>
        <v>47.4250587</v>
      </c>
    </row>
    <row r="17">
      <c r="A17" s="110">
        <v>15.0</v>
      </c>
      <c r="B17" s="18">
        <f t="shared" si="8"/>
        <v>721.3588217</v>
      </c>
      <c r="C17" s="110" t="s">
        <v>406</v>
      </c>
      <c r="D17" s="111">
        <f t="shared" si="7"/>
        <v>44295</v>
      </c>
      <c r="E17" s="18">
        <f t="shared" si="5"/>
        <v>7367.599456</v>
      </c>
      <c r="F17" s="112">
        <f t="shared" si="2"/>
        <v>736759.9456</v>
      </c>
      <c r="G17" s="112">
        <f t="shared" si="3"/>
        <v>491173.2971</v>
      </c>
      <c r="H17" s="112">
        <f t="shared" si="4"/>
        <v>368379.9728</v>
      </c>
      <c r="I17" s="18">
        <f t="shared" si="6"/>
        <v>47.4250587</v>
      </c>
    </row>
    <row r="18">
      <c r="A18" s="110">
        <v>16.0</v>
      </c>
      <c r="B18" s="110">
        <v>632.4</v>
      </c>
      <c r="C18" s="110" t="s">
        <v>406</v>
      </c>
      <c r="D18" s="111">
        <f t="shared" si="7"/>
        <v>44309</v>
      </c>
      <c r="E18" s="18">
        <f t="shared" si="5"/>
        <v>7999.999456</v>
      </c>
      <c r="F18" s="112">
        <f t="shared" si="2"/>
        <v>799999.9456</v>
      </c>
      <c r="G18" s="112">
        <f t="shared" si="3"/>
        <v>533333.2971</v>
      </c>
      <c r="H18" s="112">
        <f t="shared" si="4"/>
        <v>399999.9728</v>
      </c>
      <c r="I18" s="18">
        <f t="shared" si="6"/>
        <v>-88.95882175</v>
      </c>
    </row>
    <row r="19">
      <c r="H19" s="112"/>
    </row>
    <row r="20">
      <c r="A20" s="121" t="s">
        <v>407</v>
      </c>
      <c r="B20" s="122"/>
      <c r="C20" s="122"/>
      <c r="D20" s="122"/>
      <c r="E20" s="122"/>
      <c r="F20" s="122"/>
      <c r="G20" s="122"/>
      <c r="H20" s="123"/>
      <c r="I20" s="122"/>
      <c r="J20" s="122"/>
      <c r="K20" s="122"/>
      <c r="L20" s="122"/>
      <c r="M20" s="122"/>
      <c r="N20" s="122"/>
      <c r="O20" s="122"/>
      <c r="P20" s="122"/>
      <c r="Q20" s="122"/>
      <c r="R20" s="122"/>
      <c r="S20" s="122"/>
      <c r="T20" s="122"/>
      <c r="U20" s="122"/>
      <c r="V20" s="122"/>
      <c r="W20" s="122"/>
    </row>
    <row r="21">
      <c r="A21" s="105" t="s">
        <v>394</v>
      </c>
      <c r="B21" s="105" t="s">
        <v>408</v>
      </c>
      <c r="C21" s="105" t="s">
        <v>396</v>
      </c>
      <c r="D21" s="105" t="s">
        <v>397</v>
      </c>
      <c r="E21" s="105" t="s">
        <v>398</v>
      </c>
      <c r="F21" s="105" t="s">
        <v>409</v>
      </c>
      <c r="G21" s="105" t="s">
        <v>400</v>
      </c>
      <c r="H21" s="106" t="s">
        <v>401</v>
      </c>
      <c r="I21" s="105" t="s">
        <v>402</v>
      </c>
      <c r="J21" s="105" t="s">
        <v>403</v>
      </c>
      <c r="K21" s="107">
        <f>sum(I24:I28)/5</f>
        <v>91.2542</v>
      </c>
      <c r="L21" s="108"/>
      <c r="M21" s="108"/>
      <c r="N21" s="108"/>
      <c r="O21" s="108"/>
      <c r="P21" s="108"/>
      <c r="Q21" s="108"/>
      <c r="R21" s="108"/>
      <c r="S21" s="108"/>
      <c r="T21" s="108"/>
      <c r="U21" s="108"/>
      <c r="V21" s="108"/>
      <c r="W21" s="108"/>
    </row>
    <row r="22">
      <c r="A22" s="109" t="s">
        <v>404</v>
      </c>
      <c r="B22" s="110">
        <v>408.06</v>
      </c>
      <c r="C22" s="110" t="s">
        <v>405</v>
      </c>
      <c r="D22" s="111">
        <f t="shared" ref="D22:D28" si="9">D23-14</f>
        <v>44085</v>
      </c>
      <c r="E22" s="18">
        <f>B22</f>
        <v>408.06</v>
      </c>
      <c r="F22" s="112">
        <f t="shared" ref="F22:F37" si="10">E22*15/0.15</f>
        <v>40806</v>
      </c>
      <c r="G22" s="112">
        <f t="shared" ref="G22:G37" si="11">E22*10/0.15</f>
        <v>27204</v>
      </c>
      <c r="H22" s="112">
        <f t="shared" ref="H22:H37" si="12">E22*10/0.2</f>
        <v>20403</v>
      </c>
      <c r="J22" s="110"/>
    </row>
    <row r="23">
      <c r="A23" s="110">
        <v>1.0</v>
      </c>
      <c r="B23" s="110">
        <v>57.408</v>
      </c>
      <c r="C23" s="110" t="s">
        <v>405</v>
      </c>
      <c r="D23" s="111">
        <f t="shared" si="9"/>
        <v>44099</v>
      </c>
      <c r="E23" s="18">
        <f t="shared" ref="E23:E37" si="13">B23+E22</f>
        <v>465.468</v>
      </c>
      <c r="F23" s="112">
        <f t="shared" si="10"/>
        <v>46546.8</v>
      </c>
      <c r="G23" s="112">
        <f t="shared" si="11"/>
        <v>31031.2</v>
      </c>
      <c r="H23" s="112">
        <f t="shared" si="12"/>
        <v>23273.4</v>
      </c>
    </row>
    <row r="24">
      <c r="A24" s="110">
        <v>2.0</v>
      </c>
      <c r="B24" s="110">
        <v>159.39</v>
      </c>
      <c r="C24" s="110" t="s">
        <v>405</v>
      </c>
      <c r="D24" s="111">
        <f t="shared" si="9"/>
        <v>44113</v>
      </c>
      <c r="E24" s="18">
        <f t="shared" si="13"/>
        <v>624.858</v>
      </c>
      <c r="F24" s="112">
        <f t="shared" si="10"/>
        <v>62485.8</v>
      </c>
      <c r="G24" s="112">
        <f t="shared" si="11"/>
        <v>41657.2</v>
      </c>
      <c r="H24" s="112">
        <f t="shared" si="12"/>
        <v>31242.9</v>
      </c>
      <c r="I24" s="18">
        <f t="shared" ref="I24:I37" si="14">B24-B23</f>
        <v>101.982</v>
      </c>
    </row>
    <row r="25">
      <c r="A25" s="110">
        <v>3.0</v>
      </c>
      <c r="B25" s="110">
        <v>273.315</v>
      </c>
      <c r="C25" s="110" t="s">
        <v>405</v>
      </c>
      <c r="D25" s="111">
        <f t="shared" si="9"/>
        <v>44127</v>
      </c>
      <c r="E25" s="18">
        <f t="shared" si="13"/>
        <v>898.173</v>
      </c>
      <c r="F25" s="112">
        <f t="shared" si="10"/>
        <v>89817.3</v>
      </c>
      <c r="G25" s="112">
        <f t="shared" si="11"/>
        <v>59878.2</v>
      </c>
      <c r="H25" s="112">
        <f t="shared" si="12"/>
        <v>44908.65</v>
      </c>
      <c r="I25" s="18">
        <f t="shared" si="14"/>
        <v>113.925</v>
      </c>
    </row>
    <row r="26">
      <c r="A26" s="110">
        <v>4.0</v>
      </c>
      <c r="B26" s="110">
        <v>273.29</v>
      </c>
      <c r="C26" s="110" t="s">
        <v>405</v>
      </c>
      <c r="D26" s="111">
        <f t="shared" si="9"/>
        <v>44141</v>
      </c>
      <c r="E26" s="18">
        <f t="shared" si="13"/>
        <v>1171.463</v>
      </c>
      <c r="F26" s="112">
        <f t="shared" si="10"/>
        <v>117146.3</v>
      </c>
      <c r="G26" s="112">
        <f t="shared" si="11"/>
        <v>78097.53333</v>
      </c>
      <c r="H26" s="112">
        <f t="shared" si="12"/>
        <v>58573.15</v>
      </c>
      <c r="I26" s="18">
        <f t="shared" si="14"/>
        <v>-0.025</v>
      </c>
    </row>
    <row r="27">
      <c r="A27" s="110">
        <v>5.0</v>
      </c>
      <c r="B27" s="110">
        <v>404.56</v>
      </c>
      <c r="C27" s="110" t="s">
        <v>405</v>
      </c>
      <c r="D27" s="111">
        <f t="shared" si="9"/>
        <v>44155</v>
      </c>
      <c r="E27" s="18">
        <f t="shared" si="13"/>
        <v>1576.023</v>
      </c>
      <c r="F27" s="112">
        <f t="shared" si="10"/>
        <v>157602.3</v>
      </c>
      <c r="G27" s="112">
        <f t="shared" si="11"/>
        <v>105068.2</v>
      </c>
      <c r="H27" s="112">
        <f t="shared" si="12"/>
        <v>78801.15</v>
      </c>
      <c r="I27" s="18">
        <f t="shared" si="14"/>
        <v>131.27</v>
      </c>
    </row>
    <row r="28">
      <c r="A28" s="110">
        <v>6.0</v>
      </c>
      <c r="B28" s="110">
        <v>513.679</v>
      </c>
      <c r="C28" s="110" t="s">
        <v>405</v>
      </c>
      <c r="D28" s="111">
        <f t="shared" si="9"/>
        <v>44169</v>
      </c>
      <c r="E28" s="18">
        <f t="shared" si="13"/>
        <v>2089.702</v>
      </c>
      <c r="F28" s="112">
        <f t="shared" si="10"/>
        <v>208970.2</v>
      </c>
      <c r="G28" s="112">
        <f t="shared" si="11"/>
        <v>139313.4667</v>
      </c>
      <c r="H28" s="112">
        <f t="shared" si="12"/>
        <v>104485.1</v>
      </c>
      <c r="I28" s="18">
        <f t="shared" si="14"/>
        <v>109.119</v>
      </c>
    </row>
    <row r="29">
      <c r="A29" s="110">
        <v>7.0</v>
      </c>
      <c r="B29" s="113">
        <v>504.56453947368436</v>
      </c>
      <c r="C29" s="110" t="s">
        <v>405</v>
      </c>
      <c r="D29" s="114">
        <v>44183.0</v>
      </c>
      <c r="E29" s="18">
        <f t="shared" si="13"/>
        <v>2594.266539</v>
      </c>
      <c r="F29" s="112">
        <f t="shared" si="10"/>
        <v>259426.6539</v>
      </c>
      <c r="G29" s="112">
        <f t="shared" si="11"/>
        <v>172951.1026</v>
      </c>
      <c r="H29" s="112">
        <f t="shared" si="12"/>
        <v>129713.327</v>
      </c>
      <c r="I29" s="18">
        <f t="shared" si="14"/>
        <v>-9.114460526</v>
      </c>
    </row>
    <row r="30">
      <c r="A30" s="110">
        <v>8.0</v>
      </c>
      <c r="B30" s="113">
        <v>269.1187604683194</v>
      </c>
      <c r="C30" s="110" t="s">
        <v>405</v>
      </c>
      <c r="D30" s="111">
        <f t="shared" ref="D30:D37" si="15">D29+14</f>
        <v>44197</v>
      </c>
      <c r="E30" s="18">
        <f t="shared" si="13"/>
        <v>2863.3853</v>
      </c>
      <c r="F30" s="112">
        <f t="shared" si="10"/>
        <v>286338.53</v>
      </c>
      <c r="G30" s="112">
        <f t="shared" si="11"/>
        <v>190892.3533</v>
      </c>
      <c r="H30" s="112">
        <f t="shared" si="12"/>
        <v>143169.265</v>
      </c>
      <c r="I30" s="18">
        <f t="shared" si="14"/>
        <v>-235.445779</v>
      </c>
    </row>
    <row r="31">
      <c r="A31" s="110">
        <v>9.0</v>
      </c>
      <c r="B31" s="110">
        <v>497.42576578947376</v>
      </c>
      <c r="C31" s="110" t="s">
        <v>405</v>
      </c>
      <c r="D31" s="111">
        <f t="shared" si="15"/>
        <v>44211</v>
      </c>
      <c r="E31" s="18">
        <f t="shared" si="13"/>
        <v>3360.811066</v>
      </c>
      <c r="F31" s="112">
        <f t="shared" si="10"/>
        <v>336081.1066</v>
      </c>
      <c r="G31" s="112">
        <f t="shared" si="11"/>
        <v>224054.071</v>
      </c>
      <c r="H31" s="112">
        <f t="shared" si="12"/>
        <v>168040.5533</v>
      </c>
      <c r="I31" s="18">
        <f t="shared" si="14"/>
        <v>228.3070053</v>
      </c>
    </row>
    <row r="32">
      <c r="A32" s="110">
        <v>10.0</v>
      </c>
      <c r="B32" s="110">
        <v>542.9610000000006</v>
      </c>
      <c r="C32" s="110" t="s">
        <v>405</v>
      </c>
      <c r="D32" s="111">
        <f t="shared" si="15"/>
        <v>44225</v>
      </c>
      <c r="E32" s="18">
        <f t="shared" si="13"/>
        <v>3903.772066</v>
      </c>
      <c r="F32" s="112">
        <f t="shared" si="10"/>
        <v>390377.2066</v>
      </c>
      <c r="G32" s="112">
        <f t="shared" si="11"/>
        <v>260251.471</v>
      </c>
      <c r="H32" s="112">
        <f t="shared" si="12"/>
        <v>195188.6033</v>
      </c>
      <c r="I32" s="18">
        <f t="shared" si="14"/>
        <v>45.53523421</v>
      </c>
    </row>
    <row r="33">
      <c r="A33" s="110">
        <v>11.0</v>
      </c>
      <c r="B33" s="110">
        <v>473.6485087813622</v>
      </c>
      <c r="C33" s="110" t="s">
        <v>405</v>
      </c>
      <c r="D33" s="111">
        <f t="shared" si="15"/>
        <v>44239</v>
      </c>
      <c r="E33" s="18">
        <f t="shared" si="13"/>
        <v>4377.420575</v>
      </c>
      <c r="F33" s="112">
        <f t="shared" si="10"/>
        <v>437742.0575</v>
      </c>
      <c r="G33" s="112">
        <f t="shared" si="11"/>
        <v>291828.0383</v>
      </c>
      <c r="H33" s="112">
        <f t="shared" si="12"/>
        <v>218871.0287</v>
      </c>
      <c r="I33" s="18">
        <f t="shared" si="14"/>
        <v>-69.31249122</v>
      </c>
    </row>
    <row r="34">
      <c r="A34" s="110">
        <v>12.0</v>
      </c>
      <c r="B34" s="110">
        <v>968.377592116967</v>
      </c>
      <c r="C34" s="110" t="s">
        <v>405</v>
      </c>
      <c r="D34" s="111">
        <f t="shared" si="15"/>
        <v>44253</v>
      </c>
      <c r="E34" s="18">
        <f t="shared" si="13"/>
        <v>5345.798167</v>
      </c>
      <c r="F34" s="112">
        <f t="shared" si="10"/>
        <v>534579.8167</v>
      </c>
      <c r="G34" s="112">
        <f t="shared" si="11"/>
        <v>356386.5444</v>
      </c>
      <c r="H34" s="112">
        <f t="shared" si="12"/>
        <v>267289.9083</v>
      </c>
      <c r="I34" s="18">
        <f t="shared" si="14"/>
        <v>494.7290833</v>
      </c>
    </row>
    <row r="35">
      <c r="A35" s="115">
        <v>13.0</v>
      </c>
      <c r="B35" s="110">
        <v>626.5087043571</v>
      </c>
      <c r="C35" s="115" t="s">
        <v>405</v>
      </c>
      <c r="D35" s="117">
        <f t="shared" si="15"/>
        <v>44267</v>
      </c>
      <c r="E35" s="118">
        <f t="shared" si="13"/>
        <v>5972.306871</v>
      </c>
      <c r="F35" s="119">
        <f t="shared" si="10"/>
        <v>597230.6871</v>
      </c>
      <c r="G35" s="119">
        <f t="shared" si="11"/>
        <v>398153.7914</v>
      </c>
      <c r="H35" s="119">
        <f t="shared" si="12"/>
        <v>298615.3435</v>
      </c>
      <c r="I35" s="120">
        <f t="shared" si="14"/>
        <v>-341.8688878</v>
      </c>
      <c r="J35" s="118"/>
      <c r="K35" s="118"/>
      <c r="L35" s="118"/>
      <c r="M35" s="118"/>
      <c r="N35" s="118"/>
      <c r="O35" s="118"/>
      <c r="P35" s="118"/>
      <c r="Q35" s="118"/>
      <c r="R35" s="118"/>
      <c r="S35" s="118"/>
      <c r="T35" s="118"/>
      <c r="U35" s="118"/>
      <c r="V35" s="118"/>
      <c r="W35" s="118"/>
    </row>
    <row r="36">
      <c r="A36" s="110">
        <v>14.0</v>
      </c>
      <c r="B36" s="110">
        <v>600.0</v>
      </c>
      <c r="C36" s="110" t="s">
        <v>406</v>
      </c>
      <c r="D36" s="111">
        <f t="shared" si="15"/>
        <v>44281</v>
      </c>
      <c r="E36" s="18">
        <f t="shared" si="13"/>
        <v>6572.306871</v>
      </c>
      <c r="F36" s="112">
        <f t="shared" si="10"/>
        <v>657230.6871</v>
      </c>
      <c r="G36" s="112">
        <f t="shared" si="11"/>
        <v>438153.7914</v>
      </c>
      <c r="H36" s="112">
        <f t="shared" si="12"/>
        <v>328615.3435</v>
      </c>
      <c r="I36" s="18">
        <f t="shared" si="14"/>
        <v>-26.50870436</v>
      </c>
    </row>
    <row r="37">
      <c r="A37" s="110">
        <v>15.0</v>
      </c>
      <c r="B37" s="110">
        <v>600.0</v>
      </c>
      <c r="C37" s="110" t="s">
        <v>406</v>
      </c>
      <c r="D37" s="111">
        <f t="shared" si="15"/>
        <v>44295</v>
      </c>
      <c r="E37" s="18">
        <f t="shared" si="13"/>
        <v>7172.306871</v>
      </c>
      <c r="F37" s="112">
        <f t="shared" si="10"/>
        <v>717230.6871</v>
      </c>
      <c r="G37" s="112">
        <f t="shared" si="11"/>
        <v>478153.7914</v>
      </c>
      <c r="H37" s="112">
        <f t="shared" si="12"/>
        <v>358615.3435</v>
      </c>
      <c r="I37" s="18">
        <f t="shared" si="14"/>
        <v>0</v>
      </c>
    </row>
    <row r="38">
      <c r="H38" s="112"/>
    </row>
    <row r="39">
      <c r="H39" s="112"/>
    </row>
    <row r="40">
      <c r="H40" s="112"/>
    </row>
    <row r="41">
      <c r="H41" s="112"/>
    </row>
    <row r="42">
      <c r="H42" s="112"/>
    </row>
    <row r="43">
      <c r="H43" s="112"/>
    </row>
    <row r="44">
      <c r="H44" s="112"/>
    </row>
    <row r="45">
      <c r="H45" s="112"/>
    </row>
    <row r="46">
      <c r="H46" s="112"/>
    </row>
    <row r="47">
      <c r="H47" s="112"/>
    </row>
    <row r="48">
      <c r="H48" s="112"/>
    </row>
    <row r="49">
      <c r="H49" s="112"/>
    </row>
    <row r="50">
      <c r="H50" s="112"/>
    </row>
    <row r="51">
      <c r="H51" s="112"/>
    </row>
    <row r="52">
      <c r="H52" s="112"/>
    </row>
    <row r="53">
      <c r="H53" s="112"/>
    </row>
    <row r="54">
      <c r="H54" s="112"/>
    </row>
    <row r="55">
      <c r="H55" s="112"/>
    </row>
    <row r="56">
      <c r="H56" s="112"/>
    </row>
    <row r="57">
      <c r="H57" s="112"/>
    </row>
    <row r="58">
      <c r="H58" s="112"/>
    </row>
    <row r="59">
      <c r="H59" s="112"/>
    </row>
    <row r="60">
      <c r="H60" s="112"/>
    </row>
    <row r="61">
      <c r="H61" s="112"/>
    </row>
    <row r="62">
      <c r="H62" s="112"/>
    </row>
    <row r="63">
      <c r="H63" s="112"/>
    </row>
    <row r="64">
      <c r="H64" s="112"/>
    </row>
    <row r="65">
      <c r="H65" s="112"/>
    </row>
    <row r="66">
      <c r="H66" s="112"/>
    </row>
    <row r="67">
      <c r="H67" s="112"/>
    </row>
    <row r="68">
      <c r="H68" s="112"/>
    </row>
    <row r="69">
      <c r="H69" s="112"/>
    </row>
    <row r="70">
      <c r="H70" s="112"/>
    </row>
    <row r="71">
      <c r="H71" s="112"/>
    </row>
    <row r="72">
      <c r="H72" s="112"/>
    </row>
    <row r="73">
      <c r="H73" s="112"/>
    </row>
    <row r="74">
      <c r="H74" s="112"/>
    </row>
    <row r="75">
      <c r="H75" s="112"/>
    </row>
    <row r="76">
      <c r="H76" s="112"/>
    </row>
    <row r="77">
      <c r="H77" s="112"/>
    </row>
    <row r="78">
      <c r="H78" s="112"/>
    </row>
    <row r="79">
      <c r="H79" s="112"/>
    </row>
    <row r="80">
      <c r="H80" s="112"/>
    </row>
    <row r="81">
      <c r="H81" s="112"/>
    </row>
    <row r="82">
      <c r="H82" s="112"/>
    </row>
    <row r="83">
      <c r="H83" s="112"/>
    </row>
    <row r="84">
      <c r="H84" s="112"/>
    </row>
    <row r="85">
      <c r="H85" s="112"/>
    </row>
    <row r="86">
      <c r="H86" s="112"/>
    </row>
    <row r="87">
      <c r="H87" s="112"/>
    </row>
    <row r="88">
      <c r="H88" s="112"/>
    </row>
    <row r="89">
      <c r="H89" s="112"/>
    </row>
    <row r="90">
      <c r="H90" s="112"/>
    </row>
    <row r="91">
      <c r="H91" s="112"/>
    </row>
    <row r="92">
      <c r="H92" s="112"/>
    </row>
    <row r="93">
      <c r="H93" s="112"/>
    </row>
    <row r="94">
      <c r="H94" s="112"/>
    </row>
    <row r="95">
      <c r="H95" s="112"/>
    </row>
    <row r="96">
      <c r="H96" s="112"/>
    </row>
    <row r="97">
      <c r="H97" s="112"/>
    </row>
    <row r="98">
      <c r="H98" s="112"/>
    </row>
    <row r="99">
      <c r="H99" s="112"/>
    </row>
    <row r="100">
      <c r="H100" s="112"/>
    </row>
    <row r="101">
      <c r="H101" s="112"/>
    </row>
    <row r="102">
      <c r="H102" s="112"/>
    </row>
    <row r="103">
      <c r="H103" s="112"/>
    </row>
    <row r="104">
      <c r="H104" s="112"/>
    </row>
    <row r="105">
      <c r="H105" s="112"/>
    </row>
    <row r="106">
      <c r="H106" s="112"/>
    </row>
    <row r="107">
      <c r="H107" s="112"/>
    </row>
    <row r="108">
      <c r="H108" s="112"/>
    </row>
    <row r="109">
      <c r="H109" s="112"/>
    </row>
    <row r="110">
      <c r="H110" s="112"/>
    </row>
    <row r="111">
      <c r="H111" s="112"/>
    </row>
    <row r="112">
      <c r="H112" s="112"/>
    </row>
    <row r="113">
      <c r="H113" s="112"/>
    </row>
    <row r="114">
      <c r="H114" s="112"/>
    </row>
    <row r="115">
      <c r="H115" s="112"/>
    </row>
    <row r="116">
      <c r="H116" s="112"/>
    </row>
    <row r="117">
      <c r="H117" s="112"/>
    </row>
    <row r="118">
      <c r="H118" s="112"/>
    </row>
    <row r="119">
      <c r="H119" s="112"/>
    </row>
    <row r="120">
      <c r="H120" s="112"/>
    </row>
    <row r="121">
      <c r="H121" s="112"/>
    </row>
    <row r="122">
      <c r="H122" s="112"/>
    </row>
    <row r="123">
      <c r="H123" s="112"/>
    </row>
    <row r="124">
      <c r="H124" s="112"/>
    </row>
    <row r="125">
      <c r="H125" s="112"/>
    </row>
    <row r="126">
      <c r="H126" s="112"/>
    </row>
    <row r="127">
      <c r="H127" s="112"/>
    </row>
    <row r="128">
      <c r="H128" s="112"/>
    </row>
    <row r="129">
      <c r="H129" s="112"/>
    </row>
    <row r="130">
      <c r="H130" s="112"/>
    </row>
    <row r="131">
      <c r="H131" s="112"/>
    </row>
    <row r="132">
      <c r="H132" s="112"/>
    </row>
    <row r="133">
      <c r="H133" s="112"/>
    </row>
    <row r="134">
      <c r="H134" s="112"/>
    </row>
    <row r="135">
      <c r="H135" s="112"/>
    </row>
    <row r="136">
      <c r="H136" s="112"/>
    </row>
    <row r="137">
      <c r="H137" s="112"/>
    </row>
    <row r="138">
      <c r="H138" s="112"/>
    </row>
    <row r="139">
      <c r="H139" s="112"/>
    </row>
    <row r="140">
      <c r="H140" s="112"/>
    </row>
    <row r="141">
      <c r="H141" s="112"/>
    </row>
    <row r="142">
      <c r="H142" s="112"/>
    </row>
    <row r="143">
      <c r="H143" s="112"/>
    </row>
    <row r="144">
      <c r="H144" s="112"/>
    </row>
    <row r="145">
      <c r="H145" s="112"/>
    </row>
    <row r="146">
      <c r="H146" s="112"/>
    </row>
    <row r="147">
      <c r="H147" s="112"/>
    </row>
    <row r="148">
      <c r="H148" s="112"/>
    </row>
    <row r="149">
      <c r="H149" s="112"/>
    </row>
    <row r="150">
      <c r="H150" s="112"/>
    </row>
    <row r="151">
      <c r="H151" s="112"/>
    </row>
    <row r="152">
      <c r="H152" s="112"/>
    </row>
    <row r="153">
      <c r="H153" s="112"/>
    </row>
    <row r="154">
      <c r="H154" s="112"/>
    </row>
    <row r="155">
      <c r="H155" s="112"/>
    </row>
    <row r="156">
      <c r="H156" s="112"/>
    </row>
    <row r="157">
      <c r="H157" s="112"/>
    </row>
    <row r="158">
      <c r="H158" s="112"/>
    </row>
    <row r="159">
      <c r="H159" s="112"/>
    </row>
    <row r="160">
      <c r="H160" s="112"/>
    </row>
    <row r="161">
      <c r="H161" s="112"/>
    </row>
    <row r="162">
      <c r="H162" s="112"/>
    </row>
    <row r="163">
      <c r="H163" s="112"/>
    </row>
    <row r="164">
      <c r="H164" s="112"/>
    </row>
    <row r="165">
      <c r="H165" s="112"/>
    </row>
    <row r="166">
      <c r="H166" s="112"/>
    </row>
    <row r="167">
      <c r="H167" s="112"/>
    </row>
    <row r="168">
      <c r="H168" s="112"/>
    </row>
    <row r="169">
      <c r="H169" s="112"/>
    </row>
    <row r="170">
      <c r="H170" s="112"/>
    </row>
    <row r="171">
      <c r="H171" s="112"/>
    </row>
    <row r="172">
      <c r="H172" s="112"/>
    </row>
    <row r="173">
      <c r="H173" s="112"/>
    </row>
    <row r="174">
      <c r="H174" s="112"/>
    </row>
    <row r="175">
      <c r="H175" s="112"/>
    </row>
    <row r="176">
      <c r="H176" s="112"/>
    </row>
    <row r="177">
      <c r="H177" s="112"/>
    </row>
    <row r="178">
      <c r="H178" s="112"/>
    </row>
    <row r="179">
      <c r="H179" s="112"/>
    </row>
    <row r="180">
      <c r="H180" s="112"/>
    </row>
    <row r="181">
      <c r="H181" s="112"/>
    </row>
    <row r="182">
      <c r="H182" s="112"/>
    </row>
    <row r="183">
      <c r="H183" s="112"/>
    </row>
    <row r="184">
      <c r="H184" s="112"/>
    </row>
    <row r="185">
      <c r="H185" s="112"/>
    </row>
    <row r="186">
      <c r="H186" s="112"/>
    </row>
    <row r="187">
      <c r="H187" s="112"/>
    </row>
    <row r="188">
      <c r="H188" s="112"/>
    </row>
    <row r="189">
      <c r="H189" s="112"/>
    </row>
    <row r="190">
      <c r="H190" s="112"/>
    </row>
    <row r="191">
      <c r="H191" s="112"/>
    </row>
    <row r="192">
      <c r="H192" s="112"/>
    </row>
    <row r="193">
      <c r="H193" s="112"/>
    </row>
    <row r="194">
      <c r="H194" s="112"/>
    </row>
    <row r="195">
      <c r="H195" s="112"/>
    </row>
    <row r="196">
      <c r="H196" s="112"/>
    </row>
    <row r="197">
      <c r="H197" s="112"/>
    </row>
    <row r="198">
      <c r="H198" s="112"/>
    </row>
    <row r="199">
      <c r="H199" s="112"/>
    </row>
    <row r="200">
      <c r="H200" s="112"/>
    </row>
    <row r="201">
      <c r="H201" s="112"/>
    </row>
    <row r="202">
      <c r="H202" s="112"/>
    </row>
    <row r="203">
      <c r="H203" s="112"/>
    </row>
    <row r="204">
      <c r="H204" s="112"/>
    </row>
    <row r="205">
      <c r="H205" s="112"/>
    </row>
    <row r="206">
      <c r="H206" s="112"/>
    </row>
    <row r="207">
      <c r="H207" s="112"/>
    </row>
    <row r="208">
      <c r="H208" s="112"/>
    </row>
    <row r="209">
      <c r="H209" s="112"/>
    </row>
    <row r="210">
      <c r="H210" s="112"/>
    </row>
    <row r="211">
      <c r="H211" s="112"/>
    </row>
    <row r="212">
      <c r="H212" s="112"/>
    </row>
    <row r="213">
      <c r="H213" s="112"/>
    </row>
    <row r="214">
      <c r="H214" s="112"/>
    </row>
    <row r="215">
      <c r="H215" s="112"/>
    </row>
    <row r="216">
      <c r="H216" s="112"/>
    </row>
    <row r="217">
      <c r="H217" s="112"/>
    </row>
    <row r="218">
      <c r="H218" s="112"/>
    </row>
    <row r="219">
      <c r="H219" s="112"/>
    </row>
    <row r="220">
      <c r="H220" s="112"/>
    </row>
    <row r="221">
      <c r="H221" s="112"/>
    </row>
    <row r="222">
      <c r="H222" s="112"/>
    </row>
    <row r="223">
      <c r="H223" s="112"/>
    </row>
    <row r="224">
      <c r="H224" s="112"/>
    </row>
    <row r="225">
      <c r="H225" s="112"/>
    </row>
    <row r="226">
      <c r="H226" s="112"/>
    </row>
    <row r="227">
      <c r="H227" s="112"/>
    </row>
    <row r="228">
      <c r="H228" s="112"/>
    </row>
    <row r="229">
      <c r="H229" s="112"/>
    </row>
    <row r="230">
      <c r="H230" s="112"/>
    </row>
    <row r="231">
      <c r="H231" s="112"/>
    </row>
    <row r="232">
      <c r="H232" s="112"/>
    </row>
    <row r="233">
      <c r="H233" s="112"/>
    </row>
    <row r="234">
      <c r="H234" s="112"/>
    </row>
    <row r="235">
      <c r="H235" s="112"/>
    </row>
    <row r="236">
      <c r="H236" s="112"/>
    </row>
    <row r="237">
      <c r="H237" s="112"/>
    </row>
    <row r="238">
      <c r="H238" s="112"/>
    </row>
    <row r="239">
      <c r="H239" s="112"/>
    </row>
    <row r="240">
      <c r="H240" s="112"/>
    </row>
    <row r="241">
      <c r="H241" s="112"/>
    </row>
    <row r="242">
      <c r="H242" s="112"/>
    </row>
    <row r="243">
      <c r="H243" s="112"/>
    </row>
    <row r="244">
      <c r="H244" s="112"/>
    </row>
    <row r="245">
      <c r="H245" s="112"/>
    </row>
    <row r="246">
      <c r="H246" s="112"/>
    </row>
    <row r="247">
      <c r="H247" s="112"/>
    </row>
    <row r="248">
      <c r="H248" s="112"/>
    </row>
    <row r="249">
      <c r="H249" s="112"/>
    </row>
    <row r="250">
      <c r="H250" s="112"/>
    </row>
    <row r="251">
      <c r="H251" s="112"/>
    </row>
    <row r="252">
      <c r="H252" s="112"/>
    </row>
    <row r="253">
      <c r="H253" s="112"/>
    </row>
    <row r="254">
      <c r="H254" s="112"/>
    </row>
    <row r="255">
      <c r="H255" s="112"/>
    </row>
    <row r="256">
      <c r="H256" s="112"/>
    </row>
    <row r="257">
      <c r="H257" s="112"/>
    </row>
    <row r="258">
      <c r="H258" s="112"/>
    </row>
    <row r="259">
      <c r="H259" s="112"/>
    </row>
    <row r="260">
      <c r="H260" s="112"/>
    </row>
    <row r="261">
      <c r="H261" s="112"/>
    </row>
    <row r="262">
      <c r="H262" s="112"/>
    </row>
    <row r="263">
      <c r="H263" s="112"/>
    </row>
    <row r="264">
      <c r="H264" s="112"/>
    </row>
    <row r="265">
      <c r="H265" s="112"/>
    </row>
    <row r="266">
      <c r="H266" s="112"/>
    </row>
    <row r="267">
      <c r="H267" s="112"/>
    </row>
    <row r="268">
      <c r="H268" s="112"/>
    </row>
    <row r="269">
      <c r="H269" s="112"/>
    </row>
    <row r="270">
      <c r="H270" s="112"/>
    </row>
    <row r="271">
      <c r="H271" s="112"/>
    </row>
    <row r="272">
      <c r="H272" s="112"/>
    </row>
    <row r="273">
      <c r="H273" s="112"/>
    </row>
    <row r="274">
      <c r="H274" s="112"/>
    </row>
    <row r="275">
      <c r="H275" s="112"/>
    </row>
    <row r="276">
      <c r="H276" s="112"/>
    </row>
    <row r="277">
      <c r="H277" s="112"/>
    </row>
    <row r="278">
      <c r="H278" s="112"/>
    </row>
    <row r="279">
      <c r="H279" s="112"/>
    </row>
    <row r="280">
      <c r="H280" s="112"/>
    </row>
    <row r="281">
      <c r="H281" s="112"/>
    </row>
    <row r="282">
      <c r="H282" s="112"/>
    </row>
    <row r="283">
      <c r="H283" s="112"/>
    </row>
    <row r="284">
      <c r="H284" s="112"/>
    </row>
    <row r="285">
      <c r="H285" s="112"/>
    </row>
    <row r="286">
      <c r="H286" s="112"/>
    </row>
    <row r="287">
      <c r="H287" s="112"/>
    </row>
    <row r="288">
      <c r="H288" s="112"/>
    </row>
    <row r="289">
      <c r="H289" s="112"/>
    </row>
    <row r="290">
      <c r="H290" s="112"/>
    </row>
    <row r="291">
      <c r="H291" s="112"/>
    </row>
    <row r="292">
      <c r="H292" s="112"/>
    </row>
    <row r="293">
      <c r="H293" s="112"/>
    </row>
    <row r="294">
      <c r="H294" s="112"/>
    </row>
    <row r="295">
      <c r="H295" s="112"/>
    </row>
    <row r="296">
      <c r="H296" s="112"/>
    </row>
    <row r="297">
      <c r="H297" s="112"/>
    </row>
    <row r="298">
      <c r="H298" s="112"/>
    </row>
    <row r="299">
      <c r="H299" s="112"/>
    </row>
    <row r="300">
      <c r="H300" s="112"/>
    </row>
    <row r="301">
      <c r="H301" s="112"/>
    </row>
    <row r="302">
      <c r="H302" s="112"/>
    </row>
    <row r="303">
      <c r="H303" s="112"/>
    </row>
    <row r="304">
      <c r="H304" s="112"/>
    </row>
    <row r="305">
      <c r="H305" s="112"/>
    </row>
    <row r="306">
      <c r="H306" s="112"/>
    </row>
    <row r="307">
      <c r="H307" s="112"/>
    </row>
    <row r="308">
      <c r="H308" s="112"/>
    </row>
    <row r="309">
      <c r="H309" s="112"/>
    </row>
    <row r="310">
      <c r="H310" s="112"/>
    </row>
    <row r="311">
      <c r="H311" s="112"/>
    </row>
    <row r="312">
      <c r="H312" s="112"/>
    </row>
    <row r="313">
      <c r="H313" s="112"/>
    </row>
    <row r="314">
      <c r="H314" s="112"/>
    </row>
    <row r="315">
      <c r="H315" s="112"/>
    </row>
    <row r="316">
      <c r="H316" s="112"/>
    </row>
    <row r="317">
      <c r="H317" s="112"/>
    </row>
    <row r="318">
      <c r="H318" s="112"/>
    </row>
    <row r="319">
      <c r="H319" s="112"/>
    </row>
    <row r="320">
      <c r="H320" s="112"/>
    </row>
    <row r="321">
      <c r="H321" s="112"/>
    </row>
    <row r="322">
      <c r="H322" s="112"/>
    </row>
    <row r="323">
      <c r="H323" s="112"/>
    </row>
    <row r="324">
      <c r="H324" s="112"/>
    </row>
    <row r="325">
      <c r="H325" s="112"/>
    </row>
    <row r="326">
      <c r="H326" s="112"/>
    </row>
    <row r="327">
      <c r="H327" s="112"/>
    </row>
    <row r="328">
      <c r="H328" s="112"/>
    </row>
    <row r="329">
      <c r="H329" s="112"/>
    </row>
    <row r="330">
      <c r="H330" s="112"/>
    </row>
    <row r="331">
      <c r="H331" s="112"/>
    </row>
    <row r="332">
      <c r="H332" s="112"/>
    </row>
    <row r="333">
      <c r="H333" s="112"/>
    </row>
    <row r="334">
      <c r="H334" s="112"/>
    </row>
    <row r="335">
      <c r="H335" s="112"/>
    </row>
    <row r="336">
      <c r="H336" s="112"/>
    </row>
    <row r="337">
      <c r="H337" s="112"/>
    </row>
    <row r="338">
      <c r="H338" s="112"/>
    </row>
    <row r="339">
      <c r="H339" s="112"/>
    </row>
    <row r="340">
      <c r="H340" s="112"/>
    </row>
    <row r="341">
      <c r="H341" s="112"/>
    </row>
    <row r="342">
      <c r="H342" s="112"/>
    </row>
    <row r="343">
      <c r="H343" s="112"/>
    </row>
    <row r="344">
      <c r="H344" s="112"/>
    </row>
    <row r="345">
      <c r="H345" s="112"/>
    </row>
    <row r="346">
      <c r="H346" s="112"/>
    </row>
    <row r="347">
      <c r="H347" s="112"/>
    </row>
    <row r="348">
      <c r="H348" s="112"/>
    </row>
    <row r="349">
      <c r="H349" s="112"/>
    </row>
    <row r="350">
      <c r="H350" s="112"/>
    </row>
    <row r="351">
      <c r="H351" s="112"/>
    </row>
    <row r="352">
      <c r="H352" s="112"/>
    </row>
    <row r="353">
      <c r="H353" s="112"/>
    </row>
    <row r="354">
      <c r="H354" s="112"/>
    </row>
    <row r="355">
      <c r="H355" s="112"/>
    </row>
    <row r="356">
      <c r="H356" s="112"/>
    </row>
    <row r="357">
      <c r="H357" s="112"/>
    </row>
    <row r="358">
      <c r="H358" s="112"/>
    </row>
    <row r="359">
      <c r="H359" s="112"/>
    </row>
    <row r="360">
      <c r="H360" s="112"/>
    </row>
    <row r="361">
      <c r="H361" s="112"/>
    </row>
    <row r="362">
      <c r="H362" s="112"/>
    </row>
    <row r="363">
      <c r="H363" s="112"/>
    </row>
    <row r="364">
      <c r="H364" s="112"/>
    </row>
    <row r="365">
      <c r="H365" s="112"/>
    </row>
    <row r="366">
      <c r="H366" s="112"/>
    </row>
    <row r="367">
      <c r="H367" s="112"/>
    </row>
    <row r="368">
      <c r="H368" s="112"/>
    </row>
    <row r="369">
      <c r="H369" s="112"/>
    </row>
    <row r="370">
      <c r="H370" s="112"/>
    </row>
    <row r="371">
      <c r="H371" s="112"/>
    </row>
    <row r="372">
      <c r="H372" s="112"/>
    </row>
    <row r="373">
      <c r="H373" s="112"/>
    </row>
    <row r="374">
      <c r="H374" s="112"/>
    </row>
    <row r="375">
      <c r="H375" s="112"/>
    </row>
    <row r="376">
      <c r="H376" s="112"/>
    </row>
    <row r="377">
      <c r="H377" s="112"/>
    </row>
    <row r="378">
      <c r="H378" s="112"/>
    </row>
    <row r="379">
      <c r="H379" s="112"/>
    </row>
    <row r="380">
      <c r="H380" s="112"/>
    </row>
    <row r="381">
      <c r="H381" s="112"/>
    </row>
    <row r="382">
      <c r="H382" s="112"/>
    </row>
    <row r="383">
      <c r="H383" s="112"/>
    </row>
    <row r="384">
      <c r="H384" s="112"/>
    </row>
    <row r="385">
      <c r="H385" s="112"/>
    </row>
    <row r="386">
      <c r="H386" s="112"/>
    </row>
    <row r="387">
      <c r="H387" s="112"/>
    </row>
    <row r="388">
      <c r="H388" s="112"/>
    </row>
    <row r="389">
      <c r="H389" s="112"/>
    </row>
    <row r="390">
      <c r="H390" s="112"/>
    </row>
    <row r="391">
      <c r="H391" s="112"/>
    </row>
    <row r="392">
      <c r="H392" s="112"/>
    </row>
    <row r="393">
      <c r="H393" s="112"/>
    </row>
    <row r="394">
      <c r="H394" s="112"/>
    </row>
    <row r="395">
      <c r="H395" s="112"/>
    </row>
    <row r="396">
      <c r="H396" s="112"/>
    </row>
    <row r="397">
      <c r="H397" s="112"/>
    </row>
    <row r="398">
      <c r="H398" s="112"/>
    </row>
    <row r="399">
      <c r="H399" s="112"/>
    </row>
    <row r="400">
      <c r="H400" s="112"/>
    </row>
    <row r="401">
      <c r="H401" s="112"/>
    </row>
    <row r="402">
      <c r="H402" s="112"/>
    </row>
    <row r="403">
      <c r="H403" s="112"/>
    </row>
    <row r="404">
      <c r="H404" s="112"/>
    </row>
    <row r="405">
      <c r="H405" s="112"/>
    </row>
    <row r="406">
      <c r="H406" s="112"/>
    </row>
    <row r="407">
      <c r="H407" s="112"/>
    </row>
    <row r="408">
      <c r="H408" s="112"/>
    </row>
    <row r="409">
      <c r="H409" s="112"/>
    </row>
    <row r="410">
      <c r="H410" s="112"/>
    </row>
    <row r="411">
      <c r="H411" s="112"/>
    </row>
    <row r="412">
      <c r="H412" s="112"/>
    </row>
    <row r="413">
      <c r="H413" s="112"/>
    </row>
    <row r="414">
      <c r="H414" s="112"/>
    </row>
    <row r="415">
      <c r="H415" s="112"/>
    </row>
    <row r="416">
      <c r="H416" s="112"/>
    </row>
    <row r="417">
      <c r="H417" s="112"/>
    </row>
    <row r="418">
      <c r="H418" s="112"/>
    </row>
    <row r="419">
      <c r="H419" s="112"/>
    </row>
    <row r="420">
      <c r="H420" s="112"/>
    </row>
    <row r="421">
      <c r="H421" s="112"/>
    </row>
    <row r="422">
      <c r="H422" s="112"/>
    </row>
    <row r="423">
      <c r="H423" s="112"/>
    </row>
    <row r="424">
      <c r="H424" s="112"/>
    </row>
    <row r="425">
      <c r="H425" s="112"/>
    </row>
    <row r="426">
      <c r="H426" s="112"/>
    </row>
    <row r="427">
      <c r="H427" s="112"/>
    </row>
    <row r="428">
      <c r="H428" s="112"/>
    </row>
    <row r="429">
      <c r="H429" s="112"/>
    </row>
    <row r="430">
      <c r="H430" s="112"/>
    </row>
    <row r="431">
      <c r="H431" s="112"/>
    </row>
    <row r="432">
      <c r="H432" s="112"/>
    </row>
    <row r="433">
      <c r="H433" s="112"/>
    </row>
    <row r="434">
      <c r="H434" s="112"/>
    </row>
    <row r="435">
      <c r="H435" s="112"/>
    </row>
    <row r="436">
      <c r="H436" s="112"/>
    </row>
    <row r="437">
      <c r="H437" s="112"/>
    </row>
    <row r="438">
      <c r="H438" s="112"/>
    </row>
    <row r="439">
      <c r="H439" s="112"/>
    </row>
    <row r="440">
      <c r="H440" s="112"/>
    </row>
    <row r="441">
      <c r="H441" s="112"/>
    </row>
    <row r="442">
      <c r="H442" s="112"/>
    </row>
    <row r="443">
      <c r="H443" s="112"/>
    </row>
    <row r="444">
      <c r="H444" s="112"/>
    </row>
    <row r="445">
      <c r="H445" s="112"/>
    </row>
    <row r="446">
      <c r="H446" s="112"/>
    </row>
    <row r="447">
      <c r="H447" s="112"/>
    </row>
    <row r="448">
      <c r="H448" s="112"/>
    </row>
    <row r="449">
      <c r="H449" s="112"/>
    </row>
    <row r="450">
      <c r="H450" s="112"/>
    </row>
    <row r="451">
      <c r="H451" s="112"/>
    </row>
    <row r="452">
      <c r="H452" s="112"/>
    </row>
    <row r="453">
      <c r="H453" s="112"/>
    </row>
    <row r="454">
      <c r="H454" s="112"/>
    </row>
    <row r="455">
      <c r="H455" s="112"/>
    </row>
    <row r="456">
      <c r="H456" s="112"/>
    </row>
    <row r="457">
      <c r="H457" s="112"/>
    </row>
    <row r="458">
      <c r="H458" s="112"/>
    </row>
    <row r="459">
      <c r="H459" s="112"/>
    </row>
    <row r="460">
      <c r="H460" s="112"/>
    </row>
    <row r="461">
      <c r="H461" s="112"/>
    </row>
    <row r="462">
      <c r="H462" s="112"/>
    </row>
    <row r="463">
      <c r="H463" s="112"/>
    </row>
    <row r="464">
      <c r="H464" s="112"/>
    </row>
    <row r="465">
      <c r="H465" s="112"/>
    </row>
    <row r="466">
      <c r="H466" s="112"/>
    </row>
    <row r="467">
      <c r="H467" s="112"/>
    </row>
    <row r="468">
      <c r="H468" s="112"/>
    </row>
    <row r="469">
      <c r="H469" s="112"/>
    </row>
    <row r="470">
      <c r="H470" s="112"/>
    </row>
    <row r="471">
      <c r="H471" s="112"/>
    </row>
    <row r="472">
      <c r="H472" s="112"/>
    </row>
    <row r="473">
      <c r="H473" s="112"/>
    </row>
    <row r="474">
      <c r="H474" s="112"/>
    </row>
    <row r="475">
      <c r="H475" s="112"/>
    </row>
    <row r="476">
      <c r="H476" s="112"/>
    </row>
    <row r="477">
      <c r="H477" s="112"/>
    </row>
    <row r="478">
      <c r="H478" s="112"/>
    </row>
    <row r="479">
      <c r="H479" s="112"/>
    </row>
    <row r="480">
      <c r="H480" s="112"/>
    </row>
    <row r="481">
      <c r="H481" s="112"/>
    </row>
    <row r="482">
      <c r="H482" s="112"/>
    </row>
    <row r="483">
      <c r="H483" s="112"/>
    </row>
    <row r="484">
      <c r="H484" s="112"/>
    </row>
    <row r="485">
      <c r="H485" s="112"/>
    </row>
    <row r="486">
      <c r="H486" s="112"/>
    </row>
    <row r="487">
      <c r="H487" s="112"/>
    </row>
    <row r="488">
      <c r="H488" s="112"/>
    </row>
    <row r="489">
      <c r="H489" s="112"/>
    </row>
    <row r="490">
      <c r="H490" s="112"/>
    </row>
    <row r="491">
      <c r="H491" s="112"/>
    </row>
    <row r="492">
      <c r="H492" s="112"/>
    </row>
    <row r="493">
      <c r="H493" s="112"/>
    </row>
    <row r="494">
      <c r="H494" s="112"/>
    </row>
    <row r="495">
      <c r="H495" s="112"/>
    </row>
    <row r="496">
      <c r="H496" s="112"/>
    </row>
    <row r="497">
      <c r="H497" s="112"/>
    </row>
    <row r="498">
      <c r="H498" s="112"/>
    </row>
    <row r="499">
      <c r="H499" s="112"/>
    </row>
    <row r="500">
      <c r="H500" s="112"/>
    </row>
    <row r="501">
      <c r="H501" s="112"/>
    </row>
    <row r="502">
      <c r="H502" s="112"/>
    </row>
    <row r="503">
      <c r="H503" s="112"/>
    </row>
    <row r="504">
      <c r="H504" s="112"/>
    </row>
    <row r="505">
      <c r="H505" s="112"/>
    </row>
    <row r="506">
      <c r="H506" s="112"/>
    </row>
    <row r="507">
      <c r="H507" s="112"/>
    </row>
    <row r="508">
      <c r="H508" s="112"/>
    </row>
    <row r="509">
      <c r="H509" s="112"/>
    </row>
    <row r="510">
      <c r="H510" s="112"/>
    </row>
    <row r="511">
      <c r="H511" s="112"/>
    </row>
    <row r="512">
      <c r="H512" s="112"/>
    </row>
    <row r="513">
      <c r="H513" s="112"/>
    </row>
    <row r="514">
      <c r="H514" s="112"/>
    </row>
    <row r="515">
      <c r="H515" s="112"/>
    </row>
    <row r="516">
      <c r="H516" s="112"/>
    </row>
    <row r="517">
      <c r="H517" s="112"/>
    </row>
    <row r="518">
      <c r="H518" s="112"/>
    </row>
    <row r="519">
      <c r="H519" s="112"/>
    </row>
    <row r="520">
      <c r="H520" s="112"/>
    </row>
    <row r="521">
      <c r="H521" s="112"/>
    </row>
    <row r="522">
      <c r="H522" s="112"/>
    </row>
    <row r="523">
      <c r="H523" s="112"/>
    </row>
    <row r="524">
      <c r="H524" s="112"/>
    </row>
    <row r="525">
      <c r="H525" s="112"/>
    </row>
    <row r="526">
      <c r="H526" s="112"/>
    </row>
    <row r="527">
      <c r="H527" s="112"/>
    </row>
    <row r="528">
      <c r="H528" s="112"/>
    </row>
    <row r="529">
      <c r="H529" s="112"/>
    </row>
    <row r="530">
      <c r="H530" s="112"/>
    </row>
    <row r="531">
      <c r="H531" s="112"/>
    </row>
    <row r="532">
      <c r="H532" s="112"/>
    </row>
    <row r="533">
      <c r="H533" s="112"/>
    </row>
    <row r="534">
      <c r="H534" s="112"/>
    </row>
    <row r="535">
      <c r="H535" s="112"/>
    </row>
    <row r="536">
      <c r="H536" s="112"/>
    </row>
    <row r="537">
      <c r="H537" s="112"/>
    </row>
    <row r="538">
      <c r="H538" s="112"/>
    </row>
    <row r="539">
      <c r="H539" s="112"/>
    </row>
    <row r="540">
      <c r="H540" s="112"/>
    </row>
    <row r="541">
      <c r="H541" s="112"/>
    </row>
    <row r="542">
      <c r="H542" s="112"/>
    </row>
    <row r="543">
      <c r="H543" s="112"/>
    </row>
    <row r="544">
      <c r="H544" s="112"/>
    </row>
    <row r="545">
      <c r="H545" s="112"/>
    </row>
    <row r="546">
      <c r="H546" s="112"/>
    </row>
    <row r="547">
      <c r="H547" s="112"/>
    </row>
    <row r="548">
      <c r="H548" s="112"/>
    </row>
    <row r="549">
      <c r="H549" s="112"/>
    </row>
    <row r="550">
      <c r="H550" s="112"/>
    </row>
    <row r="551">
      <c r="H551" s="112"/>
    </row>
    <row r="552">
      <c r="H552" s="112"/>
    </row>
    <row r="553">
      <c r="H553" s="112"/>
    </row>
    <row r="554">
      <c r="H554" s="112"/>
    </row>
    <row r="555">
      <c r="H555" s="112"/>
    </row>
    <row r="556">
      <c r="H556" s="112"/>
    </row>
    <row r="557">
      <c r="H557" s="112"/>
    </row>
    <row r="558">
      <c r="H558" s="112"/>
    </row>
    <row r="559">
      <c r="H559" s="112"/>
    </row>
    <row r="560">
      <c r="H560" s="112"/>
    </row>
    <row r="561">
      <c r="H561" s="112"/>
    </row>
    <row r="562">
      <c r="H562" s="112"/>
    </row>
    <row r="563">
      <c r="H563" s="112"/>
    </row>
    <row r="564">
      <c r="H564" s="112"/>
    </row>
    <row r="565">
      <c r="H565" s="112"/>
    </row>
    <row r="566">
      <c r="H566" s="112"/>
    </row>
    <row r="567">
      <c r="H567" s="112"/>
    </row>
    <row r="568">
      <c r="H568" s="112"/>
    </row>
    <row r="569">
      <c r="H569" s="112"/>
    </row>
    <row r="570">
      <c r="H570" s="112"/>
    </row>
    <row r="571">
      <c r="H571" s="112"/>
    </row>
    <row r="572">
      <c r="H572" s="112"/>
    </row>
    <row r="573">
      <c r="H573" s="112"/>
    </row>
    <row r="574">
      <c r="H574" s="112"/>
    </row>
    <row r="575">
      <c r="H575" s="112"/>
    </row>
    <row r="576">
      <c r="H576" s="112"/>
    </row>
    <row r="577">
      <c r="H577" s="112"/>
    </row>
    <row r="578">
      <c r="H578" s="112"/>
    </row>
    <row r="579">
      <c r="H579" s="112"/>
    </row>
    <row r="580">
      <c r="H580" s="112"/>
    </row>
    <row r="581">
      <c r="H581" s="112"/>
    </row>
    <row r="582">
      <c r="H582" s="112"/>
    </row>
    <row r="583">
      <c r="H583" s="112"/>
    </row>
    <row r="584">
      <c r="H584" s="112"/>
    </row>
    <row r="585">
      <c r="H585" s="112"/>
    </row>
    <row r="586">
      <c r="H586" s="112"/>
    </row>
    <row r="587">
      <c r="H587" s="112"/>
    </row>
    <row r="588">
      <c r="H588" s="112"/>
    </row>
    <row r="589">
      <c r="H589" s="112"/>
    </row>
    <row r="590">
      <c r="H590" s="112"/>
    </row>
    <row r="591">
      <c r="H591" s="112"/>
    </row>
    <row r="592">
      <c r="H592" s="112"/>
    </row>
    <row r="593">
      <c r="H593" s="112"/>
    </row>
    <row r="594">
      <c r="H594" s="112"/>
    </row>
    <row r="595">
      <c r="H595" s="112"/>
    </row>
    <row r="596">
      <c r="H596" s="112"/>
    </row>
    <row r="597">
      <c r="H597" s="112"/>
    </row>
    <row r="598">
      <c r="H598" s="112"/>
    </row>
    <row r="599">
      <c r="H599" s="112"/>
    </row>
    <row r="600">
      <c r="H600" s="112"/>
    </row>
    <row r="601">
      <c r="H601" s="112"/>
    </row>
    <row r="602">
      <c r="H602" s="112"/>
    </row>
    <row r="603">
      <c r="H603" s="112"/>
    </row>
    <row r="604">
      <c r="H604" s="112"/>
    </row>
    <row r="605">
      <c r="H605" s="112"/>
    </row>
    <row r="606">
      <c r="H606" s="112"/>
    </row>
    <row r="607">
      <c r="H607" s="112"/>
    </row>
    <row r="608">
      <c r="H608" s="112"/>
    </row>
    <row r="609">
      <c r="H609" s="112"/>
    </row>
    <row r="610">
      <c r="H610" s="112"/>
    </row>
    <row r="611">
      <c r="H611" s="112"/>
    </row>
    <row r="612">
      <c r="H612" s="112"/>
    </row>
    <row r="613">
      <c r="H613" s="112"/>
    </row>
    <row r="614">
      <c r="H614" s="112"/>
    </row>
    <row r="615">
      <c r="H615" s="112"/>
    </row>
    <row r="616">
      <c r="H616" s="112"/>
    </row>
    <row r="617">
      <c r="H617" s="112"/>
    </row>
    <row r="618">
      <c r="H618" s="112"/>
    </row>
    <row r="619">
      <c r="H619" s="112"/>
    </row>
    <row r="620">
      <c r="H620" s="112"/>
    </row>
    <row r="621">
      <c r="H621" s="112"/>
    </row>
    <row r="622">
      <c r="H622" s="112"/>
    </row>
    <row r="623">
      <c r="H623" s="112"/>
    </row>
    <row r="624">
      <c r="H624" s="112"/>
    </row>
    <row r="625">
      <c r="H625" s="112"/>
    </row>
    <row r="626">
      <c r="H626" s="112"/>
    </row>
    <row r="627">
      <c r="H627" s="112"/>
    </row>
    <row r="628">
      <c r="H628" s="112"/>
    </row>
    <row r="629">
      <c r="H629" s="112"/>
    </row>
    <row r="630">
      <c r="H630" s="112"/>
    </row>
    <row r="631">
      <c r="H631" s="112"/>
    </row>
    <row r="632">
      <c r="H632" s="112"/>
    </row>
    <row r="633">
      <c r="H633" s="112"/>
    </row>
    <row r="634">
      <c r="H634" s="112"/>
    </row>
    <row r="635">
      <c r="H635" s="112"/>
    </row>
    <row r="636">
      <c r="H636" s="112"/>
    </row>
    <row r="637">
      <c r="H637" s="112"/>
    </row>
    <row r="638">
      <c r="H638" s="112"/>
    </row>
    <row r="639">
      <c r="H639" s="112"/>
    </row>
    <row r="640">
      <c r="H640" s="112"/>
    </row>
    <row r="641">
      <c r="H641" s="112"/>
    </row>
    <row r="642">
      <c r="H642" s="112"/>
    </row>
    <row r="643">
      <c r="H643" s="112"/>
    </row>
    <row r="644">
      <c r="H644" s="112"/>
    </row>
    <row r="645">
      <c r="H645" s="112"/>
    </row>
    <row r="646">
      <c r="H646" s="112"/>
    </row>
    <row r="647">
      <c r="H647" s="112"/>
    </row>
    <row r="648">
      <c r="H648" s="112"/>
    </row>
    <row r="649">
      <c r="H649" s="112"/>
    </row>
    <row r="650">
      <c r="H650" s="112"/>
    </row>
    <row r="651">
      <c r="H651" s="112"/>
    </row>
    <row r="652">
      <c r="H652" s="112"/>
    </row>
    <row r="653">
      <c r="H653" s="112"/>
    </row>
    <row r="654">
      <c r="H654" s="112"/>
    </row>
    <row r="655">
      <c r="H655" s="112"/>
    </row>
    <row r="656">
      <c r="H656" s="112"/>
    </row>
    <row r="657">
      <c r="H657" s="112"/>
    </row>
    <row r="658">
      <c r="H658" s="112"/>
    </row>
    <row r="659">
      <c r="H659" s="112"/>
    </row>
    <row r="660">
      <c r="H660" s="112"/>
    </row>
    <row r="661">
      <c r="H661" s="112"/>
    </row>
    <row r="662">
      <c r="H662" s="112"/>
    </row>
    <row r="663">
      <c r="H663" s="112"/>
    </row>
    <row r="664">
      <c r="H664" s="112"/>
    </row>
    <row r="665">
      <c r="H665" s="112"/>
    </row>
    <row r="666">
      <c r="H666" s="112"/>
    </row>
    <row r="667">
      <c r="H667" s="112"/>
    </row>
    <row r="668">
      <c r="H668" s="112"/>
    </row>
    <row r="669">
      <c r="H669" s="112"/>
    </row>
    <row r="670">
      <c r="H670" s="112"/>
    </row>
    <row r="671">
      <c r="H671" s="112"/>
    </row>
    <row r="672">
      <c r="H672" s="112"/>
    </row>
    <row r="673">
      <c r="H673" s="112"/>
    </row>
    <row r="674">
      <c r="H674" s="112"/>
    </row>
    <row r="675">
      <c r="H675" s="112"/>
    </row>
    <row r="676">
      <c r="H676" s="112"/>
    </row>
    <row r="677">
      <c r="H677" s="112"/>
    </row>
    <row r="678">
      <c r="H678" s="112"/>
    </row>
    <row r="679">
      <c r="H679" s="112"/>
    </row>
    <row r="680">
      <c r="H680" s="112"/>
    </row>
    <row r="681">
      <c r="H681" s="112"/>
    </row>
    <row r="682">
      <c r="H682" s="112"/>
    </row>
    <row r="683">
      <c r="H683" s="112"/>
    </row>
    <row r="684">
      <c r="H684" s="112"/>
    </row>
    <row r="685">
      <c r="H685" s="112"/>
    </row>
    <row r="686">
      <c r="H686" s="112"/>
    </row>
    <row r="687">
      <c r="H687" s="112"/>
    </row>
    <row r="688">
      <c r="H688" s="112"/>
    </row>
    <row r="689">
      <c r="H689" s="112"/>
    </row>
    <row r="690">
      <c r="H690" s="112"/>
    </row>
    <row r="691">
      <c r="H691" s="112"/>
    </row>
    <row r="692">
      <c r="H692" s="112"/>
    </row>
    <row r="693">
      <c r="H693" s="112"/>
    </row>
    <row r="694">
      <c r="H694" s="112"/>
    </row>
    <row r="695">
      <c r="H695" s="112"/>
    </row>
    <row r="696">
      <c r="H696" s="112"/>
    </row>
    <row r="697">
      <c r="H697" s="112"/>
    </row>
    <row r="698">
      <c r="H698" s="112"/>
    </row>
    <row r="699">
      <c r="H699" s="112"/>
    </row>
    <row r="700">
      <c r="H700" s="112"/>
    </row>
    <row r="701">
      <c r="H701" s="112"/>
    </row>
    <row r="702">
      <c r="H702" s="112"/>
    </row>
    <row r="703">
      <c r="H703" s="112"/>
    </row>
    <row r="704">
      <c r="H704" s="112"/>
    </row>
    <row r="705">
      <c r="H705" s="112"/>
    </row>
    <row r="706">
      <c r="H706" s="112"/>
    </row>
    <row r="707">
      <c r="H707" s="112"/>
    </row>
    <row r="708">
      <c r="H708" s="112"/>
    </row>
    <row r="709">
      <c r="H709" s="112"/>
    </row>
    <row r="710">
      <c r="H710" s="112"/>
    </row>
    <row r="711">
      <c r="H711" s="112"/>
    </row>
    <row r="712">
      <c r="H712" s="112"/>
    </row>
    <row r="713">
      <c r="H713" s="112"/>
    </row>
    <row r="714">
      <c r="H714" s="112"/>
    </row>
    <row r="715">
      <c r="H715" s="112"/>
    </row>
    <row r="716">
      <c r="H716" s="112"/>
    </row>
    <row r="717">
      <c r="H717" s="112"/>
    </row>
    <row r="718">
      <c r="H718" s="112"/>
    </row>
    <row r="719">
      <c r="H719" s="112"/>
    </row>
    <row r="720">
      <c r="H720" s="112"/>
    </row>
    <row r="721">
      <c r="H721" s="112"/>
    </row>
    <row r="722">
      <c r="H722" s="112"/>
    </row>
    <row r="723">
      <c r="H723" s="112"/>
    </row>
    <row r="724">
      <c r="H724" s="112"/>
    </row>
    <row r="725">
      <c r="H725" s="112"/>
    </row>
    <row r="726">
      <c r="H726" s="112"/>
    </row>
    <row r="727">
      <c r="H727" s="112"/>
    </row>
    <row r="728">
      <c r="H728" s="112"/>
    </row>
    <row r="729">
      <c r="H729" s="112"/>
    </row>
    <row r="730">
      <c r="H730" s="112"/>
    </row>
    <row r="731">
      <c r="H731" s="112"/>
    </row>
    <row r="732">
      <c r="H732" s="112"/>
    </row>
    <row r="733">
      <c r="H733" s="112"/>
    </row>
    <row r="734">
      <c r="H734" s="112"/>
    </row>
    <row r="735">
      <c r="H735" s="112"/>
    </row>
    <row r="736">
      <c r="H736" s="112"/>
    </row>
    <row r="737">
      <c r="H737" s="112"/>
    </row>
    <row r="738">
      <c r="H738" s="112"/>
    </row>
    <row r="739">
      <c r="H739" s="112"/>
    </row>
    <row r="740">
      <c r="H740" s="112"/>
    </row>
    <row r="741">
      <c r="H741" s="112"/>
    </row>
    <row r="742">
      <c r="H742" s="112"/>
    </row>
    <row r="743">
      <c r="H743" s="112"/>
    </row>
    <row r="744">
      <c r="H744" s="112"/>
    </row>
    <row r="745">
      <c r="H745" s="112"/>
    </row>
    <row r="746">
      <c r="H746" s="112"/>
    </row>
    <row r="747">
      <c r="H747" s="112"/>
    </row>
    <row r="748">
      <c r="H748" s="112"/>
    </row>
    <row r="749">
      <c r="H749" s="112"/>
    </row>
    <row r="750">
      <c r="H750" s="112"/>
    </row>
    <row r="751">
      <c r="H751" s="112"/>
    </row>
    <row r="752">
      <c r="H752" s="112"/>
    </row>
    <row r="753">
      <c r="H753" s="112"/>
    </row>
    <row r="754">
      <c r="H754" s="112"/>
    </row>
    <row r="755">
      <c r="H755" s="112"/>
    </row>
    <row r="756">
      <c r="H756" s="112"/>
    </row>
    <row r="757">
      <c r="H757" s="112"/>
    </row>
    <row r="758">
      <c r="H758" s="112"/>
    </row>
    <row r="759">
      <c r="H759" s="112"/>
    </row>
    <row r="760">
      <c r="H760" s="112"/>
    </row>
    <row r="761">
      <c r="H761" s="112"/>
    </row>
    <row r="762">
      <c r="H762" s="112"/>
    </row>
    <row r="763">
      <c r="H763" s="112"/>
    </row>
    <row r="764">
      <c r="H764" s="112"/>
    </row>
    <row r="765">
      <c r="H765" s="112"/>
    </row>
    <row r="766">
      <c r="H766" s="112"/>
    </row>
    <row r="767">
      <c r="H767" s="112"/>
    </row>
    <row r="768">
      <c r="H768" s="112"/>
    </row>
    <row r="769">
      <c r="H769" s="112"/>
    </row>
    <row r="770">
      <c r="H770" s="112"/>
    </row>
    <row r="771">
      <c r="H771" s="112"/>
    </row>
    <row r="772">
      <c r="H772" s="112"/>
    </row>
    <row r="773">
      <c r="H773" s="112"/>
    </row>
    <row r="774">
      <c r="H774" s="112"/>
    </row>
    <row r="775">
      <c r="H775" s="112"/>
    </row>
    <row r="776">
      <c r="H776" s="112"/>
    </row>
    <row r="777">
      <c r="H777" s="112"/>
    </row>
    <row r="778">
      <c r="H778" s="112"/>
    </row>
    <row r="779">
      <c r="H779" s="112"/>
    </row>
    <row r="780">
      <c r="H780" s="112"/>
    </row>
    <row r="781">
      <c r="H781" s="112"/>
    </row>
    <row r="782">
      <c r="H782" s="112"/>
    </row>
    <row r="783">
      <c r="H783" s="112"/>
    </row>
    <row r="784">
      <c r="H784" s="112"/>
    </row>
    <row r="785">
      <c r="H785" s="112"/>
    </row>
    <row r="786">
      <c r="H786" s="112"/>
    </row>
    <row r="787">
      <c r="H787" s="112"/>
    </row>
    <row r="788">
      <c r="H788" s="112"/>
    </row>
    <row r="789">
      <c r="H789" s="112"/>
    </row>
    <row r="790">
      <c r="H790" s="112"/>
    </row>
    <row r="791">
      <c r="H791" s="112"/>
    </row>
    <row r="792">
      <c r="H792" s="112"/>
    </row>
    <row r="793">
      <c r="H793" s="112"/>
    </row>
    <row r="794">
      <c r="H794" s="112"/>
    </row>
    <row r="795">
      <c r="H795" s="112"/>
    </row>
    <row r="796">
      <c r="H796" s="112"/>
    </row>
    <row r="797">
      <c r="H797" s="112"/>
    </row>
    <row r="798">
      <c r="H798" s="112"/>
    </row>
    <row r="799">
      <c r="H799" s="112"/>
    </row>
    <row r="800">
      <c r="H800" s="112"/>
    </row>
    <row r="801">
      <c r="H801" s="112"/>
    </row>
    <row r="802">
      <c r="H802" s="112"/>
    </row>
    <row r="803">
      <c r="H803" s="112"/>
    </row>
    <row r="804">
      <c r="H804" s="112"/>
    </row>
    <row r="805">
      <c r="H805" s="112"/>
    </row>
    <row r="806">
      <c r="H806" s="112"/>
    </row>
    <row r="807">
      <c r="H807" s="112"/>
    </row>
    <row r="808">
      <c r="H808" s="112"/>
    </row>
    <row r="809">
      <c r="H809" s="112"/>
    </row>
    <row r="810">
      <c r="H810" s="112"/>
    </row>
    <row r="811">
      <c r="H811" s="112"/>
    </row>
    <row r="812">
      <c r="H812" s="112"/>
    </row>
    <row r="813">
      <c r="H813" s="112"/>
    </row>
    <row r="814">
      <c r="H814" s="112"/>
    </row>
    <row r="815">
      <c r="H815" s="112"/>
    </row>
    <row r="816">
      <c r="H816" s="112"/>
    </row>
    <row r="817">
      <c r="H817" s="112"/>
    </row>
    <row r="818">
      <c r="H818" s="112"/>
    </row>
    <row r="819">
      <c r="H819" s="112"/>
    </row>
    <row r="820">
      <c r="H820" s="112"/>
    </row>
    <row r="821">
      <c r="H821" s="112"/>
    </row>
    <row r="822">
      <c r="H822" s="112"/>
    </row>
    <row r="823">
      <c r="H823" s="112"/>
    </row>
    <row r="824">
      <c r="H824" s="112"/>
    </row>
    <row r="825">
      <c r="H825" s="112"/>
    </row>
    <row r="826">
      <c r="H826" s="112"/>
    </row>
    <row r="827">
      <c r="H827" s="112"/>
    </row>
    <row r="828">
      <c r="H828" s="112"/>
    </row>
    <row r="829">
      <c r="H829" s="112"/>
    </row>
    <row r="830">
      <c r="H830" s="112"/>
    </row>
    <row r="831">
      <c r="H831" s="112"/>
    </row>
    <row r="832">
      <c r="H832" s="112"/>
    </row>
    <row r="833">
      <c r="H833" s="112"/>
    </row>
    <row r="834">
      <c r="H834" s="112"/>
    </row>
    <row r="835">
      <c r="H835" s="112"/>
    </row>
    <row r="836">
      <c r="H836" s="112"/>
    </row>
    <row r="837">
      <c r="H837" s="112"/>
    </row>
    <row r="838">
      <c r="H838" s="112"/>
    </row>
    <row r="839">
      <c r="H839" s="112"/>
    </row>
    <row r="840">
      <c r="H840" s="112"/>
    </row>
    <row r="841">
      <c r="H841" s="112"/>
    </row>
    <row r="842">
      <c r="H842" s="112"/>
    </row>
    <row r="843">
      <c r="H843" s="112"/>
    </row>
    <row r="844">
      <c r="H844" s="112"/>
    </row>
    <row r="845">
      <c r="H845" s="112"/>
    </row>
    <row r="846">
      <c r="H846" s="112"/>
    </row>
    <row r="847">
      <c r="H847" s="112"/>
    </row>
    <row r="848">
      <c r="H848" s="112"/>
    </row>
    <row r="849">
      <c r="H849" s="112"/>
    </row>
    <row r="850">
      <c r="H850" s="112"/>
    </row>
    <row r="851">
      <c r="H851" s="112"/>
    </row>
    <row r="852">
      <c r="H852" s="112"/>
    </row>
    <row r="853">
      <c r="H853" s="112"/>
    </row>
    <row r="854">
      <c r="H854" s="112"/>
    </row>
    <row r="855">
      <c r="H855" s="112"/>
    </row>
    <row r="856">
      <c r="H856" s="112"/>
    </row>
    <row r="857">
      <c r="H857" s="112"/>
    </row>
    <row r="858">
      <c r="H858" s="112"/>
    </row>
    <row r="859">
      <c r="H859" s="112"/>
    </row>
    <row r="860">
      <c r="H860" s="112"/>
    </row>
    <row r="861">
      <c r="H861" s="112"/>
    </row>
    <row r="862">
      <c r="H862" s="112"/>
    </row>
    <row r="863">
      <c r="H863" s="112"/>
    </row>
    <row r="864">
      <c r="H864" s="112"/>
    </row>
    <row r="865">
      <c r="H865" s="112"/>
    </row>
    <row r="866">
      <c r="H866" s="112"/>
    </row>
    <row r="867">
      <c r="H867" s="112"/>
    </row>
    <row r="868">
      <c r="H868" s="112"/>
    </row>
    <row r="869">
      <c r="H869" s="112"/>
    </row>
    <row r="870">
      <c r="H870" s="112"/>
    </row>
    <row r="871">
      <c r="H871" s="112"/>
    </row>
    <row r="872">
      <c r="H872" s="112"/>
    </row>
    <row r="873">
      <c r="H873" s="112"/>
    </row>
    <row r="874">
      <c r="H874" s="112"/>
    </row>
    <row r="875">
      <c r="H875" s="112"/>
    </row>
    <row r="876">
      <c r="H876" s="112"/>
    </row>
    <row r="877">
      <c r="H877" s="112"/>
    </row>
    <row r="878">
      <c r="H878" s="112"/>
    </row>
    <row r="879">
      <c r="H879" s="112"/>
    </row>
    <row r="880">
      <c r="H880" s="112"/>
    </row>
    <row r="881">
      <c r="H881" s="112"/>
    </row>
    <row r="882">
      <c r="H882" s="112"/>
    </row>
    <row r="883">
      <c r="H883" s="112"/>
    </row>
    <row r="884">
      <c r="H884" s="112"/>
    </row>
    <row r="885">
      <c r="H885" s="112"/>
    </row>
    <row r="886">
      <c r="H886" s="112"/>
    </row>
    <row r="887">
      <c r="H887" s="112"/>
    </row>
    <row r="888">
      <c r="H888" s="112"/>
    </row>
    <row r="889">
      <c r="H889" s="112"/>
    </row>
    <row r="890">
      <c r="H890" s="112"/>
    </row>
    <row r="891">
      <c r="H891" s="112"/>
    </row>
    <row r="892">
      <c r="H892" s="112"/>
    </row>
    <row r="893">
      <c r="H893" s="112"/>
    </row>
    <row r="894">
      <c r="H894" s="112"/>
    </row>
    <row r="895">
      <c r="H895" s="112"/>
    </row>
    <row r="896">
      <c r="H896" s="112"/>
    </row>
    <row r="897">
      <c r="H897" s="112"/>
    </row>
    <row r="898">
      <c r="H898" s="112"/>
    </row>
    <row r="899">
      <c r="H899" s="112"/>
    </row>
    <row r="900">
      <c r="H900" s="112"/>
    </row>
    <row r="901">
      <c r="H901" s="112"/>
    </row>
    <row r="902">
      <c r="H902" s="112"/>
    </row>
    <row r="903">
      <c r="H903" s="112"/>
    </row>
    <row r="904">
      <c r="H904" s="112"/>
    </row>
    <row r="905">
      <c r="H905" s="112"/>
    </row>
    <row r="906">
      <c r="H906" s="112"/>
    </row>
    <row r="907">
      <c r="H907" s="112"/>
    </row>
    <row r="908">
      <c r="H908" s="112"/>
    </row>
    <row r="909">
      <c r="H909" s="112"/>
    </row>
    <row r="910">
      <c r="H910" s="112"/>
    </row>
    <row r="911">
      <c r="H911" s="112"/>
    </row>
    <row r="912">
      <c r="H912" s="112"/>
    </row>
    <row r="913">
      <c r="H913" s="112"/>
    </row>
    <row r="914">
      <c r="H914" s="112"/>
    </row>
    <row r="915">
      <c r="H915" s="112"/>
    </row>
    <row r="916">
      <c r="H916" s="112"/>
    </row>
    <row r="917">
      <c r="H917" s="112"/>
    </row>
    <row r="918">
      <c r="H918" s="112"/>
    </row>
    <row r="919">
      <c r="H919" s="112"/>
    </row>
    <row r="920">
      <c r="H920" s="112"/>
    </row>
    <row r="921">
      <c r="H921" s="112"/>
    </row>
    <row r="922">
      <c r="H922" s="112"/>
    </row>
    <row r="923">
      <c r="H923" s="112"/>
    </row>
    <row r="924">
      <c r="H924" s="112"/>
    </row>
    <row r="925">
      <c r="H925" s="112"/>
    </row>
    <row r="926">
      <c r="H926" s="112"/>
    </row>
    <row r="927">
      <c r="H927" s="112"/>
    </row>
  </sheetData>
  <printOptions gridLines="1" horizontalCentered="1"/>
  <pageMargins bottom="0.75" footer="0.0" header="0.0" left="0.7" right="0.7" top="0.75"/>
  <pageSetup fitToHeight="0" cellComments="atEnd" orientation="portrait" pageOrder="overThenDown" paperHeight="20in" paperWidth="11i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4.57"/>
    <col customWidth="1" min="2" max="2" width="24.14"/>
  </cols>
  <sheetData>
    <row r="1">
      <c r="A1" s="124" t="s">
        <v>410</v>
      </c>
      <c r="B1" s="125">
        <v>9730.735</v>
      </c>
    </row>
    <row r="2">
      <c r="A2" s="126" t="s">
        <v>1</v>
      </c>
      <c r="B2" s="127" t="s">
        <v>411</v>
      </c>
    </row>
    <row r="3">
      <c r="A3" s="5" t="s">
        <v>3</v>
      </c>
      <c r="B3" s="6">
        <f>3*IFERROR(VLOOKUP(A3,'#15 IH Results'!$A$2:$C$301,2,0),0)+2*IFERROR(VLOOKUP(A3,'#14 IH Results'!$A$2:$C$302,2,0),0)+1.5*IFERROR(VLOOKUP(A3,'#13 IH Results'!$A$2:$C$302,2,0),0)+1.25*IFERROR(VLOOKUP(A3,'#12 IH Results'!$A$2:$C$302,2,0),0)+1.25*IFERROR(VLOOKUP(A3,'#11 IH Results'!$A$2:$C$302,2,0),0)+IFERROR(VLOOKUP(A3,'#10 IH Results'!$A$2:$C$302,2,0),0)+IFERROR(VLOOKUP(A3,'#9 IH Results'!$A$2:$C$302,2,0),0)+IFERROR(VLOOKUP(A3,'#8 IH Results'!$A$2:$C$302,2,0),0)+IFERROR(VLOOKUP(A3,'#7 IH Results'!$A$2:$C$302,2,0),0)+IFERROR(VLOOKUP(A3,'#6 IH Results'!$A$2:$C$302,2,0),0)+IFERROR(VLOOKUP(A3,'#5 IH Results'!$A$2:$C$303,2,0),0)+IFERROR(VLOOKUP(A3,'#4 IH Results'!$A$2:$C$300,2,0),0)+IFERROR(VLOOKUP(A3,'#3 IH Results'!$A$2:$C$101,2,0),0)+IFERROR(VLOOKUP(A3,'#2 IH Results'!$A$2:$C$101,2,0),0)+IFERROR(VLOOKUP(A3,'#1 IH Results'!$A$2:$C$101,2,0),0)+IFERROR(VLOOKUP(A3,'#0 IH Results'!$A$3:$C$102,2,0),0)</f>
        <v>714.2670626</v>
      </c>
    </row>
    <row r="4">
      <c r="A4" s="5" t="s">
        <v>4</v>
      </c>
      <c r="B4" s="6">
        <f>3*IFERROR(VLOOKUP(A4,'#15 IH Results'!$A$2:$C$301,2,0),0)+2*IFERROR(VLOOKUP(A4,'#14 IH Results'!$A$2:$C$302,2,0),0)+1.5*IFERROR(VLOOKUP(A4,'#13 IH Results'!$A$2:$C$302,2,0),0)+1.25*IFERROR(VLOOKUP(A4,'#12 IH Results'!$A$2:$C$302,2,0),0)+1.25*IFERROR(VLOOKUP(A4,'#11 IH Results'!$A$2:$C$302,2,0),0)+IFERROR(VLOOKUP(A4,'#10 IH Results'!$A$2:$C$302,2,0),0)+IFERROR(VLOOKUP(A4,'#9 IH Results'!$A$2:$C$302,2,0),0)+IFERROR(VLOOKUP(A4,'#8 IH Results'!$A$2:$C$302,2,0),0)+IFERROR(VLOOKUP(A4,'#7 IH Results'!$A$2:$C$302,2,0),0)+IFERROR(VLOOKUP(A4,'#6 IH Results'!$A$2:$C$302,2,0),0)+IFERROR(VLOOKUP(A4,'#5 IH Results'!$A$2:$C$303,2,0),0)+IFERROR(VLOOKUP(A4,'#4 IH Results'!$A$2:$C$300,2,0),0)+IFERROR(VLOOKUP(A4,'#3 IH Results'!$A$2:$C$101,2,0),0)+IFERROR(VLOOKUP(A4,'#2 IH Results'!$A$2:$C$101,2,0),0)+IFERROR(VLOOKUP(A4,'#1 IH Results'!$A$2:$C$101,2,0),0)+IFERROR(VLOOKUP(A4,'#0 IH Results'!$A$3:$C$102,2,0),0)</f>
        <v>620.7043395</v>
      </c>
    </row>
    <row r="5">
      <c r="A5" s="5" t="s">
        <v>5</v>
      </c>
      <c r="B5" s="6">
        <f>3*IFERROR(VLOOKUP(A5,'#15 IH Results'!$A$2:$C$301,2,0),0)+2*IFERROR(VLOOKUP(A5,'#14 IH Results'!$A$2:$C$302,2,0),0)+1.5*IFERROR(VLOOKUP(A5,'#13 IH Results'!$A$2:$C$302,2,0),0)+1.25*IFERROR(VLOOKUP(A5,'#12 IH Results'!$A$2:$C$302,2,0),0)+1.25*IFERROR(VLOOKUP(A5,'#11 IH Results'!$A$2:$C$302,2,0),0)+IFERROR(VLOOKUP(A5,'#10 IH Results'!$A$2:$C$302,2,0),0)+IFERROR(VLOOKUP(A5,'#9 IH Results'!$A$2:$C$302,2,0),0)+IFERROR(VLOOKUP(A5,'#8 IH Results'!$A$2:$C$302,2,0),0)+IFERROR(VLOOKUP(A5,'#7 IH Results'!$A$2:$C$302,2,0),0)+IFERROR(VLOOKUP(A5,'#6 IH Results'!$A$2:$C$302,2,0),0)+IFERROR(VLOOKUP(A5,'#5 IH Results'!$A$2:$C$303,2,0),0)+IFERROR(VLOOKUP(A5,'#4 IH Results'!$A$2:$C$300,2,0),0)+IFERROR(VLOOKUP(A5,'#3 IH Results'!$A$2:$C$101,2,0),0)+IFERROR(VLOOKUP(A5,'#2 IH Results'!$A$2:$C$101,2,0),0)+IFERROR(VLOOKUP(A5,'#1 IH Results'!$A$2:$C$101,2,0),0)+IFERROR(VLOOKUP(A5,'#0 IH Results'!$A$3:$C$102,2,0),0)</f>
        <v>381.0963595</v>
      </c>
    </row>
    <row r="6">
      <c r="A6" s="7" t="s">
        <v>6</v>
      </c>
      <c r="B6" s="6">
        <f>3*IFERROR(VLOOKUP(A6,'#15 IH Results'!$A$2:$C$301,2,0),0)+2*IFERROR(VLOOKUP(A6,'#14 IH Results'!$A$2:$C$302,2,0),0)+1.5*IFERROR(VLOOKUP(A6,'#13 IH Results'!$A$2:$C$302,2,0),0)+1.25*IFERROR(VLOOKUP(A6,'#12 IH Results'!$A$2:$C$302,2,0),0)+1.25*IFERROR(VLOOKUP(A6,'#11 IH Results'!$A$2:$C$302,2,0),0)+IFERROR(VLOOKUP(A6,'#10 IH Results'!$A$2:$C$302,2,0),0)+IFERROR(VLOOKUP(A6,'#9 IH Results'!$A$2:$C$302,2,0),0)+IFERROR(VLOOKUP(A6,'#8 IH Results'!$A$2:$C$302,2,0),0)+IFERROR(VLOOKUP(A6,'#7 IH Results'!$A$2:$C$302,2,0),0)+IFERROR(VLOOKUP(A6,'#6 IH Results'!$A$2:$C$302,2,0),0)+IFERROR(VLOOKUP(A6,'#5 IH Results'!$A$2:$C$303,2,0),0)+IFERROR(VLOOKUP(A6,'#4 IH Results'!$A$2:$C$300,2,0),0)+IFERROR(VLOOKUP(A6,'#3 IH Results'!$A$2:$C$101,2,0),0)+IFERROR(VLOOKUP(A6,'#2 IH Results'!$A$2:$C$101,2,0),0)+IFERROR(VLOOKUP(A6,'#1 IH Results'!$A$2:$C$101,2,0),0)+IFERROR(VLOOKUP(A6,'#0 IH Results'!$A$3:$C$102,2,0),0)</f>
        <v>332.5946911</v>
      </c>
    </row>
    <row r="7">
      <c r="A7" s="5" t="s">
        <v>8</v>
      </c>
      <c r="B7" s="6">
        <f>3*IFERROR(VLOOKUP(A7,'#15 IH Results'!$A$2:$C$301,2,0),0)+2*IFERROR(VLOOKUP(A7,'#14 IH Results'!$A$2:$C$302,2,0),0)+1.5*IFERROR(VLOOKUP(A7,'#13 IH Results'!$A$2:$C$302,2,0),0)+1.25*IFERROR(VLOOKUP(A7,'#12 IH Results'!$A$2:$C$302,2,0),0)+1.25*IFERROR(VLOOKUP(A7,'#11 IH Results'!$A$2:$C$302,2,0),0)+IFERROR(VLOOKUP(A7,'#10 IH Results'!$A$2:$C$302,2,0),0)+IFERROR(VLOOKUP(A7,'#9 IH Results'!$A$2:$C$302,2,0),0)+IFERROR(VLOOKUP(A7,'#8 IH Results'!$A$2:$C$302,2,0),0)+IFERROR(VLOOKUP(A7,'#7 IH Results'!$A$2:$C$302,2,0),0)+IFERROR(VLOOKUP(A7,'#6 IH Results'!$A$2:$C$302,2,0),0)+IFERROR(VLOOKUP(A7,'#5 IH Results'!$A$2:$C$303,2,0),0)+IFERROR(VLOOKUP(A7,'#4 IH Results'!$A$2:$C$300,2,0),0)+IFERROR(VLOOKUP(A7,'#3 IH Results'!$A$2:$C$101,2,0),0)+IFERROR(VLOOKUP(A7,'#2 IH Results'!$A$2:$C$101,2,0),0)+IFERROR(VLOOKUP(A7,'#1 IH Results'!$A$2:$C$101,2,0),0)+IFERROR(VLOOKUP(A7,'#0 IH Results'!$A$3:$C$102,2,0),0)</f>
        <v>253.3822396</v>
      </c>
    </row>
    <row r="8">
      <c r="A8" s="5" t="s">
        <v>11</v>
      </c>
      <c r="B8" s="6">
        <f>3*IFERROR(VLOOKUP(A8,'#15 IH Results'!$A$2:$C$301,2,0),0)+2*IFERROR(VLOOKUP(A8,'#14 IH Results'!$A$2:$C$302,2,0),0)+1.5*IFERROR(VLOOKUP(A8,'#13 IH Results'!$A$2:$C$302,2,0),0)+1.25*IFERROR(VLOOKUP(A8,'#12 IH Results'!$A$2:$C$302,2,0),0)+1.25*IFERROR(VLOOKUP(A8,'#11 IH Results'!$A$2:$C$302,2,0),0)+IFERROR(VLOOKUP(A8,'#10 IH Results'!$A$2:$C$302,2,0),0)+IFERROR(VLOOKUP(A8,'#9 IH Results'!$A$2:$C$302,2,0),0)+IFERROR(VLOOKUP(A8,'#8 IH Results'!$A$2:$C$302,2,0),0)+IFERROR(VLOOKUP(A8,'#7 IH Results'!$A$2:$C$302,2,0),0)+IFERROR(VLOOKUP(A8,'#6 IH Results'!$A$2:$C$302,2,0),0)+IFERROR(VLOOKUP(A8,'#5 IH Results'!$A$2:$C$303,2,0),0)+IFERROR(VLOOKUP(A8,'#4 IH Results'!$A$2:$C$300,2,0),0)+IFERROR(VLOOKUP(A8,'#3 IH Results'!$A$2:$C$101,2,0),0)+IFERROR(VLOOKUP(A8,'#2 IH Results'!$A$2:$C$101,2,0),0)+IFERROR(VLOOKUP(A8,'#1 IH Results'!$A$2:$C$101,2,0),0)+IFERROR(VLOOKUP(A8,'#0 IH Results'!$A$3:$C$102,2,0),0)</f>
        <v>249.0458687</v>
      </c>
    </row>
    <row r="9">
      <c r="A9" s="5" t="s">
        <v>10</v>
      </c>
      <c r="B9" s="6">
        <f>3*IFERROR(VLOOKUP(A9,'#15 IH Results'!$A$2:$C$301,2,0),0)+2*IFERROR(VLOOKUP(A9,'#14 IH Results'!$A$2:$C$302,2,0),0)+1.5*IFERROR(VLOOKUP(A9,'#13 IH Results'!$A$2:$C$302,2,0),0)+1.25*IFERROR(VLOOKUP(A9,'#12 IH Results'!$A$2:$C$302,2,0),0)+1.25*IFERROR(VLOOKUP(A9,'#11 IH Results'!$A$2:$C$302,2,0),0)+IFERROR(VLOOKUP(A9,'#10 IH Results'!$A$2:$C$302,2,0),0)+IFERROR(VLOOKUP(A9,'#9 IH Results'!$A$2:$C$302,2,0),0)+IFERROR(VLOOKUP(A9,'#8 IH Results'!$A$2:$C$302,2,0),0)+IFERROR(VLOOKUP(A9,'#7 IH Results'!$A$2:$C$302,2,0),0)+IFERROR(VLOOKUP(A9,'#6 IH Results'!$A$2:$C$302,2,0),0)+IFERROR(VLOOKUP(A9,'#5 IH Results'!$A$2:$C$303,2,0),0)+IFERROR(VLOOKUP(A9,'#4 IH Results'!$A$2:$C$300,2,0),0)+IFERROR(VLOOKUP(A9,'#3 IH Results'!$A$2:$C$101,2,0),0)+IFERROR(VLOOKUP(A9,'#2 IH Results'!$A$2:$C$101,2,0),0)+IFERROR(VLOOKUP(A9,'#1 IH Results'!$A$2:$C$101,2,0),0)+IFERROR(VLOOKUP(A9,'#0 IH Results'!$A$3:$C$102,2,0),0)</f>
        <v>236.4857295</v>
      </c>
    </row>
    <row r="10">
      <c r="A10" s="5" t="s">
        <v>7</v>
      </c>
      <c r="B10" s="6">
        <f>3*IFERROR(VLOOKUP(A10,'#15 IH Results'!$A$2:$C$301,2,0),0)+2*IFERROR(VLOOKUP(A10,'#14 IH Results'!$A$2:$C$302,2,0),0)+1.5*IFERROR(VLOOKUP(A10,'#13 IH Results'!$A$2:$C$302,2,0),0)+1.25*IFERROR(VLOOKUP(A10,'#12 IH Results'!$A$2:$C$302,2,0),0)+1.25*IFERROR(VLOOKUP(A10,'#11 IH Results'!$A$2:$C$302,2,0),0)+IFERROR(VLOOKUP(A10,'#10 IH Results'!$A$2:$C$302,2,0),0)+IFERROR(VLOOKUP(A10,'#9 IH Results'!$A$2:$C$302,2,0),0)+IFERROR(VLOOKUP(A10,'#8 IH Results'!$A$2:$C$302,2,0),0)+IFERROR(VLOOKUP(A10,'#7 IH Results'!$A$2:$C$302,2,0),0)+IFERROR(VLOOKUP(A10,'#6 IH Results'!$A$2:$C$302,2,0),0)+IFERROR(VLOOKUP(A10,'#5 IH Results'!$A$2:$C$303,2,0),0)+IFERROR(VLOOKUP(A10,'#4 IH Results'!$A$2:$C$300,2,0),0)+IFERROR(VLOOKUP(A10,'#3 IH Results'!$A$2:$C$101,2,0),0)+IFERROR(VLOOKUP(A10,'#2 IH Results'!$A$2:$C$101,2,0),0)+IFERROR(VLOOKUP(A10,'#1 IH Results'!$A$2:$C$101,2,0),0)+IFERROR(VLOOKUP(A10,'#0 IH Results'!$A$3:$C$102,2,0),0)</f>
        <v>224.4953362</v>
      </c>
    </row>
    <row r="11">
      <c r="A11" s="5" t="s">
        <v>12</v>
      </c>
      <c r="B11" s="6">
        <f>3*IFERROR(VLOOKUP(A11,'#15 IH Results'!$A$2:$C$301,2,0),0)+2*IFERROR(VLOOKUP(A11,'#14 IH Results'!$A$2:$C$302,2,0),0)+1.5*IFERROR(VLOOKUP(A11,'#13 IH Results'!$A$2:$C$302,2,0),0)+1.25*IFERROR(VLOOKUP(A11,'#12 IH Results'!$A$2:$C$302,2,0),0)+1.25*IFERROR(VLOOKUP(A11,'#11 IH Results'!$A$2:$C$302,2,0),0)+IFERROR(VLOOKUP(A11,'#10 IH Results'!$A$2:$C$302,2,0),0)+IFERROR(VLOOKUP(A11,'#9 IH Results'!$A$2:$C$302,2,0),0)+IFERROR(VLOOKUP(A11,'#8 IH Results'!$A$2:$C$302,2,0),0)+IFERROR(VLOOKUP(A11,'#7 IH Results'!$A$2:$C$302,2,0),0)+IFERROR(VLOOKUP(A11,'#6 IH Results'!$A$2:$C$302,2,0),0)+IFERROR(VLOOKUP(A11,'#5 IH Results'!$A$2:$C$303,2,0),0)+IFERROR(VLOOKUP(A11,'#4 IH Results'!$A$2:$C$300,2,0),0)+IFERROR(VLOOKUP(A11,'#3 IH Results'!$A$2:$C$101,2,0),0)+IFERROR(VLOOKUP(A11,'#2 IH Results'!$A$2:$C$101,2,0),0)+IFERROR(VLOOKUP(A11,'#1 IH Results'!$A$2:$C$101,2,0),0)+IFERROR(VLOOKUP(A11,'#0 IH Results'!$A$3:$C$102,2,0),0)</f>
        <v>221.417862</v>
      </c>
    </row>
    <row r="12">
      <c r="A12" s="5" t="s">
        <v>9</v>
      </c>
      <c r="B12" s="6">
        <f>3*IFERROR(VLOOKUP(A12,'#15 IH Results'!$A$2:$C$301,2,0),0)+2*IFERROR(VLOOKUP(A12,'#14 IH Results'!$A$2:$C$302,2,0),0)+1.5*IFERROR(VLOOKUP(A12,'#13 IH Results'!$A$2:$C$302,2,0),0)+1.25*IFERROR(VLOOKUP(A12,'#12 IH Results'!$A$2:$C$302,2,0),0)+1.25*IFERROR(VLOOKUP(A12,'#11 IH Results'!$A$2:$C$302,2,0),0)+IFERROR(VLOOKUP(A12,'#10 IH Results'!$A$2:$C$302,2,0),0)+IFERROR(VLOOKUP(A12,'#9 IH Results'!$A$2:$C$302,2,0),0)+IFERROR(VLOOKUP(A12,'#8 IH Results'!$A$2:$C$302,2,0),0)+IFERROR(VLOOKUP(A12,'#7 IH Results'!$A$2:$C$302,2,0),0)+IFERROR(VLOOKUP(A12,'#6 IH Results'!$A$2:$C$302,2,0),0)+IFERROR(VLOOKUP(A12,'#5 IH Results'!$A$2:$C$303,2,0),0)+IFERROR(VLOOKUP(A12,'#4 IH Results'!$A$2:$C$300,2,0),0)+IFERROR(VLOOKUP(A12,'#3 IH Results'!$A$2:$C$101,2,0),0)+IFERROR(VLOOKUP(A12,'#2 IH Results'!$A$2:$C$101,2,0),0)+IFERROR(VLOOKUP(A12,'#1 IH Results'!$A$2:$C$101,2,0),0)+IFERROR(VLOOKUP(A12,'#0 IH Results'!$A$3:$C$102,2,0),0)</f>
        <v>215.8977476</v>
      </c>
    </row>
    <row r="13">
      <c r="A13" s="5" t="s">
        <v>13</v>
      </c>
      <c r="B13" s="6">
        <f>3*IFERROR(VLOOKUP(A13,'#15 IH Results'!$A$2:$C$301,2,0),0)+2*IFERROR(VLOOKUP(A13,'#14 IH Results'!$A$2:$C$302,2,0),0)+1.5*IFERROR(VLOOKUP(A13,'#13 IH Results'!$A$2:$C$302,2,0),0)+1.25*IFERROR(VLOOKUP(A13,'#12 IH Results'!$A$2:$C$302,2,0),0)+1.25*IFERROR(VLOOKUP(A13,'#11 IH Results'!$A$2:$C$302,2,0),0)+IFERROR(VLOOKUP(A13,'#10 IH Results'!$A$2:$C$302,2,0),0)+IFERROR(VLOOKUP(A13,'#9 IH Results'!$A$2:$C$302,2,0),0)+IFERROR(VLOOKUP(A13,'#8 IH Results'!$A$2:$C$302,2,0),0)+IFERROR(VLOOKUP(A13,'#7 IH Results'!$A$2:$C$302,2,0),0)+IFERROR(VLOOKUP(A13,'#6 IH Results'!$A$2:$C$302,2,0),0)+IFERROR(VLOOKUP(A13,'#5 IH Results'!$A$2:$C$303,2,0),0)+IFERROR(VLOOKUP(A13,'#4 IH Results'!$A$2:$C$300,2,0),0)+IFERROR(VLOOKUP(A13,'#3 IH Results'!$A$2:$C$101,2,0),0)+IFERROR(VLOOKUP(A13,'#2 IH Results'!$A$2:$C$101,2,0),0)+IFERROR(VLOOKUP(A13,'#1 IH Results'!$A$2:$C$101,2,0),0)+IFERROR(VLOOKUP(A13,'#0 IH Results'!$A$3:$C$102,2,0),0)</f>
        <v>211.1374153</v>
      </c>
    </row>
    <row r="14">
      <c r="A14" s="9" t="s">
        <v>20</v>
      </c>
      <c r="B14" s="6">
        <f>3*IFERROR(VLOOKUP(A14,'#15 IH Results'!$A$2:$C$301,2,0),0)+2*IFERROR(VLOOKUP(A14,'#14 IH Results'!$A$2:$C$302,2,0),0)+1.5*IFERROR(VLOOKUP(A14,'#13 IH Results'!$A$2:$C$302,2,0),0)+1.25*IFERROR(VLOOKUP(A14,'#12 IH Results'!$A$2:$C$302,2,0),0)+1.25*IFERROR(VLOOKUP(A14,'#11 IH Results'!$A$2:$C$302,2,0),0)+IFERROR(VLOOKUP(A14,'#10 IH Results'!$A$2:$C$302,2,0),0)+IFERROR(VLOOKUP(A14,'#9 IH Results'!$A$2:$C$302,2,0),0)+IFERROR(VLOOKUP(A14,'#8 IH Results'!$A$2:$C$302,2,0),0)+IFERROR(VLOOKUP(A14,'#7 IH Results'!$A$2:$C$302,2,0),0)+IFERROR(VLOOKUP(A14,'#6 IH Results'!$A$2:$C$302,2,0),0)+IFERROR(VLOOKUP(A14,'#5 IH Results'!$A$2:$C$303,2,0),0)+IFERROR(VLOOKUP(A14,'#4 IH Results'!$A$2:$C$300,2,0),0)+IFERROR(VLOOKUP(A14,'#3 IH Results'!$A$2:$C$101,2,0),0)+IFERROR(VLOOKUP(A14,'#2 IH Results'!$A$2:$C$101,2,0),0)+IFERROR(VLOOKUP(A14,'#1 IH Results'!$A$2:$C$101,2,0),0)+IFERROR(VLOOKUP(A14,'#0 IH Results'!$A$3:$C$102,2,0),0)</f>
        <v>175.6907113</v>
      </c>
    </row>
    <row r="15">
      <c r="A15" s="5" t="s">
        <v>14</v>
      </c>
      <c r="B15" s="6">
        <f>3*IFERROR(VLOOKUP(A15,'#15 IH Results'!$A$2:$C$301,2,0),0)+2*IFERROR(VLOOKUP(A15,'#14 IH Results'!$A$2:$C$302,2,0),0)+1.5*IFERROR(VLOOKUP(A15,'#13 IH Results'!$A$2:$C$302,2,0),0)+1.25*IFERROR(VLOOKUP(A15,'#12 IH Results'!$A$2:$C$302,2,0),0)+1.25*IFERROR(VLOOKUP(A15,'#11 IH Results'!$A$2:$C$302,2,0),0)+IFERROR(VLOOKUP(A15,'#10 IH Results'!$A$2:$C$302,2,0),0)+IFERROR(VLOOKUP(A15,'#9 IH Results'!$A$2:$C$302,2,0),0)+IFERROR(VLOOKUP(A15,'#8 IH Results'!$A$2:$C$302,2,0),0)+IFERROR(VLOOKUP(A15,'#7 IH Results'!$A$2:$C$302,2,0),0)+IFERROR(VLOOKUP(A15,'#6 IH Results'!$A$2:$C$302,2,0),0)+IFERROR(VLOOKUP(A15,'#5 IH Results'!$A$2:$C$303,2,0),0)+IFERROR(VLOOKUP(A15,'#4 IH Results'!$A$2:$C$300,2,0),0)+IFERROR(VLOOKUP(A15,'#3 IH Results'!$A$2:$C$101,2,0),0)+IFERROR(VLOOKUP(A15,'#2 IH Results'!$A$2:$C$101,2,0),0)+IFERROR(VLOOKUP(A15,'#1 IH Results'!$A$2:$C$101,2,0),0)+IFERROR(VLOOKUP(A15,'#0 IH Results'!$A$3:$C$102,2,0),0)</f>
        <v>164.2892124</v>
      </c>
    </row>
    <row r="16">
      <c r="A16" s="5" t="s">
        <v>15</v>
      </c>
      <c r="B16" s="6">
        <f>3*IFERROR(VLOOKUP(A16,'#15 IH Results'!$A$2:$C$301,2,0),0)+2*IFERROR(VLOOKUP(A16,'#14 IH Results'!$A$2:$C$302,2,0),0)+1.5*IFERROR(VLOOKUP(A16,'#13 IH Results'!$A$2:$C$302,2,0),0)+1.25*IFERROR(VLOOKUP(A16,'#12 IH Results'!$A$2:$C$302,2,0),0)+1.25*IFERROR(VLOOKUP(A16,'#11 IH Results'!$A$2:$C$302,2,0),0)+IFERROR(VLOOKUP(A16,'#10 IH Results'!$A$2:$C$302,2,0),0)+IFERROR(VLOOKUP(A16,'#9 IH Results'!$A$2:$C$302,2,0),0)+IFERROR(VLOOKUP(A16,'#8 IH Results'!$A$2:$C$302,2,0),0)+IFERROR(VLOOKUP(A16,'#7 IH Results'!$A$2:$C$302,2,0),0)+IFERROR(VLOOKUP(A16,'#6 IH Results'!$A$2:$C$302,2,0),0)+IFERROR(VLOOKUP(A16,'#5 IH Results'!$A$2:$C$303,2,0),0)+IFERROR(VLOOKUP(A16,'#4 IH Results'!$A$2:$C$300,2,0),0)+IFERROR(VLOOKUP(A16,'#3 IH Results'!$A$2:$C$101,2,0),0)+IFERROR(VLOOKUP(A16,'#2 IH Results'!$A$2:$C$101,2,0),0)+IFERROR(VLOOKUP(A16,'#1 IH Results'!$A$2:$C$101,2,0),0)+IFERROR(VLOOKUP(A16,'#0 IH Results'!$A$3:$C$102,2,0),0)</f>
        <v>160.4789411</v>
      </c>
    </row>
    <row r="17">
      <c r="A17" s="5" t="s">
        <v>23</v>
      </c>
      <c r="B17" s="6">
        <f>3*IFERROR(VLOOKUP(A17,'#15 IH Results'!$A$2:$C$301,2,0),0)+2*IFERROR(VLOOKUP(A17,'#14 IH Results'!$A$2:$C$302,2,0),0)+1.5*IFERROR(VLOOKUP(A17,'#13 IH Results'!$A$2:$C$302,2,0),0)+1.25*IFERROR(VLOOKUP(A17,'#12 IH Results'!$A$2:$C$302,2,0),0)+1.25*IFERROR(VLOOKUP(A17,'#11 IH Results'!$A$2:$C$302,2,0),0)+IFERROR(VLOOKUP(A17,'#10 IH Results'!$A$2:$C$302,2,0),0)+IFERROR(VLOOKUP(A17,'#9 IH Results'!$A$2:$C$302,2,0),0)+IFERROR(VLOOKUP(A17,'#8 IH Results'!$A$2:$C$302,2,0),0)+IFERROR(VLOOKUP(A17,'#7 IH Results'!$A$2:$C$302,2,0),0)+IFERROR(VLOOKUP(A17,'#6 IH Results'!$A$2:$C$302,2,0),0)+IFERROR(VLOOKUP(A17,'#5 IH Results'!$A$2:$C$303,2,0),0)+IFERROR(VLOOKUP(A17,'#4 IH Results'!$A$2:$C$300,2,0),0)+IFERROR(VLOOKUP(A17,'#3 IH Results'!$A$2:$C$101,2,0),0)+IFERROR(VLOOKUP(A17,'#2 IH Results'!$A$2:$C$101,2,0),0)+IFERROR(VLOOKUP(A17,'#1 IH Results'!$A$2:$C$101,2,0),0)+IFERROR(VLOOKUP(A17,'#0 IH Results'!$A$3:$C$102,2,0),0)</f>
        <v>143.0374946</v>
      </c>
    </row>
    <row r="18">
      <c r="A18" s="5" t="s">
        <v>16</v>
      </c>
      <c r="B18" s="6">
        <f>3*IFERROR(VLOOKUP(A18,'#15 IH Results'!$A$2:$C$301,2,0),0)+2*IFERROR(VLOOKUP(A18,'#14 IH Results'!$A$2:$C$302,2,0),0)+1.5*IFERROR(VLOOKUP(A18,'#13 IH Results'!$A$2:$C$302,2,0),0)+1.25*IFERROR(VLOOKUP(A18,'#12 IH Results'!$A$2:$C$302,2,0),0)+1.25*IFERROR(VLOOKUP(A18,'#11 IH Results'!$A$2:$C$302,2,0),0)+IFERROR(VLOOKUP(A18,'#10 IH Results'!$A$2:$C$302,2,0),0)+IFERROR(VLOOKUP(A18,'#9 IH Results'!$A$2:$C$302,2,0),0)+IFERROR(VLOOKUP(A18,'#8 IH Results'!$A$2:$C$302,2,0),0)+IFERROR(VLOOKUP(A18,'#7 IH Results'!$A$2:$C$302,2,0),0)+IFERROR(VLOOKUP(A18,'#6 IH Results'!$A$2:$C$302,2,0),0)+IFERROR(VLOOKUP(A18,'#5 IH Results'!$A$2:$C$303,2,0),0)+IFERROR(VLOOKUP(A18,'#4 IH Results'!$A$2:$C$300,2,0),0)+IFERROR(VLOOKUP(A18,'#3 IH Results'!$A$2:$C$101,2,0),0)+IFERROR(VLOOKUP(A18,'#2 IH Results'!$A$2:$C$101,2,0),0)+IFERROR(VLOOKUP(A18,'#1 IH Results'!$A$2:$C$101,2,0),0)+IFERROR(VLOOKUP(A18,'#0 IH Results'!$A$3:$C$102,2,0),0)</f>
        <v>139.7428822</v>
      </c>
    </row>
    <row r="19">
      <c r="A19" s="5" t="s">
        <v>18</v>
      </c>
      <c r="B19" s="6">
        <f>3*IFERROR(VLOOKUP(A19,'#15 IH Results'!$A$2:$C$301,2,0),0)+2*IFERROR(VLOOKUP(A19,'#14 IH Results'!$A$2:$C$302,2,0),0)+1.5*IFERROR(VLOOKUP(A19,'#13 IH Results'!$A$2:$C$302,2,0),0)+1.25*IFERROR(VLOOKUP(A19,'#12 IH Results'!$A$2:$C$302,2,0),0)+1.25*IFERROR(VLOOKUP(A19,'#11 IH Results'!$A$2:$C$302,2,0),0)+IFERROR(VLOOKUP(A19,'#10 IH Results'!$A$2:$C$302,2,0),0)+IFERROR(VLOOKUP(A19,'#9 IH Results'!$A$2:$C$302,2,0),0)+IFERROR(VLOOKUP(A19,'#8 IH Results'!$A$2:$C$302,2,0),0)+IFERROR(VLOOKUP(A19,'#7 IH Results'!$A$2:$C$302,2,0),0)+IFERROR(VLOOKUP(A19,'#6 IH Results'!$A$2:$C$302,2,0),0)+IFERROR(VLOOKUP(A19,'#5 IH Results'!$A$2:$C$303,2,0),0)+IFERROR(VLOOKUP(A19,'#4 IH Results'!$A$2:$C$300,2,0),0)+IFERROR(VLOOKUP(A19,'#3 IH Results'!$A$2:$C$101,2,0),0)+IFERROR(VLOOKUP(A19,'#2 IH Results'!$A$2:$C$101,2,0),0)+IFERROR(VLOOKUP(A19,'#1 IH Results'!$A$2:$C$101,2,0),0)+IFERROR(VLOOKUP(A19,'#0 IH Results'!$A$3:$C$102,2,0),0)</f>
        <v>136.0667578</v>
      </c>
    </row>
    <row r="20">
      <c r="A20" s="5" t="s">
        <v>17</v>
      </c>
      <c r="B20" s="6">
        <f>3*IFERROR(VLOOKUP(A20,'#15 IH Results'!$A$2:$C$301,2,0),0)+2*IFERROR(VLOOKUP(A20,'#14 IH Results'!$A$2:$C$302,2,0),0)+1.5*IFERROR(VLOOKUP(A20,'#13 IH Results'!$A$2:$C$302,2,0),0)+1.25*IFERROR(VLOOKUP(A20,'#12 IH Results'!$A$2:$C$302,2,0),0)+1.25*IFERROR(VLOOKUP(A20,'#11 IH Results'!$A$2:$C$302,2,0),0)+IFERROR(VLOOKUP(A20,'#10 IH Results'!$A$2:$C$302,2,0),0)+IFERROR(VLOOKUP(A20,'#9 IH Results'!$A$2:$C$302,2,0),0)+IFERROR(VLOOKUP(A20,'#8 IH Results'!$A$2:$C$302,2,0),0)+IFERROR(VLOOKUP(A20,'#7 IH Results'!$A$2:$C$302,2,0),0)+IFERROR(VLOOKUP(A20,'#6 IH Results'!$A$2:$C$302,2,0),0)+IFERROR(VLOOKUP(A20,'#5 IH Results'!$A$2:$C$303,2,0),0)+IFERROR(VLOOKUP(A20,'#4 IH Results'!$A$2:$C$300,2,0),0)+IFERROR(VLOOKUP(A20,'#3 IH Results'!$A$2:$C$101,2,0),0)+IFERROR(VLOOKUP(A20,'#2 IH Results'!$A$2:$C$101,2,0),0)+IFERROR(VLOOKUP(A20,'#1 IH Results'!$A$2:$C$101,2,0),0)+IFERROR(VLOOKUP(A20,'#0 IH Results'!$A$3:$C$102,2,0),0)</f>
        <v>130.4528518</v>
      </c>
    </row>
    <row r="21">
      <c r="A21" s="5" t="s">
        <v>21</v>
      </c>
      <c r="B21" s="6">
        <f>3*IFERROR(VLOOKUP(A21,'#15 IH Results'!$A$2:$C$301,2,0),0)+2*IFERROR(VLOOKUP(A21,'#14 IH Results'!$A$2:$C$302,2,0),0)+1.5*IFERROR(VLOOKUP(A21,'#13 IH Results'!$A$2:$C$302,2,0),0)+1.25*IFERROR(VLOOKUP(A21,'#12 IH Results'!$A$2:$C$302,2,0),0)+1.25*IFERROR(VLOOKUP(A21,'#11 IH Results'!$A$2:$C$302,2,0),0)+IFERROR(VLOOKUP(A21,'#10 IH Results'!$A$2:$C$302,2,0),0)+IFERROR(VLOOKUP(A21,'#9 IH Results'!$A$2:$C$302,2,0),0)+IFERROR(VLOOKUP(A21,'#8 IH Results'!$A$2:$C$302,2,0),0)+IFERROR(VLOOKUP(A21,'#7 IH Results'!$A$2:$C$302,2,0),0)+IFERROR(VLOOKUP(A21,'#6 IH Results'!$A$2:$C$302,2,0),0)+IFERROR(VLOOKUP(A21,'#5 IH Results'!$A$2:$C$303,2,0),0)+IFERROR(VLOOKUP(A21,'#4 IH Results'!$A$2:$C$300,2,0),0)+IFERROR(VLOOKUP(A21,'#3 IH Results'!$A$2:$C$101,2,0),0)+IFERROR(VLOOKUP(A21,'#2 IH Results'!$A$2:$C$101,2,0),0)+IFERROR(VLOOKUP(A21,'#1 IH Results'!$A$2:$C$101,2,0),0)+IFERROR(VLOOKUP(A21,'#0 IH Results'!$A$3:$C$102,2,0),0)</f>
        <v>126.15648</v>
      </c>
    </row>
    <row r="22">
      <c r="A22" s="5" t="s">
        <v>19</v>
      </c>
      <c r="B22" s="6">
        <f>3*IFERROR(VLOOKUP(A22,'#15 IH Results'!$A$2:$C$301,2,0),0)+2*IFERROR(VLOOKUP(A22,'#14 IH Results'!$A$2:$C$302,2,0),0)+1.5*IFERROR(VLOOKUP(A22,'#13 IH Results'!$A$2:$C$302,2,0),0)+1.25*IFERROR(VLOOKUP(A22,'#12 IH Results'!$A$2:$C$302,2,0),0)+1.25*IFERROR(VLOOKUP(A22,'#11 IH Results'!$A$2:$C$302,2,0),0)+IFERROR(VLOOKUP(A22,'#10 IH Results'!$A$2:$C$302,2,0),0)+IFERROR(VLOOKUP(A22,'#9 IH Results'!$A$2:$C$302,2,0),0)+IFERROR(VLOOKUP(A22,'#8 IH Results'!$A$2:$C$302,2,0),0)+IFERROR(VLOOKUP(A22,'#7 IH Results'!$A$2:$C$302,2,0),0)+IFERROR(VLOOKUP(A22,'#6 IH Results'!$A$2:$C$302,2,0),0)+IFERROR(VLOOKUP(A22,'#5 IH Results'!$A$2:$C$303,2,0),0)+IFERROR(VLOOKUP(A22,'#4 IH Results'!$A$2:$C$300,2,0),0)+IFERROR(VLOOKUP(A22,'#3 IH Results'!$A$2:$C$101,2,0),0)+IFERROR(VLOOKUP(A22,'#2 IH Results'!$A$2:$C$101,2,0),0)+IFERROR(VLOOKUP(A22,'#1 IH Results'!$A$2:$C$101,2,0),0)+IFERROR(VLOOKUP(A22,'#0 IH Results'!$A$3:$C$102,2,0),0)</f>
        <v>120.1256063</v>
      </c>
    </row>
    <row r="23">
      <c r="A23" s="5" t="s">
        <v>22</v>
      </c>
      <c r="B23" s="6">
        <f>3*IFERROR(VLOOKUP(A23,'#15 IH Results'!$A$2:$C$301,2,0),0)+2*IFERROR(VLOOKUP(A23,'#14 IH Results'!$A$2:$C$302,2,0),0)+1.5*IFERROR(VLOOKUP(A23,'#13 IH Results'!$A$2:$C$302,2,0),0)+1.25*IFERROR(VLOOKUP(A23,'#12 IH Results'!$A$2:$C$302,2,0),0)+1.25*IFERROR(VLOOKUP(A23,'#11 IH Results'!$A$2:$C$302,2,0),0)+IFERROR(VLOOKUP(A23,'#10 IH Results'!$A$2:$C$302,2,0),0)+IFERROR(VLOOKUP(A23,'#9 IH Results'!$A$2:$C$302,2,0),0)+IFERROR(VLOOKUP(A23,'#8 IH Results'!$A$2:$C$302,2,0),0)+IFERROR(VLOOKUP(A23,'#7 IH Results'!$A$2:$C$302,2,0),0)+IFERROR(VLOOKUP(A23,'#6 IH Results'!$A$2:$C$302,2,0),0)+IFERROR(VLOOKUP(A23,'#5 IH Results'!$A$2:$C$303,2,0),0)+IFERROR(VLOOKUP(A23,'#4 IH Results'!$A$2:$C$300,2,0),0)+IFERROR(VLOOKUP(A23,'#3 IH Results'!$A$2:$C$101,2,0),0)+IFERROR(VLOOKUP(A23,'#2 IH Results'!$A$2:$C$101,2,0),0)+IFERROR(VLOOKUP(A23,'#1 IH Results'!$A$2:$C$101,2,0),0)+IFERROR(VLOOKUP(A23,'#0 IH Results'!$A$3:$C$102,2,0),0)</f>
        <v>116.0386411</v>
      </c>
    </row>
    <row r="24">
      <c r="A24" s="5" t="s">
        <v>25</v>
      </c>
      <c r="B24" s="6">
        <f>3*IFERROR(VLOOKUP(A24,'#15 IH Results'!$A$2:$C$301,2,0),0)+2*IFERROR(VLOOKUP(A24,'#14 IH Results'!$A$2:$C$302,2,0),0)+1.5*IFERROR(VLOOKUP(A24,'#13 IH Results'!$A$2:$C$302,2,0),0)+1.25*IFERROR(VLOOKUP(A24,'#12 IH Results'!$A$2:$C$302,2,0),0)+1.25*IFERROR(VLOOKUP(A24,'#11 IH Results'!$A$2:$C$302,2,0),0)+IFERROR(VLOOKUP(A24,'#10 IH Results'!$A$2:$C$302,2,0),0)+IFERROR(VLOOKUP(A24,'#9 IH Results'!$A$2:$C$302,2,0),0)+IFERROR(VLOOKUP(A24,'#8 IH Results'!$A$2:$C$302,2,0),0)+IFERROR(VLOOKUP(A24,'#7 IH Results'!$A$2:$C$302,2,0),0)+IFERROR(VLOOKUP(A24,'#6 IH Results'!$A$2:$C$302,2,0),0)+IFERROR(VLOOKUP(A24,'#5 IH Results'!$A$2:$C$303,2,0),0)+IFERROR(VLOOKUP(A24,'#4 IH Results'!$A$2:$C$300,2,0),0)+IFERROR(VLOOKUP(A24,'#3 IH Results'!$A$2:$C$101,2,0),0)+IFERROR(VLOOKUP(A24,'#2 IH Results'!$A$2:$C$101,2,0),0)+IFERROR(VLOOKUP(A24,'#1 IH Results'!$A$2:$C$101,2,0),0)+IFERROR(VLOOKUP(A24,'#0 IH Results'!$A$3:$C$102,2,0),0)</f>
        <v>109.9772582</v>
      </c>
    </row>
    <row r="25">
      <c r="A25" s="5" t="s">
        <v>27</v>
      </c>
      <c r="B25" s="6">
        <f>3*IFERROR(VLOOKUP(A25,'#15 IH Results'!$A$2:$C$301,2,0),0)+2*IFERROR(VLOOKUP(A25,'#14 IH Results'!$A$2:$C$302,2,0),0)+1.5*IFERROR(VLOOKUP(A25,'#13 IH Results'!$A$2:$C$302,2,0),0)+1.25*IFERROR(VLOOKUP(A25,'#12 IH Results'!$A$2:$C$302,2,0),0)+1.25*IFERROR(VLOOKUP(A25,'#11 IH Results'!$A$2:$C$302,2,0),0)+IFERROR(VLOOKUP(A25,'#10 IH Results'!$A$2:$C$302,2,0),0)+IFERROR(VLOOKUP(A25,'#9 IH Results'!$A$2:$C$302,2,0),0)+IFERROR(VLOOKUP(A25,'#8 IH Results'!$A$2:$C$302,2,0),0)+IFERROR(VLOOKUP(A25,'#7 IH Results'!$A$2:$C$302,2,0),0)+IFERROR(VLOOKUP(A25,'#6 IH Results'!$A$2:$C$302,2,0),0)+IFERROR(VLOOKUP(A25,'#5 IH Results'!$A$2:$C$303,2,0),0)+IFERROR(VLOOKUP(A25,'#4 IH Results'!$A$2:$C$300,2,0),0)+IFERROR(VLOOKUP(A25,'#3 IH Results'!$A$2:$C$101,2,0),0)+IFERROR(VLOOKUP(A25,'#2 IH Results'!$A$2:$C$101,2,0),0)+IFERROR(VLOOKUP(A25,'#1 IH Results'!$A$2:$C$101,2,0),0)+IFERROR(VLOOKUP(A25,'#0 IH Results'!$A$3:$C$102,2,0),0)</f>
        <v>108.9588452</v>
      </c>
    </row>
    <row r="26">
      <c r="A26" s="5" t="s">
        <v>44</v>
      </c>
      <c r="B26" s="6">
        <f>3*IFERROR(VLOOKUP(A26,'#15 IH Results'!$A$2:$C$301,2,0),0)+2*IFERROR(VLOOKUP(A26,'#14 IH Results'!$A$2:$C$302,2,0),0)+1.5*IFERROR(VLOOKUP(A26,'#13 IH Results'!$A$2:$C$302,2,0),0)+1.25*IFERROR(VLOOKUP(A26,'#12 IH Results'!$A$2:$C$302,2,0),0)+1.25*IFERROR(VLOOKUP(A26,'#11 IH Results'!$A$2:$C$302,2,0),0)+IFERROR(VLOOKUP(A26,'#10 IH Results'!$A$2:$C$302,2,0),0)+IFERROR(VLOOKUP(A26,'#9 IH Results'!$A$2:$C$302,2,0),0)+IFERROR(VLOOKUP(A26,'#8 IH Results'!$A$2:$C$302,2,0),0)+IFERROR(VLOOKUP(A26,'#7 IH Results'!$A$2:$C$302,2,0),0)+IFERROR(VLOOKUP(A26,'#6 IH Results'!$A$2:$C$302,2,0),0)+IFERROR(VLOOKUP(A26,'#5 IH Results'!$A$2:$C$303,2,0),0)+IFERROR(VLOOKUP(A26,'#4 IH Results'!$A$2:$C$300,2,0),0)+IFERROR(VLOOKUP(A26,'#3 IH Results'!$A$2:$C$101,2,0),0)+IFERROR(VLOOKUP(A26,'#2 IH Results'!$A$2:$C$101,2,0),0)+IFERROR(VLOOKUP(A26,'#1 IH Results'!$A$2:$C$101,2,0),0)+IFERROR(VLOOKUP(A26,'#0 IH Results'!$A$3:$C$102,2,0),0)</f>
        <v>99.77768885</v>
      </c>
    </row>
    <row r="27">
      <c r="A27" s="5" t="s">
        <v>26</v>
      </c>
      <c r="B27" s="6">
        <f>3*IFERROR(VLOOKUP(A27,'#15 IH Results'!$A$2:$C$301,2,0),0)+2*IFERROR(VLOOKUP(A27,'#14 IH Results'!$A$2:$C$302,2,0),0)+1.5*IFERROR(VLOOKUP(A27,'#13 IH Results'!$A$2:$C$302,2,0),0)+1.25*IFERROR(VLOOKUP(A27,'#12 IH Results'!$A$2:$C$302,2,0),0)+1.25*IFERROR(VLOOKUP(A27,'#11 IH Results'!$A$2:$C$302,2,0),0)+IFERROR(VLOOKUP(A27,'#10 IH Results'!$A$2:$C$302,2,0),0)+IFERROR(VLOOKUP(A27,'#9 IH Results'!$A$2:$C$302,2,0),0)+IFERROR(VLOOKUP(A27,'#8 IH Results'!$A$2:$C$302,2,0),0)+IFERROR(VLOOKUP(A27,'#7 IH Results'!$A$2:$C$302,2,0),0)+IFERROR(VLOOKUP(A27,'#6 IH Results'!$A$2:$C$302,2,0),0)+IFERROR(VLOOKUP(A27,'#5 IH Results'!$A$2:$C$303,2,0),0)+IFERROR(VLOOKUP(A27,'#4 IH Results'!$A$2:$C$300,2,0),0)+IFERROR(VLOOKUP(A27,'#3 IH Results'!$A$2:$C$101,2,0),0)+IFERROR(VLOOKUP(A27,'#2 IH Results'!$A$2:$C$101,2,0),0)+IFERROR(VLOOKUP(A27,'#1 IH Results'!$A$2:$C$101,2,0),0)+IFERROR(VLOOKUP(A27,'#0 IH Results'!$A$3:$C$102,2,0),0)</f>
        <v>98.47031652</v>
      </c>
    </row>
    <row r="28">
      <c r="A28" s="5" t="s">
        <v>32</v>
      </c>
      <c r="B28" s="6">
        <f>3*IFERROR(VLOOKUP(A28,'#15 IH Results'!$A$2:$C$301,2,0),0)+2*IFERROR(VLOOKUP(A28,'#14 IH Results'!$A$2:$C$302,2,0),0)+1.5*IFERROR(VLOOKUP(A28,'#13 IH Results'!$A$2:$C$302,2,0),0)+1.25*IFERROR(VLOOKUP(A28,'#12 IH Results'!$A$2:$C$302,2,0),0)+1.25*IFERROR(VLOOKUP(A28,'#11 IH Results'!$A$2:$C$302,2,0),0)+IFERROR(VLOOKUP(A28,'#10 IH Results'!$A$2:$C$302,2,0),0)+IFERROR(VLOOKUP(A28,'#9 IH Results'!$A$2:$C$302,2,0),0)+IFERROR(VLOOKUP(A28,'#8 IH Results'!$A$2:$C$302,2,0),0)+IFERROR(VLOOKUP(A28,'#7 IH Results'!$A$2:$C$302,2,0),0)+IFERROR(VLOOKUP(A28,'#6 IH Results'!$A$2:$C$302,2,0),0)+IFERROR(VLOOKUP(A28,'#5 IH Results'!$A$2:$C$303,2,0),0)+IFERROR(VLOOKUP(A28,'#4 IH Results'!$A$2:$C$300,2,0),0)+IFERROR(VLOOKUP(A28,'#3 IH Results'!$A$2:$C$101,2,0),0)+IFERROR(VLOOKUP(A28,'#2 IH Results'!$A$2:$C$101,2,0),0)+IFERROR(VLOOKUP(A28,'#1 IH Results'!$A$2:$C$101,2,0),0)+IFERROR(VLOOKUP(A28,'#0 IH Results'!$A$3:$C$102,2,0),0)</f>
        <v>94.91559654</v>
      </c>
    </row>
    <row r="29">
      <c r="A29" s="5" t="s">
        <v>28</v>
      </c>
      <c r="B29" s="6">
        <f>3*IFERROR(VLOOKUP(A29,'#15 IH Results'!$A$2:$C$301,2,0),0)+2*IFERROR(VLOOKUP(A29,'#14 IH Results'!$A$2:$C$302,2,0),0)+1.5*IFERROR(VLOOKUP(A29,'#13 IH Results'!$A$2:$C$302,2,0),0)+1.25*IFERROR(VLOOKUP(A29,'#12 IH Results'!$A$2:$C$302,2,0),0)+1.25*IFERROR(VLOOKUP(A29,'#11 IH Results'!$A$2:$C$302,2,0),0)+IFERROR(VLOOKUP(A29,'#10 IH Results'!$A$2:$C$302,2,0),0)+IFERROR(VLOOKUP(A29,'#9 IH Results'!$A$2:$C$302,2,0),0)+IFERROR(VLOOKUP(A29,'#8 IH Results'!$A$2:$C$302,2,0),0)+IFERROR(VLOOKUP(A29,'#7 IH Results'!$A$2:$C$302,2,0),0)+IFERROR(VLOOKUP(A29,'#6 IH Results'!$A$2:$C$302,2,0),0)+IFERROR(VLOOKUP(A29,'#5 IH Results'!$A$2:$C$303,2,0),0)+IFERROR(VLOOKUP(A29,'#4 IH Results'!$A$2:$C$300,2,0),0)+IFERROR(VLOOKUP(A29,'#3 IH Results'!$A$2:$C$101,2,0),0)+IFERROR(VLOOKUP(A29,'#2 IH Results'!$A$2:$C$101,2,0),0)+IFERROR(VLOOKUP(A29,'#1 IH Results'!$A$2:$C$101,2,0),0)+IFERROR(VLOOKUP(A29,'#0 IH Results'!$A$3:$C$102,2,0),0)</f>
        <v>93.7430483</v>
      </c>
    </row>
    <row r="30">
      <c r="A30" s="5" t="s">
        <v>24</v>
      </c>
      <c r="B30" s="6">
        <f>3*IFERROR(VLOOKUP(A30,'#15 IH Results'!$A$2:$C$301,2,0),0)+2*IFERROR(VLOOKUP(A30,'#14 IH Results'!$A$2:$C$302,2,0),0)+1.5*IFERROR(VLOOKUP(A30,'#13 IH Results'!$A$2:$C$302,2,0),0)+1.25*IFERROR(VLOOKUP(A30,'#12 IH Results'!$A$2:$C$302,2,0),0)+1.25*IFERROR(VLOOKUP(A30,'#11 IH Results'!$A$2:$C$302,2,0),0)+IFERROR(VLOOKUP(A30,'#10 IH Results'!$A$2:$C$302,2,0),0)+IFERROR(VLOOKUP(A30,'#9 IH Results'!$A$2:$C$302,2,0),0)+IFERROR(VLOOKUP(A30,'#8 IH Results'!$A$2:$C$302,2,0),0)+IFERROR(VLOOKUP(A30,'#7 IH Results'!$A$2:$C$302,2,0),0)+IFERROR(VLOOKUP(A30,'#6 IH Results'!$A$2:$C$302,2,0),0)+IFERROR(VLOOKUP(A30,'#5 IH Results'!$A$2:$C$303,2,0),0)+IFERROR(VLOOKUP(A30,'#4 IH Results'!$A$2:$C$300,2,0),0)+IFERROR(VLOOKUP(A30,'#3 IH Results'!$A$2:$C$101,2,0),0)+IFERROR(VLOOKUP(A30,'#2 IH Results'!$A$2:$C$101,2,0),0)+IFERROR(VLOOKUP(A30,'#1 IH Results'!$A$2:$C$101,2,0),0)+IFERROR(VLOOKUP(A30,'#0 IH Results'!$A$3:$C$102,2,0),0)</f>
        <v>86.8362234</v>
      </c>
    </row>
    <row r="31">
      <c r="A31" s="5" t="s">
        <v>31</v>
      </c>
      <c r="B31" s="6">
        <f>3*IFERROR(VLOOKUP(A31,'#15 IH Results'!$A$2:$C$301,2,0),0)+2*IFERROR(VLOOKUP(A31,'#14 IH Results'!$A$2:$C$302,2,0),0)+1.5*IFERROR(VLOOKUP(A31,'#13 IH Results'!$A$2:$C$302,2,0),0)+1.25*IFERROR(VLOOKUP(A31,'#12 IH Results'!$A$2:$C$302,2,0),0)+1.25*IFERROR(VLOOKUP(A31,'#11 IH Results'!$A$2:$C$302,2,0),0)+IFERROR(VLOOKUP(A31,'#10 IH Results'!$A$2:$C$302,2,0),0)+IFERROR(VLOOKUP(A31,'#9 IH Results'!$A$2:$C$302,2,0),0)+IFERROR(VLOOKUP(A31,'#8 IH Results'!$A$2:$C$302,2,0),0)+IFERROR(VLOOKUP(A31,'#7 IH Results'!$A$2:$C$302,2,0),0)+IFERROR(VLOOKUP(A31,'#6 IH Results'!$A$2:$C$302,2,0),0)+IFERROR(VLOOKUP(A31,'#5 IH Results'!$A$2:$C$303,2,0),0)+IFERROR(VLOOKUP(A31,'#4 IH Results'!$A$2:$C$300,2,0),0)+IFERROR(VLOOKUP(A31,'#3 IH Results'!$A$2:$C$101,2,0),0)+IFERROR(VLOOKUP(A31,'#2 IH Results'!$A$2:$C$101,2,0),0)+IFERROR(VLOOKUP(A31,'#1 IH Results'!$A$2:$C$101,2,0),0)+IFERROR(VLOOKUP(A31,'#0 IH Results'!$A$3:$C$102,2,0),0)</f>
        <v>86.17547752</v>
      </c>
    </row>
    <row r="32">
      <c r="A32" s="5" t="s">
        <v>38</v>
      </c>
      <c r="B32" s="6">
        <f>3*IFERROR(VLOOKUP(A32,'#15 IH Results'!$A$2:$C$301,2,0),0)+2*IFERROR(VLOOKUP(A32,'#14 IH Results'!$A$2:$C$302,2,0),0)+1.5*IFERROR(VLOOKUP(A32,'#13 IH Results'!$A$2:$C$302,2,0),0)+1.25*IFERROR(VLOOKUP(A32,'#12 IH Results'!$A$2:$C$302,2,0),0)+1.25*IFERROR(VLOOKUP(A32,'#11 IH Results'!$A$2:$C$302,2,0),0)+IFERROR(VLOOKUP(A32,'#10 IH Results'!$A$2:$C$302,2,0),0)+IFERROR(VLOOKUP(A32,'#9 IH Results'!$A$2:$C$302,2,0),0)+IFERROR(VLOOKUP(A32,'#8 IH Results'!$A$2:$C$302,2,0),0)+IFERROR(VLOOKUP(A32,'#7 IH Results'!$A$2:$C$302,2,0),0)+IFERROR(VLOOKUP(A32,'#6 IH Results'!$A$2:$C$302,2,0),0)+IFERROR(VLOOKUP(A32,'#5 IH Results'!$A$2:$C$303,2,0),0)+IFERROR(VLOOKUP(A32,'#4 IH Results'!$A$2:$C$300,2,0),0)+IFERROR(VLOOKUP(A32,'#3 IH Results'!$A$2:$C$101,2,0),0)+IFERROR(VLOOKUP(A32,'#2 IH Results'!$A$2:$C$101,2,0),0)+IFERROR(VLOOKUP(A32,'#1 IH Results'!$A$2:$C$101,2,0),0)+IFERROR(VLOOKUP(A32,'#0 IH Results'!$A$3:$C$102,2,0),0)</f>
        <v>85.60650961</v>
      </c>
    </row>
    <row r="33">
      <c r="A33" s="5" t="s">
        <v>37</v>
      </c>
      <c r="B33" s="6">
        <f>3*IFERROR(VLOOKUP(A33,'#15 IH Results'!$A$2:$C$301,2,0),0)+2*IFERROR(VLOOKUP(A33,'#14 IH Results'!$A$2:$C$302,2,0),0)+1.5*IFERROR(VLOOKUP(A33,'#13 IH Results'!$A$2:$C$302,2,0),0)+1.25*IFERROR(VLOOKUP(A33,'#12 IH Results'!$A$2:$C$302,2,0),0)+1.25*IFERROR(VLOOKUP(A33,'#11 IH Results'!$A$2:$C$302,2,0),0)+IFERROR(VLOOKUP(A33,'#10 IH Results'!$A$2:$C$302,2,0),0)+IFERROR(VLOOKUP(A33,'#9 IH Results'!$A$2:$C$302,2,0),0)+IFERROR(VLOOKUP(A33,'#8 IH Results'!$A$2:$C$302,2,0),0)+IFERROR(VLOOKUP(A33,'#7 IH Results'!$A$2:$C$302,2,0),0)+IFERROR(VLOOKUP(A33,'#6 IH Results'!$A$2:$C$302,2,0),0)+IFERROR(VLOOKUP(A33,'#5 IH Results'!$A$2:$C$303,2,0),0)+IFERROR(VLOOKUP(A33,'#4 IH Results'!$A$2:$C$300,2,0),0)+IFERROR(VLOOKUP(A33,'#3 IH Results'!$A$2:$C$101,2,0),0)+IFERROR(VLOOKUP(A33,'#2 IH Results'!$A$2:$C$101,2,0),0)+IFERROR(VLOOKUP(A33,'#1 IH Results'!$A$2:$C$101,2,0),0)+IFERROR(VLOOKUP(A33,'#0 IH Results'!$A$3:$C$102,2,0),0)</f>
        <v>83.60707366</v>
      </c>
    </row>
    <row r="34">
      <c r="A34" s="5" t="s">
        <v>34</v>
      </c>
      <c r="B34" s="6">
        <f>3*IFERROR(VLOOKUP(A34,'#15 IH Results'!$A$2:$C$301,2,0),0)+2*IFERROR(VLOOKUP(A34,'#14 IH Results'!$A$2:$C$302,2,0),0)+1.5*IFERROR(VLOOKUP(A34,'#13 IH Results'!$A$2:$C$302,2,0),0)+1.25*IFERROR(VLOOKUP(A34,'#12 IH Results'!$A$2:$C$302,2,0),0)+1.25*IFERROR(VLOOKUP(A34,'#11 IH Results'!$A$2:$C$302,2,0),0)+IFERROR(VLOOKUP(A34,'#10 IH Results'!$A$2:$C$302,2,0),0)+IFERROR(VLOOKUP(A34,'#9 IH Results'!$A$2:$C$302,2,0),0)+IFERROR(VLOOKUP(A34,'#8 IH Results'!$A$2:$C$302,2,0),0)+IFERROR(VLOOKUP(A34,'#7 IH Results'!$A$2:$C$302,2,0),0)+IFERROR(VLOOKUP(A34,'#6 IH Results'!$A$2:$C$302,2,0),0)+IFERROR(VLOOKUP(A34,'#5 IH Results'!$A$2:$C$303,2,0),0)+IFERROR(VLOOKUP(A34,'#4 IH Results'!$A$2:$C$300,2,0),0)+IFERROR(VLOOKUP(A34,'#3 IH Results'!$A$2:$C$101,2,0),0)+IFERROR(VLOOKUP(A34,'#2 IH Results'!$A$2:$C$101,2,0),0)+IFERROR(VLOOKUP(A34,'#1 IH Results'!$A$2:$C$101,2,0),0)+IFERROR(VLOOKUP(A34,'#0 IH Results'!$A$3:$C$102,2,0),0)</f>
        <v>83.07346239</v>
      </c>
    </row>
    <row r="35">
      <c r="A35" s="5" t="s">
        <v>33</v>
      </c>
      <c r="B35" s="6">
        <f>3*IFERROR(VLOOKUP(A35,'#15 IH Results'!$A$2:$C$301,2,0),0)+2*IFERROR(VLOOKUP(A35,'#14 IH Results'!$A$2:$C$302,2,0),0)+1.5*IFERROR(VLOOKUP(A35,'#13 IH Results'!$A$2:$C$302,2,0),0)+1.25*IFERROR(VLOOKUP(A35,'#12 IH Results'!$A$2:$C$302,2,0),0)+1.25*IFERROR(VLOOKUP(A35,'#11 IH Results'!$A$2:$C$302,2,0),0)+IFERROR(VLOOKUP(A35,'#10 IH Results'!$A$2:$C$302,2,0),0)+IFERROR(VLOOKUP(A35,'#9 IH Results'!$A$2:$C$302,2,0),0)+IFERROR(VLOOKUP(A35,'#8 IH Results'!$A$2:$C$302,2,0),0)+IFERROR(VLOOKUP(A35,'#7 IH Results'!$A$2:$C$302,2,0),0)+IFERROR(VLOOKUP(A35,'#6 IH Results'!$A$2:$C$302,2,0),0)+IFERROR(VLOOKUP(A35,'#5 IH Results'!$A$2:$C$303,2,0),0)+IFERROR(VLOOKUP(A35,'#4 IH Results'!$A$2:$C$300,2,0),0)+IFERROR(VLOOKUP(A35,'#3 IH Results'!$A$2:$C$101,2,0),0)+IFERROR(VLOOKUP(A35,'#2 IH Results'!$A$2:$C$101,2,0),0)+IFERROR(VLOOKUP(A35,'#1 IH Results'!$A$2:$C$101,2,0),0)+IFERROR(VLOOKUP(A35,'#0 IH Results'!$A$3:$C$102,2,0),0)</f>
        <v>82.66011117</v>
      </c>
    </row>
    <row r="36">
      <c r="A36" s="5" t="s">
        <v>30</v>
      </c>
      <c r="B36" s="6">
        <f>3*IFERROR(VLOOKUP(A36,'#15 IH Results'!$A$2:$C$301,2,0),0)+2*IFERROR(VLOOKUP(A36,'#14 IH Results'!$A$2:$C$302,2,0),0)+1.5*IFERROR(VLOOKUP(A36,'#13 IH Results'!$A$2:$C$302,2,0),0)+1.25*IFERROR(VLOOKUP(A36,'#12 IH Results'!$A$2:$C$302,2,0),0)+1.25*IFERROR(VLOOKUP(A36,'#11 IH Results'!$A$2:$C$302,2,0),0)+IFERROR(VLOOKUP(A36,'#10 IH Results'!$A$2:$C$302,2,0),0)+IFERROR(VLOOKUP(A36,'#9 IH Results'!$A$2:$C$302,2,0),0)+IFERROR(VLOOKUP(A36,'#8 IH Results'!$A$2:$C$302,2,0),0)+IFERROR(VLOOKUP(A36,'#7 IH Results'!$A$2:$C$302,2,0),0)+IFERROR(VLOOKUP(A36,'#6 IH Results'!$A$2:$C$302,2,0),0)+IFERROR(VLOOKUP(A36,'#5 IH Results'!$A$2:$C$303,2,0),0)+IFERROR(VLOOKUP(A36,'#4 IH Results'!$A$2:$C$300,2,0),0)+IFERROR(VLOOKUP(A36,'#3 IH Results'!$A$2:$C$101,2,0),0)+IFERROR(VLOOKUP(A36,'#2 IH Results'!$A$2:$C$101,2,0),0)+IFERROR(VLOOKUP(A36,'#1 IH Results'!$A$2:$C$101,2,0),0)+IFERROR(VLOOKUP(A36,'#0 IH Results'!$A$3:$C$102,2,0),0)</f>
        <v>80.60126338</v>
      </c>
    </row>
    <row r="37">
      <c r="A37" s="5" t="s">
        <v>48</v>
      </c>
      <c r="B37" s="6">
        <f>3*IFERROR(VLOOKUP(A37,'#15 IH Results'!$A$2:$C$301,2,0),0)+2*IFERROR(VLOOKUP(A37,'#14 IH Results'!$A$2:$C$302,2,0),0)+1.5*IFERROR(VLOOKUP(A37,'#13 IH Results'!$A$2:$C$302,2,0),0)+1.25*IFERROR(VLOOKUP(A37,'#12 IH Results'!$A$2:$C$302,2,0),0)+1.25*IFERROR(VLOOKUP(A37,'#11 IH Results'!$A$2:$C$302,2,0),0)+IFERROR(VLOOKUP(A37,'#10 IH Results'!$A$2:$C$302,2,0),0)+IFERROR(VLOOKUP(A37,'#9 IH Results'!$A$2:$C$302,2,0),0)+IFERROR(VLOOKUP(A37,'#8 IH Results'!$A$2:$C$302,2,0),0)+IFERROR(VLOOKUP(A37,'#7 IH Results'!$A$2:$C$302,2,0),0)+IFERROR(VLOOKUP(A37,'#6 IH Results'!$A$2:$C$302,2,0),0)+IFERROR(VLOOKUP(A37,'#5 IH Results'!$A$2:$C$303,2,0),0)+IFERROR(VLOOKUP(A37,'#4 IH Results'!$A$2:$C$300,2,0),0)+IFERROR(VLOOKUP(A37,'#3 IH Results'!$A$2:$C$101,2,0),0)+IFERROR(VLOOKUP(A37,'#2 IH Results'!$A$2:$C$101,2,0),0)+IFERROR(VLOOKUP(A37,'#1 IH Results'!$A$2:$C$101,2,0),0)+IFERROR(VLOOKUP(A37,'#0 IH Results'!$A$3:$C$102,2,0),0)</f>
        <v>76.44827189</v>
      </c>
    </row>
    <row r="38">
      <c r="A38" s="5" t="s">
        <v>43</v>
      </c>
      <c r="B38" s="6">
        <f>3*IFERROR(VLOOKUP(A38,'#15 IH Results'!$A$2:$C$301,2,0),0)+2*IFERROR(VLOOKUP(A38,'#14 IH Results'!$A$2:$C$302,2,0),0)+1.5*IFERROR(VLOOKUP(A38,'#13 IH Results'!$A$2:$C$302,2,0),0)+1.25*IFERROR(VLOOKUP(A38,'#12 IH Results'!$A$2:$C$302,2,0),0)+1.25*IFERROR(VLOOKUP(A38,'#11 IH Results'!$A$2:$C$302,2,0),0)+IFERROR(VLOOKUP(A38,'#10 IH Results'!$A$2:$C$302,2,0),0)+IFERROR(VLOOKUP(A38,'#9 IH Results'!$A$2:$C$302,2,0),0)+IFERROR(VLOOKUP(A38,'#8 IH Results'!$A$2:$C$302,2,0),0)+IFERROR(VLOOKUP(A38,'#7 IH Results'!$A$2:$C$302,2,0),0)+IFERROR(VLOOKUP(A38,'#6 IH Results'!$A$2:$C$302,2,0),0)+IFERROR(VLOOKUP(A38,'#5 IH Results'!$A$2:$C$303,2,0),0)+IFERROR(VLOOKUP(A38,'#4 IH Results'!$A$2:$C$300,2,0),0)+IFERROR(VLOOKUP(A38,'#3 IH Results'!$A$2:$C$101,2,0),0)+IFERROR(VLOOKUP(A38,'#2 IH Results'!$A$2:$C$101,2,0),0)+IFERROR(VLOOKUP(A38,'#1 IH Results'!$A$2:$C$101,2,0),0)+IFERROR(VLOOKUP(A38,'#0 IH Results'!$A$3:$C$102,2,0),0)</f>
        <v>76.21436425</v>
      </c>
    </row>
    <row r="39">
      <c r="A39" s="5" t="s">
        <v>46</v>
      </c>
      <c r="B39" s="6">
        <f>3*IFERROR(VLOOKUP(A39,'#15 IH Results'!$A$2:$C$301,2,0),0)+2*IFERROR(VLOOKUP(A39,'#14 IH Results'!$A$2:$C$302,2,0),0)+1.5*IFERROR(VLOOKUP(A39,'#13 IH Results'!$A$2:$C$302,2,0),0)+1.25*IFERROR(VLOOKUP(A39,'#12 IH Results'!$A$2:$C$302,2,0),0)+1.25*IFERROR(VLOOKUP(A39,'#11 IH Results'!$A$2:$C$302,2,0),0)+IFERROR(VLOOKUP(A39,'#10 IH Results'!$A$2:$C$302,2,0),0)+IFERROR(VLOOKUP(A39,'#9 IH Results'!$A$2:$C$302,2,0),0)+IFERROR(VLOOKUP(A39,'#8 IH Results'!$A$2:$C$302,2,0),0)+IFERROR(VLOOKUP(A39,'#7 IH Results'!$A$2:$C$302,2,0),0)+IFERROR(VLOOKUP(A39,'#6 IH Results'!$A$2:$C$302,2,0),0)+IFERROR(VLOOKUP(A39,'#5 IH Results'!$A$2:$C$303,2,0),0)+IFERROR(VLOOKUP(A39,'#4 IH Results'!$A$2:$C$300,2,0),0)+IFERROR(VLOOKUP(A39,'#3 IH Results'!$A$2:$C$101,2,0),0)+IFERROR(VLOOKUP(A39,'#2 IH Results'!$A$2:$C$101,2,0),0)+IFERROR(VLOOKUP(A39,'#1 IH Results'!$A$2:$C$101,2,0),0)+IFERROR(VLOOKUP(A39,'#0 IH Results'!$A$3:$C$102,2,0),0)</f>
        <v>72.9871773</v>
      </c>
    </row>
    <row r="40">
      <c r="A40" s="5" t="s">
        <v>29</v>
      </c>
      <c r="B40" s="6">
        <f>3*IFERROR(VLOOKUP(A40,'#15 IH Results'!$A$2:$C$301,2,0),0)+2*IFERROR(VLOOKUP(A40,'#14 IH Results'!$A$2:$C$302,2,0),0)+1.5*IFERROR(VLOOKUP(A40,'#13 IH Results'!$A$2:$C$302,2,0),0)+1.25*IFERROR(VLOOKUP(A40,'#12 IH Results'!$A$2:$C$302,2,0),0)+1.25*IFERROR(VLOOKUP(A40,'#11 IH Results'!$A$2:$C$302,2,0),0)+IFERROR(VLOOKUP(A40,'#10 IH Results'!$A$2:$C$302,2,0),0)+IFERROR(VLOOKUP(A40,'#9 IH Results'!$A$2:$C$302,2,0),0)+IFERROR(VLOOKUP(A40,'#8 IH Results'!$A$2:$C$302,2,0),0)+IFERROR(VLOOKUP(A40,'#7 IH Results'!$A$2:$C$302,2,0),0)+IFERROR(VLOOKUP(A40,'#6 IH Results'!$A$2:$C$302,2,0),0)+IFERROR(VLOOKUP(A40,'#5 IH Results'!$A$2:$C$303,2,0),0)+IFERROR(VLOOKUP(A40,'#4 IH Results'!$A$2:$C$300,2,0),0)+IFERROR(VLOOKUP(A40,'#3 IH Results'!$A$2:$C$101,2,0),0)+IFERROR(VLOOKUP(A40,'#2 IH Results'!$A$2:$C$101,2,0),0)+IFERROR(VLOOKUP(A40,'#1 IH Results'!$A$2:$C$101,2,0),0)+IFERROR(VLOOKUP(A40,'#0 IH Results'!$A$3:$C$102,2,0),0)</f>
        <v>72.33044081</v>
      </c>
    </row>
    <row r="41">
      <c r="A41" s="5" t="s">
        <v>35</v>
      </c>
      <c r="B41" s="6">
        <f>3*IFERROR(VLOOKUP(A41,'#15 IH Results'!$A$2:$C$301,2,0),0)+2*IFERROR(VLOOKUP(A41,'#14 IH Results'!$A$2:$C$302,2,0),0)+1.5*IFERROR(VLOOKUP(A41,'#13 IH Results'!$A$2:$C$302,2,0),0)+1.25*IFERROR(VLOOKUP(A41,'#12 IH Results'!$A$2:$C$302,2,0),0)+1.25*IFERROR(VLOOKUP(A41,'#11 IH Results'!$A$2:$C$302,2,0),0)+IFERROR(VLOOKUP(A41,'#10 IH Results'!$A$2:$C$302,2,0),0)+IFERROR(VLOOKUP(A41,'#9 IH Results'!$A$2:$C$302,2,0),0)+IFERROR(VLOOKUP(A41,'#8 IH Results'!$A$2:$C$302,2,0),0)+IFERROR(VLOOKUP(A41,'#7 IH Results'!$A$2:$C$302,2,0),0)+IFERROR(VLOOKUP(A41,'#6 IH Results'!$A$2:$C$302,2,0),0)+IFERROR(VLOOKUP(A41,'#5 IH Results'!$A$2:$C$303,2,0),0)+IFERROR(VLOOKUP(A41,'#4 IH Results'!$A$2:$C$300,2,0),0)+IFERROR(VLOOKUP(A41,'#3 IH Results'!$A$2:$C$101,2,0),0)+IFERROR(VLOOKUP(A41,'#2 IH Results'!$A$2:$C$101,2,0),0)+IFERROR(VLOOKUP(A41,'#1 IH Results'!$A$2:$C$101,2,0),0)+IFERROR(VLOOKUP(A41,'#0 IH Results'!$A$3:$C$102,2,0),0)</f>
        <v>71.58608947</v>
      </c>
    </row>
    <row r="42">
      <c r="A42" s="5" t="s">
        <v>42</v>
      </c>
      <c r="B42" s="6">
        <f>3*IFERROR(VLOOKUP(A42,'#15 IH Results'!$A$2:$C$301,2,0),0)+2*IFERROR(VLOOKUP(A42,'#14 IH Results'!$A$2:$C$302,2,0),0)+1.5*IFERROR(VLOOKUP(A42,'#13 IH Results'!$A$2:$C$302,2,0),0)+1.25*IFERROR(VLOOKUP(A42,'#12 IH Results'!$A$2:$C$302,2,0),0)+1.25*IFERROR(VLOOKUP(A42,'#11 IH Results'!$A$2:$C$302,2,0),0)+IFERROR(VLOOKUP(A42,'#10 IH Results'!$A$2:$C$302,2,0),0)+IFERROR(VLOOKUP(A42,'#9 IH Results'!$A$2:$C$302,2,0),0)+IFERROR(VLOOKUP(A42,'#8 IH Results'!$A$2:$C$302,2,0),0)+IFERROR(VLOOKUP(A42,'#7 IH Results'!$A$2:$C$302,2,0),0)+IFERROR(VLOOKUP(A42,'#6 IH Results'!$A$2:$C$302,2,0),0)+IFERROR(VLOOKUP(A42,'#5 IH Results'!$A$2:$C$303,2,0),0)+IFERROR(VLOOKUP(A42,'#4 IH Results'!$A$2:$C$300,2,0),0)+IFERROR(VLOOKUP(A42,'#3 IH Results'!$A$2:$C$101,2,0),0)+IFERROR(VLOOKUP(A42,'#2 IH Results'!$A$2:$C$101,2,0),0)+IFERROR(VLOOKUP(A42,'#1 IH Results'!$A$2:$C$101,2,0),0)+IFERROR(VLOOKUP(A42,'#0 IH Results'!$A$3:$C$102,2,0),0)</f>
        <v>69.09956308</v>
      </c>
    </row>
    <row r="43">
      <c r="A43" s="5" t="s">
        <v>39</v>
      </c>
      <c r="B43" s="6">
        <f>3*IFERROR(VLOOKUP(A43,'#15 IH Results'!$A$2:$C$301,2,0),0)+2*IFERROR(VLOOKUP(A43,'#14 IH Results'!$A$2:$C$302,2,0),0)+1.5*IFERROR(VLOOKUP(A43,'#13 IH Results'!$A$2:$C$302,2,0),0)+1.25*IFERROR(VLOOKUP(A43,'#12 IH Results'!$A$2:$C$302,2,0),0)+1.25*IFERROR(VLOOKUP(A43,'#11 IH Results'!$A$2:$C$302,2,0),0)+IFERROR(VLOOKUP(A43,'#10 IH Results'!$A$2:$C$302,2,0),0)+IFERROR(VLOOKUP(A43,'#9 IH Results'!$A$2:$C$302,2,0),0)+IFERROR(VLOOKUP(A43,'#8 IH Results'!$A$2:$C$302,2,0),0)+IFERROR(VLOOKUP(A43,'#7 IH Results'!$A$2:$C$302,2,0),0)+IFERROR(VLOOKUP(A43,'#6 IH Results'!$A$2:$C$302,2,0),0)+IFERROR(VLOOKUP(A43,'#5 IH Results'!$A$2:$C$303,2,0),0)+IFERROR(VLOOKUP(A43,'#4 IH Results'!$A$2:$C$300,2,0),0)+IFERROR(VLOOKUP(A43,'#3 IH Results'!$A$2:$C$101,2,0),0)+IFERROR(VLOOKUP(A43,'#2 IH Results'!$A$2:$C$101,2,0),0)+IFERROR(VLOOKUP(A43,'#1 IH Results'!$A$2:$C$101,2,0),0)+IFERROR(VLOOKUP(A43,'#0 IH Results'!$A$3:$C$102,2,0),0)</f>
        <v>68.63111609</v>
      </c>
    </row>
    <row r="44">
      <c r="A44" s="5" t="s">
        <v>40</v>
      </c>
      <c r="B44" s="6">
        <f>3*IFERROR(VLOOKUP(A44,'#15 IH Results'!$A$2:$C$301,2,0),0)+2*IFERROR(VLOOKUP(A44,'#14 IH Results'!$A$2:$C$302,2,0),0)+1.5*IFERROR(VLOOKUP(A44,'#13 IH Results'!$A$2:$C$302,2,0),0)+1.25*IFERROR(VLOOKUP(A44,'#12 IH Results'!$A$2:$C$302,2,0),0)+1.25*IFERROR(VLOOKUP(A44,'#11 IH Results'!$A$2:$C$302,2,0),0)+IFERROR(VLOOKUP(A44,'#10 IH Results'!$A$2:$C$302,2,0),0)+IFERROR(VLOOKUP(A44,'#9 IH Results'!$A$2:$C$302,2,0),0)+IFERROR(VLOOKUP(A44,'#8 IH Results'!$A$2:$C$302,2,0),0)+IFERROR(VLOOKUP(A44,'#7 IH Results'!$A$2:$C$302,2,0),0)+IFERROR(VLOOKUP(A44,'#6 IH Results'!$A$2:$C$302,2,0),0)+IFERROR(VLOOKUP(A44,'#5 IH Results'!$A$2:$C$303,2,0),0)+IFERROR(VLOOKUP(A44,'#4 IH Results'!$A$2:$C$300,2,0),0)+IFERROR(VLOOKUP(A44,'#3 IH Results'!$A$2:$C$101,2,0),0)+IFERROR(VLOOKUP(A44,'#2 IH Results'!$A$2:$C$101,2,0),0)+IFERROR(VLOOKUP(A44,'#1 IH Results'!$A$2:$C$101,2,0),0)+IFERROR(VLOOKUP(A44,'#0 IH Results'!$A$3:$C$102,2,0),0)</f>
        <v>61.78419331</v>
      </c>
    </row>
    <row r="45">
      <c r="A45" s="5" t="s">
        <v>41</v>
      </c>
      <c r="B45" s="6">
        <f>3*IFERROR(VLOOKUP(A45,'#15 IH Results'!$A$2:$C$301,2,0),0)+2*IFERROR(VLOOKUP(A45,'#14 IH Results'!$A$2:$C$302,2,0),0)+1.5*IFERROR(VLOOKUP(A45,'#13 IH Results'!$A$2:$C$302,2,0),0)+1.25*IFERROR(VLOOKUP(A45,'#12 IH Results'!$A$2:$C$302,2,0),0)+1.25*IFERROR(VLOOKUP(A45,'#11 IH Results'!$A$2:$C$302,2,0),0)+IFERROR(VLOOKUP(A45,'#10 IH Results'!$A$2:$C$302,2,0),0)+IFERROR(VLOOKUP(A45,'#9 IH Results'!$A$2:$C$302,2,0),0)+IFERROR(VLOOKUP(A45,'#8 IH Results'!$A$2:$C$302,2,0),0)+IFERROR(VLOOKUP(A45,'#7 IH Results'!$A$2:$C$302,2,0),0)+IFERROR(VLOOKUP(A45,'#6 IH Results'!$A$2:$C$302,2,0),0)+IFERROR(VLOOKUP(A45,'#5 IH Results'!$A$2:$C$303,2,0),0)+IFERROR(VLOOKUP(A45,'#4 IH Results'!$A$2:$C$300,2,0),0)+IFERROR(VLOOKUP(A45,'#3 IH Results'!$A$2:$C$101,2,0),0)+IFERROR(VLOOKUP(A45,'#2 IH Results'!$A$2:$C$101,2,0),0)+IFERROR(VLOOKUP(A45,'#1 IH Results'!$A$2:$C$101,2,0),0)+IFERROR(VLOOKUP(A45,'#0 IH Results'!$A$3:$C$102,2,0),0)</f>
        <v>57.654638</v>
      </c>
    </row>
    <row r="46">
      <c r="A46" s="5" t="s">
        <v>56</v>
      </c>
      <c r="B46" s="6">
        <f>3*IFERROR(VLOOKUP(A46,'#15 IH Results'!$A$2:$C$301,2,0),0)+2*IFERROR(VLOOKUP(A46,'#14 IH Results'!$A$2:$C$302,2,0),0)+1.5*IFERROR(VLOOKUP(A46,'#13 IH Results'!$A$2:$C$302,2,0),0)+1.25*IFERROR(VLOOKUP(A46,'#12 IH Results'!$A$2:$C$302,2,0),0)+1.25*IFERROR(VLOOKUP(A46,'#11 IH Results'!$A$2:$C$302,2,0),0)+IFERROR(VLOOKUP(A46,'#10 IH Results'!$A$2:$C$302,2,0),0)+IFERROR(VLOOKUP(A46,'#9 IH Results'!$A$2:$C$302,2,0),0)+IFERROR(VLOOKUP(A46,'#8 IH Results'!$A$2:$C$302,2,0),0)+IFERROR(VLOOKUP(A46,'#7 IH Results'!$A$2:$C$302,2,0),0)+IFERROR(VLOOKUP(A46,'#6 IH Results'!$A$2:$C$302,2,0),0)+IFERROR(VLOOKUP(A46,'#5 IH Results'!$A$2:$C$303,2,0),0)+IFERROR(VLOOKUP(A46,'#4 IH Results'!$A$2:$C$300,2,0),0)+IFERROR(VLOOKUP(A46,'#3 IH Results'!$A$2:$C$101,2,0),0)+IFERROR(VLOOKUP(A46,'#2 IH Results'!$A$2:$C$101,2,0),0)+IFERROR(VLOOKUP(A46,'#1 IH Results'!$A$2:$C$101,2,0),0)+IFERROR(VLOOKUP(A46,'#0 IH Results'!$A$3:$C$102,2,0),0)</f>
        <v>56.32268702</v>
      </c>
    </row>
    <row r="47">
      <c r="A47" s="5" t="s">
        <v>50</v>
      </c>
      <c r="B47" s="6">
        <f>3*IFERROR(VLOOKUP(A47,'#15 IH Results'!$A$2:$C$301,2,0),0)+2*IFERROR(VLOOKUP(A47,'#14 IH Results'!$A$2:$C$302,2,0),0)+1.5*IFERROR(VLOOKUP(A47,'#13 IH Results'!$A$2:$C$302,2,0),0)+1.25*IFERROR(VLOOKUP(A47,'#12 IH Results'!$A$2:$C$302,2,0),0)+1.25*IFERROR(VLOOKUP(A47,'#11 IH Results'!$A$2:$C$302,2,0),0)+IFERROR(VLOOKUP(A47,'#10 IH Results'!$A$2:$C$302,2,0),0)+IFERROR(VLOOKUP(A47,'#9 IH Results'!$A$2:$C$302,2,0),0)+IFERROR(VLOOKUP(A47,'#8 IH Results'!$A$2:$C$302,2,0),0)+IFERROR(VLOOKUP(A47,'#7 IH Results'!$A$2:$C$302,2,0),0)+IFERROR(VLOOKUP(A47,'#6 IH Results'!$A$2:$C$302,2,0),0)+IFERROR(VLOOKUP(A47,'#5 IH Results'!$A$2:$C$303,2,0),0)+IFERROR(VLOOKUP(A47,'#4 IH Results'!$A$2:$C$300,2,0),0)+IFERROR(VLOOKUP(A47,'#3 IH Results'!$A$2:$C$101,2,0),0)+IFERROR(VLOOKUP(A47,'#2 IH Results'!$A$2:$C$101,2,0),0)+IFERROR(VLOOKUP(A47,'#1 IH Results'!$A$2:$C$101,2,0),0)+IFERROR(VLOOKUP(A47,'#0 IH Results'!$A$3:$C$102,2,0),0)</f>
        <v>54.44010911</v>
      </c>
    </row>
    <row r="48">
      <c r="A48" s="5" t="s">
        <v>55</v>
      </c>
      <c r="B48" s="6">
        <f>3*IFERROR(VLOOKUP(A48,'#15 IH Results'!$A$2:$C$301,2,0),0)+2*IFERROR(VLOOKUP(A48,'#14 IH Results'!$A$2:$C$302,2,0),0)+1.5*IFERROR(VLOOKUP(A48,'#13 IH Results'!$A$2:$C$302,2,0),0)+1.25*IFERROR(VLOOKUP(A48,'#12 IH Results'!$A$2:$C$302,2,0),0)+1.25*IFERROR(VLOOKUP(A48,'#11 IH Results'!$A$2:$C$302,2,0),0)+IFERROR(VLOOKUP(A48,'#10 IH Results'!$A$2:$C$302,2,0),0)+IFERROR(VLOOKUP(A48,'#9 IH Results'!$A$2:$C$302,2,0),0)+IFERROR(VLOOKUP(A48,'#8 IH Results'!$A$2:$C$302,2,0),0)+IFERROR(VLOOKUP(A48,'#7 IH Results'!$A$2:$C$302,2,0),0)+IFERROR(VLOOKUP(A48,'#6 IH Results'!$A$2:$C$302,2,0),0)+IFERROR(VLOOKUP(A48,'#5 IH Results'!$A$2:$C$303,2,0),0)+IFERROR(VLOOKUP(A48,'#4 IH Results'!$A$2:$C$300,2,0),0)+IFERROR(VLOOKUP(A48,'#3 IH Results'!$A$2:$C$101,2,0),0)+IFERROR(VLOOKUP(A48,'#2 IH Results'!$A$2:$C$101,2,0),0)+IFERROR(VLOOKUP(A48,'#1 IH Results'!$A$2:$C$101,2,0),0)+IFERROR(VLOOKUP(A48,'#0 IH Results'!$A$3:$C$102,2,0),0)</f>
        <v>51.27500163</v>
      </c>
    </row>
    <row r="49">
      <c r="A49" s="5" t="s">
        <v>49</v>
      </c>
      <c r="B49" s="6">
        <f>3*IFERROR(VLOOKUP(A49,'#15 IH Results'!$A$2:$C$301,2,0),0)+2*IFERROR(VLOOKUP(A49,'#14 IH Results'!$A$2:$C$302,2,0),0)+1.5*IFERROR(VLOOKUP(A49,'#13 IH Results'!$A$2:$C$302,2,0),0)+1.25*IFERROR(VLOOKUP(A49,'#12 IH Results'!$A$2:$C$302,2,0),0)+1.25*IFERROR(VLOOKUP(A49,'#11 IH Results'!$A$2:$C$302,2,0),0)+IFERROR(VLOOKUP(A49,'#10 IH Results'!$A$2:$C$302,2,0),0)+IFERROR(VLOOKUP(A49,'#9 IH Results'!$A$2:$C$302,2,0),0)+IFERROR(VLOOKUP(A49,'#8 IH Results'!$A$2:$C$302,2,0),0)+IFERROR(VLOOKUP(A49,'#7 IH Results'!$A$2:$C$302,2,0),0)+IFERROR(VLOOKUP(A49,'#6 IH Results'!$A$2:$C$302,2,0),0)+IFERROR(VLOOKUP(A49,'#5 IH Results'!$A$2:$C$303,2,0),0)+IFERROR(VLOOKUP(A49,'#4 IH Results'!$A$2:$C$300,2,0),0)+IFERROR(VLOOKUP(A49,'#3 IH Results'!$A$2:$C$101,2,0),0)+IFERROR(VLOOKUP(A49,'#2 IH Results'!$A$2:$C$101,2,0),0)+IFERROR(VLOOKUP(A49,'#1 IH Results'!$A$2:$C$101,2,0),0)+IFERROR(VLOOKUP(A49,'#0 IH Results'!$A$3:$C$102,2,0),0)</f>
        <v>51.18217852</v>
      </c>
    </row>
    <row r="50">
      <c r="A50" s="5" t="s">
        <v>47</v>
      </c>
      <c r="B50" s="6">
        <f>3*IFERROR(VLOOKUP(A50,'#15 IH Results'!$A$2:$C$301,2,0),0)+2*IFERROR(VLOOKUP(A50,'#14 IH Results'!$A$2:$C$302,2,0),0)+1.5*IFERROR(VLOOKUP(A50,'#13 IH Results'!$A$2:$C$302,2,0),0)+1.25*IFERROR(VLOOKUP(A50,'#12 IH Results'!$A$2:$C$302,2,0),0)+1.25*IFERROR(VLOOKUP(A50,'#11 IH Results'!$A$2:$C$302,2,0),0)+IFERROR(VLOOKUP(A50,'#10 IH Results'!$A$2:$C$302,2,0),0)+IFERROR(VLOOKUP(A50,'#9 IH Results'!$A$2:$C$302,2,0),0)+IFERROR(VLOOKUP(A50,'#8 IH Results'!$A$2:$C$302,2,0),0)+IFERROR(VLOOKUP(A50,'#7 IH Results'!$A$2:$C$302,2,0),0)+IFERROR(VLOOKUP(A50,'#6 IH Results'!$A$2:$C$302,2,0),0)+IFERROR(VLOOKUP(A50,'#5 IH Results'!$A$2:$C$303,2,0),0)+IFERROR(VLOOKUP(A50,'#4 IH Results'!$A$2:$C$300,2,0),0)+IFERROR(VLOOKUP(A50,'#3 IH Results'!$A$2:$C$101,2,0),0)+IFERROR(VLOOKUP(A50,'#2 IH Results'!$A$2:$C$101,2,0),0)+IFERROR(VLOOKUP(A50,'#1 IH Results'!$A$2:$C$101,2,0),0)+IFERROR(VLOOKUP(A50,'#0 IH Results'!$A$3:$C$102,2,0),0)</f>
        <v>49.73543312</v>
      </c>
    </row>
    <row r="51">
      <c r="A51" s="5" t="s">
        <v>52</v>
      </c>
      <c r="B51" s="6">
        <f>3*IFERROR(VLOOKUP(A51,'#15 IH Results'!$A$2:$C$301,2,0),0)+2*IFERROR(VLOOKUP(A51,'#14 IH Results'!$A$2:$C$302,2,0),0)+1.5*IFERROR(VLOOKUP(A51,'#13 IH Results'!$A$2:$C$302,2,0),0)+1.25*IFERROR(VLOOKUP(A51,'#12 IH Results'!$A$2:$C$302,2,0),0)+1.25*IFERROR(VLOOKUP(A51,'#11 IH Results'!$A$2:$C$302,2,0),0)+IFERROR(VLOOKUP(A51,'#10 IH Results'!$A$2:$C$302,2,0),0)+IFERROR(VLOOKUP(A51,'#9 IH Results'!$A$2:$C$302,2,0),0)+IFERROR(VLOOKUP(A51,'#8 IH Results'!$A$2:$C$302,2,0),0)+IFERROR(VLOOKUP(A51,'#7 IH Results'!$A$2:$C$302,2,0),0)+IFERROR(VLOOKUP(A51,'#6 IH Results'!$A$2:$C$302,2,0),0)+IFERROR(VLOOKUP(A51,'#5 IH Results'!$A$2:$C$303,2,0),0)+IFERROR(VLOOKUP(A51,'#4 IH Results'!$A$2:$C$300,2,0),0)+IFERROR(VLOOKUP(A51,'#3 IH Results'!$A$2:$C$101,2,0),0)+IFERROR(VLOOKUP(A51,'#2 IH Results'!$A$2:$C$101,2,0),0)+IFERROR(VLOOKUP(A51,'#1 IH Results'!$A$2:$C$101,2,0),0)+IFERROR(VLOOKUP(A51,'#0 IH Results'!$A$3:$C$102,2,0),0)</f>
        <v>48.53754014</v>
      </c>
    </row>
    <row r="52">
      <c r="A52" s="5" t="s">
        <v>53</v>
      </c>
      <c r="B52" s="6">
        <f>3*IFERROR(VLOOKUP(A52,'#15 IH Results'!$A$2:$C$301,2,0),0)+2*IFERROR(VLOOKUP(A52,'#14 IH Results'!$A$2:$C$302,2,0),0)+1.5*IFERROR(VLOOKUP(A52,'#13 IH Results'!$A$2:$C$302,2,0),0)+1.25*IFERROR(VLOOKUP(A52,'#12 IH Results'!$A$2:$C$302,2,0),0)+1.25*IFERROR(VLOOKUP(A52,'#11 IH Results'!$A$2:$C$302,2,0),0)+IFERROR(VLOOKUP(A52,'#10 IH Results'!$A$2:$C$302,2,0),0)+IFERROR(VLOOKUP(A52,'#9 IH Results'!$A$2:$C$302,2,0),0)+IFERROR(VLOOKUP(A52,'#8 IH Results'!$A$2:$C$302,2,0),0)+IFERROR(VLOOKUP(A52,'#7 IH Results'!$A$2:$C$302,2,0),0)+IFERROR(VLOOKUP(A52,'#6 IH Results'!$A$2:$C$302,2,0),0)+IFERROR(VLOOKUP(A52,'#5 IH Results'!$A$2:$C$303,2,0),0)+IFERROR(VLOOKUP(A52,'#4 IH Results'!$A$2:$C$300,2,0),0)+IFERROR(VLOOKUP(A52,'#3 IH Results'!$A$2:$C$101,2,0),0)+IFERROR(VLOOKUP(A52,'#2 IH Results'!$A$2:$C$101,2,0),0)+IFERROR(VLOOKUP(A52,'#1 IH Results'!$A$2:$C$101,2,0),0)+IFERROR(VLOOKUP(A52,'#0 IH Results'!$A$3:$C$102,2,0),0)</f>
        <v>48.42425374</v>
      </c>
    </row>
    <row r="53">
      <c r="A53" s="5" t="s">
        <v>36</v>
      </c>
      <c r="B53" s="6">
        <f>3*IFERROR(VLOOKUP(A53,'#15 IH Results'!$A$2:$C$301,2,0),0)+2*IFERROR(VLOOKUP(A53,'#14 IH Results'!$A$2:$C$302,2,0),0)+1.5*IFERROR(VLOOKUP(A53,'#13 IH Results'!$A$2:$C$302,2,0),0)+1.25*IFERROR(VLOOKUP(A53,'#12 IH Results'!$A$2:$C$302,2,0),0)+1.25*IFERROR(VLOOKUP(A53,'#11 IH Results'!$A$2:$C$302,2,0),0)+IFERROR(VLOOKUP(A53,'#10 IH Results'!$A$2:$C$302,2,0),0)+IFERROR(VLOOKUP(A53,'#9 IH Results'!$A$2:$C$302,2,0),0)+IFERROR(VLOOKUP(A53,'#8 IH Results'!$A$2:$C$302,2,0),0)+IFERROR(VLOOKUP(A53,'#7 IH Results'!$A$2:$C$302,2,0),0)+IFERROR(VLOOKUP(A53,'#6 IH Results'!$A$2:$C$302,2,0),0)+IFERROR(VLOOKUP(A53,'#5 IH Results'!$A$2:$C$303,2,0),0)+IFERROR(VLOOKUP(A53,'#4 IH Results'!$A$2:$C$300,2,0),0)+IFERROR(VLOOKUP(A53,'#3 IH Results'!$A$2:$C$101,2,0),0)+IFERROR(VLOOKUP(A53,'#2 IH Results'!$A$2:$C$101,2,0),0)+IFERROR(VLOOKUP(A53,'#1 IH Results'!$A$2:$C$101,2,0),0)+IFERROR(VLOOKUP(A53,'#0 IH Results'!$A$3:$C$102,2,0),0)</f>
        <v>46.64128682</v>
      </c>
    </row>
    <row r="54">
      <c r="A54" s="5" t="s">
        <v>63</v>
      </c>
      <c r="B54" s="6">
        <f>3*IFERROR(VLOOKUP(A54,'#15 IH Results'!$A$2:$C$301,2,0),0)+2*IFERROR(VLOOKUP(A54,'#14 IH Results'!$A$2:$C$302,2,0),0)+1.5*IFERROR(VLOOKUP(A54,'#13 IH Results'!$A$2:$C$302,2,0),0)+1.25*IFERROR(VLOOKUP(A54,'#12 IH Results'!$A$2:$C$302,2,0),0)+1.25*IFERROR(VLOOKUP(A54,'#11 IH Results'!$A$2:$C$302,2,0),0)+IFERROR(VLOOKUP(A54,'#10 IH Results'!$A$2:$C$302,2,0),0)+IFERROR(VLOOKUP(A54,'#9 IH Results'!$A$2:$C$302,2,0),0)+IFERROR(VLOOKUP(A54,'#8 IH Results'!$A$2:$C$302,2,0),0)+IFERROR(VLOOKUP(A54,'#7 IH Results'!$A$2:$C$302,2,0),0)+IFERROR(VLOOKUP(A54,'#6 IH Results'!$A$2:$C$302,2,0),0)+IFERROR(VLOOKUP(A54,'#5 IH Results'!$A$2:$C$303,2,0),0)+IFERROR(VLOOKUP(A54,'#4 IH Results'!$A$2:$C$300,2,0),0)+IFERROR(VLOOKUP(A54,'#3 IH Results'!$A$2:$C$101,2,0),0)+IFERROR(VLOOKUP(A54,'#2 IH Results'!$A$2:$C$101,2,0),0)+IFERROR(VLOOKUP(A54,'#1 IH Results'!$A$2:$C$101,2,0),0)+IFERROR(VLOOKUP(A54,'#0 IH Results'!$A$3:$C$102,2,0),0)</f>
        <v>44.68147596</v>
      </c>
    </row>
    <row r="55">
      <c r="A55" s="5" t="s">
        <v>54</v>
      </c>
      <c r="B55" s="6">
        <f>3*IFERROR(VLOOKUP(A55,'#15 IH Results'!$A$2:$C$301,2,0),0)+2*IFERROR(VLOOKUP(A55,'#14 IH Results'!$A$2:$C$302,2,0),0)+1.5*IFERROR(VLOOKUP(A55,'#13 IH Results'!$A$2:$C$302,2,0),0)+1.25*IFERROR(VLOOKUP(A55,'#12 IH Results'!$A$2:$C$302,2,0),0)+1.25*IFERROR(VLOOKUP(A55,'#11 IH Results'!$A$2:$C$302,2,0),0)+IFERROR(VLOOKUP(A55,'#10 IH Results'!$A$2:$C$302,2,0),0)+IFERROR(VLOOKUP(A55,'#9 IH Results'!$A$2:$C$302,2,0),0)+IFERROR(VLOOKUP(A55,'#8 IH Results'!$A$2:$C$302,2,0),0)+IFERROR(VLOOKUP(A55,'#7 IH Results'!$A$2:$C$302,2,0),0)+IFERROR(VLOOKUP(A55,'#6 IH Results'!$A$2:$C$302,2,0),0)+IFERROR(VLOOKUP(A55,'#5 IH Results'!$A$2:$C$303,2,0),0)+IFERROR(VLOOKUP(A55,'#4 IH Results'!$A$2:$C$300,2,0),0)+IFERROR(VLOOKUP(A55,'#3 IH Results'!$A$2:$C$101,2,0),0)+IFERROR(VLOOKUP(A55,'#2 IH Results'!$A$2:$C$101,2,0),0)+IFERROR(VLOOKUP(A55,'#1 IH Results'!$A$2:$C$101,2,0),0)+IFERROR(VLOOKUP(A55,'#0 IH Results'!$A$3:$C$102,2,0),0)</f>
        <v>43.79729622</v>
      </c>
    </row>
    <row r="56">
      <c r="A56" s="5" t="s">
        <v>62</v>
      </c>
      <c r="B56" s="6">
        <f>3*IFERROR(VLOOKUP(A56,'#15 IH Results'!$A$2:$C$301,2,0),0)+2*IFERROR(VLOOKUP(A56,'#14 IH Results'!$A$2:$C$302,2,0),0)+1.5*IFERROR(VLOOKUP(A56,'#13 IH Results'!$A$2:$C$302,2,0),0)+1.25*IFERROR(VLOOKUP(A56,'#12 IH Results'!$A$2:$C$302,2,0),0)+1.25*IFERROR(VLOOKUP(A56,'#11 IH Results'!$A$2:$C$302,2,0),0)+IFERROR(VLOOKUP(A56,'#10 IH Results'!$A$2:$C$302,2,0),0)+IFERROR(VLOOKUP(A56,'#9 IH Results'!$A$2:$C$302,2,0),0)+IFERROR(VLOOKUP(A56,'#8 IH Results'!$A$2:$C$302,2,0),0)+IFERROR(VLOOKUP(A56,'#7 IH Results'!$A$2:$C$302,2,0),0)+IFERROR(VLOOKUP(A56,'#6 IH Results'!$A$2:$C$302,2,0),0)+IFERROR(VLOOKUP(A56,'#5 IH Results'!$A$2:$C$303,2,0),0)+IFERROR(VLOOKUP(A56,'#4 IH Results'!$A$2:$C$300,2,0),0)+IFERROR(VLOOKUP(A56,'#3 IH Results'!$A$2:$C$101,2,0),0)+IFERROR(VLOOKUP(A56,'#2 IH Results'!$A$2:$C$101,2,0),0)+IFERROR(VLOOKUP(A56,'#1 IH Results'!$A$2:$C$101,2,0),0)+IFERROR(VLOOKUP(A56,'#0 IH Results'!$A$3:$C$102,2,0),0)</f>
        <v>43.5908448</v>
      </c>
    </row>
    <row r="57">
      <c r="A57" s="5" t="s">
        <v>64</v>
      </c>
      <c r="B57" s="6">
        <f>3*IFERROR(VLOOKUP(A57,'#15 IH Results'!$A$2:$C$301,2,0),0)+2*IFERROR(VLOOKUP(A57,'#14 IH Results'!$A$2:$C$302,2,0),0)+1.5*IFERROR(VLOOKUP(A57,'#13 IH Results'!$A$2:$C$302,2,0),0)+1.25*IFERROR(VLOOKUP(A57,'#12 IH Results'!$A$2:$C$302,2,0),0)+1.25*IFERROR(VLOOKUP(A57,'#11 IH Results'!$A$2:$C$302,2,0),0)+IFERROR(VLOOKUP(A57,'#10 IH Results'!$A$2:$C$302,2,0),0)+IFERROR(VLOOKUP(A57,'#9 IH Results'!$A$2:$C$302,2,0),0)+IFERROR(VLOOKUP(A57,'#8 IH Results'!$A$2:$C$302,2,0),0)+IFERROR(VLOOKUP(A57,'#7 IH Results'!$A$2:$C$302,2,0),0)+IFERROR(VLOOKUP(A57,'#6 IH Results'!$A$2:$C$302,2,0),0)+IFERROR(VLOOKUP(A57,'#5 IH Results'!$A$2:$C$303,2,0),0)+IFERROR(VLOOKUP(A57,'#4 IH Results'!$A$2:$C$300,2,0),0)+IFERROR(VLOOKUP(A57,'#3 IH Results'!$A$2:$C$101,2,0),0)+IFERROR(VLOOKUP(A57,'#2 IH Results'!$A$2:$C$101,2,0),0)+IFERROR(VLOOKUP(A57,'#1 IH Results'!$A$2:$C$101,2,0),0)+IFERROR(VLOOKUP(A57,'#0 IH Results'!$A$3:$C$102,2,0),0)</f>
        <v>42.85440082</v>
      </c>
    </row>
    <row r="58">
      <c r="A58" s="5" t="s">
        <v>60</v>
      </c>
      <c r="B58" s="6">
        <f>3*IFERROR(VLOOKUP(A58,'#15 IH Results'!$A$2:$C$301,2,0),0)+2*IFERROR(VLOOKUP(A58,'#14 IH Results'!$A$2:$C$302,2,0),0)+1.5*IFERROR(VLOOKUP(A58,'#13 IH Results'!$A$2:$C$302,2,0),0)+1.25*IFERROR(VLOOKUP(A58,'#12 IH Results'!$A$2:$C$302,2,0),0)+1.25*IFERROR(VLOOKUP(A58,'#11 IH Results'!$A$2:$C$302,2,0),0)+IFERROR(VLOOKUP(A58,'#10 IH Results'!$A$2:$C$302,2,0),0)+IFERROR(VLOOKUP(A58,'#9 IH Results'!$A$2:$C$302,2,0),0)+IFERROR(VLOOKUP(A58,'#8 IH Results'!$A$2:$C$302,2,0),0)+IFERROR(VLOOKUP(A58,'#7 IH Results'!$A$2:$C$302,2,0),0)+IFERROR(VLOOKUP(A58,'#6 IH Results'!$A$2:$C$302,2,0),0)+IFERROR(VLOOKUP(A58,'#5 IH Results'!$A$2:$C$303,2,0),0)+IFERROR(VLOOKUP(A58,'#4 IH Results'!$A$2:$C$300,2,0),0)+IFERROR(VLOOKUP(A58,'#3 IH Results'!$A$2:$C$101,2,0),0)+IFERROR(VLOOKUP(A58,'#2 IH Results'!$A$2:$C$101,2,0),0)+IFERROR(VLOOKUP(A58,'#1 IH Results'!$A$2:$C$101,2,0),0)+IFERROR(VLOOKUP(A58,'#0 IH Results'!$A$3:$C$102,2,0),0)</f>
        <v>41.82146528</v>
      </c>
    </row>
    <row r="59">
      <c r="A59" s="5" t="s">
        <v>61</v>
      </c>
      <c r="B59" s="6">
        <f>3*IFERROR(VLOOKUP(A59,'#15 IH Results'!$A$2:$C$301,2,0),0)+2*IFERROR(VLOOKUP(A59,'#14 IH Results'!$A$2:$C$302,2,0),0)+1.5*IFERROR(VLOOKUP(A59,'#13 IH Results'!$A$2:$C$302,2,0),0)+1.25*IFERROR(VLOOKUP(A59,'#12 IH Results'!$A$2:$C$302,2,0),0)+1.25*IFERROR(VLOOKUP(A59,'#11 IH Results'!$A$2:$C$302,2,0),0)+IFERROR(VLOOKUP(A59,'#10 IH Results'!$A$2:$C$302,2,0),0)+IFERROR(VLOOKUP(A59,'#9 IH Results'!$A$2:$C$302,2,0),0)+IFERROR(VLOOKUP(A59,'#8 IH Results'!$A$2:$C$302,2,0),0)+IFERROR(VLOOKUP(A59,'#7 IH Results'!$A$2:$C$302,2,0),0)+IFERROR(VLOOKUP(A59,'#6 IH Results'!$A$2:$C$302,2,0),0)+IFERROR(VLOOKUP(A59,'#5 IH Results'!$A$2:$C$303,2,0),0)+IFERROR(VLOOKUP(A59,'#4 IH Results'!$A$2:$C$300,2,0),0)+IFERROR(VLOOKUP(A59,'#3 IH Results'!$A$2:$C$101,2,0),0)+IFERROR(VLOOKUP(A59,'#2 IH Results'!$A$2:$C$101,2,0),0)+IFERROR(VLOOKUP(A59,'#1 IH Results'!$A$2:$C$101,2,0),0)+IFERROR(VLOOKUP(A59,'#0 IH Results'!$A$3:$C$102,2,0),0)</f>
        <v>40.41109217</v>
      </c>
    </row>
    <row r="60">
      <c r="A60" s="5" t="s">
        <v>69</v>
      </c>
      <c r="B60" s="6">
        <f>3*IFERROR(VLOOKUP(A60,'#15 IH Results'!$A$2:$C$301,2,0),0)+2*IFERROR(VLOOKUP(A60,'#14 IH Results'!$A$2:$C$302,2,0),0)+1.5*IFERROR(VLOOKUP(A60,'#13 IH Results'!$A$2:$C$302,2,0),0)+1.25*IFERROR(VLOOKUP(A60,'#12 IH Results'!$A$2:$C$302,2,0),0)+1.25*IFERROR(VLOOKUP(A60,'#11 IH Results'!$A$2:$C$302,2,0),0)+IFERROR(VLOOKUP(A60,'#10 IH Results'!$A$2:$C$302,2,0),0)+IFERROR(VLOOKUP(A60,'#9 IH Results'!$A$2:$C$302,2,0),0)+IFERROR(VLOOKUP(A60,'#8 IH Results'!$A$2:$C$302,2,0),0)+IFERROR(VLOOKUP(A60,'#7 IH Results'!$A$2:$C$302,2,0),0)+IFERROR(VLOOKUP(A60,'#6 IH Results'!$A$2:$C$302,2,0),0)+IFERROR(VLOOKUP(A60,'#5 IH Results'!$A$2:$C$303,2,0),0)+IFERROR(VLOOKUP(A60,'#4 IH Results'!$A$2:$C$300,2,0),0)+IFERROR(VLOOKUP(A60,'#3 IH Results'!$A$2:$C$101,2,0),0)+IFERROR(VLOOKUP(A60,'#2 IH Results'!$A$2:$C$101,2,0),0)+IFERROR(VLOOKUP(A60,'#1 IH Results'!$A$2:$C$101,2,0),0)+IFERROR(VLOOKUP(A60,'#0 IH Results'!$A$3:$C$102,2,0),0)</f>
        <v>39.85997817</v>
      </c>
    </row>
    <row r="61">
      <c r="A61" s="5" t="s">
        <v>59</v>
      </c>
      <c r="B61" s="6">
        <f>3*IFERROR(VLOOKUP(A61,'#15 IH Results'!$A$2:$C$301,2,0),0)+2*IFERROR(VLOOKUP(A61,'#14 IH Results'!$A$2:$C$302,2,0),0)+1.5*IFERROR(VLOOKUP(A61,'#13 IH Results'!$A$2:$C$302,2,0),0)+1.25*IFERROR(VLOOKUP(A61,'#12 IH Results'!$A$2:$C$302,2,0),0)+1.25*IFERROR(VLOOKUP(A61,'#11 IH Results'!$A$2:$C$302,2,0),0)+IFERROR(VLOOKUP(A61,'#10 IH Results'!$A$2:$C$302,2,0),0)+IFERROR(VLOOKUP(A61,'#9 IH Results'!$A$2:$C$302,2,0),0)+IFERROR(VLOOKUP(A61,'#8 IH Results'!$A$2:$C$302,2,0),0)+IFERROR(VLOOKUP(A61,'#7 IH Results'!$A$2:$C$302,2,0),0)+IFERROR(VLOOKUP(A61,'#6 IH Results'!$A$2:$C$302,2,0),0)+IFERROR(VLOOKUP(A61,'#5 IH Results'!$A$2:$C$303,2,0),0)+IFERROR(VLOOKUP(A61,'#4 IH Results'!$A$2:$C$300,2,0),0)+IFERROR(VLOOKUP(A61,'#3 IH Results'!$A$2:$C$101,2,0),0)+IFERROR(VLOOKUP(A61,'#2 IH Results'!$A$2:$C$101,2,0),0)+IFERROR(VLOOKUP(A61,'#1 IH Results'!$A$2:$C$101,2,0),0)+IFERROR(VLOOKUP(A61,'#0 IH Results'!$A$3:$C$102,2,0),0)</f>
        <v>39.15107495</v>
      </c>
    </row>
    <row r="62">
      <c r="A62" s="5" t="s">
        <v>66</v>
      </c>
      <c r="B62" s="6">
        <f>3*IFERROR(VLOOKUP(A62,'#15 IH Results'!$A$2:$C$301,2,0),0)+2*IFERROR(VLOOKUP(A62,'#14 IH Results'!$A$2:$C$302,2,0),0)+1.5*IFERROR(VLOOKUP(A62,'#13 IH Results'!$A$2:$C$302,2,0),0)+1.25*IFERROR(VLOOKUP(A62,'#12 IH Results'!$A$2:$C$302,2,0),0)+1.25*IFERROR(VLOOKUP(A62,'#11 IH Results'!$A$2:$C$302,2,0),0)+IFERROR(VLOOKUP(A62,'#10 IH Results'!$A$2:$C$302,2,0),0)+IFERROR(VLOOKUP(A62,'#9 IH Results'!$A$2:$C$302,2,0),0)+IFERROR(VLOOKUP(A62,'#8 IH Results'!$A$2:$C$302,2,0),0)+IFERROR(VLOOKUP(A62,'#7 IH Results'!$A$2:$C$302,2,0),0)+IFERROR(VLOOKUP(A62,'#6 IH Results'!$A$2:$C$302,2,0),0)+IFERROR(VLOOKUP(A62,'#5 IH Results'!$A$2:$C$303,2,0),0)+IFERROR(VLOOKUP(A62,'#4 IH Results'!$A$2:$C$300,2,0),0)+IFERROR(VLOOKUP(A62,'#3 IH Results'!$A$2:$C$101,2,0),0)+IFERROR(VLOOKUP(A62,'#2 IH Results'!$A$2:$C$101,2,0),0)+IFERROR(VLOOKUP(A62,'#1 IH Results'!$A$2:$C$101,2,0),0)+IFERROR(VLOOKUP(A62,'#0 IH Results'!$A$3:$C$102,2,0),0)</f>
        <v>38.36587729</v>
      </c>
    </row>
    <row r="63">
      <c r="A63" s="9" t="s">
        <v>51</v>
      </c>
      <c r="B63" s="6">
        <f>3*IFERROR(VLOOKUP(A63,'#15 IH Results'!$A$2:$C$301,2,0),0)+2*IFERROR(VLOOKUP(A63,'#14 IH Results'!$A$2:$C$302,2,0),0)+1.5*IFERROR(VLOOKUP(A63,'#13 IH Results'!$A$2:$C$302,2,0),0)+1.25*IFERROR(VLOOKUP(A63,'#12 IH Results'!$A$2:$C$302,2,0),0)+1.25*IFERROR(VLOOKUP(A63,'#11 IH Results'!$A$2:$C$302,2,0),0)+IFERROR(VLOOKUP(A63,'#10 IH Results'!$A$2:$C$302,2,0),0)+IFERROR(VLOOKUP(A63,'#9 IH Results'!$A$2:$C$302,2,0),0)+IFERROR(VLOOKUP(A63,'#8 IH Results'!$A$2:$C$302,2,0),0)+IFERROR(VLOOKUP(A63,'#7 IH Results'!$A$2:$C$302,2,0),0)+IFERROR(VLOOKUP(A63,'#6 IH Results'!$A$2:$C$302,2,0),0)+IFERROR(VLOOKUP(A63,'#5 IH Results'!$A$2:$C$303,2,0),0)+IFERROR(VLOOKUP(A63,'#4 IH Results'!$A$2:$C$300,2,0),0)+IFERROR(VLOOKUP(A63,'#3 IH Results'!$A$2:$C$101,2,0),0)+IFERROR(VLOOKUP(A63,'#2 IH Results'!$A$2:$C$101,2,0),0)+IFERROR(VLOOKUP(A63,'#1 IH Results'!$A$2:$C$101,2,0),0)+IFERROR(VLOOKUP(A63,'#0 IH Results'!$A$3:$C$102,2,0),0)</f>
        <v>38.26524094</v>
      </c>
    </row>
    <row r="64">
      <c r="A64" s="5" t="s">
        <v>57</v>
      </c>
      <c r="B64" s="6">
        <f>3*IFERROR(VLOOKUP(A64,'#15 IH Results'!$A$2:$C$301,2,0),0)+2*IFERROR(VLOOKUP(A64,'#14 IH Results'!$A$2:$C$302,2,0),0)+1.5*IFERROR(VLOOKUP(A64,'#13 IH Results'!$A$2:$C$302,2,0),0)+1.25*IFERROR(VLOOKUP(A64,'#12 IH Results'!$A$2:$C$302,2,0),0)+1.25*IFERROR(VLOOKUP(A64,'#11 IH Results'!$A$2:$C$302,2,0),0)+IFERROR(VLOOKUP(A64,'#10 IH Results'!$A$2:$C$302,2,0),0)+IFERROR(VLOOKUP(A64,'#9 IH Results'!$A$2:$C$302,2,0),0)+IFERROR(VLOOKUP(A64,'#8 IH Results'!$A$2:$C$302,2,0),0)+IFERROR(VLOOKUP(A64,'#7 IH Results'!$A$2:$C$302,2,0),0)+IFERROR(VLOOKUP(A64,'#6 IH Results'!$A$2:$C$302,2,0),0)+IFERROR(VLOOKUP(A64,'#5 IH Results'!$A$2:$C$303,2,0),0)+IFERROR(VLOOKUP(A64,'#4 IH Results'!$A$2:$C$300,2,0),0)+IFERROR(VLOOKUP(A64,'#3 IH Results'!$A$2:$C$101,2,0),0)+IFERROR(VLOOKUP(A64,'#2 IH Results'!$A$2:$C$101,2,0),0)+IFERROR(VLOOKUP(A64,'#1 IH Results'!$A$2:$C$101,2,0),0)+IFERROR(VLOOKUP(A64,'#0 IH Results'!$A$3:$C$102,2,0),0)</f>
        <v>37.28418272</v>
      </c>
    </row>
    <row r="65">
      <c r="A65" s="5" t="s">
        <v>68</v>
      </c>
      <c r="B65" s="6">
        <f>3*IFERROR(VLOOKUP(A65,'#15 IH Results'!$A$2:$C$301,2,0),0)+2*IFERROR(VLOOKUP(A65,'#14 IH Results'!$A$2:$C$302,2,0),0)+1.5*IFERROR(VLOOKUP(A65,'#13 IH Results'!$A$2:$C$302,2,0),0)+1.25*IFERROR(VLOOKUP(A65,'#12 IH Results'!$A$2:$C$302,2,0),0)+1.25*IFERROR(VLOOKUP(A65,'#11 IH Results'!$A$2:$C$302,2,0),0)+IFERROR(VLOOKUP(A65,'#10 IH Results'!$A$2:$C$302,2,0),0)+IFERROR(VLOOKUP(A65,'#9 IH Results'!$A$2:$C$302,2,0),0)+IFERROR(VLOOKUP(A65,'#8 IH Results'!$A$2:$C$302,2,0),0)+IFERROR(VLOOKUP(A65,'#7 IH Results'!$A$2:$C$302,2,0),0)+IFERROR(VLOOKUP(A65,'#6 IH Results'!$A$2:$C$302,2,0),0)+IFERROR(VLOOKUP(A65,'#5 IH Results'!$A$2:$C$303,2,0),0)+IFERROR(VLOOKUP(A65,'#4 IH Results'!$A$2:$C$300,2,0),0)+IFERROR(VLOOKUP(A65,'#3 IH Results'!$A$2:$C$101,2,0),0)+IFERROR(VLOOKUP(A65,'#2 IH Results'!$A$2:$C$101,2,0),0)+IFERROR(VLOOKUP(A65,'#1 IH Results'!$A$2:$C$101,2,0),0)+IFERROR(VLOOKUP(A65,'#0 IH Results'!$A$3:$C$102,2,0),0)</f>
        <v>37.14956445</v>
      </c>
    </row>
    <row r="66">
      <c r="A66" s="5" t="s">
        <v>65</v>
      </c>
      <c r="B66" s="6">
        <f>3*IFERROR(VLOOKUP(A66,'#15 IH Results'!$A$2:$C$301,2,0),0)+2*IFERROR(VLOOKUP(A66,'#14 IH Results'!$A$2:$C$302,2,0),0)+1.5*IFERROR(VLOOKUP(A66,'#13 IH Results'!$A$2:$C$302,2,0),0)+1.25*IFERROR(VLOOKUP(A66,'#12 IH Results'!$A$2:$C$302,2,0),0)+1.25*IFERROR(VLOOKUP(A66,'#11 IH Results'!$A$2:$C$302,2,0),0)+IFERROR(VLOOKUP(A66,'#10 IH Results'!$A$2:$C$302,2,0),0)+IFERROR(VLOOKUP(A66,'#9 IH Results'!$A$2:$C$302,2,0),0)+IFERROR(VLOOKUP(A66,'#8 IH Results'!$A$2:$C$302,2,0),0)+IFERROR(VLOOKUP(A66,'#7 IH Results'!$A$2:$C$302,2,0),0)+IFERROR(VLOOKUP(A66,'#6 IH Results'!$A$2:$C$302,2,0),0)+IFERROR(VLOOKUP(A66,'#5 IH Results'!$A$2:$C$303,2,0),0)+IFERROR(VLOOKUP(A66,'#4 IH Results'!$A$2:$C$300,2,0),0)+IFERROR(VLOOKUP(A66,'#3 IH Results'!$A$2:$C$101,2,0),0)+IFERROR(VLOOKUP(A66,'#2 IH Results'!$A$2:$C$101,2,0),0)+IFERROR(VLOOKUP(A66,'#1 IH Results'!$A$2:$C$101,2,0),0)+IFERROR(VLOOKUP(A66,'#0 IH Results'!$A$3:$C$102,2,0),0)</f>
        <v>36.18578796</v>
      </c>
    </row>
    <row r="67">
      <c r="A67" s="5" t="s">
        <v>74</v>
      </c>
      <c r="B67" s="6">
        <f>3*IFERROR(VLOOKUP(A67,'#15 IH Results'!$A$2:$C$301,2,0),0)+2*IFERROR(VLOOKUP(A67,'#14 IH Results'!$A$2:$C$302,2,0),0)+1.5*IFERROR(VLOOKUP(A67,'#13 IH Results'!$A$2:$C$302,2,0),0)+1.25*IFERROR(VLOOKUP(A67,'#12 IH Results'!$A$2:$C$302,2,0),0)+1.25*IFERROR(VLOOKUP(A67,'#11 IH Results'!$A$2:$C$302,2,0),0)+IFERROR(VLOOKUP(A67,'#10 IH Results'!$A$2:$C$302,2,0),0)+IFERROR(VLOOKUP(A67,'#9 IH Results'!$A$2:$C$302,2,0),0)+IFERROR(VLOOKUP(A67,'#8 IH Results'!$A$2:$C$302,2,0),0)+IFERROR(VLOOKUP(A67,'#7 IH Results'!$A$2:$C$302,2,0),0)+IFERROR(VLOOKUP(A67,'#6 IH Results'!$A$2:$C$302,2,0),0)+IFERROR(VLOOKUP(A67,'#5 IH Results'!$A$2:$C$303,2,0),0)+IFERROR(VLOOKUP(A67,'#4 IH Results'!$A$2:$C$300,2,0),0)+IFERROR(VLOOKUP(A67,'#3 IH Results'!$A$2:$C$101,2,0),0)+IFERROR(VLOOKUP(A67,'#2 IH Results'!$A$2:$C$101,2,0),0)+IFERROR(VLOOKUP(A67,'#1 IH Results'!$A$2:$C$101,2,0),0)+IFERROR(VLOOKUP(A67,'#0 IH Results'!$A$3:$C$102,2,0),0)</f>
        <v>35.84468706</v>
      </c>
    </row>
    <row r="68">
      <c r="A68" s="5" t="s">
        <v>70</v>
      </c>
      <c r="B68" s="6">
        <f>3*IFERROR(VLOOKUP(A68,'#15 IH Results'!$A$2:$C$301,2,0),0)+2*IFERROR(VLOOKUP(A68,'#14 IH Results'!$A$2:$C$302,2,0),0)+1.5*IFERROR(VLOOKUP(A68,'#13 IH Results'!$A$2:$C$302,2,0),0)+1.25*IFERROR(VLOOKUP(A68,'#12 IH Results'!$A$2:$C$302,2,0),0)+1.25*IFERROR(VLOOKUP(A68,'#11 IH Results'!$A$2:$C$302,2,0),0)+IFERROR(VLOOKUP(A68,'#10 IH Results'!$A$2:$C$302,2,0),0)+IFERROR(VLOOKUP(A68,'#9 IH Results'!$A$2:$C$302,2,0),0)+IFERROR(VLOOKUP(A68,'#8 IH Results'!$A$2:$C$302,2,0),0)+IFERROR(VLOOKUP(A68,'#7 IH Results'!$A$2:$C$302,2,0),0)+IFERROR(VLOOKUP(A68,'#6 IH Results'!$A$2:$C$302,2,0),0)+IFERROR(VLOOKUP(A68,'#5 IH Results'!$A$2:$C$303,2,0),0)+IFERROR(VLOOKUP(A68,'#4 IH Results'!$A$2:$C$300,2,0),0)+IFERROR(VLOOKUP(A68,'#3 IH Results'!$A$2:$C$101,2,0),0)+IFERROR(VLOOKUP(A68,'#2 IH Results'!$A$2:$C$101,2,0),0)+IFERROR(VLOOKUP(A68,'#1 IH Results'!$A$2:$C$101,2,0),0)+IFERROR(VLOOKUP(A68,'#0 IH Results'!$A$3:$C$102,2,0),0)</f>
        <v>34.20929476</v>
      </c>
    </row>
    <row r="69">
      <c r="A69" s="5" t="s">
        <v>45</v>
      </c>
      <c r="B69" s="6">
        <f>3*IFERROR(VLOOKUP(A69,'#15 IH Results'!$A$2:$C$301,2,0),0)+2*IFERROR(VLOOKUP(A69,'#14 IH Results'!$A$2:$C$302,2,0),0)+1.5*IFERROR(VLOOKUP(A69,'#13 IH Results'!$A$2:$C$302,2,0),0)+1.25*IFERROR(VLOOKUP(A69,'#12 IH Results'!$A$2:$C$302,2,0),0)+1.25*IFERROR(VLOOKUP(A69,'#11 IH Results'!$A$2:$C$302,2,0),0)+IFERROR(VLOOKUP(A69,'#10 IH Results'!$A$2:$C$302,2,0),0)+IFERROR(VLOOKUP(A69,'#9 IH Results'!$A$2:$C$302,2,0),0)+IFERROR(VLOOKUP(A69,'#8 IH Results'!$A$2:$C$302,2,0),0)+IFERROR(VLOOKUP(A69,'#7 IH Results'!$A$2:$C$302,2,0),0)+IFERROR(VLOOKUP(A69,'#6 IH Results'!$A$2:$C$302,2,0),0)+IFERROR(VLOOKUP(A69,'#5 IH Results'!$A$2:$C$303,2,0),0)+IFERROR(VLOOKUP(A69,'#4 IH Results'!$A$2:$C$300,2,0),0)+IFERROR(VLOOKUP(A69,'#3 IH Results'!$A$2:$C$101,2,0),0)+IFERROR(VLOOKUP(A69,'#2 IH Results'!$A$2:$C$101,2,0),0)+IFERROR(VLOOKUP(A69,'#1 IH Results'!$A$2:$C$101,2,0),0)+IFERROR(VLOOKUP(A69,'#0 IH Results'!$A$3:$C$102,2,0),0)</f>
        <v>32.59446148</v>
      </c>
    </row>
    <row r="70">
      <c r="A70" s="5" t="s">
        <v>71</v>
      </c>
      <c r="B70" s="6">
        <f>3*IFERROR(VLOOKUP(A70,'#15 IH Results'!$A$2:$C$301,2,0),0)+2*IFERROR(VLOOKUP(A70,'#14 IH Results'!$A$2:$C$302,2,0),0)+1.5*IFERROR(VLOOKUP(A70,'#13 IH Results'!$A$2:$C$302,2,0),0)+1.25*IFERROR(VLOOKUP(A70,'#12 IH Results'!$A$2:$C$302,2,0),0)+1.25*IFERROR(VLOOKUP(A70,'#11 IH Results'!$A$2:$C$302,2,0),0)+IFERROR(VLOOKUP(A70,'#10 IH Results'!$A$2:$C$302,2,0),0)+IFERROR(VLOOKUP(A70,'#9 IH Results'!$A$2:$C$302,2,0),0)+IFERROR(VLOOKUP(A70,'#8 IH Results'!$A$2:$C$302,2,0),0)+IFERROR(VLOOKUP(A70,'#7 IH Results'!$A$2:$C$302,2,0),0)+IFERROR(VLOOKUP(A70,'#6 IH Results'!$A$2:$C$302,2,0),0)+IFERROR(VLOOKUP(A70,'#5 IH Results'!$A$2:$C$303,2,0),0)+IFERROR(VLOOKUP(A70,'#4 IH Results'!$A$2:$C$300,2,0),0)+IFERROR(VLOOKUP(A70,'#3 IH Results'!$A$2:$C$101,2,0),0)+IFERROR(VLOOKUP(A70,'#2 IH Results'!$A$2:$C$101,2,0),0)+IFERROR(VLOOKUP(A70,'#1 IH Results'!$A$2:$C$101,2,0),0)+IFERROR(VLOOKUP(A70,'#0 IH Results'!$A$3:$C$102,2,0),0)</f>
        <v>32.37337018</v>
      </c>
    </row>
    <row r="71">
      <c r="A71" s="5" t="s">
        <v>73</v>
      </c>
      <c r="B71" s="6">
        <f>3*IFERROR(VLOOKUP(A71,'#15 IH Results'!$A$2:$C$301,2,0),0)+2*IFERROR(VLOOKUP(A71,'#14 IH Results'!$A$2:$C$302,2,0),0)+1.5*IFERROR(VLOOKUP(A71,'#13 IH Results'!$A$2:$C$302,2,0),0)+1.25*IFERROR(VLOOKUP(A71,'#12 IH Results'!$A$2:$C$302,2,0),0)+1.25*IFERROR(VLOOKUP(A71,'#11 IH Results'!$A$2:$C$302,2,0),0)+IFERROR(VLOOKUP(A71,'#10 IH Results'!$A$2:$C$302,2,0),0)+IFERROR(VLOOKUP(A71,'#9 IH Results'!$A$2:$C$302,2,0),0)+IFERROR(VLOOKUP(A71,'#8 IH Results'!$A$2:$C$302,2,0),0)+IFERROR(VLOOKUP(A71,'#7 IH Results'!$A$2:$C$302,2,0),0)+IFERROR(VLOOKUP(A71,'#6 IH Results'!$A$2:$C$302,2,0),0)+IFERROR(VLOOKUP(A71,'#5 IH Results'!$A$2:$C$303,2,0),0)+IFERROR(VLOOKUP(A71,'#4 IH Results'!$A$2:$C$300,2,0),0)+IFERROR(VLOOKUP(A71,'#3 IH Results'!$A$2:$C$101,2,0),0)+IFERROR(VLOOKUP(A71,'#2 IH Results'!$A$2:$C$101,2,0),0)+IFERROR(VLOOKUP(A71,'#1 IH Results'!$A$2:$C$101,2,0),0)+IFERROR(VLOOKUP(A71,'#0 IH Results'!$A$3:$C$102,2,0),0)</f>
        <v>31.78030006</v>
      </c>
    </row>
    <row r="72">
      <c r="A72" s="5" t="s">
        <v>72</v>
      </c>
      <c r="B72" s="6">
        <f>3*IFERROR(VLOOKUP(A72,'#15 IH Results'!$A$2:$C$301,2,0),0)+2*IFERROR(VLOOKUP(A72,'#14 IH Results'!$A$2:$C$302,2,0),0)+1.5*IFERROR(VLOOKUP(A72,'#13 IH Results'!$A$2:$C$302,2,0),0)+1.25*IFERROR(VLOOKUP(A72,'#12 IH Results'!$A$2:$C$302,2,0),0)+1.25*IFERROR(VLOOKUP(A72,'#11 IH Results'!$A$2:$C$302,2,0),0)+IFERROR(VLOOKUP(A72,'#10 IH Results'!$A$2:$C$302,2,0),0)+IFERROR(VLOOKUP(A72,'#9 IH Results'!$A$2:$C$302,2,0),0)+IFERROR(VLOOKUP(A72,'#8 IH Results'!$A$2:$C$302,2,0),0)+IFERROR(VLOOKUP(A72,'#7 IH Results'!$A$2:$C$302,2,0),0)+IFERROR(VLOOKUP(A72,'#6 IH Results'!$A$2:$C$302,2,0),0)+IFERROR(VLOOKUP(A72,'#5 IH Results'!$A$2:$C$303,2,0),0)+IFERROR(VLOOKUP(A72,'#4 IH Results'!$A$2:$C$300,2,0),0)+IFERROR(VLOOKUP(A72,'#3 IH Results'!$A$2:$C$101,2,0),0)+IFERROR(VLOOKUP(A72,'#2 IH Results'!$A$2:$C$101,2,0),0)+IFERROR(VLOOKUP(A72,'#1 IH Results'!$A$2:$C$101,2,0),0)+IFERROR(VLOOKUP(A72,'#0 IH Results'!$A$3:$C$102,2,0),0)</f>
        <v>30.50296318</v>
      </c>
    </row>
    <row r="73">
      <c r="A73" s="5" t="s">
        <v>58</v>
      </c>
      <c r="B73" s="6">
        <f>3*IFERROR(VLOOKUP(A73,'#15 IH Results'!$A$2:$C$301,2,0),0)+2*IFERROR(VLOOKUP(A73,'#14 IH Results'!$A$2:$C$302,2,0),0)+1.5*IFERROR(VLOOKUP(A73,'#13 IH Results'!$A$2:$C$302,2,0),0)+1.25*IFERROR(VLOOKUP(A73,'#12 IH Results'!$A$2:$C$302,2,0),0)+1.25*IFERROR(VLOOKUP(A73,'#11 IH Results'!$A$2:$C$302,2,0),0)+IFERROR(VLOOKUP(A73,'#10 IH Results'!$A$2:$C$302,2,0),0)+IFERROR(VLOOKUP(A73,'#9 IH Results'!$A$2:$C$302,2,0),0)+IFERROR(VLOOKUP(A73,'#8 IH Results'!$A$2:$C$302,2,0),0)+IFERROR(VLOOKUP(A73,'#7 IH Results'!$A$2:$C$302,2,0),0)+IFERROR(VLOOKUP(A73,'#6 IH Results'!$A$2:$C$302,2,0),0)+IFERROR(VLOOKUP(A73,'#5 IH Results'!$A$2:$C$303,2,0),0)+IFERROR(VLOOKUP(A73,'#4 IH Results'!$A$2:$C$300,2,0),0)+IFERROR(VLOOKUP(A73,'#3 IH Results'!$A$2:$C$101,2,0),0)+IFERROR(VLOOKUP(A73,'#2 IH Results'!$A$2:$C$101,2,0),0)+IFERROR(VLOOKUP(A73,'#1 IH Results'!$A$2:$C$101,2,0),0)+IFERROR(VLOOKUP(A73,'#0 IH Results'!$A$3:$C$102,2,0),0)</f>
        <v>30.06679367</v>
      </c>
    </row>
    <row r="74">
      <c r="A74" s="5" t="s">
        <v>81</v>
      </c>
      <c r="B74" s="6">
        <f>3*IFERROR(VLOOKUP(A74,'#15 IH Results'!$A$2:$C$301,2,0),0)+2*IFERROR(VLOOKUP(A74,'#14 IH Results'!$A$2:$C$302,2,0),0)+1.5*IFERROR(VLOOKUP(A74,'#13 IH Results'!$A$2:$C$302,2,0),0)+1.25*IFERROR(VLOOKUP(A74,'#12 IH Results'!$A$2:$C$302,2,0),0)+1.25*IFERROR(VLOOKUP(A74,'#11 IH Results'!$A$2:$C$302,2,0),0)+IFERROR(VLOOKUP(A74,'#10 IH Results'!$A$2:$C$302,2,0),0)+IFERROR(VLOOKUP(A74,'#9 IH Results'!$A$2:$C$302,2,0),0)+IFERROR(VLOOKUP(A74,'#8 IH Results'!$A$2:$C$302,2,0),0)+IFERROR(VLOOKUP(A74,'#7 IH Results'!$A$2:$C$302,2,0),0)+IFERROR(VLOOKUP(A74,'#6 IH Results'!$A$2:$C$302,2,0),0)+IFERROR(VLOOKUP(A74,'#5 IH Results'!$A$2:$C$303,2,0),0)+IFERROR(VLOOKUP(A74,'#4 IH Results'!$A$2:$C$300,2,0),0)+IFERROR(VLOOKUP(A74,'#3 IH Results'!$A$2:$C$101,2,0),0)+IFERROR(VLOOKUP(A74,'#2 IH Results'!$A$2:$C$101,2,0),0)+IFERROR(VLOOKUP(A74,'#1 IH Results'!$A$2:$C$101,2,0),0)+IFERROR(VLOOKUP(A74,'#0 IH Results'!$A$3:$C$102,2,0),0)</f>
        <v>29.76937129</v>
      </c>
    </row>
    <row r="75">
      <c r="A75" s="5" t="s">
        <v>77</v>
      </c>
      <c r="B75" s="6">
        <f>3*IFERROR(VLOOKUP(A75,'#15 IH Results'!$A$2:$C$301,2,0),0)+2*IFERROR(VLOOKUP(A75,'#14 IH Results'!$A$2:$C$302,2,0),0)+1.5*IFERROR(VLOOKUP(A75,'#13 IH Results'!$A$2:$C$302,2,0),0)+1.25*IFERROR(VLOOKUP(A75,'#12 IH Results'!$A$2:$C$302,2,0),0)+1.25*IFERROR(VLOOKUP(A75,'#11 IH Results'!$A$2:$C$302,2,0),0)+IFERROR(VLOOKUP(A75,'#10 IH Results'!$A$2:$C$302,2,0),0)+IFERROR(VLOOKUP(A75,'#9 IH Results'!$A$2:$C$302,2,0),0)+IFERROR(VLOOKUP(A75,'#8 IH Results'!$A$2:$C$302,2,0),0)+IFERROR(VLOOKUP(A75,'#7 IH Results'!$A$2:$C$302,2,0),0)+IFERROR(VLOOKUP(A75,'#6 IH Results'!$A$2:$C$302,2,0),0)+IFERROR(VLOOKUP(A75,'#5 IH Results'!$A$2:$C$303,2,0),0)+IFERROR(VLOOKUP(A75,'#4 IH Results'!$A$2:$C$300,2,0),0)+IFERROR(VLOOKUP(A75,'#3 IH Results'!$A$2:$C$101,2,0),0)+IFERROR(VLOOKUP(A75,'#2 IH Results'!$A$2:$C$101,2,0),0)+IFERROR(VLOOKUP(A75,'#1 IH Results'!$A$2:$C$101,2,0),0)+IFERROR(VLOOKUP(A75,'#0 IH Results'!$A$3:$C$102,2,0),0)</f>
        <v>28.80216959</v>
      </c>
    </row>
    <row r="76">
      <c r="A76" s="5" t="s">
        <v>75</v>
      </c>
      <c r="B76" s="6">
        <f>3*IFERROR(VLOOKUP(A76,'#15 IH Results'!$A$2:$C$301,2,0),0)+2*IFERROR(VLOOKUP(A76,'#14 IH Results'!$A$2:$C$302,2,0),0)+1.5*IFERROR(VLOOKUP(A76,'#13 IH Results'!$A$2:$C$302,2,0),0)+1.25*IFERROR(VLOOKUP(A76,'#12 IH Results'!$A$2:$C$302,2,0),0)+1.25*IFERROR(VLOOKUP(A76,'#11 IH Results'!$A$2:$C$302,2,0),0)+IFERROR(VLOOKUP(A76,'#10 IH Results'!$A$2:$C$302,2,0),0)+IFERROR(VLOOKUP(A76,'#9 IH Results'!$A$2:$C$302,2,0),0)+IFERROR(VLOOKUP(A76,'#8 IH Results'!$A$2:$C$302,2,0),0)+IFERROR(VLOOKUP(A76,'#7 IH Results'!$A$2:$C$302,2,0),0)+IFERROR(VLOOKUP(A76,'#6 IH Results'!$A$2:$C$302,2,0),0)+IFERROR(VLOOKUP(A76,'#5 IH Results'!$A$2:$C$303,2,0),0)+IFERROR(VLOOKUP(A76,'#4 IH Results'!$A$2:$C$300,2,0),0)+IFERROR(VLOOKUP(A76,'#3 IH Results'!$A$2:$C$101,2,0),0)+IFERROR(VLOOKUP(A76,'#2 IH Results'!$A$2:$C$101,2,0),0)+IFERROR(VLOOKUP(A76,'#1 IH Results'!$A$2:$C$101,2,0),0)+IFERROR(VLOOKUP(A76,'#0 IH Results'!$A$3:$C$102,2,0),0)</f>
        <v>28.48328364</v>
      </c>
    </row>
    <row r="77">
      <c r="A77" s="5" t="s">
        <v>76</v>
      </c>
      <c r="B77" s="6">
        <f>3*IFERROR(VLOOKUP(A77,'#15 IH Results'!$A$2:$C$301,2,0),0)+2*IFERROR(VLOOKUP(A77,'#14 IH Results'!$A$2:$C$302,2,0),0)+1.5*IFERROR(VLOOKUP(A77,'#13 IH Results'!$A$2:$C$302,2,0),0)+1.25*IFERROR(VLOOKUP(A77,'#12 IH Results'!$A$2:$C$302,2,0),0)+1.25*IFERROR(VLOOKUP(A77,'#11 IH Results'!$A$2:$C$302,2,0),0)+IFERROR(VLOOKUP(A77,'#10 IH Results'!$A$2:$C$302,2,0),0)+IFERROR(VLOOKUP(A77,'#9 IH Results'!$A$2:$C$302,2,0),0)+IFERROR(VLOOKUP(A77,'#8 IH Results'!$A$2:$C$302,2,0),0)+IFERROR(VLOOKUP(A77,'#7 IH Results'!$A$2:$C$302,2,0),0)+IFERROR(VLOOKUP(A77,'#6 IH Results'!$A$2:$C$302,2,0),0)+IFERROR(VLOOKUP(A77,'#5 IH Results'!$A$2:$C$303,2,0),0)+IFERROR(VLOOKUP(A77,'#4 IH Results'!$A$2:$C$300,2,0),0)+IFERROR(VLOOKUP(A77,'#3 IH Results'!$A$2:$C$101,2,0),0)+IFERROR(VLOOKUP(A77,'#2 IH Results'!$A$2:$C$101,2,0),0)+IFERROR(VLOOKUP(A77,'#1 IH Results'!$A$2:$C$101,2,0),0)+IFERROR(VLOOKUP(A77,'#0 IH Results'!$A$3:$C$102,2,0),0)</f>
        <v>28.15461627</v>
      </c>
    </row>
    <row r="78">
      <c r="A78" s="128" t="s">
        <v>89</v>
      </c>
      <c r="B78" s="6">
        <f>3*IFERROR(VLOOKUP(A78,'#15 IH Results'!$A$2:$C$301,2,0),0)+2*IFERROR(VLOOKUP(A78,'#14 IH Results'!$A$2:$C$302,2,0),0)+1.5*IFERROR(VLOOKUP(A78,'#13 IH Results'!$A$2:$C$302,2,0),0)+1.25*IFERROR(VLOOKUP(A78,'#12 IH Results'!$A$2:$C$302,2,0),0)+1.25*IFERROR(VLOOKUP(A78,'#11 IH Results'!$A$2:$C$302,2,0),0)+IFERROR(VLOOKUP(A78,'#10 IH Results'!$A$2:$C$302,2,0),0)+IFERROR(VLOOKUP(A78,'#9 IH Results'!$A$2:$C$302,2,0),0)+IFERROR(VLOOKUP(A78,'#8 IH Results'!$A$2:$C$302,2,0),0)+IFERROR(VLOOKUP(A78,'#7 IH Results'!$A$2:$C$302,2,0),0)+IFERROR(VLOOKUP(A78,'#6 IH Results'!$A$2:$C$302,2,0),0)+IFERROR(VLOOKUP(A78,'#5 IH Results'!$A$2:$C$303,2,0),0)+IFERROR(VLOOKUP(A78,'#4 IH Results'!$A$2:$C$300,2,0),0)+IFERROR(VLOOKUP(A78,'#3 IH Results'!$A$2:$C$101,2,0),0)+IFERROR(VLOOKUP(A78,'#2 IH Results'!$A$2:$C$101,2,0),0)+IFERROR(VLOOKUP(A78,'#1 IH Results'!$A$2:$C$101,2,0),0)+IFERROR(VLOOKUP(A78,'#0 IH Results'!$A$3:$C$102,2,0),0)</f>
        <v>24.53410223</v>
      </c>
    </row>
    <row r="79">
      <c r="A79" s="5" t="s">
        <v>85</v>
      </c>
      <c r="B79" s="6">
        <f>3*IFERROR(VLOOKUP(A79,'#15 IH Results'!$A$2:$C$301,2,0),0)+2*IFERROR(VLOOKUP(A79,'#14 IH Results'!$A$2:$C$302,2,0),0)+1.5*IFERROR(VLOOKUP(A79,'#13 IH Results'!$A$2:$C$302,2,0),0)+1.25*IFERROR(VLOOKUP(A79,'#12 IH Results'!$A$2:$C$302,2,0),0)+1.25*IFERROR(VLOOKUP(A79,'#11 IH Results'!$A$2:$C$302,2,0),0)+IFERROR(VLOOKUP(A79,'#10 IH Results'!$A$2:$C$302,2,0),0)+IFERROR(VLOOKUP(A79,'#9 IH Results'!$A$2:$C$302,2,0),0)+IFERROR(VLOOKUP(A79,'#8 IH Results'!$A$2:$C$302,2,0),0)+IFERROR(VLOOKUP(A79,'#7 IH Results'!$A$2:$C$302,2,0),0)+IFERROR(VLOOKUP(A79,'#6 IH Results'!$A$2:$C$302,2,0),0)+IFERROR(VLOOKUP(A79,'#5 IH Results'!$A$2:$C$303,2,0),0)+IFERROR(VLOOKUP(A79,'#4 IH Results'!$A$2:$C$300,2,0),0)+IFERROR(VLOOKUP(A79,'#3 IH Results'!$A$2:$C$101,2,0),0)+IFERROR(VLOOKUP(A79,'#2 IH Results'!$A$2:$C$101,2,0),0)+IFERROR(VLOOKUP(A79,'#1 IH Results'!$A$2:$C$101,2,0),0)+IFERROR(VLOOKUP(A79,'#0 IH Results'!$A$3:$C$102,2,0),0)</f>
        <v>24.43579909</v>
      </c>
    </row>
    <row r="80">
      <c r="A80" s="5" t="s">
        <v>83</v>
      </c>
      <c r="B80" s="6">
        <f>3*IFERROR(VLOOKUP(A80,'#15 IH Results'!$A$2:$C$301,2,0),0)+2*IFERROR(VLOOKUP(A80,'#14 IH Results'!$A$2:$C$302,2,0),0)+1.5*IFERROR(VLOOKUP(A80,'#13 IH Results'!$A$2:$C$302,2,0),0)+1.25*IFERROR(VLOOKUP(A80,'#12 IH Results'!$A$2:$C$302,2,0),0)+1.25*IFERROR(VLOOKUP(A80,'#11 IH Results'!$A$2:$C$302,2,0),0)+IFERROR(VLOOKUP(A80,'#10 IH Results'!$A$2:$C$302,2,0),0)+IFERROR(VLOOKUP(A80,'#9 IH Results'!$A$2:$C$302,2,0),0)+IFERROR(VLOOKUP(A80,'#8 IH Results'!$A$2:$C$302,2,0),0)+IFERROR(VLOOKUP(A80,'#7 IH Results'!$A$2:$C$302,2,0),0)+IFERROR(VLOOKUP(A80,'#6 IH Results'!$A$2:$C$302,2,0),0)+IFERROR(VLOOKUP(A80,'#5 IH Results'!$A$2:$C$303,2,0),0)+IFERROR(VLOOKUP(A80,'#4 IH Results'!$A$2:$C$300,2,0),0)+IFERROR(VLOOKUP(A80,'#3 IH Results'!$A$2:$C$101,2,0),0)+IFERROR(VLOOKUP(A80,'#2 IH Results'!$A$2:$C$101,2,0),0)+IFERROR(VLOOKUP(A80,'#1 IH Results'!$A$2:$C$101,2,0),0)+IFERROR(VLOOKUP(A80,'#0 IH Results'!$A$3:$C$102,2,0),0)</f>
        <v>23.699217</v>
      </c>
    </row>
    <row r="81">
      <c r="A81" s="5" t="s">
        <v>79</v>
      </c>
      <c r="B81" s="6">
        <f>3*IFERROR(VLOOKUP(A81,'#15 IH Results'!$A$2:$C$301,2,0),0)+2*IFERROR(VLOOKUP(A81,'#14 IH Results'!$A$2:$C$302,2,0),0)+1.5*IFERROR(VLOOKUP(A81,'#13 IH Results'!$A$2:$C$302,2,0),0)+1.25*IFERROR(VLOOKUP(A81,'#12 IH Results'!$A$2:$C$302,2,0),0)+1.25*IFERROR(VLOOKUP(A81,'#11 IH Results'!$A$2:$C$302,2,0),0)+IFERROR(VLOOKUP(A81,'#10 IH Results'!$A$2:$C$302,2,0),0)+IFERROR(VLOOKUP(A81,'#9 IH Results'!$A$2:$C$302,2,0),0)+IFERROR(VLOOKUP(A81,'#8 IH Results'!$A$2:$C$302,2,0),0)+IFERROR(VLOOKUP(A81,'#7 IH Results'!$A$2:$C$302,2,0),0)+IFERROR(VLOOKUP(A81,'#6 IH Results'!$A$2:$C$302,2,0),0)+IFERROR(VLOOKUP(A81,'#5 IH Results'!$A$2:$C$303,2,0),0)+IFERROR(VLOOKUP(A81,'#4 IH Results'!$A$2:$C$300,2,0),0)+IFERROR(VLOOKUP(A81,'#3 IH Results'!$A$2:$C$101,2,0),0)+IFERROR(VLOOKUP(A81,'#2 IH Results'!$A$2:$C$101,2,0),0)+IFERROR(VLOOKUP(A81,'#1 IH Results'!$A$2:$C$101,2,0),0)+IFERROR(VLOOKUP(A81,'#0 IH Results'!$A$3:$C$102,2,0),0)</f>
        <v>23.53212262</v>
      </c>
    </row>
    <row r="82">
      <c r="A82" s="5" t="s">
        <v>80</v>
      </c>
      <c r="B82" s="6">
        <f>3*IFERROR(VLOOKUP(A82,'#15 IH Results'!$A$2:$C$301,2,0),0)+2*IFERROR(VLOOKUP(A82,'#14 IH Results'!$A$2:$C$302,2,0),0)+1.5*IFERROR(VLOOKUP(A82,'#13 IH Results'!$A$2:$C$302,2,0),0)+1.25*IFERROR(VLOOKUP(A82,'#12 IH Results'!$A$2:$C$302,2,0),0)+1.25*IFERROR(VLOOKUP(A82,'#11 IH Results'!$A$2:$C$302,2,0),0)+IFERROR(VLOOKUP(A82,'#10 IH Results'!$A$2:$C$302,2,0),0)+IFERROR(VLOOKUP(A82,'#9 IH Results'!$A$2:$C$302,2,0),0)+IFERROR(VLOOKUP(A82,'#8 IH Results'!$A$2:$C$302,2,0),0)+IFERROR(VLOOKUP(A82,'#7 IH Results'!$A$2:$C$302,2,0),0)+IFERROR(VLOOKUP(A82,'#6 IH Results'!$A$2:$C$302,2,0),0)+IFERROR(VLOOKUP(A82,'#5 IH Results'!$A$2:$C$303,2,0),0)+IFERROR(VLOOKUP(A82,'#4 IH Results'!$A$2:$C$300,2,0),0)+IFERROR(VLOOKUP(A82,'#3 IH Results'!$A$2:$C$101,2,0),0)+IFERROR(VLOOKUP(A82,'#2 IH Results'!$A$2:$C$101,2,0),0)+IFERROR(VLOOKUP(A82,'#1 IH Results'!$A$2:$C$101,2,0),0)+IFERROR(VLOOKUP(A82,'#0 IH Results'!$A$3:$C$102,2,0),0)</f>
        <v>23.52996742</v>
      </c>
    </row>
    <row r="83">
      <c r="A83" s="5" t="s">
        <v>98</v>
      </c>
      <c r="B83" s="6">
        <f>3*IFERROR(VLOOKUP(A83,'#15 IH Results'!$A$2:$C$301,2,0),0)+2*IFERROR(VLOOKUP(A83,'#14 IH Results'!$A$2:$C$302,2,0),0)+1.5*IFERROR(VLOOKUP(A83,'#13 IH Results'!$A$2:$C$302,2,0),0)+1.25*IFERROR(VLOOKUP(A83,'#12 IH Results'!$A$2:$C$302,2,0),0)+1.25*IFERROR(VLOOKUP(A83,'#11 IH Results'!$A$2:$C$302,2,0),0)+IFERROR(VLOOKUP(A83,'#10 IH Results'!$A$2:$C$302,2,0),0)+IFERROR(VLOOKUP(A83,'#9 IH Results'!$A$2:$C$302,2,0),0)+IFERROR(VLOOKUP(A83,'#8 IH Results'!$A$2:$C$302,2,0),0)+IFERROR(VLOOKUP(A83,'#7 IH Results'!$A$2:$C$302,2,0),0)+IFERROR(VLOOKUP(A83,'#6 IH Results'!$A$2:$C$302,2,0),0)+IFERROR(VLOOKUP(A83,'#5 IH Results'!$A$2:$C$303,2,0),0)+IFERROR(VLOOKUP(A83,'#4 IH Results'!$A$2:$C$300,2,0),0)+IFERROR(VLOOKUP(A83,'#3 IH Results'!$A$2:$C$101,2,0),0)+IFERROR(VLOOKUP(A83,'#2 IH Results'!$A$2:$C$101,2,0),0)+IFERROR(VLOOKUP(A83,'#1 IH Results'!$A$2:$C$101,2,0),0)+IFERROR(VLOOKUP(A83,'#0 IH Results'!$A$3:$C$102,2,0),0)</f>
        <v>22.87233217</v>
      </c>
    </row>
    <row r="84">
      <c r="A84" s="5" t="s">
        <v>82</v>
      </c>
      <c r="B84" s="6">
        <f>3*IFERROR(VLOOKUP(A84,'#15 IH Results'!$A$2:$C$301,2,0),0)+2*IFERROR(VLOOKUP(A84,'#14 IH Results'!$A$2:$C$302,2,0),0)+1.5*IFERROR(VLOOKUP(A84,'#13 IH Results'!$A$2:$C$302,2,0),0)+1.25*IFERROR(VLOOKUP(A84,'#12 IH Results'!$A$2:$C$302,2,0),0)+1.25*IFERROR(VLOOKUP(A84,'#11 IH Results'!$A$2:$C$302,2,0),0)+IFERROR(VLOOKUP(A84,'#10 IH Results'!$A$2:$C$302,2,0),0)+IFERROR(VLOOKUP(A84,'#9 IH Results'!$A$2:$C$302,2,0),0)+IFERROR(VLOOKUP(A84,'#8 IH Results'!$A$2:$C$302,2,0),0)+IFERROR(VLOOKUP(A84,'#7 IH Results'!$A$2:$C$302,2,0),0)+IFERROR(VLOOKUP(A84,'#6 IH Results'!$A$2:$C$302,2,0),0)+IFERROR(VLOOKUP(A84,'#5 IH Results'!$A$2:$C$303,2,0),0)+IFERROR(VLOOKUP(A84,'#4 IH Results'!$A$2:$C$300,2,0),0)+IFERROR(VLOOKUP(A84,'#3 IH Results'!$A$2:$C$101,2,0),0)+IFERROR(VLOOKUP(A84,'#2 IH Results'!$A$2:$C$101,2,0),0)+IFERROR(VLOOKUP(A84,'#1 IH Results'!$A$2:$C$101,2,0),0)+IFERROR(VLOOKUP(A84,'#0 IH Results'!$A$3:$C$102,2,0),0)</f>
        <v>22.34448309</v>
      </c>
    </row>
    <row r="85">
      <c r="A85" s="5" t="s">
        <v>92</v>
      </c>
      <c r="B85" s="6">
        <f>3*IFERROR(VLOOKUP(A85,'#15 IH Results'!$A$2:$C$301,2,0),0)+2*IFERROR(VLOOKUP(A85,'#14 IH Results'!$A$2:$C$302,2,0),0)+1.5*IFERROR(VLOOKUP(A85,'#13 IH Results'!$A$2:$C$302,2,0),0)+1.25*IFERROR(VLOOKUP(A85,'#12 IH Results'!$A$2:$C$302,2,0),0)+1.25*IFERROR(VLOOKUP(A85,'#11 IH Results'!$A$2:$C$302,2,0),0)+IFERROR(VLOOKUP(A85,'#10 IH Results'!$A$2:$C$302,2,0),0)+IFERROR(VLOOKUP(A85,'#9 IH Results'!$A$2:$C$302,2,0),0)+IFERROR(VLOOKUP(A85,'#8 IH Results'!$A$2:$C$302,2,0),0)+IFERROR(VLOOKUP(A85,'#7 IH Results'!$A$2:$C$302,2,0),0)+IFERROR(VLOOKUP(A85,'#6 IH Results'!$A$2:$C$302,2,0),0)+IFERROR(VLOOKUP(A85,'#5 IH Results'!$A$2:$C$303,2,0),0)+IFERROR(VLOOKUP(A85,'#4 IH Results'!$A$2:$C$300,2,0),0)+IFERROR(VLOOKUP(A85,'#3 IH Results'!$A$2:$C$101,2,0),0)+IFERROR(VLOOKUP(A85,'#2 IH Results'!$A$2:$C$101,2,0),0)+IFERROR(VLOOKUP(A85,'#1 IH Results'!$A$2:$C$101,2,0),0)+IFERROR(VLOOKUP(A85,'#0 IH Results'!$A$3:$C$102,2,0),0)</f>
        <v>22.20689363</v>
      </c>
    </row>
    <row r="86">
      <c r="A86" s="5" t="s">
        <v>104</v>
      </c>
      <c r="B86" s="6">
        <f>3*IFERROR(VLOOKUP(A86,'#15 IH Results'!$A$2:$C$301,2,0),0)+2*IFERROR(VLOOKUP(A86,'#14 IH Results'!$A$2:$C$302,2,0),0)+1.5*IFERROR(VLOOKUP(A86,'#13 IH Results'!$A$2:$C$302,2,0),0)+1.25*IFERROR(VLOOKUP(A86,'#12 IH Results'!$A$2:$C$302,2,0),0)+1.25*IFERROR(VLOOKUP(A86,'#11 IH Results'!$A$2:$C$302,2,0),0)+IFERROR(VLOOKUP(A86,'#10 IH Results'!$A$2:$C$302,2,0),0)+IFERROR(VLOOKUP(A86,'#9 IH Results'!$A$2:$C$302,2,0),0)+IFERROR(VLOOKUP(A86,'#8 IH Results'!$A$2:$C$302,2,0),0)+IFERROR(VLOOKUP(A86,'#7 IH Results'!$A$2:$C$302,2,0),0)+IFERROR(VLOOKUP(A86,'#6 IH Results'!$A$2:$C$302,2,0),0)+IFERROR(VLOOKUP(A86,'#5 IH Results'!$A$2:$C$303,2,0),0)+IFERROR(VLOOKUP(A86,'#4 IH Results'!$A$2:$C$300,2,0),0)+IFERROR(VLOOKUP(A86,'#3 IH Results'!$A$2:$C$101,2,0),0)+IFERROR(VLOOKUP(A86,'#2 IH Results'!$A$2:$C$101,2,0),0)+IFERROR(VLOOKUP(A86,'#1 IH Results'!$A$2:$C$101,2,0),0)+IFERROR(VLOOKUP(A86,'#0 IH Results'!$A$3:$C$102,2,0),0)</f>
        <v>21.70345877</v>
      </c>
    </row>
    <row r="87">
      <c r="A87" s="5" t="s">
        <v>78</v>
      </c>
      <c r="B87" s="6">
        <f>3*IFERROR(VLOOKUP(A87,'#15 IH Results'!$A$2:$C$301,2,0),0)+2*IFERROR(VLOOKUP(A87,'#14 IH Results'!$A$2:$C$302,2,0),0)+1.5*IFERROR(VLOOKUP(A87,'#13 IH Results'!$A$2:$C$302,2,0),0)+1.25*IFERROR(VLOOKUP(A87,'#12 IH Results'!$A$2:$C$302,2,0),0)+1.25*IFERROR(VLOOKUP(A87,'#11 IH Results'!$A$2:$C$302,2,0),0)+IFERROR(VLOOKUP(A87,'#10 IH Results'!$A$2:$C$302,2,0),0)+IFERROR(VLOOKUP(A87,'#9 IH Results'!$A$2:$C$302,2,0),0)+IFERROR(VLOOKUP(A87,'#8 IH Results'!$A$2:$C$302,2,0),0)+IFERROR(VLOOKUP(A87,'#7 IH Results'!$A$2:$C$302,2,0),0)+IFERROR(VLOOKUP(A87,'#6 IH Results'!$A$2:$C$302,2,0),0)+IFERROR(VLOOKUP(A87,'#5 IH Results'!$A$2:$C$303,2,0),0)+IFERROR(VLOOKUP(A87,'#4 IH Results'!$A$2:$C$300,2,0),0)+IFERROR(VLOOKUP(A87,'#3 IH Results'!$A$2:$C$101,2,0),0)+IFERROR(VLOOKUP(A87,'#2 IH Results'!$A$2:$C$101,2,0),0)+IFERROR(VLOOKUP(A87,'#1 IH Results'!$A$2:$C$101,2,0),0)+IFERROR(VLOOKUP(A87,'#0 IH Results'!$A$3:$C$102,2,0),0)</f>
        <v>21.60155285</v>
      </c>
    </row>
    <row r="88">
      <c r="A88" s="5" t="s">
        <v>84</v>
      </c>
      <c r="B88" s="6">
        <f>3*IFERROR(VLOOKUP(A88,'#15 IH Results'!$A$2:$C$301,2,0),0)+2*IFERROR(VLOOKUP(A88,'#14 IH Results'!$A$2:$C$302,2,0),0)+1.5*IFERROR(VLOOKUP(A88,'#13 IH Results'!$A$2:$C$302,2,0),0)+1.25*IFERROR(VLOOKUP(A88,'#12 IH Results'!$A$2:$C$302,2,0),0)+1.25*IFERROR(VLOOKUP(A88,'#11 IH Results'!$A$2:$C$302,2,0),0)+IFERROR(VLOOKUP(A88,'#10 IH Results'!$A$2:$C$302,2,0),0)+IFERROR(VLOOKUP(A88,'#9 IH Results'!$A$2:$C$302,2,0),0)+IFERROR(VLOOKUP(A88,'#8 IH Results'!$A$2:$C$302,2,0),0)+IFERROR(VLOOKUP(A88,'#7 IH Results'!$A$2:$C$302,2,0),0)+IFERROR(VLOOKUP(A88,'#6 IH Results'!$A$2:$C$302,2,0),0)+IFERROR(VLOOKUP(A88,'#5 IH Results'!$A$2:$C$303,2,0),0)+IFERROR(VLOOKUP(A88,'#4 IH Results'!$A$2:$C$300,2,0),0)+IFERROR(VLOOKUP(A88,'#3 IH Results'!$A$2:$C$101,2,0),0)+IFERROR(VLOOKUP(A88,'#2 IH Results'!$A$2:$C$101,2,0),0)+IFERROR(VLOOKUP(A88,'#1 IH Results'!$A$2:$C$101,2,0),0)+IFERROR(VLOOKUP(A88,'#0 IH Results'!$A$3:$C$102,2,0),0)</f>
        <v>20.57543263</v>
      </c>
    </row>
    <row r="89">
      <c r="A89" s="9" t="s">
        <v>101</v>
      </c>
      <c r="B89" s="6">
        <f>3*IFERROR(VLOOKUP(A89,'#15 IH Results'!$A$2:$C$301,2,0),0)+2*IFERROR(VLOOKUP(A89,'#14 IH Results'!$A$2:$C$302,2,0),0)+1.5*IFERROR(VLOOKUP(A89,'#13 IH Results'!$A$2:$C$302,2,0),0)+1.25*IFERROR(VLOOKUP(A89,'#12 IH Results'!$A$2:$C$302,2,0),0)+1.25*IFERROR(VLOOKUP(A89,'#11 IH Results'!$A$2:$C$302,2,0),0)+IFERROR(VLOOKUP(A89,'#10 IH Results'!$A$2:$C$302,2,0),0)+IFERROR(VLOOKUP(A89,'#9 IH Results'!$A$2:$C$302,2,0),0)+IFERROR(VLOOKUP(A89,'#8 IH Results'!$A$2:$C$302,2,0),0)+IFERROR(VLOOKUP(A89,'#7 IH Results'!$A$2:$C$302,2,0),0)+IFERROR(VLOOKUP(A89,'#6 IH Results'!$A$2:$C$302,2,0),0)+IFERROR(VLOOKUP(A89,'#5 IH Results'!$A$2:$C$303,2,0),0)+IFERROR(VLOOKUP(A89,'#4 IH Results'!$A$2:$C$300,2,0),0)+IFERROR(VLOOKUP(A89,'#3 IH Results'!$A$2:$C$101,2,0),0)+IFERROR(VLOOKUP(A89,'#2 IH Results'!$A$2:$C$101,2,0),0)+IFERROR(VLOOKUP(A89,'#1 IH Results'!$A$2:$C$101,2,0),0)+IFERROR(VLOOKUP(A89,'#0 IH Results'!$A$3:$C$102,2,0),0)</f>
        <v>20.53847615</v>
      </c>
    </row>
    <row r="90">
      <c r="A90" s="7" t="s">
        <v>113</v>
      </c>
      <c r="B90" s="6">
        <f>3*IFERROR(VLOOKUP(A90,'#15 IH Results'!$A$2:$C$301,2,0),0)+2*IFERROR(VLOOKUP(A90,'#14 IH Results'!$A$2:$C$302,2,0),0)+1.5*IFERROR(VLOOKUP(A90,'#13 IH Results'!$A$2:$C$302,2,0),0)+1.25*IFERROR(VLOOKUP(A90,'#12 IH Results'!$A$2:$C$302,2,0),0)+1.25*IFERROR(VLOOKUP(A90,'#11 IH Results'!$A$2:$C$302,2,0),0)+IFERROR(VLOOKUP(A90,'#10 IH Results'!$A$2:$C$302,2,0),0)+IFERROR(VLOOKUP(A90,'#9 IH Results'!$A$2:$C$302,2,0),0)+IFERROR(VLOOKUP(A90,'#8 IH Results'!$A$2:$C$302,2,0),0)+IFERROR(VLOOKUP(A90,'#7 IH Results'!$A$2:$C$302,2,0),0)+IFERROR(VLOOKUP(A90,'#6 IH Results'!$A$2:$C$302,2,0),0)+IFERROR(VLOOKUP(A90,'#5 IH Results'!$A$2:$C$303,2,0),0)+IFERROR(VLOOKUP(A90,'#4 IH Results'!$A$2:$C$300,2,0),0)+IFERROR(VLOOKUP(A90,'#3 IH Results'!$A$2:$C$101,2,0),0)+IFERROR(VLOOKUP(A90,'#2 IH Results'!$A$2:$C$101,2,0),0)+IFERROR(VLOOKUP(A90,'#1 IH Results'!$A$2:$C$101,2,0),0)+IFERROR(VLOOKUP(A90,'#0 IH Results'!$A$3:$C$102,2,0),0)</f>
        <v>20.47398646</v>
      </c>
    </row>
    <row r="91">
      <c r="A91" s="5" t="s">
        <v>86</v>
      </c>
      <c r="B91" s="6">
        <f>3*IFERROR(VLOOKUP(A91,'#15 IH Results'!$A$2:$C$301,2,0),0)+2*IFERROR(VLOOKUP(A91,'#14 IH Results'!$A$2:$C$302,2,0),0)+1.5*IFERROR(VLOOKUP(A91,'#13 IH Results'!$A$2:$C$302,2,0),0)+1.25*IFERROR(VLOOKUP(A91,'#12 IH Results'!$A$2:$C$302,2,0),0)+1.25*IFERROR(VLOOKUP(A91,'#11 IH Results'!$A$2:$C$302,2,0),0)+IFERROR(VLOOKUP(A91,'#10 IH Results'!$A$2:$C$302,2,0),0)+IFERROR(VLOOKUP(A91,'#9 IH Results'!$A$2:$C$302,2,0),0)+IFERROR(VLOOKUP(A91,'#8 IH Results'!$A$2:$C$302,2,0),0)+IFERROR(VLOOKUP(A91,'#7 IH Results'!$A$2:$C$302,2,0),0)+IFERROR(VLOOKUP(A91,'#6 IH Results'!$A$2:$C$302,2,0),0)+IFERROR(VLOOKUP(A91,'#5 IH Results'!$A$2:$C$303,2,0),0)+IFERROR(VLOOKUP(A91,'#4 IH Results'!$A$2:$C$300,2,0),0)+IFERROR(VLOOKUP(A91,'#3 IH Results'!$A$2:$C$101,2,0),0)+IFERROR(VLOOKUP(A91,'#2 IH Results'!$A$2:$C$101,2,0),0)+IFERROR(VLOOKUP(A91,'#1 IH Results'!$A$2:$C$101,2,0),0)+IFERROR(VLOOKUP(A91,'#0 IH Results'!$A$3:$C$102,2,0),0)</f>
        <v>20.1245412</v>
      </c>
    </row>
    <row r="92">
      <c r="A92" s="5" t="s">
        <v>107</v>
      </c>
      <c r="B92" s="6">
        <f>3*IFERROR(VLOOKUP(A92,'#15 IH Results'!$A$2:$C$301,2,0),0)+2*IFERROR(VLOOKUP(A92,'#14 IH Results'!$A$2:$C$302,2,0),0)+1.5*IFERROR(VLOOKUP(A92,'#13 IH Results'!$A$2:$C$302,2,0),0)+1.25*IFERROR(VLOOKUP(A92,'#12 IH Results'!$A$2:$C$302,2,0),0)+1.25*IFERROR(VLOOKUP(A92,'#11 IH Results'!$A$2:$C$302,2,0),0)+IFERROR(VLOOKUP(A92,'#10 IH Results'!$A$2:$C$302,2,0),0)+IFERROR(VLOOKUP(A92,'#9 IH Results'!$A$2:$C$302,2,0),0)+IFERROR(VLOOKUP(A92,'#8 IH Results'!$A$2:$C$302,2,0),0)+IFERROR(VLOOKUP(A92,'#7 IH Results'!$A$2:$C$302,2,0),0)+IFERROR(VLOOKUP(A92,'#6 IH Results'!$A$2:$C$302,2,0),0)+IFERROR(VLOOKUP(A92,'#5 IH Results'!$A$2:$C$303,2,0),0)+IFERROR(VLOOKUP(A92,'#4 IH Results'!$A$2:$C$300,2,0),0)+IFERROR(VLOOKUP(A92,'#3 IH Results'!$A$2:$C$101,2,0),0)+IFERROR(VLOOKUP(A92,'#2 IH Results'!$A$2:$C$101,2,0),0)+IFERROR(VLOOKUP(A92,'#1 IH Results'!$A$2:$C$101,2,0),0)+IFERROR(VLOOKUP(A92,'#0 IH Results'!$A$3:$C$102,2,0),0)</f>
        <v>20.05170759</v>
      </c>
    </row>
    <row r="93">
      <c r="A93" s="9" t="s">
        <v>102</v>
      </c>
      <c r="B93" s="6">
        <f>3*IFERROR(VLOOKUP(A93,'#15 IH Results'!$A$2:$C$301,2,0),0)+2*IFERROR(VLOOKUP(A93,'#14 IH Results'!$A$2:$C$302,2,0),0)+1.5*IFERROR(VLOOKUP(A93,'#13 IH Results'!$A$2:$C$302,2,0),0)+1.25*IFERROR(VLOOKUP(A93,'#12 IH Results'!$A$2:$C$302,2,0),0)+1.25*IFERROR(VLOOKUP(A93,'#11 IH Results'!$A$2:$C$302,2,0),0)+IFERROR(VLOOKUP(A93,'#10 IH Results'!$A$2:$C$302,2,0),0)+IFERROR(VLOOKUP(A93,'#9 IH Results'!$A$2:$C$302,2,0),0)+IFERROR(VLOOKUP(A93,'#8 IH Results'!$A$2:$C$302,2,0),0)+IFERROR(VLOOKUP(A93,'#7 IH Results'!$A$2:$C$302,2,0),0)+IFERROR(VLOOKUP(A93,'#6 IH Results'!$A$2:$C$302,2,0),0)+IFERROR(VLOOKUP(A93,'#5 IH Results'!$A$2:$C$303,2,0),0)+IFERROR(VLOOKUP(A93,'#4 IH Results'!$A$2:$C$300,2,0),0)+IFERROR(VLOOKUP(A93,'#3 IH Results'!$A$2:$C$101,2,0),0)+IFERROR(VLOOKUP(A93,'#2 IH Results'!$A$2:$C$101,2,0),0)+IFERROR(VLOOKUP(A93,'#1 IH Results'!$A$2:$C$101,2,0),0)+IFERROR(VLOOKUP(A93,'#0 IH Results'!$A$3:$C$102,2,0),0)</f>
        <v>20.04787288</v>
      </c>
    </row>
    <row r="94">
      <c r="A94" s="5" t="s">
        <v>87</v>
      </c>
      <c r="B94" s="6">
        <f>3*IFERROR(VLOOKUP(A94,'#15 IH Results'!$A$2:$C$301,2,0),0)+2*IFERROR(VLOOKUP(A94,'#14 IH Results'!$A$2:$C$302,2,0),0)+1.5*IFERROR(VLOOKUP(A94,'#13 IH Results'!$A$2:$C$302,2,0),0)+1.25*IFERROR(VLOOKUP(A94,'#12 IH Results'!$A$2:$C$302,2,0),0)+1.25*IFERROR(VLOOKUP(A94,'#11 IH Results'!$A$2:$C$302,2,0),0)+IFERROR(VLOOKUP(A94,'#10 IH Results'!$A$2:$C$302,2,0),0)+IFERROR(VLOOKUP(A94,'#9 IH Results'!$A$2:$C$302,2,0),0)+IFERROR(VLOOKUP(A94,'#8 IH Results'!$A$2:$C$302,2,0),0)+IFERROR(VLOOKUP(A94,'#7 IH Results'!$A$2:$C$302,2,0),0)+IFERROR(VLOOKUP(A94,'#6 IH Results'!$A$2:$C$302,2,0),0)+IFERROR(VLOOKUP(A94,'#5 IH Results'!$A$2:$C$303,2,0),0)+IFERROR(VLOOKUP(A94,'#4 IH Results'!$A$2:$C$300,2,0),0)+IFERROR(VLOOKUP(A94,'#3 IH Results'!$A$2:$C$101,2,0),0)+IFERROR(VLOOKUP(A94,'#2 IH Results'!$A$2:$C$101,2,0),0)+IFERROR(VLOOKUP(A94,'#1 IH Results'!$A$2:$C$101,2,0),0)+IFERROR(VLOOKUP(A94,'#0 IH Results'!$A$3:$C$102,2,0),0)</f>
        <v>19.05824895</v>
      </c>
    </row>
    <row r="95">
      <c r="A95" s="5" t="s">
        <v>96</v>
      </c>
      <c r="B95" s="6">
        <f>3*IFERROR(VLOOKUP(A95,'#15 IH Results'!$A$2:$C$301,2,0),0)+2*IFERROR(VLOOKUP(A95,'#14 IH Results'!$A$2:$C$302,2,0),0)+1.5*IFERROR(VLOOKUP(A95,'#13 IH Results'!$A$2:$C$302,2,0),0)+1.25*IFERROR(VLOOKUP(A95,'#12 IH Results'!$A$2:$C$302,2,0),0)+1.25*IFERROR(VLOOKUP(A95,'#11 IH Results'!$A$2:$C$302,2,0),0)+IFERROR(VLOOKUP(A95,'#10 IH Results'!$A$2:$C$302,2,0),0)+IFERROR(VLOOKUP(A95,'#9 IH Results'!$A$2:$C$302,2,0),0)+IFERROR(VLOOKUP(A95,'#8 IH Results'!$A$2:$C$302,2,0),0)+IFERROR(VLOOKUP(A95,'#7 IH Results'!$A$2:$C$302,2,0),0)+IFERROR(VLOOKUP(A95,'#6 IH Results'!$A$2:$C$302,2,0),0)+IFERROR(VLOOKUP(A95,'#5 IH Results'!$A$2:$C$303,2,0),0)+IFERROR(VLOOKUP(A95,'#4 IH Results'!$A$2:$C$300,2,0),0)+IFERROR(VLOOKUP(A95,'#3 IH Results'!$A$2:$C$101,2,0),0)+IFERROR(VLOOKUP(A95,'#2 IH Results'!$A$2:$C$101,2,0),0)+IFERROR(VLOOKUP(A95,'#1 IH Results'!$A$2:$C$101,2,0),0)+IFERROR(VLOOKUP(A95,'#0 IH Results'!$A$3:$C$102,2,0),0)</f>
        <v>18.66105282</v>
      </c>
    </row>
    <row r="96">
      <c r="A96" s="5" t="s">
        <v>100</v>
      </c>
      <c r="B96" s="6">
        <f>3*IFERROR(VLOOKUP(A96,'#15 IH Results'!$A$2:$C$301,2,0),0)+2*IFERROR(VLOOKUP(A96,'#14 IH Results'!$A$2:$C$302,2,0),0)+1.5*IFERROR(VLOOKUP(A96,'#13 IH Results'!$A$2:$C$302,2,0),0)+1.25*IFERROR(VLOOKUP(A96,'#12 IH Results'!$A$2:$C$302,2,0),0)+1.25*IFERROR(VLOOKUP(A96,'#11 IH Results'!$A$2:$C$302,2,0),0)+IFERROR(VLOOKUP(A96,'#10 IH Results'!$A$2:$C$302,2,0),0)+IFERROR(VLOOKUP(A96,'#9 IH Results'!$A$2:$C$302,2,0),0)+IFERROR(VLOOKUP(A96,'#8 IH Results'!$A$2:$C$302,2,0),0)+IFERROR(VLOOKUP(A96,'#7 IH Results'!$A$2:$C$302,2,0),0)+IFERROR(VLOOKUP(A96,'#6 IH Results'!$A$2:$C$302,2,0),0)+IFERROR(VLOOKUP(A96,'#5 IH Results'!$A$2:$C$303,2,0),0)+IFERROR(VLOOKUP(A96,'#4 IH Results'!$A$2:$C$300,2,0),0)+IFERROR(VLOOKUP(A96,'#3 IH Results'!$A$2:$C$101,2,0),0)+IFERROR(VLOOKUP(A96,'#2 IH Results'!$A$2:$C$101,2,0),0)+IFERROR(VLOOKUP(A96,'#1 IH Results'!$A$2:$C$101,2,0),0)+IFERROR(VLOOKUP(A96,'#0 IH Results'!$A$3:$C$102,2,0),0)</f>
        <v>20.48505913</v>
      </c>
    </row>
    <row r="97">
      <c r="A97" s="5" t="s">
        <v>88</v>
      </c>
      <c r="B97" s="6">
        <f>3*IFERROR(VLOOKUP(A97,'#15 IH Results'!$A$2:$C$301,2,0),0)+2*IFERROR(VLOOKUP(A97,'#14 IH Results'!$A$2:$C$302,2,0),0)+1.5*IFERROR(VLOOKUP(A97,'#13 IH Results'!$A$2:$C$302,2,0),0)+1.25*IFERROR(VLOOKUP(A97,'#12 IH Results'!$A$2:$C$302,2,0),0)+1.25*IFERROR(VLOOKUP(A97,'#11 IH Results'!$A$2:$C$302,2,0),0)+IFERROR(VLOOKUP(A97,'#10 IH Results'!$A$2:$C$302,2,0),0)+IFERROR(VLOOKUP(A97,'#9 IH Results'!$A$2:$C$302,2,0),0)+IFERROR(VLOOKUP(A97,'#8 IH Results'!$A$2:$C$302,2,0),0)+IFERROR(VLOOKUP(A97,'#7 IH Results'!$A$2:$C$302,2,0),0)+IFERROR(VLOOKUP(A97,'#6 IH Results'!$A$2:$C$302,2,0),0)+IFERROR(VLOOKUP(A97,'#5 IH Results'!$A$2:$C$303,2,0),0)+IFERROR(VLOOKUP(A97,'#4 IH Results'!$A$2:$C$300,2,0),0)+IFERROR(VLOOKUP(A97,'#3 IH Results'!$A$2:$C$101,2,0),0)+IFERROR(VLOOKUP(A97,'#2 IH Results'!$A$2:$C$101,2,0),0)+IFERROR(VLOOKUP(A97,'#1 IH Results'!$A$2:$C$101,2,0),0)+IFERROR(VLOOKUP(A97,'#0 IH Results'!$A$3:$C$102,2,0),0)</f>
        <v>18.42118707</v>
      </c>
    </row>
    <row r="98">
      <c r="A98" s="5" t="s">
        <v>115</v>
      </c>
      <c r="B98" s="6">
        <f>3*IFERROR(VLOOKUP(A98,'#15 IH Results'!$A$2:$C$301,2,0),0)+2*IFERROR(VLOOKUP(A98,'#14 IH Results'!$A$2:$C$302,2,0),0)+1.5*IFERROR(VLOOKUP(A98,'#13 IH Results'!$A$2:$C$302,2,0),0)+1.25*IFERROR(VLOOKUP(A98,'#12 IH Results'!$A$2:$C$302,2,0),0)+1.25*IFERROR(VLOOKUP(A98,'#11 IH Results'!$A$2:$C$302,2,0),0)+IFERROR(VLOOKUP(A98,'#10 IH Results'!$A$2:$C$302,2,0),0)+IFERROR(VLOOKUP(A98,'#9 IH Results'!$A$2:$C$302,2,0),0)+IFERROR(VLOOKUP(A98,'#8 IH Results'!$A$2:$C$302,2,0),0)+IFERROR(VLOOKUP(A98,'#7 IH Results'!$A$2:$C$302,2,0),0)+IFERROR(VLOOKUP(A98,'#6 IH Results'!$A$2:$C$302,2,0),0)+IFERROR(VLOOKUP(A98,'#5 IH Results'!$A$2:$C$303,2,0),0)+IFERROR(VLOOKUP(A98,'#4 IH Results'!$A$2:$C$300,2,0),0)+IFERROR(VLOOKUP(A98,'#3 IH Results'!$A$2:$C$101,2,0),0)+IFERROR(VLOOKUP(A98,'#2 IH Results'!$A$2:$C$101,2,0),0)+IFERROR(VLOOKUP(A98,'#1 IH Results'!$A$2:$C$101,2,0),0)+IFERROR(VLOOKUP(A98,'#0 IH Results'!$A$3:$C$102,2,0),0)</f>
        <v>18.12412597</v>
      </c>
    </row>
    <row r="99">
      <c r="A99" s="5" t="s">
        <v>99</v>
      </c>
      <c r="B99" s="6">
        <f>3*IFERROR(VLOOKUP(A99,'#15 IH Results'!$A$2:$C$301,2,0),0)+2*IFERROR(VLOOKUP(A99,'#14 IH Results'!$A$2:$C$302,2,0),0)+1.5*IFERROR(VLOOKUP(A99,'#13 IH Results'!$A$2:$C$302,2,0),0)+1.25*IFERROR(VLOOKUP(A99,'#12 IH Results'!$A$2:$C$302,2,0),0)+1.25*IFERROR(VLOOKUP(A99,'#11 IH Results'!$A$2:$C$302,2,0),0)+IFERROR(VLOOKUP(A99,'#10 IH Results'!$A$2:$C$302,2,0),0)+IFERROR(VLOOKUP(A99,'#9 IH Results'!$A$2:$C$302,2,0),0)+IFERROR(VLOOKUP(A99,'#8 IH Results'!$A$2:$C$302,2,0),0)+IFERROR(VLOOKUP(A99,'#7 IH Results'!$A$2:$C$302,2,0),0)+IFERROR(VLOOKUP(A99,'#6 IH Results'!$A$2:$C$302,2,0),0)+IFERROR(VLOOKUP(A99,'#5 IH Results'!$A$2:$C$303,2,0),0)+IFERROR(VLOOKUP(A99,'#4 IH Results'!$A$2:$C$300,2,0),0)+IFERROR(VLOOKUP(A99,'#3 IH Results'!$A$2:$C$101,2,0),0)+IFERROR(VLOOKUP(A99,'#2 IH Results'!$A$2:$C$101,2,0),0)+IFERROR(VLOOKUP(A99,'#1 IH Results'!$A$2:$C$101,2,0),0)+IFERROR(VLOOKUP(A99,'#0 IH Results'!$A$3:$C$102,2,0),0)</f>
        <v>17.85799187</v>
      </c>
    </row>
    <row r="100">
      <c r="A100" s="5" t="s">
        <v>97</v>
      </c>
      <c r="B100" s="6">
        <f>3*IFERROR(VLOOKUP(A100,'#15 IH Results'!$A$2:$C$301,2,0),0)+2*IFERROR(VLOOKUP(A100,'#14 IH Results'!$A$2:$C$302,2,0),0)+1.5*IFERROR(VLOOKUP(A100,'#13 IH Results'!$A$2:$C$302,2,0),0)+1.25*IFERROR(VLOOKUP(A100,'#12 IH Results'!$A$2:$C$302,2,0),0)+1.25*IFERROR(VLOOKUP(A100,'#11 IH Results'!$A$2:$C$302,2,0),0)+IFERROR(VLOOKUP(A100,'#10 IH Results'!$A$2:$C$302,2,0),0)+IFERROR(VLOOKUP(A100,'#9 IH Results'!$A$2:$C$302,2,0),0)+IFERROR(VLOOKUP(A100,'#8 IH Results'!$A$2:$C$302,2,0),0)+IFERROR(VLOOKUP(A100,'#7 IH Results'!$A$2:$C$302,2,0),0)+IFERROR(VLOOKUP(A100,'#6 IH Results'!$A$2:$C$302,2,0),0)+IFERROR(VLOOKUP(A100,'#5 IH Results'!$A$2:$C$303,2,0),0)+IFERROR(VLOOKUP(A100,'#4 IH Results'!$A$2:$C$300,2,0),0)+IFERROR(VLOOKUP(A100,'#3 IH Results'!$A$2:$C$101,2,0),0)+IFERROR(VLOOKUP(A100,'#2 IH Results'!$A$2:$C$101,2,0),0)+IFERROR(VLOOKUP(A100,'#1 IH Results'!$A$2:$C$101,2,0),0)+IFERROR(VLOOKUP(A100,'#0 IH Results'!$A$3:$C$102,2,0),0)</f>
        <v>17.80360514</v>
      </c>
    </row>
    <row r="101">
      <c r="A101" s="5" t="s">
        <v>90</v>
      </c>
      <c r="B101" s="6">
        <f>3*IFERROR(VLOOKUP(A101,'#15 IH Results'!$A$2:$C$301,2,0),0)+2*IFERROR(VLOOKUP(A101,'#14 IH Results'!$A$2:$C$302,2,0),0)+1.5*IFERROR(VLOOKUP(A101,'#13 IH Results'!$A$2:$C$302,2,0),0)+1.25*IFERROR(VLOOKUP(A101,'#12 IH Results'!$A$2:$C$302,2,0),0)+1.25*IFERROR(VLOOKUP(A101,'#11 IH Results'!$A$2:$C$302,2,0),0)+IFERROR(VLOOKUP(A101,'#10 IH Results'!$A$2:$C$302,2,0),0)+IFERROR(VLOOKUP(A101,'#9 IH Results'!$A$2:$C$302,2,0),0)+IFERROR(VLOOKUP(A101,'#8 IH Results'!$A$2:$C$302,2,0),0)+IFERROR(VLOOKUP(A101,'#7 IH Results'!$A$2:$C$302,2,0),0)+IFERROR(VLOOKUP(A101,'#6 IH Results'!$A$2:$C$302,2,0),0)+IFERROR(VLOOKUP(A101,'#5 IH Results'!$A$2:$C$303,2,0),0)+IFERROR(VLOOKUP(A101,'#4 IH Results'!$A$2:$C$300,2,0),0)+IFERROR(VLOOKUP(A101,'#3 IH Results'!$A$2:$C$101,2,0),0)+IFERROR(VLOOKUP(A101,'#2 IH Results'!$A$2:$C$101,2,0),0)+IFERROR(VLOOKUP(A101,'#1 IH Results'!$A$2:$C$101,2,0),0)+IFERROR(VLOOKUP(A101,'#0 IH Results'!$A$3:$C$102,2,0),0)</f>
        <v>17.21084987</v>
      </c>
    </row>
    <row r="102">
      <c r="A102" s="5" t="s">
        <v>412</v>
      </c>
      <c r="B102" s="6">
        <f>3*IFERROR(VLOOKUP(A102,'#15 IH Results'!$A$2:$C$301,2,0),0)+2*IFERROR(VLOOKUP(A102,'#14 IH Results'!$A$2:$C$302,2,0),0)+1.5*IFERROR(VLOOKUP(A102,'#13 IH Results'!$A$2:$C$302,2,0),0)+1.25*IFERROR(VLOOKUP(A102,'#12 IH Results'!$A$2:$C$302,2,0),0)+1.25*IFERROR(VLOOKUP(A102,'#11 IH Results'!$A$2:$C$302,2,0),0)+IFERROR(VLOOKUP(A102,'#10 IH Results'!$A$2:$C$302,2,0),0)+IFERROR(VLOOKUP(A102,'#9 IH Results'!$A$2:$C$302,2,0),0)+IFERROR(VLOOKUP(A102,'#8 IH Results'!$A$2:$C$302,2,0),0)+IFERROR(VLOOKUP(A102,'#7 IH Results'!$A$2:$C$302,2,0),0)+IFERROR(VLOOKUP(A102,'#6 IH Results'!$A$2:$C$302,2,0),0)+IFERROR(VLOOKUP(A102,'#5 IH Results'!$A$2:$C$303,2,0),0)+IFERROR(VLOOKUP(A102,'#4 IH Results'!$A$2:$C$300,2,0),0)+IFERROR(VLOOKUP(A102,'#3 IH Results'!$A$2:$C$101,2,0),0)+IFERROR(VLOOKUP(A102,'#2 IH Results'!$A$2:$C$101,2,0),0)+IFERROR(VLOOKUP(A102,'#1 IH Results'!$A$2:$C$101,2,0),0)+IFERROR(VLOOKUP(A102,'#0 IH Results'!$A$3:$C$102,2,0),0)</f>
        <v>0</v>
      </c>
    </row>
    <row r="103">
      <c r="A103" s="5" t="s">
        <v>67</v>
      </c>
      <c r="B103" s="6">
        <f>3*IFERROR(VLOOKUP(A103,'#15 IH Results'!$A$2:$C$301,2,0),0)+2*IFERROR(VLOOKUP(A103,'#14 IH Results'!$A$2:$C$302,2,0),0)+1.5*IFERROR(VLOOKUP(A103,'#13 IH Results'!$A$2:$C$302,2,0),0)+1.25*IFERROR(VLOOKUP(A103,'#12 IH Results'!$A$2:$C$302,2,0),0)+1.25*IFERROR(VLOOKUP(A103,'#11 IH Results'!$A$2:$C$302,2,0),0)+IFERROR(VLOOKUP(A103,'#10 IH Results'!$A$2:$C$302,2,0),0)+IFERROR(VLOOKUP(A103,'#9 IH Results'!$A$2:$C$302,2,0),0)+IFERROR(VLOOKUP(A103,'#8 IH Results'!$A$2:$C$302,2,0),0)+IFERROR(VLOOKUP(A103,'#7 IH Results'!$A$2:$C$302,2,0),0)+IFERROR(VLOOKUP(A103,'#6 IH Results'!$A$2:$C$302,2,0),0)+IFERROR(VLOOKUP(A103,'#5 IH Results'!$A$2:$C$303,2,0),0)+IFERROR(VLOOKUP(A103,'#4 IH Results'!$A$2:$C$300,2,0),0)+IFERROR(VLOOKUP(A103,'#3 IH Results'!$A$2:$C$101,2,0),0)+IFERROR(VLOOKUP(A103,'#2 IH Results'!$A$2:$C$101,2,0),0)+IFERROR(VLOOKUP(A103,'#1 IH Results'!$A$2:$C$101,2,0),0)+IFERROR(VLOOKUP(A103,'#0 IH Results'!$A$3:$C$102,2,0),0)</f>
        <v>16.23656132</v>
      </c>
    </row>
    <row r="104">
      <c r="A104" s="5" t="s">
        <v>112</v>
      </c>
      <c r="B104" s="6">
        <f>3*IFERROR(VLOOKUP(A104,'#15 IH Results'!$A$2:$C$301,2,0),0)+2*IFERROR(VLOOKUP(A104,'#14 IH Results'!$A$2:$C$302,2,0),0)+1.5*IFERROR(VLOOKUP(A104,'#13 IH Results'!$A$2:$C$302,2,0),0)+1.25*IFERROR(VLOOKUP(A104,'#12 IH Results'!$A$2:$C$302,2,0),0)+1.25*IFERROR(VLOOKUP(A104,'#11 IH Results'!$A$2:$C$302,2,0),0)+IFERROR(VLOOKUP(A104,'#10 IH Results'!$A$2:$C$302,2,0),0)+IFERROR(VLOOKUP(A104,'#9 IH Results'!$A$2:$C$302,2,0),0)+IFERROR(VLOOKUP(A104,'#8 IH Results'!$A$2:$C$302,2,0),0)+IFERROR(VLOOKUP(A104,'#7 IH Results'!$A$2:$C$302,2,0),0)+IFERROR(VLOOKUP(A104,'#6 IH Results'!$A$2:$C$302,2,0),0)+IFERROR(VLOOKUP(A104,'#5 IH Results'!$A$2:$C$303,2,0),0)+IFERROR(VLOOKUP(A104,'#4 IH Results'!$A$2:$C$300,2,0),0)+IFERROR(VLOOKUP(A104,'#3 IH Results'!$A$2:$C$101,2,0),0)+IFERROR(VLOOKUP(A104,'#2 IH Results'!$A$2:$C$101,2,0),0)+IFERROR(VLOOKUP(A104,'#1 IH Results'!$A$2:$C$101,2,0),0)+IFERROR(VLOOKUP(A104,'#0 IH Results'!$A$3:$C$102,2,0),0)</f>
        <v>15.74499074</v>
      </c>
    </row>
    <row r="105">
      <c r="A105" s="5" t="s">
        <v>128</v>
      </c>
      <c r="B105" s="6">
        <f>3*IFERROR(VLOOKUP(A105,'#15 IH Results'!$A$2:$C$301,2,0),0)+2*IFERROR(VLOOKUP(A105,'#14 IH Results'!$A$2:$C$302,2,0),0)+1.5*IFERROR(VLOOKUP(A105,'#13 IH Results'!$A$2:$C$302,2,0),0)+1.25*IFERROR(VLOOKUP(A105,'#12 IH Results'!$A$2:$C$302,2,0),0)+1.25*IFERROR(VLOOKUP(A105,'#11 IH Results'!$A$2:$C$302,2,0),0)+IFERROR(VLOOKUP(A105,'#10 IH Results'!$A$2:$C$302,2,0),0)+IFERROR(VLOOKUP(A105,'#9 IH Results'!$A$2:$C$302,2,0),0)+IFERROR(VLOOKUP(A105,'#8 IH Results'!$A$2:$C$302,2,0),0)+IFERROR(VLOOKUP(A105,'#7 IH Results'!$A$2:$C$302,2,0),0)+IFERROR(VLOOKUP(A105,'#6 IH Results'!$A$2:$C$302,2,0),0)+IFERROR(VLOOKUP(A105,'#5 IH Results'!$A$2:$C$303,2,0),0)+IFERROR(VLOOKUP(A105,'#4 IH Results'!$A$2:$C$300,2,0),0)+IFERROR(VLOOKUP(A105,'#3 IH Results'!$A$2:$C$101,2,0),0)+IFERROR(VLOOKUP(A105,'#2 IH Results'!$A$2:$C$101,2,0),0)+IFERROR(VLOOKUP(A105,'#1 IH Results'!$A$2:$C$101,2,0),0)+IFERROR(VLOOKUP(A105,'#0 IH Results'!$A$3:$C$102,2,0),0)</f>
        <v>15.71256609</v>
      </c>
    </row>
    <row r="106">
      <c r="A106" s="5" t="s">
        <v>140</v>
      </c>
      <c r="B106" s="6">
        <f>3*IFERROR(VLOOKUP(A106,'#15 IH Results'!$A$2:$C$301,2,0),0)+2*IFERROR(VLOOKUP(A106,'#14 IH Results'!$A$2:$C$302,2,0),0)+1.5*IFERROR(VLOOKUP(A106,'#13 IH Results'!$A$2:$C$302,2,0),0)+1.25*IFERROR(VLOOKUP(A106,'#12 IH Results'!$A$2:$C$302,2,0),0)+1.25*IFERROR(VLOOKUP(A106,'#11 IH Results'!$A$2:$C$302,2,0),0)+IFERROR(VLOOKUP(A106,'#10 IH Results'!$A$2:$C$302,2,0),0)+IFERROR(VLOOKUP(A106,'#9 IH Results'!$A$2:$C$302,2,0),0)+IFERROR(VLOOKUP(A106,'#8 IH Results'!$A$2:$C$302,2,0),0)+IFERROR(VLOOKUP(A106,'#7 IH Results'!$A$2:$C$302,2,0),0)+IFERROR(VLOOKUP(A106,'#6 IH Results'!$A$2:$C$302,2,0),0)+IFERROR(VLOOKUP(A106,'#5 IH Results'!$A$2:$C$303,2,0),0)+IFERROR(VLOOKUP(A106,'#4 IH Results'!$A$2:$C$300,2,0),0)+IFERROR(VLOOKUP(A106,'#3 IH Results'!$A$2:$C$101,2,0),0)+IFERROR(VLOOKUP(A106,'#2 IH Results'!$A$2:$C$101,2,0),0)+IFERROR(VLOOKUP(A106,'#1 IH Results'!$A$2:$C$101,2,0),0)+IFERROR(VLOOKUP(A106,'#0 IH Results'!$A$3:$C$102,2,0),0)</f>
        <v>15.5442321</v>
      </c>
    </row>
    <row r="107">
      <c r="A107" s="5" t="s">
        <v>122</v>
      </c>
      <c r="B107" s="6">
        <f>3*IFERROR(VLOOKUP(A107,'#15 IH Results'!$A$2:$C$301,2,0),0)+2*IFERROR(VLOOKUP(A107,'#14 IH Results'!$A$2:$C$302,2,0),0)+1.5*IFERROR(VLOOKUP(A107,'#13 IH Results'!$A$2:$C$302,2,0),0)+1.25*IFERROR(VLOOKUP(A107,'#12 IH Results'!$A$2:$C$302,2,0),0)+1.25*IFERROR(VLOOKUP(A107,'#11 IH Results'!$A$2:$C$302,2,0),0)+IFERROR(VLOOKUP(A107,'#10 IH Results'!$A$2:$C$302,2,0),0)+IFERROR(VLOOKUP(A107,'#9 IH Results'!$A$2:$C$302,2,0),0)+IFERROR(VLOOKUP(A107,'#8 IH Results'!$A$2:$C$302,2,0),0)+IFERROR(VLOOKUP(A107,'#7 IH Results'!$A$2:$C$302,2,0),0)+IFERROR(VLOOKUP(A107,'#6 IH Results'!$A$2:$C$302,2,0),0)+IFERROR(VLOOKUP(A107,'#5 IH Results'!$A$2:$C$303,2,0),0)+IFERROR(VLOOKUP(A107,'#4 IH Results'!$A$2:$C$300,2,0),0)+IFERROR(VLOOKUP(A107,'#3 IH Results'!$A$2:$C$101,2,0),0)+IFERROR(VLOOKUP(A107,'#2 IH Results'!$A$2:$C$101,2,0),0)+IFERROR(VLOOKUP(A107,'#1 IH Results'!$A$2:$C$101,2,0),0)+IFERROR(VLOOKUP(A107,'#0 IH Results'!$A$3:$C$102,2,0),0)</f>
        <v>15.44343712</v>
      </c>
    </row>
    <row r="108">
      <c r="A108" s="5" t="s">
        <v>119</v>
      </c>
      <c r="B108" s="6">
        <f>3*IFERROR(VLOOKUP(A108,'#15 IH Results'!$A$2:$C$301,2,0),0)+2*IFERROR(VLOOKUP(A108,'#14 IH Results'!$A$2:$C$302,2,0),0)+1.5*IFERROR(VLOOKUP(A108,'#13 IH Results'!$A$2:$C$302,2,0),0)+1.25*IFERROR(VLOOKUP(A108,'#12 IH Results'!$A$2:$C$302,2,0),0)+1.25*IFERROR(VLOOKUP(A108,'#11 IH Results'!$A$2:$C$302,2,0),0)+IFERROR(VLOOKUP(A108,'#10 IH Results'!$A$2:$C$302,2,0),0)+IFERROR(VLOOKUP(A108,'#9 IH Results'!$A$2:$C$302,2,0),0)+IFERROR(VLOOKUP(A108,'#8 IH Results'!$A$2:$C$302,2,0),0)+IFERROR(VLOOKUP(A108,'#7 IH Results'!$A$2:$C$302,2,0),0)+IFERROR(VLOOKUP(A108,'#6 IH Results'!$A$2:$C$302,2,0),0)+IFERROR(VLOOKUP(A108,'#5 IH Results'!$A$2:$C$303,2,0),0)+IFERROR(VLOOKUP(A108,'#4 IH Results'!$A$2:$C$300,2,0),0)+IFERROR(VLOOKUP(A108,'#3 IH Results'!$A$2:$C$101,2,0),0)+IFERROR(VLOOKUP(A108,'#2 IH Results'!$A$2:$C$101,2,0),0)+IFERROR(VLOOKUP(A108,'#1 IH Results'!$A$2:$C$101,2,0),0)+IFERROR(VLOOKUP(A108,'#0 IH Results'!$A$3:$C$102,2,0),0)</f>
        <v>15.33421696</v>
      </c>
    </row>
    <row r="109">
      <c r="A109" s="5" t="s">
        <v>105</v>
      </c>
      <c r="B109" s="6">
        <f>3*IFERROR(VLOOKUP(A109,'#15 IH Results'!$A$2:$C$301,2,0),0)+2*IFERROR(VLOOKUP(A109,'#14 IH Results'!$A$2:$C$302,2,0),0)+1.5*IFERROR(VLOOKUP(A109,'#13 IH Results'!$A$2:$C$302,2,0),0)+1.25*IFERROR(VLOOKUP(A109,'#12 IH Results'!$A$2:$C$302,2,0),0)+1.25*IFERROR(VLOOKUP(A109,'#11 IH Results'!$A$2:$C$302,2,0),0)+IFERROR(VLOOKUP(A109,'#10 IH Results'!$A$2:$C$302,2,0),0)+IFERROR(VLOOKUP(A109,'#9 IH Results'!$A$2:$C$302,2,0),0)+IFERROR(VLOOKUP(A109,'#8 IH Results'!$A$2:$C$302,2,0),0)+IFERROR(VLOOKUP(A109,'#7 IH Results'!$A$2:$C$302,2,0),0)+IFERROR(VLOOKUP(A109,'#6 IH Results'!$A$2:$C$302,2,0),0)+IFERROR(VLOOKUP(A109,'#5 IH Results'!$A$2:$C$303,2,0),0)+IFERROR(VLOOKUP(A109,'#4 IH Results'!$A$2:$C$300,2,0),0)+IFERROR(VLOOKUP(A109,'#3 IH Results'!$A$2:$C$101,2,0),0)+IFERROR(VLOOKUP(A109,'#2 IH Results'!$A$2:$C$101,2,0),0)+IFERROR(VLOOKUP(A109,'#1 IH Results'!$A$2:$C$101,2,0),0)+IFERROR(VLOOKUP(A109,'#0 IH Results'!$A$3:$C$102,2,0),0)</f>
        <v>15.12597815</v>
      </c>
    </row>
    <row r="110">
      <c r="A110" s="5" t="s">
        <v>103</v>
      </c>
      <c r="B110" s="6">
        <f>3*IFERROR(VLOOKUP(A110,'#15 IH Results'!$A$2:$C$301,2,0),0)+2*IFERROR(VLOOKUP(A110,'#14 IH Results'!$A$2:$C$302,2,0),0)+1.5*IFERROR(VLOOKUP(A110,'#13 IH Results'!$A$2:$C$302,2,0),0)+1.25*IFERROR(VLOOKUP(A110,'#12 IH Results'!$A$2:$C$302,2,0),0)+1.25*IFERROR(VLOOKUP(A110,'#11 IH Results'!$A$2:$C$302,2,0),0)+IFERROR(VLOOKUP(A110,'#10 IH Results'!$A$2:$C$302,2,0),0)+IFERROR(VLOOKUP(A110,'#9 IH Results'!$A$2:$C$302,2,0),0)+IFERROR(VLOOKUP(A110,'#8 IH Results'!$A$2:$C$302,2,0),0)+IFERROR(VLOOKUP(A110,'#7 IH Results'!$A$2:$C$302,2,0),0)+IFERROR(VLOOKUP(A110,'#6 IH Results'!$A$2:$C$302,2,0),0)+IFERROR(VLOOKUP(A110,'#5 IH Results'!$A$2:$C$303,2,0),0)+IFERROR(VLOOKUP(A110,'#4 IH Results'!$A$2:$C$300,2,0),0)+IFERROR(VLOOKUP(A110,'#3 IH Results'!$A$2:$C$101,2,0),0)+IFERROR(VLOOKUP(A110,'#2 IH Results'!$A$2:$C$101,2,0),0)+IFERROR(VLOOKUP(A110,'#1 IH Results'!$A$2:$C$101,2,0),0)+IFERROR(VLOOKUP(A110,'#0 IH Results'!$A$3:$C$102,2,0),0)</f>
        <v>14.92714097</v>
      </c>
    </row>
    <row r="111">
      <c r="A111" s="5" t="s">
        <v>91</v>
      </c>
      <c r="B111" s="6">
        <f>3*IFERROR(VLOOKUP(A111,'#15 IH Results'!$A$2:$C$301,2,0),0)+2*IFERROR(VLOOKUP(A111,'#14 IH Results'!$A$2:$C$302,2,0),0)+1.5*IFERROR(VLOOKUP(A111,'#13 IH Results'!$A$2:$C$302,2,0),0)+1.25*IFERROR(VLOOKUP(A111,'#12 IH Results'!$A$2:$C$302,2,0),0)+1.25*IFERROR(VLOOKUP(A111,'#11 IH Results'!$A$2:$C$302,2,0),0)+IFERROR(VLOOKUP(A111,'#10 IH Results'!$A$2:$C$302,2,0),0)+IFERROR(VLOOKUP(A111,'#9 IH Results'!$A$2:$C$302,2,0),0)+IFERROR(VLOOKUP(A111,'#8 IH Results'!$A$2:$C$302,2,0),0)+IFERROR(VLOOKUP(A111,'#7 IH Results'!$A$2:$C$302,2,0),0)+IFERROR(VLOOKUP(A111,'#6 IH Results'!$A$2:$C$302,2,0),0)+IFERROR(VLOOKUP(A111,'#5 IH Results'!$A$2:$C$303,2,0),0)+IFERROR(VLOOKUP(A111,'#4 IH Results'!$A$2:$C$300,2,0),0)+IFERROR(VLOOKUP(A111,'#3 IH Results'!$A$2:$C$101,2,0),0)+IFERROR(VLOOKUP(A111,'#2 IH Results'!$A$2:$C$101,2,0),0)+IFERROR(VLOOKUP(A111,'#1 IH Results'!$A$2:$C$101,2,0),0)+IFERROR(VLOOKUP(A111,'#0 IH Results'!$A$3:$C$102,2,0),0)</f>
        <v>14.74979392</v>
      </c>
    </row>
    <row r="112">
      <c r="A112" s="5" t="s">
        <v>114</v>
      </c>
      <c r="B112" s="6">
        <f>3*IFERROR(VLOOKUP(A112,'#15 IH Results'!$A$2:$C$301,2,0),0)+2*IFERROR(VLOOKUP(A112,'#14 IH Results'!$A$2:$C$302,2,0),0)+1.5*IFERROR(VLOOKUP(A112,'#13 IH Results'!$A$2:$C$302,2,0),0)+1.25*IFERROR(VLOOKUP(A112,'#12 IH Results'!$A$2:$C$302,2,0),0)+1.25*IFERROR(VLOOKUP(A112,'#11 IH Results'!$A$2:$C$302,2,0),0)+IFERROR(VLOOKUP(A112,'#10 IH Results'!$A$2:$C$302,2,0),0)+IFERROR(VLOOKUP(A112,'#9 IH Results'!$A$2:$C$302,2,0),0)+IFERROR(VLOOKUP(A112,'#8 IH Results'!$A$2:$C$302,2,0),0)+IFERROR(VLOOKUP(A112,'#7 IH Results'!$A$2:$C$302,2,0),0)+IFERROR(VLOOKUP(A112,'#6 IH Results'!$A$2:$C$302,2,0),0)+IFERROR(VLOOKUP(A112,'#5 IH Results'!$A$2:$C$303,2,0),0)+IFERROR(VLOOKUP(A112,'#4 IH Results'!$A$2:$C$300,2,0),0)+IFERROR(VLOOKUP(A112,'#3 IH Results'!$A$2:$C$101,2,0),0)+IFERROR(VLOOKUP(A112,'#2 IH Results'!$A$2:$C$101,2,0),0)+IFERROR(VLOOKUP(A112,'#1 IH Results'!$A$2:$C$101,2,0),0)+IFERROR(VLOOKUP(A112,'#0 IH Results'!$A$3:$C$102,2,0),0)</f>
        <v>14.39565097</v>
      </c>
    </row>
    <row r="113">
      <c r="A113" s="5" t="s">
        <v>108</v>
      </c>
      <c r="B113" s="6">
        <f>3*IFERROR(VLOOKUP(A113,'#15 IH Results'!$A$2:$C$301,2,0),0)+2*IFERROR(VLOOKUP(A113,'#14 IH Results'!$A$2:$C$302,2,0),0)+1.5*IFERROR(VLOOKUP(A113,'#13 IH Results'!$A$2:$C$302,2,0),0)+1.25*IFERROR(VLOOKUP(A113,'#12 IH Results'!$A$2:$C$302,2,0),0)+1.25*IFERROR(VLOOKUP(A113,'#11 IH Results'!$A$2:$C$302,2,0),0)+IFERROR(VLOOKUP(A113,'#10 IH Results'!$A$2:$C$302,2,0),0)+IFERROR(VLOOKUP(A113,'#9 IH Results'!$A$2:$C$302,2,0),0)+IFERROR(VLOOKUP(A113,'#8 IH Results'!$A$2:$C$302,2,0),0)+IFERROR(VLOOKUP(A113,'#7 IH Results'!$A$2:$C$302,2,0),0)+IFERROR(VLOOKUP(A113,'#6 IH Results'!$A$2:$C$302,2,0),0)+IFERROR(VLOOKUP(A113,'#5 IH Results'!$A$2:$C$303,2,0),0)+IFERROR(VLOOKUP(A113,'#4 IH Results'!$A$2:$C$300,2,0),0)+IFERROR(VLOOKUP(A113,'#3 IH Results'!$A$2:$C$101,2,0),0)+IFERROR(VLOOKUP(A113,'#2 IH Results'!$A$2:$C$101,2,0),0)+IFERROR(VLOOKUP(A113,'#1 IH Results'!$A$2:$C$101,2,0),0)+IFERROR(VLOOKUP(A113,'#0 IH Results'!$A$3:$C$102,2,0),0)</f>
        <v>14.16467055</v>
      </c>
    </row>
    <row r="114">
      <c r="A114" s="5" t="s">
        <v>95</v>
      </c>
      <c r="B114" s="6">
        <f>3*IFERROR(VLOOKUP(A114,'#15 IH Results'!$A$2:$C$301,2,0),0)+2*IFERROR(VLOOKUP(A114,'#14 IH Results'!$A$2:$C$302,2,0),0)+1.5*IFERROR(VLOOKUP(A114,'#13 IH Results'!$A$2:$C$302,2,0),0)+1.25*IFERROR(VLOOKUP(A114,'#12 IH Results'!$A$2:$C$302,2,0),0)+1.25*IFERROR(VLOOKUP(A114,'#11 IH Results'!$A$2:$C$302,2,0),0)+IFERROR(VLOOKUP(A114,'#10 IH Results'!$A$2:$C$302,2,0),0)+IFERROR(VLOOKUP(A114,'#9 IH Results'!$A$2:$C$302,2,0),0)+IFERROR(VLOOKUP(A114,'#8 IH Results'!$A$2:$C$302,2,0),0)+IFERROR(VLOOKUP(A114,'#7 IH Results'!$A$2:$C$302,2,0),0)+IFERROR(VLOOKUP(A114,'#6 IH Results'!$A$2:$C$302,2,0),0)+IFERROR(VLOOKUP(A114,'#5 IH Results'!$A$2:$C$303,2,0),0)+IFERROR(VLOOKUP(A114,'#4 IH Results'!$A$2:$C$300,2,0),0)+IFERROR(VLOOKUP(A114,'#3 IH Results'!$A$2:$C$101,2,0),0)+IFERROR(VLOOKUP(A114,'#2 IH Results'!$A$2:$C$101,2,0),0)+IFERROR(VLOOKUP(A114,'#1 IH Results'!$A$2:$C$101,2,0),0)+IFERROR(VLOOKUP(A114,'#0 IH Results'!$A$3:$C$102,2,0),0)</f>
        <v>14.01111112</v>
      </c>
    </row>
    <row r="115">
      <c r="A115" s="5" t="s">
        <v>111</v>
      </c>
      <c r="B115" s="6">
        <f>3*IFERROR(VLOOKUP(A115,'#15 IH Results'!$A$2:$C$301,2,0),0)+2*IFERROR(VLOOKUP(A115,'#14 IH Results'!$A$2:$C$302,2,0),0)+1.5*IFERROR(VLOOKUP(A115,'#13 IH Results'!$A$2:$C$302,2,0),0)+1.25*IFERROR(VLOOKUP(A115,'#12 IH Results'!$A$2:$C$302,2,0),0)+1.25*IFERROR(VLOOKUP(A115,'#11 IH Results'!$A$2:$C$302,2,0),0)+IFERROR(VLOOKUP(A115,'#10 IH Results'!$A$2:$C$302,2,0),0)+IFERROR(VLOOKUP(A115,'#9 IH Results'!$A$2:$C$302,2,0),0)+IFERROR(VLOOKUP(A115,'#8 IH Results'!$A$2:$C$302,2,0),0)+IFERROR(VLOOKUP(A115,'#7 IH Results'!$A$2:$C$302,2,0),0)+IFERROR(VLOOKUP(A115,'#6 IH Results'!$A$2:$C$302,2,0),0)+IFERROR(VLOOKUP(A115,'#5 IH Results'!$A$2:$C$303,2,0),0)+IFERROR(VLOOKUP(A115,'#4 IH Results'!$A$2:$C$300,2,0),0)+IFERROR(VLOOKUP(A115,'#3 IH Results'!$A$2:$C$101,2,0),0)+IFERROR(VLOOKUP(A115,'#2 IH Results'!$A$2:$C$101,2,0),0)+IFERROR(VLOOKUP(A115,'#1 IH Results'!$A$2:$C$101,2,0),0)+IFERROR(VLOOKUP(A115,'#0 IH Results'!$A$3:$C$102,2,0),0)</f>
        <v>13.95853458</v>
      </c>
    </row>
    <row r="116">
      <c r="A116" s="5" t="s">
        <v>120</v>
      </c>
      <c r="B116" s="6">
        <f>3*IFERROR(VLOOKUP(A116,'#15 IH Results'!$A$2:$C$301,2,0),0)+2*IFERROR(VLOOKUP(A116,'#14 IH Results'!$A$2:$C$302,2,0),0)+1.5*IFERROR(VLOOKUP(A116,'#13 IH Results'!$A$2:$C$302,2,0),0)+1.25*IFERROR(VLOOKUP(A116,'#12 IH Results'!$A$2:$C$302,2,0),0)+1.25*IFERROR(VLOOKUP(A116,'#11 IH Results'!$A$2:$C$302,2,0),0)+IFERROR(VLOOKUP(A116,'#10 IH Results'!$A$2:$C$302,2,0),0)+IFERROR(VLOOKUP(A116,'#9 IH Results'!$A$2:$C$302,2,0),0)+IFERROR(VLOOKUP(A116,'#8 IH Results'!$A$2:$C$302,2,0),0)+IFERROR(VLOOKUP(A116,'#7 IH Results'!$A$2:$C$302,2,0),0)+IFERROR(VLOOKUP(A116,'#6 IH Results'!$A$2:$C$302,2,0),0)+IFERROR(VLOOKUP(A116,'#5 IH Results'!$A$2:$C$303,2,0),0)+IFERROR(VLOOKUP(A116,'#4 IH Results'!$A$2:$C$300,2,0),0)+IFERROR(VLOOKUP(A116,'#3 IH Results'!$A$2:$C$101,2,0),0)+IFERROR(VLOOKUP(A116,'#2 IH Results'!$A$2:$C$101,2,0),0)+IFERROR(VLOOKUP(A116,'#1 IH Results'!$A$2:$C$101,2,0),0)+IFERROR(VLOOKUP(A116,'#0 IH Results'!$A$3:$C$102,2,0),0)</f>
        <v>13.74846425</v>
      </c>
    </row>
    <row r="117">
      <c r="A117" s="7" t="s">
        <v>138</v>
      </c>
      <c r="B117" s="6">
        <f>3*IFERROR(VLOOKUP(A117,'#15 IH Results'!$A$2:$C$301,2,0),0)+2*IFERROR(VLOOKUP(A117,'#14 IH Results'!$A$2:$C$302,2,0),0)+1.5*IFERROR(VLOOKUP(A117,'#13 IH Results'!$A$2:$C$302,2,0),0)+1.25*IFERROR(VLOOKUP(A117,'#12 IH Results'!$A$2:$C$302,2,0),0)+1.25*IFERROR(VLOOKUP(A117,'#11 IH Results'!$A$2:$C$302,2,0),0)+IFERROR(VLOOKUP(A117,'#10 IH Results'!$A$2:$C$302,2,0),0)+IFERROR(VLOOKUP(A117,'#9 IH Results'!$A$2:$C$302,2,0),0)+IFERROR(VLOOKUP(A117,'#8 IH Results'!$A$2:$C$302,2,0),0)+IFERROR(VLOOKUP(A117,'#7 IH Results'!$A$2:$C$302,2,0),0)+IFERROR(VLOOKUP(A117,'#6 IH Results'!$A$2:$C$302,2,0),0)+IFERROR(VLOOKUP(A117,'#5 IH Results'!$A$2:$C$303,2,0),0)+IFERROR(VLOOKUP(A117,'#4 IH Results'!$A$2:$C$300,2,0),0)+IFERROR(VLOOKUP(A117,'#3 IH Results'!$A$2:$C$101,2,0),0)+IFERROR(VLOOKUP(A117,'#2 IH Results'!$A$2:$C$101,2,0),0)+IFERROR(VLOOKUP(A117,'#1 IH Results'!$A$2:$C$101,2,0),0)+IFERROR(VLOOKUP(A117,'#0 IH Results'!$A$3:$C$102,2,0),0)</f>
        <v>13.5736671</v>
      </c>
    </row>
    <row r="118">
      <c r="A118" s="5" t="s">
        <v>117</v>
      </c>
      <c r="B118" s="6">
        <f>3*IFERROR(VLOOKUP(A118,'#15 IH Results'!$A$2:$C$301,2,0),0)+2*IFERROR(VLOOKUP(A118,'#14 IH Results'!$A$2:$C$302,2,0),0)+1.5*IFERROR(VLOOKUP(A118,'#13 IH Results'!$A$2:$C$302,2,0),0)+1.25*IFERROR(VLOOKUP(A118,'#12 IH Results'!$A$2:$C$302,2,0),0)+1.25*IFERROR(VLOOKUP(A118,'#11 IH Results'!$A$2:$C$302,2,0),0)+IFERROR(VLOOKUP(A118,'#10 IH Results'!$A$2:$C$302,2,0),0)+IFERROR(VLOOKUP(A118,'#9 IH Results'!$A$2:$C$302,2,0),0)+IFERROR(VLOOKUP(A118,'#8 IH Results'!$A$2:$C$302,2,0),0)+IFERROR(VLOOKUP(A118,'#7 IH Results'!$A$2:$C$302,2,0),0)+IFERROR(VLOOKUP(A118,'#6 IH Results'!$A$2:$C$302,2,0),0)+IFERROR(VLOOKUP(A118,'#5 IH Results'!$A$2:$C$303,2,0),0)+IFERROR(VLOOKUP(A118,'#4 IH Results'!$A$2:$C$300,2,0),0)+IFERROR(VLOOKUP(A118,'#3 IH Results'!$A$2:$C$101,2,0),0)+IFERROR(VLOOKUP(A118,'#2 IH Results'!$A$2:$C$101,2,0),0)+IFERROR(VLOOKUP(A118,'#1 IH Results'!$A$2:$C$101,2,0),0)+IFERROR(VLOOKUP(A118,'#0 IH Results'!$A$3:$C$102,2,0),0)</f>
        <v>13.54011857</v>
      </c>
    </row>
    <row r="119">
      <c r="A119" s="5" t="s">
        <v>110</v>
      </c>
      <c r="B119" s="6">
        <f>3*IFERROR(VLOOKUP(A119,'#15 IH Results'!$A$2:$C$301,2,0),0)+2*IFERROR(VLOOKUP(A119,'#14 IH Results'!$A$2:$C$302,2,0),0)+1.5*IFERROR(VLOOKUP(A119,'#13 IH Results'!$A$2:$C$302,2,0),0)+1.25*IFERROR(VLOOKUP(A119,'#12 IH Results'!$A$2:$C$302,2,0),0)+1.25*IFERROR(VLOOKUP(A119,'#11 IH Results'!$A$2:$C$302,2,0),0)+IFERROR(VLOOKUP(A119,'#10 IH Results'!$A$2:$C$302,2,0),0)+IFERROR(VLOOKUP(A119,'#9 IH Results'!$A$2:$C$302,2,0),0)+IFERROR(VLOOKUP(A119,'#8 IH Results'!$A$2:$C$302,2,0),0)+IFERROR(VLOOKUP(A119,'#7 IH Results'!$A$2:$C$302,2,0),0)+IFERROR(VLOOKUP(A119,'#6 IH Results'!$A$2:$C$302,2,0),0)+IFERROR(VLOOKUP(A119,'#5 IH Results'!$A$2:$C$303,2,0),0)+IFERROR(VLOOKUP(A119,'#4 IH Results'!$A$2:$C$300,2,0),0)+IFERROR(VLOOKUP(A119,'#3 IH Results'!$A$2:$C$101,2,0),0)+IFERROR(VLOOKUP(A119,'#2 IH Results'!$A$2:$C$101,2,0),0)+IFERROR(VLOOKUP(A119,'#1 IH Results'!$A$2:$C$101,2,0),0)+IFERROR(VLOOKUP(A119,'#0 IH Results'!$A$3:$C$102,2,0),0)</f>
        <v>13.45676808</v>
      </c>
    </row>
    <row r="120">
      <c r="A120" s="5" t="s">
        <v>131</v>
      </c>
      <c r="B120" s="6">
        <f>3*IFERROR(VLOOKUP(A120,'#15 IH Results'!$A$2:$C$301,2,0),0)+2*IFERROR(VLOOKUP(A120,'#14 IH Results'!$A$2:$C$302,2,0),0)+1.5*IFERROR(VLOOKUP(A120,'#13 IH Results'!$A$2:$C$302,2,0),0)+1.25*IFERROR(VLOOKUP(A120,'#12 IH Results'!$A$2:$C$302,2,0),0)+1.25*IFERROR(VLOOKUP(A120,'#11 IH Results'!$A$2:$C$302,2,0),0)+IFERROR(VLOOKUP(A120,'#10 IH Results'!$A$2:$C$302,2,0),0)+IFERROR(VLOOKUP(A120,'#9 IH Results'!$A$2:$C$302,2,0),0)+IFERROR(VLOOKUP(A120,'#8 IH Results'!$A$2:$C$302,2,0),0)+IFERROR(VLOOKUP(A120,'#7 IH Results'!$A$2:$C$302,2,0),0)+IFERROR(VLOOKUP(A120,'#6 IH Results'!$A$2:$C$302,2,0),0)+IFERROR(VLOOKUP(A120,'#5 IH Results'!$A$2:$C$303,2,0),0)+IFERROR(VLOOKUP(A120,'#4 IH Results'!$A$2:$C$300,2,0),0)+IFERROR(VLOOKUP(A120,'#3 IH Results'!$A$2:$C$101,2,0),0)+IFERROR(VLOOKUP(A120,'#2 IH Results'!$A$2:$C$101,2,0),0)+IFERROR(VLOOKUP(A120,'#1 IH Results'!$A$2:$C$101,2,0),0)+IFERROR(VLOOKUP(A120,'#0 IH Results'!$A$3:$C$102,2,0),0)</f>
        <v>13.21330206</v>
      </c>
    </row>
    <row r="121">
      <c r="A121" s="5" t="s">
        <v>116</v>
      </c>
      <c r="B121" s="6">
        <f>3*IFERROR(VLOOKUP(A121,'#15 IH Results'!$A$2:$C$301,2,0),0)+2*IFERROR(VLOOKUP(A121,'#14 IH Results'!$A$2:$C$302,2,0),0)+1.5*IFERROR(VLOOKUP(A121,'#13 IH Results'!$A$2:$C$302,2,0),0)+1.25*IFERROR(VLOOKUP(A121,'#12 IH Results'!$A$2:$C$302,2,0),0)+1.25*IFERROR(VLOOKUP(A121,'#11 IH Results'!$A$2:$C$302,2,0),0)+IFERROR(VLOOKUP(A121,'#10 IH Results'!$A$2:$C$302,2,0),0)+IFERROR(VLOOKUP(A121,'#9 IH Results'!$A$2:$C$302,2,0),0)+IFERROR(VLOOKUP(A121,'#8 IH Results'!$A$2:$C$302,2,0),0)+IFERROR(VLOOKUP(A121,'#7 IH Results'!$A$2:$C$302,2,0),0)+IFERROR(VLOOKUP(A121,'#6 IH Results'!$A$2:$C$302,2,0),0)+IFERROR(VLOOKUP(A121,'#5 IH Results'!$A$2:$C$303,2,0),0)+IFERROR(VLOOKUP(A121,'#4 IH Results'!$A$2:$C$300,2,0),0)+IFERROR(VLOOKUP(A121,'#3 IH Results'!$A$2:$C$101,2,0),0)+IFERROR(VLOOKUP(A121,'#2 IH Results'!$A$2:$C$101,2,0),0)+IFERROR(VLOOKUP(A121,'#1 IH Results'!$A$2:$C$101,2,0),0)+IFERROR(VLOOKUP(A121,'#0 IH Results'!$A$3:$C$102,2,0),0)</f>
        <v>12.46365575</v>
      </c>
    </row>
    <row r="122">
      <c r="A122" s="5" t="s">
        <v>118</v>
      </c>
      <c r="B122" s="6">
        <f>3*IFERROR(VLOOKUP(A122,'#15 IH Results'!$A$2:$C$301,2,0),0)+2*IFERROR(VLOOKUP(A122,'#14 IH Results'!$A$2:$C$302,2,0),0)+1.5*IFERROR(VLOOKUP(A122,'#13 IH Results'!$A$2:$C$302,2,0),0)+1.25*IFERROR(VLOOKUP(A122,'#12 IH Results'!$A$2:$C$302,2,0),0)+1.25*IFERROR(VLOOKUP(A122,'#11 IH Results'!$A$2:$C$302,2,0),0)+IFERROR(VLOOKUP(A122,'#10 IH Results'!$A$2:$C$302,2,0),0)+IFERROR(VLOOKUP(A122,'#9 IH Results'!$A$2:$C$302,2,0),0)+IFERROR(VLOOKUP(A122,'#8 IH Results'!$A$2:$C$302,2,0),0)+IFERROR(VLOOKUP(A122,'#7 IH Results'!$A$2:$C$302,2,0),0)+IFERROR(VLOOKUP(A122,'#6 IH Results'!$A$2:$C$302,2,0),0)+IFERROR(VLOOKUP(A122,'#5 IH Results'!$A$2:$C$303,2,0),0)+IFERROR(VLOOKUP(A122,'#4 IH Results'!$A$2:$C$300,2,0),0)+IFERROR(VLOOKUP(A122,'#3 IH Results'!$A$2:$C$101,2,0),0)+IFERROR(VLOOKUP(A122,'#2 IH Results'!$A$2:$C$101,2,0),0)+IFERROR(VLOOKUP(A122,'#1 IH Results'!$A$2:$C$101,2,0),0)+IFERROR(VLOOKUP(A122,'#0 IH Results'!$A$3:$C$102,2,0),0)</f>
        <v>12.22257879</v>
      </c>
    </row>
    <row r="123">
      <c r="A123" s="5" t="s">
        <v>162</v>
      </c>
      <c r="B123" s="6">
        <f>3*IFERROR(VLOOKUP(A123,'#15 IH Results'!$A$2:$C$301,2,0),0)+2*IFERROR(VLOOKUP(A123,'#14 IH Results'!$A$2:$C$302,2,0),0)+1.5*IFERROR(VLOOKUP(A123,'#13 IH Results'!$A$2:$C$302,2,0),0)+1.25*IFERROR(VLOOKUP(A123,'#12 IH Results'!$A$2:$C$302,2,0),0)+1.25*IFERROR(VLOOKUP(A123,'#11 IH Results'!$A$2:$C$302,2,0),0)+IFERROR(VLOOKUP(A123,'#10 IH Results'!$A$2:$C$302,2,0),0)+IFERROR(VLOOKUP(A123,'#9 IH Results'!$A$2:$C$302,2,0),0)+IFERROR(VLOOKUP(A123,'#8 IH Results'!$A$2:$C$302,2,0),0)+IFERROR(VLOOKUP(A123,'#7 IH Results'!$A$2:$C$302,2,0),0)+IFERROR(VLOOKUP(A123,'#6 IH Results'!$A$2:$C$302,2,0),0)+IFERROR(VLOOKUP(A123,'#5 IH Results'!$A$2:$C$303,2,0),0)+IFERROR(VLOOKUP(A123,'#4 IH Results'!$A$2:$C$300,2,0),0)+IFERROR(VLOOKUP(A123,'#3 IH Results'!$A$2:$C$101,2,0),0)+IFERROR(VLOOKUP(A123,'#2 IH Results'!$A$2:$C$101,2,0),0)+IFERROR(VLOOKUP(A123,'#1 IH Results'!$A$2:$C$101,2,0),0)+IFERROR(VLOOKUP(A123,'#0 IH Results'!$A$3:$C$102,2,0),0)</f>
        <v>12.14104598</v>
      </c>
    </row>
    <row r="124">
      <c r="A124" s="5" t="s">
        <v>137</v>
      </c>
      <c r="B124" s="6">
        <f>3*IFERROR(VLOOKUP(A124,'#15 IH Results'!$A$2:$C$301,2,0),0)+2*IFERROR(VLOOKUP(A124,'#14 IH Results'!$A$2:$C$302,2,0),0)+1.5*IFERROR(VLOOKUP(A124,'#13 IH Results'!$A$2:$C$302,2,0),0)+1.25*IFERROR(VLOOKUP(A124,'#12 IH Results'!$A$2:$C$302,2,0),0)+1.25*IFERROR(VLOOKUP(A124,'#11 IH Results'!$A$2:$C$302,2,0),0)+IFERROR(VLOOKUP(A124,'#10 IH Results'!$A$2:$C$302,2,0),0)+IFERROR(VLOOKUP(A124,'#9 IH Results'!$A$2:$C$302,2,0),0)+IFERROR(VLOOKUP(A124,'#8 IH Results'!$A$2:$C$302,2,0),0)+IFERROR(VLOOKUP(A124,'#7 IH Results'!$A$2:$C$302,2,0),0)+IFERROR(VLOOKUP(A124,'#6 IH Results'!$A$2:$C$302,2,0),0)+IFERROR(VLOOKUP(A124,'#5 IH Results'!$A$2:$C$303,2,0),0)+IFERROR(VLOOKUP(A124,'#4 IH Results'!$A$2:$C$300,2,0),0)+IFERROR(VLOOKUP(A124,'#3 IH Results'!$A$2:$C$101,2,0),0)+IFERROR(VLOOKUP(A124,'#2 IH Results'!$A$2:$C$101,2,0),0)+IFERROR(VLOOKUP(A124,'#1 IH Results'!$A$2:$C$101,2,0),0)+IFERROR(VLOOKUP(A124,'#0 IH Results'!$A$3:$C$102,2,0),0)</f>
        <v>12.09671597</v>
      </c>
    </row>
    <row r="125">
      <c r="A125" s="5" t="s">
        <v>109</v>
      </c>
      <c r="B125" s="6">
        <f>3*IFERROR(VLOOKUP(A125,'#15 IH Results'!$A$2:$C$301,2,0),0)+2*IFERROR(VLOOKUP(A125,'#14 IH Results'!$A$2:$C$302,2,0),0)+1.5*IFERROR(VLOOKUP(A125,'#13 IH Results'!$A$2:$C$302,2,0),0)+1.25*IFERROR(VLOOKUP(A125,'#12 IH Results'!$A$2:$C$302,2,0),0)+1.25*IFERROR(VLOOKUP(A125,'#11 IH Results'!$A$2:$C$302,2,0),0)+IFERROR(VLOOKUP(A125,'#10 IH Results'!$A$2:$C$302,2,0),0)+IFERROR(VLOOKUP(A125,'#9 IH Results'!$A$2:$C$302,2,0),0)+IFERROR(VLOOKUP(A125,'#8 IH Results'!$A$2:$C$302,2,0),0)+IFERROR(VLOOKUP(A125,'#7 IH Results'!$A$2:$C$302,2,0),0)+IFERROR(VLOOKUP(A125,'#6 IH Results'!$A$2:$C$302,2,0),0)+IFERROR(VLOOKUP(A125,'#5 IH Results'!$A$2:$C$303,2,0),0)+IFERROR(VLOOKUP(A125,'#4 IH Results'!$A$2:$C$300,2,0),0)+IFERROR(VLOOKUP(A125,'#3 IH Results'!$A$2:$C$101,2,0),0)+IFERROR(VLOOKUP(A125,'#2 IH Results'!$A$2:$C$101,2,0),0)+IFERROR(VLOOKUP(A125,'#1 IH Results'!$A$2:$C$101,2,0),0)+IFERROR(VLOOKUP(A125,'#0 IH Results'!$A$3:$C$102,2,0),0)</f>
        <v>12.04405968</v>
      </c>
    </row>
    <row r="126">
      <c r="A126" s="5" t="s">
        <v>129</v>
      </c>
      <c r="B126" s="6">
        <f>3*IFERROR(VLOOKUP(A126,'#15 IH Results'!$A$2:$C$301,2,0),0)+2*IFERROR(VLOOKUP(A126,'#14 IH Results'!$A$2:$C$302,2,0),0)+1.5*IFERROR(VLOOKUP(A126,'#13 IH Results'!$A$2:$C$302,2,0),0)+1.25*IFERROR(VLOOKUP(A126,'#12 IH Results'!$A$2:$C$302,2,0),0)+1.25*IFERROR(VLOOKUP(A126,'#11 IH Results'!$A$2:$C$302,2,0),0)+IFERROR(VLOOKUP(A126,'#10 IH Results'!$A$2:$C$302,2,0),0)+IFERROR(VLOOKUP(A126,'#9 IH Results'!$A$2:$C$302,2,0),0)+IFERROR(VLOOKUP(A126,'#8 IH Results'!$A$2:$C$302,2,0),0)+IFERROR(VLOOKUP(A126,'#7 IH Results'!$A$2:$C$302,2,0),0)+IFERROR(VLOOKUP(A126,'#6 IH Results'!$A$2:$C$302,2,0),0)+IFERROR(VLOOKUP(A126,'#5 IH Results'!$A$2:$C$303,2,0),0)+IFERROR(VLOOKUP(A126,'#4 IH Results'!$A$2:$C$300,2,0),0)+IFERROR(VLOOKUP(A126,'#3 IH Results'!$A$2:$C$101,2,0),0)+IFERROR(VLOOKUP(A126,'#2 IH Results'!$A$2:$C$101,2,0),0)+IFERROR(VLOOKUP(A126,'#1 IH Results'!$A$2:$C$101,2,0),0)+IFERROR(VLOOKUP(A126,'#0 IH Results'!$A$3:$C$102,2,0),0)</f>
        <v>11.74542506</v>
      </c>
    </row>
    <row r="127">
      <c r="A127" s="5" t="s">
        <v>123</v>
      </c>
      <c r="B127" s="6">
        <f>3*IFERROR(VLOOKUP(A127,'#15 IH Results'!$A$2:$C$301,2,0),0)+2*IFERROR(VLOOKUP(A127,'#14 IH Results'!$A$2:$C$302,2,0),0)+1.5*IFERROR(VLOOKUP(A127,'#13 IH Results'!$A$2:$C$302,2,0),0)+1.25*IFERROR(VLOOKUP(A127,'#12 IH Results'!$A$2:$C$302,2,0),0)+1.25*IFERROR(VLOOKUP(A127,'#11 IH Results'!$A$2:$C$302,2,0),0)+IFERROR(VLOOKUP(A127,'#10 IH Results'!$A$2:$C$302,2,0),0)+IFERROR(VLOOKUP(A127,'#9 IH Results'!$A$2:$C$302,2,0),0)+IFERROR(VLOOKUP(A127,'#8 IH Results'!$A$2:$C$302,2,0),0)+IFERROR(VLOOKUP(A127,'#7 IH Results'!$A$2:$C$302,2,0),0)+IFERROR(VLOOKUP(A127,'#6 IH Results'!$A$2:$C$302,2,0),0)+IFERROR(VLOOKUP(A127,'#5 IH Results'!$A$2:$C$303,2,0),0)+IFERROR(VLOOKUP(A127,'#4 IH Results'!$A$2:$C$300,2,0),0)+IFERROR(VLOOKUP(A127,'#3 IH Results'!$A$2:$C$101,2,0),0)+IFERROR(VLOOKUP(A127,'#2 IH Results'!$A$2:$C$101,2,0),0)+IFERROR(VLOOKUP(A127,'#1 IH Results'!$A$2:$C$101,2,0),0)+IFERROR(VLOOKUP(A127,'#0 IH Results'!$A$3:$C$102,2,0),0)</f>
        <v>11.718862</v>
      </c>
    </row>
    <row r="128">
      <c r="A128" s="5" t="s">
        <v>124</v>
      </c>
      <c r="B128" s="6">
        <f>3*IFERROR(VLOOKUP(A128,'#15 IH Results'!$A$2:$C$301,2,0),0)+2*IFERROR(VLOOKUP(A128,'#14 IH Results'!$A$2:$C$302,2,0),0)+1.5*IFERROR(VLOOKUP(A128,'#13 IH Results'!$A$2:$C$302,2,0),0)+1.25*IFERROR(VLOOKUP(A128,'#12 IH Results'!$A$2:$C$302,2,0),0)+1.25*IFERROR(VLOOKUP(A128,'#11 IH Results'!$A$2:$C$302,2,0),0)+IFERROR(VLOOKUP(A128,'#10 IH Results'!$A$2:$C$302,2,0),0)+IFERROR(VLOOKUP(A128,'#9 IH Results'!$A$2:$C$302,2,0),0)+IFERROR(VLOOKUP(A128,'#8 IH Results'!$A$2:$C$302,2,0),0)+IFERROR(VLOOKUP(A128,'#7 IH Results'!$A$2:$C$302,2,0),0)+IFERROR(VLOOKUP(A128,'#6 IH Results'!$A$2:$C$302,2,0),0)+IFERROR(VLOOKUP(A128,'#5 IH Results'!$A$2:$C$303,2,0),0)+IFERROR(VLOOKUP(A128,'#4 IH Results'!$A$2:$C$300,2,0),0)+IFERROR(VLOOKUP(A128,'#3 IH Results'!$A$2:$C$101,2,0),0)+IFERROR(VLOOKUP(A128,'#2 IH Results'!$A$2:$C$101,2,0),0)+IFERROR(VLOOKUP(A128,'#1 IH Results'!$A$2:$C$101,2,0),0)+IFERROR(VLOOKUP(A128,'#0 IH Results'!$A$3:$C$102,2,0),0)</f>
        <v>11.58826764</v>
      </c>
    </row>
    <row r="129">
      <c r="A129" s="5" t="s">
        <v>127</v>
      </c>
      <c r="B129" s="6">
        <f>3*IFERROR(VLOOKUP(A129,'#15 IH Results'!$A$2:$C$301,2,0),0)+2*IFERROR(VLOOKUP(A129,'#14 IH Results'!$A$2:$C$302,2,0),0)+1.5*IFERROR(VLOOKUP(A129,'#13 IH Results'!$A$2:$C$302,2,0),0)+1.25*IFERROR(VLOOKUP(A129,'#12 IH Results'!$A$2:$C$302,2,0),0)+1.25*IFERROR(VLOOKUP(A129,'#11 IH Results'!$A$2:$C$302,2,0),0)+IFERROR(VLOOKUP(A129,'#10 IH Results'!$A$2:$C$302,2,0),0)+IFERROR(VLOOKUP(A129,'#9 IH Results'!$A$2:$C$302,2,0),0)+IFERROR(VLOOKUP(A129,'#8 IH Results'!$A$2:$C$302,2,0),0)+IFERROR(VLOOKUP(A129,'#7 IH Results'!$A$2:$C$302,2,0),0)+IFERROR(VLOOKUP(A129,'#6 IH Results'!$A$2:$C$302,2,0),0)+IFERROR(VLOOKUP(A129,'#5 IH Results'!$A$2:$C$303,2,0),0)+IFERROR(VLOOKUP(A129,'#4 IH Results'!$A$2:$C$300,2,0),0)+IFERROR(VLOOKUP(A129,'#3 IH Results'!$A$2:$C$101,2,0),0)+IFERROR(VLOOKUP(A129,'#2 IH Results'!$A$2:$C$101,2,0),0)+IFERROR(VLOOKUP(A129,'#1 IH Results'!$A$2:$C$101,2,0),0)+IFERROR(VLOOKUP(A129,'#0 IH Results'!$A$3:$C$102,2,0),0)</f>
        <v>11.34569489</v>
      </c>
    </row>
    <row r="130">
      <c r="A130" s="5" t="s">
        <v>158</v>
      </c>
      <c r="B130" s="6">
        <f>3*IFERROR(VLOOKUP(A130,'#15 IH Results'!$A$2:$C$301,2,0),0)+2*IFERROR(VLOOKUP(A130,'#14 IH Results'!$A$2:$C$302,2,0),0)+1.5*IFERROR(VLOOKUP(A130,'#13 IH Results'!$A$2:$C$302,2,0),0)+1.25*IFERROR(VLOOKUP(A130,'#12 IH Results'!$A$2:$C$302,2,0),0)+1.25*IFERROR(VLOOKUP(A130,'#11 IH Results'!$A$2:$C$302,2,0),0)+IFERROR(VLOOKUP(A130,'#10 IH Results'!$A$2:$C$302,2,0),0)+IFERROR(VLOOKUP(A130,'#9 IH Results'!$A$2:$C$302,2,0),0)+IFERROR(VLOOKUP(A130,'#8 IH Results'!$A$2:$C$302,2,0),0)+IFERROR(VLOOKUP(A130,'#7 IH Results'!$A$2:$C$302,2,0),0)+IFERROR(VLOOKUP(A130,'#6 IH Results'!$A$2:$C$302,2,0),0)+IFERROR(VLOOKUP(A130,'#5 IH Results'!$A$2:$C$303,2,0),0)+IFERROR(VLOOKUP(A130,'#4 IH Results'!$A$2:$C$300,2,0),0)+IFERROR(VLOOKUP(A130,'#3 IH Results'!$A$2:$C$101,2,0),0)+IFERROR(VLOOKUP(A130,'#2 IH Results'!$A$2:$C$101,2,0),0)+IFERROR(VLOOKUP(A130,'#1 IH Results'!$A$2:$C$101,2,0),0)+IFERROR(VLOOKUP(A130,'#0 IH Results'!$A$3:$C$102,2,0),0)</f>
        <v>10.90068614</v>
      </c>
    </row>
    <row r="131">
      <c r="A131" s="5" t="s">
        <v>157</v>
      </c>
      <c r="B131" s="6">
        <f>3*IFERROR(VLOOKUP(A131,'#15 IH Results'!$A$2:$C$301,2,0),0)+2*IFERROR(VLOOKUP(A131,'#14 IH Results'!$A$2:$C$302,2,0),0)+1.5*IFERROR(VLOOKUP(A131,'#13 IH Results'!$A$2:$C$302,2,0),0)+1.25*IFERROR(VLOOKUP(A131,'#12 IH Results'!$A$2:$C$302,2,0),0)+1.25*IFERROR(VLOOKUP(A131,'#11 IH Results'!$A$2:$C$302,2,0),0)+IFERROR(VLOOKUP(A131,'#10 IH Results'!$A$2:$C$302,2,0),0)+IFERROR(VLOOKUP(A131,'#9 IH Results'!$A$2:$C$302,2,0),0)+IFERROR(VLOOKUP(A131,'#8 IH Results'!$A$2:$C$302,2,0),0)+IFERROR(VLOOKUP(A131,'#7 IH Results'!$A$2:$C$302,2,0),0)+IFERROR(VLOOKUP(A131,'#6 IH Results'!$A$2:$C$302,2,0),0)+IFERROR(VLOOKUP(A131,'#5 IH Results'!$A$2:$C$303,2,0),0)+IFERROR(VLOOKUP(A131,'#4 IH Results'!$A$2:$C$300,2,0),0)+IFERROR(VLOOKUP(A131,'#3 IH Results'!$A$2:$C$101,2,0),0)+IFERROR(VLOOKUP(A131,'#2 IH Results'!$A$2:$C$101,2,0),0)+IFERROR(VLOOKUP(A131,'#1 IH Results'!$A$2:$C$101,2,0),0)+IFERROR(VLOOKUP(A131,'#0 IH Results'!$A$3:$C$102,2,0),0)</f>
        <v>10.57249366</v>
      </c>
    </row>
    <row r="132">
      <c r="A132" s="5" t="s">
        <v>134</v>
      </c>
      <c r="B132" s="6">
        <f>3*IFERROR(VLOOKUP(A132,'#15 IH Results'!$A$2:$C$301,2,0),0)+2*IFERROR(VLOOKUP(A132,'#14 IH Results'!$A$2:$C$302,2,0),0)+1.5*IFERROR(VLOOKUP(A132,'#13 IH Results'!$A$2:$C$302,2,0),0)+1.25*IFERROR(VLOOKUP(A132,'#12 IH Results'!$A$2:$C$302,2,0),0)+1.25*IFERROR(VLOOKUP(A132,'#11 IH Results'!$A$2:$C$302,2,0),0)+IFERROR(VLOOKUP(A132,'#10 IH Results'!$A$2:$C$302,2,0),0)+IFERROR(VLOOKUP(A132,'#9 IH Results'!$A$2:$C$302,2,0),0)+IFERROR(VLOOKUP(A132,'#8 IH Results'!$A$2:$C$302,2,0),0)+IFERROR(VLOOKUP(A132,'#7 IH Results'!$A$2:$C$302,2,0),0)+IFERROR(VLOOKUP(A132,'#6 IH Results'!$A$2:$C$302,2,0),0)+IFERROR(VLOOKUP(A132,'#5 IH Results'!$A$2:$C$303,2,0),0)+IFERROR(VLOOKUP(A132,'#4 IH Results'!$A$2:$C$300,2,0),0)+IFERROR(VLOOKUP(A132,'#3 IH Results'!$A$2:$C$101,2,0),0)+IFERROR(VLOOKUP(A132,'#2 IH Results'!$A$2:$C$101,2,0),0)+IFERROR(VLOOKUP(A132,'#1 IH Results'!$A$2:$C$101,2,0),0)+IFERROR(VLOOKUP(A132,'#0 IH Results'!$A$3:$C$102,2,0),0)</f>
        <v>10.2793981</v>
      </c>
    </row>
    <row r="133">
      <c r="A133" s="5" t="s">
        <v>171</v>
      </c>
      <c r="B133" s="6">
        <f>3*IFERROR(VLOOKUP(A133,'#15 IH Results'!$A$2:$C$301,2,0),0)+2*IFERROR(VLOOKUP(A133,'#14 IH Results'!$A$2:$C$302,2,0),0)+1.5*IFERROR(VLOOKUP(A133,'#13 IH Results'!$A$2:$C$302,2,0),0)+1.25*IFERROR(VLOOKUP(A133,'#12 IH Results'!$A$2:$C$302,2,0),0)+1.25*IFERROR(VLOOKUP(A133,'#11 IH Results'!$A$2:$C$302,2,0),0)+IFERROR(VLOOKUP(A133,'#10 IH Results'!$A$2:$C$302,2,0),0)+IFERROR(VLOOKUP(A133,'#9 IH Results'!$A$2:$C$302,2,0),0)+IFERROR(VLOOKUP(A133,'#8 IH Results'!$A$2:$C$302,2,0),0)+IFERROR(VLOOKUP(A133,'#7 IH Results'!$A$2:$C$302,2,0),0)+IFERROR(VLOOKUP(A133,'#6 IH Results'!$A$2:$C$302,2,0),0)+IFERROR(VLOOKUP(A133,'#5 IH Results'!$A$2:$C$303,2,0),0)+IFERROR(VLOOKUP(A133,'#4 IH Results'!$A$2:$C$300,2,0),0)+IFERROR(VLOOKUP(A133,'#3 IH Results'!$A$2:$C$101,2,0),0)+IFERROR(VLOOKUP(A133,'#2 IH Results'!$A$2:$C$101,2,0),0)+IFERROR(VLOOKUP(A133,'#1 IH Results'!$A$2:$C$101,2,0),0)+IFERROR(VLOOKUP(A133,'#0 IH Results'!$A$3:$C$102,2,0),0)</f>
        <v>9.908227502</v>
      </c>
    </row>
    <row r="134">
      <c r="A134" s="5" t="s">
        <v>126</v>
      </c>
      <c r="B134" s="6">
        <f>3*IFERROR(VLOOKUP(A134,'#15 IH Results'!$A$2:$C$301,2,0),0)+2*IFERROR(VLOOKUP(A134,'#14 IH Results'!$A$2:$C$302,2,0),0)+1.5*IFERROR(VLOOKUP(A134,'#13 IH Results'!$A$2:$C$302,2,0),0)+1.25*IFERROR(VLOOKUP(A134,'#12 IH Results'!$A$2:$C$302,2,0),0)+1.25*IFERROR(VLOOKUP(A134,'#11 IH Results'!$A$2:$C$302,2,0),0)+IFERROR(VLOOKUP(A134,'#10 IH Results'!$A$2:$C$302,2,0),0)+IFERROR(VLOOKUP(A134,'#9 IH Results'!$A$2:$C$302,2,0),0)+IFERROR(VLOOKUP(A134,'#8 IH Results'!$A$2:$C$302,2,0),0)+IFERROR(VLOOKUP(A134,'#7 IH Results'!$A$2:$C$302,2,0),0)+IFERROR(VLOOKUP(A134,'#6 IH Results'!$A$2:$C$302,2,0),0)+IFERROR(VLOOKUP(A134,'#5 IH Results'!$A$2:$C$303,2,0),0)+IFERROR(VLOOKUP(A134,'#4 IH Results'!$A$2:$C$300,2,0),0)+IFERROR(VLOOKUP(A134,'#3 IH Results'!$A$2:$C$101,2,0),0)+IFERROR(VLOOKUP(A134,'#2 IH Results'!$A$2:$C$101,2,0),0)+IFERROR(VLOOKUP(A134,'#1 IH Results'!$A$2:$C$101,2,0),0)+IFERROR(VLOOKUP(A134,'#0 IH Results'!$A$3:$C$102,2,0),0)</f>
        <v>9.884198827</v>
      </c>
    </row>
    <row r="135">
      <c r="A135" s="5" t="s">
        <v>135</v>
      </c>
      <c r="B135" s="6">
        <f>3*IFERROR(VLOOKUP(A135,'#15 IH Results'!$A$2:$C$301,2,0),0)+2*IFERROR(VLOOKUP(A135,'#14 IH Results'!$A$2:$C$302,2,0),0)+1.5*IFERROR(VLOOKUP(A135,'#13 IH Results'!$A$2:$C$302,2,0),0)+1.25*IFERROR(VLOOKUP(A135,'#12 IH Results'!$A$2:$C$302,2,0),0)+1.25*IFERROR(VLOOKUP(A135,'#11 IH Results'!$A$2:$C$302,2,0),0)+IFERROR(VLOOKUP(A135,'#10 IH Results'!$A$2:$C$302,2,0),0)+IFERROR(VLOOKUP(A135,'#9 IH Results'!$A$2:$C$302,2,0),0)+IFERROR(VLOOKUP(A135,'#8 IH Results'!$A$2:$C$302,2,0),0)+IFERROR(VLOOKUP(A135,'#7 IH Results'!$A$2:$C$302,2,0),0)+IFERROR(VLOOKUP(A135,'#6 IH Results'!$A$2:$C$302,2,0),0)+IFERROR(VLOOKUP(A135,'#5 IH Results'!$A$2:$C$303,2,0),0)+IFERROR(VLOOKUP(A135,'#4 IH Results'!$A$2:$C$300,2,0),0)+IFERROR(VLOOKUP(A135,'#3 IH Results'!$A$2:$C$101,2,0),0)+IFERROR(VLOOKUP(A135,'#2 IH Results'!$A$2:$C$101,2,0),0)+IFERROR(VLOOKUP(A135,'#1 IH Results'!$A$2:$C$101,2,0),0)+IFERROR(VLOOKUP(A135,'#0 IH Results'!$A$3:$C$102,2,0),0)</f>
        <v>9.784169235</v>
      </c>
    </row>
    <row r="136">
      <c r="A136" s="5" t="s">
        <v>121</v>
      </c>
      <c r="B136" s="6">
        <f>3*IFERROR(VLOOKUP(A136,'#15 IH Results'!$A$2:$C$301,2,0),0)+2*IFERROR(VLOOKUP(A136,'#14 IH Results'!$A$2:$C$302,2,0),0)+1.5*IFERROR(VLOOKUP(A136,'#13 IH Results'!$A$2:$C$302,2,0),0)+1.25*IFERROR(VLOOKUP(A136,'#12 IH Results'!$A$2:$C$302,2,0),0)+1.25*IFERROR(VLOOKUP(A136,'#11 IH Results'!$A$2:$C$302,2,0),0)+IFERROR(VLOOKUP(A136,'#10 IH Results'!$A$2:$C$302,2,0),0)+IFERROR(VLOOKUP(A136,'#9 IH Results'!$A$2:$C$302,2,0),0)+IFERROR(VLOOKUP(A136,'#8 IH Results'!$A$2:$C$302,2,0),0)+IFERROR(VLOOKUP(A136,'#7 IH Results'!$A$2:$C$302,2,0),0)+IFERROR(VLOOKUP(A136,'#6 IH Results'!$A$2:$C$302,2,0),0)+IFERROR(VLOOKUP(A136,'#5 IH Results'!$A$2:$C$303,2,0),0)+IFERROR(VLOOKUP(A136,'#4 IH Results'!$A$2:$C$300,2,0),0)+IFERROR(VLOOKUP(A136,'#3 IH Results'!$A$2:$C$101,2,0),0)+IFERROR(VLOOKUP(A136,'#2 IH Results'!$A$2:$C$101,2,0),0)+IFERROR(VLOOKUP(A136,'#1 IH Results'!$A$2:$C$101,2,0),0)+IFERROR(VLOOKUP(A136,'#0 IH Results'!$A$3:$C$102,2,0),0)</f>
        <v>9.730459982</v>
      </c>
    </row>
    <row r="137">
      <c r="A137" s="5" t="s">
        <v>142</v>
      </c>
      <c r="B137" s="6">
        <f>3*IFERROR(VLOOKUP(A137,'#15 IH Results'!$A$2:$C$301,2,0),0)+2*IFERROR(VLOOKUP(A137,'#14 IH Results'!$A$2:$C$302,2,0),0)+1.5*IFERROR(VLOOKUP(A137,'#13 IH Results'!$A$2:$C$302,2,0),0)+1.25*IFERROR(VLOOKUP(A137,'#12 IH Results'!$A$2:$C$302,2,0),0)+1.25*IFERROR(VLOOKUP(A137,'#11 IH Results'!$A$2:$C$302,2,0),0)+IFERROR(VLOOKUP(A137,'#10 IH Results'!$A$2:$C$302,2,0),0)+IFERROR(VLOOKUP(A137,'#9 IH Results'!$A$2:$C$302,2,0),0)+IFERROR(VLOOKUP(A137,'#8 IH Results'!$A$2:$C$302,2,0),0)+IFERROR(VLOOKUP(A137,'#7 IH Results'!$A$2:$C$302,2,0),0)+IFERROR(VLOOKUP(A137,'#6 IH Results'!$A$2:$C$302,2,0),0)+IFERROR(VLOOKUP(A137,'#5 IH Results'!$A$2:$C$303,2,0),0)+IFERROR(VLOOKUP(A137,'#4 IH Results'!$A$2:$C$300,2,0),0)+IFERROR(VLOOKUP(A137,'#3 IH Results'!$A$2:$C$101,2,0),0)+IFERROR(VLOOKUP(A137,'#2 IH Results'!$A$2:$C$101,2,0),0)+IFERROR(VLOOKUP(A137,'#1 IH Results'!$A$2:$C$101,2,0),0)+IFERROR(VLOOKUP(A137,'#0 IH Results'!$A$3:$C$102,2,0),0)</f>
        <v>9.67205367</v>
      </c>
    </row>
    <row r="138">
      <c r="A138" s="5" t="s">
        <v>132</v>
      </c>
      <c r="B138" s="6">
        <f>3*IFERROR(VLOOKUP(A138,'#15 IH Results'!$A$2:$C$301,2,0),0)+2*IFERROR(VLOOKUP(A138,'#14 IH Results'!$A$2:$C$302,2,0),0)+1.5*IFERROR(VLOOKUP(A138,'#13 IH Results'!$A$2:$C$302,2,0),0)+1.25*IFERROR(VLOOKUP(A138,'#12 IH Results'!$A$2:$C$302,2,0),0)+1.25*IFERROR(VLOOKUP(A138,'#11 IH Results'!$A$2:$C$302,2,0),0)+IFERROR(VLOOKUP(A138,'#10 IH Results'!$A$2:$C$302,2,0),0)+IFERROR(VLOOKUP(A138,'#9 IH Results'!$A$2:$C$302,2,0),0)+IFERROR(VLOOKUP(A138,'#8 IH Results'!$A$2:$C$302,2,0),0)+IFERROR(VLOOKUP(A138,'#7 IH Results'!$A$2:$C$302,2,0),0)+IFERROR(VLOOKUP(A138,'#6 IH Results'!$A$2:$C$302,2,0),0)+IFERROR(VLOOKUP(A138,'#5 IH Results'!$A$2:$C$303,2,0),0)+IFERROR(VLOOKUP(A138,'#4 IH Results'!$A$2:$C$300,2,0),0)+IFERROR(VLOOKUP(A138,'#3 IH Results'!$A$2:$C$101,2,0),0)+IFERROR(VLOOKUP(A138,'#2 IH Results'!$A$2:$C$101,2,0),0)+IFERROR(VLOOKUP(A138,'#1 IH Results'!$A$2:$C$101,2,0),0)+IFERROR(VLOOKUP(A138,'#0 IH Results'!$A$3:$C$102,2,0),0)</f>
        <v>9.638906632</v>
      </c>
    </row>
    <row r="139">
      <c r="A139" s="5" t="s">
        <v>148</v>
      </c>
      <c r="B139" s="6">
        <f>3*IFERROR(VLOOKUP(A139,'#15 IH Results'!$A$2:$C$301,2,0),0)+2*IFERROR(VLOOKUP(A139,'#14 IH Results'!$A$2:$C$302,2,0),0)+1.5*IFERROR(VLOOKUP(A139,'#13 IH Results'!$A$2:$C$302,2,0),0)+1.25*IFERROR(VLOOKUP(A139,'#12 IH Results'!$A$2:$C$302,2,0),0)+1.25*IFERROR(VLOOKUP(A139,'#11 IH Results'!$A$2:$C$302,2,0),0)+IFERROR(VLOOKUP(A139,'#10 IH Results'!$A$2:$C$302,2,0),0)+IFERROR(VLOOKUP(A139,'#9 IH Results'!$A$2:$C$302,2,0),0)+IFERROR(VLOOKUP(A139,'#8 IH Results'!$A$2:$C$302,2,0),0)+IFERROR(VLOOKUP(A139,'#7 IH Results'!$A$2:$C$302,2,0),0)+IFERROR(VLOOKUP(A139,'#6 IH Results'!$A$2:$C$302,2,0),0)+IFERROR(VLOOKUP(A139,'#5 IH Results'!$A$2:$C$303,2,0),0)+IFERROR(VLOOKUP(A139,'#4 IH Results'!$A$2:$C$300,2,0),0)+IFERROR(VLOOKUP(A139,'#3 IH Results'!$A$2:$C$101,2,0),0)+IFERROR(VLOOKUP(A139,'#2 IH Results'!$A$2:$C$101,2,0),0)+IFERROR(VLOOKUP(A139,'#1 IH Results'!$A$2:$C$101,2,0),0)+IFERROR(VLOOKUP(A139,'#0 IH Results'!$A$3:$C$102,2,0),0)</f>
        <v>9.527586666</v>
      </c>
    </row>
    <row r="140">
      <c r="A140" s="5" t="s">
        <v>173</v>
      </c>
      <c r="B140" s="6">
        <f>3*IFERROR(VLOOKUP(A140,'#15 IH Results'!$A$2:$C$301,2,0),0)+2*IFERROR(VLOOKUP(A140,'#14 IH Results'!$A$2:$C$302,2,0),0)+1.5*IFERROR(VLOOKUP(A140,'#13 IH Results'!$A$2:$C$302,2,0),0)+1.25*IFERROR(VLOOKUP(A140,'#12 IH Results'!$A$2:$C$302,2,0),0)+1.25*IFERROR(VLOOKUP(A140,'#11 IH Results'!$A$2:$C$302,2,0),0)+IFERROR(VLOOKUP(A140,'#10 IH Results'!$A$2:$C$302,2,0),0)+IFERROR(VLOOKUP(A140,'#9 IH Results'!$A$2:$C$302,2,0),0)+IFERROR(VLOOKUP(A140,'#8 IH Results'!$A$2:$C$302,2,0),0)+IFERROR(VLOOKUP(A140,'#7 IH Results'!$A$2:$C$302,2,0),0)+IFERROR(VLOOKUP(A140,'#6 IH Results'!$A$2:$C$302,2,0),0)+IFERROR(VLOOKUP(A140,'#5 IH Results'!$A$2:$C$303,2,0),0)+IFERROR(VLOOKUP(A140,'#4 IH Results'!$A$2:$C$300,2,0),0)+IFERROR(VLOOKUP(A140,'#3 IH Results'!$A$2:$C$101,2,0),0)+IFERROR(VLOOKUP(A140,'#2 IH Results'!$A$2:$C$101,2,0),0)+IFERROR(VLOOKUP(A140,'#1 IH Results'!$A$2:$C$101,2,0),0)+IFERROR(VLOOKUP(A140,'#0 IH Results'!$A$3:$C$102,2,0),0)</f>
        <v>9.42666173</v>
      </c>
    </row>
    <row r="141">
      <c r="A141" s="5" t="s">
        <v>172</v>
      </c>
      <c r="B141" s="6">
        <f>3*IFERROR(VLOOKUP(A141,'#15 IH Results'!$A$2:$C$301,2,0),0)+2*IFERROR(VLOOKUP(A141,'#14 IH Results'!$A$2:$C$302,2,0),0)+1.5*IFERROR(VLOOKUP(A141,'#13 IH Results'!$A$2:$C$302,2,0),0)+1.25*IFERROR(VLOOKUP(A141,'#12 IH Results'!$A$2:$C$302,2,0),0)+1.25*IFERROR(VLOOKUP(A141,'#11 IH Results'!$A$2:$C$302,2,0),0)+IFERROR(VLOOKUP(A141,'#10 IH Results'!$A$2:$C$302,2,0),0)+IFERROR(VLOOKUP(A141,'#9 IH Results'!$A$2:$C$302,2,0),0)+IFERROR(VLOOKUP(A141,'#8 IH Results'!$A$2:$C$302,2,0),0)+IFERROR(VLOOKUP(A141,'#7 IH Results'!$A$2:$C$302,2,0),0)+IFERROR(VLOOKUP(A141,'#6 IH Results'!$A$2:$C$302,2,0),0)+IFERROR(VLOOKUP(A141,'#5 IH Results'!$A$2:$C$303,2,0),0)+IFERROR(VLOOKUP(A141,'#4 IH Results'!$A$2:$C$300,2,0),0)+IFERROR(VLOOKUP(A141,'#3 IH Results'!$A$2:$C$101,2,0),0)+IFERROR(VLOOKUP(A141,'#2 IH Results'!$A$2:$C$101,2,0),0)+IFERROR(VLOOKUP(A141,'#1 IH Results'!$A$2:$C$101,2,0),0)+IFERROR(VLOOKUP(A141,'#0 IH Results'!$A$3:$C$102,2,0),0)</f>
        <v>9.297229584</v>
      </c>
    </row>
    <row r="142">
      <c r="A142" s="7" t="s">
        <v>176</v>
      </c>
      <c r="B142" s="6">
        <f>3*IFERROR(VLOOKUP(A142,'#15 IH Results'!$A$2:$C$301,2,0),0)+2*IFERROR(VLOOKUP(A142,'#14 IH Results'!$A$2:$C$302,2,0),0)+1.5*IFERROR(VLOOKUP(A142,'#13 IH Results'!$A$2:$C$302,2,0),0)+1.25*IFERROR(VLOOKUP(A142,'#12 IH Results'!$A$2:$C$302,2,0),0)+1.25*IFERROR(VLOOKUP(A142,'#11 IH Results'!$A$2:$C$302,2,0),0)+IFERROR(VLOOKUP(A142,'#10 IH Results'!$A$2:$C$302,2,0),0)+IFERROR(VLOOKUP(A142,'#9 IH Results'!$A$2:$C$302,2,0),0)+IFERROR(VLOOKUP(A142,'#8 IH Results'!$A$2:$C$302,2,0),0)+IFERROR(VLOOKUP(A142,'#7 IH Results'!$A$2:$C$302,2,0),0)+IFERROR(VLOOKUP(A142,'#6 IH Results'!$A$2:$C$302,2,0),0)+IFERROR(VLOOKUP(A142,'#5 IH Results'!$A$2:$C$303,2,0),0)+IFERROR(VLOOKUP(A142,'#4 IH Results'!$A$2:$C$300,2,0),0)+IFERROR(VLOOKUP(A142,'#3 IH Results'!$A$2:$C$101,2,0),0)+IFERROR(VLOOKUP(A142,'#2 IH Results'!$A$2:$C$101,2,0),0)+IFERROR(VLOOKUP(A142,'#1 IH Results'!$A$2:$C$101,2,0),0)+IFERROR(VLOOKUP(A142,'#0 IH Results'!$A$3:$C$102,2,0),0)</f>
        <v>9.125046084</v>
      </c>
    </row>
    <row r="143">
      <c r="A143" s="5" t="s">
        <v>149</v>
      </c>
      <c r="B143" s="6">
        <f>3*IFERROR(VLOOKUP(A143,'#15 IH Results'!$A$2:$C$301,2,0),0)+2*IFERROR(VLOOKUP(A143,'#14 IH Results'!$A$2:$C$302,2,0),0)+1.5*IFERROR(VLOOKUP(A143,'#13 IH Results'!$A$2:$C$302,2,0),0)+1.25*IFERROR(VLOOKUP(A143,'#12 IH Results'!$A$2:$C$302,2,0),0)+1.25*IFERROR(VLOOKUP(A143,'#11 IH Results'!$A$2:$C$302,2,0),0)+IFERROR(VLOOKUP(A143,'#10 IH Results'!$A$2:$C$302,2,0),0)+IFERROR(VLOOKUP(A143,'#9 IH Results'!$A$2:$C$302,2,0),0)+IFERROR(VLOOKUP(A143,'#8 IH Results'!$A$2:$C$302,2,0),0)+IFERROR(VLOOKUP(A143,'#7 IH Results'!$A$2:$C$302,2,0),0)+IFERROR(VLOOKUP(A143,'#6 IH Results'!$A$2:$C$302,2,0),0)+IFERROR(VLOOKUP(A143,'#5 IH Results'!$A$2:$C$303,2,0),0)+IFERROR(VLOOKUP(A143,'#4 IH Results'!$A$2:$C$300,2,0),0)+IFERROR(VLOOKUP(A143,'#3 IH Results'!$A$2:$C$101,2,0),0)+IFERROR(VLOOKUP(A143,'#2 IH Results'!$A$2:$C$101,2,0),0)+IFERROR(VLOOKUP(A143,'#1 IH Results'!$A$2:$C$101,2,0),0)+IFERROR(VLOOKUP(A143,'#0 IH Results'!$A$3:$C$102,2,0),0)</f>
        <v>8.862253132</v>
      </c>
    </row>
    <row r="144">
      <c r="A144" s="5" t="s">
        <v>163</v>
      </c>
      <c r="B144" s="6">
        <f>3*IFERROR(VLOOKUP(A144,'#15 IH Results'!$A$2:$C$301,2,0),0)+2*IFERROR(VLOOKUP(A144,'#14 IH Results'!$A$2:$C$302,2,0),0)+1.5*IFERROR(VLOOKUP(A144,'#13 IH Results'!$A$2:$C$302,2,0),0)+1.25*IFERROR(VLOOKUP(A144,'#12 IH Results'!$A$2:$C$302,2,0),0)+1.25*IFERROR(VLOOKUP(A144,'#11 IH Results'!$A$2:$C$302,2,0),0)+IFERROR(VLOOKUP(A144,'#10 IH Results'!$A$2:$C$302,2,0),0)+IFERROR(VLOOKUP(A144,'#9 IH Results'!$A$2:$C$302,2,0),0)+IFERROR(VLOOKUP(A144,'#8 IH Results'!$A$2:$C$302,2,0),0)+IFERROR(VLOOKUP(A144,'#7 IH Results'!$A$2:$C$302,2,0),0)+IFERROR(VLOOKUP(A144,'#6 IH Results'!$A$2:$C$302,2,0),0)+IFERROR(VLOOKUP(A144,'#5 IH Results'!$A$2:$C$303,2,0),0)+IFERROR(VLOOKUP(A144,'#4 IH Results'!$A$2:$C$300,2,0),0)+IFERROR(VLOOKUP(A144,'#3 IH Results'!$A$2:$C$101,2,0),0)+IFERROR(VLOOKUP(A144,'#2 IH Results'!$A$2:$C$101,2,0),0)+IFERROR(VLOOKUP(A144,'#1 IH Results'!$A$2:$C$101,2,0),0)+IFERROR(VLOOKUP(A144,'#0 IH Results'!$A$3:$C$102,2,0),0)</f>
        <v>8.818240171</v>
      </c>
    </row>
    <row r="145">
      <c r="A145" s="5" t="s">
        <v>106</v>
      </c>
      <c r="B145" s="6">
        <f>3*IFERROR(VLOOKUP(A145,'#15 IH Results'!$A$2:$C$301,2,0),0)+2*IFERROR(VLOOKUP(A145,'#14 IH Results'!$A$2:$C$302,2,0),0)+1.5*IFERROR(VLOOKUP(A145,'#13 IH Results'!$A$2:$C$302,2,0),0)+1.25*IFERROR(VLOOKUP(A145,'#12 IH Results'!$A$2:$C$302,2,0),0)+1.25*IFERROR(VLOOKUP(A145,'#11 IH Results'!$A$2:$C$302,2,0),0)+IFERROR(VLOOKUP(A145,'#10 IH Results'!$A$2:$C$302,2,0),0)+IFERROR(VLOOKUP(A145,'#9 IH Results'!$A$2:$C$302,2,0),0)+IFERROR(VLOOKUP(A145,'#8 IH Results'!$A$2:$C$302,2,0),0)+IFERROR(VLOOKUP(A145,'#7 IH Results'!$A$2:$C$302,2,0),0)+IFERROR(VLOOKUP(A145,'#6 IH Results'!$A$2:$C$302,2,0),0)+IFERROR(VLOOKUP(A145,'#5 IH Results'!$A$2:$C$303,2,0),0)+IFERROR(VLOOKUP(A145,'#4 IH Results'!$A$2:$C$300,2,0),0)+IFERROR(VLOOKUP(A145,'#3 IH Results'!$A$2:$C$101,2,0),0)+IFERROR(VLOOKUP(A145,'#2 IH Results'!$A$2:$C$101,2,0),0)+IFERROR(VLOOKUP(A145,'#1 IH Results'!$A$2:$C$101,2,0),0)+IFERROR(VLOOKUP(A145,'#0 IH Results'!$A$3:$C$102,2,0),0)</f>
        <v>8.743815798</v>
      </c>
    </row>
    <row r="146">
      <c r="A146" s="5" t="s">
        <v>161</v>
      </c>
      <c r="B146" s="6">
        <f>3*IFERROR(VLOOKUP(A146,'#15 IH Results'!$A$2:$C$301,2,0),0)+2*IFERROR(VLOOKUP(A146,'#14 IH Results'!$A$2:$C$302,2,0),0)+1.5*IFERROR(VLOOKUP(A146,'#13 IH Results'!$A$2:$C$302,2,0),0)+1.25*IFERROR(VLOOKUP(A146,'#12 IH Results'!$A$2:$C$302,2,0),0)+1.25*IFERROR(VLOOKUP(A146,'#11 IH Results'!$A$2:$C$302,2,0),0)+IFERROR(VLOOKUP(A146,'#10 IH Results'!$A$2:$C$302,2,0),0)+IFERROR(VLOOKUP(A146,'#9 IH Results'!$A$2:$C$302,2,0),0)+IFERROR(VLOOKUP(A146,'#8 IH Results'!$A$2:$C$302,2,0),0)+IFERROR(VLOOKUP(A146,'#7 IH Results'!$A$2:$C$302,2,0),0)+IFERROR(VLOOKUP(A146,'#6 IH Results'!$A$2:$C$302,2,0),0)+IFERROR(VLOOKUP(A146,'#5 IH Results'!$A$2:$C$303,2,0),0)+IFERROR(VLOOKUP(A146,'#4 IH Results'!$A$2:$C$300,2,0),0)+IFERROR(VLOOKUP(A146,'#3 IH Results'!$A$2:$C$101,2,0),0)+IFERROR(VLOOKUP(A146,'#2 IH Results'!$A$2:$C$101,2,0),0)+IFERROR(VLOOKUP(A146,'#1 IH Results'!$A$2:$C$101,2,0),0)+IFERROR(VLOOKUP(A146,'#0 IH Results'!$A$3:$C$102,2,0),0)</f>
        <v>8.550579966</v>
      </c>
    </row>
    <row r="147">
      <c r="A147" s="5" t="s">
        <v>150</v>
      </c>
      <c r="B147" s="6">
        <f>3*IFERROR(VLOOKUP(A147,'#15 IH Results'!$A$2:$C$301,2,0),0)+2*IFERROR(VLOOKUP(A147,'#14 IH Results'!$A$2:$C$302,2,0),0)+1.5*IFERROR(VLOOKUP(A147,'#13 IH Results'!$A$2:$C$302,2,0),0)+1.25*IFERROR(VLOOKUP(A147,'#12 IH Results'!$A$2:$C$302,2,0),0)+1.25*IFERROR(VLOOKUP(A147,'#11 IH Results'!$A$2:$C$302,2,0),0)+IFERROR(VLOOKUP(A147,'#10 IH Results'!$A$2:$C$302,2,0),0)+IFERROR(VLOOKUP(A147,'#9 IH Results'!$A$2:$C$302,2,0),0)+IFERROR(VLOOKUP(A147,'#8 IH Results'!$A$2:$C$302,2,0),0)+IFERROR(VLOOKUP(A147,'#7 IH Results'!$A$2:$C$302,2,0),0)+IFERROR(VLOOKUP(A147,'#6 IH Results'!$A$2:$C$302,2,0),0)+IFERROR(VLOOKUP(A147,'#5 IH Results'!$A$2:$C$303,2,0),0)+IFERROR(VLOOKUP(A147,'#4 IH Results'!$A$2:$C$300,2,0),0)+IFERROR(VLOOKUP(A147,'#3 IH Results'!$A$2:$C$101,2,0),0)+IFERROR(VLOOKUP(A147,'#2 IH Results'!$A$2:$C$101,2,0),0)+IFERROR(VLOOKUP(A147,'#1 IH Results'!$A$2:$C$101,2,0),0)+IFERROR(VLOOKUP(A147,'#0 IH Results'!$A$3:$C$102,2,0),0)</f>
        <v>8.484620333</v>
      </c>
    </row>
    <row r="148">
      <c r="A148" s="5" t="s">
        <v>143</v>
      </c>
      <c r="B148" s="6">
        <f>3*IFERROR(VLOOKUP(A148,'#15 IH Results'!$A$2:$C$301,2,0),0)+2*IFERROR(VLOOKUP(A148,'#14 IH Results'!$A$2:$C$302,2,0),0)+1.5*IFERROR(VLOOKUP(A148,'#13 IH Results'!$A$2:$C$302,2,0),0)+1.25*IFERROR(VLOOKUP(A148,'#12 IH Results'!$A$2:$C$302,2,0),0)+1.25*IFERROR(VLOOKUP(A148,'#11 IH Results'!$A$2:$C$302,2,0),0)+IFERROR(VLOOKUP(A148,'#10 IH Results'!$A$2:$C$302,2,0),0)+IFERROR(VLOOKUP(A148,'#9 IH Results'!$A$2:$C$302,2,0),0)+IFERROR(VLOOKUP(A148,'#8 IH Results'!$A$2:$C$302,2,0),0)+IFERROR(VLOOKUP(A148,'#7 IH Results'!$A$2:$C$302,2,0),0)+IFERROR(VLOOKUP(A148,'#6 IH Results'!$A$2:$C$302,2,0),0)+IFERROR(VLOOKUP(A148,'#5 IH Results'!$A$2:$C$303,2,0),0)+IFERROR(VLOOKUP(A148,'#4 IH Results'!$A$2:$C$300,2,0),0)+IFERROR(VLOOKUP(A148,'#3 IH Results'!$A$2:$C$101,2,0),0)+IFERROR(VLOOKUP(A148,'#2 IH Results'!$A$2:$C$101,2,0),0)+IFERROR(VLOOKUP(A148,'#1 IH Results'!$A$2:$C$101,2,0),0)+IFERROR(VLOOKUP(A148,'#0 IH Results'!$A$3:$C$102,2,0),0)</f>
        <v>8.021974268</v>
      </c>
    </row>
    <row r="149">
      <c r="A149" s="5" t="s">
        <v>145</v>
      </c>
      <c r="B149" s="6">
        <f>3*IFERROR(VLOOKUP(A149,'#15 IH Results'!$A$2:$C$301,2,0),0)+2*IFERROR(VLOOKUP(A149,'#14 IH Results'!$A$2:$C$302,2,0),0)+1.5*IFERROR(VLOOKUP(A149,'#13 IH Results'!$A$2:$C$302,2,0),0)+1.25*IFERROR(VLOOKUP(A149,'#12 IH Results'!$A$2:$C$302,2,0),0)+1.25*IFERROR(VLOOKUP(A149,'#11 IH Results'!$A$2:$C$302,2,0),0)+IFERROR(VLOOKUP(A149,'#10 IH Results'!$A$2:$C$302,2,0),0)+IFERROR(VLOOKUP(A149,'#9 IH Results'!$A$2:$C$302,2,0),0)+IFERROR(VLOOKUP(A149,'#8 IH Results'!$A$2:$C$302,2,0),0)+IFERROR(VLOOKUP(A149,'#7 IH Results'!$A$2:$C$302,2,0),0)+IFERROR(VLOOKUP(A149,'#6 IH Results'!$A$2:$C$302,2,0),0)+IFERROR(VLOOKUP(A149,'#5 IH Results'!$A$2:$C$303,2,0),0)+IFERROR(VLOOKUP(A149,'#4 IH Results'!$A$2:$C$300,2,0),0)+IFERROR(VLOOKUP(A149,'#3 IH Results'!$A$2:$C$101,2,0),0)+IFERROR(VLOOKUP(A149,'#2 IH Results'!$A$2:$C$101,2,0),0)+IFERROR(VLOOKUP(A149,'#1 IH Results'!$A$2:$C$101,2,0),0)+IFERROR(VLOOKUP(A149,'#0 IH Results'!$A$3:$C$102,2,0),0)</f>
        <v>7.917479445</v>
      </c>
    </row>
    <row r="150">
      <c r="A150" s="5" t="s">
        <v>214</v>
      </c>
      <c r="B150" s="6">
        <f>3*IFERROR(VLOOKUP(A150,'#15 IH Results'!$A$2:$C$301,2,0),0)+2*IFERROR(VLOOKUP(A150,'#14 IH Results'!$A$2:$C$302,2,0),0)+1.5*IFERROR(VLOOKUP(A150,'#13 IH Results'!$A$2:$C$302,2,0),0)+1.25*IFERROR(VLOOKUP(A150,'#12 IH Results'!$A$2:$C$302,2,0),0)+1.25*IFERROR(VLOOKUP(A150,'#11 IH Results'!$A$2:$C$302,2,0),0)+IFERROR(VLOOKUP(A150,'#10 IH Results'!$A$2:$C$302,2,0),0)+IFERROR(VLOOKUP(A150,'#9 IH Results'!$A$2:$C$302,2,0),0)+IFERROR(VLOOKUP(A150,'#8 IH Results'!$A$2:$C$302,2,0),0)+IFERROR(VLOOKUP(A150,'#7 IH Results'!$A$2:$C$302,2,0),0)+IFERROR(VLOOKUP(A150,'#6 IH Results'!$A$2:$C$302,2,0),0)+IFERROR(VLOOKUP(A150,'#5 IH Results'!$A$2:$C$303,2,0),0)+IFERROR(VLOOKUP(A150,'#4 IH Results'!$A$2:$C$300,2,0),0)+IFERROR(VLOOKUP(A150,'#3 IH Results'!$A$2:$C$101,2,0),0)+IFERROR(VLOOKUP(A150,'#2 IH Results'!$A$2:$C$101,2,0),0)+IFERROR(VLOOKUP(A150,'#1 IH Results'!$A$2:$C$101,2,0),0)+IFERROR(VLOOKUP(A150,'#0 IH Results'!$A$3:$C$102,2,0),0)</f>
        <v>7.682529503</v>
      </c>
    </row>
    <row r="151">
      <c r="A151" s="5" t="s">
        <v>215</v>
      </c>
      <c r="B151" s="6">
        <f>3*IFERROR(VLOOKUP(A151,'#15 IH Results'!$A$2:$C$301,2,0),0)+2*IFERROR(VLOOKUP(A151,'#14 IH Results'!$A$2:$C$302,2,0),0)+1.5*IFERROR(VLOOKUP(A151,'#13 IH Results'!$A$2:$C$302,2,0),0)+1.25*IFERROR(VLOOKUP(A151,'#12 IH Results'!$A$2:$C$302,2,0),0)+1.25*IFERROR(VLOOKUP(A151,'#11 IH Results'!$A$2:$C$302,2,0),0)+IFERROR(VLOOKUP(A151,'#10 IH Results'!$A$2:$C$302,2,0),0)+IFERROR(VLOOKUP(A151,'#9 IH Results'!$A$2:$C$302,2,0),0)+IFERROR(VLOOKUP(A151,'#8 IH Results'!$A$2:$C$302,2,0),0)+IFERROR(VLOOKUP(A151,'#7 IH Results'!$A$2:$C$302,2,0),0)+IFERROR(VLOOKUP(A151,'#6 IH Results'!$A$2:$C$302,2,0),0)+IFERROR(VLOOKUP(A151,'#5 IH Results'!$A$2:$C$303,2,0),0)+IFERROR(VLOOKUP(A151,'#4 IH Results'!$A$2:$C$300,2,0),0)+IFERROR(VLOOKUP(A151,'#3 IH Results'!$A$2:$C$101,2,0),0)+IFERROR(VLOOKUP(A151,'#2 IH Results'!$A$2:$C$101,2,0),0)+IFERROR(VLOOKUP(A151,'#1 IH Results'!$A$2:$C$101,2,0),0)+IFERROR(VLOOKUP(A151,'#0 IH Results'!$A$3:$C$102,2,0),0)</f>
        <v>7.682529503</v>
      </c>
    </row>
    <row r="152">
      <c r="A152" s="5" t="s">
        <v>218</v>
      </c>
      <c r="B152" s="6">
        <f>3*IFERROR(VLOOKUP(A152,'#15 IH Results'!$A$2:$C$301,2,0),0)+2*IFERROR(VLOOKUP(A152,'#14 IH Results'!$A$2:$C$302,2,0),0)+1.5*IFERROR(VLOOKUP(A152,'#13 IH Results'!$A$2:$C$302,2,0),0)+1.25*IFERROR(VLOOKUP(A152,'#12 IH Results'!$A$2:$C$302,2,0),0)+1.25*IFERROR(VLOOKUP(A152,'#11 IH Results'!$A$2:$C$302,2,0),0)+IFERROR(VLOOKUP(A152,'#10 IH Results'!$A$2:$C$302,2,0),0)+IFERROR(VLOOKUP(A152,'#9 IH Results'!$A$2:$C$302,2,0),0)+IFERROR(VLOOKUP(A152,'#8 IH Results'!$A$2:$C$302,2,0),0)+IFERROR(VLOOKUP(A152,'#7 IH Results'!$A$2:$C$302,2,0),0)+IFERROR(VLOOKUP(A152,'#6 IH Results'!$A$2:$C$302,2,0),0)+IFERROR(VLOOKUP(A152,'#5 IH Results'!$A$2:$C$303,2,0),0)+IFERROR(VLOOKUP(A152,'#4 IH Results'!$A$2:$C$300,2,0),0)+IFERROR(VLOOKUP(A152,'#3 IH Results'!$A$2:$C$101,2,0),0)+IFERROR(VLOOKUP(A152,'#2 IH Results'!$A$2:$C$101,2,0),0)+IFERROR(VLOOKUP(A152,'#1 IH Results'!$A$2:$C$101,2,0),0)+IFERROR(VLOOKUP(A152,'#0 IH Results'!$A$3:$C$102,2,0),0)</f>
        <v>7.433035723</v>
      </c>
    </row>
    <row r="153">
      <c r="A153" s="7" t="s">
        <v>139</v>
      </c>
      <c r="B153" s="6">
        <f>3*IFERROR(VLOOKUP(A153,'#15 IH Results'!$A$2:$C$301,2,0),0)+2*IFERROR(VLOOKUP(A153,'#14 IH Results'!$A$2:$C$302,2,0),0)+1.5*IFERROR(VLOOKUP(A153,'#13 IH Results'!$A$2:$C$302,2,0),0)+1.25*IFERROR(VLOOKUP(A153,'#12 IH Results'!$A$2:$C$302,2,0),0)+1.25*IFERROR(VLOOKUP(A153,'#11 IH Results'!$A$2:$C$302,2,0),0)+IFERROR(VLOOKUP(A153,'#10 IH Results'!$A$2:$C$302,2,0),0)+IFERROR(VLOOKUP(A153,'#9 IH Results'!$A$2:$C$302,2,0),0)+IFERROR(VLOOKUP(A153,'#8 IH Results'!$A$2:$C$302,2,0),0)+IFERROR(VLOOKUP(A153,'#7 IH Results'!$A$2:$C$302,2,0),0)+IFERROR(VLOOKUP(A153,'#6 IH Results'!$A$2:$C$302,2,0),0)+IFERROR(VLOOKUP(A153,'#5 IH Results'!$A$2:$C$303,2,0),0)+IFERROR(VLOOKUP(A153,'#4 IH Results'!$A$2:$C$300,2,0),0)+IFERROR(VLOOKUP(A153,'#3 IH Results'!$A$2:$C$101,2,0),0)+IFERROR(VLOOKUP(A153,'#2 IH Results'!$A$2:$C$101,2,0),0)+IFERROR(VLOOKUP(A153,'#1 IH Results'!$A$2:$C$101,2,0),0)+IFERROR(VLOOKUP(A153,'#0 IH Results'!$A$3:$C$102,2,0),0)</f>
        <v>7.361613095</v>
      </c>
    </row>
    <row r="154">
      <c r="A154" s="5" t="s">
        <v>165</v>
      </c>
      <c r="B154" s="6">
        <f>3*IFERROR(VLOOKUP(A154,'#15 IH Results'!$A$2:$C$301,2,0),0)+2*IFERROR(VLOOKUP(A154,'#14 IH Results'!$A$2:$C$302,2,0),0)+1.5*IFERROR(VLOOKUP(A154,'#13 IH Results'!$A$2:$C$302,2,0),0)+1.25*IFERROR(VLOOKUP(A154,'#12 IH Results'!$A$2:$C$302,2,0),0)+1.25*IFERROR(VLOOKUP(A154,'#11 IH Results'!$A$2:$C$302,2,0),0)+IFERROR(VLOOKUP(A154,'#10 IH Results'!$A$2:$C$302,2,0),0)+IFERROR(VLOOKUP(A154,'#9 IH Results'!$A$2:$C$302,2,0),0)+IFERROR(VLOOKUP(A154,'#8 IH Results'!$A$2:$C$302,2,0),0)+IFERROR(VLOOKUP(A154,'#7 IH Results'!$A$2:$C$302,2,0),0)+IFERROR(VLOOKUP(A154,'#6 IH Results'!$A$2:$C$302,2,0),0)+IFERROR(VLOOKUP(A154,'#5 IH Results'!$A$2:$C$303,2,0),0)+IFERROR(VLOOKUP(A154,'#4 IH Results'!$A$2:$C$300,2,0),0)+IFERROR(VLOOKUP(A154,'#3 IH Results'!$A$2:$C$101,2,0),0)+IFERROR(VLOOKUP(A154,'#2 IH Results'!$A$2:$C$101,2,0),0)+IFERROR(VLOOKUP(A154,'#1 IH Results'!$A$2:$C$101,2,0),0)+IFERROR(VLOOKUP(A154,'#0 IH Results'!$A$3:$C$102,2,0),0)</f>
        <v>7.356754315</v>
      </c>
    </row>
    <row r="155">
      <c r="A155" s="5" t="s">
        <v>169</v>
      </c>
      <c r="B155" s="6">
        <f>3*IFERROR(VLOOKUP(A155,'#15 IH Results'!$A$2:$C$301,2,0),0)+2*IFERROR(VLOOKUP(A155,'#14 IH Results'!$A$2:$C$302,2,0),0)+1.5*IFERROR(VLOOKUP(A155,'#13 IH Results'!$A$2:$C$302,2,0),0)+1.25*IFERROR(VLOOKUP(A155,'#12 IH Results'!$A$2:$C$302,2,0),0)+1.25*IFERROR(VLOOKUP(A155,'#11 IH Results'!$A$2:$C$302,2,0),0)+IFERROR(VLOOKUP(A155,'#10 IH Results'!$A$2:$C$302,2,0),0)+IFERROR(VLOOKUP(A155,'#9 IH Results'!$A$2:$C$302,2,0),0)+IFERROR(VLOOKUP(A155,'#8 IH Results'!$A$2:$C$302,2,0),0)+IFERROR(VLOOKUP(A155,'#7 IH Results'!$A$2:$C$302,2,0),0)+IFERROR(VLOOKUP(A155,'#6 IH Results'!$A$2:$C$302,2,0),0)+IFERROR(VLOOKUP(A155,'#5 IH Results'!$A$2:$C$303,2,0),0)+IFERROR(VLOOKUP(A155,'#4 IH Results'!$A$2:$C$300,2,0),0)+IFERROR(VLOOKUP(A155,'#3 IH Results'!$A$2:$C$101,2,0),0)+IFERROR(VLOOKUP(A155,'#2 IH Results'!$A$2:$C$101,2,0),0)+IFERROR(VLOOKUP(A155,'#1 IH Results'!$A$2:$C$101,2,0),0)+IFERROR(VLOOKUP(A155,'#0 IH Results'!$A$3:$C$102,2,0),0)</f>
        <v>7.324099851</v>
      </c>
    </row>
    <row r="156">
      <c r="A156" s="5" t="s">
        <v>167</v>
      </c>
      <c r="B156" s="6">
        <f>3*IFERROR(VLOOKUP(A156,'#15 IH Results'!$A$2:$C$301,2,0),0)+2*IFERROR(VLOOKUP(A156,'#14 IH Results'!$A$2:$C$302,2,0),0)+1.5*IFERROR(VLOOKUP(A156,'#13 IH Results'!$A$2:$C$302,2,0),0)+1.25*IFERROR(VLOOKUP(A156,'#12 IH Results'!$A$2:$C$302,2,0),0)+1.25*IFERROR(VLOOKUP(A156,'#11 IH Results'!$A$2:$C$302,2,0),0)+IFERROR(VLOOKUP(A156,'#10 IH Results'!$A$2:$C$302,2,0),0)+IFERROR(VLOOKUP(A156,'#9 IH Results'!$A$2:$C$302,2,0),0)+IFERROR(VLOOKUP(A156,'#8 IH Results'!$A$2:$C$302,2,0),0)+IFERROR(VLOOKUP(A156,'#7 IH Results'!$A$2:$C$302,2,0),0)+IFERROR(VLOOKUP(A156,'#6 IH Results'!$A$2:$C$302,2,0),0)+IFERROR(VLOOKUP(A156,'#5 IH Results'!$A$2:$C$303,2,0),0)+IFERROR(VLOOKUP(A156,'#4 IH Results'!$A$2:$C$300,2,0),0)+IFERROR(VLOOKUP(A156,'#3 IH Results'!$A$2:$C$101,2,0),0)+IFERROR(VLOOKUP(A156,'#2 IH Results'!$A$2:$C$101,2,0),0)+IFERROR(VLOOKUP(A156,'#1 IH Results'!$A$2:$C$101,2,0),0)+IFERROR(VLOOKUP(A156,'#0 IH Results'!$A$3:$C$102,2,0),0)</f>
        <v>7.219741471</v>
      </c>
    </row>
    <row r="157">
      <c r="A157" s="5" t="s">
        <v>187</v>
      </c>
      <c r="B157" s="6">
        <f>3*IFERROR(VLOOKUP(A157,'#15 IH Results'!$A$2:$C$301,2,0),0)+2*IFERROR(VLOOKUP(A157,'#14 IH Results'!$A$2:$C$302,2,0),0)+1.5*IFERROR(VLOOKUP(A157,'#13 IH Results'!$A$2:$C$302,2,0),0)+1.25*IFERROR(VLOOKUP(A157,'#12 IH Results'!$A$2:$C$302,2,0),0)+1.25*IFERROR(VLOOKUP(A157,'#11 IH Results'!$A$2:$C$302,2,0),0)+IFERROR(VLOOKUP(A157,'#10 IH Results'!$A$2:$C$302,2,0),0)+IFERROR(VLOOKUP(A157,'#9 IH Results'!$A$2:$C$302,2,0),0)+IFERROR(VLOOKUP(A157,'#8 IH Results'!$A$2:$C$302,2,0),0)+IFERROR(VLOOKUP(A157,'#7 IH Results'!$A$2:$C$302,2,0),0)+IFERROR(VLOOKUP(A157,'#6 IH Results'!$A$2:$C$302,2,0),0)+IFERROR(VLOOKUP(A157,'#5 IH Results'!$A$2:$C$303,2,0),0)+IFERROR(VLOOKUP(A157,'#4 IH Results'!$A$2:$C$300,2,0),0)+IFERROR(VLOOKUP(A157,'#3 IH Results'!$A$2:$C$101,2,0),0)+IFERROR(VLOOKUP(A157,'#2 IH Results'!$A$2:$C$101,2,0),0)+IFERROR(VLOOKUP(A157,'#1 IH Results'!$A$2:$C$101,2,0),0)+IFERROR(VLOOKUP(A157,'#0 IH Results'!$A$3:$C$102,2,0),0)</f>
        <v>7.168865309</v>
      </c>
    </row>
    <row r="158">
      <c r="A158" s="5" t="s">
        <v>155</v>
      </c>
      <c r="B158" s="6">
        <f>3*IFERROR(VLOOKUP(A158,'#15 IH Results'!$A$2:$C$301,2,0),0)+2*IFERROR(VLOOKUP(A158,'#14 IH Results'!$A$2:$C$302,2,0),0)+1.5*IFERROR(VLOOKUP(A158,'#13 IH Results'!$A$2:$C$302,2,0),0)+1.25*IFERROR(VLOOKUP(A158,'#12 IH Results'!$A$2:$C$302,2,0),0)+1.25*IFERROR(VLOOKUP(A158,'#11 IH Results'!$A$2:$C$302,2,0),0)+IFERROR(VLOOKUP(A158,'#10 IH Results'!$A$2:$C$302,2,0),0)+IFERROR(VLOOKUP(A158,'#9 IH Results'!$A$2:$C$302,2,0),0)+IFERROR(VLOOKUP(A158,'#8 IH Results'!$A$2:$C$302,2,0),0)+IFERROR(VLOOKUP(A158,'#7 IH Results'!$A$2:$C$302,2,0),0)+IFERROR(VLOOKUP(A158,'#6 IH Results'!$A$2:$C$302,2,0),0)+IFERROR(VLOOKUP(A158,'#5 IH Results'!$A$2:$C$303,2,0),0)+IFERROR(VLOOKUP(A158,'#4 IH Results'!$A$2:$C$300,2,0),0)+IFERROR(VLOOKUP(A158,'#3 IH Results'!$A$2:$C$101,2,0),0)+IFERROR(VLOOKUP(A158,'#2 IH Results'!$A$2:$C$101,2,0),0)+IFERROR(VLOOKUP(A158,'#1 IH Results'!$A$2:$C$101,2,0),0)+IFERROR(VLOOKUP(A158,'#0 IH Results'!$A$3:$C$102,2,0),0)</f>
        <v>7.163117011</v>
      </c>
    </row>
    <row r="159">
      <c r="A159" s="5" t="s">
        <v>146</v>
      </c>
      <c r="B159" s="6">
        <f>3*IFERROR(VLOOKUP(A159,'#15 IH Results'!$A$2:$C$301,2,0),0)+2*IFERROR(VLOOKUP(A159,'#14 IH Results'!$A$2:$C$302,2,0),0)+1.5*IFERROR(VLOOKUP(A159,'#13 IH Results'!$A$2:$C$302,2,0),0)+1.25*IFERROR(VLOOKUP(A159,'#12 IH Results'!$A$2:$C$302,2,0),0)+1.25*IFERROR(VLOOKUP(A159,'#11 IH Results'!$A$2:$C$302,2,0),0)+IFERROR(VLOOKUP(A159,'#10 IH Results'!$A$2:$C$302,2,0),0)+IFERROR(VLOOKUP(A159,'#9 IH Results'!$A$2:$C$302,2,0),0)+IFERROR(VLOOKUP(A159,'#8 IH Results'!$A$2:$C$302,2,0),0)+IFERROR(VLOOKUP(A159,'#7 IH Results'!$A$2:$C$302,2,0),0)+IFERROR(VLOOKUP(A159,'#6 IH Results'!$A$2:$C$302,2,0),0)+IFERROR(VLOOKUP(A159,'#5 IH Results'!$A$2:$C$303,2,0),0)+IFERROR(VLOOKUP(A159,'#4 IH Results'!$A$2:$C$300,2,0),0)+IFERROR(VLOOKUP(A159,'#3 IH Results'!$A$2:$C$101,2,0),0)+IFERROR(VLOOKUP(A159,'#2 IH Results'!$A$2:$C$101,2,0),0)+IFERROR(VLOOKUP(A159,'#1 IH Results'!$A$2:$C$101,2,0),0)+IFERROR(VLOOKUP(A159,'#0 IH Results'!$A$3:$C$102,2,0),0)</f>
        <v>7.078186392</v>
      </c>
    </row>
    <row r="160">
      <c r="A160" s="5" t="s">
        <v>184</v>
      </c>
      <c r="B160" s="6">
        <f>3*IFERROR(VLOOKUP(A160,'#15 IH Results'!$A$2:$C$301,2,0),0)+2*IFERROR(VLOOKUP(A160,'#14 IH Results'!$A$2:$C$302,2,0),0)+1.5*IFERROR(VLOOKUP(A160,'#13 IH Results'!$A$2:$C$302,2,0),0)+1.25*IFERROR(VLOOKUP(A160,'#12 IH Results'!$A$2:$C$302,2,0),0)+1.25*IFERROR(VLOOKUP(A160,'#11 IH Results'!$A$2:$C$302,2,0),0)+IFERROR(VLOOKUP(A160,'#10 IH Results'!$A$2:$C$302,2,0),0)+IFERROR(VLOOKUP(A160,'#9 IH Results'!$A$2:$C$302,2,0),0)+IFERROR(VLOOKUP(A160,'#8 IH Results'!$A$2:$C$302,2,0),0)+IFERROR(VLOOKUP(A160,'#7 IH Results'!$A$2:$C$302,2,0),0)+IFERROR(VLOOKUP(A160,'#6 IH Results'!$A$2:$C$302,2,0),0)+IFERROR(VLOOKUP(A160,'#5 IH Results'!$A$2:$C$303,2,0),0)+IFERROR(VLOOKUP(A160,'#4 IH Results'!$A$2:$C$300,2,0),0)+IFERROR(VLOOKUP(A160,'#3 IH Results'!$A$2:$C$101,2,0),0)+IFERROR(VLOOKUP(A160,'#2 IH Results'!$A$2:$C$101,2,0),0)+IFERROR(VLOOKUP(A160,'#1 IH Results'!$A$2:$C$101,2,0),0)+IFERROR(VLOOKUP(A160,'#0 IH Results'!$A$3:$C$102,2,0),0)</f>
        <v>6.712365426</v>
      </c>
    </row>
    <row r="161">
      <c r="A161" s="5" t="s">
        <v>192</v>
      </c>
      <c r="B161" s="6">
        <f>3*IFERROR(VLOOKUP(A161,'#15 IH Results'!$A$2:$C$301,2,0),0)+2*IFERROR(VLOOKUP(A161,'#14 IH Results'!$A$2:$C$302,2,0),0)+1.5*IFERROR(VLOOKUP(A161,'#13 IH Results'!$A$2:$C$302,2,0),0)+1.25*IFERROR(VLOOKUP(A161,'#12 IH Results'!$A$2:$C$302,2,0),0)+1.25*IFERROR(VLOOKUP(A161,'#11 IH Results'!$A$2:$C$302,2,0),0)+IFERROR(VLOOKUP(A161,'#10 IH Results'!$A$2:$C$302,2,0),0)+IFERROR(VLOOKUP(A161,'#9 IH Results'!$A$2:$C$302,2,0),0)+IFERROR(VLOOKUP(A161,'#8 IH Results'!$A$2:$C$302,2,0),0)+IFERROR(VLOOKUP(A161,'#7 IH Results'!$A$2:$C$302,2,0),0)+IFERROR(VLOOKUP(A161,'#6 IH Results'!$A$2:$C$302,2,0),0)+IFERROR(VLOOKUP(A161,'#5 IH Results'!$A$2:$C$303,2,0),0)+IFERROR(VLOOKUP(A161,'#4 IH Results'!$A$2:$C$300,2,0),0)+IFERROR(VLOOKUP(A161,'#3 IH Results'!$A$2:$C$101,2,0),0)+IFERROR(VLOOKUP(A161,'#2 IH Results'!$A$2:$C$101,2,0),0)+IFERROR(VLOOKUP(A161,'#1 IH Results'!$A$2:$C$101,2,0),0)+IFERROR(VLOOKUP(A161,'#0 IH Results'!$A$3:$C$102,2,0),0)</f>
        <v>6.686701268</v>
      </c>
    </row>
    <row r="162">
      <c r="A162" s="5" t="s">
        <v>151</v>
      </c>
      <c r="B162" s="6">
        <f>3*IFERROR(VLOOKUP(A162,'#15 IH Results'!$A$2:$C$301,2,0),0)+2*IFERROR(VLOOKUP(A162,'#14 IH Results'!$A$2:$C$302,2,0),0)+1.5*IFERROR(VLOOKUP(A162,'#13 IH Results'!$A$2:$C$302,2,0),0)+1.25*IFERROR(VLOOKUP(A162,'#12 IH Results'!$A$2:$C$302,2,0),0)+1.25*IFERROR(VLOOKUP(A162,'#11 IH Results'!$A$2:$C$302,2,0),0)+IFERROR(VLOOKUP(A162,'#10 IH Results'!$A$2:$C$302,2,0),0)+IFERROR(VLOOKUP(A162,'#9 IH Results'!$A$2:$C$302,2,0),0)+IFERROR(VLOOKUP(A162,'#8 IH Results'!$A$2:$C$302,2,0),0)+IFERROR(VLOOKUP(A162,'#7 IH Results'!$A$2:$C$302,2,0),0)+IFERROR(VLOOKUP(A162,'#6 IH Results'!$A$2:$C$302,2,0),0)+IFERROR(VLOOKUP(A162,'#5 IH Results'!$A$2:$C$303,2,0),0)+IFERROR(VLOOKUP(A162,'#4 IH Results'!$A$2:$C$300,2,0),0)+IFERROR(VLOOKUP(A162,'#3 IH Results'!$A$2:$C$101,2,0),0)+IFERROR(VLOOKUP(A162,'#2 IH Results'!$A$2:$C$101,2,0),0)+IFERROR(VLOOKUP(A162,'#1 IH Results'!$A$2:$C$101,2,0),0)+IFERROR(VLOOKUP(A162,'#0 IH Results'!$A$3:$C$102,2,0),0)</f>
        <v>6.294992614</v>
      </c>
    </row>
    <row r="163">
      <c r="A163" s="128" t="s">
        <v>133</v>
      </c>
      <c r="B163" s="6">
        <f>3*IFERROR(VLOOKUP(A163,'#15 IH Results'!$A$2:$C$301,2,0),0)+2*IFERROR(VLOOKUP(A163,'#14 IH Results'!$A$2:$C$302,2,0),0)+1.5*IFERROR(VLOOKUP(A163,'#13 IH Results'!$A$2:$C$302,2,0),0)+1.25*IFERROR(VLOOKUP(A163,'#12 IH Results'!$A$2:$C$302,2,0),0)+1.25*IFERROR(VLOOKUP(A163,'#11 IH Results'!$A$2:$C$302,2,0),0)+IFERROR(VLOOKUP(A163,'#10 IH Results'!$A$2:$C$302,2,0),0)+IFERROR(VLOOKUP(A163,'#9 IH Results'!$A$2:$C$302,2,0),0)+IFERROR(VLOOKUP(A163,'#8 IH Results'!$A$2:$C$302,2,0),0)+IFERROR(VLOOKUP(A163,'#7 IH Results'!$A$2:$C$302,2,0),0)+IFERROR(VLOOKUP(A163,'#6 IH Results'!$A$2:$C$302,2,0),0)+IFERROR(VLOOKUP(A163,'#5 IH Results'!$A$2:$C$303,2,0),0)+IFERROR(VLOOKUP(A163,'#4 IH Results'!$A$2:$C$300,2,0),0)+IFERROR(VLOOKUP(A163,'#3 IH Results'!$A$2:$C$101,2,0),0)+IFERROR(VLOOKUP(A163,'#2 IH Results'!$A$2:$C$101,2,0),0)+IFERROR(VLOOKUP(A163,'#1 IH Results'!$A$2:$C$101,2,0),0)+IFERROR(VLOOKUP(A163,'#0 IH Results'!$A$3:$C$102,2,0),0)</f>
        <v>6.283482037</v>
      </c>
    </row>
    <row r="164">
      <c r="A164" s="5" t="s">
        <v>152</v>
      </c>
      <c r="B164" s="6">
        <f>3*IFERROR(VLOOKUP(A164,'#15 IH Results'!$A$2:$C$301,2,0),0)+2*IFERROR(VLOOKUP(A164,'#14 IH Results'!$A$2:$C$302,2,0),0)+1.5*IFERROR(VLOOKUP(A164,'#13 IH Results'!$A$2:$C$302,2,0),0)+1.25*IFERROR(VLOOKUP(A164,'#12 IH Results'!$A$2:$C$302,2,0),0)+1.25*IFERROR(VLOOKUP(A164,'#11 IH Results'!$A$2:$C$302,2,0),0)+IFERROR(VLOOKUP(A164,'#10 IH Results'!$A$2:$C$302,2,0),0)+IFERROR(VLOOKUP(A164,'#9 IH Results'!$A$2:$C$302,2,0),0)+IFERROR(VLOOKUP(A164,'#8 IH Results'!$A$2:$C$302,2,0),0)+IFERROR(VLOOKUP(A164,'#7 IH Results'!$A$2:$C$302,2,0),0)+IFERROR(VLOOKUP(A164,'#6 IH Results'!$A$2:$C$302,2,0),0)+IFERROR(VLOOKUP(A164,'#5 IH Results'!$A$2:$C$303,2,0),0)+IFERROR(VLOOKUP(A164,'#4 IH Results'!$A$2:$C$300,2,0),0)+IFERROR(VLOOKUP(A164,'#3 IH Results'!$A$2:$C$101,2,0),0)+IFERROR(VLOOKUP(A164,'#2 IH Results'!$A$2:$C$101,2,0),0)+IFERROR(VLOOKUP(A164,'#1 IH Results'!$A$2:$C$101,2,0),0)+IFERROR(VLOOKUP(A164,'#0 IH Results'!$A$3:$C$102,2,0),0)</f>
        <v>6.262482599</v>
      </c>
    </row>
    <row r="165">
      <c r="A165" s="5" t="s">
        <v>153</v>
      </c>
      <c r="B165" s="6">
        <f>3*IFERROR(VLOOKUP(A165,'#15 IH Results'!$A$2:$C$301,2,0),0)+2*IFERROR(VLOOKUP(A165,'#14 IH Results'!$A$2:$C$302,2,0),0)+1.5*IFERROR(VLOOKUP(A165,'#13 IH Results'!$A$2:$C$302,2,0),0)+1.25*IFERROR(VLOOKUP(A165,'#12 IH Results'!$A$2:$C$302,2,0),0)+1.25*IFERROR(VLOOKUP(A165,'#11 IH Results'!$A$2:$C$302,2,0),0)+IFERROR(VLOOKUP(A165,'#10 IH Results'!$A$2:$C$302,2,0),0)+IFERROR(VLOOKUP(A165,'#9 IH Results'!$A$2:$C$302,2,0),0)+IFERROR(VLOOKUP(A165,'#8 IH Results'!$A$2:$C$302,2,0),0)+IFERROR(VLOOKUP(A165,'#7 IH Results'!$A$2:$C$302,2,0),0)+IFERROR(VLOOKUP(A165,'#6 IH Results'!$A$2:$C$302,2,0),0)+IFERROR(VLOOKUP(A165,'#5 IH Results'!$A$2:$C$303,2,0),0)+IFERROR(VLOOKUP(A165,'#4 IH Results'!$A$2:$C$300,2,0),0)+IFERROR(VLOOKUP(A165,'#3 IH Results'!$A$2:$C$101,2,0),0)+IFERROR(VLOOKUP(A165,'#2 IH Results'!$A$2:$C$101,2,0),0)+IFERROR(VLOOKUP(A165,'#1 IH Results'!$A$2:$C$101,2,0),0)+IFERROR(VLOOKUP(A165,'#0 IH Results'!$A$3:$C$102,2,0),0)</f>
        <v>6.160403201</v>
      </c>
    </row>
    <row r="166">
      <c r="A166" s="5" t="s">
        <v>154</v>
      </c>
      <c r="B166" s="6">
        <f>3*IFERROR(VLOOKUP(A166,'#15 IH Results'!$A$2:$C$301,2,0),0)+2*IFERROR(VLOOKUP(A166,'#14 IH Results'!$A$2:$C$302,2,0),0)+1.5*IFERROR(VLOOKUP(A166,'#13 IH Results'!$A$2:$C$302,2,0),0)+1.25*IFERROR(VLOOKUP(A166,'#12 IH Results'!$A$2:$C$302,2,0),0)+1.25*IFERROR(VLOOKUP(A166,'#11 IH Results'!$A$2:$C$302,2,0),0)+IFERROR(VLOOKUP(A166,'#10 IH Results'!$A$2:$C$302,2,0),0)+IFERROR(VLOOKUP(A166,'#9 IH Results'!$A$2:$C$302,2,0),0)+IFERROR(VLOOKUP(A166,'#8 IH Results'!$A$2:$C$302,2,0),0)+IFERROR(VLOOKUP(A166,'#7 IH Results'!$A$2:$C$302,2,0),0)+IFERROR(VLOOKUP(A166,'#6 IH Results'!$A$2:$C$302,2,0),0)+IFERROR(VLOOKUP(A166,'#5 IH Results'!$A$2:$C$303,2,0),0)+IFERROR(VLOOKUP(A166,'#4 IH Results'!$A$2:$C$300,2,0),0)+IFERROR(VLOOKUP(A166,'#3 IH Results'!$A$2:$C$101,2,0),0)+IFERROR(VLOOKUP(A166,'#2 IH Results'!$A$2:$C$101,2,0),0)+IFERROR(VLOOKUP(A166,'#1 IH Results'!$A$2:$C$101,2,0),0)+IFERROR(VLOOKUP(A166,'#0 IH Results'!$A$3:$C$102,2,0),0)</f>
        <v>6.070408946</v>
      </c>
    </row>
    <row r="167">
      <c r="A167" s="5" t="s">
        <v>136</v>
      </c>
      <c r="B167" s="6">
        <f>3*IFERROR(VLOOKUP(A167,'#15 IH Results'!$A$2:$C$301,2,0),0)+2*IFERROR(VLOOKUP(A167,'#14 IH Results'!$A$2:$C$302,2,0),0)+1.5*IFERROR(VLOOKUP(A167,'#13 IH Results'!$A$2:$C$302,2,0),0)+1.25*IFERROR(VLOOKUP(A167,'#12 IH Results'!$A$2:$C$302,2,0),0)+1.25*IFERROR(VLOOKUP(A167,'#11 IH Results'!$A$2:$C$302,2,0),0)+IFERROR(VLOOKUP(A167,'#10 IH Results'!$A$2:$C$302,2,0),0)+IFERROR(VLOOKUP(A167,'#9 IH Results'!$A$2:$C$302,2,0),0)+IFERROR(VLOOKUP(A167,'#8 IH Results'!$A$2:$C$302,2,0),0)+IFERROR(VLOOKUP(A167,'#7 IH Results'!$A$2:$C$302,2,0),0)+IFERROR(VLOOKUP(A167,'#6 IH Results'!$A$2:$C$302,2,0),0)+IFERROR(VLOOKUP(A167,'#5 IH Results'!$A$2:$C$303,2,0),0)+IFERROR(VLOOKUP(A167,'#4 IH Results'!$A$2:$C$300,2,0),0)+IFERROR(VLOOKUP(A167,'#3 IH Results'!$A$2:$C$101,2,0),0)+IFERROR(VLOOKUP(A167,'#2 IH Results'!$A$2:$C$101,2,0),0)+IFERROR(VLOOKUP(A167,'#1 IH Results'!$A$2:$C$101,2,0),0)+IFERROR(VLOOKUP(A167,'#0 IH Results'!$A$3:$C$102,2,0),0)</f>
        <v>6.069449545</v>
      </c>
    </row>
    <row r="168">
      <c r="A168" s="5" t="s">
        <v>234</v>
      </c>
      <c r="B168" s="6">
        <f>3*IFERROR(VLOOKUP(A168,'#15 IH Results'!$A$2:$C$301,2,0),0)+2*IFERROR(VLOOKUP(A168,'#14 IH Results'!$A$2:$C$302,2,0),0)+1.5*IFERROR(VLOOKUP(A168,'#13 IH Results'!$A$2:$C$302,2,0),0)+1.25*IFERROR(VLOOKUP(A168,'#12 IH Results'!$A$2:$C$302,2,0),0)+1.25*IFERROR(VLOOKUP(A168,'#11 IH Results'!$A$2:$C$302,2,0),0)+IFERROR(VLOOKUP(A168,'#10 IH Results'!$A$2:$C$302,2,0),0)+IFERROR(VLOOKUP(A168,'#9 IH Results'!$A$2:$C$302,2,0),0)+IFERROR(VLOOKUP(A168,'#8 IH Results'!$A$2:$C$302,2,0),0)+IFERROR(VLOOKUP(A168,'#7 IH Results'!$A$2:$C$302,2,0),0)+IFERROR(VLOOKUP(A168,'#6 IH Results'!$A$2:$C$302,2,0),0)+IFERROR(VLOOKUP(A168,'#5 IH Results'!$A$2:$C$303,2,0),0)+IFERROR(VLOOKUP(A168,'#4 IH Results'!$A$2:$C$300,2,0),0)+IFERROR(VLOOKUP(A168,'#3 IH Results'!$A$2:$C$101,2,0),0)+IFERROR(VLOOKUP(A168,'#2 IH Results'!$A$2:$C$101,2,0),0)+IFERROR(VLOOKUP(A168,'#1 IH Results'!$A$2:$C$101,2,0),0)+IFERROR(VLOOKUP(A168,'#0 IH Results'!$A$3:$C$102,2,0),0)</f>
        <v>6.069449545</v>
      </c>
    </row>
    <row r="169">
      <c r="A169" s="5" t="s">
        <v>144</v>
      </c>
      <c r="B169" s="6">
        <f>3*IFERROR(VLOOKUP(A169,'#15 IH Results'!$A$2:$C$301,2,0),0)+2*IFERROR(VLOOKUP(A169,'#14 IH Results'!$A$2:$C$302,2,0),0)+1.5*IFERROR(VLOOKUP(A169,'#13 IH Results'!$A$2:$C$302,2,0),0)+1.25*IFERROR(VLOOKUP(A169,'#12 IH Results'!$A$2:$C$302,2,0),0)+1.25*IFERROR(VLOOKUP(A169,'#11 IH Results'!$A$2:$C$302,2,0),0)+IFERROR(VLOOKUP(A169,'#10 IH Results'!$A$2:$C$302,2,0),0)+IFERROR(VLOOKUP(A169,'#9 IH Results'!$A$2:$C$302,2,0),0)+IFERROR(VLOOKUP(A169,'#8 IH Results'!$A$2:$C$302,2,0),0)+IFERROR(VLOOKUP(A169,'#7 IH Results'!$A$2:$C$302,2,0),0)+IFERROR(VLOOKUP(A169,'#6 IH Results'!$A$2:$C$302,2,0),0)+IFERROR(VLOOKUP(A169,'#5 IH Results'!$A$2:$C$303,2,0),0)+IFERROR(VLOOKUP(A169,'#4 IH Results'!$A$2:$C$300,2,0),0)+IFERROR(VLOOKUP(A169,'#3 IH Results'!$A$2:$C$101,2,0),0)+IFERROR(VLOOKUP(A169,'#2 IH Results'!$A$2:$C$101,2,0),0)+IFERROR(VLOOKUP(A169,'#1 IH Results'!$A$2:$C$101,2,0),0)+IFERROR(VLOOKUP(A169,'#0 IH Results'!$A$3:$C$102,2,0),0)</f>
        <v>6.030498874</v>
      </c>
    </row>
    <row r="170">
      <c r="A170" s="5" t="s">
        <v>181</v>
      </c>
      <c r="B170" s="6">
        <f>3*IFERROR(VLOOKUP(A170,'#15 IH Results'!$A$2:$C$301,2,0),0)+2*IFERROR(VLOOKUP(A170,'#14 IH Results'!$A$2:$C$302,2,0),0)+1.5*IFERROR(VLOOKUP(A170,'#13 IH Results'!$A$2:$C$302,2,0),0)+1.25*IFERROR(VLOOKUP(A170,'#12 IH Results'!$A$2:$C$302,2,0),0)+1.25*IFERROR(VLOOKUP(A170,'#11 IH Results'!$A$2:$C$302,2,0),0)+IFERROR(VLOOKUP(A170,'#10 IH Results'!$A$2:$C$302,2,0),0)+IFERROR(VLOOKUP(A170,'#9 IH Results'!$A$2:$C$302,2,0),0)+IFERROR(VLOOKUP(A170,'#8 IH Results'!$A$2:$C$302,2,0),0)+IFERROR(VLOOKUP(A170,'#7 IH Results'!$A$2:$C$302,2,0),0)+IFERROR(VLOOKUP(A170,'#6 IH Results'!$A$2:$C$302,2,0),0)+IFERROR(VLOOKUP(A170,'#5 IH Results'!$A$2:$C$303,2,0),0)+IFERROR(VLOOKUP(A170,'#4 IH Results'!$A$2:$C$300,2,0),0)+IFERROR(VLOOKUP(A170,'#3 IH Results'!$A$2:$C$101,2,0),0)+IFERROR(VLOOKUP(A170,'#2 IH Results'!$A$2:$C$101,2,0),0)+IFERROR(VLOOKUP(A170,'#1 IH Results'!$A$2:$C$101,2,0),0)+IFERROR(VLOOKUP(A170,'#0 IH Results'!$A$3:$C$102,2,0),0)</f>
        <v>5.826331492</v>
      </c>
    </row>
    <row r="171">
      <c r="A171" s="5" t="s">
        <v>156</v>
      </c>
      <c r="B171" s="6">
        <f>3*IFERROR(VLOOKUP(A171,'#15 IH Results'!$A$2:$C$301,2,0),0)+2*IFERROR(VLOOKUP(A171,'#14 IH Results'!$A$2:$C$302,2,0),0)+1.5*IFERROR(VLOOKUP(A171,'#13 IH Results'!$A$2:$C$302,2,0),0)+1.25*IFERROR(VLOOKUP(A171,'#12 IH Results'!$A$2:$C$302,2,0),0)+1.25*IFERROR(VLOOKUP(A171,'#11 IH Results'!$A$2:$C$302,2,0),0)+IFERROR(VLOOKUP(A171,'#10 IH Results'!$A$2:$C$302,2,0),0)+IFERROR(VLOOKUP(A171,'#9 IH Results'!$A$2:$C$302,2,0),0)+IFERROR(VLOOKUP(A171,'#8 IH Results'!$A$2:$C$302,2,0),0)+IFERROR(VLOOKUP(A171,'#7 IH Results'!$A$2:$C$302,2,0),0)+IFERROR(VLOOKUP(A171,'#6 IH Results'!$A$2:$C$302,2,0),0)+IFERROR(VLOOKUP(A171,'#5 IH Results'!$A$2:$C$303,2,0),0)+IFERROR(VLOOKUP(A171,'#4 IH Results'!$A$2:$C$300,2,0),0)+IFERROR(VLOOKUP(A171,'#3 IH Results'!$A$2:$C$101,2,0),0)+IFERROR(VLOOKUP(A171,'#2 IH Results'!$A$2:$C$101,2,0),0)+IFERROR(VLOOKUP(A171,'#1 IH Results'!$A$2:$C$101,2,0),0)+IFERROR(VLOOKUP(A171,'#0 IH Results'!$A$3:$C$102,2,0),0)</f>
        <v>5.765876399</v>
      </c>
    </row>
    <row r="172">
      <c r="A172" s="5" t="s">
        <v>208</v>
      </c>
      <c r="B172" s="6">
        <f>3*IFERROR(VLOOKUP(A172,'#15 IH Results'!$A$2:$C$301,2,0),0)+2*IFERROR(VLOOKUP(A172,'#14 IH Results'!$A$2:$C$302,2,0),0)+1.5*IFERROR(VLOOKUP(A172,'#13 IH Results'!$A$2:$C$302,2,0),0)+1.25*IFERROR(VLOOKUP(A172,'#12 IH Results'!$A$2:$C$302,2,0),0)+1.25*IFERROR(VLOOKUP(A172,'#11 IH Results'!$A$2:$C$302,2,0),0)+IFERROR(VLOOKUP(A172,'#10 IH Results'!$A$2:$C$302,2,0),0)+IFERROR(VLOOKUP(A172,'#9 IH Results'!$A$2:$C$302,2,0),0)+IFERROR(VLOOKUP(A172,'#8 IH Results'!$A$2:$C$302,2,0),0)+IFERROR(VLOOKUP(A172,'#7 IH Results'!$A$2:$C$302,2,0),0)+IFERROR(VLOOKUP(A172,'#6 IH Results'!$A$2:$C$302,2,0),0)+IFERROR(VLOOKUP(A172,'#5 IH Results'!$A$2:$C$303,2,0),0)+IFERROR(VLOOKUP(A172,'#4 IH Results'!$A$2:$C$300,2,0),0)+IFERROR(VLOOKUP(A172,'#3 IH Results'!$A$2:$C$101,2,0),0)+IFERROR(VLOOKUP(A172,'#2 IH Results'!$A$2:$C$101,2,0),0)+IFERROR(VLOOKUP(A172,'#1 IH Results'!$A$2:$C$101,2,0),0)+IFERROR(VLOOKUP(A172,'#0 IH Results'!$A$3:$C$102,2,0),0)</f>
        <v>5.746238495</v>
      </c>
    </row>
    <row r="173">
      <c r="A173" s="5" t="s">
        <v>178</v>
      </c>
      <c r="B173" s="6">
        <f>3*IFERROR(VLOOKUP(A173,'#15 IH Results'!$A$2:$C$301,2,0),0)+2*IFERROR(VLOOKUP(A173,'#14 IH Results'!$A$2:$C$302,2,0),0)+1.5*IFERROR(VLOOKUP(A173,'#13 IH Results'!$A$2:$C$302,2,0),0)+1.25*IFERROR(VLOOKUP(A173,'#12 IH Results'!$A$2:$C$302,2,0),0)+1.25*IFERROR(VLOOKUP(A173,'#11 IH Results'!$A$2:$C$302,2,0),0)+IFERROR(VLOOKUP(A173,'#10 IH Results'!$A$2:$C$302,2,0),0)+IFERROR(VLOOKUP(A173,'#9 IH Results'!$A$2:$C$302,2,0),0)+IFERROR(VLOOKUP(A173,'#8 IH Results'!$A$2:$C$302,2,0),0)+IFERROR(VLOOKUP(A173,'#7 IH Results'!$A$2:$C$302,2,0),0)+IFERROR(VLOOKUP(A173,'#6 IH Results'!$A$2:$C$302,2,0),0)+IFERROR(VLOOKUP(A173,'#5 IH Results'!$A$2:$C$303,2,0),0)+IFERROR(VLOOKUP(A173,'#4 IH Results'!$A$2:$C$300,2,0),0)+IFERROR(VLOOKUP(A173,'#3 IH Results'!$A$2:$C$101,2,0),0)+IFERROR(VLOOKUP(A173,'#2 IH Results'!$A$2:$C$101,2,0),0)+IFERROR(VLOOKUP(A173,'#1 IH Results'!$A$2:$C$101,2,0),0)+IFERROR(VLOOKUP(A173,'#0 IH Results'!$A$3:$C$102,2,0),0)</f>
        <v>5.644554966</v>
      </c>
    </row>
    <row r="174">
      <c r="A174" s="5" t="s">
        <v>159</v>
      </c>
      <c r="B174" s="6">
        <f>3*IFERROR(VLOOKUP(A174,'#15 IH Results'!$A$2:$C$301,2,0),0)+2*IFERROR(VLOOKUP(A174,'#14 IH Results'!$A$2:$C$302,2,0),0)+1.5*IFERROR(VLOOKUP(A174,'#13 IH Results'!$A$2:$C$302,2,0),0)+1.25*IFERROR(VLOOKUP(A174,'#12 IH Results'!$A$2:$C$302,2,0),0)+1.25*IFERROR(VLOOKUP(A174,'#11 IH Results'!$A$2:$C$302,2,0),0)+IFERROR(VLOOKUP(A174,'#10 IH Results'!$A$2:$C$302,2,0),0)+IFERROR(VLOOKUP(A174,'#9 IH Results'!$A$2:$C$302,2,0),0)+IFERROR(VLOOKUP(A174,'#8 IH Results'!$A$2:$C$302,2,0),0)+IFERROR(VLOOKUP(A174,'#7 IH Results'!$A$2:$C$302,2,0),0)+IFERROR(VLOOKUP(A174,'#6 IH Results'!$A$2:$C$302,2,0),0)+IFERROR(VLOOKUP(A174,'#5 IH Results'!$A$2:$C$303,2,0),0)+IFERROR(VLOOKUP(A174,'#4 IH Results'!$A$2:$C$300,2,0),0)+IFERROR(VLOOKUP(A174,'#3 IH Results'!$A$2:$C$101,2,0),0)+IFERROR(VLOOKUP(A174,'#2 IH Results'!$A$2:$C$101,2,0),0)+IFERROR(VLOOKUP(A174,'#1 IH Results'!$A$2:$C$101,2,0),0)+IFERROR(VLOOKUP(A174,'#0 IH Results'!$A$3:$C$102,2,0),0)</f>
        <v>5.366086279</v>
      </c>
    </row>
    <row r="175">
      <c r="A175" s="5" t="s">
        <v>160</v>
      </c>
      <c r="B175" s="6">
        <f>3*IFERROR(VLOOKUP(A175,'#15 IH Results'!$A$2:$C$301,2,0),0)+2*IFERROR(VLOOKUP(A175,'#14 IH Results'!$A$2:$C$302,2,0),0)+1.5*IFERROR(VLOOKUP(A175,'#13 IH Results'!$A$2:$C$302,2,0),0)+1.25*IFERROR(VLOOKUP(A175,'#12 IH Results'!$A$2:$C$302,2,0),0)+1.25*IFERROR(VLOOKUP(A175,'#11 IH Results'!$A$2:$C$302,2,0),0)+IFERROR(VLOOKUP(A175,'#10 IH Results'!$A$2:$C$302,2,0),0)+IFERROR(VLOOKUP(A175,'#9 IH Results'!$A$2:$C$302,2,0),0)+IFERROR(VLOOKUP(A175,'#8 IH Results'!$A$2:$C$302,2,0),0)+IFERROR(VLOOKUP(A175,'#7 IH Results'!$A$2:$C$302,2,0),0)+IFERROR(VLOOKUP(A175,'#6 IH Results'!$A$2:$C$302,2,0),0)+IFERROR(VLOOKUP(A175,'#5 IH Results'!$A$2:$C$303,2,0),0)+IFERROR(VLOOKUP(A175,'#4 IH Results'!$A$2:$C$300,2,0),0)+IFERROR(VLOOKUP(A175,'#3 IH Results'!$A$2:$C$101,2,0),0)+IFERROR(VLOOKUP(A175,'#2 IH Results'!$A$2:$C$101,2,0),0)+IFERROR(VLOOKUP(A175,'#1 IH Results'!$A$2:$C$101,2,0),0)+IFERROR(VLOOKUP(A175,'#0 IH Results'!$A$3:$C$102,2,0),0)</f>
        <v>5.340856029</v>
      </c>
    </row>
    <row r="176">
      <c r="A176" s="5" t="s">
        <v>209</v>
      </c>
      <c r="B176" s="6">
        <f>3*IFERROR(VLOOKUP(A176,'#15 IH Results'!$A$2:$C$301,2,0),0)+2*IFERROR(VLOOKUP(A176,'#14 IH Results'!$A$2:$C$302,2,0),0)+1.5*IFERROR(VLOOKUP(A176,'#13 IH Results'!$A$2:$C$302,2,0),0)+1.25*IFERROR(VLOOKUP(A176,'#12 IH Results'!$A$2:$C$302,2,0),0)+1.25*IFERROR(VLOOKUP(A176,'#11 IH Results'!$A$2:$C$302,2,0),0)+IFERROR(VLOOKUP(A176,'#10 IH Results'!$A$2:$C$302,2,0),0)+IFERROR(VLOOKUP(A176,'#9 IH Results'!$A$2:$C$302,2,0),0)+IFERROR(VLOOKUP(A176,'#8 IH Results'!$A$2:$C$302,2,0),0)+IFERROR(VLOOKUP(A176,'#7 IH Results'!$A$2:$C$302,2,0),0)+IFERROR(VLOOKUP(A176,'#6 IH Results'!$A$2:$C$302,2,0),0)+IFERROR(VLOOKUP(A176,'#5 IH Results'!$A$2:$C$303,2,0),0)+IFERROR(VLOOKUP(A176,'#4 IH Results'!$A$2:$C$300,2,0),0)+IFERROR(VLOOKUP(A176,'#3 IH Results'!$A$2:$C$101,2,0),0)+IFERROR(VLOOKUP(A176,'#2 IH Results'!$A$2:$C$101,2,0),0)+IFERROR(VLOOKUP(A176,'#1 IH Results'!$A$2:$C$101,2,0),0)+IFERROR(VLOOKUP(A176,'#0 IH Results'!$A$3:$C$102,2,0),0)</f>
        <v>5.331499959</v>
      </c>
    </row>
    <row r="177">
      <c r="A177" s="5" t="s">
        <v>174</v>
      </c>
      <c r="B177" s="6">
        <f>3*IFERROR(VLOOKUP(A177,'#15 IH Results'!$A$2:$C$301,2,0),0)+2*IFERROR(VLOOKUP(A177,'#14 IH Results'!$A$2:$C$302,2,0),0)+1.5*IFERROR(VLOOKUP(A177,'#13 IH Results'!$A$2:$C$302,2,0),0)+1.25*IFERROR(VLOOKUP(A177,'#12 IH Results'!$A$2:$C$302,2,0),0)+1.25*IFERROR(VLOOKUP(A177,'#11 IH Results'!$A$2:$C$302,2,0),0)+IFERROR(VLOOKUP(A177,'#10 IH Results'!$A$2:$C$302,2,0),0)+IFERROR(VLOOKUP(A177,'#9 IH Results'!$A$2:$C$302,2,0),0)+IFERROR(VLOOKUP(A177,'#8 IH Results'!$A$2:$C$302,2,0),0)+IFERROR(VLOOKUP(A177,'#7 IH Results'!$A$2:$C$302,2,0),0)+IFERROR(VLOOKUP(A177,'#6 IH Results'!$A$2:$C$302,2,0),0)+IFERROR(VLOOKUP(A177,'#5 IH Results'!$A$2:$C$303,2,0),0)+IFERROR(VLOOKUP(A177,'#4 IH Results'!$A$2:$C$300,2,0),0)+IFERROR(VLOOKUP(A177,'#3 IH Results'!$A$2:$C$101,2,0),0)+IFERROR(VLOOKUP(A177,'#2 IH Results'!$A$2:$C$101,2,0),0)+IFERROR(VLOOKUP(A177,'#1 IH Results'!$A$2:$C$101,2,0),0)+IFERROR(VLOOKUP(A177,'#0 IH Results'!$A$3:$C$102,2,0),0)</f>
        <v>5.328899684</v>
      </c>
    </row>
    <row r="178">
      <c r="A178" s="128" t="s">
        <v>210</v>
      </c>
      <c r="B178" s="6">
        <f>3*IFERROR(VLOOKUP(A178,'#15 IH Results'!$A$2:$C$301,2,0),0)+2*IFERROR(VLOOKUP(A178,'#14 IH Results'!$A$2:$C$302,2,0),0)+1.5*IFERROR(VLOOKUP(A178,'#13 IH Results'!$A$2:$C$302,2,0),0)+1.25*IFERROR(VLOOKUP(A178,'#12 IH Results'!$A$2:$C$302,2,0),0)+1.25*IFERROR(VLOOKUP(A178,'#11 IH Results'!$A$2:$C$302,2,0),0)+IFERROR(VLOOKUP(A178,'#10 IH Results'!$A$2:$C$302,2,0),0)+IFERROR(VLOOKUP(A178,'#9 IH Results'!$A$2:$C$302,2,0),0)+IFERROR(VLOOKUP(A178,'#8 IH Results'!$A$2:$C$302,2,0),0)+IFERROR(VLOOKUP(A178,'#7 IH Results'!$A$2:$C$302,2,0),0)+IFERROR(VLOOKUP(A178,'#6 IH Results'!$A$2:$C$302,2,0),0)+IFERROR(VLOOKUP(A178,'#5 IH Results'!$A$2:$C$303,2,0),0)+IFERROR(VLOOKUP(A178,'#4 IH Results'!$A$2:$C$300,2,0),0)+IFERROR(VLOOKUP(A178,'#3 IH Results'!$A$2:$C$101,2,0),0)+IFERROR(VLOOKUP(A178,'#2 IH Results'!$A$2:$C$101,2,0),0)+IFERROR(VLOOKUP(A178,'#1 IH Results'!$A$2:$C$101,2,0),0)+IFERROR(VLOOKUP(A178,'#0 IH Results'!$A$3:$C$102,2,0),0)</f>
        <v>5.32686146</v>
      </c>
    </row>
    <row r="179">
      <c r="A179" s="5" t="s">
        <v>241</v>
      </c>
      <c r="B179" s="6">
        <f>3*IFERROR(VLOOKUP(A179,'#15 IH Results'!$A$2:$C$301,2,0),0)+2*IFERROR(VLOOKUP(A179,'#14 IH Results'!$A$2:$C$302,2,0),0)+1.5*IFERROR(VLOOKUP(A179,'#13 IH Results'!$A$2:$C$302,2,0),0)+1.25*IFERROR(VLOOKUP(A179,'#12 IH Results'!$A$2:$C$302,2,0),0)+1.25*IFERROR(VLOOKUP(A179,'#11 IH Results'!$A$2:$C$302,2,0),0)+IFERROR(VLOOKUP(A179,'#10 IH Results'!$A$2:$C$302,2,0),0)+IFERROR(VLOOKUP(A179,'#9 IH Results'!$A$2:$C$302,2,0),0)+IFERROR(VLOOKUP(A179,'#8 IH Results'!$A$2:$C$302,2,0),0)+IFERROR(VLOOKUP(A179,'#7 IH Results'!$A$2:$C$302,2,0),0)+IFERROR(VLOOKUP(A179,'#6 IH Results'!$A$2:$C$302,2,0),0)+IFERROR(VLOOKUP(A179,'#5 IH Results'!$A$2:$C$303,2,0),0)+IFERROR(VLOOKUP(A179,'#4 IH Results'!$A$2:$C$300,2,0),0)+IFERROR(VLOOKUP(A179,'#3 IH Results'!$A$2:$C$101,2,0),0)+IFERROR(VLOOKUP(A179,'#2 IH Results'!$A$2:$C$101,2,0),0)+IFERROR(VLOOKUP(A179,'#1 IH Results'!$A$2:$C$101,2,0),0)+IFERROR(VLOOKUP(A179,'#0 IH Results'!$A$3:$C$102,2,0),0)</f>
        <v>5.208302776</v>
      </c>
    </row>
    <row r="180">
      <c r="A180" s="9" t="s">
        <v>141</v>
      </c>
      <c r="B180" s="6">
        <f>3*IFERROR(VLOOKUP(A180,'#15 IH Results'!$A$2:$C$301,2,0),0)+2*IFERROR(VLOOKUP(A180,'#14 IH Results'!$A$2:$C$302,2,0),0)+1.5*IFERROR(VLOOKUP(A180,'#13 IH Results'!$A$2:$C$302,2,0),0)+1.25*IFERROR(VLOOKUP(A180,'#12 IH Results'!$A$2:$C$302,2,0),0)+1.25*IFERROR(VLOOKUP(A180,'#11 IH Results'!$A$2:$C$302,2,0),0)+IFERROR(VLOOKUP(A180,'#10 IH Results'!$A$2:$C$302,2,0),0)+IFERROR(VLOOKUP(A180,'#9 IH Results'!$A$2:$C$302,2,0),0)+IFERROR(VLOOKUP(A180,'#8 IH Results'!$A$2:$C$302,2,0),0)+IFERROR(VLOOKUP(A180,'#7 IH Results'!$A$2:$C$302,2,0),0)+IFERROR(VLOOKUP(A180,'#6 IH Results'!$A$2:$C$302,2,0),0)+IFERROR(VLOOKUP(A180,'#5 IH Results'!$A$2:$C$303,2,0),0)+IFERROR(VLOOKUP(A180,'#4 IH Results'!$A$2:$C$300,2,0),0)+IFERROR(VLOOKUP(A180,'#3 IH Results'!$A$2:$C$101,2,0),0)+IFERROR(VLOOKUP(A180,'#2 IH Results'!$A$2:$C$101,2,0),0)+IFERROR(VLOOKUP(A180,'#1 IH Results'!$A$2:$C$101,2,0),0)+IFERROR(VLOOKUP(A180,'#0 IH Results'!$A$3:$C$102,2,0),0)</f>
        <v>5.158769408</v>
      </c>
    </row>
    <row r="181">
      <c r="A181" s="5" t="s">
        <v>207</v>
      </c>
      <c r="B181" s="6">
        <f>3*IFERROR(VLOOKUP(A181,'#15 IH Results'!$A$2:$C$301,2,0),0)+2*IFERROR(VLOOKUP(A181,'#14 IH Results'!$A$2:$C$302,2,0),0)+1.5*IFERROR(VLOOKUP(A181,'#13 IH Results'!$A$2:$C$302,2,0),0)+1.25*IFERROR(VLOOKUP(A181,'#12 IH Results'!$A$2:$C$302,2,0),0)+1.25*IFERROR(VLOOKUP(A181,'#11 IH Results'!$A$2:$C$302,2,0),0)+IFERROR(VLOOKUP(A181,'#10 IH Results'!$A$2:$C$302,2,0),0)+IFERROR(VLOOKUP(A181,'#9 IH Results'!$A$2:$C$302,2,0),0)+IFERROR(VLOOKUP(A181,'#8 IH Results'!$A$2:$C$302,2,0),0)+IFERROR(VLOOKUP(A181,'#7 IH Results'!$A$2:$C$302,2,0),0)+IFERROR(VLOOKUP(A181,'#6 IH Results'!$A$2:$C$302,2,0),0)+IFERROR(VLOOKUP(A181,'#5 IH Results'!$A$2:$C$303,2,0),0)+IFERROR(VLOOKUP(A181,'#4 IH Results'!$A$2:$C$300,2,0),0)+IFERROR(VLOOKUP(A181,'#3 IH Results'!$A$2:$C$101,2,0),0)+IFERROR(VLOOKUP(A181,'#2 IH Results'!$A$2:$C$101,2,0),0)+IFERROR(VLOOKUP(A181,'#1 IH Results'!$A$2:$C$101,2,0),0)+IFERROR(VLOOKUP(A181,'#0 IH Results'!$A$3:$C$102,2,0),0)</f>
        <v>5.107135558</v>
      </c>
    </row>
    <row r="182">
      <c r="A182" s="5" t="s">
        <v>206</v>
      </c>
      <c r="B182" s="6">
        <f>3*IFERROR(VLOOKUP(A182,'#15 IH Results'!$A$2:$C$301,2,0),0)+2*IFERROR(VLOOKUP(A182,'#14 IH Results'!$A$2:$C$302,2,0),0)+1.5*IFERROR(VLOOKUP(A182,'#13 IH Results'!$A$2:$C$302,2,0),0)+1.25*IFERROR(VLOOKUP(A182,'#12 IH Results'!$A$2:$C$302,2,0),0)+1.25*IFERROR(VLOOKUP(A182,'#11 IH Results'!$A$2:$C$302,2,0),0)+IFERROR(VLOOKUP(A182,'#10 IH Results'!$A$2:$C$302,2,0),0)+IFERROR(VLOOKUP(A182,'#9 IH Results'!$A$2:$C$302,2,0),0)+IFERROR(VLOOKUP(A182,'#8 IH Results'!$A$2:$C$302,2,0),0)+IFERROR(VLOOKUP(A182,'#7 IH Results'!$A$2:$C$302,2,0),0)+IFERROR(VLOOKUP(A182,'#6 IH Results'!$A$2:$C$302,2,0),0)+IFERROR(VLOOKUP(A182,'#5 IH Results'!$A$2:$C$303,2,0),0)+IFERROR(VLOOKUP(A182,'#4 IH Results'!$A$2:$C$300,2,0),0)+IFERROR(VLOOKUP(A182,'#3 IH Results'!$A$2:$C$101,2,0),0)+IFERROR(VLOOKUP(A182,'#2 IH Results'!$A$2:$C$101,2,0),0)+IFERROR(VLOOKUP(A182,'#1 IH Results'!$A$2:$C$101,2,0),0)+IFERROR(VLOOKUP(A182,'#0 IH Results'!$A$3:$C$102,2,0),0)</f>
        <v>5.101260697</v>
      </c>
    </row>
    <row r="183">
      <c r="A183" s="7" t="s">
        <v>175</v>
      </c>
      <c r="B183" s="6">
        <f>3*IFERROR(VLOOKUP(A183,'#15 IH Results'!$A$2:$C$301,2,0),0)+2*IFERROR(VLOOKUP(A183,'#14 IH Results'!$A$2:$C$302,2,0),0)+1.5*IFERROR(VLOOKUP(A183,'#13 IH Results'!$A$2:$C$302,2,0),0)+1.25*IFERROR(VLOOKUP(A183,'#12 IH Results'!$A$2:$C$302,2,0),0)+1.25*IFERROR(VLOOKUP(A183,'#11 IH Results'!$A$2:$C$302,2,0),0)+IFERROR(VLOOKUP(A183,'#10 IH Results'!$A$2:$C$302,2,0),0)+IFERROR(VLOOKUP(A183,'#9 IH Results'!$A$2:$C$302,2,0),0)+IFERROR(VLOOKUP(A183,'#8 IH Results'!$A$2:$C$302,2,0),0)+IFERROR(VLOOKUP(A183,'#7 IH Results'!$A$2:$C$302,2,0),0)+IFERROR(VLOOKUP(A183,'#6 IH Results'!$A$2:$C$302,2,0),0)+IFERROR(VLOOKUP(A183,'#5 IH Results'!$A$2:$C$303,2,0),0)+IFERROR(VLOOKUP(A183,'#4 IH Results'!$A$2:$C$300,2,0),0)+IFERROR(VLOOKUP(A183,'#3 IH Results'!$A$2:$C$101,2,0),0)+IFERROR(VLOOKUP(A183,'#2 IH Results'!$A$2:$C$101,2,0),0)+IFERROR(VLOOKUP(A183,'#1 IH Results'!$A$2:$C$101,2,0),0)+IFERROR(VLOOKUP(A183,'#0 IH Results'!$A$3:$C$102,2,0),0)</f>
        <v>4.955626155</v>
      </c>
    </row>
    <row r="184">
      <c r="A184" s="5" t="s">
        <v>245</v>
      </c>
      <c r="B184" s="6">
        <f>3*IFERROR(VLOOKUP(A184,'#15 IH Results'!$A$2:$C$301,2,0),0)+2*IFERROR(VLOOKUP(A184,'#14 IH Results'!$A$2:$C$302,2,0),0)+1.5*IFERROR(VLOOKUP(A184,'#13 IH Results'!$A$2:$C$302,2,0),0)+1.25*IFERROR(VLOOKUP(A184,'#12 IH Results'!$A$2:$C$302,2,0),0)+1.25*IFERROR(VLOOKUP(A184,'#11 IH Results'!$A$2:$C$302,2,0),0)+IFERROR(VLOOKUP(A184,'#10 IH Results'!$A$2:$C$302,2,0),0)+IFERROR(VLOOKUP(A184,'#9 IH Results'!$A$2:$C$302,2,0),0)+IFERROR(VLOOKUP(A184,'#8 IH Results'!$A$2:$C$302,2,0),0)+IFERROR(VLOOKUP(A184,'#7 IH Results'!$A$2:$C$302,2,0),0)+IFERROR(VLOOKUP(A184,'#6 IH Results'!$A$2:$C$302,2,0),0)+IFERROR(VLOOKUP(A184,'#5 IH Results'!$A$2:$C$303,2,0),0)+IFERROR(VLOOKUP(A184,'#4 IH Results'!$A$2:$C$300,2,0),0)+IFERROR(VLOOKUP(A184,'#3 IH Results'!$A$2:$C$101,2,0),0)+IFERROR(VLOOKUP(A184,'#2 IH Results'!$A$2:$C$101,2,0),0)+IFERROR(VLOOKUP(A184,'#1 IH Results'!$A$2:$C$101,2,0),0)+IFERROR(VLOOKUP(A184,'#0 IH Results'!$A$3:$C$102,2,0),0)</f>
        <v>4.955357148</v>
      </c>
    </row>
    <row r="185">
      <c r="A185" s="5" t="s">
        <v>246</v>
      </c>
      <c r="B185" s="6">
        <f>3*IFERROR(VLOOKUP(A185,'#15 IH Results'!$A$2:$C$301,2,0),0)+2*IFERROR(VLOOKUP(A185,'#14 IH Results'!$A$2:$C$302,2,0),0)+1.5*IFERROR(VLOOKUP(A185,'#13 IH Results'!$A$2:$C$302,2,0),0)+1.25*IFERROR(VLOOKUP(A185,'#12 IH Results'!$A$2:$C$302,2,0),0)+1.25*IFERROR(VLOOKUP(A185,'#11 IH Results'!$A$2:$C$302,2,0),0)+IFERROR(VLOOKUP(A185,'#10 IH Results'!$A$2:$C$302,2,0),0)+IFERROR(VLOOKUP(A185,'#9 IH Results'!$A$2:$C$302,2,0),0)+IFERROR(VLOOKUP(A185,'#8 IH Results'!$A$2:$C$302,2,0),0)+IFERROR(VLOOKUP(A185,'#7 IH Results'!$A$2:$C$302,2,0),0)+IFERROR(VLOOKUP(A185,'#6 IH Results'!$A$2:$C$302,2,0),0)+IFERROR(VLOOKUP(A185,'#5 IH Results'!$A$2:$C$303,2,0),0)+IFERROR(VLOOKUP(A185,'#4 IH Results'!$A$2:$C$300,2,0),0)+IFERROR(VLOOKUP(A185,'#3 IH Results'!$A$2:$C$101,2,0),0)+IFERROR(VLOOKUP(A185,'#2 IH Results'!$A$2:$C$101,2,0),0)+IFERROR(VLOOKUP(A185,'#1 IH Results'!$A$2:$C$101,2,0),0)+IFERROR(VLOOKUP(A185,'#0 IH Results'!$A$3:$C$102,2,0),0)</f>
        <v>4.955357148</v>
      </c>
    </row>
    <row r="186">
      <c r="A186" s="5" t="s">
        <v>247</v>
      </c>
      <c r="B186" s="6">
        <f>3*IFERROR(VLOOKUP(A186,'#15 IH Results'!$A$2:$C$301,2,0),0)+2*IFERROR(VLOOKUP(A186,'#14 IH Results'!$A$2:$C$302,2,0),0)+1.5*IFERROR(VLOOKUP(A186,'#13 IH Results'!$A$2:$C$302,2,0),0)+1.25*IFERROR(VLOOKUP(A186,'#12 IH Results'!$A$2:$C$302,2,0),0)+1.25*IFERROR(VLOOKUP(A186,'#11 IH Results'!$A$2:$C$302,2,0),0)+IFERROR(VLOOKUP(A186,'#10 IH Results'!$A$2:$C$302,2,0),0)+IFERROR(VLOOKUP(A186,'#9 IH Results'!$A$2:$C$302,2,0),0)+IFERROR(VLOOKUP(A186,'#8 IH Results'!$A$2:$C$302,2,0),0)+IFERROR(VLOOKUP(A186,'#7 IH Results'!$A$2:$C$302,2,0),0)+IFERROR(VLOOKUP(A186,'#6 IH Results'!$A$2:$C$302,2,0),0)+IFERROR(VLOOKUP(A186,'#5 IH Results'!$A$2:$C$303,2,0),0)+IFERROR(VLOOKUP(A186,'#4 IH Results'!$A$2:$C$300,2,0),0)+IFERROR(VLOOKUP(A186,'#3 IH Results'!$A$2:$C$101,2,0),0)+IFERROR(VLOOKUP(A186,'#2 IH Results'!$A$2:$C$101,2,0),0)+IFERROR(VLOOKUP(A186,'#1 IH Results'!$A$2:$C$101,2,0),0)+IFERROR(VLOOKUP(A186,'#0 IH Results'!$A$3:$C$102,2,0),0)</f>
        <v>4.955357148</v>
      </c>
    </row>
    <row r="187">
      <c r="A187" s="5" t="s">
        <v>248</v>
      </c>
      <c r="B187" s="6">
        <f>3*IFERROR(VLOOKUP(A187,'#15 IH Results'!$A$2:$C$301,2,0),0)+2*IFERROR(VLOOKUP(A187,'#14 IH Results'!$A$2:$C$302,2,0),0)+1.5*IFERROR(VLOOKUP(A187,'#13 IH Results'!$A$2:$C$302,2,0),0)+1.25*IFERROR(VLOOKUP(A187,'#12 IH Results'!$A$2:$C$302,2,0),0)+1.25*IFERROR(VLOOKUP(A187,'#11 IH Results'!$A$2:$C$302,2,0),0)+IFERROR(VLOOKUP(A187,'#10 IH Results'!$A$2:$C$302,2,0),0)+IFERROR(VLOOKUP(A187,'#9 IH Results'!$A$2:$C$302,2,0),0)+IFERROR(VLOOKUP(A187,'#8 IH Results'!$A$2:$C$302,2,0),0)+IFERROR(VLOOKUP(A187,'#7 IH Results'!$A$2:$C$302,2,0),0)+IFERROR(VLOOKUP(A187,'#6 IH Results'!$A$2:$C$302,2,0),0)+IFERROR(VLOOKUP(A187,'#5 IH Results'!$A$2:$C$303,2,0),0)+IFERROR(VLOOKUP(A187,'#4 IH Results'!$A$2:$C$300,2,0),0)+IFERROR(VLOOKUP(A187,'#3 IH Results'!$A$2:$C$101,2,0),0)+IFERROR(VLOOKUP(A187,'#2 IH Results'!$A$2:$C$101,2,0),0)+IFERROR(VLOOKUP(A187,'#1 IH Results'!$A$2:$C$101,2,0),0)+IFERROR(VLOOKUP(A187,'#0 IH Results'!$A$3:$C$102,2,0),0)</f>
        <v>4.955357148</v>
      </c>
    </row>
    <row r="188">
      <c r="A188" s="5" t="s">
        <v>185</v>
      </c>
      <c r="B188" s="6">
        <f>3*IFERROR(VLOOKUP(A188,'#15 IH Results'!$A$2:$C$301,2,0),0)+2*IFERROR(VLOOKUP(A188,'#14 IH Results'!$A$2:$C$302,2,0),0)+1.5*IFERROR(VLOOKUP(A188,'#13 IH Results'!$A$2:$C$302,2,0),0)+1.25*IFERROR(VLOOKUP(A188,'#12 IH Results'!$A$2:$C$302,2,0),0)+1.25*IFERROR(VLOOKUP(A188,'#11 IH Results'!$A$2:$C$302,2,0),0)+IFERROR(VLOOKUP(A188,'#10 IH Results'!$A$2:$C$302,2,0),0)+IFERROR(VLOOKUP(A188,'#9 IH Results'!$A$2:$C$302,2,0),0)+IFERROR(VLOOKUP(A188,'#8 IH Results'!$A$2:$C$302,2,0),0)+IFERROR(VLOOKUP(A188,'#7 IH Results'!$A$2:$C$302,2,0),0)+IFERROR(VLOOKUP(A188,'#6 IH Results'!$A$2:$C$302,2,0),0)+IFERROR(VLOOKUP(A188,'#5 IH Results'!$A$2:$C$303,2,0),0)+IFERROR(VLOOKUP(A188,'#4 IH Results'!$A$2:$C$300,2,0),0)+IFERROR(VLOOKUP(A188,'#3 IH Results'!$A$2:$C$101,2,0),0)+IFERROR(VLOOKUP(A188,'#2 IH Results'!$A$2:$C$101,2,0),0)+IFERROR(VLOOKUP(A188,'#1 IH Results'!$A$2:$C$101,2,0),0)+IFERROR(VLOOKUP(A188,'#0 IH Results'!$A$3:$C$102,2,0),0)</f>
        <v>4.953557503</v>
      </c>
    </row>
    <row r="189">
      <c r="A189" s="5" t="s">
        <v>189</v>
      </c>
      <c r="B189" s="6">
        <f>3*IFERROR(VLOOKUP(A189,'#15 IH Results'!$A$2:$C$301,2,0),0)+2*IFERROR(VLOOKUP(A189,'#14 IH Results'!$A$2:$C$302,2,0),0)+1.5*IFERROR(VLOOKUP(A189,'#13 IH Results'!$A$2:$C$302,2,0),0)+1.25*IFERROR(VLOOKUP(A189,'#12 IH Results'!$A$2:$C$302,2,0),0)+1.25*IFERROR(VLOOKUP(A189,'#11 IH Results'!$A$2:$C$302,2,0),0)+IFERROR(VLOOKUP(A189,'#10 IH Results'!$A$2:$C$302,2,0),0)+IFERROR(VLOOKUP(A189,'#9 IH Results'!$A$2:$C$302,2,0),0)+IFERROR(VLOOKUP(A189,'#8 IH Results'!$A$2:$C$302,2,0),0)+IFERROR(VLOOKUP(A189,'#7 IH Results'!$A$2:$C$302,2,0),0)+IFERROR(VLOOKUP(A189,'#6 IH Results'!$A$2:$C$302,2,0),0)+IFERROR(VLOOKUP(A189,'#5 IH Results'!$A$2:$C$303,2,0),0)+IFERROR(VLOOKUP(A189,'#4 IH Results'!$A$2:$C$300,2,0),0)+IFERROR(VLOOKUP(A189,'#3 IH Results'!$A$2:$C$101,2,0),0)+IFERROR(VLOOKUP(A189,'#2 IH Results'!$A$2:$C$101,2,0),0)+IFERROR(VLOOKUP(A189,'#1 IH Results'!$A$2:$C$101,2,0),0)+IFERROR(VLOOKUP(A189,'#0 IH Results'!$A$3:$C$102,2,0),0)</f>
        <v>4.827567257</v>
      </c>
    </row>
    <row r="190">
      <c r="A190" s="5" t="s">
        <v>191</v>
      </c>
      <c r="B190" s="6">
        <f>3*IFERROR(VLOOKUP(A190,'#15 IH Results'!$A$2:$C$301,2,0),0)+2*IFERROR(VLOOKUP(A190,'#14 IH Results'!$A$2:$C$302,2,0),0)+1.5*IFERROR(VLOOKUP(A190,'#13 IH Results'!$A$2:$C$302,2,0),0)+1.25*IFERROR(VLOOKUP(A190,'#12 IH Results'!$A$2:$C$302,2,0),0)+1.25*IFERROR(VLOOKUP(A190,'#11 IH Results'!$A$2:$C$302,2,0),0)+IFERROR(VLOOKUP(A190,'#10 IH Results'!$A$2:$C$302,2,0),0)+IFERROR(VLOOKUP(A190,'#9 IH Results'!$A$2:$C$302,2,0),0)+IFERROR(VLOOKUP(A190,'#8 IH Results'!$A$2:$C$302,2,0),0)+IFERROR(VLOOKUP(A190,'#7 IH Results'!$A$2:$C$302,2,0),0)+IFERROR(VLOOKUP(A190,'#6 IH Results'!$A$2:$C$302,2,0),0)+IFERROR(VLOOKUP(A190,'#5 IH Results'!$A$2:$C$303,2,0),0)+IFERROR(VLOOKUP(A190,'#4 IH Results'!$A$2:$C$300,2,0),0)+IFERROR(VLOOKUP(A190,'#3 IH Results'!$A$2:$C$101,2,0),0)+IFERROR(VLOOKUP(A190,'#2 IH Results'!$A$2:$C$101,2,0),0)+IFERROR(VLOOKUP(A190,'#1 IH Results'!$A$2:$C$101,2,0),0)+IFERROR(VLOOKUP(A190,'#0 IH Results'!$A$3:$C$102,2,0),0)</f>
        <v>4.718641397</v>
      </c>
    </row>
    <row r="191">
      <c r="A191" s="5" t="s">
        <v>225</v>
      </c>
      <c r="B191" s="6">
        <f>3*IFERROR(VLOOKUP(A191,'#15 IH Results'!$A$2:$C$301,2,0),0)+2*IFERROR(VLOOKUP(A191,'#14 IH Results'!$A$2:$C$302,2,0),0)+1.5*IFERROR(VLOOKUP(A191,'#13 IH Results'!$A$2:$C$302,2,0),0)+1.25*IFERROR(VLOOKUP(A191,'#12 IH Results'!$A$2:$C$302,2,0),0)+1.25*IFERROR(VLOOKUP(A191,'#11 IH Results'!$A$2:$C$302,2,0),0)+IFERROR(VLOOKUP(A191,'#10 IH Results'!$A$2:$C$302,2,0),0)+IFERROR(VLOOKUP(A191,'#9 IH Results'!$A$2:$C$302,2,0),0)+IFERROR(VLOOKUP(A191,'#8 IH Results'!$A$2:$C$302,2,0),0)+IFERROR(VLOOKUP(A191,'#7 IH Results'!$A$2:$C$302,2,0),0)+IFERROR(VLOOKUP(A191,'#6 IH Results'!$A$2:$C$302,2,0),0)+IFERROR(VLOOKUP(A191,'#5 IH Results'!$A$2:$C$303,2,0),0)+IFERROR(VLOOKUP(A191,'#4 IH Results'!$A$2:$C$300,2,0),0)+IFERROR(VLOOKUP(A191,'#3 IH Results'!$A$2:$C$101,2,0),0)+IFERROR(VLOOKUP(A191,'#2 IH Results'!$A$2:$C$101,2,0),0)+IFERROR(VLOOKUP(A191,'#1 IH Results'!$A$2:$C$101,2,0),0)+IFERROR(VLOOKUP(A191,'#0 IH Results'!$A$3:$C$102,2,0),0)</f>
        <v>4.693063821</v>
      </c>
    </row>
    <row r="192">
      <c r="A192" s="5" t="s">
        <v>226</v>
      </c>
      <c r="B192" s="6">
        <f>3*IFERROR(VLOOKUP(A192,'#15 IH Results'!$A$2:$C$301,2,0),0)+2*IFERROR(VLOOKUP(A192,'#14 IH Results'!$A$2:$C$302,2,0),0)+1.5*IFERROR(VLOOKUP(A192,'#13 IH Results'!$A$2:$C$302,2,0),0)+1.25*IFERROR(VLOOKUP(A192,'#12 IH Results'!$A$2:$C$302,2,0),0)+1.25*IFERROR(VLOOKUP(A192,'#11 IH Results'!$A$2:$C$302,2,0),0)+IFERROR(VLOOKUP(A192,'#10 IH Results'!$A$2:$C$302,2,0),0)+IFERROR(VLOOKUP(A192,'#9 IH Results'!$A$2:$C$302,2,0),0)+IFERROR(VLOOKUP(A192,'#8 IH Results'!$A$2:$C$302,2,0),0)+IFERROR(VLOOKUP(A192,'#7 IH Results'!$A$2:$C$302,2,0),0)+IFERROR(VLOOKUP(A192,'#6 IH Results'!$A$2:$C$302,2,0),0)+IFERROR(VLOOKUP(A192,'#5 IH Results'!$A$2:$C$303,2,0),0)+IFERROR(VLOOKUP(A192,'#4 IH Results'!$A$2:$C$300,2,0),0)+IFERROR(VLOOKUP(A192,'#3 IH Results'!$A$2:$C$101,2,0),0)+IFERROR(VLOOKUP(A192,'#2 IH Results'!$A$2:$C$101,2,0),0)+IFERROR(VLOOKUP(A192,'#1 IH Results'!$A$2:$C$101,2,0),0)+IFERROR(VLOOKUP(A192,'#0 IH Results'!$A$3:$C$102,2,0),0)</f>
        <v>4.693063821</v>
      </c>
    </row>
    <row r="193">
      <c r="A193" s="129" t="s">
        <v>194</v>
      </c>
      <c r="B193" s="6">
        <f>3*IFERROR(VLOOKUP(A193,'#15 IH Results'!$A$2:$C$301,2,0),0)+2*IFERROR(VLOOKUP(A193,'#14 IH Results'!$A$2:$C$302,2,0),0)+1.5*IFERROR(VLOOKUP(A193,'#13 IH Results'!$A$2:$C$302,2,0),0)+1.25*IFERROR(VLOOKUP(A193,'#12 IH Results'!$A$2:$C$302,2,0),0)+1.25*IFERROR(VLOOKUP(A193,'#11 IH Results'!$A$2:$C$302,2,0),0)+IFERROR(VLOOKUP(A193,'#10 IH Results'!$A$2:$C$302,2,0),0)+IFERROR(VLOOKUP(A193,'#9 IH Results'!$A$2:$C$302,2,0),0)+IFERROR(VLOOKUP(A193,'#8 IH Results'!$A$2:$C$302,2,0),0)+IFERROR(VLOOKUP(A193,'#7 IH Results'!$A$2:$C$302,2,0),0)+IFERROR(VLOOKUP(A193,'#6 IH Results'!$A$2:$C$302,2,0),0)+IFERROR(VLOOKUP(A193,'#5 IH Results'!$A$2:$C$303,2,0),0)+IFERROR(VLOOKUP(A193,'#4 IH Results'!$A$2:$C$300,2,0),0)+IFERROR(VLOOKUP(A193,'#3 IH Results'!$A$2:$C$101,2,0),0)+IFERROR(VLOOKUP(A193,'#2 IH Results'!$A$2:$C$101,2,0),0)+IFERROR(VLOOKUP(A193,'#1 IH Results'!$A$2:$C$101,2,0),0)+IFERROR(VLOOKUP(A193,'#0 IH Results'!$A$3:$C$102,2,0),0)</f>
        <v>4.682861817</v>
      </c>
    </row>
    <row r="194">
      <c r="A194" s="5" t="s">
        <v>147</v>
      </c>
      <c r="B194" s="6">
        <f>3*IFERROR(VLOOKUP(A194,'#15 IH Results'!$A$2:$C$301,2,0),0)+2*IFERROR(VLOOKUP(A194,'#14 IH Results'!$A$2:$C$302,2,0),0)+1.5*IFERROR(VLOOKUP(A194,'#13 IH Results'!$A$2:$C$302,2,0),0)+1.25*IFERROR(VLOOKUP(A194,'#12 IH Results'!$A$2:$C$302,2,0),0)+1.25*IFERROR(VLOOKUP(A194,'#11 IH Results'!$A$2:$C$302,2,0),0)+IFERROR(VLOOKUP(A194,'#10 IH Results'!$A$2:$C$302,2,0),0)+IFERROR(VLOOKUP(A194,'#9 IH Results'!$A$2:$C$302,2,0),0)+IFERROR(VLOOKUP(A194,'#8 IH Results'!$A$2:$C$302,2,0),0)+IFERROR(VLOOKUP(A194,'#7 IH Results'!$A$2:$C$302,2,0),0)+IFERROR(VLOOKUP(A194,'#6 IH Results'!$A$2:$C$302,2,0),0)+IFERROR(VLOOKUP(A194,'#5 IH Results'!$A$2:$C$303,2,0),0)+IFERROR(VLOOKUP(A194,'#4 IH Results'!$A$2:$C$300,2,0),0)+IFERROR(VLOOKUP(A194,'#3 IH Results'!$A$2:$C$101,2,0),0)+IFERROR(VLOOKUP(A194,'#2 IH Results'!$A$2:$C$101,2,0),0)+IFERROR(VLOOKUP(A194,'#1 IH Results'!$A$2:$C$101,2,0),0)+IFERROR(VLOOKUP(A194,'#0 IH Results'!$A$3:$C$102,2,0),0)</f>
        <v>4.497100723</v>
      </c>
    </row>
    <row r="195">
      <c r="A195" s="5" t="s">
        <v>182</v>
      </c>
      <c r="B195" s="6">
        <f>3*IFERROR(VLOOKUP(A195,'#15 IH Results'!$A$2:$C$301,2,0),0)+2*IFERROR(VLOOKUP(A195,'#14 IH Results'!$A$2:$C$302,2,0),0)+1.5*IFERROR(VLOOKUP(A195,'#13 IH Results'!$A$2:$C$302,2,0),0)+1.25*IFERROR(VLOOKUP(A195,'#12 IH Results'!$A$2:$C$302,2,0),0)+1.25*IFERROR(VLOOKUP(A195,'#11 IH Results'!$A$2:$C$302,2,0),0)+IFERROR(VLOOKUP(A195,'#10 IH Results'!$A$2:$C$302,2,0),0)+IFERROR(VLOOKUP(A195,'#9 IH Results'!$A$2:$C$302,2,0),0)+IFERROR(VLOOKUP(A195,'#8 IH Results'!$A$2:$C$302,2,0),0)+IFERROR(VLOOKUP(A195,'#7 IH Results'!$A$2:$C$302,2,0),0)+IFERROR(VLOOKUP(A195,'#6 IH Results'!$A$2:$C$302,2,0),0)+IFERROR(VLOOKUP(A195,'#5 IH Results'!$A$2:$C$303,2,0),0)+IFERROR(VLOOKUP(A195,'#4 IH Results'!$A$2:$C$300,2,0),0)+IFERROR(VLOOKUP(A195,'#3 IH Results'!$A$2:$C$101,2,0),0)+IFERROR(VLOOKUP(A195,'#2 IH Results'!$A$2:$C$101,2,0),0)+IFERROR(VLOOKUP(A195,'#1 IH Results'!$A$2:$C$101,2,0),0)+IFERROR(VLOOKUP(A195,'#0 IH Results'!$A$3:$C$102,2,0),0)</f>
        <v>4.459821434</v>
      </c>
    </row>
    <row r="196">
      <c r="A196" s="5" t="s">
        <v>223</v>
      </c>
      <c r="B196" s="6">
        <f>3*IFERROR(VLOOKUP(A196,'#15 IH Results'!$A$2:$C$301,2,0),0)+2*IFERROR(VLOOKUP(A196,'#14 IH Results'!$A$2:$C$302,2,0),0)+1.5*IFERROR(VLOOKUP(A196,'#13 IH Results'!$A$2:$C$302,2,0),0)+1.25*IFERROR(VLOOKUP(A196,'#12 IH Results'!$A$2:$C$302,2,0),0)+1.25*IFERROR(VLOOKUP(A196,'#11 IH Results'!$A$2:$C$302,2,0),0)+IFERROR(VLOOKUP(A196,'#10 IH Results'!$A$2:$C$302,2,0),0)+IFERROR(VLOOKUP(A196,'#9 IH Results'!$A$2:$C$302,2,0),0)+IFERROR(VLOOKUP(A196,'#8 IH Results'!$A$2:$C$302,2,0),0)+IFERROR(VLOOKUP(A196,'#7 IH Results'!$A$2:$C$302,2,0),0)+IFERROR(VLOOKUP(A196,'#6 IH Results'!$A$2:$C$302,2,0),0)+IFERROR(VLOOKUP(A196,'#5 IH Results'!$A$2:$C$303,2,0),0)+IFERROR(VLOOKUP(A196,'#4 IH Results'!$A$2:$C$300,2,0),0)+IFERROR(VLOOKUP(A196,'#3 IH Results'!$A$2:$C$101,2,0),0)+IFERROR(VLOOKUP(A196,'#2 IH Results'!$A$2:$C$101,2,0),0)+IFERROR(VLOOKUP(A196,'#1 IH Results'!$A$2:$C$101,2,0),0)+IFERROR(VLOOKUP(A196,'#0 IH Results'!$A$3:$C$102,2,0),0)</f>
        <v>4.233101407</v>
      </c>
    </row>
    <row r="197">
      <c r="A197" s="5" t="s">
        <v>265</v>
      </c>
      <c r="B197" s="6">
        <f>3*IFERROR(VLOOKUP(A197,'#15 IH Results'!$A$2:$C$301,2,0),0)+2*IFERROR(VLOOKUP(A197,'#14 IH Results'!$A$2:$C$302,2,0),0)+1.5*IFERROR(VLOOKUP(A197,'#13 IH Results'!$A$2:$C$302,2,0),0)+1.25*IFERROR(VLOOKUP(A197,'#12 IH Results'!$A$2:$C$302,2,0),0)+1.25*IFERROR(VLOOKUP(A197,'#11 IH Results'!$A$2:$C$302,2,0),0)+IFERROR(VLOOKUP(A197,'#10 IH Results'!$A$2:$C$302,2,0),0)+IFERROR(VLOOKUP(A197,'#9 IH Results'!$A$2:$C$302,2,0),0)+IFERROR(VLOOKUP(A197,'#8 IH Results'!$A$2:$C$302,2,0),0)+IFERROR(VLOOKUP(A197,'#7 IH Results'!$A$2:$C$302,2,0),0)+IFERROR(VLOOKUP(A197,'#6 IH Results'!$A$2:$C$302,2,0),0)+IFERROR(VLOOKUP(A197,'#5 IH Results'!$A$2:$C$303,2,0),0)+IFERROR(VLOOKUP(A197,'#4 IH Results'!$A$2:$C$300,2,0),0)+IFERROR(VLOOKUP(A197,'#3 IH Results'!$A$2:$C$101,2,0),0)+IFERROR(VLOOKUP(A197,'#2 IH Results'!$A$2:$C$101,2,0),0)+IFERROR(VLOOKUP(A197,'#1 IH Results'!$A$2:$C$101,2,0),0)+IFERROR(VLOOKUP(A197,'#0 IH Results'!$A$3:$C$102,2,0),0)</f>
        <v>4.217231346</v>
      </c>
    </row>
    <row r="198">
      <c r="A198" s="7" t="s">
        <v>188</v>
      </c>
      <c r="B198" s="6">
        <f>3*IFERROR(VLOOKUP(A198,'#15 IH Results'!$A$2:$C$301,2,0),0)+2*IFERROR(VLOOKUP(A198,'#14 IH Results'!$A$2:$C$302,2,0),0)+1.5*IFERROR(VLOOKUP(A198,'#13 IH Results'!$A$2:$C$302,2,0),0)+1.25*IFERROR(VLOOKUP(A198,'#12 IH Results'!$A$2:$C$302,2,0),0)+1.25*IFERROR(VLOOKUP(A198,'#11 IH Results'!$A$2:$C$302,2,0),0)+IFERROR(VLOOKUP(A198,'#10 IH Results'!$A$2:$C$302,2,0),0)+IFERROR(VLOOKUP(A198,'#9 IH Results'!$A$2:$C$302,2,0),0)+IFERROR(VLOOKUP(A198,'#8 IH Results'!$A$2:$C$302,2,0),0)+IFERROR(VLOOKUP(A198,'#7 IH Results'!$A$2:$C$302,2,0),0)+IFERROR(VLOOKUP(A198,'#6 IH Results'!$A$2:$C$302,2,0),0)+IFERROR(VLOOKUP(A198,'#5 IH Results'!$A$2:$C$303,2,0),0)+IFERROR(VLOOKUP(A198,'#4 IH Results'!$A$2:$C$300,2,0),0)+IFERROR(VLOOKUP(A198,'#3 IH Results'!$A$2:$C$101,2,0),0)+IFERROR(VLOOKUP(A198,'#2 IH Results'!$A$2:$C$101,2,0),0)+IFERROR(VLOOKUP(A198,'#1 IH Results'!$A$2:$C$101,2,0),0)+IFERROR(VLOOKUP(A198,'#0 IH Results'!$A$3:$C$102,2,0),0)</f>
        <v>4.050907051</v>
      </c>
    </row>
    <row r="199">
      <c r="A199" s="5" t="s">
        <v>177</v>
      </c>
      <c r="B199" s="6">
        <f>3*IFERROR(VLOOKUP(A199,'#15 IH Results'!$A$2:$C$301,2,0),0)+2*IFERROR(VLOOKUP(A199,'#14 IH Results'!$A$2:$C$302,2,0),0)+1.5*IFERROR(VLOOKUP(A199,'#13 IH Results'!$A$2:$C$302,2,0),0)+1.25*IFERROR(VLOOKUP(A199,'#12 IH Results'!$A$2:$C$302,2,0),0)+1.25*IFERROR(VLOOKUP(A199,'#11 IH Results'!$A$2:$C$302,2,0),0)+IFERROR(VLOOKUP(A199,'#10 IH Results'!$A$2:$C$302,2,0),0)+IFERROR(VLOOKUP(A199,'#9 IH Results'!$A$2:$C$302,2,0),0)+IFERROR(VLOOKUP(A199,'#8 IH Results'!$A$2:$C$302,2,0),0)+IFERROR(VLOOKUP(A199,'#7 IH Results'!$A$2:$C$302,2,0),0)+IFERROR(VLOOKUP(A199,'#6 IH Results'!$A$2:$C$302,2,0),0)+IFERROR(VLOOKUP(A199,'#5 IH Results'!$A$2:$C$303,2,0),0)+IFERROR(VLOOKUP(A199,'#4 IH Results'!$A$2:$C$300,2,0),0)+IFERROR(VLOOKUP(A199,'#3 IH Results'!$A$2:$C$101,2,0),0)+IFERROR(VLOOKUP(A199,'#2 IH Results'!$A$2:$C$101,2,0),0)+IFERROR(VLOOKUP(A199,'#1 IH Results'!$A$2:$C$101,2,0),0)+IFERROR(VLOOKUP(A199,'#0 IH Results'!$A$3:$C$102,2,0),0)</f>
        <v>4.021391356</v>
      </c>
    </row>
    <row r="200">
      <c r="A200" s="5" t="s">
        <v>170</v>
      </c>
      <c r="B200" s="6">
        <f>3*IFERROR(VLOOKUP(A200,'#15 IH Results'!$A$2:$C$301,2,0),0)+2*IFERROR(VLOOKUP(A200,'#14 IH Results'!$A$2:$C$302,2,0),0)+1.5*IFERROR(VLOOKUP(A200,'#13 IH Results'!$A$2:$C$302,2,0),0)+1.25*IFERROR(VLOOKUP(A200,'#12 IH Results'!$A$2:$C$302,2,0),0)+1.25*IFERROR(VLOOKUP(A200,'#11 IH Results'!$A$2:$C$302,2,0),0)+IFERROR(VLOOKUP(A200,'#10 IH Results'!$A$2:$C$302,2,0),0)+IFERROR(VLOOKUP(A200,'#9 IH Results'!$A$2:$C$302,2,0),0)+IFERROR(VLOOKUP(A200,'#8 IH Results'!$A$2:$C$302,2,0),0)+IFERROR(VLOOKUP(A200,'#7 IH Results'!$A$2:$C$302,2,0),0)+IFERROR(VLOOKUP(A200,'#6 IH Results'!$A$2:$C$302,2,0),0)+IFERROR(VLOOKUP(A200,'#5 IH Results'!$A$2:$C$303,2,0),0)+IFERROR(VLOOKUP(A200,'#4 IH Results'!$A$2:$C$300,2,0),0)+IFERROR(VLOOKUP(A200,'#3 IH Results'!$A$2:$C$101,2,0),0)+IFERROR(VLOOKUP(A200,'#2 IH Results'!$A$2:$C$101,2,0),0)+IFERROR(VLOOKUP(A200,'#1 IH Results'!$A$2:$C$101,2,0),0)+IFERROR(VLOOKUP(A200,'#0 IH Results'!$A$3:$C$102,2,0),0)</f>
        <v>4.016675959</v>
      </c>
    </row>
    <row r="201">
      <c r="A201" s="5" t="s">
        <v>200</v>
      </c>
      <c r="B201" s="6">
        <f>3*IFERROR(VLOOKUP(A201,'#15 IH Results'!$A$2:$C$301,2,0),0)+2*IFERROR(VLOOKUP(A201,'#14 IH Results'!$A$2:$C$302,2,0),0)+1.5*IFERROR(VLOOKUP(A201,'#13 IH Results'!$A$2:$C$302,2,0),0)+1.25*IFERROR(VLOOKUP(A201,'#12 IH Results'!$A$2:$C$302,2,0),0)+1.25*IFERROR(VLOOKUP(A201,'#11 IH Results'!$A$2:$C$302,2,0),0)+IFERROR(VLOOKUP(A201,'#10 IH Results'!$A$2:$C$302,2,0),0)+IFERROR(VLOOKUP(A201,'#9 IH Results'!$A$2:$C$302,2,0),0)+IFERROR(VLOOKUP(A201,'#8 IH Results'!$A$2:$C$302,2,0),0)+IFERROR(VLOOKUP(A201,'#7 IH Results'!$A$2:$C$302,2,0),0)+IFERROR(VLOOKUP(A201,'#6 IH Results'!$A$2:$C$302,2,0),0)+IFERROR(VLOOKUP(A201,'#5 IH Results'!$A$2:$C$303,2,0),0)+IFERROR(VLOOKUP(A201,'#4 IH Results'!$A$2:$C$300,2,0),0)+IFERROR(VLOOKUP(A201,'#3 IH Results'!$A$2:$C$101,2,0),0)+IFERROR(VLOOKUP(A201,'#2 IH Results'!$A$2:$C$101,2,0),0)+IFERROR(VLOOKUP(A201,'#1 IH Results'!$A$2:$C$101,2,0),0)+IFERROR(VLOOKUP(A201,'#0 IH Results'!$A$3:$C$102,2,0),0)</f>
        <v>3.985030015</v>
      </c>
    </row>
    <row r="202">
      <c r="A202" s="5" t="s">
        <v>180</v>
      </c>
      <c r="B202" s="6">
        <f>3*IFERROR(VLOOKUP(A202,'#15 IH Results'!$A$2:$C$301,2,0),0)+2*IFERROR(VLOOKUP(A202,'#14 IH Results'!$A$2:$C$302,2,0),0)+1.5*IFERROR(VLOOKUP(A202,'#13 IH Results'!$A$2:$C$302,2,0),0)+1.25*IFERROR(VLOOKUP(A202,'#12 IH Results'!$A$2:$C$302,2,0),0)+1.25*IFERROR(VLOOKUP(A202,'#11 IH Results'!$A$2:$C$302,2,0),0)+IFERROR(VLOOKUP(A202,'#10 IH Results'!$A$2:$C$302,2,0),0)+IFERROR(VLOOKUP(A202,'#9 IH Results'!$A$2:$C$302,2,0),0)+IFERROR(VLOOKUP(A202,'#8 IH Results'!$A$2:$C$302,2,0),0)+IFERROR(VLOOKUP(A202,'#7 IH Results'!$A$2:$C$302,2,0),0)+IFERROR(VLOOKUP(A202,'#6 IH Results'!$A$2:$C$302,2,0),0)+IFERROR(VLOOKUP(A202,'#5 IH Results'!$A$2:$C$303,2,0),0)+IFERROR(VLOOKUP(A202,'#4 IH Results'!$A$2:$C$300,2,0),0)+IFERROR(VLOOKUP(A202,'#3 IH Results'!$A$2:$C$101,2,0),0)+IFERROR(VLOOKUP(A202,'#2 IH Results'!$A$2:$C$101,2,0),0)+IFERROR(VLOOKUP(A202,'#1 IH Results'!$A$2:$C$101,2,0),0)+IFERROR(VLOOKUP(A202,'#0 IH Results'!$A$3:$C$102,2,0),0)</f>
        <v>3.920019712</v>
      </c>
    </row>
    <row r="203">
      <c r="A203" s="5" t="s">
        <v>202</v>
      </c>
      <c r="B203" s="6">
        <f>3*IFERROR(VLOOKUP(A203,'#15 IH Results'!$A$2:$C$301,2,0),0)+2*IFERROR(VLOOKUP(A203,'#14 IH Results'!$A$2:$C$302,2,0),0)+1.5*IFERROR(VLOOKUP(A203,'#13 IH Results'!$A$2:$C$302,2,0),0)+1.25*IFERROR(VLOOKUP(A203,'#12 IH Results'!$A$2:$C$302,2,0),0)+1.25*IFERROR(VLOOKUP(A203,'#11 IH Results'!$A$2:$C$302,2,0),0)+IFERROR(VLOOKUP(A203,'#10 IH Results'!$A$2:$C$302,2,0),0)+IFERROR(VLOOKUP(A203,'#9 IH Results'!$A$2:$C$302,2,0),0)+IFERROR(VLOOKUP(A203,'#8 IH Results'!$A$2:$C$302,2,0),0)+IFERROR(VLOOKUP(A203,'#7 IH Results'!$A$2:$C$302,2,0),0)+IFERROR(VLOOKUP(A203,'#6 IH Results'!$A$2:$C$302,2,0),0)+IFERROR(VLOOKUP(A203,'#5 IH Results'!$A$2:$C$303,2,0),0)+IFERROR(VLOOKUP(A203,'#4 IH Results'!$A$2:$C$300,2,0),0)+IFERROR(VLOOKUP(A203,'#3 IH Results'!$A$2:$C$101,2,0),0)+IFERROR(VLOOKUP(A203,'#2 IH Results'!$A$2:$C$101,2,0),0)+IFERROR(VLOOKUP(A203,'#1 IH Results'!$A$2:$C$101,2,0),0)+IFERROR(VLOOKUP(A203,'#0 IH Results'!$A$3:$C$102,2,0),0)</f>
        <v>3.89725564</v>
      </c>
    </row>
    <row r="204">
      <c r="A204" s="5" t="s">
        <v>197</v>
      </c>
      <c r="B204" s="6">
        <f>3*IFERROR(VLOOKUP(A204,'#15 IH Results'!$A$2:$C$301,2,0),0)+2*IFERROR(VLOOKUP(A204,'#14 IH Results'!$A$2:$C$302,2,0),0)+1.5*IFERROR(VLOOKUP(A204,'#13 IH Results'!$A$2:$C$302,2,0),0)+1.25*IFERROR(VLOOKUP(A204,'#12 IH Results'!$A$2:$C$302,2,0),0)+1.25*IFERROR(VLOOKUP(A204,'#11 IH Results'!$A$2:$C$302,2,0),0)+IFERROR(VLOOKUP(A204,'#10 IH Results'!$A$2:$C$302,2,0),0)+IFERROR(VLOOKUP(A204,'#9 IH Results'!$A$2:$C$302,2,0),0)+IFERROR(VLOOKUP(A204,'#8 IH Results'!$A$2:$C$302,2,0),0)+IFERROR(VLOOKUP(A204,'#7 IH Results'!$A$2:$C$302,2,0),0)+IFERROR(VLOOKUP(A204,'#6 IH Results'!$A$2:$C$302,2,0),0)+IFERROR(VLOOKUP(A204,'#5 IH Results'!$A$2:$C$303,2,0),0)+IFERROR(VLOOKUP(A204,'#4 IH Results'!$A$2:$C$300,2,0),0)+IFERROR(VLOOKUP(A204,'#3 IH Results'!$A$2:$C$101,2,0),0)+IFERROR(VLOOKUP(A204,'#2 IH Results'!$A$2:$C$101,2,0),0)+IFERROR(VLOOKUP(A204,'#1 IH Results'!$A$2:$C$101,2,0),0)+IFERROR(VLOOKUP(A204,'#0 IH Results'!$A$3:$C$102,2,0),0)</f>
        <v>3.751828174</v>
      </c>
    </row>
    <row r="205">
      <c r="A205" s="5" t="s">
        <v>198</v>
      </c>
      <c r="B205" s="6">
        <f>3*IFERROR(VLOOKUP(A205,'#15 IH Results'!$A$2:$C$301,2,0),0)+2*IFERROR(VLOOKUP(A205,'#14 IH Results'!$A$2:$C$302,2,0),0)+1.5*IFERROR(VLOOKUP(A205,'#13 IH Results'!$A$2:$C$302,2,0),0)+1.25*IFERROR(VLOOKUP(A205,'#12 IH Results'!$A$2:$C$302,2,0),0)+1.25*IFERROR(VLOOKUP(A205,'#11 IH Results'!$A$2:$C$302,2,0),0)+IFERROR(VLOOKUP(A205,'#10 IH Results'!$A$2:$C$302,2,0),0)+IFERROR(VLOOKUP(A205,'#9 IH Results'!$A$2:$C$302,2,0),0)+IFERROR(VLOOKUP(A205,'#8 IH Results'!$A$2:$C$302,2,0),0)+IFERROR(VLOOKUP(A205,'#7 IH Results'!$A$2:$C$302,2,0),0)+IFERROR(VLOOKUP(A205,'#6 IH Results'!$A$2:$C$302,2,0),0)+IFERROR(VLOOKUP(A205,'#5 IH Results'!$A$2:$C$303,2,0),0)+IFERROR(VLOOKUP(A205,'#4 IH Results'!$A$2:$C$300,2,0),0)+IFERROR(VLOOKUP(A205,'#3 IH Results'!$A$2:$C$101,2,0),0)+IFERROR(VLOOKUP(A205,'#2 IH Results'!$A$2:$C$101,2,0),0)+IFERROR(VLOOKUP(A205,'#1 IH Results'!$A$2:$C$101,2,0),0)+IFERROR(VLOOKUP(A205,'#0 IH Results'!$A$3:$C$102,2,0),0)</f>
        <v>3.751828174</v>
      </c>
    </row>
    <row r="206">
      <c r="A206" s="5" t="s">
        <v>199</v>
      </c>
      <c r="B206" s="6">
        <f>3*IFERROR(VLOOKUP(A206,'#15 IH Results'!$A$2:$C$301,2,0),0)+2*IFERROR(VLOOKUP(A206,'#14 IH Results'!$A$2:$C$302,2,0),0)+1.5*IFERROR(VLOOKUP(A206,'#13 IH Results'!$A$2:$C$302,2,0),0)+1.25*IFERROR(VLOOKUP(A206,'#12 IH Results'!$A$2:$C$302,2,0),0)+1.25*IFERROR(VLOOKUP(A206,'#11 IH Results'!$A$2:$C$302,2,0),0)+IFERROR(VLOOKUP(A206,'#10 IH Results'!$A$2:$C$302,2,0),0)+IFERROR(VLOOKUP(A206,'#9 IH Results'!$A$2:$C$302,2,0),0)+IFERROR(VLOOKUP(A206,'#8 IH Results'!$A$2:$C$302,2,0),0)+IFERROR(VLOOKUP(A206,'#7 IH Results'!$A$2:$C$302,2,0),0)+IFERROR(VLOOKUP(A206,'#6 IH Results'!$A$2:$C$302,2,0),0)+IFERROR(VLOOKUP(A206,'#5 IH Results'!$A$2:$C$303,2,0),0)+IFERROR(VLOOKUP(A206,'#4 IH Results'!$A$2:$C$300,2,0),0)+IFERROR(VLOOKUP(A206,'#3 IH Results'!$A$2:$C$101,2,0),0)+IFERROR(VLOOKUP(A206,'#2 IH Results'!$A$2:$C$101,2,0),0)+IFERROR(VLOOKUP(A206,'#1 IH Results'!$A$2:$C$101,2,0),0)+IFERROR(VLOOKUP(A206,'#0 IH Results'!$A$3:$C$102,2,0),0)</f>
        <v>3.751828174</v>
      </c>
    </row>
    <row r="207">
      <c r="A207" s="5" t="s">
        <v>275</v>
      </c>
      <c r="B207" s="6">
        <f>3*IFERROR(VLOOKUP(A207,'#15 IH Results'!$A$2:$C$301,2,0),0)+2*IFERROR(VLOOKUP(A207,'#14 IH Results'!$A$2:$C$302,2,0),0)+1.5*IFERROR(VLOOKUP(A207,'#13 IH Results'!$A$2:$C$302,2,0),0)+1.25*IFERROR(VLOOKUP(A207,'#12 IH Results'!$A$2:$C$302,2,0),0)+1.25*IFERROR(VLOOKUP(A207,'#11 IH Results'!$A$2:$C$302,2,0),0)+IFERROR(VLOOKUP(A207,'#10 IH Results'!$A$2:$C$302,2,0),0)+IFERROR(VLOOKUP(A207,'#9 IH Results'!$A$2:$C$302,2,0),0)+IFERROR(VLOOKUP(A207,'#8 IH Results'!$A$2:$C$302,2,0),0)+IFERROR(VLOOKUP(A207,'#7 IH Results'!$A$2:$C$302,2,0),0)+IFERROR(VLOOKUP(A207,'#6 IH Results'!$A$2:$C$302,2,0),0)+IFERROR(VLOOKUP(A207,'#5 IH Results'!$A$2:$C$303,2,0),0)+IFERROR(VLOOKUP(A207,'#4 IH Results'!$A$2:$C$300,2,0),0)+IFERROR(VLOOKUP(A207,'#3 IH Results'!$A$2:$C$101,2,0),0)+IFERROR(VLOOKUP(A207,'#2 IH Results'!$A$2:$C$101,2,0),0)+IFERROR(VLOOKUP(A207,'#1 IH Results'!$A$2:$C$101,2,0),0)+IFERROR(VLOOKUP(A207,'#0 IH Results'!$A$3:$C$102,2,0),0)</f>
        <v>3.714791938</v>
      </c>
    </row>
    <row r="208">
      <c r="A208" s="5" t="s">
        <v>229</v>
      </c>
      <c r="B208" s="6">
        <f>3*IFERROR(VLOOKUP(A208,'#15 IH Results'!$A$2:$C$301,2,0),0)+2*IFERROR(VLOOKUP(A208,'#14 IH Results'!$A$2:$C$302,2,0),0)+1.5*IFERROR(VLOOKUP(A208,'#13 IH Results'!$A$2:$C$302,2,0),0)+1.25*IFERROR(VLOOKUP(A208,'#12 IH Results'!$A$2:$C$302,2,0),0)+1.25*IFERROR(VLOOKUP(A208,'#11 IH Results'!$A$2:$C$302,2,0),0)+IFERROR(VLOOKUP(A208,'#10 IH Results'!$A$2:$C$302,2,0),0)+IFERROR(VLOOKUP(A208,'#9 IH Results'!$A$2:$C$302,2,0),0)+IFERROR(VLOOKUP(A208,'#8 IH Results'!$A$2:$C$302,2,0),0)+IFERROR(VLOOKUP(A208,'#7 IH Results'!$A$2:$C$302,2,0),0)+IFERROR(VLOOKUP(A208,'#6 IH Results'!$A$2:$C$302,2,0),0)+IFERROR(VLOOKUP(A208,'#5 IH Results'!$A$2:$C$303,2,0),0)+IFERROR(VLOOKUP(A208,'#4 IH Results'!$A$2:$C$300,2,0),0)+IFERROR(VLOOKUP(A208,'#3 IH Results'!$A$2:$C$101,2,0),0)+IFERROR(VLOOKUP(A208,'#2 IH Results'!$A$2:$C$101,2,0),0)+IFERROR(VLOOKUP(A208,'#1 IH Results'!$A$2:$C$101,2,0),0)+IFERROR(VLOOKUP(A208,'#0 IH Results'!$A$3:$C$102,2,0),0)</f>
        <v>3.673584471</v>
      </c>
    </row>
    <row r="209">
      <c r="A209" s="5" t="s">
        <v>238</v>
      </c>
      <c r="B209" s="6">
        <f>3*IFERROR(VLOOKUP(A209,'#15 IH Results'!$A$2:$C$301,2,0),0)+2*IFERROR(VLOOKUP(A209,'#14 IH Results'!$A$2:$C$302,2,0),0)+1.5*IFERROR(VLOOKUP(A209,'#13 IH Results'!$A$2:$C$302,2,0),0)+1.25*IFERROR(VLOOKUP(A209,'#12 IH Results'!$A$2:$C$302,2,0),0)+1.25*IFERROR(VLOOKUP(A209,'#11 IH Results'!$A$2:$C$302,2,0),0)+IFERROR(VLOOKUP(A209,'#10 IH Results'!$A$2:$C$302,2,0),0)+IFERROR(VLOOKUP(A209,'#9 IH Results'!$A$2:$C$302,2,0),0)+IFERROR(VLOOKUP(A209,'#8 IH Results'!$A$2:$C$302,2,0),0)+IFERROR(VLOOKUP(A209,'#7 IH Results'!$A$2:$C$302,2,0),0)+IFERROR(VLOOKUP(A209,'#6 IH Results'!$A$2:$C$302,2,0),0)+IFERROR(VLOOKUP(A209,'#5 IH Results'!$A$2:$C$303,2,0),0)+IFERROR(VLOOKUP(A209,'#4 IH Results'!$A$2:$C$300,2,0),0)+IFERROR(VLOOKUP(A209,'#3 IH Results'!$A$2:$C$101,2,0),0)+IFERROR(VLOOKUP(A209,'#2 IH Results'!$A$2:$C$101,2,0),0)+IFERROR(VLOOKUP(A209,'#1 IH Results'!$A$2:$C$101,2,0),0)+IFERROR(VLOOKUP(A209,'#0 IH Results'!$A$3:$C$102,2,0),0)</f>
        <v>3.637465521</v>
      </c>
    </row>
    <row r="210">
      <c r="A210" s="5" t="s">
        <v>233</v>
      </c>
      <c r="B210" s="6">
        <f>3*IFERROR(VLOOKUP(A210,'#15 IH Results'!$A$2:$C$301,2,0),0)+2*IFERROR(VLOOKUP(A210,'#14 IH Results'!$A$2:$C$302,2,0),0)+1.5*IFERROR(VLOOKUP(A210,'#13 IH Results'!$A$2:$C$302,2,0),0)+1.25*IFERROR(VLOOKUP(A210,'#12 IH Results'!$A$2:$C$302,2,0),0)+1.25*IFERROR(VLOOKUP(A210,'#11 IH Results'!$A$2:$C$302,2,0),0)+IFERROR(VLOOKUP(A210,'#10 IH Results'!$A$2:$C$302,2,0),0)+IFERROR(VLOOKUP(A210,'#9 IH Results'!$A$2:$C$302,2,0),0)+IFERROR(VLOOKUP(A210,'#8 IH Results'!$A$2:$C$302,2,0),0)+IFERROR(VLOOKUP(A210,'#7 IH Results'!$A$2:$C$302,2,0),0)+IFERROR(VLOOKUP(A210,'#6 IH Results'!$A$2:$C$302,2,0),0)+IFERROR(VLOOKUP(A210,'#5 IH Results'!$A$2:$C$303,2,0),0)+IFERROR(VLOOKUP(A210,'#4 IH Results'!$A$2:$C$300,2,0),0)+IFERROR(VLOOKUP(A210,'#3 IH Results'!$A$2:$C$101,2,0),0)+IFERROR(VLOOKUP(A210,'#2 IH Results'!$A$2:$C$101,2,0),0)+IFERROR(VLOOKUP(A210,'#1 IH Results'!$A$2:$C$101,2,0),0)+IFERROR(VLOOKUP(A210,'#0 IH Results'!$A$3:$C$102,2,0),0)</f>
        <v>3.599328244</v>
      </c>
    </row>
    <row r="211">
      <c r="A211" s="5" t="s">
        <v>168</v>
      </c>
      <c r="B211" s="6">
        <f>3*IFERROR(VLOOKUP(A211,'#15 IH Results'!$A$2:$C$301,2,0),0)+2*IFERROR(VLOOKUP(A211,'#14 IH Results'!$A$2:$C$302,2,0),0)+1.5*IFERROR(VLOOKUP(A211,'#13 IH Results'!$A$2:$C$302,2,0),0)+1.25*IFERROR(VLOOKUP(A211,'#12 IH Results'!$A$2:$C$302,2,0),0)+1.25*IFERROR(VLOOKUP(A211,'#11 IH Results'!$A$2:$C$302,2,0),0)+IFERROR(VLOOKUP(A211,'#10 IH Results'!$A$2:$C$302,2,0),0)+IFERROR(VLOOKUP(A211,'#9 IH Results'!$A$2:$C$302,2,0),0)+IFERROR(VLOOKUP(A211,'#8 IH Results'!$A$2:$C$302,2,0),0)+IFERROR(VLOOKUP(A211,'#7 IH Results'!$A$2:$C$302,2,0),0)+IFERROR(VLOOKUP(A211,'#6 IH Results'!$A$2:$C$302,2,0),0)+IFERROR(VLOOKUP(A211,'#5 IH Results'!$A$2:$C$303,2,0),0)+IFERROR(VLOOKUP(A211,'#4 IH Results'!$A$2:$C$300,2,0),0)+IFERROR(VLOOKUP(A211,'#3 IH Results'!$A$2:$C$101,2,0),0)+IFERROR(VLOOKUP(A211,'#2 IH Results'!$A$2:$C$101,2,0),0)+IFERROR(VLOOKUP(A211,'#1 IH Results'!$A$2:$C$101,2,0),0)+IFERROR(VLOOKUP(A211,'#0 IH Results'!$A$3:$C$102,2,0),0)</f>
        <v>3.597584186</v>
      </c>
    </row>
    <row r="212">
      <c r="A212" s="5" t="s">
        <v>216</v>
      </c>
      <c r="B212" s="6">
        <f>3*IFERROR(VLOOKUP(A212,'#15 IH Results'!$A$2:$C$301,2,0),0)+2*IFERROR(VLOOKUP(A212,'#14 IH Results'!$A$2:$C$302,2,0),0)+1.5*IFERROR(VLOOKUP(A212,'#13 IH Results'!$A$2:$C$302,2,0),0)+1.25*IFERROR(VLOOKUP(A212,'#12 IH Results'!$A$2:$C$302,2,0),0)+1.25*IFERROR(VLOOKUP(A212,'#11 IH Results'!$A$2:$C$302,2,0),0)+IFERROR(VLOOKUP(A212,'#10 IH Results'!$A$2:$C$302,2,0),0)+IFERROR(VLOOKUP(A212,'#9 IH Results'!$A$2:$C$302,2,0),0)+IFERROR(VLOOKUP(A212,'#8 IH Results'!$A$2:$C$302,2,0),0)+IFERROR(VLOOKUP(A212,'#7 IH Results'!$A$2:$C$302,2,0),0)+IFERROR(VLOOKUP(A212,'#6 IH Results'!$A$2:$C$302,2,0),0)+IFERROR(VLOOKUP(A212,'#5 IH Results'!$A$2:$C$303,2,0),0)+IFERROR(VLOOKUP(A212,'#4 IH Results'!$A$2:$C$300,2,0),0)+IFERROR(VLOOKUP(A212,'#3 IH Results'!$A$2:$C$101,2,0),0)+IFERROR(VLOOKUP(A212,'#2 IH Results'!$A$2:$C$101,2,0),0)+IFERROR(VLOOKUP(A212,'#1 IH Results'!$A$2:$C$101,2,0),0)+IFERROR(VLOOKUP(A212,'#0 IH Results'!$A$3:$C$102,2,0),0)</f>
        <v>3.468750004</v>
      </c>
    </row>
    <row r="213">
      <c r="A213" s="5" t="s">
        <v>190</v>
      </c>
      <c r="B213" s="6">
        <f>3*IFERROR(VLOOKUP(A213,'#15 IH Results'!$A$2:$C$301,2,0),0)+2*IFERROR(VLOOKUP(A213,'#14 IH Results'!$A$2:$C$302,2,0),0)+1.5*IFERROR(VLOOKUP(A213,'#13 IH Results'!$A$2:$C$302,2,0),0)+1.25*IFERROR(VLOOKUP(A213,'#12 IH Results'!$A$2:$C$302,2,0),0)+1.25*IFERROR(VLOOKUP(A213,'#11 IH Results'!$A$2:$C$302,2,0),0)+IFERROR(VLOOKUP(A213,'#10 IH Results'!$A$2:$C$302,2,0),0)+IFERROR(VLOOKUP(A213,'#9 IH Results'!$A$2:$C$302,2,0),0)+IFERROR(VLOOKUP(A213,'#8 IH Results'!$A$2:$C$302,2,0),0)+IFERROR(VLOOKUP(A213,'#7 IH Results'!$A$2:$C$302,2,0),0)+IFERROR(VLOOKUP(A213,'#6 IH Results'!$A$2:$C$302,2,0),0)+IFERROR(VLOOKUP(A213,'#5 IH Results'!$A$2:$C$303,2,0),0)+IFERROR(VLOOKUP(A213,'#4 IH Results'!$A$2:$C$300,2,0),0)+IFERROR(VLOOKUP(A213,'#3 IH Results'!$A$2:$C$101,2,0),0)+IFERROR(VLOOKUP(A213,'#2 IH Results'!$A$2:$C$101,2,0),0)+IFERROR(VLOOKUP(A213,'#1 IH Results'!$A$2:$C$101,2,0),0)+IFERROR(VLOOKUP(A213,'#0 IH Results'!$A$3:$C$102,2,0),0)</f>
        <v>3.449693932</v>
      </c>
    </row>
    <row r="214">
      <c r="A214" s="5" t="s">
        <v>239</v>
      </c>
      <c r="B214" s="6">
        <f>3*IFERROR(VLOOKUP(A214,'#15 IH Results'!$A$2:$C$301,2,0),0)+2*IFERROR(VLOOKUP(A214,'#14 IH Results'!$A$2:$C$302,2,0),0)+1.5*IFERROR(VLOOKUP(A214,'#13 IH Results'!$A$2:$C$302,2,0),0)+1.25*IFERROR(VLOOKUP(A214,'#12 IH Results'!$A$2:$C$302,2,0),0)+1.25*IFERROR(VLOOKUP(A214,'#11 IH Results'!$A$2:$C$302,2,0),0)+IFERROR(VLOOKUP(A214,'#10 IH Results'!$A$2:$C$302,2,0),0)+IFERROR(VLOOKUP(A214,'#9 IH Results'!$A$2:$C$302,2,0),0)+IFERROR(VLOOKUP(A214,'#8 IH Results'!$A$2:$C$302,2,0),0)+IFERROR(VLOOKUP(A214,'#7 IH Results'!$A$2:$C$302,2,0),0)+IFERROR(VLOOKUP(A214,'#6 IH Results'!$A$2:$C$302,2,0),0)+IFERROR(VLOOKUP(A214,'#5 IH Results'!$A$2:$C$303,2,0),0)+IFERROR(VLOOKUP(A214,'#4 IH Results'!$A$2:$C$300,2,0),0)+IFERROR(VLOOKUP(A214,'#3 IH Results'!$A$2:$C$101,2,0),0)+IFERROR(VLOOKUP(A214,'#2 IH Results'!$A$2:$C$101,2,0),0)+IFERROR(VLOOKUP(A214,'#1 IH Results'!$A$2:$C$101,2,0),0)+IFERROR(VLOOKUP(A214,'#0 IH Results'!$A$3:$C$102,2,0),0)</f>
        <v>3.34227719</v>
      </c>
    </row>
    <row r="215">
      <c r="A215" s="5" t="s">
        <v>244</v>
      </c>
      <c r="B215" s="6">
        <f>3*IFERROR(VLOOKUP(A215,'#15 IH Results'!$A$2:$C$301,2,0),0)+2*IFERROR(VLOOKUP(A215,'#14 IH Results'!$A$2:$C$302,2,0),0)+1.5*IFERROR(VLOOKUP(A215,'#13 IH Results'!$A$2:$C$302,2,0),0)+1.25*IFERROR(VLOOKUP(A215,'#12 IH Results'!$A$2:$C$302,2,0),0)+1.25*IFERROR(VLOOKUP(A215,'#11 IH Results'!$A$2:$C$302,2,0),0)+IFERROR(VLOOKUP(A215,'#10 IH Results'!$A$2:$C$302,2,0),0)+IFERROR(VLOOKUP(A215,'#9 IH Results'!$A$2:$C$302,2,0),0)+IFERROR(VLOOKUP(A215,'#8 IH Results'!$A$2:$C$302,2,0),0)+IFERROR(VLOOKUP(A215,'#7 IH Results'!$A$2:$C$302,2,0),0)+IFERROR(VLOOKUP(A215,'#6 IH Results'!$A$2:$C$302,2,0),0)+IFERROR(VLOOKUP(A215,'#5 IH Results'!$A$2:$C$303,2,0),0)+IFERROR(VLOOKUP(A215,'#4 IH Results'!$A$2:$C$300,2,0),0)+IFERROR(VLOOKUP(A215,'#3 IH Results'!$A$2:$C$101,2,0),0)+IFERROR(VLOOKUP(A215,'#2 IH Results'!$A$2:$C$101,2,0),0)+IFERROR(VLOOKUP(A215,'#1 IH Results'!$A$2:$C$101,2,0),0)+IFERROR(VLOOKUP(A215,'#0 IH Results'!$A$3:$C$102,2,0),0)</f>
        <v>3.341588472</v>
      </c>
    </row>
    <row r="216">
      <c r="A216" s="5" t="s">
        <v>193</v>
      </c>
      <c r="B216" s="6">
        <f>3*IFERROR(VLOOKUP(A216,'#15 IH Results'!$A$2:$C$301,2,0),0)+2*IFERROR(VLOOKUP(A216,'#14 IH Results'!$A$2:$C$302,2,0),0)+1.5*IFERROR(VLOOKUP(A216,'#13 IH Results'!$A$2:$C$302,2,0),0)+1.25*IFERROR(VLOOKUP(A216,'#12 IH Results'!$A$2:$C$302,2,0),0)+1.25*IFERROR(VLOOKUP(A216,'#11 IH Results'!$A$2:$C$302,2,0),0)+IFERROR(VLOOKUP(A216,'#10 IH Results'!$A$2:$C$302,2,0),0)+IFERROR(VLOOKUP(A216,'#9 IH Results'!$A$2:$C$302,2,0),0)+IFERROR(VLOOKUP(A216,'#8 IH Results'!$A$2:$C$302,2,0),0)+IFERROR(VLOOKUP(A216,'#7 IH Results'!$A$2:$C$302,2,0),0)+IFERROR(VLOOKUP(A216,'#6 IH Results'!$A$2:$C$302,2,0),0)+IFERROR(VLOOKUP(A216,'#5 IH Results'!$A$2:$C$303,2,0),0)+IFERROR(VLOOKUP(A216,'#4 IH Results'!$A$2:$C$300,2,0),0)+IFERROR(VLOOKUP(A216,'#3 IH Results'!$A$2:$C$101,2,0),0)+IFERROR(VLOOKUP(A216,'#2 IH Results'!$A$2:$C$101,2,0),0)+IFERROR(VLOOKUP(A216,'#1 IH Results'!$A$2:$C$101,2,0),0)+IFERROR(VLOOKUP(A216,'#0 IH Results'!$A$3:$C$102,2,0),0)</f>
        <v>3.310017348</v>
      </c>
    </row>
    <row r="217">
      <c r="A217" s="5" t="s">
        <v>288</v>
      </c>
      <c r="B217" s="6">
        <f>3*IFERROR(VLOOKUP(A217,'#15 IH Results'!$A$2:$C$301,2,0),0)+2*IFERROR(VLOOKUP(A217,'#14 IH Results'!$A$2:$C$302,2,0),0)+1.5*IFERROR(VLOOKUP(A217,'#13 IH Results'!$A$2:$C$302,2,0),0)+1.25*IFERROR(VLOOKUP(A217,'#12 IH Results'!$A$2:$C$302,2,0),0)+1.25*IFERROR(VLOOKUP(A217,'#11 IH Results'!$A$2:$C$302,2,0),0)+IFERROR(VLOOKUP(A217,'#10 IH Results'!$A$2:$C$302,2,0),0)+IFERROR(VLOOKUP(A217,'#9 IH Results'!$A$2:$C$302,2,0),0)+IFERROR(VLOOKUP(A217,'#8 IH Results'!$A$2:$C$302,2,0),0)+IFERROR(VLOOKUP(A217,'#7 IH Results'!$A$2:$C$302,2,0),0)+IFERROR(VLOOKUP(A217,'#6 IH Results'!$A$2:$C$302,2,0),0)+IFERROR(VLOOKUP(A217,'#5 IH Results'!$A$2:$C$303,2,0),0)+IFERROR(VLOOKUP(A217,'#4 IH Results'!$A$2:$C$300,2,0),0)+IFERROR(VLOOKUP(A217,'#3 IH Results'!$A$2:$C$101,2,0),0)+IFERROR(VLOOKUP(A217,'#2 IH Results'!$A$2:$C$101,2,0),0)+IFERROR(VLOOKUP(A217,'#1 IH Results'!$A$2:$C$101,2,0),0)+IFERROR(VLOOKUP(A217,'#0 IH Results'!$A$3:$C$102,2,0),0)</f>
        <v>3.226159916</v>
      </c>
    </row>
    <row r="218">
      <c r="A218" s="5" t="s">
        <v>252</v>
      </c>
      <c r="B218" s="6">
        <f>3*IFERROR(VLOOKUP(A218,'#15 IH Results'!$A$2:$C$301,2,0),0)+2*IFERROR(VLOOKUP(A218,'#14 IH Results'!$A$2:$C$302,2,0),0)+1.5*IFERROR(VLOOKUP(A218,'#13 IH Results'!$A$2:$C$302,2,0),0)+1.25*IFERROR(VLOOKUP(A218,'#12 IH Results'!$A$2:$C$302,2,0),0)+1.25*IFERROR(VLOOKUP(A218,'#11 IH Results'!$A$2:$C$302,2,0),0)+IFERROR(VLOOKUP(A218,'#10 IH Results'!$A$2:$C$302,2,0),0)+IFERROR(VLOOKUP(A218,'#9 IH Results'!$A$2:$C$302,2,0),0)+IFERROR(VLOOKUP(A218,'#8 IH Results'!$A$2:$C$302,2,0),0)+IFERROR(VLOOKUP(A218,'#7 IH Results'!$A$2:$C$302,2,0),0)+IFERROR(VLOOKUP(A218,'#6 IH Results'!$A$2:$C$302,2,0),0)+IFERROR(VLOOKUP(A218,'#5 IH Results'!$A$2:$C$303,2,0),0)+IFERROR(VLOOKUP(A218,'#4 IH Results'!$A$2:$C$300,2,0),0)+IFERROR(VLOOKUP(A218,'#3 IH Results'!$A$2:$C$101,2,0),0)+IFERROR(VLOOKUP(A218,'#2 IH Results'!$A$2:$C$101,2,0),0)+IFERROR(VLOOKUP(A218,'#1 IH Results'!$A$2:$C$101,2,0),0)+IFERROR(VLOOKUP(A218,'#0 IH Results'!$A$3:$C$102,2,0),0)</f>
        <v>3.225352247</v>
      </c>
    </row>
    <row r="219">
      <c r="A219" s="5" t="s">
        <v>196</v>
      </c>
      <c r="B219" s="6">
        <f>3*IFERROR(VLOOKUP(A219,'#15 IH Results'!$A$2:$C$301,2,0),0)+2*IFERROR(VLOOKUP(A219,'#14 IH Results'!$A$2:$C$302,2,0),0)+1.5*IFERROR(VLOOKUP(A219,'#13 IH Results'!$A$2:$C$302,2,0),0)+1.25*IFERROR(VLOOKUP(A219,'#12 IH Results'!$A$2:$C$302,2,0),0)+1.25*IFERROR(VLOOKUP(A219,'#11 IH Results'!$A$2:$C$302,2,0),0)+IFERROR(VLOOKUP(A219,'#10 IH Results'!$A$2:$C$302,2,0),0)+IFERROR(VLOOKUP(A219,'#9 IH Results'!$A$2:$C$302,2,0),0)+IFERROR(VLOOKUP(A219,'#8 IH Results'!$A$2:$C$302,2,0),0)+IFERROR(VLOOKUP(A219,'#7 IH Results'!$A$2:$C$302,2,0),0)+IFERROR(VLOOKUP(A219,'#6 IH Results'!$A$2:$C$302,2,0),0)+IFERROR(VLOOKUP(A219,'#5 IH Results'!$A$2:$C$303,2,0),0)+IFERROR(VLOOKUP(A219,'#4 IH Results'!$A$2:$C$300,2,0),0)+IFERROR(VLOOKUP(A219,'#3 IH Results'!$A$2:$C$101,2,0),0)+IFERROR(VLOOKUP(A219,'#2 IH Results'!$A$2:$C$101,2,0),0)+IFERROR(VLOOKUP(A219,'#1 IH Results'!$A$2:$C$101,2,0),0)+IFERROR(VLOOKUP(A219,'#0 IH Results'!$A$3:$C$102,2,0),0)</f>
        <v>3.204968999</v>
      </c>
    </row>
    <row r="220">
      <c r="A220" s="5" t="s">
        <v>201</v>
      </c>
      <c r="B220" s="6">
        <f>3*IFERROR(VLOOKUP(A220,'#15 IH Results'!$A$2:$C$301,2,0),0)+2*IFERROR(VLOOKUP(A220,'#14 IH Results'!$A$2:$C$302,2,0),0)+1.5*IFERROR(VLOOKUP(A220,'#13 IH Results'!$A$2:$C$302,2,0),0)+1.25*IFERROR(VLOOKUP(A220,'#12 IH Results'!$A$2:$C$302,2,0),0)+1.25*IFERROR(VLOOKUP(A220,'#11 IH Results'!$A$2:$C$302,2,0),0)+IFERROR(VLOOKUP(A220,'#10 IH Results'!$A$2:$C$302,2,0),0)+IFERROR(VLOOKUP(A220,'#9 IH Results'!$A$2:$C$302,2,0),0)+IFERROR(VLOOKUP(A220,'#8 IH Results'!$A$2:$C$302,2,0),0)+IFERROR(VLOOKUP(A220,'#7 IH Results'!$A$2:$C$302,2,0),0)+IFERROR(VLOOKUP(A220,'#6 IH Results'!$A$2:$C$302,2,0),0)+IFERROR(VLOOKUP(A220,'#5 IH Results'!$A$2:$C$303,2,0),0)+IFERROR(VLOOKUP(A220,'#4 IH Results'!$A$2:$C$300,2,0),0)+IFERROR(VLOOKUP(A220,'#3 IH Results'!$A$2:$C$101,2,0),0)+IFERROR(VLOOKUP(A220,'#2 IH Results'!$A$2:$C$101,2,0),0)+IFERROR(VLOOKUP(A220,'#1 IH Results'!$A$2:$C$101,2,0),0)+IFERROR(VLOOKUP(A220,'#0 IH Results'!$A$3:$C$102,2,0),0)</f>
        <v>3.125436379</v>
      </c>
    </row>
    <row r="221">
      <c r="A221" s="5" t="s">
        <v>211</v>
      </c>
      <c r="B221" s="6">
        <f>3*IFERROR(VLOOKUP(A221,'#15 IH Results'!$A$2:$C$301,2,0),0)+2*IFERROR(VLOOKUP(A221,'#14 IH Results'!$A$2:$C$302,2,0),0)+1.5*IFERROR(VLOOKUP(A221,'#13 IH Results'!$A$2:$C$302,2,0),0)+1.25*IFERROR(VLOOKUP(A221,'#12 IH Results'!$A$2:$C$302,2,0),0)+1.25*IFERROR(VLOOKUP(A221,'#11 IH Results'!$A$2:$C$302,2,0),0)+IFERROR(VLOOKUP(A221,'#10 IH Results'!$A$2:$C$302,2,0),0)+IFERROR(VLOOKUP(A221,'#9 IH Results'!$A$2:$C$302,2,0),0)+IFERROR(VLOOKUP(A221,'#8 IH Results'!$A$2:$C$302,2,0),0)+IFERROR(VLOOKUP(A221,'#7 IH Results'!$A$2:$C$302,2,0),0)+IFERROR(VLOOKUP(A221,'#6 IH Results'!$A$2:$C$302,2,0),0)+IFERROR(VLOOKUP(A221,'#5 IH Results'!$A$2:$C$303,2,0),0)+IFERROR(VLOOKUP(A221,'#4 IH Results'!$A$2:$C$300,2,0),0)+IFERROR(VLOOKUP(A221,'#3 IH Results'!$A$2:$C$101,2,0),0)+IFERROR(VLOOKUP(A221,'#2 IH Results'!$A$2:$C$101,2,0),0)+IFERROR(VLOOKUP(A221,'#1 IH Results'!$A$2:$C$101,2,0),0)+IFERROR(VLOOKUP(A221,'#0 IH Results'!$A$3:$C$102,2,0),0)</f>
        <v>3.058471694</v>
      </c>
    </row>
    <row r="222">
      <c r="A222" s="5" t="s">
        <v>164</v>
      </c>
      <c r="B222" s="6">
        <f>3*IFERROR(VLOOKUP(A222,'#15 IH Results'!$A$2:$C$301,2,0),0)+2*IFERROR(VLOOKUP(A222,'#14 IH Results'!$A$2:$C$302,2,0),0)+1.5*IFERROR(VLOOKUP(A222,'#13 IH Results'!$A$2:$C$302,2,0),0)+1.25*IFERROR(VLOOKUP(A222,'#12 IH Results'!$A$2:$C$302,2,0),0)+1.25*IFERROR(VLOOKUP(A222,'#11 IH Results'!$A$2:$C$302,2,0),0)+IFERROR(VLOOKUP(A222,'#10 IH Results'!$A$2:$C$302,2,0),0)+IFERROR(VLOOKUP(A222,'#9 IH Results'!$A$2:$C$302,2,0),0)+IFERROR(VLOOKUP(A222,'#8 IH Results'!$A$2:$C$302,2,0),0)+IFERROR(VLOOKUP(A222,'#7 IH Results'!$A$2:$C$302,2,0),0)+IFERROR(VLOOKUP(A222,'#6 IH Results'!$A$2:$C$302,2,0),0)+IFERROR(VLOOKUP(A222,'#5 IH Results'!$A$2:$C$303,2,0),0)+IFERROR(VLOOKUP(A222,'#4 IH Results'!$A$2:$C$300,2,0),0)+IFERROR(VLOOKUP(A222,'#3 IH Results'!$A$2:$C$101,2,0),0)+IFERROR(VLOOKUP(A222,'#2 IH Results'!$A$2:$C$101,2,0),0)+IFERROR(VLOOKUP(A222,'#1 IH Results'!$A$2:$C$101,2,0),0)+IFERROR(VLOOKUP(A222,'#0 IH Results'!$A$3:$C$102,2,0),0)</f>
        <v>2.993930021</v>
      </c>
    </row>
    <row r="223">
      <c r="A223" s="5" t="s">
        <v>217</v>
      </c>
      <c r="B223" s="6">
        <f>3*IFERROR(VLOOKUP(A223,'#15 IH Results'!$A$2:$C$301,2,0),0)+2*IFERROR(VLOOKUP(A223,'#14 IH Results'!$A$2:$C$302,2,0),0)+1.5*IFERROR(VLOOKUP(A223,'#13 IH Results'!$A$2:$C$302,2,0),0)+1.25*IFERROR(VLOOKUP(A223,'#12 IH Results'!$A$2:$C$302,2,0),0)+1.25*IFERROR(VLOOKUP(A223,'#11 IH Results'!$A$2:$C$302,2,0),0)+IFERROR(VLOOKUP(A223,'#10 IH Results'!$A$2:$C$302,2,0),0)+IFERROR(VLOOKUP(A223,'#9 IH Results'!$A$2:$C$302,2,0),0)+IFERROR(VLOOKUP(A223,'#8 IH Results'!$A$2:$C$302,2,0),0)+IFERROR(VLOOKUP(A223,'#7 IH Results'!$A$2:$C$302,2,0),0)+IFERROR(VLOOKUP(A223,'#6 IH Results'!$A$2:$C$302,2,0),0)+IFERROR(VLOOKUP(A223,'#5 IH Results'!$A$2:$C$303,2,0),0)+IFERROR(VLOOKUP(A223,'#4 IH Results'!$A$2:$C$300,2,0),0)+IFERROR(VLOOKUP(A223,'#3 IH Results'!$A$2:$C$101,2,0),0)+IFERROR(VLOOKUP(A223,'#2 IH Results'!$A$2:$C$101,2,0),0)+IFERROR(VLOOKUP(A223,'#1 IH Results'!$A$2:$C$101,2,0),0)+IFERROR(VLOOKUP(A223,'#0 IH Results'!$A$3:$C$102,2,0),0)</f>
        <v>2.976666136</v>
      </c>
    </row>
    <row r="224">
      <c r="A224" s="5" t="s">
        <v>267</v>
      </c>
      <c r="B224" s="6">
        <f>3*IFERROR(VLOOKUP(A224,'#15 IH Results'!$A$2:$C$301,2,0),0)+2*IFERROR(VLOOKUP(A224,'#14 IH Results'!$A$2:$C$302,2,0),0)+1.5*IFERROR(VLOOKUP(A224,'#13 IH Results'!$A$2:$C$302,2,0),0)+1.25*IFERROR(VLOOKUP(A224,'#12 IH Results'!$A$2:$C$302,2,0),0)+1.25*IFERROR(VLOOKUP(A224,'#11 IH Results'!$A$2:$C$302,2,0),0)+IFERROR(VLOOKUP(A224,'#10 IH Results'!$A$2:$C$302,2,0),0)+IFERROR(VLOOKUP(A224,'#9 IH Results'!$A$2:$C$302,2,0),0)+IFERROR(VLOOKUP(A224,'#8 IH Results'!$A$2:$C$302,2,0),0)+IFERROR(VLOOKUP(A224,'#7 IH Results'!$A$2:$C$302,2,0),0)+IFERROR(VLOOKUP(A224,'#6 IH Results'!$A$2:$C$302,2,0),0)+IFERROR(VLOOKUP(A224,'#5 IH Results'!$A$2:$C$303,2,0),0)+IFERROR(VLOOKUP(A224,'#4 IH Results'!$A$2:$C$300,2,0),0)+IFERROR(VLOOKUP(A224,'#3 IH Results'!$A$2:$C$101,2,0),0)+IFERROR(VLOOKUP(A224,'#2 IH Results'!$A$2:$C$101,2,0),0)+IFERROR(VLOOKUP(A224,'#1 IH Results'!$A$2:$C$101,2,0),0)+IFERROR(VLOOKUP(A224,'#0 IH Results'!$A$3:$C$102,2,0),0)</f>
        <v>2.756883022</v>
      </c>
    </row>
    <row r="225">
      <c r="A225" s="5" t="s">
        <v>203</v>
      </c>
      <c r="B225" s="6">
        <f>3*IFERROR(VLOOKUP(A225,'#15 IH Results'!$A$2:$C$301,2,0),0)+2*IFERROR(VLOOKUP(A225,'#14 IH Results'!$A$2:$C$302,2,0),0)+1.5*IFERROR(VLOOKUP(A225,'#13 IH Results'!$A$2:$C$302,2,0),0)+1.25*IFERROR(VLOOKUP(A225,'#12 IH Results'!$A$2:$C$302,2,0),0)+1.25*IFERROR(VLOOKUP(A225,'#11 IH Results'!$A$2:$C$302,2,0),0)+IFERROR(VLOOKUP(A225,'#10 IH Results'!$A$2:$C$302,2,0),0)+IFERROR(VLOOKUP(A225,'#9 IH Results'!$A$2:$C$302,2,0),0)+IFERROR(VLOOKUP(A225,'#8 IH Results'!$A$2:$C$302,2,0),0)+IFERROR(VLOOKUP(A225,'#7 IH Results'!$A$2:$C$302,2,0),0)+IFERROR(VLOOKUP(A225,'#6 IH Results'!$A$2:$C$302,2,0),0)+IFERROR(VLOOKUP(A225,'#5 IH Results'!$A$2:$C$303,2,0),0)+IFERROR(VLOOKUP(A225,'#4 IH Results'!$A$2:$C$300,2,0),0)+IFERROR(VLOOKUP(A225,'#3 IH Results'!$A$2:$C$101,2,0),0)+IFERROR(VLOOKUP(A225,'#2 IH Results'!$A$2:$C$101,2,0),0)+IFERROR(VLOOKUP(A225,'#1 IH Results'!$A$2:$C$101,2,0),0)+IFERROR(VLOOKUP(A225,'#0 IH Results'!$A$3:$C$102,2,0),0)</f>
        <v>2.756883022</v>
      </c>
    </row>
    <row r="226">
      <c r="A226" s="16" t="s">
        <v>204</v>
      </c>
      <c r="B226" s="6">
        <f>3*IFERROR(VLOOKUP(A226,'#15 IH Results'!$A$2:$C$301,2,0),0)+2*IFERROR(VLOOKUP(A226,'#14 IH Results'!$A$2:$C$302,2,0),0)+1.5*IFERROR(VLOOKUP(A226,'#13 IH Results'!$A$2:$C$302,2,0),0)+1.25*IFERROR(VLOOKUP(A226,'#12 IH Results'!$A$2:$C$302,2,0),0)+1.25*IFERROR(VLOOKUP(A226,'#11 IH Results'!$A$2:$C$302,2,0),0)+IFERROR(VLOOKUP(A226,'#10 IH Results'!$A$2:$C$302,2,0),0)+IFERROR(VLOOKUP(A226,'#9 IH Results'!$A$2:$C$302,2,0),0)+IFERROR(VLOOKUP(A226,'#8 IH Results'!$A$2:$C$302,2,0),0)+IFERROR(VLOOKUP(A226,'#7 IH Results'!$A$2:$C$302,2,0),0)+IFERROR(VLOOKUP(A226,'#6 IH Results'!$A$2:$C$302,2,0),0)+IFERROR(VLOOKUP(A226,'#5 IH Results'!$A$2:$C$303,2,0),0)+IFERROR(VLOOKUP(A226,'#4 IH Results'!$A$2:$C$300,2,0),0)+IFERROR(VLOOKUP(A226,'#3 IH Results'!$A$2:$C$101,2,0),0)+IFERROR(VLOOKUP(A226,'#2 IH Results'!$A$2:$C$101,2,0),0)+IFERROR(VLOOKUP(A226,'#1 IH Results'!$A$2:$C$101,2,0),0)+IFERROR(VLOOKUP(A226,'#0 IH Results'!$A$3:$C$102,2,0),0)</f>
        <v>2.756883022</v>
      </c>
    </row>
    <row r="227">
      <c r="A227" s="16" t="s">
        <v>297</v>
      </c>
      <c r="B227" s="6">
        <f>3*IFERROR(VLOOKUP(A227,'#15 IH Results'!$A$2:$C$301,2,0),0)+2*IFERROR(VLOOKUP(A227,'#14 IH Results'!$A$2:$C$302,2,0),0)+1.5*IFERROR(VLOOKUP(A227,'#13 IH Results'!$A$2:$C$302,2,0),0)+1.25*IFERROR(VLOOKUP(A227,'#12 IH Results'!$A$2:$C$302,2,0),0)+1.25*IFERROR(VLOOKUP(A227,'#11 IH Results'!$A$2:$C$302,2,0),0)+IFERROR(VLOOKUP(A227,'#10 IH Results'!$A$2:$C$302,2,0),0)+IFERROR(VLOOKUP(A227,'#9 IH Results'!$A$2:$C$302,2,0),0)+IFERROR(VLOOKUP(A227,'#8 IH Results'!$A$2:$C$302,2,0),0)+IFERROR(VLOOKUP(A227,'#7 IH Results'!$A$2:$C$302,2,0),0)+IFERROR(VLOOKUP(A227,'#6 IH Results'!$A$2:$C$302,2,0),0)+IFERROR(VLOOKUP(A227,'#5 IH Results'!$A$2:$C$303,2,0),0)+IFERROR(VLOOKUP(A227,'#4 IH Results'!$A$2:$C$300,2,0),0)+IFERROR(VLOOKUP(A227,'#3 IH Results'!$A$2:$C$101,2,0),0)+IFERROR(VLOOKUP(A227,'#2 IH Results'!$A$2:$C$101,2,0),0)+IFERROR(VLOOKUP(A227,'#1 IH Results'!$A$2:$C$101,2,0),0)+IFERROR(VLOOKUP(A227,'#0 IH Results'!$A$3:$C$102,2,0),0)</f>
        <v>2.727172355</v>
      </c>
    </row>
    <row r="228">
      <c r="A228" s="130" t="s">
        <v>212</v>
      </c>
      <c r="B228" s="6">
        <f>3*IFERROR(VLOOKUP(A228,'#15 IH Results'!$A$2:$C$301,2,0),0)+2*IFERROR(VLOOKUP(A228,'#14 IH Results'!$A$2:$C$302,2,0),0)+1.5*IFERROR(VLOOKUP(A228,'#13 IH Results'!$A$2:$C$302,2,0),0)+1.25*IFERROR(VLOOKUP(A228,'#12 IH Results'!$A$2:$C$302,2,0),0)+1.25*IFERROR(VLOOKUP(A228,'#11 IH Results'!$A$2:$C$302,2,0),0)+IFERROR(VLOOKUP(A228,'#10 IH Results'!$A$2:$C$302,2,0),0)+IFERROR(VLOOKUP(A228,'#9 IH Results'!$A$2:$C$302,2,0),0)+IFERROR(VLOOKUP(A228,'#8 IH Results'!$A$2:$C$302,2,0),0)+IFERROR(VLOOKUP(A228,'#7 IH Results'!$A$2:$C$302,2,0),0)+IFERROR(VLOOKUP(A228,'#6 IH Results'!$A$2:$C$302,2,0),0)+IFERROR(VLOOKUP(A228,'#5 IH Results'!$A$2:$C$303,2,0),0)+IFERROR(VLOOKUP(A228,'#4 IH Results'!$A$2:$C$300,2,0),0)+IFERROR(VLOOKUP(A228,'#3 IH Results'!$A$2:$C$101,2,0),0)+IFERROR(VLOOKUP(A228,'#2 IH Results'!$A$2:$C$101,2,0),0)+IFERROR(VLOOKUP(A228,'#1 IH Results'!$A$2:$C$101,2,0),0)+IFERROR(VLOOKUP(A228,'#0 IH Results'!$A$3:$C$102,2,0),0)</f>
        <v>2.724343554</v>
      </c>
    </row>
    <row r="229">
      <c r="A229" s="16" t="s">
        <v>213</v>
      </c>
      <c r="B229" s="6">
        <f>3*IFERROR(VLOOKUP(A229,'#15 IH Results'!$A$2:$C$301,2,0),0)+2*IFERROR(VLOOKUP(A229,'#14 IH Results'!$A$2:$C$302,2,0),0)+1.5*IFERROR(VLOOKUP(A229,'#13 IH Results'!$A$2:$C$302,2,0),0)+1.25*IFERROR(VLOOKUP(A229,'#12 IH Results'!$A$2:$C$302,2,0),0)+1.25*IFERROR(VLOOKUP(A229,'#11 IH Results'!$A$2:$C$302,2,0),0)+IFERROR(VLOOKUP(A229,'#10 IH Results'!$A$2:$C$302,2,0),0)+IFERROR(VLOOKUP(A229,'#9 IH Results'!$A$2:$C$302,2,0),0)+IFERROR(VLOOKUP(A229,'#8 IH Results'!$A$2:$C$302,2,0),0)+IFERROR(VLOOKUP(A229,'#7 IH Results'!$A$2:$C$302,2,0),0)+IFERROR(VLOOKUP(A229,'#6 IH Results'!$A$2:$C$302,2,0),0)+IFERROR(VLOOKUP(A229,'#5 IH Results'!$A$2:$C$303,2,0),0)+IFERROR(VLOOKUP(A229,'#4 IH Results'!$A$2:$C$300,2,0),0)+IFERROR(VLOOKUP(A229,'#3 IH Results'!$A$2:$C$101,2,0),0)+IFERROR(VLOOKUP(A229,'#2 IH Results'!$A$2:$C$101,2,0),0)+IFERROR(VLOOKUP(A229,'#1 IH Results'!$A$2:$C$101,2,0),0)+IFERROR(VLOOKUP(A229,'#0 IH Results'!$A$3:$C$102,2,0),0)</f>
        <v>2.713596376</v>
      </c>
    </row>
    <row r="230">
      <c r="A230" s="16" t="s">
        <v>186</v>
      </c>
      <c r="B230" s="6">
        <f>3*IFERROR(VLOOKUP(A230,'#15 IH Results'!$A$2:$C$301,2,0),0)+2*IFERROR(VLOOKUP(A230,'#14 IH Results'!$A$2:$C$302,2,0),0)+1.5*IFERROR(VLOOKUP(A230,'#13 IH Results'!$A$2:$C$302,2,0),0)+1.25*IFERROR(VLOOKUP(A230,'#12 IH Results'!$A$2:$C$302,2,0),0)+1.25*IFERROR(VLOOKUP(A230,'#11 IH Results'!$A$2:$C$302,2,0),0)+IFERROR(VLOOKUP(A230,'#10 IH Results'!$A$2:$C$302,2,0),0)+IFERROR(VLOOKUP(A230,'#9 IH Results'!$A$2:$C$302,2,0),0)+IFERROR(VLOOKUP(A230,'#8 IH Results'!$A$2:$C$302,2,0),0)+IFERROR(VLOOKUP(A230,'#7 IH Results'!$A$2:$C$302,2,0),0)+IFERROR(VLOOKUP(A230,'#6 IH Results'!$A$2:$C$302,2,0),0)+IFERROR(VLOOKUP(A230,'#5 IH Results'!$A$2:$C$303,2,0),0)+IFERROR(VLOOKUP(A230,'#4 IH Results'!$A$2:$C$300,2,0),0)+IFERROR(VLOOKUP(A230,'#3 IH Results'!$A$2:$C$101,2,0),0)+IFERROR(VLOOKUP(A230,'#2 IH Results'!$A$2:$C$101,2,0),0)+IFERROR(VLOOKUP(A230,'#1 IH Results'!$A$2:$C$101,2,0),0)+IFERROR(VLOOKUP(A230,'#0 IH Results'!$A$3:$C$102,2,0),0)</f>
        <v>2.528591449</v>
      </c>
    </row>
    <row r="231">
      <c r="A231" s="16" t="s">
        <v>256</v>
      </c>
      <c r="B231" s="6">
        <f>3*IFERROR(VLOOKUP(A231,'#15 IH Results'!$A$2:$C$301,2,0),0)+2*IFERROR(VLOOKUP(A231,'#14 IH Results'!$A$2:$C$302,2,0),0)+1.5*IFERROR(VLOOKUP(A231,'#13 IH Results'!$A$2:$C$302,2,0),0)+1.25*IFERROR(VLOOKUP(A231,'#12 IH Results'!$A$2:$C$302,2,0),0)+1.25*IFERROR(VLOOKUP(A231,'#11 IH Results'!$A$2:$C$302,2,0),0)+IFERROR(VLOOKUP(A231,'#10 IH Results'!$A$2:$C$302,2,0),0)+IFERROR(VLOOKUP(A231,'#9 IH Results'!$A$2:$C$302,2,0),0)+IFERROR(VLOOKUP(A231,'#8 IH Results'!$A$2:$C$302,2,0),0)+IFERROR(VLOOKUP(A231,'#7 IH Results'!$A$2:$C$302,2,0),0)+IFERROR(VLOOKUP(A231,'#6 IH Results'!$A$2:$C$302,2,0),0)+IFERROR(VLOOKUP(A231,'#5 IH Results'!$A$2:$C$303,2,0),0)+IFERROR(VLOOKUP(A231,'#4 IH Results'!$A$2:$C$300,2,0),0)+IFERROR(VLOOKUP(A231,'#3 IH Results'!$A$2:$C$101,2,0),0)+IFERROR(VLOOKUP(A231,'#2 IH Results'!$A$2:$C$101,2,0),0)+IFERROR(VLOOKUP(A231,'#1 IH Results'!$A$2:$C$101,2,0),0)+IFERROR(VLOOKUP(A231,'#0 IH Results'!$A$3:$C$102,2,0),0)</f>
        <v>2.481130421</v>
      </c>
    </row>
    <row r="232">
      <c r="A232" s="16" t="s">
        <v>311</v>
      </c>
      <c r="B232" s="6">
        <f>3*IFERROR(VLOOKUP(A232,'#15 IH Results'!$A$2:$C$301,2,0),0)+2*IFERROR(VLOOKUP(A232,'#14 IH Results'!$A$2:$C$302,2,0),0)+1.5*IFERROR(VLOOKUP(A232,'#13 IH Results'!$A$2:$C$302,2,0),0)+1.25*IFERROR(VLOOKUP(A232,'#12 IH Results'!$A$2:$C$302,2,0),0)+1.25*IFERROR(VLOOKUP(A232,'#11 IH Results'!$A$2:$C$302,2,0),0)+IFERROR(VLOOKUP(A232,'#10 IH Results'!$A$2:$C$302,2,0),0)+IFERROR(VLOOKUP(A232,'#9 IH Results'!$A$2:$C$302,2,0),0)+IFERROR(VLOOKUP(A232,'#8 IH Results'!$A$2:$C$302,2,0),0)+IFERROR(VLOOKUP(A232,'#7 IH Results'!$A$2:$C$302,2,0),0)+IFERROR(VLOOKUP(A232,'#6 IH Results'!$A$2:$C$302,2,0),0)+IFERROR(VLOOKUP(A232,'#5 IH Results'!$A$2:$C$303,2,0),0)+IFERROR(VLOOKUP(A232,'#4 IH Results'!$A$2:$C$300,2,0),0)+IFERROR(VLOOKUP(A232,'#3 IH Results'!$A$2:$C$101,2,0),0)+IFERROR(VLOOKUP(A232,'#2 IH Results'!$A$2:$C$101,2,0),0)+IFERROR(VLOOKUP(A232,'#1 IH Results'!$A$2:$C$101,2,0),0)+IFERROR(VLOOKUP(A232,'#0 IH Results'!$A$3:$C$102,2,0),0)</f>
        <v>2.477678574</v>
      </c>
    </row>
    <row r="233">
      <c r="A233" s="16" t="s">
        <v>276</v>
      </c>
      <c r="B233" s="6">
        <f>3*IFERROR(VLOOKUP(A233,'#15 IH Results'!$A$2:$C$301,2,0),0)+2*IFERROR(VLOOKUP(A233,'#14 IH Results'!$A$2:$C$302,2,0),0)+1.5*IFERROR(VLOOKUP(A233,'#13 IH Results'!$A$2:$C$302,2,0),0)+1.25*IFERROR(VLOOKUP(A233,'#12 IH Results'!$A$2:$C$302,2,0),0)+1.25*IFERROR(VLOOKUP(A233,'#11 IH Results'!$A$2:$C$302,2,0),0)+IFERROR(VLOOKUP(A233,'#10 IH Results'!$A$2:$C$302,2,0),0)+IFERROR(VLOOKUP(A233,'#9 IH Results'!$A$2:$C$302,2,0),0)+IFERROR(VLOOKUP(A233,'#8 IH Results'!$A$2:$C$302,2,0),0)+IFERROR(VLOOKUP(A233,'#7 IH Results'!$A$2:$C$302,2,0),0)+IFERROR(VLOOKUP(A233,'#6 IH Results'!$A$2:$C$302,2,0),0)+IFERROR(VLOOKUP(A233,'#5 IH Results'!$A$2:$C$303,2,0),0)+IFERROR(VLOOKUP(A233,'#4 IH Results'!$A$2:$C$300,2,0),0)+IFERROR(VLOOKUP(A233,'#3 IH Results'!$A$2:$C$101,2,0),0)+IFERROR(VLOOKUP(A233,'#2 IH Results'!$A$2:$C$101,2,0),0)+IFERROR(VLOOKUP(A233,'#1 IH Results'!$A$2:$C$101,2,0),0)+IFERROR(VLOOKUP(A233,'#0 IH Results'!$A$3:$C$102,2,0),0)</f>
        <v>2.475801488</v>
      </c>
    </row>
    <row r="234">
      <c r="A234" s="16" t="s">
        <v>130</v>
      </c>
      <c r="B234" s="6">
        <f>3*IFERROR(VLOOKUP(A234,'#15 IH Results'!$A$2:$C$301,2,0),0)+2*IFERROR(VLOOKUP(A234,'#14 IH Results'!$A$2:$C$302,2,0),0)+1.5*IFERROR(VLOOKUP(A234,'#13 IH Results'!$A$2:$C$302,2,0),0)+1.25*IFERROR(VLOOKUP(A234,'#12 IH Results'!$A$2:$C$302,2,0),0)+1.25*IFERROR(VLOOKUP(A234,'#11 IH Results'!$A$2:$C$302,2,0),0)+IFERROR(VLOOKUP(A234,'#10 IH Results'!$A$2:$C$302,2,0),0)+IFERROR(VLOOKUP(A234,'#9 IH Results'!$A$2:$C$302,2,0),0)+IFERROR(VLOOKUP(A234,'#8 IH Results'!$A$2:$C$302,2,0),0)+IFERROR(VLOOKUP(A234,'#7 IH Results'!$A$2:$C$302,2,0),0)+IFERROR(VLOOKUP(A234,'#6 IH Results'!$A$2:$C$302,2,0),0)+IFERROR(VLOOKUP(A234,'#5 IH Results'!$A$2:$C$303,2,0),0)+IFERROR(VLOOKUP(A234,'#4 IH Results'!$A$2:$C$300,2,0),0)+IFERROR(VLOOKUP(A234,'#3 IH Results'!$A$2:$C$101,2,0),0)+IFERROR(VLOOKUP(A234,'#2 IH Results'!$A$2:$C$101,2,0),0)+IFERROR(VLOOKUP(A234,'#1 IH Results'!$A$2:$C$101,2,0),0)+IFERROR(VLOOKUP(A234,'#0 IH Results'!$A$3:$C$102,2,0),0)</f>
        <v>2.404650023</v>
      </c>
    </row>
    <row r="235">
      <c r="A235" s="131" t="s">
        <v>224</v>
      </c>
      <c r="B235" s="6">
        <f>3*IFERROR(VLOOKUP(A235,'#15 IH Results'!$A$2:$C$301,2,0),0)+2*IFERROR(VLOOKUP(A235,'#14 IH Results'!$A$2:$C$302,2,0),0)+1.5*IFERROR(VLOOKUP(A235,'#13 IH Results'!$A$2:$C$302,2,0),0)+1.25*IFERROR(VLOOKUP(A235,'#12 IH Results'!$A$2:$C$302,2,0),0)+1.25*IFERROR(VLOOKUP(A235,'#11 IH Results'!$A$2:$C$302,2,0),0)+IFERROR(VLOOKUP(A235,'#10 IH Results'!$A$2:$C$302,2,0),0)+IFERROR(VLOOKUP(A235,'#9 IH Results'!$A$2:$C$302,2,0),0)+IFERROR(VLOOKUP(A235,'#8 IH Results'!$A$2:$C$302,2,0),0)+IFERROR(VLOOKUP(A235,'#7 IH Results'!$A$2:$C$302,2,0),0)+IFERROR(VLOOKUP(A235,'#6 IH Results'!$A$2:$C$302,2,0),0)+IFERROR(VLOOKUP(A235,'#5 IH Results'!$A$2:$C$303,2,0),0)+IFERROR(VLOOKUP(A235,'#4 IH Results'!$A$2:$C$300,2,0),0)+IFERROR(VLOOKUP(A235,'#3 IH Results'!$A$2:$C$101,2,0),0)+IFERROR(VLOOKUP(A235,'#2 IH Results'!$A$2:$C$101,2,0),0)+IFERROR(VLOOKUP(A235,'#1 IH Results'!$A$2:$C$101,2,0),0)+IFERROR(VLOOKUP(A235,'#0 IH Results'!$A$3:$C$102,2,0),0)</f>
        <v>2.358338179</v>
      </c>
    </row>
    <row r="236">
      <c r="A236" s="5" t="s">
        <v>227</v>
      </c>
      <c r="B236" s="6">
        <f>3*IFERROR(VLOOKUP(A236,'#15 IH Results'!$A$2:$C$301,2,0),0)+2*IFERROR(VLOOKUP(A236,'#14 IH Results'!$A$2:$C$302,2,0),0)+1.5*IFERROR(VLOOKUP(A236,'#13 IH Results'!$A$2:$C$302,2,0),0)+1.25*IFERROR(VLOOKUP(A236,'#12 IH Results'!$A$2:$C$302,2,0),0)+1.25*IFERROR(VLOOKUP(A236,'#11 IH Results'!$A$2:$C$302,2,0),0)+IFERROR(VLOOKUP(A236,'#10 IH Results'!$A$2:$C$302,2,0),0)+IFERROR(VLOOKUP(A236,'#9 IH Results'!$A$2:$C$302,2,0),0)+IFERROR(VLOOKUP(A236,'#8 IH Results'!$A$2:$C$302,2,0),0)+IFERROR(VLOOKUP(A236,'#7 IH Results'!$A$2:$C$302,2,0),0)+IFERROR(VLOOKUP(A236,'#6 IH Results'!$A$2:$C$302,2,0),0)+IFERROR(VLOOKUP(A236,'#5 IH Results'!$A$2:$C$303,2,0),0)+IFERROR(VLOOKUP(A236,'#4 IH Results'!$A$2:$C$300,2,0),0)+IFERROR(VLOOKUP(A236,'#3 IH Results'!$A$2:$C$101,2,0),0)+IFERROR(VLOOKUP(A236,'#2 IH Results'!$A$2:$C$101,2,0),0)+IFERROR(VLOOKUP(A236,'#1 IH Results'!$A$2:$C$101,2,0),0)+IFERROR(VLOOKUP(A236,'#0 IH Results'!$A$3:$C$102,2,0),0)</f>
        <v>2.290676001</v>
      </c>
    </row>
    <row r="237">
      <c r="A237" s="5" t="s">
        <v>250</v>
      </c>
      <c r="B237" s="6">
        <f>3*IFERROR(VLOOKUP(A237,'#15 IH Results'!$A$2:$C$301,2,0),0)+2*IFERROR(VLOOKUP(A237,'#14 IH Results'!$A$2:$C$302,2,0),0)+1.5*IFERROR(VLOOKUP(A237,'#13 IH Results'!$A$2:$C$302,2,0),0)+1.25*IFERROR(VLOOKUP(A237,'#12 IH Results'!$A$2:$C$302,2,0),0)+1.25*IFERROR(VLOOKUP(A237,'#11 IH Results'!$A$2:$C$302,2,0),0)+IFERROR(VLOOKUP(A237,'#10 IH Results'!$A$2:$C$302,2,0),0)+IFERROR(VLOOKUP(A237,'#9 IH Results'!$A$2:$C$302,2,0),0)+IFERROR(VLOOKUP(A237,'#8 IH Results'!$A$2:$C$302,2,0),0)+IFERROR(VLOOKUP(A237,'#7 IH Results'!$A$2:$C$302,2,0),0)+IFERROR(VLOOKUP(A237,'#6 IH Results'!$A$2:$C$302,2,0),0)+IFERROR(VLOOKUP(A237,'#5 IH Results'!$A$2:$C$303,2,0),0)+IFERROR(VLOOKUP(A237,'#4 IH Results'!$A$2:$C$300,2,0),0)+IFERROR(VLOOKUP(A237,'#3 IH Results'!$A$2:$C$101,2,0),0)+IFERROR(VLOOKUP(A237,'#2 IH Results'!$A$2:$C$101,2,0),0)+IFERROR(VLOOKUP(A237,'#1 IH Results'!$A$2:$C$101,2,0),0)+IFERROR(VLOOKUP(A237,'#0 IH Results'!$A$3:$C$102,2,0),0)</f>
        <v>2.256101706</v>
      </c>
    </row>
    <row r="238">
      <c r="A238" s="5" t="s">
        <v>228</v>
      </c>
      <c r="B238" s="6">
        <f>3*IFERROR(VLOOKUP(A238,'#15 IH Results'!$A$2:$C$301,2,0),0)+2*IFERROR(VLOOKUP(A238,'#14 IH Results'!$A$2:$C$302,2,0),0)+1.5*IFERROR(VLOOKUP(A238,'#13 IH Results'!$A$2:$C$302,2,0),0)+1.25*IFERROR(VLOOKUP(A238,'#12 IH Results'!$A$2:$C$302,2,0),0)+1.25*IFERROR(VLOOKUP(A238,'#11 IH Results'!$A$2:$C$302,2,0),0)+IFERROR(VLOOKUP(A238,'#10 IH Results'!$A$2:$C$302,2,0),0)+IFERROR(VLOOKUP(A238,'#9 IH Results'!$A$2:$C$302,2,0),0)+IFERROR(VLOOKUP(A238,'#8 IH Results'!$A$2:$C$302,2,0),0)+IFERROR(VLOOKUP(A238,'#7 IH Results'!$A$2:$C$302,2,0),0)+IFERROR(VLOOKUP(A238,'#6 IH Results'!$A$2:$C$302,2,0),0)+IFERROR(VLOOKUP(A238,'#5 IH Results'!$A$2:$C$303,2,0),0)+IFERROR(VLOOKUP(A238,'#4 IH Results'!$A$2:$C$300,2,0),0)+IFERROR(VLOOKUP(A238,'#3 IH Results'!$A$2:$C$101,2,0),0)+IFERROR(VLOOKUP(A238,'#2 IH Results'!$A$2:$C$101,2,0),0)+IFERROR(VLOOKUP(A238,'#1 IH Results'!$A$2:$C$101,2,0),0)+IFERROR(VLOOKUP(A238,'#0 IH Results'!$A$3:$C$102,2,0),0)</f>
        <v>2.245699756</v>
      </c>
    </row>
    <row r="239">
      <c r="A239" s="5" t="s">
        <v>254</v>
      </c>
      <c r="B239" s="6">
        <f>3*IFERROR(VLOOKUP(A239,'#15 IH Results'!$A$2:$C$301,2,0),0)+2*IFERROR(VLOOKUP(A239,'#14 IH Results'!$A$2:$C$302,2,0),0)+1.5*IFERROR(VLOOKUP(A239,'#13 IH Results'!$A$2:$C$302,2,0),0)+1.25*IFERROR(VLOOKUP(A239,'#12 IH Results'!$A$2:$C$302,2,0),0)+1.25*IFERROR(VLOOKUP(A239,'#11 IH Results'!$A$2:$C$302,2,0),0)+IFERROR(VLOOKUP(A239,'#10 IH Results'!$A$2:$C$302,2,0),0)+IFERROR(VLOOKUP(A239,'#9 IH Results'!$A$2:$C$302,2,0),0)+IFERROR(VLOOKUP(A239,'#8 IH Results'!$A$2:$C$302,2,0),0)+IFERROR(VLOOKUP(A239,'#7 IH Results'!$A$2:$C$302,2,0),0)+IFERROR(VLOOKUP(A239,'#6 IH Results'!$A$2:$C$302,2,0),0)+IFERROR(VLOOKUP(A239,'#5 IH Results'!$A$2:$C$303,2,0),0)+IFERROR(VLOOKUP(A239,'#4 IH Results'!$A$2:$C$300,2,0),0)+IFERROR(VLOOKUP(A239,'#3 IH Results'!$A$2:$C$101,2,0),0)+IFERROR(VLOOKUP(A239,'#2 IH Results'!$A$2:$C$101,2,0),0)+IFERROR(VLOOKUP(A239,'#1 IH Results'!$A$2:$C$101,2,0),0)+IFERROR(VLOOKUP(A239,'#0 IH Results'!$A$3:$C$102,2,0),0)</f>
        <v>2.228184793</v>
      </c>
    </row>
    <row r="240">
      <c r="A240" s="5" t="s">
        <v>222</v>
      </c>
      <c r="B240" s="6">
        <f>3*IFERROR(VLOOKUP(A240,'#15 IH Results'!$A$2:$C$301,2,0),0)+2*IFERROR(VLOOKUP(A240,'#14 IH Results'!$A$2:$C$302,2,0),0)+1.5*IFERROR(VLOOKUP(A240,'#13 IH Results'!$A$2:$C$302,2,0),0)+1.25*IFERROR(VLOOKUP(A240,'#12 IH Results'!$A$2:$C$302,2,0),0)+1.25*IFERROR(VLOOKUP(A240,'#11 IH Results'!$A$2:$C$302,2,0),0)+IFERROR(VLOOKUP(A240,'#10 IH Results'!$A$2:$C$302,2,0),0)+IFERROR(VLOOKUP(A240,'#9 IH Results'!$A$2:$C$302,2,0),0)+IFERROR(VLOOKUP(A240,'#8 IH Results'!$A$2:$C$302,2,0),0)+IFERROR(VLOOKUP(A240,'#7 IH Results'!$A$2:$C$302,2,0),0)+IFERROR(VLOOKUP(A240,'#6 IH Results'!$A$2:$C$302,2,0),0)+IFERROR(VLOOKUP(A240,'#5 IH Results'!$A$2:$C$303,2,0),0)+IFERROR(VLOOKUP(A240,'#4 IH Results'!$A$2:$C$300,2,0),0)+IFERROR(VLOOKUP(A240,'#3 IH Results'!$A$2:$C$101,2,0),0)+IFERROR(VLOOKUP(A240,'#2 IH Results'!$A$2:$C$101,2,0),0)+IFERROR(VLOOKUP(A240,'#1 IH Results'!$A$2:$C$101,2,0),0)+IFERROR(VLOOKUP(A240,'#0 IH Results'!$A$3:$C$102,2,0),0)</f>
        <v>2.177507483</v>
      </c>
    </row>
    <row r="241">
      <c r="A241" s="5" t="s">
        <v>289</v>
      </c>
      <c r="B241" s="6">
        <f>3*IFERROR(VLOOKUP(A241,'#15 IH Results'!$A$2:$C$301,2,0),0)+2*IFERROR(VLOOKUP(A241,'#14 IH Results'!$A$2:$C$302,2,0),0)+1.5*IFERROR(VLOOKUP(A241,'#13 IH Results'!$A$2:$C$302,2,0),0)+1.25*IFERROR(VLOOKUP(A241,'#12 IH Results'!$A$2:$C$302,2,0),0)+1.25*IFERROR(VLOOKUP(A241,'#11 IH Results'!$A$2:$C$302,2,0),0)+IFERROR(VLOOKUP(A241,'#10 IH Results'!$A$2:$C$302,2,0),0)+IFERROR(VLOOKUP(A241,'#9 IH Results'!$A$2:$C$302,2,0),0)+IFERROR(VLOOKUP(A241,'#8 IH Results'!$A$2:$C$302,2,0),0)+IFERROR(VLOOKUP(A241,'#7 IH Results'!$A$2:$C$302,2,0),0)+IFERROR(VLOOKUP(A241,'#6 IH Results'!$A$2:$C$302,2,0),0)+IFERROR(VLOOKUP(A241,'#5 IH Results'!$A$2:$C$303,2,0),0)+IFERROR(VLOOKUP(A241,'#4 IH Results'!$A$2:$C$300,2,0),0)+IFERROR(VLOOKUP(A241,'#3 IH Results'!$A$2:$C$101,2,0),0)+IFERROR(VLOOKUP(A241,'#2 IH Results'!$A$2:$C$101,2,0),0)+IFERROR(VLOOKUP(A241,'#1 IH Results'!$A$2:$C$101,2,0),0)+IFERROR(VLOOKUP(A241,'#0 IH Results'!$A$3:$C$102,2,0),0)</f>
        <v>2.123568488</v>
      </c>
    </row>
    <row r="242">
      <c r="A242" s="5" t="s">
        <v>231</v>
      </c>
      <c r="B242" s="6">
        <f>3*IFERROR(VLOOKUP(A242,'#15 IH Results'!$A$2:$C$301,2,0),0)+2*IFERROR(VLOOKUP(A242,'#14 IH Results'!$A$2:$C$302,2,0),0)+1.5*IFERROR(VLOOKUP(A242,'#13 IH Results'!$A$2:$C$302,2,0),0)+1.25*IFERROR(VLOOKUP(A242,'#12 IH Results'!$A$2:$C$302,2,0),0)+1.25*IFERROR(VLOOKUP(A242,'#11 IH Results'!$A$2:$C$302,2,0),0)+IFERROR(VLOOKUP(A242,'#10 IH Results'!$A$2:$C$302,2,0),0)+IFERROR(VLOOKUP(A242,'#9 IH Results'!$A$2:$C$302,2,0),0)+IFERROR(VLOOKUP(A242,'#8 IH Results'!$A$2:$C$302,2,0),0)+IFERROR(VLOOKUP(A242,'#7 IH Results'!$A$2:$C$302,2,0),0)+IFERROR(VLOOKUP(A242,'#6 IH Results'!$A$2:$C$302,2,0),0)+IFERROR(VLOOKUP(A242,'#5 IH Results'!$A$2:$C$303,2,0),0)+IFERROR(VLOOKUP(A242,'#4 IH Results'!$A$2:$C$300,2,0),0)+IFERROR(VLOOKUP(A242,'#3 IH Results'!$A$2:$C$101,2,0),0)+IFERROR(VLOOKUP(A242,'#2 IH Results'!$A$2:$C$101,2,0),0)+IFERROR(VLOOKUP(A242,'#1 IH Results'!$A$2:$C$101,2,0),0)+IFERROR(VLOOKUP(A242,'#0 IH Results'!$A$3:$C$102,2,0),0)</f>
        <v>2.058873157</v>
      </c>
    </row>
    <row r="243">
      <c r="A243" s="5" t="s">
        <v>232</v>
      </c>
      <c r="B243" s="6">
        <f>3*IFERROR(VLOOKUP(A243,'#15 IH Results'!$A$2:$C$301,2,0),0)+2*IFERROR(VLOOKUP(A243,'#14 IH Results'!$A$2:$C$302,2,0),0)+1.5*IFERROR(VLOOKUP(A243,'#13 IH Results'!$A$2:$C$302,2,0),0)+1.25*IFERROR(VLOOKUP(A243,'#12 IH Results'!$A$2:$C$302,2,0),0)+1.25*IFERROR(VLOOKUP(A243,'#11 IH Results'!$A$2:$C$302,2,0),0)+IFERROR(VLOOKUP(A243,'#10 IH Results'!$A$2:$C$302,2,0),0)+IFERROR(VLOOKUP(A243,'#9 IH Results'!$A$2:$C$302,2,0),0)+IFERROR(VLOOKUP(A243,'#8 IH Results'!$A$2:$C$302,2,0),0)+IFERROR(VLOOKUP(A243,'#7 IH Results'!$A$2:$C$302,2,0),0)+IFERROR(VLOOKUP(A243,'#6 IH Results'!$A$2:$C$302,2,0),0)+IFERROR(VLOOKUP(A243,'#5 IH Results'!$A$2:$C$303,2,0),0)+IFERROR(VLOOKUP(A243,'#4 IH Results'!$A$2:$C$300,2,0),0)+IFERROR(VLOOKUP(A243,'#3 IH Results'!$A$2:$C$101,2,0),0)+IFERROR(VLOOKUP(A243,'#2 IH Results'!$A$2:$C$101,2,0),0)+IFERROR(VLOOKUP(A243,'#1 IH Results'!$A$2:$C$101,2,0),0)+IFERROR(VLOOKUP(A243,'#0 IH Results'!$A$3:$C$102,2,0),0)</f>
        <v>2.058873157</v>
      </c>
    </row>
    <row r="244">
      <c r="A244" s="5" t="s">
        <v>221</v>
      </c>
      <c r="B244" s="6">
        <f>3*IFERROR(VLOOKUP(A244,'#15 IH Results'!$A$2:$C$301,2,0),0)+2*IFERROR(VLOOKUP(A244,'#14 IH Results'!$A$2:$C$302,2,0),0)+1.5*IFERROR(VLOOKUP(A244,'#13 IH Results'!$A$2:$C$302,2,0),0)+1.25*IFERROR(VLOOKUP(A244,'#12 IH Results'!$A$2:$C$302,2,0),0)+1.25*IFERROR(VLOOKUP(A244,'#11 IH Results'!$A$2:$C$302,2,0),0)+IFERROR(VLOOKUP(A244,'#10 IH Results'!$A$2:$C$302,2,0),0)+IFERROR(VLOOKUP(A244,'#9 IH Results'!$A$2:$C$302,2,0),0)+IFERROR(VLOOKUP(A244,'#8 IH Results'!$A$2:$C$302,2,0),0)+IFERROR(VLOOKUP(A244,'#7 IH Results'!$A$2:$C$302,2,0),0)+IFERROR(VLOOKUP(A244,'#6 IH Results'!$A$2:$C$302,2,0),0)+IFERROR(VLOOKUP(A244,'#5 IH Results'!$A$2:$C$303,2,0),0)+IFERROR(VLOOKUP(A244,'#4 IH Results'!$A$2:$C$300,2,0),0)+IFERROR(VLOOKUP(A244,'#3 IH Results'!$A$2:$C$101,2,0),0)+IFERROR(VLOOKUP(A244,'#2 IH Results'!$A$2:$C$101,2,0),0)+IFERROR(VLOOKUP(A244,'#1 IH Results'!$A$2:$C$101,2,0),0)+IFERROR(VLOOKUP(A244,'#0 IH Results'!$A$3:$C$102,2,0),0)</f>
        <v>1.982142859</v>
      </c>
    </row>
    <row r="245">
      <c r="A245" s="5" t="s">
        <v>335</v>
      </c>
      <c r="B245" s="6">
        <f>3*IFERROR(VLOOKUP(A245,'#15 IH Results'!$A$2:$C$301,2,0),0)+2*IFERROR(VLOOKUP(A245,'#14 IH Results'!$A$2:$C$302,2,0),0)+1.5*IFERROR(VLOOKUP(A245,'#13 IH Results'!$A$2:$C$302,2,0),0)+1.25*IFERROR(VLOOKUP(A245,'#12 IH Results'!$A$2:$C$302,2,0),0)+1.25*IFERROR(VLOOKUP(A245,'#11 IH Results'!$A$2:$C$302,2,0),0)+IFERROR(VLOOKUP(A245,'#10 IH Results'!$A$2:$C$302,2,0),0)+IFERROR(VLOOKUP(A245,'#9 IH Results'!$A$2:$C$302,2,0),0)+IFERROR(VLOOKUP(A245,'#8 IH Results'!$A$2:$C$302,2,0),0)+IFERROR(VLOOKUP(A245,'#7 IH Results'!$A$2:$C$302,2,0),0)+IFERROR(VLOOKUP(A245,'#6 IH Results'!$A$2:$C$302,2,0),0)+IFERROR(VLOOKUP(A245,'#5 IH Results'!$A$2:$C$303,2,0),0)+IFERROR(VLOOKUP(A245,'#4 IH Results'!$A$2:$C$300,2,0),0)+IFERROR(VLOOKUP(A245,'#3 IH Results'!$A$2:$C$101,2,0),0)+IFERROR(VLOOKUP(A245,'#2 IH Results'!$A$2:$C$101,2,0),0)+IFERROR(VLOOKUP(A245,'#1 IH Results'!$A$2:$C$101,2,0),0)+IFERROR(VLOOKUP(A245,'#0 IH Results'!$A$3:$C$102,2,0),0)</f>
        <v>1.982142859</v>
      </c>
    </row>
    <row r="246">
      <c r="A246" s="5" t="s">
        <v>336</v>
      </c>
      <c r="B246" s="6">
        <f>3*IFERROR(VLOOKUP(A246,'#15 IH Results'!$A$2:$C$301,2,0),0)+2*IFERROR(VLOOKUP(A246,'#14 IH Results'!$A$2:$C$302,2,0),0)+1.5*IFERROR(VLOOKUP(A246,'#13 IH Results'!$A$2:$C$302,2,0),0)+1.25*IFERROR(VLOOKUP(A246,'#12 IH Results'!$A$2:$C$302,2,0),0)+1.25*IFERROR(VLOOKUP(A246,'#11 IH Results'!$A$2:$C$302,2,0),0)+IFERROR(VLOOKUP(A246,'#10 IH Results'!$A$2:$C$302,2,0),0)+IFERROR(VLOOKUP(A246,'#9 IH Results'!$A$2:$C$302,2,0),0)+IFERROR(VLOOKUP(A246,'#8 IH Results'!$A$2:$C$302,2,0),0)+IFERROR(VLOOKUP(A246,'#7 IH Results'!$A$2:$C$302,2,0),0)+IFERROR(VLOOKUP(A246,'#6 IH Results'!$A$2:$C$302,2,0),0)+IFERROR(VLOOKUP(A246,'#5 IH Results'!$A$2:$C$303,2,0),0)+IFERROR(VLOOKUP(A246,'#4 IH Results'!$A$2:$C$300,2,0),0)+IFERROR(VLOOKUP(A246,'#3 IH Results'!$A$2:$C$101,2,0),0)+IFERROR(VLOOKUP(A246,'#2 IH Results'!$A$2:$C$101,2,0),0)+IFERROR(VLOOKUP(A246,'#1 IH Results'!$A$2:$C$101,2,0),0)+IFERROR(VLOOKUP(A246,'#0 IH Results'!$A$3:$C$102,2,0),0)</f>
        <v>1.982142859</v>
      </c>
    </row>
    <row r="247">
      <c r="A247" s="5" t="s">
        <v>413</v>
      </c>
      <c r="B247" s="6">
        <f>3*IFERROR(VLOOKUP(A247,'#15 IH Results'!$A$2:$C$301,2,0),0)+2*IFERROR(VLOOKUP(A247,'#14 IH Results'!$A$2:$C$302,2,0),0)+1.5*IFERROR(VLOOKUP(A247,'#13 IH Results'!$A$2:$C$302,2,0),0)+1.25*IFERROR(VLOOKUP(A247,'#12 IH Results'!$A$2:$C$302,2,0),0)+1.25*IFERROR(VLOOKUP(A247,'#11 IH Results'!$A$2:$C$302,2,0),0)+IFERROR(VLOOKUP(A247,'#10 IH Results'!$A$2:$C$302,2,0),0)+IFERROR(VLOOKUP(A247,'#9 IH Results'!$A$2:$C$302,2,0),0)+IFERROR(VLOOKUP(A247,'#8 IH Results'!$A$2:$C$302,2,0),0)+IFERROR(VLOOKUP(A247,'#7 IH Results'!$A$2:$C$302,2,0),0)+IFERROR(VLOOKUP(A247,'#6 IH Results'!$A$2:$C$302,2,0),0)+IFERROR(VLOOKUP(A247,'#5 IH Results'!$A$2:$C$303,2,0),0)+IFERROR(VLOOKUP(A247,'#4 IH Results'!$A$2:$C$300,2,0),0)+IFERROR(VLOOKUP(A247,'#3 IH Results'!$A$2:$C$101,2,0),0)+IFERROR(VLOOKUP(A247,'#2 IH Results'!$A$2:$C$101,2,0),0)+IFERROR(VLOOKUP(A247,'#1 IH Results'!$A$2:$C$101,2,0),0)+IFERROR(VLOOKUP(A247,'#0 IH Results'!$A$3:$C$102,2,0),0)</f>
        <v>0</v>
      </c>
    </row>
    <row r="248">
      <c r="A248" s="5" t="s">
        <v>337</v>
      </c>
      <c r="B248" s="6">
        <f>3*IFERROR(VLOOKUP(A248,'#15 IH Results'!$A$2:$C$301,2,0),0)+2*IFERROR(VLOOKUP(A248,'#14 IH Results'!$A$2:$C$302,2,0),0)+1.5*IFERROR(VLOOKUP(A248,'#13 IH Results'!$A$2:$C$302,2,0),0)+1.25*IFERROR(VLOOKUP(A248,'#12 IH Results'!$A$2:$C$302,2,0),0)+1.25*IFERROR(VLOOKUP(A248,'#11 IH Results'!$A$2:$C$302,2,0),0)+IFERROR(VLOOKUP(A248,'#10 IH Results'!$A$2:$C$302,2,0),0)+IFERROR(VLOOKUP(A248,'#9 IH Results'!$A$2:$C$302,2,0),0)+IFERROR(VLOOKUP(A248,'#8 IH Results'!$A$2:$C$302,2,0),0)+IFERROR(VLOOKUP(A248,'#7 IH Results'!$A$2:$C$302,2,0),0)+IFERROR(VLOOKUP(A248,'#6 IH Results'!$A$2:$C$302,2,0),0)+IFERROR(VLOOKUP(A248,'#5 IH Results'!$A$2:$C$303,2,0),0)+IFERROR(VLOOKUP(A248,'#4 IH Results'!$A$2:$C$300,2,0),0)+IFERROR(VLOOKUP(A248,'#3 IH Results'!$A$2:$C$101,2,0),0)+IFERROR(VLOOKUP(A248,'#2 IH Results'!$A$2:$C$101,2,0),0)+IFERROR(VLOOKUP(A248,'#1 IH Results'!$A$2:$C$101,2,0),0)+IFERROR(VLOOKUP(A248,'#0 IH Results'!$A$3:$C$102,2,0),0)</f>
        <v>1.982142859</v>
      </c>
    </row>
    <row r="249">
      <c r="A249" s="5" t="s">
        <v>338</v>
      </c>
      <c r="B249" s="6">
        <f>3*IFERROR(VLOOKUP(A249,'#15 IH Results'!$A$2:$C$301,2,0),0)+2*IFERROR(VLOOKUP(A249,'#14 IH Results'!$A$2:$C$302,2,0),0)+1.5*IFERROR(VLOOKUP(A249,'#13 IH Results'!$A$2:$C$302,2,0),0)+1.25*IFERROR(VLOOKUP(A249,'#12 IH Results'!$A$2:$C$302,2,0),0)+1.25*IFERROR(VLOOKUP(A249,'#11 IH Results'!$A$2:$C$302,2,0),0)+IFERROR(VLOOKUP(A249,'#10 IH Results'!$A$2:$C$302,2,0),0)+IFERROR(VLOOKUP(A249,'#9 IH Results'!$A$2:$C$302,2,0),0)+IFERROR(VLOOKUP(A249,'#8 IH Results'!$A$2:$C$302,2,0),0)+IFERROR(VLOOKUP(A249,'#7 IH Results'!$A$2:$C$302,2,0),0)+IFERROR(VLOOKUP(A249,'#6 IH Results'!$A$2:$C$302,2,0),0)+IFERROR(VLOOKUP(A249,'#5 IH Results'!$A$2:$C$303,2,0),0)+IFERROR(VLOOKUP(A249,'#4 IH Results'!$A$2:$C$300,2,0),0)+IFERROR(VLOOKUP(A249,'#3 IH Results'!$A$2:$C$101,2,0),0)+IFERROR(VLOOKUP(A249,'#2 IH Results'!$A$2:$C$101,2,0),0)+IFERROR(VLOOKUP(A249,'#1 IH Results'!$A$2:$C$101,2,0),0)+IFERROR(VLOOKUP(A249,'#0 IH Results'!$A$3:$C$102,2,0),0)</f>
        <v>1.982142859</v>
      </c>
    </row>
    <row r="250">
      <c r="A250" s="5" t="s">
        <v>339</v>
      </c>
      <c r="B250" s="6">
        <f>3*IFERROR(VLOOKUP(A250,'#15 IH Results'!$A$2:$C$301,2,0),0)+2*IFERROR(VLOOKUP(A250,'#14 IH Results'!$A$2:$C$302,2,0),0)+1.5*IFERROR(VLOOKUP(A250,'#13 IH Results'!$A$2:$C$302,2,0),0)+1.25*IFERROR(VLOOKUP(A250,'#12 IH Results'!$A$2:$C$302,2,0),0)+1.25*IFERROR(VLOOKUP(A250,'#11 IH Results'!$A$2:$C$302,2,0),0)+IFERROR(VLOOKUP(A250,'#10 IH Results'!$A$2:$C$302,2,0),0)+IFERROR(VLOOKUP(A250,'#9 IH Results'!$A$2:$C$302,2,0),0)+IFERROR(VLOOKUP(A250,'#8 IH Results'!$A$2:$C$302,2,0),0)+IFERROR(VLOOKUP(A250,'#7 IH Results'!$A$2:$C$302,2,0),0)+IFERROR(VLOOKUP(A250,'#6 IH Results'!$A$2:$C$302,2,0),0)+IFERROR(VLOOKUP(A250,'#5 IH Results'!$A$2:$C$303,2,0),0)+IFERROR(VLOOKUP(A250,'#4 IH Results'!$A$2:$C$300,2,0),0)+IFERROR(VLOOKUP(A250,'#3 IH Results'!$A$2:$C$101,2,0),0)+IFERROR(VLOOKUP(A250,'#2 IH Results'!$A$2:$C$101,2,0),0)+IFERROR(VLOOKUP(A250,'#1 IH Results'!$A$2:$C$101,2,0),0)+IFERROR(VLOOKUP(A250,'#0 IH Results'!$A$3:$C$102,2,0),0)</f>
        <v>1.982142859</v>
      </c>
    </row>
    <row r="251">
      <c r="A251" s="5" t="s">
        <v>282</v>
      </c>
      <c r="B251" s="6">
        <f>3*IFERROR(VLOOKUP(A251,'#15 IH Results'!$A$2:$C$301,2,0),0)+2*IFERROR(VLOOKUP(A251,'#14 IH Results'!$A$2:$C$302,2,0),0)+1.5*IFERROR(VLOOKUP(A251,'#13 IH Results'!$A$2:$C$302,2,0),0)+1.25*IFERROR(VLOOKUP(A251,'#12 IH Results'!$A$2:$C$302,2,0),0)+1.25*IFERROR(VLOOKUP(A251,'#11 IH Results'!$A$2:$C$302,2,0),0)+IFERROR(VLOOKUP(A251,'#10 IH Results'!$A$2:$C$302,2,0),0)+IFERROR(VLOOKUP(A251,'#9 IH Results'!$A$2:$C$302,2,0),0)+IFERROR(VLOOKUP(A251,'#8 IH Results'!$A$2:$C$302,2,0),0)+IFERROR(VLOOKUP(A251,'#7 IH Results'!$A$2:$C$302,2,0),0)+IFERROR(VLOOKUP(A251,'#6 IH Results'!$A$2:$C$302,2,0),0)+IFERROR(VLOOKUP(A251,'#5 IH Results'!$A$2:$C$303,2,0),0)+IFERROR(VLOOKUP(A251,'#4 IH Results'!$A$2:$C$300,2,0),0)+IFERROR(VLOOKUP(A251,'#3 IH Results'!$A$2:$C$101,2,0),0)+IFERROR(VLOOKUP(A251,'#2 IH Results'!$A$2:$C$101,2,0),0)+IFERROR(VLOOKUP(A251,'#1 IH Results'!$A$2:$C$101,2,0),0)+IFERROR(VLOOKUP(A251,'#0 IH Results'!$A$3:$C$102,2,0),0)</f>
        <v>1.824412005</v>
      </c>
    </row>
    <row r="252">
      <c r="A252" s="5" t="s">
        <v>183</v>
      </c>
      <c r="B252" s="6">
        <f>3*IFERROR(VLOOKUP(A252,'#15 IH Results'!$A$2:$C$301,2,0),0)+2*IFERROR(VLOOKUP(A252,'#14 IH Results'!$A$2:$C$302,2,0),0)+1.5*IFERROR(VLOOKUP(A252,'#13 IH Results'!$A$2:$C$302,2,0),0)+1.25*IFERROR(VLOOKUP(A252,'#12 IH Results'!$A$2:$C$302,2,0),0)+1.25*IFERROR(VLOOKUP(A252,'#11 IH Results'!$A$2:$C$302,2,0),0)+IFERROR(VLOOKUP(A252,'#10 IH Results'!$A$2:$C$302,2,0),0)+IFERROR(VLOOKUP(A252,'#9 IH Results'!$A$2:$C$302,2,0),0)+IFERROR(VLOOKUP(A252,'#8 IH Results'!$A$2:$C$302,2,0),0)+IFERROR(VLOOKUP(A252,'#7 IH Results'!$A$2:$C$302,2,0),0)+IFERROR(VLOOKUP(A252,'#6 IH Results'!$A$2:$C$302,2,0),0)+IFERROR(VLOOKUP(A252,'#5 IH Results'!$A$2:$C$303,2,0),0)+IFERROR(VLOOKUP(A252,'#4 IH Results'!$A$2:$C$300,2,0),0)+IFERROR(VLOOKUP(A252,'#3 IH Results'!$A$2:$C$101,2,0),0)+IFERROR(VLOOKUP(A252,'#2 IH Results'!$A$2:$C$101,2,0),0)+IFERROR(VLOOKUP(A252,'#1 IH Results'!$A$2:$C$101,2,0),0)+IFERROR(VLOOKUP(A252,'#0 IH Results'!$A$3:$C$102,2,0),0)</f>
        <v>1.794576918</v>
      </c>
    </row>
    <row r="253">
      <c r="A253" s="5" t="s">
        <v>259</v>
      </c>
      <c r="B253" s="6">
        <f>3*IFERROR(VLOOKUP(A253,'#15 IH Results'!$A$2:$C$301,2,0),0)+2*IFERROR(VLOOKUP(A253,'#14 IH Results'!$A$2:$C$302,2,0),0)+1.5*IFERROR(VLOOKUP(A253,'#13 IH Results'!$A$2:$C$302,2,0),0)+1.25*IFERROR(VLOOKUP(A253,'#12 IH Results'!$A$2:$C$302,2,0),0)+1.25*IFERROR(VLOOKUP(A253,'#11 IH Results'!$A$2:$C$302,2,0),0)+IFERROR(VLOOKUP(A253,'#10 IH Results'!$A$2:$C$302,2,0),0)+IFERROR(VLOOKUP(A253,'#9 IH Results'!$A$2:$C$302,2,0),0)+IFERROR(VLOOKUP(A253,'#8 IH Results'!$A$2:$C$302,2,0),0)+IFERROR(VLOOKUP(A253,'#7 IH Results'!$A$2:$C$302,2,0),0)+IFERROR(VLOOKUP(A253,'#6 IH Results'!$A$2:$C$302,2,0),0)+IFERROR(VLOOKUP(A253,'#5 IH Results'!$A$2:$C$303,2,0),0)+IFERROR(VLOOKUP(A253,'#4 IH Results'!$A$2:$C$300,2,0),0)+IFERROR(VLOOKUP(A253,'#3 IH Results'!$A$2:$C$101,2,0),0)+IFERROR(VLOOKUP(A253,'#2 IH Results'!$A$2:$C$101,2,0),0)+IFERROR(VLOOKUP(A253,'#1 IH Results'!$A$2:$C$101,2,0),0)+IFERROR(VLOOKUP(A253,'#0 IH Results'!$A$3:$C$102,2,0),0)</f>
        <v>1.770730049</v>
      </c>
    </row>
    <row r="254">
      <c r="A254" s="5" t="s">
        <v>242</v>
      </c>
      <c r="B254" s="6">
        <f>3*IFERROR(VLOOKUP(A254,'#15 IH Results'!$A$2:$C$301,2,0),0)+2*IFERROR(VLOOKUP(A254,'#14 IH Results'!$A$2:$C$302,2,0),0)+1.5*IFERROR(VLOOKUP(A254,'#13 IH Results'!$A$2:$C$302,2,0),0)+1.25*IFERROR(VLOOKUP(A254,'#12 IH Results'!$A$2:$C$302,2,0),0)+1.25*IFERROR(VLOOKUP(A254,'#11 IH Results'!$A$2:$C$302,2,0),0)+IFERROR(VLOOKUP(A254,'#10 IH Results'!$A$2:$C$302,2,0),0)+IFERROR(VLOOKUP(A254,'#9 IH Results'!$A$2:$C$302,2,0),0)+IFERROR(VLOOKUP(A254,'#8 IH Results'!$A$2:$C$302,2,0),0)+IFERROR(VLOOKUP(A254,'#7 IH Results'!$A$2:$C$302,2,0),0)+IFERROR(VLOOKUP(A254,'#6 IH Results'!$A$2:$C$302,2,0),0)+IFERROR(VLOOKUP(A254,'#5 IH Results'!$A$2:$C$303,2,0),0)+IFERROR(VLOOKUP(A254,'#4 IH Results'!$A$2:$C$300,2,0),0)+IFERROR(VLOOKUP(A254,'#3 IH Results'!$A$2:$C$101,2,0),0)+IFERROR(VLOOKUP(A254,'#2 IH Results'!$A$2:$C$101,2,0),0)+IFERROR(VLOOKUP(A254,'#1 IH Results'!$A$2:$C$101,2,0),0)+IFERROR(VLOOKUP(A254,'#0 IH Results'!$A$3:$C$102,2,0),0)</f>
        <v>1.714267953</v>
      </c>
    </row>
    <row r="255">
      <c r="A255" s="7" t="s">
        <v>271</v>
      </c>
      <c r="B255" s="6">
        <f>3*IFERROR(VLOOKUP(A255,'#15 IH Results'!$A$2:$C$301,2,0),0)+2*IFERROR(VLOOKUP(A255,'#14 IH Results'!$A$2:$C$302,2,0),0)+1.5*IFERROR(VLOOKUP(A255,'#13 IH Results'!$A$2:$C$302,2,0),0)+1.25*IFERROR(VLOOKUP(A255,'#12 IH Results'!$A$2:$C$302,2,0),0)+1.25*IFERROR(VLOOKUP(A255,'#11 IH Results'!$A$2:$C$302,2,0),0)+IFERROR(VLOOKUP(A255,'#10 IH Results'!$A$2:$C$302,2,0),0)+IFERROR(VLOOKUP(A255,'#9 IH Results'!$A$2:$C$302,2,0),0)+IFERROR(VLOOKUP(A255,'#8 IH Results'!$A$2:$C$302,2,0),0)+IFERROR(VLOOKUP(A255,'#7 IH Results'!$A$2:$C$302,2,0),0)+IFERROR(VLOOKUP(A255,'#6 IH Results'!$A$2:$C$302,2,0),0)+IFERROR(VLOOKUP(A255,'#5 IH Results'!$A$2:$C$303,2,0),0)+IFERROR(VLOOKUP(A255,'#4 IH Results'!$A$2:$C$300,2,0),0)+IFERROR(VLOOKUP(A255,'#3 IH Results'!$A$2:$C$101,2,0),0)+IFERROR(VLOOKUP(A255,'#2 IH Results'!$A$2:$C$101,2,0),0)+IFERROR(VLOOKUP(A255,'#1 IH Results'!$A$2:$C$101,2,0),0)+IFERROR(VLOOKUP(A255,'#0 IH Results'!$A$3:$C$102,2,0),0)</f>
        <v>1.713803697</v>
      </c>
    </row>
    <row r="256">
      <c r="A256" s="5" t="s">
        <v>268</v>
      </c>
      <c r="B256" s="6">
        <f>3*IFERROR(VLOOKUP(A256,'#15 IH Results'!$A$2:$C$301,2,0),0)+2*IFERROR(VLOOKUP(A256,'#14 IH Results'!$A$2:$C$302,2,0),0)+1.5*IFERROR(VLOOKUP(A256,'#13 IH Results'!$A$2:$C$302,2,0),0)+1.25*IFERROR(VLOOKUP(A256,'#12 IH Results'!$A$2:$C$302,2,0),0)+1.25*IFERROR(VLOOKUP(A256,'#11 IH Results'!$A$2:$C$302,2,0),0)+IFERROR(VLOOKUP(A256,'#10 IH Results'!$A$2:$C$302,2,0),0)+IFERROR(VLOOKUP(A256,'#9 IH Results'!$A$2:$C$302,2,0),0)+IFERROR(VLOOKUP(A256,'#8 IH Results'!$A$2:$C$302,2,0),0)+IFERROR(VLOOKUP(A256,'#7 IH Results'!$A$2:$C$302,2,0),0)+IFERROR(VLOOKUP(A256,'#6 IH Results'!$A$2:$C$302,2,0),0)+IFERROR(VLOOKUP(A256,'#5 IH Results'!$A$2:$C$303,2,0),0)+IFERROR(VLOOKUP(A256,'#4 IH Results'!$A$2:$C$300,2,0),0)+IFERROR(VLOOKUP(A256,'#3 IH Results'!$A$2:$C$101,2,0),0)+IFERROR(VLOOKUP(A256,'#2 IH Results'!$A$2:$C$101,2,0),0)+IFERROR(VLOOKUP(A256,'#1 IH Results'!$A$2:$C$101,2,0),0)+IFERROR(VLOOKUP(A256,'#0 IH Results'!$A$3:$C$102,2,0),0)</f>
        <v>1.70040695</v>
      </c>
    </row>
    <row r="257">
      <c r="A257" s="128" t="s">
        <v>253</v>
      </c>
      <c r="B257" s="6">
        <f>3*IFERROR(VLOOKUP(A257,'#15 IH Results'!$A$2:$C$301,2,0),0)+2*IFERROR(VLOOKUP(A257,'#14 IH Results'!$A$2:$C$302,2,0),0)+1.5*IFERROR(VLOOKUP(A257,'#13 IH Results'!$A$2:$C$302,2,0),0)+1.25*IFERROR(VLOOKUP(A257,'#12 IH Results'!$A$2:$C$302,2,0),0)+1.25*IFERROR(VLOOKUP(A257,'#11 IH Results'!$A$2:$C$302,2,0),0)+IFERROR(VLOOKUP(A257,'#10 IH Results'!$A$2:$C$302,2,0),0)+IFERROR(VLOOKUP(A257,'#9 IH Results'!$A$2:$C$302,2,0),0)+IFERROR(VLOOKUP(A257,'#8 IH Results'!$A$2:$C$302,2,0),0)+IFERROR(VLOOKUP(A257,'#7 IH Results'!$A$2:$C$302,2,0),0)+IFERROR(VLOOKUP(A257,'#6 IH Results'!$A$2:$C$302,2,0),0)+IFERROR(VLOOKUP(A257,'#5 IH Results'!$A$2:$C$303,2,0),0)+IFERROR(VLOOKUP(A257,'#4 IH Results'!$A$2:$C$300,2,0),0)+IFERROR(VLOOKUP(A257,'#3 IH Results'!$A$2:$C$101,2,0),0)+IFERROR(VLOOKUP(A257,'#2 IH Results'!$A$2:$C$101,2,0),0)+IFERROR(VLOOKUP(A257,'#1 IH Results'!$A$2:$C$101,2,0),0)+IFERROR(VLOOKUP(A257,'#0 IH Results'!$A$3:$C$102,2,0),0)</f>
        <v>1.612069523</v>
      </c>
    </row>
    <row r="258">
      <c r="A258" s="5" t="s">
        <v>273</v>
      </c>
      <c r="B258" s="6">
        <f>3*IFERROR(VLOOKUP(A258,'#15 IH Results'!$A$2:$C$301,2,0),0)+2*IFERROR(VLOOKUP(A258,'#14 IH Results'!$A$2:$C$302,2,0),0)+1.5*IFERROR(VLOOKUP(A258,'#13 IH Results'!$A$2:$C$302,2,0),0)+1.25*IFERROR(VLOOKUP(A258,'#12 IH Results'!$A$2:$C$302,2,0),0)+1.25*IFERROR(VLOOKUP(A258,'#11 IH Results'!$A$2:$C$302,2,0),0)+IFERROR(VLOOKUP(A258,'#10 IH Results'!$A$2:$C$302,2,0),0)+IFERROR(VLOOKUP(A258,'#9 IH Results'!$A$2:$C$302,2,0),0)+IFERROR(VLOOKUP(A258,'#8 IH Results'!$A$2:$C$302,2,0),0)+IFERROR(VLOOKUP(A258,'#7 IH Results'!$A$2:$C$302,2,0),0)+IFERROR(VLOOKUP(A258,'#6 IH Results'!$A$2:$C$302,2,0),0)+IFERROR(VLOOKUP(A258,'#5 IH Results'!$A$2:$C$303,2,0),0)+IFERROR(VLOOKUP(A258,'#4 IH Results'!$A$2:$C$300,2,0),0)+IFERROR(VLOOKUP(A258,'#3 IH Results'!$A$2:$C$101,2,0),0)+IFERROR(VLOOKUP(A258,'#2 IH Results'!$A$2:$C$101,2,0),0)+IFERROR(VLOOKUP(A258,'#1 IH Results'!$A$2:$C$101,2,0),0)+IFERROR(VLOOKUP(A258,'#0 IH Results'!$A$3:$C$102,2,0),0)</f>
        <v>1.584256342</v>
      </c>
    </row>
    <row r="259">
      <c r="A259" s="5" t="s">
        <v>236</v>
      </c>
      <c r="B259" s="6">
        <f>3*IFERROR(VLOOKUP(A259,'#15 IH Results'!$A$2:$C$301,2,0),0)+2*IFERROR(VLOOKUP(A259,'#14 IH Results'!$A$2:$C$302,2,0),0)+1.5*IFERROR(VLOOKUP(A259,'#13 IH Results'!$A$2:$C$302,2,0),0)+1.25*IFERROR(VLOOKUP(A259,'#12 IH Results'!$A$2:$C$302,2,0),0)+1.25*IFERROR(VLOOKUP(A259,'#11 IH Results'!$A$2:$C$302,2,0),0)+IFERROR(VLOOKUP(A259,'#10 IH Results'!$A$2:$C$302,2,0),0)+IFERROR(VLOOKUP(A259,'#9 IH Results'!$A$2:$C$302,2,0),0)+IFERROR(VLOOKUP(A259,'#8 IH Results'!$A$2:$C$302,2,0),0)+IFERROR(VLOOKUP(A259,'#7 IH Results'!$A$2:$C$302,2,0),0)+IFERROR(VLOOKUP(A259,'#6 IH Results'!$A$2:$C$302,2,0),0)+IFERROR(VLOOKUP(A259,'#5 IH Results'!$A$2:$C$303,2,0),0)+IFERROR(VLOOKUP(A259,'#4 IH Results'!$A$2:$C$300,2,0),0)+IFERROR(VLOOKUP(A259,'#3 IH Results'!$A$2:$C$101,2,0),0)+IFERROR(VLOOKUP(A259,'#2 IH Results'!$A$2:$C$101,2,0),0)+IFERROR(VLOOKUP(A259,'#1 IH Results'!$A$2:$C$101,2,0),0)+IFERROR(VLOOKUP(A259,'#0 IH Results'!$A$3:$C$102,2,0),0)</f>
        <v>1.579968795</v>
      </c>
    </row>
    <row r="260">
      <c r="A260" s="5" t="s">
        <v>257</v>
      </c>
      <c r="B260" s="6">
        <f>3*IFERROR(VLOOKUP(A260,'#15 IH Results'!$A$2:$C$301,2,0),0)+2*IFERROR(VLOOKUP(A260,'#14 IH Results'!$A$2:$C$302,2,0),0)+1.5*IFERROR(VLOOKUP(A260,'#13 IH Results'!$A$2:$C$302,2,0),0)+1.25*IFERROR(VLOOKUP(A260,'#12 IH Results'!$A$2:$C$302,2,0),0)+1.25*IFERROR(VLOOKUP(A260,'#11 IH Results'!$A$2:$C$302,2,0),0)+IFERROR(VLOOKUP(A260,'#10 IH Results'!$A$2:$C$302,2,0),0)+IFERROR(VLOOKUP(A260,'#9 IH Results'!$A$2:$C$302,2,0),0)+IFERROR(VLOOKUP(A260,'#8 IH Results'!$A$2:$C$302,2,0),0)+IFERROR(VLOOKUP(A260,'#7 IH Results'!$A$2:$C$302,2,0),0)+IFERROR(VLOOKUP(A260,'#6 IH Results'!$A$2:$C$302,2,0),0)+IFERROR(VLOOKUP(A260,'#5 IH Results'!$A$2:$C$303,2,0),0)+IFERROR(VLOOKUP(A260,'#4 IH Results'!$A$2:$C$300,2,0),0)+IFERROR(VLOOKUP(A260,'#3 IH Results'!$A$2:$C$101,2,0),0)+IFERROR(VLOOKUP(A260,'#2 IH Results'!$A$2:$C$101,2,0),0)+IFERROR(VLOOKUP(A260,'#1 IH Results'!$A$2:$C$101,2,0),0)+IFERROR(VLOOKUP(A260,'#0 IH Results'!$A$3:$C$102,2,0),0)</f>
        <v>1.574501561</v>
      </c>
    </row>
    <row r="261">
      <c r="A261" s="5" t="s">
        <v>260</v>
      </c>
      <c r="B261" s="6">
        <f>3*IFERROR(VLOOKUP(A261,'#15 IH Results'!$A$2:$C$301,2,0),0)+2*IFERROR(VLOOKUP(A261,'#14 IH Results'!$A$2:$C$302,2,0),0)+1.5*IFERROR(VLOOKUP(A261,'#13 IH Results'!$A$2:$C$302,2,0),0)+1.25*IFERROR(VLOOKUP(A261,'#12 IH Results'!$A$2:$C$302,2,0),0)+1.25*IFERROR(VLOOKUP(A261,'#11 IH Results'!$A$2:$C$302,2,0),0)+IFERROR(VLOOKUP(A261,'#10 IH Results'!$A$2:$C$302,2,0),0)+IFERROR(VLOOKUP(A261,'#9 IH Results'!$A$2:$C$302,2,0),0)+IFERROR(VLOOKUP(A261,'#8 IH Results'!$A$2:$C$302,2,0),0)+IFERROR(VLOOKUP(A261,'#7 IH Results'!$A$2:$C$302,2,0),0)+IFERROR(VLOOKUP(A261,'#6 IH Results'!$A$2:$C$302,2,0),0)+IFERROR(VLOOKUP(A261,'#5 IH Results'!$A$2:$C$303,2,0),0)+IFERROR(VLOOKUP(A261,'#4 IH Results'!$A$2:$C$300,2,0),0)+IFERROR(VLOOKUP(A261,'#3 IH Results'!$A$2:$C$101,2,0),0)+IFERROR(VLOOKUP(A261,'#2 IH Results'!$A$2:$C$101,2,0),0)+IFERROR(VLOOKUP(A261,'#1 IH Results'!$A$2:$C$101,2,0),0)+IFERROR(VLOOKUP(A261,'#0 IH Results'!$A$3:$C$102,2,0),0)</f>
        <v>1.524263172</v>
      </c>
    </row>
    <row r="262">
      <c r="A262" s="5" t="s">
        <v>261</v>
      </c>
      <c r="B262" s="6">
        <f>3*IFERROR(VLOOKUP(A262,'#15 IH Results'!$A$2:$C$301,2,0),0)+2*IFERROR(VLOOKUP(A262,'#14 IH Results'!$A$2:$C$302,2,0),0)+1.5*IFERROR(VLOOKUP(A262,'#13 IH Results'!$A$2:$C$302,2,0),0)+1.25*IFERROR(VLOOKUP(A262,'#12 IH Results'!$A$2:$C$302,2,0),0)+1.25*IFERROR(VLOOKUP(A262,'#11 IH Results'!$A$2:$C$302,2,0),0)+IFERROR(VLOOKUP(A262,'#10 IH Results'!$A$2:$C$302,2,0),0)+IFERROR(VLOOKUP(A262,'#9 IH Results'!$A$2:$C$302,2,0),0)+IFERROR(VLOOKUP(A262,'#8 IH Results'!$A$2:$C$302,2,0),0)+IFERROR(VLOOKUP(A262,'#7 IH Results'!$A$2:$C$302,2,0),0)+IFERROR(VLOOKUP(A262,'#6 IH Results'!$A$2:$C$302,2,0),0)+IFERROR(VLOOKUP(A262,'#5 IH Results'!$A$2:$C$303,2,0),0)+IFERROR(VLOOKUP(A262,'#4 IH Results'!$A$2:$C$300,2,0),0)+IFERROR(VLOOKUP(A262,'#3 IH Results'!$A$2:$C$101,2,0),0)+IFERROR(VLOOKUP(A262,'#2 IH Results'!$A$2:$C$101,2,0),0)+IFERROR(VLOOKUP(A262,'#1 IH Results'!$A$2:$C$101,2,0),0)+IFERROR(VLOOKUP(A262,'#0 IH Results'!$A$3:$C$102,2,0),0)</f>
        <v>1.524263172</v>
      </c>
    </row>
    <row r="263">
      <c r="A263" s="5" t="s">
        <v>262</v>
      </c>
      <c r="B263" s="6">
        <f>3*IFERROR(VLOOKUP(A263,'#15 IH Results'!$A$2:$C$301,2,0),0)+2*IFERROR(VLOOKUP(A263,'#14 IH Results'!$A$2:$C$302,2,0),0)+1.5*IFERROR(VLOOKUP(A263,'#13 IH Results'!$A$2:$C$302,2,0),0)+1.25*IFERROR(VLOOKUP(A263,'#12 IH Results'!$A$2:$C$302,2,0),0)+1.25*IFERROR(VLOOKUP(A263,'#11 IH Results'!$A$2:$C$302,2,0),0)+IFERROR(VLOOKUP(A263,'#10 IH Results'!$A$2:$C$302,2,0),0)+IFERROR(VLOOKUP(A263,'#9 IH Results'!$A$2:$C$302,2,0),0)+IFERROR(VLOOKUP(A263,'#8 IH Results'!$A$2:$C$302,2,0),0)+IFERROR(VLOOKUP(A263,'#7 IH Results'!$A$2:$C$302,2,0),0)+IFERROR(VLOOKUP(A263,'#6 IH Results'!$A$2:$C$302,2,0),0)+IFERROR(VLOOKUP(A263,'#5 IH Results'!$A$2:$C$303,2,0),0)+IFERROR(VLOOKUP(A263,'#4 IH Results'!$A$2:$C$300,2,0),0)+IFERROR(VLOOKUP(A263,'#3 IH Results'!$A$2:$C$101,2,0),0)+IFERROR(VLOOKUP(A263,'#2 IH Results'!$A$2:$C$101,2,0),0)+IFERROR(VLOOKUP(A263,'#1 IH Results'!$A$2:$C$101,2,0),0)+IFERROR(VLOOKUP(A263,'#0 IH Results'!$A$3:$C$102,2,0),0)</f>
        <v>1.48536555</v>
      </c>
    </row>
    <row r="264">
      <c r="A264" s="5" t="s">
        <v>272</v>
      </c>
      <c r="B264" s="6">
        <f>3*IFERROR(VLOOKUP(A264,'#15 IH Results'!$A$2:$C$301,2,0),0)+2*IFERROR(VLOOKUP(A264,'#14 IH Results'!$A$2:$C$302,2,0),0)+1.5*IFERROR(VLOOKUP(A264,'#13 IH Results'!$A$2:$C$302,2,0),0)+1.25*IFERROR(VLOOKUP(A264,'#12 IH Results'!$A$2:$C$302,2,0),0)+1.25*IFERROR(VLOOKUP(A264,'#11 IH Results'!$A$2:$C$302,2,0),0)+IFERROR(VLOOKUP(A264,'#10 IH Results'!$A$2:$C$302,2,0),0)+IFERROR(VLOOKUP(A264,'#9 IH Results'!$A$2:$C$302,2,0),0)+IFERROR(VLOOKUP(A264,'#8 IH Results'!$A$2:$C$302,2,0),0)+IFERROR(VLOOKUP(A264,'#7 IH Results'!$A$2:$C$302,2,0),0)+IFERROR(VLOOKUP(A264,'#6 IH Results'!$A$2:$C$302,2,0),0)+IFERROR(VLOOKUP(A264,'#5 IH Results'!$A$2:$C$303,2,0),0)+IFERROR(VLOOKUP(A264,'#4 IH Results'!$A$2:$C$300,2,0),0)+IFERROR(VLOOKUP(A264,'#3 IH Results'!$A$2:$C$101,2,0),0)+IFERROR(VLOOKUP(A264,'#2 IH Results'!$A$2:$C$101,2,0),0)+IFERROR(VLOOKUP(A264,'#1 IH Results'!$A$2:$C$101,2,0),0)+IFERROR(VLOOKUP(A264,'#0 IH Results'!$A$3:$C$102,2,0),0)</f>
        <v>1.290409085</v>
      </c>
    </row>
    <row r="265">
      <c r="A265" s="7" t="s">
        <v>125</v>
      </c>
      <c r="B265" s="6">
        <f>3*IFERROR(VLOOKUP(A265,'#15 IH Results'!$A$2:$C$301,2,0),0)+2*IFERROR(VLOOKUP(A265,'#14 IH Results'!$A$2:$C$302,2,0),0)+1.5*IFERROR(VLOOKUP(A265,'#13 IH Results'!$A$2:$C$302,2,0),0)+1.25*IFERROR(VLOOKUP(A265,'#12 IH Results'!$A$2:$C$302,2,0),0)+1.25*IFERROR(VLOOKUP(A265,'#11 IH Results'!$A$2:$C$302,2,0),0)+IFERROR(VLOOKUP(A265,'#10 IH Results'!$A$2:$C$302,2,0),0)+IFERROR(VLOOKUP(A265,'#9 IH Results'!$A$2:$C$302,2,0),0)+IFERROR(VLOOKUP(A265,'#8 IH Results'!$A$2:$C$302,2,0),0)+IFERROR(VLOOKUP(A265,'#7 IH Results'!$A$2:$C$302,2,0),0)+IFERROR(VLOOKUP(A265,'#6 IH Results'!$A$2:$C$302,2,0),0)+IFERROR(VLOOKUP(A265,'#5 IH Results'!$A$2:$C$303,2,0),0)+IFERROR(VLOOKUP(A265,'#4 IH Results'!$A$2:$C$300,2,0),0)+IFERROR(VLOOKUP(A265,'#3 IH Results'!$A$2:$C$101,2,0),0)+IFERROR(VLOOKUP(A265,'#2 IH Results'!$A$2:$C$101,2,0),0)+IFERROR(VLOOKUP(A265,'#1 IH Results'!$A$2:$C$101,2,0),0)+IFERROR(VLOOKUP(A265,'#0 IH Results'!$A$3:$C$102,2,0),0)</f>
        <v>17.82654251</v>
      </c>
    </row>
    <row r="266">
      <c r="A266" s="5" t="s">
        <v>307</v>
      </c>
      <c r="B266" s="6">
        <f>3*IFERROR(VLOOKUP(A266,'#15 IH Results'!$A$2:$C$301,2,0),0)+2*IFERROR(VLOOKUP(A266,'#14 IH Results'!$A$2:$C$302,2,0),0)+1.5*IFERROR(VLOOKUP(A266,'#13 IH Results'!$A$2:$C$302,2,0),0)+1.25*IFERROR(VLOOKUP(A266,'#12 IH Results'!$A$2:$C$302,2,0),0)+1.25*IFERROR(VLOOKUP(A266,'#11 IH Results'!$A$2:$C$302,2,0),0)+IFERROR(VLOOKUP(A266,'#10 IH Results'!$A$2:$C$302,2,0),0)+IFERROR(VLOOKUP(A266,'#9 IH Results'!$A$2:$C$302,2,0),0)+IFERROR(VLOOKUP(A266,'#8 IH Results'!$A$2:$C$302,2,0),0)+IFERROR(VLOOKUP(A266,'#7 IH Results'!$A$2:$C$302,2,0),0)+IFERROR(VLOOKUP(A266,'#6 IH Results'!$A$2:$C$302,2,0),0)+IFERROR(VLOOKUP(A266,'#5 IH Results'!$A$2:$C$303,2,0),0)+IFERROR(VLOOKUP(A266,'#4 IH Results'!$A$2:$C$300,2,0),0)+IFERROR(VLOOKUP(A266,'#3 IH Results'!$A$2:$C$101,2,0),0)+IFERROR(VLOOKUP(A266,'#2 IH Results'!$A$2:$C$101,2,0),0)+IFERROR(VLOOKUP(A266,'#1 IH Results'!$A$2:$C$101,2,0),0)+IFERROR(VLOOKUP(A266,'#0 IH Results'!$A$3:$C$102,2,0),0)</f>
        <v>1.259735847</v>
      </c>
    </row>
    <row r="267">
      <c r="A267" s="5" t="s">
        <v>308</v>
      </c>
      <c r="B267" s="6">
        <f>3*IFERROR(VLOOKUP(A267,'#15 IH Results'!$A$2:$C$301,2,0),0)+2*IFERROR(VLOOKUP(A267,'#14 IH Results'!$A$2:$C$302,2,0),0)+1.5*IFERROR(VLOOKUP(A267,'#13 IH Results'!$A$2:$C$302,2,0),0)+1.25*IFERROR(VLOOKUP(A267,'#12 IH Results'!$A$2:$C$302,2,0),0)+1.25*IFERROR(VLOOKUP(A267,'#11 IH Results'!$A$2:$C$302,2,0),0)+IFERROR(VLOOKUP(A267,'#10 IH Results'!$A$2:$C$302,2,0),0)+IFERROR(VLOOKUP(A267,'#9 IH Results'!$A$2:$C$302,2,0),0)+IFERROR(VLOOKUP(A267,'#8 IH Results'!$A$2:$C$302,2,0),0)+IFERROR(VLOOKUP(A267,'#7 IH Results'!$A$2:$C$302,2,0),0)+IFERROR(VLOOKUP(A267,'#6 IH Results'!$A$2:$C$302,2,0),0)+IFERROR(VLOOKUP(A267,'#5 IH Results'!$A$2:$C$303,2,0),0)+IFERROR(VLOOKUP(A267,'#4 IH Results'!$A$2:$C$300,2,0),0)+IFERROR(VLOOKUP(A267,'#3 IH Results'!$A$2:$C$101,2,0),0)+IFERROR(VLOOKUP(A267,'#2 IH Results'!$A$2:$C$101,2,0),0)+IFERROR(VLOOKUP(A267,'#1 IH Results'!$A$2:$C$101,2,0),0)+IFERROR(VLOOKUP(A267,'#0 IH Results'!$A$3:$C$102,2,0),0)</f>
        <v>1.259735847</v>
      </c>
    </row>
    <row r="268">
      <c r="A268" s="5" t="s">
        <v>235</v>
      </c>
      <c r="B268" s="6">
        <f>3*IFERROR(VLOOKUP(A268,'#15 IH Results'!$A$2:$C$301,2,0),0)+2*IFERROR(VLOOKUP(A268,'#14 IH Results'!$A$2:$C$302,2,0),0)+1.5*IFERROR(VLOOKUP(A268,'#13 IH Results'!$A$2:$C$302,2,0),0)+1.25*IFERROR(VLOOKUP(A268,'#12 IH Results'!$A$2:$C$302,2,0),0)+1.25*IFERROR(VLOOKUP(A268,'#11 IH Results'!$A$2:$C$302,2,0),0)+IFERROR(VLOOKUP(A268,'#10 IH Results'!$A$2:$C$302,2,0),0)+IFERROR(VLOOKUP(A268,'#9 IH Results'!$A$2:$C$302,2,0),0)+IFERROR(VLOOKUP(A268,'#8 IH Results'!$A$2:$C$302,2,0),0)+IFERROR(VLOOKUP(A268,'#7 IH Results'!$A$2:$C$302,2,0),0)+IFERROR(VLOOKUP(A268,'#6 IH Results'!$A$2:$C$302,2,0),0)+IFERROR(VLOOKUP(A268,'#5 IH Results'!$A$2:$C$303,2,0),0)+IFERROR(VLOOKUP(A268,'#4 IH Results'!$A$2:$C$300,2,0),0)+IFERROR(VLOOKUP(A268,'#3 IH Results'!$A$2:$C$101,2,0),0)+IFERROR(VLOOKUP(A268,'#2 IH Results'!$A$2:$C$101,2,0),0)+IFERROR(VLOOKUP(A268,'#1 IH Results'!$A$2:$C$101,2,0),0)+IFERROR(VLOOKUP(A268,'#0 IH Results'!$A$3:$C$102,2,0),0)</f>
        <v>1.230846348</v>
      </c>
    </row>
    <row r="269">
      <c r="A269" s="5" t="s">
        <v>313</v>
      </c>
      <c r="B269" s="6">
        <f>3*IFERROR(VLOOKUP(A269,'#15 IH Results'!$A$2:$C$301,2,0),0)+2*IFERROR(VLOOKUP(A269,'#14 IH Results'!$A$2:$C$302,2,0),0)+1.5*IFERROR(VLOOKUP(A269,'#13 IH Results'!$A$2:$C$302,2,0),0)+1.25*IFERROR(VLOOKUP(A269,'#12 IH Results'!$A$2:$C$302,2,0),0)+1.25*IFERROR(VLOOKUP(A269,'#11 IH Results'!$A$2:$C$302,2,0),0)+IFERROR(VLOOKUP(A269,'#10 IH Results'!$A$2:$C$302,2,0),0)+IFERROR(VLOOKUP(A269,'#9 IH Results'!$A$2:$C$302,2,0),0)+IFERROR(VLOOKUP(A269,'#8 IH Results'!$A$2:$C$302,2,0),0)+IFERROR(VLOOKUP(A269,'#7 IH Results'!$A$2:$C$302,2,0),0)+IFERROR(VLOOKUP(A269,'#6 IH Results'!$A$2:$C$302,2,0),0)+IFERROR(VLOOKUP(A269,'#5 IH Results'!$A$2:$C$303,2,0),0)+IFERROR(VLOOKUP(A269,'#4 IH Results'!$A$2:$C$300,2,0),0)+IFERROR(VLOOKUP(A269,'#3 IH Results'!$A$2:$C$101,2,0),0)+IFERROR(VLOOKUP(A269,'#2 IH Results'!$A$2:$C$101,2,0),0)+IFERROR(VLOOKUP(A269,'#1 IH Results'!$A$2:$C$101,2,0),0)+IFERROR(VLOOKUP(A269,'#0 IH Results'!$A$3:$C$102,2,0),0)</f>
        <v>1.225565213</v>
      </c>
    </row>
    <row r="270">
      <c r="A270" s="131" t="s">
        <v>166</v>
      </c>
      <c r="B270" s="6">
        <f>3*IFERROR(VLOOKUP(A270,'#15 IH Results'!$A$2:$C$301,2,0),0)+2*IFERROR(VLOOKUP(A270,'#14 IH Results'!$A$2:$C$302,2,0),0)+1.5*IFERROR(VLOOKUP(A270,'#13 IH Results'!$A$2:$C$302,2,0),0)+1.25*IFERROR(VLOOKUP(A270,'#12 IH Results'!$A$2:$C$302,2,0),0)+1.25*IFERROR(VLOOKUP(A270,'#11 IH Results'!$A$2:$C$302,2,0),0)+IFERROR(VLOOKUP(A270,'#10 IH Results'!$A$2:$C$302,2,0),0)+IFERROR(VLOOKUP(A270,'#9 IH Results'!$A$2:$C$302,2,0),0)+IFERROR(VLOOKUP(A270,'#8 IH Results'!$A$2:$C$302,2,0),0)+IFERROR(VLOOKUP(A270,'#7 IH Results'!$A$2:$C$302,2,0),0)+IFERROR(VLOOKUP(A270,'#6 IH Results'!$A$2:$C$302,2,0),0)+IFERROR(VLOOKUP(A270,'#5 IH Results'!$A$2:$C$303,2,0),0)+IFERROR(VLOOKUP(A270,'#4 IH Results'!$A$2:$C$300,2,0),0)+IFERROR(VLOOKUP(A270,'#3 IH Results'!$A$2:$C$101,2,0),0)+IFERROR(VLOOKUP(A270,'#2 IH Results'!$A$2:$C$101,2,0),0)+IFERROR(VLOOKUP(A270,'#1 IH Results'!$A$2:$C$101,2,0),0)+IFERROR(VLOOKUP(A270,'#0 IH Results'!$A$3:$C$102,2,0),0)</f>
        <v>1.17916909</v>
      </c>
    </row>
    <row r="271">
      <c r="A271" s="16" t="s">
        <v>283</v>
      </c>
      <c r="B271" s="6">
        <f>3*IFERROR(VLOOKUP(A271,'#15 IH Results'!$A$2:$C$301,2,0),0)+2*IFERROR(VLOOKUP(A271,'#14 IH Results'!$A$2:$C$302,2,0),0)+1.5*IFERROR(VLOOKUP(A271,'#13 IH Results'!$A$2:$C$302,2,0),0)+1.25*IFERROR(VLOOKUP(A271,'#12 IH Results'!$A$2:$C$302,2,0),0)+1.25*IFERROR(VLOOKUP(A271,'#11 IH Results'!$A$2:$C$302,2,0),0)+IFERROR(VLOOKUP(A271,'#10 IH Results'!$A$2:$C$302,2,0),0)+IFERROR(VLOOKUP(A271,'#9 IH Results'!$A$2:$C$302,2,0),0)+IFERROR(VLOOKUP(A271,'#8 IH Results'!$A$2:$C$302,2,0),0)+IFERROR(VLOOKUP(A271,'#7 IH Results'!$A$2:$C$302,2,0),0)+IFERROR(VLOOKUP(A271,'#6 IH Results'!$A$2:$C$302,2,0),0)+IFERROR(VLOOKUP(A271,'#5 IH Results'!$A$2:$C$303,2,0),0)+IFERROR(VLOOKUP(A271,'#4 IH Results'!$A$2:$C$300,2,0),0)+IFERROR(VLOOKUP(A271,'#3 IH Results'!$A$2:$C$101,2,0),0)+IFERROR(VLOOKUP(A271,'#2 IH Results'!$A$2:$C$101,2,0),0)+IFERROR(VLOOKUP(A271,'#1 IH Results'!$A$2:$C$101,2,0),0)+IFERROR(VLOOKUP(A271,'#0 IH Results'!$A$3:$C$102,2,0),0)</f>
        <v>1.139267953</v>
      </c>
    </row>
    <row r="272">
      <c r="A272" s="16" t="s">
        <v>284</v>
      </c>
      <c r="B272" s="6">
        <f>3*IFERROR(VLOOKUP(A272,'#15 IH Results'!$A$2:$C$301,2,0),0)+2*IFERROR(VLOOKUP(A272,'#14 IH Results'!$A$2:$C$302,2,0),0)+1.5*IFERROR(VLOOKUP(A272,'#13 IH Results'!$A$2:$C$302,2,0),0)+1.25*IFERROR(VLOOKUP(A272,'#12 IH Results'!$A$2:$C$302,2,0),0)+1.25*IFERROR(VLOOKUP(A272,'#11 IH Results'!$A$2:$C$302,2,0),0)+IFERROR(VLOOKUP(A272,'#10 IH Results'!$A$2:$C$302,2,0),0)+IFERROR(VLOOKUP(A272,'#9 IH Results'!$A$2:$C$302,2,0),0)+IFERROR(VLOOKUP(A272,'#8 IH Results'!$A$2:$C$302,2,0),0)+IFERROR(VLOOKUP(A272,'#7 IH Results'!$A$2:$C$302,2,0),0)+IFERROR(VLOOKUP(A272,'#6 IH Results'!$A$2:$C$302,2,0),0)+IFERROR(VLOOKUP(A272,'#5 IH Results'!$A$2:$C$303,2,0),0)+IFERROR(VLOOKUP(A272,'#4 IH Results'!$A$2:$C$300,2,0),0)+IFERROR(VLOOKUP(A272,'#3 IH Results'!$A$2:$C$101,2,0),0)+IFERROR(VLOOKUP(A272,'#2 IH Results'!$A$2:$C$101,2,0),0)+IFERROR(VLOOKUP(A272,'#1 IH Results'!$A$2:$C$101,2,0),0)+IFERROR(VLOOKUP(A272,'#0 IH Results'!$A$3:$C$102,2,0),0)</f>
        <v>1.137085788</v>
      </c>
    </row>
    <row r="273">
      <c r="A273" s="16" t="s">
        <v>251</v>
      </c>
      <c r="B273" s="6">
        <f>3*IFERROR(VLOOKUP(A273,'#15 IH Results'!$A$2:$C$301,2,0),0)+2*IFERROR(VLOOKUP(A273,'#14 IH Results'!$A$2:$C$302,2,0),0)+1.5*IFERROR(VLOOKUP(A273,'#13 IH Results'!$A$2:$C$302,2,0),0)+1.25*IFERROR(VLOOKUP(A273,'#12 IH Results'!$A$2:$C$302,2,0),0)+1.25*IFERROR(VLOOKUP(A273,'#11 IH Results'!$A$2:$C$302,2,0),0)+IFERROR(VLOOKUP(A273,'#10 IH Results'!$A$2:$C$302,2,0),0)+IFERROR(VLOOKUP(A273,'#9 IH Results'!$A$2:$C$302,2,0),0)+IFERROR(VLOOKUP(A273,'#8 IH Results'!$A$2:$C$302,2,0),0)+IFERROR(VLOOKUP(A273,'#7 IH Results'!$A$2:$C$302,2,0),0)+IFERROR(VLOOKUP(A273,'#6 IH Results'!$A$2:$C$302,2,0),0)+IFERROR(VLOOKUP(A273,'#5 IH Results'!$A$2:$C$303,2,0),0)+IFERROR(VLOOKUP(A273,'#4 IH Results'!$A$2:$C$300,2,0),0)+IFERROR(VLOOKUP(A273,'#3 IH Results'!$A$2:$C$101,2,0),0)+IFERROR(VLOOKUP(A273,'#2 IH Results'!$A$2:$C$101,2,0),0)+IFERROR(VLOOKUP(A273,'#1 IH Results'!$A$2:$C$101,2,0),0)+IFERROR(VLOOKUP(A273,'#0 IH Results'!$A$3:$C$102,2,0),0)</f>
        <v>1.114092397</v>
      </c>
    </row>
    <row r="274">
      <c r="A274" s="16" t="s">
        <v>366</v>
      </c>
      <c r="B274" s="6">
        <f>3*IFERROR(VLOOKUP(A274,'#15 IH Results'!$A$2:$C$301,2,0),0)+2*IFERROR(VLOOKUP(A274,'#14 IH Results'!$A$2:$C$302,2,0),0)+1.5*IFERROR(VLOOKUP(A274,'#13 IH Results'!$A$2:$C$302,2,0),0)+1.25*IFERROR(VLOOKUP(A274,'#12 IH Results'!$A$2:$C$302,2,0),0)+1.25*IFERROR(VLOOKUP(A274,'#11 IH Results'!$A$2:$C$302,2,0),0)+IFERROR(VLOOKUP(A274,'#10 IH Results'!$A$2:$C$302,2,0),0)+IFERROR(VLOOKUP(A274,'#9 IH Results'!$A$2:$C$302,2,0),0)+IFERROR(VLOOKUP(A274,'#8 IH Results'!$A$2:$C$302,2,0),0)+IFERROR(VLOOKUP(A274,'#7 IH Results'!$A$2:$C$302,2,0),0)+IFERROR(VLOOKUP(A274,'#6 IH Results'!$A$2:$C$302,2,0),0)+IFERROR(VLOOKUP(A274,'#5 IH Results'!$A$2:$C$303,2,0),0)+IFERROR(VLOOKUP(A274,'#4 IH Results'!$A$2:$C$300,2,0),0)+IFERROR(VLOOKUP(A274,'#3 IH Results'!$A$2:$C$101,2,0),0)+IFERROR(VLOOKUP(A274,'#2 IH Results'!$A$2:$C$101,2,0),0)+IFERROR(VLOOKUP(A274,'#1 IH Results'!$A$2:$C$101,2,0),0)+IFERROR(VLOOKUP(A274,'#0 IH Results'!$A$3:$C$102,2,0),0)</f>
        <v>1.114092397</v>
      </c>
    </row>
    <row r="275">
      <c r="A275" s="16" t="s">
        <v>277</v>
      </c>
      <c r="B275" s="6">
        <f>3*IFERROR(VLOOKUP(A275,'#15 IH Results'!$A$2:$C$301,2,0),0)+2*IFERROR(VLOOKUP(A275,'#14 IH Results'!$A$2:$C$302,2,0),0)+1.5*IFERROR(VLOOKUP(A275,'#13 IH Results'!$A$2:$C$302,2,0),0)+1.25*IFERROR(VLOOKUP(A275,'#12 IH Results'!$A$2:$C$302,2,0),0)+1.25*IFERROR(VLOOKUP(A275,'#11 IH Results'!$A$2:$C$302,2,0),0)+IFERROR(VLOOKUP(A275,'#10 IH Results'!$A$2:$C$302,2,0),0)+IFERROR(VLOOKUP(A275,'#9 IH Results'!$A$2:$C$302,2,0),0)+IFERROR(VLOOKUP(A275,'#8 IH Results'!$A$2:$C$302,2,0),0)+IFERROR(VLOOKUP(A275,'#7 IH Results'!$A$2:$C$302,2,0),0)+IFERROR(VLOOKUP(A275,'#6 IH Results'!$A$2:$C$302,2,0),0)+IFERROR(VLOOKUP(A275,'#5 IH Results'!$A$2:$C$303,2,0),0)+IFERROR(VLOOKUP(A275,'#4 IH Results'!$A$2:$C$300,2,0),0)+IFERROR(VLOOKUP(A275,'#3 IH Results'!$A$2:$C$101,2,0),0)+IFERROR(VLOOKUP(A275,'#2 IH Results'!$A$2:$C$101,2,0),0)+IFERROR(VLOOKUP(A275,'#1 IH Results'!$A$2:$C$101,2,0),0)+IFERROR(VLOOKUP(A275,'#0 IH Results'!$A$3:$C$102,2,0),0)</f>
        <v>1.114092397</v>
      </c>
    </row>
    <row r="276">
      <c r="A276" s="16" t="s">
        <v>367</v>
      </c>
      <c r="B276" s="6">
        <f>3*IFERROR(VLOOKUP(A276,'#15 IH Results'!$A$2:$C$301,2,0),0)+2*IFERROR(VLOOKUP(A276,'#14 IH Results'!$A$2:$C$302,2,0),0)+1.5*IFERROR(VLOOKUP(A276,'#13 IH Results'!$A$2:$C$302,2,0),0)+1.25*IFERROR(VLOOKUP(A276,'#12 IH Results'!$A$2:$C$302,2,0),0)+1.25*IFERROR(VLOOKUP(A276,'#11 IH Results'!$A$2:$C$302,2,0),0)+IFERROR(VLOOKUP(A276,'#10 IH Results'!$A$2:$C$302,2,0),0)+IFERROR(VLOOKUP(A276,'#9 IH Results'!$A$2:$C$302,2,0),0)+IFERROR(VLOOKUP(A276,'#8 IH Results'!$A$2:$C$302,2,0),0)+IFERROR(VLOOKUP(A276,'#7 IH Results'!$A$2:$C$302,2,0),0)+IFERROR(VLOOKUP(A276,'#6 IH Results'!$A$2:$C$302,2,0),0)+IFERROR(VLOOKUP(A276,'#5 IH Results'!$A$2:$C$303,2,0),0)+IFERROR(VLOOKUP(A276,'#4 IH Results'!$A$2:$C$300,2,0),0)+IFERROR(VLOOKUP(A276,'#3 IH Results'!$A$2:$C$101,2,0),0)+IFERROR(VLOOKUP(A276,'#2 IH Results'!$A$2:$C$101,2,0),0)+IFERROR(VLOOKUP(A276,'#1 IH Results'!$A$2:$C$101,2,0),0)+IFERROR(VLOOKUP(A276,'#0 IH Results'!$A$3:$C$102,2,0),0)</f>
        <v>1.114092397</v>
      </c>
    </row>
    <row r="277">
      <c r="A277" s="16" t="s">
        <v>240</v>
      </c>
      <c r="B277" s="6">
        <f>3*IFERROR(VLOOKUP(A277,'#15 IH Results'!$A$2:$C$301,2,0),0)+2*IFERROR(VLOOKUP(A277,'#14 IH Results'!$A$2:$C$302,2,0),0)+1.5*IFERROR(VLOOKUP(A277,'#13 IH Results'!$A$2:$C$302,2,0),0)+1.25*IFERROR(VLOOKUP(A277,'#12 IH Results'!$A$2:$C$302,2,0),0)+1.25*IFERROR(VLOOKUP(A277,'#11 IH Results'!$A$2:$C$302,2,0),0)+IFERROR(VLOOKUP(A277,'#10 IH Results'!$A$2:$C$302,2,0),0)+IFERROR(VLOOKUP(A277,'#9 IH Results'!$A$2:$C$302,2,0),0)+IFERROR(VLOOKUP(A277,'#8 IH Results'!$A$2:$C$302,2,0),0)+IFERROR(VLOOKUP(A277,'#7 IH Results'!$A$2:$C$302,2,0),0)+IFERROR(VLOOKUP(A277,'#6 IH Results'!$A$2:$C$302,2,0),0)+IFERROR(VLOOKUP(A277,'#5 IH Results'!$A$2:$C$303,2,0),0)+IFERROR(VLOOKUP(A277,'#4 IH Results'!$A$2:$C$300,2,0),0)+IFERROR(VLOOKUP(A277,'#3 IH Results'!$A$2:$C$101,2,0),0)+IFERROR(VLOOKUP(A277,'#2 IH Results'!$A$2:$C$101,2,0),0)+IFERROR(VLOOKUP(A277,'#1 IH Results'!$A$2:$C$101,2,0),0)+IFERROR(VLOOKUP(A277,'#0 IH Results'!$A$3:$C$102,2,0),0)</f>
        <v>1.114092397</v>
      </c>
    </row>
    <row r="278">
      <c r="A278" s="16" t="s">
        <v>290</v>
      </c>
      <c r="B278" s="6">
        <f>3*IFERROR(VLOOKUP(A278,'#15 IH Results'!$A$2:$C$301,2,0),0)+2*IFERROR(VLOOKUP(A278,'#14 IH Results'!$A$2:$C$302,2,0),0)+1.5*IFERROR(VLOOKUP(A278,'#13 IH Results'!$A$2:$C$302,2,0),0)+1.25*IFERROR(VLOOKUP(A278,'#12 IH Results'!$A$2:$C$302,2,0),0)+1.25*IFERROR(VLOOKUP(A278,'#11 IH Results'!$A$2:$C$302,2,0),0)+IFERROR(VLOOKUP(A278,'#10 IH Results'!$A$2:$C$302,2,0),0)+IFERROR(VLOOKUP(A278,'#9 IH Results'!$A$2:$C$302,2,0),0)+IFERROR(VLOOKUP(A278,'#8 IH Results'!$A$2:$C$302,2,0),0)+IFERROR(VLOOKUP(A278,'#7 IH Results'!$A$2:$C$302,2,0),0)+IFERROR(VLOOKUP(A278,'#6 IH Results'!$A$2:$C$302,2,0),0)+IFERROR(VLOOKUP(A278,'#5 IH Results'!$A$2:$C$303,2,0),0)+IFERROR(VLOOKUP(A278,'#4 IH Results'!$A$2:$C$300,2,0),0)+IFERROR(VLOOKUP(A278,'#3 IH Results'!$A$2:$C$101,2,0),0)+IFERROR(VLOOKUP(A278,'#2 IH Results'!$A$2:$C$101,2,0),0)+IFERROR(VLOOKUP(A278,'#1 IH Results'!$A$2:$C$101,2,0),0)+IFERROR(VLOOKUP(A278,'#0 IH Results'!$A$3:$C$102,2,0),0)</f>
        <v>1.05210528</v>
      </c>
    </row>
    <row r="279">
      <c r="A279" s="16" t="s">
        <v>294</v>
      </c>
      <c r="B279" s="6">
        <f>3*IFERROR(VLOOKUP(A279,'#15 IH Results'!$A$2:$C$301,2,0),0)+2*IFERROR(VLOOKUP(A279,'#14 IH Results'!$A$2:$C$302,2,0),0)+1.5*IFERROR(VLOOKUP(A279,'#13 IH Results'!$A$2:$C$302,2,0),0)+1.25*IFERROR(VLOOKUP(A279,'#12 IH Results'!$A$2:$C$302,2,0),0)+1.25*IFERROR(VLOOKUP(A279,'#11 IH Results'!$A$2:$C$302,2,0),0)+IFERROR(VLOOKUP(A279,'#10 IH Results'!$A$2:$C$302,2,0),0)+IFERROR(VLOOKUP(A279,'#9 IH Results'!$A$2:$C$302,2,0),0)+IFERROR(VLOOKUP(A279,'#8 IH Results'!$A$2:$C$302,2,0),0)+IFERROR(VLOOKUP(A279,'#7 IH Results'!$A$2:$C$302,2,0),0)+IFERROR(VLOOKUP(A279,'#6 IH Results'!$A$2:$C$302,2,0),0)+IFERROR(VLOOKUP(A279,'#5 IH Results'!$A$2:$C$303,2,0),0)+IFERROR(VLOOKUP(A279,'#4 IH Results'!$A$2:$C$300,2,0),0)+IFERROR(VLOOKUP(A279,'#3 IH Results'!$A$2:$C$101,2,0),0)+IFERROR(VLOOKUP(A279,'#2 IH Results'!$A$2:$C$101,2,0),0)+IFERROR(VLOOKUP(A279,'#1 IH Results'!$A$2:$C$101,2,0),0)+IFERROR(VLOOKUP(A279,'#0 IH Results'!$A$3:$C$102,2,0),0)</f>
        <v>0.9867772631</v>
      </c>
    </row>
    <row r="280">
      <c r="A280" s="16" t="s">
        <v>340</v>
      </c>
      <c r="B280" s="6">
        <f>3*IFERROR(VLOOKUP(A280,'#15 IH Results'!$A$2:$C$301,2,0),0)+2*IFERROR(VLOOKUP(A280,'#14 IH Results'!$A$2:$C$302,2,0),0)+1.5*IFERROR(VLOOKUP(A280,'#13 IH Results'!$A$2:$C$302,2,0),0)+1.25*IFERROR(VLOOKUP(A280,'#12 IH Results'!$A$2:$C$302,2,0),0)+1.25*IFERROR(VLOOKUP(A280,'#11 IH Results'!$A$2:$C$302,2,0),0)+IFERROR(VLOOKUP(A280,'#10 IH Results'!$A$2:$C$302,2,0),0)+IFERROR(VLOOKUP(A280,'#9 IH Results'!$A$2:$C$302,2,0),0)+IFERROR(VLOOKUP(A280,'#8 IH Results'!$A$2:$C$302,2,0),0)+IFERROR(VLOOKUP(A280,'#7 IH Results'!$A$2:$C$302,2,0),0)+IFERROR(VLOOKUP(A280,'#6 IH Results'!$A$2:$C$302,2,0),0)+IFERROR(VLOOKUP(A280,'#5 IH Results'!$A$2:$C$303,2,0),0)+IFERROR(VLOOKUP(A280,'#4 IH Results'!$A$2:$C$300,2,0),0)+IFERROR(VLOOKUP(A280,'#3 IH Results'!$A$2:$C$101,2,0),0)+IFERROR(VLOOKUP(A280,'#2 IH Results'!$A$2:$C$101,2,0),0)+IFERROR(VLOOKUP(A280,'#1 IH Results'!$A$2:$C$101,2,0),0)+IFERROR(VLOOKUP(A280,'#0 IH Results'!$A$3:$C$102,2,0),0)</f>
        <v>0.9729623561</v>
      </c>
    </row>
    <row r="281">
      <c r="A281" s="16" t="s">
        <v>295</v>
      </c>
      <c r="B281" s="6">
        <f>3*IFERROR(VLOOKUP(A281,'#15 IH Results'!$A$2:$C$301,2,0),0)+2*IFERROR(VLOOKUP(A281,'#14 IH Results'!$A$2:$C$302,2,0),0)+1.5*IFERROR(VLOOKUP(A281,'#13 IH Results'!$A$2:$C$302,2,0),0)+1.25*IFERROR(VLOOKUP(A281,'#12 IH Results'!$A$2:$C$302,2,0),0)+1.25*IFERROR(VLOOKUP(A281,'#11 IH Results'!$A$2:$C$302,2,0),0)+IFERROR(VLOOKUP(A281,'#10 IH Results'!$A$2:$C$302,2,0),0)+IFERROR(VLOOKUP(A281,'#9 IH Results'!$A$2:$C$302,2,0),0)+IFERROR(VLOOKUP(A281,'#8 IH Results'!$A$2:$C$302,2,0),0)+IFERROR(VLOOKUP(A281,'#7 IH Results'!$A$2:$C$302,2,0),0)+IFERROR(VLOOKUP(A281,'#6 IH Results'!$A$2:$C$302,2,0),0)+IFERROR(VLOOKUP(A281,'#5 IH Results'!$A$2:$C$303,2,0),0)+IFERROR(VLOOKUP(A281,'#4 IH Results'!$A$2:$C$300,2,0),0)+IFERROR(VLOOKUP(A281,'#3 IH Results'!$A$2:$C$101,2,0),0)+IFERROR(VLOOKUP(A281,'#2 IH Results'!$A$2:$C$101,2,0),0)+IFERROR(VLOOKUP(A281,'#1 IH Results'!$A$2:$C$101,2,0),0)+IFERROR(VLOOKUP(A281,'#0 IH Results'!$A$3:$C$102,2,0),0)</f>
        <v>0.9340066275</v>
      </c>
    </row>
    <row r="282">
      <c r="A282" s="16" t="s">
        <v>312</v>
      </c>
      <c r="B282" s="6">
        <f>3*IFERROR(VLOOKUP(A282,'#15 IH Results'!$A$2:$C$301,2,0),0)+2*IFERROR(VLOOKUP(A282,'#14 IH Results'!$A$2:$C$302,2,0),0)+1.5*IFERROR(VLOOKUP(A282,'#13 IH Results'!$A$2:$C$302,2,0),0)+1.25*IFERROR(VLOOKUP(A282,'#12 IH Results'!$A$2:$C$302,2,0),0)+1.25*IFERROR(VLOOKUP(A282,'#11 IH Results'!$A$2:$C$302,2,0),0)+IFERROR(VLOOKUP(A282,'#10 IH Results'!$A$2:$C$302,2,0),0)+IFERROR(VLOOKUP(A282,'#9 IH Results'!$A$2:$C$302,2,0),0)+IFERROR(VLOOKUP(A282,'#8 IH Results'!$A$2:$C$302,2,0),0)+IFERROR(VLOOKUP(A282,'#7 IH Results'!$A$2:$C$302,2,0),0)+IFERROR(VLOOKUP(A282,'#6 IH Results'!$A$2:$C$302,2,0),0)+IFERROR(VLOOKUP(A282,'#5 IH Results'!$A$2:$C$303,2,0),0)+IFERROR(VLOOKUP(A282,'#4 IH Results'!$A$2:$C$300,2,0),0)+IFERROR(VLOOKUP(A282,'#3 IH Results'!$A$2:$C$101,2,0),0)+IFERROR(VLOOKUP(A282,'#2 IH Results'!$A$2:$C$101,2,0),0)+IFERROR(VLOOKUP(A282,'#1 IH Results'!$A$2:$C$101,2,0),0)+IFERROR(VLOOKUP(A282,'#0 IH Results'!$A$3:$C$102,2,0),0)</f>
        <v>0.9299356373</v>
      </c>
    </row>
    <row r="283">
      <c r="A283" s="16" t="s">
        <v>298</v>
      </c>
      <c r="B283" s="6">
        <f>3*IFERROR(VLOOKUP(A283,'#15 IH Results'!$A$2:$C$301,2,0),0)+2*IFERROR(VLOOKUP(A283,'#14 IH Results'!$A$2:$C$302,2,0),0)+1.5*IFERROR(VLOOKUP(A283,'#13 IH Results'!$A$2:$C$302,2,0),0)+1.25*IFERROR(VLOOKUP(A283,'#12 IH Results'!$A$2:$C$302,2,0),0)+1.25*IFERROR(VLOOKUP(A283,'#11 IH Results'!$A$2:$C$302,2,0),0)+IFERROR(VLOOKUP(A283,'#10 IH Results'!$A$2:$C$302,2,0),0)+IFERROR(VLOOKUP(A283,'#9 IH Results'!$A$2:$C$302,2,0),0)+IFERROR(VLOOKUP(A283,'#8 IH Results'!$A$2:$C$302,2,0),0)+IFERROR(VLOOKUP(A283,'#7 IH Results'!$A$2:$C$302,2,0),0)+IFERROR(VLOOKUP(A283,'#6 IH Results'!$A$2:$C$302,2,0),0)+IFERROR(VLOOKUP(A283,'#5 IH Results'!$A$2:$C$303,2,0),0)+IFERROR(VLOOKUP(A283,'#4 IH Results'!$A$2:$C$300,2,0),0)+IFERROR(VLOOKUP(A283,'#3 IH Results'!$A$2:$C$101,2,0),0)+IFERROR(VLOOKUP(A283,'#2 IH Results'!$A$2:$C$101,2,0),0)+IFERROR(VLOOKUP(A283,'#1 IH Results'!$A$2:$C$101,2,0),0)+IFERROR(VLOOKUP(A283,'#0 IH Results'!$A$3:$C$102,2,0),0)</f>
        <v>0.9075640141</v>
      </c>
    </row>
    <row r="284">
      <c r="A284" s="16" t="s">
        <v>299</v>
      </c>
      <c r="B284" s="6">
        <f>3*IFERROR(VLOOKUP(A284,'#15 IH Results'!$A$2:$C$301,2,0),0)+2*IFERROR(VLOOKUP(A284,'#14 IH Results'!$A$2:$C$302,2,0),0)+1.5*IFERROR(VLOOKUP(A284,'#13 IH Results'!$A$2:$C$302,2,0),0)+1.25*IFERROR(VLOOKUP(A284,'#12 IH Results'!$A$2:$C$302,2,0),0)+1.25*IFERROR(VLOOKUP(A284,'#11 IH Results'!$A$2:$C$302,2,0),0)+IFERROR(VLOOKUP(A284,'#10 IH Results'!$A$2:$C$302,2,0),0)+IFERROR(VLOOKUP(A284,'#9 IH Results'!$A$2:$C$302,2,0),0)+IFERROR(VLOOKUP(A284,'#8 IH Results'!$A$2:$C$302,2,0),0)+IFERROR(VLOOKUP(A284,'#7 IH Results'!$A$2:$C$302,2,0),0)+IFERROR(VLOOKUP(A284,'#6 IH Results'!$A$2:$C$302,2,0),0)+IFERROR(VLOOKUP(A284,'#5 IH Results'!$A$2:$C$303,2,0),0)+IFERROR(VLOOKUP(A284,'#4 IH Results'!$A$2:$C$300,2,0),0)+IFERROR(VLOOKUP(A284,'#3 IH Results'!$A$2:$C$101,2,0),0)+IFERROR(VLOOKUP(A284,'#2 IH Results'!$A$2:$C$101,2,0),0)+IFERROR(VLOOKUP(A284,'#1 IH Results'!$A$2:$C$101,2,0),0)+IFERROR(VLOOKUP(A284,'#0 IH Results'!$A$3:$C$102,2,0),0)</f>
        <v>0.9040009918</v>
      </c>
    </row>
    <row r="285">
      <c r="A285" s="16" t="s">
        <v>369</v>
      </c>
      <c r="B285" s="6">
        <f>3*IFERROR(VLOOKUP(A285,'#15 IH Results'!$A$2:$C$301,2,0),0)+2*IFERROR(VLOOKUP(A285,'#14 IH Results'!$A$2:$C$302,2,0),0)+1.5*IFERROR(VLOOKUP(A285,'#13 IH Results'!$A$2:$C$302,2,0),0)+1.25*IFERROR(VLOOKUP(A285,'#12 IH Results'!$A$2:$C$302,2,0),0)+1.25*IFERROR(VLOOKUP(A285,'#11 IH Results'!$A$2:$C$302,2,0),0)+IFERROR(VLOOKUP(A285,'#10 IH Results'!$A$2:$C$302,2,0),0)+IFERROR(VLOOKUP(A285,'#9 IH Results'!$A$2:$C$302,2,0),0)+IFERROR(VLOOKUP(A285,'#8 IH Results'!$A$2:$C$302,2,0),0)+IFERROR(VLOOKUP(A285,'#7 IH Results'!$A$2:$C$302,2,0),0)+IFERROR(VLOOKUP(A285,'#6 IH Results'!$A$2:$C$302,2,0),0)+IFERROR(VLOOKUP(A285,'#5 IH Results'!$A$2:$C$303,2,0),0)+IFERROR(VLOOKUP(A285,'#4 IH Results'!$A$2:$C$300,2,0),0)+IFERROR(VLOOKUP(A285,'#3 IH Results'!$A$2:$C$101,2,0),0)+IFERROR(VLOOKUP(A285,'#2 IH Results'!$A$2:$C$101,2,0),0)+IFERROR(VLOOKUP(A285,'#1 IH Results'!$A$2:$C$101,2,0),0)+IFERROR(VLOOKUP(A285,'#0 IH Results'!$A$3:$C$102,2,0),0)</f>
        <v>0.8680504626</v>
      </c>
    </row>
    <row r="286">
      <c r="A286" s="16" t="s">
        <v>309</v>
      </c>
      <c r="B286" s="6">
        <f>3*IFERROR(VLOOKUP(A286,'#15 IH Results'!$A$2:$C$301,2,0),0)+2*IFERROR(VLOOKUP(A286,'#14 IH Results'!$A$2:$C$302,2,0),0)+1.5*IFERROR(VLOOKUP(A286,'#13 IH Results'!$A$2:$C$302,2,0),0)+1.25*IFERROR(VLOOKUP(A286,'#12 IH Results'!$A$2:$C$302,2,0),0)+1.25*IFERROR(VLOOKUP(A286,'#11 IH Results'!$A$2:$C$302,2,0),0)+IFERROR(VLOOKUP(A286,'#10 IH Results'!$A$2:$C$302,2,0),0)+IFERROR(VLOOKUP(A286,'#9 IH Results'!$A$2:$C$302,2,0),0)+IFERROR(VLOOKUP(A286,'#8 IH Results'!$A$2:$C$302,2,0),0)+IFERROR(VLOOKUP(A286,'#7 IH Results'!$A$2:$C$302,2,0),0)+IFERROR(VLOOKUP(A286,'#6 IH Results'!$A$2:$C$302,2,0),0)+IFERROR(VLOOKUP(A286,'#5 IH Results'!$A$2:$C$303,2,0),0)+IFERROR(VLOOKUP(A286,'#4 IH Results'!$A$2:$C$300,2,0),0)+IFERROR(VLOOKUP(A286,'#3 IH Results'!$A$2:$C$101,2,0),0)+IFERROR(VLOOKUP(A286,'#2 IH Results'!$A$2:$C$101,2,0),0)+IFERROR(VLOOKUP(A286,'#1 IH Results'!$A$2:$C$101,2,0),0)+IFERROR(VLOOKUP(A286,'#0 IH Results'!$A$3:$C$102,2,0),0)</f>
        <v>0.8303726279</v>
      </c>
    </row>
    <row r="287">
      <c r="A287" s="131" t="s">
        <v>314</v>
      </c>
      <c r="B287" s="6">
        <f>3*IFERROR(VLOOKUP(A287,'#15 IH Results'!$A$2:$C$301,2,0),0)+2*IFERROR(VLOOKUP(A287,'#14 IH Results'!$A$2:$C$302,2,0),0)+1.5*IFERROR(VLOOKUP(A287,'#13 IH Results'!$A$2:$C$302,2,0),0)+1.25*IFERROR(VLOOKUP(A287,'#12 IH Results'!$A$2:$C$302,2,0),0)+1.25*IFERROR(VLOOKUP(A287,'#11 IH Results'!$A$2:$C$302,2,0),0)+IFERROR(VLOOKUP(A287,'#10 IH Results'!$A$2:$C$302,2,0),0)+IFERROR(VLOOKUP(A287,'#9 IH Results'!$A$2:$C$302,2,0),0)+IFERROR(VLOOKUP(A287,'#8 IH Results'!$A$2:$C$302,2,0),0)+IFERROR(VLOOKUP(A287,'#7 IH Results'!$A$2:$C$302,2,0),0)+IFERROR(VLOOKUP(A287,'#6 IH Results'!$A$2:$C$302,2,0),0)+IFERROR(VLOOKUP(A287,'#5 IH Results'!$A$2:$C$303,2,0),0)+IFERROR(VLOOKUP(A287,'#4 IH Results'!$A$2:$C$300,2,0),0)+IFERROR(VLOOKUP(A287,'#3 IH Results'!$A$2:$C$101,2,0),0)+IFERROR(VLOOKUP(A287,'#2 IH Results'!$A$2:$C$101,2,0),0)+IFERROR(VLOOKUP(A287,'#1 IH Results'!$A$2:$C$101,2,0),0)+IFERROR(VLOOKUP(A287,'#0 IH Results'!$A$3:$C$102,2,0),0)</f>
        <v>0.8060347613</v>
      </c>
    </row>
    <row r="288">
      <c r="A288" s="16" t="s">
        <v>315</v>
      </c>
      <c r="B288" s="6">
        <f>3*IFERROR(VLOOKUP(A288,'#15 IH Results'!$A$2:$C$301,2,0),0)+2*IFERROR(VLOOKUP(A288,'#14 IH Results'!$A$2:$C$302,2,0),0)+1.5*IFERROR(VLOOKUP(A288,'#13 IH Results'!$A$2:$C$302,2,0),0)+1.25*IFERROR(VLOOKUP(A288,'#12 IH Results'!$A$2:$C$302,2,0),0)+1.25*IFERROR(VLOOKUP(A288,'#11 IH Results'!$A$2:$C$302,2,0),0)+IFERROR(VLOOKUP(A288,'#10 IH Results'!$A$2:$C$302,2,0),0)+IFERROR(VLOOKUP(A288,'#9 IH Results'!$A$2:$C$302,2,0),0)+IFERROR(VLOOKUP(A288,'#8 IH Results'!$A$2:$C$302,2,0),0)+IFERROR(VLOOKUP(A288,'#7 IH Results'!$A$2:$C$302,2,0),0)+IFERROR(VLOOKUP(A288,'#6 IH Results'!$A$2:$C$302,2,0),0)+IFERROR(VLOOKUP(A288,'#5 IH Results'!$A$2:$C$303,2,0),0)+IFERROR(VLOOKUP(A288,'#4 IH Results'!$A$2:$C$300,2,0),0)+IFERROR(VLOOKUP(A288,'#3 IH Results'!$A$2:$C$101,2,0),0)+IFERROR(VLOOKUP(A288,'#2 IH Results'!$A$2:$C$101,2,0),0)+IFERROR(VLOOKUP(A288,'#1 IH Results'!$A$2:$C$101,2,0),0)+IFERROR(VLOOKUP(A288,'#0 IH Results'!$A$3:$C$102,2,0),0)</f>
        <v>0.7967939956</v>
      </c>
    </row>
    <row r="289">
      <c r="A289" s="16" t="s">
        <v>318</v>
      </c>
      <c r="B289" s="6">
        <f>3*IFERROR(VLOOKUP(A289,'#15 IH Results'!$A$2:$C$301,2,0),0)+2*IFERROR(VLOOKUP(A289,'#14 IH Results'!$A$2:$C$302,2,0),0)+1.5*IFERROR(VLOOKUP(A289,'#13 IH Results'!$A$2:$C$302,2,0),0)+1.25*IFERROR(VLOOKUP(A289,'#12 IH Results'!$A$2:$C$302,2,0),0)+1.25*IFERROR(VLOOKUP(A289,'#11 IH Results'!$A$2:$C$302,2,0),0)+IFERROR(VLOOKUP(A289,'#10 IH Results'!$A$2:$C$302,2,0),0)+IFERROR(VLOOKUP(A289,'#9 IH Results'!$A$2:$C$302,2,0),0)+IFERROR(VLOOKUP(A289,'#8 IH Results'!$A$2:$C$302,2,0),0)+IFERROR(VLOOKUP(A289,'#7 IH Results'!$A$2:$C$302,2,0),0)+IFERROR(VLOOKUP(A289,'#6 IH Results'!$A$2:$C$302,2,0),0)+IFERROR(VLOOKUP(A289,'#5 IH Results'!$A$2:$C$303,2,0),0)+IFERROR(VLOOKUP(A289,'#4 IH Results'!$A$2:$C$300,2,0),0)+IFERROR(VLOOKUP(A289,'#3 IH Results'!$A$2:$C$101,2,0),0)+IFERROR(VLOOKUP(A289,'#2 IH Results'!$A$2:$C$101,2,0),0)+IFERROR(VLOOKUP(A289,'#1 IH Results'!$A$2:$C$101,2,0),0)+IFERROR(VLOOKUP(A289,'#0 IH Results'!$A$3:$C$102,2,0),0)</f>
        <v>0.7869732244</v>
      </c>
    </row>
    <row r="290">
      <c r="A290" s="16" t="s">
        <v>320</v>
      </c>
      <c r="B290" s="6">
        <f>3*IFERROR(VLOOKUP(A290,'#15 IH Results'!$A$2:$C$301,2,0),0)+2*IFERROR(VLOOKUP(A290,'#14 IH Results'!$A$2:$C$302,2,0),0)+1.5*IFERROR(VLOOKUP(A290,'#13 IH Results'!$A$2:$C$302,2,0),0)+1.25*IFERROR(VLOOKUP(A290,'#12 IH Results'!$A$2:$C$302,2,0),0)+1.25*IFERROR(VLOOKUP(A290,'#11 IH Results'!$A$2:$C$302,2,0),0)+IFERROR(VLOOKUP(A290,'#10 IH Results'!$A$2:$C$302,2,0),0)+IFERROR(VLOOKUP(A290,'#9 IH Results'!$A$2:$C$302,2,0),0)+IFERROR(VLOOKUP(A290,'#8 IH Results'!$A$2:$C$302,2,0),0)+IFERROR(VLOOKUP(A290,'#7 IH Results'!$A$2:$C$302,2,0),0)+IFERROR(VLOOKUP(A290,'#6 IH Results'!$A$2:$C$302,2,0),0)+IFERROR(VLOOKUP(A290,'#5 IH Results'!$A$2:$C$303,2,0),0)+IFERROR(VLOOKUP(A290,'#4 IH Results'!$A$2:$C$300,2,0),0)+IFERROR(VLOOKUP(A290,'#3 IH Results'!$A$2:$C$101,2,0),0)+IFERROR(VLOOKUP(A290,'#2 IH Results'!$A$2:$C$101,2,0),0)+IFERROR(VLOOKUP(A290,'#1 IH Results'!$A$2:$C$101,2,0),0)+IFERROR(VLOOKUP(A290,'#0 IH Results'!$A$3:$C$102,2,0),0)</f>
        <v>0.75</v>
      </c>
    </row>
    <row r="291">
      <c r="A291" s="5" t="s">
        <v>324</v>
      </c>
      <c r="B291" s="6">
        <f>3*IFERROR(VLOOKUP(A291,'#15 IH Results'!$A$2:$C$301,2,0),0)+2*IFERROR(VLOOKUP(A291,'#14 IH Results'!$A$2:$C$302,2,0),0)+1.5*IFERROR(VLOOKUP(A291,'#13 IH Results'!$A$2:$C$302,2,0),0)+1.25*IFERROR(VLOOKUP(A291,'#12 IH Results'!$A$2:$C$302,2,0),0)+1.25*IFERROR(VLOOKUP(A291,'#11 IH Results'!$A$2:$C$302,2,0),0)+IFERROR(VLOOKUP(A291,'#10 IH Results'!$A$2:$C$302,2,0),0)+IFERROR(VLOOKUP(A291,'#9 IH Results'!$A$2:$C$302,2,0),0)+IFERROR(VLOOKUP(A291,'#8 IH Results'!$A$2:$C$302,2,0),0)+IFERROR(VLOOKUP(A291,'#7 IH Results'!$A$2:$C$302,2,0),0)+IFERROR(VLOOKUP(A291,'#6 IH Results'!$A$2:$C$302,2,0),0)+IFERROR(VLOOKUP(A291,'#5 IH Results'!$A$2:$C$303,2,0),0)+IFERROR(VLOOKUP(A291,'#4 IH Results'!$A$2:$C$300,2,0),0)+IFERROR(VLOOKUP(A291,'#3 IH Results'!$A$2:$C$101,2,0),0)+IFERROR(VLOOKUP(A291,'#2 IH Results'!$A$2:$C$101,2,0),0)+IFERROR(VLOOKUP(A291,'#1 IH Results'!$A$2:$C$101,2,0),0)+IFERROR(VLOOKUP(A291,'#0 IH Results'!$A$3:$C$102,2,0),0)</f>
        <v>0.7385230508</v>
      </c>
    </row>
    <row r="292">
      <c r="A292" s="5" t="s">
        <v>325</v>
      </c>
      <c r="B292" s="6">
        <f>3*IFERROR(VLOOKUP(A292,'#15 IH Results'!$A$2:$C$301,2,0),0)+2*IFERROR(VLOOKUP(A292,'#14 IH Results'!$A$2:$C$302,2,0),0)+1.5*IFERROR(VLOOKUP(A292,'#13 IH Results'!$A$2:$C$302,2,0),0)+1.25*IFERROR(VLOOKUP(A292,'#12 IH Results'!$A$2:$C$302,2,0),0)+1.25*IFERROR(VLOOKUP(A292,'#11 IH Results'!$A$2:$C$302,2,0),0)+IFERROR(VLOOKUP(A292,'#10 IH Results'!$A$2:$C$302,2,0),0)+IFERROR(VLOOKUP(A292,'#9 IH Results'!$A$2:$C$302,2,0),0)+IFERROR(VLOOKUP(A292,'#8 IH Results'!$A$2:$C$302,2,0),0)+IFERROR(VLOOKUP(A292,'#7 IH Results'!$A$2:$C$302,2,0),0)+IFERROR(VLOOKUP(A292,'#6 IH Results'!$A$2:$C$302,2,0),0)+IFERROR(VLOOKUP(A292,'#5 IH Results'!$A$2:$C$303,2,0),0)+IFERROR(VLOOKUP(A292,'#4 IH Results'!$A$2:$C$300,2,0),0)+IFERROR(VLOOKUP(A292,'#3 IH Results'!$A$2:$C$101,2,0),0)+IFERROR(VLOOKUP(A292,'#2 IH Results'!$A$2:$C$101,2,0),0)+IFERROR(VLOOKUP(A292,'#1 IH Results'!$A$2:$C$101,2,0),0)+IFERROR(VLOOKUP(A292,'#0 IH Results'!$A$3:$C$102,2,0),0)</f>
        <v>0.7364431887</v>
      </c>
    </row>
    <row r="293">
      <c r="A293" s="5" t="s">
        <v>363</v>
      </c>
      <c r="B293" s="6">
        <f>3*IFERROR(VLOOKUP(A293,'#15 IH Results'!$A$2:$C$301,2,0),0)+2*IFERROR(VLOOKUP(A293,'#14 IH Results'!$A$2:$C$302,2,0),0)+1.5*IFERROR(VLOOKUP(A293,'#13 IH Results'!$A$2:$C$302,2,0),0)+1.25*IFERROR(VLOOKUP(A293,'#12 IH Results'!$A$2:$C$302,2,0),0)+1.25*IFERROR(VLOOKUP(A293,'#11 IH Results'!$A$2:$C$302,2,0),0)+IFERROR(VLOOKUP(A293,'#10 IH Results'!$A$2:$C$302,2,0),0)+IFERROR(VLOOKUP(A293,'#9 IH Results'!$A$2:$C$302,2,0),0)+IFERROR(VLOOKUP(A293,'#8 IH Results'!$A$2:$C$302,2,0),0)+IFERROR(VLOOKUP(A293,'#7 IH Results'!$A$2:$C$302,2,0),0)+IFERROR(VLOOKUP(A293,'#6 IH Results'!$A$2:$C$302,2,0),0)+IFERROR(VLOOKUP(A293,'#5 IH Results'!$A$2:$C$303,2,0),0)+IFERROR(VLOOKUP(A293,'#4 IH Results'!$A$2:$C$300,2,0),0)+IFERROR(VLOOKUP(A293,'#3 IH Results'!$A$2:$C$101,2,0),0)+IFERROR(VLOOKUP(A293,'#2 IH Results'!$A$2:$C$101,2,0),0)+IFERROR(VLOOKUP(A293,'#1 IH Results'!$A$2:$C$101,2,0),0)+IFERROR(VLOOKUP(A293,'#0 IH Results'!$A$3:$C$102,2,0),0)</f>
        <v>0.6354149718</v>
      </c>
    </row>
    <row r="294">
      <c r="A294" s="5" t="s">
        <v>341</v>
      </c>
      <c r="B294" s="6">
        <f>3*IFERROR(VLOOKUP(A294,'#15 IH Results'!$A$2:$C$301,2,0),0)+2*IFERROR(VLOOKUP(A294,'#14 IH Results'!$A$2:$C$302,2,0),0)+1.5*IFERROR(VLOOKUP(A294,'#13 IH Results'!$A$2:$C$302,2,0),0)+1.25*IFERROR(VLOOKUP(A294,'#12 IH Results'!$A$2:$C$302,2,0),0)+1.25*IFERROR(VLOOKUP(A294,'#11 IH Results'!$A$2:$C$302,2,0),0)+IFERROR(VLOOKUP(A294,'#10 IH Results'!$A$2:$C$302,2,0),0)+IFERROR(VLOOKUP(A294,'#9 IH Results'!$A$2:$C$302,2,0),0)+IFERROR(VLOOKUP(A294,'#8 IH Results'!$A$2:$C$302,2,0),0)+IFERROR(VLOOKUP(A294,'#7 IH Results'!$A$2:$C$302,2,0),0)+IFERROR(VLOOKUP(A294,'#6 IH Results'!$A$2:$C$302,2,0),0)+IFERROR(VLOOKUP(A294,'#5 IH Results'!$A$2:$C$303,2,0),0)+IFERROR(VLOOKUP(A294,'#4 IH Results'!$A$2:$C$300,2,0),0)+IFERROR(VLOOKUP(A294,'#3 IH Results'!$A$2:$C$101,2,0),0)+IFERROR(VLOOKUP(A294,'#2 IH Results'!$A$2:$C$101,2,0),0)+IFERROR(VLOOKUP(A294,'#1 IH Results'!$A$2:$C$101,2,0),0)+IFERROR(VLOOKUP(A294,'#0 IH Results'!$A$3:$C$102,2,0),0)</f>
        <v>0.6166991577</v>
      </c>
    </row>
    <row r="295">
      <c r="A295" s="5" t="s">
        <v>342</v>
      </c>
      <c r="B295" s="6">
        <f>3*IFERROR(VLOOKUP(A295,'#15 IH Results'!$A$2:$C$301,2,0),0)+2*IFERROR(VLOOKUP(A295,'#14 IH Results'!$A$2:$C$302,2,0),0)+1.5*IFERROR(VLOOKUP(A295,'#13 IH Results'!$A$2:$C$302,2,0),0)+1.25*IFERROR(VLOOKUP(A295,'#12 IH Results'!$A$2:$C$302,2,0),0)+1.25*IFERROR(VLOOKUP(A295,'#11 IH Results'!$A$2:$C$302,2,0),0)+IFERROR(VLOOKUP(A295,'#10 IH Results'!$A$2:$C$302,2,0),0)+IFERROR(VLOOKUP(A295,'#9 IH Results'!$A$2:$C$302,2,0),0)+IFERROR(VLOOKUP(A295,'#8 IH Results'!$A$2:$C$302,2,0),0)+IFERROR(VLOOKUP(A295,'#7 IH Results'!$A$2:$C$302,2,0),0)+IFERROR(VLOOKUP(A295,'#6 IH Results'!$A$2:$C$302,2,0),0)+IFERROR(VLOOKUP(A295,'#5 IH Results'!$A$2:$C$303,2,0),0)+IFERROR(VLOOKUP(A295,'#4 IH Results'!$A$2:$C$300,2,0),0)+IFERROR(VLOOKUP(A295,'#3 IH Results'!$A$2:$C$101,2,0),0)+IFERROR(VLOOKUP(A295,'#2 IH Results'!$A$2:$C$101,2,0),0)+IFERROR(VLOOKUP(A295,'#1 IH Results'!$A$2:$C$101,2,0),0)+IFERROR(VLOOKUP(A295,'#0 IH Results'!$A$3:$C$102,2,0),0)</f>
        <v>0.6166991577</v>
      </c>
    </row>
    <row r="296">
      <c r="A296" s="5" t="s">
        <v>343</v>
      </c>
      <c r="B296" s="6">
        <f>3*IFERROR(VLOOKUP(A296,'#15 IH Results'!$A$2:$C$301,2,0),0)+2*IFERROR(VLOOKUP(A296,'#14 IH Results'!$A$2:$C$302,2,0),0)+1.5*IFERROR(VLOOKUP(A296,'#13 IH Results'!$A$2:$C$302,2,0),0)+1.25*IFERROR(VLOOKUP(A296,'#12 IH Results'!$A$2:$C$302,2,0),0)+1.25*IFERROR(VLOOKUP(A296,'#11 IH Results'!$A$2:$C$302,2,0),0)+IFERROR(VLOOKUP(A296,'#10 IH Results'!$A$2:$C$302,2,0),0)+IFERROR(VLOOKUP(A296,'#9 IH Results'!$A$2:$C$302,2,0),0)+IFERROR(VLOOKUP(A296,'#8 IH Results'!$A$2:$C$302,2,0),0)+IFERROR(VLOOKUP(A296,'#7 IH Results'!$A$2:$C$302,2,0),0)+IFERROR(VLOOKUP(A296,'#6 IH Results'!$A$2:$C$302,2,0),0)+IFERROR(VLOOKUP(A296,'#5 IH Results'!$A$2:$C$303,2,0),0)+IFERROR(VLOOKUP(A296,'#4 IH Results'!$A$2:$C$300,2,0),0)+IFERROR(VLOOKUP(A296,'#3 IH Results'!$A$2:$C$101,2,0),0)+IFERROR(VLOOKUP(A296,'#2 IH Results'!$A$2:$C$101,2,0),0)+IFERROR(VLOOKUP(A296,'#1 IH Results'!$A$2:$C$101,2,0),0)+IFERROR(VLOOKUP(A296,'#0 IH Results'!$A$3:$C$102,2,0),0)</f>
        <v>0.6166991577</v>
      </c>
    </row>
    <row r="297">
      <c r="A297" s="5" t="s">
        <v>344</v>
      </c>
      <c r="B297" s="6">
        <f>3*IFERROR(VLOOKUP(A297,'#15 IH Results'!$A$2:$C$301,2,0),0)+2*IFERROR(VLOOKUP(A297,'#14 IH Results'!$A$2:$C$302,2,0),0)+1.5*IFERROR(VLOOKUP(A297,'#13 IH Results'!$A$2:$C$302,2,0),0)+1.25*IFERROR(VLOOKUP(A297,'#12 IH Results'!$A$2:$C$302,2,0),0)+1.25*IFERROR(VLOOKUP(A297,'#11 IH Results'!$A$2:$C$302,2,0),0)+IFERROR(VLOOKUP(A297,'#10 IH Results'!$A$2:$C$302,2,0),0)+IFERROR(VLOOKUP(A297,'#9 IH Results'!$A$2:$C$302,2,0),0)+IFERROR(VLOOKUP(A297,'#8 IH Results'!$A$2:$C$302,2,0),0)+IFERROR(VLOOKUP(A297,'#7 IH Results'!$A$2:$C$302,2,0),0)+IFERROR(VLOOKUP(A297,'#6 IH Results'!$A$2:$C$302,2,0),0)+IFERROR(VLOOKUP(A297,'#5 IH Results'!$A$2:$C$303,2,0),0)+IFERROR(VLOOKUP(A297,'#4 IH Results'!$A$2:$C$300,2,0),0)+IFERROR(VLOOKUP(A297,'#3 IH Results'!$A$2:$C$101,2,0),0)+IFERROR(VLOOKUP(A297,'#2 IH Results'!$A$2:$C$101,2,0),0)+IFERROR(VLOOKUP(A297,'#1 IH Results'!$A$2:$C$101,2,0),0)+IFERROR(VLOOKUP(A297,'#0 IH Results'!$A$3:$C$102,2,0),0)</f>
        <v>0.6166991577</v>
      </c>
    </row>
    <row r="298">
      <c r="A298" s="5" t="s">
        <v>345</v>
      </c>
      <c r="B298" s="6">
        <f>3*IFERROR(VLOOKUP(A298,'#15 IH Results'!$A$2:$C$301,2,0),0)+2*IFERROR(VLOOKUP(A298,'#14 IH Results'!$A$2:$C$302,2,0),0)+1.5*IFERROR(VLOOKUP(A298,'#13 IH Results'!$A$2:$C$302,2,0),0)+1.25*IFERROR(VLOOKUP(A298,'#12 IH Results'!$A$2:$C$302,2,0),0)+1.25*IFERROR(VLOOKUP(A298,'#11 IH Results'!$A$2:$C$302,2,0),0)+IFERROR(VLOOKUP(A298,'#10 IH Results'!$A$2:$C$302,2,0),0)+IFERROR(VLOOKUP(A298,'#9 IH Results'!$A$2:$C$302,2,0),0)+IFERROR(VLOOKUP(A298,'#8 IH Results'!$A$2:$C$302,2,0),0)+IFERROR(VLOOKUP(A298,'#7 IH Results'!$A$2:$C$302,2,0),0)+IFERROR(VLOOKUP(A298,'#6 IH Results'!$A$2:$C$302,2,0),0)+IFERROR(VLOOKUP(A298,'#5 IH Results'!$A$2:$C$303,2,0),0)+IFERROR(VLOOKUP(A298,'#4 IH Results'!$A$2:$C$300,2,0),0)+IFERROR(VLOOKUP(A298,'#3 IH Results'!$A$2:$C$101,2,0),0)+IFERROR(VLOOKUP(A298,'#2 IH Results'!$A$2:$C$101,2,0),0)+IFERROR(VLOOKUP(A298,'#1 IH Results'!$A$2:$C$101,2,0),0)+IFERROR(VLOOKUP(A298,'#0 IH Results'!$A$3:$C$102,2,0),0)</f>
        <v>0.6166991577</v>
      </c>
    </row>
    <row r="299">
      <c r="A299" s="5" t="s">
        <v>346</v>
      </c>
      <c r="B299" s="6">
        <f>3*IFERROR(VLOOKUP(A299,'#15 IH Results'!$A$2:$C$301,2,0),0)+2*IFERROR(VLOOKUP(A299,'#14 IH Results'!$A$2:$C$302,2,0),0)+1.5*IFERROR(VLOOKUP(A299,'#13 IH Results'!$A$2:$C$302,2,0),0)+1.25*IFERROR(VLOOKUP(A299,'#12 IH Results'!$A$2:$C$302,2,0),0)+1.25*IFERROR(VLOOKUP(A299,'#11 IH Results'!$A$2:$C$302,2,0),0)+IFERROR(VLOOKUP(A299,'#10 IH Results'!$A$2:$C$302,2,0),0)+IFERROR(VLOOKUP(A299,'#9 IH Results'!$A$2:$C$302,2,0),0)+IFERROR(VLOOKUP(A299,'#8 IH Results'!$A$2:$C$302,2,0),0)+IFERROR(VLOOKUP(A299,'#7 IH Results'!$A$2:$C$302,2,0),0)+IFERROR(VLOOKUP(A299,'#6 IH Results'!$A$2:$C$302,2,0),0)+IFERROR(VLOOKUP(A299,'#5 IH Results'!$A$2:$C$303,2,0),0)+IFERROR(VLOOKUP(A299,'#4 IH Results'!$A$2:$C$300,2,0),0)+IFERROR(VLOOKUP(A299,'#3 IH Results'!$A$2:$C$101,2,0),0)+IFERROR(VLOOKUP(A299,'#2 IH Results'!$A$2:$C$101,2,0),0)+IFERROR(VLOOKUP(A299,'#1 IH Results'!$A$2:$C$101,2,0),0)+IFERROR(VLOOKUP(A299,'#0 IH Results'!$A$3:$C$102,2,0),0)</f>
        <v>0.6166991577</v>
      </c>
    </row>
    <row r="300">
      <c r="A300" s="5" t="s">
        <v>347</v>
      </c>
      <c r="B300" s="6">
        <f>3*IFERROR(VLOOKUP(A300,'#15 IH Results'!$A$2:$C$301,2,0),0)+2*IFERROR(VLOOKUP(A300,'#14 IH Results'!$A$2:$C$302,2,0),0)+1.5*IFERROR(VLOOKUP(A300,'#13 IH Results'!$A$2:$C$302,2,0),0)+1.25*IFERROR(VLOOKUP(A300,'#12 IH Results'!$A$2:$C$302,2,0),0)+1.25*IFERROR(VLOOKUP(A300,'#11 IH Results'!$A$2:$C$302,2,0),0)+IFERROR(VLOOKUP(A300,'#10 IH Results'!$A$2:$C$302,2,0),0)+IFERROR(VLOOKUP(A300,'#9 IH Results'!$A$2:$C$302,2,0),0)+IFERROR(VLOOKUP(A300,'#8 IH Results'!$A$2:$C$302,2,0),0)+IFERROR(VLOOKUP(A300,'#7 IH Results'!$A$2:$C$302,2,0),0)+IFERROR(VLOOKUP(A300,'#6 IH Results'!$A$2:$C$302,2,0),0)+IFERROR(VLOOKUP(A300,'#5 IH Results'!$A$2:$C$303,2,0),0)+IFERROR(VLOOKUP(A300,'#4 IH Results'!$A$2:$C$300,2,0),0)+IFERROR(VLOOKUP(A300,'#3 IH Results'!$A$2:$C$101,2,0),0)+IFERROR(VLOOKUP(A300,'#2 IH Results'!$A$2:$C$101,2,0),0)+IFERROR(VLOOKUP(A300,'#1 IH Results'!$A$2:$C$101,2,0),0)+IFERROR(VLOOKUP(A300,'#0 IH Results'!$A$3:$C$102,2,0),0)</f>
        <v>0.6166991577</v>
      </c>
    </row>
    <row r="301">
      <c r="A301" s="5" t="s">
        <v>348</v>
      </c>
      <c r="B301" s="6">
        <f>3*IFERROR(VLOOKUP(A301,'#15 IH Results'!$A$2:$C$301,2,0),0)+2*IFERROR(VLOOKUP(A301,'#14 IH Results'!$A$2:$C$302,2,0),0)+1.5*IFERROR(VLOOKUP(A301,'#13 IH Results'!$A$2:$C$302,2,0),0)+1.25*IFERROR(VLOOKUP(A301,'#12 IH Results'!$A$2:$C$302,2,0),0)+1.25*IFERROR(VLOOKUP(A301,'#11 IH Results'!$A$2:$C$302,2,0),0)+IFERROR(VLOOKUP(A301,'#10 IH Results'!$A$2:$C$302,2,0),0)+IFERROR(VLOOKUP(A301,'#9 IH Results'!$A$2:$C$302,2,0),0)+IFERROR(VLOOKUP(A301,'#8 IH Results'!$A$2:$C$302,2,0),0)+IFERROR(VLOOKUP(A301,'#7 IH Results'!$A$2:$C$302,2,0),0)+IFERROR(VLOOKUP(A301,'#6 IH Results'!$A$2:$C$302,2,0),0)+IFERROR(VLOOKUP(A301,'#5 IH Results'!$A$2:$C$303,2,0),0)+IFERROR(VLOOKUP(A301,'#4 IH Results'!$A$2:$C$300,2,0),0)+IFERROR(VLOOKUP(A301,'#3 IH Results'!$A$2:$C$101,2,0),0)+IFERROR(VLOOKUP(A301,'#2 IH Results'!$A$2:$C$101,2,0),0)+IFERROR(VLOOKUP(A301,'#1 IH Results'!$A$2:$C$101,2,0),0)+IFERROR(VLOOKUP(A301,'#0 IH Results'!$A$3:$C$102,2,0),0)</f>
        <v>0.6166991577</v>
      </c>
    </row>
    <row r="302">
      <c r="A302" s="5" t="s">
        <v>249</v>
      </c>
      <c r="B302" s="6">
        <f>3*IFERROR(VLOOKUP(A302,'#15 IH Results'!$A$2:$C$301,2,0),0)+2*IFERROR(VLOOKUP(A302,'#14 IH Results'!$A$2:$C$302,2,0),0)+1.5*IFERROR(VLOOKUP(A302,'#13 IH Results'!$A$2:$C$302,2,0),0)+1.25*IFERROR(VLOOKUP(A302,'#12 IH Results'!$A$2:$C$302,2,0),0)+1.25*IFERROR(VLOOKUP(A302,'#11 IH Results'!$A$2:$C$302,2,0),0)+IFERROR(VLOOKUP(A302,'#10 IH Results'!$A$2:$C$302,2,0),0)+IFERROR(VLOOKUP(A302,'#9 IH Results'!$A$2:$C$302,2,0),0)+IFERROR(VLOOKUP(A302,'#8 IH Results'!$A$2:$C$302,2,0),0)+IFERROR(VLOOKUP(A302,'#7 IH Results'!$A$2:$C$302,2,0),0)+IFERROR(VLOOKUP(A302,'#6 IH Results'!$A$2:$C$302,2,0),0)+IFERROR(VLOOKUP(A302,'#5 IH Results'!$A$2:$C$303,2,0),0)+IFERROR(VLOOKUP(A302,'#4 IH Results'!$A$2:$C$300,2,0),0)+IFERROR(VLOOKUP(A302,'#3 IH Results'!$A$2:$C$101,2,0),0)+IFERROR(VLOOKUP(A302,'#2 IH Results'!$A$2:$C$101,2,0),0)+IFERROR(VLOOKUP(A302,'#1 IH Results'!$A$2:$C$101,2,0),0)+IFERROR(VLOOKUP(A302,'#0 IH Results'!$A$3:$C$102,2,0),0)</f>
        <v>0.6143959446</v>
      </c>
    </row>
    <row r="303">
      <c r="A303" s="5" t="s">
        <v>356</v>
      </c>
      <c r="B303" s="6">
        <f>3*IFERROR(VLOOKUP(A303,'#15 IH Results'!$A$2:$C$301,2,0),0)+2*IFERROR(VLOOKUP(A303,'#14 IH Results'!$A$2:$C$302,2,0),0)+1.5*IFERROR(VLOOKUP(A303,'#13 IH Results'!$A$2:$C$302,2,0),0)+1.25*IFERROR(VLOOKUP(A303,'#12 IH Results'!$A$2:$C$302,2,0),0)+1.25*IFERROR(VLOOKUP(A303,'#11 IH Results'!$A$2:$C$302,2,0),0)+IFERROR(VLOOKUP(A303,'#10 IH Results'!$A$2:$C$302,2,0),0)+IFERROR(VLOOKUP(A303,'#9 IH Results'!$A$2:$C$302,2,0),0)+IFERROR(VLOOKUP(A303,'#8 IH Results'!$A$2:$C$302,2,0),0)+IFERROR(VLOOKUP(A303,'#7 IH Results'!$A$2:$C$302,2,0),0)+IFERROR(VLOOKUP(A303,'#6 IH Results'!$A$2:$C$302,2,0),0)+IFERROR(VLOOKUP(A303,'#5 IH Results'!$A$2:$C$303,2,0),0)+IFERROR(VLOOKUP(A303,'#4 IH Results'!$A$2:$C$300,2,0),0)+IFERROR(VLOOKUP(A303,'#3 IH Results'!$A$2:$C$101,2,0),0)+IFERROR(VLOOKUP(A303,'#2 IH Results'!$A$2:$C$101,2,0),0)+IFERROR(VLOOKUP(A303,'#1 IH Results'!$A$2:$C$101,2,0),0)+IFERROR(VLOOKUP(A303,'#0 IH Results'!$A$3:$C$102,2,0),0)</f>
        <v>0.5691553863</v>
      </c>
    </row>
    <row r="304">
      <c r="A304" s="5" t="s">
        <v>365</v>
      </c>
      <c r="B304" s="6">
        <f>3*IFERROR(VLOOKUP(A304,'#15 IH Results'!$A$2:$C$301,2,0),0)+2*IFERROR(VLOOKUP(A304,'#14 IH Results'!$A$2:$C$302,2,0),0)+1.5*IFERROR(VLOOKUP(A304,'#13 IH Results'!$A$2:$C$302,2,0),0)+1.25*IFERROR(VLOOKUP(A304,'#12 IH Results'!$A$2:$C$302,2,0),0)+1.25*IFERROR(VLOOKUP(A304,'#11 IH Results'!$A$2:$C$302,2,0),0)+IFERROR(VLOOKUP(A304,'#10 IH Results'!$A$2:$C$302,2,0),0)+IFERROR(VLOOKUP(A304,'#9 IH Results'!$A$2:$C$302,2,0),0)+IFERROR(VLOOKUP(A304,'#8 IH Results'!$A$2:$C$302,2,0),0)+IFERROR(VLOOKUP(A304,'#7 IH Results'!$A$2:$C$302,2,0),0)+IFERROR(VLOOKUP(A304,'#6 IH Results'!$A$2:$C$302,2,0),0)+IFERROR(VLOOKUP(A304,'#5 IH Results'!$A$2:$C$303,2,0),0)+IFERROR(VLOOKUP(A304,'#4 IH Results'!$A$2:$C$300,2,0),0)+IFERROR(VLOOKUP(A304,'#3 IH Results'!$A$2:$C$101,2,0),0)+IFERROR(VLOOKUP(A304,'#2 IH Results'!$A$2:$C$101,2,0),0)+IFERROR(VLOOKUP(A304,'#1 IH Results'!$A$2:$C$101,2,0),0)+IFERROR(VLOOKUP(A304,'#0 IH Results'!$A$3:$C$102,2,0),0)</f>
        <v>0.5393887633</v>
      </c>
    </row>
    <row r="305">
      <c r="A305" s="5" t="s">
        <v>362</v>
      </c>
      <c r="B305" s="6">
        <f>3*IFERROR(VLOOKUP(A305,'#15 IH Results'!$A$2:$C$301,2,0),0)+2*IFERROR(VLOOKUP(A305,'#14 IH Results'!$A$2:$C$302,2,0),0)+1.5*IFERROR(VLOOKUP(A305,'#13 IH Results'!$A$2:$C$302,2,0),0)+1.25*IFERROR(VLOOKUP(A305,'#12 IH Results'!$A$2:$C$302,2,0),0)+1.25*IFERROR(VLOOKUP(A305,'#11 IH Results'!$A$2:$C$302,2,0),0)+IFERROR(VLOOKUP(A305,'#10 IH Results'!$A$2:$C$302,2,0),0)+IFERROR(VLOOKUP(A305,'#9 IH Results'!$A$2:$C$302,2,0),0)+IFERROR(VLOOKUP(A305,'#8 IH Results'!$A$2:$C$302,2,0),0)+IFERROR(VLOOKUP(A305,'#7 IH Results'!$A$2:$C$302,2,0),0)+IFERROR(VLOOKUP(A305,'#6 IH Results'!$A$2:$C$302,2,0),0)+IFERROR(VLOOKUP(A305,'#5 IH Results'!$A$2:$C$303,2,0),0)+IFERROR(VLOOKUP(A305,'#4 IH Results'!$A$2:$C$300,2,0),0)+IFERROR(VLOOKUP(A305,'#3 IH Results'!$A$2:$C$101,2,0),0)+IFERROR(VLOOKUP(A305,'#2 IH Results'!$A$2:$C$101,2,0),0)+IFERROR(VLOOKUP(A305,'#1 IH Results'!$A$2:$C$101,2,0),0)+IFERROR(VLOOKUP(A305,'#0 IH Results'!$A$3:$C$102,2,0),0)</f>
        <v>0.5134541178</v>
      </c>
    </row>
    <row r="306">
      <c r="A306" s="7" t="s">
        <v>364</v>
      </c>
      <c r="B306" s="6">
        <f>3*IFERROR(VLOOKUP(A306,'#15 IH Results'!$A$2:$C$301,2,0),0)+2*IFERROR(VLOOKUP(A306,'#14 IH Results'!$A$2:$C$302,2,0),0)+1.5*IFERROR(VLOOKUP(A306,'#13 IH Results'!$A$2:$C$302,2,0),0)+1.25*IFERROR(VLOOKUP(A306,'#12 IH Results'!$A$2:$C$302,2,0),0)+1.25*IFERROR(VLOOKUP(A306,'#11 IH Results'!$A$2:$C$302,2,0),0)+IFERROR(VLOOKUP(A306,'#10 IH Results'!$A$2:$C$302,2,0),0)+IFERROR(VLOOKUP(A306,'#9 IH Results'!$A$2:$C$302,2,0),0)+IFERROR(VLOOKUP(A306,'#8 IH Results'!$A$2:$C$302,2,0),0)+IFERROR(VLOOKUP(A306,'#7 IH Results'!$A$2:$C$302,2,0),0)+IFERROR(VLOOKUP(A306,'#6 IH Results'!$A$2:$C$302,2,0),0)+IFERROR(VLOOKUP(A306,'#5 IH Results'!$A$2:$C$303,2,0),0)+IFERROR(VLOOKUP(A306,'#4 IH Results'!$A$2:$C$300,2,0),0)+IFERROR(VLOOKUP(A306,'#3 IH Results'!$A$2:$C$101,2,0),0)+IFERROR(VLOOKUP(A306,'#2 IH Results'!$A$2:$C$101,2,0),0)+IFERROR(VLOOKUP(A306,'#1 IH Results'!$A$2:$C$101,2,0),0)+IFERROR(VLOOKUP(A306,'#0 IH Results'!$A$3:$C$102,2,0),0)</f>
        <v>0.4540678499</v>
      </c>
    </row>
    <row r="307">
      <c r="A307" s="5" t="s">
        <v>370</v>
      </c>
      <c r="B307" s="6">
        <f>3*IFERROR(VLOOKUP(A307,'#15 IH Results'!$A$2:$C$301,2,0),0)+2*IFERROR(VLOOKUP(A307,'#14 IH Results'!$A$2:$C$302,2,0),0)+1.5*IFERROR(VLOOKUP(A307,'#13 IH Results'!$A$2:$C$302,2,0),0)+1.25*IFERROR(VLOOKUP(A307,'#12 IH Results'!$A$2:$C$302,2,0),0)+1.25*IFERROR(VLOOKUP(A307,'#11 IH Results'!$A$2:$C$302,2,0),0)+IFERROR(VLOOKUP(A307,'#10 IH Results'!$A$2:$C$302,2,0),0)+IFERROR(VLOOKUP(A307,'#9 IH Results'!$A$2:$C$302,2,0),0)+IFERROR(VLOOKUP(A307,'#8 IH Results'!$A$2:$C$302,2,0),0)+IFERROR(VLOOKUP(A307,'#7 IH Results'!$A$2:$C$302,2,0),0)+IFERROR(VLOOKUP(A307,'#6 IH Results'!$A$2:$C$302,2,0),0)+IFERROR(VLOOKUP(A307,'#5 IH Results'!$A$2:$C$303,2,0),0)+IFERROR(VLOOKUP(A307,'#4 IH Results'!$A$2:$C$300,2,0),0)+IFERROR(VLOOKUP(A307,'#3 IH Results'!$A$2:$C$101,2,0),0)+IFERROR(VLOOKUP(A307,'#2 IH Results'!$A$2:$C$101,2,0),0)+IFERROR(VLOOKUP(A307,'#1 IH Results'!$A$2:$C$101,2,0),0)+IFERROR(VLOOKUP(A307,'#0 IH Results'!$A$3:$C$102,2,0),0)</f>
        <v>0.2701628738</v>
      </c>
    </row>
    <row r="308">
      <c r="A308" s="5" t="s">
        <v>371</v>
      </c>
      <c r="B308" s="6">
        <f>3*IFERROR(VLOOKUP(A308,'#15 IH Results'!$A$2:$C$301,2,0),0)+2*IFERROR(VLOOKUP(A308,'#14 IH Results'!$A$2:$C$302,2,0),0)+1.5*IFERROR(VLOOKUP(A308,'#13 IH Results'!$A$2:$C$302,2,0),0)+1.25*IFERROR(VLOOKUP(A308,'#12 IH Results'!$A$2:$C$302,2,0),0)+1.25*IFERROR(VLOOKUP(A308,'#11 IH Results'!$A$2:$C$302,2,0),0)+IFERROR(VLOOKUP(A308,'#10 IH Results'!$A$2:$C$302,2,0),0)+IFERROR(VLOOKUP(A308,'#9 IH Results'!$A$2:$C$302,2,0),0)+IFERROR(VLOOKUP(A308,'#8 IH Results'!$A$2:$C$302,2,0),0)+IFERROR(VLOOKUP(A308,'#7 IH Results'!$A$2:$C$302,2,0),0)+IFERROR(VLOOKUP(A308,'#6 IH Results'!$A$2:$C$302,2,0),0)+IFERROR(VLOOKUP(A308,'#5 IH Results'!$A$2:$C$303,2,0),0)+IFERROR(VLOOKUP(A308,'#4 IH Results'!$A$2:$C$300,2,0),0)+IFERROR(VLOOKUP(A308,'#3 IH Results'!$A$2:$C$101,2,0),0)+IFERROR(VLOOKUP(A308,'#2 IH Results'!$A$2:$C$101,2,0),0)+IFERROR(VLOOKUP(A308,'#1 IH Results'!$A$2:$C$101,2,0),0)+IFERROR(VLOOKUP(A308,'#0 IH Results'!$A$3:$C$102,2,0),0)</f>
        <v>0.207593157</v>
      </c>
    </row>
    <row r="309">
      <c r="A309" s="5" t="s">
        <v>372</v>
      </c>
      <c r="B309" s="6">
        <f>3*IFERROR(VLOOKUP(A309,'#15 IH Results'!$A$2:$C$301,2,0),0)+2*IFERROR(VLOOKUP(A309,'#14 IH Results'!$A$2:$C$302,2,0),0)+1.5*IFERROR(VLOOKUP(A309,'#13 IH Results'!$A$2:$C$302,2,0),0)+1.25*IFERROR(VLOOKUP(A309,'#12 IH Results'!$A$2:$C$302,2,0),0)+1.25*IFERROR(VLOOKUP(A309,'#11 IH Results'!$A$2:$C$302,2,0),0)+IFERROR(VLOOKUP(A309,'#10 IH Results'!$A$2:$C$302,2,0),0)+IFERROR(VLOOKUP(A309,'#9 IH Results'!$A$2:$C$302,2,0),0)+IFERROR(VLOOKUP(A309,'#8 IH Results'!$A$2:$C$302,2,0),0)+IFERROR(VLOOKUP(A309,'#7 IH Results'!$A$2:$C$302,2,0),0)+IFERROR(VLOOKUP(A309,'#6 IH Results'!$A$2:$C$302,2,0),0)+IFERROR(VLOOKUP(A309,'#5 IH Results'!$A$2:$C$303,2,0),0)+IFERROR(VLOOKUP(A309,'#4 IH Results'!$A$2:$C$300,2,0),0)+IFERROR(VLOOKUP(A309,'#3 IH Results'!$A$2:$C$101,2,0),0)+IFERROR(VLOOKUP(A309,'#2 IH Results'!$A$2:$C$101,2,0),0)+IFERROR(VLOOKUP(A309,'#1 IH Results'!$A$2:$C$101,2,0),0)+IFERROR(VLOOKUP(A309,'#0 IH Results'!$A$3:$C$102,2,0),0)</f>
        <v>0.1230871751</v>
      </c>
    </row>
    <row r="310">
      <c r="A310" s="5" t="s">
        <v>373</v>
      </c>
      <c r="B310" s="6">
        <f>3*IFERROR(VLOOKUP(A310,'#15 IH Results'!$A$2:$C$301,2,0),0)+2*IFERROR(VLOOKUP(A310,'#14 IH Results'!$A$2:$C$302,2,0),0)+1.5*IFERROR(VLOOKUP(A310,'#13 IH Results'!$A$2:$C$302,2,0),0)+1.25*IFERROR(VLOOKUP(A310,'#12 IH Results'!$A$2:$C$302,2,0),0)+1.25*IFERROR(VLOOKUP(A310,'#11 IH Results'!$A$2:$C$302,2,0),0)+IFERROR(VLOOKUP(A310,'#10 IH Results'!$A$2:$C$302,2,0),0)+IFERROR(VLOOKUP(A310,'#9 IH Results'!$A$2:$C$302,2,0),0)+IFERROR(VLOOKUP(A310,'#8 IH Results'!$A$2:$C$302,2,0),0)+IFERROR(VLOOKUP(A310,'#7 IH Results'!$A$2:$C$302,2,0),0)+IFERROR(VLOOKUP(A310,'#6 IH Results'!$A$2:$C$302,2,0),0)+IFERROR(VLOOKUP(A310,'#5 IH Results'!$A$2:$C$303,2,0),0)+IFERROR(VLOOKUP(A310,'#4 IH Results'!$A$2:$C$300,2,0),0)+IFERROR(VLOOKUP(A310,'#3 IH Results'!$A$2:$C$101,2,0),0)+IFERROR(VLOOKUP(A310,'#2 IH Results'!$A$2:$C$101,2,0),0)+IFERROR(VLOOKUP(A310,'#1 IH Results'!$A$2:$C$101,2,0),0)+IFERROR(VLOOKUP(A310,'#0 IH Results'!$A$3:$C$102,2,0),0)</f>
        <v>0.1230871751</v>
      </c>
    </row>
    <row r="311">
      <c r="A311" s="5" t="s">
        <v>374</v>
      </c>
      <c r="B311" s="6">
        <f>3*IFERROR(VLOOKUP(A311,'#15 IH Results'!$A$2:$C$301,2,0),0)+2*IFERROR(VLOOKUP(A311,'#14 IH Results'!$A$2:$C$302,2,0),0)+1.5*IFERROR(VLOOKUP(A311,'#13 IH Results'!$A$2:$C$302,2,0),0)+1.25*IFERROR(VLOOKUP(A311,'#12 IH Results'!$A$2:$C$302,2,0),0)+1.25*IFERROR(VLOOKUP(A311,'#11 IH Results'!$A$2:$C$302,2,0),0)+IFERROR(VLOOKUP(A311,'#10 IH Results'!$A$2:$C$302,2,0),0)+IFERROR(VLOOKUP(A311,'#9 IH Results'!$A$2:$C$302,2,0),0)+IFERROR(VLOOKUP(A311,'#8 IH Results'!$A$2:$C$302,2,0),0)+IFERROR(VLOOKUP(A311,'#7 IH Results'!$A$2:$C$302,2,0),0)+IFERROR(VLOOKUP(A311,'#6 IH Results'!$A$2:$C$302,2,0),0)+IFERROR(VLOOKUP(A311,'#5 IH Results'!$A$2:$C$303,2,0),0)+IFERROR(VLOOKUP(A311,'#4 IH Results'!$A$2:$C$300,2,0),0)+IFERROR(VLOOKUP(A311,'#3 IH Results'!$A$2:$C$101,2,0),0)+IFERROR(VLOOKUP(A311,'#2 IH Results'!$A$2:$C$101,2,0),0)+IFERROR(VLOOKUP(A311,'#1 IH Results'!$A$2:$C$101,2,0),0)+IFERROR(VLOOKUP(A311,'#0 IH Results'!$A$3:$C$102,2,0),0)</f>
        <v>0.1230871751</v>
      </c>
    </row>
    <row r="312">
      <c r="A312" s="5" t="s">
        <v>375</v>
      </c>
      <c r="B312" s="6">
        <f>3*IFERROR(VLOOKUP(A312,'#15 IH Results'!$A$2:$C$301,2,0),0)+2*IFERROR(VLOOKUP(A312,'#14 IH Results'!$A$2:$C$302,2,0),0)+1.5*IFERROR(VLOOKUP(A312,'#13 IH Results'!$A$2:$C$302,2,0),0)+1.25*IFERROR(VLOOKUP(A312,'#12 IH Results'!$A$2:$C$302,2,0),0)+1.25*IFERROR(VLOOKUP(A312,'#11 IH Results'!$A$2:$C$302,2,0),0)+IFERROR(VLOOKUP(A312,'#10 IH Results'!$A$2:$C$302,2,0),0)+IFERROR(VLOOKUP(A312,'#9 IH Results'!$A$2:$C$302,2,0),0)+IFERROR(VLOOKUP(A312,'#8 IH Results'!$A$2:$C$302,2,0),0)+IFERROR(VLOOKUP(A312,'#7 IH Results'!$A$2:$C$302,2,0),0)+IFERROR(VLOOKUP(A312,'#6 IH Results'!$A$2:$C$302,2,0),0)+IFERROR(VLOOKUP(A312,'#5 IH Results'!$A$2:$C$303,2,0),0)+IFERROR(VLOOKUP(A312,'#4 IH Results'!$A$2:$C$300,2,0),0)+IFERROR(VLOOKUP(A312,'#3 IH Results'!$A$2:$C$101,2,0),0)+IFERROR(VLOOKUP(A312,'#2 IH Results'!$A$2:$C$101,2,0),0)+IFERROR(VLOOKUP(A312,'#1 IH Results'!$A$2:$C$101,2,0),0)+IFERROR(VLOOKUP(A312,'#0 IH Results'!$A$3:$C$102,2,0),0)</f>
        <v>0.1138547335</v>
      </c>
    </row>
    <row r="313">
      <c r="A313" s="5" t="s">
        <v>376</v>
      </c>
      <c r="B313" s="6">
        <f>3*IFERROR(VLOOKUP(A313,'#15 IH Results'!$A$2:$C$301,2,0),0)+2*IFERROR(VLOOKUP(A313,'#14 IH Results'!$A$2:$C$302,2,0),0)+1.5*IFERROR(VLOOKUP(A313,'#13 IH Results'!$A$2:$C$302,2,0),0)+1.25*IFERROR(VLOOKUP(A313,'#12 IH Results'!$A$2:$C$302,2,0),0)+1.25*IFERROR(VLOOKUP(A313,'#11 IH Results'!$A$2:$C$302,2,0),0)+IFERROR(VLOOKUP(A313,'#10 IH Results'!$A$2:$C$302,2,0),0)+IFERROR(VLOOKUP(A313,'#9 IH Results'!$A$2:$C$302,2,0),0)+IFERROR(VLOOKUP(A313,'#8 IH Results'!$A$2:$C$302,2,0),0)+IFERROR(VLOOKUP(A313,'#7 IH Results'!$A$2:$C$302,2,0),0)+IFERROR(VLOOKUP(A313,'#6 IH Results'!$A$2:$C$302,2,0),0)+IFERROR(VLOOKUP(A313,'#5 IH Results'!$A$2:$C$303,2,0),0)+IFERROR(VLOOKUP(A313,'#4 IH Results'!$A$2:$C$300,2,0),0)+IFERROR(VLOOKUP(A313,'#3 IH Results'!$A$2:$C$101,2,0),0)+IFERROR(VLOOKUP(A313,'#2 IH Results'!$A$2:$C$101,2,0),0)+IFERROR(VLOOKUP(A313,'#1 IH Results'!$A$2:$C$101,2,0),0)+IFERROR(VLOOKUP(A313,'#0 IH Results'!$A$3:$C$102,2,0),0)</f>
        <v>0.1138547335</v>
      </c>
    </row>
    <row r="314">
      <c r="A314" s="5" t="s">
        <v>377</v>
      </c>
      <c r="B314" s="6">
        <f>3*IFERROR(VLOOKUP(A314,'#15 IH Results'!$A$2:$C$301,2,0),0)+2*IFERROR(VLOOKUP(A314,'#14 IH Results'!$A$2:$C$302,2,0),0)+1.5*IFERROR(VLOOKUP(A314,'#13 IH Results'!$A$2:$C$302,2,0),0)+1.25*IFERROR(VLOOKUP(A314,'#12 IH Results'!$A$2:$C$302,2,0),0)+1.25*IFERROR(VLOOKUP(A314,'#11 IH Results'!$A$2:$C$302,2,0),0)+IFERROR(VLOOKUP(A314,'#10 IH Results'!$A$2:$C$302,2,0),0)+IFERROR(VLOOKUP(A314,'#9 IH Results'!$A$2:$C$302,2,0),0)+IFERROR(VLOOKUP(A314,'#8 IH Results'!$A$2:$C$302,2,0),0)+IFERROR(VLOOKUP(A314,'#7 IH Results'!$A$2:$C$302,2,0),0)+IFERROR(VLOOKUP(A314,'#6 IH Results'!$A$2:$C$302,2,0),0)+IFERROR(VLOOKUP(A314,'#5 IH Results'!$A$2:$C$303,2,0),0)+IFERROR(VLOOKUP(A314,'#4 IH Results'!$A$2:$C$300,2,0),0)+IFERROR(VLOOKUP(A314,'#3 IH Results'!$A$2:$C$101,2,0),0)+IFERROR(VLOOKUP(A314,'#2 IH Results'!$A$2:$C$101,2,0),0)+IFERROR(VLOOKUP(A314,'#1 IH Results'!$A$2:$C$101,2,0),0)+IFERROR(VLOOKUP(A314,'#0 IH Results'!$A$3:$C$102,2,0),0)</f>
        <v>0.1122849878</v>
      </c>
    </row>
    <row r="315">
      <c r="A315" s="5" t="s">
        <v>378</v>
      </c>
      <c r="B315" s="6">
        <f>3*IFERROR(VLOOKUP(A315,'#15 IH Results'!$A$2:$C$301,2,0),0)+2*IFERROR(VLOOKUP(A315,'#14 IH Results'!$A$2:$C$302,2,0),0)+1.5*IFERROR(VLOOKUP(A315,'#13 IH Results'!$A$2:$C$302,2,0),0)+1.25*IFERROR(VLOOKUP(A315,'#12 IH Results'!$A$2:$C$302,2,0),0)+1.25*IFERROR(VLOOKUP(A315,'#11 IH Results'!$A$2:$C$302,2,0),0)+IFERROR(VLOOKUP(A315,'#10 IH Results'!$A$2:$C$302,2,0),0)+IFERROR(VLOOKUP(A315,'#9 IH Results'!$A$2:$C$302,2,0),0)+IFERROR(VLOOKUP(A315,'#8 IH Results'!$A$2:$C$302,2,0),0)+IFERROR(VLOOKUP(A315,'#7 IH Results'!$A$2:$C$302,2,0),0)+IFERROR(VLOOKUP(A315,'#6 IH Results'!$A$2:$C$302,2,0),0)+IFERROR(VLOOKUP(A315,'#5 IH Results'!$A$2:$C$303,2,0),0)+IFERROR(VLOOKUP(A315,'#4 IH Results'!$A$2:$C$300,2,0),0)+IFERROR(VLOOKUP(A315,'#3 IH Results'!$A$2:$C$101,2,0),0)+IFERROR(VLOOKUP(A315,'#2 IH Results'!$A$2:$C$101,2,0),0)+IFERROR(VLOOKUP(A315,'#1 IH Results'!$A$2:$C$101,2,0),0)+IFERROR(VLOOKUP(A315,'#0 IH Results'!$A$3:$C$102,2,0),0)</f>
        <v>0.08933717579</v>
      </c>
    </row>
    <row r="316">
      <c r="A316" s="5" t="s">
        <v>379</v>
      </c>
      <c r="B316" s="6">
        <f>3*IFERROR(VLOOKUP(A316,'#15 IH Results'!$A$2:$C$301,2,0),0)+2*IFERROR(VLOOKUP(A316,'#14 IH Results'!$A$2:$C$302,2,0),0)+1.5*IFERROR(VLOOKUP(A316,'#13 IH Results'!$A$2:$C$302,2,0),0)+1.25*IFERROR(VLOOKUP(A316,'#12 IH Results'!$A$2:$C$302,2,0),0)+1.25*IFERROR(VLOOKUP(A316,'#11 IH Results'!$A$2:$C$302,2,0),0)+IFERROR(VLOOKUP(A316,'#10 IH Results'!$A$2:$C$302,2,0),0)+IFERROR(VLOOKUP(A316,'#9 IH Results'!$A$2:$C$302,2,0),0)+IFERROR(VLOOKUP(A316,'#8 IH Results'!$A$2:$C$302,2,0),0)+IFERROR(VLOOKUP(A316,'#7 IH Results'!$A$2:$C$302,2,0),0)+IFERROR(VLOOKUP(A316,'#6 IH Results'!$A$2:$C$302,2,0),0)+IFERROR(VLOOKUP(A316,'#5 IH Results'!$A$2:$C$303,2,0),0)+IFERROR(VLOOKUP(A316,'#4 IH Results'!$A$2:$C$300,2,0),0)+IFERROR(VLOOKUP(A316,'#3 IH Results'!$A$2:$C$101,2,0),0)+IFERROR(VLOOKUP(A316,'#2 IH Results'!$A$2:$C$101,2,0),0)+IFERROR(VLOOKUP(A316,'#1 IH Results'!$A$2:$C$101,2,0),0)+IFERROR(VLOOKUP(A316,'#0 IH Results'!$A$3:$C$102,2,0),0)</f>
        <v>0.07343633266</v>
      </c>
    </row>
    <row r="317">
      <c r="A317" s="5" t="s">
        <v>380</v>
      </c>
      <c r="B317" s="6">
        <f>3*IFERROR(VLOOKUP(A317,'#15 IH Results'!$A$2:$C$301,2,0),0)+2*IFERROR(VLOOKUP(A317,'#14 IH Results'!$A$2:$C$302,2,0),0)+1.5*IFERROR(VLOOKUP(A317,'#13 IH Results'!$A$2:$C$302,2,0),0)+1.25*IFERROR(VLOOKUP(A317,'#12 IH Results'!$A$2:$C$302,2,0),0)+1.25*IFERROR(VLOOKUP(A317,'#11 IH Results'!$A$2:$C$302,2,0),0)+IFERROR(VLOOKUP(A317,'#10 IH Results'!$A$2:$C$302,2,0),0)+IFERROR(VLOOKUP(A317,'#9 IH Results'!$A$2:$C$302,2,0),0)+IFERROR(VLOOKUP(A317,'#8 IH Results'!$A$2:$C$302,2,0),0)+IFERROR(VLOOKUP(A317,'#7 IH Results'!$A$2:$C$302,2,0),0)+IFERROR(VLOOKUP(A317,'#6 IH Results'!$A$2:$C$302,2,0),0)+IFERROR(VLOOKUP(A317,'#5 IH Results'!$A$2:$C$303,2,0),0)+IFERROR(VLOOKUP(A317,'#4 IH Results'!$A$2:$C$300,2,0),0)+IFERROR(VLOOKUP(A317,'#3 IH Results'!$A$2:$C$101,2,0),0)+IFERROR(VLOOKUP(A317,'#2 IH Results'!$A$2:$C$101,2,0),0)+IFERROR(VLOOKUP(A317,'#1 IH Results'!$A$2:$C$101,2,0),0)+IFERROR(VLOOKUP(A317,'#0 IH Results'!$A$3:$C$102,2,0),0)</f>
        <v>0.07343633266</v>
      </c>
    </row>
    <row r="318">
      <c r="A318" s="5" t="s">
        <v>381</v>
      </c>
      <c r="B318" s="6">
        <f>3*IFERROR(VLOOKUP(A318,'#15 IH Results'!$A$2:$C$301,2,0),0)+2*IFERROR(VLOOKUP(A318,'#14 IH Results'!$A$2:$C$302,2,0),0)+1.5*IFERROR(VLOOKUP(A318,'#13 IH Results'!$A$2:$C$302,2,0),0)+1.25*IFERROR(VLOOKUP(A318,'#12 IH Results'!$A$2:$C$302,2,0),0)+1.25*IFERROR(VLOOKUP(A318,'#11 IH Results'!$A$2:$C$302,2,0),0)+IFERROR(VLOOKUP(A318,'#10 IH Results'!$A$2:$C$302,2,0),0)+IFERROR(VLOOKUP(A318,'#9 IH Results'!$A$2:$C$302,2,0),0)+IFERROR(VLOOKUP(A318,'#8 IH Results'!$A$2:$C$302,2,0),0)+IFERROR(VLOOKUP(A318,'#7 IH Results'!$A$2:$C$302,2,0),0)+IFERROR(VLOOKUP(A318,'#6 IH Results'!$A$2:$C$302,2,0),0)+IFERROR(VLOOKUP(A318,'#5 IH Results'!$A$2:$C$303,2,0),0)+IFERROR(VLOOKUP(A318,'#4 IH Results'!$A$2:$C$300,2,0),0)+IFERROR(VLOOKUP(A318,'#3 IH Results'!$A$2:$C$101,2,0),0)+IFERROR(VLOOKUP(A318,'#2 IH Results'!$A$2:$C$101,2,0),0)+IFERROR(VLOOKUP(A318,'#1 IH Results'!$A$2:$C$101,2,0),0)+IFERROR(VLOOKUP(A318,'#0 IH Results'!$A$3:$C$102,2,0),0)</f>
        <v>0.07343633266</v>
      </c>
    </row>
    <row r="319">
      <c r="A319" s="5" t="s">
        <v>382</v>
      </c>
      <c r="B319" s="6">
        <f>3*IFERROR(VLOOKUP(A319,'#15 IH Results'!$A$2:$C$301,2,0),0)+2*IFERROR(VLOOKUP(A319,'#14 IH Results'!$A$2:$C$302,2,0),0)+1.5*IFERROR(VLOOKUP(A319,'#13 IH Results'!$A$2:$C$302,2,0),0)+1.25*IFERROR(VLOOKUP(A319,'#12 IH Results'!$A$2:$C$302,2,0),0)+1.25*IFERROR(VLOOKUP(A319,'#11 IH Results'!$A$2:$C$302,2,0),0)+IFERROR(VLOOKUP(A319,'#10 IH Results'!$A$2:$C$302,2,0),0)+IFERROR(VLOOKUP(A319,'#9 IH Results'!$A$2:$C$302,2,0),0)+IFERROR(VLOOKUP(A319,'#8 IH Results'!$A$2:$C$302,2,0),0)+IFERROR(VLOOKUP(A319,'#7 IH Results'!$A$2:$C$302,2,0),0)+IFERROR(VLOOKUP(A319,'#6 IH Results'!$A$2:$C$302,2,0),0)+IFERROR(VLOOKUP(A319,'#5 IH Results'!$A$2:$C$303,2,0),0)+IFERROR(VLOOKUP(A319,'#4 IH Results'!$A$2:$C$300,2,0),0)+IFERROR(VLOOKUP(A319,'#3 IH Results'!$A$2:$C$101,2,0),0)+IFERROR(VLOOKUP(A319,'#2 IH Results'!$A$2:$C$101,2,0),0)+IFERROR(VLOOKUP(A319,'#1 IH Results'!$A$2:$C$101,2,0),0)+IFERROR(VLOOKUP(A319,'#0 IH Results'!$A$3:$C$102,2,0),0)</f>
        <v>0.04831157635</v>
      </c>
    </row>
    <row r="320">
      <c r="A320" s="5" t="s">
        <v>383</v>
      </c>
      <c r="B320" s="6">
        <f>3*IFERROR(VLOOKUP(A320,'#15 IH Results'!$A$2:$C$301,2,0),0)+2*IFERROR(VLOOKUP(A320,'#14 IH Results'!$A$2:$C$302,2,0),0)+1.5*IFERROR(VLOOKUP(A320,'#13 IH Results'!$A$2:$C$302,2,0),0)+1.25*IFERROR(VLOOKUP(A320,'#12 IH Results'!$A$2:$C$302,2,0),0)+1.25*IFERROR(VLOOKUP(A320,'#11 IH Results'!$A$2:$C$302,2,0),0)+IFERROR(VLOOKUP(A320,'#10 IH Results'!$A$2:$C$302,2,0),0)+IFERROR(VLOOKUP(A320,'#9 IH Results'!$A$2:$C$302,2,0),0)+IFERROR(VLOOKUP(A320,'#8 IH Results'!$A$2:$C$302,2,0),0)+IFERROR(VLOOKUP(A320,'#7 IH Results'!$A$2:$C$302,2,0),0)+IFERROR(VLOOKUP(A320,'#6 IH Results'!$A$2:$C$302,2,0),0)+IFERROR(VLOOKUP(A320,'#5 IH Results'!$A$2:$C$303,2,0),0)+IFERROR(VLOOKUP(A320,'#4 IH Results'!$A$2:$C$300,2,0),0)+IFERROR(VLOOKUP(A320,'#3 IH Results'!$A$2:$C$101,2,0),0)+IFERROR(VLOOKUP(A320,'#2 IH Results'!$A$2:$C$101,2,0),0)+IFERROR(VLOOKUP(A320,'#1 IH Results'!$A$2:$C$101,2,0),0)+IFERROR(VLOOKUP(A320,'#0 IH Results'!$A$3:$C$102,2,0),0)</f>
        <v>0.03771202487</v>
      </c>
    </row>
    <row r="321">
      <c r="A321" s="5" t="s">
        <v>384</v>
      </c>
      <c r="B321" s="6">
        <f>3*IFERROR(VLOOKUP(A321,'#15 IH Results'!$A$2:$C$301,2,0),0)+2*IFERROR(VLOOKUP(A321,'#14 IH Results'!$A$2:$C$302,2,0),0)+1.5*IFERROR(VLOOKUP(A321,'#13 IH Results'!$A$2:$C$302,2,0),0)+1.25*IFERROR(VLOOKUP(A321,'#12 IH Results'!$A$2:$C$302,2,0),0)+1.25*IFERROR(VLOOKUP(A321,'#11 IH Results'!$A$2:$C$302,2,0),0)+IFERROR(VLOOKUP(A321,'#10 IH Results'!$A$2:$C$302,2,0),0)+IFERROR(VLOOKUP(A321,'#9 IH Results'!$A$2:$C$302,2,0),0)+IFERROR(VLOOKUP(A321,'#8 IH Results'!$A$2:$C$302,2,0),0)+IFERROR(VLOOKUP(A321,'#7 IH Results'!$A$2:$C$302,2,0),0)+IFERROR(VLOOKUP(A321,'#6 IH Results'!$A$2:$C$302,2,0),0)+IFERROR(VLOOKUP(A321,'#5 IH Results'!$A$2:$C$303,2,0),0)+IFERROR(VLOOKUP(A321,'#4 IH Results'!$A$2:$C$300,2,0),0)+IFERROR(VLOOKUP(A321,'#3 IH Results'!$A$2:$C$101,2,0),0)+IFERROR(VLOOKUP(A321,'#2 IH Results'!$A$2:$C$101,2,0),0)+IFERROR(VLOOKUP(A321,'#1 IH Results'!$A$2:$C$101,2,0),0)+IFERROR(VLOOKUP(A321,'#0 IH Results'!$A$3:$C$102,2,0),0)</f>
        <v>0.02762116382</v>
      </c>
    </row>
    <row r="322">
      <c r="A322" s="5" t="s">
        <v>385</v>
      </c>
      <c r="B322" s="6">
        <f>3*IFERROR(VLOOKUP(A322,'#15 IH Results'!$A$2:$C$301,2,0),0)+2*IFERROR(VLOOKUP(A322,'#14 IH Results'!$A$2:$C$302,2,0),0)+1.5*IFERROR(VLOOKUP(A322,'#13 IH Results'!$A$2:$C$302,2,0),0)+1.25*IFERROR(VLOOKUP(A322,'#12 IH Results'!$A$2:$C$302,2,0),0)+1.25*IFERROR(VLOOKUP(A322,'#11 IH Results'!$A$2:$C$302,2,0),0)+IFERROR(VLOOKUP(A322,'#10 IH Results'!$A$2:$C$302,2,0),0)+IFERROR(VLOOKUP(A322,'#9 IH Results'!$A$2:$C$302,2,0),0)+IFERROR(VLOOKUP(A322,'#8 IH Results'!$A$2:$C$302,2,0),0)+IFERROR(VLOOKUP(A322,'#7 IH Results'!$A$2:$C$302,2,0),0)+IFERROR(VLOOKUP(A322,'#6 IH Results'!$A$2:$C$302,2,0),0)+IFERROR(VLOOKUP(A322,'#5 IH Results'!$A$2:$C$303,2,0),0)+IFERROR(VLOOKUP(A322,'#4 IH Results'!$A$2:$C$300,2,0),0)+IFERROR(VLOOKUP(A322,'#3 IH Results'!$A$2:$C$101,2,0),0)+IFERROR(VLOOKUP(A322,'#2 IH Results'!$A$2:$C$101,2,0),0)+IFERROR(VLOOKUP(A322,'#1 IH Results'!$A$2:$C$101,2,0),0)+IFERROR(VLOOKUP(A322,'#0 IH Results'!$A$3:$C$102,2,0),0)</f>
        <v>0.02514134991</v>
      </c>
    </row>
    <row r="323">
      <c r="A323" s="5" t="s">
        <v>386</v>
      </c>
      <c r="B323" s="6">
        <f>3*IFERROR(VLOOKUP(A323,'#15 IH Results'!$A$2:$C$301,2,0),0)+2*IFERROR(VLOOKUP(A323,'#14 IH Results'!$A$2:$C$302,2,0),0)+1.5*IFERROR(VLOOKUP(A323,'#13 IH Results'!$A$2:$C$302,2,0),0)+1.25*IFERROR(VLOOKUP(A323,'#12 IH Results'!$A$2:$C$302,2,0),0)+1.25*IFERROR(VLOOKUP(A323,'#11 IH Results'!$A$2:$C$302,2,0),0)+IFERROR(VLOOKUP(A323,'#10 IH Results'!$A$2:$C$302,2,0),0)+IFERROR(VLOOKUP(A323,'#9 IH Results'!$A$2:$C$302,2,0),0)+IFERROR(VLOOKUP(A323,'#8 IH Results'!$A$2:$C$302,2,0),0)+IFERROR(VLOOKUP(A323,'#7 IH Results'!$A$2:$C$302,2,0),0)+IFERROR(VLOOKUP(A323,'#6 IH Results'!$A$2:$C$302,2,0),0)+IFERROR(VLOOKUP(A323,'#5 IH Results'!$A$2:$C$303,2,0),0)+IFERROR(VLOOKUP(A323,'#4 IH Results'!$A$2:$C$300,2,0),0)+IFERROR(VLOOKUP(A323,'#3 IH Results'!$A$2:$C$101,2,0),0)+IFERROR(VLOOKUP(A323,'#2 IH Results'!$A$2:$C$101,2,0),0)+IFERROR(VLOOKUP(A323,'#1 IH Results'!$A$2:$C$101,2,0),0)+IFERROR(VLOOKUP(A323,'#0 IH Results'!$A$3:$C$102,2,0),0)</f>
        <v>0.02514134991</v>
      </c>
    </row>
    <row r="324">
      <c r="A324" s="132"/>
      <c r="B324" s="6">
        <f>3*IFERROR(VLOOKUP(A324,'#15 IH Results'!$A$2:$C$301,2,0),0)+2*IFERROR(VLOOKUP(A324,'#14 IH Results'!$A$2:$C$302,2,0),0)+1.5*IFERROR(VLOOKUP(A324,'#13 IH Results'!$A$2:$C$302,2,0),0)+1.25*IFERROR(VLOOKUP(A324,'#12 IH Results'!$A$2:$C$302,2,0),0)+1.25*IFERROR(VLOOKUP(A324,'#11 IH Results'!$A$2:$C$302,2,0),0)+IFERROR(VLOOKUP(A324,'#10 IH Results'!$A$2:$C$302,2,0),0)+IFERROR(VLOOKUP(A324,'#9 IH Results'!$A$2:$C$302,2,0),0)+IFERROR(VLOOKUP(A324,'#8 IH Results'!$A$2:$C$302,2,0),0)+IFERROR(VLOOKUP(A324,'#7 IH Results'!$A$2:$C$302,2,0),0)+IFERROR(VLOOKUP(A324,'#6 IH Results'!$A$2:$C$302,2,0),0)+IFERROR(VLOOKUP(A324,'#5 IH Results'!$A$2:$C$303,2,0),0)+IFERROR(VLOOKUP(A324,'#4 IH Results'!$A$2:$C$300,2,0),0)+IFERROR(VLOOKUP(A324,'#3 IH Results'!$A$2:$C$101,2,0),0)+IFERROR(VLOOKUP(A324,'#2 IH Results'!$A$2:$C$101,2,0),0)+IFERROR(VLOOKUP(A324,'#1 IH Results'!$A$2:$C$101,2,0),0)+IFERROR(VLOOKUP(A324,'#0 IH Results'!$A$3:$C$102,2,0),0)</f>
        <v>0</v>
      </c>
    </row>
    <row r="325">
      <c r="A325" s="132"/>
      <c r="B325" s="6">
        <f>3*IFERROR(VLOOKUP(A325,'#15 IH Results'!$A$2:$C$301,2,0),0)+2*IFERROR(VLOOKUP(A325,'#14 IH Results'!$A$2:$C$302,2,0),0)+1.5*IFERROR(VLOOKUP(A325,'#13 IH Results'!$A$2:$C$302,2,0),0)+1.25*IFERROR(VLOOKUP(A325,'#12 IH Results'!$A$2:$C$302,2,0),0)+1.25*IFERROR(VLOOKUP(A325,'#11 IH Results'!$A$2:$C$302,2,0),0)+IFERROR(VLOOKUP(A325,'#10 IH Results'!$A$2:$C$302,2,0),0)+IFERROR(VLOOKUP(A325,'#9 IH Results'!$A$2:$C$302,2,0),0)+IFERROR(VLOOKUP(A325,'#8 IH Results'!$A$2:$C$302,2,0),0)+IFERROR(VLOOKUP(A325,'#7 IH Results'!$A$2:$C$302,2,0),0)+IFERROR(VLOOKUP(A325,'#6 IH Results'!$A$2:$C$302,2,0),0)+IFERROR(VLOOKUP(A325,'#5 IH Results'!$A$2:$C$303,2,0),0)+IFERROR(VLOOKUP(A325,'#4 IH Results'!$A$2:$C$300,2,0),0)+IFERROR(VLOOKUP(A325,'#3 IH Results'!$A$2:$C$101,2,0),0)+IFERROR(VLOOKUP(A325,'#2 IH Results'!$A$2:$C$101,2,0),0)+IFERROR(VLOOKUP(A325,'#1 IH Results'!$A$2:$C$101,2,0),0)+IFERROR(VLOOKUP(A325,'#0 IH Results'!$A$3:$C$102,2,0),0)</f>
        <v>0</v>
      </c>
    </row>
    <row r="326">
      <c r="A326" s="132"/>
      <c r="B326" s="6">
        <f>3*IFERROR(VLOOKUP(A326,'#15 IH Results'!$A$2:$C$301,2,0),0)+2*IFERROR(VLOOKUP(A326,'#14 IH Results'!$A$2:$C$302,2,0),0)+1.5*IFERROR(VLOOKUP(A326,'#13 IH Results'!$A$2:$C$302,2,0),0)+1.25*IFERROR(VLOOKUP(A326,'#12 IH Results'!$A$2:$C$302,2,0),0)+1.25*IFERROR(VLOOKUP(A326,'#11 IH Results'!$A$2:$C$302,2,0),0)+IFERROR(VLOOKUP(A326,'#10 IH Results'!$A$2:$C$302,2,0),0)+IFERROR(VLOOKUP(A326,'#9 IH Results'!$A$2:$C$302,2,0),0)+IFERROR(VLOOKUP(A326,'#8 IH Results'!$A$2:$C$302,2,0),0)+IFERROR(VLOOKUP(A326,'#7 IH Results'!$A$2:$C$302,2,0),0)+IFERROR(VLOOKUP(A326,'#6 IH Results'!$A$2:$C$302,2,0),0)+IFERROR(VLOOKUP(A326,'#5 IH Results'!$A$2:$C$303,2,0),0)+IFERROR(VLOOKUP(A326,'#4 IH Results'!$A$2:$C$300,2,0),0)+IFERROR(VLOOKUP(A326,'#3 IH Results'!$A$2:$C$101,2,0),0)+IFERROR(VLOOKUP(A326,'#2 IH Results'!$A$2:$C$101,2,0),0)+IFERROR(VLOOKUP(A326,'#1 IH Results'!$A$2:$C$101,2,0),0)+IFERROR(VLOOKUP(A326,'#0 IH Results'!$A$3:$C$102,2,0),0)</f>
        <v>0</v>
      </c>
    </row>
    <row r="327">
      <c r="B327" s="6">
        <f>3*IFERROR(VLOOKUP(A327,'#15 IH Results'!$A$2:$C$301,2,0),0)+2*IFERROR(VLOOKUP(A327,'#14 IH Results'!$A$2:$C$302,2,0),0)+1.5*IFERROR(VLOOKUP(A327,'#13 IH Results'!$A$2:$C$302,2,0),0)+1.25*IFERROR(VLOOKUP(A327,'#12 IH Results'!$A$2:$C$302,2,0),0)+1.25*IFERROR(VLOOKUP(A327,'#11 IH Results'!$A$2:$C$302,2,0),0)+IFERROR(VLOOKUP(A327,'#10 IH Results'!$A$2:$C$302,2,0),0)+IFERROR(VLOOKUP(A327,'#9 IH Results'!$A$2:$C$302,2,0),0)+IFERROR(VLOOKUP(A327,'#8 IH Results'!$A$2:$C$302,2,0),0)+IFERROR(VLOOKUP(A327,'#7 IH Results'!$A$2:$C$302,2,0),0)+IFERROR(VLOOKUP(A327,'#6 IH Results'!$A$2:$C$302,2,0),0)+IFERROR(VLOOKUP(A327,'#5 IH Results'!$A$2:$C$303,2,0),0)+IFERROR(VLOOKUP(A327,'#4 IH Results'!$A$2:$C$300,2,0),0)+IFERROR(VLOOKUP(A327,'#3 IH Results'!$A$2:$C$101,2,0),0)+IFERROR(VLOOKUP(A327,'#2 IH Results'!$A$2:$C$101,2,0),0)+IFERROR(VLOOKUP(A327,'#1 IH Results'!$A$2:$C$101,2,0),0)+IFERROR(VLOOKUP(A327,'#0 IH Results'!$A$3:$C$102,2,0),0)</f>
        <v>0</v>
      </c>
    </row>
    <row r="328">
      <c r="B328" s="6">
        <f>3*IFERROR(VLOOKUP(A328,'#15 IH Results'!$A$2:$C$301,2,0),0)+2*IFERROR(VLOOKUP(A328,'#14 IH Results'!$A$2:$C$302,2,0),0)+1.5*IFERROR(VLOOKUP(A328,'#13 IH Results'!$A$2:$C$302,2,0),0)+1.25*IFERROR(VLOOKUP(A328,'#12 IH Results'!$A$2:$C$302,2,0),0)+1.25*IFERROR(VLOOKUP(A328,'#11 IH Results'!$A$2:$C$302,2,0),0)+IFERROR(VLOOKUP(A328,'#10 IH Results'!$A$2:$C$302,2,0),0)+IFERROR(VLOOKUP(A328,'#9 IH Results'!$A$2:$C$302,2,0),0)+IFERROR(VLOOKUP(A328,'#8 IH Results'!$A$2:$C$302,2,0),0)+IFERROR(VLOOKUP(A328,'#7 IH Results'!$A$2:$C$302,2,0),0)+IFERROR(VLOOKUP(A328,'#6 IH Results'!$A$2:$C$302,2,0),0)+IFERROR(VLOOKUP(A328,'#5 IH Results'!$A$2:$C$303,2,0),0)+IFERROR(VLOOKUP(A328,'#4 IH Results'!$A$2:$C$300,2,0),0)+IFERROR(VLOOKUP(A328,'#3 IH Results'!$A$2:$C$101,2,0),0)+IFERROR(VLOOKUP(A328,'#2 IH Results'!$A$2:$C$101,2,0),0)+IFERROR(VLOOKUP(A328,'#1 IH Results'!$A$2:$C$101,2,0),0)+IFERROR(VLOOKUP(A328,'#0 IH Results'!$A$3:$C$102,2,0),0)</f>
        <v>0</v>
      </c>
    </row>
    <row r="329">
      <c r="B329" s="6">
        <f>3*IFERROR(VLOOKUP(A329,'#15 IH Results'!$A$2:$C$301,2,0),0)+2*IFERROR(VLOOKUP(A329,'#14 IH Results'!$A$2:$C$302,2,0),0)+1.5*IFERROR(VLOOKUP(A329,'#13 IH Results'!$A$2:$C$302,2,0),0)+1.25*IFERROR(VLOOKUP(A329,'#12 IH Results'!$A$2:$C$302,2,0),0)+1.25*IFERROR(VLOOKUP(A329,'#11 IH Results'!$A$2:$C$302,2,0),0)+IFERROR(VLOOKUP(A329,'#10 IH Results'!$A$2:$C$302,2,0),0)+IFERROR(VLOOKUP(A329,'#9 IH Results'!$A$2:$C$302,2,0),0)+IFERROR(VLOOKUP(A329,'#8 IH Results'!$A$2:$C$302,2,0),0)+IFERROR(VLOOKUP(A329,'#7 IH Results'!$A$2:$C$302,2,0),0)+IFERROR(VLOOKUP(A329,'#6 IH Results'!$A$2:$C$302,2,0),0)+IFERROR(VLOOKUP(A329,'#5 IH Results'!$A$2:$C$303,2,0),0)+IFERROR(VLOOKUP(A329,'#4 IH Results'!$A$2:$C$300,2,0),0)+IFERROR(VLOOKUP(A329,'#3 IH Results'!$A$2:$C$101,2,0),0)+IFERROR(VLOOKUP(A329,'#2 IH Results'!$A$2:$C$101,2,0),0)+IFERROR(VLOOKUP(A329,'#1 IH Results'!$A$2:$C$101,2,0),0)+IFERROR(VLOOKUP(A329,'#0 IH Results'!$A$3:$C$102,2,0),0)</f>
        <v>0</v>
      </c>
    </row>
    <row r="330">
      <c r="B330" s="6">
        <f>3*IFERROR(VLOOKUP(A330,'#15 IH Results'!$A$2:$C$301,2,0),0)+2*IFERROR(VLOOKUP(A330,'#14 IH Results'!$A$2:$C$302,2,0),0)+1.5*IFERROR(VLOOKUP(A330,'#13 IH Results'!$A$2:$C$302,2,0),0)+1.25*IFERROR(VLOOKUP(A330,'#12 IH Results'!$A$2:$C$302,2,0),0)+1.25*IFERROR(VLOOKUP(A330,'#11 IH Results'!$A$2:$C$302,2,0),0)+IFERROR(VLOOKUP(A330,'#10 IH Results'!$A$2:$C$302,2,0),0)+IFERROR(VLOOKUP(A330,'#9 IH Results'!$A$2:$C$302,2,0),0)+IFERROR(VLOOKUP(A330,'#8 IH Results'!$A$2:$C$302,2,0),0)+IFERROR(VLOOKUP(A330,'#7 IH Results'!$A$2:$C$302,2,0),0)+IFERROR(VLOOKUP(A330,'#6 IH Results'!$A$2:$C$302,2,0),0)+IFERROR(VLOOKUP(A330,'#5 IH Results'!$A$2:$C$303,2,0),0)+IFERROR(VLOOKUP(A330,'#4 IH Results'!$A$2:$C$300,2,0),0)+IFERROR(VLOOKUP(A330,'#3 IH Results'!$A$2:$C$101,2,0),0)+IFERROR(VLOOKUP(A330,'#2 IH Results'!$A$2:$C$101,2,0),0)+IFERROR(VLOOKUP(A330,'#1 IH Results'!$A$2:$C$101,2,0),0)+IFERROR(VLOOKUP(A330,'#0 IH Results'!$A$3:$C$102,2,0),0)</f>
        <v>0</v>
      </c>
    </row>
    <row r="331">
      <c r="B331" s="6">
        <f>3*IFERROR(VLOOKUP(A331,'#15 IH Results'!$A$2:$C$301,2,0),0)+2*IFERROR(VLOOKUP(A331,'#14 IH Results'!$A$2:$C$302,2,0),0)+1.5*IFERROR(VLOOKUP(A331,'#13 IH Results'!$A$2:$C$302,2,0),0)+1.25*IFERROR(VLOOKUP(A331,'#12 IH Results'!$A$2:$C$302,2,0),0)+1.25*IFERROR(VLOOKUP(A331,'#11 IH Results'!$A$2:$C$302,2,0),0)+IFERROR(VLOOKUP(A331,'#10 IH Results'!$A$2:$C$302,2,0),0)+IFERROR(VLOOKUP(A331,'#9 IH Results'!$A$2:$C$302,2,0),0)+IFERROR(VLOOKUP(A331,'#8 IH Results'!$A$2:$C$302,2,0),0)+IFERROR(VLOOKUP(A331,'#7 IH Results'!$A$2:$C$302,2,0),0)+IFERROR(VLOOKUP(A331,'#6 IH Results'!$A$2:$C$302,2,0),0)+IFERROR(VLOOKUP(A331,'#5 IH Results'!$A$2:$C$303,2,0),0)+IFERROR(VLOOKUP(A331,'#4 IH Results'!$A$2:$C$300,2,0),0)+IFERROR(VLOOKUP(A331,'#3 IH Results'!$A$2:$C$101,2,0),0)+IFERROR(VLOOKUP(A331,'#2 IH Results'!$A$2:$C$101,2,0),0)+IFERROR(VLOOKUP(A331,'#1 IH Results'!$A$2:$C$101,2,0),0)+IFERROR(VLOOKUP(A331,'#0 IH Results'!$A$3:$C$102,2,0),0)</f>
        <v>0</v>
      </c>
    </row>
    <row r="332">
      <c r="B332" s="6">
        <f>3*IFERROR(VLOOKUP(A332,'#15 IH Results'!$A$2:$C$301,2,0),0)+2*IFERROR(VLOOKUP(A332,'#14 IH Results'!$A$2:$C$302,2,0),0)+1.5*IFERROR(VLOOKUP(A332,'#13 IH Results'!$A$2:$C$302,2,0),0)+1.25*IFERROR(VLOOKUP(A332,'#12 IH Results'!$A$2:$C$302,2,0),0)+1.25*IFERROR(VLOOKUP(A332,'#11 IH Results'!$A$2:$C$302,2,0),0)+IFERROR(VLOOKUP(A332,'#10 IH Results'!$A$2:$C$302,2,0),0)+IFERROR(VLOOKUP(A332,'#9 IH Results'!$A$2:$C$302,2,0),0)+IFERROR(VLOOKUP(A332,'#8 IH Results'!$A$2:$C$302,2,0),0)+IFERROR(VLOOKUP(A332,'#7 IH Results'!$A$2:$C$302,2,0),0)+IFERROR(VLOOKUP(A332,'#6 IH Results'!$A$2:$C$302,2,0),0)+IFERROR(VLOOKUP(A332,'#5 IH Results'!$A$2:$C$303,2,0),0)+IFERROR(VLOOKUP(A332,'#4 IH Results'!$A$2:$C$300,2,0),0)+IFERROR(VLOOKUP(A332,'#3 IH Results'!$A$2:$C$101,2,0),0)+IFERROR(VLOOKUP(A332,'#2 IH Results'!$A$2:$C$101,2,0),0)+IFERROR(VLOOKUP(A332,'#1 IH Results'!$A$2:$C$101,2,0),0)+IFERROR(VLOOKUP(A332,'#0 IH Results'!$A$3:$C$102,2,0),0)</f>
        <v>0</v>
      </c>
    </row>
    <row r="333">
      <c r="B333" s="6">
        <f>3*IFERROR(VLOOKUP(A333,'#15 IH Results'!$A$2:$C$301,2,0),0)+2*IFERROR(VLOOKUP(A333,'#14 IH Results'!$A$2:$C$302,2,0),0)+1.5*IFERROR(VLOOKUP(A333,'#13 IH Results'!$A$2:$C$302,2,0),0)+1.25*IFERROR(VLOOKUP(A333,'#12 IH Results'!$A$2:$C$302,2,0),0)+1.25*IFERROR(VLOOKUP(A333,'#11 IH Results'!$A$2:$C$302,2,0),0)+IFERROR(VLOOKUP(A333,'#10 IH Results'!$A$2:$C$302,2,0),0)+IFERROR(VLOOKUP(A333,'#9 IH Results'!$A$2:$C$302,2,0),0)+IFERROR(VLOOKUP(A333,'#8 IH Results'!$A$2:$C$302,2,0),0)+IFERROR(VLOOKUP(A333,'#7 IH Results'!$A$2:$C$302,2,0),0)+IFERROR(VLOOKUP(A333,'#6 IH Results'!$A$2:$C$302,2,0),0)+IFERROR(VLOOKUP(A333,'#5 IH Results'!$A$2:$C$303,2,0),0)+IFERROR(VLOOKUP(A333,'#4 IH Results'!$A$2:$C$300,2,0),0)+IFERROR(VLOOKUP(A333,'#3 IH Results'!$A$2:$C$101,2,0),0)+IFERROR(VLOOKUP(A333,'#2 IH Results'!$A$2:$C$101,2,0),0)+IFERROR(VLOOKUP(A333,'#1 IH Results'!$A$2:$C$101,2,0),0)+IFERROR(VLOOKUP(A333,'#0 IH Results'!$A$3:$C$102,2,0),0)</f>
        <v>0</v>
      </c>
    </row>
    <row r="334">
      <c r="B334" s="6">
        <f>3*IFERROR(VLOOKUP(A334,'#15 IH Results'!$A$2:$C$301,2,0),0)+2*IFERROR(VLOOKUP(A334,'#14 IH Results'!$A$2:$C$302,2,0),0)+1.5*IFERROR(VLOOKUP(A334,'#13 IH Results'!$A$2:$C$302,2,0),0)+1.25*IFERROR(VLOOKUP(A334,'#12 IH Results'!$A$2:$C$302,2,0),0)+1.25*IFERROR(VLOOKUP(A334,'#11 IH Results'!$A$2:$C$302,2,0),0)+IFERROR(VLOOKUP(A334,'#10 IH Results'!$A$2:$C$302,2,0),0)+IFERROR(VLOOKUP(A334,'#9 IH Results'!$A$2:$C$302,2,0),0)+IFERROR(VLOOKUP(A334,'#8 IH Results'!$A$2:$C$302,2,0),0)+IFERROR(VLOOKUP(A334,'#7 IH Results'!$A$2:$C$302,2,0),0)+IFERROR(VLOOKUP(A334,'#6 IH Results'!$A$2:$C$302,2,0),0)+IFERROR(VLOOKUP(A334,'#5 IH Results'!$A$2:$C$303,2,0),0)+IFERROR(VLOOKUP(A334,'#4 IH Results'!$A$2:$C$300,2,0),0)+IFERROR(VLOOKUP(A334,'#3 IH Results'!$A$2:$C$101,2,0),0)+IFERROR(VLOOKUP(A334,'#2 IH Results'!$A$2:$C$101,2,0),0)+IFERROR(VLOOKUP(A334,'#1 IH Results'!$A$2:$C$101,2,0),0)+IFERROR(VLOOKUP(A334,'#0 IH Results'!$A$3:$C$102,2,0),0)</f>
        <v>0</v>
      </c>
    </row>
    <row r="335">
      <c r="B335" s="6">
        <f>3*IFERROR(VLOOKUP(A335,'#15 IH Results'!$A$2:$C$301,2,0),0)+2*IFERROR(VLOOKUP(A335,'#14 IH Results'!$A$2:$C$302,2,0),0)+1.5*IFERROR(VLOOKUP(A335,'#13 IH Results'!$A$2:$C$302,2,0),0)+1.25*IFERROR(VLOOKUP(A335,'#12 IH Results'!$A$2:$C$302,2,0),0)+1.25*IFERROR(VLOOKUP(A335,'#11 IH Results'!$A$2:$C$302,2,0),0)+IFERROR(VLOOKUP(A335,'#10 IH Results'!$A$2:$C$302,2,0),0)+IFERROR(VLOOKUP(A335,'#9 IH Results'!$A$2:$C$302,2,0),0)+IFERROR(VLOOKUP(A335,'#8 IH Results'!$A$2:$C$302,2,0),0)+IFERROR(VLOOKUP(A335,'#7 IH Results'!$A$2:$C$302,2,0),0)+IFERROR(VLOOKUP(A335,'#6 IH Results'!$A$2:$C$302,2,0),0)+IFERROR(VLOOKUP(A335,'#5 IH Results'!$A$2:$C$303,2,0),0)+IFERROR(VLOOKUP(A335,'#4 IH Results'!$A$2:$C$300,2,0),0)+IFERROR(VLOOKUP(A335,'#3 IH Results'!$A$2:$C$101,2,0),0)+IFERROR(VLOOKUP(A335,'#2 IH Results'!$A$2:$C$101,2,0),0)+IFERROR(VLOOKUP(A335,'#1 IH Results'!$A$2:$C$101,2,0),0)+IFERROR(VLOOKUP(A335,'#0 IH Results'!$A$3:$C$102,2,0),0)</f>
        <v>0</v>
      </c>
    </row>
    <row r="336">
      <c r="B336" s="6">
        <f>3*IFERROR(VLOOKUP(A336,'#15 IH Results'!$A$2:$C$301,2,0),0)+2*IFERROR(VLOOKUP(A336,'#14 IH Results'!$A$2:$C$302,2,0),0)+1.5*IFERROR(VLOOKUP(A336,'#13 IH Results'!$A$2:$C$302,2,0),0)+1.25*IFERROR(VLOOKUP(A336,'#12 IH Results'!$A$2:$C$302,2,0),0)+1.25*IFERROR(VLOOKUP(A336,'#11 IH Results'!$A$2:$C$302,2,0),0)+IFERROR(VLOOKUP(A336,'#10 IH Results'!$A$2:$C$302,2,0),0)+IFERROR(VLOOKUP(A336,'#9 IH Results'!$A$2:$C$302,2,0),0)+IFERROR(VLOOKUP(A336,'#8 IH Results'!$A$2:$C$302,2,0),0)+IFERROR(VLOOKUP(A336,'#7 IH Results'!$A$2:$C$302,2,0),0)+IFERROR(VLOOKUP(A336,'#6 IH Results'!$A$2:$C$302,2,0),0)+IFERROR(VLOOKUP(A336,'#5 IH Results'!$A$2:$C$303,2,0),0)+IFERROR(VLOOKUP(A336,'#4 IH Results'!$A$2:$C$300,2,0),0)+IFERROR(VLOOKUP(A336,'#3 IH Results'!$A$2:$C$101,2,0),0)+IFERROR(VLOOKUP(A336,'#2 IH Results'!$A$2:$C$101,2,0),0)+IFERROR(VLOOKUP(A336,'#1 IH Results'!$A$2:$C$101,2,0),0)+IFERROR(VLOOKUP(A336,'#0 IH Results'!$A$3:$C$102,2,0),0)</f>
        <v>0</v>
      </c>
    </row>
    <row r="337">
      <c r="B337" s="6">
        <f>3*IFERROR(VLOOKUP(A337,'#15 IH Results'!$A$2:$C$301,2,0),0)+2*IFERROR(VLOOKUP(A337,'#14 IH Results'!$A$2:$C$302,2,0),0)+1.5*IFERROR(VLOOKUP(A337,'#13 IH Results'!$A$2:$C$302,2,0),0)+1.25*IFERROR(VLOOKUP(A337,'#12 IH Results'!$A$2:$C$302,2,0),0)+1.25*IFERROR(VLOOKUP(A337,'#11 IH Results'!$A$2:$C$302,2,0),0)+IFERROR(VLOOKUP(A337,'#10 IH Results'!$A$2:$C$302,2,0),0)+IFERROR(VLOOKUP(A337,'#9 IH Results'!$A$2:$C$302,2,0),0)+IFERROR(VLOOKUP(A337,'#8 IH Results'!$A$2:$C$302,2,0),0)+IFERROR(VLOOKUP(A337,'#7 IH Results'!$A$2:$C$302,2,0),0)+IFERROR(VLOOKUP(A337,'#6 IH Results'!$A$2:$C$302,2,0),0)+IFERROR(VLOOKUP(A337,'#5 IH Results'!$A$2:$C$303,2,0),0)+IFERROR(VLOOKUP(A337,'#4 IH Results'!$A$2:$C$300,2,0),0)+IFERROR(VLOOKUP(A337,'#3 IH Results'!$A$2:$C$101,2,0),0)+IFERROR(VLOOKUP(A337,'#2 IH Results'!$A$2:$C$101,2,0),0)+IFERROR(VLOOKUP(A337,'#1 IH Results'!$A$2:$C$101,2,0),0)+IFERROR(VLOOKUP(A337,'#0 IH Results'!$A$3:$C$102,2,0),0)</f>
        <v>0</v>
      </c>
    </row>
    <row r="338">
      <c r="B338" s="6">
        <f>3*IFERROR(VLOOKUP(A338,'#15 IH Results'!$A$2:$C$301,2,0),0)+2*IFERROR(VLOOKUP(A338,'#14 IH Results'!$A$2:$C$302,2,0),0)+1.5*IFERROR(VLOOKUP(A338,'#13 IH Results'!$A$2:$C$302,2,0),0)+1.25*IFERROR(VLOOKUP(A338,'#12 IH Results'!$A$2:$C$302,2,0),0)+1.25*IFERROR(VLOOKUP(A338,'#11 IH Results'!$A$2:$C$302,2,0),0)+IFERROR(VLOOKUP(A338,'#10 IH Results'!$A$2:$C$302,2,0),0)+IFERROR(VLOOKUP(A338,'#9 IH Results'!$A$2:$C$302,2,0),0)+IFERROR(VLOOKUP(A338,'#8 IH Results'!$A$2:$C$302,2,0),0)+IFERROR(VLOOKUP(A338,'#7 IH Results'!$A$2:$C$302,2,0),0)+IFERROR(VLOOKUP(A338,'#6 IH Results'!$A$2:$C$302,2,0),0)+IFERROR(VLOOKUP(A338,'#5 IH Results'!$A$2:$C$303,2,0),0)+IFERROR(VLOOKUP(A338,'#4 IH Results'!$A$2:$C$300,2,0),0)+IFERROR(VLOOKUP(A338,'#3 IH Results'!$A$2:$C$101,2,0),0)+IFERROR(VLOOKUP(A338,'#2 IH Results'!$A$2:$C$101,2,0),0)+IFERROR(VLOOKUP(A338,'#1 IH Results'!$A$2:$C$101,2,0),0)+IFERROR(VLOOKUP(A338,'#0 IH Results'!$A$3:$C$102,2,0),0)</f>
        <v>0</v>
      </c>
    </row>
    <row r="339">
      <c r="B339" s="6">
        <f>3*IFERROR(VLOOKUP(A339,'#15 IH Results'!$A$2:$C$301,2,0),0)+2*IFERROR(VLOOKUP(A339,'#14 IH Results'!$A$2:$C$302,2,0),0)+1.5*IFERROR(VLOOKUP(A339,'#13 IH Results'!$A$2:$C$302,2,0),0)+1.25*IFERROR(VLOOKUP(A339,'#12 IH Results'!$A$2:$C$302,2,0),0)+1.25*IFERROR(VLOOKUP(A339,'#11 IH Results'!$A$2:$C$302,2,0),0)+IFERROR(VLOOKUP(A339,'#10 IH Results'!$A$2:$C$302,2,0),0)+IFERROR(VLOOKUP(A339,'#9 IH Results'!$A$2:$C$302,2,0),0)+IFERROR(VLOOKUP(A339,'#8 IH Results'!$A$2:$C$302,2,0),0)+IFERROR(VLOOKUP(A339,'#7 IH Results'!$A$2:$C$302,2,0),0)+IFERROR(VLOOKUP(A339,'#6 IH Results'!$A$2:$C$302,2,0),0)+IFERROR(VLOOKUP(A339,'#5 IH Results'!$A$2:$C$303,2,0),0)+IFERROR(VLOOKUP(A339,'#4 IH Results'!$A$2:$C$300,2,0),0)+IFERROR(VLOOKUP(A339,'#3 IH Results'!$A$2:$C$101,2,0),0)+IFERROR(VLOOKUP(A339,'#2 IH Results'!$A$2:$C$101,2,0),0)+IFERROR(VLOOKUP(A339,'#1 IH Results'!$A$2:$C$101,2,0),0)+IFERROR(VLOOKUP(A339,'#0 IH Results'!$A$3:$C$102,2,0),0)</f>
        <v>0</v>
      </c>
    </row>
    <row r="340">
      <c r="B340" s="6">
        <f>3*IFERROR(VLOOKUP(A340,'#15 IH Results'!$A$2:$C$301,2,0),0)+2*IFERROR(VLOOKUP(A340,'#14 IH Results'!$A$2:$C$302,2,0),0)+1.5*IFERROR(VLOOKUP(A340,'#13 IH Results'!$A$2:$C$302,2,0),0)+1.25*IFERROR(VLOOKUP(A340,'#12 IH Results'!$A$2:$C$302,2,0),0)+1.25*IFERROR(VLOOKUP(A340,'#11 IH Results'!$A$2:$C$302,2,0),0)+IFERROR(VLOOKUP(A340,'#10 IH Results'!$A$2:$C$302,2,0),0)+IFERROR(VLOOKUP(A340,'#9 IH Results'!$A$2:$C$302,2,0),0)+IFERROR(VLOOKUP(A340,'#8 IH Results'!$A$2:$C$302,2,0),0)+IFERROR(VLOOKUP(A340,'#7 IH Results'!$A$2:$C$302,2,0),0)+IFERROR(VLOOKUP(A340,'#6 IH Results'!$A$2:$C$302,2,0),0)+IFERROR(VLOOKUP(A340,'#5 IH Results'!$A$2:$C$303,2,0),0)+IFERROR(VLOOKUP(A340,'#4 IH Results'!$A$2:$C$300,2,0),0)+IFERROR(VLOOKUP(A340,'#3 IH Results'!$A$2:$C$101,2,0),0)+IFERROR(VLOOKUP(A340,'#2 IH Results'!$A$2:$C$101,2,0),0)+IFERROR(VLOOKUP(A340,'#1 IH Results'!$A$2:$C$101,2,0),0)+IFERROR(VLOOKUP(A340,'#0 IH Results'!$A$3:$C$102,2,0),0)</f>
        <v>0</v>
      </c>
    </row>
    <row r="341">
      <c r="B341" s="6">
        <f>3*IFERROR(VLOOKUP(A341,'#15 IH Results'!$A$2:$C$301,2,0),0)+2*IFERROR(VLOOKUP(A341,'#14 IH Results'!$A$2:$C$302,2,0),0)+1.5*IFERROR(VLOOKUP(A341,'#13 IH Results'!$A$2:$C$302,2,0),0)+1.25*IFERROR(VLOOKUP(A341,'#12 IH Results'!$A$2:$C$302,2,0),0)+1.25*IFERROR(VLOOKUP(A341,'#11 IH Results'!$A$2:$C$302,2,0),0)+IFERROR(VLOOKUP(A341,'#10 IH Results'!$A$2:$C$302,2,0),0)+IFERROR(VLOOKUP(A341,'#9 IH Results'!$A$2:$C$302,2,0),0)+IFERROR(VLOOKUP(A341,'#8 IH Results'!$A$2:$C$302,2,0),0)+IFERROR(VLOOKUP(A341,'#7 IH Results'!$A$2:$C$302,2,0),0)+IFERROR(VLOOKUP(A341,'#6 IH Results'!$A$2:$C$302,2,0),0)+IFERROR(VLOOKUP(A341,'#5 IH Results'!$A$2:$C$303,2,0),0)+IFERROR(VLOOKUP(A341,'#4 IH Results'!$A$2:$C$300,2,0),0)+IFERROR(VLOOKUP(A341,'#3 IH Results'!$A$2:$C$101,2,0),0)+IFERROR(VLOOKUP(A341,'#2 IH Results'!$A$2:$C$101,2,0),0)+IFERROR(VLOOKUP(A341,'#1 IH Results'!$A$2:$C$101,2,0),0)+IFERROR(VLOOKUP(A341,'#0 IH Results'!$A$3:$C$102,2,0),0)</f>
        <v>0</v>
      </c>
    </row>
    <row r="342">
      <c r="B342" s="6">
        <f>3*IFERROR(VLOOKUP(A342,'#15 IH Results'!$A$2:$C$301,2,0),0)+2*IFERROR(VLOOKUP(A342,'#14 IH Results'!$A$2:$C$302,2,0),0)+1.5*IFERROR(VLOOKUP(A342,'#13 IH Results'!$A$2:$C$302,2,0),0)+1.25*IFERROR(VLOOKUP(A342,'#12 IH Results'!$A$2:$C$302,2,0),0)+1.25*IFERROR(VLOOKUP(A342,'#11 IH Results'!$A$2:$C$302,2,0),0)+IFERROR(VLOOKUP(A342,'#10 IH Results'!$A$2:$C$302,2,0),0)+IFERROR(VLOOKUP(A342,'#9 IH Results'!$A$2:$C$302,2,0),0)+IFERROR(VLOOKUP(A342,'#8 IH Results'!$A$2:$C$302,2,0),0)+IFERROR(VLOOKUP(A342,'#7 IH Results'!$A$2:$C$302,2,0),0)+IFERROR(VLOOKUP(A342,'#6 IH Results'!$A$2:$C$302,2,0),0)+IFERROR(VLOOKUP(A342,'#5 IH Results'!$A$2:$C$303,2,0),0)+IFERROR(VLOOKUP(A342,'#4 IH Results'!$A$2:$C$300,2,0),0)+IFERROR(VLOOKUP(A342,'#3 IH Results'!$A$2:$C$101,2,0),0)+IFERROR(VLOOKUP(A342,'#2 IH Results'!$A$2:$C$101,2,0),0)+IFERROR(VLOOKUP(A342,'#1 IH Results'!$A$2:$C$101,2,0),0)+IFERROR(VLOOKUP(A342,'#0 IH Results'!$A$3:$C$102,2,0),0)</f>
        <v>0</v>
      </c>
    </row>
    <row r="343">
      <c r="B343" s="6">
        <f>3*IFERROR(VLOOKUP(A343,'#15 IH Results'!$A$2:$C$301,2,0),0)+2*IFERROR(VLOOKUP(A343,'#14 IH Results'!$A$2:$C$302,2,0),0)+1.5*IFERROR(VLOOKUP(A343,'#13 IH Results'!$A$2:$C$302,2,0),0)+1.25*IFERROR(VLOOKUP(A343,'#12 IH Results'!$A$2:$C$302,2,0),0)+1.25*IFERROR(VLOOKUP(A343,'#11 IH Results'!$A$2:$C$302,2,0),0)+IFERROR(VLOOKUP(A343,'#10 IH Results'!$A$2:$C$302,2,0),0)+IFERROR(VLOOKUP(A343,'#9 IH Results'!$A$2:$C$302,2,0),0)+IFERROR(VLOOKUP(A343,'#8 IH Results'!$A$2:$C$302,2,0),0)+IFERROR(VLOOKUP(A343,'#7 IH Results'!$A$2:$C$302,2,0),0)+IFERROR(VLOOKUP(A343,'#6 IH Results'!$A$2:$C$302,2,0),0)+IFERROR(VLOOKUP(A343,'#5 IH Results'!$A$2:$C$303,2,0),0)+IFERROR(VLOOKUP(A343,'#4 IH Results'!$A$2:$C$300,2,0),0)+IFERROR(VLOOKUP(A343,'#3 IH Results'!$A$2:$C$101,2,0),0)+IFERROR(VLOOKUP(A343,'#2 IH Results'!$A$2:$C$101,2,0),0)+IFERROR(VLOOKUP(A343,'#1 IH Results'!$A$2:$C$101,2,0),0)+IFERROR(VLOOKUP(A343,'#0 IH Results'!$A$3:$C$102,2,0),0)</f>
        <v>0</v>
      </c>
    </row>
    <row r="344">
      <c r="B344" s="6">
        <f>3*IFERROR(VLOOKUP(A344,'#15 IH Results'!$A$2:$C$301,2,0),0)+2*IFERROR(VLOOKUP(A344,'#14 IH Results'!$A$2:$C$302,2,0),0)+1.5*IFERROR(VLOOKUP(A344,'#13 IH Results'!$A$2:$C$302,2,0),0)+1.25*IFERROR(VLOOKUP(A344,'#12 IH Results'!$A$2:$C$302,2,0),0)+1.25*IFERROR(VLOOKUP(A344,'#11 IH Results'!$A$2:$C$302,2,0),0)+IFERROR(VLOOKUP(A344,'#10 IH Results'!$A$2:$C$302,2,0),0)+IFERROR(VLOOKUP(A344,'#9 IH Results'!$A$2:$C$302,2,0),0)+IFERROR(VLOOKUP(A344,'#8 IH Results'!$A$2:$C$302,2,0),0)+IFERROR(VLOOKUP(A344,'#7 IH Results'!$A$2:$C$302,2,0),0)+IFERROR(VLOOKUP(A344,'#6 IH Results'!$A$2:$C$302,2,0),0)+IFERROR(VLOOKUP(A344,'#5 IH Results'!$A$2:$C$303,2,0),0)+IFERROR(VLOOKUP(A344,'#4 IH Results'!$A$2:$C$300,2,0),0)+IFERROR(VLOOKUP(A344,'#3 IH Results'!$A$2:$C$101,2,0),0)+IFERROR(VLOOKUP(A344,'#2 IH Results'!$A$2:$C$101,2,0),0)+IFERROR(VLOOKUP(A344,'#1 IH Results'!$A$2:$C$101,2,0),0)+IFERROR(VLOOKUP(A344,'#0 IH Results'!$A$3:$C$102,2,0),0)</f>
        <v>0</v>
      </c>
    </row>
    <row r="345">
      <c r="B345" s="6">
        <f>3*IFERROR(VLOOKUP(A345,'#15 IH Results'!$A$2:$C$301,2,0),0)+2*IFERROR(VLOOKUP(A345,'#14 IH Results'!$A$2:$C$302,2,0),0)+1.5*IFERROR(VLOOKUP(A345,'#13 IH Results'!$A$2:$C$302,2,0),0)+1.25*IFERROR(VLOOKUP(A345,'#12 IH Results'!$A$2:$C$302,2,0),0)+1.25*IFERROR(VLOOKUP(A345,'#11 IH Results'!$A$2:$C$302,2,0),0)+IFERROR(VLOOKUP(A345,'#10 IH Results'!$A$2:$C$302,2,0),0)+IFERROR(VLOOKUP(A345,'#9 IH Results'!$A$2:$C$302,2,0),0)+IFERROR(VLOOKUP(A345,'#8 IH Results'!$A$2:$C$302,2,0),0)+IFERROR(VLOOKUP(A345,'#7 IH Results'!$A$2:$C$302,2,0),0)+IFERROR(VLOOKUP(A345,'#6 IH Results'!$A$2:$C$302,2,0),0)+IFERROR(VLOOKUP(A345,'#5 IH Results'!$A$2:$C$303,2,0),0)+IFERROR(VLOOKUP(A345,'#4 IH Results'!$A$2:$C$300,2,0),0)+IFERROR(VLOOKUP(A345,'#3 IH Results'!$A$2:$C$101,2,0),0)+IFERROR(VLOOKUP(A345,'#2 IH Results'!$A$2:$C$101,2,0),0)+IFERROR(VLOOKUP(A345,'#1 IH Results'!$A$2:$C$101,2,0),0)+IFERROR(VLOOKUP(A345,'#0 IH Results'!$A$3:$C$102,2,0),0)</f>
        <v>0</v>
      </c>
    </row>
    <row r="346">
      <c r="B346" s="6">
        <f>3*IFERROR(VLOOKUP(A346,'#15 IH Results'!$A$2:$C$301,2,0),0)+2*IFERROR(VLOOKUP(A346,'#14 IH Results'!$A$2:$C$302,2,0),0)+1.5*IFERROR(VLOOKUP(A346,'#13 IH Results'!$A$2:$C$302,2,0),0)+1.25*IFERROR(VLOOKUP(A346,'#12 IH Results'!$A$2:$C$302,2,0),0)+1.25*IFERROR(VLOOKUP(A346,'#11 IH Results'!$A$2:$C$302,2,0),0)+IFERROR(VLOOKUP(A346,'#10 IH Results'!$A$2:$C$302,2,0),0)+IFERROR(VLOOKUP(A346,'#9 IH Results'!$A$2:$C$302,2,0),0)+IFERROR(VLOOKUP(A346,'#8 IH Results'!$A$2:$C$302,2,0),0)+IFERROR(VLOOKUP(A346,'#7 IH Results'!$A$2:$C$302,2,0),0)+IFERROR(VLOOKUP(A346,'#6 IH Results'!$A$2:$C$302,2,0),0)+IFERROR(VLOOKUP(A346,'#5 IH Results'!$A$2:$C$303,2,0),0)+IFERROR(VLOOKUP(A346,'#4 IH Results'!$A$2:$C$300,2,0),0)+IFERROR(VLOOKUP(A346,'#3 IH Results'!$A$2:$C$101,2,0),0)+IFERROR(VLOOKUP(A346,'#2 IH Results'!$A$2:$C$101,2,0),0)+IFERROR(VLOOKUP(A346,'#1 IH Results'!$A$2:$C$101,2,0),0)+IFERROR(VLOOKUP(A346,'#0 IH Results'!$A$3:$C$102,2,0),0)</f>
        <v>0</v>
      </c>
    </row>
    <row r="347">
      <c r="B347" s="6">
        <f>3*IFERROR(VLOOKUP(A347,'#15 IH Results'!$A$2:$C$301,2,0),0)+2*IFERROR(VLOOKUP(A347,'#14 IH Results'!$A$2:$C$302,2,0),0)+1.5*IFERROR(VLOOKUP(A347,'#13 IH Results'!$A$2:$C$302,2,0),0)+1.25*IFERROR(VLOOKUP(A347,'#12 IH Results'!$A$2:$C$302,2,0),0)+1.25*IFERROR(VLOOKUP(A347,'#11 IH Results'!$A$2:$C$302,2,0),0)+IFERROR(VLOOKUP(A347,'#10 IH Results'!$A$2:$C$302,2,0),0)+IFERROR(VLOOKUP(A347,'#9 IH Results'!$A$2:$C$302,2,0),0)+IFERROR(VLOOKUP(A347,'#8 IH Results'!$A$2:$C$302,2,0),0)+IFERROR(VLOOKUP(A347,'#7 IH Results'!$A$2:$C$302,2,0),0)+IFERROR(VLOOKUP(A347,'#6 IH Results'!$A$2:$C$302,2,0),0)+IFERROR(VLOOKUP(A347,'#5 IH Results'!$A$2:$C$303,2,0),0)+IFERROR(VLOOKUP(A347,'#4 IH Results'!$A$2:$C$300,2,0),0)+IFERROR(VLOOKUP(A347,'#3 IH Results'!$A$2:$C$101,2,0),0)+IFERROR(VLOOKUP(A347,'#2 IH Results'!$A$2:$C$101,2,0),0)+IFERROR(VLOOKUP(A347,'#1 IH Results'!$A$2:$C$101,2,0),0)+IFERROR(VLOOKUP(A347,'#0 IH Results'!$A$3:$C$102,2,0),0)</f>
        <v>0</v>
      </c>
    </row>
    <row r="348">
      <c r="B348" s="6">
        <f>3*IFERROR(VLOOKUP(A348,'#15 IH Results'!$A$2:$C$301,2,0),0)+2*IFERROR(VLOOKUP(A348,'#14 IH Results'!$A$2:$C$302,2,0),0)+1.5*IFERROR(VLOOKUP(A348,'#13 IH Results'!$A$2:$C$302,2,0),0)+1.25*IFERROR(VLOOKUP(A348,'#12 IH Results'!$A$2:$C$302,2,0),0)+1.25*IFERROR(VLOOKUP(A348,'#11 IH Results'!$A$2:$C$302,2,0),0)+IFERROR(VLOOKUP(A348,'#10 IH Results'!$A$2:$C$302,2,0),0)+IFERROR(VLOOKUP(A348,'#9 IH Results'!$A$2:$C$302,2,0),0)+IFERROR(VLOOKUP(A348,'#8 IH Results'!$A$2:$C$302,2,0),0)+IFERROR(VLOOKUP(A348,'#7 IH Results'!$A$2:$C$302,2,0),0)+IFERROR(VLOOKUP(A348,'#6 IH Results'!$A$2:$C$302,2,0),0)+IFERROR(VLOOKUP(A348,'#5 IH Results'!$A$2:$C$303,2,0),0)+IFERROR(VLOOKUP(A348,'#4 IH Results'!$A$2:$C$300,2,0),0)+IFERROR(VLOOKUP(A348,'#3 IH Results'!$A$2:$C$101,2,0),0)+IFERROR(VLOOKUP(A348,'#2 IH Results'!$A$2:$C$101,2,0),0)+IFERROR(VLOOKUP(A348,'#1 IH Results'!$A$2:$C$101,2,0),0)+IFERROR(VLOOKUP(A348,'#0 IH Results'!$A$3:$C$102,2,0),0)</f>
        <v>0</v>
      </c>
    </row>
    <row r="349">
      <c r="B349" s="6">
        <f>3*IFERROR(VLOOKUP(A349,'#15 IH Results'!$A$2:$C$301,2,0),0)+2*IFERROR(VLOOKUP(A349,'#14 IH Results'!$A$2:$C$302,2,0),0)+1.5*IFERROR(VLOOKUP(A349,'#13 IH Results'!$A$2:$C$302,2,0),0)+1.25*IFERROR(VLOOKUP(A349,'#12 IH Results'!$A$2:$C$302,2,0),0)+1.25*IFERROR(VLOOKUP(A349,'#11 IH Results'!$A$2:$C$302,2,0),0)+IFERROR(VLOOKUP(A349,'#10 IH Results'!$A$2:$C$302,2,0),0)+IFERROR(VLOOKUP(A349,'#9 IH Results'!$A$2:$C$302,2,0),0)+IFERROR(VLOOKUP(A349,'#8 IH Results'!$A$2:$C$302,2,0),0)+IFERROR(VLOOKUP(A349,'#7 IH Results'!$A$2:$C$302,2,0),0)+IFERROR(VLOOKUP(A349,'#6 IH Results'!$A$2:$C$302,2,0),0)+IFERROR(VLOOKUP(A349,'#5 IH Results'!$A$2:$C$303,2,0),0)+IFERROR(VLOOKUP(A349,'#4 IH Results'!$A$2:$C$300,2,0),0)+IFERROR(VLOOKUP(A349,'#3 IH Results'!$A$2:$C$101,2,0),0)+IFERROR(VLOOKUP(A349,'#2 IH Results'!$A$2:$C$101,2,0),0)+IFERROR(VLOOKUP(A349,'#1 IH Results'!$A$2:$C$101,2,0),0)+IFERROR(VLOOKUP(A349,'#0 IH Results'!$A$3:$C$102,2,0),0)</f>
        <v>0</v>
      </c>
    </row>
    <row r="350">
      <c r="B350" s="6">
        <f>3*IFERROR(VLOOKUP(A350,'#15 IH Results'!$A$2:$C$301,2,0),0)+2*IFERROR(VLOOKUP(A350,'#14 IH Results'!$A$2:$C$302,2,0),0)+1.5*IFERROR(VLOOKUP(A350,'#13 IH Results'!$A$2:$C$302,2,0),0)+1.25*IFERROR(VLOOKUP(A350,'#12 IH Results'!$A$2:$C$302,2,0),0)+1.25*IFERROR(VLOOKUP(A350,'#11 IH Results'!$A$2:$C$302,2,0),0)+IFERROR(VLOOKUP(A350,'#10 IH Results'!$A$2:$C$302,2,0),0)+IFERROR(VLOOKUP(A350,'#9 IH Results'!$A$2:$C$302,2,0),0)+IFERROR(VLOOKUP(A350,'#8 IH Results'!$A$2:$C$302,2,0),0)+IFERROR(VLOOKUP(A350,'#7 IH Results'!$A$2:$C$302,2,0),0)+IFERROR(VLOOKUP(A350,'#6 IH Results'!$A$2:$C$302,2,0),0)+IFERROR(VLOOKUP(A350,'#5 IH Results'!$A$2:$C$303,2,0),0)+IFERROR(VLOOKUP(A350,'#4 IH Results'!$A$2:$C$300,2,0),0)+IFERROR(VLOOKUP(A350,'#3 IH Results'!$A$2:$C$101,2,0),0)+IFERROR(VLOOKUP(A350,'#2 IH Results'!$A$2:$C$101,2,0),0)+IFERROR(VLOOKUP(A350,'#1 IH Results'!$A$2:$C$101,2,0),0)+IFERROR(VLOOKUP(A350,'#0 IH Results'!$A$3:$C$102,2,0),0)</f>
        <v>0</v>
      </c>
    </row>
    <row r="351">
      <c r="B351" s="6">
        <f>3*IFERROR(VLOOKUP(A351,'#15 IH Results'!$A$2:$C$301,2,0),0)+2*IFERROR(VLOOKUP(A351,'#14 IH Results'!$A$2:$C$302,2,0),0)+1.5*IFERROR(VLOOKUP(A351,'#13 IH Results'!$A$2:$C$302,2,0),0)+1.25*IFERROR(VLOOKUP(A351,'#12 IH Results'!$A$2:$C$302,2,0),0)+1.25*IFERROR(VLOOKUP(A351,'#11 IH Results'!$A$2:$C$302,2,0),0)+IFERROR(VLOOKUP(A351,'#10 IH Results'!$A$2:$C$302,2,0),0)+IFERROR(VLOOKUP(A351,'#9 IH Results'!$A$2:$C$302,2,0),0)+IFERROR(VLOOKUP(A351,'#8 IH Results'!$A$2:$C$302,2,0),0)+IFERROR(VLOOKUP(A351,'#7 IH Results'!$A$2:$C$302,2,0),0)+IFERROR(VLOOKUP(A351,'#6 IH Results'!$A$2:$C$302,2,0),0)+IFERROR(VLOOKUP(A351,'#5 IH Results'!$A$2:$C$303,2,0),0)+IFERROR(VLOOKUP(A351,'#4 IH Results'!$A$2:$C$300,2,0),0)+IFERROR(VLOOKUP(A351,'#3 IH Results'!$A$2:$C$101,2,0),0)+IFERROR(VLOOKUP(A351,'#2 IH Results'!$A$2:$C$101,2,0),0)+IFERROR(VLOOKUP(A351,'#1 IH Results'!$A$2:$C$101,2,0),0)+IFERROR(VLOOKUP(A351,'#0 IH Results'!$A$3:$C$102,2,0),0)</f>
        <v>0</v>
      </c>
    </row>
    <row r="352">
      <c r="B352" s="6">
        <f>3*IFERROR(VLOOKUP(A352,'#15 IH Results'!$A$2:$C$301,2,0),0)+2*IFERROR(VLOOKUP(A352,'#14 IH Results'!$A$2:$C$302,2,0),0)+1.5*IFERROR(VLOOKUP(A352,'#13 IH Results'!$A$2:$C$302,2,0),0)+1.25*IFERROR(VLOOKUP(A352,'#12 IH Results'!$A$2:$C$302,2,0),0)+1.25*IFERROR(VLOOKUP(A352,'#11 IH Results'!$A$2:$C$302,2,0),0)+IFERROR(VLOOKUP(A352,'#10 IH Results'!$A$2:$C$302,2,0),0)+IFERROR(VLOOKUP(A352,'#9 IH Results'!$A$2:$C$302,2,0),0)+IFERROR(VLOOKUP(A352,'#8 IH Results'!$A$2:$C$302,2,0),0)+IFERROR(VLOOKUP(A352,'#7 IH Results'!$A$2:$C$302,2,0),0)+IFERROR(VLOOKUP(A352,'#6 IH Results'!$A$2:$C$302,2,0),0)+IFERROR(VLOOKUP(A352,'#5 IH Results'!$A$2:$C$303,2,0),0)+IFERROR(VLOOKUP(A352,'#4 IH Results'!$A$2:$C$300,2,0),0)+IFERROR(VLOOKUP(A352,'#3 IH Results'!$A$2:$C$101,2,0),0)+IFERROR(VLOOKUP(A352,'#2 IH Results'!$A$2:$C$101,2,0),0)+IFERROR(VLOOKUP(A352,'#1 IH Results'!$A$2:$C$101,2,0),0)+IFERROR(VLOOKUP(A352,'#0 IH Results'!$A$3:$C$102,2,0),0)</f>
        <v>0</v>
      </c>
    </row>
    <row r="353">
      <c r="B353" s="6">
        <f>3*IFERROR(VLOOKUP(A353,'#15 IH Results'!$A$2:$C$301,2,0),0)+2*IFERROR(VLOOKUP(A353,'#14 IH Results'!$A$2:$C$302,2,0),0)+1.5*IFERROR(VLOOKUP(A353,'#13 IH Results'!$A$2:$C$302,2,0),0)+1.25*IFERROR(VLOOKUP(A353,'#12 IH Results'!$A$2:$C$302,2,0),0)+1.25*IFERROR(VLOOKUP(A353,'#11 IH Results'!$A$2:$C$302,2,0),0)+IFERROR(VLOOKUP(A353,'#10 IH Results'!$A$2:$C$302,2,0),0)+IFERROR(VLOOKUP(A353,'#9 IH Results'!$A$2:$C$302,2,0),0)+IFERROR(VLOOKUP(A353,'#8 IH Results'!$A$2:$C$302,2,0),0)+IFERROR(VLOOKUP(A353,'#7 IH Results'!$A$2:$C$302,2,0),0)+IFERROR(VLOOKUP(A353,'#6 IH Results'!$A$2:$C$302,2,0),0)+IFERROR(VLOOKUP(A353,'#5 IH Results'!$A$2:$C$303,2,0),0)+IFERROR(VLOOKUP(A353,'#4 IH Results'!$A$2:$C$300,2,0),0)+IFERROR(VLOOKUP(A353,'#3 IH Results'!$A$2:$C$101,2,0),0)+IFERROR(VLOOKUP(A353,'#2 IH Results'!$A$2:$C$101,2,0),0)+IFERROR(VLOOKUP(A353,'#1 IH Results'!$A$2:$C$101,2,0),0)+IFERROR(VLOOKUP(A353,'#0 IH Results'!$A$3:$C$102,2,0),0)</f>
        <v>0</v>
      </c>
    </row>
    <row r="354">
      <c r="B354" s="6">
        <f>3*IFERROR(VLOOKUP(A354,'#15 IH Results'!$A$2:$C$301,2,0),0)+2*IFERROR(VLOOKUP(A354,'#14 IH Results'!$A$2:$C$302,2,0),0)+1.5*IFERROR(VLOOKUP(A354,'#13 IH Results'!$A$2:$C$302,2,0),0)+1.25*IFERROR(VLOOKUP(A354,'#12 IH Results'!$A$2:$C$302,2,0),0)+1.25*IFERROR(VLOOKUP(A354,'#11 IH Results'!$A$2:$C$302,2,0),0)+IFERROR(VLOOKUP(A354,'#10 IH Results'!$A$2:$C$302,2,0),0)+IFERROR(VLOOKUP(A354,'#9 IH Results'!$A$2:$C$302,2,0),0)+IFERROR(VLOOKUP(A354,'#8 IH Results'!$A$2:$C$302,2,0),0)+IFERROR(VLOOKUP(A354,'#7 IH Results'!$A$2:$C$302,2,0),0)+IFERROR(VLOOKUP(A354,'#6 IH Results'!$A$2:$C$302,2,0),0)+IFERROR(VLOOKUP(A354,'#5 IH Results'!$A$2:$C$303,2,0),0)+IFERROR(VLOOKUP(A354,'#4 IH Results'!$A$2:$C$300,2,0),0)+IFERROR(VLOOKUP(A354,'#3 IH Results'!$A$2:$C$101,2,0),0)+IFERROR(VLOOKUP(A354,'#2 IH Results'!$A$2:$C$101,2,0),0)+IFERROR(VLOOKUP(A354,'#1 IH Results'!$A$2:$C$101,2,0),0)+IFERROR(VLOOKUP(A354,'#0 IH Results'!$A$3:$C$102,2,0),0)</f>
        <v>0</v>
      </c>
    </row>
    <row r="355">
      <c r="B355" s="6">
        <f>3*IFERROR(VLOOKUP(A355,'#15 IH Results'!$A$2:$C$301,2,0),0)+2*IFERROR(VLOOKUP(A355,'#14 IH Results'!$A$2:$C$302,2,0),0)+1.5*IFERROR(VLOOKUP(A355,'#13 IH Results'!$A$2:$C$302,2,0),0)+1.25*IFERROR(VLOOKUP(A355,'#12 IH Results'!$A$2:$C$302,2,0),0)+1.25*IFERROR(VLOOKUP(A355,'#11 IH Results'!$A$2:$C$302,2,0),0)+IFERROR(VLOOKUP(A355,'#10 IH Results'!$A$2:$C$302,2,0),0)+IFERROR(VLOOKUP(A355,'#9 IH Results'!$A$2:$C$302,2,0),0)+IFERROR(VLOOKUP(A355,'#8 IH Results'!$A$2:$C$302,2,0),0)+IFERROR(VLOOKUP(A355,'#7 IH Results'!$A$2:$C$302,2,0),0)+IFERROR(VLOOKUP(A355,'#6 IH Results'!$A$2:$C$302,2,0),0)+IFERROR(VLOOKUP(A355,'#5 IH Results'!$A$2:$C$303,2,0),0)+IFERROR(VLOOKUP(A355,'#4 IH Results'!$A$2:$C$300,2,0),0)+IFERROR(VLOOKUP(A355,'#3 IH Results'!$A$2:$C$101,2,0),0)+IFERROR(VLOOKUP(A355,'#2 IH Results'!$A$2:$C$101,2,0),0)+IFERROR(VLOOKUP(A355,'#1 IH Results'!$A$2:$C$101,2,0),0)+IFERROR(VLOOKUP(A355,'#0 IH Results'!$A$3:$C$102,2,0),0)</f>
        <v>0</v>
      </c>
    </row>
    <row r="356">
      <c r="B356" s="6">
        <f>3*IFERROR(VLOOKUP(A356,'#15 IH Results'!$A$2:$C$301,2,0),0)+2*IFERROR(VLOOKUP(A356,'#14 IH Results'!$A$2:$C$302,2,0),0)+1.5*IFERROR(VLOOKUP(A356,'#13 IH Results'!$A$2:$C$302,2,0),0)+1.25*IFERROR(VLOOKUP(A356,'#12 IH Results'!$A$2:$C$302,2,0),0)+1.25*IFERROR(VLOOKUP(A356,'#11 IH Results'!$A$2:$C$302,2,0),0)+IFERROR(VLOOKUP(A356,'#10 IH Results'!$A$2:$C$302,2,0),0)+IFERROR(VLOOKUP(A356,'#9 IH Results'!$A$2:$C$302,2,0),0)+IFERROR(VLOOKUP(A356,'#8 IH Results'!$A$2:$C$302,2,0),0)+IFERROR(VLOOKUP(A356,'#7 IH Results'!$A$2:$C$302,2,0),0)+IFERROR(VLOOKUP(A356,'#6 IH Results'!$A$2:$C$302,2,0),0)+IFERROR(VLOOKUP(A356,'#5 IH Results'!$A$2:$C$303,2,0),0)+IFERROR(VLOOKUP(A356,'#4 IH Results'!$A$2:$C$300,2,0),0)+IFERROR(VLOOKUP(A356,'#3 IH Results'!$A$2:$C$101,2,0),0)+IFERROR(VLOOKUP(A356,'#2 IH Results'!$A$2:$C$101,2,0),0)+IFERROR(VLOOKUP(A356,'#1 IH Results'!$A$2:$C$101,2,0),0)+IFERROR(VLOOKUP(A356,'#0 IH Results'!$A$3:$C$102,2,0),0)</f>
        <v>0</v>
      </c>
    </row>
    <row r="357">
      <c r="B357" s="6">
        <f>3*IFERROR(VLOOKUP(A357,'#15 IH Results'!$A$2:$C$301,2,0),0)+2*IFERROR(VLOOKUP(A357,'#14 IH Results'!$A$2:$C$302,2,0),0)+1.5*IFERROR(VLOOKUP(A357,'#13 IH Results'!$A$2:$C$302,2,0),0)+1.25*IFERROR(VLOOKUP(A357,'#12 IH Results'!$A$2:$C$302,2,0),0)+1.25*IFERROR(VLOOKUP(A357,'#11 IH Results'!$A$2:$C$302,2,0),0)+IFERROR(VLOOKUP(A357,'#10 IH Results'!$A$2:$C$302,2,0),0)+IFERROR(VLOOKUP(A357,'#9 IH Results'!$A$2:$C$302,2,0),0)+IFERROR(VLOOKUP(A357,'#8 IH Results'!$A$2:$C$302,2,0),0)+IFERROR(VLOOKUP(A357,'#7 IH Results'!$A$2:$C$302,2,0),0)+IFERROR(VLOOKUP(A357,'#6 IH Results'!$A$2:$C$302,2,0),0)+IFERROR(VLOOKUP(A357,'#5 IH Results'!$A$2:$C$303,2,0),0)+IFERROR(VLOOKUP(A357,'#4 IH Results'!$A$2:$C$300,2,0),0)+IFERROR(VLOOKUP(A357,'#3 IH Results'!$A$2:$C$101,2,0),0)+IFERROR(VLOOKUP(A357,'#2 IH Results'!$A$2:$C$101,2,0),0)+IFERROR(VLOOKUP(A357,'#1 IH Results'!$A$2:$C$101,2,0),0)+IFERROR(VLOOKUP(A357,'#0 IH Results'!$A$3:$C$102,2,0),0)</f>
        <v>0</v>
      </c>
    </row>
    <row r="358">
      <c r="B358" s="6">
        <f>2*IFERROR(VLOOKUP(A358,'#15 IH Results'!$A$2:$C$301,2,0),0)+2*IFERROR(VLOOKUP(A358,'#14 IH Results'!$A$2:$C$302,2,0),0)+2*IFERROR(VLOOKUP(A358,'#13 IH Results'!$A$2:$C$302,2,0),0)+IFERROR(VLOOKUP(A358,'#12 IH Results'!$A$2:$C$302,2,0),0)+IFERROR(VLOOKUP(A358,'#11 IH Results'!$A$2:$C$302,2,0),0)+IFERROR(VLOOKUP(A358,'#10 IH Results'!$A$2:$C$302,2,0),0)+IFERROR(VLOOKUP(A358,'#9 IH Results'!$A$2:$C$302,2,0),0)+IFERROR(VLOOKUP(A358,'#8 IH Results'!$A$2:$C$302,2,0),0)+IFERROR(VLOOKUP(A358,'#7 IH Results'!$A$2:$C$302,2,0),0)+IFERROR(VLOOKUP(A358,'#6 IH Results'!$A$2:$C$302,2,0),0)+IFERROR(VLOOKUP(A358,'#5 IH Results'!$A$2:$C$303,2,0),0)+IFERROR(VLOOKUP(A358,'#4 IH Results'!$A$2:$C$300,2,0),0)+IFERROR(VLOOKUP(A358,'#3 IH Results'!$A$2:$C$101,2,0),0)+IFERROR(VLOOKUP(A358,'#2 IH Results'!$A$2:$C$101,2,0),0)+IFERROR(VLOOKUP(A358,'#1 IH Results'!$A$2:$C$101,2,0),0)+IFERROR(VLOOKUP(A358,'#0 IH Results'!$A$3:$C$102,2,0),0)</f>
        <v>0</v>
      </c>
    </row>
    <row r="359">
      <c r="B359" s="6">
        <f>2*IFERROR(VLOOKUP(A359,'#15 IH Results'!$A$2:$C$301,2,0),0)+2*IFERROR(VLOOKUP(A359,'#14 IH Results'!$A$2:$C$302,2,0),0)+2*IFERROR(VLOOKUP(A359,'#13 IH Results'!$A$2:$C$302,2,0),0)+IFERROR(VLOOKUP(A359,'#12 IH Results'!$A$2:$C$302,2,0),0)+IFERROR(VLOOKUP(A359,'#11 IH Results'!$A$2:$C$302,2,0),0)+IFERROR(VLOOKUP(A359,'#10 IH Results'!$A$2:$C$302,2,0),0)+IFERROR(VLOOKUP(A359,'#9 IH Results'!$A$2:$C$302,2,0),0)+IFERROR(VLOOKUP(A359,'#8 IH Results'!$A$2:$C$302,2,0),0)+IFERROR(VLOOKUP(A359,'#7 IH Results'!$A$2:$C$302,2,0),0)+IFERROR(VLOOKUP(A359,'#6 IH Results'!$A$2:$C$302,2,0),0)+IFERROR(VLOOKUP(A359,'#5 IH Results'!$A$2:$C$303,2,0),0)+IFERROR(VLOOKUP(A359,'#4 IH Results'!$A$2:$C$300,2,0),0)+IFERROR(VLOOKUP(A359,'#3 IH Results'!$A$2:$C$101,2,0),0)+IFERROR(VLOOKUP(A359,'#2 IH Results'!$A$2:$C$101,2,0),0)+IFERROR(VLOOKUP(A359,'#1 IH Results'!$A$2:$C$101,2,0),0)+IFERROR(VLOOKUP(A359,'#0 IH Results'!$A$3:$C$102,2,0),0)</f>
        <v>0</v>
      </c>
    </row>
    <row r="360">
      <c r="B360" s="6">
        <f>2*IFERROR(VLOOKUP(A360,'#15 IH Results'!$A$2:$C$301,2,0),0)+2*IFERROR(VLOOKUP(A360,'#14 IH Results'!$A$2:$C$302,2,0),0)+2*IFERROR(VLOOKUP(A360,'#13 IH Results'!$A$2:$C$302,2,0),0)+IFERROR(VLOOKUP(A360,'#12 IH Results'!$A$2:$C$302,2,0),0)+IFERROR(VLOOKUP(A360,'#11 IH Results'!$A$2:$C$302,2,0),0)+IFERROR(VLOOKUP(A360,'#10 IH Results'!$A$2:$C$302,2,0),0)+IFERROR(VLOOKUP(A360,'#9 IH Results'!$A$2:$C$302,2,0),0)+IFERROR(VLOOKUP(A360,'#8 IH Results'!$A$2:$C$302,2,0),0)+IFERROR(VLOOKUP(A360,'#7 IH Results'!$A$2:$C$302,2,0),0)+IFERROR(VLOOKUP(A360,'#6 IH Results'!$A$2:$C$302,2,0),0)+IFERROR(VLOOKUP(A360,'#5 IH Results'!$A$2:$C$303,2,0),0)+IFERROR(VLOOKUP(A360,'#4 IH Results'!$A$2:$C$300,2,0),0)+IFERROR(VLOOKUP(A360,'#3 IH Results'!$A$2:$C$101,2,0),0)+IFERROR(VLOOKUP(A360,'#2 IH Results'!$A$2:$C$101,2,0),0)+IFERROR(VLOOKUP(A360,'#1 IH Results'!$A$2:$C$101,2,0),0)+IFERROR(VLOOKUP(A360,'#0 IH Results'!$A$3:$C$102,2,0),0)</f>
        <v>0</v>
      </c>
    </row>
    <row r="361">
      <c r="B361" s="6">
        <f>2*IFERROR(VLOOKUP(A361,'#15 IH Results'!$A$2:$C$301,2,0),0)+2*IFERROR(VLOOKUP(A361,'#14 IH Results'!$A$2:$C$302,2,0),0)+2*IFERROR(VLOOKUP(A361,'#13 IH Results'!$A$2:$C$302,2,0),0)+IFERROR(VLOOKUP(A361,'#12 IH Results'!$A$2:$C$302,2,0),0)+IFERROR(VLOOKUP(A361,'#11 IH Results'!$A$2:$C$302,2,0),0)+IFERROR(VLOOKUP(A361,'#10 IH Results'!$A$2:$C$302,2,0),0)+IFERROR(VLOOKUP(A361,'#9 IH Results'!$A$2:$C$302,2,0),0)+IFERROR(VLOOKUP(A361,'#8 IH Results'!$A$2:$C$302,2,0),0)+IFERROR(VLOOKUP(A361,'#7 IH Results'!$A$2:$C$302,2,0),0)+IFERROR(VLOOKUP(A361,'#6 IH Results'!$A$2:$C$302,2,0),0)+IFERROR(VLOOKUP(A361,'#5 IH Results'!$A$2:$C$303,2,0),0)+IFERROR(VLOOKUP(A361,'#4 IH Results'!$A$2:$C$300,2,0),0)+IFERROR(VLOOKUP(A361,'#3 IH Results'!$A$2:$C$101,2,0),0)+IFERROR(VLOOKUP(A361,'#2 IH Results'!$A$2:$C$101,2,0),0)+IFERROR(VLOOKUP(A361,'#1 IH Results'!$A$2:$C$101,2,0),0)+IFERROR(VLOOKUP(A361,'#0 IH Results'!$A$3:$C$102,2,0),0)</f>
        <v>0</v>
      </c>
    </row>
    <row r="362">
      <c r="B362" s="6">
        <f>2*IFERROR(VLOOKUP(A362,'#15 IH Results'!$A$2:$C$301,2,0),0)+2*IFERROR(VLOOKUP(A362,'#14 IH Results'!$A$2:$C$302,2,0),0)+2*IFERROR(VLOOKUP(A362,'#13 IH Results'!$A$2:$C$302,2,0),0)+2*IFERROR(VLOOKUP(A362,'#12 IH Results'!$A$2:$C$302,2,0),0)+IFERROR(VLOOKUP(A362,'#11 IH Results'!$A$2:$C$302,2,0),0)+IFERROR(VLOOKUP(A362,'#10 IH Results'!$A$2:$C$302,2,0),0)+IFERROR(VLOOKUP(A362,'#9 IH Results'!$A$2:$C$302,2,0),0)+IFERROR(VLOOKUP(A362,'#8 IH Results'!$A$2:$C$302,2,0),0)+IFERROR(VLOOKUP(A362,'#7 IH Results'!$A$2:$C$302,2,0),0)+IFERROR(VLOOKUP(A362,'#6 IH Results'!$A$2:$C$302,2,0),0)+IFERROR(VLOOKUP(A362,'#5 IH Results'!$A$2:$C$303,2,0),0)+IFERROR(VLOOKUP(A362,'#4 IH Results'!$A$2:$C$300,2,0),0)+IFERROR(VLOOKUP(A362,'#3 IH Results'!$A$2:$C$101,2,0),0)+IFERROR(VLOOKUP(A362,'#2 IH Results'!$A$2:$C$101,2,0),0)+IFERROR(VLOOKUP(A362,'#1 IH Results'!$A$2:$C$101,2,0),0)+IFERROR(VLOOKUP(A362,'#0 IH Results'!$A$3:$C$102,2,0),0)</f>
        <v>0</v>
      </c>
    </row>
    <row r="363">
      <c r="B363" s="6">
        <f>2*IFERROR(VLOOKUP(A363,'#15 IH Results'!$A$2:$C$301,2,0),0)+2*IFERROR(VLOOKUP(A363,'#14 IH Results'!$A$2:$C$302,2,0),0)+2*IFERROR(VLOOKUP(A363,'#13 IH Results'!$A$2:$C$302,2,0),0)+2*IFERROR(VLOOKUP(A363,'#12 IH Results'!$A$2:$C$302,2,0),0)+IFERROR(VLOOKUP(A363,'#11 IH Results'!$A$2:$C$302,2,0),0)+IFERROR(VLOOKUP(A363,'#10 IH Results'!$A$2:$C$302,2,0),0)+IFERROR(VLOOKUP(A363,'#9 IH Results'!$A$2:$C$302,2,0),0)+IFERROR(VLOOKUP(A363,'#8 IH Results'!$A$2:$C$302,2,0),0)+IFERROR(VLOOKUP(A363,'#7 IH Results'!$A$2:$C$302,2,0),0)+IFERROR(VLOOKUP(A363,'#6 IH Results'!$A$2:$C$302,2,0),0)+IFERROR(VLOOKUP(A363,'#5 IH Results'!$A$2:$C$303,2,0),0)+IFERROR(VLOOKUP(A363,'#4 IH Results'!$A$2:$C$300,2,0),0)+IFERROR(VLOOKUP(A363,'#3 IH Results'!$A$2:$C$101,2,0),0)+IFERROR(VLOOKUP(A363,'#2 IH Results'!$A$2:$C$101,2,0),0)+IFERROR(VLOOKUP(A363,'#1 IH Results'!$A$2:$C$101,2,0),0)+IFERROR(VLOOKUP(A363,'#0 IH Results'!$A$3:$C$102,2,0),0)</f>
        <v>0</v>
      </c>
    </row>
    <row r="364">
      <c r="B364" s="6">
        <f>2*IFERROR(VLOOKUP(A364,'#15 IH Results'!$A$2:$C$301,2,0),0)+2*IFERROR(VLOOKUP(A364,'#14 IH Results'!$A$2:$C$302,2,0),0)+2*IFERROR(VLOOKUP(A364,'#13 IH Results'!$A$2:$C$302,2,0),0)+2*IFERROR(VLOOKUP(A364,'#12 IH Results'!$A$2:$C$302,2,0),0)+IFERROR(VLOOKUP(A364,'#11 IH Results'!$A$2:$C$302,2,0),0)+IFERROR(VLOOKUP(A364,'#10 IH Results'!$A$2:$C$302,2,0),0)+IFERROR(VLOOKUP(A364,'#9 IH Results'!$A$2:$C$302,2,0),0)+IFERROR(VLOOKUP(A364,'#8 IH Results'!$A$2:$C$302,2,0),0)+IFERROR(VLOOKUP(A364,'#7 IH Results'!$A$2:$C$302,2,0),0)+IFERROR(VLOOKUP(A364,'#6 IH Results'!$A$2:$C$302,2,0),0)+IFERROR(VLOOKUP(A364,'#5 IH Results'!$A$2:$C$303,2,0),0)+IFERROR(VLOOKUP(A364,'#4 IH Results'!$A$2:$C$300,2,0),0)+IFERROR(VLOOKUP(A364,'#3 IH Results'!$A$2:$C$101,2,0),0)+IFERROR(VLOOKUP(A364,'#2 IH Results'!$A$2:$C$101,2,0),0)+IFERROR(VLOOKUP(A364,'#1 IH Results'!$A$2:$C$101,2,0),0)+IFERROR(VLOOKUP(A364,'#0 IH Results'!$A$3:$C$102,2,0),0)</f>
        <v>0</v>
      </c>
    </row>
    <row r="365">
      <c r="B365" s="6">
        <f>2*IFERROR(VLOOKUP(A365,'#15 IH Results'!$A$2:$C$301,2,0),0)+2*IFERROR(VLOOKUP(A365,'#14 IH Results'!$A$2:$C$302,2,0),0)+2*IFERROR(VLOOKUP(A365,'#13 IH Results'!$A$2:$C$302,2,0),0)+2*IFERROR(VLOOKUP(A365,'#12 IH Results'!$A$2:$C$302,2,0),0)+IFERROR(VLOOKUP(A365,'#11 IH Results'!$A$2:$C$302,2,0),0)+IFERROR(VLOOKUP(A365,'#10 IH Results'!$A$2:$C$302,2,0),0)+IFERROR(VLOOKUP(A365,'#9 IH Results'!$A$2:$C$302,2,0),0)+IFERROR(VLOOKUP(A365,'#8 IH Results'!$A$2:$C$302,2,0),0)+IFERROR(VLOOKUP(A365,'#7 IH Results'!$A$2:$C$302,2,0),0)+IFERROR(VLOOKUP(A365,'#6 IH Results'!$A$2:$C$302,2,0),0)+IFERROR(VLOOKUP(A365,'#5 IH Results'!$A$2:$C$303,2,0),0)+IFERROR(VLOOKUP(A365,'#4 IH Results'!$A$2:$C$300,2,0),0)+IFERROR(VLOOKUP(A365,'#3 IH Results'!$A$2:$C$101,2,0),0)+IFERROR(VLOOKUP(A365,'#2 IH Results'!$A$2:$C$101,2,0),0)+IFERROR(VLOOKUP(A365,'#1 IH Results'!$A$2:$C$101,2,0),0)+IFERROR(VLOOKUP(A365,'#0 IH Results'!$A$3:$C$102,2,0),0)</f>
        <v>0</v>
      </c>
    </row>
    <row r="366">
      <c r="B366" s="6">
        <f>2*IFERROR(VLOOKUP(A366,'#15 IH Results'!$A$2:$C$301,2,0),0)+2*IFERROR(VLOOKUP(A366,'#14 IH Results'!$A$2:$C$302,2,0),0)+2*IFERROR(VLOOKUP(A366,'#13 IH Results'!$A$2:$C$302,2,0),0)+2*IFERROR(VLOOKUP(A366,'#12 IH Results'!$A$2:$C$302,2,0),0)+IFERROR(VLOOKUP(A366,'#11 IH Results'!$A$2:$C$302,2,0),0)+IFERROR(VLOOKUP(A366,'#10 IH Results'!$A$2:$C$302,2,0),0)+IFERROR(VLOOKUP(A366,'#9 IH Results'!$A$2:$C$302,2,0),0)+IFERROR(VLOOKUP(A366,'#8 IH Results'!$A$2:$C$302,2,0),0)+IFERROR(VLOOKUP(A366,'#7 IH Results'!$A$2:$C$302,2,0),0)+IFERROR(VLOOKUP(A366,'#6 IH Results'!$A$2:$C$302,2,0),0)+IFERROR(VLOOKUP(A366,'#5 IH Results'!$A$2:$C$303,2,0),0)+IFERROR(VLOOKUP(A366,'#4 IH Results'!$A$2:$C$300,2,0),0)+IFERROR(VLOOKUP(A366,'#3 IH Results'!$A$2:$C$101,2,0),0)+IFERROR(VLOOKUP(A366,'#2 IH Results'!$A$2:$C$101,2,0),0)+IFERROR(VLOOKUP(A366,'#1 IH Results'!$A$2:$C$101,2,0),0)+IFERROR(VLOOKUP(A366,'#0 IH Results'!$A$3:$C$102,2,0),0)</f>
        <v>0</v>
      </c>
    </row>
    <row r="367">
      <c r="B367" s="6">
        <f>2*IFERROR(VLOOKUP(A367,'#15 IH Results'!$A$2:$C$301,2,0),0)+2*IFERROR(VLOOKUP(A367,'#14 IH Results'!$A$2:$C$302,2,0),0)+2*IFERROR(VLOOKUP(A367,'#13 IH Results'!$A$2:$C$302,2,0),0)+2*IFERROR(VLOOKUP(A367,'#12 IH Results'!$A$2:$C$302,2,0),0)+IFERROR(VLOOKUP(A367,'#11 IH Results'!$A$2:$C$302,2,0),0)+IFERROR(VLOOKUP(A367,'#10 IH Results'!$A$2:$C$302,2,0),0)+IFERROR(VLOOKUP(A367,'#9 IH Results'!$A$2:$C$302,2,0),0)+IFERROR(VLOOKUP(A367,'#8 IH Results'!$A$2:$C$302,2,0),0)+IFERROR(VLOOKUP(A367,'#7 IH Results'!$A$2:$C$302,2,0),0)+IFERROR(VLOOKUP(A367,'#6 IH Results'!$A$2:$C$302,2,0),0)+IFERROR(VLOOKUP(A367,'#5 IH Results'!$A$2:$C$303,2,0),0)+IFERROR(VLOOKUP(A367,'#4 IH Results'!$A$2:$C$300,2,0),0)+IFERROR(VLOOKUP(A367,'#3 IH Results'!$A$2:$C$101,2,0),0)+IFERROR(VLOOKUP(A367,'#2 IH Results'!$A$2:$C$101,2,0),0)+IFERROR(VLOOKUP(A367,'#1 IH Results'!$A$2:$C$101,2,0),0)+IFERROR(VLOOKUP(A367,'#0 IH Results'!$A$3:$C$102,2,0),0)</f>
        <v>0</v>
      </c>
    </row>
    <row r="368">
      <c r="B368" s="6">
        <f>2*IFERROR(VLOOKUP(A368,'#15 IH Results'!$A$2:$C$301,2,0),0)+2*IFERROR(VLOOKUP(A368,'#14 IH Results'!$A$2:$C$302,2,0),0)+2*IFERROR(VLOOKUP(A368,'#13 IH Results'!$A$2:$C$302,2,0),0)+2*IFERROR(VLOOKUP(A368,'#12 IH Results'!$A$2:$C$302,2,0),0)+IFERROR(VLOOKUP(A368,'#11 IH Results'!$A$2:$C$302,2,0),0)+IFERROR(VLOOKUP(A368,'#10 IH Results'!$A$2:$C$302,2,0),0)+IFERROR(VLOOKUP(A368,'#9 IH Results'!$A$2:$C$302,2,0),0)+IFERROR(VLOOKUP(A368,'#8 IH Results'!$A$2:$C$302,2,0),0)+IFERROR(VLOOKUP(A368,'#7 IH Results'!$A$2:$C$302,2,0),0)+IFERROR(VLOOKUP(A368,'#6 IH Results'!$A$2:$C$302,2,0),0)+IFERROR(VLOOKUP(A368,'#5 IH Results'!$A$2:$C$303,2,0),0)+IFERROR(VLOOKUP(A368,'#4 IH Results'!$A$2:$C$300,2,0),0)+IFERROR(VLOOKUP(A368,'#3 IH Results'!$A$2:$C$101,2,0),0)+IFERROR(VLOOKUP(A368,'#2 IH Results'!$A$2:$C$101,2,0),0)+IFERROR(VLOOKUP(A368,'#1 IH Results'!$A$2:$C$101,2,0),0)+IFERROR(VLOOKUP(A368,'#0 IH Results'!$A$3:$C$102,2,0),0)</f>
        <v>0</v>
      </c>
    </row>
    <row r="369">
      <c r="B369" s="6">
        <f>2*IFERROR(VLOOKUP(A369,'#15 IH Results'!$A$2:$C$301,2,0),0)+2*IFERROR(VLOOKUP(A369,'#14 IH Results'!$A$2:$C$302,2,0),0)+2*IFERROR(VLOOKUP(A369,'#13 IH Results'!$A$2:$C$302,2,0),0)+2*IFERROR(VLOOKUP(A369,'#12 IH Results'!$A$2:$C$302,2,0),0)+IFERROR(VLOOKUP(A369,'#11 IH Results'!$A$2:$C$302,2,0),0)+IFERROR(VLOOKUP(A369,'#10 IH Results'!$A$2:$C$302,2,0),0)+IFERROR(VLOOKUP(A369,'#9 IH Results'!$A$2:$C$302,2,0),0)+IFERROR(VLOOKUP(A369,'#8 IH Results'!$A$2:$C$302,2,0),0)+IFERROR(VLOOKUP(A369,'#7 IH Results'!$A$2:$C$302,2,0),0)+IFERROR(VLOOKUP(A369,'#6 IH Results'!$A$2:$C$302,2,0),0)+IFERROR(VLOOKUP(A369,'#5 IH Results'!$A$2:$C$303,2,0),0)+IFERROR(VLOOKUP(A369,'#4 IH Results'!$A$2:$C$300,2,0),0)+IFERROR(VLOOKUP(A369,'#3 IH Results'!$A$2:$C$101,2,0),0)+IFERROR(VLOOKUP(A369,'#2 IH Results'!$A$2:$C$101,2,0),0)+IFERROR(VLOOKUP(A369,'#1 IH Results'!$A$2:$C$101,2,0),0)+IFERROR(VLOOKUP(A369,'#0 IH Results'!$A$3:$C$102,2,0),0)</f>
        <v>0</v>
      </c>
    </row>
    <row r="370">
      <c r="B370" s="6">
        <f>2*IFERROR(VLOOKUP(A370,'#15 IH Results'!$A$2:$C$301,2,0),0)+2*IFERROR(VLOOKUP(A370,'#14 IH Results'!$A$2:$C$302,2,0),0)+2*IFERROR(VLOOKUP(A370,'#13 IH Results'!$A$2:$C$302,2,0),0)+2*IFERROR(VLOOKUP(A370,'#12 IH Results'!$A$2:$C$302,2,0),0)+IFERROR(VLOOKUP(A370,'#11 IH Results'!$A$2:$C$302,2,0),0)+IFERROR(VLOOKUP(A370,'#10 IH Results'!$A$2:$C$302,2,0),0)+IFERROR(VLOOKUP(A370,'#9 IH Results'!$A$2:$C$302,2,0),0)+IFERROR(VLOOKUP(A370,'#8 IH Results'!$A$2:$C$302,2,0),0)+IFERROR(VLOOKUP(A370,'#7 IH Results'!$A$2:$C$302,2,0),0)+IFERROR(VLOOKUP(A370,'#6 IH Results'!$A$2:$C$302,2,0),0)+IFERROR(VLOOKUP(A370,'#5 IH Results'!$A$2:$C$303,2,0),0)+IFERROR(VLOOKUP(A370,'#4 IH Results'!$A$2:$C$300,2,0),0)+IFERROR(VLOOKUP(A370,'#3 IH Results'!$A$2:$C$101,2,0),0)+IFERROR(VLOOKUP(A370,'#2 IH Results'!$A$2:$C$101,2,0),0)+IFERROR(VLOOKUP(A370,'#1 IH Results'!$A$2:$C$101,2,0),0)+IFERROR(VLOOKUP(A370,'#0 IH Results'!$A$3:$C$102,2,0),0)</f>
        <v>0</v>
      </c>
    </row>
    <row r="371">
      <c r="B371" s="6">
        <f>2*IFERROR(VLOOKUP(A371,'#15 IH Results'!$A$2:$C$301,2,0),0)+2*IFERROR(VLOOKUP(A371,'#14 IH Results'!$A$2:$C$302,2,0),0)+2*IFERROR(VLOOKUP(A371,'#13 IH Results'!$A$2:$C$302,2,0),0)+2*IFERROR(VLOOKUP(A371,'#12 IH Results'!$A$2:$C$302,2,0),0)+IFERROR(VLOOKUP(A371,'#11 IH Results'!$A$2:$C$302,2,0),0)+IFERROR(VLOOKUP(A371,'#10 IH Results'!$A$2:$C$302,2,0),0)+IFERROR(VLOOKUP(A371,'#9 IH Results'!$A$2:$C$302,2,0),0)+IFERROR(VLOOKUP(A371,'#8 IH Results'!$A$2:$C$302,2,0),0)+IFERROR(VLOOKUP(A371,'#7 IH Results'!$A$2:$C$302,2,0),0)+IFERROR(VLOOKUP(A371,'#6 IH Results'!$A$2:$C$302,2,0),0)+IFERROR(VLOOKUP(A371,'#5 IH Results'!$A$2:$C$303,2,0),0)+IFERROR(VLOOKUP(A371,'#4 IH Results'!$A$2:$C$300,2,0),0)+IFERROR(VLOOKUP(A371,'#3 IH Results'!$A$2:$C$101,2,0),0)+IFERROR(VLOOKUP(A371,'#2 IH Results'!$A$2:$C$101,2,0),0)+IFERROR(VLOOKUP(A371,'#1 IH Results'!$A$2:$C$101,2,0),0)+IFERROR(VLOOKUP(A371,'#0 IH Results'!$A$3:$C$102,2,0),0)</f>
        <v>0</v>
      </c>
    </row>
    <row r="372">
      <c r="B372" s="6">
        <f>2*IFERROR(VLOOKUP(A372,'#15 IH Results'!$A$2:$C$301,2,0),0)+2*IFERROR(VLOOKUP(A372,'#14 IH Results'!$A$2:$C$302,2,0),0)+2*IFERROR(VLOOKUP(A372,'#13 IH Results'!$A$2:$C$302,2,0),0)+2*IFERROR(VLOOKUP(A372,'#12 IH Results'!$A$2:$C$302,2,0),0)+IFERROR(VLOOKUP(A372,'#11 IH Results'!$A$2:$C$302,2,0),0)+IFERROR(VLOOKUP(A372,'#10 IH Results'!$A$2:$C$302,2,0),0)+IFERROR(VLOOKUP(A372,'#9 IH Results'!$A$2:$C$302,2,0),0)+IFERROR(VLOOKUP(A372,'#8 IH Results'!$A$2:$C$302,2,0),0)+IFERROR(VLOOKUP(A372,'#7 IH Results'!$A$2:$C$302,2,0),0)+IFERROR(VLOOKUP(A372,'#6 IH Results'!$A$2:$C$302,2,0),0)+IFERROR(VLOOKUP(A372,'#5 IH Results'!$A$2:$C$303,2,0),0)+IFERROR(VLOOKUP(A372,'#4 IH Results'!$A$2:$C$300,2,0),0)+IFERROR(VLOOKUP(A372,'#3 IH Results'!$A$2:$C$101,2,0),0)+IFERROR(VLOOKUP(A372,'#2 IH Results'!$A$2:$C$101,2,0),0)+IFERROR(VLOOKUP(A372,'#1 IH Results'!$A$2:$C$101,2,0),0)+IFERROR(VLOOKUP(A372,'#0 IH Results'!$A$3:$C$102,2,0),0)</f>
        <v>0</v>
      </c>
    </row>
    <row r="373">
      <c r="B373" s="6">
        <f>2*IFERROR(VLOOKUP(A373,'#15 IH Results'!$A$2:$C$301,2,0),0)+2*IFERROR(VLOOKUP(A373,'#14 IH Results'!$A$2:$C$302,2,0),0)+2*IFERROR(VLOOKUP(A373,'#13 IH Results'!$A$2:$C$302,2,0),0)+2*IFERROR(VLOOKUP(A373,'#12 IH Results'!$A$2:$C$302,2,0),0)+IFERROR(VLOOKUP(A373,'#11 IH Results'!$A$2:$C$302,2,0),0)+IFERROR(VLOOKUP(A373,'#10 IH Results'!$A$2:$C$302,2,0),0)+IFERROR(VLOOKUP(A373,'#9 IH Results'!$A$2:$C$302,2,0),0)+IFERROR(VLOOKUP(A373,'#8 IH Results'!$A$2:$C$302,2,0),0)+IFERROR(VLOOKUP(A373,'#7 IH Results'!$A$2:$C$302,2,0),0)+IFERROR(VLOOKUP(A373,'#6 IH Results'!$A$2:$C$302,2,0),0)+IFERROR(VLOOKUP(A373,'#5 IH Results'!$A$2:$C$303,2,0),0)+IFERROR(VLOOKUP(A373,'#4 IH Results'!$A$2:$C$300,2,0),0)+IFERROR(VLOOKUP(A373,'#3 IH Results'!$A$2:$C$101,2,0),0)+IFERROR(VLOOKUP(A373,'#2 IH Results'!$A$2:$C$101,2,0),0)+IFERROR(VLOOKUP(A373,'#1 IH Results'!$A$2:$C$101,2,0),0)+IFERROR(VLOOKUP(A373,'#0 IH Results'!$A$3:$C$102,2,0),0)</f>
        <v>0</v>
      </c>
    </row>
    <row r="374">
      <c r="B374" s="6">
        <f>2*IFERROR(VLOOKUP(A374,'#15 IH Results'!$A$2:$C$301,2,0),0)+2*IFERROR(VLOOKUP(A374,'#14 IH Results'!$A$2:$C$302,2,0),0)+2*IFERROR(VLOOKUP(A374,'#13 IH Results'!$A$2:$C$302,2,0),0)+2*IFERROR(VLOOKUP(A374,'#12 IH Results'!$A$2:$C$302,2,0),0)+IFERROR(VLOOKUP(A374,'#11 IH Results'!$A$2:$C$302,2,0),0)+IFERROR(VLOOKUP(A374,'#10 IH Results'!$A$2:$C$302,2,0),0)+IFERROR(VLOOKUP(A374,'#9 IH Results'!$A$2:$C$302,2,0),0)+IFERROR(VLOOKUP(A374,'#8 IH Results'!$A$2:$C$302,2,0),0)+IFERROR(VLOOKUP(A374,'#7 IH Results'!$A$2:$C$302,2,0),0)+IFERROR(VLOOKUP(A374,'#6 IH Results'!$A$2:$C$302,2,0),0)+IFERROR(VLOOKUP(A374,'#5 IH Results'!$A$2:$C$303,2,0),0)+IFERROR(VLOOKUP(A374,'#4 IH Results'!$A$2:$C$300,2,0),0)+IFERROR(VLOOKUP(A374,'#3 IH Results'!$A$2:$C$101,2,0),0)+IFERROR(VLOOKUP(A374,'#2 IH Results'!$A$2:$C$101,2,0),0)+IFERROR(VLOOKUP(A374,'#1 IH Results'!$A$2:$C$101,2,0),0)+IFERROR(VLOOKUP(A374,'#0 IH Results'!$A$3:$C$102,2,0),0)</f>
        <v>0</v>
      </c>
    </row>
    <row r="375">
      <c r="B375" s="6">
        <f>2*IFERROR(VLOOKUP(A375,'#15 IH Results'!$A$2:$C$301,2,0),0)+2*IFERROR(VLOOKUP(A375,'#14 IH Results'!$A$2:$C$302,2,0),0)+2*IFERROR(VLOOKUP(A375,'#13 IH Results'!$A$2:$C$302,2,0),0)+2*IFERROR(VLOOKUP(A375,'#12 IH Results'!$A$2:$C$302,2,0),0)+IFERROR(VLOOKUP(A375,'#11 IH Results'!$A$2:$C$302,2,0),0)+IFERROR(VLOOKUP(A375,'#10 IH Results'!$A$2:$C$302,2,0),0)+IFERROR(VLOOKUP(A375,'#9 IH Results'!$A$2:$C$302,2,0),0)+IFERROR(VLOOKUP(A375,'#8 IH Results'!$A$2:$C$302,2,0),0)+IFERROR(VLOOKUP(A375,'#7 IH Results'!$A$2:$C$302,2,0),0)+IFERROR(VLOOKUP(A375,'#6 IH Results'!$A$2:$C$302,2,0),0)+IFERROR(VLOOKUP(A375,'#5 IH Results'!$A$2:$C$303,2,0),0)+IFERROR(VLOOKUP(A375,'#4 IH Results'!$A$2:$C$300,2,0),0)+IFERROR(VLOOKUP(A375,'#3 IH Results'!$A$2:$C$101,2,0),0)+IFERROR(VLOOKUP(A375,'#2 IH Results'!$A$2:$C$101,2,0),0)+IFERROR(VLOOKUP(A375,'#1 IH Results'!$A$2:$C$101,2,0),0)+IFERROR(VLOOKUP(A375,'#0 IH Results'!$A$3:$C$102,2,0),0)</f>
        <v>0</v>
      </c>
    </row>
    <row r="376">
      <c r="B376" s="6">
        <f>2*IFERROR(VLOOKUP(A376,'#15 IH Results'!$A$2:$C$301,2,0),0)+2*IFERROR(VLOOKUP(A376,'#14 IH Results'!$A$2:$C$302,2,0),0)+2*IFERROR(VLOOKUP(A376,'#13 IH Results'!$A$2:$C$302,2,0),0)+2*IFERROR(VLOOKUP(A376,'#12 IH Results'!$A$2:$C$302,2,0),0)+IFERROR(VLOOKUP(A376,'#11 IH Results'!$A$2:$C$302,2,0),0)+IFERROR(VLOOKUP(A376,'#10 IH Results'!$A$2:$C$302,2,0),0)+IFERROR(VLOOKUP(A376,'#9 IH Results'!$A$2:$C$302,2,0),0)+IFERROR(VLOOKUP(A376,'#8 IH Results'!$A$2:$C$302,2,0),0)+IFERROR(VLOOKUP(A376,'#7 IH Results'!$A$2:$C$302,2,0),0)+IFERROR(VLOOKUP(A376,'#6 IH Results'!$A$2:$C$302,2,0),0)+IFERROR(VLOOKUP(A376,'#5 IH Results'!$A$2:$C$303,2,0),0)+IFERROR(VLOOKUP(A376,'#4 IH Results'!$A$2:$C$300,2,0),0)+IFERROR(VLOOKUP(A376,'#3 IH Results'!$A$2:$C$101,2,0),0)+IFERROR(VLOOKUP(A376,'#2 IH Results'!$A$2:$C$101,2,0),0)+IFERROR(VLOOKUP(A376,'#1 IH Results'!$A$2:$C$101,2,0),0)+IFERROR(VLOOKUP(A376,'#0 IH Results'!$A$3:$C$102,2,0),0)</f>
        <v>0</v>
      </c>
    </row>
    <row r="377">
      <c r="B377" s="6">
        <f>2*IFERROR(VLOOKUP(A377,'#15 IH Results'!$A$2:$C$301,2,0),0)+2*IFERROR(VLOOKUP(A377,'#14 IH Results'!$A$2:$C$302,2,0),0)+2*IFERROR(VLOOKUP(A377,'#13 IH Results'!$A$2:$C$302,2,0),0)+2*IFERROR(VLOOKUP(A377,'#12 IH Results'!$A$2:$C$302,2,0),0)+IFERROR(VLOOKUP(A377,'#11 IH Results'!$A$2:$C$302,2,0),0)+IFERROR(VLOOKUP(A377,'#10 IH Results'!$A$2:$C$302,2,0),0)+IFERROR(VLOOKUP(A377,'#9 IH Results'!$A$2:$C$302,2,0),0)+IFERROR(VLOOKUP(A377,'#8 IH Results'!$A$2:$C$302,2,0),0)+IFERROR(VLOOKUP(A377,'#7 IH Results'!$A$2:$C$302,2,0),0)+IFERROR(VLOOKUP(A377,'#6 IH Results'!$A$2:$C$302,2,0),0)+IFERROR(VLOOKUP(A377,'#5 IH Results'!$A$2:$C$303,2,0),0)+IFERROR(VLOOKUP(A377,'#4 IH Results'!$A$2:$C$300,2,0),0)+IFERROR(VLOOKUP(A377,'#3 IH Results'!$A$2:$C$101,2,0),0)+IFERROR(VLOOKUP(A377,'#2 IH Results'!$A$2:$C$101,2,0),0)+IFERROR(VLOOKUP(A377,'#1 IH Results'!$A$2:$C$101,2,0),0)+IFERROR(VLOOKUP(A377,'#0 IH Results'!$A$3:$C$102,2,0),0)</f>
        <v>0</v>
      </c>
    </row>
    <row r="378">
      <c r="B378" s="6">
        <f>2*IFERROR(VLOOKUP(A378,'#15 IH Results'!$A$2:$C$301,2,0),0)+2*IFERROR(VLOOKUP(A378,'#14 IH Results'!$A$2:$C$302,2,0),0)+2*IFERROR(VLOOKUP(A378,'#13 IH Results'!$A$2:$C$302,2,0),0)+2*IFERROR(VLOOKUP(A378,'#12 IH Results'!$A$2:$C$302,2,0),0)+IFERROR(VLOOKUP(A378,'#11 IH Results'!$A$2:$C$302,2,0),0)+IFERROR(VLOOKUP(A378,'#10 IH Results'!$A$2:$C$302,2,0),0)+IFERROR(VLOOKUP(A378,'#9 IH Results'!$A$2:$C$302,2,0),0)+IFERROR(VLOOKUP(A378,'#8 IH Results'!$A$2:$C$302,2,0),0)+IFERROR(VLOOKUP(A378,'#7 IH Results'!$A$2:$C$302,2,0),0)+IFERROR(VLOOKUP(A378,'#6 IH Results'!$A$2:$C$302,2,0),0)+IFERROR(VLOOKUP(A378,'#5 IH Results'!$A$2:$C$303,2,0),0)+IFERROR(VLOOKUP(A378,'#4 IH Results'!$A$2:$C$300,2,0),0)+IFERROR(VLOOKUP(A378,'#3 IH Results'!$A$2:$C$101,2,0),0)+IFERROR(VLOOKUP(A378,'#2 IH Results'!$A$2:$C$101,2,0),0)+IFERROR(VLOOKUP(A378,'#1 IH Results'!$A$2:$C$101,2,0),0)+IFERROR(VLOOKUP(A378,'#0 IH Results'!$A$3:$C$102,2,0),0)</f>
        <v>0</v>
      </c>
    </row>
    <row r="379">
      <c r="B379" s="6">
        <f>2*IFERROR(VLOOKUP(A379,'#15 IH Results'!$A$2:$C$301,2,0),0)+2*IFERROR(VLOOKUP(A379,'#14 IH Results'!$A$2:$C$302,2,0),0)+2*IFERROR(VLOOKUP(A379,'#13 IH Results'!$A$2:$C$302,2,0),0)+2*IFERROR(VLOOKUP(A379,'#12 IH Results'!$A$2:$C$302,2,0),0)+IFERROR(VLOOKUP(A379,'#11 IH Results'!$A$2:$C$302,2,0),0)+IFERROR(VLOOKUP(A379,'#10 IH Results'!$A$2:$C$302,2,0),0)+IFERROR(VLOOKUP(A379,'#9 IH Results'!$A$2:$C$302,2,0),0)+IFERROR(VLOOKUP(A379,'#8 IH Results'!$A$2:$C$302,2,0),0)+IFERROR(VLOOKUP(A379,'#7 IH Results'!$A$2:$C$302,2,0),0)+IFERROR(VLOOKUP(A379,'#6 IH Results'!$A$2:$C$302,2,0),0)+IFERROR(VLOOKUP(A379,'#5 IH Results'!$A$2:$C$303,2,0),0)+IFERROR(VLOOKUP(A379,'#4 IH Results'!$A$2:$C$300,2,0),0)+IFERROR(VLOOKUP(A379,'#3 IH Results'!$A$2:$C$101,2,0),0)+IFERROR(VLOOKUP(A379,'#2 IH Results'!$A$2:$C$101,2,0),0)+IFERROR(VLOOKUP(A379,'#1 IH Results'!$A$2:$C$101,2,0),0)+IFERROR(VLOOKUP(A379,'#0 IH Results'!$A$3:$C$102,2,0),0)</f>
        <v>0</v>
      </c>
    </row>
    <row r="380">
      <c r="B380" s="6">
        <f>2*IFERROR(VLOOKUP(A380,'#15 IH Results'!$A$2:$C$301,2,0),0)+2*IFERROR(VLOOKUP(A380,'#14 IH Results'!$A$2:$C$302,2,0),0)+2*IFERROR(VLOOKUP(A380,'#13 IH Results'!$A$2:$C$302,2,0),0)+2*IFERROR(VLOOKUP(A380,'#12 IH Results'!$A$2:$C$302,2,0),0)+IFERROR(VLOOKUP(A380,'#11 IH Results'!$A$2:$C$302,2,0),0)+IFERROR(VLOOKUP(A380,'#10 IH Results'!$A$2:$C$302,2,0),0)+IFERROR(VLOOKUP(A380,'#9 IH Results'!$A$2:$C$302,2,0),0)+IFERROR(VLOOKUP(A380,'#8 IH Results'!$A$2:$C$302,2,0),0)+IFERROR(VLOOKUP(A380,'#7 IH Results'!$A$2:$C$302,2,0),0)+IFERROR(VLOOKUP(A380,'#6 IH Results'!$A$2:$C$302,2,0),0)+IFERROR(VLOOKUP(A380,'#5 IH Results'!$A$2:$C$303,2,0),0)+IFERROR(VLOOKUP(A380,'#4 IH Results'!$A$2:$C$300,2,0),0)+IFERROR(VLOOKUP(A380,'#3 IH Results'!$A$2:$C$101,2,0),0)+IFERROR(VLOOKUP(A380,'#2 IH Results'!$A$2:$C$101,2,0),0)+IFERROR(VLOOKUP(A380,'#1 IH Results'!$A$2:$C$101,2,0),0)+IFERROR(VLOOKUP(A380,'#0 IH Results'!$A$3:$C$102,2,0),0)</f>
        <v>0</v>
      </c>
    </row>
    <row r="381">
      <c r="B381" s="6">
        <f>2*IFERROR(VLOOKUP(A381,'#15 IH Results'!$A$2:$C$301,2,0),0)+2*IFERROR(VLOOKUP(A381,'#14 IH Results'!$A$2:$C$302,2,0),0)+2*IFERROR(VLOOKUP(A381,'#13 IH Results'!$A$2:$C$302,2,0),0)+2*IFERROR(VLOOKUP(A381,'#12 IH Results'!$A$2:$C$302,2,0),0)+IFERROR(VLOOKUP(A381,'#11 IH Results'!$A$2:$C$302,2,0),0)+IFERROR(VLOOKUP(A381,'#10 IH Results'!$A$2:$C$302,2,0),0)+IFERROR(VLOOKUP(A381,'#9 IH Results'!$A$2:$C$302,2,0),0)+IFERROR(VLOOKUP(A381,'#8 IH Results'!$A$2:$C$302,2,0),0)+IFERROR(VLOOKUP(A381,'#7 IH Results'!$A$2:$C$302,2,0),0)+IFERROR(VLOOKUP(A381,'#6 IH Results'!$A$2:$C$302,2,0),0)+IFERROR(VLOOKUP(A381,'#5 IH Results'!$A$2:$C$303,2,0),0)+IFERROR(VLOOKUP(A381,'#4 IH Results'!$A$2:$C$300,2,0),0)+IFERROR(VLOOKUP(A381,'#3 IH Results'!$A$2:$C$101,2,0),0)+IFERROR(VLOOKUP(A381,'#2 IH Results'!$A$2:$C$101,2,0),0)+IFERROR(VLOOKUP(A381,'#1 IH Results'!$A$2:$C$101,2,0),0)+IFERROR(VLOOKUP(A381,'#0 IH Results'!$A$3:$C$102,2,0),0)</f>
        <v>0</v>
      </c>
    </row>
    <row r="382">
      <c r="B382" s="6">
        <f>2*IFERROR(VLOOKUP(A382,'#15 IH Results'!$A$2:$C$301,2,0),0)+2*IFERROR(VLOOKUP(A382,'#14 IH Results'!$A$2:$C$302,2,0),0)+2*IFERROR(VLOOKUP(A382,'#13 IH Results'!$A$2:$C$302,2,0),0)+2*IFERROR(VLOOKUP(A382,'#12 IH Results'!$A$2:$C$302,2,0),0)+IFERROR(VLOOKUP(A382,'#11 IH Results'!$A$2:$C$302,2,0),0)+IFERROR(VLOOKUP(A382,'#10 IH Results'!$A$2:$C$302,2,0),0)+IFERROR(VLOOKUP(A382,'#9 IH Results'!$A$2:$C$302,2,0),0)+IFERROR(VLOOKUP(A382,'#8 IH Results'!$A$2:$C$302,2,0),0)+IFERROR(VLOOKUP(A382,'#7 IH Results'!$A$2:$C$302,2,0),0)+IFERROR(VLOOKUP(A382,'#6 IH Results'!$A$2:$C$302,2,0),0)+IFERROR(VLOOKUP(A382,'#5 IH Results'!$A$2:$C$303,2,0),0)+IFERROR(VLOOKUP(A382,'#4 IH Results'!$A$2:$C$300,2,0),0)+IFERROR(VLOOKUP(A382,'#3 IH Results'!$A$2:$C$101,2,0),0)+IFERROR(VLOOKUP(A382,'#2 IH Results'!$A$2:$C$101,2,0),0)+IFERROR(VLOOKUP(A382,'#1 IH Results'!$A$2:$C$101,2,0),0)+IFERROR(VLOOKUP(A382,'#0 IH Results'!$A$3:$C$102,2,0),0)</f>
        <v>0</v>
      </c>
    </row>
    <row r="383">
      <c r="B383" s="6">
        <f>2*IFERROR(VLOOKUP(A383,'#15 IH Results'!$A$2:$C$301,2,0),0)+2*IFERROR(VLOOKUP(A383,'#14 IH Results'!$A$2:$C$302,2,0),0)+2*IFERROR(VLOOKUP(A383,'#13 IH Results'!$A$2:$C$302,2,0),0)+2*IFERROR(VLOOKUP(A383,'#12 IH Results'!$A$2:$C$302,2,0),0)+IFERROR(VLOOKUP(A383,'#11 IH Results'!$A$2:$C$302,2,0),0)+IFERROR(VLOOKUP(A383,'#10 IH Results'!$A$2:$C$302,2,0),0)+IFERROR(VLOOKUP(A383,'#9 IH Results'!$A$2:$C$302,2,0),0)+IFERROR(VLOOKUP(A383,'#8 IH Results'!$A$2:$C$302,2,0),0)+IFERROR(VLOOKUP(A383,'#7 IH Results'!$A$2:$C$302,2,0),0)+IFERROR(VLOOKUP(A383,'#6 IH Results'!$A$2:$C$302,2,0),0)+IFERROR(VLOOKUP(A383,'#5 IH Results'!$A$2:$C$303,2,0),0)+IFERROR(VLOOKUP(A383,'#4 IH Results'!$A$2:$C$300,2,0),0)+IFERROR(VLOOKUP(A383,'#3 IH Results'!$A$2:$C$101,2,0),0)+IFERROR(VLOOKUP(A383,'#2 IH Results'!$A$2:$C$101,2,0),0)+IFERROR(VLOOKUP(A383,'#1 IH Results'!$A$2:$C$101,2,0),0)+IFERROR(VLOOKUP(A383,'#0 IH Results'!$A$3:$C$102,2,0),0)</f>
        <v>0</v>
      </c>
    </row>
    <row r="384">
      <c r="B384" s="6">
        <f>2*IFERROR(VLOOKUP(A384,'#15 IH Results'!$A$2:$C$301,2,0),0)+2*IFERROR(VLOOKUP(A384,'#14 IH Results'!$A$2:$C$302,2,0),0)+2*IFERROR(VLOOKUP(A384,'#13 IH Results'!$A$2:$C$302,2,0),0)+2*IFERROR(VLOOKUP(A384,'#12 IH Results'!$A$2:$C$302,2,0),0)+IFERROR(VLOOKUP(A384,'#11 IH Results'!$A$2:$C$302,2,0),0)+IFERROR(VLOOKUP(A384,'#10 IH Results'!$A$2:$C$302,2,0),0)+IFERROR(VLOOKUP(A384,'#9 IH Results'!$A$2:$C$302,2,0),0)+IFERROR(VLOOKUP(A384,'#8 IH Results'!$A$2:$C$302,2,0),0)+IFERROR(VLOOKUP(A384,'#7 IH Results'!$A$2:$C$302,2,0),0)+IFERROR(VLOOKUP(A384,'#6 IH Results'!$A$2:$C$302,2,0),0)+IFERROR(VLOOKUP(A384,'#5 IH Results'!$A$2:$C$303,2,0),0)+IFERROR(VLOOKUP(A384,'#4 IH Results'!$A$2:$C$300,2,0),0)+IFERROR(VLOOKUP(A384,'#3 IH Results'!$A$2:$C$101,2,0),0)+IFERROR(VLOOKUP(A384,'#2 IH Results'!$A$2:$C$101,2,0),0)+IFERROR(VLOOKUP(A384,'#1 IH Results'!$A$2:$C$101,2,0),0)+IFERROR(VLOOKUP(A384,'#0 IH Results'!$A$3:$C$102,2,0),0)</f>
        <v>0</v>
      </c>
    </row>
    <row r="385">
      <c r="B385" s="6">
        <f>2*IFERROR(VLOOKUP(A385,'#15 IH Results'!$A$2:$C$301,2,0),0)+2*IFERROR(VLOOKUP(A385,'#14 IH Results'!$A$2:$C$302,2,0),0)+2*IFERROR(VLOOKUP(A385,'#13 IH Results'!$A$2:$C$302,2,0),0)+2*IFERROR(VLOOKUP(A385,'#12 IH Results'!$A$2:$C$302,2,0),0)+IFERROR(VLOOKUP(A385,'#11 IH Results'!$A$2:$C$302,2,0),0)+IFERROR(VLOOKUP(A385,'#10 IH Results'!$A$2:$C$302,2,0),0)+IFERROR(VLOOKUP(A385,'#9 IH Results'!$A$2:$C$302,2,0),0)+IFERROR(VLOOKUP(A385,'#8 IH Results'!$A$2:$C$302,2,0),0)+IFERROR(VLOOKUP(A385,'#7 IH Results'!$A$2:$C$302,2,0),0)+IFERROR(VLOOKUP(A385,'#6 IH Results'!$A$2:$C$302,2,0),0)+IFERROR(VLOOKUP(A385,'#5 IH Results'!$A$2:$C$303,2,0),0)+IFERROR(VLOOKUP(A385,'#4 IH Results'!$A$2:$C$300,2,0),0)+IFERROR(VLOOKUP(A385,'#3 IH Results'!$A$2:$C$101,2,0),0)+IFERROR(VLOOKUP(A385,'#2 IH Results'!$A$2:$C$101,2,0),0)+IFERROR(VLOOKUP(A385,'#1 IH Results'!$A$2:$C$101,2,0),0)+IFERROR(VLOOKUP(A385,'#0 IH Results'!$A$3:$C$102,2,0),0)</f>
        <v>0</v>
      </c>
    </row>
    <row r="386">
      <c r="B386" s="6">
        <f>2*IFERROR(VLOOKUP(A386,'#15 IH Results'!$A$2:$C$301,2,0),0)+2*IFERROR(VLOOKUP(A386,'#14 IH Results'!$A$2:$C$302,2,0),0)+2*IFERROR(VLOOKUP(A386,'#13 IH Results'!$A$2:$C$302,2,0),0)+2*IFERROR(VLOOKUP(A386,'#12 IH Results'!$A$2:$C$302,2,0),0)+IFERROR(VLOOKUP(A386,'#11 IH Results'!$A$2:$C$302,2,0),0)+IFERROR(VLOOKUP(A386,'#10 IH Results'!$A$2:$C$302,2,0),0)+IFERROR(VLOOKUP(A386,'#9 IH Results'!$A$2:$C$302,2,0),0)+IFERROR(VLOOKUP(A386,'#8 IH Results'!$A$2:$C$302,2,0),0)+IFERROR(VLOOKUP(A386,'#7 IH Results'!$A$2:$C$302,2,0),0)+IFERROR(VLOOKUP(A386,'#6 IH Results'!$A$2:$C$302,2,0),0)+IFERROR(VLOOKUP(A386,'#5 IH Results'!$A$2:$C$303,2,0),0)+IFERROR(VLOOKUP(A386,'#4 IH Results'!$A$2:$C$300,2,0),0)+IFERROR(VLOOKUP(A386,'#3 IH Results'!$A$2:$C$101,2,0),0)+IFERROR(VLOOKUP(A386,'#2 IH Results'!$A$2:$C$101,2,0),0)+IFERROR(VLOOKUP(A386,'#1 IH Results'!$A$2:$C$101,2,0),0)+IFERROR(VLOOKUP(A386,'#0 IH Results'!$A$3:$C$102,2,0),0)</f>
        <v>0</v>
      </c>
    </row>
    <row r="387">
      <c r="B387" s="6">
        <f>2*IFERROR(VLOOKUP(A387,'#15 IH Results'!$A$2:$C$301,2,0),0)+2*IFERROR(VLOOKUP(A387,'#14 IH Results'!$A$2:$C$302,2,0),0)+2*IFERROR(VLOOKUP(A387,'#13 IH Results'!$A$2:$C$302,2,0),0)+2*IFERROR(VLOOKUP(A387,'#12 IH Results'!$A$2:$C$302,2,0),0)+IFERROR(VLOOKUP(A387,'#11 IH Results'!$A$2:$C$302,2,0),0)+IFERROR(VLOOKUP(A387,'#10 IH Results'!$A$2:$C$302,2,0),0)+IFERROR(VLOOKUP(A387,'#9 IH Results'!$A$2:$C$302,2,0),0)+IFERROR(VLOOKUP(A387,'#8 IH Results'!$A$2:$C$302,2,0),0)+IFERROR(VLOOKUP(A387,'#7 IH Results'!$A$2:$C$302,2,0),0)+IFERROR(VLOOKUP(A387,'#6 IH Results'!$A$2:$C$302,2,0),0)+IFERROR(VLOOKUP(A387,'#5 IH Results'!$A$2:$C$303,2,0),0)+IFERROR(VLOOKUP(A387,'#4 IH Results'!$A$2:$C$300,2,0),0)+IFERROR(VLOOKUP(A387,'#3 IH Results'!$A$2:$C$101,2,0),0)+IFERROR(VLOOKUP(A387,'#2 IH Results'!$A$2:$C$101,2,0),0)+IFERROR(VLOOKUP(A387,'#1 IH Results'!$A$2:$C$101,2,0),0)+IFERROR(VLOOKUP(A387,'#0 IH Results'!$A$3:$C$102,2,0),0)</f>
        <v>0</v>
      </c>
    </row>
    <row r="388">
      <c r="B388" s="6">
        <f>2*IFERROR(VLOOKUP(A388,'#15 IH Results'!$A$2:$C$301,2,0),0)+2*IFERROR(VLOOKUP(A388,'#14 IH Results'!$A$2:$C$302,2,0),0)+2*IFERROR(VLOOKUP(A388,'#13 IH Results'!$A$2:$C$302,2,0),0)+2*IFERROR(VLOOKUP(A388,'#12 IH Results'!$A$2:$C$302,2,0),0)+IFERROR(VLOOKUP(A388,'#11 IH Results'!$A$2:$C$302,2,0),0)+IFERROR(VLOOKUP(A388,'#10 IH Results'!$A$2:$C$302,2,0),0)+IFERROR(VLOOKUP(A388,'#9 IH Results'!$A$2:$C$302,2,0),0)+IFERROR(VLOOKUP(A388,'#8 IH Results'!$A$2:$C$302,2,0),0)+IFERROR(VLOOKUP(A388,'#7 IH Results'!$A$2:$C$302,2,0),0)+IFERROR(VLOOKUP(A388,'#6 IH Results'!$A$2:$C$302,2,0),0)+IFERROR(VLOOKUP(A388,'#5 IH Results'!$A$2:$C$303,2,0),0)+IFERROR(VLOOKUP(A388,'#4 IH Results'!$A$2:$C$300,2,0),0)+IFERROR(VLOOKUP(A388,'#3 IH Results'!$A$2:$C$101,2,0),0)+IFERROR(VLOOKUP(A388,'#2 IH Results'!$A$2:$C$101,2,0),0)+IFERROR(VLOOKUP(A388,'#1 IH Results'!$A$2:$C$101,2,0),0)+IFERROR(VLOOKUP(A388,'#0 IH Results'!$A$3:$C$102,2,0),0)</f>
        <v>0</v>
      </c>
    </row>
    <row r="389">
      <c r="B389" s="6">
        <f>2*IFERROR(VLOOKUP(A389,'#15 IH Results'!$A$2:$C$301,2,0),0)+2*IFERROR(VLOOKUP(A389,'#14 IH Results'!$A$2:$C$302,2,0),0)+2*IFERROR(VLOOKUP(A389,'#13 IH Results'!$A$2:$C$302,2,0),0)+2*IFERROR(VLOOKUP(A389,'#12 IH Results'!$A$2:$C$302,2,0),0)+IFERROR(VLOOKUP(A389,'#11 IH Results'!$A$2:$C$302,2,0),0)+IFERROR(VLOOKUP(A389,'#10 IH Results'!$A$2:$C$302,2,0),0)+IFERROR(VLOOKUP(A389,'#9 IH Results'!$A$2:$C$302,2,0),0)+IFERROR(VLOOKUP(A389,'#8 IH Results'!$A$2:$C$302,2,0),0)+IFERROR(VLOOKUP(A389,'#7 IH Results'!$A$2:$C$302,2,0),0)+IFERROR(VLOOKUP(A389,'#6 IH Results'!$A$2:$C$302,2,0),0)+IFERROR(VLOOKUP(A389,'#5 IH Results'!$A$2:$C$303,2,0),0)+IFERROR(VLOOKUP(A389,'#4 IH Results'!$A$2:$C$300,2,0),0)+IFERROR(VLOOKUP(A389,'#3 IH Results'!$A$2:$C$101,2,0),0)+IFERROR(VLOOKUP(A389,'#2 IH Results'!$A$2:$C$101,2,0),0)+IFERROR(VLOOKUP(A389,'#1 IH Results'!$A$2:$C$101,2,0),0)+IFERROR(VLOOKUP(A389,'#0 IH Results'!$A$3:$C$102,2,0),0)</f>
        <v>0</v>
      </c>
    </row>
    <row r="390">
      <c r="B390" s="6">
        <f>2*IFERROR(VLOOKUP(A390,'#15 IH Results'!$A$2:$C$301,2,0),0)+2*IFERROR(VLOOKUP(A390,'#14 IH Results'!$A$2:$C$302,2,0),0)+2*IFERROR(VLOOKUP(A390,'#13 IH Results'!$A$2:$C$302,2,0),0)+2*IFERROR(VLOOKUP(A390,'#12 IH Results'!$A$2:$C$302,2,0),0)+IFERROR(VLOOKUP(A390,'#11 IH Results'!$A$2:$C$302,2,0),0)+IFERROR(VLOOKUP(A390,'#10 IH Results'!$A$2:$C$302,2,0),0)+IFERROR(VLOOKUP(A390,'#9 IH Results'!$A$2:$C$302,2,0),0)+IFERROR(VLOOKUP(A390,'#8 IH Results'!$A$2:$C$302,2,0),0)+IFERROR(VLOOKUP(A390,'#7 IH Results'!$A$2:$C$302,2,0),0)+IFERROR(VLOOKUP(A390,'#6 IH Results'!$A$2:$C$302,2,0),0)+IFERROR(VLOOKUP(A390,'#5 IH Results'!$A$2:$C$303,2,0),0)+IFERROR(VLOOKUP(A390,'#4 IH Results'!$A$2:$C$300,2,0),0)+IFERROR(VLOOKUP(A390,'#3 IH Results'!$A$2:$C$101,2,0),0)+IFERROR(VLOOKUP(A390,'#2 IH Results'!$A$2:$C$101,2,0),0)+IFERROR(VLOOKUP(A390,'#1 IH Results'!$A$2:$C$101,2,0),0)+IFERROR(VLOOKUP(A390,'#0 IH Results'!$A$3:$C$102,2,0),0)</f>
        <v>0</v>
      </c>
    </row>
    <row r="391">
      <c r="B391" s="6">
        <f>2*IFERROR(VLOOKUP(A391,'#15 IH Results'!$A$2:$C$301,2,0),0)+2*IFERROR(VLOOKUP(A391,'#14 IH Results'!$A$2:$C$302,2,0),0)+2*IFERROR(VLOOKUP(A391,'#13 IH Results'!$A$2:$C$302,2,0),0)+2*IFERROR(VLOOKUP(A391,'#12 IH Results'!$A$2:$C$302,2,0),0)+IFERROR(VLOOKUP(A391,'#11 IH Results'!$A$2:$C$302,2,0),0)+IFERROR(VLOOKUP(A391,'#10 IH Results'!$A$2:$C$302,2,0),0)+IFERROR(VLOOKUP(A391,'#9 IH Results'!$A$2:$C$302,2,0),0)+IFERROR(VLOOKUP(A391,'#8 IH Results'!$A$2:$C$302,2,0),0)+IFERROR(VLOOKUP(A391,'#7 IH Results'!$A$2:$C$302,2,0),0)+IFERROR(VLOOKUP(A391,'#6 IH Results'!$A$2:$C$302,2,0),0)+IFERROR(VLOOKUP(A391,'#5 IH Results'!$A$2:$C$303,2,0),0)+IFERROR(VLOOKUP(A391,'#4 IH Results'!$A$2:$C$300,2,0),0)+IFERROR(VLOOKUP(A391,'#3 IH Results'!$A$2:$C$101,2,0),0)+IFERROR(VLOOKUP(A391,'#2 IH Results'!$A$2:$C$101,2,0),0)+IFERROR(VLOOKUP(A391,'#1 IH Results'!$A$2:$C$101,2,0),0)+IFERROR(VLOOKUP(A391,'#0 IH Results'!$A$3:$C$102,2,0),0)</f>
        <v>0</v>
      </c>
    </row>
    <row r="392">
      <c r="B392" s="6">
        <f>2*IFERROR(VLOOKUP(A392,'#15 IH Results'!$A$2:$C$301,2,0),0)+2*IFERROR(VLOOKUP(A392,'#14 IH Results'!$A$2:$C$302,2,0),0)+2*IFERROR(VLOOKUP(A392,'#13 IH Results'!$A$2:$C$302,2,0),0)+2*IFERROR(VLOOKUP(A392,'#12 IH Results'!$A$2:$C$302,2,0),0)+IFERROR(VLOOKUP(A392,'#11 IH Results'!$A$2:$C$302,2,0),0)+IFERROR(VLOOKUP(A392,'#10 IH Results'!$A$2:$C$302,2,0),0)+IFERROR(VLOOKUP(A392,'#9 IH Results'!$A$2:$C$302,2,0),0)+IFERROR(VLOOKUP(A392,'#8 IH Results'!$A$2:$C$302,2,0),0)+IFERROR(VLOOKUP(A392,'#7 IH Results'!$A$2:$C$302,2,0),0)+IFERROR(VLOOKUP(A392,'#6 IH Results'!$A$2:$C$302,2,0),0)+IFERROR(VLOOKUP(A392,'#5 IH Results'!$A$2:$C$303,2,0),0)+IFERROR(VLOOKUP(A392,'#4 IH Results'!$A$2:$C$300,2,0),0)+IFERROR(VLOOKUP(A392,'#3 IH Results'!$A$2:$C$101,2,0),0)+IFERROR(VLOOKUP(A392,'#2 IH Results'!$A$2:$C$101,2,0),0)+IFERROR(VLOOKUP(A392,'#1 IH Results'!$A$2:$C$101,2,0),0)+IFERROR(VLOOKUP(A392,'#0 IH Results'!$A$3:$C$102,2,0),0)</f>
        <v>0</v>
      </c>
    </row>
    <row r="393">
      <c r="B393" s="6">
        <f>2*IFERROR(VLOOKUP(A393,'#15 IH Results'!$A$2:$C$301,2,0),0)+2*IFERROR(VLOOKUP(A393,'#14 IH Results'!$A$2:$C$302,2,0),0)+2*IFERROR(VLOOKUP(A393,'#13 IH Results'!$A$2:$C$302,2,0),0)+2*IFERROR(VLOOKUP(A393,'#12 IH Results'!$A$2:$C$302,2,0),0)+IFERROR(VLOOKUP(A393,'#11 IH Results'!$A$2:$C$302,2,0),0)+IFERROR(VLOOKUP(A393,'#10 IH Results'!$A$2:$C$302,2,0),0)+IFERROR(VLOOKUP(A393,'#9 IH Results'!$A$2:$C$302,2,0),0)+IFERROR(VLOOKUP(A393,'#8 IH Results'!$A$2:$C$302,2,0),0)+IFERROR(VLOOKUP(A393,'#7 IH Results'!$A$2:$C$302,2,0),0)+IFERROR(VLOOKUP(A393,'#6 IH Results'!$A$2:$C$302,2,0),0)+IFERROR(VLOOKUP(A393,'#5 IH Results'!$A$2:$C$303,2,0),0)+IFERROR(VLOOKUP(A393,'#4 IH Results'!$A$2:$C$300,2,0),0)+IFERROR(VLOOKUP(A393,'#3 IH Results'!$A$2:$C$101,2,0),0)+IFERROR(VLOOKUP(A393,'#2 IH Results'!$A$2:$C$101,2,0),0)+IFERROR(VLOOKUP(A393,'#1 IH Results'!$A$2:$C$101,2,0),0)+IFERROR(VLOOKUP(A393,'#0 IH Results'!$A$3:$C$102,2,0),0)</f>
        <v>0</v>
      </c>
    </row>
    <row r="394">
      <c r="B394" s="6">
        <f>2*IFERROR(VLOOKUP(A394,'#15 IH Results'!$A$2:$C$301,2,0),0)+2*IFERROR(VLOOKUP(A394,'#14 IH Results'!$A$2:$C$302,2,0),0)+2*IFERROR(VLOOKUP(A394,'#13 IH Results'!$A$2:$C$302,2,0),0)+2*IFERROR(VLOOKUP(A394,'#12 IH Results'!$A$2:$C$302,2,0),0)+IFERROR(VLOOKUP(A394,'#11 IH Results'!$A$2:$C$302,2,0),0)+IFERROR(VLOOKUP(A394,'#10 IH Results'!$A$2:$C$302,2,0),0)+IFERROR(VLOOKUP(A394,'#9 IH Results'!$A$2:$C$302,2,0),0)+IFERROR(VLOOKUP(A394,'#8 IH Results'!$A$2:$C$302,2,0),0)+IFERROR(VLOOKUP(A394,'#7 IH Results'!$A$2:$C$302,2,0),0)+IFERROR(VLOOKUP(A394,'#6 IH Results'!$A$2:$C$302,2,0),0)+IFERROR(VLOOKUP(A394,'#5 IH Results'!$A$2:$C$303,2,0),0)+IFERROR(VLOOKUP(A394,'#4 IH Results'!$A$2:$C$300,2,0),0)+IFERROR(VLOOKUP(A394,'#3 IH Results'!$A$2:$C$101,2,0),0)+IFERROR(VLOOKUP(A394,'#2 IH Results'!$A$2:$C$101,2,0),0)+IFERROR(VLOOKUP(A394,'#1 IH Results'!$A$2:$C$101,2,0),0)+IFERROR(VLOOKUP(A394,'#0 IH Results'!$A$3:$C$102,2,0),0)</f>
        <v>0</v>
      </c>
    </row>
    <row r="395">
      <c r="B395" s="6">
        <f>2*IFERROR(VLOOKUP(A395,'#15 IH Results'!$A$2:$C$301,2,0),0)+2*IFERROR(VLOOKUP(A395,'#14 IH Results'!$A$2:$C$302,2,0),0)+2*IFERROR(VLOOKUP(A395,'#13 IH Results'!$A$2:$C$302,2,0),0)+2*IFERROR(VLOOKUP(A395,'#12 IH Results'!$A$2:$C$302,2,0),0)+IFERROR(VLOOKUP(A395,'#11 IH Results'!$A$2:$C$302,2,0),0)+IFERROR(VLOOKUP(A395,'#10 IH Results'!$A$2:$C$302,2,0),0)+IFERROR(VLOOKUP(A395,'#9 IH Results'!$A$2:$C$302,2,0),0)+IFERROR(VLOOKUP(A395,'#8 IH Results'!$A$2:$C$302,2,0),0)+IFERROR(VLOOKUP(A395,'#7 IH Results'!$A$2:$C$302,2,0),0)+IFERROR(VLOOKUP(A395,'#6 IH Results'!$A$2:$C$302,2,0),0)+IFERROR(VLOOKUP(A395,'#5 IH Results'!$A$2:$C$303,2,0),0)+IFERROR(VLOOKUP(A395,'#4 IH Results'!$A$2:$C$300,2,0),0)+IFERROR(VLOOKUP(A395,'#3 IH Results'!$A$2:$C$101,2,0),0)+IFERROR(VLOOKUP(A395,'#2 IH Results'!$A$2:$C$101,2,0),0)+IFERROR(VLOOKUP(A395,'#1 IH Results'!$A$2:$C$101,2,0),0)+IFERROR(VLOOKUP(A395,'#0 IH Results'!$A$3:$C$102,2,0),0)</f>
        <v>0</v>
      </c>
    </row>
    <row r="396">
      <c r="B396" s="6">
        <f>2*IFERROR(VLOOKUP(A396,'#15 IH Results'!$A$2:$C$301,2,0),0)+2*IFERROR(VLOOKUP(A396,'#14 IH Results'!$A$2:$C$302,2,0),0)+2*IFERROR(VLOOKUP(A396,'#13 IH Results'!$A$2:$C$302,2,0),0)+2*IFERROR(VLOOKUP(A396,'#12 IH Results'!$A$2:$C$302,2,0),0)+IFERROR(VLOOKUP(A396,'#11 IH Results'!$A$2:$C$302,2,0),0)+IFERROR(VLOOKUP(A396,'#10 IH Results'!$A$2:$C$302,2,0),0)+IFERROR(VLOOKUP(A396,'#9 IH Results'!$A$2:$C$302,2,0),0)+IFERROR(VLOOKUP(A396,'#8 IH Results'!$A$2:$C$302,2,0),0)+IFERROR(VLOOKUP(A396,'#7 IH Results'!$A$2:$C$302,2,0),0)+IFERROR(VLOOKUP(A396,'#6 IH Results'!$A$2:$C$302,2,0),0)+IFERROR(VLOOKUP(A396,'#5 IH Results'!$A$2:$C$303,2,0),0)+IFERROR(VLOOKUP(A396,'#4 IH Results'!$A$2:$C$300,2,0),0)+IFERROR(VLOOKUP(A396,'#3 IH Results'!$A$2:$C$101,2,0),0)+IFERROR(VLOOKUP(A396,'#2 IH Results'!$A$2:$C$101,2,0),0)+IFERROR(VLOOKUP(A396,'#1 IH Results'!$A$2:$C$101,2,0),0)+IFERROR(VLOOKUP(A396,'#0 IH Results'!$A$3:$C$102,2,0),0)</f>
        <v>0</v>
      </c>
    </row>
    <row r="397">
      <c r="B397" s="6">
        <f>2*IFERROR(VLOOKUP(A397,'#15 IH Results'!$A$2:$C$301,2,0),0)+2*IFERROR(VLOOKUP(A397,'#14 IH Results'!$A$2:$C$302,2,0),0)+2*IFERROR(VLOOKUP(A397,'#13 IH Results'!$A$2:$C$302,2,0),0)+2*IFERROR(VLOOKUP(A397,'#12 IH Results'!$A$2:$C$302,2,0),0)+IFERROR(VLOOKUP(A397,'#11 IH Results'!$A$2:$C$302,2,0),0)+IFERROR(VLOOKUP(A397,'#10 IH Results'!$A$2:$C$302,2,0),0)+IFERROR(VLOOKUP(A397,'#9 IH Results'!$A$2:$C$302,2,0),0)+IFERROR(VLOOKUP(A397,'#8 IH Results'!$A$2:$C$302,2,0),0)+IFERROR(VLOOKUP(A397,'#7 IH Results'!$A$2:$C$302,2,0),0)+IFERROR(VLOOKUP(A397,'#6 IH Results'!$A$2:$C$302,2,0),0)+IFERROR(VLOOKUP(A397,'#5 IH Results'!$A$2:$C$303,2,0),0)+IFERROR(VLOOKUP(A397,'#4 IH Results'!$A$2:$C$300,2,0),0)+IFERROR(VLOOKUP(A397,'#3 IH Results'!$A$2:$C$101,2,0),0)+IFERROR(VLOOKUP(A397,'#2 IH Results'!$A$2:$C$101,2,0),0)+IFERROR(VLOOKUP(A397,'#1 IH Results'!$A$2:$C$101,2,0),0)+IFERROR(VLOOKUP(A397,'#0 IH Results'!$A$3:$C$102,2,0),0)</f>
        <v>0</v>
      </c>
    </row>
    <row r="398">
      <c r="B398" s="6">
        <f>2*IFERROR(VLOOKUP(A398,'#15 IH Results'!$A$2:$C$301,2,0),0)+2*IFERROR(VLOOKUP(A398,'#14 IH Results'!$A$2:$C$302,2,0),0)+2*IFERROR(VLOOKUP(A398,'#13 IH Results'!$A$2:$C$302,2,0),0)+2*IFERROR(VLOOKUP(A398,'#12 IH Results'!$A$2:$C$302,2,0),0)+IFERROR(VLOOKUP(A398,'#11 IH Results'!$A$2:$C$302,2,0),0)+IFERROR(VLOOKUP(A398,'#10 IH Results'!$A$2:$C$302,2,0),0)+IFERROR(VLOOKUP(A398,'#9 IH Results'!$A$2:$C$302,2,0),0)+IFERROR(VLOOKUP(A398,'#8 IH Results'!$A$2:$C$302,2,0),0)+IFERROR(VLOOKUP(A398,'#7 IH Results'!$A$2:$C$302,2,0),0)+IFERROR(VLOOKUP(A398,'#6 IH Results'!$A$2:$C$302,2,0),0)+IFERROR(VLOOKUP(A398,'#5 IH Results'!$A$2:$C$303,2,0),0)+IFERROR(VLOOKUP(A398,'#4 IH Results'!$A$2:$C$300,2,0),0)+IFERROR(VLOOKUP(A398,'#3 IH Results'!$A$2:$C$101,2,0),0)+IFERROR(VLOOKUP(A398,'#2 IH Results'!$A$2:$C$101,2,0),0)+IFERROR(VLOOKUP(A398,'#1 IH Results'!$A$2:$C$101,2,0),0)+IFERROR(VLOOKUP(A398,'#0 IH Results'!$A$3:$C$102,2,0),0)</f>
        <v>0</v>
      </c>
    </row>
    <row r="399">
      <c r="B399" s="6">
        <f>IFERROR(VLOOKUP(A399,'#14 IH Results'!$A$2:$C$302,2,0),0)+IFERROR(VLOOKUP(A399,'#13 IH Results'!$A$2:$C$302,2,0),0)+IFERROR(VLOOKUP(A399,'#12 IH Results'!$A$2:$C$302,2,0),0)+IFERROR(VLOOKUP(A399,'#11 IH Results'!$A$2:$C$302,2,0),0)+IFERROR(VLOOKUP(A399,'#10 IH Results'!$A$2:$C$302,2,0),0)+IFERROR(VLOOKUP(A399,'#9 IH Results'!$A$2:$C$302,2,0),0)+IFERROR(VLOOKUP(A399,'#8 IH Results'!$A$2:$C$302,2,0),0)+IFERROR(VLOOKUP(A399,'#7 IH Results'!$A$2:$C$302,2,0),0)+IFERROR(VLOOKUP(A399,'#6 IH Results'!$A$2:$C$302,2,0),0)+IFERROR(VLOOKUP(A399,'#5 IH Results'!$A$2:$C$303,2,0),0)+IFERROR(VLOOKUP(A399,'#4 IH Results'!$A$2:$C$300,2,0),0)+IFERROR(VLOOKUP(A399,'#3 IH Results'!$A$2:$C$101,2,0),0)+IFERROR(VLOOKUP(A399,'#2 IH Results'!$A$2:$C$101,2,0),0)+IFERROR(VLOOKUP(A399,'#1 IH Results'!$A$2:$C$101,2,0),0)+IFERROR(VLOOKUP(A399,'#0 IH Results'!$A$3:$C$102,2,0),0)</f>
        <v>0</v>
      </c>
    </row>
    <row r="400">
      <c r="B400" s="6">
        <f>IFERROR(VLOOKUP(A400,'#14 IH Results'!$A$2:$C$302,2,0),0)+IFERROR(VLOOKUP(A400,'#13 IH Results'!$A$2:$C$302,2,0),0)+IFERROR(VLOOKUP(A400,'#12 IH Results'!$A$2:$C$302,2,0),0)+IFERROR(VLOOKUP(A400,'#11 IH Results'!$A$2:$C$302,2,0),0)+IFERROR(VLOOKUP(A400,'#10 IH Results'!$A$2:$C$302,2,0),0)+IFERROR(VLOOKUP(A400,'#9 IH Results'!$A$2:$C$302,2,0),0)+IFERROR(VLOOKUP(A400,'#8 IH Results'!$A$2:$C$302,2,0),0)+IFERROR(VLOOKUP(A400,'#7 IH Results'!$A$2:$C$302,2,0),0)+IFERROR(VLOOKUP(A400,'#6 IH Results'!$A$2:$C$302,2,0),0)+IFERROR(VLOOKUP(A400,'#5 IH Results'!$A$2:$C$303,2,0),0)+IFERROR(VLOOKUP(A400,'#4 IH Results'!$A$2:$C$300,2,0),0)+IFERROR(VLOOKUP(A400,'#3 IH Results'!$A$2:$C$101,2,0),0)+IFERROR(VLOOKUP(A400,'#2 IH Results'!$A$2:$C$101,2,0),0)+IFERROR(VLOOKUP(A400,'#1 IH Results'!$A$2:$C$101,2,0),0)+IFERROR(VLOOKUP(A400,'#0 IH Results'!$A$3:$C$102,2,0),0)</f>
        <v>0</v>
      </c>
    </row>
    <row r="401">
      <c r="B401" s="6">
        <f>IFERROR(VLOOKUP(A401,'#14 IH Results'!$A$2:$C$302,2,0),0)+IFERROR(VLOOKUP(A401,'#13 IH Results'!$A$2:$C$302,2,0),0)+IFERROR(VLOOKUP(A401,'#12 IH Results'!$A$2:$C$302,2,0),0)+IFERROR(VLOOKUP(A401,'#11 IH Results'!$A$2:$C$302,2,0),0)+IFERROR(VLOOKUP(A401,'#10 IH Results'!$A$2:$C$302,2,0),0)+IFERROR(VLOOKUP(A401,'#9 IH Results'!$A$2:$C$302,2,0),0)+IFERROR(VLOOKUP(A401,'#8 IH Results'!$A$2:$C$302,2,0),0)+IFERROR(VLOOKUP(A401,'#7 IH Results'!$A$2:$C$302,2,0),0)+IFERROR(VLOOKUP(A401,'#6 IH Results'!$A$2:$C$302,2,0),0)+IFERROR(VLOOKUP(A401,'#5 IH Results'!$A$2:$C$303,2,0),0)+IFERROR(VLOOKUP(A401,'#4 IH Results'!$A$2:$C$300,2,0),0)+IFERROR(VLOOKUP(A401,'#3 IH Results'!$A$2:$C$101,2,0),0)+IFERROR(VLOOKUP(A401,'#2 IH Results'!$A$2:$C$101,2,0),0)+IFERROR(VLOOKUP(A401,'#1 IH Results'!$A$2:$C$101,2,0),0)+IFERROR(VLOOKUP(A401,'#0 IH Results'!$A$3:$C$102,2,0),0)</f>
        <v>0</v>
      </c>
    </row>
    <row r="402">
      <c r="B402" s="6">
        <f>IFERROR(VLOOKUP(A402,'#14 IH Results'!$A$2:$C$302,2,0),0)+IFERROR(VLOOKUP(A402,'#13 IH Results'!$A$2:$C$302,2,0),0)+IFERROR(VLOOKUP(A402,'#12 IH Results'!$A$2:$C$302,2,0),0)+IFERROR(VLOOKUP(A402,'#11 IH Results'!$A$2:$C$302,2,0),0)+IFERROR(VLOOKUP(A402,'#10 IH Results'!$A$2:$C$302,2,0),0)+IFERROR(VLOOKUP(A402,'#9 IH Results'!$A$2:$C$302,2,0),0)+IFERROR(VLOOKUP(A402,'#8 IH Results'!$A$2:$C$302,2,0),0)+IFERROR(VLOOKUP(A402,'#7 IH Results'!$A$2:$C$302,2,0),0)+IFERROR(VLOOKUP(A402,'#6 IH Results'!$A$2:$C$302,2,0),0)+IFERROR(VLOOKUP(A402,'#5 IH Results'!$A$2:$C$303,2,0),0)+IFERROR(VLOOKUP(A402,'#4 IH Results'!$A$2:$C$300,2,0),0)+IFERROR(VLOOKUP(A402,'#3 IH Results'!$A$2:$C$101,2,0),0)+IFERROR(VLOOKUP(A402,'#2 IH Results'!$A$2:$C$101,2,0),0)+IFERROR(VLOOKUP(A402,'#1 IH Results'!$A$2:$C$101,2,0),0)+IFERROR(VLOOKUP(A402,'#0 IH Results'!$A$3:$C$102,2,0),0)</f>
        <v>0</v>
      </c>
    </row>
    <row r="403">
      <c r="B403" s="6">
        <f>IFERROR(VLOOKUP(A403,'#14 IH Results'!$A$2:$C$302,2,0),0)+IFERROR(VLOOKUP(A403,'#13 IH Results'!$A$2:$C$302,2,0),0)+IFERROR(VLOOKUP(A403,'#12 IH Results'!$A$2:$C$302,2,0),0)+IFERROR(VLOOKUP(A403,'#11 IH Results'!$A$2:$C$302,2,0),0)+IFERROR(VLOOKUP(A403,'#10 IH Results'!$A$2:$C$302,2,0),0)+IFERROR(VLOOKUP(A403,'#9 IH Results'!$A$2:$C$302,2,0),0)+IFERROR(VLOOKUP(A403,'#8 IH Results'!$A$2:$C$302,2,0),0)+IFERROR(VLOOKUP(A403,'#7 IH Results'!$A$2:$C$302,2,0),0)+IFERROR(VLOOKUP(A403,'#6 IH Results'!$A$2:$C$302,2,0),0)+IFERROR(VLOOKUP(A403,'#5 IH Results'!$A$2:$C$303,2,0),0)+IFERROR(VLOOKUP(A403,'#4 IH Results'!$A$2:$C$300,2,0),0)+IFERROR(VLOOKUP(A403,'#3 IH Results'!$A$2:$C$101,2,0),0)+IFERROR(VLOOKUP(A403,'#2 IH Results'!$A$2:$C$101,2,0),0)+IFERROR(VLOOKUP(A403,'#1 IH Results'!$A$2:$C$101,2,0),0)+IFERROR(VLOOKUP(A403,'#0 IH Results'!$A$3:$C$102,2,0),0)</f>
        <v>0</v>
      </c>
    </row>
    <row r="404">
      <c r="B404" s="6">
        <f>IFERROR(VLOOKUP(A404,'#14 IH Results'!$A$2:$C$302,2,0),0)+IFERROR(VLOOKUP(A404,'#13 IH Results'!$A$2:$C$302,2,0),0)+IFERROR(VLOOKUP(A404,'#12 IH Results'!$A$2:$C$302,2,0),0)+IFERROR(VLOOKUP(A404,'#11 IH Results'!$A$2:$C$302,2,0),0)+IFERROR(VLOOKUP(A404,'#10 IH Results'!$A$2:$C$302,2,0),0)+IFERROR(VLOOKUP(A404,'#9 IH Results'!$A$2:$C$302,2,0),0)+IFERROR(VLOOKUP(A404,'#8 IH Results'!$A$2:$C$302,2,0),0)+IFERROR(VLOOKUP(A404,'#7 IH Results'!$A$2:$C$302,2,0),0)+IFERROR(VLOOKUP(A404,'#6 IH Results'!$A$2:$C$302,2,0),0)+IFERROR(VLOOKUP(A404,'#5 IH Results'!$A$2:$C$303,2,0),0)+IFERROR(VLOOKUP(A404,'#4 IH Results'!$A$2:$C$300,2,0),0)+IFERROR(VLOOKUP(A404,'#3 IH Results'!$A$2:$C$101,2,0),0)+IFERROR(VLOOKUP(A404,'#2 IH Results'!$A$2:$C$101,2,0),0)+IFERROR(VLOOKUP(A404,'#1 IH Results'!$A$2:$C$101,2,0),0)+IFERROR(VLOOKUP(A404,'#0 IH Results'!$A$3:$C$102,2,0),0)</f>
        <v>0</v>
      </c>
    </row>
    <row r="405">
      <c r="B405" s="6">
        <f>IFERROR(VLOOKUP(A405,'#14 IH Results'!$A$2:$C$302,2,0),0)+IFERROR(VLOOKUP(A405,'#13 IH Results'!$A$2:$C$302,2,0),0)+IFERROR(VLOOKUP(A405,'#12 IH Results'!$A$2:$C$302,2,0),0)+IFERROR(VLOOKUP(A405,'#11 IH Results'!$A$2:$C$302,2,0),0)+IFERROR(VLOOKUP(A405,'#10 IH Results'!$A$2:$C$302,2,0),0)+IFERROR(VLOOKUP(A405,'#9 IH Results'!$A$2:$C$302,2,0),0)+IFERROR(VLOOKUP(A405,'#8 IH Results'!$A$2:$C$302,2,0),0)+IFERROR(VLOOKUP(A405,'#7 IH Results'!$A$2:$C$302,2,0),0)+IFERROR(VLOOKUP(A405,'#6 IH Results'!$A$2:$C$302,2,0),0)+IFERROR(VLOOKUP(A405,'#5 IH Results'!$A$2:$C$303,2,0),0)+IFERROR(VLOOKUP(A405,'#4 IH Results'!$A$2:$C$300,2,0),0)+IFERROR(VLOOKUP(A405,'#3 IH Results'!$A$2:$C$101,2,0),0)+IFERROR(VLOOKUP(A405,'#2 IH Results'!$A$2:$C$101,2,0),0)+IFERROR(VLOOKUP(A405,'#1 IH Results'!$A$2:$C$101,2,0),0)+IFERROR(VLOOKUP(A405,'#0 IH Results'!$A$3:$C$102,2,0),0)</f>
        <v>0</v>
      </c>
    </row>
    <row r="406">
      <c r="B406" s="6">
        <f>IFERROR(VLOOKUP(A406,'#14 IH Results'!$A$2:$C$302,2,0),0)+IFERROR(VLOOKUP(A406,'#13 IH Results'!$A$2:$C$302,2,0),0)+IFERROR(VLOOKUP(A406,'#12 IH Results'!$A$2:$C$302,2,0),0)+IFERROR(VLOOKUP(A406,'#11 IH Results'!$A$2:$C$302,2,0),0)+IFERROR(VLOOKUP(A406,'#10 IH Results'!$A$2:$C$302,2,0),0)+IFERROR(VLOOKUP(A406,'#9 IH Results'!$A$2:$C$302,2,0),0)+IFERROR(VLOOKUP(A406,'#8 IH Results'!$A$2:$C$302,2,0),0)+IFERROR(VLOOKUP(A406,'#7 IH Results'!$A$2:$C$302,2,0),0)+IFERROR(VLOOKUP(A406,'#6 IH Results'!$A$2:$C$302,2,0),0)+IFERROR(VLOOKUP(A406,'#5 IH Results'!$A$2:$C$303,2,0),0)+IFERROR(VLOOKUP(A406,'#4 IH Results'!$A$2:$C$300,2,0),0)+IFERROR(VLOOKUP(A406,'#3 IH Results'!$A$2:$C$101,2,0),0)+IFERROR(VLOOKUP(A406,'#2 IH Results'!$A$2:$C$101,2,0),0)+IFERROR(VLOOKUP(A406,'#1 IH Results'!$A$2:$C$101,2,0),0)+IFERROR(VLOOKUP(A406,'#0 IH Results'!$A$3:$C$102,2,0),0)</f>
        <v>0</v>
      </c>
    </row>
    <row r="407">
      <c r="B407" s="6">
        <f>IFERROR(VLOOKUP(A407,'#14 IH Results'!$A$2:$C$302,2,0),0)+IFERROR(VLOOKUP(A407,'#13 IH Results'!$A$2:$C$302,2,0),0)+IFERROR(VLOOKUP(A407,'#12 IH Results'!$A$2:$C$302,2,0),0)+IFERROR(VLOOKUP(A407,'#11 IH Results'!$A$2:$C$302,2,0),0)+IFERROR(VLOOKUP(A407,'#10 IH Results'!$A$2:$C$302,2,0),0)+IFERROR(VLOOKUP(A407,'#9 IH Results'!$A$2:$C$302,2,0),0)+IFERROR(VLOOKUP(A407,'#8 IH Results'!$A$2:$C$302,2,0),0)+IFERROR(VLOOKUP(A407,'#7 IH Results'!$A$2:$C$302,2,0),0)+IFERROR(VLOOKUP(A407,'#6 IH Results'!$A$2:$C$302,2,0),0)+IFERROR(VLOOKUP(A407,'#5 IH Results'!$A$2:$C$303,2,0),0)+IFERROR(VLOOKUP(A407,'#4 IH Results'!$A$2:$C$300,2,0),0)+IFERROR(VLOOKUP(A407,'#3 IH Results'!$A$2:$C$101,2,0),0)+IFERROR(VLOOKUP(A407,'#2 IH Results'!$A$2:$C$101,2,0),0)+IFERROR(VLOOKUP(A407,'#1 IH Results'!$A$2:$C$101,2,0),0)+IFERROR(VLOOKUP(A407,'#0 IH Results'!$A$3:$C$102,2,0),0)</f>
        <v>0</v>
      </c>
    </row>
    <row r="408">
      <c r="B408" s="6">
        <f>IFERROR(VLOOKUP(A408,'#14 IH Results'!$A$2:$C$302,2,0),0)+IFERROR(VLOOKUP(A408,'#13 IH Results'!$A$2:$C$302,2,0),0)+IFERROR(VLOOKUP(A408,'#12 IH Results'!$A$2:$C$302,2,0),0)+IFERROR(VLOOKUP(A408,'#11 IH Results'!$A$2:$C$302,2,0),0)+IFERROR(VLOOKUP(A408,'#10 IH Results'!$A$2:$C$302,2,0),0)+IFERROR(VLOOKUP(A408,'#9 IH Results'!$A$2:$C$302,2,0),0)+IFERROR(VLOOKUP(A408,'#8 IH Results'!$A$2:$C$302,2,0),0)+IFERROR(VLOOKUP(A408,'#7 IH Results'!$A$2:$C$302,2,0),0)+IFERROR(VLOOKUP(A408,'#6 IH Results'!$A$2:$C$302,2,0),0)+IFERROR(VLOOKUP(A408,'#5 IH Results'!$A$2:$C$303,2,0),0)+IFERROR(VLOOKUP(A408,'#4 IH Results'!$A$2:$C$300,2,0),0)+IFERROR(VLOOKUP(A408,'#3 IH Results'!$A$2:$C$101,2,0),0)+IFERROR(VLOOKUP(A408,'#2 IH Results'!$A$2:$C$101,2,0),0)+IFERROR(VLOOKUP(A408,'#1 IH Results'!$A$2:$C$101,2,0),0)+IFERROR(VLOOKUP(A408,'#0 IH Results'!$A$3:$C$102,2,0),0)</f>
        <v>0</v>
      </c>
    </row>
    <row r="409">
      <c r="B409" s="6">
        <f>IFERROR(VLOOKUP(A409,'#14 IH Results'!$A$2:$C$302,2,0),0)+IFERROR(VLOOKUP(A409,'#13 IH Results'!$A$2:$C$302,2,0),0)+IFERROR(VLOOKUP(A409,'#12 IH Results'!$A$2:$C$302,2,0),0)+IFERROR(VLOOKUP(A409,'#11 IH Results'!$A$2:$C$302,2,0),0)+IFERROR(VLOOKUP(A409,'#10 IH Results'!$A$2:$C$302,2,0),0)+IFERROR(VLOOKUP(A409,'#9 IH Results'!$A$2:$C$302,2,0),0)+IFERROR(VLOOKUP(A409,'#8 IH Results'!$A$2:$C$302,2,0),0)+IFERROR(VLOOKUP(A409,'#7 IH Results'!$A$2:$C$302,2,0),0)+IFERROR(VLOOKUP(A409,'#6 IH Results'!$A$2:$C$302,2,0),0)+IFERROR(VLOOKUP(A409,'#5 IH Results'!$A$2:$C$303,2,0),0)+IFERROR(VLOOKUP(A409,'#4 IH Results'!$A$2:$C$300,2,0),0)+IFERROR(VLOOKUP(A409,'#3 IH Results'!$A$2:$C$101,2,0),0)+IFERROR(VLOOKUP(A409,'#2 IH Results'!$A$2:$C$101,2,0),0)+IFERROR(VLOOKUP(A409,'#1 IH Results'!$A$2:$C$101,2,0),0)+IFERROR(VLOOKUP(A409,'#0 IH Results'!$A$3:$C$102,2,0),0)</f>
        <v>0</v>
      </c>
    </row>
    <row r="410">
      <c r="B410" s="6">
        <f>IFERROR(VLOOKUP(A410,'#14 IH Results'!$A$2:$C$302,2,0),0)+IFERROR(VLOOKUP(A410,'#13 IH Results'!$A$2:$C$302,2,0),0)+IFERROR(VLOOKUP(A410,'#12 IH Results'!$A$2:$C$302,2,0),0)+IFERROR(VLOOKUP(A410,'#11 IH Results'!$A$2:$C$302,2,0),0)+IFERROR(VLOOKUP(A410,'#10 IH Results'!$A$2:$C$302,2,0),0)+IFERROR(VLOOKUP(A410,'#9 IH Results'!$A$2:$C$302,2,0),0)+IFERROR(VLOOKUP(A410,'#8 IH Results'!$A$2:$C$302,2,0),0)+IFERROR(VLOOKUP(A410,'#7 IH Results'!$A$2:$C$302,2,0),0)+IFERROR(VLOOKUP(A410,'#6 IH Results'!$A$2:$C$302,2,0),0)+IFERROR(VLOOKUP(A410,'#5 IH Results'!$A$2:$C$303,2,0),0)+IFERROR(VLOOKUP(A410,'#4 IH Results'!$A$2:$C$300,2,0),0)+IFERROR(VLOOKUP(A410,'#3 IH Results'!$A$2:$C$101,2,0),0)+IFERROR(VLOOKUP(A410,'#2 IH Results'!$A$2:$C$101,2,0),0)+IFERROR(VLOOKUP(A410,'#1 IH Results'!$A$2:$C$101,2,0),0)+IFERROR(VLOOKUP(A410,'#0 IH Results'!$A$3:$C$102,2,0),0)</f>
        <v>0</v>
      </c>
    </row>
    <row r="411">
      <c r="B411" s="6">
        <f>IFERROR(VLOOKUP(A411,'#14 IH Results'!$A$2:$C$302,2,0),0)+IFERROR(VLOOKUP(A411,'#13 IH Results'!$A$2:$C$302,2,0),0)+IFERROR(VLOOKUP(A411,'#12 IH Results'!$A$2:$C$302,2,0),0)+IFERROR(VLOOKUP(A411,'#11 IH Results'!$A$2:$C$302,2,0),0)+IFERROR(VLOOKUP(A411,'#10 IH Results'!$A$2:$C$302,2,0),0)+IFERROR(VLOOKUP(A411,'#9 IH Results'!$A$2:$C$302,2,0),0)+IFERROR(VLOOKUP(A411,'#8 IH Results'!$A$2:$C$302,2,0),0)+IFERROR(VLOOKUP(A411,'#7 IH Results'!$A$2:$C$302,2,0),0)+IFERROR(VLOOKUP(A411,'#6 IH Results'!$A$2:$C$302,2,0),0)+IFERROR(VLOOKUP(A411,'#5 IH Results'!$A$2:$C$303,2,0),0)+IFERROR(VLOOKUP(A411,'#4 IH Results'!$A$2:$C$300,2,0),0)+IFERROR(VLOOKUP(A411,'#3 IH Results'!$A$2:$C$101,2,0),0)+IFERROR(VLOOKUP(A411,'#2 IH Results'!$A$2:$C$101,2,0),0)+IFERROR(VLOOKUP(A411,'#1 IH Results'!$A$2:$C$101,2,0),0)+IFERROR(VLOOKUP(A411,'#0 IH Results'!$A$3:$C$102,2,0),0)</f>
        <v>0</v>
      </c>
    </row>
    <row r="412">
      <c r="B412" s="6">
        <f>IFERROR(VLOOKUP(A412,'#14 IH Results'!$A$2:$C$302,2,0),0)+IFERROR(VLOOKUP(A412,'#13 IH Results'!$A$2:$C$302,2,0),0)+IFERROR(VLOOKUP(A412,'#12 IH Results'!$A$2:$C$302,2,0),0)+IFERROR(VLOOKUP(A412,'#11 IH Results'!$A$2:$C$302,2,0),0)+IFERROR(VLOOKUP(A412,'#10 IH Results'!$A$2:$C$302,2,0),0)+IFERROR(VLOOKUP(A412,'#9 IH Results'!$A$2:$C$302,2,0),0)+IFERROR(VLOOKUP(A412,'#8 IH Results'!$A$2:$C$302,2,0),0)+IFERROR(VLOOKUP(A412,'#7 IH Results'!$A$2:$C$302,2,0),0)+IFERROR(VLOOKUP(A412,'#6 IH Results'!$A$2:$C$302,2,0),0)+IFERROR(VLOOKUP(A412,'#5 IH Results'!$A$2:$C$303,2,0),0)+IFERROR(VLOOKUP(A412,'#4 IH Results'!$A$2:$C$300,2,0),0)+IFERROR(VLOOKUP(A412,'#3 IH Results'!$A$2:$C$101,2,0),0)+IFERROR(VLOOKUP(A412,'#2 IH Results'!$A$2:$C$101,2,0),0)+IFERROR(VLOOKUP(A412,'#1 IH Results'!$A$2:$C$101,2,0),0)+IFERROR(VLOOKUP(A412,'#0 IH Results'!$A$3:$C$102,2,0),0)</f>
        <v>0</v>
      </c>
    </row>
    <row r="413">
      <c r="B413" s="6">
        <f>IFERROR(VLOOKUP(A413,'#14 IH Results'!$A$2:$C$302,2,0),0)+IFERROR(VLOOKUP(A413,'#13 IH Results'!$A$2:$C$302,2,0),0)+IFERROR(VLOOKUP(A413,'#12 IH Results'!$A$2:$C$302,2,0),0)+IFERROR(VLOOKUP(A413,'#11 IH Results'!$A$2:$C$302,2,0),0)+IFERROR(VLOOKUP(A413,'#10 IH Results'!$A$2:$C$302,2,0),0)+IFERROR(VLOOKUP(A413,'#9 IH Results'!$A$2:$C$302,2,0),0)+IFERROR(VLOOKUP(A413,'#8 IH Results'!$A$2:$C$302,2,0),0)+IFERROR(VLOOKUP(A413,'#7 IH Results'!$A$2:$C$302,2,0),0)+IFERROR(VLOOKUP(A413,'#6 IH Results'!$A$2:$C$302,2,0),0)+IFERROR(VLOOKUP(A413,'#5 IH Results'!$A$2:$C$303,2,0),0)+IFERROR(VLOOKUP(A413,'#4 IH Results'!$A$2:$C$300,2,0),0)+IFERROR(VLOOKUP(A413,'#3 IH Results'!$A$2:$C$101,2,0),0)+IFERROR(VLOOKUP(A413,'#2 IH Results'!$A$2:$C$101,2,0),0)+IFERROR(VLOOKUP(A413,'#1 IH Results'!$A$2:$C$101,2,0),0)+IFERROR(VLOOKUP(A413,'#0 IH Results'!$A$3:$C$102,2,0),0)</f>
        <v>0</v>
      </c>
    </row>
    <row r="414">
      <c r="B414" s="6">
        <f>IFERROR(VLOOKUP(A414,'#14 IH Results'!$A$2:$C$302,2,0),0)+IFERROR(VLOOKUP(A414,'#13 IH Results'!$A$2:$C$302,2,0),0)+IFERROR(VLOOKUP(A414,'#12 IH Results'!$A$2:$C$302,2,0),0)+IFERROR(VLOOKUP(A414,'#11 IH Results'!$A$2:$C$302,2,0),0)+IFERROR(VLOOKUP(A414,'#10 IH Results'!$A$2:$C$302,2,0),0)+IFERROR(VLOOKUP(A414,'#9 IH Results'!$A$2:$C$302,2,0),0)+IFERROR(VLOOKUP(A414,'#8 IH Results'!$A$2:$C$302,2,0),0)+IFERROR(VLOOKUP(A414,'#7 IH Results'!$A$2:$C$302,2,0),0)+IFERROR(VLOOKUP(A414,'#6 IH Results'!$A$2:$C$302,2,0),0)+IFERROR(VLOOKUP(A414,'#5 IH Results'!$A$2:$C$303,2,0),0)+IFERROR(VLOOKUP(A414,'#4 IH Results'!$A$2:$C$300,2,0),0)+IFERROR(VLOOKUP(A414,'#3 IH Results'!$A$2:$C$101,2,0),0)+IFERROR(VLOOKUP(A414,'#2 IH Results'!$A$2:$C$101,2,0),0)+IFERROR(VLOOKUP(A414,'#1 IH Results'!$A$2:$C$101,2,0),0)+IFERROR(VLOOKUP(A414,'#0 IH Results'!$A$3:$C$102,2,0),0)</f>
        <v>0</v>
      </c>
    </row>
    <row r="415">
      <c r="B415" s="6">
        <f>IFERROR(VLOOKUP(A415,'#14 IH Results'!$A$2:$C$302,2,0),0)+IFERROR(VLOOKUP(A415,'#13 IH Results'!$A$2:$C$302,2,0),0)+IFERROR(VLOOKUP(A415,'#12 IH Results'!$A$2:$C$302,2,0),0)+IFERROR(VLOOKUP(A415,'#11 IH Results'!$A$2:$C$302,2,0),0)+IFERROR(VLOOKUP(A415,'#10 IH Results'!$A$2:$C$302,2,0),0)+IFERROR(VLOOKUP(A415,'#9 IH Results'!$A$2:$C$302,2,0),0)+IFERROR(VLOOKUP(A415,'#8 IH Results'!$A$2:$C$302,2,0),0)+IFERROR(VLOOKUP(A415,'#7 IH Results'!$A$2:$C$302,2,0),0)+IFERROR(VLOOKUP(A415,'#6 IH Results'!$A$2:$C$302,2,0),0)+IFERROR(VLOOKUP(A415,'#5 IH Results'!$A$2:$C$303,2,0),0)+IFERROR(VLOOKUP(A415,'#4 IH Results'!$A$2:$C$300,2,0),0)+IFERROR(VLOOKUP(A415,'#3 IH Results'!$A$2:$C$101,2,0),0)+IFERROR(VLOOKUP(A415,'#2 IH Results'!$A$2:$C$101,2,0),0)+IFERROR(VLOOKUP(A415,'#1 IH Results'!$A$2:$C$101,2,0),0)+IFERROR(VLOOKUP(A415,'#0 IH Results'!$A$3:$C$102,2,0),0)</f>
        <v>0</v>
      </c>
    </row>
    <row r="416">
      <c r="B416" s="6">
        <f>IFERROR(VLOOKUP(A416,'#14 IH Results'!$A$2:$C$302,2,0),0)+IFERROR(VLOOKUP(A416,'#13 IH Results'!$A$2:$C$302,2,0),0)+IFERROR(VLOOKUP(A416,'#12 IH Results'!$A$2:$C$302,2,0),0)+IFERROR(VLOOKUP(A416,'#11 IH Results'!$A$2:$C$302,2,0),0)+IFERROR(VLOOKUP(A416,'#10 IH Results'!$A$2:$C$302,2,0),0)+IFERROR(VLOOKUP(A416,'#9 IH Results'!$A$2:$C$302,2,0),0)+IFERROR(VLOOKUP(A416,'#8 IH Results'!$A$2:$C$302,2,0),0)+IFERROR(VLOOKUP(A416,'#7 IH Results'!$A$2:$C$302,2,0),0)+IFERROR(VLOOKUP(A416,'#6 IH Results'!$A$2:$C$302,2,0),0)+IFERROR(VLOOKUP(A416,'#5 IH Results'!$A$2:$C$303,2,0),0)+IFERROR(VLOOKUP(A416,'#4 IH Results'!$A$2:$C$300,2,0),0)+IFERROR(VLOOKUP(A416,'#3 IH Results'!$A$2:$C$101,2,0),0)+IFERROR(VLOOKUP(A416,'#2 IH Results'!$A$2:$C$101,2,0),0)+IFERROR(VLOOKUP(A416,'#1 IH Results'!$A$2:$C$101,2,0),0)+IFERROR(VLOOKUP(A416,'#0 IH Results'!$A$3:$C$102,2,0),0)</f>
        <v>0</v>
      </c>
    </row>
    <row r="417">
      <c r="B417" s="6">
        <f>IFERROR(VLOOKUP(A417,'#14 IH Results'!$A$2:$C$302,2,0),0)+IFERROR(VLOOKUP(A417,'#13 IH Results'!$A$2:$C$302,2,0),0)+IFERROR(VLOOKUP(A417,'#12 IH Results'!$A$2:$C$302,2,0),0)+IFERROR(VLOOKUP(A417,'#11 IH Results'!$A$2:$C$302,2,0),0)+IFERROR(VLOOKUP(A417,'#10 IH Results'!$A$2:$C$302,2,0),0)+IFERROR(VLOOKUP(A417,'#9 IH Results'!$A$2:$C$302,2,0),0)+IFERROR(VLOOKUP(A417,'#8 IH Results'!$A$2:$C$302,2,0),0)+IFERROR(VLOOKUP(A417,'#7 IH Results'!$A$2:$C$302,2,0),0)+IFERROR(VLOOKUP(A417,'#6 IH Results'!$A$2:$C$302,2,0),0)+IFERROR(VLOOKUP(A417,'#5 IH Results'!$A$2:$C$303,2,0),0)+IFERROR(VLOOKUP(A417,'#4 IH Results'!$A$2:$C$300,2,0),0)+IFERROR(VLOOKUP(A417,'#3 IH Results'!$A$2:$C$101,2,0),0)+IFERROR(VLOOKUP(A417,'#2 IH Results'!$A$2:$C$101,2,0),0)+IFERROR(VLOOKUP(A417,'#1 IH Results'!$A$2:$C$101,2,0),0)+IFERROR(VLOOKUP(A417,'#0 IH Results'!$A$3:$C$102,2,0),0)</f>
        <v>0</v>
      </c>
    </row>
    <row r="418">
      <c r="B418" s="6">
        <f>IFERROR(VLOOKUP(A418,'#14 IH Results'!$A$2:$C$302,2,0),0)+IFERROR(VLOOKUP(A418,'#13 IH Results'!$A$2:$C$302,2,0),0)+IFERROR(VLOOKUP(A418,'#12 IH Results'!$A$2:$C$302,2,0),0)+IFERROR(VLOOKUP(A418,'#11 IH Results'!$A$2:$C$302,2,0),0)+IFERROR(VLOOKUP(A418,'#10 IH Results'!$A$2:$C$302,2,0),0)+IFERROR(VLOOKUP(A418,'#9 IH Results'!$A$2:$C$302,2,0),0)+IFERROR(VLOOKUP(A418,'#8 IH Results'!$A$2:$C$302,2,0),0)+IFERROR(VLOOKUP(A418,'#7 IH Results'!$A$2:$C$302,2,0),0)+IFERROR(VLOOKUP(A418,'#6 IH Results'!$A$2:$C$302,2,0),0)+IFERROR(VLOOKUP(A418,'#5 IH Results'!$A$2:$C$303,2,0),0)+IFERROR(VLOOKUP(A418,'#4 IH Results'!$A$2:$C$300,2,0),0)+IFERROR(VLOOKUP(A418,'#3 IH Results'!$A$2:$C$101,2,0),0)+IFERROR(VLOOKUP(A418,'#2 IH Results'!$A$2:$C$101,2,0),0)+IFERROR(VLOOKUP(A418,'#1 IH Results'!$A$2:$C$101,2,0),0)+IFERROR(VLOOKUP(A418,'#0 IH Results'!$A$3:$C$102,2,0),0)</f>
        <v>0</v>
      </c>
    </row>
    <row r="419">
      <c r="B419" s="6">
        <f>IFERROR(VLOOKUP(A419,'#14 IH Results'!$A$2:$C$302,2,0),0)+IFERROR(VLOOKUP(A419,'#13 IH Results'!$A$2:$C$302,2,0),0)+IFERROR(VLOOKUP(A419,'#12 IH Results'!$A$2:$C$302,2,0),0)+IFERROR(VLOOKUP(A419,'#11 IH Results'!$A$2:$C$302,2,0),0)+IFERROR(VLOOKUP(A419,'#10 IH Results'!$A$2:$C$302,2,0),0)+IFERROR(VLOOKUP(A419,'#9 IH Results'!$A$2:$C$302,2,0),0)+IFERROR(VLOOKUP(A419,'#8 IH Results'!$A$2:$C$302,2,0),0)+IFERROR(VLOOKUP(A419,'#7 IH Results'!$A$2:$C$302,2,0),0)+IFERROR(VLOOKUP(A419,'#6 IH Results'!$A$2:$C$302,2,0),0)+IFERROR(VLOOKUP(A419,'#5 IH Results'!$A$2:$C$303,2,0),0)+IFERROR(VLOOKUP(A419,'#4 IH Results'!$A$2:$C$300,2,0),0)+IFERROR(VLOOKUP(A419,'#3 IH Results'!$A$2:$C$101,2,0),0)+IFERROR(VLOOKUP(A419,'#2 IH Results'!$A$2:$C$101,2,0),0)+IFERROR(VLOOKUP(A419,'#1 IH Results'!$A$2:$C$101,2,0),0)+IFERROR(VLOOKUP(A419,'#0 IH Results'!$A$3:$C$102,2,0),0)</f>
        <v>0</v>
      </c>
    </row>
    <row r="420">
      <c r="B420" s="6">
        <f>IFERROR(VLOOKUP(A420,'#14 IH Results'!$A$2:$C$302,2,0),0)+IFERROR(VLOOKUP(A420,'#13 IH Results'!$A$2:$C$302,2,0),0)+IFERROR(VLOOKUP(A420,'#12 IH Results'!$A$2:$C$302,2,0),0)+IFERROR(VLOOKUP(A420,'#11 IH Results'!$A$2:$C$302,2,0),0)+IFERROR(VLOOKUP(A420,'#10 IH Results'!$A$2:$C$302,2,0),0)+IFERROR(VLOOKUP(A420,'#9 IH Results'!$A$2:$C$302,2,0),0)+IFERROR(VLOOKUP(A420,'#8 IH Results'!$A$2:$C$302,2,0),0)+IFERROR(VLOOKUP(A420,'#7 IH Results'!$A$2:$C$302,2,0),0)+IFERROR(VLOOKUP(A420,'#6 IH Results'!$A$2:$C$302,2,0),0)+IFERROR(VLOOKUP(A420,'#5 IH Results'!$A$2:$C$303,2,0),0)+IFERROR(VLOOKUP(A420,'#4 IH Results'!$A$2:$C$300,2,0),0)+IFERROR(VLOOKUP(A420,'#3 IH Results'!$A$2:$C$101,2,0),0)+IFERROR(VLOOKUP(A420,'#2 IH Results'!$A$2:$C$101,2,0),0)+IFERROR(VLOOKUP(A420,'#1 IH Results'!$A$2:$C$101,2,0),0)+IFERROR(VLOOKUP(A420,'#0 IH Results'!$A$3:$C$102,2,0),0)</f>
        <v>0</v>
      </c>
    </row>
    <row r="421">
      <c r="B421" s="6">
        <f>IFERROR(VLOOKUP(A421,'#14 IH Results'!$A$2:$C$302,2,0),0)+IFERROR(VLOOKUP(A421,'#13 IH Results'!$A$2:$C$302,2,0),0)+IFERROR(VLOOKUP(A421,'#12 IH Results'!$A$2:$C$302,2,0),0)+IFERROR(VLOOKUP(A421,'#11 IH Results'!$A$2:$C$302,2,0),0)+IFERROR(VLOOKUP(A421,'#10 IH Results'!$A$2:$C$302,2,0),0)+IFERROR(VLOOKUP(A421,'#9 IH Results'!$A$2:$C$302,2,0),0)+IFERROR(VLOOKUP(A421,'#8 IH Results'!$A$2:$C$302,2,0),0)+IFERROR(VLOOKUP(A421,'#7 IH Results'!$A$2:$C$302,2,0),0)+IFERROR(VLOOKUP(A421,'#6 IH Results'!$A$2:$C$302,2,0),0)+IFERROR(VLOOKUP(A421,'#5 IH Results'!$A$2:$C$303,2,0),0)+IFERROR(VLOOKUP(A421,'#4 IH Results'!$A$2:$C$300,2,0),0)+IFERROR(VLOOKUP(A421,'#3 IH Results'!$A$2:$C$101,2,0),0)+IFERROR(VLOOKUP(A421,'#2 IH Results'!$A$2:$C$101,2,0),0)+IFERROR(VLOOKUP(A421,'#1 IH Results'!$A$2:$C$101,2,0),0)+IFERROR(VLOOKUP(A421,'#0 IH Results'!$A$3:$C$102,2,0),0)</f>
        <v>0</v>
      </c>
    </row>
    <row r="422">
      <c r="B422" s="6">
        <f>IFERROR(VLOOKUP(A422,'#14 IH Results'!$A$2:$C$302,2,0),0)+IFERROR(VLOOKUP(A422,'#13 IH Results'!$A$2:$C$302,2,0),0)+IFERROR(VLOOKUP(A422,'#12 IH Results'!$A$2:$C$302,2,0),0)+IFERROR(VLOOKUP(A422,'#11 IH Results'!$A$2:$C$302,2,0),0)+IFERROR(VLOOKUP(A422,'#10 IH Results'!$A$2:$C$302,2,0),0)+IFERROR(VLOOKUP(A422,'#9 IH Results'!$A$2:$C$302,2,0),0)+IFERROR(VLOOKUP(A422,'#8 IH Results'!$A$2:$C$302,2,0),0)+IFERROR(VLOOKUP(A422,'#7 IH Results'!$A$2:$C$302,2,0),0)+IFERROR(VLOOKUP(A422,'#6 IH Results'!$A$2:$C$302,2,0),0)+IFERROR(VLOOKUP(A422,'#5 IH Results'!$A$2:$C$303,2,0),0)+IFERROR(VLOOKUP(A422,'#4 IH Results'!$A$2:$C$300,2,0),0)+IFERROR(VLOOKUP(A422,'#3 IH Results'!$A$2:$C$101,2,0),0)+IFERROR(VLOOKUP(A422,'#2 IH Results'!$A$2:$C$101,2,0),0)+IFERROR(VLOOKUP(A422,'#1 IH Results'!$A$2:$C$101,2,0),0)+IFERROR(VLOOKUP(A422,'#0 IH Results'!$A$3:$C$102,2,0),0)</f>
        <v>0</v>
      </c>
    </row>
    <row r="423">
      <c r="B423" s="6">
        <f>IFERROR(VLOOKUP(A423,'#14 IH Results'!$A$2:$C$302,2,0),0)+IFERROR(VLOOKUP(A423,'#13 IH Results'!$A$2:$C$302,2,0),0)+IFERROR(VLOOKUP(A423,'#12 IH Results'!$A$2:$C$302,2,0),0)+IFERROR(VLOOKUP(A423,'#11 IH Results'!$A$2:$C$302,2,0),0)+IFERROR(VLOOKUP(A423,'#10 IH Results'!$A$2:$C$302,2,0),0)+IFERROR(VLOOKUP(A423,'#9 IH Results'!$A$2:$C$302,2,0),0)+IFERROR(VLOOKUP(A423,'#8 IH Results'!$A$2:$C$302,2,0),0)+IFERROR(VLOOKUP(A423,'#7 IH Results'!$A$2:$C$302,2,0),0)+IFERROR(VLOOKUP(A423,'#6 IH Results'!$A$2:$C$302,2,0),0)+IFERROR(VLOOKUP(A423,'#5 IH Results'!$A$2:$C$303,2,0),0)+IFERROR(VLOOKUP(A423,'#4 IH Results'!$A$2:$C$300,2,0),0)+IFERROR(VLOOKUP(A423,'#3 IH Results'!$A$2:$C$101,2,0),0)+IFERROR(VLOOKUP(A423,'#2 IH Results'!$A$2:$C$101,2,0),0)+IFERROR(VLOOKUP(A423,'#1 IH Results'!$A$2:$C$101,2,0),0)+IFERROR(VLOOKUP(A423,'#0 IH Results'!$A$3:$C$102,2,0),0)</f>
        <v>0</v>
      </c>
    </row>
    <row r="424">
      <c r="B424" s="6">
        <f>IFERROR(VLOOKUP(A424,'#14 IH Results'!$A$2:$C$302,2,0),0)+IFERROR(VLOOKUP(A424,'#13 IH Results'!$A$2:$C$302,2,0),0)+IFERROR(VLOOKUP(A424,'#12 IH Results'!$A$2:$C$302,2,0),0)+IFERROR(VLOOKUP(A424,'#11 IH Results'!$A$2:$C$302,2,0),0)+IFERROR(VLOOKUP(A424,'#10 IH Results'!$A$2:$C$302,2,0),0)+IFERROR(VLOOKUP(A424,'#9 IH Results'!$A$2:$C$302,2,0),0)+IFERROR(VLOOKUP(A424,'#8 IH Results'!$A$2:$C$302,2,0),0)+IFERROR(VLOOKUP(A424,'#7 IH Results'!$A$2:$C$302,2,0),0)+IFERROR(VLOOKUP(A424,'#6 IH Results'!$A$2:$C$302,2,0),0)+IFERROR(VLOOKUP(A424,'#5 IH Results'!$A$2:$C$303,2,0),0)+IFERROR(VLOOKUP(A424,'#4 IH Results'!$A$2:$C$300,2,0),0)+IFERROR(VLOOKUP(A424,'#3 IH Results'!$A$2:$C$101,2,0),0)+IFERROR(VLOOKUP(A424,'#2 IH Results'!$A$2:$C$101,2,0),0)+IFERROR(VLOOKUP(A424,'#1 IH Results'!$A$2:$C$101,2,0),0)+IFERROR(VLOOKUP(A424,'#0 IH Results'!$A$3:$C$102,2,0),0)</f>
        <v>0</v>
      </c>
    </row>
    <row r="425">
      <c r="B425" s="6">
        <f>IFERROR(VLOOKUP(A425,'#14 IH Results'!$A$2:$C$302,2,0),0)+IFERROR(VLOOKUP(A425,'#13 IH Results'!$A$2:$C$302,2,0),0)+IFERROR(VLOOKUP(A425,'#12 IH Results'!$A$2:$C$302,2,0),0)+IFERROR(VLOOKUP(A425,'#11 IH Results'!$A$2:$C$302,2,0),0)+IFERROR(VLOOKUP(A425,'#10 IH Results'!$A$2:$C$302,2,0),0)+IFERROR(VLOOKUP(A425,'#9 IH Results'!$A$2:$C$302,2,0),0)+IFERROR(VLOOKUP(A425,'#8 IH Results'!$A$2:$C$302,2,0),0)+IFERROR(VLOOKUP(A425,'#7 IH Results'!$A$2:$C$302,2,0),0)+IFERROR(VLOOKUP(A425,'#6 IH Results'!$A$2:$C$302,2,0),0)+IFERROR(VLOOKUP(A425,'#5 IH Results'!$A$2:$C$303,2,0),0)+IFERROR(VLOOKUP(A425,'#4 IH Results'!$A$2:$C$300,2,0),0)+IFERROR(VLOOKUP(A425,'#3 IH Results'!$A$2:$C$101,2,0),0)+IFERROR(VLOOKUP(A425,'#2 IH Results'!$A$2:$C$101,2,0),0)+IFERROR(VLOOKUP(A425,'#1 IH Results'!$A$2:$C$101,2,0),0)+IFERROR(VLOOKUP(A425,'#0 IH Results'!$A$3:$C$102,2,0),0)</f>
        <v>0</v>
      </c>
    </row>
    <row r="426">
      <c r="B426" s="6">
        <f>IFERROR(VLOOKUP(A426,'#14 IH Results'!$A$2:$C$302,2,0),0)+IFERROR(VLOOKUP(A426,'#13 IH Results'!$A$2:$C$302,2,0),0)+IFERROR(VLOOKUP(A426,'#12 IH Results'!$A$2:$C$302,2,0),0)+IFERROR(VLOOKUP(A426,'#11 IH Results'!$A$2:$C$302,2,0),0)+IFERROR(VLOOKUP(A426,'#10 IH Results'!$A$2:$C$302,2,0),0)+IFERROR(VLOOKUP(A426,'#9 IH Results'!$A$2:$C$302,2,0),0)+IFERROR(VLOOKUP(A426,'#8 IH Results'!$A$2:$C$302,2,0),0)+IFERROR(VLOOKUP(A426,'#7 IH Results'!$A$2:$C$302,2,0),0)+IFERROR(VLOOKUP(A426,'#6 IH Results'!$A$2:$C$302,2,0),0)+IFERROR(VLOOKUP(A426,'#5 IH Results'!$A$2:$C$303,2,0),0)+IFERROR(VLOOKUP(A426,'#4 IH Results'!$A$2:$C$300,2,0),0)+IFERROR(VLOOKUP(A426,'#3 IH Results'!$A$2:$C$101,2,0),0)+IFERROR(VLOOKUP(A426,'#2 IH Results'!$A$2:$C$101,2,0),0)+IFERROR(VLOOKUP(A426,'#1 IH Results'!$A$2:$C$101,2,0),0)+IFERROR(VLOOKUP(A426,'#0 IH Results'!$A$3:$C$102,2,0),0)</f>
        <v>0</v>
      </c>
    </row>
    <row r="427">
      <c r="B427" s="6">
        <f>IFERROR(VLOOKUP(A427,'#14 IH Results'!$A$2:$C$302,2,0),0)+IFERROR(VLOOKUP(A427,'#13 IH Results'!$A$2:$C$302,2,0),0)+IFERROR(VLOOKUP(A427,'#12 IH Results'!$A$2:$C$302,2,0),0)+IFERROR(VLOOKUP(A427,'#11 IH Results'!$A$2:$C$302,2,0),0)+IFERROR(VLOOKUP(A427,'#10 IH Results'!$A$2:$C$302,2,0),0)+IFERROR(VLOOKUP(A427,'#9 IH Results'!$A$2:$C$302,2,0),0)+IFERROR(VLOOKUP(A427,'#8 IH Results'!$A$2:$C$302,2,0),0)+IFERROR(VLOOKUP(A427,'#7 IH Results'!$A$2:$C$302,2,0),0)+IFERROR(VLOOKUP(A427,'#6 IH Results'!$A$2:$C$302,2,0),0)+IFERROR(VLOOKUP(A427,'#5 IH Results'!$A$2:$C$303,2,0),0)+IFERROR(VLOOKUP(A427,'#4 IH Results'!$A$2:$C$300,2,0),0)+IFERROR(VLOOKUP(A427,'#3 IH Results'!$A$2:$C$101,2,0),0)+IFERROR(VLOOKUP(A427,'#2 IH Results'!$A$2:$C$101,2,0),0)+IFERROR(VLOOKUP(A427,'#1 IH Results'!$A$2:$C$101,2,0),0)+IFERROR(VLOOKUP(A427,'#0 IH Results'!$A$3:$C$102,2,0),0)</f>
        <v>0</v>
      </c>
    </row>
    <row r="428">
      <c r="B428" s="6">
        <f>IFERROR(VLOOKUP(A428,'#14 IH Results'!$A$2:$C$302,2,0),0)+IFERROR(VLOOKUP(A428,'#13 IH Results'!$A$2:$C$302,2,0),0)+IFERROR(VLOOKUP(A428,'#12 IH Results'!$A$2:$C$302,2,0),0)+IFERROR(VLOOKUP(A428,'#11 IH Results'!$A$2:$C$302,2,0),0)+IFERROR(VLOOKUP(A428,'#10 IH Results'!$A$2:$C$302,2,0),0)+IFERROR(VLOOKUP(A428,'#9 IH Results'!$A$2:$C$302,2,0),0)+IFERROR(VLOOKUP(A428,'#8 IH Results'!$A$2:$C$302,2,0),0)+IFERROR(VLOOKUP(A428,'#7 IH Results'!$A$2:$C$302,2,0),0)+IFERROR(VLOOKUP(A428,'#6 IH Results'!$A$2:$C$302,2,0),0)+IFERROR(VLOOKUP(A428,'#5 IH Results'!$A$2:$C$303,2,0),0)+IFERROR(VLOOKUP(A428,'#4 IH Results'!$A$2:$C$300,2,0),0)+IFERROR(VLOOKUP(A428,'#3 IH Results'!$A$2:$C$101,2,0),0)+IFERROR(VLOOKUP(A428,'#2 IH Results'!$A$2:$C$101,2,0),0)+IFERROR(VLOOKUP(A428,'#1 IH Results'!$A$2:$C$101,2,0),0)+IFERROR(VLOOKUP(A428,'#0 IH Results'!$A$3:$C$102,2,0),0)</f>
        <v>0</v>
      </c>
    </row>
    <row r="429">
      <c r="B429" s="6">
        <f>IFERROR(VLOOKUP(A429,'#14 IH Results'!$A$2:$C$302,2,0),0)+IFERROR(VLOOKUP(A429,'#13 IH Results'!$A$2:$C$302,2,0),0)+IFERROR(VLOOKUP(A429,'#12 IH Results'!$A$2:$C$302,2,0),0)+IFERROR(VLOOKUP(A429,'#11 IH Results'!$A$2:$C$302,2,0),0)+IFERROR(VLOOKUP(A429,'#10 IH Results'!$A$2:$C$302,2,0),0)+IFERROR(VLOOKUP(A429,'#9 IH Results'!$A$2:$C$302,2,0),0)+IFERROR(VLOOKUP(A429,'#8 IH Results'!$A$2:$C$302,2,0),0)+IFERROR(VLOOKUP(A429,'#7 IH Results'!$A$2:$C$302,2,0),0)+IFERROR(VLOOKUP(A429,'#6 IH Results'!$A$2:$C$302,2,0),0)+IFERROR(VLOOKUP(A429,'#5 IH Results'!$A$2:$C$303,2,0),0)+IFERROR(VLOOKUP(A429,'#4 IH Results'!$A$2:$C$300,2,0),0)+IFERROR(VLOOKUP(A429,'#3 IH Results'!$A$2:$C$101,2,0),0)+IFERROR(VLOOKUP(A429,'#2 IH Results'!$A$2:$C$101,2,0),0)+IFERROR(VLOOKUP(A429,'#1 IH Results'!$A$2:$C$101,2,0),0)+IFERROR(VLOOKUP(A429,'#0 IH Results'!$A$3:$C$102,2,0),0)</f>
        <v>0</v>
      </c>
    </row>
    <row r="430">
      <c r="B430" s="6">
        <f>IFERROR(VLOOKUP(A430,'#14 IH Results'!$A$2:$C$302,2,0),0)+IFERROR(VLOOKUP(A430,'#13 IH Results'!$A$2:$C$302,2,0),0)+IFERROR(VLOOKUP(A430,'#12 IH Results'!$A$2:$C$302,2,0),0)+IFERROR(VLOOKUP(A430,'#11 IH Results'!$A$2:$C$302,2,0),0)+IFERROR(VLOOKUP(A430,'#10 IH Results'!$A$2:$C$302,2,0),0)+IFERROR(VLOOKUP(A430,'#9 IH Results'!$A$2:$C$302,2,0),0)+IFERROR(VLOOKUP(A430,'#8 IH Results'!$A$2:$C$302,2,0),0)+IFERROR(VLOOKUP(A430,'#7 IH Results'!$A$2:$C$302,2,0),0)+IFERROR(VLOOKUP(A430,'#6 IH Results'!$A$2:$C$302,2,0),0)+IFERROR(VLOOKUP(A430,'#5 IH Results'!$A$2:$C$303,2,0),0)+IFERROR(VLOOKUP(A430,'#4 IH Results'!$A$2:$C$300,2,0),0)+IFERROR(VLOOKUP(A430,'#3 IH Results'!$A$2:$C$101,2,0),0)+IFERROR(VLOOKUP(A430,'#2 IH Results'!$A$2:$C$101,2,0),0)+IFERROR(VLOOKUP(A430,'#1 IH Results'!$A$2:$C$101,2,0),0)+IFERROR(VLOOKUP(A430,'#0 IH Results'!$A$3:$C$102,2,0),0)</f>
        <v>0</v>
      </c>
    </row>
    <row r="431">
      <c r="B431" s="6">
        <f>IFERROR(VLOOKUP(A431,'#14 IH Results'!$A$2:$C$302,2,0),0)+IFERROR(VLOOKUP(A431,'#13 IH Results'!$A$2:$C$302,2,0),0)+IFERROR(VLOOKUP(A431,'#12 IH Results'!$A$2:$C$302,2,0),0)+IFERROR(VLOOKUP(A431,'#11 IH Results'!$A$2:$C$302,2,0),0)+IFERROR(VLOOKUP(A431,'#10 IH Results'!$A$2:$C$302,2,0),0)+IFERROR(VLOOKUP(A431,'#9 IH Results'!$A$2:$C$302,2,0),0)+IFERROR(VLOOKUP(A431,'#8 IH Results'!$A$2:$C$302,2,0),0)+IFERROR(VLOOKUP(A431,'#7 IH Results'!$A$2:$C$302,2,0),0)+IFERROR(VLOOKUP(A431,'#6 IH Results'!$A$2:$C$302,2,0),0)+IFERROR(VLOOKUP(A431,'#5 IH Results'!$A$2:$C$303,2,0),0)+IFERROR(VLOOKUP(A431,'#4 IH Results'!$A$2:$C$300,2,0),0)+IFERROR(VLOOKUP(A431,'#3 IH Results'!$A$2:$C$101,2,0),0)+IFERROR(VLOOKUP(A431,'#2 IH Results'!$A$2:$C$101,2,0),0)+IFERROR(VLOOKUP(A431,'#1 IH Results'!$A$2:$C$101,2,0),0)+IFERROR(VLOOKUP(A431,'#0 IH Results'!$A$3:$C$102,2,0),0)</f>
        <v>0</v>
      </c>
    </row>
    <row r="432">
      <c r="B432" s="6">
        <f>IFERROR(VLOOKUP(A432,'#14 IH Results'!$A$2:$C$302,2,0),0)+IFERROR(VLOOKUP(A432,'#13 IH Results'!$A$2:$C$302,2,0),0)+IFERROR(VLOOKUP(A432,'#12 IH Results'!$A$2:$C$302,2,0),0)+IFERROR(VLOOKUP(A432,'#11 IH Results'!$A$2:$C$302,2,0),0)+IFERROR(VLOOKUP(A432,'#10 IH Results'!$A$2:$C$302,2,0),0)+IFERROR(VLOOKUP(A432,'#9 IH Results'!$A$2:$C$302,2,0),0)+IFERROR(VLOOKUP(A432,'#8 IH Results'!$A$2:$C$302,2,0),0)+IFERROR(VLOOKUP(A432,'#7 IH Results'!$A$2:$C$302,2,0),0)+IFERROR(VLOOKUP(A432,'#6 IH Results'!$A$2:$C$302,2,0),0)+IFERROR(VLOOKUP(A432,'#5 IH Results'!$A$2:$C$303,2,0),0)+IFERROR(VLOOKUP(A432,'#4 IH Results'!$A$2:$C$300,2,0),0)+IFERROR(VLOOKUP(A432,'#3 IH Results'!$A$2:$C$101,2,0),0)+IFERROR(VLOOKUP(A432,'#2 IH Results'!$A$2:$C$101,2,0),0)+IFERROR(VLOOKUP(A432,'#1 IH Results'!$A$2:$C$101,2,0),0)+IFERROR(VLOOKUP(A432,'#0 IH Results'!$A$3:$C$102,2,0),0)</f>
        <v>0</v>
      </c>
    </row>
    <row r="433">
      <c r="B433" s="6">
        <f>IFERROR(VLOOKUP(A433,'#14 IH Results'!$A$2:$C$302,2,0),0)+IFERROR(VLOOKUP(A433,'#13 IH Results'!$A$2:$C$302,2,0),0)+IFERROR(VLOOKUP(A433,'#12 IH Results'!$A$2:$C$302,2,0),0)+IFERROR(VLOOKUP(A433,'#11 IH Results'!$A$2:$C$302,2,0),0)+IFERROR(VLOOKUP(A433,'#10 IH Results'!$A$2:$C$302,2,0),0)+IFERROR(VLOOKUP(A433,'#9 IH Results'!$A$2:$C$302,2,0),0)+IFERROR(VLOOKUP(A433,'#8 IH Results'!$A$2:$C$302,2,0),0)+IFERROR(VLOOKUP(A433,'#7 IH Results'!$A$2:$C$302,2,0),0)+IFERROR(VLOOKUP(A433,'#6 IH Results'!$A$2:$C$302,2,0),0)+IFERROR(VLOOKUP(A433,'#5 IH Results'!$A$2:$C$303,2,0),0)+IFERROR(VLOOKUP(A433,'#4 IH Results'!$A$2:$C$300,2,0),0)+IFERROR(VLOOKUP(A433,'#3 IH Results'!$A$2:$C$101,2,0),0)+IFERROR(VLOOKUP(A433,'#2 IH Results'!$A$2:$C$101,2,0),0)+IFERROR(VLOOKUP(A433,'#1 IH Results'!$A$2:$C$101,2,0),0)+IFERROR(VLOOKUP(A433,'#0 IH Results'!$A$3:$C$102,2,0),0)</f>
        <v>0</v>
      </c>
    </row>
    <row r="434">
      <c r="B434" s="6">
        <f>IFERROR(VLOOKUP(A434,'#14 IH Results'!$A$2:$C$302,2,0),0)+IFERROR(VLOOKUP(A434,'#13 IH Results'!$A$2:$C$302,2,0),0)+IFERROR(VLOOKUP(A434,'#12 IH Results'!$A$2:$C$302,2,0),0)+IFERROR(VLOOKUP(A434,'#11 IH Results'!$A$2:$C$302,2,0),0)+IFERROR(VLOOKUP(A434,'#10 IH Results'!$A$2:$C$302,2,0),0)+IFERROR(VLOOKUP(A434,'#9 IH Results'!$A$2:$C$302,2,0),0)+IFERROR(VLOOKUP(A434,'#8 IH Results'!$A$2:$C$302,2,0),0)+IFERROR(VLOOKUP(A434,'#7 IH Results'!$A$2:$C$302,2,0),0)+IFERROR(VLOOKUP(A434,'#6 IH Results'!$A$2:$C$302,2,0),0)+IFERROR(VLOOKUP(A434,'#5 IH Results'!$A$2:$C$303,2,0),0)+IFERROR(VLOOKUP(A434,'#4 IH Results'!$A$2:$C$300,2,0),0)+IFERROR(VLOOKUP(A434,'#3 IH Results'!$A$2:$C$101,2,0),0)+IFERROR(VLOOKUP(A434,'#2 IH Results'!$A$2:$C$101,2,0),0)+IFERROR(VLOOKUP(A434,'#1 IH Results'!$A$2:$C$101,2,0),0)+IFERROR(VLOOKUP(A434,'#0 IH Results'!$A$3:$C$102,2,0),0)</f>
        <v>0</v>
      </c>
    </row>
    <row r="435">
      <c r="B435" s="6">
        <f>IFERROR(VLOOKUP(A435,'#14 IH Results'!$A$2:$C$302,2,0),0)+IFERROR(VLOOKUP(A435,'#13 IH Results'!$A$2:$C$302,2,0),0)+IFERROR(VLOOKUP(A435,'#12 IH Results'!$A$2:$C$302,2,0),0)+IFERROR(VLOOKUP(A435,'#11 IH Results'!$A$2:$C$302,2,0),0)+IFERROR(VLOOKUP(A435,'#10 IH Results'!$A$2:$C$302,2,0),0)+IFERROR(VLOOKUP(A435,'#9 IH Results'!$A$2:$C$302,2,0),0)+IFERROR(VLOOKUP(A435,'#8 IH Results'!$A$2:$C$302,2,0),0)+IFERROR(VLOOKUP(A435,'#7 IH Results'!$A$2:$C$302,2,0),0)+IFERROR(VLOOKUP(A435,'#6 IH Results'!$A$2:$C$302,2,0),0)+IFERROR(VLOOKUP(A435,'#5 IH Results'!$A$2:$C$303,2,0),0)+IFERROR(VLOOKUP(A435,'#4 IH Results'!$A$2:$C$300,2,0),0)+IFERROR(VLOOKUP(A435,'#3 IH Results'!$A$2:$C$101,2,0),0)+IFERROR(VLOOKUP(A435,'#2 IH Results'!$A$2:$C$101,2,0),0)+IFERROR(VLOOKUP(A435,'#1 IH Results'!$A$2:$C$101,2,0),0)+IFERROR(VLOOKUP(A435,'#0 IH Results'!$A$3:$C$102,2,0),0)</f>
        <v>0</v>
      </c>
    </row>
    <row r="436">
      <c r="B436" s="6">
        <f>IFERROR(VLOOKUP(A436,'#14 IH Results'!$A$2:$C$302,2,0),0)+IFERROR(VLOOKUP(A436,'#13 IH Results'!$A$2:$C$302,2,0),0)+IFERROR(VLOOKUP(A436,'#12 IH Results'!$A$2:$C$302,2,0),0)+IFERROR(VLOOKUP(A436,'#11 IH Results'!$A$2:$C$302,2,0),0)+IFERROR(VLOOKUP(A436,'#10 IH Results'!$A$2:$C$302,2,0),0)+IFERROR(VLOOKUP(A436,'#9 IH Results'!$A$2:$C$302,2,0),0)+IFERROR(VLOOKUP(A436,'#8 IH Results'!$A$2:$C$302,2,0),0)+IFERROR(VLOOKUP(A436,'#7 IH Results'!$A$2:$C$302,2,0),0)+IFERROR(VLOOKUP(A436,'#6 IH Results'!$A$2:$C$302,2,0),0)+IFERROR(VLOOKUP(A436,'#5 IH Results'!$A$2:$C$303,2,0),0)+IFERROR(VLOOKUP(A436,'#4 IH Results'!$A$2:$C$300,2,0),0)+IFERROR(VLOOKUP(A436,'#3 IH Results'!$A$2:$C$101,2,0),0)+IFERROR(VLOOKUP(A436,'#2 IH Results'!$A$2:$C$101,2,0),0)+IFERROR(VLOOKUP(A436,'#1 IH Results'!$A$2:$C$101,2,0),0)+IFERROR(VLOOKUP(A436,'#0 IH Results'!$A$3:$C$102,2,0),0)</f>
        <v>0</v>
      </c>
    </row>
    <row r="437">
      <c r="B437" s="6">
        <f>IFERROR(VLOOKUP(A437,'#14 IH Results'!$A$2:$C$302,2,0),0)+IFERROR(VLOOKUP(A437,'#13 IH Results'!$A$2:$C$302,2,0),0)+IFERROR(VLOOKUP(A437,'#12 IH Results'!$A$2:$C$302,2,0),0)+IFERROR(VLOOKUP(A437,'#11 IH Results'!$A$2:$C$302,2,0),0)+IFERROR(VLOOKUP(A437,'#10 IH Results'!$A$2:$C$302,2,0),0)+IFERROR(VLOOKUP(A437,'#9 IH Results'!$A$2:$C$302,2,0),0)+IFERROR(VLOOKUP(A437,'#8 IH Results'!$A$2:$C$302,2,0),0)+IFERROR(VLOOKUP(A437,'#7 IH Results'!$A$2:$C$302,2,0),0)+IFERROR(VLOOKUP(A437,'#6 IH Results'!$A$2:$C$302,2,0),0)+IFERROR(VLOOKUP(A437,'#5 IH Results'!$A$2:$C$303,2,0),0)+IFERROR(VLOOKUP(A437,'#4 IH Results'!$A$2:$C$300,2,0),0)+IFERROR(VLOOKUP(A437,'#3 IH Results'!$A$2:$C$101,2,0),0)+IFERROR(VLOOKUP(A437,'#2 IH Results'!$A$2:$C$101,2,0),0)+IFERROR(VLOOKUP(A437,'#1 IH Results'!$A$2:$C$101,2,0),0)+IFERROR(VLOOKUP(A437,'#0 IH Results'!$A$3:$C$102,2,0),0)</f>
        <v>0</v>
      </c>
    </row>
    <row r="438">
      <c r="B438" s="6">
        <f>IFERROR(VLOOKUP(A438,'#14 IH Results'!$A$2:$C$302,2,0),0)+IFERROR(VLOOKUP(A438,'#13 IH Results'!$A$2:$C$302,2,0),0)+IFERROR(VLOOKUP(A438,'#12 IH Results'!$A$2:$C$302,2,0),0)+IFERROR(VLOOKUP(A438,'#11 IH Results'!$A$2:$C$302,2,0),0)+IFERROR(VLOOKUP(A438,'#10 IH Results'!$A$2:$C$302,2,0),0)+IFERROR(VLOOKUP(A438,'#9 IH Results'!$A$2:$C$302,2,0),0)+IFERROR(VLOOKUP(A438,'#8 IH Results'!$A$2:$C$302,2,0),0)+IFERROR(VLOOKUP(A438,'#7 IH Results'!$A$2:$C$302,2,0),0)+IFERROR(VLOOKUP(A438,'#6 IH Results'!$A$2:$C$302,2,0),0)+IFERROR(VLOOKUP(A438,'#5 IH Results'!$A$2:$C$303,2,0),0)+IFERROR(VLOOKUP(A438,'#4 IH Results'!$A$2:$C$300,2,0),0)+IFERROR(VLOOKUP(A438,'#3 IH Results'!$A$2:$C$101,2,0),0)+IFERROR(VLOOKUP(A438,'#2 IH Results'!$A$2:$C$101,2,0),0)+IFERROR(VLOOKUP(A438,'#1 IH Results'!$A$2:$C$101,2,0),0)+IFERROR(VLOOKUP(A438,'#0 IH Results'!$A$3:$C$102,2,0),0)</f>
        <v>0</v>
      </c>
    </row>
    <row r="439">
      <c r="B439" s="6">
        <f>IFERROR(VLOOKUP(A439,'#14 IH Results'!$A$2:$C$302,2,0),0)+IFERROR(VLOOKUP(A439,'#13 IH Results'!$A$2:$C$302,2,0),0)+IFERROR(VLOOKUP(A439,'#12 IH Results'!$A$2:$C$302,2,0),0)+IFERROR(VLOOKUP(A439,'#11 IH Results'!$A$2:$C$302,2,0),0)+IFERROR(VLOOKUP(A439,'#10 IH Results'!$A$2:$C$302,2,0),0)+IFERROR(VLOOKUP(A439,'#9 IH Results'!$A$2:$C$302,2,0),0)+IFERROR(VLOOKUP(A439,'#8 IH Results'!$A$2:$C$302,2,0),0)+IFERROR(VLOOKUP(A439,'#7 IH Results'!$A$2:$C$302,2,0),0)+IFERROR(VLOOKUP(A439,'#6 IH Results'!$A$2:$C$302,2,0),0)+IFERROR(VLOOKUP(A439,'#5 IH Results'!$A$2:$C$303,2,0),0)+IFERROR(VLOOKUP(A439,'#4 IH Results'!$A$2:$C$300,2,0),0)+IFERROR(VLOOKUP(A439,'#3 IH Results'!$A$2:$C$101,2,0),0)+IFERROR(VLOOKUP(A439,'#2 IH Results'!$A$2:$C$101,2,0),0)+IFERROR(VLOOKUP(A439,'#1 IH Results'!$A$2:$C$101,2,0),0)+IFERROR(VLOOKUP(A439,'#0 IH Results'!$A$3:$C$102,2,0),0)</f>
        <v>0</v>
      </c>
    </row>
    <row r="440">
      <c r="B440" s="6">
        <f>IFERROR(VLOOKUP(A440,'#14 IH Results'!$A$2:$C$302,2,0),0)+IFERROR(VLOOKUP(A440,'#13 IH Results'!$A$2:$C$302,2,0),0)+IFERROR(VLOOKUP(A440,'#12 IH Results'!$A$2:$C$302,2,0),0)+IFERROR(VLOOKUP(A440,'#11 IH Results'!$A$2:$C$302,2,0),0)+IFERROR(VLOOKUP(A440,'#10 IH Results'!$A$2:$C$302,2,0),0)+IFERROR(VLOOKUP(A440,'#9 IH Results'!$A$2:$C$302,2,0),0)+IFERROR(VLOOKUP(A440,'#8 IH Results'!$A$2:$C$302,2,0),0)+IFERROR(VLOOKUP(A440,'#7 IH Results'!$A$2:$C$302,2,0),0)+IFERROR(VLOOKUP(A440,'#6 IH Results'!$A$2:$C$302,2,0),0)+IFERROR(VLOOKUP(A440,'#5 IH Results'!$A$2:$C$303,2,0),0)+IFERROR(VLOOKUP(A440,'#4 IH Results'!$A$2:$C$300,2,0),0)+IFERROR(VLOOKUP(A440,'#3 IH Results'!$A$2:$C$101,2,0),0)+IFERROR(VLOOKUP(A440,'#2 IH Results'!$A$2:$C$101,2,0),0)+IFERROR(VLOOKUP(A440,'#1 IH Results'!$A$2:$C$101,2,0),0)+IFERROR(VLOOKUP(A440,'#0 IH Results'!$A$3:$C$102,2,0),0)</f>
        <v>0</v>
      </c>
    </row>
    <row r="441">
      <c r="B441" s="6">
        <f>IFERROR(VLOOKUP(A441,'#14 IH Results'!$A$2:$C$302,2,0),0)+IFERROR(VLOOKUP(A441,'#13 IH Results'!$A$2:$C$302,2,0),0)+IFERROR(VLOOKUP(A441,'#12 IH Results'!$A$2:$C$302,2,0),0)+IFERROR(VLOOKUP(A441,'#11 IH Results'!$A$2:$C$302,2,0),0)+IFERROR(VLOOKUP(A441,'#10 IH Results'!$A$2:$C$302,2,0),0)+IFERROR(VLOOKUP(A441,'#9 IH Results'!$A$2:$C$302,2,0),0)+IFERROR(VLOOKUP(A441,'#8 IH Results'!$A$2:$C$302,2,0),0)+IFERROR(VLOOKUP(A441,'#7 IH Results'!$A$2:$C$302,2,0),0)+IFERROR(VLOOKUP(A441,'#6 IH Results'!$A$2:$C$302,2,0),0)+IFERROR(VLOOKUP(A441,'#5 IH Results'!$A$2:$C$303,2,0),0)+IFERROR(VLOOKUP(A441,'#4 IH Results'!$A$2:$C$300,2,0),0)+IFERROR(VLOOKUP(A441,'#3 IH Results'!$A$2:$C$101,2,0),0)+IFERROR(VLOOKUP(A441,'#2 IH Results'!$A$2:$C$101,2,0),0)+IFERROR(VLOOKUP(A441,'#1 IH Results'!$A$2:$C$101,2,0),0)+IFERROR(VLOOKUP(A441,'#0 IH Results'!$A$3:$C$102,2,0),0)</f>
        <v>0</v>
      </c>
    </row>
    <row r="442">
      <c r="B442" s="6">
        <f>IFERROR(VLOOKUP(A442,'#14 IH Results'!$A$2:$C$302,2,0),0)+IFERROR(VLOOKUP(A442,'#13 IH Results'!$A$2:$C$302,2,0),0)+IFERROR(VLOOKUP(A442,'#12 IH Results'!$A$2:$C$302,2,0),0)+IFERROR(VLOOKUP(A442,'#11 IH Results'!$A$2:$C$302,2,0),0)+IFERROR(VLOOKUP(A442,'#10 IH Results'!$A$2:$C$302,2,0),0)+IFERROR(VLOOKUP(A442,'#9 IH Results'!$A$2:$C$302,2,0),0)+IFERROR(VLOOKUP(A442,'#8 IH Results'!$A$2:$C$302,2,0),0)+IFERROR(VLOOKUP(A442,'#7 IH Results'!$A$2:$C$302,2,0),0)+IFERROR(VLOOKUP(A442,'#6 IH Results'!$A$2:$C$302,2,0),0)+IFERROR(VLOOKUP(A442,'#5 IH Results'!$A$2:$C$303,2,0),0)+IFERROR(VLOOKUP(A442,'#4 IH Results'!$A$2:$C$300,2,0),0)+IFERROR(VLOOKUP(A442,'#3 IH Results'!$A$2:$C$101,2,0),0)+IFERROR(VLOOKUP(A442,'#2 IH Results'!$A$2:$C$101,2,0),0)+IFERROR(VLOOKUP(A442,'#1 IH Results'!$A$2:$C$101,2,0),0)+IFERROR(VLOOKUP(A442,'#0 IH Results'!$A$3:$C$102,2,0),0)</f>
        <v>0</v>
      </c>
    </row>
    <row r="443">
      <c r="B443" s="6">
        <f>IFERROR(VLOOKUP(A443,'#14 IH Results'!$A$2:$C$302,2,0),0)+IFERROR(VLOOKUP(A443,'#13 IH Results'!$A$2:$C$302,2,0),0)+IFERROR(VLOOKUP(A443,'#12 IH Results'!$A$2:$C$302,2,0),0)+IFERROR(VLOOKUP(A443,'#11 IH Results'!$A$2:$C$302,2,0),0)+IFERROR(VLOOKUP(A443,'#10 IH Results'!$A$2:$C$302,2,0),0)+IFERROR(VLOOKUP(A443,'#9 IH Results'!$A$2:$C$302,2,0),0)+IFERROR(VLOOKUP(A443,'#8 IH Results'!$A$2:$C$302,2,0),0)+IFERROR(VLOOKUP(A443,'#7 IH Results'!$A$2:$C$302,2,0),0)+IFERROR(VLOOKUP(A443,'#6 IH Results'!$A$2:$C$302,2,0),0)+IFERROR(VLOOKUP(A443,'#5 IH Results'!$A$2:$C$303,2,0),0)+IFERROR(VLOOKUP(A443,'#4 IH Results'!$A$2:$C$300,2,0),0)+IFERROR(VLOOKUP(A443,'#3 IH Results'!$A$2:$C$101,2,0),0)+IFERROR(VLOOKUP(A443,'#2 IH Results'!$A$2:$C$101,2,0),0)+IFERROR(VLOOKUP(A443,'#1 IH Results'!$A$2:$C$101,2,0),0)+IFERROR(VLOOKUP(A443,'#0 IH Results'!$A$3:$C$102,2,0),0)</f>
        <v>0</v>
      </c>
    </row>
    <row r="444">
      <c r="B444" s="6">
        <f>IFERROR(VLOOKUP(A444,'#14 IH Results'!$A$2:$C$302,2,0),0)+IFERROR(VLOOKUP(A444,'#13 IH Results'!$A$2:$C$302,2,0),0)+IFERROR(VLOOKUP(A444,'#12 IH Results'!$A$2:$C$302,2,0),0)+IFERROR(VLOOKUP(A444,'#11 IH Results'!$A$2:$C$302,2,0),0)+IFERROR(VLOOKUP(A444,'#10 IH Results'!$A$2:$C$302,2,0),0)+IFERROR(VLOOKUP(A444,'#9 IH Results'!$A$2:$C$302,2,0),0)+IFERROR(VLOOKUP(A444,'#8 IH Results'!$A$2:$C$302,2,0),0)+IFERROR(VLOOKUP(A444,'#7 IH Results'!$A$2:$C$302,2,0),0)+IFERROR(VLOOKUP(A444,'#6 IH Results'!$A$2:$C$302,2,0),0)+IFERROR(VLOOKUP(A444,'#5 IH Results'!$A$2:$C$303,2,0),0)+IFERROR(VLOOKUP(A444,'#4 IH Results'!$A$2:$C$300,2,0),0)+IFERROR(VLOOKUP(A444,'#3 IH Results'!$A$2:$C$101,2,0),0)+IFERROR(VLOOKUP(A444,'#2 IH Results'!$A$2:$C$101,2,0),0)+IFERROR(VLOOKUP(A444,'#1 IH Results'!$A$2:$C$101,2,0),0)+IFERROR(VLOOKUP(A444,'#0 IH Results'!$A$3:$C$102,2,0),0)</f>
        <v>0</v>
      </c>
    </row>
    <row r="445">
      <c r="B445" s="6">
        <f>IFERROR(VLOOKUP(A445,'#14 IH Results'!$A$2:$C$302,2,0),0)+IFERROR(VLOOKUP(A445,'#13 IH Results'!$A$2:$C$302,2,0),0)+IFERROR(VLOOKUP(A445,'#12 IH Results'!$A$2:$C$302,2,0),0)+IFERROR(VLOOKUP(A445,'#11 IH Results'!$A$2:$C$302,2,0),0)+IFERROR(VLOOKUP(A445,'#10 IH Results'!$A$2:$C$302,2,0),0)+IFERROR(VLOOKUP(A445,'#9 IH Results'!$A$2:$C$302,2,0),0)+IFERROR(VLOOKUP(A445,'#8 IH Results'!$A$2:$C$302,2,0),0)+IFERROR(VLOOKUP(A445,'#7 IH Results'!$A$2:$C$302,2,0),0)+IFERROR(VLOOKUP(A445,'#6 IH Results'!$A$2:$C$302,2,0),0)+IFERROR(VLOOKUP(A445,'#5 IH Results'!$A$2:$C$303,2,0),0)+IFERROR(VLOOKUP(A445,'#4 IH Results'!$A$2:$C$300,2,0),0)+IFERROR(VLOOKUP(A445,'#3 IH Results'!$A$2:$C$101,2,0),0)+IFERROR(VLOOKUP(A445,'#2 IH Results'!$A$2:$C$101,2,0),0)+IFERROR(VLOOKUP(A445,'#1 IH Results'!$A$2:$C$101,2,0),0)+IFERROR(VLOOKUP(A445,'#0 IH Results'!$A$3:$C$102,2,0),0)</f>
        <v>0</v>
      </c>
    </row>
    <row r="446">
      <c r="B446" s="6">
        <f>IFERROR(VLOOKUP(A446,'#14 IH Results'!$A$2:$C$302,2,0),0)+IFERROR(VLOOKUP(A446,'#13 IH Results'!$A$2:$C$302,2,0),0)+IFERROR(VLOOKUP(A446,'#12 IH Results'!$A$2:$C$302,2,0),0)+IFERROR(VLOOKUP(A446,'#11 IH Results'!$A$2:$C$302,2,0),0)+IFERROR(VLOOKUP(A446,'#10 IH Results'!$A$2:$C$302,2,0),0)+IFERROR(VLOOKUP(A446,'#9 IH Results'!$A$2:$C$302,2,0),0)+IFERROR(VLOOKUP(A446,'#8 IH Results'!$A$2:$C$302,2,0),0)+IFERROR(VLOOKUP(A446,'#7 IH Results'!$A$2:$C$302,2,0),0)+IFERROR(VLOOKUP(A446,'#6 IH Results'!$A$2:$C$302,2,0),0)+IFERROR(VLOOKUP(A446,'#5 IH Results'!$A$2:$C$303,2,0),0)+IFERROR(VLOOKUP(A446,'#4 IH Results'!$A$2:$C$300,2,0),0)+IFERROR(VLOOKUP(A446,'#3 IH Results'!$A$2:$C$101,2,0),0)+IFERROR(VLOOKUP(A446,'#2 IH Results'!$A$2:$C$101,2,0),0)+IFERROR(VLOOKUP(A446,'#1 IH Results'!$A$2:$C$101,2,0),0)+IFERROR(VLOOKUP(A446,'#0 IH Results'!$A$3:$C$102,2,0),0)</f>
        <v>0</v>
      </c>
    </row>
    <row r="447">
      <c r="B447" s="6">
        <f>IFERROR(VLOOKUP(A447,'#14 IH Results'!$A$2:$C$302,2,0),0)+IFERROR(VLOOKUP(A447,'#13 IH Results'!$A$2:$C$302,2,0),0)+IFERROR(VLOOKUP(A447,'#12 IH Results'!$A$2:$C$302,2,0),0)+IFERROR(VLOOKUP(A447,'#11 IH Results'!$A$2:$C$302,2,0),0)+IFERROR(VLOOKUP(A447,'#10 IH Results'!$A$2:$C$302,2,0),0)+IFERROR(VLOOKUP(A447,'#9 IH Results'!$A$2:$C$302,2,0),0)+IFERROR(VLOOKUP(A447,'#8 IH Results'!$A$2:$C$302,2,0),0)+IFERROR(VLOOKUP(A447,'#7 IH Results'!$A$2:$C$302,2,0),0)+IFERROR(VLOOKUP(A447,'#6 IH Results'!$A$2:$C$302,2,0),0)+IFERROR(VLOOKUP(A447,'#5 IH Results'!$A$2:$C$303,2,0),0)+IFERROR(VLOOKUP(A447,'#4 IH Results'!$A$2:$C$300,2,0),0)+IFERROR(VLOOKUP(A447,'#3 IH Results'!$A$2:$C$101,2,0),0)+IFERROR(VLOOKUP(A447,'#2 IH Results'!$A$2:$C$101,2,0),0)+IFERROR(VLOOKUP(A447,'#1 IH Results'!$A$2:$C$101,2,0),0)+IFERROR(VLOOKUP(A447,'#0 IH Results'!$A$3:$C$102,2,0),0)</f>
        <v>0</v>
      </c>
    </row>
    <row r="448">
      <c r="B448" s="6">
        <f>IFERROR(VLOOKUP(A448,'#14 IH Results'!$A$2:$C$302,2,0),0)+IFERROR(VLOOKUP(A448,'#13 IH Results'!$A$2:$C$302,2,0),0)+IFERROR(VLOOKUP(A448,'#12 IH Results'!$A$2:$C$302,2,0),0)+IFERROR(VLOOKUP(A448,'#11 IH Results'!$A$2:$C$302,2,0),0)+IFERROR(VLOOKUP(A448,'#10 IH Results'!$A$2:$C$302,2,0),0)+IFERROR(VLOOKUP(A448,'#9 IH Results'!$A$2:$C$302,2,0),0)+IFERROR(VLOOKUP(A448,'#8 IH Results'!$A$2:$C$302,2,0),0)+IFERROR(VLOOKUP(A448,'#7 IH Results'!$A$2:$C$302,2,0),0)+IFERROR(VLOOKUP(A448,'#6 IH Results'!$A$2:$C$302,2,0),0)+IFERROR(VLOOKUP(A448,'#5 IH Results'!$A$2:$C$303,2,0),0)+IFERROR(VLOOKUP(A448,'#4 IH Results'!$A$2:$C$300,2,0),0)+IFERROR(VLOOKUP(A448,'#3 IH Results'!$A$2:$C$101,2,0),0)+IFERROR(VLOOKUP(A448,'#2 IH Results'!$A$2:$C$101,2,0),0)+IFERROR(VLOOKUP(A448,'#1 IH Results'!$A$2:$C$101,2,0),0)+IFERROR(VLOOKUP(A448,'#0 IH Results'!$A$3:$C$102,2,0),0)</f>
        <v>0</v>
      </c>
    </row>
    <row r="449">
      <c r="B449" s="6">
        <f>IFERROR(VLOOKUP(A449,'#14 IH Results'!$A$2:$C$302,2,0),0)+IFERROR(VLOOKUP(A449,'#13 IH Results'!$A$2:$C$302,2,0),0)+IFERROR(VLOOKUP(A449,'#12 IH Results'!$A$2:$C$302,2,0),0)+IFERROR(VLOOKUP(A449,'#11 IH Results'!$A$2:$C$302,2,0),0)+IFERROR(VLOOKUP(A449,'#10 IH Results'!$A$2:$C$302,2,0),0)+IFERROR(VLOOKUP(A449,'#9 IH Results'!$A$2:$C$302,2,0),0)+IFERROR(VLOOKUP(A449,'#8 IH Results'!$A$2:$C$302,2,0),0)+IFERROR(VLOOKUP(A449,'#7 IH Results'!$A$2:$C$302,2,0),0)+IFERROR(VLOOKUP(A449,'#6 IH Results'!$A$2:$C$302,2,0),0)+IFERROR(VLOOKUP(A449,'#5 IH Results'!$A$2:$C$303,2,0),0)+IFERROR(VLOOKUP(A449,'#4 IH Results'!$A$2:$C$300,2,0),0)+IFERROR(VLOOKUP(A449,'#3 IH Results'!$A$2:$C$101,2,0),0)+IFERROR(VLOOKUP(A449,'#2 IH Results'!$A$2:$C$101,2,0),0)+IFERROR(VLOOKUP(A449,'#1 IH Results'!$A$2:$C$101,2,0),0)+IFERROR(VLOOKUP(A449,'#0 IH Results'!$A$3:$C$102,2,0),0)</f>
        <v>0</v>
      </c>
    </row>
    <row r="450">
      <c r="B450" s="6">
        <f>IFERROR(VLOOKUP(A450,'#14 IH Results'!$A$2:$C$302,2,0),0)+IFERROR(VLOOKUP(A450,'#13 IH Results'!$A$2:$C$302,2,0),0)+IFERROR(VLOOKUP(A450,'#12 IH Results'!$A$2:$C$302,2,0),0)+IFERROR(VLOOKUP(A450,'#11 IH Results'!$A$2:$C$302,2,0),0)+IFERROR(VLOOKUP(A450,'#10 IH Results'!$A$2:$C$302,2,0),0)+IFERROR(VLOOKUP(A450,'#9 IH Results'!$A$2:$C$302,2,0),0)+IFERROR(VLOOKUP(A450,'#8 IH Results'!$A$2:$C$302,2,0),0)+IFERROR(VLOOKUP(A450,'#7 IH Results'!$A$2:$C$302,2,0),0)+IFERROR(VLOOKUP(A450,'#6 IH Results'!$A$2:$C$302,2,0),0)+IFERROR(VLOOKUP(A450,'#5 IH Results'!$A$2:$C$303,2,0),0)+IFERROR(VLOOKUP(A450,'#4 IH Results'!$A$2:$C$300,2,0),0)+IFERROR(VLOOKUP(A450,'#3 IH Results'!$A$2:$C$101,2,0),0)+IFERROR(VLOOKUP(A450,'#2 IH Results'!$A$2:$C$101,2,0),0)+IFERROR(VLOOKUP(A450,'#1 IH Results'!$A$2:$C$101,2,0),0)+IFERROR(VLOOKUP(A450,'#0 IH Results'!$A$3:$C$102,2,0),0)</f>
        <v>0</v>
      </c>
    </row>
    <row r="451">
      <c r="B451" s="6">
        <f>IFERROR(VLOOKUP(A451,'#14 IH Results'!$A$2:$C$302,2,0),0)+IFERROR(VLOOKUP(A451,'#13 IH Results'!$A$2:$C$302,2,0),0)+IFERROR(VLOOKUP(A451,'#12 IH Results'!$A$2:$C$302,2,0),0)+IFERROR(VLOOKUP(A451,'#11 IH Results'!$A$2:$C$302,2,0),0)+IFERROR(VLOOKUP(A451,'#10 IH Results'!$A$2:$C$302,2,0),0)+IFERROR(VLOOKUP(A451,'#9 IH Results'!$A$2:$C$302,2,0),0)+IFERROR(VLOOKUP(A451,'#8 IH Results'!$A$2:$C$302,2,0),0)+IFERROR(VLOOKUP(A451,'#7 IH Results'!$A$2:$C$302,2,0),0)+IFERROR(VLOOKUP(A451,'#6 IH Results'!$A$2:$C$302,2,0),0)+IFERROR(VLOOKUP(A451,'#5 IH Results'!$A$2:$C$303,2,0),0)+IFERROR(VLOOKUP(A451,'#4 IH Results'!$A$2:$C$300,2,0),0)+IFERROR(VLOOKUP(A451,'#3 IH Results'!$A$2:$C$101,2,0),0)+IFERROR(VLOOKUP(A451,'#2 IH Results'!$A$2:$C$101,2,0),0)+IFERROR(VLOOKUP(A451,'#1 IH Results'!$A$2:$C$101,2,0),0)+IFERROR(VLOOKUP(A451,'#0 IH Results'!$A$3:$C$102,2,0),0)</f>
        <v>0</v>
      </c>
    </row>
    <row r="452">
      <c r="B452" s="6">
        <f>IFERROR(VLOOKUP(A452,'#14 IH Results'!$A$2:$C$302,2,0),0)+IFERROR(VLOOKUP(A452,'#13 IH Results'!$A$2:$C$302,2,0),0)+IFERROR(VLOOKUP(A452,'#12 IH Results'!$A$2:$C$302,2,0),0)+IFERROR(VLOOKUP(A452,'#11 IH Results'!$A$2:$C$302,2,0),0)+IFERROR(VLOOKUP(A452,'#10 IH Results'!$A$2:$C$302,2,0),0)+IFERROR(VLOOKUP(A452,'#9 IH Results'!$A$2:$C$302,2,0),0)+IFERROR(VLOOKUP(A452,'#8 IH Results'!$A$2:$C$302,2,0),0)+IFERROR(VLOOKUP(A452,'#7 IH Results'!$A$2:$C$302,2,0),0)+IFERROR(VLOOKUP(A452,'#6 IH Results'!$A$2:$C$302,2,0),0)+IFERROR(VLOOKUP(A452,'#5 IH Results'!$A$2:$C$303,2,0),0)+IFERROR(VLOOKUP(A452,'#4 IH Results'!$A$2:$C$300,2,0),0)+IFERROR(VLOOKUP(A452,'#3 IH Results'!$A$2:$C$101,2,0),0)+IFERROR(VLOOKUP(A452,'#2 IH Results'!$A$2:$C$101,2,0),0)+IFERROR(VLOOKUP(A452,'#1 IH Results'!$A$2:$C$101,2,0),0)+IFERROR(VLOOKUP(A452,'#0 IH Results'!$A$3:$C$102,2,0),0)</f>
        <v>0</v>
      </c>
    </row>
    <row r="453">
      <c r="B453" s="6">
        <f>IFERROR(VLOOKUP(A453,'#14 IH Results'!$A$2:$C$302,2,0),0)+IFERROR(VLOOKUP(A453,'#13 IH Results'!$A$2:$C$302,2,0),0)+IFERROR(VLOOKUP(A453,'#12 IH Results'!$A$2:$C$302,2,0),0)+IFERROR(VLOOKUP(A453,'#11 IH Results'!$A$2:$C$302,2,0),0)+IFERROR(VLOOKUP(A453,'#10 IH Results'!$A$2:$C$302,2,0),0)+IFERROR(VLOOKUP(A453,'#9 IH Results'!$A$2:$C$302,2,0),0)+IFERROR(VLOOKUP(A453,'#8 IH Results'!$A$2:$C$302,2,0),0)+IFERROR(VLOOKUP(A453,'#7 IH Results'!$A$2:$C$302,2,0),0)+IFERROR(VLOOKUP(A453,'#6 IH Results'!$A$2:$C$302,2,0),0)+IFERROR(VLOOKUP(A453,'#5 IH Results'!$A$2:$C$303,2,0),0)+IFERROR(VLOOKUP(A453,'#4 IH Results'!$A$2:$C$300,2,0),0)+IFERROR(VLOOKUP(A453,'#3 IH Results'!$A$2:$C$101,2,0),0)+IFERROR(VLOOKUP(A453,'#2 IH Results'!$A$2:$C$101,2,0),0)+IFERROR(VLOOKUP(A453,'#1 IH Results'!$A$2:$C$101,2,0),0)+IFERROR(VLOOKUP(A453,'#0 IH Results'!$A$3:$C$102,2,0),0)</f>
        <v>0</v>
      </c>
    </row>
    <row r="454">
      <c r="B454" s="6">
        <f>IFERROR(VLOOKUP(A454,'#14 IH Results'!$A$2:$C$302,2,0),0)+IFERROR(VLOOKUP(A454,'#13 IH Results'!$A$2:$C$302,2,0),0)+IFERROR(VLOOKUP(A454,'#12 IH Results'!$A$2:$C$302,2,0),0)+IFERROR(VLOOKUP(A454,'#11 IH Results'!$A$2:$C$302,2,0),0)+IFERROR(VLOOKUP(A454,'#10 IH Results'!$A$2:$C$302,2,0),0)+IFERROR(VLOOKUP(A454,'#9 IH Results'!$A$2:$C$302,2,0),0)+IFERROR(VLOOKUP(A454,'#8 IH Results'!$A$2:$C$302,2,0),0)+IFERROR(VLOOKUP(A454,'#7 IH Results'!$A$2:$C$302,2,0),0)+IFERROR(VLOOKUP(A454,'#6 IH Results'!$A$2:$C$302,2,0),0)+IFERROR(VLOOKUP(A454,'#5 IH Results'!$A$2:$C$303,2,0),0)+IFERROR(VLOOKUP(A454,'#4 IH Results'!$A$2:$C$300,2,0),0)+IFERROR(VLOOKUP(A454,'#3 IH Results'!$A$2:$C$101,2,0),0)+IFERROR(VLOOKUP(A454,'#2 IH Results'!$A$2:$C$101,2,0),0)+IFERROR(VLOOKUP(A454,'#1 IH Results'!$A$2:$C$101,2,0),0)+IFERROR(VLOOKUP(A454,'#0 IH Results'!$A$3:$C$102,2,0),0)</f>
        <v>0</v>
      </c>
    </row>
    <row r="455">
      <c r="B455" s="6">
        <f>IFERROR(VLOOKUP(A455,'#14 IH Results'!$A$2:$C$302,2,0),0)+IFERROR(VLOOKUP(A455,'#13 IH Results'!$A$2:$C$302,2,0),0)+IFERROR(VLOOKUP(A455,'#12 IH Results'!$A$2:$C$302,2,0),0)+IFERROR(VLOOKUP(A455,'#11 IH Results'!$A$2:$C$302,2,0),0)+IFERROR(VLOOKUP(A455,'#10 IH Results'!$A$2:$C$302,2,0),0)+IFERROR(VLOOKUP(A455,'#9 IH Results'!$A$2:$C$302,2,0),0)+IFERROR(VLOOKUP(A455,'#8 IH Results'!$A$2:$C$302,2,0),0)+IFERROR(VLOOKUP(A455,'#7 IH Results'!$A$2:$C$302,2,0),0)+IFERROR(VLOOKUP(A455,'#6 IH Results'!$A$2:$C$302,2,0),0)+IFERROR(VLOOKUP(A455,'#5 IH Results'!$A$2:$C$303,2,0),0)+IFERROR(VLOOKUP(A455,'#4 IH Results'!$A$2:$C$300,2,0),0)+IFERROR(VLOOKUP(A455,'#3 IH Results'!$A$2:$C$101,2,0),0)+IFERROR(VLOOKUP(A455,'#2 IH Results'!$A$2:$C$101,2,0),0)+IFERROR(VLOOKUP(A455,'#1 IH Results'!$A$2:$C$101,2,0),0)+IFERROR(VLOOKUP(A455,'#0 IH Results'!$A$3:$C$102,2,0),0)</f>
        <v>0</v>
      </c>
    </row>
    <row r="456">
      <c r="B456" s="6">
        <f>IFERROR(VLOOKUP(A456,'#14 IH Results'!$A$2:$C$302,2,0),0)+IFERROR(VLOOKUP(A456,'#13 IH Results'!$A$2:$C$302,2,0),0)+IFERROR(VLOOKUP(A456,'#12 IH Results'!$A$2:$C$302,2,0),0)+IFERROR(VLOOKUP(A456,'#11 IH Results'!$A$2:$C$302,2,0),0)+IFERROR(VLOOKUP(A456,'#10 IH Results'!$A$2:$C$302,2,0),0)+IFERROR(VLOOKUP(A456,'#9 IH Results'!$A$2:$C$302,2,0),0)+IFERROR(VLOOKUP(A456,'#8 IH Results'!$A$2:$C$302,2,0),0)+IFERROR(VLOOKUP(A456,'#7 IH Results'!$A$2:$C$302,2,0),0)+IFERROR(VLOOKUP(A456,'#6 IH Results'!$A$2:$C$302,2,0),0)+IFERROR(VLOOKUP(A456,'#5 IH Results'!$A$2:$C$303,2,0),0)+IFERROR(VLOOKUP(A456,'#4 IH Results'!$A$2:$C$300,2,0),0)+IFERROR(VLOOKUP(A456,'#3 IH Results'!$A$2:$C$101,2,0),0)+IFERROR(VLOOKUP(A456,'#2 IH Results'!$A$2:$C$101,2,0),0)+IFERROR(VLOOKUP(A456,'#1 IH Results'!$A$2:$C$101,2,0),0)+IFERROR(VLOOKUP(A456,'#0 IH Results'!$A$3:$C$102,2,0),0)</f>
        <v>0</v>
      </c>
    </row>
    <row r="457">
      <c r="B457" s="6">
        <f>IFERROR(VLOOKUP(A457,'#14 IH Results'!$A$2:$C$302,2,0),0)+IFERROR(VLOOKUP(A457,'#13 IH Results'!$A$2:$C$302,2,0),0)+IFERROR(VLOOKUP(A457,'#12 IH Results'!$A$2:$C$302,2,0),0)+IFERROR(VLOOKUP(A457,'#11 IH Results'!$A$2:$C$302,2,0),0)+IFERROR(VLOOKUP(A457,'#10 IH Results'!$A$2:$C$302,2,0),0)+IFERROR(VLOOKUP(A457,'#9 IH Results'!$A$2:$C$302,2,0),0)+IFERROR(VLOOKUP(A457,'#8 IH Results'!$A$2:$C$302,2,0),0)+IFERROR(VLOOKUP(A457,'#7 IH Results'!$A$2:$C$302,2,0),0)+IFERROR(VLOOKUP(A457,'#6 IH Results'!$A$2:$C$302,2,0),0)+IFERROR(VLOOKUP(A457,'#5 IH Results'!$A$2:$C$303,2,0),0)+IFERROR(VLOOKUP(A457,'#4 IH Results'!$A$2:$C$300,2,0),0)+IFERROR(VLOOKUP(A457,'#3 IH Results'!$A$2:$C$101,2,0),0)+IFERROR(VLOOKUP(A457,'#2 IH Results'!$A$2:$C$101,2,0),0)+IFERROR(VLOOKUP(A457,'#1 IH Results'!$A$2:$C$101,2,0),0)+IFERROR(VLOOKUP(A457,'#0 IH Results'!$A$3:$C$102,2,0),0)</f>
        <v>0</v>
      </c>
    </row>
    <row r="458">
      <c r="B458" s="6">
        <f>IFERROR(VLOOKUP(A458,'#14 IH Results'!$A$2:$C$302,2,0),0)+IFERROR(VLOOKUP(A458,'#13 IH Results'!$A$2:$C$302,2,0),0)+IFERROR(VLOOKUP(A458,'#12 IH Results'!$A$2:$C$302,2,0),0)+IFERROR(VLOOKUP(A458,'#11 IH Results'!$A$2:$C$302,2,0),0)+IFERROR(VLOOKUP(A458,'#10 IH Results'!$A$2:$C$302,2,0),0)+IFERROR(VLOOKUP(A458,'#9 IH Results'!$A$2:$C$302,2,0),0)+IFERROR(VLOOKUP(A458,'#8 IH Results'!$A$2:$C$302,2,0),0)+IFERROR(VLOOKUP(A458,'#7 IH Results'!$A$2:$C$302,2,0),0)+IFERROR(VLOOKUP(A458,'#6 IH Results'!$A$2:$C$302,2,0),0)+IFERROR(VLOOKUP(A458,'#5 IH Results'!$A$2:$C$303,2,0),0)+IFERROR(VLOOKUP(A458,'#4 IH Results'!$A$2:$C$300,2,0),0)+IFERROR(VLOOKUP(A458,'#3 IH Results'!$A$2:$C$101,2,0),0)+IFERROR(VLOOKUP(A458,'#2 IH Results'!$A$2:$C$101,2,0),0)+IFERROR(VLOOKUP(A458,'#1 IH Results'!$A$2:$C$101,2,0),0)+IFERROR(VLOOKUP(A458,'#0 IH Results'!$A$3:$C$102,2,0),0)</f>
        <v>0</v>
      </c>
    </row>
    <row r="459">
      <c r="B459" s="6">
        <f>IFERROR(VLOOKUP(A459,'#14 IH Results'!$A$2:$C$302,2,0),0)+IFERROR(VLOOKUP(A459,'#13 IH Results'!$A$2:$C$302,2,0),0)+IFERROR(VLOOKUP(A459,'#12 IH Results'!$A$2:$C$302,2,0),0)+IFERROR(VLOOKUP(A459,'#11 IH Results'!$A$2:$C$302,2,0),0)+IFERROR(VLOOKUP(A459,'#10 IH Results'!$A$2:$C$302,2,0),0)+IFERROR(VLOOKUP(A459,'#9 IH Results'!$A$2:$C$302,2,0),0)+IFERROR(VLOOKUP(A459,'#8 IH Results'!$A$2:$C$302,2,0),0)+IFERROR(VLOOKUP(A459,'#7 IH Results'!$A$2:$C$302,2,0),0)+IFERROR(VLOOKUP(A459,'#6 IH Results'!$A$2:$C$302,2,0),0)+IFERROR(VLOOKUP(A459,'#5 IH Results'!$A$2:$C$303,2,0),0)+IFERROR(VLOOKUP(A459,'#4 IH Results'!$A$2:$C$300,2,0),0)+IFERROR(VLOOKUP(A459,'#3 IH Results'!$A$2:$C$101,2,0),0)+IFERROR(VLOOKUP(A459,'#2 IH Results'!$A$2:$C$101,2,0),0)+IFERROR(VLOOKUP(A459,'#1 IH Results'!$A$2:$C$101,2,0),0)+IFERROR(VLOOKUP(A459,'#0 IH Results'!$A$3:$C$102,2,0),0)</f>
        <v>0</v>
      </c>
    </row>
    <row r="460">
      <c r="B460" s="6">
        <f>IFERROR(VLOOKUP(A460,'#14 IH Results'!$A$2:$C$302,2,0),0)+IFERROR(VLOOKUP(A460,'#13 IH Results'!$A$2:$C$302,2,0),0)+IFERROR(VLOOKUP(A460,'#12 IH Results'!$A$2:$C$302,2,0),0)+IFERROR(VLOOKUP(A460,'#11 IH Results'!$A$2:$C$302,2,0),0)+IFERROR(VLOOKUP(A460,'#10 IH Results'!$A$2:$C$302,2,0),0)+IFERROR(VLOOKUP(A460,'#9 IH Results'!$A$2:$C$302,2,0),0)+IFERROR(VLOOKUP(A460,'#8 IH Results'!$A$2:$C$302,2,0),0)+IFERROR(VLOOKUP(A460,'#7 IH Results'!$A$2:$C$302,2,0),0)+IFERROR(VLOOKUP(A460,'#6 IH Results'!$A$2:$C$302,2,0),0)+IFERROR(VLOOKUP(A460,'#5 IH Results'!$A$2:$C$303,2,0),0)+IFERROR(VLOOKUP(A460,'#4 IH Results'!$A$2:$C$300,2,0),0)+IFERROR(VLOOKUP(A460,'#3 IH Results'!$A$2:$C$101,2,0),0)+IFERROR(VLOOKUP(A460,'#2 IH Results'!$A$2:$C$101,2,0),0)+IFERROR(VLOOKUP(A460,'#1 IH Results'!$A$2:$C$101,2,0),0)+IFERROR(VLOOKUP(A460,'#0 IH Results'!$A$3:$C$102,2,0),0)</f>
        <v>0</v>
      </c>
    </row>
    <row r="461">
      <c r="B461" s="6">
        <f>IFERROR(VLOOKUP(A461,'#14 IH Results'!$A$2:$C$302,2,0),0)+IFERROR(VLOOKUP(A461,'#13 IH Results'!$A$2:$C$302,2,0),0)+IFERROR(VLOOKUP(A461,'#12 IH Results'!$A$2:$C$302,2,0),0)+IFERROR(VLOOKUP(A461,'#11 IH Results'!$A$2:$C$302,2,0),0)+IFERROR(VLOOKUP(A461,'#10 IH Results'!$A$2:$C$302,2,0),0)+IFERROR(VLOOKUP(A461,'#9 IH Results'!$A$2:$C$302,2,0),0)+IFERROR(VLOOKUP(A461,'#8 IH Results'!$A$2:$C$302,2,0),0)+IFERROR(VLOOKUP(A461,'#7 IH Results'!$A$2:$C$302,2,0),0)+IFERROR(VLOOKUP(A461,'#6 IH Results'!$A$2:$C$302,2,0),0)+IFERROR(VLOOKUP(A461,'#5 IH Results'!$A$2:$C$303,2,0),0)+IFERROR(VLOOKUP(A461,'#4 IH Results'!$A$2:$C$300,2,0),0)+IFERROR(VLOOKUP(A461,'#3 IH Results'!$A$2:$C$101,2,0),0)+IFERROR(VLOOKUP(A461,'#2 IH Results'!$A$2:$C$101,2,0),0)+IFERROR(VLOOKUP(A461,'#1 IH Results'!$A$2:$C$101,2,0),0)+IFERROR(VLOOKUP(A461,'#0 IH Results'!$A$3:$C$102,2,0),0)</f>
        <v>0</v>
      </c>
    </row>
    <row r="462">
      <c r="B462" s="6">
        <f>IFERROR(VLOOKUP(A462,'#14 IH Results'!$A$2:$C$302,2,0),0)+IFERROR(VLOOKUP(A462,'#13 IH Results'!$A$2:$C$302,2,0),0)+IFERROR(VLOOKUP(A462,'#12 IH Results'!$A$2:$C$302,2,0),0)+IFERROR(VLOOKUP(A462,'#11 IH Results'!$A$2:$C$302,2,0),0)+IFERROR(VLOOKUP(A462,'#10 IH Results'!$A$2:$C$302,2,0),0)+IFERROR(VLOOKUP(A462,'#9 IH Results'!$A$2:$C$302,2,0),0)+IFERROR(VLOOKUP(A462,'#8 IH Results'!$A$2:$C$302,2,0),0)+IFERROR(VLOOKUP(A462,'#7 IH Results'!$A$2:$C$302,2,0),0)+IFERROR(VLOOKUP(A462,'#6 IH Results'!$A$2:$C$302,2,0),0)+IFERROR(VLOOKUP(A462,'#5 IH Results'!$A$2:$C$303,2,0),0)+IFERROR(VLOOKUP(A462,'#4 IH Results'!$A$2:$C$300,2,0),0)+IFERROR(VLOOKUP(A462,'#3 IH Results'!$A$2:$C$101,2,0),0)+IFERROR(VLOOKUP(A462,'#2 IH Results'!$A$2:$C$101,2,0),0)+IFERROR(VLOOKUP(A462,'#1 IH Results'!$A$2:$C$101,2,0),0)+IFERROR(VLOOKUP(A462,'#0 IH Results'!$A$3:$C$102,2,0),0)</f>
        <v>0</v>
      </c>
    </row>
    <row r="463">
      <c r="B463" s="6">
        <f>IFERROR(VLOOKUP(A463,'#14 IH Results'!$A$2:$C$302,2,0),0)+IFERROR(VLOOKUP(A463,'#13 IH Results'!$A$2:$C$302,2,0),0)+IFERROR(VLOOKUP(A463,'#12 IH Results'!$A$2:$C$302,2,0),0)+IFERROR(VLOOKUP(A463,'#11 IH Results'!$A$2:$C$302,2,0),0)+IFERROR(VLOOKUP(A463,'#10 IH Results'!$A$2:$C$302,2,0),0)+IFERROR(VLOOKUP(A463,'#9 IH Results'!$A$2:$C$302,2,0),0)+IFERROR(VLOOKUP(A463,'#8 IH Results'!$A$2:$C$302,2,0),0)+IFERROR(VLOOKUP(A463,'#7 IH Results'!$A$2:$C$302,2,0),0)+IFERROR(VLOOKUP(A463,'#6 IH Results'!$A$2:$C$302,2,0),0)+IFERROR(VLOOKUP(A463,'#5 IH Results'!$A$2:$C$303,2,0),0)+IFERROR(VLOOKUP(A463,'#4 IH Results'!$A$2:$C$300,2,0),0)+IFERROR(VLOOKUP(A463,'#3 IH Results'!$A$2:$C$101,2,0),0)+IFERROR(VLOOKUP(A463,'#2 IH Results'!$A$2:$C$101,2,0),0)+IFERROR(VLOOKUP(A463,'#1 IH Results'!$A$2:$C$101,2,0),0)+IFERROR(VLOOKUP(A463,'#0 IH Results'!$A$3:$C$102,2,0),0)</f>
        <v>0</v>
      </c>
    </row>
    <row r="464">
      <c r="B464" s="6">
        <f>IFERROR(VLOOKUP(A464,'#14 IH Results'!$A$2:$C$302,2,0),0)+IFERROR(VLOOKUP(A464,'#13 IH Results'!$A$2:$C$302,2,0),0)+IFERROR(VLOOKUP(A464,'#12 IH Results'!$A$2:$C$302,2,0),0)+IFERROR(VLOOKUP(A464,'#11 IH Results'!$A$2:$C$302,2,0),0)+IFERROR(VLOOKUP(A464,'#10 IH Results'!$A$2:$C$302,2,0),0)+IFERROR(VLOOKUP(A464,'#9 IH Results'!$A$2:$C$302,2,0),0)+IFERROR(VLOOKUP(A464,'#8 IH Results'!$A$2:$C$302,2,0),0)+IFERROR(VLOOKUP(A464,'#7 IH Results'!$A$2:$C$302,2,0),0)+IFERROR(VLOOKUP(A464,'#6 IH Results'!$A$2:$C$302,2,0),0)+IFERROR(VLOOKUP(A464,'#5 IH Results'!$A$2:$C$303,2,0),0)+IFERROR(VLOOKUP(A464,'#4 IH Results'!$A$2:$C$300,2,0),0)+IFERROR(VLOOKUP(A464,'#3 IH Results'!$A$2:$C$101,2,0),0)+IFERROR(VLOOKUP(A464,'#2 IH Results'!$A$2:$C$101,2,0),0)+IFERROR(VLOOKUP(A464,'#1 IH Results'!$A$2:$C$101,2,0),0)+IFERROR(VLOOKUP(A464,'#0 IH Results'!$A$3:$C$102,2,0),0)</f>
        <v>0</v>
      </c>
    </row>
    <row r="465">
      <c r="B465" s="6">
        <f>IFERROR(VLOOKUP(A465,'#14 IH Results'!$A$2:$C$302,2,0),0)+IFERROR(VLOOKUP(A465,'#13 IH Results'!$A$2:$C$302,2,0),0)+IFERROR(VLOOKUP(A465,'#12 IH Results'!$A$2:$C$302,2,0),0)+IFERROR(VLOOKUP(A465,'#11 IH Results'!$A$2:$C$302,2,0),0)+IFERROR(VLOOKUP(A465,'#10 IH Results'!$A$2:$C$302,2,0),0)+IFERROR(VLOOKUP(A465,'#9 IH Results'!$A$2:$C$302,2,0),0)+IFERROR(VLOOKUP(A465,'#8 IH Results'!$A$2:$C$302,2,0),0)+IFERROR(VLOOKUP(A465,'#7 IH Results'!$A$2:$C$302,2,0),0)+IFERROR(VLOOKUP(A465,'#6 IH Results'!$A$2:$C$302,2,0),0)+IFERROR(VLOOKUP(A465,'#5 IH Results'!$A$2:$C$303,2,0),0)+IFERROR(VLOOKUP(A465,'#4 IH Results'!$A$2:$C$300,2,0),0)+IFERROR(VLOOKUP(A465,'#3 IH Results'!$A$2:$C$101,2,0),0)+IFERROR(VLOOKUP(A465,'#2 IH Results'!$A$2:$C$101,2,0),0)+IFERROR(VLOOKUP(A465,'#1 IH Results'!$A$2:$C$101,2,0),0)+IFERROR(VLOOKUP(A465,'#0 IH Results'!$A$3:$C$102,2,0),0)</f>
        <v>0</v>
      </c>
    </row>
    <row r="466">
      <c r="B466" s="6">
        <f>IFERROR(VLOOKUP(A466,'#14 IH Results'!$A$2:$C$302,2,0),0)+IFERROR(VLOOKUP(A466,'#13 IH Results'!$A$2:$C$302,2,0),0)+IFERROR(VLOOKUP(A466,'#12 IH Results'!$A$2:$C$302,2,0),0)+IFERROR(VLOOKUP(A466,'#11 IH Results'!$A$2:$C$302,2,0),0)+IFERROR(VLOOKUP(A466,'#10 IH Results'!$A$2:$C$302,2,0),0)+IFERROR(VLOOKUP(A466,'#9 IH Results'!$A$2:$C$302,2,0),0)+IFERROR(VLOOKUP(A466,'#8 IH Results'!$A$2:$C$302,2,0),0)+IFERROR(VLOOKUP(A466,'#7 IH Results'!$A$2:$C$302,2,0),0)+IFERROR(VLOOKUP(A466,'#6 IH Results'!$A$2:$C$302,2,0),0)+IFERROR(VLOOKUP(A466,'#5 IH Results'!$A$2:$C$303,2,0),0)+IFERROR(VLOOKUP(A466,'#4 IH Results'!$A$2:$C$300,2,0),0)+IFERROR(VLOOKUP(A466,'#3 IH Results'!$A$2:$C$101,2,0),0)+IFERROR(VLOOKUP(A466,'#2 IH Results'!$A$2:$C$101,2,0),0)+IFERROR(VLOOKUP(A466,'#1 IH Results'!$A$2:$C$101,2,0),0)+IFERROR(VLOOKUP(A466,'#0 IH Results'!$A$3:$C$102,2,0),0)</f>
        <v>0</v>
      </c>
    </row>
    <row r="467">
      <c r="B467" s="6">
        <f>IFERROR(VLOOKUP(A467,'#14 IH Results'!$A$2:$C$302,2,0),0)+IFERROR(VLOOKUP(A467,'#13 IH Results'!$A$2:$C$302,2,0),0)+IFERROR(VLOOKUP(A467,'#12 IH Results'!$A$2:$C$302,2,0),0)+IFERROR(VLOOKUP(A467,'#11 IH Results'!$A$2:$C$302,2,0),0)+IFERROR(VLOOKUP(A467,'#10 IH Results'!$A$2:$C$302,2,0),0)+IFERROR(VLOOKUP(A467,'#9 IH Results'!$A$2:$C$302,2,0),0)+IFERROR(VLOOKUP(A467,'#8 IH Results'!$A$2:$C$302,2,0),0)+IFERROR(VLOOKUP(A467,'#7 IH Results'!$A$2:$C$302,2,0),0)+IFERROR(VLOOKUP(A467,'#6 IH Results'!$A$2:$C$302,2,0),0)+IFERROR(VLOOKUP(A467,'#5 IH Results'!$A$2:$C$303,2,0),0)+IFERROR(VLOOKUP(A467,'#4 IH Results'!$A$2:$C$300,2,0),0)+IFERROR(VLOOKUP(A467,'#3 IH Results'!$A$2:$C$101,2,0),0)+IFERROR(VLOOKUP(A467,'#2 IH Results'!$A$2:$C$101,2,0),0)+IFERROR(VLOOKUP(A467,'#1 IH Results'!$A$2:$C$101,2,0),0)+IFERROR(VLOOKUP(A467,'#0 IH Results'!$A$3:$C$102,2,0),0)</f>
        <v>0</v>
      </c>
    </row>
    <row r="468">
      <c r="B468" s="6">
        <f>IFERROR(VLOOKUP(A468,'#14 IH Results'!$A$2:$C$302,2,0),0)+IFERROR(VLOOKUP(A468,'#13 IH Results'!$A$2:$C$302,2,0),0)+IFERROR(VLOOKUP(A468,'#12 IH Results'!$A$2:$C$302,2,0),0)+IFERROR(VLOOKUP(A468,'#11 IH Results'!$A$2:$C$302,2,0),0)+IFERROR(VLOOKUP(A468,'#10 IH Results'!$A$2:$C$302,2,0),0)+IFERROR(VLOOKUP(A468,'#9 IH Results'!$A$2:$C$302,2,0),0)+IFERROR(VLOOKUP(A468,'#8 IH Results'!$A$2:$C$302,2,0),0)+IFERROR(VLOOKUP(A468,'#7 IH Results'!$A$2:$C$302,2,0),0)+IFERROR(VLOOKUP(A468,'#6 IH Results'!$A$2:$C$302,2,0),0)+IFERROR(VLOOKUP(A468,'#5 IH Results'!$A$2:$C$303,2,0),0)+IFERROR(VLOOKUP(A468,'#4 IH Results'!$A$2:$C$300,2,0),0)+IFERROR(VLOOKUP(A468,'#3 IH Results'!$A$2:$C$101,2,0),0)+IFERROR(VLOOKUP(A468,'#2 IH Results'!$A$2:$C$101,2,0),0)+IFERROR(VLOOKUP(A468,'#1 IH Results'!$A$2:$C$101,2,0),0)+IFERROR(VLOOKUP(A468,'#0 IH Results'!$A$3:$C$102,2,0),0)</f>
        <v>0</v>
      </c>
    </row>
    <row r="469">
      <c r="B469" s="6">
        <f>IFERROR(VLOOKUP(A469,'#14 IH Results'!$A$2:$C$302,2,0),0)+IFERROR(VLOOKUP(A469,'#13 IH Results'!$A$2:$C$302,2,0),0)+IFERROR(VLOOKUP(A469,'#12 IH Results'!$A$2:$C$302,2,0),0)+IFERROR(VLOOKUP(A469,'#11 IH Results'!$A$2:$C$302,2,0),0)+IFERROR(VLOOKUP(A469,'#10 IH Results'!$A$2:$C$302,2,0),0)+IFERROR(VLOOKUP(A469,'#9 IH Results'!$A$2:$C$302,2,0),0)+IFERROR(VLOOKUP(A469,'#8 IH Results'!$A$2:$C$302,2,0),0)+IFERROR(VLOOKUP(A469,'#7 IH Results'!$A$2:$C$302,2,0),0)+IFERROR(VLOOKUP(A469,'#6 IH Results'!$A$2:$C$302,2,0),0)+IFERROR(VLOOKUP(A469,'#5 IH Results'!$A$2:$C$303,2,0),0)+IFERROR(VLOOKUP(A469,'#4 IH Results'!$A$2:$C$300,2,0),0)+IFERROR(VLOOKUP(A469,'#3 IH Results'!$A$2:$C$101,2,0),0)+IFERROR(VLOOKUP(A469,'#2 IH Results'!$A$2:$C$101,2,0),0)+IFERROR(VLOOKUP(A469,'#1 IH Results'!$A$2:$C$101,2,0),0)+IFERROR(VLOOKUP(A469,'#0 IH Results'!$A$3:$C$102,2,0),0)</f>
        <v>0</v>
      </c>
    </row>
    <row r="470">
      <c r="B470" s="6">
        <f>IFERROR(VLOOKUP(A470,'#14 IH Results'!$A$2:$C$302,2,0),0)+IFERROR(VLOOKUP(A470,'#13 IH Results'!$A$2:$C$302,2,0),0)+IFERROR(VLOOKUP(A470,'#12 IH Results'!$A$2:$C$302,2,0),0)+IFERROR(VLOOKUP(A470,'#11 IH Results'!$A$2:$C$302,2,0),0)+IFERROR(VLOOKUP(A470,'#10 IH Results'!$A$2:$C$302,2,0),0)+IFERROR(VLOOKUP(A470,'#9 IH Results'!$A$2:$C$302,2,0),0)+IFERROR(VLOOKUP(A470,'#8 IH Results'!$A$2:$C$302,2,0),0)+IFERROR(VLOOKUP(A470,'#7 IH Results'!$A$2:$C$302,2,0),0)+IFERROR(VLOOKUP(A470,'#6 IH Results'!$A$2:$C$302,2,0),0)+IFERROR(VLOOKUP(A470,'#5 IH Results'!$A$2:$C$303,2,0),0)+IFERROR(VLOOKUP(A470,'#4 IH Results'!$A$2:$C$300,2,0),0)+IFERROR(VLOOKUP(A470,'#3 IH Results'!$A$2:$C$101,2,0),0)+IFERROR(VLOOKUP(A470,'#2 IH Results'!$A$2:$C$101,2,0),0)+IFERROR(VLOOKUP(A470,'#1 IH Results'!$A$2:$C$101,2,0),0)+IFERROR(VLOOKUP(A470,'#0 IH Results'!$A$3:$C$102,2,0),0)</f>
        <v>0</v>
      </c>
    </row>
    <row r="471">
      <c r="B471" s="6">
        <f>IFERROR(VLOOKUP(A471,'#14 IH Results'!$A$2:$C$302,2,0),0)+IFERROR(VLOOKUP(A471,'#13 IH Results'!$A$2:$C$302,2,0),0)+IFERROR(VLOOKUP(A471,'#12 IH Results'!$A$2:$C$302,2,0),0)+IFERROR(VLOOKUP(A471,'#11 IH Results'!$A$2:$C$302,2,0),0)+IFERROR(VLOOKUP(A471,'#10 IH Results'!$A$2:$C$302,2,0),0)+IFERROR(VLOOKUP(A471,'#9 IH Results'!$A$2:$C$302,2,0),0)+IFERROR(VLOOKUP(A471,'#8 IH Results'!$A$2:$C$302,2,0),0)+IFERROR(VLOOKUP(A471,'#7 IH Results'!$A$2:$C$302,2,0),0)+IFERROR(VLOOKUP(A471,'#6 IH Results'!$A$2:$C$302,2,0),0)+IFERROR(VLOOKUP(A471,'#5 IH Results'!$A$2:$C$303,2,0),0)+IFERROR(VLOOKUP(A471,'#4 IH Results'!$A$2:$C$300,2,0),0)+IFERROR(VLOOKUP(A471,'#3 IH Results'!$A$2:$C$101,2,0),0)+IFERROR(VLOOKUP(A471,'#2 IH Results'!$A$2:$C$101,2,0),0)+IFERROR(VLOOKUP(A471,'#1 IH Results'!$A$2:$C$101,2,0),0)+IFERROR(VLOOKUP(A471,'#0 IH Results'!$A$3:$C$102,2,0),0)</f>
        <v>0</v>
      </c>
    </row>
    <row r="472">
      <c r="B472" s="6">
        <f>IFERROR(VLOOKUP(A472,'#14 IH Results'!$A$2:$C$302,2,0),0)+IFERROR(VLOOKUP(A472,'#13 IH Results'!$A$2:$C$302,2,0),0)+IFERROR(VLOOKUP(A472,'#12 IH Results'!$A$2:$C$302,2,0),0)+IFERROR(VLOOKUP(A472,'#11 IH Results'!$A$2:$C$302,2,0),0)+IFERROR(VLOOKUP(A472,'#10 IH Results'!$A$2:$C$302,2,0),0)+IFERROR(VLOOKUP(A472,'#9 IH Results'!$A$2:$C$302,2,0),0)+IFERROR(VLOOKUP(A472,'#8 IH Results'!$A$2:$C$302,2,0),0)+IFERROR(VLOOKUP(A472,'#7 IH Results'!$A$2:$C$302,2,0),0)+IFERROR(VLOOKUP(A472,'#6 IH Results'!$A$2:$C$302,2,0),0)+IFERROR(VLOOKUP(A472,'#5 IH Results'!$A$2:$C$303,2,0),0)+IFERROR(VLOOKUP(A472,'#4 IH Results'!$A$2:$C$300,2,0),0)+IFERROR(VLOOKUP(A472,'#3 IH Results'!$A$2:$C$101,2,0),0)+IFERROR(VLOOKUP(A472,'#2 IH Results'!$A$2:$C$101,2,0),0)+IFERROR(VLOOKUP(A472,'#1 IH Results'!$A$2:$C$101,2,0),0)+IFERROR(VLOOKUP(A472,'#0 IH Results'!$A$3:$C$102,2,0),0)</f>
        <v>0</v>
      </c>
    </row>
    <row r="473">
      <c r="B473" s="6">
        <f>IFERROR(VLOOKUP(A473,'#14 IH Results'!$A$2:$C$302,2,0),0)+IFERROR(VLOOKUP(A473,'#13 IH Results'!$A$2:$C$302,2,0),0)+IFERROR(VLOOKUP(A473,'#12 IH Results'!$A$2:$C$302,2,0),0)+IFERROR(VLOOKUP(A473,'#11 IH Results'!$A$2:$C$302,2,0),0)+IFERROR(VLOOKUP(A473,'#10 IH Results'!$A$2:$C$302,2,0),0)+IFERROR(VLOOKUP(A473,'#9 IH Results'!$A$2:$C$302,2,0),0)+IFERROR(VLOOKUP(A473,'#8 IH Results'!$A$2:$C$302,2,0),0)+IFERROR(VLOOKUP(A473,'#7 IH Results'!$A$2:$C$302,2,0),0)+IFERROR(VLOOKUP(A473,'#6 IH Results'!$A$2:$C$302,2,0),0)+IFERROR(VLOOKUP(A473,'#5 IH Results'!$A$2:$C$303,2,0),0)+IFERROR(VLOOKUP(A473,'#4 IH Results'!$A$2:$C$300,2,0),0)+IFERROR(VLOOKUP(A473,'#3 IH Results'!$A$2:$C$101,2,0),0)+IFERROR(VLOOKUP(A473,'#2 IH Results'!$A$2:$C$101,2,0),0)+IFERROR(VLOOKUP(A473,'#1 IH Results'!$A$2:$C$101,2,0),0)+IFERROR(VLOOKUP(A473,'#0 IH Results'!$A$3:$C$102,2,0),0)</f>
        <v>0</v>
      </c>
    </row>
    <row r="474">
      <c r="B474" s="6">
        <f>IFERROR(VLOOKUP(A474,'#14 IH Results'!$A$2:$C$302,2,0),0)+IFERROR(VLOOKUP(A474,'#13 IH Results'!$A$2:$C$302,2,0),0)+IFERROR(VLOOKUP(A474,'#12 IH Results'!$A$2:$C$302,2,0),0)+IFERROR(VLOOKUP(A474,'#11 IH Results'!$A$2:$C$302,2,0),0)+IFERROR(VLOOKUP(A474,'#10 IH Results'!$A$2:$C$302,2,0),0)+IFERROR(VLOOKUP(A474,'#9 IH Results'!$A$2:$C$302,2,0),0)+IFERROR(VLOOKUP(A474,'#8 IH Results'!$A$2:$C$302,2,0),0)+IFERROR(VLOOKUP(A474,'#7 IH Results'!$A$2:$C$302,2,0),0)+IFERROR(VLOOKUP(A474,'#6 IH Results'!$A$2:$C$302,2,0),0)+IFERROR(VLOOKUP(A474,'#5 IH Results'!$A$2:$C$303,2,0),0)+IFERROR(VLOOKUP(A474,'#4 IH Results'!$A$2:$C$300,2,0),0)+IFERROR(VLOOKUP(A474,'#3 IH Results'!$A$2:$C$101,2,0),0)+IFERROR(VLOOKUP(A474,'#2 IH Results'!$A$2:$C$101,2,0),0)+IFERROR(VLOOKUP(A474,'#1 IH Results'!$A$2:$C$101,2,0),0)+IFERROR(VLOOKUP(A474,'#0 IH Results'!$A$3:$C$102,2,0),0)</f>
        <v>0</v>
      </c>
    </row>
    <row r="475">
      <c r="B475" s="6">
        <f>IFERROR(VLOOKUP(A475,'#14 IH Results'!$A$2:$C$302,2,0),0)+IFERROR(VLOOKUP(A475,'#13 IH Results'!$A$2:$C$302,2,0),0)+IFERROR(VLOOKUP(A475,'#12 IH Results'!$A$2:$C$302,2,0),0)+IFERROR(VLOOKUP(A475,'#11 IH Results'!$A$2:$C$302,2,0),0)+IFERROR(VLOOKUP(A475,'#10 IH Results'!$A$2:$C$302,2,0),0)+IFERROR(VLOOKUP(A475,'#9 IH Results'!$A$2:$C$302,2,0),0)+IFERROR(VLOOKUP(A475,'#8 IH Results'!$A$2:$C$302,2,0),0)+IFERROR(VLOOKUP(A475,'#7 IH Results'!$A$2:$C$302,2,0),0)+IFERROR(VLOOKUP(A475,'#6 IH Results'!$A$2:$C$302,2,0),0)+IFERROR(VLOOKUP(A475,'#5 IH Results'!$A$2:$C$303,2,0),0)+IFERROR(VLOOKUP(A475,'#4 IH Results'!$A$2:$C$300,2,0),0)+IFERROR(VLOOKUP(A475,'#3 IH Results'!$A$2:$C$101,2,0),0)+IFERROR(VLOOKUP(A475,'#2 IH Results'!$A$2:$C$101,2,0),0)+IFERROR(VLOOKUP(A475,'#1 IH Results'!$A$2:$C$101,2,0),0)+IFERROR(VLOOKUP(A475,'#0 IH Results'!$A$3:$C$102,2,0),0)</f>
        <v>0</v>
      </c>
    </row>
    <row r="476">
      <c r="B476" s="6">
        <f>IFERROR(VLOOKUP(A476,'#14 IH Results'!$A$2:$C$302,2,0),0)+IFERROR(VLOOKUP(A476,'#13 IH Results'!$A$2:$C$302,2,0),0)+IFERROR(VLOOKUP(A476,'#12 IH Results'!$A$2:$C$302,2,0),0)+IFERROR(VLOOKUP(A476,'#11 IH Results'!$A$2:$C$302,2,0),0)+IFERROR(VLOOKUP(A476,'#10 IH Results'!$A$2:$C$302,2,0),0)+IFERROR(VLOOKUP(A476,'#9 IH Results'!$A$2:$C$302,2,0),0)+IFERROR(VLOOKUP(A476,'#8 IH Results'!$A$2:$C$302,2,0),0)+IFERROR(VLOOKUP(A476,'#7 IH Results'!$A$2:$C$302,2,0),0)+IFERROR(VLOOKUP(A476,'#6 IH Results'!$A$2:$C$302,2,0),0)+IFERROR(VLOOKUP(A476,'#5 IH Results'!$A$2:$C$303,2,0),0)+IFERROR(VLOOKUP(A476,'#4 IH Results'!$A$2:$C$300,2,0),0)+IFERROR(VLOOKUP(A476,'#3 IH Results'!$A$2:$C$101,2,0),0)+IFERROR(VLOOKUP(A476,'#2 IH Results'!$A$2:$C$101,2,0),0)+IFERROR(VLOOKUP(A476,'#1 IH Results'!$A$2:$C$101,2,0),0)+IFERROR(VLOOKUP(A476,'#0 IH Results'!$A$3:$C$102,2,0),0)</f>
        <v>0</v>
      </c>
    </row>
    <row r="477">
      <c r="B477" s="6">
        <f>IFERROR(VLOOKUP(A477,'#14 IH Results'!$A$2:$C$302,2,0),0)+IFERROR(VLOOKUP(A477,'#13 IH Results'!$A$2:$C$302,2,0),0)+IFERROR(VLOOKUP(A477,'#12 IH Results'!$A$2:$C$302,2,0),0)+IFERROR(VLOOKUP(A477,'#11 IH Results'!$A$2:$C$302,2,0),0)+IFERROR(VLOOKUP(A477,'#10 IH Results'!$A$2:$C$302,2,0),0)+IFERROR(VLOOKUP(A477,'#9 IH Results'!$A$2:$C$302,2,0),0)+IFERROR(VLOOKUP(A477,'#8 IH Results'!$A$2:$C$302,2,0),0)+IFERROR(VLOOKUP(A477,'#7 IH Results'!$A$2:$C$302,2,0),0)+IFERROR(VLOOKUP(A477,'#6 IH Results'!$A$2:$C$302,2,0),0)+IFERROR(VLOOKUP(A477,'#5 IH Results'!$A$2:$C$303,2,0),0)+IFERROR(VLOOKUP(A477,'#4 IH Results'!$A$2:$C$300,2,0),0)+IFERROR(VLOOKUP(A477,'#3 IH Results'!$A$2:$C$101,2,0),0)+IFERROR(VLOOKUP(A477,'#2 IH Results'!$A$2:$C$101,2,0),0)+IFERROR(VLOOKUP(A477,'#1 IH Results'!$A$2:$C$101,2,0),0)+IFERROR(VLOOKUP(A477,'#0 IH Results'!$A$3:$C$102,2,0),0)</f>
        <v>0</v>
      </c>
    </row>
    <row r="478">
      <c r="B478" s="6">
        <f>IFERROR(VLOOKUP(A478,'#14 IH Results'!$A$2:$C$302,2,0),0)+IFERROR(VLOOKUP(A478,'#13 IH Results'!$A$2:$C$302,2,0),0)+IFERROR(VLOOKUP(A478,'#12 IH Results'!$A$2:$C$302,2,0),0)+IFERROR(VLOOKUP(A478,'#11 IH Results'!$A$2:$C$302,2,0),0)+IFERROR(VLOOKUP(A478,'#10 IH Results'!$A$2:$C$302,2,0),0)+IFERROR(VLOOKUP(A478,'#9 IH Results'!$A$2:$C$302,2,0),0)+IFERROR(VLOOKUP(A478,'#8 IH Results'!$A$2:$C$302,2,0),0)+IFERROR(VLOOKUP(A478,'#7 IH Results'!$A$2:$C$302,2,0),0)+IFERROR(VLOOKUP(A478,'#6 IH Results'!$A$2:$C$302,2,0),0)+IFERROR(VLOOKUP(A478,'#5 IH Results'!$A$2:$C$303,2,0),0)+IFERROR(VLOOKUP(A478,'#4 IH Results'!$A$2:$C$300,2,0),0)+IFERROR(VLOOKUP(A478,'#3 IH Results'!$A$2:$C$101,2,0),0)+IFERROR(VLOOKUP(A478,'#2 IH Results'!$A$2:$C$101,2,0),0)+IFERROR(VLOOKUP(A478,'#1 IH Results'!$A$2:$C$101,2,0),0)+IFERROR(VLOOKUP(A478,'#0 IH Results'!$A$3:$C$102,2,0),0)</f>
        <v>0</v>
      </c>
    </row>
    <row r="479">
      <c r="B479" s="6">
        <f>IFERROR(VLOOKUP(A479,'#14 IH Results'!$A$2:$C$302,2,0),0)+IFERROR(VLOOKUP(A479,'#13 IH Results'!$A$2:$C$302,2,0),0)+IFERROR(VLOOKUP(A479,'#12 IH Results'!$A$2:$C$302,2,0),0)+IFERROR(VLOOKUP(A479,'#11 IH Results'!$A$2:$C$302,2,0),0)+IFERROR(VLOOKUP(A479,'#10 IH Results'!$A$2:$C$302,2,0),0)+IFERROR(VLOOKUP(A479,'#9 IH Results'!$A$2:$C$302,2,0),0)+IFERROR(VLOOKUP(A479,'#8 IH Results'!$A$2:$C$302,2,0),0)+IFERROR(VLOOKUP(A479,'#7 IH Results'!$A$2:$C$302,2,0),0)+IFERROR(VLOOKUP(A479,'#6 IH Results'!$A$2:$C$302,2,0),0)+IFERROR(VLOOKUP(A479,'#5 IH Results'!$A$2:$C$303,2,0),0)+IFERROR(VLOOKUP(A479,'#4 IH Results'!$A$2:$C$300,2,0),0)+IFERROR(VLOOKUP(A479,'#3 IH Results'!$A$2:$C$101,2,0),0)+IFERROR(VLOOKUP(A479,'#2 IH Results'!$A$2:$C$101,2,0),0)+IFERROR(VLOOKUP(A479,'#1 IH Results'!$A$2:$C$101,2,0),0)+IFERROR(VLOOKUP(A479,'#0 IH Results'!$A$3:$C$102,2,0),0)</f>
        <v>0</v>
      </c>
    </row>
    <row r="480">
      <c r="B480" s="6">
        <f>IFERROR(VLOOKUP(A480,'#14 IH Results'!$A$2:$C$302,2,0),0)+IFERROR(VLOOKUP(A480,'#13 IH Results'!$A$2:$C$302,2,0),0)+IFERROR(VLOOKUP(A480,'#12 IH Results'!$A$2:$C$302,2,0),0)+IFERROR(VLOOKUP(A480,'#11 IH Results'!$A$2:$C$302,2,0),0)+IFERROR(VLOOKUP(A480,'#10 IH Results'!$A$2:$C$302,2,0),0)+IFERROR(VLOOKUP(A480,'#9 IH Results'!$A$2:$C$302,2,0),0)+IFERROR(VLOOKUP(A480,'#8 IH Results'!$A$2:$C$302,2,0),0)+IFERROR(VLOOKUP(A480,'#7 IH Results'!$A$2:$C$302,2,0),0)+IFERROR(VLOOKUP(A480,'#6 IH Results'!$A$2:$C$302,2,0),0)+IFERROR(VLOOKUP(A480,'#5 IH Results'!$A$2:$C$303,2,0),0)+IFERROR(VLOOKUP(A480,'#4 IH Results'!$A$2:$C$300,2,0),0)+IFERROR(VLOOKUP(A480,'#3 IH Results'!$A$2:$C$101,2,0),0)+IFERROR(VLOOKUP(A480,'#2 IH Results'!$A$2:$C$101,2,0),0)+IFERROR(VLOOKUP(A480,'#1 IH Results'!$A$2:$C$101,2,0),0)+IFERROR(VLOOKUP(A480,'#0 IH Results'!$A$3:$C$102,2,0),0)</f>
        <v>0</v>
      </c>
    </row>
    <row r="481">
      <c r="B481" s="6">
        <f>IFERROR(VLOOKUP(A481,'#14 IH Results'!$A$2:$C$302,2,0),0)+IFERROR(VLOOKUP(A481,'#13 IH Results'!$A$2:$C$302,2,0),0)+IFERROR(VLOOKUP(A481,'#12 IH Results'!$A$2:$C$302,2,0),0)+IFERROR(VLOOKUP(A481,'#11 IH Results'!$A$2:$C$302,2,0),0)+IFERROR(VLOOKUP(A481,'#10 IH Results'!$A$2:$C$302,2,0),0)+IFERROR(VLOOKUP(A481,'#9 IH Results'!$A$2:$C$302,2,0),0)+IFERROR(VLOOKUP(A481,'#8 IH Results'!$A$2:$C$302,2,0),0)+IFERROR(VLOOKUP(A481,'#7 IH Results'!$A$2:$C$302,2,0),0)+IFERROR(VLOOKUP(A481,'#6 IH Results'!$A$2:$C$302,2,0),0)+IFERROR(VLOOKUP(A481,'#5 IH Results'!$A$2:$C$303,2,0),0)+IFERROR(VLOOKUP(A481,'#4 IH Results'!$A$2:$C$300,2,0),0)+IFERROR(VLOOKUP(A481,'#3 IH Results'!$A$2:$C$101,2,0),0)+IFERROR(VLOOKUP(A481,'#2 IH Results'!$A$2:$C$101,2,0),0)+IFERROR(VLOOKUP(A481,'#1 IH Results'!$A$2:$C$101,2,0),0)+IFERROR(VLOOKUP(A481,'#0 IH Results'!$A$3:$C$102,2,0),0)</f>
        <v>0</v>
      </c>
    </row>
    <row r="482">
      <c r="B482" s="6">
        <f>IFERROR(VLOOKUP(A482,'#14 IH Results'!$A$2:$C$302,2,0),0)+IFERROR(VLOOKUP(A482,'#13 IH Results'!$A$2:$C$302,2,0),0)+IFERROR(VLOOKUP(A482,'#12 IH Results'!$A$2:$C$302,2,0),0)+IFERROR(VLOOKUP(A482,'#11 IH Results'!$A$2:$C$302,2,0),0)+IFERROR(VLOOKUP(A482,'#10 IH Results'!$A$2:$C$302,2,0),0)+IFERROR(VLOOKUP(A482,'#9 IH Results'!$A$2:$C$302,2,0),0)+IFERROR(VLOOKUP(A482,'#8 IH Results'!$A$2:$C$302,2,0),0)+IFERROR(VLOOKUP(A482,'#7 IH Results'!$A$2:$C$302,2,0),0)+IFERROR(VLOOKUP(A482,'#6 IH Results'!$A$2:$C$302,2,0),0)+IFERROR(VLOOKUP(A482,'#5 IH Results'!$A$2:$C$303,2,0),0)+IFERROR(VLOOKUP(A482,'#4 IH Results'!$A$2:$C$300,2,0),0)+IFERROR(VLOOKUP(A482,'#3 IH Results'!$A$2:$C$101,2,0),0)+IFERROR(VLOOKUP(A482,'#2 IH Results'!$A$2:$C$101,2,0),0)+IFERROR(VLOOKUP(A482,'#1 IH Results'!$A$2:$C$101,2,0),0)+IFERROR(VLOOKUP(A482,'#0 IH Results'!$A$3:$C$102,2,0),0)</f>
        <v>0</v>
      </c>
    </row>
    <row r="483">
      <c r="B483" s="6">
        <f>IFERROR(VLOOKUP(A483,'#14 IH Results'!$A$2:$C$302,2,0),0)+IFERROR(VLOOKUP(A483,'#13 IH Results'!$A$2:$C$302,2,0),0)+IFERROR(VLOOKUP(A483,'#12 IH Results'!$A$2:$C$302,2,0),0)+IFERROR(VLOOKUP(A483,'#11 IH Results'!$A$2:$C$302,2,0),0)+IFERROR(VLOOKUP(A483,'#10 IH Results'!$A$2:$C$302,2,0),0)+IFERROR(VLOOKUP(A483,'#9 IH Results'!$A$2:$C$302,2,0),0)+IFERROR(VLOOKUP(A483,'#8 IH Results'!$A$2:$C$302,2,0),0)+IFERROR(VLOOKUP(A483,'#7 IH Results'!$A$2:$C$302,2,0),0)+IFERROR(VLOOKUP(A483,'#6 IH Results'!$A$2:$C$302,2,0),0)+IFERROR(VLOOKUP(A483,'#5 IH Results'!$A$2:$C$303,2,0),0)+IFERROR(VLOOKUP(A483,'#4 IH Results'!$A$2:$C$300,2,0),0)+IFERROR(VLOOKUP(A483,'#3 IH Results'!$A$2:$C$101,2,0),0)+IFERROR(VLOOKUP(A483,'#2 IH Results'!$A$2:$C$101,2,0),0)+IFERROR(VLOOKUP(A483,'#1 IH Results'!$A$2:$C$101,2,0),0)+IFERROR(VLOOKUP(A483,'#0 IH Results'!$A$3:$C$102,2,0),0)</f>
        <v>0</v>
      </c>
    </row>
    <row r="484">
      <c r="B484" s="6">
        <f>IFERROR(VLOOKUP(A484,'#14 IH Results'!$A$2:$C$302,2,0),0)+IFERROR(VLOOKUP(A484,'#13 IH Results'!$A$2:$C$302,2,0),0)+IFERROR(VLOOKUP(A484,'#12 IH Results'!$A$2:$C$302,2,0),0)+IFERROR(VLOOKUP(A484,'#11 IH Results'!$A$2:$C$302,2,0),0)+IFERROR(VLOOKUP(A484,'#10 IH Results'!$A$2:$C$302,2,0),0)+IFERROR(VLOOKUP(A484,'#9 IH Results'!$A$2:$C$302,2,0),0)+IFERROR(VLOOKUP(A484,'#8 IH Results'!$A$2:$C$302,2,0),0)+IFERROR(VLOOKUP(A484,'#7 IH Results'!$A$2:$C$302,2,0),0)+IFERROR(VLOOKUP(A484,'#6 IH Results'!$A$2:$C$302,2,0),0)+IFERROR(VLOOKUP(A484,'#5 IH Results'!$A$2:$C$303,2,0),0)+IFERROR(VLOOKUP(A484,'#4 IH Results'!$A$2:$C$300,2,0),0)+IFERROR(VLOOKUP(A484,'#3 IH Results'!$A$2:$C$101,2,0),0)+IFERROR(VLOOKUP(A484,'#2 IH Results'!$A$2:$C$101,2,0),0)+IFERROR(VLOOKUP(A484,'#1 IH Results'!$A$2:$C$101,2,0),0)+IFERROR(VLOOKUP(A484,'#0 IH Results'!$A$3:$C$102,2,0),0)</f>
        <v>0</v>
      </c>
    </row>
    <row r="485">
      <c r="B485" s="6">
        <f>IFERROR(VLOOKUP(A485,'#14 IH Results'!$A$2:$C$302,2,0),0)+IFERROR(VLOOKUP(A485,'#13 IH Results'!$A$2:$C$302,2,0),0)+IFERROR(VLOOKUP(A485,'#12 IH Results'!$A$2:$C$302,2,0),0)+IFERROR(VLOOKUP(A485,'#11 IH Results'!$A$2:$C$302,2,0),0)+IFERROR(VLOOKUP(A485,'#10 IH Results'!$A$2:$C$302,2,0),0)+IFERROR(VLOOKUP(A485,'#9 IH Results'!$A$2:$C$302,2,0),0)+IFERROR(VLOOKUP(A485,'#8 IH Results'!$A$2:$C$302,2,0),0)+IFERROR(VLOOKUP(A485,'#7 IH Results'!$A$2:$C$302,2,0),0)+IFERROR(VLOOKUP(A485,'#6 IH Results'!$A$2:$C$302,2,0),0)+IFERROR(VLOOKUP(A485,'#5 IH Results'!$A$2:$C$303,2,0),0)+IFERROR(VLOOKUP(A485,'#4 IH Results'!$A$2:$C$300,2,0),0)+IFERROR(VLOOKUP(A485,'#3 IH Results'!$A$2:$C$101,2,0),0)+IFERROR(VLOOKUP(A485,'#2 IH Results'!$A$2:$C$101,2,0),0)+IFERROR(VLOOKUP(A485,'#1 IH Results'!$A$2:$C$101,2,0),0)+IFERROR(VLOOKUP(A485,'#0 IH Results'!$A$3:$C$102,2,0),0)</f>
        <v>0</v>
      </c>
    </row>
    <row r="486">
      <c r="B486" s="6">
        <f>IFERROR(VLOOKUP(A486,'#14 IH Results'!$A$2:$C$302,2,0),0)+IFERROR(VLOOKUP(A486,'#13 IH Results'!$A$2:$C$302,2,0),0)+IFERROR(VLOOKUP(A486,'#12 IH Results'!$A$2:$C$302,2,0),0)+IFERROR(VLOOKUP(A486,'#11 IH Results'!$A$2:$C$302,2,0),0)+IFERROR(VLOOKUP(A486,'#10 IH Results'!$A$2:$C$302,2,0),0)+IFERROR(VLOOKUP(A486,'#9 IH Results'!$A$2:$C$302,2,0),0)+IFERROR(VLOOKUP(A486,'#8 IH Results'!$A$2:$C$302,2,0),0)+IFERROR(VLOOKUP(A486,'#7 IH Results'!$A$2:$C$302,2,0),0)+IFERROR(VLOOKUP(A486,'#6 IH Results'!$A$2:$C$302,2,0),0)+IFERROR(VLOOKUP(A486,'#5 IH Results'!$A$2:$C$303,2,0),0)+IFERROR(VLOOKUP(A486,'#4 IH Results'!$A$2:$C$300,2,0),0)+IFERROR(VLOOKUP(A486,'#3 IH Results'!$A$2:$C$101,2,0),0)+IFERROR(VLOOKUP(A486,'#2 IH Results'!$A$2:$C$101,2,0),0)+IFERROR(VLOOKUP(A486,'#1 IH Results'!$A$2:$C$101,2,0),0)+IFERROR(VLOOKUP(A486,'#0 IH Results'!$A$3:$C$102,2,0),0)</f>
        <v>0</v>
      </c>
    </row>
    <row r="487">
      <c r="B487" s="6">
        <f>IFERROR(VLOOKUP(A487,'#14 IH Results'!$A$2:$C$302,2,0),0)+IFERROR(VLOOKUP(A487,'#13 IH Results'!$A$2:$C$302,2,0),0)+IFERROR(VLOOKUP(A487,'#12 IH Results'!$A$2:$C$302,2,0),0)+IFERROR(VLOOKUP(A487,'#11 IH Results'!$A$2:$C$302,2,0),0)+IFERROR(VLOOKUP(A487,'#10 IH Results'!$A$2:$C$302,2,0),0)+IFERROR(VLOOKUP(A487,'#9 IH Results'!$A$2:$C$302,2,0),0)+IFERROR(VLOOKUP(A487,'#8 IH Results'!$A$2:$C$302,2,0),0)+IFERROR(VLOOKUP(A487,'#7 IH Results'!$A$2:$C$302,2,0),0)+IFERROR(VLOOKUP(A487,'#6 IH Results'!$A$2:$C$302,2,0),0)+IFERROR(VLOOKUP(A487,'#5 IH Results'!$A$2:$C$303,2,0),0)+IFERROR(VLOOKUP(A487,'#4 IH Results'!$A$2:$C$300,2,0),0)+IFERROR(VLOOKUP(A487,'#3 IH Results'!$A$2:$C$101,2,0),0)+IFERROR(VLOOKUP(A487,'#2 IH Results'!$A$2:$C$101,2,0),0)+IFERROR(VLOOKUP(A487,'#1 IH Results'!$A$2:$C$101,2,0),0)+IFERROR(VLOOKUP(A487,'#0 IH Results'!$A$3:$C$102,2,0),0)</f>
        <v>0</v>
      </c>
    </row>
    <row r="488">
      <c r="B488" s="6">
        <f>IFERROR(VLOOKUP(A488,'#14 IH Results'!$A$2:$C$302,2,0),0)+IFERROR(VLOOKUP(A488,'#13 IH Results'!$A$2:$C$302,2,0),0)+IFERROR(VLOOKUP(A488,'#12 IH Results'!$A$2:$C$302,2,0),0)+IFERROR(VLOOKUP(A488,'#11 IH Results'!$A$2:$C$302,2,0),0)+IFERROR(VLOOKUP(A488,'#10 IH Results'!$A$2:$C$302,2,0),0)+IFERROR(VLOOKUP(A488,'#9 IH Results'!$A$2:$C$302,2,0),0)+IFERROR(VLOOKUP(A488,'#8 IH Results'!$A$2:$C$302,2,0),0)+IFERROR(VLOOKUP(A488,'#7 IH Results'!$A$2:$C$302,2,0),0)+IFERROR(VLOOKUP(A488,'#6 IH Results'!$A$2:$C$302,2,0),0)+IFERROR(VLOOKUP(A488,'#5 IH Results'!$A$2:$C$303,2,0),0)+IFERROR(VLOOKUP(A488,'#4 IH Results'!$A$2:$C$300,2,0),0)+IFERROR(VLOOKUP(A488,'#3 IH Results'!$A$2:$C$101,2,0),0)+IFERROR(VLOOKUP(A488,'#2 IH Results'!$A$2:$C$101,2,0),0)+IFERROR(VLOOKUP(A488,'#1 IH Results'!$A$2:$C$101,2,0),0)+IFERROR(VLOOKUP(A488,'#0 IH Results'!$A$3:$C$102,2,0),0)</f>
        <v>0</v>
      </c>
    </row>
    <row r="489">
      <c r="B489" s="6">
        <f>IFERROR(VLOOKUP(A489,'#14 IH Results'!$A$2:$C$302,2,0),0)+IFERROR(VLOOKUP(A489,'#13 IH Results'!$A$2:$C$302,2,0),0)+IFERROR(VLOOKUP(A489,'#12 IH Results'!$A$2:$C$302,2,0),0)+IFERROR(VLOOKUP(A489,'#11 IH Results'!$A$2:$C$302,2,0),0)+IFERROR(VLOOKUP(A489,'#10 IH Results'!$A$2:$C$302,2,0),0)+IFERROR(VLOOKUP(A489,'#9 IH Results'!$A$2:$C$302,2,0),0)+IFERROR(VLOOKUP(A489,'#8 IH Results'!$A$2:$C$302,2,0),0)+IFERROR(VLOOKUP(A489,'#7 IH Results'!$A$2:$C$302,2,0),0)+IFERROR(VLOOKUP(A489,'#6 IH Results'!$A$2:$C$302,2,0),0)+IFERROR(VLOOKUP(A489,'#5 IH Results'!$A$2:$C$303,2,0),0)+IFERROR(VLOOKUP(A489,'#4 IH Results'!$A$2:$C$300,2,0),0)+IFERROR(VLOOKUP(A489,'#3 IH Results'!$A$2:$C$101,2,0),0)+IFERROR(VLOOKUP(A489,'#2 IH Results'!$A$2:$C$101,2,0),0)+IFERROR(VLOOKUP(A489,'#1 IH Results'!$A$2:$C$101,2,0),0)+IFERROR(VLOOKUP(A489,'#0 IH Results'!$A$3:$C$102,2,0),0)</f>
        <v>0</v>
      </c>
    </row>
    <row r="490">
      <c r="B490" s="6">
        <f>IFERROR(VLOOKUP(A490,'#14 IH Results'!$A$2:$C$302,2,0),0)+IFERROR(VLOOKUP(A490,'#13 IH Results'!$A$2:$C$302,2,0),0)+IFERROR(VLOOKUP(A490,'#12 IH Results'!$A$2:$C$302,2,0),0)+IFERROR(VLOOKUP(A490,'#11 IH Results'!$A$2:$C$302,2,0),0)+IFERROR(VLOOKUP(A490,'#10 IH Results'!$A$2:$C$302,2,0),0)+IFERROR(VLOOKUP(A490,'#9 IH Results'!$A$2:$C$302,2,0),0)+IFERROR(VLOOKUP(A490,'#8 IH Results'!$A$2:$C$302,2,0),0)+IFERROR(VLOOKUP(A490,'#7 IH Results'!$A$2:$C$302,2,0),0)+IFERROR(VLOOKUP(A490,'#6 IH Results'!$A$2:$C$302,2,0),0)+IFERROR(VLOOKUP(A490,'#5 IH Results'!$A$2:$C$303,2,0),0)+IFERROR(VLOOKUP(A490,'#4 IH Results'!$A$2:$C$300,2,0),0)+IFERROR(VLOOKUP(A490,'#3 IH Results'!$A$2:$C$101,2,0),0)+IFERROR(VLOOKUP(A490,'#2 IH Results'!$A$2:$C$101,2,0),0)+IFERROR(VLOOKUP(A490,'#1 IH Results'!$A$2:$C$101,2,0),0)+IFERROR(VLOOKUP(A490,'#0 IH Results'!$A$3:$C$102,2,0),0)</f>
        <v>0</v>
      </c>
    </row>
    <row r="491">
      <c r="B491" s="6">
        <f>IFERROR(VLOOKUP(A491,'#14 IH Results'!$A$2:$C$302,2,0),0)+IFERROR(VLOOKUP(A491,'#13 IH Results'!$A$2:$C$302,2,0),0)+IFERROR(VLOOKUP(A491,'#12 IH Results'!$A$2:$C$302,2,0),0)+IFERROR(VLOOKUP(A491,'#11 IH Results'!$A$2:$C$302,2,0),0)+IFERROR(VLOOKUP(A491,'#10 IH Results'!$A$2:$C$302,2,0),0)+IFERROR(VLOOKUP(A491,'#9 IH Results'!$A$2:$C$302,2,0),0)+IFERROR(VLOOKUP(A491,'#8 IH Results'!$A$2:$C$302,2,0),0)+IFERROR(VLOOKUP(A491,'#7 IH Results'!$A$2:$C$302,2,0),0)+IFERROR(VLOOKUP(A491,'#6 IH Results'!$A$2:$C$302,2,0),0)+IFERROR(VLOOKUP(A491,'#5 IH Results'!$A$2:$C$303,2,0),0)+IFERROR(VLOOKUP(A491,'#4 IH Results'!$A$2:$C$300,2,0),0)+IFERROR(VLOOKUP(A491,'#3 IH Results'!$A$2:$C$101,2,0),0)+IFERROR(VLOOKUP(A491,'#2 IH Results'!$A$2:$C$101,2,0),0)+IFERROR(VLOOKUP(A491,'#1 IH Results'!$A$2:$C$101,2,0),0)+IFERROR(VLOOKUP(A491,'#0 IH Results'!$A$3:$C$102,2,0),0)</f>
        <v>0</v>
      </c>
    </row>
    <row r="492">
      <c r="B492" s="6">
        <f>IFERROR(VLOOKUP(A492,'#14 IH Results'!$A$2:$C$302,2,0),0)+IFERROR(VLOOKUP(A492,'#13 IH Results'!$A$2:$C$302,2,0),0)+IFERROR(VLOOKUP(A492,'#12 IH Results'!$A$2:$C$302,2,0),0)+IFERROR(VLOOKUP(A492,'#11 IH Results'!$A$2:$C$302,2,0),0)+IFERROR(VLOOKUP(A492,'#10 IH Results'!$A$2:$C$302,2,0),0)+IFERROR(VLOOKUP(A492,'#9 IH Results'!$A$2:$C$302,2,0),0)+IFERROR(VLOOKUP(A492,'#8 IH Results'!$A$2:$C$302,2,0),0)+IFERROR(VLOOKUP(A492,'#7 IH Results'!$A$2:$C$302,2,0),0)+IFERROR(VLOOKUP(A492,'#6 IH Results'!$A$2:$C$302,2,0),0)+IFERROR(VLOOKUP(A492,'#5 IH Results'!$A$2:$C$303,2,0),0)+IFERROR(VLOOKUP(A492,'#4 IH Results'!$A$2:$C$300,2,0),0)+IFERROR(VLOOKUP(A492,'#3 IH Results'!$A$2:$C$101,2,0),0)+IFERROR(VLOOKUP(A492,'#2 IH Results'!$A$2:$C$101,2,0),0)+IFERROR(VLOOKUP(A492,'#1 IH Results'!$A$2:$C$101,2,0),0)+IFERROR(VLOOKUP(A492,'#0 IH Results'!$A$3:$C$102,2,0),0)</f>
        <v>0</v>
      </c>
    </row>
    <row r="493">
      <c r="B493" s="6">
        <f>IFERROR(VLOOKUP(A493,'#14 IH Results'!$A$2:$C$302,2,0),0)+IFERROR(VLOOKUP(A493,'#13 IH Results'!$A$2:$C$302,2,0),0)+IFERROR(VLOOKUP(A493,'#12 IH Results'!$A$2:$C$302,2,0),0)+IFERROR(VLOOKUP(A493,'#11 IH Results'!$A$2:$C$302,2,0),0)+IFERROR(VLOOKUP(A493,'#10 IH Results'!$A$2:$C$302,2,0),0)+IFERROR(VLOOKUP(A493,'#9 IH Results'!$A$2:$C$302,2,0),0)+IFERROR(VLOOKUP(A493,'#8 IH Results'!$A$2:$C$302,2,0),0)+IFERROR(VLOOKUP(A493,'#7 IH Results'!$A$2:$C$302,2,0),0)+IFERROR(VLOOKUP(A493,'#6 IH Results'!$A$2:$C$302,2,0),0)+IFERROR(VLOOKUP(A493,'#5 IH Results'!$A$2:$C$303,2,0),0)+IFERROR(VLOOKUP(A493,'#4 IH Results'!$A$2:$C$300,2,0),0)+IFERROR(VLOOKUP(A493,'#3 IH Results'!$A$2:$C$101,2,0),0)+IFERROR(VLOOKUP(A493,'#2 IH Results'!$A$2:$C$101,2,0),0)+IFERROR(VLOOKUP(A493,'#1 IH Results'!$A$2:$C$101,2,0),0)+IFERROR(VLOOKUP(A493,'#0 IH Results'!$A$3:$C$102,2,0),0)</f>
        <v>0</v>
      </c>
    </row>
    <row r="494">
      <c r="B494" s="6">
        <f>IFERROR(VLOOKUP(A494,'#14 IH Results'!$A$2:$C$302,2,0),0)+IFERROR(VLOOKUP(A494,'#13 IH Results'!$A$2:$C$302,2,0),0)+IFERROR(VLOOKUP(A494,'#12 IH Results'!$A$2:$C$302,2,0),0)+IFERROR(VLOOKUP(A494,'#11 IH Results'!$A$2:$C$302,2,0),0)+IFERROR(VLOOKUP(A494,'#10 IH Results'!$A$2:$C$302,2,0),0)+IFERROR(VLOOKUP(A494,'#9 IH Results'!$A$2:$C$302,2,0),0)+IFERROR(VLOOKUP(A494,'#8 IH Results'!$A$2:$C$302,2,0),0)+IFERROR(VLOOKUP(A494,'#7 IH Results'!$A$2:$C$302,2,0),0)+IFERROR(VLOOKUP(A494,'#6 IH Results'!$A$2:$C$302,2,0),0)+IFERROR(VLOOKUP(A494,'#5 IH Results'!$A$2:$C$303,2,0),0)+IFERROR(VLOOKUP(A494,'#4 IH Results'!$A$2:$C$300,2,0),0)+IFERROR(VLOOKUP(A494,'#3 IH Results'!$A$2:$C$101,2,0),0)+IFERROR(VLOOKUP(A494,'#2 IH Results'!$A$2:$C$101,2,0),0)+IFERROR(VLOOKUP(A494,'#1 IH Results'!$A$2:$C$101,2,0),0)+IFERROR(VLOOKUP(A494,'#0 IH Results'!$A$3:$C$102,2,0),0)</f>
        <v>0</v>
      </c>
    </row>
    <row r="495">
      <c r="B495" s="6">
        <f>IFERROR(VLOOKUP(A495,'#14 IH Results'!$A$2:$C$302,2,0),0)+IFERROR(VLOOKUP(A495,'#13 IH Results'!$A$2:$C$302,2,0),0)+IFERROR(VLOOKUP(A495,'#12 IH Results'!$A$2:$C$302,2,0),0)+IFERROR(VLOOKUP(A495,'#11 IH Results'!$A$2:$C$302,2,0),0)+IFERROR(VLOOKUP(A495,'#10 IH Results'!$A$2:$C$302,2,0),0)+IFERROR(VLOOKUP(A495,'#9 IH Results'!$A$2:$C$302,2,0),0)+IFERROR(VLOOKUP(A495,'#8 IH Results'!$A$2:$C$302,2,0),0)+IFERROR(VLOOKUP(A495,'#7 IH Results'!$A$2:$C$302,2,0),0)+IFERROR(VLOOKUP(A495,'#6 IH Results'!$A$2:$C$302,2,0),0)+IFERROR(VLOOKUP(A495,'#5 IH Results'!$A$2:$C$303,2,0),0)+IFERROR(VLOOKUP(A495,'#4 IH Results'!$A$2:$C$300,2,0),0)+IFERROR(VLOOKUP(A495,'#3 IH Results'!$A$2:$C$101,2,0),0)+IFERROR(VLOOKUP(A495,'#2 IH Results'!$A$2:$C$101,2,0),0)+IFERROR(VLOOKUP(A495,'#1 IH Results'!$A$2:$C$101,2,0),0)+IFERROR(VLOOKUP(A495,'#0 IH Results'!$A$3:$C$102,2,0),0)</f>
        <v>0</v>
      </c>
    </row>
    <row r="496">
      <c r="B496" s="6">
        <f>IFERROR(VLOOKUP(A496,'#14 IH Results'!$A$2:$C$302,2,0),0)+IFERROR(VLOOKUP(A496,'#13 IH Results'!$A$2:$C$302,2,0),0)+IFERROR(VLOOKUP(A496,'#12 IH Results'!$A$2:$C$302,2,0),0)+IFERROR(VLOOKUP(A496,'#11 IH Results'!$A$2:$C$302,2,0),0)+IFERROR(VLOOKUP(A496,'#10 IH Results'!$A$2:$C$302,2,0),0)+IFERROR(VLOOKUP(A496,'#9 IH Results'!$A$2:$C$302,2,0),0)+IFERROR(VLOOKUP(A496,'#8 IH Results'!$A$2:$C$302,2,0),0)+IFERROR(VLOOKUP(A496,'#7 IH Results'!$A$2:$C$302,2,0),0)+IFERROR(VLOOKUP(A496,'#6 IH Results'!$A$2:$C$302,2,0),0)+IFERROR(VLOOKUP(A496,'#5 IH Results'!$A$2:$C$303,2,0),0)+IFERROR(VLOOKUP(A496,'#4 IH Results'!$A$2:$C$300,2,0),0)+IFERROR(VLOOKUP(A496,'#3 IH Results'!$A$2:$C$101,2,0),0)+IFERROR(VLOOKUP(A496,'#2 IH Results'!$A$2:$C$101,2,0),0)+IFERROR(VLOOKUP(A496,'#1 IH Results'!$A$2:$C$101,2,0),0)+IFERROR(VLOOKUP(A496,'#0 IH Results'!$A$3:$C$102,2,0),0)</f>
        <v>0</v>
      </c>
    </row>
    <row r="497">
      <c r="B497" s="6">
        <f>IFERROR(VLOOKUP(A497,'#14 IH Results'!$A$2:$C$302,2,0),0)+IFERROR(VLOOKUP(A497,'#13 IH Results'!$A$2:$C$302,2,0),0)+IFERROR(VLOOKUP(A497,'#12 IH Results'!$A$2:$C$302,2,0),0)+IFERROR(VLOOKUP(A497,'#11 IH Results'!$A$2:$C$302,2,0),0)+IFERROR(VLOOKUP(A497,'#10 IH Results'!$A$2:$C$302,2,0),0)+IFERROR(VLOOKUP(A497,'#9 IH Results'!$A$2:$C$302,2,0),0)+IFERROR(VLOOKUP(A497,'#8 IH Results'!$A$2:$C$302,2,0),0)+IFERROR(VLOOKUP(A497,'#7 IH Results'!$A$2:$C$302,2,0),0)+IFERROR(VLOOKUP(A497,'#6 IH Results'!$A$2:$C$302,2,0),0)+IFERROR(VLOOKUP(A497,'#5 IH Results'!$A$2:$C$303,2,0),0)+IFERROR(VLOOKUP(A497,'#4 IH Results'!$A$2:$C$300,2,0),0)+IFERROR(VLOOKUP(A497,'#3 IH Results'!$A$2:$C$101,2,0),0)+IFERROR(VLOOKUP(A497,'#2 IH Results'!$A$2:$C$101,2,0),0)+IFERROR(VLOOKUP(A497,'#1 IH Results'!$A$2:$C$101,2,0),0)+IFERROR(VLOOKUP(A497,'#0 IH Results'!$A$3:$C$102,2,0),0)</f>
        <v>0</v>
      </c>
    </row>
    <row r="498">
      <c r="B498" s="6">
        <f>IFERROR(VLOOKUP(A498,'#14 IH Results'!$A$2:$C$302,2,0),0)+IFERROR(VLOOKUP(A498,'#13 IH Results'!$A$2:$C$302,2,0),0)+IFERROR(VLOOKUP(A498,'#12 IH Results'!$A$2:$C$302,2,0),0)+IFERROR(VLOOKUP(A498,'#11 IH Results'!$A$2:$C$302,2,0),0)+IFERROR(VLOOKUP(A498,'#10 IH Results'!$A$2:$C$302,2,0),0)+IFERROR(VLOOKUP(A498,'#9 IH Results'!$A$2:$C$302,2,0),0)+IFERROR(VLOOKUP(A498,'#8 IH Results'!$A$2:$C$302,2,0),0)+IFERROR(VLOOKUP(A498,'#7 IH Results'!$A$2:$C$302,2,0),0)+IFERROR(VLOOKUP(A498,'#6 IH Results'!$A$2:$C$302,2,0),0)+IFERROR(VLOOKUP(A498,'#5 IH Results'!$A$2:$C$303,2,0),0)+IFERROR(VLOOKUP(A498,'#4 IH Results'!$A$2:$C$300,2,0),0)+IFERROR(VLOOKUP(A498,'#3 IH Results'!$A$2:$C$101,2,0),0)+IFERROR(VLOOKUP(A498,'#2 IH Results'!$A$2:$C$101,2,0),0)+IFERROR(VLOOKUP(A498,'#1 IH Results'!$A$2:$C$101,2,0),0)+IFERROR(VLOOKUP(A498,'#0 IH Results'!$A$3:$C$102,2,0),0)</f>
        <v>0</v>
      </c>
    </row>
    <row r="499">
      <c r="B499" s="6">
        <f>IFERROR(VLOOKUP(A499,'#14 IH Results'!$A$2:$C$302,2,0),0)+IFERROR(VLOOKUP(A499,'#13 IH Results'!$A$2:$C$302,2,0),0)+IFERROR(VLOOKUP(A499,'#12 IH Results'!$A$2:$C$302,2,0),0)+IFERROR(VLOOKUP(A499,'#11 IH Results'!$A$2:$C$302,2,0),0)+IFERROR(VLOOKUP(A499,'#10 IH Results'!$A$2:$C$302,2,0),0)+IFERROR(VLOOKUP(A499,'#9 IH Results'!$A$2:$C$302,2,0),0)+IFERROR(VLOOKUP(A499,'#8 IH Results'!$A$2:$C$302,2,0),0)+IFERROR(VLOOKUP(A499,'#7 IH Results'!$A$2:$C$302,2,0),0)+IFERROR(VLOOKUP(A499,'#6 IH Results'!$A$2:$C$302,2,0),0)+IFERROR(VLOOKUP(A499,'#5 IH Results'!$A$2:$C$303,2,0),0)+IFERROR(VLOOKUP(A499,'#4 IH Results'!$A$2:$C$300,2,0),0)+IFERROR(VLOOKUP(A499,'#3 IH Results'!$A$2:$C$101,2,0),0)+IFERROR(VLOOKUP(A499,'#2 IH Results'!$A$2:$C$101,2,0),0)+IFERROR(VLOOKUP(A499,'#1 IH Results'!$A$2:$C$101,2,0),0)+IFERROR(VLOOKUP(A499,'#0 IH Results'!$A$3:$C$102,2,0),0)</f>
        <v>0</v>
      </c>
    </row>
    <row r="500">
      <c r="B500" s="6">
        <f>IFERROR(VLOOKUP(A500,'#14 IH Results'!$A$2:$C$302,2,0),0)+IFERROR(VLOOKUP(A500,'#13 IH Results'!$A$2:$C$302,2,0),0)+IFERROR(VLOOKUP(A500,'#12 IH Results'!$A$2:$C$302,2,0),0)+IFERROR(VLOOKUP(A500,'#11 IH Results'!$A$2:$C$302,2,0),0)+IFERROR(VLOOKUP(A500,'#10 IH Results'!$A$2:$C$302,2,0),0)+IFERROR(VLOOKUP(A500,'#9 IH Results'!$A$2:$C$302,2,0),0)+IFERROR(VLOOKUP(A500,'#8 IH Results'!$A$2:$C$302,2,0),0)+IFERROR(VLOOKUP(A500,'#7 IH Results'!$A$2:$C$302,2,0),0)+IFERROR(VLOOKUP(A500,'#6 IH Results'!$A$2:$C$302,2,0),0)+IFERROR(VLOOKUP(A500,'#5 IH Results'!$A$2:$C$303,2,0),0)+IFERROR(VLOOKUP(A500,'#4 IH Results'!$A$2:$C$300,2,0),0)+IFERROR(VLOOKUP(A500,'#3 IH Results'!$A$2:$C$101,2,0),0)+IFERROR(VLOOKUP(A500,'#2 IH Results'!$A$2:$C$101,2,0),0)+IFERROR(VLOOKUP(A500,'#1 IH Results'!$A$2:$C$101,2,0),0)+IFERROR(VLOOKUP(A500,'#0 IH Results'!$A$3:$C$102,2,0),0)</f>
        <v>0</v>
      </c>
    </row>
    <row r="501">
      <c r="B501" s="6">
        <f>IFERROR(VLOOKUP(A501,'#14 IH Results'!$A$2:$C$302,2,0),0)+IFERROR(VLOOKUP(A501,'#13 IH Results'!$A$2:$C$302,2,0),0)+IFERROR(VLOOKUP(A501,'#12 IH Results'!$A$2:$C$302,2,0),0)+IFERROR(VLOOKUP(A501,'#11 IH Results'!$A$2:$C$302,2,0),0)+IFERROR(VLOOKUP(A501,'#10 IH Results'!$A$2:$C$302,2,0),0)+IFERROR(VLOOKUP(A501,'#9 IH Results'!$A$2:$C$302,2,0),0)+IFERROR(VLOOKUP(A501,'#8 IH Results'!$A$2:$C$302,2,0),0)+IFERROR(VLOOKUP(A501,'#7 IH Results'!$A$2:$C$302,2,0),0)+IFERROR(VLOOKUP(A501,'#6 IH Results'!$A$2:$C$302,2,0),0)+IFERROR(VLOOKUP(A501,'#5 IH Results'!$A$2:$C$303,2,0),0)+IFERROR(VLOOKUP(A501,'#4 IH Results'!$A$2:$C$300,2,0),0)+IFERROR(VLOOKUP(A501,'#3 IH Results'!$A$2:$C$101,2,0),0)+IFERROR(VLOOKUP(A501,'#2 IH Results'!$A$2:$C$101,2,0),0)+IFERROR(VLOOKUP(A501,'#1 IH Results'!$A$2:$C$101,2,0),0)+IFERROR(VLOOKUP(A501,'#0 IH Results'!$A$3:$C$102,2,0),0)</f>
        <v>0</v>
      </c>
    </row>
    <row r="502">
      <c r="B502" s="6">
        <f>IFERROR(VLOOKUP(A502,'#14 IH Results'!$A$2:$C$302,2,0),0)+IFERROR(VLOOKUP(A502,'#13 IH Results'!$A$2:$C$302,2,0),0)+IFERROR(VLOOKUP(A502,'#12 IH Results'!$A$2:$C$302,2,0),0)+IFERROR(VLOOKUP(A502,'#11 IH Results'!$A$2:$C$302,2,0),0)+IFERROR(VLOOKUP(A502,'#10 IH Results'!$A$2:$C$302,2,0),0)+IFERROR(VLOOKUP(A502,'#9 IH Results'!$A$2:$C$302,2,0),0)+IFERROR(VLOOKUP(A502,'#8 IH Results'!$A$2:$C$302,2,0),0)+IFERROR(VLOOKUP(A502,'#7 IH Results'!$A$2:$C$302,2,0),0)+IFERROR(VLOOKUP(A502,'#6 IH Results'!$A$2:$C$302,2,0),0)+IFERROR(VLOOKUP(A502,'#5 IH Results'!$A$2:$C$303,2,0),0)+IFERROR(VLOOKUP(A502,'#4 IH Results'!$A$2:$C$300,2,0),0)+IFERROR(VLOOKUP(A502,'#3 IH Results'!$A$2:$C$101,2,0),0)+IFERROR(VLOOKUP(A502,'#2 IH Results'!$A$2:$C$101,2,0),0)+IFERROR(VLOOKUP(A502,'#1 IH Results'!$A$2:$C$101,2,0),0)+IFERROR(VLOOKUP(A502,'#0 IH Results'!$A$3:$C$102,2,0),0)</f>
        <v>0</v>
      </c>
    </row>
    <row r="503">
      <c r="B503" s="6">
        <f>IFERROR(VLOOKUP(A503,'#14 IH Results'!$A$2:$C$302,2,0),0)+IFERROR(VLOOKUP(A503,'#13 IH Results'!$A$2:$C$302,2,0),0)+IFERROR(VLOOKUP(A503,'#12 IH Results'!$A$2:$C$302,2,0),0)+IFERROR(VLOOKUP(A503,'#11 IH Results'!$A$2:$C$302,2,0),0)+IFERROR(VLOOKUP(A503,'#10 IH Results'!$A$2:$C$302,2,0),0)+IFERROR(VLOOKUP(A503,'#9 IH Results'!$A$2:$C$302,2,0),0)+IFERROR(VLOOKUP(A503,'#8 IH Results'!$A$2:$C$302,2,0),0)+IFERROR(VLOOKUP(A503,'#7 IH Results'!$A$2:$C$302,2,0),0)+IFERROR(VLOOKUP(A503,'#6 IH Results'!$A$2:$C$302,2,0),0)+IFERROR(VLOOKUP(A503,'#5 IH Results'!$A$2:$C$303,2,0),0)+IFERROR(VLOOKUP(A503,'#4 IH Results'!$A$2:$C$300,2,0),0)+IFERROR(VLOOKUP(A503,'#3 IH Results'!$A$2:$C$101,2,0),0)+IFERROR(VLOOKUP(A503,'#2 IH Results'!$A$2:$C$101,2,0),0)+IFERROR(VLOOKUP(A503,'#1 IH Results'!$A$2:$C$101,2,0),0)+IFERROR(VLOOKUP(A503,'#0 IH Results'!$A$3:$C$102,2,0),0)</f>
        <v>0</v>
      </c>
    </row>
    <row r="504">
      <c r="B504" s="6">
        <f>IFERROR(VLOOKUP(A504,'#14 IH Results'!$A$2:$C$302,2,0),0)+IFERROR(VLOOKUP(A504,'#13 IH Results'!$A$2:$C$302,2,0),0)+IFERROR(VLOOKUP(A504,'#12 IH Results'!$A$2:$C$302,2,0),0)+IFERROR(VLOOKUP(A504,'#11 IH Results'!$A$2:$C$302,2,0),0)+IFERROR(VLOOKUP(A504,'#10 IH Results'!$A$2:$C$302,2,0),0)+IFERROR(VLOOKUP(A504,'#9 IH Results'!$A$2:$C$302,2,0),0)+IFERROR(VLOOKUP(A504,'#8 IH Results'!$A$2:$C$302,2,0),0)+IFERROR(VLOOKUP(A504,'#7 IH Results'!$A$2:$C$302,2,0),0)+IFERROR(VLOOKUP(A504,'#6 IH Results'!$A$2:$C$302,2,0),0)+IFERROR(VLOOKUP(A504,'#5 IH Results'!$A$2:$C$303,2,0),0)+IFERROR(VLOOKUP(A504,'#4 IH Results'!$A$2:$C$300,2,0),0)+IFERROR(VLOOKUP(A504,'#3 IH Results'!$A$2:$C$101,2,0),0)+IFERROR(VLOOKUP(A504,'#2 IH Results'!$A$2:$C$101,2,0),0)+IFERROR(VLOOKUP(A504,'#1 IH Results'!$A$2:$C$101,2,0),0)+IFERROR(VLOOKUP(A504,'#0 IH Results'!$A$3:$C$102,2,0),0)</f>
        <v>0</v>
      </c>
    </row>
    <row r="505">
      <c r="B505" s="6">
        <f>IFERROR(VLOOKUP(A505,'#14 IH Results'!$A$2:$C$302,2,0),0)+IFERROR(VLOOKUP(A505,'#13 IH Results'!$A$2:$C$302,2,0),0)+IFERROR(VLOOKUP(A505,'#12 IH Results'!$A$2:$C$302,2,0),0)+IFERROR(VLOOKUP(A505,'#11 IH Results'!$A$2:$C$302,2,0),0)+IFERROR(VLOOKUP(A505,'#10 IH Results'!$A$2:$C$302,2,0),0)+IFERROR(VLOOKUP(A505,'#9 IH Results'!$A$2:$C$302,2,0),0)+IFERROR(VLOOKUP(A505,'#8 IH Results'!$A$2:$C$302,2,0),0)+IFERROR(VLOOKUP(A505,'#7 IH Results'!$A$2:$C$302,2,0),0)+IFERROR(VLOOKUP(A505,'#6 IH Results'!$A$2:$C$302,2,0),0)+IFERROR(VLOOKUP(A505,'#5 IH Results'!$A$2:$C$303,2,0),0)+IFERROR(VLOOKUP(A505,'#4 IH Results'!$A$2:$C$300,2,0),0)+IFERROR(VLOOKUP(A505,'#3 IH Results'!$A$2:$C$101,2,0),0)+IFERROR(VLOOKUP(A505,'#2 IH Results'!$A$2:$C$101,2,0),0)+IFERROR(VLOOKUP(A505,'#1 IH Results'!$A$2:$C$101,2,0),0)+IFERROR(VLOOKUP(A505,'#0 IH Results'!$A$3:$C$102,2,0),0)</f>
        <v>0</v>
      </c>
    </row>
    <row r="506">
      <c r="B506" s="6">
        <f>IFERROR(VLOOKUP(A506,'#14 IH Results'!$A$2:$C$302,2,0),0)+IFERROR(VLOOKUP(A506,'#13 IH Results'!$A$2:$C$302,2,0),0)+IFERROR(VLOOKUP(A506,'#12 IH Results'!$A$2:$C$302,2,0),0)+IFERROR(VLOOKUP(A506,'#11 IH Results'!$A$2:$C$302,2,0),0)+IFERROR(VLOOKUP(A506,'#10 IH Results'!$A$2:$C$302,2,0),0)+IFERROR(VLOOKUP(A506,'#9 IH Results'!$A$2:$C$302,2,0),0)+IFERROR(VLOOKUP(A506,'#8 IH Results'!$A$2:$C$302,2,0),0)+IFERROR(VLOOKUP(A506,'#7 IH Results'!$A$2:$C$302,2,0),0)+IFERROR(VLOOKUP(A506,'#6 IH Results'!$A$2:$C$302,2,0),0)+IFERROR(VLOOKUP(A506,'#5 IH Results'!$A$2:$C$303,2,0),0)+IFERROR(VLOOKUP(A506,'#4 IH Results'!$A$2:$C$300,2,0),0)+IFERROR(VLOOKUP(A506,'#3 IH Results'!$A$2:$C$101,2,0),0)+IFERROR(VLOOKUP(A506,'#2 IH Results'!$A$2:$C$101,2,0),0)+IFERROR(VLOOKUP(A506,'#1 IH Results'!$A$2:$C$101,2,0),0)+IFERROR(VLOOKUP(A506,'#0 IH Results'!$A$3:$C$102,2,0),0)</f>
        <v>0</v>
      </c>
    </row>
    <row r="507">
      <c r="B507" s="6">
        <f>IFERROR(VLOOKUP(A507,'#14 IH Results'!$A$2:$C$302,2,0),0)+IFERROR(VLOOKUP(A507,'#13 IH Results'!$A$2:$C$302,2,0),0)+IFERROR(VLOOKUP(A507,'#12 IH Results'!$A$2:$C$302,2,0),0)+IFERROR(VLOOKUP(A507,'#11 IH Results'!$A$2:$C$302,2,0),0)+IFERROR(VLOOKUP(A507,'#10 IH Results'!$A$2:$C$302,2,0),0)+IFERROR(VLOOKUP(A507,'#9 IH Results'!$A$2:$C$302,2,0),0)+IFERROR(VLOOKUP(A507,'#8 IH Results'!$A$2:$C$302,2,0),0)+IFERROR(VLOOKUP(A507,'#7 IH Results'!$A$2:$C$302,2,0),0)+IFERROR(VLOOKUP(A507,'#6 IH Results'!$A$2:$C$302,2,0),0)+IFERROR(VLOOKUP(A507,'#5 IH Results'!$A$2:$C$303,2,0),0)+IFERROR(VLOOKUP(A507,'#4 IH Results'!$A$2:$C$300,2,0),0)+IFERROR(VLOOKUP(A507,'#3 IH Results'!$A$2:$C$101,2,0),0)+IFERROR(VLOOKUP(A507,'#2 IH Results'!$A$2:$C$101,2,0),0)+IFERROR(VLOOKUP(A507,'#1 IH Results'!$A$2:$C$101,2,0),0)+IFERROR(VLOOKUP(A507,'#0 IH Results'!$A$3:$C$102,2,0),0)</f>
        <v>0</v>
      </c>
    </row>
    <row r="508">
      <c r="B508" s="6">
        <f>IFERROR(VLOOKUP(A508,'#14 IH Results'!$A$2:$C$302,2,0),0)+IFERROR(VLOOKUP(A508,'#13 IH Results'!$A$2:$C$302,2,0),0)+IFERROR(VLOOKUP(A508,'#12 IH Results'!$A$2:$C$302,2,0),0)+IFERROR(VLOOKUP(A508,'#11 IH Results'!$A$2:$C$302,2,0),0)+IFERROR(VLOOKUP(A508,'#10 IH Results'!$A$2:$C$302,2,0),0)+IFERROR(VLOOKUP(A508,'#9 IH Results'!$A$2:$C$302,2,0),0)+IFERROR(VLOOKUP(A508,'#8 IH Results'!$A$2:$C$302,2,0),0)+IFERROR(VLOOKUP(A508,'#7 IH Results'!$A$2:$C$302,2,0),0)+IFERROR(VLOOKUP(A508,'#6 IH Results'!$A$2:$C$302,2,0),0)+IFERROR(VLOOKUP(A508,'#5 IH Results'!$A$2:$C$303,2,0),0)+IFERROR(VLOOKUP(A508,'#4 IH Results'!$A$2:$C$300,2,0),0)+IFERROR(VLOOKUP(A508,'#3 IH Results'!$A$2:$C$101,2,0),0)+IFERROR(VLOOKUP(A508,'#2 IH Results'!$A$2:$C$101,2,0),0)+IFERROR(VLOOKUP(A508,'#1 IH Results'!$A$2:$C$101,2,0),0)+IFERROR(VLOOKUP(A508,'#0 IH Results'!$A$3:$C$102,2,0),0)</f>
        <v>0</v>
      </c>
    </row>
    <row r="509">
      <c r="B509" s="6">
        <f>IFERROR(VLOOKUP(A509,'#14 IH Results'!$A$2:$C$302,2,0),0)+IFERROR(VLOOKUP(A509,'#13 IH Results'!$A$2:$C$302,2,0),0)+IFERROR(VLOOKUP(A509,'#12 IH Results'!$A$2:$C$302,2,0),0)+IFERROR(VLOOKUP(A509,'#11 IH Results'!$A$2:$C$302,2,0),0)+IFERROR(VLOOKUP(A509,'#10 IH Results'!$A$2:$C$302,2,0),0)+IFERROR(VLOOKUP(A509,'#9 IH Results'!$A$2:$C$302,2,0),0)+IFERROR(VLOOKUP(A509,'#8 IH Results'!$A$2:$C$302,2,0),0)+IFERROR(VLOOKUP(A509,'#7 IH Results'!$A$2:$C$302,2,0),0)+IFERROR(VLOOKUP(A509,'#6 IH Results'!$A$2:$C$302,2,0),0)+IFERROR(VLOOKUP(A509,'#5 IH Results'!$A$2:$C$303,2,0),0)+IFERROR(VLOOKUP(A509,'#4 IH Results'!$A$2:$C$300,2,0),0)+IFERROR(VLOOKUP(A509,'#3 IH Results'!$A$2:$C$101,2,0),0)+IFERROR(VLOOKUP(A509,'#2 IH Results'!$A$2:$C$101,2,0),0)+IFERROR(VLOOKUP(A509,'#1 IH Results'!$A$2:$C$101,2,0),0)+IFERROR(VLOOKUP(A509,'#0 IH Results'!$A$3:$C$102,2,0),0)</f>
        <v>0</v>
      </c>
    </row>
    <row r="510">
      <c r="B510" s="6">
        <f>IFERROR(VLOOKUP(A510,'#14 IH Results'!$A$2:$C$302,2,0),0)+IFERROR(VLOOKUP(A510,'#13 IH Results'!$A$2:$C$302,2,0),0)+IFERROR(VLOOKUP(A510,'#12 IH Results'!$A$2:$C$302,2,0),0)+IFERROR(VLOOKUP(A510,'#11 IH Results'!$A$2:$C$302,2,0),0)+IFERROR(VLOOKUP(A510,'#10 IH Results'!$A$2:$C$302,2,0),0)+IFERROR(VLOOKUP(A510,'#9 IH Results'!$A$2:$C$302,2,0),0)+IFERROR(VLOOKUP(A510,'#8 IH Results'!$A$2:$C$302,2,0),0)+IFERROR(VLOOKUP(A510,'#7 IH Results'!$A$2:$C$302,2,0),0)+IFERROR(VLOOKUP(A510,'#6 IH Results'!$A$2:$C$302,2,0),0)+IFERROR(VLOOKUP(A510,'#5 IH Results'!$A$2:$C$303,2,0),0)+IFERROR(VLOOKUP(A510,'#4 IH Results'!$A$2:$C$300,2,0),0)+IFERROR(VLOOKUP(A510,'#3 IH Results'!$A$2:$C$101,2,0),0)+IFERROR(VLOOKUP(A510,'#2 IH Results'!$A$2:$C$101,2,0),0)+IFERROR(VLOOKUP(A510,'#1 IH Results'!$A$2:$C$101,2,0),0)+IFERROR(VLOOKUP(A510,'#0 IH Results'!$A$3:$C$102,2,0),0)</f>
        <v>0</v>
      </c>
    </row>
    <row r="511">
      <c r="B511" s="6">
        <f>IFERROR(VLOOKUP(A511,'#14 IH Results'!$A$2:$C$302,2,0),0)+IFERROR(VLOOKUP(A511,'#13 IH Results'!$A$2:$C$302,2,0),0)+IFERROR(VLOOKUP(A511,'#12 IH Results'!$A$2:$C$302,2,0),0)+IFERROR(VLOOKUP(A511,'#11 IH Results'!$A$2:$C$302,2,0),0)+IFERROR(VLOOKUP(A511,'#10 IH Results'!$A$2:$C$302,2,0),0)+IFERROR(VLOOKUP(A511,'#9 IH Results'!$A$2:$C$302,2,0),0)+IFERROR(VLOOKUP(A511,'#8 IH Results'!$A$2:$C$302,2,0),0)+IFERROR(VLOOKUP(A511,'#7 IH Results'!$A$2:$C$302,2,0),0)+IFERROR(VLOOKUP(A511,'#6 IH Results'!$A$2:$C$302,2,0),0)+IFERROR(VLOOKUP(A511,'#5 IH Results'!$A$2:$C$303,2,0),0)+IFERROR(VLOOKUP(A511,'#4 IH Results'!$A$2:$C$300,2,0),0)+IFERROR(VLOOKUP(A511,'#3 IH Results'!$A$2:$C$101,2,0),0)+IFERROR(VLOOKUP(A511,'#2 IH Results'!$A$2:$C$101,2,0),0)+IFERROR(VLOOKUP(A511,'#1 IH Results'!$A$2:$C$101,2,0),0)+IFERROR(VLOOKUP(A511,'#0 IH Results'!$A$3:$C$102,2,0),0)</f>
        <v>0</v>
      </c>
    </row>
    <row r="512">
      <c r="B512" s="6">
        <f>IFERROR(VLOOKUP(A512,'#14 IH Results'!$A$2:$C$302,2,0),0)+IFERROR(VLOOKUP(A512,'#13 IH Results'!$A$2:$C$302,2,0),0)+IFERROR(VLOOKUP(A512,'#12 IH Results'!$A$2:$C$302,2,0),0)+IFERROR(VLOOKUP(A512,'#11 IH Results'!$A$2:$C$302,2,0),0)+IFERROR(VLOOKUP(A512,'#10 IH Results'!$A$2:$C$302,2,0),0)+IFERROR(VLOOKUP(A512,'#9 IH Results'!$A$2:$C$302,2,0),0)+IFERROR(VLOOKUP(A512,'#8 IH Results'!$A$2:$C$302,2,0),0)+IFERROR(VLOOKUP(A512,'#7 IH Results'!$A$2:$C$302,2,0),0)+IFERROR(VLOOKUP(A512,'#6 IH Results'!$A$2:$C$302,2,0),0)+IFERROR(VLOOKUP(A512,'#5 IH Results'!$A$2:$C$303,2,0),0)+IFERROR(VLOOKUP(A512,'#4 IH Results'!$A$2:$C$300,2,0),0)+IFERROR(VLOOKUP(A512,'#3 IH Results'!$A$2:$C$101,2,0),0)+IFERROR(VLOOKUP(A512,'#2 IH Results'!$A$2:$C$101,2,0),0)+IFERROR(VLOOKUP(A512,'#1 IH Results'!$A$2:$C$101,2,0),0)+IFERROR(VLOOKUP(A512,'#0 IH Results'!$A$3:$C$102,2,0),0)</f>
        <v>0</v>
      </c>
    </row>
    <row r="513">
      <c r="B513" s="6">
        <f>IFERROR(VLOOKUP(A513,'#14 IH Results'!$A$2:$C$302,2,0),0)+IFERROR(VLOOKUP(A513,'#13 IH Results'!$A$2:$C$302,2,0),0)+IFERROR(VLOOKUP(A513,'#12 IH Results'!$A$2:$C$302,2,0),0)+IFERROR(VLOOKUP(A513,'#11 IH Results'!$A$2:$C$302,2,0),0)+IFERROR(VLOOKUP(A513,'#10 IH Results'!$A$2:$C$302,2,0),0)+IFERROR(VLOOKUP(A513,'#9 IH Results'!$A$2:$C$302,2,0),0)+IFERROR(VLOOKUP(A513,'#8 IH Results'!$A$2:$C$302,2,0),0)+IFERROR(VLOOKUP(A513,'#7 IH Results'!$A$2:$C$302,2,0),0)+IFERROR(VLOOKUP(A513,'#6 IH Results'!$A$2:$C$302,2,0),0)+IFERROR(VLOOKUP(A513,'#5 IH Results'!$A$2:$C$303,2,0),0)+IFERROR(VLOOKUP(A513,'#4 IH Results'!$A$2:$C$300,2,0),0)+IFERROR(VLOOKUP(A513,'#3 IH Results'!$A$2:$C$101,2,0),0)+IFERROR(VLOOKUP(A513,'#2 IH Results'!$A$2:$C$101,2,0),0)+IFERROR(VLOOKUP(A513,'#1 IH Results'!$A$2:$C$101,2,0),0)+IFERROR(VLOOKUP(A513,'#0 IH Results'!$A$3:$C$102,2,0),0)</f>
        <v>0</v>
      </c>
    </row>
    <row r="514">
      <c r="B514" s="6">
        <f>IFERROR(VLOOKUP(A514,'#14 IH Results'!$A$2:$C$302,2,0),0)+IFERROR(VLOOKUP(A514,'#13 IH Results'!$A$2:$C$302,2,0),0)+IFERROR(VLOOKUP(A514,'#12 IH Results'!$A$2:$C$302,2,0),0)+IFERROR(VLOOKUP(A514,'#11 IH Results'!$A$2:$C$302,2,0),0)+IFERROR(VLOOKUP(A514,'#10 IH Results'!$A$2:$C$302,2,0),0)+IFERROR(VLOOKUP(A514,'#9 IH Results'!$A$2:$C$302,2,0),0)+IFERROR(VLOOKUP(A514,'#8 IH Results'!$A$2:$C$302,2,0),0)+IFERROR(VLOOKUP(A514,'#7 IH Results'!$A$2:$C$302,2,0),0)+IFERROR(VLOOKUP(A514,'#6 IH Results'!$A$2:$C$302,2,0),0)+IFERROR(VLOOKUP(A514,'#5 IH Results'!$A$2:$C$303,2,0),0)+IFERROR(VLOOKUP(A514,'#4 IH Results'!$A$2:$C$300,2,0),0)+IFERROR(VLOOKUP(A514,'#3 IH Results'!$A$2:$C$101,2,0),0)+IFERROR(VLOOKUP(A514,'#2 IH Results'!$A$2:$C$101,2,0),0)+IFERROR(VLOOKUP(A514,'#1 IH Results'!$A$2:$C$101,2,0),0)+IFERROR(VLOOKUP(A514,'#0 IH Results'!$A$3:$C$102,2,0),0)</f>
        <v>0</v>
      </c>
    </row>
    <row r="515">
      <c r="B515" s="6">
        <f>IFERROR(VLOOKUP(A515,'#14 IH Results'!$A$2:$C$302,2,0),0)+IFERROR(VLOOKUP(A515,'#13 IH Results'!$A$2:$C$302,2,0),0)+IFERROR(VLOOKUP(A515,'#12 IH Results'!$A$2:$C$302,2,0),0)+IFERROR(VLOOKUP(A515,'#11 IH Results'!$A$2:$C$302,2,0),0)+IFERROR(VLOOKUP(A515,'#10 IH Results'!$A$2:$C$302,2,0),0)+IFERROR(VLOOKUP(A515,'#9 IH Results'!$A$2:$C$302,2,0),0)+IFERROR(VLOOKUP(A515,'#8 IH Results'!$A$2:$C$302,2,0),0)+IFERROR(VLOOKUP(A515,'#7 IH Results'!$A$2:$C$302,2,0),0)+IFERROR(VLOOKUP(A515,'#6 IH Results'!$A$2:$C$302,2,0),0)+IFERROR(VLOOKUP(A515,'#5 IH Results'!$A$2:$C$303,2,0),0)+IFERROR(VLOOKUP(A515,'#4 IH Results'!$A$2:$C$300,2,0),0)+IFERROR(VLOOKUP(A515,'#3 IH Results'!$A$2:$C$101,2,0),0)+IFERROR(VLOOKUP(A515,'#2 IH Results'!$A$2:$C$101,2,0),0)+IFERROR(VLOOKUP(A515,'#1 IH Results'!$A$2:$C$101,2,0),0)+IFERROR(VLOOKUP(A515,'#0 IH Results'!$A$3:$C$102,2,0),0)</f>
        <v>0</v>
      </c>
    </row>
    <row r="516">
      <c r="B516" s="6">
        <f>IFERROR(VLOOKUP(A516,'#14 IH Results'!$A$2:$C$302,2,0),0)+IFERROR(VLOOKUP(A516,'#13 IH Results'!$A$2:$C$302,2,0),0)+IFERROR(VLOOKUP(A516,'#12 IH Results'!$A$2:$C$302,2,0),0)+IFERROR(VLOOKUP(A516,'#11 IH Results'!$A$2:$C$302,2,0),0)+IFERROR(VLOOKUP(A516,'#10 IH Results'!$A$2:$C$302,2,0),0)+IFERROR(VLOOKUP(A516,'#9 IH Results'!$A$2:$C$302,2,0),0)+IFERROR(VLOOKUP(A516,'#8 IH Results'!$A$2:$C$302,2,0),0)+IFERROR(VLOOKUP(A516,'#7 IH Results'!$A$2:$C$302,2,0),0)+IFERROR(VLOOKUP(A516,'#6 IH Results'!$A$2:$C$302,2,0),0)+IFERROR(VLOOKUP(A516,'#5 IH Results'!$A$2:$C$303,2,0),0)+IFERROR(VLOOKUP(A516,'#4 IH Results'!$A$2:$C$300,2,0),0)+IFERROR(VLOOKUP(A516,'#3 IH Results'!$A$2:$C$101,2,0),0)+IFERROR(VLOOKUP(A516,'#2 IH Results'!$A$2:$C$101,2,0),0)+IFERROR(VLOOKUP(A516,'#1 IH Results'!$A$2:$C$101,2,0),0)+IFERROR(VLOOKUP(A516,'#0 IH Results'!$A$3:$C$102,2,0),0)</f>
        <v>0</v>
      </c>
    </row>
    <row r="517">
      <c r="B517" s="6">
        <f>IFERROR(VLOOKUP(A517,'#14 IH Results'!$A$2:$C$302,2,0),0)+IFERROR(VLOOKUP(A517,'#13 IH Results'!$A$2:$C$302,2,0),0)+IFERROR(VLOOKUP(A517,'#12 IH Results'!$A$2:$C$302,2,0),0)+IFERROR(VLOOKUP(A517,'#11 IH Results'!$A$2:$C$302,2,0),0)+IFERROR(VLOOKUP(A517,'#10 IH Results'!$A$2:$C$302,2,0),0)+IFERROR(VLOOKUP(A517,'#9 IH Results'!$A$2:$C$302,2,0),0)+IFERROR(VLOOKUP(A517,'#8 IH Results'!$A$2:$C$302,2,0),0)+IFERROR(VLOOKUP(A517,'#7 IH Results'!$A$2:$C$302,2,0),0)+IFERROR(VLOOKUP(A517,'#6 IH Results'!$A$2:$C$302,2,0),0)+IFERROR(VLOOKUP(A517,'#5 IH Results'!$A$2:$C$303,2,0),0)+IFERROR(VLOOKUP(A517,'#4 IH Results'!$A$2:$C$300,2,0),0)+IFERROR(VLOOKUP(A517,'#3 IH Results'!$A$2:$C$101,2,0),0)+IFERROR(VLOOKUP(A517,'#2 IH Results'!$A$2:$C$101,2,0),0)+IFERROR(VLOOKUP(A517,'#1 IH Results'!$A$2:$C$101,2,0),0)+IFERROR(VLOOKUP(A517,'#0 IH Results'!$A$3:$C$102,2,0),0)</f>
        <v>0</v>
      </c>
    </row>
    <row r="518">
      <c r="B518" s="6">
        <f>IFERROR(VLOOKUP(A518,'#14 IH Results'!$A$2:$C$302,2,0),0)+IFERROR(VLOOKUP(A518,'#13 IH Results'!$A$2:$C$302,2,0),0)+IFERROR(VLOOKUP(A518,'#12 IH Results'!$A$2:$C$302,2,0),0)+IFERROR(VLOOKUP(A518,'#11 IH Results'!$A$2:$C$302,2,0),0)+IFERROR(VLOOKUP(A518,'#10 IH Results'!$A$2:$C$302,2,0),0)+IFERROR(VLOOKUP(A518,'#9 IH Results'!$A$2:$C$302,2,0),0)+IFERROR(VLOOKUP(A518,'#8 IH Results'!$A$2:$C$302,2,0),0)+IFERROR(VLOOKUP(A518,'#7 IH Results'!$A$2:$C$302,2,0),0)+IFERROR(VLOOKUP(A518,'#6 IH Results'!$A$2:$C$302,2,0),0)+IFERROR(VLOOKUP(A518,'#5 IH Results'!$A$2:$C$303,2,0),0)+IFERROR(VLOOKUP(A518,'#4 IH Results'!$A$2:$C$300,2,0),0)+IFERROR(VLOOKUP(A518,'#3 IH Results'!$A$2:$C$101,2,0),0)+IFERROR(VLOOKUP(A518,'#2 IH Results'!$A$2:$C$101,2,0),0)+IFERROR(VLOOKUP(A518,'#1 IH Results'!$A$2:$C$101,2,0),0)+IFERROR(VLOOKUP(A518,'#0 IH Results'!$A$3:$C$102,2,0),0)</f>
        <v>0</v>
      </c>
    </row>
    <row r="519">
      <c r="B519" s="6">
        <f>IFERROR(VLOOKUP(A519,'#14 IH Results'!$A$2:$C$302,2,0),0)+IFERROR(VLOOKUP(A519,'#13 IH Results'!$A$2:$C$302,2,0),0)+IFERROR(VLOOKUP(A519,'#12 IH Results'!$A$2:$C$302,2,0),0)+IFERROR(VLOOKUP(A519,'#11 IH Results'!$A$2:$C$302,2,0),0)+IFERROR(VLOOKUP(A519,'#10 IH Results'!$A$2:$C$302,2,0),0)+IFERROR(VLOOKUP(A519,'#9 IH Results'!$A$2:$C$302,2,0),0)+IFERROR(VLOOKUP(A519,'#8 IH Results'!$A$2:$C$302,2,0),0)+IFERROR(VLOOKUP(A519,'#7 IH Results'!$A$2:$C$302,2,0),0)+IFERROR(VLOOKUP(A519,'#6 IH Results'!$A$2:$C$302,2,0),0)+IFERROR(VLOOKUP(A519,'#5 IH Results'!$A$2:$C$303,2,0),0)+IFERROR(VLOOKUP(A519,'#4 IH Results'!$A$2:$C$300,2,0),0)+IFERROR(VLOOKUP(A519,'#3 IH Results'!$A$2:$C$101,2,0),0)+IFERROR(VLOOKUP(A519,'#2 IH Results'!$A$2:$C$101,2,0),0)+IFERROR(VLOOKUP(A519,'#1 IH Results'!$A$2:$C$101,2,0),0)+IFERROR(VLOOKUP(A519,'#0 IH Results'!$A$3:$C$102,2,0),0)</f>
        <v>0</v>
      </c>
    </row>
    <row r="520">
      <c r="B520" s="6">
        <f>IFERROR(VLOOKUP(A520,'#14 IH Results'!$A$2:$C$302,2,0),0)+IFERROR(VLOOKUP(A520,'#13 IH Results'!$A$2:$C$302,2,0),0)+IFERROR(VLOOKUP(A520,'#12 IH Results'!$A$2:$C$302,2,0),0)+IFERROR(VLOOKUP(A520,'#11 IH Results'!$A$2:$C$302,2,0),0)+IFERROR(VLOOKUP(A520,'#10 IH Results'!$A$2:$C$302,2,0),0)+IFERROR(VLOOKUP(A520,'#9 IH Results'!$A$2:$C$302,2,0),0)+IFERROR(VLOOKUP(A520,'#8 IH Results'!$A$2:$C$302,2,0),0)+IFERROR(VLOOKUP(A520,'#7 IH Results'!$A$2:$C$302,2,0),0)+IFERROR(VLOOKUP(A520,'#6 IH Results'!$A$2:$C$302,2,0),0)+IFERROR(VLOOKUP(A520,'#5 IH Results'!$A$2:$C$303,2,0),0)+IFERROR(VLOOKUP(A520,'#4 IH Results'!$A$2:$C$300,2,0),0)+IFERROR(VLOOKUP(A520,'#3 IH Results'!$A$2:$C$101,2,0),0)+IFERROR(VLOOKUP(A520,'#2 IH Results'!$A$2:$C$101,2,0),0)+IFERROR(VLOOKUP(A520,'#1 IH Results'!$A$2:$C$101,2,0),0)+IFERROR(VLOOKUP(A520,'#0 IH Results'!$A$3:$C$102,2,0),0)</f>
        <v>0</v>
      </c>
    </row>
    <row r="521">
      <c r="B521" s="6">
        <f>IFERROR(VLOOKUP(A521,'#14 IH Results'!$A$2:$C$302,2,0),0)+IFERROR(VLOOKUP(A521,'#13 IH Results'!$A$2:$C$302,2,0),0)+IFERROR(VLOOKUP(A521,'#12 IH Results'!$A$2:$C$302,2,0),0)+IFERROR(VLOOKUP(A521,'#11 IH Results'!$A$2:$C$302,2,0),0)+IFERROR(VLOOKUP(A521,'#10 IH Results'!$A$2:$C$302,2,0),0)+IFERROR(VLOOKUP(A521,'#9 IH Results'!$A$2:$C$302,2,0),0)+IFERROR(VLOOKUP(A521,'#8 IH Results'!$A$2:$C$302,2,0),0)+IFERROR(VLOOKUP(A521,'#7 IH Results'!$A$2:$C$302,2,0),0)+IFERROR(VLOOKUP(A521,'#6 IH Results'!$A$2:$C$302,2,0),0)+IFERROR(VLOOKUP(A521,'#5 IH Results'!$A$2:$C$303,2,0),0)+IFERROR(VLOOKUP(A521,'#4 IH Results'!$A$2:$C$300,2,0),0)+IFERROR(VLOOKUP(A521,'#3 IH Results'!$A$2:$C$101,2,0),0)+IFERROR(VLOOKUP(A521,'#2 IH Results'!$A$2:$C$101,2,0),0)+IFERROR(VLOOKUP(A521,'#1 IH Results'!$A$2:$C$101,2,0),0)+IFERROR(VLOOKUP(A521,'#0 IH Results'!$A$3:$C$102,2,0),0)</f>
        <v>0</v>
      </c>
    </row>
    <row r="522">
      <c r="B522" s="6">
        <f>IFERROR(VLOOKUP(A522,'#14 IH Results'!$A$2:$C$302,2,0),0)+IFERROR(VLOOKUP(A522,'#13 IH Results'!$A$2:$C$302,2,0),0)+IFERROR(VLOOKUP(A522,'#12 IH Results'!$A$2:$C$302,2,0),0)+IFERROR(VLOOKUP(A522,'#11 IH Results'!$A$2:$C$302,2,0),0)+IFERROR(VLOOKUP(A522,'#10 IH Results'!$A$2:$C$302,2,0),0)+IFERROR(VLOOKUP(A522,'#9 IH Results'!$A$2:$C$302,2,0),0)+IFERROR(VLOOKUP(A522,'#8 IH Results'!$A$2:$C$302,2,0),0)+IFERROR(VLOOKUP(A522,'#7 IH Results'!$A$2:$C$302,2,0),0)+IFERROR(VLOOKUP(A522,'#6 IH Results'!$A$2:$C$302,2,0),0)+IFERROR(VLOOKUP(A522,'#5 IH Results'!$A$2:$C$303,2,0),0)+IFERROR(VLOOKUP(A522,'#4 IH Results'!$A$2:$C$300,2,0),0)+IFERROR(VLOOKUP(A522,'#3 IH Results'!$A$2:$C$101,2,0),0)+IFERROR(VLOOKUP(A522,'#2 IH Results'!$A$2:$C$101,2,0),0)+IFERROR(VLOOKUP(A522,'#1 IH Results'!$A$2:$C$101,2,0),0)+IFERROR(VLOOKUP(A522,'#0 IH Results'!$A$3:$C$102,2,0),0)</f>
        <v>0</v>
      </c>
    </row>
    <row r="523">
      <c r="B523" s="6">
        <f>IFERROR(VLOOKUP(A523,'#14 IH Results'!$A$2:$C$302,2,0),0)+IFERROR(VLOOKUP(A523,'#13 IH Results'!$A$2:$C$302,2,0),0)+IFERROR(VLOOKUP(A523,'#12 IH Results'!$A$2:$C$302,2,0),0)+IFERROR(VLOOKUP(A523,'#11 IH Results'!$A$2:$C$302,2,0),0)+IFERROR(VLOOKUP(A523,'#10 IH Results'!$A$2:$C$302,2,0),0)+IFERROR(VLOOKUP(A523,'#9 IH Results'!$A$2:$C$302,2,0),0)+IFERROR(VLOOKUP(A523,'#8 IH Results'!$A$2:$C$302,2,0),0)+IFERROR(VLOOKUP(A523,'#7 IH Results'!$A$2:$C$302,2,0),0)+IFERROR(VLOOKUP(A523,'#6 IH Results'!$A$2:$C$302,2,0),0)+IFERROR(VLOOKUP(A523,'#5 IH Results'!$A$2:$C$303,2,0),0)+IFERROR(VLOOKUP(A523,'#4 IH Results'!$A$2:$C$300,2,0),0)+IFERROR(VLOOKUP(A523,'#3 IH Results'!$A$2:$C$101,2,0),0)+IFERROR(VLOOKUP(A523,'#2 IH Results'!$A$2:$C$101,2,0),0)+IFERROR(VLOOKUP(A523,'#1 IH Results'!$A$2:$C$101,2,0),0)+IFERROR(VLOOKUP(A523,'#0 IH Results'!$A$3:$C$102,2,0),0)</f>
        <v>0</v>
      </c>
    </row>
    <row r="524">
      <c r="B524" s="6">
        <f>IFERROR(VLOOKUP(A524,'#14 IH Results'!$A$2:$C$302,2,0),0)+IFERROR(VLOOKUP(A524,'#13 IH Results'!$A$2:$C$302,2,0),0)+IFERROR(VLOOKUP(A524,'#12 IH Results'!$A$2:$C$302,2,0),0)+IFERROR(VLOOKUP(A524,'#11 IH Results'!$A$2:$C$302,2,0),0)+IFERROR(VLOOKUP(A524,'#10 IH Results'!$A$2:$C$302,2,0),0)+IFERROR(VLOOKUP(A524,'#9 IH Results'!$A$2:$C$302,2,0),0)+IFERROR(VLOOKUP(A524,'#8 IH Results'!$A$2:$C$302,2,0),0)+IFERROR(VLOOKUP(A524,'#7 IH Results'!$A$2:$C$302,2,0),0)+IFERROR(VLOOKUP(A524,'#6 IH Results'!$A$2:$C$302,2,0),0)+IFERROR(VLOOKUP(A524,'#5 IH Results'!$A$2:$C$303,2,0),0)+IFERROR(VLOOKUP(A524,'#4 IH Results'!$A$2:$C$300,2,0),0)+IFERROR(VLOOKUP(A524,'#3 IH Results'!$A$2:$C$101,2,0),0)+IFERROR(VLOOKUP(A524,'#2 IH Results'!$A$2:$C$101,2,0),0)+IFERROR(VLOOKUP(A524,'#1 IH Results'!$A$2:$C$101,2,0),0)+IFERROR(VLOOKUP(A524,'#0 IH Results'!$A$3:$C$102,2,0),0)</f>
        <v>0</v>
      </c>
    </row>
    <row r="525">
      <c r="B525" s="6">
        <f>IFERROR(VLOOKUP(A525,'#14 IH Results'!$A$2:$C$302,2,0),0)+IFERROR(VLOOKUP(A525,'#13 IH Results'!$A$2:$C$302,2,0),0)+IFERROR(VLOOKUP(A525,'#12 IH Results'!$A$2:$C$302,2,0),0)+IFERROR(VLOOKUP(A525,'#11 IH Results'!$A$2:$C$302,2,0),0)+IFERROR(VLOOKUP(A525,'#10 IH Results'!$A$2:$C$302,2,0),0)+IFERROR(VLOOKUP(A525,'#9 IH Results'!$A$2:$C$302,2,0),0)+IFERROR(VLOOKUP(A525,'#8 IH Results'!$A$2:$C$302,2,0),0)+IFERROR(VLOOKUP(A525,'#7 IH Results'!$A$2:$C$302,2,0),0)+IFERROR(VLOOKUP(A525,'#6 IH Results'!$A$2:$C$302,2,0),0)+IFERROR(VLOOKUP(A525,'#5 IH Results'!$A$2:$C$303,2,0),0)+IFERROR(VLOOKUP(A525,'#4 IH Results'!$A$2:$C$300,2,0),0)+IFERROR(VLOOKUP(A525,'#3 IH Results'!$A$2:$C$101,2,0),0)+IFERROR(VLOOKUP(A525,'#2 IH Results'!$A$2:$C$101,2,0),0)+IFERROR(VLOOKUP(A525,'#1 IH Results'!$A$2:$C$101,2,0),0)+IFERROR(VLOOKUP(A525,'#0 IH Results'!$A$3:$C$102,2,0),0)</f>
        <v>0</v>
      </c>
    </row>
    <row r="526">
      <c r="B526" s="6">
        <f>IFERROR(VLOOKUP(A526,'#14 IH Results'!$A$2:$C$302,2,0),0)+IFERROR(VLOOKUP(A526,'#13 IH Results'!$A$2:$C$302,2,0),0)+IFERROR(VLOOKUP(A526,'#12 IH Results'!$A$2:$C$302,2,0),0)+IFERROR(VLOOKUP(A526,'#11 IH Results'!$A$2:$C$302,2,0),0)+IFERROR(VLOOKUP(A526,'#10 IH Results'!$A$2:$C$302,2,0),0)+IFERROR(VLOOKUP(A526,'#9 IH Results'!$A$2:$C$302,2,0),0)+IFERROR(VLOOKUP(A526,'#8 IH Results'!$A$2:$C$302,2,0),0)+IFERROR(VLOOKUP(A526,'#7 IH Results'!$A$2:$C$302,2,0),0)+IFERROR(VLOOKUP(A526,'#6 IH Results'!$A$2:$C$302,2,0),0)+IFERROR(VLOOKUP(A526,'#5 IH Results'!$A$2:$C$303,2,0),0)+IFERROR(VLOOKUP(A526,'#4 IH Results'!$A$2:$C$300,2,0),0)+IFERROR(VLOOKUP(A526,'#3 IH Results'!$A$2:$C$101,2,0),0)+IFERROR(VLOOKUP(A526,'#2 IH Results'!$A$2:$C$101,2,0),0)+IFERROR(VLOOKUP(A526,'#1 IH Results'!$A$2:$C$101,2,0),0)+IFERROR(VLOOKUP(A526,'#0 IH Results'!$A$3:$C$102,2,0),0)</f>
        <v>0</v>
      </c>
    </row>
    <row r="527">
      <c r="B527" s="6">
        <f>IFERROR(VLOOKUP(A527,'#14 IH Results'!$A$2:$C$302,2,0),0)+IFERROR(VLOOKUP(A527,'#13 IH Results'!$A$2:$C$302,2,0),0)+IFERROR(VLOOKUP(A527,'#12 IH Results'!$A$2:$C$302,2,0),0)+IFERROR(VLOOKUP(A527,'#11 IH Results'!$A$2:$C$302,2,0),0)+IFERROR(VLOOKUP(A527,'#10 IH Results'!$A$2:$C$302,2,0),0)+IFERROR(VLOOKUP(A527,'#9 IH Results'!$A$2:$C$302,2,0),0)+IFERROR(VLOOKUP(A527,'#8 IH Results'!$A$2:$C$302,2,0),0)+IFERROR(VLOOKUP(A527,'#7 IH Results'!$A$2:$C$302,2,0),0)+IFERROR(VLOOKUP(A527,'#6 IH Results'!$A$2:$C$302,2,0),0)+IFERROR(VLOOKUP(A527,'#5 IH Results'!$A$2:$C$303,2,0),0)+IFERROR(VLOOKUP(A527,'#4 IH Results'!$A$2:$C$300,2,0),0)+IFERROR(VLOOKUP(A527,'#3 IH Results'!$A$2:$C$101,2,0),0)+IFERROR(VLOOKUP(A527,'#2 IH Results'!$A$2:$C$101,2,0),0)+IFERROR(VLOOKUP(A527,'#1 IH Results'!$A$2:$C$101,2,0),0)+IFERROR(VLOOKUP(A527,'#0 IH Results'!$A$3:$C$102,2,0),0)</f>
        <v>0</v>
      </c>
    </row>
    <row r="528">
      <c r="B528" s="6">
        <f>IFERROR(VLOOKUP(A528,'#14 IH Results'!$A$2:$C$302,2,0),0)+IFERROR(VLOOKUP(A528,'#13 IH Results'!$A$2:$C$302,2,0),0)+IFERROR(VLOOKUP(A528,'#12 IH Results'!$A$2:$C$302,2,0),0)+IFERROR(VLOOKUP(A528,'#11 IH Results'!$A$2:$C$302,2,0),0)+IFERROR(VLOOKUP(A528,'#10 IH Results'!$A$2:$C$302,2,0),0)+IFERROR(VLOOKUP(A528,'#9 IH Results'!$A$2:$C$302,2,0),0)+IFERROR(VLOOKUP(A528,'#8 IH Results'!$A$2:$C$302,2,0),0)+IFERROR(VLOOKUP(A528,'#7 IH Results'!$A$2:$C$302,2,0),0)+IFERROR(VLOOKUP(A528,'#6 IH Results'!$A$2:$C$302,2,0),0)+IFERROR(VLOOKUP(A528,'#5 IH Results'!$A$2:$C$303,2,0),0)+IFERROR(VLOOKUP(A528,'#4 IH Results'!$A$2:$C$300,2,0),0)+IFERROR(VLOOKUP(A528,'#3 IH Results'!$A$2:$C$101,2,0),0)+IFERROR(VLOOKUP(A528,'#2 IH Results'!$A$2:$C$101,2,0),0)+IFERROR(VLOOKUP(A528,'#1 IH Results'!$A$2:$C$101,2,0),0)+IFERROR(VLOOKUP(A528,'#0 IH Results'!$A$3:$C$102,2,0),0)</f>
        <v>0</v>
      </c>
    </row>
    <row r="529">
      <c r="B529" s="6">
        <f>IFERROR(VLOOKUP(A529,'#14 IH Results'!$A$2:$C$302,2,0),0)+IFERROR(VLOOKUP(A529,'#13 IH Results'!$A$2:$C$302,2,0),0)+IFERROR(VLOOKUP(A529,'#12 IH Results'!$A$2:$C$302,2,0),0)+IFERROR(VLOOKUP(A529,'#11 IH Results'!$A$2:$C$302,2,0),0)+IFERROR(VLOOKUP(A529,'#10 IH Results'!$A$2:$C$302,2,0),0)+IFERROR(VLOOKUP(A529,'#9 IH Results'!$A$2:$C$302,2,0),0)+IFERROR(VLOOKUP(A529,'#8 IH Results'!$A$2:$C$302,2,0),0)+IFERROR(VLOOKUP(A529,'#7 IH Results'!$A$2:$C$302,2,0),0)+IFERROR(VLOOKUP(A529,'#6 IH Results'!$A$2:$C$302,2,0),0)+IFERROR(VLOOKUP(A529,'#5 IH Results'!$A$2:$C$303,2,0),0)+IFERROR(VLOOKUP(A529,'#4 IH Results'!$A$2:$C$300,2,0),0)+IFERROR(VLOOKUP(A529,'#3 IH Results'!$A$2:$C$101,2,0),0)+IFERROR(VLOOKUP(A529,'#2 IH Results'!$A$2:$C$101,2,0),0)+IFERROR(VLOOKUP(A529,'#1 IH Results'!$A$2:$C$101,2,0),0)+IFERROR(VLOOKUP(A529,'#0 IH Results'!$A$3:$C$102,2,0),0)</f>
        <v>0</v>
      </c>
    </row>
    <row r="530">
      <c r="B530" s="6">
        <f>IFERROR(VLOOKUP(A530,'#14 IH Results'!$A$2:$C$302,2,0),0)+IFERROR(VLOOKUP(A530,'#13 IH Results'!$A$2:$C$302,2,0),0)+IFERROR(VLOOKUP(A530,'#12 IH Results'!$A$2:$C$302,2,0),0)+IFERROR(VLOOKUP(A530,'#11 IH Results'!$A$2:$C$302,2,0),0)+IFERROR(VLOOKUP(A530,'#10 IH Results'!$A$2:$C$302,2,0),0)+IFERROR(VLOOKUP(A530,'#9 IH Results'!$A$2:$C$302,2,0),0)+IFERROR(VLOOKUP(A530,'#8 IH Results'!$A$2:$C$302,2,0),0)+IFERROR(VLOOKUP(A530,'#7 IH Results'!$A$2:$C$302,2,0),0)+IFERROR(VLOOKUP(A530,'#6 IH Results'!$A$2:$C$302,2,0),0)+IFERROR(VLOOKUP(A530,'#5 IH Results'!$A$2:$C$303,2,0),0)+IFERROR(VLOOKUP(A530,'#4 IH Results'!$A$2:$C$300,2,0),0)+IFERROR(VLOOKUP(A530,'#3 IH Results'!$A$2:$C$101,2,0),0)+IFERROR(VLOOKUP(A530,'#2 IH Results'!$A$2:$C$101,2,0),0)+IFERROR(VLOOKUP(A530,'#1 IH Results'!$A$2:$C$101,2,0),0)+IFERROR(VLOOKUP(A530,'#0 IH Results'!$A$3:$C$102,2,0),0)</f>
        <v>0</v>
      </c>
    </row>
    <row r="531">
      <c r="B531" s="6">
        <f>IFERROR(VLOOKUP(A531,'#14 IH Results'!$A$2:$C$302,2,0),0)+IFERROR(VLOOKUP(A531,'#13 IH Results'!$A$2:$C$302,2,0),0)+IFERROR(VLOOKUP(A531,'#12 IH Results'!$A$2:$C$302,2,0),0)+IFERROR(VLOOKUP(A531,'#11 IH Results'!$A$2:$C$302,2,0),0)+IFERROR(VLOOKUP(A531,'#10 IH Results'!$A$2:$C$302,2,0),0)+IFERROR(VLOOKUP(A531,'#9 IH Results'!$A$2:$C$302,2,0),0)+IFERROR(VLOOKUP(A531,'#8 IH Results'!$A$2:$C$302,2,0),0)+IFERROR(VLOOKUP(A531,'#7 IH Results'!$A$2:$C$302,2,0),0)+IFERROR(VLOOKUP(A531,'#6 IH Results'!$A$2:$C$302,2,0),0)+IFERROR(VLOOKUP(A531,'#5 IH Results'!$A$2:$C$303,2,0),0)+IFERROR(VLOOKUP(A531,'#4 IH Results'!$A$2:$C$300,2,0),0)+IFERROR(VLOOKUP(A531,'#3 IH Results'!$A$2:$C$101,2,0),0)+IFERROR(VLOOKUP(A531,'#2 IH Results'!$A$2:$C$101,2,0),0)+IFERROR(VLOOKUP(A531,'#1 IH Results'!$A$2:$C$101,2,0),0)+IFERROR(VLOOKUP(A531,'#0 IH Results'!$A$3:$C$102,2,0),0)</f>
        <v>0</v>
      </c>
    </row>
    <row r="532">
      <c r="B532" s="6">
        <f>IFERROR(VLOOKUP(A532,'#14 IH Results'!$A$2:$C$302,2,0),0)+IFERROR(VLOOKUP(A532,'#13 IH Results'!$A$2:$C$302,2,0),0)+IFERROR(VLOOKUP(A532,'#12 IH Results'!$A$2:$C$302,2,0),0)+IFERROR(VLOOKUP(A532,'#11 IH Results'!$A$2:$C$302,2,0),0)+IFERROR(VLOOKUP(A532,'#10 IH Results'!$A$2:$C$302,2,0),0)+IFERROR(VLOOKUP(A532,'#9 IH Results'!$A$2:$C$302,2,0),0)+IFERROR(VLOOKUP(A532,'#8 IH Results'!$A$2:$C$302,2,0),0)+IFERROR(VLOOKUP(A532,'#7 IH Results'!$A$2:$C$302,2,0),0)+IFERROR(VLOOKUP(A532,'#6 IH Results'!$A$2:$C$302,2,0),0)+IFERROR(VLOOKUP(A532,'#5 IH Results'!$A$2:$C$303,2,0),0)+IFERROR(VLOOKUP(A532,'#4 IH Results'!$A$2:$C$300,2,0),0)+IFERROR(VLOOKUP(A532,'#3 IH Results'!$A$2:$C$101,2,0),0)+IFERROR(VLOOKUP(A532,'#2 IH Results'!$A$2:$C$101,2,0),0)+IFERROR(VLOOKUP(A532,'#1 IH Results'!$A$2:$C$101,2,0),0)+IFERROR(VLOOKUP(A532,'#0 IH Results'!$A$3:$C$102,2,0),0)</f>
        <v>0</v>
      </c>
    </row>
    <row r="533">
      <c r="B533" s="6">
        <f>IFERROR(VLOOKUP(A533,'#14 IH Results'!$A$2:$C$302,2,0),0)+IFERROR(VLOOKUP(A533,'#13 IH Results'!$A$2:$C$302,2,0),0)+IFERROR(VLOOKUP(A533,'#12 IH Results'!$A$2:$C$302,2,0),0)+IFERROR(VLOOKUP(A533,'#11 IH Results'!$A$2:$C$302,2,0),0)+IFERROR(VLOOKUP(A533,'#10 IH Results'!$A$2:$C$302,2,0),0)+IFERROR(VLOOKUP(A533,'#9 IH Results'!$A$2:$C$302,2,0),0)+IFERROR(VLOOKUP(A533,'#8 IH Results'!$A$2:$C$302,2,0),0)+IFERROR(VLOOKUP(A533,'#7 IH Results'!$A$2:$C$302,2,0),0)+IFERROR(VLOOKUP(A533,'#6 IH Results'!$A$2:$C$302,2,0),0)+IFERROR(VLOOKUP(A533,'#5 IH Results'!$A$2:$C$303,2,0),0)+IFERROR(VLOOKUP(A533,'#4 IH Results'!$A$2:$C$300,2,0),0)+IFERROR(VLOOKUP(A533,'#3 IH Results'!$A$2:$C$101,2,0),0)+IFERROR(VLOOKUP(A533,'#2 IH Results'!$A$2:$C$101,2,0),0)+IFERROR(VLOOKUP(A533,'#1 IH Results'!$A$2:$C$101,2,0),0)+IFERROR(VLOOKUP(A533,'#0 IH Results'!$A$3:$C$102,2,0),0)</f>
        <v>0</v>
      </c>
    </row>
    <row r="534">
      <c r="B534" s="6">
        <f>IFERROR(VLOOKUP(A534,'#14 IH Results'!$A$2:$C$302,2,0),0)+IFERROR(VLOOKUP(A534,'#13 IH Results'!$A$2:$C$302,2,0),0)+IFERROR(VLOOKUP(A534,'#12 IH Results'!$A$2:$C$302,2,0),0)+IFERROR(VLOOKUP(A534,'#11 IH Results'!$A$2:$C$302,2,0),0)+IFERROR(VLOOKUP(A534,'#10 IH Results'!$A$2:$C$302,2,0),0)+IFERROR(VLOOKUP(A534,'#9 IH Results'!$A$2:$C$302,2,0),0)+IFERROR(VLOOKUP(A534,'#8 IH Results'!$A$2:$C$302,2,0),0)+IFERROR(VLOOKUP(A534,'#7 IH Results'!$A$2:$C$302,2,0),0)+IFERROR(VLOOKUP(A534,'#6 IH Results'!$A$2:$C$302,2,0),0)+IFERROR(VLOOKUP(A534,'#5 IH Results'!$A$2:$C$303,2,0),0)+IFERROR(VLOOKUP(A534,'#4 IH Results'!$A$2:$C$300,2,0),0)+IFERROR(VLOOKUP(A534,'#3 IH Results'!$A$2:$C$101,2,0),0)+IFERROR(VLOOKUP(A534,'#2 IH Results'!$A$2:$C$101,2,0),0)+IFERROR(VLOOKUP(A534,'#1 IH Results'!$A$2:$C$101,2,0),0)+IFERROR(VLOOKUP(A534,'#0 IH Results'!$A$3:$C$102,2,0),0)</f>
        <v>0</v>
      </c>
    </row>
    <row r="535">
      <c r="B535" s="6">
        <f>IFERROR(VLOOKUP(A535,'#14 IH Results'!$A$2:$C$302,2,0),0)+IFERROR(VLOOKUP(A535,'#13 IH Results'!$A$2:$C$302,2,0),0)+IFERROR(VLOOKUP(A535,'#12 IH Results'!$A$2:$C$302,2,0),0)+IFERROR(VLOOKUP(A535,'#11 IH Results'!$A$2:$C$302,2,0),0)+IFERROR(VLOOKUP(A535,'#10 IH Results'!$A$2:$C$302,2,0),0)+IFERROR(VLOOKUP(A535,'#9 IH Results'!$A$2:$C$302,2,0),0)+IFERROR(VLOOKUP(A535,'#8 IH Results'!$A$2:$C$302,2,0),0)+IFERROR(VLOOKUP(A535,'#7 IH Results'!$A$2:$C$302,2,0),0)+IFERROR(VLOOKUP(A535,'#6 IH Results'!$A$2:$C$302,2,0),0)+IFERROR(VLOOKUP(A535,'#5 IH Results'!$A$2:$C$303,2,0),0)+IFERROR(VLOOKUP(A535,'#4 IH Results'!$A$2:$C$300,2,0),0)+IFERROR(VLOOKUP(A535,'#3 IH Results'!$A$2:$C$101,2,0),0)+IFERROR(VLOOKUP(A535,'#2 IH Results'!$A$2:$C$101,2,0),0)+IFERROR(VLOOKUP(A535,'#1 IH Results'!$A$2:$C$101,2,0),0)+IFERROR(VLOOKUP(A535,'#0 IH Results'!$A$3:$C$102,2,0),0)</f>
        <v>0</v>
      </c>
    </row>
    <row r="536">
      <c r="B536" s="6">
        <f>IFERROR(VLOOKUP(A536,'#14 IH Results'!$A$2:$C$302,2,0),0)+IFERROR(VLOOKUP(A536,'#13 IH Results'!$A$2:$C$302,2,0),0)+IFERROR(VLOOKUP(A536,'#12 IH Results'!$A$2:$C$302,2,0),0)+IFERROR(VLOOKUP(A536,'#11 IH Results'!$A$2:$C$302,2,0),0)+IFERROR(VLOOKUP(A536,'#10 IH Results'!$A$2:$C$302,2,0),0)+IFERROR(VLOOKUP(A536,'#9 IH Results'!$A$2:$C$302,2,0),0)+IFERROR(VLOOKUP(A536,'#8 IH Results'!$A$2:$C$302,2,0),0)+IFERROR(VLOOKUP(A536,'#7 IH Results'!$A$2:$C$302,2,0),0)+IFERROR(VLOOKUP(A536,'#6 IH Results'!$A$2:$C$302,2,0),0)+IFERROR(VLOOKUP(A536,'#5 IH Results'!$A$2:$C$303,2,0),0)+IFERROR(VLOOKUP(A536,'#4 IH Results'!$A$2:$C$300,2,0),0)+IFERROR(VLOOKUP(A536,'#3 IH Results'!$A$2:$C$101,2,0),0)+IFERROR(VLOOKUP(A536,'#2 IH Results'!$A$2:$C$101,2,0),0)+IFERROR(VLOOKUP(A536,'#1 IH Results'!$A$2:$C$101,2,0),0)+IFERROR(VLOOKUP(A536,'#0 IH Results'!$A$3:$C$102,2,0),0)</f>
        <v>0</v>
      </c>
    </row>
    <row r="537">
      <c r="B537" s="6">
        <f>IFERROR(VLOOKUP(A537,'#14 IH Results'!$A$2:$C$302,2,0),0)+IFERROR(VLOOKUP(A537,'#13 IH Results'!$A$2:$C$302,2,0),0)+IFERROR(VLOOKUP(A537,'#12 IH Results'!$A$2:$C$302,2,0),0)+IFERROR(VLOOKUP(A537,'#11 IH Results'!$A$2:$C$302,2,0),0)+IFERROR(VLOOKUP(A537,'#10 IH Results'!$A$2:$C$302,2,0),0)+IFERROR(VLOOKUP(A537,'#9 IH Results'!$A$2:$C$302,2,0),0)+IFERROR(VLOOKUP(A537,'#8 IH Results'!$A$2:$C$302,2,0),0)+IFERROR(VLOOKUP(A537,'#7 IH Results'!$A$2:$C$302,2,0),0)+IFERROR(VLOOKUP(A537,'#6 IH Results'!$A$2:$C$302,2,0),0)+IFERROR(VLOOKUP(A537,'#5 IH Results'!$A$2:$C$303,2,0),0)+IFERROR(VLOOKUP(A537,'#4 IH Results'!$A$2:$C$300,2,0),0)+IFERROR(VLOOKUP(A537,'#3 IH Results'!$A$2:$C$101,2,0),0)+IFERROR(VLOOKUP(A537,'#2 IH Results'!$A$2:$C$101,2,0),0)+IFERROR(VLOOKUP(A537,'#1 IH Results'!$A$2:$C$101,2,0),0)+IFERROR(VLOOKUP(A537,'#0 IH Results'!$A$3:$C$102,2,0),0)</f>
        <v>0</v>
      </c>
    </row>
    <row r="538">
      <c r="B538" s="6">
        <f>IFERROR(VLOOKUP(A538,'#14 IH Results'!$A$2:$C$302,2,0),0)+IFERROR(VLOOKUP(A538,'#13 IH Results'!$A$2:$C$302,2,0),0)+IFERROR(VLOOKUP(A538,'#12 IH Results'!$A$2:$C$302,2,0),0)+IFERROR(VLOOKUP(A538,'#11 IH Results'!$A$2:$C$302,2,0),0)+IFERROR(VLOOKUP(A538,'#10 IH Results'!$A$2:$C$302,2,0),0)+IFERROR(VLOOKUP(A538,'#9 IH Results'!$A$2:$C$302,2,0),0)+IFERROR(VLOOKUP(A538,'#8 IH Results'!$A$2:$C$302,2,0),0)+IFERROR(VLOOKUP(A538,'#7 IH Results'!$A$2:$C$302,2,0),0)+IFERROR(VLOOKUP(A538,'#6 IH Results'!$A$2:$C$302,2,0),0)+IFERROR(VLOOKUP(A538,'#5 IH Results'!$A$2:$C$303,2,0),0)+IFERROR(VLOOKUP(A538,'#4 IH Results'!$A$2:$C$300,2,0),0)+IFERROR(VLOOKUP(A538,'#3 IH Results'!$A$2:$C$101,2,0),0)+IFERROR(VLOOKUP(A538,'#2 IH Results'!$A$2:$C$101,2,0),0)+IFERROR(VLOOKUP(A538,'#1 IH Results'!$A$2:$C$101,2,0),0)+IFERROR(VLOOKUP(A538,'#0 IH Results'!$A$3:$C$102,2,0),0)</f>
        <v>0</v>
      </c>
    </row>
    <row r="539">
      <c r="B539" s="6">
        <f>IFERROR(VLOOKUP(A539,'#14 IH Results'!$A$2:$C$302,2,0),0)+IFERROR(VLOOKUP(A539,'#13 IH Results'!$A$2:$C$302,2,0),0)+IFERROR(VLOOKUP(A539,'#12 IH Results'!$A$2:$C$302,2,0),0)+IFERROR(VLOOKUP(A539,'#11 IH Results'!$A$2:$C$302,2,0),0)+IFERROR(VLOOKUP(A539,'#10 IH Results'!$A$2:$C$302,2,0),0)+IFERROR(VLOOKUP(A539,'#9 IH Results'!$A$2:$C$302,2,0),0)+IFERROR(VLOOKUP(A539,'#8 IH Results'!$A$2:$C$302,2,0),0)+IFERROR(VLOOKUP(A539,'#7 IH Results'!$A$2:$C$302,2,0),0)+IFERROR(VLOOKUP(A539,'#6 IH Results'!$A$2:$C$302,2,0),0)+IFERROR(VLOOKUP(A539,'#5 IH Results'!$A$2:$C$303,2,0),0)+IFERROR(VLOOKUP(A539,'#4 IH Results'!$A$2:$C$300,2,0),0)+IFERROR(VLOOKUP(A539,'#3 IH Results'!$A$2:$C$101,2,0),0)+IFERROR(VLOOKUP(A539,'#2 IH Results'!$A$2:$C$101,2,0),0)+IFERROR(VLOOKUP(A539,'#1 IH Results'!$A$2:$C$101,2,0),0)+IFERROR(VLOOKUP(A539,'#0 IH Results'!$A$3:$C$102,2,0),0)</f>
        <v>0</v>
      </c>
    </row>
    <row r="540">
      <c r="B540" s="6">
        <f>IFERROR(VLOOKUP(A540,'#14 IH Results'!$A$2:$C$302,2,0),0)+IFERROR(VLOOKUP(A540,'#13 IH Results'!$A$2:$C$302,2,0),0)+IFERROR(VLOOKUP(A540,'#12 IH Results'!$A$2:$C$302,2,0),0)+IFERROR(VLOOKUP(A540,'#11 IH Results'!$A$2:$C$302,2,0),0)+IFERROR(VLOOKUP(A540,'#10 IH Results'!$A$2:$C$302,2,0),0)+IFERROR(VLOOKUP(A540,'#9 IH Results'!$A$2:$C$302,2,0),0)+IFERROR(VLOOKUP(A540,'#8 IH Results'!$A$2:$C$302,2,0),0)+IFERROR(VLOOKUP(A540,'#7 IH Results'!$A$2:$C$302,2,0),0)+IFERROR(VLOOKUP(A540,'#6 IH Results'!$A$2:$C$302,2,0),0)+IFERROR(VLOOKUP(A540,'#5 IH Results'!$A$2:$C$303,2,0),0)+IFERROR(VLOOKUP(A540,'#4 IH Results'!$A$2:$C$300,2,0),0)+IFERROR(VLOOKUP(A540,'#3 IH Results'!$A$2:$C$101,2,0),0)+IFERROR(VLOOKUP(A540,'#2 IH Results'!$A$2:$C$101,2,0),0)+IFERROR(VLOOKUP(A540,'#1 IH Results'!$A$2:$C$101,2,0),0)+IFERROR(VLOOKUP(A540,'#0 IH Results'!$A$3:$C$102,2,0),0)</f>
        <v>0</v>
      </c>
    </row>
    <row r="541">
      <c r="B541" s="6">
        <f>IFERROR(VLOOKUP(A541,'#14 IH Results'!$A$2:$C$302,2,0),0)+IFERROR(VLOOKUP(A541,'#13 IH Results'!$A$2:$C$302,2,0),0)+IFERROR(VLOOKUP(A541,'#12 IH Results'!$A$2:$C$302,2,0),0)+IFERROR(VLOOKUP(A541,'#11 IH Results'!$A$2:$C$302,2,0),0)+IFERROR(VLOOKUP(A541,'#10 IH Results'!$A$2:$C$302,2,0),0)+IFERROR(VLOOKUP(A541,'#9 IH Results'!$A$2:$C$302,2,0),0)+IFERROR(VLOOKUP(A541,'#8 IH Results'!$A$2:$C$302,2,0),0)+IFERROR(VLOOKUP(A541,'#7 IH Results'!$A$2:$C$302,2,0),0)+IFERROR(VLOOKUP(A541,'#6 IH Results'!$A$2:$C$302,2,0),0)+IFERROR(VLOOKUP(A541,'#5 IH Results'!$A$2:$C$303,2,0),0)+IFERROR(VLOOKUP(A541,'#4 IH Results'!$A$2:$C$300,2,0),0)+IFERROR(VLOOKUP(A541,'#3 IH Results'!$A$2:$C$101,2,0),0)+IFERROR(VLOOKUP(A541,'#2 IH Results'!$A$2:$C$101,2,0),0)+IFERROR(VLOOKUP(A541,'#1 IH Results'!$A$2:$C$101,2,0),0)+IFERROR(VLOOKUP(A541,'#0 IH Results'!$A$3:$C$102,2,0),0)</f>
        <v>0</v>
      </c>
    </row>
    <row r="542">
      <c r="B542" s="6">
        <f>IFERROR(VLOOKUP(A542,'#14 IH Results'!$A$2:$C$302,2,0),0)+IFERROR(VLOOKUP(A542,'#13 IH Results'!$A$2:$C$302,2,0),0)+IFERROR(VLOOKUP(A542,'#12 IH Results'!$A$2:$C$302,2,0),0)+IFERROR(VLOOKUP(A542,'#11 IH Results'!$A$2:$C$302,2,0),0)+IFERROR(VLOOKUP(A542,'#10 IH Results'!$A$2:$C$302,2,0),0)+IFERROR(VLOOKUP(A542,'#9 IH Results'!$A$2:$C$302,2,0),0)+IFERROR(VLOOKUP(A542,'#8 IH Results'!$A$2:$C$302,2,0),0)+IFERROR(VLOOKUP(A542,'#7 IH Results'!$A$2:$C$302,2,0),0)+IFERROR(VLOOKUP(A542,'#6 IH Results'!$A$2:$C$302,2,0),0)+IFERROR(VLOOKUP(A542,'#5 IH Results'!$A$2:$C$303,2,0),0)+IFERROR(VLOOKUP(A542,'#4 IH Results'!$A$2:$C$300,2,0),0)+IFERROR(VLOOKUP(A542,'#3 IH Results'!$A$2:$C$101,2,0),0)+IFERROR(VLOOKUP(A542,'#2 IH Results'!$A$2:$C$101,2,0),0)+IFERROR(VLOOKUP(A542,'#1 IH Results'!$A$2:$C$101,2,0),0)+IFERROR(VLOOKUP(A542,'#0 IH Results'!$A$3:$C$102,2,0),0)</f>
        <v>0</v>
      </c>
    </row>
    <row r="543">
      <c r="B543" s="6">
        <f>IFERROR(VLOOKUP(A543,'#14 IH Results'!$A$2:$C$302,2,0),0)+IFERROR(VLOOKUP(A543,'#13 IH Results'!$A$2:$C$302,2,0),0)+IFERROR(VLOOKUP(A543,'#12 IH Results'!$A$2:$C$302,2,0),0)+IFERROR(VLOOKUP(A543,'#11 IH Results'!$A$2:$C$302,2,0),0)+IFERROR(VLOOKUP(A543,'#10 IH Results'!$A$2:$C$302,2,0),0)+IFERROR(VLOOKUP(A543,'#9 IH Results'!$A$2:$C$302,2,0),0)+IFERROR(VLOOKUP(A543,'#8 IH Results'!$A$2:$C$302,2,0),0)+IFERROR(VLOOKUP(A543,'#7 IH Results'!$A$2:$C$302,2,0),0)+IFERROR(VLOOKUP(A543,'#6 IH Results'!$A$2:$C$302,2,0),0)+IFERROR(VLOOKUP(A543,'#5 IH Results'!$A$2:$C$303,2,0),0)+IFERROR(VLOOKUP(A543,'#4 IH Results'!$A$2:$C$300,2,0),0)+IFERROR(VLOOKUP(A543,'#3 IH Results'!$A$2:$C$101,2,0),0)+IFERROR(VLOOKUP(A543,'#2 IH Results'!$A$2:$C$101,2,0),0)+IFERROR(VLOOKUP(A543,'#1 IH Results'!$A$2:$C$101,2,0),0)+IFERROR(VLOOKUP(A543,'#0 IH Results'!$A$3:$C$102,2,0),0)</f>
        <v>0</v>
      </c>
    </row>
    <row r="544">
      <c r="B544" s="6">
        <f>IFERROR(VLOOKUP(A544,'#14 IH Results'!$A$2:$C$302,2,0),0)+IFERROR(VLOOKUP(A544,'#13 IH Results'!$A$2:$C$302,2,0),0)+IFERROR(VLOOKUP(A544,'#12 IH Results'!$A$2:$C$302,2,0),0)+IFERROR(VLOOKUP(A544,'#11 IH Results'!$A$2:$C$302,2,0),0)+IFERROR(VLOOKUP(A544,'#10 IH Results'!$A$2:$C$302,2,0),0)+IFERROR(VLOOKUP(A544,'#9 IH Results'!$A$2:$C$302,2,0),0)+IFERROR(VLOOKUP(A544,'#8 IH Results'!$A$2:$C$302,2,0),0)+IFERROR(VLOOKUP(A544,'#7 IH Results'!$A$2:$C$302,2,0),0)+IFERROR(VLOOKUP(A544,'#6 IH Results'!$A$2:$C$302,2,0),0)+IFERROR(VLOOKUP(A544,'#5 IH Results'!$A$2:$C$303,2,0),0)+IFERROR(VLOOKUP(A544,'#4 IH Results'!$A$2:$C$300,2,0),0)+IFERROR(VLOOKUP(A544,'#3 IH Results'!$A$2:$C$101,2,0),0)+IFERROR(VLOOKUP(A544,'#2 IH Results'!$A$2:$C$101,2,0),0)+IFERROR(VLOOKUP(A544,'#1 IH Results'!$A$2:$C$101,2,0),0)+IFERROR(VLOOKUP(A544,'#0 IH Results'!$A$3:$C$102,2,0),0)</f>
        <v>0</v>
      </c>
    </row>
    <row r="545">
      <c r="B545" s="6">
        <f>IFERROR(VLOOKUP(A545,'#14 IH Results'!$A$2:$C$302,2,0),0)+IFERROR(VLOOKUP(A545,'#13 IH Results'!$A$2:$C$302,2,0),0)+IFERROR(VLOOKUP(A545,'#12 IH Results'!$A$2:$C$302,2,0),0)+IFERROR(VLOOKUP(A545,'#11 IH Results'!$A$2:$C$302,2,0),0)+IFERROR(VLOOKUP(A545,'#10 IH Results'!$A$2:$C$302,2,0),0)+IFERROR(VLOOKUP(A545,'#9 IH Results'!$A$2:$C$302,2,0),0)+IFERROR(VLOOKUP(A545,'#8 IH Results'!$A$2:$C$302,2,0),0)+IFERROR(VLOOKUP(A545,'#7 IH Results'!$A$2:$C$302,2,0),0)+IFERROR(VLOOKUP(A545,'#6 IH Results'!$A$2:$C$302,2,0),0)+IFERROR(VLOOKUP(A545,'#5 IH Results'!$A$2:$C$303,2,0),0)+IFERROR(VLOOKUP(A545,'#4 IH Results'!$A$2:$C$300,2,0),0)+IFERROR(VLOOKUP(A545,'#3 IH Results'!$A$2:$C$101,2,0),0)+IFERROR(VLOOKUP(A545,'#2 IH Results'!$A$2:$C$101,2,0),0)+IFERROR(VLOOKUP(A545,'#1 IH Results'!$A$2:$C$101,2,0),0)+IFERROR(VLOOKUP(A545,'#0 IH Results'!$A$3:$C$102,2,0),0)</f>
        <v>0</v>
      </c>
    </row>
    <row r="546">
      <c r="B546" s="6">
        <f>IFERROR(VLOOKUP(A546,'#14 IH Results'!$A$2:$C$302,2,0),0)+IFERROR(VLOOKUP(A546,'#13 IH Results'!$A$2:$C$302,2,0),0)+IFERROR(VLOOKUP(A546,'#12 IH Results'!$A$2:$C$302,2,0),0)+IFERROR(VLOOKUP(A546,'#11 IH Results'!$A$2:$C$302,2,0),0)+IFERROR(VLOOKUP(A546,'#10 IH Results'!$A$2:$C$302,2,0),0)+IFERROR(VLOOKUP(A546,'#9 IH Results'!$A$2:$C$302,2,0),0)+IFERROR(VLOOKUP(A546,'#8 IH Results'!$A$2:$C$302,2,0),0)+IFERROR(VLOOKUP(A546,'#7 IH Results'!$A$2:$C$302,2,0),0)+IFERROR(VLOOKUP(A546,'#6 IH Results'!$A$2:$C$302,2,0),0)+IFERROR(VLOOKUP(A546,'#5 IH Results'!$A$2:$C$303,2,0),0)+IFERROR(VLOOKUP(A546,'#4 IH Results'!$A$2:$C$300,2,0),0)+IFERROR(VLOOKUP(A546,'#3 IH Results'!$A$2:$C$101,2,0),0)+IFERROR(VLOOKUP(A546,'#2 IH Results'!$A$2:$C$101,2,0),0)+IFERROR(VLOOKUP(A546,'#1 IH Results'!$A$2:$C$101,2,0),0)+IFERROR(VLOOKUP(A546,'#0 IH Results'!$A$3:$C$102,2,0),0)</f>
        <v>0</v>
      </c>
    </row>
    <row r="547">
      <c r="A547" s="16"/>
      <c r="B547" s="6"/>
    </row>
    <row r="548">
      <c r="A548" s="16"/>
      <c r="B548" s="6"/>
    </row>
    <row r="549">
      <c r="A549" s="16"/>
      <c r="B549" s="6"/>
    </row>
    <row r="550">
      <c r="B550" s="6"/>
    </row>
    <row r="551">
      <c r="B551" s="6"/>
    </row>
    <row r="552">
      <c r="B552" s="6"/>
    </row>
    <row r="553">
      <c r="B553" s="6"/>
    </row>
    <row r="554">
      <c r="B554" s="6"/>
    </row>
    <row r="555">
      <c r="B555" s="6"/>
    </row>
    <row r="556">
      <c r="B556" s="6"/>
    </row>
    <row r="557">
      <c r="B557" s="6"/>
    </row>
    <row r="558">
      <c r="B558" s="6"/>
    </row>
    <row r="559">
      <c r="B559" s="6"/>
    </row>
    <row r="560">
      <c r="B560" s="6"/>
    </row>
    <row r="561">
      <c r="B561" s="6"/>
    </row>
    <row r="562">
      <c r="B562" s="6"/>
    </row>
    <row r="563">
      <c r="B563" s="6"/>
    </row>
    <row r="564">
      <c r="B564" s="6"/>
    </row>
    <row r="565">
      <c r="B565" s="6"/>
    </row>
    <row r="566">
      <c r="B566" s="6"/>
    </row>
    <row r="567">
      <c r="B567" s="6"/>
    </row>
    <row r="568">
      <c r="B568" s="6"/>
    </row>
    <row r="569">
      <c r="B569" s="6"/>
    </row>
    <row r="570">
      <c r="B570" s="6"/>
    </row>
    <row r="571">
      <c r="B571" s="6"/>
    </row>
    <row r="572">
      <c r="B572" s="6"/>
    </row>
    <row r="573">
      <c r="B573" s="6"/>
    </row>
    <row r="574">
      <c r="B574" s="6"/>
    </row>
    <row r="575">
      <c r="B575" s="6"/>
    </row>
    <row r="576">
      <c r="B576" s="6"/>
    </row>
    <row r="577">
      <c r="B577" s="6"/>
    </row>
    <row r="578">
      <c r="B578" s="6"/>
    </row>
    <row r="579">
      <c r="B579" s="6"/>
    </row>
    <row r="580">
      <c r="B580" s="6"/>
    </row>
    <row r="581">
      <c r="B581" s="6"/>
    </row>
    <row r="582">
      <c r="B582" s="6"/>
    </row>
    <row r="583">
      <c r="B583" s="6"/>
    </row>
    <row r="584">
      <c r="B584" s="6"/>
    </row>
    <row r="585">
      <c r="B585" s="6"/>
    </row>
    <row r="586">
      <c r="B586" s="6"/>
    </row>
    <row r="587">
      <c r="B587" s="6"/>
    </row>
    <row r="588">
      <c r="B588" s="6"/>
    </row>
    <row r="589">
      <c r="B589" s="6"/>
    </row>
    <row r="590">
      <c r="B590" s="6"/>
    </row>
    <row r="591">
      <c r="B591" s="6"/>
    </row>
    <row r="592">
      <c r="B592" s="6"/>
    </row>
    <row r="593">
      <c r="B593" s="6"/>
    </row>
    <row r="594">
      <c r="B594" s="6"/>
    </row>
    <row r="595">
      <c r="B595" s="6"/>
    </row>
    <row r="596">
      <c r="B596" s="6"/>
    </row>
    <row r="597">
      <c r="B597" s="6"/>
    </row>
    <row r="598">
      <c r="B598" s="6"/>
    </row>
    <row r="599">
      <c r="B599" s="6"/>
    </row>
    <row r="600">
      <c r="B600" s="6"/>
    </row>
    <row r="601">
      <c r="B601" s="6"/>
    </row>
    <row r="602">
      <c r="B602" s="6"/>
    </row>
    <row r="603">
      <c r="B603" s="6"/>
    </row>
    <row r="604">
      <c r="B604" s="6"/>
    </row>
    <row r="605">
      <c r="B605" s="6"/>
    </row>
    <row r="606">
      <c r="B606" s="6"/>
    </row>
    <row r="607">
      <c r="B607" s="6"/>
    </row>
    <row r="608">
      <c r="B608" s="6"/>
    </row>
    <row r="609">
      <c r="B609" s="6"/>
    </row>
    <row r="610">
      <c r="B610" s="6"/>
    </row>
    <row r="611">
      <c r="B611" s="6"/>
    </row>
    <row r="612">
      <c r="B612" s="6"/>
    </row>
    <row r="613">
      <c r="B613" s="6"/>
    </row>
    <row r="614">
      <c r="B614" s="6"/>
    </row>
    <row r="615">
      <c r="B615" s="6"/>
    </row>
    <row r="616">
      <c r="B616" s="6"/>
    </row>
    <row r="617">
      <c r="B617" s="6"/>
    </row>
    <row r="618">
      <c r="B618" s="6"/>
    </row>
    <row r="619">
      <c r="B619" s="6"/>
    </row>
    <row r="620">
      <c r="B620" s="6"/>
    </row>
    <row r="621">
      <c r="B621" s="6"/>
    </row>
    <row r="622">
      <c r="B622" s="6"/>
    </row>
    <row r="623">
      <c r="B623" s="6"/>
    </row>
    <row r="624">
      <c r="B624" s="6"/>
    </row>
    <row r="625">
      <c r="B625" s="6"/>
    </row>
    <row r="626">
      <c r="B626" s="6"/>
    </row>
    <row r="627">
      <c r="B627" s="6"/>
    </row>
    <row r="628">
      <c r="B628" s="6"/>
    </row>
    <row r="629">
      <c r="B629" s="6"/>
    </row>
    <row r="630">
      <c r="B630" s="6"/>
    </row>
    <row r="631">
      <c r="B631" s="6"/>
    </row>
    <row r="632">
      <c r="B632" s="6"/>
    </row>
    <row r="633">
      <c r="B633" s="6"/>
    </row>
    <row r="634">
      <c r="B634" s="6"/>
    </row>
    <row r="635">
      <c r="B635" s="6"/>
    </row>
    <row r="636">
      <c r="B636" s="6"/>
    </row>
    <row r="637">
      <c r="B637" s="6"/>
    </row>
    <row r="638">
      <c r="B638" s="6"/>
    </row>
    <row r="639">
      <c r="B639" s="6"/>
    </row>
    <row r="640">
      <c r="B640" s="6"/>
    </row>
    <row r="641">
      <c r="B641" s="6"/>
    </row>
    <row r="642">
      <c r="B642" s="6"/>
    </row>
    <row r="643">
      <c r="B643" s="6"/>
    </row>
    <row r="644">
      <c r="B644" s="6"/>
    </row>
    <row r="645">
      <c r="B645" s="6"/>
    </row>
    <row r="646">
      <c r="B646" s="6"/>
    </row>
    <row r="647">
      <c r="B647" s="6"/>
    </row>
    <row r="648">
      <c r="B648" s="6"/>
    </row>
    <row r="649">
      <c r="B649" s="6"/>
    </row>
    <row r="650">
      <c r="B650" s="6"/>
    </row>
    <row r="651">
      <c r="B651" s="6"/>
    </row>
    <row r="652">
      <c r="B652" s="6"/>
    </row>
    <row r="653">
      <c r="B653" s="6"/>
    </row>
    <row r="654">
      <c r="B654" s="6"/>
    </row>
    <row r="655">
      <c r="B655" s="6"/>
    </row>
    <row r="656">
      <c r="B656" s="6"/>
    </row>
    <row r="657">
      <c r="B657" s="6"/>
    </row>
    <row r="658">
      <c r="B658" s="6"/>
    </row>
    <row r="659">
      <c r="B659" s="6"/>
    </row>
    <row r="660">
      <c r="B660" s="6"/>
    </row>
    <row r="661">
      <c r="B661" s="6"/>
    </row>
    <row r="662">
      <c r="B662" s="6"/>
    </row>
    <row r="663">
      <c r="B663" s="6"/>
    </row>
    <row r="664">
      <c r="B664" s="6"/>
    </row>
    <row r="665">
      <c r="B665" s="6"/>
    </row>
    <row r="666">
      <c r="B666" s="6"/>
    </row>
    <row r="667">
      <c r="B667" s="6"/>
    </row>
    <row r="668">
      <c r="B668" s="6"/>
    </row>
    <row r="669">
      <c r="B669" s="6"/>
    </row>
    <row r="670">
      <c r="B670" s="6"/>
    </row>
    <row r="671">
      <c r="B671" s="6"/>
    </row>
    <row r="672">
      <c r="B672" s="6"/>
    </row>
    <row r="673">
      <c r="B673" s="6"/>
    </row>
    <row r="674">
      <c r="B674" s="6"/>
    </row>
    <row r="675">
      <c r="B675" s="6"/>
    </row>
    <row r="676">
      <c r="B676" s="6"/>
    </row>
    <row r="677">
      <c r="B677" s="6"/>
    </row>
    <row r="678">
      <c r="B678" s="6"/>
    </row>
    <row r="679">
      <c r="B679" s="6"/>
    </row>
    <row r="680">
      <c r="B680" s="6"/>
    </row>
    <row r="681">
      <c r="B681" s="6"/>
    </row>
    <row r="682">
      <c r="B682" s="6"/>
    </row>
    <row r="683">
      <c r="B683" s="6"/>
    </row>
    <row r="684">
      <c r="B684" s="6"/>
    </row>
    <row r="685">
      <c r="B685" s="6"/>
    </row>
    <row r="686">
      <c r="B686" s="6"/>
    </row>
    <row r="687">
      <c r="B687" s="6"/>
    </row>
    <row r="688">
      <c r="B688" s="6"/>
    </row>
    <row r="689">
      <c r="B689" s="6"/>
    </row>
    <row r="690">
      <c r="B690" s="6"/>
    </row>
    <row r="691">
      <c r="B691" s="6"/>
    </row>
    <row r="692">
      <c r="B692" s="6"/>
    </row>
    <row r="693">
      <c r="B693" s="6"/>
    </row>
    <row r="694">
      <c r="B694" s="6"/>
    </row>
    <row r="695">
      <c r="B695" s="6"/>
    </row>
    <row r="696">
      <c r="B696" s="6"/>
    </row>
    <row r="697">
      <c r="B697" s="6"/>
    </row>
    <row r="698">
      <c r="B698" s="6"/>
    </row>
    <row r="699">
      <c r="B699" s="6"/>
    </row>
    <row r="700">
      <c r="B700" s="6"/>
    </row>
    <row r="701">
      <c r="B701" s="6"/>
    </row>
    <row r="702">
      <c r="B702" s="6"/>
    </row>
    <row r="703">
      <c r="B703" s="6"/>
    </row>
    <row r="704">
      <c r="B704" s="6"/>
    </row>
    <row r="705">
      <c r="B705" s="6"/>
    </row>
    <row r="706">
      <c r="B706" s="6"/>
    </row>
    <row r="707">
      <c r="B707" s="6"/>
    </row>
    <row r="708">
      <c r="B708" s="6"/>
    </row>
    <row r="709">
      <c r="B709" s="6"/>
    </row>
    <row r="710">
      <c r="B710" s="6"/>
    </row>
    <row r="711">
      <c r="B711" s="6"/>
    </row>
    <row r="712">
      <c r="B712" s="6"/>
    </row>
    <row r="713">
      <c r="B713" s="6"/>
    </row>
    <row r="714">
      <c r="B714" s="6"/>
    </row>
    <row r="715">
      <c r="B715" s="6"/>
    </row>
    <row r="716">
      <c r="B716" s="6"/>
    </row>
    <row r="717">
      <c r="B717" s="6"/>
    </row>
    <row r="718">
      <c r="B718" s="6"/>
    </row>
    <row r="719">
      <c r="B719" s="6"/>
    </row>
    <row r="720">
      <c r="B720" s="6"/>
    </row>
    <row r="721">
      <c r="B721" s="6"/>
    </row>
    <row r="722">
      <c r="B722" s="6"/>
    </row>
    <row r="723">
      <c r="B723" s="6"/>
    </row>
    <row r="724">
      <c r="B724" s="6"/>
    </row>
    <row r="725">
      <c r="B725" s="6"/>
    </row>
    <row r="726">
      <c r="B726" s="6"/>
    </row>
    <row r="727">
      <c r="B727" s="6"/>
    </row>
    <row r="728">
      <c r="B728" s="6"/>
    </row>
    <row r="729">
      <c r="B729" s="6"/>
    </row>
    <row r="730">
      <c r="B730" s="6"/>
    </row>
    <row r="731">
      <c r="B731" s="6"/>
    </row>
    <row r="732">
      <c r="B732" s="6"/>
    </row>
    <row r="733">
      <c r="B733" s="6"/>
    </row>
    <row r="734">
      <c r="B734" s="6"/>
    </row>
    <row r="735">
      <c r="B735" s="6"/>
    </row>
    <row r="736">
      <c r="B736" s="6"/>
    </row>
    <row r="737">
      <c r="B737" s="6"/>
    </row>
    <row r="738">
      <c r="B738" s="6"/>
    </row>
    <row r="739">
      <c r="B739" s="6"/>
    </row>
    <row r="740">
      <c r="B740" s="6"/>
    </row>
    <row r="741">
      <c r="B741" s="6"/>
    </row>
    <row r="742">
      <c r="B742" s="6"/>
    </row>
    <row r="743">
      <c r="B743" s="6"/>
    </row>
    <row r="744">
      <c r="B744" s="6"/>
    </row>
    <row r="745">
      <c r="B745" s="6"/>
    </row>
    <row r="746">
      <c r="B746" s="6"/>
    </row>
    <row r="747">
      <c r="B747" s="6"/>
    </row>
    <row r="748">
      <c r="B748" s="6"/>
    </row>
    <row r="749">
      <c r="B749" s="6"/>
    </row>
    <row r="750">
      <c r="B750" s="6"/>
    </row>
    <row r="751">
      <c r="B751" s="6"/>
    </row>
    <row r="752">
      <c r="B752" s="6"/>
    </row>
    <row r="753">
      <c r="B753" s="6"/>
    </row>
    <row r="754">
      <c r="B754" s="6"/>
    </row>
    <row r="755">
      <c r="B755" s="6"/>
    </row>
    <row r="756">
      <c r="B756" s="6"/>
    </row>
    <row r="757">
      <c r="B757" s="6"/>
    </row>
    <row r="758">
      <c r="B758" s="6"/>
    </row>
    <row r="759">
      <c r="B759" s="6"/>
    </row>
    <row r="760">
      <c r="B760" s="6"/>
    </row>
    <row r="761">
      <c r="B761" s="6"/>
    </row>
    <row r="762">
      <c r="B762" s="6"/>
    </row>
    <row r="763">
      <c r="B763" s="6"/>
    </row>
    <row r="764">
      <c r="B764" s="6"/>
    </row>
    <row r="765">
      <c r="B765" s="6"/>
    </row>
    <row r="766">
      <c r="B766" s="6"/>
    </row>
    <row r="767">
      <c r="B767" s="6"/>
    </row>
    <row r="768">
      <c r="B768" s="6"/>
    </row>
    <row r="769">
      <c r="B769" s="6"/>
    </row>
    <row r="770">
      <c r="B770" s="6"/>
    </row>
    <row r="771">
      <c r="B771" s="6"/>
    </row>
    <row r="772">
      <c r="B772" s="6"/>
    </row>
    <row r="773">
      <c r="B773" s="6"/>
    </row>
    <row r="774">
      <c r="B774" s="6"/>
    </row>
    <row r="775">
      <c r="B775" s="6"/>
    </row>
    <row r="776">
      <c r="B776" s="6"/>
    </row>
    <row r="777">
      <c r="B777" s="6"/>
    </row>
    <row r="778">
      <c r="B778" s="6"/>
    </row>
    <row r="779">
      <c r="B779" s="6"/>
    </row>
    <row r="780">
      <c r="B780" s="6"/>
    </row>
    <row r="781">
      <c r="B781" s="6"/>
    </row>
    <row r="782">
      <c r="B782" s="6"/>
    </row>
    <row r="783">
      <c r="B783" s="6"/>
    </row>
    <row r="784">
      <c r="B784" s="6"/>
    </row>
    <row r="785">
      <c r="B785" s="6"/>
    </row>
    <row r="786">
      <c r="B786" s="6"/>
    </row>
    <row r="787">
      <c r="B787" s="6"/>
    </row>
    <row r="788">
      <c r="B788" s="6"/>
    </row>
    <row r="789">
      <c r="B789" s="6"/>
    </row>
    <row r="790">
      <c r="B790" s="6"/>
    </row>
    <row r="791">
      <c r="B791" s="6"/>
    </row>
    <row r="792">
      <c r="B792" s="6"/>
    </row>
    <row r="793">
      <c r="B793" s="6"/>
    </row>
    <row r="794">
      <c r="B794" s="6"/>
    </row>
    <row r="795">
      <c r="B795" s="6"/>
    </row>
    <row r="796">
      <c r="B796" s="6"/>
    </row>
    <row r="797">
      <c r="B797" s="6"/>
    </row>
    <row r="798">
      <c r="B798" s="6"/>
    </row>
    <row r="799">
      <c r="B799" s="6"/>
    </row>
    <row r="800">
      <c r="B800" s="6"/>
    </row>
    <row r="801">
      <c r="B801" s="6"/>
    </row>
    <row r="802">
      <c r="B802" s="6"/>
    </row>
    <row r="803">
      <c r="B803" s="6"/>
    </row>
    <row r="804">
      <c r="B804" s="6"/>
    </row>
    <row r="805">
      <c r="B805" s="6"/>
    </row>
    <row r="806">
      <c r="B806" s="6"/>
    </row>
    <row r="807">
      <c r="B807" s="6"/>
    </row>
    <row r="808">
      <c r="B808" s="6"/>
    </row>
    <row r="809">
      <c r="B809" s="6"/>
    </row>
    <row r="810">
      <c r="B810" s="6"/>
    </row>
    <row r="811">
      <c r="B811" s="6"/>
    </row>
    <row r="812">
      <c r="B812" s="6"/>
    </row>
    <row r="813">
      <c r="B813" s="6"/>
    </row>
    <row r="814">
      <c r="B814" s="6"/>
    </row>
    <row r="815">
      <c r="B815" s="6"/>
    </row>
    <row r="816">
      <c r="B816" s="6"/>
    </row>
    <row r="817">
      <c r="B817" s="6"/>
    </row>
    <row r="818">
      <c r="B818" s="6"/>
    </row>
    <row r="819">
      <c r="B819" s="6"/>
    </row>
    <row r="820">
      <c r="B820" s="6"/>
    </row>
    <row r="821">
      <c r="B821" s="6"/>
    </row>
    <row r="822">
      <c r="B822" s="6"/>
    </row>
    <row r="823">
      <c r="B823" s="6"/>
    </row>
    <row r="824">
      <c r="B824" s="6"/>
    </row>
    <row r="825">
      <c r="B825" s="6"/>
    </row>
    <row r="826">
      <c r="B826" s="6"/>
    </row>
    <row r="827">
      <c r="B827" s="6"/>
    </row>
    <row r="828">
      <c r="B828" s="6"/>
    </row>
    <row r="829">
      <c r="B829" s="6"/>
    </row>
    <row r="830">
      <c r="B830" s="6"/>
    </row>
    <row r="831">
      <c r="B831" s="6"/>
    </row>
    <row r="832">
      <c r="B832" s="6"/>
    </row>
    <row r="833">
      <c r="B833" s="6"/>
    </row>
    <row r="834">
      <c r="B834" s="6"/>
    </row>
    <row r="835">
      <c r="B835" s="6"/>
    </row>
    <row r="836">
      <c r="B836" s="6"/>
    </row>
    <row r="837">
      <c r="B837" s="6"/>
    </row>
    <row r="838">
      <c r="B838" s="6"/>
    </row>
    <row r="839">
      <c r="B839" s="6"/>
    </row>
    <row r="840">
      <c r="B840" s="6"/>
    </row>
    <row r="841">
      <c r="B841" s="6"/>
    </row>
    <row r="842">
      <c r="B842" s="6"/>
    </row>
    <row r="843">
      <c r="B843" s="6"/>
    </row>
    <row r="844">
      <c r="B844" s="6"/>
    </row>
    <row r="845">
      <c r="B845" s="6"/>
    </row>
    <row r="846">
      <c r="B846" s="6"/>
    </row>
    <row r="847">
      <c r="B847" s="6"/>
    </row>
    <row r="848">
      <c r="B848" s="6"/>
    </row>
    <row r="849">
      <c r="B849" s="6"/>
    </row>
    <row r="850">
      <c r="B850" s="6"/>
    </row>
    <row r="851">
      <c r="B851" s="6"/>
    </row>
    <row r="852">
      <c r="B852" s="6"/>
    </row>
    <row r="853">
      <c r="B853" s="6"/>
    </row>
    <row r="854">
      <c r="B854" s="6"/>
    </row>
    <row r="855">
      <c r="B855" s="6"/>
    </row>
    <row r="856">
      <c r="B856" s="6"/>
    </row>
    <row r="857">
      <c r="B857" s="6"/>
    </row>
    <row r="858">
      <c r="B858" s="6"/>
    </row>
    <row r="859">
      <c r="B859" s="6"/>
    </row>
    <row r="860">
      <c r="B860" s="6"/>
    </row>
    <row r="861">
      <c r="B861" s="6"/>
    </row>
    <row r="862">
      <c r="B862" s="6"/>
    </row>
    <row r="863">
      <c r="B863" s="6"/>
    </row>
    <row r="864">
      <c r="B864" s="6"/>
    </row>
    <row r="865">
      <c r="B865" s="6"/>
    </row>
    <row r="866">
      <c r="B866" s="6"/>
    </row>
    <row r="867">
      <c r="B867" s="6"/>
    </row>
    <row r="868">
      <c r="B868" s="6"/>
    </row>
    <row r="869">
      <c r="B869" s="6"/>
    </row>
    <row r="870">
      <c r="B870" s="6"/>
    </row>
    <row r="871">
      <c r="B871" s="6"/>
    </row>
    <row r="872">
      <c r="B872" s="6"/>
    </row>
    <row r="873">
      <c r="B873" s="6"/>
    </row>
    <row r="874">
      <c r="B874" s="6"/>
    </row>
    <row r="875">
      <c r="B875" s="6"/>
    </row>
    <row r="876">
      <c r="B876" s="6"/>
    </row>
    <row r="877">
      <c r="B877" s="6"/>
    </row>
    <row r="878">
      <c r="B878" s="6"/>
    </row>
    <row r="879">
      <c r="B879" s="6"/>
    </row>
    <row r="880">
      <c r="B880" s="6"/>
    </row>
    <row r="881">
      <c r="B881" s="6"/>
    </row>
    <row r="882">
      <c r="B882" s="6"/>
    </row>
    <row r="883">
      <c r="B883" s="6"/>
    </row>
    <row r="884">
      <c r="B884" s="6"/>
    </row>
    <row r="885">
      <c r="B885" s="6"/>
    </row>
    <row r="886">
      <c r="B886" s="6"/>
    </row>
    <row r="887">
      <c r="B887" s="6"/>
    </row>
    <row r="888">
      <c r="B888" s="6"/>
    </row>
    <row r="889">
      <c r="B889" s="6"/>
    </row>
    <row r="890">
      <c r="B890" s="6"/>
    </row>
    <row r="891">
      <c r="B891" s="6"/>
    </row>
    <row r="892">
      <c r="B892" s="6"/>
    </row>
    <row r="893">
      <c r="B893" s="6"/>
    </row>
    <row r="894">
      <c r="B894" s="6"/>
    </row>
    <row r="895">
      <c r="B895" s="6"/>
    </row>
    <row r="896">
      <c r="B896" s="6"/>
    </row>
    <row r="897">
      <c r="B897" s="6"/>
    </row>
    <row r="898">
      <c r="B898" s="6"/>
    </row>
    <row r="899">
      <c r="B899" s="6"/>
    </row>
    <row r="900">
      <c r="B900" s="6"/>
    </row>
    <row r="901">
      <c r="B901" s="6"/>
    </row>
    <row r="902">
      <c r="B902" s="6"/>
    </row>
    <row r="903">
      <c r="B903" s="6"/>
    </row>
    <row r="904">
      <c r="B904" s="6"/>
    </row>
    <row r="905">
      <c r="B905" s="6"/>
    </row>
    <row r="906">
      <c r="B906" s="6"/>
    </row>
    <row r="907">
      <c r="B907" s="6"/>
    </row>
    <row r="908">
      <c r="B908" s="6"/>
    </row>
    <row r="909">
      <c r="B909" s="6"/>
    </row>
    <row r="910">
      <c r="B910" s="6"/>
    </row>
    <row r="911">
      <c r="B911" s="6"/>
    </row>
    <row r="912">
      <c r="B912" s="6"/>
    </row>
    <row r="913">
      <c r="B913" s="6"/>
    </row>
    <row r="914">
      <c r="B914" s="6"/>
    </row>
    <row r="915">
      <c r="B915" s="6"/>
    </row>
    <row r="916">
      <c r="B916" s="6"/>
    </row>
    <row r="917">
      <c r="B917" s="6"/>
    </row>
    <row r="918">
      <c r="B918" s="6"/>
    </row>
    <row r="919">
      <c r="B919" s="6"/>
    </row>
    <row r="920">
      <c r="B920" s="6"/>
    </row>
    <row r="921">
      <c r="B921" s="6"/>
    </row>
    <row r="922">
      <c r="B922" s="6"/>
    </row>
    <row r="923">
      <c r="B923" s="6"/>
    </row>
    <row r="924">
      <c r="B924" s="6"/>
    </row>
    <row r="925">
      <c r="B925" s="6"/>
    </row>
    <row r="926">
      <c r="B926" s="6"/>
    </row>
    <row r="927">
      <c r="B927" s="6"/>
    </row>
    <row r="928">
      <c r="B928" s="6"/>
    </row>
    <row r="929">
      <c r="B929" s="6"/>
    </row>
    <row r="930">
      <c r="B930" s="6"/>
    </row>
    <row r="931">
      <c r="B931" s="6"/>
    </row>
    <row r="932">
      <c r="B932" s="6"/>
    </row>
    <row r="933">
      <c r="B933" s="6"/>
    </row>
    <row r="934">
      <c r="B934" s="6"/>
    </row>
    <row r="935">
      <c r="B935" s="6"/>
    </row>
    <row r="936">
      <c r="B936" s="6"/>
    </row>
    <row r="937">
      <c r="B937" s="6"/>
    </row>
    <row r="938">
      <c r="B938" s="6"/>
    </row>
    <row r="939">
      <c r="B939" s="6"/>
    </row>
    <row r="940">
      <c r="B940" s="6"/>
    </row>
    <row r="941">
      <c r="B941" s="6"/>
    </row>
    <row r="942">
      <c r="B942" s="6"/>
    </row>
    <row r="943">
      <c r="B943" s="6"/>
    </row>
    <row r="944">
      <c r="B944" s="6"/>
    </row>
    <row r="945">
      <c r="B945" s="6"/>
    </row>
    <row r="946">
      <c r="B946" s="6"/>
    </row>
    <row r="947">
      <c r="B947" s="6"/>
    </row>
    <row r="948">
      <c r="B948" s="6"/>
    </row>
    <row r="949">
      <c r="B949" s="6"/>
    </row>
    <row r="950">
      <c r="B950" s="6"/>
    </row>
    <row r="951">
      <c r="B951" s="6"/>
    </row>
    <row r="952">
      <c r="B952" s="6"/>
    </row>
    <row r="953">
      <c r="B953" s="6"/>
    </row>
    <row r="954">
      <c r="B954" s="6"/>
    </row>
    <row r="955">
      <c r="B955" s="6"/>
    </row>
    <row r="956">
      <c r="B956" s="6"/>
    </row>
    <row r="957">
      <c r="B957" s="6"/>
    </row>
    <row r="958">
      <c r="B958" s="6"/>
    </row>
    <row r="959">
      <c r="B959" s="6"/>
    </row>
    <row r="960">
      <c r="B960" s="6"/>
    </row>
    <row r="961">
      <c r="B961" s="6"/>
    </row>
    <row r="962">
      <c r="B962" s="6"/>
    </row>
    <row r="963">
      <c r="B963" s="6"/>
    </row>
    <row r="964">
      <c r="B964" s="6"/>
    </row>
    <row r="965">
      <c r="B965" s="6"/>
    </row>
    <row r="966">
      <c r="B966" s="6"/>
    </row>
    <row r="967">
      <c r="B967" s="6"/>
    </row>
    <row r="968">
      <c r="B968" s="6"/>
    </row>
    <row r="969">
      <c r="B969" s="6"/>
    </row>
    <row r="970">
      <c r="B970" s="6"/>
    </row>
    <row r="971">
      <c r="B971" s="6"/>
    </row>
    <row r="972">
      <c r="B972" s="6"/>
    </row>
    <row r="973">
      <c r="B973" s="6"/>
    </row>
    <row r="974">
      <c r="B974" s="6"/>
    </row>
    <row r="975">
      <c r="B975" s="6"/>
    </row>
    <row r="976">
      <c r="B976" s="6"/>
    </row>
    <row r="977">
      <c r="B977" s="6"/>
    </row>
    <row r="978">
      <c r="B978" s="6"/>
    </row>
    <row r="979">
      <c r="B979" s="6"/>
    </row>
    <row r="980">
      <c r="B980" s="6"/>
    </row>
    <row r="981">
      <c r="B981" s="6"/>
    </row>
    <row r="982">
      <c r="B982" s="6"/>
    </row>
    <row r="983">
      <c r="B983" s="20"/>
    </row>
    <row r="984">
      <c r="B984" s="20"/>
    </row>
    <row r="985">
      <c r="B985" s="20"/>
    </row>
    <row r="986">
      <c r="B986" s="20"/>
    </row>
    <row r="987">
      <c r="B987" s="20"/>
    </row>
    <row r="988">
      <c r="B988" s="20"/>
    </row>
    <row r="989">
      <c r="B989" s="20"/>
    </row>
    <row r="990">
      <c r="B990" s="20"/>
    </row>
    <row r="991">
      <c r="B991" s="20"/>
    </row>
    <row r="992">
      <c r="B992" s="20"/>
    </row>
    <row r="993">
      <c r="B993" s="20"/>
    </row>
    <row r="994">
      <c r="B994" s="20"/>
    </row>
    <row r="995">
      <c r="B995" s="20"/>
    </row>
    <row r="996">
      <c r="B996" s="20"/>
    </row>
    <row r="997">
      <c r="B997" s="20"/>
    </row>
    <row r="998">
      <c r="B998" s="20"/>
    </row>
    <row r="999">
      <c r="B999" s="20"/>
    </row>
    <row r="1000">
      <c r="B1000" s="20"/>
    </row>
    <row r="1001">
      <c r="B1001" s="20"/>
    </row>
    <row r="1002">
      <c r="B1002" s="20"/>
    </row>
    <row r="1003">
      <c r="B1003" s="20"/>
    </row>
    <row r="1004">
      <c r="B1004" s="20"/>
    </row>
    <row r="1005">
      <c r="B1005" s="20"/>
    </row>
    <row r="1006">
      <c r="B1006" s="20"/>
    </row>
    <row r="1007">
      <c r="B1007" s="20"/>
    </row>
    <row r="1008">
      <c r="B1008" s="20"/>
    </row>
    <row r="1009">
      <c r="B1009" s="20"/>
    </row>
    <row r="1010">
      <c r="B1010" s="20"/>
    </row>
    <row r="1011">
      <c r="B1011" s="20"/>
    </row>
    <row r="1012">
      <c r="B1012" s="20"/>
    </row>
    <row r="1013">
      <c r="B1013" s="20"/>
    </row>
    <row r="1014">
      <c r="B1014" s="20"/>
    </row>
    <row r="1015">
      <c r="B1015" s="20"/>
    </row>
    <row r="1016">
      <c r="B1016" s="20"/>
    </row>
    <row r="1017">
      <c r="B1017" s="20"/>
    </row>
    <row r="1018">
      <c r="B1018" s="20"/>
    </row>
    <row r="1019">
      <c r="B1019" s="20"/>
    </row>
    <row r="1020">
      <c r="B1020" s="20"/>
    </row>
    <row r="1021">
      <c r="B1021" s="20"/>
    </row>
    <row r="1022">
      <c r="B1022" s="20"/>
    </row>
    <row r="1023">
      <c r="B1023" s="20"/>
    </row>
    <row r="1024">
      <c r="B1024" s="20"/>
    </row>
    <row r="1025">
      <c r="B1025" s="20"/>
    </row>
    <row r="1026">
      <c r="B1026" s="20"/>
    </row>
    <row r="1027">
      <c r="B1027" s="20"/>
    </row>
    <row r="1028">
      <c r="B1028" s="20"/>
    </row>
    <row r="1029">
      <c r="B1029" s="20"/>
    </row>
    <row r="1030">
      <c r="B1030" s="20"/>
    </row>
    <row r="1031">
      <c r="B1031" s="20"/>
    </row>
    <row r="1032">
      <c r="B1032" s="20"/>
    </row>
    <row r="1033">
      <c r="B1033" s="20"/>
    </row>
    <row r="1034">
      <c r="B1034" s="20"/>
    </row>
    <row r="1035">
      <c r="B1035" s="20"/>
    </row>
    <row r="1036">
      <c r="B1036" s="20"/>
    </row>
    <row r="1037">
      <c r="B1037" s="20"/>
    </row>
    <row r="1038">
      <c r="B1038" s="20"/>
    </row>
    <row r="1039">
      <c r="B1039" s="20"/>
    </row>
    <row r="1040">
      <c r="B1040" s="20"/>
    </row>
    <row r="1041">
      <c r="B1041" s="20"/>
    </row>
    <row r="1042">
      <c r="B1042" s="20"/>
    </row>
    <row r="1043">
      <c r="B1043" s="20"/>
    </row>
    <row r="1044">
      <c r="B1044" s="20"/>
    </row>
    <row r="1045">
      <c r="B1045" s="20"/>
    </row>
    <row r="1046">
      <c r="B1046" s="20"/>
    </row>
    <row r="1047">
      <c r="B1047" s="20"/>
    </row>
    <row r="1048">
      <c r="B1048" s="20"/>
    </row>
    <row r="1049">
      <c r="B1049" s="20"/>
    </row>
    <row r="1050">
      <c r="B1050" s="20"/>
    </row>
    <row r="1051">
      <c r="B1051" s="20"/>
    </row>
    <row r="1052">
      <c r="B1052" s="20"/>
    </row>
    <row r="1053">
      <c r="B1053" s="20"/>
    </row>
    <row r="1054">
      <c r="B1054" s="20"/>
    </row>
    <row r="1055">
      <c r="B1055" s="20"/>
    </row>
    <row r="1056">
      <c r="B1056" s="20"/>
    </row>
    <row r="1057">
      <c r="B1057" s="20"/>
    </row>
    <row r="1058">
      <c r="B1058" s="20"/>
    </row>
    <row r="1059">
      <c r="B1059" s="20"/>
    </row>
    <row r="1060">
      <c r="B1060" s="20"/>
    </row>
    <row r="1061">
      <c r="B1061" s="20"/>
    </row>
    <row r="1062">
      <c r="B1062" s="20"/>
    </row>
    <row r="1063">
      <c r="B1063" s="20"/>
    </row>
    <row r="1064">
      <c r="B1064" s="20"/>
    </row>
    <row r="1065">
      <c r="B1065" s="20"/>
    </row>
    <row r="1066">
      <c r="B1066" s="20"/>
    </row>
    <row r="1067">
      <c r="B1067" s="20"/>
    </row>
    <row r="1068">
      <c r="B1068" s="20"/>
    </row>
    <row r="1069">
      <c r="B1069" s="20"/>
    </row>
    <row r="1070">
      <c r="B1070" s="20"/>
    </row>
    <row r="1071">
      <c r="B1071" s="20"/>
    </row>
    <row r="1072">
      <c r="B1072" s="20"/>
    </row>
    <row r="1073">
      <c r="B1073" s="20"/>
    </row>
    <row r="1074">
      <c r="B1074" s="20"/>
    </row>
    <row r="1075">
      <c r="B1075" s="20"/>
    </row>
    <row r="1076">
      <c r="B1076" s="20"/>
    </row>
    <row r="1077">
      <c r="B1077" s="20"/>
    </row>
    <row r="1078">
      <c r="B1078" s="20"/>
    </row>
    <row r="1079">
      <c r="B1079" s="20"/>
    </row>
    <row r="1080">
      <c r="B1080" s="20"/>
    </row>
    <row r="1081">
      <c r="B1081" s="20"/>
    </row>
    <row r="1082">
      <c r="B1082" s="20"/>
    </row>
    <row r="1083">
      <c r="B1083" s="20"/>
    </row>
    <row r="1084">
      <c r="B1084" s="20"/>
    </row>
    <row r="1085">
      <c r="B1085" s="20"/>
    </row>
    <row r="1086">
      <c r="B1086" s="20"/>
    </row>
    <row r="1087">
      <c r="B1087" s="20"/>
    </row>
    <row r="1088">
      <c r="B1088" s="20"/>
    </row>
    <row r="1089">
      <c r="B1089" s="20"/>
    </row>
    <row r="1090">
      <c r="B1090" s="20"/>
    </row>
    <row r="1091">
      <c r="B1091" s="20"/>
    </row>
    <row r="1092">
      <c r="B1092" s="20"/>
    </row>
    <row r="1093">
      <c r="B1093" s="20"/>
    </row>
    <row r="1094">
      <c r="B1094" s="20"/>
    </row>
    <row r="1095">
      <c r="B1095" s="20"/>
    </row>
    <row r="1096">
      <c r="B1096" s="20"/>
    </row>
    <row r="1097">
      <c r="B1097" s="20"/>
    </row>
    <row r="1098">
      <c r="B1098" s="20"/>
    </row>
    <row r="1099">
      <c r="B1099" s="20"/>
    </row>
    <row r="1100">
      <c r="B1100" s="20"/>
    </row>
    <row r="1101">
      <c r="B1101" s="20"/>
    </row>
    <row r="1102">
      <c r="B1102" s="20"/>
    </row>
    <row r="1103">
      <c r="B1103" s="20"/>
    </row>
    <row r="1104">
      <c r="B1104" s="20"/>
    </row>
    <row r="1105">
      <c r="B1105" s="20"/>
    </row>
    <row r="1106">
      <c r="B1106" s="20"/>
    </row>
    <row r="1107">
      <c r="B1107" s="20"/>
    </row>
    <row r="1108">
      <c r="B1108" s="20"/>
    </row>
    <row r="1109">
      <c r="B1109" s="20"/>
    </row>
    <row r="1110">
      <c r="B1110" s="20"/>
    </row>
    <row r="1111">
      <c r="B1111" s="20"/>
    </row>
    <row r="1112">
      <c r="B1112" s="20"/>
    </row>
    <row r="1113">
      <c r="B1113" s="20"/>
    </row>
    <row r="1114">
      <c r="B1114" s="20"/>
    </row>
    <row r="1115">
      <c r="B1115" s="20"/>
    </row>
    <row r="1116">
      <c r="B1116" s="20"/>
    </row>
    <row r="1117">
      <c r="B1117" s="20"/>
    </row>
    <row r="1118">
      <c r="B1118" s="20"/>
    </row>
    <row r="1119">
      <c r="B1119" s="20"/>
    </row>
    <row r="1120">
      <c r="B1120" s="20"/>
    </row>
    <row r="1121">
      <c r="B1121" s="20"/>
    </row>
    <row r="1122">
      <c r="B1122" s="20"/>
    </row>
    <row r="1123">
      <c r="B1123" s="20"/>
    </row>
    <row r="1124">
      <c r="B1124" s="20"/>
    </row>
    <row r="1125">
      <c r="B1125" s="20"/>
    </row>
    <row r="1126">
      <c r="B1126" s="20"/>
    </row>
    <row r="1127">
      <c r="B1127" s="20"/>
    </row>
    <row r="1128">
      <c r="B1128" s="20"/>
    </row>
    <row r="1129">
      <c r="B1129" s="20"/>
    </row>
    <row r="1130">
      <c r="B1130" s="20"/>
    </row>
    <row r="1131">
      <c r="B1131" s="20"/>
    </row>
    <row r="1132">
      <c r="B1132" s="20"/>
    </row>
    <row r="1133">
      <c r="B1133" s="20"/>
    </row>
    <row r="1134">
      <c r="B1134" s="20"/>
    </row>
    <row r="1135">
      <c r="B1135" s="20"/>
    </row>
    <row r="1136">
      <c r="B1136" s="20"/>
    </row>
    <row r="1137">
      <c r="B1137" s="20"/>
    </row>
    <row r="1138">
      <c r="B1138" s="20"/>
    </row>
    <row r="1139">
      <c r="B1139" s="20"/>
    </row>
    <row r="1140">
      <c r="B1140" s="20"/>
    </row>
    <row r="1141">
      <c r="B1141" s="20"/>
    </row>
    <row r="1142">
      <c r="B1142" s="20"/>
    </row>
    <row r="1143">
      <c r="B1143" s="20"/>
    </row>
    <row r="1144">
      <c r="B1144" s="20"/>
    </row>
    <row r="1145">
      <c r="B1145" s="20"/>
    </row>
    <row r="1146">
      <c r="B1146" s="20"/>
    </row>
    <row r="1147">
      <c r="B1147" s="20"/>
    </row>
    <row r="1148">
      <c r="B1148" s="20"/>
    </row>
    <row r="1149">
      <c r="B1149" s="20"/>
    </row>
    <row r="1150">
      <c r="B1150" s="20"/>
    </row>
    <row r="1151">
      <c r="B1151" s="20"/>
    </row>
    <row r="1152">
      <c r="B1152" s="20"/>
    </row>
    <row r="1153">
      <c r="B1153" s="20"/>
    </row>
    <row r="1154">
      <c r="B1154" s="20"/>
    </row>
    <row r="1155">
      <c r="B1155" s="20"/>
    </row>
    <row r="1156">
      <c r="B1156" s="20"/>
    </row>
    <row r="1157">
      <c r="B1157" s="20"/>
    </row>
    <row r="1158">
      <c r="B1158" s="20"/>
    </row>
    <row r="1159">
      <c r="B1159" s="20"/>
    </row>
    <row r="1160">
      <c r="B1160" s="20"/>
    </row>
    <row r="1161">
      <c r="B1161" s="20"/>
    </row>
    <row r="1162">
      <c r="B1162" s="20"/>
    </row>
    <row r="1163">
      <c r="B1163" s="20"/>
    </row>
    <row r="1164">
      <c r="B1164" s="20"/>
    </row>
    <row r="1165">
      <c r="B1165" s="20"/>
    </row>
    <row r="1166">
      <c r="B1166" s="20"/>
    </row>
    <row r="1167">
      <c r="B1167" s="20"/>
    </row>
    <row r="1168">
      <c r="B1168" s="20"/>
    </row>
    <row r="1169">
      <c r="B1169" s="20"/>
    </row>
    <row r="1170">
      <c r="B1170" s="20"/>
    </row>
    <row r="1171">
      <c r="B1171" s="20"/>
    </row>
    <row r="1172">
      <c r="B1172" s="20"/>
    </row>
    <row r="1173">
      <c r="B1173" s="20"/>
    </row>
    <row r="1174">
      <c r="B1174" s="20"/>
    </row>
    <row r="1175">
      <c r="B1175" s="20"/>
    </row>
    <row r="1176">
      <c r="B1176" s="20"/>
    </row>
    <row r="1177">
      <c r="B1177" s="20"/>
    </row>
    <row r="1178">
      <c r="B1178" s="20"/>
    </row>
    <row r="1179">
      <c r="B1179" s="20"/>
    </row>
    <row r="1180">
      <c r="B1180" s="20"/>
    </row>
    <row r="1181">
      <c r="B1181" s="20"/>
    </row>
    <row r="1182">
      <c r="B1182" s="20"/>
    </row>
    <row r="1183">
      <c r="B1183" s="20"/>
    </row>
    <row r="1184">
      <c r="B1184" s="20"/>
    </row>
    <row r="1185">
      <c r="B1185" s="20"/>
    </row>
    <row r="1186">
      <c r="B1186" s="20"/>
    </row>
    <row r="1187">
      <c r="B1187" s="20"/>
    </row>
    <row r="1188">
      <c r="B1188" s="20"/>
    </row>
    <row r="1189">
      <c r="B1189" s="20"/>
    </row>
  </sheetData>
  <autoFilter ref="$A$2:$Z$1189">
    <sortState ref="A2:Z1189">
      <sortCondition descending="1" ref="B2:B1189"/>
      <sortCondition descending="1" ref="A2:A1189"/>
    </sortState>
  </autoFilter>
  <printOptions gridLines="1" horizontalCentered="1"/>
  <pageMargins bottom="0.75" footer="0.0" header="0.0" left="0.7" right="0.7" top="0.75"/>
  <pageSetup fitToHeight="0" cellComments="atEnd" orientation="portrait" pageOrder="overThenDown" paperHeight="40in" paperWidth="11i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7" width="10.14"/>
    <col customWidth="1" min="8" max="8" width="10.71"/>
    <col customWidth="1" min="9" max="10" width="8.43"/>
    <col customWidth="1" min="13" max="13" width="16.0"/>
    <col customWidth="1" min="16" max="16" width="19.57"/>
    <col customWidth="1" min="17" max="17" width="11.43"/>
  </cols>
  <sheetData>
    <row r="1">
      <c r="A1" s="133"/>
      <c r="B1" s="134" t="s">
        <v>414</v>
      </c>
      <c r="C1" s="135" t="s">
        <v>415</v>
      </c>
      <c r="D1" s="136"/>
      <c r="E1" s="137"/>
      <c r="F1" s="138" t="s">
        <v>416</v>
      </c>
      <c r="G1" s="139">
        <v>1200.0</v>
      </c>
      <c r="H1" s="139">
        <v>1300.0</v>
      </c>
      <c r="I1" s="139">
        <v>1100.0</v>
      </c>
      <c r="J1" s="140">
        <f>AVERAGE(G1:I1)</f>
        <v>1200</v>
      </c>
      <c r="K1" s="141" t="s">
        <v>417</v>
      </c>
      <c r="L1" s="142">
        <f>countif(J4:J1464, "&gt;0.000001")</f>
        <v>886</v>
      </c>
      <c r="M1" s="141" t="s">
        <v>418</v>
      </c>
      <c r="N1" s="143">
        <f>J1/L1</f>
        <v>1.354401806</v>
      </c>
      <c r="O1" s="144" t="s">
        <v>419</v>
      </c>
      <c r="P1" s="133"/>
      <c r="Q1" s="134"/>
      <c r="R1" s="145"/>
      <c r="S1" s="145"/>
      <c r="T1" s="145"/>
      <c r="U1" s="145"/>
    </row>
    <row r="2">
      <c r="A2" s="146"/>
      <c r="B2" s="134" t="s">
        <v>420</v>
      </c>
      <c r="C2" s="147" t="s">
        <v>421</v>
      </c>
      <c r="D2" s="148"/>
      <c r="E2" s="137"/>
      <c r="F2" s="149" t="s">
        <v>422</v>
      </c>
      <c r="G2" s="139">
        <f t="shared" ref="G2:K2" si="1">sum(G4:G977)</f>
        <v>3193000</v>
      </c>
      <c r="H2" s="139">
        <f t="shared" si="1"/>
        <v>104415</v>
      </c>
      <c r="I2" s="139">
        <f t="shared" si="1"/>
        <v>111200</v>
      </c>
      <c r="J2" s="150">
        <f t="shared" si="1"/>
        <v>1</v>
      </c>
      <c r="K2" s="151">
        <f t="shared" si="1"/>
        <v>672.5638475</v>
      </c>
      <c r="L2" s="152" t="s">
        <v>416</v>
      </c>
      <c r="M2" s="153" t="str">
        <f>'DO NOT TOUCH Imported'!A266</f>
        <v/>
      </c>
      <c r="N2" s="153" t="s">
        <v>423</v>
      </c>
      <c r="O2" s="145"/>
      <c r="P2" s="146"/>
      <c r="Q2" s="134"/>
      <c r="R2" s="145"/>
      <c r="S2" s="145"/>
      <c r="T2" s="145"/>
      <c r="U2" s="145"/>
    </row>
    <row r="3">
      <c r="A3" s="154" t="s">
        <v>424</v>
      </c>
      <c r="B3" s="154" t="s">
        <v>425</v>
      </c>
      <c r="C3" s="155" t="s">
        <v>426</v>
      </c>
      <c r="D3" s="156"/>
      <c r="E3" s="157" t="s">
        <v>427</v>
      </c>
      <c r="F3" s="158" t="s">
        <v>428</v>
      </c>
      <c r="G3" s="159" t="s">
        <v>429</v>
      </c>
      <c r="H3" s="159" t="s">
        <v>430</v>
      </c>
      <c r="I3" s="159" t="s">
        <v>431</v>
      </c>
      <c r="J3" s="160" t="s">
        <v>432</v>
      </c>
      <c r="K3" s="161" t="s">
        <v>433</v>
      </c>
      <c r="L3" s="162" t="s">
        <v>434</v>
      </c>
      <c r="M3" s="161"/>
      <c r="N3" s="163">
        <f>IFERROR(__xludf.DUMMYFUNCTION("query(iferror(sort({row(A3:A977)-row(A3)+2-match(sort(A3:A977),sort(A3:A977),0),SORT(ROW(A3:A977)+2-row(A3)+2,A3:A977,1)},2,1),),""Select Col1"")"),1.0)</f>
        <v>1</v>
      </c>
      <c r="O3" s="163"/>
      <c r="P3" s="154" t="s">
        <v>424</v>
      </c>
      <c r="Q3" s="154" t="s">
        <v>425</v>
      </c>
      <c r="R3" s="164"/>
      <c r="S3" s="164"/>
      <c r="T3" s="164"/>
      <c r="U3" s="164"/>
      <c r="V3" s="164"/>
      <c r="W3" s="164"/>
      <c r="X3" s="164"/>
      <c r="Y3" s="164"/>
      <c r="Z3" s="164"/>
      <c r="AA3" s="164"/>
    </row>
    <row r="4">
      <c r="A4" s="165" t="str">
        <f>iferror(VLOOKUP(P4,'DO NOT TOUCH Imported'!$A$1:$D$800,4,False),iferror(VLOOKUP(P4,'DO NOT TOUCH Imported'!$C$1:$D$800,2,False),"OOPS FIX ME"))</f>
        <v>zeptimusQ</v>
      </c>
      <c r="B4" s="166" t="s">
        <v>435</v>
      </c>
      <c r="C4" s="167" t="s">
        <v>436</v>
      </c>
      <c r="D4" s="168" t="s">
        <v>437</v>
      </c>
      <c r="E4" s="169" t="s">
        <v>438</v>
      </c>
      <c r="F4" s="168" t="s">
        <v>439</v>
      </c>
      <c r="G4" s="170">
        <v>10000.0</v>
      </c>
      <c r="H4" s="171">
        <v>100.0</v>
      </c>
      <c r="I4" s="171">
        <v>200.0</v>
      </c>
      <c r="J4" s="172">
        <f t="shared" ref="J4:J95" si="2">(G4/$G$2+H4/$H$2+I4/$I$2)/3</f>
        <v>0.001962709626</v>
      </c>
      <c r="K4" s="173">
        <f t="shared" ref="K4:K76" si="3">J4*$J$1</f>
        <v>2.355251551</v>
      </c>
      <c r="L4" s="174">
        <f t="shared" ref="L4:L95" si="4">dsum($A$3:$K977,"IH per Praise",{$A$3;A4})</f>
        <v>39.04071991</v>
      </c>
      <c r="M4" s="175" t="str">
        <f t="shared" ref="M4:M95" si="5">A4</f>
        <v>zeptimusQ</v>
      </c>
      <c r="N4" s="176">
        <f>IFERROR(__xludf.DUMMYFUNCTION("""COMPUTED_VALUE"""),1.0)</f>
        <v>1</v>
      </c>
      <c r="O4" s="176"/>
      <c r="P4" s="166" t="s">
        <v>440</v>
      </c>
      <c r="Q4" s="166" t="s">
        <v>435</v>
      </c>
      <c r="R4" s="176"/>
      <c r="S4" s="176"/>
      <c r="T4" s="176"/>
      <c r="U4" s="176"/>
      <c r="V4" s="176"/>
      <c r="W4" s="176"/>
      <c r="X4" s="176"/>
      <c r="Y4" s="176"/>
      <c r="Z4" s="176"/>
      <c r="AA4" s="176"/>
    </row>
    <row r="5">
      <c r="A5" s="165" t="str">
        <f>iferror(VLOOKUP(P5,'DO NOT TOUCH Imported'!$A$1:$D$800,4,False),iferror(VLOOKUP(P5,'DO NOT TOUCH Imported'!$C$1:$D$800,2,False),"OOPS FIX ME"))</f>
        <v>zeptimusQ</v>
      </c>
      <c r="B5" s="166" t="s">
        <v>441</v>
      </c>
      <c r="C5" s="167" t="s">
        <v>442</v>
      </c>
      <c r="D5" s="168" t="s">
        <v>437</v>
      </c>
      <c r="E5" s="169" t="s">
        <v>438</v>
      </c>
      <c r="F5" s="168" t="s">
        <v>439</v>
      </c>
      <c r="G5" s="170">
        <v>10000.0</v>
      </c>
      <c r="H5" s="171">
        <v>100.0</v>
      </c>
      <c r="I5" s="171">
        <v>100.0</v>
      </c>
      <c r="J5" s="172">
        <f t="shared" si="2"/>
        <v>0.001662949434</v>
      </c>
      <c r="K5" s="173">
        <f t="shared" si="3"/>
        <v>1.995539321</v>
      </c>
      <c r="L5" s="174">
        <f t="shared" si="4"/>
        <v>39.04071991</v>
      </c>
      <c r="M5" s="175" t="str">
        <f t="shared" si="5"/>
        <v>zeptimusQ</v>
      </c>
      <c r="N5" s="176">
        <f>IFERROR(__xludf.DUMMYFUNCTION("""COMPUTED_VALUE"""),2.0)</f>
        <v>2</v>
      </c>
      <c r="O5" s="176"/>
      <c r="P5" s="166" t="s">
        <v>440</v>
      </c>
      <c r="Q5" s="166" t="s">
        <v>441</v>
      </c>
      <c r="R5" s="176"/>
      <c r="S5" s="176"/>
      <c r="T5" s="176"/>
      <c r="U5" s="176"/>
      <c r="V5" s="176"/>
      <c r="W5" s="176"/>
      <c r="X5" s="176"/>
      <c r="Y5" s="176"/>
      <c r="Z5" s="176"/>
      <c r="AA5" s="176"/>
    </row>
    <row r="6">
      <c r="A6" s="165" t="str">
        <f>iferror(VLOOKUP(P6,'DO NOT TOUCH Imported'!$A$1:$D$800,4,False),iferror(VLOOKUP(P6,'DO NOT TOUCH Imported'!$C$1:$D$800,2,False),"OOPS FIX ME"))</f>
        <v>zeptimusQ</v>
      </c>
      <c r="B6" s="166" t="s">
        <v>443</v>
      </c>
      <c r="C6" s="167" t="s">
        <v>444</v>
      </c>
      <c r="D6" s="168" t="s">
        <v>437</v>
      </c>
      <c r="E6" s="177" t="s">
        <v>445</v>
      </c>
      <c r="F6" s="168" t="s">
        <v>439</v>
      </c>
      <c r="G6" s="170">
        <v>1000.0</v>
      </c>
      <c r="H6" s="171">
        <v>200.0</v>
      </c>
      <c r="I6" s="171">
        <v>200.0</v>
      </c>
      <c r="J6" s="172">
        <f t="shared" si="2"/>
        <v>0.001342393283</v>
      </c>
      <c r="K6" s="173">
        <f t="shared" si="3"/>
        <v>1.61087194</v>
      </c>
      <c r="L6" s="174">
        <f t="shared" si="4"/>
        <v>39.04071991</v>
      </c>
      <c r="M6" s="175" t="str">
        <f t="shared" si="5"/>
        <v>zeptimusQ</v>
      </c>
      <c r="N6" s="176">
        <f>IFERROR(__xludf.DUMMYFUNCTION("""COMPUTED_VALUE"""),3.0)</f>
        <v>3</v>
      </c>
      <c r="O6" s="176"/>
      <c r="P6" s="166" t="s">
        <v>440</v>
      </c>
      <c r="Q6" s="166" t="s">
        <v>443</v>
      </c>
      <c r="R6" s="176"/>
      <c r="S6" s="176"/>
      <c r="T6" s="176"/>
      <c r="U6" s="176"/>
      <c r="V6" s="176"/>
      <c r="W6" s="176"/>
      <c r="X6" s="176"/>
      <c r="Y6" s="176"/>
      <c r="Z6" s="176"/>
      <c r="AA6" s="176"/>
    </row>
    <row r="7">
      <c r="A7" s="165" t="str">
        <f>iferror(VLOOKUP(P7,'DO NOT TOUCH Imported'!$A$1:$D$800,4,False),iferror(VLOOKUP(P7,'DO NOT TOUCH Imported'!$C$1:$D$800,2,False),"OOPS FIX ME"))</f>
        <v>zeptimusQ</v>
      </c>
      <c r="B7" s="166" t="s">
        <v>441</v>
      </c>
      <c r="C7" s="167" t="s">
        <v>446</v>
      </c>
      <c r="D7" s="168" t="s">
        <v>437</v>
      </c>
      <c r="E7" s="177" t="s">
        <v>447</v>
      </c>
      <c r="F7" s="168" t="s">
        <v>439</v>
      </c>
      <c r="G7" s="170">
        <v>1000.0</v>
      </c>
      <c r="H7" s="171">
        <v>200.0</v>
      </c>
      <c r="I7" s="171">
        <v>100.0</v>
      </c>
      <c r="J7" s="172">
        <f t="shared" si="2"/>
        <v>0.001042633091</v>
      </c>
      <c r="K7" s="173">
        <f t="shared" si="3"/>
        <v>1.25115971</v>
      </c>
      <c r="L7" s="174">
        <f t="shared" si="4"/>
        <v>39.04071991</v>
      </c>
      <c r="M7" s="175" t="str">
        <f t="shared" si="5"/>
        <v>zeptimusQ</v>
      </c>
      <c r="N7" s="176">
        <f>IFERROR(__xludf.DUMMYFUNCTION("""COMPUTED_VALUE"""),4.0)</f>
        <v>4</v>
      </c>
      <c r="O7" s="176"/>
      <c r="P7" s="166" t="s">
        <v>440</v>
      </c>
      <c r="Q7" s="166" t="s">
        <v>441</v>
      </c>
      <c r="R7" s="176"/>
      <c r="S7" s="176"/>
      <c r="T7" s="176"/>
      <c r="U7" s="176"/>
      <c r="V7" s="176"/>
      <c r="W7" s="176"/>
      <c r="X7" s="176"/>
      <c r="Y7" s="176"/>
      <c r="Z7" s="176"/>
      <c r="AA7" s="176"/>
    </row>
    <row r="8">
      <c r="A8" s="165" t="str">
        <f>iferror(VLOOKUP(P8,'DO NOT TOUCH Imported'!$A$1:$D$800,4,False),iferror(VLOOKUP(P8,'DO NOT TOUCH Imported'!$C$1:$D$800,2,False),"OOPS FIX ME"))</f>
        <v>zeptimusQ</v>
      </c>
      <c r="B8" s="166" t="s">
        <v>441</v>
      </c>
      <c r="C8" s="167" t="s">
        <v>448</v>
      </c>
      <c r="D8" s="168" t="s">
        <v>437</v>
      </c>
      <c r="E8" s="169" t="s">
        <v>447</v>
      </c>
      <c r="F8" s="168" t="s">
        <v>439</v>
      </c>
      <c r="G8" s="170">
        <v>1000.0</v>
      </c>
      <c r="H8" s="171">
        <v>200.0</v>
      </c>
      <c r="I8" s="171">
        <v>100.0</v>
      </c>
      <c r="J8" s="172">
        <f t="shared" si="2"/>
        <v>0.001042633091</v>
      </c>
      <c r="K8" s="173">
        <f t="shared" si="3"/>
        <v>1.25115971</v>
      </c>
      <c r="L8" s="174">
        <f t="shared" si="4"/>
        <v>39.04071991</v>
      </c>
      <c r="M8" s="175" t="str">
        <f t="shared" si="5"/>
        <v>zeptimusQ</v>
      </c>
      <c r="N8" s="176">
        <f>IFERROR(__xludf.DUMMYFUNCTION("""COMPUTED_VALUE"""),5.0)</f>
        <v>5</v>
      </c>
      <c r="O8" s="176"/>
      <c r="P8" s="166" t="s">
        <v>440</v>
      </c>
      <c r="Q8" s="166" t="s">
        <v>441</v>
      </c>
      <c r="R8" s="176"/>
      <c r="S8" s="176"/>
      <c r="T8" s="176"/>
      <c r="U8" s="176"/>
      <c r="V8" s="176"/>
      <c r="W8" s="176"/>
      <c r="X8" s="176"/>
      <c r="Y8" s="176"/>
      <c r="Z8" s="176"/>
      <c r="AA8" s="176"/>
    </row>
    <row r="9">
      <c r="A9" s="165" t="str">
        <f>iferror(VLOOKUP(P9,'DO NOT TOUCH Imported'!$A$1:$D$800,4,False),iferror(VLOOKUP(P9,'DO NOT TOUCH Imported'!$C$1:$D$800,2,False),"OOPS FIX ME"))</f>
        <v>zeptimusQ</v>
      </c>
      <c r="B9" s="166" t="s">
        <v>435</v>
      </c>
      <c r="C9" s="167" t="s">
        <v>449</v>
      </c>
      <c r="D9" s="168" t="s">
        <v>437</v>
      </c>
      <c r="E9" s="177" t="s">
        <v>447</v>
      </c>
      <c r="F9" s="168" t="s">
        <v>439</v>
      </c>
      <c r="G9" s="170">
        <v>1000.0</v>
      </c>
      <c r="H9" s="171">
        <v>100.0</v>
      </c>
      <c r="I9" s="171">
        <v>200.0</v>
      </c>
      <c r="J9" s="172">
        <f t="shared" si="2"/>
        <v>0.001023154349</v>
      </c>
      <c r="K9" s="173">
        <f t="shared" si="3"/>
        <v>1.227785219</v>
      </c>
      <c r="L9" s="174">
        <f t="shared" si="4"/>
        <v>39.04071991</v>
      </c>
      <c r="M9" s="175" t="str">
        <f t="shared" si="5"/>
        <v>zeptimusQ</v>
      </c>
      <c r="N9" s="176">
        <f>IFERROR(__xludf.DUMMYFUNCTION("""COMPUTED_VALUE"""),6.0)</f>
        <v>6</v>
      </c>
      <c r="O9" s="176"/>
      <c r="P9" s="166" t="s">
        <v>440</v>
      </c>
      <c r="Q9" s="166" t="s">
        <v>435</v>
      </c>
      <c r="R9" s="176"/>
      <c r="S9" s="176"/>
      <c r="T9" s="176"/>
      <c r="U9" s="176"/>
      <c r="V9" s="176"/>
      <c r="W9" s="176"/>
      <c r="X9" s="176"/>
      <c r="Y9" s="176"/>
      <c r="Z9" s="176"/>
      <c r="AA9" s="176"/>
    </row>
    <row r="10">
      <c r="A10" s="165" t="str">
        <f>iferror(VLOOKUP(P10,'DO NOT TOUCH Imported'!$A$1:$D$800,4,False),iferror(VLOOKUP(P10,'DO NOT TOUCH Imported'!$C$1:$D$800,2,False),"OOPS FIX ME"))</f>
        <v>zeptimusQ</v>
      </c>
      <c r="B10" s="166" t="s">
        <v>450</v>
      </c>
      <c r="C10" s="167" t="s">
        <v>451</v>
      </c>
      <c r="D10" s="168" t="s">
        <v>437</v>
      </c>
      <c r="E10" s="177" t="s">
        <v>452</v>
      </c>
      <c r="F10" s="168" t="s">
        <v>453</v>
      </c>
      <c r="G10" s="170">
        <v>1000.0</v>
      </c>
      <c r="H10" s="171">
        <v>100.0</v>
      </c>
      <c r="I10" s="171">
        <v>200.0</v>
      </c>
      <c r="J10" s="172">
        <f t="shared" si="2"/>
        <v>0.001023154349</v>
      </c>
      <c r="K10" s="173">
        <f t="shared" si="3"/>
        <v>1.227785219</v>
      </c>
      <c r="L10" s="174">
        <f t="shared" si="4"/>
        <v>39.04071991</v>
      </c>
      <c r="M10" s="175" t="str">
        <f t="shared" si="5"/>
        <v>zeptimusQ</v>
      </c>
      <c r="N10" s="176">
        <f>IFERROR(__xludf.DUMMYFUNCTION("""COMPUTED_VALUE"""),7.0)</f>
        <v>7</v>
      </c>
      <c r="O10" s="176"/>
      <c r="P10" s="166" t="s">
        <v>440</v>
      </c>
      <c r="Q10" s="166" t="s">
        <v>450</v>
      </c>
      <c r="R10" s="176"/>
      <c r="S10" s="176"/>
      <c r="T10" s="176"/>
      <c r="U10" s="176"/>
      <c r="V10" s="176"/>
      <c r="W10" s="176"/>
      <c r="X10" s="176"/>
      <c r="Y10" s="176"/>
      <c r="Z10" s="176"/>
      <c r="AA10" s="176"/>
    </row>
    <row r="11">
      <c r="A11" s="165" t="str">
        <f>iferror(VLOOKUP(P11,'DO NOT TOUCH Imported'!$A$1:$D$800,4,False),iferror(VLOOKUP(P11,'DO NOT TOUCH Imported'!$C$1:$D$800,2,False),"OOPS FIX ME"))</f>
        <v>zeptimusQ</v>
      </c>
      <c r="B11" s="166" t="s">
        <v>435</v>
      </c>
      <c r="C11" s="167" t="s">
        <v>454</v>
      </c>
      <c r="D11" s="168" t="s">
        <v>437</v>
      </c>
      <c r="E11" s="177" t="s">
        <v>455</v>
      </c>
      <c r="F11" s="168" t="s">
        <v>439</v>
      </c>
      <c r="G11" s="170">
        <v>1000.0</v>
      </c>
      <c r="H11" s="171">
        <v>100.0</v>
      </c>
      <c r="I11" s="171">
        <v>200.0</v>
      </c>
      <c r="J11" s="172">
        <f t="shared" si="2"/>
        <v>0.001023154349</v>
      </c>
      <c r="K11" s="173">
        <f t="shared" si="3"/>
        <v>1.227785219</v>
      </c>
      <c r="L11" s="174">
        <f t="shared" si="4"/>
        <v>39.04071991</v>
      </c>
      <c r="M11" s="175" t="str">
        <f t="shared" si="5"/>
        <v>zeptimusQ</v>
      </c>
      <c r="N11" s="176">
        <f>IFERROR(__xludf.DUMMYFUNCTION("""COMPUTED_VALUE"""),8.0)</f>
        <v>8</v>
      </c>
      <c r="O11" s="176"/>
      <c r="P11" s="166" t="s">
        <v>440</v>
      </c>
      <c r="Q11" s="166" t="s">
        <v>435</v>
      </c>
      <c r="R11" s="176"/>
      <c r="S11" s="176"/>
      <c r="T11" s="176"/>
      <c r="U11" s="176"/>
      <c r="V11" s="176"/>
      <c r="W11" s="176"/>
      <c r="X11" s="176"/>
      <c r="Y11" s="176"/>
      <c r="Z11" s="176"/>
      <c r="AA11" s="176"/>
    </row>
    <row r="12">
      <c r="A12" s="165" t="str">
        <f>iferror(VLOOKUP(P12,'DO NOT TOUCH Imported'!$A$1:$D$800,4,False),iferror(VLOOKUP(P12,'DO NOT TOUCH Imported'!$C$1:$D$800,2,False),"OOPS FIX ME"))</f>
        <v>zeptimusQ</v>
      </c>
      <c r="B12" s="166" t="s">
        <v>441</v>
      </c>
      <c r="C12" s="167" t="s">
        <v>456</v>
      </c>
      <c r="D12" s="168" t="s">
        <v>437</v>
      </c>
      <c r="E12" s="177" t="s">
        <v>438</v>
      </c>
      <c r="F12" s="168" t="s">
        <v>439</v>
      </c>
      <c r="G12" s="170">
        <v>1000.0</v>
      </c>
      <c r="H12" s="171">
        <v>100.0</v>
      </c>
      <c r="I12" s="171">
        <v>200.0</v>
      </c>
      <c r="J12" s="172">
        <f t="shared" si="2"/>
        <v>0.001023154349</v>
      </c>
      <c r="K12" s="173">
        <f t="shared" si="3"/>
        <v>1.227785219</v>
      </c>
      <c r="L12" s="174">
        <f t="shared" si="4"/>
        <v>39.04071991</v>
      </c>
      <c r="M12" s="175" t="str">
        <f t="shared" si="5"/>
        <v>zeptimusQ</v>
      </c>
      <c r="N12" s="176">
        <f>IFERROR(__xludf.DUMMYFUNCTION("""COMPUTED_VALUE"""),9.0)</f>
        <v>9</v>
      </c>
      <c r="O12" s="176"/>
      <c r="P12" s="166" t="s">
        <v>440</v>
      </c>
      <c r="Q12" s="166" t="s">
        <v>441</v>
      </c>
      <c r="R12" s="176"/>
      <c r="S12" s="176"/>
      <c r="T12" s="176"/>
      <c r="U12" s="176"/>
      <c r="V12" s="176"/>
      <c r="W12" s="176"/>
      <c r="X12" s="176"/>
      <c r="Y12" s="176"/>
      <c r="Z12" s="176"/>
      <c r="AA12" s="176"/>
    </row>
    <row r="13">
      <c r="A13" s="165" t="str">
        <f>iferror(VLOOKUP(P13,'DO NOT TOUCH Imported'!$A$1:$D$800,4,False),iferror(VLOOKUP(P13,'DO NOT TOUCH Imported'!$C$1:$D$800,2,False),"OOPS FIX ME"))</f>
        <v>zeptimusQ</v>
      </c>
      <c r="B13" s="166" t="s">
        <v>457</v>
      </c>
      <c r="C13" s="167" t="s">
        <v>458</v>
      </c>
      <c r="D13" s="168" t="s">
        <v>437</v>
      </c>
      <c r="E13" s="169" t="s">
        <v>438</v>
      </c>
      <c r="F13" s="168" t="s">
        <v>439</v>
      </c>
      <c r="G13" s="170">
        <v>1000.0</v>
      </c>
      <c r="H13" s="171">
        <v>100.0</v>
      </c>
      <c r="I13" s="171">
        <v>200.0</v>
      </c>
      <c r="J13" s="172">
        <f t="shared" si="2"/>
        <v>0.001023154349</v>
      </c>
      <c r="K13" s="173">
        <f t="shared" si="3"/>
        <v>1.227785219</v>
      </c>
      <c r="L13" s="174">
        <f t="shared" si="4"/>
        <v>39.04071991</v>
      </c>
      <c r="M13" s="175" t="str">
        <f t="shared" si="5"/>
        <v>zeptimusQ</v>
      </c>
      <c r="N13" s="176">
        <f>IFERROR(__xludf.DUMMYFUNCTION("""COMPUTED_VALUE"""),10.0)</f>
        <v>10</v>
      </c>
      <c r="O13" s="176"/>
      <c r="P13" s="166" t="s">
        <v>440</v>
      </c>
      <c r="Q13" s="166" t="s">
        <v>457</v>
      </c>
      <c r="R13" s="176"/>
      <c r="S13" s="176"/>
      <c r="T13" s="176"/>
      <c r="U13" s="176"/>
      <c r="V13" s="176"/>
      <c r="W13" s="176"/>
      <c r="X13" s="176"/>
      <c r="Y13" s="176"/>
      <c r="Z13" s="176"/>
      <c r="AA13" s="176"/>
    </row>
    <row r="14">
      <c r="A14" s="165" t="str">
        <f>iferror(VLOOKUP(P14,'DO NOT TOUCH Imported'!$A$1:$D$800,4,False),iferror(VLOOKUP(P14,'DO NOT TOUCH Imported'!$C$1:$D$800,2,False),"OOPS FIX ME"))</f>
        <v>zeptimusQ</v>
      </c>
      <c r="B14" s="166" t="s">
        <v>441</v>
      </c>
      <c r="C14" s="167" t="s">
        <v>459</v>
      </c>
      <c r="D14" s="168" t="s">
        <v>437</v>
      </c>
      <c r="E14" s="177" t="s">
        <v>460</v>
      </c>
      <c r="F14" s="168" t="s">
        <v>439</v>
      </c>
      <c r="G14" s="170">
        <v>1000.0</v>
      </c>
      <c r="H14" s="171">
        <v>150.0</v>
      </c>
      <c r="I14" s="171">
        <v>100.0</v>
      </c>
      <c r="J14" s="172">
        <f t="shared" si="2"/>
        <v>0.0008830136242</v>
      </c>
      <c r="K14" s="173">
        <f t="shared" si="3"/>
        <v>1.059616349</v>
      </c>
      <c r="L14" s="174">
        <f t="shared" si="4"/>
        <v>39.04071991</v>
      </c>
      <c r="M14" s="175" t="str">
        <f t="shared" si="5"/>
        <v>zeptimusQ</v>
      </c>
      <c r="N14" s="176">
        <f>IFERROR(__xludf.DUMMYFUNCTION("""COMPUTED_VALUE"""),11.0)</f>
        <v>11</v>
      </c>
      <c r="O14" s="176"/>
      <c r="P14" s="166" t="s">
        <v>440</v>
      </c>
      <c r="Q14" s="166" t="s">
        <v>441</v>
      </c>
      <c r="R14" s="176"/>
      <c r="S14" s="176"/>
      <c r="T14" s="176"/>
      <c r="U14" s="176"/>
      <c r="V14" s="176"/>
      <c r="W14" s="176"/>
      <c r="X14" s="176"/>
      <c r="Y14" s="176"/>
      <c r="Z14" s="176"/>
      <c r="AA14" s="176"/>
    </row>
    <row r="15">
      <c r="A15" s="165" t="str">
        <f>iferror(VLOOKUP(P15,'DO NOT TOUCH Imported'!$A$1:$D$800,4,False),iferror(VLOOKUP(P15,'DO NOT TOUCH Imported'!$C$1:$D$800,2,False),"OOPS FIX ME"))</f>
        <v>zeptimusQ</v>
      </c>
      <c r="B15" s="166" t="s">
        <v>441</v>
      </c>
      <c r="C15" s="167" t="s">
        <v>461</v>
      </c>
      <c r="D15" s="168" t="s">
        <v>437</v>
      </c>
      <c r="E15" s="177" t="s">
        <v>460</v>
      </c>
      <c r="F15" s="168" t="s">
        <v>439</v>
      </c>
      <c r="G15" s="170">
        <v>1000.0</v>
      </c>
      <c r="H15" s="171">
        <v>100.0</v>
      </c>
      <c r="I15" s="171">
        <v>100.0</v>
      </c>
      <c r="J15" s="172">
        <f t="shared" si="2"/>
        <v>0.000723394157</v>
      </c>
      <c r="K15" s="173">
        <f t="shared" si="3"/>
        <v>0.8680729884</v>
      </c>
      <c r="L15" s="174">
        <f t="shared" si="4"/>
        <v>39.04071991</v>
      </c>
      <c r="M15" s="175" t="str">
        <f t="shared" si="5"/>
        <v>zeptimusQ</v>
      </c>
      <c r="N15" s="176">
        <f>IFERROR(__xludf.DUMMYFUNCTION("""COMPUTED_VALUE"""),12.0)</f>
        <v>12</v>
      </c>
      <c r="O15" s="176"/>
      <c r="P15" s="166" t="s">
        <v>440</v>
      </c>
      <c r="Q15" s="166" t="s">
        <v>441</v>
      </c>
      <c r="R15" s="176"/>
      <c r="S15" s="176"/>
      <c r="T15" s="176"/>
      <c r="U15" s="176"/>
      <c r="V15" s="176"/>
      <c r="W15" s="176"/>
      <c r="X15" s="176"/>
      <c r="Y15" s="176"/>
      <c r="Z15" s="176"/>
      <c r="AA15" s="176"/>
    </row>
    <row r="16">
      <c r="A16" s="165" t="str">
        <f>iferror(VLOOKUP(P16,'DO NOT TOUCH Imported'!$A$1:$D$800,4,False),iferror(VLOOKUP(P16,'DO NOT TOUCH Imported'!$C$1:$D$800,2,False),"OOPS FIX ME"))</f>
        <v>zeptimusQ</v>
      </c>
      <c r="B16" s="166" t="s">
        <v>443</v>
      </c>
      <c r="C16" s="167" t="s">
        <v>462</v>
      </c>
      <c r="D16" s="168" t="s">
        <v>437</v>
      </c>
      <c r="E16" s="177" t="s">
        <v>460</v>
      </c>
      <c r="F16" s="168" t="s">
        <v>439</v>
      </c>
      <c r="G16" s="170">
        <v>1000.0</v>
      </c>
      <c r="H16" s="171">
        <v>100.0</v>
      </c>
      <c r="I16" s="171">
        <v>100.0</v>
      </c>
      <c r="J16" s="172">
        <f t="shared" si="2"/>
        <v>0.000723394157</v>
      </c>
      <c r="K16" s="173">
        <f t="shared" si="3"/>
        <v>0.8680729884</v>
      </c>
      <c r="L16" s="174">
        <f t="shared" si="4"/>
        <v>39.04071991</v>
      </c>
      <c r="M16" s="175" t="str">
        <f t="shared" si="5"/>
        <v>zeptimusQ</v>
      </c>
      <c r="N16" s="176">
        <f>IFERROR(__xludf.DUMMYFUNCTION("""COMPUTED_VALUE"""),13.0)</f>
        <v>13</v>
      </c>
      <c r="O16" s="176"/>
      <c r="P16" s="166" t="s">
        <v>440</v>
      </c>
      <c r="Q16" s="166" t="s">
        <v>443</v>
      </c>
      <c r="R16" s="176"/>
      <c r="S16" s="176"/>
      <c r="T16" s="176"/>
      <c r="U16" s="176"/>
      <c r="V16" s="176"/>
      <c r="W16" s="176"/>
      <c r="X16" s="176"/>
      <c r="Y16" s="176"/>
      <c r="Z16" s="176"/>
      <c r="AA16" s="176"/>
    </row>
    <row r="17">
      <c r="A17" s="165" t="str">
        <f>iferror(VLOOKUP(P17,'DO NOT TOUCH Imported'!$A$1:$D$800,4,False),iferror(VLOOKUP(P17,'DO NOT TOUCH Imported'!$C$1:$D$800,2,False),"OOPS FIX ME"))</f>
        <v>zeptimusQ</v>
      </c>
      <c r="B17" s="166" t="s">
        <v>463</v>
      </c>
      <c r="C17" s="167" t="s">
        <v>464</v>
      </c>
      <c r="D17" s="168" t="s">
        <v>437</v>
      </c>
      <c r="E17" s="177" t="s">
        <v>445</v>
      </c>
      <c r="F17" s="168" t="s">
        <v>439</v>
      </c>
      <c r="G17" s="170">
        <v>1000.0</v>
      </c>
      <c r="H17" s="171">
        <v>100.0</v>
      </c>
      <c r="I17" s="171">
        <v>100.0</v>
      </c>
      <c r="J17" s="172">
        <f t="shared" si="2"/>
        <v>0.000723394157</v>
      </c>
      <c r="K17" s="173">
        <f t="shared" si="3"/>
        <v>0.8680729884</v>
      </c>
      <c r="L17" s="174">
        <f t="shared" si="4"/>
        <v>39.04071991</v>
      </c>
      <c r="M17" s="175" t="str">
        <f t="shared" si="5"/>
        <v>zeptimusQ</v>
      </c>
      <c r="N17" s="176">
        <f>IFERROR(__xludf.DUMMYFUNCTION("""COMPUTED_VALUE"""),14.0)</f>
        <v>14</v>
      </c>
      <c r="O17" s="176"/>
      <c r="P17" s="166" t="s">
        <v>440</v>
      </c>
      <c r="Q17" s="166" t="s">
        <v>463</v>
      </c>
      <c r="R17" s="176"/>
      <c r="S17" s="176"/>
      <c r="T17" s="176"/>
      <c r="U17" s="176"/>
      <c r="V17" s="176"/>
      <c r="W17" s="176"/>
      <c r="X17" s="176"/>
      <c r="Y17" s="176"/>
      <c r="Z17" s="176"/>
      <c r="AA17" s="176"/>
    </row>
    <row r="18">
      <c r="A18" s="165" t="str">
        <f>iferror(VLOOKUP(P18,'DO NOT TOUCH Imported'!$A$1:$D$800,4,False),iferror(VLOOKUP(P18,'DO NOT TOUCH Imported'!$C$1:$D$800,2,False),"OOPS FIX ME"))</f>
        <v>zeptimusQ</v>
      </c>
      <c r="B18" s="166" t="s">
        <v>435</v>
      </c>
      <c r="C18" s="167" t="s">
        <v>465</v>
      </c>
      <c r="D18" s="168" t="s">
        <v>437</v>
      </c>
      <c r="E18" s="177" t="s">
        <v>445</v>
      </c>
      <c r="F18" s="168" t="s">
        <v>439</v>
      </c>
      <c r="G18" s="170">
        <v>1000.0</v>
      </c>
      <c r="H18" s="171">
        <v>100.0</v>
      </c>
      <c r="I18" s="171">
        <v>100.0</v>
      </c>
      <c r="J18" s="172">
        <f t="shared" si="2"/>
        <v>0.000723394157</v>
      </c>
      <c r="K18" s="173">
        <f t="shared" si="3"/>
        <v>0.8680729884</v>
      </c>
      <c r="L18" s="174">
        <f t="shared" si="4"/>
        <v>39.04071991</v>
      </c>
      <c r="M18" s="175" t="str">
        <f t="shared" si="5"/>
        <v>zeptimusQ</v>
      </c>
      <c r="N18" s="176">
        <f>IFERROR(__xludf.DUMMYFUNCTION("""COMPUTED_VALUE"""),15.0)</f>
        <v>15</v>
      </c>
      <c r="O18" s="176"/>
      <c r="P18" s="166" t="s">
        <v>440</v>
      </c>
      <c r="Q18" s="166" t="s">
        <v>435</v>
      </c>
      <c r="R18" s="176"/>
      <c r="S18" s="176"/>
      <c r="T18" s="176"/>
      <c r="U18" s="176"/>
      <c r="V18" s="176"/>
      <c r="W18" s="176"/>
      <c r="X18" s="176"/>
      <c r="Y18" s="176"/>
      <c r="Z18" s="176"/>
      <c r="AA18" s="176"/>
    </row>
    <row r="19">
      <c r="A19" s="165" t="str">
        <f>iferror(VLOOKUP(P19,'DO NOT TOUCH Imported'!$A$1:$D$800,4,False),iferror(VLOOKUP(P19,'DO NOT TOUCH Imported'!$C$1:$D$800,2,False),"OOPS FIX ME"))</f>
        <v>zeptimusQ</v>
      </c>
      <c r="B19" s="166" t="s">
        <v>441</v>
      </c>
      <c r="C19" s="167" t="s">
        <v>466</v>
      </c>
      <c r="D19" s="168" t="s">
        <v>437</v>
      </c>
      <c r="E19" s="177" t="s">
        <v>447</v>
      </c>
      <c r="F19" s="168" t="s">
        <v>439</v>
      </c>
      <c r="G19" s="170">
        <v>1000.0</v>
      </c>
      <c r="H19" s="171">
        <v>100.0</v>
      </c>
      <c r="I19" s="171">
        <v>100.0</v>
      </c>
      <c r="J19" s="172">
        <f t="shared" si="2"/>
        <v>0.000723394157</v>
      </c>
      <c r="K19" s="173">
        <f t="shared" si="3"/>
        <v>0.8680729884</v>
      </c>
      <c r="L19" s="174">
        <f t="shared" si="4"/>
        <v>39.04071991</v>
      </c>
      <c r="M19" s="175" t="str">
        <f t="shared" si="5"/>
        <v>zeptimusQ</v>
      </c>
      <c r="N19" s="176">
        <f>IFERROR(__xludf.DUMMYFUNCTION("""COMPUTED_VALUE"""),16.0)</f>
        <v>16</v>
      </c>
      <c r="O19" s="176"/>
      <c r="P19" s="166" t="s">
        <v>440</v>
      </c>
      <c r="Q19" s="166" t="s">
        <v>441</v>
      </c>
      <c r="R19" s="176"/>
      <c r="S19" s="176"/>
      <c r="T19" s="176"/>
      <c r="U19" s="176"/>
      <c r="V19" s="176"/>
      <c r="W19" s="176"/>
      <c r="X19" s="176"/>
      <c r="Y19" s="176"/>
      <c r="Z19" s="176"/>
      <c r="AA19" s="176"/>
    </row>
    <row r="20">
      <c r="A20" s="165" t="str">
        <f>iferror(VLOOKUP(P20,'DO NOT TOUCH Imported'!$A$1:$D$800,4,False),iferror(VLOOKUP(P20,'DO NOT TOUCH Imported'!$C$1:$D$800,2,False),"OOPS FIX ME"))</f>
        <v>zeptimusQ</v>
      </c>
      <c r="B20" s="166" t="s">
        <v>441</v>
      </c>
      <c r="C20" s="167" t="s">
        <v>467</v>
      </c>
      <c r="D20" s="168" t="s">
        <v>437</v>
      </c>
      <c r="E20" s="169" t="s">
        <v>447</v>
      </c>
      <c r="F20" s="168" t="s">
        <v>439</v>
      </c>
      <c r="G20" s="170">
        <v>1000.0</v>
      </c>
      <c r="H20" s="171">
        <v>100.0</v>
      </c>
      <c r="I20" s="171">
        <v>100.0</v>
      </c>
      <c r="J20" s="172">
        <f t="shared" si="2"/>
        <v>0.000723394157</v>
      </c>
      <c r="K20" s="173">
        <f t="shared" si="3"/>
        <v>0.8680729884</v>
      </c>
      <c r="L20" s="174">
        <f t="shared" si="4"/>
        <v>39.04071991</v>
      </c>
      <c r="M20" s="175" t="str">
        <f t="shared" si="5"/>
        <v>zeptimusQ</v>
      </c>
      <c r="N20" s="176">
        <f>IFERROR(__xludf.DUMMYFUNCTION("""COMPUTED_VALUE"""),17.0)</f>
        <v>17</v>
      </c>
      <c r="O20" s="176"/>
      <c r="P20" s="166" t="s">
        <v>440</v>
      </c>
      <c r="Q20" s="166" t="s">
        <v>441</v>
      </c>
      <c r="R20" s="176"/>
      <c r="S20" s="176"/>
      <c r="T20" s="176"/>
      <c r="U20" s="176"/>
      <c r="V20" s="176"/>
      <c r="W20" s="176"/>
      <c r="X20" s="176"/>
      <c r="Y20" s="176"/>
      <c r="Z20" s="176"/>
      <c r="AA20" s="176"/>
    </row>
    <row r="21">
      <c r="A21" s="165" t="str">
        <f>iferror(VLOOKUP(P21,'DO NOT TOUCH Imported'!$A$1:$D$800,4,False),iferror(VLOOKUP(P21,'DO NOT TOUCH Imported'!$C$1:$D$800,2,False),"OOPS FIX ME"))</f>
        <v>zeptimusQ</v>
      </c>
      <c r="B21" s="166" t="s">
        <v>441</v>
      </c>
      <c r="C21" s="167" t="s">
        <v>468</v>
      </c>
      <c r="D21" s="168" t="s">
        <v>437</v>
      </c>
      <c r="E21" s="169" t="s">
        <v>447</v>
      </c>
      <c r="F21" s="168" t="s">
        <v>439</v>
      </c>
      <c r="G21" s="170">
        <v>1000.0</v>
      </c>
      <c r="H21" s="171">
        <v>100.0</v>
      </c>
      <c r="I21" s="171">
        <v>100.0</v>
      </c>
      <c r="J21" s="172">
        <f t="shared" si="2"/>
        <v>0.000723394157</v>
      </c>
      <c r="K21" s="173">
        <f t="shared" si="3"/>
        <v>0.8680729884</v>
      </c>
      <c r="L21" s="174">
        <f t="shared" si="4"/>
        <v>39.04071991</v>
      </c>
      <c r="M21" s="175" t="str">
        <f t="shared" si="5"/>
        <v>zeptimusQ</v>
      </c>
      <c r="N21" s="176">
        <f>IFERROR(__xludf.DUMMYFUNCTION("""COMPUTED_VALUE"""),18.0)</f>
        <v>18</v>
      </c>
      <c r="O21" s="176"/>
      <c r="P21" s="166" t="s">
        <v>440</v>
      </c>
      <c r="Q21" s="166" t="s">
        <v>441</v>
      </c>
      <c r="R21" s="176"/>
      <c r="S21" s="176"/>
      <c r="T21" s="176"/>
      <c r="U21" s="176"/>
      <c r="V21" s="176"/>
      <c r="W21" s="176"/>
      <c r="X21" s="176"/>
      <c r="Y21" s="176"/>
      <c r="Z21" s="176"/>
      <c r="AA21" s="176"/>
    </row>
    <row r="22">
      <c r="A22" s="165" t="str">
        <f>iferror(VLOOKUP(P22,'DO NOT TOUCH Imported'!$A$1:$D$800,4,False),iferror(VLOOKUP(P22,'DO NOT TOUCH Imported'!$C$1:$D$800,2,False),"OOPS FIX ME"))</f>
        <v>zeptimusQ</v>
      </c>
      <c r="B22" s="166" t="s">
        <v>441</v>
      </c>
      <c r="C22" s="167" t="s">
        <v>469</v>
      </c>
      <c r="D22" s="168" t="s">
        <v>437</v>
      </c>
      <c r="E22" s="177" t="s">
        <v>447</v>
      </c>
      <c r="F22" s="168" t="s">
        <v>439</v>
      </c>
      <c r="G22" s="170">
        <v>1000.0</v>
      </c>
      <c r="H22" s="171">
        <v>100.0</v>
      </c>
      <c r="I22" s="171">
        <v>100.0</v>
      </c>
      <c r="J22" s="172">
        <f t="shared" si="2"/>
        <v>0.000723394157</v>
      </c>
      <c r="K22" s="173">
        <f t="shared" si="3"/>
        <v>0.8680729884</v>
      </c>
      <c r="L22" s="174">
        <f t="shared" si="4"/>
        <v>39.04071991</v>
      </c>
      <c r="M22" s="175" t="str">
        <f t="shared" si="5"/>
        <v>zeptimusQ</v>
      </c>
      <c r="N22" s="176">
        <f>IFERROR(__xludf.DUMMYFUNCTION("""COMPUTED_VALUE"""),19.0)</f>
        <v>19</v>
      </c>
      <c r="O22" s="176"/>
      <c r="P22" s="166" t="s">
        <v>440</v>
      </c>
      <c r="Q22" s="166" t="s">
        <v>441</v>
      </c>
      <c r="R22" s="176"/>
      <c r="S22" s="176"/>
      <c r="T22" s="176"/>
      <c r="U22" s="176"/>
      <c r="V22" s="176"/>
      <c r="W22" s="176"/>
      <c r="X22" s="176"/>
      <c r="Y22" s="176"/>
      <c r="Z22" s="176"/>
      <c r="AA22" s="176"/>
    </row>
    <row r="23">
      <c r="A23" s="165" t="str">
        <f>iferror(VLOOKUP(P23,'DO NOT TOUCH Imported'!$A$1:$D$800,4,False),iferror(VLOOKUP(P23,'DO NOT TOUCH Imported'!$C$1:$D$800,2,False),"OOPS FIX ME"))</f>
        <v>zeptimusQ</v>
      </c>
      <c r="B23" s="166" t="s">
        <v>440</v>
      </c>
      <c r="C23" s="167" t="s">
        <v>470</v>
      </c>
      <c r="D23" s="168" t="s">
        <v>437</v>
      </c>
      <c r="E23" s="177" t="s">
        <v>447</v>
      </c>
      <c r="F23" s="168" t="s">
        <v>439</v>
      </c>
      <c r="G23" s="170">
        <v>1000.0</v>
      </c>
      <c r="H23" s="171">
        <v>100.0</v>
      </c>
      <c r="I23" s="171">
        <v>100.0</v>
      </c>
      <c r="J23" s="172">
        <f t="shared" si="2"/>
        <v>0.000723394157</v>
      </c>
      <c r="K23" s="173">
        <f t="shared" si="3"/>
        <v>0.8680729884</v>
      </c>
      <c r="L23" s="174">
        <f t="shared" si="4"/>
        <v>39.04071991</v>
      </c>
      <c r="M23" s="175" t="str">
        <f t="shared" si="5"/>
        <v>zeptimusQ</v>
      </c>
      <c r="N23" s="176">
        <f>IFERROR(__xludf.DUMMYFUNCTION("""COMPUTED_VALUE"""),20.0)</f>
        <v>20</v>
      </c>
      <c r="O23" s="176"/>
      <c r="P23" s="166" t="s">
        <v>440</v>
      </c>
      <c r="Q23" s="166" t="s">
        <v>440</v>
      </c>
      <c r="R23" s="176"/>
      <c r="S23" s="176"/>
      <c r="T23" s="176"/>
      <c r="U23" s="176"/>
      <c r="V23" s="176"/>
      <c r="W23" s="176"/>
      <c r="X23" s="176"/>
      <c r="Y23" s="176"/>
      <c r="Z23" s="176"/>
      <c r="AA23" s="176"/>
    </row>
    <row r="24">
      <c r="A24" s="165" t="str">
        <f>iferror(VLOOKUP(P24,'DO NOT TOUCH Imported'!$A$1:$D$800,4,False),iferror(VLOOKUP(P24,'DO NOT TOUCH Imported'!$C$1:$D$800,2,False),"OOPS FIX ME"))</f>
        <v>zeptimusQ</v>
      </c>
      <c r="B24" s="166" t="s">
        <v>440</v>
      </c>
      <c r="C24" s="167" t="s">
        <v>471</v>
      </c>
      <c r="D24" s="168" t="s">
        <v>437</v>
      </c>
      <c r="E24" s="177" t="s">
        <v>447</v>
      </c>
      <c r="F24" s="168" t="s">
        <v>439</v>
      </c>
      <c r="G24" s="170">
        <v>1000.0</v>
      </c>
      <c r="H24" s="171">
        <v>100.0</v>
      </c>
      <c r="I24" s="171">
        <v>100.0</v>
      </c>
      <c r="J24" s="172">
        <f t="shared" si="2"/>
        <v>0.000723394157</v>
      </c>
      <c r="K24" s="173">
        <f t="shared" si="3"/>
        <v>0.8680729884</v>
      </c>
      <c r="L24" s="174">
        <f t="shared" si="4"/>
        <v>39.04071991</v>
      </c>
      <c r="M24" s="175" t="str">
        <f t="shared" si="5"/>
        <v>zeptimusQ</v>
      </c>
      <c r="N24" s="176">
        <f>IFERROR(__xludf.DUMMYFUNCTION("""COMPUTED_VALUE"""),21.0)</f>
        <v>21</v>
      </c>
      <c r="O24" s="176"/>
      <c r="P24" s="166" t="s">
        <v>440</v>
      </c>
      <c r="Q24" s="166" t="s">
        <v>440</v>
      </c>
      <c r="R24" s="176"/>
      <c r="S24" s="176"/>
      <c r="T24" s="176"/>
      <c r="U24" s="176"/>
      <c r="V24" s="176"/>
      <c r="W24" s="176"/>
      <c r="X24" s="176"/>
      <c r="Y24" s="176"/>
      <c r="Z24" s="176"/>
      <c r="AA24" s="176"/>
    </row>
    <row r="25">
      <c r="A25" s="165" t="str">
        <f>iferror(VLOOKUP(P25,'DO NOT TOUCH Imported'!$A$1:$D$800,4,False),iferror(VLOOKUP(P25,'DO NOT TOUCH Imported'!$C$1:$D$800,2,False),"OOPS FIX ME"))</f>
        <v>zeptimusQ</v>
      </c>
      <c r="B25" s="166" t="s">
        <v>450</v>
      </c>
      <c r="C25" s="167" t="s">
        <v>472</v>
      </c>
      <c r="D25" s="168" t="s">
        <v>437</v>
      </c>
      <c r="E25" s="169" t="s">
        <v>452</v>
      </c>
      <c r="F25" s="168" t="s">
        <v>473</v>
      </c>
      <c r="G25" s="170">
        <v>1000.0</v>
      </c>
      <c r="H25" s="171">
        <v>100.0</v>
      </c>
      <c r="I25" s="171">
        <v>100.0</v>
      </c>
      <c r="J25" s="172">
        <f t="shared" si="2"/>
        <v>0.000723394157</v>
      </c>
      <c r="K25" s="173">
        <f t="shared" si="3"/>
        <v>0.8680729884</v>
      </c>
      <c r="L25" s="174">
        <f t="shared" si="4"/>
        <v>39.04071991</v>
      </c>
      <c r="M25" s="175" t="str">
        <f t="shared" si="5"/>
        <v>zeptimusQ</v>
      </c>
      <c r="N25" s="176">
        <f>IFERROR(__xludf.DUMMYFUNCTION("""COMPUTED_VALUE"""),22.0)</f>
        <v>22</v>
      </c>
      <c r="O25" s="176"/>
      <c r="P25" s="166" t="s">
        <v>440</v>
      </c>
      <c r="Q25" s="166" t="s">
        <v>450</v>
      </c>
      <c r="R25" s="176"/>
      <c r="S25" s="176"/>
      <c r="T25" s="176"/>
      <c r="U25" s="176"/>
      <c r="V25" s="176"/>
      <c r="W25" s="176"/>
      <c r="X25" s="176"/>
      <c r="Y25" s="176"/>
      <c r="Z25" s="176"/>
      <c r="AA25" s="176"/>
    </row>
    <row r="26">
      <c r="A26" s="165" t="str">
        <f>iferror(VLOOKUP(P26,'DO NOT TOUCH Imported'!$A$1:$D$800,4,False),iferror(VLOOKUP(P26,'DO NOT TOUCH Imported'!$C$1:$D$800,2,False),"OOPS FIX ME"))</f>
        <v>zeptimusQ</v>
      </c>
      <c r="B26" s="166" t="s">
        <v>441</v>
      </c>
      <c r="C26" s="167" t="s">
        <v>474</v>
      </c>
      <c r="D26" s="168" t="s">
        <v>437</v>
      </c>
      <c r="E26" s="177" t="s">
        <v>438</v>
      </c>
      <c r="F26" s="168" t="s">
        <v>439</v>
      </c>
      <c r="G26" s="170">
        <v>1000.0</v>
      </c>
      <c r="H26" s="171">
        <v>100.0</v>
      </c>
      <c r="I26" s="171">
        <v>100.0</v>
      </c>
      <c r="J26" s="172">
        <f t="shared" si="2"/>
        <v>0.000723394157</v>
      </c>
      <c r="K26" s="173">
        <f t="shared" si="3"/>
        <v>0.8680729884</v>
      </c>
      <c r="L26" s="174">
        <f t="shared" si="4"/>
        <v>39.04071991</v>
      </c>
      <c r="M26" s="175" t="str">
        <f t="shared" si="5"/>
        <v>zeptimusQ</v>
      </c>
      <c r="N26" s="176">
        <f>IFERROR(__xludf.DUMMYFUNCTION("""COMPUTED_VALUE"""),23.0)</f>
        <v>23</v>
      </c>
      <c r="O26" s="176"/>
      <c r="P26" s="166" t="s">
        <v>440</v>
      </c>
      <c r="Q26" s="166" t="s">
        <v>441</v>
      </c>
      <c r="R26" s="176"/>
      <c r="S26" s="176"/>
      <c r="T26" s="176"/>
      <c r="U26" s="176"/>
      <c r="V26" s="176"/>
      <c r="W26" s="176"/>
      <c r="X26" s="176"/>
      <c r="Y26" s="176"/>
      <c r="Z26" s="176"/>
      <c r="AA26" s="176"/>
    </row>
    <row r="27">
      <c r="A27" s="165" t="str">
        <f>iferror(VLOOKUP(P27,'DO NOT TOUCH Imported'!$A$1:$D$800,4,False),iferror(VLOOKUP(P27,'DO NOT TOUCH Imported'!$C$1:$D$800,2,False),"OOPS FIX ME"))</f>
        <v>zeptimusQ</v>
      </c>
      <c r="B27" s="166" t="s">
        <v>441</v>
      </c>
      <c r="C27" s="167" t="s">
        <v>475</v>
      </c>
      <c r="D27" s="168" t="s">
        <v>437</v>
      </c>
      <c r="E27" s="177" t="s">
        <v>438</v>
      </c>
      <c r="F27" s="168" t="s">
        <v>439</v>
      </c>
      <c r="G27" s="170">
        <v>1000.0</v>
      </c>
      <c r="H27" s="171">
        <v>100.0</v>
      </c>
      <c r="I27" s="171">
        <v>100.0</v>
      </c>
      <c r="J27" s="172">
        <f t="shared" si="2"/>
        <v>0.000723394157</v>
      </c>
      <c r="K27" s="173">
        <f t="shared" si="3"/>
        <v>0.8680729884</v>
      </c>
      <c r="L27" s="174">
        <f t="shared" si="4"/>
        <v>39.04071991</v>
      </c>
      <c r="M27" s="175" t="str">
        <f t="shared" si="5"/>
        <v>zeptimusQ</v>
      </c>
      <c r="N27" s="176">
        <f>IFERROR(__xludf.DUMMYFUNCTION("""COMPUTED_VALUE"""),24.0)</f>
        <v>24</v>
      </c>
      <c r="O27" s="176"/>
      <c r="P27" s="166" t="s">
        <v>440</v>
      </c>
      <c r="Q27" s="166" t="s">
        <v>441</v>
      </c>
      <c r="R27" s="176"/>
      <c r="S27" s="176"/>
      <c r="T27" s="176"/>
      <c r="U27" s="176"/>
      <c r="V27" s="176"/>
      <c r="W27" s="176"/>
      <c r="X27" s="176"/>
      <c r="Y27" s="176"/>
      <c r="Z27" s="176"/>
      <c r="AA27" s="176"/>
    </row>
    <row r="28">
      <c r="A28" s="165" t="str">
        <f>iferror(VLOOKUP(P28,'DO NOT TOUCH Imported'!$A$1:$D$800,4,False),iferror(VLOOKUP(P28,'DO NOT TOUCH Imported'!$C$1:$D$800,2,False),"OOPS FIX ME"))</f>
        <v>zeptimusQ</v>
      </c>
      <c r="B28" s="166" t="s">
        <v>476</v>
      </c>
      <c r="C28" s="167" t="s">
        <v>477</v>
      </c>
      <c r="D28" s="168" t="s">
        <v>437</v>
      </c>
      <c r="E28" s="169" t="s">
        <v>478</v>
      </c>
      <c r="F28" s="168" t="s">
        <v>439</v>
      </c>
      <c r="G28" s="170">
        <v>1000.0</v>
      </c>
      <c r="H28" s="171">
        <v>90.0</v>
      </c>
      <c r="I28" s="171">
        <v>100.0</v>
      </c>
      <c r="J28" s="172">
        <f t="shared" si="2"/>
        <v>0.0006914702636</v>
      </c>
      <c r="K28" s="173">
        <f t="shared" si="3"/>
        <v>0.8297643163</v>
      </c>
      <c r="L28" s="174">
        <f t="shared" si="4"/>
        <v>39.04071991</v>
      </c>
      <c r="M28" s="175" t="str">
        <f t="shared" si="5"/>
        <v>zeptimusQ</v>
      </c>
      <c r="N28" s="176">
        <f>IFERROR(__xludf.DUMMYFUNCTION("""COMPUTED_VALUE"""),25.0)</f>
        <v>25</v>
      </c>
      <c r="O28" s="176"/>
      <c r="P28" s="166" t="s">
        <v>440</v>
      </c>
      <c r="Q28" s="166" t="s">
        <v>476</v>
      </c>
      <c r="R28" s="176"/>
      <c r="S28" s="176"/>
      <c r="T28" s="176"/>
      <c r="U28" s="176"/>
      <c r="V28" s="176"/>
      <c r="W28" s="176"/>
      <c r="X28" s="176"/>
      <c r="Y28" s="176"/>
      <c r="Z28" s="176"/>
      <c r="AA28" s="176"/>
    </row>
    <row r="29">
      <c r="A29" s="165" t="str">
        <f>iferror(VLOOKUP(P29,'DO NOT TOUCH Imported'!$A$1:$D$800,4,False),iferror(VLOOKUP(P29,'DO NOT TOUCH Imported'!$C$1:$D$800,2,False),"OOPS FIX ME"))</f>
        <v>zeptimusQ</v>
      </c>
      <c r="B29" s="166" t="s">
        <v>435</v>
      </c>
      <c r="C29" s="167" t="s">
        <v>479</v>
      </c>
      <c r="D29" s="168" t="s">
        <v>437</v>
      </c>
      <c r="E29" s="177" t="s">
        <v>455</v>
      </c>
      <c r="F29" s="168" t="s">
        <v>439</v>
      </c>
      <c r="G29" s="170">
        <v>1000.0</v>
      </c>
      <c r="H29" s="171">
        <v>90.0</v>
      </c>
      <c r="I29" s="171">
        <v>100.0</v>
      </c>
      <c r="J29" s="172">
        <f t="shared" si="2"/>
        <v>0.0006914702636</v>
      </c>
      <c r="K29" s="173">
        <f t="shared" si="3"/>
        <v>0.8297643163</v>
      </c>
      <c r="L29" s="174">
        <f t="shared" si="4"/>
        <v>39.04071991</v>
      </c>
      <c r="M29" s="175" t="str">
        <f t="shared" si="5"/>
        <v>zeptimusQ</v>
      </c>
      <c r="N29" s="176">
        <f>IFERROR(__xludf.DUMMYFUNCTION("""COMPUTED_VALUE"""),26.0)</f>
        <v>26</v>
      </c>
      <c r="O29" s="176"/>
      <c r="P29" s="166" t="s">
        <v>440</v>
      </c>
      <c r="Q29" s="166" t="s">
        <v>435</v>
      </c>
      <c r="R29" s="176"/>
      <c r="S29" s="176"/>
      <c r="T29" s="176"/>
      <c r="U29" s="176"/>
      <c r="V29" s="176"/>
      <c r="W29" s="176"/>
      <c r="X29" s="176"/>
      <c r="Y29" s="176"/>
      <c r="Z29" s="176"/>
      <c r="AA29" s="176"/>
    </row>
    <row r="30">
      <c r="A30" s="165" t="str">
        <f>iferror(VLOOKUP(P30,'DO NOT TOUCH Imported'!$A$1:$D$800,4,False),iferror(VLOOKUP(P30,'DO NOT TOUCH Imported'!$C$1:$D$800,2,False),"OOPS FIX ME"))</f>
        <v>zeptimusQ</v>
      </c>
      <c r="B30" s="166" t="s">
        <v>441</v>
      </c>
      <c r="C30" s="167" t="s">
        <v>480</v>
      </c>
      <c r="D30" s="168" t="s">
        <v>437</v>
      </c>
      <c r="E30" s="177" t="s">
        <v>438</v>
      </c>
      <c r="F30" s="168" t="s">
        <v>439</v>
      </c>
      <c r="G30" s="170">
        <v>1000.0</v>
      </c>
      <c r="H30" s="171">
        <v>90.0</v>
      </c>
      <c r="I30" s="171">
        <v>100.0</v>
      </c>
      <c r="J30" s="172">
        <f t="shared" si="2"/>
        <v>0.0006914702636</v>
      </c>
      <c r="K30" s="173">
        <f t="shared" si="3"/>
        <v>0.8297643163</v>
      </c>
      <c r="L30" s="174">
        <f t="shared" si="4"/>
        <v>39.04071991</v>
      </c>
      <c r="M30" s="175" t="str">
        <f t="shared" si="5"/>
        <v>zeptimusQ</v>
      </c>
      <c r="N30" s="176">
        <f>IFERROR(__xludf.DUMMYFUNCTION("""COMPUTED_VALUE"""),27.0)</f>
        <v>27</v>
      </c>
      <c r="O30" s="176"/>
      <c r="P30" s="166" t="s">
        <v>440</v>
      </c>
      <c r="Q30" s="166" t="s">
        <v>441</v>
      </c>
      <c r="R30" s="176"/>
      <c r="S30" s="176"/>
      <c r="T30" s="176"/>
      <c r="U30" s="176"/>
      <c r="V30" s="176"/>
      <c r="W30" s="176"/>
      <c r="X30" s="176"/>
      <c r="Y30" s="176"/>
      <c r="Z30" s="176"/>
      <c r="AA30" s="176"/>
    </row>
    <row r="31">
      <c r="A31" s="165" t="str">
        <f>iferror(VLOOKUP(P31,'DO NOT TOUCH Imported'!$A$1:$D$800,4,False),iferror(VLOOKUP(P31,'DO NOT TOUCH Imported'!$C$1:$D$800,2,False),"OOPS FIX ME"))</f>
        <v>zeptimusQ</v>
      </c>
      <c r="B31" s="166" t="s">
        <v>441</v>
      </c>
      <c r="C31" s="167" t="s">
        <v>481</v>
      </c>
      <c r="D31" s="168" t="s">
        <v>437</v>
      </c>
      <c r="E31" s="177" t="s">
        <v>447</v>
      </c>
      <c r="F31" s="168" t="s">
        <v>439</v>
      </c>
      <c r="G31" s="170">
        <v>1000.0</v>
      </c>
      <c r="H31" s="171">
        <v>80.0</v>
      </c>
      <c r="I31" s="171">
        <v>100.0</v>
      </c>
      <c r="J31" s="172">
        <f t="shared" si="2"/>
        <v>0.0006595463701</v>
      </c>
      <c r="K31" s="173">
        <f t="shared" si="3"/>
        <v>0.7914556442</v>
      </c>
      <c r="L31" s="174">
        <f t="shared" si="4"/>
        <v>39.04071991</v>
      </c>
      <c r="M31" s="175" t="str">
        <f t="shared" si="5"/>
        <v>zeptimusQ</v>
      </c>
      <c r="N31" s="176">
        <f>IFERROR(__xludf.DUMMYFUNCTION("""COMPUTED_VALUE"""),28.0)</f>
        <v>28</v>
      </c>
      <c r="O31" s="176"/>
      <c r="P31" s="166" t="s">
        <v>440</v>
      </c>
      <c r="Q31" s="166" t="s">
        <v>441</v>
      </c>
      <c r="R31" s="176"/>
      <c r="S31" s="176"/>
      <c r="T31" s="176"/>
      <c r="U31" s="176"/>
      <c r="V31" s="176"/>
      <c r="W31" s="176"/>
      <c r="X31" s="176"/>
      <c r="Y31" s="176"/>
      <c r="Z31" s="176"/>
      <c r="AA31" s="176"/>
    </row>
    <row r="32">
      <c r="A32" s="165" t="str">
        <f>iferror(VLOOKUP(P32,'DO NOT TOUCH Imported'!$A$1:$D$800,4,False),iferror(VLOOKUP(P32,'DO NOT TOUCH Imported'!$C$1:$D$800,2,False),"OOPS FIX ME"))</f>
        <v>zeptimusQ</v>
      </c>
      <c r="B32" s="166" t="s">
        <v>440</v>
      </c>
      <c r="C32" s="167" t="s">
        <v>482</v>
      </c>
      <c r="D32" s="168" t="s">
        <v>437</v>
      </c>
      <c r="E32" s="169" t="s">
        <v>452</v>
      </c>
      <c r="F32" s="168" t="s">
        <v>439</v>
      </c>
      <c r="G32" s="170">
        <v>1000.0</v>
      </c>
      <c r="H32" s="171">
        <v>80.0</v>
      </c>
      <c r="I32" s="171">
        <v>100.0</v>
      </c>
      <c r="J32" s="172">
        <f t="shared" si="2"/>
        <v>0.0006595463701</v>
      </c>
      <c r="K32" s="173">
        <f t="shared" si="3"/>
        <v>0.7914556442</v>
      </c>
      <c r="L32" s="174">
        <f t="shared" si="4"/>
        <v>39.04071991</v>
      </c>
      <c r="M32" s="175" t="str">
        <f t="shared" si="5"/>
        <v>zeptimusQ</v>
      </c>
      <c r="N32" s="176">
        <f>IFERROR(__xludf.DUMMYFUNCTION("""COMPUTED_VALUE"""),29.0)</f>
        <v>29</v>
      </c>
      <c r="O32" s="176"/>
      <c r="P32" s="166" t="s">
        <v>440</v>
      </c>
      <c r="Q32" s="166" t="s">
        <v>440</v>
      </c>
      <c r="R32" s="176"/>
      <c r="S32" s="176"/>
      <c r="T32" s="176"/>
      <c r="U32" s="176"/>
      <c r="V32" s="176"/>
      <c r="W32" s="176"/>
      <c r="X32" s="176"/>
      <c r="Y32" s="176"/>
      <c r="Z32" s="176"/>
      <c r="AA32" s="176"/>
    </row>
    <row r="33">
      <c r="A33" s="165" t="str">
        <f>iferror(VLOOKUP(P33,'DO NOT TOUCH Imported'!$A$1:$D$800,4,False),iferror(VLOOKUP(P33,'DO NOT TOUCH Imported'!$C$1:$D$800,2,False),"OOPS FIX ME"))</f>
        <v>zeptimusQ</v>
      </c>
      <c r="B33" s="166" t="s">
        <v>483</v>
      </c>
      <c r="C33" s="167" t="s">
        <v>484</v>
      </c>
      <c r="D33" s="168" t="s">
        <v>437</v>
      </c>
      <c r="E33" s="169" t="s">
        <v>478</v>
      </c>
      <c r="F33" s="168" t="s">
        <v>439</v>
      </c>
      <c r="G33" s="170">
        <v>1000.0</v>
      </c>
      <c r="H33" s="171">
        <v>80.0</v>
      </c>
      <c r="I33" s="171">
        <v>100.0</v>
      </c>
      <c r="J33" s="172">
        <f t="shared" si="2"/>
        <v>0.0006595463701</v>
      </c>
      <c r="K33" s="173">
        <f t="shared" si="3"/>
        <v>0.7914556442</v>
      </c>
      <c r="L33" s="174">
        <f t="shared" si="4"/>
        <v>39.04071991</v>
      </c>
      <c r="M33" s="175" t="str">
        <f t="shared" si="5"/>
        <v>zeptimusQ</v>
      </c>
      <c r="N33" s="176">
        <f>IFERROR(__xludf.DUMMYFUNCTION("""COMPUTED_VALUE"""),30.0)</f>
        <v>30</v>
      </c>
      <c r="O33" s="176"/>
      <c r="P33" s="166" t="s">
        <v>440</v>
      </c>
      <c r="Q33" s="166" t="s">
        <v>483</v>
      </c>
      <c r="R33" s="176"/>
      <c r="S33" s="176"/>
      <c r="T33" s="176"/>
      <c r="U33" s="176"/>
      <c r="V33" s="176"/>
      <c r="W33" s="176"/>
      <c r="X33" s="176"/>
      <c r="Y33" s="176"/>
      <c r="Z33" s="176"/>
      <c r="AA33" s="176"/>
    </row>
    <row r="34">
      <c r="A34" s="165" t="str">
        <f>iferror(VLOOKUP(P34,'DO NOT TOUCH Imported'!$A$1:$D$800,4,False),iferror(VLOOKUP(P34,'DO NOT TOUCH Imported'!$C$1:$D$800,2,False),"OOPS FIX ME"))</f>
        <v>zeptimusQ</v>
      </c>
      <c r="B34" s="166" t="s">
        <v>441</v>
      </c>
      <c r="C34" s="167" t="s">
        <v>485</v>
      </c>
      <c r="D34" s="168" t="s">
        <v>437</v>
      </c>
      <c r="E34" s="169" t="s">
        <v>438</v>
      </c>
      <c r="F34" s="168" t="s">
        <v>439</v>
      </c>
      <c r="G34" s="170">
        <v>1000.0</v>
      </c>
      <c r="H34" s="171">
        <v>80.0</v>
      </c>
      <c r="I34" s="171">
        <v>100.0</v>
      </c>
      <c r="J34" s="172">
        <f t="shared" si="2"/>
        <v>0.0006595463701</v>
      </c>
      <c r="K34" s="173">
        <f t="shared" si="3"/>
        <v>0.7914556442</v>
      </c>
      <c r="L34" s="174">
        <f t="shared" si="4"/>
        <v>39.04071991</v>
      </c>
      <c r="M34" s="175" t="str">
        <f t="shared" si="5"/>
        <v>zeptimusQ</v>
      </c>
      <c r="N34" s="176">
        <f>IFERROR(__xludf.DUMMYFUNCTION("""COMPUTED_VALUE"""),31.0)</f>
        <v>31</v>
      </c>
      <c r="O34" s="176"/>
      <c r="P34" s="166" t="s">
        <v>440</v>
      </c>
      <c r="Q34" s="166" t="s">
        <v>441</v>
      </c>
      <c r="R34" s="176"/>
      <c r="S34" s="176"/>
      <c r="T34" s="176"/>
      <c r="U34" s="176"/>
      <c r="V34" s="176"/>
      <c r="W34" s="176"/>
      <c r="X34" s="176"/>
      <c r="Y34" s="176"/>
      <c r="Z34" s="176"/>
      <c r="AA34" s="176"/>
    </row>
    <row r="35">
      <c r="A35" s="165" t="str">
        <f>iferror(VLOOKUP(P35,'DO NOT TOUCH Imported'!$A$1:$D$800,4,False),iferror(VLOOKUP(P35,'DO NOT TOUCH Imported'!$C$1:$D$800,2,False),"OOPS FIX ME"))</f>
        <v>zeptimusQ</v>
      </c>
      <c r="B35" s="166" t="s">
        <v>486</v>
      </c>
      <c r="C35" s="167" t="s">
        <v>487</v>
      </c>
      <c r="D35" s="168" t="s">
        <v>437</v>
      </c>
      <c r="E35" s="169" t="s">
        <v>488</v>
      </c>
      <c r="F35" s="168" t="s">
        <v>439</v>
      </c>
      <c r="G35" s="170">
        <v>1000.0</v>
      </c>
      <c r="H35" s="171">
        <v>70.0</v>
      </c>
      <c r="I35" s="171">
        <v>100.0</v>
      </c>
      <c r="J35" s="172">
        <f t="shared" si="2"/>
        <v>0.0006276224767</v>
      </c>
      <c r="K35" s="173">
        <f t="shared" si="3"/>
        <v>0.7531469721</v>
      </c>
      <c r="L35" s="174">
        <f t="shared" si="4"/>
        <v>39.04071991</v>
      </c>
      <c r="M35" s="175" t="str">
        <f t="shared" si="5"/>
        <v>zeptimusQ</v>
      </c>
      <c r="N35" s="176">
        <f>IFERROR(__xludf.DUMMYFUNCTION("""COMPUTED_VALUE"""),32.0)</f>
        <v>32</v>
      </c>
      <c r="O35" s="176"/>
      <c r="P35" s="166" t="s">
        <v>440</v>
      </c>
      <c r="Q35" s="166" t="s">
        <v>486</v>
      </c>
      <c r="R35" s="176"/>
      <c r="S35" s="176"/>
      <c r="T35" s="176"/>
      <c r="U35" s="176"/>
      <c r="V35" s="176"/>
      <c r="W35" s="176"/>
      <c r="X35" s="176"/>
      <c r="Y35" s="176"/>
      <c r="Z35" s="176"/>
      <c r="AA35" s="176"/>
    </row>
    <row r="36">
      <c r="A36" s="165" t="str">
        <f>iferror(VLOOKUP(P36,'DO NOT TOUCH Imported'!$A$1:$D$800,4,False),iferror(VLOOKUP(P36,'DO NOT TOUCH Imported'!$C$1:$D$800,2,False),"OOPS FIX ME"))</f>
        <v>zeptimusQ</v>
      </c>
      <c r="B36" s="166" t="s">
        <v>440</v>
      </c>
      <c r="C36" s="167" t="s">
        <v>489</v>
      </c>
      <c r="D36" s="168" t="s">
        <v>437</v>
      </c>
      <c r="E36" s="177" t="s">
        <v>488</v>
      </c>
      <c r="F36" s="168" t="s">
        <v>439</v>
      </c>
      <c r="G36" s="170">
        <v>1000.0</v>
      </c>
      <c r="H36" s="171">
        <v>70.0</v>
      </c>
      <c r="I36" s="171">
        <v>100.0</v>
      </c>
      <c r="J36" s="172">
        <f t="shared" si="2"/>
        <v>0.0006276224767</v>
      </c>
      <c r="K36" s="173">
        <f t="shared" si="3"/>
        <v>0.7531469721</v>
      </c>
      <c r="L36" s="174">
        <f t="shared" si="4"/>
        <v>39.04071991</v>
      </c>
      <c r="M36" s="175" t="str">
        <f t="shared" si="5"/>
        <v>zeptimusQ</v>
      </c>
      <c r="N36" s="176">
        <f>IFERROR(__xludf.DUMMYFUNCTION("""COMPUTED_VALUE"""),33.0)</f>
        <v>33</v>
      </c>
      <c r="O36" s="176"/>
      <c r="P36" s="166" t="s">
        <v>440</v>
      </c>
      <c r="Q36" s="166" t="s">
        <v>440</v>
      </c>
      <c r="R36" s="176"/>
      <c r="S36" s="176"/>
      <c r="T36" s="176"/>
      <c r="U36" s="176"/>
      <c r="V36" s="176"/>
      <c r="W36" s="176"/>
      <c r="X36" s="176"/>
      <c r="Y36" s="176"/>
      <c r="Z36" s="176"/>
      <c r="AA36" s="176"/>
    </row>
    <row r="37">
      <c r="A37" s="165" t="str">
        <f>iferror(VLOOKUP(P37,'DO NOT TOUCH Imported'!$A$1:$D$800,4,False),iferror(VLOOKUP(P37,'DO NOT TOUCH Imported'!$C$1:$D$800,2,False),"OOPS FIX ME"))</f>
        <v>zeptimusQ</v>
      </c>
      <c r="B37" s="166" t="s">
        <v>490</v>
      </c>
      <c r="C37" s="167" t="s">
        <v>491</v>
      </c>
      <c r="D37" s="168" t="s">
        <v>437</v>
      </c>
      <c r="E37" s="177" t="s">
        <v>445</v>
      </c>
      <c r="F37" s="168" t="s">
        <v>439</v>
      </c>
      <c r="G37" s="170">
        <v>1000.0</v>
      </c>
      <c r="H37" s="171">
        <v>70.0</v>
      </c>
      <c r="I37" s="171">
        <v>100.0</v>
      </c>
      <c r="J37" s="172">
        <f t="shared" si="2"/>
        <v>0.0006276224767</v>
      </c>
      <c r="K37" s="173">
        <f t="shared" si="3"/>
        <v>0.7531469721</v>
      </c>
      <c r="L37" s="174">
        <f t="shared" si="4"/>
        <v>39.04071991</v>
      </c>
      <c r="M37" s="175" t="str">
        <f t="shared" si="5"/>
        <v>zeptimusQ</v>
      </c>
      <c r="N37" s="176">
        <f>IFERROR(__xludf.DUMMYFUNCTION("""COMPUTED_VALUE"""),34.0)</f>
        <v>34</v>
      </c>
      <c r="O37" s="176"/>
      <c r="P37" s="166" t="s">
        <v>440</v>
      </c>
      <c r="Q37" s="166" t="s">
        <v>490</v>
      </c>
      <c r="R37" s="176"/>
      <c r="S37" s="176"/>
      <c r="T37" s="176"/>
      <c r="U37" s="176"/>
      <c r="V37" s="176"/>
      <c r="W37" s="176"/>
      <c r="X37" s="176"/>
      <c r="Y37" s="176"/>
      <c r="Z37" s="176"/>
      <c r="AA37" s="176"/>
    </row>
    <row r="38">
      <c r="A38" s="165" t="str">
        <f>iferror(VLOOKUP(P38,'DO NOT TOUCH Imported'!$A$1:$D$800,4,False),iferror(VLOOKUP(P38,'DO NOT TOUCH Imported'!$C$1:$D$800,2,False),"OOPS FIX ME"))</f>
        <v>zeptimusQ</v>
      </c>
      <c r="B38" s="166" t="s">
        <v>492</v>
      </c>
      <c r="C38" s="167" t="s">
        <v>493</v>
      </c>
      <c r="D38" s="168" t="s">
        <v>437</v>
      </c>
      <c r="E38" s="177" t="s">
        <v>445</v>
      </c>
      <c r="F38" s="168" t="s">
        <v>439</v>
      </c>
      <c r="G38" s="170">
        <v>1000.0</v>
      </c>
      <c r="H38" s="171">
        <v>70.0</v>
      </c>
      <c r="I38" s="171">
        <v>100.0</v>
      </c>
      <c r="J38" s="172">
        <f t="shared" si="2"/>
        <v>0.0006276224767</v>
      </c>
      <c r="K38" s="173">
        <f t="shared" si="3"/>
        <v>0.7531469721</v>
      </c>
      <c r="L38" s="174">
        <f t="shared" si="4"/>
        <v>39.04071991</v>
      </c>
      <c r="M38" s="175" t="str">
        <f t="shared" si="5"/>
        <v>zeptimusQ</v>
      </c>
      <c r="N38" s="176">
        <f>IFERROR(__xludf.DUMMYFUNCTION("""COMPUTED_VALUE"""),35.0)</f>
        <v>35</v>
      </c>
      <c r="O38" s="176"/>
      <c r="P38" s="166" t="s">
        <v>440</v>
      </c>
      <c r="Q38" s="166" t="s">
        <v>492</v>
      </c>
      <c r="R38" s="176"/>
      <c r="S38" s="176"/>
      <c r="T38" s="176"/>
      <c r="U38" s="176"/>
      <c r="V38" s="176"/>
      <c r="W38" s="176"/>
      <c r="X38" s="176"/>
      <c r="Y38" s="176"/>
      <c r="Z38" s="176"/>
      <c r="AA38" s="176"/>
    </row>
    <row r="39">
      <c r="A39" s="165" t="str">
        <f>iferror(VLOOKUP(P39,'DO NOT TOUCH Imported'!$A$1:$D$800,4,False),iferror(VLOOKUP(P39,'DO NOT TOUCH Imported'!$C$1:$D$800,2,False),"OOPS FIX ME"))</f>
        <v>zeptimusQ</v>
      </c>
      <c r="B39" s="178" t="s">
        <v>10</v>
      </c>
      <c r="C39" s="179" t="s">
        <v>494</v>
      </c>
      <c r="D39" s="180" t="s">
        <v>495</v>
      </c>
      <c r="E39" s="181">
        <v>44324.0</v>
      </c>
      <c r="F39" s="182" t="s">
        <v>496</v>
      </c>
      <c r="G39" s="170">
        <v>1000.0</v>
      </c>
      <c r="H39" s="171">
        <v>50.0</v>
      </c>
      <c r="I39" s="171">
        <v>100.0</v>
      </c>
      <c r="J39" s="172">
        <f t="shared" si="2"/>
        <v>0.0005637746898</v>
      </c>
      <c r="K39" s="173">
        <f t="shared" si="3"/>
        <v>0.6765296278</v>
      </c>
      <c r="L39" s="174">
        <f t="shared" si="4"/>
        <v>39.04071991</v>
      </c>
      <c r="M39" s="175" t="str">
        <f t="shared" si="5"/>
        <v>zeptimusQ</v>
      </c>
      <c r="N39" s="176">
        <f>IFERROR(__xludf.DUMMYFUNCTION("""COMPUTED_VALUE"""),36.0)</f>
        <v>36</v>
      </c>
      <c r="O39" s="176"/>
      <c r="P39" s="183" t="s">
        <v>3</v>
      </c>
      <c r="Q39" s="178" t="s">
        <v>10</v>
      </c>
      <c r="R39" s="176"/>
      <c r="S39" s="176"/>
      <c r="T39" s="176"/>
      <c r="U39" s="176"/>
      <c r="V39" s="176"/>
      <c r="W39" s="176"/>
      <c r="X39" s="176"/>
      <c r="Y39" s="176"/>
      <c r="Z39" s="176"/>
      <c r="AA39" s="176"/>
    </row>
    <row r="40">
      <c r="A40" s="165" t="str">
        <f>iferror(VLOOKUP(P40,'DO NOT TOUCH Imported'!$A$1:$D$800,4,False),iferror(VLOOKUP(P40,'DO NOT TOUCH Imported'!$C$1:$D$800,2,False),"OOPS FIX ME"))</f>
        <v>zeptimusQ</v>
      </c>
      <c r="B40" s="166" t="s">
        <v>441</v>
      </c>
      <c r="C40" s="167" t="s">
        <v>497</v>
      </c>
      <c r="D40" s="168" t="s">
        <v>437</v>
      </c>
      <c r="E40" s="169" t="s">
        <v>438</v>
      </c>
      <c r="F40" s="168" t="s">
        <v>439</v>
      </c>
      <c r="G40" s="170">
        <v>1000.0</v>
      </c>
      <c r="H40" s="171">
        <v>50.0</v>
      </c>
      <c r="I40" s="171">
        <v>100.0</v>
      </c>
      <c r="J40" s="172">
        <f t="shared" si="2"/>
        <v>0.0005637746898</v>
      </c>
      <c r="K40" s="173">
        <f t="shared" si="3"/>
        <v>0.6765296278</v>
      </c>
      <c r="L40" s="174">
        <f t="shared" si="4"/>
        <v>39.04071991</v>
      </c>
      <c r="M40" s="175" t="str">
        <f t="shared" si="5"/>
        <v>zeptimusQ</v>
      </c>
      <c r="N40" s="176">
        <f>IFERROR(__xludf.DUMMYFUNCTION("""COMPUTED_VALUE"""),37.0)</f>
        <v>37</v>
      </c>
      <c r="O40" s="176"/>
      <c r="P40" s="166" t="s">
        <v>440</v>
      </c>
      <c r="Q40" s="166" t="s">
        <v>441</v>
      </c>
      <c r="R40" s="176"/>
      <c r="S40" s="176"/>
      <c r="T40" s="176"/>
      <c r="U40" s="176"/>
      <c r="V40" s="176"/>
      <c r="W40" s="176"/>
      <c r="X40" s="176"/>
      <c r="Y40" s="176"/>
      <c r="Z40" s="176"/>
      <c r="AA40" s="176"/>
    </row>
    <row r="41">
      <c r="A41" s="165" t="str">
        <f>iferror(VLOOKUP(P41,'DO NOT TOUCH Imported'!$A$1:$D$800,4,False),iferror(VLOOKUP(P41,'DO NOT TOUCH Imported'!$C$1:$D$800,2,False),"OOPS FIX ME"))</f>
        <v>zeptimusQ</v>
      </c>
      <c r="B41" s="178" t="s">
        <v>10</v>
      </c>
      <c r="C41" s="179" t="s">
        <v>498</v>
      </c>
      <c r="D41" s="180" t="s">
        <v>495</v>
      </c>
      <c r="E41" s="184">
        <v>44316.0</v>
      </c>
      <c r="F41" s="182" t="s">
        <v>499</v>
      </c>
      <c r="G41" s="170">
        <v>500.0</v>
      </c>
      <c r="H41" s="171">
        <v>25.0</v>
      </c>
      <c r="I41" s="171">
        <v>100.0</v>
      </c>
      <c r="J41" s="172">
        <f t="shared" si="2"/>
        <v>0.0004317674408</v>
      </c>
      <c r="K41" s="173">
        <f t="shared" si="3"/>
        <v>0.518120929</v>
      </c>
      <c r="L41" s="174">
        <f t="shared" si="4"/>
        <v>39.04071991</v>
      </c>
      <c r="M41" s="175" t="str">
        <f t="shared" si="5"/>
        <v>zeptimusQ</v>
      </c>
      <c r="N41" s="176">
        <f>IFERROR(__xludf.DUMMYFUNCTION("""COMPUTED_VALUE"""),38.0)</f>
        <v>38</v>
      </c>
      <c r="O41" s="176"/>
      <c r="P41" s="183" t="s">
        <v>3</v>
      </c>
      <c r="Q41" s="178" t="s">
        <v>10</v>
      </c>
      <c r="R41" s="176"/>
      <c r="S41" s="176"/>
      <c r="T41" s="176"/>
      <c r="U41" s="176"/>
      <c r="V41" s="176"/>
      <c r="W41" s="176"/>
      <c r="X41" s="176"/>
      <c r="Y41" s="176"/>
      <c r="Z41" s="176"/>
      <c r="AA41" s="176"/>
    </row>
    <row r="42">
      <c r="A42" s="165" t="str">
        <f>iferror(VLOOKUP(P42,'DO NOT TOUCH Imported'!$A$1:$D$800,4,False),iferror(VLOOKUP(P42,'DO NOT TOUCH Imported'!$C$1:$D$800,2,False),"OOPS FIX ME"))</f>
        <v>zeptimusQ</v>
      </c>
      <c r="B42" s="178" t="s">
        <v>10</v>
      </c>
      <c r="C42" s="179" t="s">
        <v>500</v>
      </c>
      <c r="D42" s="180" t="s">
        <v>495</v>
      </c>
      <c r="E42" s="184">
        <v>44316.0</v>
      </c>
      <c r="F42" s="182" t="s">
        <v>496</v>
      </c>
      <c r="G42" s="170">
        <v>500.0</v>
      </c>
      <c r="H42" s="171">
        <v>25.0</v>
      </c>
      <c r="I42" s="171">
        <v>100.0</v>
      </c>
      <c r="J42" s="172">
        <f t="shared" si="2"/>
        <v>0.0004317674408</v>
      </c>
      <c r="K42" s="173">
        <f t="shared" si="3"/>
        <v>0.518120929</v>
      </c>
      <c r="L42" s="174">
        <f t="shared" si="4"/>
        <v>39.04071991</v>
      </c>
      <c r="M42" s="175" t="str">
        <f t="shared" si="5"/>
        <v>zeptimusQ</v>
      </c>
      <c r="N42" s="176">
        <f>IFERROR(__xludf.DUMMYFUNCTION("""COMPUTED_VALUE"""),39.0)</f>
        <v>39</v>
      </c>
      <c r="O42" s="176"/>
      <c r="P42" s="183" t="s">
        <v>3</v>
      </c>
      <c r="Q42" s="178" t="s">
        <v>10</v>
      </c>
      <c r="R42" s="176"/>
      <c r="S42" s="176"/>
      <c r="T42" s="176"/>
      <c r="U42" s="176"/>
      <c r="V42" s="176"/>
      <c r="W42" s="176"/>
      <c r="X42" s="176"/>
      <c r="Y42" s="176"/>
      <c r="Z42" s="176"/>
      <c r="AA42" s="176"/>
    </row>
    <row r="43">
      <c r="A43" s="165" t="str">
        <f>iferror(VLOOKUP(P43,'DO NOT TOUCH Imported'!$A$1:$D$800,4,False),iferror(VLOOKUP(P43,'DO NOT TOUCH Imported'!$C$1:$D$800,2,False),"OOPS FIX ME"))</f>
        <v>zeptimusQ</v>
      </c>
      <c r="B43" s="178" t="s">
        <v>10</v>
      </c>
      <c r="C43" s="179" t="s">
        <v>498</v>
      </c>
      <c r="D43" s="180" t="s">
        <v>495</v>
      </c>
      <c r="E43" s="181">
        <v>44323.0</v>
      </c>
      <c r="F43" s="182" t="s">
        <v>499</v>
      </c>
      <c r="G43" s="170">
        <v>500.0</v>
      </c>
      <c r="H43" s="171">
        <v>25.0</v>
      </c>
      <c r="I43" s="171">
        <v>100.0</v>
      </c>
      <c r="J43" s="172">
        <f t="shared" si="2"/>
        <v>0.0004317674408</v>
      </c>
      <c r="K43" s="173">
        <f t="shared" si="3"/>
        <v>0.518120929</v>
      </c>
      <c r="L43" s="174">
        <f t="shared" si="4"/>
        <v>39.04071991</v>
      </c>
      <c r="M43" s="175" t="str">
        <f t="shared" si="5"/>
        <v>zeptimusQ</v>
      </c>
      <c r="N43" s="176">
        <f>IFERROR(__xludf.DUMMYFUNCTION("""COMPUTED_VALUE"""),40.0)</f>
        <v>40</v>
      </c>
      <c r="O43" s="176"/>
      <c r="P43" s="183" t="s">
        <v>3</v>
      </c>
      <c r="Q43" s="178" t="s">
        <v>10</v>
      </c>
      <c r="R43" s="176"/>
      <c r="S43" s="176"/>
      <c r="T43" s="176"/>
      <c r="U43" s="176"/>
      <c r="V43" s="176"/>
      <c r="W43" s="176"/>
      <c r="X43" s="176"/>
      <c r="Y43" s="176"/>
      <c r="Z43" s="176"/>
      <c r="AA43" s="176"/>
    </row>
    <row r="44">
      <c r="A44" s="165" t="str">
        <f>iferror(VLOOKUP(P44,'DO NOT TOUCH Imported'!$A$1:$D$800,4,False),iferror(VLOOKUP(P44,'DO NOT TOUCH Imported'!$C$1:$D$800,2,False),"OOPS FIX ME"))</f>
        <v>zeptimusQ</v>
      </c>
      <c r="B44" s="178" t="s">
        <v>10</v>
      </c>
      <c r="C44" s="179" t="s">
        <v>500</v>
      </c>
      <c r="D44" s="180" t="s">
        <v>495</v>
      </c>
      <c r="E44" s="181">
        <v>44324.0</v>
      </c>
      <c r="F44" s="182" t="s">
        <v>496</v>
      </c>
      <c r="G44" s="170">
        <v>500.0</v>
      </c>
      <c r="H44" s="171">
        <v>25.0</v>
      </c>
      <c r="I44" s="171">
        <v>100.0</v>
      </c>
      <c r="J44" s="172">
        <f t="shared" si="2"/>
        <v>0.0004317674408</v>
      </c>
      <c r="K44" s="173">
        <f t="shared" si="3"/>
        <v>0.518120929</v>
      </c>
      <c r="L44" s="174">
        <f t="shared" si="4"/>
        <v>39.04071991</v>
      </c>
      <c r="M44" s="175" t="str">
        <f t="shared" si="5"/>
        <v>zeptimusQ</v>
      </c>
      <c r="N44" s="176">
        <f>IFERROR(__xludf.DUMMYFUNCTION("""COMPUTED_VALUE"""),41.0)</f>
        <v>41</v>
      </c>
      <c r="O44" s="176"/>
      <c r="P44" s="183" t="s">
        <v>3</v>
      </c>
      <c r="Q44" s="178" t="s">
        <v>10</v>
      </c>
      <c r="R44" s="176"/>
      <c r="S44" s="176"/>
      <c r="T44" s="176"/>
      <c r="U44" s="176"/>
      <c r="V44" s="176"/>
      <c r="W44" s="176"/>
      <c r="X44" s="176"/>
      <c r="Y44" s="176"/>
      <c r="Z44" s="176"/>
      <c r="AA44" s="176"/>
    </row>
    <row r="45">
      <c r="A45" s="165" t="str">
        <f>iferror(VLOOKUP(P45,'DO NOT TOUCH Imported'!$A$1:$D$800,4,False),iferror(VLOOKUP(P45,'DO NOT TOUCH Imported'!$C$1:$D$800,2,False),"OOPS FIX ME"))</f>
        <v>solsista</v>
      </c>
      <c r="B45" s="178" t="s">
        <v>10</v>
      </c>
      <c r="C45" s="179" t="s">
        <v>501</v>
      </c>
      <c r="D45" s="180" t="s">
        <v>495</v>
      </c>
      <c r="E45" s="181">
        <v>44323.0</v>
      </c>
      <c r="F45" s="182" t="s">
        <v>496</v>
      </c>
      <c r="G45" s="170">
        <v>100000.0</v>
      </c>
      <c r="H45" s="171">
        <v>400.0</v>
      </c>
      <c r="I45" s="171">
        <v>100.0</v>
      </c>
      <c r="J45" s="172">
        <f t="shared" si="2"/>
        <v>0.01201621901</v>
      </c>
      <c r="K45" s="173">
        <f t="shared" si="3"/>
        <v>14.41946281</v>
      </c>
      <c r="L45" s="174">
        <f t="shared" si="4"/>
        <v>28.49199425</v>
      </c>
      <c r="M45" s="175" t="str">
        <f t="shared" si="5"/>
        <v>solsista</v>
      </c>
      <c r="N45" s="176">
        <f>IFERROR(__xludf.DUMMYFUNCTION("""COMPUTED_VALUE"""),1.0)</f>
        <v>1</v>
      </c>
      <c r="O45" s="176"/>
      <c r="P45" s="183" t="s">
        <v>8</v>
      </c>
      <c r="Q45" s="178" t="s">
        <v>10</v>
      </c>
      <c r="R45" s="176"/>
      <c r="S45" s="176"/>
      <c r="T45" s="176"/>
      <c r="U45" s="176"/>
      <c r="V45" s="176"/>
      <c r="W45" s="176"/>
      <c r="X45" s="176"/>
      <c r="Y45" s="176"/>
      <c r="Z45" s="176"/>
      <c r="AA45" s="176"/>
    </row>
    <row r="46">
      <c r="A46" s="165" t="str">
        <f>iferror(VLOOKUP(P46,'DO NOT TOUCH Imported'!$A$1:$D$800,4,False),iferror(VLOOKUP(P46,'DO NOT TOUCH Imported'!$C$1:$D$800,2,False),"OOPS FIX ME"))</f>
        <v>solsista</v>
      </c>
      <c r="B46" s="166" t="s">
        <v>45</v>
      </c>
      <c r="C46" s="167" t="s">
        <v>502</v>
      </c>
      <c r="D46" s="168" t="s">
        <v>499</v>
      </c>
      <c r="E46" s="177" t="s">
        <v>447</v>
      </c>
      <c r="F46" s="168" t="s">
        <v>503</v>
      </c>
      <c r="G46" s="170">
        <v>10000.0</v>
      </c>
      <c r="H46" s="171">
        <v>300.0</v>
      </c>
      <c r="I46" s="171">
        <v>100.0</v>
      </c>
      <c r="J46" s="172">
        <f t="shared" si="2"/>
        <v>0.002301427303</v>
      </c>
      <c r="K46" s="173">
        <f t="shared" si="3"/>
        <v>2.761712764</v>
      </c>
      <c r="L46" s="174">
        <f t="shared" si="4"/>
        <v>28.49199425</v>
      </c>
      <c r="M46" s="175" t="str">
        <f t="shared" si="5"/>
        <v>solsista</v>
      </c>
      <c r="N46" s="176">
        <f>IFERROR(__xludf.DUMMYFUNCTION("""COMPUTED_VALUE"""),2.0)</f>
        <v>2</v>
      </c>
      <c r="O46" s="176"/>
      <c r="P46" s="166" t="s">
        <v>463</v>
      </c>
      <c r="Q46" s="166" t="s">
        <v>45</v>
      </c>
      <c r="R46" s="176"/>
      <c r="S46" s="176"/>
      <c r="T46" s="176"/>
      <c r="U46" s="176"/>
      <c r="V46" s="176"/>
      <c r="W46" s="176"/>
      <c r="X46" s="176"/>
      <c r="Y46" s="176"/>
      <c r="Z46" s="176"/>
      <c r="AA46" s="176"/>
    </row>
    <row r="47">
      <c r="A47" s="165" t="str">
        <f>iferror(VLOOKUP(P47,'DO NOT TOUCH Imported'!$A$1:$D$800,4,False),iferror(VLOOKUP(P47,'DO NOT TOUCH Imported'!$C$1:$D$800,2,False),"OOPS FIX ME"))</f>
        <v>solsista</v>
      </c>
      <c r="B47" s="166" t="s">
        <v>441</v>
      </c>
      <c r="C47" s="167" t="s">
        <v>504</v>
      </c>
      <c r="D47" s="168" t="s">
        <v>437</v>
      </c>
      <c r="E47" s="177" t="s">
        <v>447</v>
      </c>
      <c r="F47" s="168" t="s">
        <v>439</v>
      </c>
      <c r="G47" s="170">
        <v>1000.0</v>
      </c>
      <c r="H47" s="171">
        <v>500.0</v>
      </c>
      <c r="I47" s="171">
        <v>100.0</v>
      </c>
      <c r="J47" s="172">
        <f t="shared" si="2"/>
        <v>0.002000349895</v>
      </c>
      <c r="K47" s="173">
        <f t="shared" si="3"/>
        <v>2.400419873</v>
      </c>
      <c r="L47" s="174">
        <f t="shared" si="4"/>
        <v>28.49199425</v>
      </c>
      <c r="M47" s="175" t="str">
        <f t="shared" si="5"/>
        <v>solsista</v>
      </c>
      <c r="N47" s="176">
        <f>IFERROR(__xludf.DUMMYFUNCTION("""COMPUTED_VALUE"""),3.0)</f>
        <v>3</v>
      </c>
      <c r="O47" s="176"/>
      <c r="P47" s="166" t="s">
        <v>463</v>
      </c>
      <c r="Q47" s="166" t="s">
        <v>441</v>
      </c>
      <c r="R47" s="176"/>
      <c r="S47" s="176"/>
      <c r="T47" s="176"/>
      <c r="U47" s="176"/>
      <c r="V47" s="176"/>
      <c r="W47" s="176"/>
      <c r="X47" s="176"/>
      <c r="Y47" s="176"/>
      <c r="Z47" s="176"/>
      <c r="AA47" s="176"/>
    </row>
    <row r="48">
      <c r="A48" s="165" t="str">
        <f>iferror(VLOOKUP(P48,'DO NOT TOUCH Imported'!$A$1:$D$800,4,False),iferror(VLOOKUP(P48,'DO NOT TOUCH Imported'!$C$1:$D$800,2,False),"OOPS FIX ME"))</f>
        <v>solsista</v>
      </c>
      <c r="B48" s="166" t="s">
        <v>46</v>
      </c>
      <c r="C48" s="167" t="s">
        <v>505</v>
      </c>
      <c r="D48" s="168" t="s">
        <v>437</v>
      </c>
      <c r="E48" s="177" t="s">
        <v>506</v>
      </c>
      <c r="F48" s="168" t="s">
        <v>439</v>
      </c>
      <c r="G48" s="170">
        <v>1000.0</v>
      </c>
      <c r="H48" s="171">
        <v>500.0</v>
      </c>
      <c r="I48" s="171">
        <v>100.0</v>
      </c>
      <c r="J48" s="172">
        <f t="shared" si="2"/>
        <v>0.002000349895</v>
      </c>
      <c r="K48" s="173">
        <f t="shared" si="3"/>
        <v>2.400419873</v>
      </c>
      <c r="L48" s="174">
        <f t="shared" si="4"/>
        <v>28.49199425</v>
      </c>
      <c r="M48" s="175" t="str">
        <f t="shared" si="5"/>
        <v>solsista</v>
      </c>
      <c r="N48" s="176">
        <f>IFERROR(__xludf.DUMMYFUNCTION("""COMPUTED_VALUE"""),4.0)</f>
        <v>4</v>
      </c>
      <c r="O48" s="176"/>
      <c r="P48" s="166" t="s">
        <v>463</v>
      </c>
      <c r="Q48" s="166" t="s">
        <v>46</v>
      </c>
      <c r="R48" s="176"/>
      <c r="S48" s="176"/>
      <c r="T48" s="176"/>
      <c r="U48" s="176"/>
      <c r="V48" s="176"/>
      <c r="W48" s="176"/>
      <c r="X48" s="176"/>
      <c r="Y48" s="176"/>
      <c r="Z48" s="176"/>
      <c r="AA48" s="176"/>
    </row>
    <row r="49">
      <c r="A49" s="165" t="str">
        <f>iferror(VLOOKUP(P49,'DO NOT TOUCH Imported'!$A$1:$D$800,4,False),iferror(VLOOKUP(P49,'DO NOT TOUCH Imported'!$C$1:$D$800,2,False),"OOPS FIX ME"))</f>
        <v>solsista</v>
      </c>
      <c r="B49" s="178" t="s">
        <v>18</v>
      </c>
      <c r="C49" s="179" t="s">
        <v>507</v>
      </c>
      <c r="D49" s="180" t="s">
        <v>495</v>
      </c>
      <c r="E49" s="181">
        <v>44319.0</v>
      </c>
      <c r="F49" s="182" t="s">
        <v>499</v>
      </c>
      <c r="G49" s="170">
        <v>1500.0</v>
      </c>
      <c r="H49" s="171">
        <v>400.0</v>
      </c>
      <c r="I49" s="171">
        <v>100.0</v>
      </c>
      <c r="J49" s="172">
        <f t="shared" si="2"/>
        <v>0.001733308476</v>
      </c>
      <c r="K49" s="173">
        <f t="shared" si="3"/>
        <v>2.079970171</v>
      </c>
      <c r="L49" s="174">
        <f t="shared" si="4"/>
        <v>28.49199425</v>
      </c>
      <c r="M49" s="175" t="str">
        <f t="shared" si="5"/>
        <v>solsista</v>
      </c>
      <c r="N49" s="176">
        <f>IFERROR(__xludf.DUMMYFUNCTION("""COMPUTED_VALUE"""),5.0)</f>
        <v>5</v>
      </c>
      <c r="O49" s="176"/>
      <c r="P49" s="183" t="s">
        <v>8</v>
      </c>
      <c r="Q49" s="178" t="s">
        <v>18</v>
      </c>
      <c r="R49" s="176"/>
      <c r="S49" s="176"/>
      <c r="T49" s="176"/>
      <c r="U49" s="176"/>
      <c r="V49" s="176"/>
      <c r="W49" s="176"/>
      <c r="X49" s="176"/>
      <c r="Y49" s="176"/>
      <c r="Z49" s="176"/>
      <c r="AA49" s="176"/>
    </row>
    <row r="50">
      <c r="A50" s="165" t="str">
        <f>iferror(VLOOKUP(P50,'DO NOT TOUCH Imported'!$A$1:$D$800,4,False),iferror(VLOOKUP(P50,'DO NOT TOUCH Imported'!$C$1:$D$800,2,False),"OOPS FIX ME"))</f>
        <v>solsista</v>
      </c>
      <c r="B50" s="166" t="s">
        <v>441</v>
      </c>
      <c r="C50" s="167" t="s">
        <v>508</v>
      </c>
      <c r="D50" s="168" t="s">
        <v>437</v>
      </c>
      <c r="E50" s="177" t="s">
        <v>447</v>
      </c>
      <c r="F50" s="168" t="s">
        <v>439</v>
      </c>
      <c r="G50" s="170">
        <v>1000.0</v>
      </c>
      <c r="H50" s="171">
        <v>400.0</v>
      </c>
      <c r="I50" s="171">
        <v>100.0</v>
      </c>
      <c r="J50" s="172">
        <f t="shared" si="2"/>
        <v>0.00168111096</v>
      </c>
      <c r="K50" s="173">
        <f t="shared" si="3"/>
        <v>2.017333152</v>
      </c>
      <c r="L50" s="174">
        <f t="shared" si="4"/>
        <v>28.49199425</v>
      </c>
      <c r="M50" s="175" t="str">
        <f t="shared" si="5"/>
        <v>solsista</v>
      </c>
      <c r="N50" s="176">
        <f>IFERROR(__xludf.DUMMYFUNCTION("""COMPUTED_VALUE"""),6.0)</f>
        <v>6</v>
      </c>
      <c r="O50" s="176"/>
      <c r="P50" s="166" t="s">
        <v>463</v>
      </c>
      <c r="Q50" s="166" t="s">
        <v>441</v>
      </c>
      <c r="R50" s="176"/>
      <c r="S50" s="176"/>
      <c r="T50" s="176"/>
      <c r="U50" s="176"/>
      <c r="V50" s="176"/>
      <c r="W50" s="176"/>
      <c r="X50" s="176"/>
      <c r="Y50" s="176"/>
      <c r="Z50" s="176"/>
      <c r="AA50" s="176"/>
    </row>
    <row r="51">
      <c r="A51" s="165" t="str">
        <f>iferror(VLOOKUP(P51,'DO NOT TOUCH Imported'!$A$1:$D$800,4,False),iferror(VLOOKUP(P51,'DO NOT TOUCH Imported'!$C$1:$D$800,2,False),"OOPS FIX ME"))</f>
        <v>solsista</v>
      </c>
      <c r="B51" s="166" t="s">
        <v>441</v>
      </c>
      <c r="C51" s="167" t="s">
        <v>509</v>
      </c>
      <c r="D51" s="168" t="s">
        <v>437</v>
      </c>
      <c r="E51" s="177" t="s">
        <v>447</v>
      </c>
      <c r="F51" s="168" t="s">
        <v>439</v>
      </c>
      <c r="G51" s="170">
        <v>1000.0</v>
      </c>
      <c r="H51" s="171">
        <v>100.0</v>
      </c>
      <c r="I51" s="171">
        <v>100.0</v>
      </c>
      <c r="J51" s="172">
        <f t="shared" si="2"/>
        <v>0.000723394157</v>
      </c>
      <c r="K51" s="173">
        <f t="shared" si="3"/>
        <v>0.8680729884</v>
      </c>
      <c r="L51" s="174">
        <f t="shared" si="4"/>
        <v>28.49199425</v>
      </c>
      <c r="M51" s="175" t="str">
        <f t="shared" si="5"/>
        <v>solsista</v>
      </c>
      <c r="N51" s="176">
        <f>IFERROR(__xludf.DUMMYFUNCTION("""COMPUTED_VALUE"""),7.0)</f>
        <v>7</v>
      </c>
      <c r="O51" s="176"/>
      <c r="P51" s="166" t="s">
        <v>463</v>
      </c>
      <c r="Q51" s="166" t="s">
        <v>441</v>
      </c>
      <c r="R51" s="176"/>
      <c r="S51" s="176"/>
      <c r="T51" s="176"/>
      <c r="U51" s="176"/>
      <c r="V51" s="176"/>
      <c r="W51" s="176"/>
      <c r="X51" s="176"/>
      <c r="Y51" s="176"/>
      <c r="Z51" s="176"/>
      <c r="AA51" s="176"/>
    </row>
    <row r="52">
      <c r="A52" s="165" t="str">
        <f>iferror(VLOOKUP(P52,'DO NOT TOUCH Imported'!$A$1:$D$800,4,False),iferror(VLOOKUP(P52,'DO NOT TOUCH Imported'!$C$1:$D$800,2,False),"OOPS FIX ME"))</f>
        <v>solsista</v>
      </c>
      <c r="B52" s="166" t="s">
        <v>441</v>
      </c>
      <c r="C52" s="167" t="s">
        <v>510</v>
      </c>
      <c r="D52" s="168" t="s">
        <v>437</v>
      </c>
      <c r="E52" s="177" t="s">
        <v>438</v>
      </c>
      <c r="F52" s="168" t="s">
        <v>439</v>
      </c>
      <c r="G52" s="170">
        <v>1000.0</v>
      </c>
      <c r="H52" s="171">
        <v>100.0</v>
      </c>
      <c r="I52" s="171">
        <v>100.0</v>
      </c>
      <c r="J52" s="172">
        <f t="shared" si="2"/>
        <v>0.000723394157</v>
      </c>
      <c r="K52" s="173">
        <f t="shared" si="3"/>
        <v>0.8680729884</v>
      </c>
      <c r="L52" s="174">
        <f t="shared" si="4"/>
        <v>28.49199425</v>
      </c>
      <c r="M52" s="175" t="str">
        <f t="shared" si="5"/>
        <v>solsista</v>
      </c>
      <c r="N52" s="176">
        <f>IFERROR(__xludf.DUMMYFUNCTION("""COMPUTED_VALUE"""),8.0)</f>
        <v>8</v>
      </c>
      <c r="O52" s="176"/>
      <c r="P52" s="166" t="s">
        <v>463</v>
      </c>
      <c r="Q52" s="166" t="s">
        <v>441</v>
      </c>
      <c r="R52" s="176"/>
      <c r="S52" s="176"/>
      <c r="T52" s="176"/>
      <c r="U52" s="176"/>
      <c r="V52" s="176"/>
      <c r="W52" s="176"/>
      <c r="X52" s="176"/>
      <c r="Y52" s="176"/>
      <c r="Z52" s="176"/>
      <c r="AA52" s="176"/>
    </row>
    <row r="53">
      <c r="A53" s="165" t="str">
        <f>iferror(VLOOKUP(P53,'DO NOT TOUCH Imported'!$A$1:$D$800,4,False),iferror(VLOOKUP(P53,'DO NOT TOUCH Imported'!$C$1:$D$800,2,False),"OOPS FIX ME"))</f>
        <v>solsista</v>
      </c>
      <c r="B53" s="178" t="s">
        <v>10</v>
      </c>
      <c r="C53" s="179" t="s">
        <v>494</v>
      </c>
      <c r="D53" s="180" t="s">
        <v>495</v>
      </c>
      <c r="E53" s="181">
        <v>44324.0</v>
      </c>
      <c r="F53" s="182" t="s">
        <v>496</v>
      </c>
      <c r="G53" s="170">
        <v>1000.0</v>
      </c>
      <c r="H53" s="171">
        <v>50.0</v>
      </c>
      <c r="I53" s="171">
        <v>100.0</v>
      </c>
      <c r="J53" s="172">
        <f t="shared" si="2"/>
        <v>0.0005637746898</v>
      </c>
      <c r="K53" s="173">
        <f t="shared" si="3"/>
        <v>0.6765296278</v>
      </c>
      <c r="L53" s="174">
        <f t="shared" si="4"/>
        <v>28.49199425</v>
      </c>
      <c r="M53" s="175" t="str">
        <f t="shared" si="5"/>
        <v>solsista</v>
      </c>
      <c r="N53" s="176">
        <f>IFERROR(__xludf.DUMMYFUNCTION("""COMPUTED_VALUE"""),9.0)</f>
        <v>9</v>
      </c>
      <c r="O53" s="176"/>
      <c r="P53" s="183" t="s">
        <v>8</v>
      </c>
      <c r="Q53" s="178" t="s">
        <v>10</v>
      </c>
      <c r="R53" s="176"/>
      <c r="S53" s="176"/>
      <c r="T53" s="176"/>
      <c r="U53" s="176"/>
      <c r="V53" s="176"/>
      <c r="W53" s="176"/>
      <c r="X53" s="176"/>
      <c r="Y53" s="176"/>
      <c r="Z53" s="176"/>
      <c r="AA53" s="176"/>
    </row>
    <row r="54">
      <c r="A54" s="165" t="str">
        <f>iferror(VLOOKUP(P54,'DO NOT TOUCH Imported'!$A$1:$D$800,4,False),iferror(VLOOKUP(P54,'DO NOT TOUCH Imported'!$C$1:$D$800,2,False),"OOPS FIX ME"))</f>
        <v>iviangita</v>
      </c>
      <c r="B54" s="166" t="s">
        <v>441</v>
      </c>
      <c r="C54" s="167" t="s">
        <v>511</v>
      </c>
      <c r="D54" s="168" t="s">
        <v>437</v>
      </c>
      <c r="E54" s="177" t="s">
        <v>438</v>
      </c>
      <c r="F54" s="168" t="s">
        <v>439</v>
      </c>
      <c r="G54" s="170">
        <v>100000.0</v>
      </c>
      <c r="H54" s="171">
        <v>100.0</v>
      </c>
      <c r="I54" s="171">
        <v>200.0</v>
      </c>
      <c r="J54" s="172">
        <f t="shared" si="2"/>
        <v>0.0113582624</v>
      </c>
      <c r="K54" s="173">
        <f t="shared" si="3"/>
        <v>13.62991488</v>
      </c>
      <c r="L54" s="174">
        <f t="shared" si="4"/>
        <v>23.87003435</v>
      </c>
      <c r="M54" s="175" t="str">
        <f t="shared" si="5"/>
        <v>iviangita</v>
      </c>
      <c r="N54" s="176">
        <f>IFERROR(__xludf.DUMMYFUNCTION("""COMPUTED_VALUE"""),1.0)</f>
        <v>1</v>
      </c>
      <c r="O54" s="176"/>
      <c r="P54" s="166" t="s">
        <v>441</v>
      </c>
      <c r="Q54" s="166" t="s">
        <v>441</v>
      </c>
      <c r="R54" s="176"/>
      <c r="S54" s="176"/>
      <c r="T54" s="176"/>
      <c r="U54" s="176"/>
      <c r="V54" s="176"/>
      <c r="W54" s="176"/>
      <c r="X54" s="176"/>
      <c r="Y54" s="176"/>
      <c r="Z54" s="176"/>
      <c r="AA54" s="176"/>
    </row>
    <row r="55">
      <c r="A55" s="165" t="str">
        <f>iferror(VLOOKUP(P55,'DO NOT TOUCH Imported'!$A$1:$D$800,4,False),iferror(VLOOKUP(P55,'DO NOT TOUCH Imported'!$C$1:$D$800,2,False),"OOPS FIX ME"))</f>
        <v>iviangita</v>
      </c>
      <c r="B55" s="166" t="s">
        <v>512</v>
      </c>
      <c r="C55" s="167" t="s">
        <v>513</v>
      </c>
      <c r="D55" s="168" t="s">
        <v>437</v>
      </c>
      <c r="E55" s="169" t="s">
        <v>447</v>
      </c>
      <c r="F55" s="168" t="s">
        <v>439</v>
      </c>
      <c r="G55" s="170">
        <v>30000.0</v>
      </c>
      <c r="H55" s="171">
        <v>200.0</v>
      </c>
      <c r="I55" s="171">
        <v>200.0</v>
      </c>
      <c r="J55" s="172">
        <f t="shared" si="2"/>
        <v>0.004369849176</v>
      </c>
      <c r="K55" s="173">
        <f t="shared" si="3"/>
        <v>5.243819012</v>
      </c>
      <c r="L55" s="174">
        <f t="shared" si="4"/>
        <v>23.87003435</v>
      </c>
      <c r="M55" s="175" t="str">
        <f t="shared" si="5"/>
        <v>iviangita</v>
      </c>
      <c r="N55" s="176">
        <f>IFERROR(__xludf.DUMMYFUNCTION("""COMPUTED_VALUE"""),2.0)</f>
        <v>2</v>
      </c>
      <c r="O55" s="176"/>
      <c r="P55" s="166" t="s">
        <v>441</v>
      </c>
      <c r="Q55" s="166" t="s">
        <v>512</v>
      </c>
      <c r="R55" s="176"/>
      <c r="S55" s="176"/>
      <c r="T55" s="176"/>
      <c r="U55" s="176"/>
      <c r="V55" s="176"/>
      <c r="W55" s="176"/>
      <c r="X55" s="176"/>
      <c r="Y55" s="176"/>
      <c r="Z55" s="176"/>
      <c r="AA55" s="176"/>
    </row>
    <row r="56">
      <c r="A56" s="165" t="str">
        <f>iferror(VLOOKUP(P56,'DO NOT TOUCH Imported'!$A$1:$D$800,4,False),iferror(VLOOKUP(P56,'DO NOT TOUCH Imported'!$C$1:$D$800,2,False),"OOPS FIX ME"))</f>
        <v>iviangita</v>
      </c>
      <c r="B56" s="166" t="s">
        <v>75</v>
      </c>
      <c r="C56" s="167" t="s">
        <v>514</v>
      </c>
      <c r="D56" s="168" t="s">
        <v>437</v>
      </c>
      <c r="E56" s="177" t="s">
        <v>515</v>
      </c>
      <c r="F56" s="168" t="s">
        <v>516</v>
      </c>
      <c r="G56" s="170">
        <v>20000.0</v>
      </c>
      <c r="H56" s="171">
        <v>100.0</v>
      </c>
      <c r="I56" s="171">
        <v>300.0</v>
      </c>
      <c r="J56" s="172">
        <f t="shared" si="2"/>
        <v>0.003306420126</v>
      </c>
      <c r="K56" s="173">
        <f t="shared" si="3"/>
        <v>3.967704151</v>
      </c>
      <c r="L56" s="174">
        <f t="shared" si="4"/>
        <v>23.87003435</v>
      </c>
      <c r="M56" s="175" t="str">
        <f t="shared" si="5"/>
        <v>iviangita</v>
      </c>
      <c r="N56" s="176">
        <f>IFERROR(__xludf.DUMMYFUNCTION("""COMPUTED_VALUE"""),3.0)</f>
        <v>3</v>
      </c>
      <c r="O56" s="176"/>
      <c r="P56" s="166" t="s">
        <v>441</v>
      </c>
      <c r="Q56" s="166" t="s">
        <v>75</v>
      </c>
      <c r="R56" s="176"/>
      <c r="S56" s="176"/>
      <c r="T56" s="176"/>
      <c r="U56" s="176"/>
      <c r="V56" s="176"/>
      <c r="W56" s="176"/>
      <c r="X56" s="176"/>
      <c r="Y56" s="176"/>
      <c r="Z56" s="176"/>
      <c r="AA56" s="176"/>
    </row>
    <row r="57">
      <c r="A57" s="165" t="str">
        <f>iferror(VLOOKUP(P57,'DO NOT TOUCH Imported'!$A$1:$D$800,4,False),iferror(VLOOKUP(P57,'DO NOT TOUCH Imported'!$C$1:$D$800,2,False),"OOPS FIX ME"))</f>
        <v>iviangita</v>
      </c>
      <c r="B57" s="166" t="s">
        <v>486</v>
      </c>
      <c r="C57" s="167" t="s">
        <v>517</v>
      </c>
      <c r="D57" s="168" t="s">
        <v>437</v>
      </c>
      <c r="E57" s="177" t="s">
        <v>447</v>
      </c>
      <c r="F57" s="168" t="s">
        <v>439</v>
      </c>
      <c r="G57" s="170">
        <v>1000.0</v>
      </c>
      <c r="H57" s="171">
        <v>200.0</v>
      </c>
      <c r="I57" s="171">
        <v>500.0</v>
      </c>
      <c r="J57" s="172">
        <f t="shared" si="2"/>
        <v>0.002241673859</v>
      </c>
      <c r="K57" s="173">
        <f t="shared" si="3"/>
        <v>2.690008631</v>
      </c>
      <c r="L57" s="174">
        <f t="shared" si="4"/>
        <v>23.87003435</v>
      </c>
      <c r="M57" s="175" t="str">
        <f t="shared" si="5"/>
        <v>iviangita</v>
      </c>
      <c r="N57" s="176">
        <f>IFERROR(__xludf.DUMMYFUNCTION("""COMPUTED_VALUE"""),4.0)</f>
        <v>4</v>
      </c>
      <c r="O57" s="176"/>
      <c r="P57" s="166" t="s">
        <v>441</v>
      </c>
      <c r="Q57" s="166" t="s">
        <v>486</v>
      </c>
      <c r="R57" s="176"/>
      <c r="S57" s="176"/>
      <c r="T57" s="176"/>
      <c r="U57" s="176"/>
      <c r="V57" s="176"/>
      <c r="W57" s="176"/>
      <c r="X57" s="176"/>
      <c r="Y57" s="176"/>
      <c r="Z57" s="176"/>
      <c r="AA57" s="176"/>
    </row>
    <row r="58">
      <c r="A58" s="165" t="str">
        <f>iferror(VLOOKUP(P58,'DO NOT TOUCH Imported'!$A$1:$D$800,4,False),iferror(VLOOKUP(P58,'DO NOT TOUCH Imported'!$C$1:$D$800,2,False),"OOPS FIX ME"))</f>
        <v>iviangita</v>
      </c>
      <c r="B58" s="166" t="s">
        <v>20</v>
      </c>
      <c r="C58" s="167" t="s">
        <v>518</v>
      </c>
      <c r="D58" s="168" t="s">
        <v>437</v>
      </c>
      <c r="E58" s="177" t="s">
        <v>447</v>
      </c>
      <c r="F58" s="168" t="s">
        <v>439</v>
      </c>
      <c r="G58" s="170">
        <v>10000.0</v>
      </c>
      <c r="H58" s="171">
        <v>150.0</v>
      </c>
      <c r="I58" s="171">
        <v>200.0</v>
      </c>
      <c r="J58" s="172">
        <f t="shared" si="2"/>
        <v>0.002122329093</v>
      </c>
      <c r="K58" s="173">
        <f t="shared" si="3"/>
        <v>2.546794912</v>
      </c>
      <c r="L58" s="174">
        <f t="shared" si="4"/>
        <v>23.87003435</v>
      </c>
      <c r="M58" s="175" t="str">
        <f t="shared" si="5"/>
        <v>iviangita</v>
      </c>
      <c r="N58" s="176">
        <f>IFERROR(__xludf.DUMMYFUNCTION("""COMPUTED_VALUE"""),5.0)</f>
        <v>5</v>
      </c>
      <c r="O58" s="176"/>
      <c r="P58" s="166" t="s">
        <v>441</v>
      </c>
      <c r="Q58" s="166" t="s">
        <v>20</v>
      </c>
      <c r="R58" s="176"/>
      <c r="S58" s="176"/>
      <c r="T58" s="176"/>
      <c r="U58" s="176"/>
      <c r="V58" s="176"/>
      <c r="W58" s="176"/>
      <c r="X58" s="176"/>
      <c r="Y58" s="176"/>
      <c r="Z58" s="176"/>
      <c r="AA58" s="176"/>
    </row>
    <row r="59">
      <c r="A59" s="165" t="str">
        <f>iferror(VLOOKUP(P59,'DO NOT TOUCH Imported'!$A$1:$D$800,4,False),iferror(VLOOKUP(P59,'DO NOT TOUCH Imported'!$C$1:$D$800,2,False),"OOPS FIX ME"))</f>
        <v>iviangita</v>
      </c>
      <c r="B59" s="178" t="s">
        <v>519</v>
      </c>
      <c r="C59" s="179" t="s">
        <v>520</v>
      </c>
      <c r="D59" s="180" t="s">
        <v>495</v>
      </c>
      <c r="E59" s="181">
        <v>44321.0</v>
      </c>
      <c r="F59" s="182" t="s">
        <v>521</v>
      </c>
      <c r="G59" s="170">
        <v>10000.0</v>
      </c>
      <c r="H59" s="171">
        <v>150.0</v>
      </c>
      <c r="I59" s="171">
        <v>100.0</v>
      </c>
      <c r="J59" s="172">
        <f t="shared" si="2"/>
        <v>0.001822568901</v>
      </c>
      <c r="K59" s="173">
        <f t="shared" si="3"/>
        <v>2.187082682</v>
      </c>
      <c r="L59" s="174">
        <f t="shared" si="4"/>
        <v>23.87003435</v>
      </c>
      <c r="M59" s="175" t="str">
        <f t="shared" si="5"/>
        <v>iviangita</v>
      </c>
      <c r="N59" s="176">
        <f>IFERROR(__xludf.DUMMYFUNCTION("""COMPUTED_VALUE"""),6.0)</f>
        <v>6</v>
      </c>
      <c r="O59" s="176"/>
      <c r="P59" s="183" t="s">
        <v>10</v>
      </c>
      <c r="Q59" s="178" t="s">
        <v>519</v>
      </c>
      <c r="R59" s="176"/>
      <c r="S59" s="176"/>
      <c r="T59" s="176"/>
      <c r="U59" s="176"/>
      <c r="V59" s="176"/>
      <c r="W59" s="176"/>
      <c r="X59" s="176"/>
      <c r="Y59" s="176"/>
      <c r="Z59" s="176"/>
      <c r="AA59" s="176"/>
    </row>
    <row r="60">
      <c r="A60" s="165" t="str">
        <f>iferror(VLOOKUP(P60,'DO NOT TOUCH Imported'!$A$1:$D$800,4,False),iferror(VLOOKUP(P60,'DO NOT TOUCH Imported'!$C$1:$D$800,2,False),"OOPS FIX ME"))</f>
        <v>iviangita</v>
      </c>
      <c r="B60" s="166" t="s">
        <v>441</v>
      </c>
      <c r="C60" s="167" t="s">
        <v>522</v>
      </c>
      <c r="D60" s="168" t="s">
        <v>437</v>
      </c>
      <c r="E60" s="177" t="s">
        <v>447</v>
      </c>
      <c r="F60" s="168" t="s">
        <v>439</v>
      </c>
      <c r="G60" s="170">
        <v>1000.0</v>
      </c>
      <c r="H60" s="171">
        <v>200.0</v>
      </c>
      <c r="I60" s="171">
        <v>200.0</v>
      </c>
      <c r="J60" s="172">
        <f t="shared" si="2"/>
        <v>0.001342393283</v>
      </c>
      <c r="K60" s="173">
        <f t="shared" si="3"/>
        <v>1.61087194</v>
      </c>
      <c r="L60" s="174">
        <f t="shared" si="4"/>
        <v>23.87003435</v>
      </c>
      <c r="M60" s="175" t="str">
        <f t="shared" si="5"/>
        <v>iviangita</v>
      </c>
      <c r="N60" s="176">
        <f>IFERROR(__xludf.DUMMYFUNCTION("""COMPUTED_VALUE"""),7.0)</f>
        <v>7</v>
      </c>
      <c r="O60" s="176"/>
      <c r="P60" s="166" t="s">
        <v>441</v>
      </c>
      <c r="Q60" s="166" t="s">
        <v>441</v>
      </c>
      <c r="R60" s="176"/>
      <c r="S60" s="176"/>
      <c r="T60" s="176"/>
      <c r="U60" s="176"/>
      <c r="V60" s="176"/>
      <c r="W60" s="176"/>
      <c r="X60" s="176"/>
      <c r="Y60" s="176"/>
      <c r="Z60" s="176"/>
      <c r="AA60" s="176"/>
    </row>
    <row r="61">
      <c r="A61" s="165" t="str">
        <f>iferror(VLOOKUP(P61,'DO NOT TOUCH Imported'!$A$1:$D$800,4,False),iferror(VLOOKUP(P61,'DO NOT TOUCH Imported'!$C$1:$D$800,2,False),"OOPS FIX ME"))</f>
        <v>iviangita</v>
      </c>
      <c r="B61" s="166" t="s">
        <v>441</v>
      </c>
      <c r="C61" s="167" t="s">
        <v>523</v>
      </c>
      <c r="D61" s="168" t="s">
        <v>437</v>
      </c>
      <c r="E61" s="169" t="s">
        <v>447</v>
      </c>
      <c r="F61" s="168" t="s">
        <v>439</v>
      </c>
      <c r="G61" s="170">
        <v>1000.0</v>
      </c>
      <c r="H61" s="171">
        <v>200.0</v>
      </c>
      <c r="I61" s="171">
        <v>100.0</v>
      </c>
      <c r="J61" s="172">
        <f t="shared" si="2"/>
        <v>0.001042633091</v>
      </c>
      <c r="K61" s="173">
        <f t="shared" si="3"/>
        <v>1.25115971</v>
      </c>
      <c r="L61" s="174">
        <f t="shared" si="4"/>
        <v>23.87003435</v>
      </c>
      <c r="M61" s="175" t="str">
        <f t="shared" si="5"/>
        <v>iviangita</v>
      </c>
      <c r="N61" s="176">
        <f>IFERROR(__xludf.DUMMYFUNCTION("""COMPUTED_VALUE"""),8.0)</f>
        <v>8</v>
      </c>
      <c r="O61" s="176"/>
      <c r="P61" s="166" t="s">
        <v>441</v>
      </c>
      <c r="Q61" s="166" t="s">
        <v>441</v>
      </c>
      <c r="R61" s="176"/>
      <c r="S61" s="176"/>
      <c r="T61" s="176"/>
      <c r="U61" s="176"/>
      <c r="V61" s="176"/>
      <c r="W61" s="176"/>
      <c r="X61" s="176"/>
      <c r="Y61" s="176"/>
      <c r="Z61" s="176"/>
      <c r="AA61" s="176"/>
    </row>
    <row r="62">
      <c r="A62" s="165" t="str">
        <f>iferror(VLOOKUP(P62,'DO NOT TOUCH Imported'!$A$1:$D$800,4,False),iferror(VLOOKUP(P62,'DO NOT TOUCH Imported'!$C$1:$D$800,2,False),"OOPS FIX ME"))</f>
        <v>iviangita</v>
      </c>
      <c r="B62" s="166" t="s">
        <v>441</v>
      </c>
      <c r="C62" s="167" t="s">
        <v>524</v>
      </c>
      <c r="D62" s="168" t="s">
        <v>437</v>
      </c>
      <c r="E62" s="177" t="s">
        <v>447</v>
      </c>
      <c r="F62" s="168" t="s">
        <v>439</v>
      </c>
      <c r="G62" s="170">
        <v>1000.0</v>
      </c>
      <c r="H62" s="171">
        <v>200.0</v>
      </c>
      <c r="I62" s="171">
        <v>100.0</v>
      </c>
      <c r="J62" s="172">
        <f t="shared" si="2"/>
        <v>0.001042633091</v>
      </c>
      <c r="K62" s="173">
        <f t="shared" si="3"/>
        <v>1.25115971</v>
      </c>
      <c r="L62" s="174">
        <f t="shared" si="4"/>
        <v>23.87003435</v>
      </c>
      <c r="M62" s="175" t="str">
        <f t="shared" si="5"/>
        <v>iviangita</v>
      </c>
      <c r="N62" s="176">
        <f>IFERROR(__xludf.DUMMYFUNCTION("""COMPUTED_VALUE"""),9.0)</f>
        <v>9</v>
      </c>
      <c r="O62" s="176"/>
      <c r="P62" s="166" t="s">
        <v>441</v>
      </c>
      <c r="Q62" s="166" t="s">
        <v>441</v>
      </c>
      <c r="R62" s="176"/>
      <c r="S62" s="176"/>
      <c r="T62" s="176"/>
      <c r="U62" s="176"/>
      <c r="V62" s="176"/>
      <c r="W62" s="176"/>
      <c r="X62" s="176"/>
      <c r="Y62" s="176"/>
      <c r="Z62" s="176"/>
      <c r="AA62" s="176"/>
    </row>
    <row r="63">
      <c r="A63" s="165" t="str">
        <f>iferror(VLOOKUP(P63,'DO NOT TOUCH Imported'!$A$1:$D$800,4,False),iferror(VLOOKUP(P63,'DO NOT TOUCH Imported'!$C$1:$D$800,2,False),"OOPS FIX ME"))</f>
        <v>iviangita</v>
      </c>
      <c r="B63" s="166" t="s">
        <v>525</v>
      </c>
      <c r="C63" s="167" t="s">
        <v>526</v>
      </c>
      <c r="D63" s="168" t="s">
        <v>437</v>
      </c>
      <c r="E63" s="177" t="s">
        <v>455</v>
      </c>
      <c r="F63" s="168" t="s">
        <v>439</v>
      </c>
      <c r="G63" s="170">
        <v>1000.0</v>
      </c>
      <c r="H63" s="171">
        <v>100.0</v>
      </c>
      <c r="I63" s="171">
        <v>200.0</v>
      </c>
      <c r="J63" s="172">
        <f t="shared" si="2"/>
        <v>0.001023154349</v>
      </c>
      <c r="K63" s="173">
        <f t="shared" si="3"/>
        <v>1.227785219</v>
      </c>
      <c r="L63" s="174">
        <f t="shared" si="4"/>
        <v>23.87003435</v>
      </c>
      <c r="M63" s="175" t="str">
        <f t="shared" si="5"/>
        <v>iviangita</v>
      </c>
      <c r="N63" s="176">
        <f>IFERROR(__xludf.DUMMYFUNCTION("""COMPUTED_VALUE"""),10.0)</f>
        <v>10</v>
      </c>
      <c r="O63" s="176"/>
      <c r="P63" s="166" t="s">
        <v>441</v>
      </c>
      <c r="Q63" s="166" t="s">
        <v>525</v>
      </c>
      <c r="R63" s="176"/>
      <c r="S63" s="176"/>
      <c r="T63" s="176"/>
      <c r="U63" s="176"/>
      <c r="V63" s="176"/>
      <c r="W63" s="176"/>
      <c r="X63" s="176"/>
      <c r="Y63" s="176"/>
      <c r="Z63" s="176"/>
      <c r="AA63" s="176"/>
    </row>
    <row r="64">
      <c r="A64" s="165" t="str">
        <f>iferror(VLOOKUP(P64,'DO NOT TOUCH Imported'!$A$1:$D$800,4,False),iferror(VLOOKUP(P64,'DO NOT TOUCH Imported'!$C$1:$D$800,2,False),"OOPS FIX ME"))</f>
        <v>iviangita</v>
      </c>
      <c r="B64" s="166" t="s">
        <v>435</v>
      </c>
      <c r="C64" s="167" t="s">
        <v>454</v>
      </c>
      <c r="D64" s="168" t="s">
        <v>437</v>
      </c>
      <c r="E64" s="177" t="s">
        <v>455</v>
      </c>
      <c r="F64" s="168" t="s">
        <v>439</v>
      </c>
      <c r="G64" s="170">
        <v>1000.0</v>
      </c>
      <c r="H64" s="171">
        <v>100.0</v>
      </c>
      <c r="I64" s="171">
        <v>200.0</v>
      </c>
      <c r="J64" s="172">
        <f t="shared" si="2"/>
        <v>0.001023154349</v>
      </c>
      <c r="K64" s="173">
        <f t="shared" si="3"/>
        <v>1.227785219</v>
      </c>
      <c r="L64" s="174">
        <f t="shared" si="4"/>
        <v>23.87003435</v>
      </c>
      <c r="M64" s="175" t="str">
        <f t="shared" si="5"/>
        <v>iviangita</v>
      </c>
      <c r="N64" s="176">
        <f>IFERROR(__xludf.DUMMYFUNCTION("""COMPUTED_VALUE"""),11.0)</f>
        <v>11</v>
      </c>
      <c r="O64" s="176"/>
      <c r="P64" s="166" t="s">
        <v>441</v>
      </c>
      <c r="Q64" s="166" t="s">
        <v>435</v>
      </c>
      <c r="R64" s="176"/>
      <c r="S64" s="176"/>
      <c r="T64" s="176"/>
      <c r="U64" s="176"/>
      <c r="V64" s="176"/>
      <c r="W64" s="176"/>
      <c r="X64" s="176"/>
      <c r="Y64" s="176"/>
      <c r="Z64" s="176"/>
      <c r="AA64" s="176"/>
    </row>
    <row r="65">
      <c r="A65" s="165" t="str">
        <f>iferror(VLOOKUP(P65,'DO NOT TOUCH Imported'!$A$1:$D$800,4,False),iferror(VLOOKUP(P65,'DO NOT TOUCH Imported'!$C$1:$D$800,2,False),"OOPS FIX ME"))</f>
        <v>iviangita</v>
      </c>
      <c r="B65" s="166" t="s">
        <v>441</v>
      </c>
      <c r="C65" s="167" t="s">
        <v>527</v>
      </c>
      <c r="D65" s="168" t="s">
        <v>437</v>
      </c>
      <c r="E65" s="177" t="s">
        <v>438</v>
      </c>
      <c r="F65" s="168" t="s">
        <v>439</v>
      </c>
      <c r="G65" s="170">
        <v>1000.0</v>
      </c>
      <c r="H65" s="171">
        <v>100.0</v>
      </c>
      <c r="I65" s="171">
        <v>200.0</v>
      </c>
      <c r="J65" s="172">
        <f t="shared" si="2"/>
        <v>0.001023154349</v>
      </c>
      <c r="K65" s="173">
        <f t="shared" si="3"/>
        <v>1.227785219</v>
      </c>
      <c r="L65" s="174">
        <f t="shared" si="4"/>
        <v>23.87003435</v>
      </c>
      <c r="M65" s="175" t="str">
        <f t="shared" si="5"/>
        <v>iviangita</v>
      </c>
      <c r="N65" s="176">
        <f>IFERROR(__xludf.DUMMYFUNCTION("""COMPUTED_VALUE"""),12.0)</f>
        <v>12</v>
      </c>
      <c r="O65" s="176"/>
      <c r="P65" s="166" t="s">
        <v>441</v>
      </c>
      <c r="Q65" s="166" t="s">
        <v>441</v>
      </c>
      <c r="R65" s="176"/>
      <c r="S65" s="176"/>
      <c r="T65" s="176"/>
      <c r="U65" s="176"/>
      <c r="V65" s="176"/>
      <c r="W65" s="176"/>
      <c r="X65" s="176"/>
      <c r="Y65" s="176"/>
      <c r="Z65" s="176"/>
      <c r="AA65" s="176"/>
    </row>
    <row r="66">
      <c r="A66" s="165" t="str">
        <f>iferror(VLOOKUP(P66,'DO NOT TOUCH Imported'!$A$1:$D$800,4,False),iferror(VLOOKUP(P66,'DO NOT TOUCH Imported'!$C$1:$D$800,2,False),"OOPS FIX ME"))</f>
        <v>iviangita</v>
      </c>
      <c r="B66" s="166" t="s">
        <v>20</v>
      </c>
      <c r="C66" s="167" t="s">
        <v>527</v>
      </c>
      <c r="D66" s="168" t="s">
        <v>437</v>
      </c>
      <c r="E66" s="177" t="s">
        <v>438</v>
      </c>
      <c r="F66" s="168" t="s">
        <v>439</v>
      </c>
      <c r="G66" s="170">
        <v>1000.0</v>
      </c>
      <c r="H66" s="171">
        <v>100.0</v>
      </c>
      <c r="I66" s="171">
        <v>200.0</v>
      </c>
      <c r="J66" s="172">
        <f t="shared" si="2"/>
        <v>0.001023154349</v>
      </c>
      <c r="K66" s="173">
        <f t="shared" si="3"/>
        <v>1.227785219</v>
      </c>
      <c r="L66" s="174">
        <f t="shared" si="4"/>
        <v>23.87003435</v>
      </c>
      <c r="M66" s="175" t="str">
        <f t="shared" si="5"/>
        <v>iviangita</v>
      </c>
      <c r="N66" s="176">
        <f>IFERROR(__xludf.DUMMYFUNCTION("""COMPUTED_VALUE"""),13.0)</f>
        <v>13</v>
      </c>
      <c r="O66" s="176"/>
      <c r="P66" s="166" t="s">
        <v>441</v>
      </c>
      <c r="Q66" s="166" t="s">
        <v>20</v>
      </c>
      <c r="R66" s="176"/>
      <c r="S66" s="176"/>
      <c r="T66" s="176"/>
      <c r="U66" s="176"/>
      <c r="V66" s="176"/>
      <c r="W66" s="176"/>
      <c r="X66" s="176"/>
      <c r="Y66" s="176"/>
      <c r="Z66" s="176"/>
      <c r="AA66" s="176"/>
    </row>
    <row r="67">
      <c r="A67" s="165" t="str">
        <f>iferror(VLOOKUP(P67,'DO NOT TOUCH Imported'!$A$1:$D$800,4,False),iferror(VLOOKUP(P67,'DO NOT TOUCH Imported'!$C$1:$D$800,2,False),"OOPS FIX ME"))</f>
        <v>iviangita</v>
      </c>
      <c r="B67" s="166" t="s">
        <v>441</v>
      </c>
      <c r="C67" s="167" t="s">
        <v>461</v>
      </c>
      <c r="D67" s="168" t="s">
        <v>437</v>
      </c>
      <c r="E67" s="177" t="s">
        <v>460</v>
      </c>
      <c r="F67" s="168" t="s">
        <v>439</v>
      </c>
      <c r="G67" s="170">
        <v>1000.0</v>
      </c>
      <c r="H67" s="171">
        <v>100.0</v>
      </c>
      <c r="I67" s="171">
        <v>100.0</v>
      </c>
      <c r="J67" s="172">
        <f t="shared" si="2"/>
        <v>0.000723394157</v>
      </c>
      <c r="K67" s="173">
        <f t="shared" si="3"/>
        <v>0.8680729884</v>
      </c>
      <c r="L67" s="174">
        <f t="shared" si="4"/>
        <v>23.87003435</v>
      </c>
      <c r="M67" s="175" t="str">
        <f t="shared" si="5"/>
        <v>iviangita</v>
      </c>
      <c r="N67" s="176">
        <f>IFERROR(__xludf.DUMMYFUNCTION("""COMPUTED_VALUE"""),14.0)</f>
        <v>14</v>
      </c>
      <c r="O67" s="176"/>
      <c r="P67" s="166" t="s">
        <v>441</v>
      </c>
      <c r="Q67" s="166" t="s">
        <v>441</v>
      </c>
      <c r="R67" s="176"/>
      <c r="S67" s="176"/>
      <c r="T67" s="176"/>
      <c r="U67" s="176"/>
      <c r="V67" s="176"/>
      <c r="W67" s="176"/>
      <c r="X67" s="176"/>
      <c r="Y67" s="176"/>
      <c r="Z67" s="176"/>
      <c r="AA67" s="176"/>
    </row>
    <row r="68">
      <c r="A68" s="165" t="str">
        <f>iferror(VLOOKUP(P68,'DO NOT TOUCH Imported'!$A$1:$D$800,4,False),iferror(VLOOKUP(P68,'DO NOT TOUCH Imported'!$C$1:$D$800,2,False),"OOPS FIX ME"))</f>
        <v>iviangita</v>
      </c>
      <c r="B68" s="166" t="s">
        <v>441</v>
      </c>
      <c r="C68" s="167" t="s">
        <v>466</v>
      </c>
      <c r="D68" s="168" t="s">
        <v>437</v>
      </c>
      <c r="E68" s="177" t="s">
        <v>447</v>
      </c>
      <c r="F68" s="168" t="s">
        <v>439</v>
      </c>
      <c r="G68" s="170">
        <v>1000.0</v>
      </c>
      <c r="H68" s="171">
        <v>100.0</v>
      </c>
      <c r="I68" s="171">
        <v>100.0</v>
      </c>
      <c r="J68" s="172">
        <f t="shared" si="2"/>
        <v>0.000723394157</v>
      </c>
      <c r="K68" s="173">
        <f t="shared" si="3"/>
        <v>0.8680729884</v>
      </c>
      <c r="L68" s="174">
        <f t="shared" si="4"/>
        <v>23.87003435</v>
      </c>
      <c r="M68" s="175" t="str">
        <f t="shared" si="5"/>
        <v>iviangita</v>
      </c>
      <c r="N68" s="176">
        <f>IFERROR(__xludf.DUMMYFUNCTION("""COMPUTED_VALUE"""),15.0)</f>
        <v>15</v>
      </c>
      <c r="O68" s="176"/>
      <c r="P68" s="166" t="s">
        <v>441</v>
      </c>
      <c r="Q68" s="166" t="s">
        <v>441</v>
      </c>
      <c r="R68" s="176"/>
      <c r="S68" s="176"/>
      <c r="T68" s="176"/>
      <c r="U68" s="176"/>
      <c r="V68" s="176"/>
      <c r="W68" s="176"/>
      <c r="X68" s="176"/>
      <c r="Y68" s="176"/>
      <c r="Z68" s="176"/>
      <c r="AA68" s="176"/>
    </row>
    <row r="69">
      <c r="A69" s="165" t="str">
        <f>iferror(VLOOKUP(P69,'DO NOT TOUCH Imported'!$A$1:$D$800,4,False),iferror(VLOOKUP(P69,'DO NOT TOUCH Imported'!$C$1:$D$800,2,False),"OOPS FIX ME"))</f>
        <v>iviangita</v>
      </c>
      <c r="B69" s="166" t="s">
        <v>528</v>
      </c>
      <c r="C69" s="167" t="s">
        <v>529</v>
      </c>
      <c r="D69" s="168" t="s">
        <v>437</v>
      </c>
      <c r="E69" s="169" t="s">
        <v>447</v>
      </c>
      <c r="F69" s="168" t="s">
        <v>439</v>
      </c>
      <c r="G69" s="170">
        <v>1000.0</v>
      </c>
      <c r="H69" s="171">
        <v>100.0</v>
      </c>
      <c r="I69" s="171">
        <v>100.0</v>
      </c>
      <c r="J69" s="172">
        <f t="shared" si="2"/>
        <v>0.000723394157</v>
      </c>
      <c r="K69" s="173">
        <f t="shared" si="3"/>
        <v>0.8680729884</v>
      </c>
      <c r="L69" s="174">
        <f t="shared" si="4"/>
        <v>23.87003435</v>
      </c>
      <c r="M69" s="175" t="str">
        <f t="shared" si="5"/>
        <v>iviangita</v>
      </c>
      <c r="N69" s="176">
        <f>IFERROR(__xludf.DUMMYFUNCTION("""COMPUTED_VALUE"""),16.0)</f>
        <v>16</v>
      </c>
      <c r="O69" s="176"/>
      <c r="P69" s="166" t="s">
        <v>441</v>
      </c>
      <c r="Q69" s="166" t="s">
        <v>528</v>
      </c>
      <c r="R69" s="176"/>
      <c r="S69" s="176"/>
      <c r="T69" s="176"/>
      <c r="U69" s="176"/>
      <c r="V69" s="176"/>
      <c r="W69" s="176"/>
      <c r="X69" s="176"/>
      <c r="Y69" s="176"/>
      <c r="Z69" s="176"/>
      <c r="AA69" s="176"/>
    </row>
    <row r="70">
      <c r="A70" s="165" t="str">
        <f>iferror(VLOOKUP(P70,'DO NOT TOUCH Imported'!$A$1:$D$800,4,False),iferror(VLOOKUP(P70,'DO NOT TOUCH Imported'!$C$1:$D$800,2,False),"OOPS FIX ME"))</f>
        <v>iviangita</v>
      </c>
      <c r="B70" s="166" t="s">
        <v>530</v>
      </c>
      <c r="C70" s="167" t="s">
        <v>531</v>
      </c>
      <c r="D70" s="168" t="s">
        <v>499</v>
      </c>
      <c r="E70" s="177" t="s">
        <v>452</v>
      </c>
      <c r="F70" s="168" t="s">
        <v>503</v>
      </c>
      <c r="G70" s="170">
        <v>1000.0</v>
      </c>
      <c r="H70" s="171">
        <v>100.0</v>
      </c>
      <c r="I70" s="171">
        <v>100.0</v>
      </c>
      <c r="J70" s="172">
        <f t="shared" si="2"/>
        <v>0.000723394157</v>
      </c>
      <c r="K70" s="173">
        <f t="shared" si="3"/>
        <v>0.8680729884</v>
      </c>
      <c r="L70" s="174">
        <f t="shared" si="4"/>
        <v>23.87003435</v>
      </c>
      <c r="M70" s="175" t="str">
        <f t="shared" si="5"/>
        <v>iviangita</v>
      </c>
      <c r="N70" s="176">
        <f>IFERROR(__xludf.DUMMYFUNCTION("""COMPUTED_VALUE"""),17.0)</f>
        <v>17</v>
      </c>
      <c r="O70" s="176"/>
      <c r="P70" s="166" t="s">
        <v>441</v>
      </c>
      <c r="Q70" s="166" t="s">
        <v>530</v>
      </c>
      <c r="R70" s="176"/>
      <c r="S70" s="176"/>
      <c r="T70" s="176"/>
      <c r="U70" s="176"/>
      <c r="V70" s="176"/>
      <c r="W70" s="176"/>
      <c r="X70" s="176"/>
      <c r="Y70" s="176"/>
      <c r="Z70" s="176"/>
      <c r="AA70" s="176"/>
    </row>
    <row r="71">
      <c r="A71" s="165" t="str">
        <f>iferror(VLOOKUP(P71,'DO NOT TOUCH Imported'!$A$1:$D$800,4,False),iferror(VLOOKUP(P71,'DO NOT TOUCH Imported'!$C$1:$D$800,2,False),"OOPS FIX ME"))</f>
        <v>iviangita</v>
      </c>
      <c r="B71" s="166" t="s">
        <v>435</v>
      </c>
      <c r="C71" s="167" t="s">
        <v>532</v>
      </c>
      <c r="D71" s="168" t="s">
        <v>437</v>
      </c>
      <c r="E71" s="169" t="s">
        <v>478</v>
      </c>
      <c r="F71" s="168" t="s">
        <v>439</v>
      </c>
      <c r="G71" s="170">
        <v>1000.0</v>
      </c>
      <c r="H71" s="171">
        <v>100.0</v>
      </c>
      <c r="I71" s="171">
        <v>100.0</v>
      </c>
      <c r="J71" s="172">
        <f t="shared" si="2"/>
        <v>0.000723394157</v>
      </c>
      <c r="K71" s="173">
        <f t="shared" si="3"/>
        <v>0.8680729884</v>
      </c>
      <c r="L71" s="174">
        <f t="shared" si="4"/>
        <v>23.87003435</v>
      </c>
      <c r="M71" s="175" t="str">
        <f t="shared" si="5"/>
        <v>iviangita</v>
      </c>
      <c r="N71" s="176">
        <f>IFERROR(__xludf.DUMMYFUNCTION("""COMPUTED_VALUE"""),18.0)</f>
        <v>18</v>
      </c>
      <c r="O71" s="176"/>
      <c r="P71" s="166" t="s">
        <v>441</v>
      </c>
      <c r="Q71" s="166" t="s">
        <v>435</v>
      </c>
      <c r="R71" s="176"/>
      <c r="S71" s="176"/>
      <c r="T71" s="176"/>
      <c r="U71" s="176"/>
      <c r="V71" s="176"/>
      <c r="W71" s="176"/>
      <c r="X71" s="176"/>
      <c r="Y71" s="176"/>
      <c r="Z71" s="176"/>
      <c r="AA71" s="176"/>
    </row>
    <row r="72">
      <c r="A72" s="165" t="str">
        <f>iferror(VLOOKUP(P72,'DO NOT TOUCH Imported'!$A$1:$D$800,4,False),iferror(VLOOKUP(P72,'DO NOT TOUCH Imported'!$C$1:$D$800,2,False),"OOPS FIX ME"))</f>
        <v>iviangita</v>
      </c>
      <c r="B72" s="166" t="s">
        <v>441</v>
      </c>
      <c r="C72" s="167" t="s">
        <v>533</v>
      </c>
      <c r="D72" s="168" t="s">
        <v>437</v>
      </c>
      <c r="E72" s="169" t="s">
        <v>438</v>
      </c>
      <c r="F72" s="168" t="s">
        <v>439</v>
      </c>
      <c r="G72" s="170">
        <v>1000.0</v>
      </c>
      <c r="H72" s="171">
        <v>100.0</v>
      </c>
      <c r="I72" s="171">
        <v>100.0</v>
      </c>
      <c r="J72" s="172">
        <f t="shared" si="2"/>
        <v>0.000723394157</v>
      </c>
      <c r="K72" s="173">
        <f t="shared" si="3"/>
        <v>0.8680729884</v>
      </c>
      <c r="L72" s="174">
        <f t="shared" si="4"/>
        <v>23.87003435</v>
      </c>
      <c r="M72" s="175" t="str">
        <f t="shared" si="5"/>
        <v>iviangita</v>
      </c>
      <c r="N72" s="176">
        <f>IFERROR(__xludf.DUMMYFUNCTION("""COMPUTED_VALUE"""),19.0)</f>
        <v>19</v>
      </c>
      <c r="O72" s="176"/>
      <c r="P72" s="166" t="s">
        <v>441</v>
      </c>
      <c r="Q72" s="166" t="s">
        <v>441</v>
      </c>
      <c r="R72" s="176"/>
      <c r="S72" s="176"/>
      <c r="T72" s="176"/>
      <c r="U72" s="176"/>
      <c r="V72" s="176"/>
      <c r="W72" s="176"/>
      <c r="X72" s="176"/>
      <c r="Y72" s="176"/>
      <c r="Z72" s="176"/>
      <c r="AA72" s="176"/>
    </row>
    <row r="73">
      <c r="A73" s="165" t="str">
        <f>iferror(VLOOKUP(P73,'DO NOT TOUCH Imported'!$A$1:$D$800,4,False),iferror(VLOOKUP(P73,'DO NOT TOUCH Imported'!$C$1:$D$800,2,False),"OOPS FIX ME"))</f>
        <v>iviangita</v>
      </c>
      <c r="B73" s="166" t="s">
        <v>441</v>
      </c>
      <c r="C73" s="167" t="s">
        <v>475</v>
      </c>
      <c r="D73" s="168" t="s">
        <v>437</v>
      </c>
      <c r="E73" s="177" t="s">
        <v>438</v>
      </c>
      <c r="F73" s="168" t="s">
        <v>439</v>
      </c>
      <c r="G73" s="170">
        <v>1000.0</v>
      </c>
      <c r="H73" s="171">
        <v>100.0</v>
      </c>
      <c r="I73" s="171">
        <v>100.0</v>
      </c>
      <c r="J73" s="172">
        <f t="shared" si="2"/>
        <v>0.000723394157</v>
      </c>
      <c r="K73" s="173">
        <f t="shared" si="3"/>
        <v>0.8680729884</v>
      </c>
      <c r="L73" s="174">
        <f t="shared" si="4"/>
        <v>23.87003435</v>
      </c>
      <c r="M73" s="175" t="str">
        <f t="shared" si="5"/>
        <v>iviangita</v>
      </c>
      <c r="N73" s="176">
        <f>IFERROR(__xludf.DUMMYFUNCTION("""COMPUTED_VALUE"""),20.0)</f>
        <v>20</v>
      </c>
      <c r="O73" s="176"/>
      <c r="P73" s="166" t="s">
        <v>441</v>
      </c>
      <c r="Q73" s="166" t="s">
        <v>441</v>
      </c>
      <c r="R73" s="176"/>
      <c r="S73" s="176"/>
      <c r="T73" s="176"/>
      <c r="U73" s="176"/>
      <c r="V73" s="176"/>
      <c r="W73" s="176"/>
      <c r="X73" s="176"/>
      <c r="Y73" s="176"/>
      <c r="Z73" s="176"/>
      <c r="AA73" s="176"/>
    </row>
    <row r="74">
      <c r="A74" s="165" t="str">
        <f>iferror(VLOOKUP(P74,'DO NOT TOUCH Imported'!$A$1:$D$800,4,False),iferror(VLOOKUP(P74,'DO NOT TOUCH Imported'!$C$1:$D$800,2,False),"OOPS FIX ME"))</f>
        <v>iviangita</v>
      </c>
      <c r="B74" s="166" t="s">
        <v>441</v>
      </c>
      <c r="C74" s="167" t="s">
        <v>481</v>
      </c>
      <c r="D74" s="168" t="s">
        <v>437</v>
      </c>
      <c r="E74" s="177" t="s">
        <v>447</v>
      </c>
      <c r="F74" s="168" t="s">
        <v>439</v>
      </c>
      <c r="G74" s="170">
        <v>1000.0</v>
      </c>
      <c r="H74" s="171">
        <v>80.0</v>
      </c>
      <c r="I74" s="171">
        <v>100.0</v>
      </c>
      <c r="J74" s="172">
        <f t="shared" si="2"/>
        <v>0.0006595463701</v>
      </c>
      <c r="K74" s="173">
        <f t="shared" si="3"/>
        <v>0.7914556442</v>
      </c>
      <c r="L74" s="174">
        <f t="shared" si="4"/>
        <v>23.87003435</v>
      </c>
      <c r="M74" s="175" t="str">
        <f t="shared" si="5"/>
        <v>iviangita</v>
      </c>
      <c r="N74" s="176">
        <f>IFERROR(__xludf.DUMMYFUNCTION("""COMPUTED_VALUE"""),21.0)</f>
        <v>21</v>
      </c>
      <c r="O74" s="176"/>
      <c r="P74" s="166" t="s">
        <v>441</v>
      </c>
      <c r="Q74" s="166" t="s">
        <v>441</v>
      </c>
      <c r="R74" s="176"/>
      <c r="S74" s="176"/>
      <c r="T74" s="176"/>
      <c r="U74" s="176"/>
      <c r="V74" s="176"/>
      <c r="W74" s="176"/>
      <c r="X74" s="176"/>
      <c r="Y74" s="176"/>
      <c r="Z74" s="176"/>
      <c r="AA74" s="176"/>
    </row>
    <row r="75">
      <c r="A75" s="165" t="str">
        <f>iferror(VLOOKUP(P75,'DO NOT TOUCH Imported'!$A$1:$D$800,4,False),iferror(VLOOKUP(P75,'DO NOT TOUCH Imported'!$C$1:$D$800,2,False),"OOPS FIX ME"))</f>
        <v>iviangita</v>
      </c>
      <c r="B75" s="166" t="s">
        <v>483</v>
      </c>
      <c r="C75" s="167" t="s">
        <v>484</v>
      </c>
      <c r="D75" s="168" t="s">
        <v>437</v>
      </c>
      <c r="E75" s="177" t="s">
        <v>478</v>
      </c>
      <c r="F75" s="168" t="s">
        <v>439</v>
      </c>
      <c r="G75" s="170">
        <v>1000.0</v>
      </c>
      <c r="H75" s="171">
        <v>80.0</v>
      </c>
      <c r="I75" s="171">
        <v>100.0</v>
      </c>
      <c r="J75" s="172">
        <f t="shared" si="2"/>
        <v>0.0006595463701</v>
      </c>
      <c r="K75" s="173">
        <f t="shared" si="3"/>
        <v>0.7914556442</v>
      </c>
      <c r="L75" s="174">
        <f t="shared" si="4"/>
        <v>23.87003435</v>
      </c>
      <c r="M75" s="175" t="str">
        <f t="shared" si="5"/>
        <v>iviangita</v>
      </c>
      <c r="N75" s="176">
        <f>IFERROR(__xludf.DUMMYFUNCTION("""COMPUTED_VALUE"""),22.0)</f>
        <v>22</v>
      </c>
      <c r="O75" s="176"/>
      <c r="P75" s="166" t="s">
        <v>441</v>
      </c>
      <c r="Q75" s="166" t="s">
        <v>483</v>
      </c>
      <c r="R75" s="176"/>
      <c r="S75" s="176"/>
      <c r="T75" s="176"/>
      <c r="U75" s="176"/>
      <c r="V75" s="176"/>
      <c r="W75" s="176"/>
      <c r="X75" s="176"/>
      <c r="Y75" s="176"/>
      <c r="Z75" s="176"/>
      <c r="AA75" s="176"/>
    </row>
    <row r="76">
      <c r="A76" s="165" t="str">
        <f>iferror(VLOOKUP(P76,'DO NOT TOUCH Imported'!$A$1:$D$800,4,False),iferror(VLOOKUP(P76,'DO NOT TOUCH Imported'!$C$1:$D$800,2,False),"OOPS FIX ME"))</f>
        <v>iviangita</v>
      </c>
      <c r="B76" s="166" t="s">
        <v>441</v>
      </c>
      <c r="C76" s="167" t="s">
        <v>485</v>
      </c>
      <c r="D76" s="168" t="s">
        <v>437</v>
      </c>
      <c r="E76" s="169" t="s">
        <v>438</v>
      </c>
      <c r="F76" s="168" t="s">
        <v>439</v>
      </c>
      <c r="G76" s="170">
        <v>1000.0</v>
      </c>
      <c r="H76" s="171">
        <v>80.0</v>
      </c>
      <c r="I76" s="171">
        <v>100.0</v>
      </c>
      <c r="J76" s="172">
        <f t="shared" si="2"/>
        <v>0.0006595463701</v>
      </c>
      <c r="K76" s="173">
        <f t="shared" si="3"/>
        <v>0.7914556442</v>
      </c>
      <c r="L76" s="174">
        <f t="shared" si="4"/>
        <v>23.87003435</v>
      </c>
      <c r="M76" s="175" t="str">
        <f t="shared" si="5"/>
        <v>iviangita</v>
      </c>
      <c r="N76" s="176">
        <f>IFERROR(__xludf.DUMMYFUNCTION("""COMPUTED_VALUE"""),23.0)</f>
        <v>23</v>
      </c>
      <c r="O76" s="176"/>
      <c r="P76" s="166" t="s">
        <v>441</v>
      </c>
      <c r="Q76" s="166" t="s">
        <v>441</v>
      </c>
      <c r="R76" s="176"/>
      <c r="S76" s="176"/>
      <c r="T76" s="176"/>
      <c r="U76" s="176"/>
      <c r="V76" s="176"/>
      <c r="W76" s="176"/>
      <c r="X76" s="176"/>
      <c r="Y76" s="176"/>
      <c r="Z76" s="176"/>
      <c r="AA76" s="176"/>
    </row>
    <row r="77">
      <c r="A77" s="185" t="str">
        <f>iferror(VLOOKUP(P77,'DO NOT TOUCH Imported'!$A$1:$D$800,4,False),iferror(VLOOKUP(P77,'DO NOT TOUCH Imported'!$C$1:$D$800,2,False),"OOPS FIX ME"))</f>
        <v>iviangita</v>
      </c>
      <c r="B77" s="185" t="s">
        <v>534</v>
      </c>
      <c r="C77" s="186" t="s">
        <v>535</v>
      </c>
      <c r="D77" s="187"/>
      <c r="E77" s="188"/>
      <c r="F77" s="189"/>
      <c r="G77" s="190"/>
      <c r="H77" s="190"/>
      <c r="I77" s="190"/>
      <c r="J77" s="191">
        <f t="shared" si="2"/>
        <v>0</v>
      </c>
      <c r="K77" s="192">
        <f>47.741*-0.5</f>
        <v>-23.8705</v>
      </c>
      <c r="L77" s="193">
        <f t="shared" si="4"/>
        <v>23.87003435</v>
      </c>
      <c r="M77" s="194" t="str">
        <f t="shared" si="5"/>
        <v>iviangita</v>
      </c>
      <c r="N77" s="195">
        <f>IFERROR(__xludf.DUMMYFUNCTION("""COMPUTED_VALUE"""),24.0)</f>
        <v>24</v>
      </c>
      <c r="O77" s="195"/>
      <c r="P77" s="185" t="s">
        <v>10</v>
      </c>
      <c r="Q77" s="185" t="s">
        <v>534</v>
      </c>
      <c r="R77" s="195">
        <v>18.802169413641863</v>
      </c>
      <c r="S77" s="195"/>
      <c r="T77" s="195"/>
      <c r="U77" s="195"/>
      <c r="V77" s="195"/>
      <c r="W77" s="195"/>
      <c r="X77" s="195"/>
      <c r="Y77" s="195"/>
      <c r="Z77" s="195"/>
      <c r="AA77" s="176"/>
    </row>
    <row r="78">
      <c r="A78" s="165" t="str">
        <f>iferror(VLOOKUP(P78,'DO NOT TOUCH Imported'!$A$1:$D$800,4,False),iferror(VLOOKUP(P78,'DO NOT TOUCH Imported'!$C$1:$D$800,2,False),"OOPS FIX ME"))</f>
        <v>Suga#8514</v>
      </c>
      <c r="B78" s="166" t="s">
        <v>457</v>
      </c>
      <c r="C78" s="167" t="s">
        <v>536</v>
      </c>
      <c r="D78" s="168" t="s">
        <v>437</v>
      </c>
      <c r="E78" s="169" t="s">
        <v>438</v>
      </c>
      <c r="F78" s="168" t="s">
        <v>439</v>
      </c>
      <c r="G78" s="170">
        <v>10000.0</v>
      </c>
      <c r="H78" s="171">
        <v>150.0</v>
      </c>
      <c r="I78" s="171">
        <v>300.0</v>
      </c>
      <c r="J78" s="172">
        <f t="shared" si="2"/>
        <v>0.002422089285</v>
      </c>
      <c r="K78" s="173">
        <f t="shared" ref="K78:K95" si="6">J78*$J$1</f>
        <v>2.906507142</v>
      </c>
      <c r="L78" s="174">
        <f t="shared" si="4"/>
        <v>20.12199683</v>
      </c>
      <c r="M78" s="175" t="str">
        <f t="shared" si="5"/>
        <v>Suga#8514</v>
      </c>
      <c r="N78" s="176">
        <f>IFERROR(__xludf.DUMMYFUNCTION("""COMPUTED_VALUE"""),1.0)</f>
        <v>1</v>
      </c>
      <c r="O78" s="176"/>
      <c r="P78" s="166" t="s">
        <v>45</v>
      </c>
      <c r="Q78" s="166" t="s">
        <v>457</v>
      </c>
      <c r="R78" s="176"/>
      <c r="S78" s="176"/>
      <c r="T78" s="176"/>
      <c r="U78" s="176"/>
      <c r="V78" s="176"/>
      <c r="W78" s="176"/>
      <c r="X78" s="176"/>
      <c r="Y78" s="176"/>
      <c r="Z78" s="176"/>
      <c r="AA78" s="176"/>
    </row>
    <row r="79">
      <c r="A79" s="165" t="str">
        <f>iferror(VLOOKUP(P79,'DO NOT TOUCH Imported'!$A$1:$D$800,4,False),iferror(VLOOKUP(P79,'DO NOT TOUCH Imported'!$C$1:$D$800,2,False),"OOPS FIX ME"))</f>
        <v>Suga#8514</v>
      </c>
      <c r="B79" s="166" t="s">
        <v>490</v>
      </c>
      <c r="C79" s="167" t="s">
        <v>537</v>
      </c>
      <c r="D79" s="168" t="s">
        <v>437</v>
      </c>
      <c r="E79" s="177" t="s">
        <v>447</v>
      </c>
      <c r="F79" s="168" t="s">
        <v>439</v>
      </c>
      <c r="G79" s="170">
        <v>1000.0</v>
      </c>
      <c r="H79" s="171">
        <v>200.0</v>
      </c>
      <c r="I79" s="171">
        <v>200.0</v>
      </c>
      <c r="J79" s="172">
        <f t="shared" si="2"/>
        <v>0.001342393283</v>
      </c>
      <c r="K79" s="173">
        <f t="shared" si="6"/>
        <v>1.61087194</v>
      </c>
      <c r="L79" s="174">
        <f t="shared" si="4"/>
        <v>20.12199683</v>
      </c>
      <c r="M79" s="175" t="str">
        <f t="shared" si="5"/>
        <v>Suga#8514</v>
      </c>
      <c r="N79" s="176">
        <f>IFERROR(__xludf.DUMMYFUNCTION("""COMPUTED_VALUE"""),2.0)</f>
        <v>2</v>
      </c>
      <c r="O79" s="176"/>
      <c r="P79" s="166" t="s">
        <v>45</v>
      </c>
      <c r="Q79" s="166" t="s">
        <v>490</v>
      </c>
      <c r="R79" s="176"/>
      <c r="S79" s="176"/>
      <c r="T79" s="176"/>
      <c r="U79" s="176"/>
      <c r="V79" s="176"/>
      <c r="W79" s="176"/>
      <c r="X79" s="176"/>
      <c r="Y79" s="176"/>
      <c r="Z79" s="176"/>
      <c r="AA79" s="176"/>
    </row>
    <row r="80">
      <c r="A80" s="165" t="str">
        <f>iferror(VLOOKUP(P80,'DO NOT TOUCH Imported'!$A$1:$D$800,4,False),iferror(VLOOKUP(P80,'DO NOT TOUCH Imported'!$C$1:$D$800,2,False),"OOPS FIX ME"))</f>
        <v>Suga#8514</v>
      </c>
      <c r="B80" s="166" t="s">
        <v>441</v>
      </c>
      <c r="C80" s="167" t="s">
        <v>538</v>
      </c>
      <c r="D80" s="168" t="s">
        <v>437</v>
      </c>
      <c r="E80" s="177" t="s">
        <v>438</v>
      </c>
      <c r="F80" s="168" t="s">
        <v>439</v>
      </c>
      <c r="G80" s="170">
        <v>1000.0</v>
      </c>
      <c r="H80" s="171">
        <v>100.0</v>
      </c>
      <c r="I80" s="171">
        <v>300.0</v>
      </c>
      <c r="J80" s="172">
        <f t="shared" si="2"/>
        <v>0.001322914541</v>
      </c>
      <c r="K80" s="173">
        <f t="shared" si="6"/>
        <v>1.587497449</v>
      </c>
      <c r="L80" s="174">
        <f t="shared" si="4"/>
        <v>20.12199683</v>
      </c>
      <c r="M80" s="175" t="str">
        <f t="shared" si="5"/>
        <v>Suga#8514</v>
      </c>
      <c r="N80" s="176">
        <f>IFERROR(__xludf.DUMMYFUNCTION("""COMPUTED_VALUE"""),3.0)</f>
        <v>3</v>
      </c>
      <c r="O80" s="176"/>
      <c r="P80" s="166" t="s">
        <v>45</v>
      </c>
      <c r="Q80" s="166" t="s">
        <v>441</v>
      </c>
      <c r="R80" s="176"/>
      <c r="S80" s="176"/>
      <c r="T80" s="176"/>
      <c r="U80" s="176"/>
      <c r="V80" s="176"/>
      <c r="W80" s="176"/>
      <c r="X80" s="176"/>
      <c r="Y80" s="176"/>
      <c r="Z80" s="176"/>
      <c r="AA80" s="176"/>
    </row>
    <row r="81">
      <c r="A81" s="165" t="str">
        <f>iferror(VLOOKUP(P81,'DO NOT TOUCH Imported'!$A$1:$D$800,4,False),iferror(VLOOKUP(P81,'DO NOT TOUCH Imported'!$C$1:$D$800,2,False),"OOPS FIX ME"))</f>
        <v>Suga#8514</v>
      </c>
      <c r="B81" s="166" t="s">
        <v>490</v>
      </c>
      <c r="C81" s="167" t="s">
        <v>539</v>
      </c>
      <c r="D81" s="168" t="s">
        <v>437</v>
      </c>
      <c r="E81" s="177" t="s">
        <v>540</v>
      </c>
      <c r="F81" s="168" t="s">
        <v>439</v>
      </c>
      <c r="G81" s="170">
        <v>1000.0</v>
      </c>
      <c r="H81" s="171">
        <v>200.0</v>
      </c>
      <c r="I81" s="171">
        <v>100.0</v>
      </c>
      <c r="J81" s="172">
        <f t="shared" si="2"/>
        <v>0.001042633091</v>
      </c>
      <c r="K81" s="173">
        <f t="shared" si="6"/>
        <v>1.25115971</v>
      </c>
      <c r="L81" s="174">
        <f t="shared" si="4"/>
        <v>20.12199683</v>
      </c>
      <c r="M81" s="175" t="str">
        <f t="shared" si="5"/>
        <v>Suga#8514</v>
      </c>
      <c r="N81" s="176">
        <f>IFERROR(__xludf.DUMMYFUNCTION("""COMPUTED_VALUE"""),4.0)</f>
        <v>4</v>
      </c>
      <c r="O81" s="176"/>
      <c r="P81" s="166" t="s">
        <v>45</v>
      </c>
      <c r="Q81" s="166" t="s">
        <v>490</v>
      </c>
      <c r="R81" s="176"/>
      <c r="S81" s="176"/>
      <c r="T81" s="176"/>
      <c r="U81" s="176"/>
      <c r="V81" s="176"/>
      <c r="W81" s="176"/>
      <c r="X81" s="176"/>
      <c r="Y81" s="176"/>
      <c r="Z81" s="176"/>
      <c r="AA81" s="176"/>
    </row>
    <row r="82">
      <c r="A82" s="165" t="str">
        <f>iferror(VLOOKUP(P82,'DO NOT TOUCH Imported'!$A$1:$D$800,4,False),iferror(VLOOKUP(P82,'DO NOT TOUCH Imported'!$C$1:$D$800,2,False),"OOPS FIX ME"))</f>
        <v>Suga#8514</v>
      </c>
      <c r="B82" s="166" t="s">
        <v>441</v>
      </c>
      <c r="C82" s="167" t="s">
        <v>541</v>
      </c>
      <c r="D82" s="168" t="s">
        <v>437</v>
      </c>
      <c r="E82" s="177" t="s">
        <v>447</v>
      </c>
      <c r="F82" s="168" t="s">
        <v>439</v>
      </c>
      <c r="G82" s="170">
        <v>1000.0</v>
      </c>
      <c r="H82" s="171">
        <v>200.0</v>
      </c>
      <c r="I82" s="171">
        <v>100.0</v>
      </c>
      <c r="J82" s="172">
        <f t="shared" si="2"/>
        <v>0.001042633091</v>
      </c>
      <c r="K82" s="173">
        <f t="shared" si="6"/>
        <v>1.25115971</v>
      </c>
      <c r="L82" s="174">
        <f t="shared" si="4"/>
        <v>20.12199683</v>
      </c>
      <c r="M82" s="175" t="str">
        <f t="shared" si="5"/>
        <v>Suga#8514</v>
      </c>
      <c r="N82" s="176">
        <f>IFERROR(__xludf.DUMMYFUNCTION("""COMPUTED_VALUE"""),5.0)</f>
        <v>5</v>
      </c>
      <c r="O82" s="176"/>
      <c r="P82" s="166" t="s">
        <v>45</v>
      </c>
      <c r="Q82" s="166" t="s">
        <v>441</v>
      </c>
      <c r="R82" s="176"/>
      <c r="S82" s="176"/>
      <c r="T82" s="176"/>
      <c r="U82" s="176"/>
      <c r="V82" s="176"/>
      <c r="W82" s="176"/>
      <c r="X82" s="176"/>
      <c r="Y82" s="176"/>
      <c r="Z82" s="176"/>
      <c r="AA82" s="176"/>
    </row>
    <row r="83">
      <c r="A83" s="165" t="str">
        <f>iferror(VLOOKUP(P83,'DO NOT TOUCH Imported'!$A$1:$D$800,4,False),iferror(VLOOKUP(P83,'DO NOT TOUCH Imported'!$C$1:$D$800,2,False),"OOPS FIX ME"))</f>
        <v>Suga#8514</v>
      </c>
      <c r="B83" s="166" t="s">
        <v>441</v>
      </c>
      <c r="C83" s="167" t="s">
        <v>542</v>
      </c>
      <c r="D83" s="168" t="s">
        <v>437</v>
      </c>
      <c r="E83" s="177" t="s">
        <v>447</v>
      </c>
      <c r="F83" s="168" t="s">
        <v>439</v>
      </c>
      <c r="G83" s="170">
        <v>1000.0</v>
      </c>
      <c r="H83" s="171">
        <v>200.0</v>
      </c>
      <c r="I83" s="171">
        <v>100.0</v>
      </c>
      <c r="J83" s="172">
        <f t="shared" si="2"/>
        <v>0.001042633091</v>
      </c>
      <c r="K83" s="173">
        <f t="shared" si="6"/>
        <v>1.25115971</v>
      </c>
      <c r="L83" s="174">
        <f t="shared" si="4"/>
        <v>20.12199683</v>
      </c>
      <c r="M83" s="175" t="str">
        <f t="shared" si="5"/>
        <v>Suga#8514</v>
      </c>
      <c r="N83" s="176">
        <f>IFERROR(__xludf.DUMMYFUNCTION("""COMPUTED_VALUE"""),6.0)</f>
        <v>6</v>
      </c>
      <c r="O83" s="176"/>
      <c r="P83" s="166" t="s">
        <v>45</v>
      </c>
      <c r="Q83" s="166" t="s">
        <v>441</v>
      </c>
      <c r="R83" s="176"/>
      <c r="S83" s="176"/>
      <c r="T83" s="176"/>
      <c r="U83" s="176"/>
      <c r="V83" s="176"/>
      <c r="W83" s="176"/>
      <c r="X83" s="176"/>
      <c r="Y83" s="176"/>
      <c r="Z83" s="176"/>
      <c r="AA83" s="176"/>
    </row>
    <row r="84">
      <c r="A84" s="165" t="str">
        <f>iferror(VLOOKUP(P84,'DO NOT TOUCH Imported'!$A$1:$D$800,4,False),iferror(VLOOKUP(P84,'DO NOT TOUCH Imported'!$C$1:$D$800,2,False),"OOPS FIX ME"))</f>
        <v>Suga#8514</v>
      </c>
      <c r="B84" s="166" t="s">
        <v>441</v>
      </c>
      <c r="C84" s="167" t="s">
        <v>543</v>
      </c>
      <c r="D84" s="168" t="s">
        <v>437</v>
      </c>
      <c r="E84" s="177" t="s">
        <v>447</v>
      </c>
      <c r="F84" s="168" t="s">
        <v>439</v>
      </c>
      <c r="G84" s="170">
        <v>1000.0</v>
      </c>
      <c r="H84" s="171">
        <v>150.0</v>
      </c>
      <c r="I84" s="171">
        <v>100.0</v>
      </c>
      <c r="J84" s="172">
        <f t="shared" si="2"/>
        <v>0.0008830136242</v>
      </c>
      <c r="K84" s="173">
        <f t="shared" si="6"/>
        <v>1.059616349</v>
      </c>
      <c r="L84" s="174">
        <f t="shared" si="4"/>
        <v>20.12199683</v>
      </c>
      <c r="M84" s="175" t="str">
        <f t="shared" si="5"/>
        <v>Suga#8514</v>
      </c>
      <c r="N84" s="176">
        <f>IFERROR(__xludf.DUMMYFUNCTION("""COMPUTED_VALUE"""),7.0)</f>
        <v>7</v>
      </c>
      <c r="O84" s="176"/>
      <c r="P84" s="166" t="s">
        <v>45</v>
      </c>
      <c r="Q84" s="166" t="s">
        <v>441</v>
      </c>
      <c r="R84" s="176"/>
      <c r="S84" s="176"/>
      <c r="T84" s="176"/>
      <c r="U84" s="176"/>
      <c r="V84" s="176"/>
      <c r="W84" s="176"/>
      <c r="X84" s="176"/>
      <c r="Y84" s="176"/>
      <c r="Z84" s="176"/>
      <c r="AA84" s="176"/>
    </row>
    <row r="85">
      <c r="A85" s="165" t="str">
        <f>iferror(VLOOKUP(P85,'DO NOT TOUCH Imported'!$A$1:$D$800,4,False),iferror(VLOOKUP(P85,'DO NOT TOUCH Imported'!$C$1:$D$800,2,False),"OOPS FIX ME"))</f>
        <v>Suga#8514</v>
      </c>
      <c r="B85" s="178" t="s">
        <v>18</v>
      </c>
      <c r="C85" s="179" t="s">
        <v>544</v>
      </c>
      <c r="D85" s="180" t="s">
        <v>495</v>
      </c>
      <c r="E85" s="184">
        <v>44313.0</v>
      </c>
      <c r="F85" s="182" t="s">
        <v>545</v>
      </c>
      <c r="G85" s="170">
        <v>1000.0</v>
      </c>
      <c r="H85" s="171">
        <v>100.0</v>
      </c>
      <c r="I85" s="171">
        <v>100.0</v>
      </c>
      <c r="J85" s="172">
        <f t="shared" si="2"/>
        <v>0.000723394157</v>
      </c>
      <c r="K85" s="173">
        <f t="shared" si="6"/>
        <v>0.8680729884</v>
      </c>
      <c r="L85" s="174">
        <f t="shared" si="4"/>
        <v>20.12199683</v>
      </c>
      <c r="M85" s="175" t="str">
        <f t="shared" si="5"/>
        <v>Suga#8514</v>
      </c>
      <c r="N85" s="176">
        <f>IFERROR(__xludf.DUMMYFUNCTION("""COMPUTED_VALUE"""),8.0)</f>
        <v>8</v>
      </c>
      <c r="O85" s="176"/>
      <c r="P85" s="183" t="s">
        <v>546</v>
      </c>
      <c r="Q85" s="178" t="s">
        <v>18</v>
      </c>
      <c r="R85" s="176"/>
      <c r="S85" s="176"/>
      <c r="T85" s="176"/>
      <c r="U85" s="176"/>
      <c r="V85" s="176"/>
      <c r="W85" s="176"/>
      <c r="X85" s="176"/>
      <c r="Y85" s="176"/>
      <c r="Z85" s="176"/>
      <c r="AA85" s="176"/>
    </row>
    <row r="86">
      <c r="A86" s="165" t="str">
        <f>iferror(VLOOKUP(P86,'DO NOT TOUCH Imported'!$A$1:$D$800,4,False),iferror(VLOOKUP(P86,'DO NOT TOUCH Imported'!$C$1:$D$800,2,False),"OOPS FIX ME"))</f>
        <v>Suga#8514</v>
      </c>
      <c r="B86" s="166" t="s">
        <v>486</v>
      </c>
      <c r="C86" s="167" t="s">
        <v>487</v>
      </c>
      <c r="D86" s="168" t="s">
        <v>437</v>
      </c>
      <c r="E86" s="177" t="s">
        <v>488</v>
      </c>
      <c r="F86" s="168" t="s">
        <v>439</v>
      </c>
      <c r="G86" s="170">
        <v>1000.0</v>
      </c>
      <c r="H86" s="171">
        <v>100.0</v>
      </c>
      <c r="I86" s="171">
        <v>100.0</v>
      </c>
      <c r="J86" s="172">
        <f t="shared" si="2"/>
        <v>0.000723394157</v>
      </c>
      <c r="K86" s="173">
        <f t="shared" si="6"/>
        <v>0.8680729884</v>
      </c>
      <c r="L86" s="174">
        <f t="shared" si="4"/>
        <v>20.12199683</v>
      </c>
      <c r="M86" s="175" t="str">
        <f t="shared" si="5"/>
        <v>Suga#8514</v>
      </c>
      <c r="N86" s="176">
        <f>IFERROR(__xludf.DUMMYFUNCTION("""COMPUTED_VALUE"""),9.0)</f>
        <v>9</v>
      </c>
      <c r="O86" s="176"/>
      <c r="P86" s="166" t="s">
        <v>45</v>
      </c>
      <c r="Q86" s="166" t="s">
        <v>486</v>
      </c>
      <c r="R86" s="176"/>
      <c r="S86" s="176"/>
      <c r="T86" s="176"/>
      <c r="U86" s="176"/>
      <c r="V86" s="176"/>
      <c r="W86" s="176"/>
      <c r="X86" s="176"/>
      <c r="Y86" s="176"/>
      <c r="Z86" s="176"/>
      <c r="AA86" s="176"/>
    </row>
    <row r="87">
      <c r="A87" s="165" t="str">
        <f>iferror(VLOOKUP(P87,'DO NOT TOUCH Imported'!$A$1:$D$800,4,False),iferror(VLOOKUP(P87,'DO NOT TOUCH Imported'!$C$1:$D$800,2,False),"OOPS FIX ME"))</f>
        <v>Suga#8514</v>
      </c>
      <c r="B87" s="166" t="s">
        <v>490</v>
      </c>
      <c r="C87" s="167" t="s">
        <v>491</v>
      </c>
      <c r="D87" s="168" t="s">
        <v>437</v>
      </c>
      <c r="E87" s="169" t="s">
        <v>445</v>
      </c>
      <c r="F87" s="168" t="s">
        <v>439</v>
      </c>
      <c r="G87" s="170">
        <v>1000.0</v>
      </c>
      <c r="H87" s="171">
        <v>100.0</v>
      </c>
      <c r="I87" s="171">
        <v>100.0</v>
      </c>
      <c r="J87" s="172">
        <f t="shared" si="2"/>
        <v>0.000723394157</v>
      </c>
      <c r="K87" s="173">
        <f t="shared" si="6"/>
        <v>0.8680729884</v>
      </c>
      <c r="L87" s="174">
        <f t="shared" si="4"/>
        <v>20.12199683</v>
      </c>
      <c r="M87" s="175" t="str">
        <f t="shared" si="5"/>
        <v>Suga#8514</v>
      </c>
      <c r="N87" s="176">
        <f>IFERROR(__xludf.DUMMYFUNCTION("""COMPUTED_VALUE"""),10.0)</f>
        <v>10</v>
      </c>
      <c r="O87" s="176"/>
      <c r="P87" s="166" t="s">
        <v>45</v>
      </c>
      <c r="Q87" s="166" t="s">
        <v>490</v>
      </c>
      <c r="R87" s="176"/>
      <c r="S87" s="176"/>
      <c r="T87" s="176"/>
      <c r="U87" s="176"/>
      <c r="V87" s="176"/>
      <c r="W87" s="176"/>
      <c r="X87" s="176"/>
      <c r="Y87" s="176"/>
      <c r="Z87" s="176"/>
      <c r="AA87" s="176"/>
    </row>
    <row r="88">
      <c r="A88" s="165" t="str">
        <f>iferror(VLOOKUP(P88,'DO NOT TOUCH Imported'!$A$1:$D$800,4,False),iferror(VLOOKUP(P88,'DO NOT TOUCH Imported'!$C$1:$D$800,2,False),"OOPS FIX ME"))</f>
        <v>Suga#8514</v>
      </c>
      <c r="B88" s="166" t="s">
        <v>441</v>
      </c>
      <c r="C88" s="167" t="s">
        <v>547</v>
      </c>
      <c r="D88" s="168" t="s">
        <v>437</v>
      </c>
      <c r="E88" s="169" t="s">
        <v>438</v>
      </c>
      <c r="F88" s="168" t="s">
        <v>439</v>
      </c>
      <c r="G88" s="170">
        <v>1000.0</v>
      </c>
      <c r="H88" s="171">
        <v>100.0</v>
      </c>
      <c r="I88" s="171">
        <v>100.0</v>
      </c>
      <c r="J88" s="172">
        <f t="shared" si="2"/>
        <v>0.000723394157</v>
      </c>
      <c r="K88" s="173">
        <f t="shared" si="6"/>
        <v>0.8680729884</v>
      </c>
      <c r="L88" s="174">
        <f t="shared" si="4"/>
        <v>20.12199683</v>
      </c>
      <c r="M88" s="175" t="str">
        <f t="shared" si="5"/>
        <v>Suga#8514</v>
      </c>
      <c r="N88" s="176">
        <f>IFERROR(__xludf.DUMMYFUNCTION("""COMPUTED_VALUE"""),11.0)</f>
        <v>11</v>
      </c>
      <c r="O88" s="176"/>
      <c r="P88" s="166" t="s">
        <v>45</v>
      </c>
      <c r="Q88" s="166" t="s">
        <v>441</v>
      </c>
      <c r="R88" s="176"/>
      <c r="S88" s="176"/>
      <c r="T88" s="176"/>
      <c r="U88" s="176"/>
      <c r="V88" s="176"/>
      <c r="W88" s="176"/>
      <c r="X88" s="176"/>
      <c r="Y88" s="176"/>
      <c r="Z88" s="176"/>
      <c r="AA88" s="176"/>
    </row>
    <row r="89">
      <c r="A89" s="165" t="str">
        <f>iferror(VLOOKUP(P89,'DO NOT TOUCH Imported'!$A$1:$D$800,4,False),iferror(VLOOKUP(P89,'DO NOT TOUCH Imported'!$C$1:$D$800,2,False),"OOPS FIX ME"))</f>
        <v>Suga#8514</v>
      </c>
      <c r="B89" s="166" t="s">
        <v>441</v>
      </c>
      <c r="C89" s="167" t="s">
        <v>548</v>
      </c>
      <c r="D89" s="168" t="s">
        <v>437</v>
      </c>
      <c r="E89" s="177" t="s">
        <v>438</v>
      </c>
      <c r="F89" s="168" t="s">
        <v>439</v>
      </c>
      <c r="G89" s="170">
        <v>1000.0</v>
      </c>
      <c r="H89" s="171">
        <v>100.0</v>
      </c>
      <c r="I89" s="171">
        <v>100.0</v>
      </c>
      <c r="J89" s="172">
        <f t="shared" si="2"/>
        <v>0.000723394157</v>
      </c>
      <c r="K89" s="173">
        <f t="shared" si="6"/>
        <v>0.8680729884</v>
      </c>
      <c r="L89" s="174">
        <f t="shared" si="4"/>
        <v>20.12199683</v>
      </c>
      <c r="M89" s="175" t="str">
        <f t="shared" si="5"/>
        <v>Suga#8514</v>
      </c>
      <c r="N89" s="176">
        <f>IFERROR(__xludf.DUMMYFUNCTION("""COMPUTED_VALUE"""),12.0)</f>
        <v>12</v>
      </c>
      <c r="O89" s="176"/>
      <c r="P89" s="166" t="s">
        <v>45</v>
      </c>
      <c r="Q89" s="166" t="s">
        <v>441</v>
      </c>
      <c r="R89" s="176"/>
      <c r="S89" s="176"/>
      <c r="T89" s="176"/>
      <c r="U89" s="176"/>
      <c r="V89" s="176"/>
      <c r="W89" s="176"/>
      <c r="X89" s="176"/>
      <c r="Y89" s="176"/>
      <c r="Z89" s="176"/>
      <c r="AA89" s="176"/>
    </row>
    <row r="90">
      <c r="A90" s="165" t="str">
        <f>iferror(VLOOKUP(P90,'DO NOT TOUCH Imported'!$A$1:$D$800,4,False),iferror(VLOOKUP(P90,'DO NOT TOUCH Imported'!$C$1:$D$800,2,False),"OOPS FIX ME"))</f>
        <v>Suga#8514</v>
      </c>
      <c r="B90" s="166" t="s">
        <v>441</v>
      </c>
      <c r="C90" s="167" t="s">
        <v>549</v>
      </c>
      <c r="D90" s="168" t="s">
        <v>437</v>
      </c>
      <c r="E90" s="169" t="s">
        <v>438</v>
      </c>
      <c r="F90" s="168" t="s">
        <v>439</v>
      </c>
      <c r="G90" s="170">
        <v>1000.0</v>
      </c>
      <c r="H90" s="171">
        <v>100.0</v>
      </c>
      <c r="I90" s="171">
        <v>100.0</v>
      </c>
      <c r="J90" s="172">
        <f t="shared" si="2"/>
        <v>0.000723394157</v>
      </c>
      <c r="K90" s="173">
        <f t="shared" si="6"/>
        <v>0.8680729884</v>
      </c>
      <c r="L90" s="174">
        <f t="shared" si="4"/>
        <v>20.12199683</v>
      </c>
      <c r="M90" s="175" t="str">
        <f t="shared" si="5"/>
        <v>Suga#8514</v>
      </c>
      <c r="N90" s="176">
        <f>IFERROR(__xludf.DUMMYFUNCTION("""COMPUTED_VALUE"""),13.0)</f>
        <v>13</v>
      </c>
      <c r="O90" s="176"/>
      <c r="P90" s="166" t="s">
        <v>45</v>
      </c>
      <c r="Q90" s="166" t="s">
        <v>441</v>
      </c>
      <c r="R90" s="176"/>
      <c r="S90" s="176"/>
      <c r="T90" s="176"/>
      <c r="U90" s="176"/>
      <c r="V90" s="176"/>
      <c r="W90" s="176"/>
      <c r="X90" s="176"/>
      <c r="Y90" s="176"/>
      <c r="Z90" s="176"/>
      <c r="AA90" s="176"/>
    </row>
    <row r="91">
      <c r="A91" s="165" t="str">
        <f>iferror(VLOOKUP(P91,'DO NOT TOUCH Imported'!$A$1:$D$800,4,False),iferror(VLOOKUP(P91,'DO NOT TOUCH Imported'!$C$1:$D$800,2,False),"OOPS FIX ME"))</f>
        <v>Suga#8514</v>
      </c>
      <c r="B91" s="166" t="s">
        <v>441</v>
      </c>
      <c r="C91" s="167" t="s">
        <v>550</v>
      </c>
      <c r="D91" s="168" t="s">
        <v>437</v>
      </c>
      <c r="E91" s="177" t="s">
        <v>438</v>
      </c>
      <c r="F91" s="168" t="s">
        <v>439</v>
      </c>
      <c r="G91" s="170">
        <v>1000.0</v>
      </c>
      <c r="H91" s="171">
        <v>100.0</v>
      </c>
      <c r="I91" s="171">
        <v>100.0</v>
      </c>
      <c r="J91" s="172">
        <f t="shared" si="2"/>
        <v>0.000723394157</v>
      </c>
      <c r="K91" s="173">
        <f t="shared" si="6"/>
        <v>0.8680729884</v>
      </c>
      <c r="L91" s="174">
        <f t="shared" si="4"/>
        <v>20.12199683</v>
      </c>
      <c r="M91" s="175" t="str">
        <f t="shared" si="5"/>
        <v>Suga#8514</v>
      </c>
      <c r="N91" s="176">
        <f>IFERROR(__xludf.DUMMYFUNCTION("""COMPUTED_VALUE"""),14.0)</f>
        <v>14</v>
      </c>
      <c r="O91" s="176"/>
      <c r="P91" s="166" t="s">
        <v>45</v>
      </c>
      <c r="Q91" s="166" t="s">
        <v>441</v>
      </c>
      <c r="R91" s="176"/>
      <c r="S91" s="176"/>
      <c r="T91" s="176"/>
      <c r="U91" s="176"/>
      <c r="V91" s="176"/>
      <c r="W91" s="176"/>
      <c r="X91" s="176"/>
      <c r="Y91" s="176"/>
      <c r="Z91" s="176"/>
      <c r="AA91" s="176"/>
    </row>
    <row r="92">
      <c r="A92" s="165" t="str">
        <f>iferror(VLOOKUP(P92,'DO NOT TOUCH Imported'!$A$1:$D$800,4,False),iferror(VLOOKUP(P92,'DO NOT TOUCH Imported'!$C$1:$D$800,2,False),"OOPS FIX ME"))</f>
        <v>Suga#8514</v>
      </c>
      <c r="B92" s="166" t="s">
        <v>476</v>
      </c>
      <c r="C92" s="167" t="s">
        <v>477</v>
      </c>
      <c r="D92" s="168" t="s">
        <v>437</v>
      </c>
      <c r="E92" s="169" t="s">
        <v>478</v>
      </c>
      <c r="F92" s="168" t="s">
        <v>439</v>
      </c>
      <c r="G92" s="170">
        <v>1000.0</v>
      </c>
      <c r="H92" s="171">
        <v>90.0</v>
      </c>
      <c r="I92" s="171">
        <v>100.0</v>
      </c>
      <c r="J92" s="172">
        <f t="shared" si="2"/>
        <v>0.0006914702636</v>
      </c>
      <c r="K92" s="173">
        <f t="shared" si="6"/>
        <v>0.8297643163</v>
      </c>
      <c r="L92" s="174">
        <f t="shared" si="4"/>
        <v>20.12199683</v>
      </c>
      <c r="M92" s="175" t="str">
        <f t="shared" si="5"/>
        <v>Suga#8514</v>
      </c>
      <c r="N92" s="176">
        <f>IFERROR(__xludf.DUMMYFUNCTION("""COMPUTED_VALUE"""),15.0)</f>
        <v>15</v>
      </c>
      <c r="O92" s="176"/>
      <c r="P92" s="166" t="s">
        <v>45</v>
      </c>
      <c r="Q92" s="166" t="s">
        <v>476</v>
      </c>
      <c r="R92" s="176"/>
      <c r="S92" s="176"/>
      <c r="T92" s="176"/>
      <c r="U92" s="176"/>
      <c r="V92" s="176"/>
      <c r="W92" s="176"/>
      <c r="X92" s="176"/>
      <c r="Y92" s="176"/>
      <c r="Z92" s="176"/>
      <c r="AA92" s="176"/>
    </row>
    <row r="93">
      <c r="A93" s="165" t="str">
        <f>iferror(VLOOKUP(P93,'DO NOT TOUCH Imported'!$A$1:$D$800,4,False),iferror(VLOOKUP(P93,'DO NOT TOUCH Imported'!$C$1:$D$800,2,False),"OOPS FIX ME"))</f>
        <v>Suga#8514</v>
      </c>
      <c r="B93" s="166" t="s">
        <v>435</v>
      </c>
      <c r="C93" s="167" t="s">
        <v>479</v>
      </c>
      <c r="D93" s="168" t="s">
        <v>437</v>
      </c>
      <c r="E93" s="169" t="s">
        <v>455</v>
      </c>
      <c r="F93" s="168" t="s">
        <v>439</v>
      </c>
      <c r="G93" s="170">
        <v>1000.0</v>
      </c>
      <c r="H93" s="171">
        <v>90.0</v>
      </c>
      <c r="I93" s="171">
        <v>100.0</v>
      </c>
      <c r="J93" s="172">
        <f t="shared" si="2"/>
        <v>0.0006914702636</v>
      </c>
      <c r="K93" s="173">
        <f t="shared" si="6"/>
        <v>0.8297643163</v>
      </c>
      <c r="L93" s="174">
        <f t="shared" si="4"/>
        <v>20.12199683</v>
      </c>
      <c r="M93" s="175" t="str">
        <f t="shared" si="5"/>
        <v>Suga#8514</v>
      </c>
      <c r="N93" s="176">
        <f>IFERROR(__xludf.DUMMYFUNCTION("""COMPUTED_VALUE"""),16.0)</f>
        <v>16</v>
      </c>
      <c r="O93" s="176"/>
      <c r="P93" s="166" t="s">
        <v>45</v>
      </c>
      <c r="Q93" s="166" t="s">
        <v>435</v>
      </c>
      <c r="R93" s="176"/>
      <c r="S93" s="176"/>
      <c r="T93" s="176"/>
      <c r="U93" s="176"/>
      <c r="V93" s="176"/>
      <c r="W93" s="176"/>
      <c r="X93" s="176"/>
      <c r="Y93" s="176"/>
      <c r="Z93" s="176"/>
      <c r="AA93" s="176"/>
    </row>
    <row r="94">
      <c r="A94" s="165" t="str">
        <f>iferror(VLOOKUP(P94,'DO NOT TOUCH Imported'!$A$1:$D$800,4,False),iferror(VLOOKUP(P94,'DO NOT TOUCH Imported'!$C$1:$D$800,2,False),"OOPS FIX ME"))</f>
        <v>Suga#8514</v>
      </c>
      <c r="B94" s="166" t="s">
        <v>483</v>
      </c>
      <c r="C94" s="167" t="s">
        <v>484</v>
      </c>
      <c r="D94" s="168" t="s">
        <v>437</v>
      </c>
      <c r="E94" s="177" t="s">
        <v>478</v>
      </c>
      <c r="F94" s="168" t="s">
        <v>439</v>
      </c>
      <c r="G94" s="170">
        <v>1000.0</v>
      </c>
      <c r="H94" s="171">
        <v>80.0</v>
      </c>
      <c r="I94" s="171">
        <v>100.0</v>
      </c>
      <c r="J94" s="172">
        <f t="shared" si="2"/>
        <v>0.0006595463701</v>
      </c>
      <c r="K94" s="173">
        <f t="shared" si="6"/>
        <v>0.7914556442</v>
      </c>
      <c r="L94" s="174">
        <f t="shared" si="4"/>
        <v>20.12199683</v>
      </c>
      <c r="M94" s="175" t="str">
        <f t="shared" si="5"/>
        <v>Suga#8514</v>
      </c>
      <c r="N94" s="176">
        <f>IFERROR(__xludf.DUMMYFUNCTION("""COMPUTED_VALUE"""),17.0)</f>
        <v>17</v>
      </c>
      <c r="O94" s="176"/>
      <c r="P94" s="166" t="s">
        <v>45</v>
      </c>
      <c r="Q94" s="166" t="s">
        <v>483</v>
      </c>
      <c r="R94" s="176"/>
      <c r="S94" s="176"/>
      <c r="T94" s="176"/>
      <c r="U94" s="176"/>
      <c r="V94" s="176"/>
      <c r="W94" s="176"/>
      <c r="X94" s="176"/>
      <c r="Y94" s="176"/>
      <c r="Z94" s="176"/>
      <c r="AA94" s="176"/>
    </row>
    <row r="95">
      <c r="A95" s="165" t="str">
        <f>iferror(VLOOKUP(P95,'DO NOT TOUCH Imported'!$A$1:$D$800,4,False),iferror(VLOOKUP(P95,'DO NOT TOUCH Imported'!$C$1:$D$800,2,False),"OOPS FIX ME"))</f>
        <v>Suga#8514</v>
      </c>
      <c r="B95" s="166" t="s">
        <v>441</v>
      </c>
      <c r="C95" s="167" t="s">
        <v>497</v>
      </c>
      <c r="D95" s="168" t="s">
        <v>437</v>
      </c>
      <c r="E95" s="177" t="s">
        <v>438</v>
      </c>
      <c r="F95" s="168" t="s">
        <v>439</v>
      </c>
      <c r="G95" s="170">
        <v>1000.0</v>
      </c>
      <c r="H95" s="171">
        <v>50.0</v>
      </c>
      <c r="I95" s="171">
        <v>100.0</v>
      </c>
      <c r="J95" s="172">
        <f t="shared" si="2"/>
        <v>0.0005637746898</v>
      </c>
      <c r="K95" s="173">
        <f t="shared" si="6"/>
        <v>0.6765296278</v>
      </c>
      <c r="L95" s="174">
        <f t="shared" si="4"/>
        <v>20.12199683</v>
      </c>
      <c r="M95" s="175" t="str">
        <f t="shared" si="5"/>
        <v>Suga#8514</v>
      </c>
      <c r="N95" s="176">
        <f>IFERROR(__xludf.DUMMYFUNCTION("""COMPUTED_VALUE"""),18.0)</f>
        <v>18</v>
      </c>
      <c r="O95" s="176"/>
      <c r="P95" s="166" t="s">
        <v>45</v>
      </c>
      <c r="Q95" s="166" t="s">
        <v>441</v>
      </c>
      <c r="R95" s="176"/>
      <c r="S95" s="176"/>
      <c r="T95" s="176"/>
      <c r="U95" s="176"/>
      <c r="V95" s="176"/>
      <c r="W95" s="176"/>
      <c r="X95" s="176"/>
      <c r="Y95" s="176"/>
      <c r="Z95" s="176"/>
      <c r="AA95" s="176"/>
    </row>
    <row r="96">
      <c r="A96" s="196" t="s">
        <v>45</v>
      </c>
      <c r="B96" s="197" t="s">
        <v>534</v>
      </c>
      <c r="C96" s="198" t="s">
        <v>535</v>
      </c>
      <c r="D96" s="199"/>
      <c r="E96" s="200"/>
      <c r="F96" s="201"/>
      <c r="G96" s="202"/>
      <c r="H96" s="203"/>
      <c r="I96" s="203"/>
      <c r="J96" s="204">
        <v>0.0</v>
      </c>
      <c r="K96" s="205"/>
      <c r="L96" s="206">
        <v>23.87003434936902</v>
      </c>
      <c r="M96" s="194" t="s">
        <v>10</v>
      </c>
      <c r="N96" s="195">
        <f>IFERROR(__xludf.DUMMYFUNCTION("""COMPUTED_VALUE"""),19.0)</f>
        <v>19</v>
      </c>
      <c r="O96" s="207"/>
      <c r="P96" s="208" t="s">
        <v>10</v>
      </c>
      <c r="Q96" s="197" t="s">
        <v>534</v>
      </c>
      <c r="R96" s="207">
        <v>18.802169413641863</v>
      </c>
      <c r="S96" s="207"/>
      <c r="T96" s="207"/>
      <c r="U96" s="207"/>
      <c r="V96" s="207"/>
      <c r="W96" s="207"/>
      <c r="X96" s="207"/>
      <c r="Y96" s="207"/>
      <c r="Z96" s="207"/>
      <c r="AA96" s="207"/>
    </row>
    <row r="97">
      <c r="A97" s="165" t="str">
        <f>iferror(VLOOKUP(P97,'DO NOT TOUCH Imported'!$A$1:$D$800,4,False),iferror(VLOOKUP(P97,'DO NOT TOUCH Imported'!$C$1:$D$800,2,False),"OOPS FIX ME"))</f>
        <v>ygganderson</v>
      </c>
      <c r="B97" s="178" t="s">
        <v>10</v>
      </c>
      <c r="C97" s="179" t="s">
        <v>551</v>
      </c>
      <c r="D97" s="180" t="s">
        <v>495</v>
      </c>
      <c r="E97" s="181">
        <v>44323.0</v>
      </c>
      <c r="F97" s="182" t="s">
        <v>496</v>
      </c>
      <c r="G97" s="170">
        <v>10000.0</v>
      </c>
      <c r="H97" s="171">
        <v>300.0</v>
      </c>
      <c r="I97" s="171">
        <v>100.0</v>
      </c>
      <c r="J97" s="172">
        <f t="shared" ref="J97:J267" si="7">(G97/$G$2+H97/$H$2+I97/$I$2)/3</f>
        <v>0.002301427303</v>
      </c>
      <c r="K97" s="173">
        <f t="shared" ref="K97:K267" si="8">J97*$J$1</f>
        <v>2.761712764</v>
      </c>
      <c r="L97" s="174">
        <f t="shared" ref="L97:L977" si="9">dsum($A$3:$K977,"IH per Praise",{$A$3;A97})</f>
        <v>19.82437273</v>
      </c>
      <c r="M97" s="175" t="str">
        <f t="shared" ref="M97:M977" si="10">A97</f>
        <v>ygganderson</v>
      </c>
      <c r="N97" s="176">
        <f>IFERROR(__xludf.DUMMYFUNCTION("""COMPUTED_VALUE"""),1.0)</f>
        <v>1</v>
      </c>
      <c r="O97" s="176"/>
      <c r="P97" s="183" t="s">
        <v>7</v>
      </c>
      <c r="Q97" s="178" t="s">
        <v>10</v>
      </c>
      <c r="R97" s="176"/>
      <c r="S97" s="176"/>
      <c r="T97" s="176"/>
      <c r="U97" s="176"/>
      <c r="V97" s="176"/>
      <c r="W97" s="176"/>
      <c r="X97" s="176"/>
      <c r="Y97" s="176"/>
      <c r="Z97" s="176"/>
      <c r="AA97" s="176"/>
    </row>
    <row r="98">
      <c r="A98" s="165" t="str">
        <f>iferror(VLOOKUP(P98,'DO NOT TOUCH Imported'!$A$1:$D$800,4,False),iferror(VLOOKUP(P98,'DO NOT TOUCH Imported'!$C$1:$D$800,2,False),"OOPS FIX ME"))</f>
        <v>ygganderson</v>
      </c>
      <c r="B98" s="166" t="s">
        <v>450</v>
      </c>
      <c r="C98" s="167" t="s">
        <v>552</v>
      </c>
      <c r="D98" s="168" t="s">
        <v>437</v>
      </c>
      <c r="E98" s="177" t="s">
        <v>452</v>
      </c>
      <c r="F98" s="168" t="s">
        <v>453</v>
      </c>
      <c r="G98" s="170">
        <v>1000.0</v>
      </c>
      <c r="H98" s="171">
        <v>200.0</v>
      </c>
      <c r="I98" s="171">
        <v>400.0</v>
      </c>
      <c r="J98" s="172">
        <f t="shared" si="7"/>
        <v>0.001941913667</v>
      </c>
      <c r="K98" s="173">
        <f t="shared" si="8"/>
        <v>2.3302964</v>
      </c>
      <c r="L98" s="174">
        <f t="shared" si="9"/>
        <v>19.82437273</v>
      </c>
      <c r="M98" s="175" t="str">
        <f t="shared" si="10"/>
        <v>ygganderson</v>
      </c>
      <c r="N98" s="176">
        <f>IFERROR(__xludf.DUMMYFUNCTION("""COMPUTED_VALUE"""),2.0)</f>
        <v>2</v>
      </c>
      <c r="O98" s="176"/>
      <c r="P98" s="166" t="s">
        <v>512</v>
      </c>
      <c r="Q98" s="166" t="s">
        <v>450</v>
      </c>
      <c r="R98" s="176"/>
      <c r="S98" s="176"/>
      <c r="T98" s="176"/>
      <c r="U98" s="176"/>
      <c r="V98" s="176"/>
      <c r="W98" s="176"/>
      <c r="X98" s="176"/>
      <c r="Y98" s="176"/>
      <c r="Z98" s="176"/>
      <c r="AA98" s="176"/>
    </row>
    <row r="99">
      <c r="A99" s="165" t="str">
        <f>iferror(VLOOKUP(P99,'DO NOT TOUCH Imported'!$A$1:$D$800,4,False),iferror(VLOOKUP(P99,'DO NOT TOUCH Imported'!$C$1:$D$800,2,False),"OOPS FIX ME"))</f>
        <v>ygganderson</v>
      </c>
      <c r="B99" s="166" t="s">
        <v>463</v>
      </c>
      <c r="C99" s="167" t="s">
        <v>553</v>
      </c>
      <c r="D99" s="168" t="s">
        <v>437</v>
      </c>
      <c r="E99" s="169" t="s">
        <v>445</v>
      </c>
      <c r="F99" s="168" t="s">
        <v>439</v>
      </c>
      <c r="G99" s="170">
        <v>10000.0</v>
      </c>
      <c r="H99" s="171">
        <v>100.0</v>
      </c>
      <c r="I99" s="171">
        <v>100.0</v>
      </c>
      <c r="J99" s="172">
        <f t="shared" si="7"/>
        <v>0.001662949434</v>
      </c>
      <c r="K99" s="173">
        <f t="shared" si="8"/>
        <v>1.995539321</v>
      </c>
      <c r="L99" s="174">
        <f t="shared" si="9"/>
        <v>19.82437273</v>
      </c>
      <c r="M99" s="175" t="str">
        <f t="shared" si="10"/>
        <v>ygganderson</v>
      </c>
      <c r="N99" s="176">
        <f>IFERROR(__xludf.DUMMYFUNCTION("""COMPUTED_VALUE"""),3.0)</f>
        <v>3</v>
      </c>
      <c r="O99" s="176"/>
      <c r="P99" s="166" t="s">
        <v>512</v>
      </c>
      <c r="Q99" s="166" t="s">
        <v>463</v>
      </c>
      <c r="R99" s="176"/>
      <c r="S99" s="176"/>
      <c r="T99" s="176"/>
      <c r="U99" s="176"/>
      <c r="V99" s="176"/>
      <c r="W99" s="176"/>
      <c r="X99" s="176"/>
      <c r="Y99" s="176"/>
      <c r="Z99" s="176"/>
      <c r="AA99" s="176"/>
    </row>
    <row r="100">
      <c r="A100" s="165" t="str">
        <f>iferror(VLOOKUP(P100,'DO NOT TOUCH Imported'!$A$1:$D$800,4,False),iferror(VLOOKUP(P100,'DO NOT TOUCH Imported'!$C$1:$D$800,2,False),"OOPS FIX ME"))</f>
        <v>ygganderson</v>
      </c>
      <c r="B100" s="166" t="s">
        <v>441</v>
      </c>
      <c r="C100" s="167" t="s">
        <v>554</v>
      </c>
      <c r="D100" s="168" t="s">
        <v>437</v>
      </c>
      <c r="E100" s="177" t="s">
        <v>447</v>
      </c>
      <c r="F100" s="168" t="s">
        <v>439</v>
      </c>
      <c r="G100" s="170">
        <v>1000.0</v>
      </c>
      <c r="H100" s="171">
        <v>200.0</v>
      </c>
      <c r="I100" s="171">
        <v>200.0</v>
      </c>
      <c r="J100" s="172">
        <f t="shared" si="7"/>
        <v>0.001342393283</v>
      </c>
      <c r="K100" s="173">
        <f t="shared" si="8"/>
        <v>1.61087194</v>
      </c>
      <c r="L100" s="174">
        <f t="shared" si="9"/>
        <v>19.82437273</v>
      </c>
      <c r="M100" s="175" t="str">
        <f t="shared" si="10"/>
        <v>ygganderson</v>
      </c>
      <c r="N100" s="176">
        <f>IFERROR(__xludf.DUMMYFUNCTION("""COMPUTED_VALUE"""),4.0)</f>
        <v>4</v>
      </c>
      <c r="O100" s="176"/>
      <c r="P100" s="166" t="s">
        <v>512</v>
      </c>
      <c r="Q100" s="166" t="s">
        <v>441</v>
      </c>
      <c r="R100" s="176"/>
      <c r="S100" s="176"/>
      <c r="T100" s="176"/>
      <c r="U100" s="176"/>
      <c r="V100" s="176"/>
      <c r="W100" s="176"/>
      <c r="X100" s="176"/>
      <c r="Y100" s="176"/>
      <c r="Z100" s="176"/>
      <c r="AA100" s="176"/>
    </row>
    <row r="101">
      <c r="A101" s="165" t="str">
        <f>iferror(VLOOKUP(P101,'DO NOT TOUCH Imported'!$A$1:$D$800,4,False),iferror(VLOOKUP(P101,'DO NOT TOUCH Imported'!$C$1:$D$800,2,False),"OOPS FIX ME"))</f>
        <v>ygganderson</v>
      </c>
      <c r="B101" s="166" t="s">
        <v>441</v>
      </c>
      <c r="C101" s="167" t="s">
        <v>555</v>
      </c>
      <c r="D101" s="168" t="s">
        <v>437</v>
      </c>
      <c r="E101" s="169" t="s">
        <v>438</v>
      </c>
      <c r="F101" s="168" t="s">
        <v>439</v>
      </c>
      <c r="G101" s="170">
        <v>1000.0</v>
      </c>
      <c r="H101" s="171">
        <v>200.0</v>
      </c>
      <c r="I101" s="171">
        <v>200.0</v>
      </c>
      <c r="J101" s="172">
        <f t="shared" si="7"/>
        <v>0.001342393283</v>
      </c>
      <c r="K101" s="173">
        <f t="shared" si="8"/>
        <v>1.61087194</v>
      </c>
      <c r="L101" s="174">
        <f t="shared" si="9"/>
        <v>19.82437273</v>
      </c>
      <c r="M101" s="175" t="str">
        <f t="shared" si="10"/>
        <v>ygganderson</v>
      </c>
      <c r="N101" s="176">
        <f>IFERROR(__xludf.DUMMYFUNCTION("""COMPUTED_VALUE"""),5.0)</f>
        <v>5</v>
      </c>
      <c r="O101" s="176"/>
      <c r="P101" s="166" t="s">
        <v>512</v>
      </c>
      <c r="Q101" s="166" t="s">
        <v>441</v>
      </c>
      <c r="R101" s="176"/>
      <c r="S101" s="176"/>
      <c r="T101" s="176"/>
      <c r="U101" s="176"/>
      <c r="V101" s="176"/>
      <c r="W101" s="176"/>
      <c r="X101" s="176"/>
      <c r="Y101" s="176"/>
      <c r="Z101" s="176"/>
      <c r="AA101" s="176"/>
    </row>
    <row r="102">
      <c r="A102" s="165" t="str">
        <f>iferror(VLOOKUP(P102,'DO NOT TOUCH Imported'!$A$1:$D$800,4,False),iferror(VLOOKUP(P102,'DO NOT TOUCH Imported'!$C$1:$D$800,2,False),"OOPS FIX ME"))</f>
        <v>ygganderson</v>
      </c>
      <c r="B102" s="166" t="s">
        <v>441</v>
      </c>
      <c r="C102" s="167" t="s">
        <v>556</v>
      </c>
      <c r="D102" s="168" t="s">
        <v>437</v>
      </c>
      <c r="E102" s="177" t="s">
        <v>438</v>
      </c>
      <c r="F102" s="168" t="s">
        <v>439</v>
      </c>
      <c r="G102" s="170">
        <v>1000.0</v>
      </c>
      <c r="H102" s="171">
        <v>150.0</v>
      </c>
      <c r="I102" s="171">
        <v>200.0</v>
      </c>
      <c r="J102" s="172">
        <f t="shared" si="7"/>
        <v>0.001182773816</v>
      </c>
      <c r="K102" s="173">
        <f t="shared" si="8"/>
        <v>1.419328579</v>
      </c>
      <c r="L102" s="174">
        <f t="shared" si="9"/>
        <v>19.82437273</v>
      </c>
      <c r="M102" s="175" t="str">
        <f t="shared" si="10"/>
        <v>ygganderson</v>
      </c>
      <c r="N102" s="176">
        <f>IFERROR(__xludf.DUMMYFUNCTION("""COMPUTED_VALUE"""),6.0)</f>
        <v>6</v>
      </c>
      <c r="O102" s="176"/>
      <c r="P102" s="166" t="s">
        <v>512</v>
      </c>
      <c r="Q102" s="166" t="s">
        <v>441</v>
      </c>
      <c r="R102" s="176"/>
      <c r="S102" s="176"/>
      <c r="T102" s="176"/>
      <c r="U102" s="176"/>
      <c r="V102" s="176"/>
      <c r="W102" s="176"/>
      <c r="X102" s="176"/>
      <c r="Y102" s="176"/>
      <c r="Z102" s="176"/>
      <c r="AA102" s="176"/>
    </row>
    <row r="103">
      <c r="A103" s="165" t="str">
        <f>iferror(VLOOKUP(P103,'DO NOT TOUCH Imported'!$A$1:$D$800,4,False),iferror(VLOOKUP(P103,'DO NOT TOUCH Imported'!$C$1:$D$800,2,False),"OOPS FIX ME"))</f>
        <v>ygganderson</v>
      </c>
      <c r="B103" s="166" t="s">
        <v>441</v>
      </c>
      <c r="C103" s="167" t="s">
        <v>557</v>
      </c>
      <c r="D103" s="168" t="s">
        <v>437</v>
      </c>
      <c r="E103" s="169" t="s">
        <v>447</v>
      </c>
      <c r="F103" s="168" t="s">
        <v>439</v>
      </c>
      <c r="G103" s="170">
        <v>1000.0</v>
      </c>
      <c r="H103" s="171">
        <v>200.0</v>
      </c>
      <c r="I103" s="171">
        <v>100.0</v>
      </c>
      <c r="J103" s="172">
        <f t="shared" si="7"/>
        <v>0.001042633091</v>
      </c>
      <c r="K103" s="173">
        <f t="shared" si="8"/>
        <v>1.25115971</v>
      </c>
      <c r="L103" s="174">
        <f t="shared" si="9"/>
        <v>19.82437273</v>
      </c>
      <c r="M103" s="175" t="str">
        <f t="shared" si="10"/>
        <v>ygganderson</v>
      </c>
      <c r="N103" s="176">
        <f>IFERROR(__xludf.DUMMYFUNCTION("""COMPUTED_VALUE"""),7.0)</f>
        <v>7</v>
      </c>
      <c r="O103" s="176"/>
      <c r="P103" s="166" t="s">
        <v>512</v>
      </c>
      <c r="Q103" s="166" t="s">
        <v>441</v>
      </c>
      <c r="R103" s="176"/>
      <c r="S103" s="176"/>
      <c r="T103" s="176"/>
      <c r="U103" s="176"/>
      <c r="V103" s="176"/>
      <c r="W103" s="176"/>
      <c r="X103" s="176"/>
      <c r="Y103" s="176"/>
      <c r="Z103" s="176"/>
      <c r="AA103" s="176"/>
    </row>
    <row r="104">
      <c r="A104" s="165" t="str">
        <f>iferror(VLOOKUP(P104,'DO NOT TOUCH Imported'!$A$1:$D$800,4,False),iferror(VLOOKUP(P104,'DO NOT TOUCH Imported'!$C$1:$D$800,2,False),"OOPS FIX ME"))</f>
        <v>ygganderson</v>
      </c>
      <c r="B104" s="166" t="s">
        <v>463</v>
      </c>
      <c r="C104" s="167" t="s">
        <v>464</v>
      </c>
      <c r="D104" s="168" t="s">
        <v>437</v>
      </c>
      <c r="E104" s="169" t="s">
        <v>445</v>
      </c>
      <c r="F104" s="168" t="s">
        <v>439</v>
      </c>
      <c r="G104" s="170">
        <v>1000.0</v>
      </c>
      <c r="H104" s="171">
        <v>100.0</v>
      </c>
      <c r="I104" s="171">
        <v>100.0</v>
      </c>
      <c r="J104" s="172">
        <f t="shared" si="7"/>
        <v>0.000723394157</v>
      </c>
      <c r="K104" s="173">
        <f t="shared" si="8"/>
        <v>0.8680729884</v>
      </c>
      <c r="L104" s="174">
        <f t="shared" si="9"/>
        <v>19.82437273</v>
      </c>
      <c r="M104" s="175" t="str">
        <f t="shared" si="10"/>
        <v>ygganderson</v>
      </c>
      <c r="N104" s="176">
        <f>IFERROR(__xludf.DUMMYFUNCTION("""COMPUTED_VALUE"""),8.0)</f>
        <v>8</v>
      </c>
      <c r="O104" s="176"/>
      <c r="P104" s="166" t="s">
        <v>512</v>
      </c>
      <c r="Q104" s="166" t="s">
        <v>463</v>
      </c>
      <c r="R104" s="176"/>
      <c r="S104" s="176"/>
      <c r="T104" s="176"/>
      <c r="U104" s="176"/>
      <c r="V104" s="176"/>
      <c r="W104" s="176"/>
      <c r="X104" s="176"/>
      <c r="Y104" s="176"/>
      <c r="Z104" s="176"/>
      <c r="AA104" s="176"/>
    </row>
    <row r="105">
      <c r="A105" s="165" t="str">
        <f>iferror(VLOOKUP(P105,'DO NOT TOUCH Imported'!$A$1:$D$800,4,False),iferror(VLOOKUP(P105,'DO NOT TOUCH Imported'!$C$1:$D$800,2,False),"OOPS FIX ME"))</f>
        <v>ygganderson</v>
      </c>
      <c r="B105" s="166" t="s">
        <v>441</v>
      </c>
      <c r="C105" s="167" t="s">
        <v>558</v>
      </c>
      <c r="D105" s="168" t="s">
        <v>437</v>
      </c>
      <c r="E105" s="177" t="s">
        <v>447</v>
      </c>
      <c r="F105" s="168" t="s">
        <v>439</v>
      </c>
      <c r="G105" s="170">
        <v>1000.0</v>
      </c>
      <c r="H105" s="171">
        <v>100.0</v>
      </c>
      <c r="I105" s="171">
        <v>100.0</v>
      </c>
      <c r="J105" s="172">
        <f t="shared" si="7"/>
        <v>0.000723394157</v>
      </c>
      <c r="K105" s="173">
        <f t="shared" si="8"/>
        <v>0.8680729884</v>
      </c>
      <c r="L105" s="174">
        <f t="shared" si="9"/>
        <v>19.82437273</v>
      </c>
      <c r="M105" s="175" t="str">
        <f t="shared" si="10"/>
        <v>ygganderson</v>
      </c>
      <c r="N105" s="176">
        <f>IFERROR(__xludf.DUMMYFUNCTION("""COMPUTED_VALUE"""),9.0)</f>
        <v>9</v>
      </c>
      <c r="O105" s="176"/>
      <c r="P105" s="166" t="s">
        <v>512</v>
      </c>
      <c r="Q105" s="166" t="s">
        <v>441</v>
      </c>
      <c r="R105" s="176"/>
      <c r="S105" s="176"/>
      <c r="T105" s="176"/>
      <c r="U105" s="176"/>
      <c r="V105" s="176"/>
      <c r="W105" s="176"/>
      <c r="X105" s="176"/>
      <c r="Y105" s="176"/>
      <c r="Z105" s="176"/>
      <c r="AA105" s="176"/>
    </row>
    <row r="106">
      <c r="A106" s="165" t="str">
        <f>iferror(VLOOKUP(P106,'DO NOT TOUCH Imported'!$A$1:$D$800,4,False),iferror(VLOOKUP(P106,'DO NOT TOUCH Imported'!$C$1:$D$800,2,False),"OOPS FIX ME"))</f>
        <v>ygganderson</v>
      </c>
      <c r="B106" s="166" t="s">
        <v>441</v>
      </c>
      <c r="C106" s="167" t="s">
        <v>475</v>
      </c>
      <c r="D106" s="168" t="s">
        <v>437</v>
      </c>
      <c r="E106" s="177" t="s">
        <v>438</v>
      </c>
      <c r="F106" s="168" t="s">
        <v>439</v>
      </c>
      <c r="G106" s="170">
        <v>1000.0</v>
      </c>
      <c r="H106" s="171">
        <v>100.0</v>
      </c>
      <c r="I106" s="171">
        <v>100.0</v>
      </c>
      <c r="J106" s="172">
        <f t="shared" si="7"/>
        <v>0.000723394157</v>
      </c>
      <c r="K106" s="173">
        <f t="shared" si="8"/>
        <v>0.8680729884</v>
      </c>
      <c r="L106" s="174">
        <f t="shared" si="9"/>
        <v>19.82437273</v>
      </c>
      <c r="M106" s="175" t="str">
        <f t="shared" si="10"/>
        <v>ygganderson</v>
      </c>
      <c r="N106" s="176">
        <f>IFERROR(__xludf.DUMMYFUNCTION("""COMPUTED_VALUE"""),10.0)</f>
        <v>10</v>
      </c>
      <c r="O106" s="176"/>
      <c r="P106" s="166" t="s">
        <v>512</v>
      </c>
      <c r="Q106" s="166" t="s">
        <v>441</v>
      </c>
      <c r="R106" s="176"/>
      <c r="S106" s="176"/>
      <c r="T106" s="176"/>
      <c r="U106" s="176"/>
      <c r="V106" s="176"/>
      <c r="W106" s="176"/>
      <c r="X106" s="176"/>
      <c r="Y106" s="176"/>
      <c r="Z106" s="176"/>
      <c r="AA106" s="176"/>
    </row>
    <row r="107">
      <c r="A107" s="165" t="str">
        <f>iferror(VLOOKUP(P107,'DO NOT TOUCH Imported'!$A$1:$D$800,4,False),iferror(VLOOKUP(P107,'DO NOT TOUCH Imported'!$C$1:$D$800,2,False),"OOPS FIX ME"))</f>
        <v>ygganderson</v>
      </c>
      <c r="B107" s="166" t="s">
        <v>441</v>
      </c>
      <c r="C107" s="167" t="s">
        <v>559</v>
      </c>
      <c r="D107" s="168" t="s">
        <v>437</v>
      </c>
      <c r="E107" s="169" t="s">
        <v>438</v>
      </c>
      <c r="F107" s="168" t="s">
        <v>439</v>
      </c>
      <c r="G107" s="170">
        <v>1000.0</v>
      </c>
      <c r="H107" s="171">
        <v>100.0</v>
      </c>
      <c r="I107" s="171">
        <v>100.0</v>
      </c>
      <c r="J107" s="172">
        <f t="shared" si="7"/>
        <v>0.000723394157</v>
      </c>
      <c r="K107" s="173">
        <f t="shared" si="8"/>
        <v>0.8680729884</v>
      </c>
      <c r="L107" s="174">
        <f t="shared" si="9"/>
        <v>19.82437273</v>
      </c>
      <c r="M107" s="175" t="str">
        <f t="shared" si="10"/>
        <v>ygganderson</v>
      </c>
      <c r="N107" s="176">
        <f>IFERROR(__xludf.DUMMYFUNCTION("""COMPUTED_VALUE"""),11.0)</f>
        <v>11</v>
      </c>
      <c r="O107" s="176"/>
      <c r="P107" s="166" t="s">
        <v>512</v>
      </c>
      <c r="Q107" s="166" t="s">
        <v>441</v>
      </c>
      <c r="R107" s="176"/>
      <c r="S107" s="176"/>
      <c r="T107" s="176"/>
      <c r="U107" s="176"/>
      <c r="V107" s="176"/>
      <c r="W107" s="176"/>
      <c r="X107" s="176"/>
      <c r="Y107" s="176"/>
      <c r="Z107" s="176"/>
      <c r="AA107" s="176"/>
    </row>
    <row r="108">
      <c r="A108" s="165" t="str">
        <f>iferror(VLOOKUP(P108,'DO NOT TOUCH Imported'!$A$1:$D$800,4,False),iferror(VLOOKUP(P108,'DO NOT TOUCH Imported'!$C$1:$D$800,2,False),"OOPS FIX ME"))</f>
        <v>ygganderson</v>
      </c>
      <c r="B108" s="166" t="s">
        <v>441</v>
      </c>
      <c r="C108" s="167" t="s">
        <v>560</v>
      </c>
      <c r="D108" s="168" t="s">
        <v>437</v>
      </c>
      <c r="E108" s="177" t="s">
        <v>438</v>
      </c>
      <c r="F108" s="168" t="s">
        <v>439</v>
      </c>
      <c r="G108" s="170">
        <v>1000.0</v>
      </c>
      <c r="H108" s="171">
        <v>100.0</v>
      </c>
      <c r="I108" s="171">
        <v>100.0</v>
      </c>
      <c r="J108" s="172">
        <f t="shared" si="7"/>
        <v>0.000723394157</v>
      </c>
      <c r="K108" s="173">
        <f t="shared" si="8"/>
        <v>0.8680729884</v>
      </c>
      <c r="L108" s="174">
        <f t="shared" si="9"/>
        <v>19.82437273</v>
      </c>
      <c r="M108" s="175" t="str">
        <f t="shared" si="10"/>
        <v>ygganderson</v>
      </c>
      <c r="N108" s="176">
        <f>IFERROR(__xludf.DUMMYFUNCTION("""COMPUTED_VALUE"""),12.0)</f>
        <v>12</v>
      </c>
      <c r="O108" s="176"/>
      <c r="P108" s="166" t="s">
        <v>512</v>
      </c>
      <c r="Q108" s="166" t="s">
        <v>441</v>
      </c>
      <c r="R108" s="176"/>
      <c r="S108" s="176"/>
      <c r="T108" s="176"/>
      <c r="U108" s="176"/>
      <c r="V108" s="176"/>
      <c r="W108" s="176"/>
      <c r="X108" s="176"/>
      <c r="Y108" s="176"/>
      <c r="Z108" s="176"/>
      <c r="AA108" s="176"/>
    </row>
    <row r="109">
      <c r="A109" s="165" t="str">
        <f>iferror(VLOOKUP(P109,'DO NOT TOUCH Imported'!$A$1:$D$800,4,False),iferror(VLOOKUP(P109,'DO NOT TOUCH Imported'!$C$1:$D$800,2,False),"OOPS FIX ME"))</f>
        <v>ygganderson</v>
      </c>
      <c r="B109" s="166" t="s">
        <v>441</v>
      </c>
      <c r="C109" s="167" t="s">
        <v>543</v>
      </c>
      <c r="D109" s="168" t="s">
        <v>437</v>
      </c>
      <c r="E109" s="177" t="s">
        <v>447</v>
      </c>
      <c r="F109" s="168" t="s">
        <v>439</v>
      </c>
      <c r="G109" s="170">
        <v>1000.0</v>
      </c>
      <c r="H109" s="171">
        <v>80.0</v>
      </c>
      <c r="I109" s="171">
        <v>100.0</v>
      </c>
      <c r="J109" s="172">
        <f t="shared" si="7"/>
        <v>0.0006595463701</v>
      </c>
      <c r="K109" s="173">
        <f t="shared" si="8"/>
        <v>0.7914556442</v>
      </c>
      <c r="L109" s="174">
        <f t="shared" si="9"/>
        <v>19.82437273</v>
      </c>
      <c r="M109" s="175" t="str">
        <f t="shared" si="10"/>
        <v>ygganderson</v>
      </c>
      <c r="N109" s="176">
        <f>IFERROR(__xludf.DUMMYFUNCTION("""COMPUTED_VALUE"""),13.0)</f>
        <v>13</v>
      </c>
      <c r="O109" s="176"/>
      <c r="P109" s="166" t="s">
        <v>512</v>
      </c>
      <c r="Q109" s="166" t="s">
        <v>441</v>
      </c>
      <c r="R109" s="176"/>
      <c r="S109" s="176"/>
      <c r="T109" s="176"/>
      <c r="U109" s="176"/>
      <c r="V109" s="176"/>
      <c r="W109" s="176"/>
      <c r="X109" s="176"/>
      <c r="Y109" s="176"/>
      <c r="Z109" s="176"/>
      <c r="AA109" s="176"/>
    </row>
    <row r="110">
      <c r="A110" s="165" t="str">
        <f>iferror(VLOOKUP(P110,'DO NOT TOUCH Imported'!$A$1:$D$800,4,False),iferror(VLOOKUP(P110,'DO NOT TOUCH Imported'!$C$1:$D$800,2,False),"OOPS FIX ME"))</f>
        <v>ygganderson</v>
      </c>
      <c r="B110" s="166" t="s">
        <v>441</v>
      </c>
      <c r="C110" s="167" t="s">
        <v>497</v>
      </c>
      <c r="D110" s="168" t="s">
        <v>437</v>
      </c>
      <c r="E110" s="169" t="s">
        <v>438</v>
      </c>
      <c r="F110" s="168" t="s">
        <v>439</v>
      </c>
      <c r="G110" s="170">
        <v>1000.0</v>
      </c>
      <c r="H110" s="171">
        <v>50.0</v>
      </c>
      <c r="I110" s="171">
        <v>100.0</v>
      </c>
      <c r="J110" s="172">
        <f t="shared" si="7"/>
        <v>0.0005637746898</v>
      </c>
      <c r="K110" s="173">
        <f t="shared" si="8"/>
        <v>0.6765296278</v>
      </c>
      <c r="L110" s="174">
        <f t="shared" si="9"/>
        <v>19.82437273</v>
      </c>
      <c r="M110" s="175" t="str">
        <f t="shared" si="10"/>
        <v>ygganderson</v>
      </c>
      <c r="N110" s="176">
        <f>IFERROR(__xludf.DUMMYFUNCTION("""COMPUTED_VALUE"""),14.0)</f>
        <v>14</v>
      </c>
      <c r="O110" s="176"/>
      <c r="P110" s="166" t="s">
        <v>512</v>
      </c>
      <c r="Q110" s="166" t="s">
        <v>441</v>
      </c>
      <c r="R110" s="176"/>
      <c r="S110" s="176"/>
      <c r="T110" s="176"/>
      <c r="U110" s="176"/>
      <c r="V110" s="176"/>
      <c r="W110" s="176"/>
      <c r="X110" s="176"/>
      <c r="Y110" s="176"/>
      <c r="Z110" s="176"/>
      <c r="AA110" s="176"/>
    </row>
    <row r="111">
      <c r="A111" s="165" t="str">
        <f>iferror(VLOOKUP(P111,'DO NOT TOUCH Imported'!$A$1:$D$800,4,False),iferror(VLOOKUP(P111,'DO NOT TOUCH Imported'!$C$1:$D$800,2,False),"OOPS FIX ME"))</f>
        <v>ygganderson</v>
      </c>
      <c r="B111" s="178" t="s">
        <v>10</v>
      </c>
      <c r="C111" s="179" t="s">
        <v>498</v>
      </c>
      <c r="D111" s="180" t="s">
        <v>495</v>
      </c>
      <c r="E111" s="184">
        <v>44316.0</v>
      </c>
      <c r="F111" s="182" t="s">
        <v>499</v>
      </c>
      <c r="G111" s="170">
        <v>500.0</v>
      </c>
      <c r="H111" s="171">
        <v>25.0</v>
      </c>
      <c r="I111" s="171">
        <v>100.0</v>
      </c>
      <c r="J111" s="172">
        <f t="shared" si="7"/>
        <v>0.0004317674408</v>
      </c>
      <c r="K111" s="173">
        <f t="shared" si="8"/>
        <v>0.518120929</v>
      </c>
      <c r="L111" s="174">
        <f t="shared" si="9"/>
        <v>19.82437273</v>
      </c>
      <c r="M111" s="175" t="str">
        <f t="shared" si="10"/>
        <v>ygganderson</v>
      </c>
      <c r="N111" s="176">
        <f>IFERROR(__xludf.DUMMYFUNCTION("""COMPUTED_VALUE"""),15.0)</f>
        <v>15</v>
      </c>
      <c r="O111" s="176"/>
      <c r="P111" s="183" t="s">
        <v>7</v>
      </c>
      <c r="Q111" s="178" t="s">
        <v>10</v>
      </c>
      <c r="R111" s="176"/>
      <c r="S111" s="176"/>
      <c r="T111" s="176"/>
      <c r="U111" s="176"/>
      <c r="V111" s="176"/>
      <c r="W111" s="176"/>
      <c r="X111" s="176"/>
      <c r="Y111" s="176"/>
      <c r="Z111" s="176"/>
      <c r="AA111" s="176"/>
    </row>
    <row r="112">
      <c r="A112" s="165" t="str">
        <f>iferror(VLOOKUP(P112,'DO NOT TOUCH Imported'!$A$1:$D$800,4,False),iferror(VLOOKUP(P112,'DO NOT TOUCH Imported'!$C$1:$D$800,2,False),"OOPS FIX ME"))</f>
        <v>ygganderson</v>
      </c>
      <c r="B112" s="178" t="s">
        <v>10</v>
      </c>
      <c r="C112" s="179" t="s">
        <v>500</v>
      </c>
      <c r="D112" s="180" t="s">
        <v>495</v>
      </c>
      <c r="E112" s="184">
        <v>44316.0</v>
      </c>
      <c r="F112" s="182" t="s">
        <v>496</v>
      </c>
      <c r="G112" s="170">
        <v>500.0</v>
      </c>
      <c r="H112" s="171">
        <v>25.0</v>
      </c>
      <c r="I112" s="171">
        <v>100.0</v>
      </c>
      <c r="J112" s="172">
        <f t="shared" si="7"/>
        <v>0.0004317674408</v>
      </c>
      <c r="K112" s="173">
        <f t="shared" si="8"/>
        <v>0.518120929</v>
      </c>
      <c r="L112" s="174">
        <f t="shared" si="9"/>
        <v>19.82437273</v>
      </c>
      <c r="M112" s="175" t="str">
        <f t="shared" si="10"/>
        <v>ygganderson</v>
      </c>
      <c r="N112" s="176">
        <f>IFERROR(__xludf.DUMMYFUNCTION("""COMPUTED_VALUE"""),16.0)</f>
        <v>16</v>
      </c>
      <c r="O112" s="176"/>
      <c r="P112" s="183" t="s">
        <v>7</v>
      </c>
      <c r="Q112" s="178" t="s">
        <v>10</v>
      </c>
      <c r="R112" s="176"/>
      <c r="S112" s="176"/>
      <c r="T112" s="176"/>
      <c r="U112" s="176"/>
      <c r="V112" s="176"/>
      <c r="W112" s="176"/>
      <c r="X112" s="176"/>
      <c r="Y112" s="176"/>
      <c r="Z112" s="176"/>
      <c r="AA112" s="176"/>
    </row>
    <row r="113">
      <c r="A113" s="165" t="str">
        <f>iferror(VLOOKUP(P113,'DO NOT TOUCH Imported'!$A$1:$D$800,4,False),iferror(VLOOKUP(P113,'DO NOT TOUCH Imported'!$C$1:$D$800,2,False),"OOPS FIX ME"))</f>
        <v>AnnaMarieSwan#8824</v>
      </c>
      <c r="B113" s="166" t="s">
        <v>441</v>
      </c>
      <c r="C113" s="167" t="s">
        <v>561</v>
      </c>
      <c r="D113" s="168" t="s">
        <v>437</v>
      </c>
      <c r="E113" s="177" t="s">
        <v>438</v>
      </c>
      <c r="F113" s="168" t="s">
        <v>439</v>
      </c>
      <c r="G113" s="170">
        <v>30000.0</v>
      </c>
      <c r="H113" s="171">
        <v>100.0</v>
      </c>
      <c r="I113" s="171">
        <v>200.0</v>
      </c>
      <c r="J113" s="172">
        <f t="shared" si="7"/>
        <v>0.004050610242</v>
      </c>
      <c r="K113" s="173">
        <f t="shared" si="8"/>
        <v>4.86073229</v>
      </c>
      <c r="L113" s="174">
        <f t="shared" si="9"/>
        <v>19.08114174</v>
      </c>
      <c r="M113" s="175" t="str">
        <f t="shared" si="10"/>
        <v>AnnaMarieSwan#8824</v>
      </c>
      <c r="N113" s="176">
        <f>IFERROR(__xludf.DUMMYFUNCTION("""COMPUTED_VALUE"""),1.0)</f>
        <v>1</v>
      </c>
      <c r="O113" s="176"/>
      <c r="P113" s="166" t="s">
        <v>67</v>
      </c>
      <c r="Q113" s="166" t="s">
        <v>441</v>
      </c>
      <c r="R113" s="176"/>
      <c r="S113" s="176"/>
      <c r="T113" s="176"/>
      <c r="U113" s="176"/>
      <c r="V113" s="176"/>
      <c r="W113" s="176"/>
      <c r="X113" s="176"/>
      <c r="Y113" s="176"/>
      <c r="Z113" s="176"/>
      <c r="AA113" s="176"/>
    </row>
    <row r="114">
      <c r="A114" s="165" t="str">
        <f>iferror(VLOOKUP(P114,'DO NOT TOUCH Imported'!$A$1:$D$800,4,False),iferror(VLOOKUP(P114,'DO NOT TOUCH Imported'!$C$1:$D$800,2,False),"OOPS FIX ME"))</f>
        <v>AnnaMarieSwan#8824</v>
      </c>
      <c r="B114" s="166" t="s">
        <v>441</v>
      </c>
      <c r="C114" s="167" t="s">
        <v>562</v>
      </c>
      <c r="D114" s="168" t="s">
        <v>437</v>
      </c>
      <c r="E114" s="169" t="s">
        <v>438</v>
      </c>
      <c r="F114" s="168" t="s">
        <v>439</v>
      </c>
      <c r="G114" s="170">
        <v>20000.0</v>
      </c>
      <c r="H114" s="171">
        <v>200.0</v>
      </c>
      <c r="I114" s="171">
        <v>200.0</v>
      </c>
      <c r="J114" s="172">
        <f t="shared" si="7"/>
        <v>0.003325898868</v>
      </c>
      <c r="K114" s="173">
        <f t="shared" si="8"/>
        <v>3.991078642</v>
      </c>
      <c r="L114" s="174">
        <f t="shared" si="9"/>
        <v>19.08114174</v>
      </c>
      <c r="M114" s="175" t="str">
        <f t="shared" si="10"/>
        <v>AnnaMarieSwan#8824</v>
      </c>
      <c r="N114" s="176">
        <f>IFERROR(__xludf.DUMMYFUNCTION("""COMPUTED_VALUE"""),2.0)</f>
        <v>2</v>
      </c>
      <c r="O114" s="176"/>
      <c r="P114" s="166" t="s">
        <v>67</v>
      </c>
      <c r="Q114" s="166" t="s">
        <v>441</v>
      </c>
      <c r="R114" s="176"/>
      <c r="S114" s="176"/>
      <c r="T114" s="176"/>
      <c r="U114" s="176"/>
      <c r="V114" s="176"/>
      <c r="W114" s="176"/>
      <c r="X114" s="176"/>
      <c r="Y114" s="176"/>
      <c r="Z114" s="176"/>
      <c r="AA114" s="176"/>
    </row>
    <row r="115">
      <c r="A115" s="165" t="str">
        <f>iferror(VLOOKUP(P115,'DO NOT TOUCH Imported'!$A$1:$D$800,4,False),iferror(VLOOKUP(P115,'DO NOT TOUCH Imported'!$C$1:$D$800,2,False),"OOPS FIX ME"))</f>
        <v>AnnaMarieSwan#8824</v>
      </c>
      <c r="B115" s="166" t="s">
        <v>490</v>
      </c>
      <c r="C115" s="167" t="s">
        <v>563</v>
      </c>
      <c r="D115" s="168" t="s">
        <v>499</v>
      </c>
      <c r="E115" s="169" t="s">
        <v>452</v>
      </c>
      <c r="F115" s="168" t="s">
        <v>503</v>
      </c>
      <c r="G115" s="170">
        <v>1000.0</v>
      </c>
      <c r="H115" s="171">
        <v>200.0</v>
      </c>
      <c r="I115" s="171">
        <v>200.0</v>
      </c>
      <c r="J115" s="172">
        <f t="shared" si="7"/>
        <v>0.001342393283</v>
      </c>
      <c r="K115" s="173">
        <f t="shared" si="8"/>
        <v>1.61087194</v>
      </c>
      <c r="L115" s="174">
        <f t="shared" si="9"/>
        <v>19.08114174</v>
      </c>
      <c r="M115" s="175" t="str">
        <f t="shared" si="10"/>
        <v>AnnaMarieSwan#8824</v>
      </c>
      <c r="N115" s="176">
        <f>IFERROR(__xludf.DUMMYFUNCTION("""COMPUTED_VALUE"""),3.0)</f>
        <v>3</v>
      </c>
      <c r="O115" s="176"/>
      <c r="P115" s="166" t="s">
        <v>67</v>
      </c>
      <c r="Q115" s="166" t="s">
        <v>490</v>
      </c>
      <c r="R115" s="176"/>
      <c r="S115" s="176"/>
      <c r="T115" s="176"/>
      <c r="U115" s="176"/>
      <c r="V115" s="176"/>
      <c r="W115" s="176"/>
      <c r="X115" s="176"/>
      <c r="Y115" s="176"/>
      <c r="Z115" s="176"/>
      <c r="AA115" s="176"/>
    </row>
    <row r="116">
      <c r="A116" s="165" t="str">
        <f>iferror(VLOOKUP(P116,'DO NOT TOUCH Imported'!$A$1:$D$800,4,False),iferror(VLOOKUP(P116,'DO NOT TOUCH Imported'!$C$1:$D$800,2,False),"OOPS FIX ME"))</f>
        <v>AnnaMarieSwan#8824</v>
      </c>
      <c r="B116" s="166" t="s">
        <v>564</v>
      </c>
      <c r="C116" s="167" t="s">
        <v>565</v>
      </c>
      <c r="D116" s="168" t="s">
        <v>499</v>
      </c>
      <c r="E116" s="177" t="s">
        <v>447</v>
      </c>
      <c r="F116" s="168" t="s">
        <v>503</v>
      </c>
      <c r="G116" s="170">
        <v>1000.0</v>
      </c>
      <c r="H116" s="171">
        <v>200.0</v>
      </c>
      <c r="I116" s="171">
        <v>100.0</v>
      </c>
      <c r="J116" s="172">
        <f t="shared" si="7"/>
        <v>0.001042633091</v>
      </c>
      <c r="K116" s="173">
        <f t="shared" si="8"/>
        <v>1.25115971</v>
      </c>
      <c r="L116" s="174">
        <f t="shared" si="9"/>
        <v>19.08114174</v>
      </c>
      <c r="M116" s="175" t="str">
        <f t="shared" si="10"/>
        <v>AnnaMarieSwan#8824</v>
      </c>
      <c r="N116" s="176">
        <f>IFERROR(__xludf.DUMMYFUNCTION("""COMPUTED_VALUE"""),4.0)</f>
        <v>4</v>
      </c>
      <c r="O116" s="176"/>
      <c r="P116" s="166" t="s">
        <v>67</v>
      </c>
      <c r="Q116" s="166" t="s">
        <v>564</v>
      </c>
      <c r="R116" s="176"/>
      <c r="S116" s="176"/>
      <c r="T116" s="176"/>
      <c r="U116" s="176"/>
      <c r="V116" s="176"/>
      <c r="W116" s="176"/>
      <c r="X116" s="176"/>
      <c r="Y116" s="176"/>
      <c r="Z116" s="176"/>
      <c r="AA116" s="176"/>
    </row>
    <row r="117">
      <c r="A117" s="165" t="str">
        <f>iferror(VLOOKUP(P117,'DO NOT TOUCH Imported'!$A$1:$D$800,4,False),iferror(VLOOKUP(P117,'DO NOT TOUCH Imported'!$C$1:$D$800,2,False),"OOPS FIX ME"))</f>
        <v>AnnaMarieSwan#8824</v>
      </c>
      <c r="B117" s="166" t="s">
        <v>566</v>
      </c>
      <c r="C117" s="167" t="s">
        <v>567</v>
      </c>
      <c r="D117" s="168" t="s">
        <v>499</v>
      </c>
      <c r="E117" s="177" t="s">
        <v>455</v>
      </c>
      <c r="F117" s="168" t="s">
        <v>503</v>
      </c>
      <c r="G117" s="170">
        <v>1000.0</v>
      </c>
      <c r="H117" s="171">
        <v>100.0</v>
      </c>
      <c r="I117" s="171">
        <v>200.0</v>
      </c>
      <c r="J117" s="172">
        <f t="shared" si="7"/>
        <v>0.001023154349</v>
      </c>
      <c r="K117" s="173">
        <f t="shared" si="8"/>
        <v>1.227785219</v>
      </c>
      <c r="L117" s="174">
        <f t="shared" si="9"/>
        <v>19.08114174</v>
      </c>
      <c r="M117" s="175" t="str">
        <f t="shared" si="10"/>
        <v>AnnaMarieSwan#8824</v>
      </c>
      <c r="N117" s="176">
        <f>IFERROR(__xludf.DUMMYFUNCTION("""COMPUTED_VALUE"""),5.0)</f>
        <v>5</v>
      </c>
      <c r="O117" s="176"/>
      <c r="P117" s="166" t="s">
        <v>67</v>
      </c>
      <c r="Q117" s="166" t="s">
        <v>566</v>
      </c>
      <c r="R117" s="176"/>
      <c r="S117" s="176"/>
      <c r="T117" s="176"/>
      <c r="U117" s="176"/>
      <c r="V117" s="176"/>
      <c r="W117" s="176"/>
      <c r="X117" s="176"/>
      <c r="Y117" s="176"/>
      <c r="Z117" s="176"/>
      <c r="AA117" s="176"/>
    </row>
    <row r="118">
      <c r="A118" s="165" t="str">
        <f>iferror(VLOOKUP(P118,'DO NOT TOUCH Imported'!$A$1:$D$800,4,False),iferror(VLOOKUP(P118,'DO NOT TOUCH Imported'!$C$1:$D$800,2,False),"OOPS FIX ME"))</f>
        <v>AnnaMarieSwan#8824</v>
      </c>
      <c r="B118" s="166" t="s">
        <v>490</v>
      </c>
      <c r="C118" s="167" t="s">
        <v>568</v>
      </c>
      <c r="D118" s="168" t="s">
        <v>499</v>
      </c>
      <c r="E118" s="177" t="s">
        <v>452</v>
      </c>
      <c r="F118" s="168" t="s">
        <v>503</v>
      </c>
      <c r="G118" s="170">
        <v>1000.0</v>
      </c>
      <c r="H118" s="171">
        <v>150.0</v>
      </c>
      <c r="I118" s="171">
        <v>100.0</v>
      </c>
      <c r="J118" s="172">
        <f t="shared" si="7"/>
        <v>0.0008830136242</v>
      </c>
      <c r="K118" s="173">
        <f t="shared" si="8"/>
        <v>1.059616349</v>
      </c>
      <c r="L118" s="174">
        <f t="shared" si="9"/>
        <v>19.08114174</v>
      </c>
      <c r="M118" s="175" t="str">
        <f t="shared" si="10"/>
        <v>AnnaMarieSwan#8824</v>
      </c>
      <c r="N118" s="176">
        <f>IFERROR(__xludf.DUMMYFUNCTION("""COMPUTED_VALUE"""),6.0)</f>
        <v>6</v>
      </c>
      <c r="O118" s="176"/>
      <c r="P118" s="166" t="s">
        <v>67</v>
      </c>
      <c r="Q118" s="166" t="s">
        <v>490</v>
      </c>
      <c r="R118" s="176"/>
      <c r="S118" s="176"/>
      <c r="T118" s="176"/>
      <c r="U118" s="176"/>
      <c r="V118" s="176"/>
      <c r="W118" s="176"/>
      <c r="X118" s="176"/>
      <c r="Y118" s="176"/>
      <c r="Z118" s="176"/>
      <c r="AA118" s="176"/>
    </row>
    <row r="119">
      <c r="A119" s="165" t="str">
        <f>iferror(VLOOKUP(P119,'DO NOT TOUCH Imported'!$A$1:$D$800,4,False),iferror(VLOOKUP(P119,'DO NOT TOUCH Imported'!$C$1:$D$800,2,False),"OOPS FIX ME"))</f>
        <v>AnnaMarieSwan#8824</v>
      </c>
      <c r="B119" s="166" t="s">
        <v>441</v>
      </c>
      <c r="C119" s="167" t="s">
        <v>468</v>
      </c>
      <c r="D119" s="168" t="s">
        <v>437</v>
      </c>
      <c r="E119" s="169" t="s">
        <v>447</v>
      </c>
      <c r="F119" s="168" t="s">
        <v>439</v>
      </c>
      <c r="G119" s="170">
        <v>1000.0</v>
      </c>
      <c r="H119" s="171">
        <v>100.0</v>
      </c>
      <c r="I119" s="171">
        <v>100.0</v>
      </c>
      <c r="J119" s="172">
        <f t="shared" si="7"/>
        <v>0.000723394157</v>
      </c>
      <c r="K119" s="173">
        <f t="shared" si="8"/>
        <v>0.8680729884</v>
      </c>
      <c r="L119" s="174">
        <f t="shared" si="9"/>
        <v>19.08114174</v>
      </c>
      <c r="M119" s="175" t="str">
        <f t="shared" si="10"/>
        <v>AnnaMarieSwan#8824</v>
      </c>
      <c r="N119" s="176">
        <f>IFERROR(__xludf.DUMMYFUNCTION("""COMPUTED_VALUE"""),7.0)</f>
        <v>7</v>
      </c>
      <c r="O119" s="176"/>
      <c r="P119" s="166" t="s">
        <v>67</v>
      </c>
      <c r="Q119" s="166" t="s">
        <v>441</v>
      </c>
      <c r="R119" s="176"/>
      <c r="S119" s="176"/>
      <c r="T119" s="176"/>
      <c r="U119" s="176"/>
      <c r="V119" s="176"/>
      <c r="W119" s="176"/>
      <c r="X119" s="176"/>
      <c r="Y119" s="176"/>
      <c r="Z119" s="176"/>
      <c r="AA119" s="176"/>
    </row>
    <row r="120">
      <c r="A120" s="165" t="str">
        <f>iferror(VLOOKUP(P120,'DO NOT TOUCH Imported'!$A$1:$D$800,4,False),iferror(VLOOKUP(P120,'DO NOT TOUCH Imported'!$C$1:$D$800,2,False),"OOPS FIX ME"))</f>
        <v>AnnaMarieSwan#8824</v>
      </c>
      <c r="B120" s="166" t="s">
        <v>483</v>
      </c>
      <c r="C120" s="167" t="s">
        <v>569</v>
      </c>
      <c r="D120" s="168" t="s">
        <v>437</v>
      </c>
      <c r="E120" s="169" t="s">
        <v>506</v>
      </c>
      <c r="F120" s="168" t="s">
        <v>439</v>
      </c>
      <c r="G120" s="170">
        <v>1000.0</v>
      </c>
      <c r="H120" s="171">
        <v>100.0</v>
      </c>
      <c r="I120" s="171">
        <v>100.0</v>
      </c>
      <c r="J120" s="172">
        <f t="shared" si="7"/>
        <v>0.000723394157</v>
      </c>
      <c r="K120" s="173">
        <f t="shared" si="8"/>
        <v>0.8680729884</v>
      </c>
      <c r="L120" s="174">
        <f t="shared" si="9"/>
        <v>19.08114174</v>
      </c>
      <c r="M120" s="175" t="str">
        <f t="shared" si="10"/>
        <v>AnnaMarieSwan#8824</v>
      </c>
      <c r="N120" s="176">
        <f>IFERROR(__xludf.DUMMYFUNCTION("""COMPUTED_VALUE"""),8.0)</f>
        <v>8</v>
      </c>
      <c r="O120" s="176"/>
      <c r="P120" s="166" t="s">
        <v>67</v>
      </c>
      <c r="Q120" s="166" t="s">
        <v>483</v>
      </c>
      <c r="R120" s="176"/>
      <c r="S120" s="176"/>
      <c r="T120" s="176"/>
      <c r="U120" s="176"/>
      <c r="V120" s="176"/>
      <c r="W120" s="176"/>
      <c r="X120" s="176"/>
      <c r="Y120" s="176"/>
      <c r="Z120" s="176"/>
      <c r="AA120" s="176"/>
    </row>
    <row r="121">
      <c r="A121" s="165" t="str">
        <f>iferror(VLOOKUP(P121,'DO NOT TOUCH Imported'!$A$1:$D$800,4,False),iferror(VLOOKUP(P121,'DO NOT TOUCH Imported'!$C$1:$D$800,2,False),"OOPS FIX ME"))</f>
        <v>AnnaMarieSwan#8824</v>
      </c>
      <c r="B121" s="166" t="s">
        <v>490</v>
      </c>
      <c r="C121" s="167" t="s">
        <v>491</v>
      </c>
      <c r="D121" s="168" t="s">
        <v>437</v>
      </c>
      <c r="E121" s="177" t="s">
        <v>445</v>
      </c>
      <c r="F121" s="168" t="s">
        <v>439</v>
      </c>
      <c r="G121" s="170">
        <v>1000.0</v>
      </c>
      <c r="H121" s="171">
        <v>70.0</v>
      </c>
      <c r="I121" s="171">
        <v>100.0</v>
      </c>
      <c r="J121" s="172">
        <f t="shared" si="7"/>
        <v>0.0006276224767</v>
      </c>
      <c r="K121" s="173">
        <f t="shared" si="8"/>
        <v>0.7531469721</v>
      </c>
      <c r="L121" s="174">
        <f t="shared" si="9"/>
        <v>19.08114174</v>
      </c>
      <c r="M121" s="175" t="str">
        <f t="shared" si="10"/>
        <v>AnnaMarieSwan#8824</v>
      </c>
      <c r="N121" s="176">
        <f>IFERROR(__xludf.DUMMYFUNCTION("""COMPUTED_VALUE"""),9.0)</f>
        <v>9</v>
      </c>
      <c r="O121" s="176"/>
      <c r="P121" s="166" t="s">
        <v>67</v>
      </c>
      <c r="Q121" s="166" t="s">
        <v>490</v>
      </c>
      <c r="R121" s="176"/>
      <c r="S121" s="176"/>
      <c r="T121" s="176"/>
      <c r="U121" s="176"/>
      <c r="V121" s="176"/>
      <c r="W121" s="176"/>
      <c r="X121" s="176"/>
      <c r="Y121" s="176"/>
      <c r="Z121" s="176"/>
      <c r="AA121" s="176"/>
    </row>
    <row r="122">
      <c r="A122" s="165" t="str">
        <f>iferror(VLOOKUP(P122,'DO NOT TOUCH Imported'!$A$1:$D$800,4,False),iferror(VLOOKUP(P122,'DO NOT TOUCH Imported'!$C$1:$D$800,2,False),"OOPS FIX ME"))</f>
        <v>AnnaMarieSwan#8824</v>
      </c>
      <c r="B122" s="166" t="s">
        <v>441</v>
      </c>
      <c r="C122" s="167" t="s">
        <v>570</v>
      </c>
      <c r="D122" s="168" t="s">
        <v>499</v>
      </c>
      <c r="E122" s="177" t="s">
        <v>447</v>
      </c>
      <c r="F122" s="168" t="s">
        <v>571</v>
      </c>
      <c r="G122" s="170">
        <v>500.0</v>
      </c>
      <c r="H122" s="171">
        <v>25.0</v>
      </c>
      <c r="I122" s="171">
        <v>100.0</v>
      </c>
      <c r="J122" s="172">
        <f t="shared" si="7"/>
        <v>0.0004317674408</v>
      </c>
      <c r="K122" s="173">
        <f t="shared" si="8"/>
        <v>0.518120929</v>
      </c>
      <c r="L122" s="174">
        <f t="shared" si="9"/>
        <v>19.08114174</v>
      </c>
      <c r="M122" s="175" t="str">
        <f t="shared" si="10"/>
        <v>AnnaMarieSwan#8824</v>
      </c>
      <c r="N122" s="176">
        <f>IFERROR(__xludf.DUMMYFUNCTION("""COMPUTED_VALUE"""),10.0)</f>
        <v>10</v>
      </c>
      <c r="O122" s="176"/>
      <c r="P122" s="166" t="s">
        <v>67</v>
      </c>
      <c r="Q122" s="166" t="s">
        <v>441</v>
      </c>
      <c r="R122" s="176"/>
      <c r="S122" s="176"/>
      <c r="T122" s="176"/>
      <c r="U122" s="176"/>
      <c r="V122" s="176"/>
      <c r="W122" s="176"/>
      <c r="X122" s="176"/>
      <c r="Y122" s="176"/>
      <c r="Z122" s="176"/>
      <c r="AA122" s="176"/>
    </row>
    <row r="123">
      <c r="A123" s="165" t="str">
        <f>iferror(VLOOKUP(P123,'DO NOT TOUCH Imported'!$A$1:$D$800,4,False),iferror(VLOOKUP(P123,'DO NOT TOUCH Imported'!$C$1:$D$800,2,False),"OOPS FIX ME"))</f>
        <v>AnnaMarieSwan#8824</v>
      </c>
      <c r="B123" s="166" t="s">
        <v>441</v>
      </c>
      <c r="C123" s="167" t="s">
        <v>572</v>
      </c>
      <c r="D123" s="168" t="s">
        <v>499</v>
      </c>
      <c r="E123" s="177" t="s">
        <v>447</v>
      </c>
      <c r="F123" s="168" t="s">
        <v>503</v>
      </c>
      <c r="G123" s="170">
        <v>500.0</v>
      </c>
      <c r="H123" s="171">
        <v>25.0</v>
      </c>
      <c r="I123" s="171">
        <v>100.0</v>
      </c>
      <c r="J123" s="172">
        <f t="shared" si="7"/>
        <v>0.0004317674408</v>
      </c>
      <c r="K123" s="173">
        <f t="shared" si="8"/>
        <v>0.518120929</v>
      </c>
      <c r="L123" s="174">
        <f t="shared" si="9"/>
        <v>19.08114174</v>
      </c>
      <c r="M123" s="175" t="str">
        <f t="shared" si="10"/>
        <v>AnnaMarieSwan#8824</v>
      </c>
      <c r="N123" s="176">
        <f>IFERROR(__xludf.DUMMYFUNCTION("""COMPUTED_VALUE"""),11.0)</f>
        <v>11</v>
      </c>
      <c r="O123" s="176"/>
      <c r="P123" s="166" t="s">
        <v>67</v>
      </c>
      <c r="Q123" s="166" t="s">
        <v>441</v>
      </c>
      <c r="R123" s="176"/>
      <c r="S123" s="176"/>
      <c r="T123" s="176"/>
      <c r="U123" s="176"/>
      <c r="V123" s="176"/>
      <c r="W123" s="176"/>
      <c r="X123" s="176"/>
      <c r="Y123" s="176"/>
      <c r="Z123" s="176"/>
      <c r="AA123" s="176"/>
    </row>
    <row r="124">
      <c r="A124" s="165" t="str">
        <f>iferror(VLOOKUP(P124,'DO NOT TOUCH Imported'!$A$1:$D$800,4,False),iferror(VLOOKUP(P124,'DO NOT TOUCH Imported'!$C$1:$D$800,2,False),"OOPS FIX ME"))</f>
        <v>AnnaMarieSwan#8824</v>
      </c>
      <c r="B124" s="166" t="s">
        <v>441</v>
      </c>
      <c r="C124" s="167" t="s">
        <v>573</v>
      </c>
      <c r="D124" s="168" t="s">
        <v>437</v>
      </c>
      <c r="E124" s="177" t="s">
        <v>447</v>
      </c>
      <c r="F124" s="168" t="s">
        <v>439</v>
      </c>
      <c r="G124" s="170">
        <v>500.0</v>
      </c>
      <c r="H124" s="171">
        <v>25.0</v>
      </c>
      <c r="I124" s="171">
        <v>100.0</v>
      </c>
      <c r="J124" s="172">
        <f t="shared" si="7"/>
        <v>0.0004317674408</v>
      </c>
      <c r="K124" s="173">
        <f t="shared" si="8"/>
        <v>0.518120929</v>
      </c>
      <c r="L124" s="174">
        <f t="shared" si="9"/>
        <v>19.08114174</v>
      </c>
      <c r="M124" s="175" t="str">
        <f t="shared" si="10"/>
        <v>AnnaMarieSwan#8824</v>
      </c>
      <c r="N124" s="176">
        <f>IFERROR(__xludf.DUMMYFUNCTION("""COMPUTED_VALUE"""),12.0)</f>
        <v>12</v>
      </c>
      <c r="O124" s="176"/>
      <c r="P124" s="166" t="s">
        <v>67</v>
      </c>
      <c r="Q124" s="166" t="s">
        <v>441</v>
      </c>
      <c r="R124" s="176"/>
      <c r="S124" s="176"/>
      <c r="T124" s="176"/>
      <c r="U124" s="176"/>
      <c r="V124" s="176"/>
      <c r="W124" s="176"/>
      <c r="X124" s="176"/>
      <c r="Y124" s="176"/>
      <c r="Z124" s="176"/>
      <c r="AA124" s="176"/>
    </row>
    <row r="125">
      <c r="A125" s="165" t="str">
        <f>iferror(VLOOKUP(P125,'DO NOT TOUCH Imported'!$A$1:$D$800,4,False),iferror(VLOOKUP(P125,'DO NOT TOUCH Imported'!$C$1:$D$800,2,False),"OOPS FIX ME"))</f>
        <v>AnnaMarieSwan#8824</v>
      </c>
      <c r="B125" s="166" t="s">
        <v>441</v>
      </c>
      <c r="C125" s="167" t="s">
        <v>574</v>
      </c>
      <c r="D125" s="168" t="s">
        <v>499</v>
      </c>
      <c r="E125" s="169" t="s">
        <v>438</v>
      </c>
      <c r="F125" s="168" t="s">
        <v>571</v>
      </c>
      <c r="G125" s="170">
        <v>500.0</v>
      </c>
      <c r="H125" s="171">
        <v>25.0</v>
      </c>
      <c r="I125" s="171">
        <v>100.0</v>
      </c>
      <c r="J125" s="172">
        <f t="shared" si="7"/>
        <v>0.0004317674408</v>
      </c>
      <c r="K125" s="173">
        <f t="shared" si="8"/>
        <v>0.518120929</v>
      </c>
      <c r="L125" s="174">
        <f t="shared" si="9"/>
        <v>19.08114174</v>
      </c>
      <c r="M125" s="175" t="str">
        <f t="shared" si="10"/>
        <v>AnnaMarieSwan#8824</v>
      </c>
      <c r="N125" s="176">
        <f>IFERROR(__xludf.DUMMYFUNCTION("""COMPUTED_VALUE"""),13.0)</f>
        <v>13</v>
      </c>
      <c r="O125" s="176"/>
      <c r="P125" s="166" t="s">
        <v>67</v>
      </c>
      <c r="Q125" s="166" t="s">
        <v>441</v>
      </c>
      <c r="R125" s="176"/>
      <c r="S125" s="176"/>
      <c r="T125" s="176"/>
      <c r="U125" s="176"/>
      <c r="V125" s="176"/>
      <c r="W125" s="176"/>
      <c r="X125" s="176"/>
      <c r="Y125" s="176"/>
      <c r="Z125" s="176"/>
      <c r="AA125" s="176"/>
    </row>
    <row r="126">
      <c r="A126" s="165" t="str">
        <f>iferror(VLOOKUP(P126,'DO NOT TOUCH Imported'!$A$1:$D$800,4,False),iferror(VLOOKUP(P126,'DO NOT TOUCH Imported'!$C$1:$D$800,2,False),"OOPS FIX ME"))</f>
        <v>AnnaMarieSwan#8824</v>
      </c>
      <c r="B126" s="166" t="s">
        <v>441</v>
      </c>
      <c r="C126" s="167" t="s">
        <v>572</v>
      </c>
      <c r="D126" s="168" t="s">
        <v>499</v>
      </c>
      <c r="E126" s="169" t="s">
        <v>438</v>
      </c>
      <c r="F126" s="168" t="s">
        <v>503</v>
      </c>
      <c r="G126" s="170">
        <v>500.0</v>
      </c>
      <c r="H126" s="171">
        <v>25.0</v>
      </c>
      <c r="I126" s="171">
        <v>100.0</v>
      </c>
      <c r="J126" s="172">
        <f t="shared" si="7"/>
        <v>0.0004317674408</v>
      </c>
      <c r="K126" s="173">
        <f t="shared" si="8"/>
        <v>0.518120929</v>
      </c>
      <c r="L126" s="174">
        <f t="shared" si="9"/>
        <v>19.08114174</v>
      </c>
      <c r="M126" s="175" t="str">
        <f t="shared" si="10"/>
        <v>AnnaMarieSwan#8824</v>
      </c>
      <c r="N126" s="176">
        <f>IFERROR(__xludf.DUMMYFUNCTION("""COMPUTED_VALUE"""),14.0)</f>
        <v>14</v>
      </c>
      <c r="O126" s="176"/>
      <c r="P126" s="166" t="s">
        <v>67</v>
      </c>
      <c r="Q126" s="166" t="s">
        <v>441</v>
      </c>
      <c r="R126" s="176"/>
      <c r="S126" s="176"/>
      <c r="T126" s="176"/>
      <c r="U126" s="176"/>
      <c r="V126" s="176"/>
      <c r="W126" s="176"/>
      <c r="X126" s="176"/>
      <c r="Y126" s="176"/>
      <c r="Z126" s="176"/>
      <c r="AA126" s="176"/>
    </row>
    <row r="127">
      <c r="A127" s="165" t="str">
        <f>iferror(VLOOKUP(P127,'DO NOT TOUCH Imported'!$A$1:$D$800,4,False),iferror(VLOOKUP(P127,'DO NOT TOUCH Imported'!$C$1:$D$800,2,False),"OOPS FIX ME"))</f>
        <v>Santigs67</v>
      </c>
      <c r="B127" s="166" t="s">
        <v>441</v>
      </c>
      <c r="C127" s="167" t="s">
        <v>575</v>
      </c>
      <c r="D127" s="168" t="s">
        <v>437</v>
      </c>
      <c r="E127" s="177" t="s">
        <v>447</v>
      </c>
      <c r="F127" s="168" t="s">
        <v>439</v>
      </c>
      <c r="G127" s="170">
        <v>1000.0</v>
      </c>
      <c r="H127" s="171">
        <v>150.0</v>
      </c>
      <c r="I127" s="171">
        <v>200.0</v>
      </c>
      <c r="J127" s="172">
        <f t="shared" si="7"/>
        <v>0.001182773816</v>
      </c>
      <c r="K127" s="173">
        <f t="shared" si="8"/>
        <v>1.419328579</v>
      </c>
      <c r="L127" s="174">
        <f t="shared" si="9"/>
        <v>18.56396279</v>
      </c>
      <c r="M127" s="175" t="str">
        <f t="shared" si="10"/>
        <v>Santigs67</v>
      </c>
      <c r="N127" s="176">
        <f>IFERROR(__xludf.DUMMYFUNCTION("""COMPUTED_VALUE"""),1.0)</f>
        <v>1</v>
      </c>
      <c r="O127" s="176"/>
      <c r="P127" s="166" t="s">
        <v>576</v>
      </c>
      <c r="Q127" s="166" t="s">
        <v>441</v>
      </c>
      <c r="R127" s="176"/>
      <c r="S127" s="176"/>
      <c r="T127" s="176"/>
      <c r="U127" s="176"/>
      <c r="V127" s="176"/>
      <c r="W127" s="176"/>
      <c r="X127" s="176"/>
      <c r="Y127" s="176"/>
      <c r="Z127" s="176"/>
      <c r="AA127" s="176"/>
    </row>
    <row r="128">
      <c r="A128" s="165" t="str">
        <f>iferror(VLOOKUP(P128,'DO NOT TOUCH Imported'!$A$1:$D$800,4,False),iferror(VLOOKUP(P128,'DO NOT TOUCH Imported'!$C$1:$D$800,2,False),"OOPS FIX ME"))</f>
        <v>Santigs67</v>
      </c>
      <c r="B128" s="166" t="s">
        <v>490</v>
      </c>
      <c r="C128" s="167" t="s">
        <v>577</v>
      </c>
      <c r="D128" s="168" t="s">
        <v>437</v>
      </c>
      <c r="E128" s="169" t="s">
        <v>445</v>
      </c>
      <c r="F128" s="168" t="s">
        <v>439</v>
      </c>
      <c r="G128" s="170">
        <v>1000.0</v>
      </c>
      <c r="H128" s="171">
        <v>200.0</v>
      </c>
      <c r="I128" s="171">
        <v>100.0</v>
      </c>
      <c r="J128" s="172">
        <f t="shared" si="7"/>
        <v>0.001042633091</v>
      </c>
      <c r="K128" s="173">
        <f t="shared" si="8"/>
        <v>1.25115971</v>
      </c>
      <c r="L128" s="174">
        <f t="shared" si="9"/>
        <v>18.56396279</v>
      </c>
      <c r="M128" s="175" t="str">
        <f t="shared" si="10"/>
        <v>Santigs67</v>
      </c>
      <c r="N128" s="176">
        <f>IFERROR(__xludf.DUMMYFUNCTION("""COMPUTED_VALUE"""),2.0)</f>
        <v>2</v>
      </c>
      <c r="O128" s="176"/>
      <c r="P128" s="166" t="s">
        <v>576</v>
      </c>
      <c r="Q128" s="166" t="s">
        <v>490</v>
      </c>
      <c r="R128" s="176"/>
      <c r="S128" s="176"/>
      <c r="T128" s="176"/>
      <c r="U128" s="176"/>
      <c r="V128" s="176"/>
      <c r="W128" s="176"/>
      <c r="X128" s="176"/>
      <c r="Y128" s="176"/>
      <c r="Z128" s="176"/>
      <c r="AA128" s="176"/>
    </row>
    <row r="129">
      <c r="A129" s="165" t="str">
        <f>iferror(VLOOKUP(P129,'DO NOT TOUCH Imported'!$A$1:$D$800,4,False),iferror(VLOOKUP(P129,'DO NOT TOUCH Imported'!$C$1:$D$800,2,False),"OOPS FIX ME"))</f>
        <v>Santigs67</v>
      </c>
      <c r="B129" s="166" t="s">
        <v>441</v>
      </c>
      <c r="C129" s="167" t="s">
        <v>578</v>
      </c>
      <c r="D129" s="168" t="s">
        <v>437</v>
      </c>
      <c r="E129" s="169" t="s">
        <v>447</v>
      </c>
      <c r="F129" s="168" t="s">
        <v>439</v>
      </c>
      <c r="G129" s="170">
        <v>1000.0</v>
      </c>
      <c r="H129" s="171">
        <v>200.0</v>
      </c>
      <c r="I129" s="171">
        <v>100.0</v>
      </c>
      <c r="J129" s="172">
        <f t="shared" si="7"/>
        <v>0.001042633091</v>
      </c>
      <c r="K129" s="173">
        <f t="shared" si="8"/>
        <v>1.25115971</v>
      </c>
      <c r="L129" s="174">
        <f t="shared" si="9"/>
        <v>18.56396279</v>
      </c>
      <c r="M129" s="175" t="str">
        <f t="shared" si="10"/>
        <v>Santigs67</v>
      </c>
      <c r="N129" s="176">
        <f>IFERROR(__xludf.DUMMYFUNCTION("""COMPUTED_VALUE"""),3.0)</f>
        <v>3</v>
      </c>
      <c r="O129" s="176"/>
      <c r="P129" s="166" t="s">
        <v>576</v>
      </c>
      <c r="Q129" s="166" t="s">
        <v>441</v>
      </c>
      <c r="R129" s="176"/>
      <c r="S129" s="176"/>
      <c r="T129" s="176"/>
      <c r="U129" s="176"/>
      <c r="V129" s="176"/>
      <c r="W129" s="176"/>
      <c r="X129" s="176"/>
      <c r="Y129" s="176"/>
      <c r="Z129" s="176"/>
      <c r="AA129" s="176"/>
    </row>
    <row r="130">
      <c r="A130" s="165" t="str">
        <f>iferror(VLOOKUP(P130,'DO NOT TOUCH Imported'!$A$1:$D$800,4,False),iferror(VLOOKUP(P130,'DO NOT TOUCH Imported'!$C$1:$D$800,2,False),"OOPS FIX ME"))</f>
        <v>Santigs67</v>
      </c>
      <c r="B130" s="166" t="s">
        <v>441</v>
      </c>
      <c r="C130" s="167" t="s">
        <v>579</v>
      </c>
      <c r="D130" s="168" t="s">
        <v>437</v>
      </c>
      <c r="E130" s="169" t="s">
        <v>447</v>
      </c>
      <c r="F130" s="168" t="s">
        <v>439</v>
      </c>
      <c r="G130" s="170">
        <v>1000.0</v>
      </c>
      <c r="H130" s="171">
        <v>200.0</v>
      </c>
      <c r="I130" s="171">
        <v>100.0</v>
      </c>
      <c r="J130" s="172">
        <f t="shared" si="7"/>
        <v>0.001042633091</v>
      </c>
      <c r="K130" s="173">
        <f t="shared" si="8"/>
        <v>1.25115971</v>
      </c>
      <c r="L130" s="174">
        <f t="shared" si="9"/>
        <v>18.56396279</v>
      </c>
      <c r="M130" s="175" t="str">
        <f t="shared" si="10"/>
        <v>Santigs67</v>
      </c>
      <c r="N130" s="176">
        <f>IFERROR(__xludf.DUMMYFUNCTION("""COMPUTED_VALUE"""),4.0)</f>
        <v>4</v>
      </c>
      <c r="O130" s="176"/>
      <c r="P130" s="166" t="s">
        <v>576</v>
      </c>
      <c r="Q130" s="166" t="s">
        <v>441</v>
      </c>
      <c r="R130" s="176"/>
      <c r="S130" s="176"/>
      <c r="T130" s="176"/>
      <c r="U130" s="176"/>
      <c r="V130" s="176"/>
      <c r="W130" s="176"/>
      <c r="X130" s="176"/>
      <c r="Y130" s="176"/>
      <c r="Z130" s="176"/>
      <c r="AA130" s="176"/>
    </row>
    <row r="131">
      <c r="A131" s="165" t="str">
        <f>iferror(VLOOKUP(P131,'DO NOT TOUCH Imported'!$A$1:$D$800,4,False),iferror(VLOOKUP(P131,'DO NOT TOUCH Imported'!$C$1:$D$800,2,False),"OOPS FIX ME"))</f>
        <v>Santigs67</v>
      </c>
      <c r="B131" s="166" t="s">
        <v>441</v>
      </c>
      <c r="C131" s="167" t="s">
        <v>580</v>
      </c>
      <c r="D131" s="168" t="s">
        <v>437</v>
      </c>
      <c r="E131" s="169" t="s">
        <v>447</v>
      </c>
      <c r="F131" s="168" t="s">
        <v>439</v>
      </c>
      <c r="G131" s="170">
        <v>1000.0</v>
      </c>
      <c r="H131" s="171">
        <v>150.0</v>
      </c>
      <c r="I131" s="171">
        <v>100.0</v>
      </c>
      <c r="J131" s="172">
        <f t="shared" si="7"/>
        <v>0.0008830136242</v>
      </c>
      <c r="K131" s="173">
        <f t="shared" si="8"/>
        <v>1.059616349</v>
      </c>
      <c r="L131" s="174">
        <f t="shared" si="9"/>
        <v>18.56396279</v>
      </c>
      <c r="M131" s="175" t="str">
        <f t="shared" si="10"/>
        <v>Santigs67</v>
      </c>
      <c r="N131" s="176">
        <f>IFERROR(__xludf.DUMMYFUNCTION("""COMPUTED_VALUE"""),5.0)</f>
        <v>5</v>
      </c>
      <c r="O131" s="176"/>
      <c r="P131" s="166" t="s">
        <v>576</v>
      </c>
      <c r="Q131" s="166" t="s">
        <v>441</v>
      </c>
      <c r="R131" s="176"/>
      <c r="S131" s="176"/>
      <c r="T131" s="176"/>
      <c r="U131" s="176"/>
      <c r="V131" s="176"/>
      <c r="W131" s="176"/>
      <c r="X131" s="176"/>
      <c r="Y131" s="176"/>
      <c r="Z131" s="176"/>
      <c r="AA131" s="176"/>
    </row>
    <row r="132">
      <c r="A132" s="165" t="str">
        <f>iferror(VLOOKUP(P132,'DO NOT TOUCH Imported'!$A$1:$D$800,4,False),iferror(VLOOKUP(P132,'DO NOT TOUCH Imported'!$C$1:$D$800,2,False),"OOPS FIX ME"))</f>
        <v>Santigs67</v>
      </c>
      <c r="B132" s="166" t="s">
        <v>435</v>
      </c>
      <c r="C132" s="167" t="s">
        <v>465</v>
      </c>
      <c r="D132" s="168" t="s">
        <v>437</v>
      </c>
      <c r="E132" s="169" t="s">
        <v>445</v>
      </c>
      <c r="F132" s="168" t="s">
        <v>439</v>
      </c>
      <c r="G132" s="170">
        <v>1000.0</v>
      </c>
      <c r="H132" s="171">
        <v>100.0</v>
      </c>
      <c r="I132" s="171">
        <v>100.0</v>
      </c>
      <c r="J132" s="172">
        <f t="shared" si="7"/>
        <v>0.000723394157</v>
      </c>
      <c r="K132" s="173">
        <f t="shared" si="8"/>
        <v>0.8680729884</v>
      </c>
      <c r="L132" s="174">
        <f t="shared" si="9"/>
        <v>18.56396279</v>
      </c>
      <c r="M132" s="175" t="str">
        <f t="shared" si="10"/>
        <v>Santigs67</v>
      </c>
      <c r="N132" s="176">
        <f>IFERROR(__xludf.DUMMYFUNCTION("""COMPUTED_VALUE"""),6.0)</f>
        <v>6</v>
      </c>
      <c r="O132" s="176"/>
      <c r="P132" s="166" t="s">
        <v>576</v>
      </c>
      <c r="Q132" s="166" t="s">
        <v>435</v>
      </c>
      <c r="R132" s="176"/>
      <c r="S132" s="176"/>
      <c r="T132" s="176"/>
      <c r="U132" s="176"/>
      <c r="V132" s="176"/>
      <c r="W132" s="176"/>
      <c r="X132" s="176"/>
      <c r="Y132" s="176"/>
      <c r="Z132" s="176"/>
      <c r="AA132" s="176"/>
    </row>
    <row r="133">
      <c r="A133" s="165" t="str">
        <f>iferror(VLOOKUP(P133,'DO NOT TOUCH Imported'!$A$1:$D$800,4,False),iferror(VLOOKUP(P133,'DO NOT TOUCH Imported'!$C$1:$D$800,2,False),"OOPS FIX ME"))</f>
        <v>Santigs67</v>
      </c>
      <c r="B133" s="166" t="s">
        <v>441</v>
      </c>
      <c r="C133" s="167" t="s">
        <v>467</v>
      </c>
      <c r="D133" s="168" t="s">
        <v>437</v>
      </c>
      <c r="E133" s="177" t="s">
        <v>447</v>
      </c>
      <c r="F133" s="168" t="s">
        <v>439</v>
      </c>
      <c r="G133" s="170">
        <v>1000.0</v>
      </c>
      <c r="H133" s="171">
        <v>100.0</v>
      </c>
      <c r="I133" s="171">
        <v>100.0</v>
      </c>
      <c r="J133" s="172">
        <f t="shared" si="7"/>
        <v>0.000723394157</v>
      </c>
      <c r="K133" s="173">
        <f t="shared" si="8"/>
        <v>0.8680729884</v>
      </c>
      <c r="L133" s="174">
        <f t="shared" si="9"/>
        <v>18.56396279</v>
      </c>
      <c r="M133" s="175" t="str">
        <f t="shared" si="10"/>
        <v>Santigs67</v>
      </c>
      <c r="N133" s="176">
        <f>IFERROR(__xludf.DUMMYFUNCTION("""COMPUTED_VALUE"""),7.0)</f>
        <v>7</v>
      </c>
      <c r="O133" s="176"/>
      <c r="P133" s="166" t="s">
        <v>576</v>
      </c>
      <c r="Q133" s="166" t="s">
        <v>441</v>
      </c>
      <c r="R133" s="176"/>
      <c r="S133" s="176"/>
      <c r="T133" s="176"/>
      <c r="U133" s="176"/>
      <c r="V133" s="176"/>
      <c r="W133" s="176"/>
      <c r="X133" s="176"/>
      <c r="Y133" s="176"/>
      <c r="Z133" s="176"/>
      <c r="AA133" s="176"/>
    </row>
    <row r="134">
      <c r="A134" s="165" t="str">
        <f>iferror(VLOOKUP(P134,'DO NOT TOUCH Imported'!$A$1:$D$800,4,False),iferror(VLOOKUP(P134,'DO NOT TOUCH Imported'!$C$1:$D$800,2,False),"OOPS FIX ME"))</f>
        <v>Santigs67</v>
      </c>
      <c r="B134" s="166" t="s">
        <v>441</v>
      </c>
      <c r="C134" s="167" t="s">
        <v>468</v>
      </c>
      <c r="D134" s="168" t="s">
        <v>437</v>
      </c>
      <c r="E134" s="177" t="s">
        <v>447</v>
      </c>
      <c r="F134" s="168" t="s">
        <v>439</v>
      </c>
      <c r="G134" s="170">
        <v>1000.0</v>
      </c>
      <c r="H134" s="171">
        <v>100.0</v>
      </c>
      <c r="I134" s="171">
        <v>100.0</v>
      </c>
      <c r="J134" s="172">
        <f t="shared" si="7"/>
        <v>0.000723394157</v>
      </c>
      <c r="K134" s="173">
        <f t="shared" si="8"/>
        <v>0.8680729884</v>
      </c>
      <c r="L134" s="174">
        <f t="shared" si="9"/>
        <v>18.56396279</v>
      </c>
      <c r="M134" s="175" t="str">
        <f t="shared" si="10"/>
        <v>Santigs67</v>
      </c>
      <c r="N134" s="176">
        <f>IFERROR(__xludf.DUMMYFUNCTION("""COMPUTED_VALUE"""),8.0)</f>
        <v>8</v>
      </c>
      <c r="O134" s="176"/>
      <c r="P134" s="166" t="s">
        <v>576</v>
      </c>
      <c r="Q134" s="166" t="s">
        <v>441</v>
      </c>
      <c r="R134" s="176"/>
      <c r="S134" s="176"/>
      <c r="T134" s="176"/>
      <c r="U134" s="176"/>
      <c r="V134" s="176"/>
      <c r="W134" s="176"/>
      <c r="X134" s="176"/>
      <c r="Y134" s="176"/>
      <c r="Z134" s="176"/>
      <c r="AA134" s="176"/>
    </row>
    <row r="135">
      <c r="A135" s="165" t="str">
        <f>iferror(VLOOKUP(P135,'DO NOT TOUCH Imported'!$A$1:$D$800,4,False),iferror(VLOOKUP(P135,'DO NOT TOUCH Imported'!$C$1:$D$800,2,False),"OOPS FIX ME"))</f>
        <v>Santigs67</v>
      </c>
      <c r="B135" s="166" t="s">
        <v>441</v>
      </c>
      <c r="C135" s="167" t="s">
        <v>581</v>
      </c>
      <c r="D135" s="168" t="s">
        <v>437</v>
      </c>
      <c r="E135" s="169" t="s">
        <v>447</v>
      </c>
      <c r="F135" s="168" t="s">
        <v>439</v>
      </c>
      <c r="G135" s="170">
        <v>1000.0</v>
      </c>
      <c r="H135" s="171">
        <v>100.0</v>
      </c>
      <c r="I135" s="171">
        <v>100.0</v>
      </c>
      <c r="J135" s="172">
        <f t="shared" si="7"/>
        <v>0.000723394157</v>
      </c>
      <c r="K135" s="173">
        <f t="shared" si="8"/>
        <v>0.8680729884</v>
      </c>
      <c r="L135" s="174">
        <f t="shared" si="9"/>
        <v>18.56396279</v>
      </c>
      <c r="M135" s="175" t="str">
        <f t="shared" si="10"/>
        <v>Santigs67</v>
      </c>
      <c r="N135" s="176">
        <f>IFERROR(__xludf.DUMMYFUNCTION("""COMPUTED_VALUE"""),9.0)</f>
        <v>9</v>
      </c>
      <c r="O135" s="176"/>
      <c r="P135" s="166" t="s">
        <v>576</v>
      </c>
      <c r="Q135" s="166" t="s">
        <v>441</v>
      </c>
      <c r="R135" s="176"/>
      <c r="S135" s="176"/>
      <c r="T135" s="176"/>
      <c r="U135" s="176"/>
      <c r="V135" s="176"/>
      <c r="W135" s="176"/>
      <c r="X135" s="176"/>
      <c r="Y135" s="176"/>
      <c r="Z135" s="176"/>
      <c r="AA135" s="176"/>
    </row>
    <row r="136">
      <c r="A136" s="165" t="str">
        <f>iferror(VLOOKUP(P136,'DO NOT TOUCH Imported'!$A$1:$D$800,4,False),iferror(VLOOKUP(P136,'DO NOT TOUCH Imported'!$C$1:$D$800,2,False),"OOPS FIX ME"))</f>
        <v>Santigs67</v>
      </c>
      <c r="B136" s="166" t="s">
        <v>440</v>
      </c>
      <c r="C136" s="167" t="s">
        <v>471</v>
      </c>
      <c r="D136" s="168" t="s">
        <v>437</v>
      </c>
      <c r="E136" s="177" t="s">
        <v>447</v>
      </c>
      <c r="F136" s="168" t="s">
        <v>439</v>
      </c>
      <c r="G136" s="170">
        <v>1000.0</v>
      </c>
      <c r="H136" s="171">
        <v>100.0</v>
      </c>
      <c r="I136" s="171">
        <v>100.0</v>
      </c>
      <c r="J136" s="172">
        <f t="shared" si="7"/>
        <v>0.000723394157</v>
      </c>
      <c r="K136" s="173">
        <f t="shared" si="8"/>
        <v>0.8680729884</v>
      </c>
      <c r="L136" s="174">
        <f t="shared" si="9"/>
        <v>18.56396279</v>
      </c>
      <c r="M136" s="175" t="str">
        <f t="shared" si="10"/>
        <v>Santigs67</v>
      </c>
      <c r="N136" s="176">
        <f>IFERROR(__xludf.DUMMYFUNCTION("""COMPUTED_VALUE"""),10.0)</f>
        <v>10</v>
      </c>
      <c r="O136" s="176"/>
      <c r="P136" s="166" t="s">
        <v>576</v>
      </c>
      <c r="Q136" s="166" t="s">
        <v>440</v>
      </c>
      <c r="R136" s="176"/>
      <c r="S136" s="176"/>
      <c r="T136" s="176"/>
      <c r="U136" s="176"/>
      <c r="V136" s="176"/>
      <c r="W136" s="176"/>
      <c r="X136" s="176"/>
      <c r="Y136" s="176"/>
      <c r="Z136" s="176"/>
      <c r="AA136" s="176"/>
    </row>
    <row r="137">
      <c r="A137" s="165" t="str">
        <f>iferror(VLOOKUP(P137,'DO NOT TOUCH Imported'!$A$1:$D$800,4,False),iferror(VLOOKUP(P137,'DO NOT TOUCH Imported'!$C$1:$D$800,2,False),"OOPS FIX ME"))</f>
        <v>Santigs67</v>
      </c>
      <c r="B137" s="166" t="s">
        <v>490</v>
      </c>
      <c r="C137" s="167" t="s">
        <v>582</v>
      </c>
      <c r="D137" s="168" t="s">
        <v>437</v>
      </c>
      <c r="E137" s="169" t="s">
        <v>506</v>
      </c>
      <c r="F137" s="168" t="s">
        <v>439</v>
      </c>
      <c r="G137" s="170">
        <v>1000.0</v>
      </c>
      <c r="H137" s="171">
        <v>100.0</v>
      </c>
      <c r="I137" s="171">
        <v>100.0</v>
      </c>
      <c r="J137" s="172">
        <f t="shared" si="7"/>
        <v>0.000723394157</v>
      </c>
      <c r="K137" s="173">
        <f t="shared" si="8"/>
        <v>0.8680729884</v>
      </c>
      <c r="L137" s="174">
        <f t="shared" si="9"/>
        <v>18.56396279</v>
      </c>
      <c r="M137" s="175" t="str">
        <f t="shared" si="10"/>
        <v>Santigs67</v>
      </c>
      <c r="N137" s="176">
        <f>IFERROR(__xludf.DUMMYFUNCTION("""COMPUTED_VALUE"""),11.0)</f>
        <v>11</v>
      </c>
      <c r="O137" s="176"/>
      <c r="P137" s="166" t="s">
        <v>576</v>
      </c>
      <c r="Q137" s="166" t="s">
        <v>490</v>
      </c>
      <c r="R137" s="176"/>
      <c r="S137" s="176"/>
      <c r="T137" s="176"/>
      <c r="U137" s="176"/>
      <c r="V137" s="176"/>
      <c r="W137" s="176"/>
      <c r="X137" s="176"/>
      <c r="Y137" s="176"/>
      <c r="Z137" s="176"/>
      <c r="AA137" s="176"/>
    </row>
    <row r="138">
      <c r="A138" s="165" t="str">
        <f>iferror(VLOOKUP(P138,'DO NOT TOUCH Imported'!$A$1:$D$800,4,False),iferror(VLOOKUP(P138,'DO NOT TOUCH Imported'!$C$1:$D$800,2,False),"OOPS FIX ME"))</f>
        <v>Santigs67</v>
      </c>
      <c r="B138" s="166" t="s">
        <v>440</v>
      </c>
      <c r="C138" s="167" t="s">
        <v>583</v>
      </c>
      <c r="D138" s="168" t="s">
        <v>437</v>
      </c>
      <c r="E138" s="177" t="s">
        <v>455</v>
      </c>
      <c r="F138" s="168" t="s">
        <v>439</v>
      </c>
      <c r="G138" s="170">
        <v>1000.0</v>
      </c>
      <c r="H138" s="171">
        <v>100.0</v>
      </c>
      <c r="I138" s="171">
        <v>100.0</v>
      </c>
      <c r="J138" s="172">
        <f t="shared" si="7"/>
        <v>0.000723394157</v>
      </c>
      <c r="K138" s="173">
        <f t="shared" si="8"/>
        <v>0.8680729884</v>
      </c>
      <c r="L138" s="174">
        <f t="shared" si="9"/>
        <v>18.56396279</v>
      </c>
      <c r="M138" s="175" t="str">
        <f t="shared" si="10"/>
        <v>Santigs67</v>
      </c>
      <c r="N138" s="176">
        <f>IFERROR(__xludf.DUMMYFUNCTION("""COMPUTED_VALUE"""),12.0)</f>
        <v>12</v>
      </c>
      <c r="O138" s="176"/>
      <c r="P138" s="166" t="s">
        <v>576</v>
      </c>
      <c r="Q138" s="166" t="s">
        <v>440</v>
      </c>
      <c r="R138" s="176"/>
      <c r="S138" s="176"/>
      <c r="T138" s="176"/>
      <c r="U138" s="176"/>
      <c r="V138" s="176"/>
      <c r="W138" s="176"/>
      <c r="X138" s="176"/>
      <c r="Y138" s="176"/>
      <c r="Z138" s="176"/>
      <c r="AA138" s="176"/>
    </row>
    <row r="139">
      <c r="A139" s="165" t="str">
        <f>iferror(VLOOKUP(P139,'DO NOT TOUCH Imported'!$A$1:$D$800,4,False),iferror(VLOOKUP(P139,'DO NOT TOUCH Imported'!$C$1:$D$800,2,False),"OOPS FIX ME"))</f>
        <v>Santigs67</v>
      </c>
      <c r="B139" s="166" t="s">
        <v>441</v>
      </c>
      <c r="C139" s="167" t="s">
        <v>584</v>
      </c>
      <c r="D139" s="168" t="s">
        <v>437</v>
      </c>
      <c r="E139" s="169" t="s">
        <v>438</v>
      </c>
      <c r="F139" s="168" t="s">
        <v>439</v>
      </c>
      <c r="G139" s="170">
        <v>1000.0</v>
      </c>
      <c r="H139" s="171">
        <v>100.0</v>
      </c>
      <c r="I139" s="171">
        <v>100.0</v>
      </c>
      <c r="J139" s="172">
        <f t="shared" si="7"/>
        <v>0.000723394157</v>
      </c>
      <c r="K139" s="173">
        <f t="shared" si="8"/>
        <v>0.8680729884</v>
      </c>
      <c r="L139" s="174">
        <f t="shared" si="9"/>
        <v>18.56396279</v>
      </c>
      <c r="M139" s="175" t="str">
        <f t="shared" si="10"/>
        <v>Santigs67</v>
      </c>
      <c r="N139" s="176">
        <f>IFERROR(__xludf.DUMMYFUNCTION("""COMPUTED_VALUE"""),13.0)</f>
        <v>13</v>
      </c>
      <c r="O139" s="176"/>
      <c r="P139" s="166" t="s">
        <v>576</v>
      </c>
      <c r="Q139" s="166" t="s">
        <v>441</v>
      </c>
      <c r="R139" s="176"/>
      <c r="S139" s="176"/>
      <c r="T139" s="176"/>
      <c r="U139" s="176"/>
      <c r="V139" s="176"/>
      <c r="W139" s="176"/>
      <c r="X139" s="176"/>
      <c r="Y139" s="176"/>
      <c r="Z139" s="176"/>
      <c r="AA139" s="176"/>
    </row>
    <row r="140">
      <c r="A140" s="165" t="str">
        <f>iferror(VLOOKUP(P140,'DO NOT TOUCH Imported'!$A$1:$D$800,4,False),iferror(VLOOKUP(P140,'DO NOT TOUCH Imported'!$C$1:$D$800,2,False),"OOPS FIX ME"))</f>
        <v>Santigs67</v>
      </c>
      <c r="B140" s="166" t="s">
        <v>435</v>
      </c>
      <c r="C140" s="167" t="s">
        <v>479</v>
      </c>
      <c r="D140" s="168" t="s">
        <v>437</v>
      </c>
      <c r="E140" s="177" t="s">
        <v>455</v>
      </c>
      <c r="F140" s="168" t="s">
        <v>439</v>
      </c>
      <c r="G140" s="170">
        <v>1000.0</v>
      </c>
      <c r="H140" s="171">
        <v>90.0</v>
      </c>
      <c r="I140" s="171">
        <v>100.0</v>
      </c>
      <c r="J140" s="172">
        <f t="shared" si="7"/>
        <v>0.0006914702636</v>
      </c>
      <c r="K140" s="173">
        <f t="shared" si="8"/>
        <v>0.8297643163</v>
      </c>
      <c r="L140" s="174">
        <f t="shared" si="9"/>
        <v>18.56396279</v>
      </c>
      <c r="M140" s="175" t="str">
        <f t="shared" si="10"/>
        <v>Santigs67</v>
      </c>
      <c r="N140" s="176">
        <f>IFERROR(__xludf.DUMMYFUNCTION("""COMPUTED_VALUE"""),14.0)</f>
        <v>14</v>
      </c>
      <c r="O140" s="176"/>
      <c r="P140" s="166" t="s">
        <v>576</v>
      </c>
      <c r="Q140" s="166" t="s">
        <v>435</v>
      </c>
      <c r="R140" s="176"/>
      <c r="S140" s="176"/>
      <c r="T140" s="176"/>
      <c r="U140" s="176"/>
      <c r="V140" s="176"/>
      <c r="W140" s="176"/>
      <c r="X140" s="176"/>
      <c r="Y140" s="176"/>
      <c r="Z140" s="176"/>
      <c r="AA140" s="176"/>
    </row>
    <row r="141">
      <c r="A141" s="165" t="str">
        <f>iferror(VLOOKUP(P141,'DO NOT TOUCH Imported'!$A$1:$D$800,4,False),iferror(VLOOKUP(P141,'DO NOT TOUCH Imported'!$C$1:$D$800,2,False),"OOPS FIX ME"))</f>
        <v>Santigs67</v>
      </c>
      <c r="B141" s="166" t="s">
        <v>441</v>
      </c>
      <c r="C141" s="167" t="s">
        <v>543</v>
      </c>
      <c r="D141" s="168" t="s">
        <v>437</v>
      </c>
      <c r="E141" s="169" t="s">
        <v>447</v>
      </c>
      <c r="F141" s="168" t="s">
        <v>439</v>
      </c>
      <c r="G141" s="170">
        <v>1000.0</v>
      </c>
      <c r="H141" s="171">
        <v>80.0</v>
      </c>
      <c r="I141" s="171">
        <v>100.0</v>
      </c>
      <c r="J141" s="172">
        <f t="shared" si="7"/>
        <v>0.0006595463701</v>
      </c>
      <c r="K141" s="173">
        <f t="shared" si="8"/>
        <v>0.7914556442</v>
      </c>
      <c r="L141" s="174">
        <f t="shared" si="9"/>
        <v>18.56396279</v>
      </c>
      <c r="M141" s="175" t="str">
        <f t="shared" si="10"/>
        <v>Santigs67</v>
      </c>
      <c r="N141" s="176">
        <f>IFERROR(__xludf.DUMMYFUNCTION("""COMPUTED_VALUE"""),15.0)</f>
        <v>15</v>
      </c>
      <c r="O141" s="176"/>
      <c r="P141" s="166" t="s">
        <v>576</v>
      </c>
      <c r="Q141" s="166" t="s">
        <v>441</v>
      </c>
      <c r="R141" s="176"/>
      <c r="S141" s="176"/>
      <c r="T141" s="176"/>
      <c r="U141" s="176"/>
      <c r="V141" s="176"/>
      <c r="W141" s="176"/>
      <c r="X141" s="176"/>
      <c r="Y141" s="176"/>
      <c r="Z141" s="176"/>
      <c r="AA141" s="176"/>
    </row>
    <row r="142">
      <c r="A142" s="165" t="str">
        <f>iferror(VLOOKUP(P142,'DO NOT TOUCH Imported'!$A$1:$D$800,4,False),iferror(VLOOKUP(P142,'DO NOT TOUCH Imported'!$C$1:$D$800,2,False),"OOPS FIX ME"))</f>
        <v>Santigs67</v>
      </c>
      <c r="B142" s="166" t="s">
        <v>441</v>
      </c>
      <c r="C142" s="167" t="s">
        <v>481</v>
      </c>
      <c r="D142" s="168" t="s">
        <v>437</v>
      </c>
      <c r="E142" s="177" t="s">
        <v>447</v>
      </c>
      <c r="F142" s="168" t="s">
        <v>439</v>
      </c>
      <c r="G142" s="170">
        <v>1000.0</v>
      </c>
      <c r="H142" s="171">
        <v>80.0</v>
      </c>
      <c r="I142" s="171">
        <v>100.0</v>
      </c>
      <c r="J142" s="172">
        <f t="shared" si="7"/>
        <v>0.0006595463701</v>
      </c>
      <c r="K142" s="173">
        <f t="shared" si="8"/>
        <v>0.7914556442</v>
      </c>
      <c r="L142" s="174">
        <f t="shared" si="9"/>
        <v>18.56396279</v>
      </c>
      <c r="M142" s="175" t="str">
        <f t="shared" si="10"/>
        <v>Santigs67</v>
      </c>
      <c r="N142" s="176">
        <f>IFERROR(__xludf.DUMMYFUNCTION("""COMPUTED_VALUE"""),16.0)</f>
        <v>16</v>
      </c>
      <c r="O142" s="176"/>
      <c r="P142" s="166" t="s">
        <v>576</v>
      </c>
      <c r="Q142" s="166" t="s">
        <v>441</v>
      </c>
      <c r="R142" s="176"/>
      <c r="S142" s="176"/>
      <c r="T142" s="176"/>
      <c r="U142" s="176"/>
      <c r="V142" s="176"/>
      <c r="W142" s="176"/>
      <c r="X142" s="176"/>
      <c r="Y142" s="176"/>
      <c r="Z142" s="176"/>
      <c r="AA142" s="176"/>
    </row>
    <row r="143">
      <c r="A143" s="165" t="str">
        <f>iferror(VLOOKUP(P143,'DO NOT TOUCH Imported'!$A$1:$D$800,4,False),iferror(VLOOKUP(P143,'DO NOT TOUCH Imported'!$C$1:$D$800,2,False),"OOPS FIX ME"))</f>
        <v>Santigs67</v>
      </c>
      <c r="B143" s="166" t="s">
        <v>441</v>
      </c>
      <c r="C143" s="167" t="s">
        <v>485</v>
      </c>
      <c r="D143" s="168" t="s">
        <v>437</v>
      </c>
      <c r="E143" s="169" t="s">
        <v>438</v>
      </c>
      <c r="F143" s="168" t="s">
        <v>439</v>
      </c>
      <c r="G143" s="170">
        <v>1000.0</v>
      </c>
      <c r="H143" s="171">
        <v>80.0</v>
      </c>
      <c r="I143" s="171">
        <v>100.0</v>
      </c>
      <c r="J143" s="172">
        <f t="shared" si="7"/>
        <v>0.0006595463701</v>
      </c>
      <c r="K143" s="173">
        <f t="shared" si="8"/>
        <v>0.7914556442</v>
      </c>
      <c r="L143" s="174">
        <f t="shared" si="9"/>
        <v>18.56396279</v>
      </c>
      <c r="M143" s="175" t="str">
        <f t="shared" si="10"/>
        <v>Santigs67</v>
      </c>
      <c r="N143" s="176">
        <f>IFERROR(__xludf.DUMMYFUNCTION("""COMPUTED_VALUE"""),17.0)</f>
        <v>17</v>
      </c>
      <c r="O143" s="176"/>
      <c r="P143" s="166" t="s">
        <v>576</v>
      </c>
      <c r="Q143" s="166" t="s">
        <v>441</v>
      </c>
      <c r="R143" s="176"/>
      <c r="S143" s="176"/>
      <c r="T143" s="176"/>
      <c r="U143" s="176"/>
      <c r="V143" s="176"/>
      <c r="W143" s="176"/>
      <c r="X143" s="176"/>
      <c r="Y143" s="176"/>
      <c r="Z143" s="176"/>
      <c r="AA143" s="176"/>
    </row>
    <row r="144">
      <c r="A144" s="165" t="str">
        <f>iferror(VLOOKUP(P144,'DO NOT TOUCH Imported'!$A$1:$D$800,4,False),iferror(VLOOKUP(P144,'DO NOT TOUCH Imported'!$C$1:$D$800,2,False),"OOPS FIX ME"))</f>
        <v>Santigs67</v>
      </c>
      <c r="B144" s="166" t="s">
        <v>486</v>
      </c>
      <c r="C144" s="167" t="s">
        <v>487</v>
      </c>
      <c r="D144" s="168" t="s">
        <v>437</v>
      </c>
      <c r="E144" s="177" t="s">
        <v>488</v>
      </c>
      <c r="F144" s="168" t="s">
        <v>439</v>
      </c>
      <c r="G144" s="170">
        <v>1000.0</v>
      </c>
      <c r="H144" s="171">
        <v>70.0</v>
      </c>
      <c r="I144" s="171">
        <v>100.0</v>
      </c>
      <c r="J144" s="172">
        <f t="shared" si="7"/>
        <v>0.0006276224767</v>
      </c>
      <c r="K144" s="173">
        <f t="shared" si="8"/>
        <v>0.7531469721</v>
      </c>
      <c r="L144" s="174">
        <f t="shared" si="9"/>
        <v>18.56396279</v>
      </c>
      <c r="M144" s="175" t="str">
        <f t="shared" si="10"/>
        <v>Santigs67</v>
      </c>
      <c r="N144" s="176">
        <f>IFERROR(__xludf.DUMMYFUNCTION("""COMPUTED_VALUE"""),18.0)</f>
        <v>18</v>
      </c>
      <c r="O144" s="176"/>
      <c r="P144" s="166" t="s">
        <v>576</v>
      </c>
      <c r="Q144" s="166" t="s">
        <v>486</v>
      </c>
      <c r="R144" s="176"/>
      <c r="S144" s="176"/>
      <c r="T144" s="176"/>
      <c r="U144" s="176"/>
      <c r="V144" s="176"/>
      <c r="W144" s="176"/>
      <c r="X144" s="176"/>
      <c r="Y144" s="176"/>
      <c r="Z144" s="176"/>
      <c r="AA144" s="176"/>
    </row>
    <row r="145">
      <c r="A145" s="165" t="str">
        <f>iferror(VLOOKUP(P145,'DO NOT TOUCH Imported'!$A$1:$D$800,4,False),iferror(VLOOKUP(P145,'DO NOT TOUCH Imported'!$C$1:$D$800,2,False),"OOPS FIX ME"))</f>
        <v>Santigs67</v>
      </c>
      <c r="B145" s="166" t="s">
        <v>490</v>
      </c>
      <c r="C145" s="167" t="s">
        <v>491</v>
      </c>
      <c r="D145" s="168" t="s">
        <v>437</v>
      </c>
      <c r="E145" s="169" t="s">
        <v>445</v>
      </c>
      <c r="F145" s="168" t="s">
        <v>439</v>
      </c>
      <c r="G145" s="170">
        <v>1000.0</v>
      </c>
      <c r="H145" s="171">
        <v>70.0</v>
      </c>
      <c r="I145" s="171">
        <v>100.0</v>
      </c>
      <c r="J145" s="172">
        <f t="shared" si="7"/>
        <v>0.0006276224767</v>
      </c>
      <c r="K145" s="173">
        <f t="shared" si="8"/>
        <v>0.7531469721</v>
      </c>
      <c r="L145" s="174">
        <f t="shared" si="9"/>
        <v>18.56396279</v>
      </c>
      <c r="M145" s="175" t="str">
        <f t="shared" si="10"/>
        <v>Santigs67</v>
      </c>
      <c r="N145" s="176">
        <f>IFERROR(__xludf.DUMMYFUNCTION("""COMPUTED_VALUE"""),19.0)</f>
        <v>19</v>
      </c>
      <c r="O145" s="176"/>
      <c r="P145" s="166" t="s">
        <v>576</v>
      </c>
      <c r="Q145" s="166" t="s">
        <v>490</v>
      </c>
      <c r="R145" s="176"/>
      <c r="S145" s="176"/>
      <c r="T145" s="176"/>
      <c r="U145" s="176"/>
      <c r="V145" s="176"/>
      <c r="W145" s="176"/>
      <c r="X145" s="176"/>
      <c r="Y145" s="176"/>
      <c r="Z145" s="176"/>
      <c r="AA145" s="176"/>
    </row>
    <row r="146">
      <c r="A146" s="165" t="str">
        <f>iferror(VLOOKUP(P146,'DO NOT TOUCH Imported'!$A$1:$D$800,4,False),iferror(VLOOKUP(P146,'DO NOT TOUCH Imported'!$C$1:$D$800,2,False),"OOPS FIX ME"))</f>
        <v>Santigs67</v>
      </c>
      <c r="B146" s="166" t="s">
        <v>441</v>
      </c>
      <c r="C146" s="167" t="s">
        <v>497</v>
      </c>
      <c r="D146" s="168" t="s">
        <v>437</v>
      </c>
      <c r="E146" s="177" t="s">
        <v>438</v>
      </c>
      <c r="F146" s="168" t="s">
        <v>439</v>
      </c>
      <c r="G146" s="170">
        <v>1000.0</v>
      </c>
      <c r="H146" s="171">
        <v>50.0</v>
      </c>
      <c r="I146" s="171">
        <v>100.0</v>
      </c>
      <c r="J146" s="172">
        <f t="shared" si="7"/>
        <v>0.0005637746898</v>
      </c>
      <c r="K146" s="173">
        <f t="shared" si="8"/>
        <v>0.6765296278</v>
      </c>
      <c r="L146" s="174">
        <f t="shared" si="9"/>
        <v>18.56396279</v>
      </c>
      <c r="M146" s="175" t="str">
        <f t="shared" si="10"/>
        <v>Santigs67</v>
      </c>
      <c r="N146" s="176">
        <f>IFERROR(__xludf.DUMMYFUNCTION("""COMPUTED_VALUE"""),20.0)</f>
        <v>20</v>
      </c>
      <c r="O146" s="176"/>
      <c r="P146" s="166" t="s">
        <v>576</v>
      </c>
      <c r="Q146" s="166" t="s">
        <v>441</v>
      </c>
      <c r="R146" s="176"/>
      <c r="S146" s="176"/>
      <c r="T146" s="176"/>
      <c r="U146" s="176"/>
      <c r="V146" s="176"/>
      <c r="W146" s="176"/>
      <c r="X146" s="176"/>
      <c r="Y146" s="176"/>
      <c r="Z146" s="176"/>
      <c r="AA146" s="176"/>
    </row>
    <row r="147">
      <c r="A147" s="165" t="str">
        <f>iferror(VLOOKUP(P147,'DO NOT TOUCH Imported'!$A$1:$D$800,4,False),iferror(VLOOKUP(P147,'DO NOT TOUCH Imported'!$C$1:$D$800,2,False),"OOPS FIX ME"))</f>
        <v>akrtws</v>
      </c>
      <c r="B147" s="178" t="s">
        <v>10</v>
      </c>
      <c r="C147" s="179" t="s">
        <v>501</v>
      </c>
      <c r="D147" s="180" t="s">
        <v>495</v>
      </c>
      <c r="E147" s="181">
        <v>44323.0</v>
      </c>
      <c r="F147" s="182" t="s">
        <v>496</v>
      </c>
      <c r="G147" s="170">
        <v>100000.0</v>
      </c>
      <c r="H147" s="171">
        <v>500.0</v>
      </c>
      <c r="I147" s="171">
        <v>100.0</v>
      </c>
      <c r="J147" s="172">
        <f t="shared" si="7"/>
        <v>0.01233545794</v>
      </c>
      <c r="K147" s="173">
        <f t="shared" si="8"/>
        <v>14.80254953</v>
      </c>
      <c r="L147" s="174">
        <f t="shared" si="9"/>
        <v>18.30184828</v>
      </c>
      <c r="M147" s="175" t="str">
        <f t="shared" si="10"/>
        <v>akrtws</v>
      </c>
      <c r="N147" s="176">
        <f>IFERROR(__xludf.DUMMYFUNCTION("""COMPUTED_VALUE"""),1.0)</f>
        <v>1</v>
      </c>
      <c r="O147" s="176"/>
      <c r="P147" s="183" t="s">
        <v>9</v>
      </c>
      <c r="Q147" s="178" t="s">
        <v>10</v>
      </c>
      <c r="R147" s="176"/>
      <c r="S147" s="176"/>
      <c r="T147" s="176"/>
      <c r="U147" s="176"/>
      <c r="V147" s="176"/>
      <c r="W147" s="176"/>
      <c r="X147" s="176"/>
      <c r="Y147" s="176"/>
      <c r="Z147" s="176"/>
      <c r="AA147" s="176"/>
    </row>
    <row r="148">
      <c r="A148" s="165" t="str">
        <f>iferror(VLOOKUP(P148,'DO NOT TOUCH Imported'!$A$1:$D$800,4,False),iferror(VLOOKUP(P148,'DO NOT TOUCH Imported'!$C$1:$D$800,2,False),"OOPS FIX ME"))</f>
        <v>akrtws</v>
      </c>
      <c r="B148" s="178" t="s">
        <v>18</v>
      </c>
      <c r="C148" s="179" t="s">
        <v>507</v>
      </c>
      <c r="D148" s="180" t="s">
        <v>495</v>
      </c>
      <c r="E148" s="181">
        <v>44319.0</v>
      </c>
      <c r="F148" s="182" t="s">
        <v>499</v>
      </c>
      <c r="G148" s="170">
        <v>1500.0</v>
      </c>
      <c r="H148" s="171">
        <v>500.0</v>
      </c>
      <c r="I148" s="171">
        <v>100.0</v>
      </c>
      <c r="J148" s="172">
        <f t="shared" si="7"/>
        <v>0.00205254741</v>
      </c>
      <c r="K148" s="173">
        <f t="shared" si="8"/>
        <v>2.463056892</v>
      </c>
      <c r="L148" s="174">
        <f t="shared" si="9"/>
        <v>18.30184828</v>
      </c>
      <c r="M148" s="175" t="str">
        <f t="shared" si="10"/>
        <v>akrtws</v>
      </c>
      <c r="N148" s="176">
        <f>IFERROR(__xludf.DUMMYFUNCTION("""COMPUTED_VALUE"""),2.0)</f>
        <v>2</v>
      </c>
      <c r="O148" s="176"/>
      <c r="P148" s="183" t="s">
        <v>9</v>
      </c>
      <c r="Q148" s="178" t="s">
        <v>18</v>
      </c>
      <c r="R148" s="176"/>
      <c r="S148" s="176"/>
      <c r="T148" s="176"/>
      <c r="U148" s="176"/>
      <c r="V148" s="176"/>
      <c r="W148" s="176"/>
      <c r="X148" s="176"/>
      <c r="Y148" s="176"/>
      <c r="Z148" s="176"/>
      <c r="AA148" s="176"/>
    </row>
    <row r="149">
      <c r="A149" s="165" t="str">
        <f>iferror(VLOOKUP(P149,'DO NOT TOUCH Imported'!$A$1:$D$800,4,False),iferror(VLOOKUP(P149,'DO NOT TOUCH Imported'!$C$1:$D$800,2,False),"OOPS FIX ME"))</f>
        <v>akrtws</v>
      </c>
      <c r="B149" s="178" t="s">
        <v>10</v>
      </c>
      <c r="C149" s="179" t="s">
        <v>498</v>
      </c>
      <c r="D149" s="180" t="s">
        <v>495</v>
      </c>
      <c r="E149" s="184">
        <v>44316.0</v>
      </c>
      <c r="F149" s="182" t="s">
        <v>499</v>
      </c>
      <c r="G149" s="170">
        <v>500.0</v>
      </c>
      <c r="H149" s="171">
        <v>25.0</v>
      </c>
      <c r="I149" s="171">
        <v>100.0</v>
      </c>
      <c r="J149" s="172">
        <f t="shared" si="7"/>
        <v>0.0004317674408</v>
      </c>
      <c r="K149" s="173">
        <f t="shared" si="8"/>
        <v>0.518120929</v>
      </c>
      <c r="L149" s="174">
        <f t="shared" si="9"/>
        <v>18.30184828</v>
      </c>
      <c r="M149" s="175" t="str">
        <f t="shared" si="10"/>
        <v>akrtws</v>
      </c>
      <c r="N149" s="176">
        <f>IFERROR(__xludf.DUMMYFUNCTION("""COMPUTED_VALUE"""),3.0)</f>
        <v>3</v>
      </c>
      <c r="O149" s="176"/>
      <c r="P149" s="183" t="s">
        <v>9</v>
      </c>
      <c r="Q149" s="178" t="s">
        <v>10</v>
      </c>
      <c r="R149" s="176"/>
      <c r="S149" s="176"/>
      <c r="T149" s="176"/>
      <c r="U149" s="176"/>
      <c r="V149" s="176"/>
      <c r="W149" s="176"/>
      <c r="X149" s="176"/>
      <c r="Y149" s="176"/>
      <c r="Z149" s="176"/>
      <c r="AA149" s="176"/>
    </row>
    <row r="150">
      <c r="A150" s="165" t="str">
        <f>iferror(VLOOKUP(P150,'DO NOT TOUCH Imported'!$A$1:$D$800,4,False),iferror(VLOOKUP(P150,'DO NOT TOUCH Imported'!$C$1:$D$800,2,False),"OOPS FIX ME"))</f>
        <v>akrtws</v>
      </c>
      <c r="B150" s="178" t="s">
        <v>10</v>
      </c>
      <c r="C150" s="179" t="s">
        <v>498</v>
      </c>
      <c r="D150" s="180" t="s">
        <v>495</v>
      </c>
      <c r="E150" s="181">
        <v>44323.0</v>
      </c>
      <c r="F150" s="182" t="s">
        <v>499</v>
      </c>
      <c r="G150" s="170">
        <v>500.0</v>
      </c>
      <c r="H150" s="171">
        <v>25.0</v>
      </c>
      <c r="I150" s="171">
        <v>100.0</v>
      </c>
      <c r="J150" s="172">
        <f t="shared" si="7"/>
        <v>0.0004317674408</v>
      </c>
      <c r="K150" s="173">
        <f t="shared" si="8"/>
        <v>0.518120929</v>
      </c>
      <c r="L150" s="174">
        <f t="shared" si="9"/>
        <v>18.30184828</v>
      </c>
      <c r="M150" s="175" t="str">
        <f t="shared" si="10"/>
        <v>akrtws</v>
      </c>
      <c r="N150" s="176">
        <f>IFERROR(__xludf.DUMMYFUNCTION("""COMPUTED_VALUE"""),4.0)</f>
        <v>4</v>
      </c>
      <c r="O150" s="176"/>
      <c r="P150" s="183" t="s">
        <v>9</v>
      </c>
      <c r="Q150" s="178" t="s">
        <v>10</v>
      </c>
      <c r="R150" s="176"/>
      <c r="S150" s="176"/>
      <c r="T150" s="176"/>
      <c r="U150" s="176"/>
      <c r="V150" s="176"/>
      <c r="W150" s="176"/>
      <c r="X150" s="176"/>
      <c r="Y150" s="176"/>
      <c r="Z150" s="176"/>
      <c r="AA150" s="176"/>
    </row>
    <row r="151">
      <c r="A151" s="165" t="str">
        <f>iferror(VLOOKUP(P151,'DO NOT TOUCH Imported'!$A$1:$D$800,4,False),iferror(VLOOKUP(P151,'DO NOT TOUCH Imported'!$C$1:$D$800,2,False),"OOPS FIX ME"))</f>
        <v>heater03</v>
      </c>
      <c r="B151" s="166" t="s">
        <v>441</v>
      </c>
      <c r="C151" s="167" t="s">
        <v>585</v>
      </c>
      <c r="D151" s="168" t="s">
        <v>437</v>
      </c>
      <c r="E151" s="177" t="s">
        <v>447</v>
      </c>
      <c r="F151" s="168" t="s">
        <v>439</v>
      </c>
      <c r="G151" s="170">
        <v>20000.0</v>
      </c>
      <c r="H151" s="171">
        <v>200.0</v>
      </c>
      <c r="I151" s="171">
        <v>100.0</v>
      </c>
      <c r="J151" s="172">
        <f t="shared" si="7"/>
        <v>0.003026138677</v>
      </c>
      <c r="K151" s="173">
        <f t="shared" si="8"/>
        <v>3.631366412</v>
      </c>
      <c r="L151" s="174">
        <f t="shared" si="9"/>
        <v>16.59866949</v>
      </c>
      <c r="M151" s="175" t="str">
        <f t="shared" si="10"/>
        <v>heater03</v>
      </c>
      <c r="N151" s="176">
        <f>IFERROR(__xludf.DUMMYFUNCTION("""COMPUTED_VALUE"""),1.0)</f>
        <v>1</v>
      </c>
      <c r="O151" s="176"/>
      <c r="P151" s="166" t="s">
        <v>586</v>
      </c>
      <c r="Q151" s="166" t="s">
        <v>441</v>
      </c>
      <c r="R151" s="176"/>
      <c r="S151" s="176"/>
      <c r="T151" s="176"/>
      <c r="U151" s="176"/>
      <c r="V151" s="176"/>
      <c r="W151" s="176"/>
      <c r="X151" s="176"/>
      <c r="Y151" s="176"/>
      <c r="Z151" s="176"/>
      <c r="AA151" s="176"/>
    </row>
    <row r="152">
      <c r="A152" s="165" t="str">
        <f>iferror(VLOOKUP(P152,'DO NOT TOUCH Imported'!$A$1:$D$800,4,False),iferror(VLOOKUP(P152,'DO NOT TOUCH Imported'!$C$1:$D$800,2,False),"OOPS FIX ME"))</f>
        <v>heater03</v>
      </c>
      <c r="B152" s="166" t="s">
        <v>441</v>
      </c>
      <c r="C152" s="167" t="s">
        <v>587</v>
      </c>
      <c r="D152" s="168" t="s">
        <v>437</v>
      </c>
      <c r="E152" s="177" t="s">
        <v>438</v>
      </c>
      <c r="F152" s="168" t="s">
        <v>439</v>
      </c>
      <c r="G152" s="170">
        <v>10000.0</v>
      </c>
      <c r="H152" s="171">
        <v>100.0</v>
      </c>
      <c r="I152" s="171">
        <v>100.0</v>
      </c>
      <c r="J152" s="172">
        <f t="shared" si="7"/>
        <v>0.001662949434</v>
      </c>
      <c r="K152" s="173">
        <f t="shared" si="8"/>
        <v>1.995539321</v>
      </c>
      <c r="L152" s="174">
        <f t="shared" si="9"/>
        <v>16.59866949</v>
      </c>
      <c r="M152" s="175" t="str">
        <f t="shared" si="10"/>
        <v>heater03</v>
      </c>
      <c r="N152" s="176">
        <f>IFERROR(__xludf.DUMMYFUNCTION("""COMPUTED_VALUE"""),2.0)</f>
        <v>2</v>
      </c>
      <c r="O152" s="176"/>
      <c r="P152" s="166" t="s">
        <v>586</v>
      </c>
      <c r="Q152" s="166" t="s">
        <v>441</v>
      </c>
      <c r="R152" s="176"/>
      <c r="S152" s="176"/>
      <c r="T152" s="176"/>
      <c r="U152" s="176"/>
      <c r="V152" s="176"/>
      <c r="W152" s="176"/>
      <c r="X152" s="176"/>
      <c r="Y152" s="176"/>
      <c r="Z152" s="176"/>
      <c r="AA152" s="176"/>
    </row>
    <row r="153">
      <c r="A153" s="165" t="str">
        <f>iferror(VLOOKUP(P153,'DO NOT TOUCH Imported'!$A$1:$D$800,4,False),iferror(VLOOKUP(P153,'DO NOT TOUCH Imported'!$C$1:$D$800,2,False),"OOPS FIX ME"))</f>
        <v>heater03</v>
      </c>
      <c r="B153" s="166" t="s">
        <v>441</v>
      </c>
      <c r="C153" s="167" t="s">
        <v>588</v>
      </c>
      <c r="D153" s="168" t="s">
        <v>437</v>
      </c>
      <c r="E153" s="177" t="s">
        <v>447</v>
      </c>
      <c r="F153" s="168" t="s">
        <v>439</v>
      </c>
      <c r="G153" s="170">
        <v>1000.0</v>
      </c>
      <c r="H153" s="171">
        <v>200.0</v>
      </c>
      <c r="I153" s="171">
        <v>200.0</v>
      </c>
      <c r="J153" s="172">
        <f t="shared" si="7"/>
        <v>0.001342393283</v>
      </c>
      <c r="K153" s="173">
        <f t="shared" si="8"/>
        <v>1.61087194</v>
      </c>
      <c r="L153" s="174">
        <f t="shared" si="9"/>
        <v>16.59866949</v>
      </c>
      <c r="M153" s="175" t="str">
        <f t="shared" si="10"/>
        <v>heater03</v>
      </c>
      <c r="N153" s="176">
        <f>IFERROR(__xludf.DUMMYFUNCTION("""COMPUTED_VALUE"""),3.0)</f>
        <v>3</v>
      </c>
      <c r="O153" s="176"/>
      <c r="P153" s="166" t="s">
        <v>586</v>
      </c>
      <c r="Q153" s="166" t="s">
        <v>441</v>
      </c>
      <c r="R153" s="176"/>
      <c r="S153" s="176"/>
      <c r="T153" s="176"/>
      <c r="U153" s="176"/>
      <c r="V153" s="176"/>
      <c r="W153" s="176"/>
      <c r="X153" s="176"/>
      <c r="Y153" s="176"/>
      <c r="Z153" s="176"/>
      <c r="AA153" s="176"/>
    </row>
    <row r="154">
      <c r="A154" s="165" t="str">
        <f>iferror(VLOOKUP(P154,'DO NOT TOUCH Imported'!$A$1:$D$800,4,False),iferror(VLOOKUP(P154,'DO NOT TOUCH Imported'!$C$1:$D$800,2,False),"OOPS FIX ME"))</f>
        <v>heater03</v>
      </c>
      <c r="B154" s="166" t="s">
        <v>566</v>
      </c>
      <c r="C154" s="167" t="s">
        <v>589</v>
      </c>
      <c r="D154" s="168" t="s">
        <v>499</v>
      </c>
      <c r="E154" s="169" t="s">
        <v>452</v>
      </c>
      <c r="F154" s="168" t="s">
        <v>503</v>
      </c>
      <c r="G154" s="170">
        <v>1000.0</v>
      </c>
      <c r="H154" s="171">
        <v>200.0</v>
      </c>
      <c r="I154" s="171">
        <v>200.0</v>
      </c>
      <c r="J154" s="172">
        <f t="shared" si="7"/>
        <v>0.001342393283</v>
      </c>
      <c r="K154" s="173">
        <f t="shared" si="8"/>
        <v>1.61087194</v>
      </c>
      <c r="L154" s="174">
        <f t="shared" si="9"/>
        <v>16.59866949</v>
      </c>
      <c r="M154" s="175" t="str">
        <f t="shared" si="10"/>
        <v>heater03</v>
      </c>
      <c r="N154" s="176">
        <f>IFERROR(__xludf.DUMMYFUNCTION("""COMPUTED_VALUE"""),4.0)</f>
        <v>4</v>
      </c>
      <c r="O154" s="176"/>
      <c r="P154" s="166" t="s">
        <v>586</v>
      </c>
      <c r="Q154" s="166" t="s">
        <v>566</v>
      </c>
      <c r="R154" s="176"/>
      <c r="S154" s="176"/>
      <c r="T154" s="176"/>
      <c r="U154" s="176"/>
      <c r="V154" s="176"/>
      <c r="W154" s="176"/>
      <c r="X154" s="176"/>
      <c r="Y154" s="176"/>
      <c r="Z154" s="176"/>
      <c r="AA154" s="176"/>
    </row>
    <row r="155">
      <c r="A155" s="165" t="str">
        <f>iferror(VLOOKUP(P155,'DO NOT TOUCH Imported'!$A$1:$D$800,4,False),iferror(VLOOKUP(P155,'DO NOT TOUCH Imported'!$C$1:$D$800,2,False),"OOPS FIX ME"))</f>
        <v>heater03</v>
      </c>
      <c r="B155" s="178" t="s">
        <v>590</v>
      </c>
      <c r="C155" s="179" t="s">
        <v>591</v>
      </c>
      <c r="D155" s="180" t="s">
        <v>495</v>
      </c>
      <c r="E155" s="181">
        <v>44321.0</v>
      </c>
      <c r="F155" s="182" t="s">
        <v>592</v>
      </c>
      <c r="G155" s="170">
        <v>2500.0</v>
      </c>
      <c r="H155" s="171">
        <v>200.0</v>
      </c>
      <c r="I155" s="171">
        <v>100.0</v>
      </c>
      <c r="J155" s="172">
        <f t="shared" si="7"/>
        <v>0.001199225638</v>
      </c>
      <c r="K155" s="173">
        <f t="shared" si="8"/>
        <v>1.439070765</v>
      </c>
      <c r="L155" s="174">
        <f t="shared" si="9"/>
        <v>16.59866949</v>
      </c>
      <c r="M155" s="175" t="str">
        <f t="shared" si="10"/>
        <v>heater03</v>
      </c>
      <c r="N155" s="176">
        <f>IFERROR(__xludf.DUMMYFUNCTION("""COMPUTED_VALUE"""),5.0)</f>
        <v>5</v>
      </c>
      <c r="O155" s="176"/>
      <c r="P155" s="183" t="s">
        <v>58</v>
      </c>
      <c r="Q155" s="178" t="s">
        <v>590</v>
      </c>
      <c r="R155" s="176"/>
      <c r="S155" s="176"/>
      <c r="T155" s="176"/>
      <c r="U155" s="176"/>
      <c r="V155" s="176"/>
      <c r="W155" s="176"/>
      <c r="X155" s="176"/>
      <c r="Y155" s="176"/>
      <c r="Z155" s="176"/>
      <c r="AA155" s="176"/>
    </row>
    <row r="156">
      <c r="A156" s="165" t="str">
        <f>iferror(VLOOKUP(P156,'DO NOT TOUCH Imported'!$A$1:$D$800,4,False),iferror(VLOOKUP(P156,'DO NOT TOUCH Imported'!$C$1:$D$800,2,False),"OOPS FIX ME"))</f>
        <v>heater03</v>
      </c>
      <c r="B156" s="166" t="s">
        <v>566</v>
      </c>
      <c r="C156" s="167" t="s">
        <v>593</v>
      </c>
      <c r="D156" s="168" t="s">
        <v>499</v>
      </c>
      <c r="E156" s="169" t="s">
        <v>452</v>
      </c>
      <c r="F156" s="168" t="s">
        <v>503</v>
      </c>
      <c r="G156" s="170">
        <v>1000.0</v>
      </c>
      <c r="H156" s="171">
        <v>150.0</v>
      </c>
      <c r="I156" s="171">
        <v>200.0</v>
      </c>
      <c r="J156" s="172">
        <f t="shared" si="7"/>
        <v>0.001182773816</v>
      </c>
      <c r="K156" s="173">
        <f t="shared" si="8"/>
        <v>1.419328579</v>
      </c>
      <c r="L156" s="174">
        <f t="shared" si="9"/>
        <v>16.59866949</v>
      </c>
      <c r="M156" s="175" t="str">
        <f t="shared" si="10"/>
        <v>heater03</v>
      </c>
      <c r="N156" s="176">
        <f>IFERROR(__xludf.DUMMYFUNCTION("""COMPUTED_VALUE"""),6.0)</f>
        <v>6</v>
      </c>
      <c r="O156" s="176"/>
      <c r="P156" s="166" t="s">
        <v>586</v>
      </c>
      <c r="Q156" s="166" t="s">
        <v>566</v>
      </c>
      <c r="R156" s="176"/>
      <c r="S156" s="176"/>
      <c r="T156" s="176"/>
      <c r="U156" s="176"/>
      <c r="V156" s="176"/>
      <c r="W156" s="176"/>
      <c r="X156" s="176"/>
      <c r="Y156" s="176"/>
      <c r="Z156" s="176"/>
      <c r="AA156" s="176"/>
    </row>
    <row r="157">
      <c r="A157" s="165" t="str">
        <f>iferror(VLOOKUP(P157,'DO NOT TOUCH Imported'!$A$1:$D$800,4,False),iferror(VLOOKUP(P157,'DO NOT TOUCH Imported'!$C$1:$D$800,2,False),"OOPS FIX ME"))</f>
        <v>heater03</v>
      </c>
      <c r="B157" s="166" t="s">
        <v>525</v>
      </c>
      <c r="C157" s="167" t="s">
        <v>526</v>
      </c>
      <c r="D157" s="168" t="s">
        <v>437</v>
      </c>
      <c r="E157" s="177" t="s">
        <v>455</v>
      </c>
      <c r="F157" s="168" t="s">
        <v>439</v>
      </c>
      <c r="G157" s="170">
        <v>1000.0</v>
      </c>
      <c r="H157" s="171">
        <v>100.0</v>
      </c>
      <c r="I157" s="171">
        <v>200.0</v>
      </c>
      <c r="J157" s="172">
        <f t="shared" si="7"/>
        <v>0.001023154349</v>
      </c>
      <c r="K157" s="173">
        <f t="shared" si="8"/>
        <v>1.227785219</v>
      </c>
      <c r="L157" s="174">
        <f t="shared" si="9"/>
        <v>16.59866949</v>
      </c>
      <c r="M157" s="175" t="str">
        <f t="shared" si="10"/>
        <v>heater03</v>
      </c>
      <c r="N157" s="209">
        <f>IFERROR(__xludf.DUMMYFUNCTION("""COMPUTED_VALUE"""),7.0)</f>
        <v>7</v>
      </c>
      <c r="O157" s="209"/>
      <c r="P157" s="166" t="s">
        <v>586</v>
      </c>
      <c r="Q157" s="166" t="s">
        <v>525</v>
      </c>
      <c r="R157" s="209"/>
      <c r="S157" s="209"/>
      <c r="T157" s="209"/>
      <c r="U157" s="209"/>
      <c r="V157" s="209"/>
      <c r="W157" s="209"/>
      <c r="X157" s="209"/>
      <c r="Y157" s="209"/>
      <c r="Z157" s="209"/>
      <c r="AA157" s="209"/>
    </row>
    <row r="158">
      <c r="A158" s="165" t="str">
        <f>iferror(VLOOKUP(P158,'DO NOT TOUCH Imported'!$A$1:$D$800,4,False),iferror(VLOOKUP(P158,'DO NOT TOUCH Imported'!$C$1:$D$800,2,False),"OOPS FIX ME"))</f>
        <v>heater03</v>
      </c>
      <c r="B158" s="166" t="s">
        <v>564</v>
      </c>
      <c r="C158" s="167" t="s">
        <v>594</v>
      </c>
      <c r="D158" s="168" t="s">
        <v>499</v>
      </c>
      <c r="E158" s="169" t="s">
        <v>452</v>
      </c>
      <c r="F158" s="168" t="s">
        <v>503</v>
      </c>
      <c r="G158" s="170">
        <v>1000.0</v>
      </c>
      <c r="H158" s="171">
        <v>150.0</v>
      </c>
      <c r="I158" s="171">
        <v>100.0</v>
      </c>
      <c r="J158" s="172">
        <f t="shared" si="7"/>
        <v>0.0008830136242</v>
      </c>
      <c r="K158" s="173">
        <f t="shared" si="8"/>
        <v>1.059616349</v>
      </c>
      <c r="L158" s="174">
        <f t="shared" si="9"/>
        <v>16.59866949</v>
      </c>
      <c r="M158" s="175" t="str">
        <f t="shared" si="10"/>
        <v>heater03</v>
      </c>
      <c r="N158" s="176">
        <f>IFERROR(__xludf.DUMMYFUNCTION("""COMPUTED_VALUE"""),8.0)</f>
        <v>8</v>
      </c>
      <c r="O158" s="176"/>
      <c r="P158" s="166" t="s">
        <v>586</v>
      </c>
      <c r="Q158" s="166" t="s">
        <v>564</v>
      </c>
      <c r="R158" s="176"/>
      <c r="S158" s="176"/>
      <c r="T158" s="176"/>
      <c r="U158" s="176"/>
      <c r="V158" s="176"/>
      <c r="W158" s="176"/>
      <c r="X158" s="176"/>
      <c r="Y158" s="176"/>
      <c r="Z158" s="176"/>
      <c r="AA158" s="176"/>
    </row>
    <row r="159">
      <c r="A159" s="165" t="str">
        <f>iferror(VLOOKUP(P159,'DO NOT TOUCH Imported'!$A$1:$D$800,4,False),iferror(VLOOKUP(P159,'DO NOT TOUCH Imported'!$C$1:$D$800,2,False),"OOPS FIX ME"))</f>
        <v>heater03</v>
      </c>
      <c r="B159" s="166" t="s">
        <v>463</v>
      </c>
      <c r="C159" s="167" t="s">
        <v>464</v>
      </c>
      <c r="D159" s="168" t="s">
        <v>437</v>
      </c>
      <c r="E159" s="177" t="s">
        <v>445</v>
      </c>
      <c r="F159" s="168" t="s">
        <v>439</v>
      </c>
      <c r="G159" s="170">
        <v>1000.0</v>
      </c>
      <c r="H159" s="171">
        <v>100.0</v>
      </c>
      <c r="I159" s="171">
        <v>100.0</v>
      </c>
      <c r="J159" s="172">
        <f t="shared" si="7"/>
        <v>0.000723394157</v>
      </c>
      <c r="K159" s="173">
        <f t="shared" si="8"/>
        <v>0.8680729884</v>
      </c>
      <c r="L159" s="174">
        <f t="shared" si="9"/>
        <v>16.59866949</v>
      </c>
      <c r="M159" s="175" t="str">
        <f t="shared" si="10"/>
        <v>heater03</v>
      </c>
      <c r="N159" s="176">
        <f>IFERROR(__xludf.DUMMYFUNCTION("""COMPUTED_VALUE"""),9.0)</f>
        <v>9</v>
      </c>
      <c r="O159" s="176"/>
      <c r="P159" s="166" t="s">
        <v>586</v>
      </c>
      <c r="Q159" s="166" t="s">
        <v>463</v>
      </c>
      <c r="R159" s="176"/>
      <c r="S159" s="176"/>
      <c r="T159" s="176"/>
      <c r="U159" s="176"/>
      <c r="V159" s="176"/>
      <c r="W159" s="176"/>
      <c r="X159" s="176"/>
      <c r="Y159" s="176"/>
      <c r="Z159" s="176"/>
      <c r="AA159" s="176"/>
    </row>
    <row r="160">
      <c r="A160" s="165" t="str">
        <f>iferror(VLOOKUP(P160,'DO NOT TOUCH Imported'!$A$1:$D$800,4,False),iferror(VLOOKUP(P160,'DO NOT TOUCH Imported'!$C$1:$D$800,2,False),"OOPS FIX ME"))</f>
        <v>heater03</v>
      </c>
      <c r="B160" s="166" t="s">
        <v>463</v>
      </c>
      <c r="C160" s="167" t="s">
        <v>595</v>
      </c>
      <c r="D160" s="168" t="s">
        <v>437</v>
      </c>
      <c r="E160" s="177" t="s">
        <v>445</v>
      </c>
      <c r="F160" s="168" t="s">
        <v>439</v>
      </c>
      <c r="G160" s="170">
        <v>1000.0</v>
      </c>
      <c r="H160" s="171">
        <v>100.0</v>
      </c>
      <c r="I160" s="171">
        <v>100.0</v>
      </c>
      <c r="J160" s="172">
        <f t="shared" si="7"/>
        <v>0.000723394157</v>
      </c>
      <c r="K160" s="173">
        <f t="shared" si="8"/>
        <v>0.8680729884</v>
      </c>
      <c r="L160" s="174">
        <f t="shared" si="9"/>
        <v>16.59866949</v>
      </c>
      <c r="M160" s="175" t="str">
        <f t="shared" si="10"/>
        <v>heater03</v>
      </c>
      <c r="N160" s="176">
        <f>IFERROR(__xludf.DUMMYFUNCTION("""COMPUTED_VALUE"""),10.0)</f>
        <v>10</v>
      </c>
      <c r="O160" s="176"/>
      <c r="P160" s="166" t="s">
        <v>586</v>
      </c>
      <c r="Q160" s="166" t="s">
        <v>463</v>
      </c>
      <c r="R160" s="176"/>
      <c r="S160" s="176"/>
      <c r="T160" s="176"/>
      <c r="U160" s="176"/>
      <c r="V160" s="176"/>
      <c r="W160" s="176"/>
      <c r="X160" s="176"/>
      <c r="Y160" s="176"/>
      <c r="Z160" s="176"/>
      <c r="AA160" s="176"/>
    </row>
    <row r="161">
      <c r="A161" s="165" t="str">
        <f>iferror(VLOOKUP(P161,'DO NOT TOUCH Imported'!$A$1:$D$800,4,False),iferror(VLOOKUP(P161,'DO NOT TOUCH Imported'!$C$1:$D$800,2,False),"OOPS FIX ME"))</f>
        <v>heater03</v>
      </c>
      <c r="B161" s="166" t="s">
        <v>441</v>
      </c>
      <c r="C161" s="167" t="s">
        <v>559</v>
      </c>
      <c r="D161" s="168" t="s">
        <v>437</v>
      </c>
      <c r="E161" s="177" t="s">
        <v>438</v>
      </c>
      <c r="F161" s="168" t="s">
        <v>439</v>
      </c>
      <c r="G161" s="170">
        <v>1000.0</v>
      </c>
      <c r="H161" s="171">
        <v>100.0</v>
      </c>
      <c r="I161" s="171">
        <v>100.0</v>
      </c>
      <c r="J161" s="172">
        <f t="shared" si="7"/>
        <v>0.000723394157</v>
      </c>
      <c r="K161" s="173">
        <f t="shared" si="8"/>
        <v>0.8680729884</v>
      </c>
      <c r="L161" s="174">
        <f t="shared" si="9"/>
        <v>16.59866949</v>
      </c>
      <c r="M161" s="175" t="str">
        <f t="shared" si="10"/>
        <v>heater03</v>
      </c>
      <c r="N161" s="176">
        <f>IFERROR(__xludf.DUMMYFUNCTION("""COMPUTED_VALUE"""),11.0)</f>
        <v>11</v>
      </c>
      <c r="O161" s="176"/>
      <c r="P161" s="166" t="s">
        <v>586</v>
      </c>
      <c r="Q161" s="166" t="s">
        <v>441</v>
      </c>
      <c r="R161" s="176"/>
      <c r="S161" s="176"/>
      <c r="T161" s="176"/>
      <c r="U161" s="176"/>
      <c r="V161" s="176"/>
      <c r="W161" s="176"/>
      <c r="X161" s="176"/>
      <c r="Y161" s="176"/>
      <c r="Z161" s="176"/>
      <c r="AA161" s="176"/>
    </row>
    <row r="162">
      <c r="A162" s="165" t="str">
        <f>iferror(VLOOKUP(P162,'DO NOT TOUCH Imported'!$A$1:$D$800,4,False),iferror(VLOOKUP(P162,'DO NOT TOUCH Imported'!$C$1:$D$800,2,False),"OOPS FIX ME"))</f>
        <v>BlairV</v>
      </c>
      <c r="B162" s="166" t="s">
        <v>596</v>
      </c>
      <c r="C162" s="167" t="s">
        <v>597</v>
      </c>
      <c r="D162" s="168" t="s">
        <v>437</v>
      </c>
      <c r="E162" s="169" t="s">
        <v>438</v>
      </c>
      <c r="F162" s="168" t="s">
        <v>439</v>
      </c>
      <c r="G162" s="170">
        <v>20000.0</v>
      </c>
      <c r="H162" s="171">
        <v>200.0</v>
      </c>
      <c r="I162" s="171">
        <v>200.0</v>
      </c>
      <c r="J162" s="172">
        <f t="shared" si="7"/>
        <v>0.003325898868</v>
      </c>
      <c r="K162" s="173">
        <f t="shared" si="8"/>
        <v>3.991078642</v>
      </c>
      <c r="L162" s="174">
        <f t="shared" si="9"/>
        <v>16.15361151</v>
      </c>
      <c r="M162" s="175" t="str">
        <f t="shared" si="10"/>
        <v>BlairV</v>
      </c>
      <c r="N162" s="176">
        <f>IFERROR(__xludf.DUMMYFUNCTION("""COMPUTED_VALUE"""),1.0)</f>
        <v>1</v>
      </c>
      <c r="O162" s="176"/>
      <c r="P162" s="166" t="s">
        <v>525</v>
      </c>
      <c r="Q162" s="166" t="s">
        <v>596</v>
      </c>
      <c r="R162" s="176"/>
      <c r="S162" s="176"/>
      <c r="T162" s="176"/>
      <c r="U162" s="176"/>
      <c r="V162" s="176"/>
      <c r="W162" s="176"/>
      <c r="X162" s="176"/>
      <c r="Y162" s="176"/>
      <c r="Z162" s="176"/>
      <c r="AA162" s="176"/>
    </row>
    <row r="163">
      <c r="A163" s="165" t="str">
        <f>iferror(VLOOKUP(P163,'DO NOT TOUCH Imported'!$A$1:$D$800,4,False),iferror(VLOOKUP(P163,'DO NOT TOUCH Imported'!$C$1:$D$800,2,False),"OOPS FIX ME"))</f>
        <v>BlairV</v>
      </c>
      <c r="B163" s="166" t="s">
        <v>441</v>
      </c>
      <c r="C163" s="167" t="s">
        <v>585</v>
      </c>
      <c r="D163" s="168" t="s">
        <v>437</v>
      </c>
      <c r="E163" s="177" t="s">
        <v>447</v>
      </c>
      <c r="F163" s="168" t="s">
        <v>439</v>
      </c>
      <c r="G163" s="170">
        <v>20000.0</v>
      </c>
      <c r="H163" s="171">
        <v>200.0</v>
      </c>
      <c r="I163" s="171">
        <v>100.0</v>
      </c>
      <c r="J163" s="172">
        <f t="shared" si="7"/>
        <v>0.003026138677</v>
      </c>
      <c r="K163" s="173">
        <f t="shared" si="8"/>
        <v>3.631366412</v>
      </c>
      <c r="L163" s="174">
        <f t="shared" si="9"/>
        <v>16.15361151</v>
      </c>
      <c r="M163" s="175" t="str">
        <f t="shared" si="10"/>
        <v>BlairV</v>
      </c>
      <c r="N163" s="176">
        <f>IFERROR(__xludf.DUMMYFUNCTION("""COMPUTED_VALUE"""),2.0)</f>
        <v>2</v>
      </c>
      <c r="O163" s="176"/>
      <c r="P163" s="166" t="s">
        <v>525</v>
      </c>
      <c r="Q163" s="166" t="s">
        <v>441</v>
      </c>
      <c r="R163" s="176"/>
      <c r="S163" s="176"/>
      <c r="T163" s="176"/>
      <c r="U163" s="176"/>
      <c r="V163" s="176"/>
      <c r="W163" s="176"/>
      <c r="X163" s="176"/>
      <c r="Y163" s="176"/>
      <c r="Z163" s="176"/>
      <c r="AA163" s="176"/>
    </row>
    <row r="164">
      <c r="A164" s="165" t="str">
        <f>iferror(VLOOKUP(P164,'DO NOT TOUCH Imported'!$A$1:$D$800,4,False),iferror(VLOOKUP(P164,'DO NOT TOUCH Imported'!$C$1:$D$800,2,False),"OOPS FIX ME"))</f>
        <v>BlairV</v>
      </c>
      <c r="B164" s="166" t="s">
        <v>441</v>
      </c>
      <c r="C164" s="167" t="s">
        <v>587</v>
      </c>
      <c r="D164" s="168" t="s">
        <v>437</v>
      </c>
      <c r="E164" s="177" t="s">
        <v>438</v>
      </c>
      <c r="F164" s="168" t="s">
        <v>439</v>
      </c>
      <c r="G164" s="170">
        <v>10000.0</v>
      </c>
      <c r="H164" s="171">
        <v>100.0</v>
      </c>
      <c r="I164" s="171">
        <v>100.0</v>
      </c>
      <c r="J164" s="172">
        <f t="shared" si="7"/>
        <v>0.001662949434</v>
      </c>
      <c r="K164" s="173">
        <f t="shared" si="8"/>
        <v>1.995539321</v>
      </c>
      <c r="L164" s="174">
        <f t="shared" si="9"/>
        <v>16.15361151</v>
      </c>
      <c r="M164" s="175" t="str">
        <f t="shared" si="10"/>
        <v>BlairV</v>
      </c>
      <c r="N164" s="176">
        <f>IFERROR(__xludf.DUMMYFUNCTION("""COMPUTED_VALUE"""),3.0)</f>
        <v>3</v>
      </c>
      <c r="O164" s="176"/>
      <c r="P164" s="166" t="s">
        <v>525</v>
      </c>
      <c r="Q164" s="166" t="s">
        <v>441</v>
      </c>
      <c r="R164" s="176"/>
      <c r="S164" s="176"/>
      <c r="T164" s="176"/>
      <c r="U164" s="176"/>
      <c r="V164" s="176"/>
      <c r="W164" s="176"/>
      <c r="X164" s="176"/>
      <c r="Y164" s="176"/>
      <c r="Z164" s="176"/>
      <c r="AA164" s="176"/>
    </row>
    <row r="165">
      <c r="A165" s="165" t="str">
        <f>iferror(VLOOKUP(P165,'DO NOT TOUCH Imported'!$A$1:$D$800,4,False),iferror(VLOOKUP(P165,'DO NOT TOUCH Imported'!$C$1:$D$800,2,False),"OOPS FIX ME"))</f>
        <v>BlairV</v>
      </c>
      <c r="B165" s="166" t="s">
        <v>441</v>
      </c>
      <c r="C165" s="167" t="s">
        <v>588</v>
      </c>
      <c r="D165" s="168" t="s">
        <v>437</v>
      </c>
      <c r="E165" s="177" t="s">
        <v>447</v>
      </c>
      <c r="F165" s="168" t="s">
        <v>439</v>
      </c>
      <c r="G165" s="170">
        <v>1000.0</v>
      </c>
      <c r="H165" s="171">
        <v>200.0</v>
      </c>
      <c r="I165" s="171">
        <v>200.0</v>
      </c>
      <c r="J165" s="172">
        <f t="shared" si="7"/>
        <v>0.001342393283</v>
      </c>
      <c r="K165" s="173">
        <f t="shared" si="8"/>
        <v>1.61087194</v>
      </c>
      <c r="L165" s="174">
        <f t="shared" si="9"/>
        <v>16.15361151</v>
      </c>
      <c r="M165" s="175" t="str">
        <f t="shared" si="10"/>
        <v>BlairV</v>
      </c>
      <c r="N165" s="176">
        <f>IFERROR(__xludf.DUMMYFUNCTION("""COMPUTED_VALUE"""),4.0)</f>
        <v>4</v>
      </c>
      <c r="O165" s="176"/>
      <c r="P165" s="166" t="s">
        <v>525</v>
      </c>
      <c r="Q165" s="166" t="s">
        <v>441</v>
      </c>
      <c r="R165" s="176"/>
      <c r="S165" s="176"/>
      <c r="T165" s="176"/>
      <c r="U165" s="176"/>
      <c r="V165" s="176"/>
      <c r="W165" s="176"/>
      <c r="X165" s="176"/>
      <c r="Y165" s="176"/>
      <c r="Z165" s="176"/>
      <c r="AA165" s="176"/>
    </row>
    <row r="166">
      <c r="A166" s="165" t="str">
        <f>iferror(VLOOKUP(P166,'DO NOT TOUCH Imported'!$A$1:$D$800,4,False),iferror(VLOOKUP(P166,'DO NOT TOUCH Imported'!$C$1:$D$800,2,False),"OOPS FIX ME"))</f>
        <v>BlairV</v>
      </c>
      <c r="B166" s="166" t="s">
        <v>566</v>
      </c>
      <c r="C166" s="167" t="s">
        <v>589</v>
      </c>
      <c r="D166" s="168" t="s">
        <v>499</v>
      </c>
      <c r="E166" s="177" t="s">
        <v>452</v>
      </c>
      <c r="F166" s="168" t="s">
        <v>503</v>
      </c>
      <c r="G166" s="170">
        <v>1000.0</v>
      </c>
      <c r="H166" s="171">
        <v>200.0</v>
      </c>
      <c r="I166" s="171">
        <v>200.0</v>
      </c>
      <c r="J166" s="172">
        <f t="shared" si="7"/>
        <v>0.001342393283</v>
      </c>
      <c r="K166" s="173">
        <f t="shared" si="8"/>
        <v>1.61087194</v>
      </c>
      <c r="L166" s="174">
        <f t="shared" si="9"/>
        <v>16.15361151</v>
      </c>
      <c r="M166" s="175" t="str">
        <f t="shared" si="10"/>
        <v>BlairV</v>
      </c>
      <c r="N166" s="176">
        <f>IFERROR(__xludf.DUMMYFUNCTION("""COMPUTED_VALUE"""),5.0)</f>
        <v>5</v>
      </c>
      <c r="O166" s="176"/>
      <c r="P166" s="166" t="s">
        <v>525</v>
      </c>
      <c r="Q166" s="166" t="s">
        <v>566</v>
      </c>
      <c r="R166" s="176"/>
      <c r="S166" s="176"/>
      <c r="T166" s="176"/>
      <c r="U166" s="176"/>
      <c r="V166" s="176"/>
      <c r="W166" s="176"/>
      <c r="X166" s="176"/>
      <c r="Y166" s="176"/>
      <c r="Z166" s="176"/>
      <c r="AA166" s="176"/>
    </row>
    <row r="167">
      <c r="A167" s="165" t="str">
        <f>iferror(VLOOKUP(P167,'DO NOT TOUCH Imported'!$A$1:$D$800,4,False),iferror(VLOOKUP(P167,'DO NOT TOUCH Imported'!$C$1:$D$800,2,False),"OOPS FIX ME"))</f>
        <v>BlairV</v>
      </c>
      <c r="B167" s="166" t="s">
        <v>441</v>
      </c>
      <c r="C167" s="167" t="s">
        <v>598</v>
      </c>
      <c r="D167" s="168" t="s">
        <v>437</v>
      </c>
      <c r="E167" s="169" t="s">
        <v>438</v>
      </c>
      <c r="F167" s="168" t="s">
        <v>439</v>
      </c>
      <c r="G167" s="170">
        <v>1000.0</v>
      </c>
      <c r="H167" s="171">
        <v>200.0</v>
      </c>
      <c r="I167" s="171">
        <v>100.0</v>
      </c>
      <c r="J167" s="172">
        <f t="shared" si="7"/>
        <v>0.001042633091</v>
      </c>
      <c r="K167" s="173">
        <f t="shared" si="8"/>
        <v>1.25115971</v>
      </c>
      <c r="L167" s="174">
        <f t="shared" si="9"/>
        <v>16.15361151</v>
      </c>
      <c r="M167" s="175" t="str">
        <f t="shared" si="10"/>
        <v>BlairV</v>
      </c>
      <c r="N167" s="176">
        <f>IFERROR(__xludf.DUMMYFUNCTION("""COMPUTED_VALUE"""),6.0)</f>
        <v>6</v>
      </c>
      <c r="O167" s="176"/>
      <c r="P167" s="166" t="s">
        <v>525</v>
      </c>
      <c r="Q167" s="166" t="s">
        <v>441</v>
      </c>
      <c r="R167" s="176"/>
      <c r="S167" s="176"/>
      <c r="T167" s="176"/>
      <c r="U167" s="176"/>
      <c r="V167" s="176"/>
      <c r="W167" s="176"/>
      <c r="X167" s="176"/>
      <c r="Y167" s="176"/>
      <c r="Z167" s="176"/>
      <c r="AA167" s="176"/>
    </row>
    <row r="168">
      <c r="A168" s="165" t="str">
        <f>iferror(VLOOKUP(P168,'DO NOT TOUCH Imported'!$A$1:$D$800,4,False),iferror(VLOOKUP(P168,'DO NOT TOUCH Imported'!$C$1:$D$800,2,False),"OOPS FIX ME"))</f>
        <v>BlairV</v>
      </c>
      <c r="B168" s="166" t="s">
        <v>441</v>
      </c>
      <c r="C168" s="167" t="s">
        <v>599</v>
      </c>
      <c r="D168" s="168" t="s">
        <v>437</v>
      </c>
      <c r="E168" s="177" t="s">
        <v>447</v>
      </c>
      <c r="F168" s="168" t="s">
        <v>439</v>
      </c>
      <c r="G168" s="170">
        <v>1000.0</v>
      </c>
      <c r="H168" s="171">
        <v>100.0</v>
      </c>
      <c r="I168" s="171">
        <v>100.0</v>
      </c>
      <c r="J168" s="172">
        <f t="shared" si="7"/>
        <v>0.000723394157</v>
      </c>
      <c r="K168" s="173">
        <f t="shared" si="8"/>
        <v>0.8680729884</v>
      </c>
      <c r="L168" s="174">
        <f t="shared" si="9"/>
        <v>16.15361151</v>
      </c>
      <c r="M168" s="175" t="str">
        <f t="shared" si="10"/>
        <v>BlairV</v>
      </c>
      <c r="N168" s="176">
        <f>IFERROR(__xludf.DUMMYFUNCTION("""COMPUTED_VALUE"""),7.0)</f>
        <v>7</v>
      </c>
      <c r="O168" s="176"/>
      <c r="P168" s="166" t="s">
        <v>525</v>
      </c>
      <c r="Q168" s="166" t="s">
        <v>441</v>
      </c>
      <c r="R168" s="176"/>
      <c r="S168" s="176"/>
      <c r="T168" s="176"/>
      <c r="U168" s="176"/>
      <c r="V168" s="176"/>
      <c r="W168" s="176"/>
      <c r="X168" s="176"/>
      <c r="Y168" s="176"/>
      <c r="Z168" s="176"/>
      <c r="AA168" s="176"/>
    </row>
    <row r="169">
      <c r="A169" s="165" t="str">
        <f>iferror(VLOOKUP(P169,'DO NOT TOUCH Imported'!$A$1:$D$800,4,False),iferror(VLOOKUP(P169,'DO NOT TOUCH Imported'!$C$1:$D$800,2,False),"OOPS FIX ME"))</f>
        <v>BlairV</v>
      </c>
      <c r="B169" s="166" t="s">
        <v>441</v>
      </c>
      <c r="C169" s="167" t="s">
        <v>497</v>
      </c>
      <c r="D169" s="168" t="s">
        <v>437</v>
      </c>
      <c r="E169" s="177" t="s">
        <v>438</v>
      </c>
      <c r="F169" s="168" t="s">
        <v>439</v>
      </c>
      <c r="G169" s="170">
        <v>1000.0</v>
      </c>
      <c r="H169" s="171">
        <v>50.0</v>
      </c>
      <c r="I169" s="171">
        <v>100.0</v>
      </c>
      <c r="J169" s="172">
        <f t="shared" si="7"/>
        <v>0.0005637746898</v>
      </c>
      <c r="K169" s="173">
        <f t="shared" si="8"/>
        <v>0.6765296278</v>
      </c>
      <c r="L169" s="174">
        <f t="shared" si="9"/>
        <v>16.15361151</v>
      </c>
      <c r="M169" s="175" t="str">
        <f t="shared" si="10"/>
        <v>BlairV</v>
      </c>
      <c r="N169" s="176">
        <f>IFERROR(__xludf.DUMMYFUNCTION("""COMPUTED_VALUE"""),8.0)</f>
        <v>8</v>
      </c>
      <c r="O169" s="176"/>
      <c r="P169" s="166" t="s">
        <v>525</v>
      </c>
      <c r="Q169" s="166" t="s">
        <v>441</v>
      </c>
      <c r="R169" s="176"/>
      <c r="S169" s="176"/>
      <c r="T169" s="176"/>
      <c r="U169" s="176"/>
      <c r="V169" s="176"/>
      <c r="W169" s="176"/>
      <c r="X169" s="176"/>
      <c r="Y169" s="176"/>
      <c r="Z169" s="176"/>
      <c r="AA169" s="176"/>
    </row>
    <row r="170">
      <c r="A170" s="165" t="str">
        <f>iferror(VLOOKUP(P170,'DO NOT TOUCH Imported'!$A$1:$D$800,4,False),iferror(VLOOKUP(P170,'DO NOT TOUCH Imported'!$C$1:$D$800,2,False),"OOPS FIX ME"))</f>
        <v>BlairV</v>
      </c>
      <c r="B170" s="178" t="s">
        <v>10</v>
      </c>
      <c r="C170" s="179" t="s">
        <v>500</v>
      </c>
      <c r="D170" s="180" t="s">
        <v>495</v>
      </c>
      <c r="E170" s="181">
        <v>44324.0</v>
      </c>
      <c r="F170" s="182" t="s">
        <v>496</v>
      </c>
      <c r="G170" s="170">
        <v>500.0</v>
      </c>
      <c r="H170" s="171">
        <v>25.0</v>
      </c>
      <c r="I170" s="171">
        <v>100.0</v>
      </c>
      <c r="J170" s="172">
        <f t="shared" si="7"/>
        <v>0.0004317674408</v>
      </c>
      <c r="K170" s="173">
        <f t="shared" si="8"/>
        <v>0.518120929</v>
      </c>
      <c r="L170" s="174">
        <f t="shared" si="9"/>
        <v>16.15361151</v>
      </c>
      <c r="M170" s="175" t="str">
        <f t="shared" si="10"/>
        <v>BlairV</v>
      </c>
      <c r="N170" s="176">
        <f>IFERROR(__xludf.DUMMYFUNCTION("""COMPUTED_VALUE"""),9.0)</f>
        <v>9</v>
      </c>
      <c r="O170" s="176"/>
      <c r="P170" s="183" t="s">
        <v>41</v>
      </c>
      <c r="Q170" s="178" t="s">
        <v>10</v>
      </c>
      <c r="R170" s="176"/>
      <c r="S170" s="176"/>
      <c r="T170" s="176"/>
      <c r="U170" s="176"/>
      <c r="V170" s="176"/>
      <c r="W170" s="176"/>
      <c r="X170" s="176"/>
      <c r="Y170" s="176"/>
      <c r="Z170" s="176"/>
      <c r="AA170" s="176"/>
    </row>
    <row r="171">
      <c r="A171" s="165" t="str">
        <f>iferror(VLOOKUP(P171,'DO NOT TOUCH Imported'!$A$1:$D$800,4,False),iferror(VLOOKUP(P171,'DO NOT TOUCH Imported'!$C$1:$D$800,2,False),"OOPS FIX ME"))</f>
        <v>cranders71</v>
      </c>
      <c r="B171" s="166" t="s">
        <v>490</v>
      </c>
      <c r="C171" s="167" t="s">
        <v>537</v>
      </c>
      <c r="D171" s="168" t="s">
        <v>437</v>
      </c>
      <c r="E171" s="177" t="s">
        <v>447</v>
      </c>
      <c r="F171" s="168" t="s">
        <v>439</v>
      </c>
      <c r="G171" s="170">
        <v>1000.0</v>
      </c>
      <c r="H171" s="171">
        <v>200.0</v>
      </c>
      <c r="I171" s="171">
        <v>200.0</v>
      </c>
      <c r="J171" s="172">
        <f t="shared" si="7"/>
        <v>0.001342393283</v>
      </c>
      <c r="K171" s="173">
        <f t="shared" si="8"/>
        <v>1.61087194</v>
      </c>
      <c r="L171" s="174">
        <f t="shared" si="9"/>
        <v>15.11309888</v>
      </c>
      <c r="M171" s="175" t="str">
        <f t="shared" si="10"/>
        <v>cranders71</v>
      </c>
      <c r="N171" s="176">
        <f>IFERROR(__xludf.DUMMYFUNCTION("""COMPUTED_VALUE"""),1.0)</f>
        <v>1</v>
      </c>
      <c r="O171" s="176"/>
      <c r="P171" s="166" t="s">
        <v>457</v>
      </c>
      <c r="Q171" s="166" t="s">
        <v>490</v>
      </c>
      <c r="R171" s="176"/>
      <c r="S171" s="176"/>
      <c r="T171" s="176"/>
      <c r="U171" s="176"/>
      <c r="V171" s="176"/>
      <c r="W171" s="176"/>
      <c r="X171" s="176"/>
      <c r="Y171" s="176"/>
      <c r="Z171" s="176"/>
      <c r="AA171" s="176"/>
    </row>
    <row r="172">
      <c r="A172" s="165" t="str">
        <f>iferror(VLOOKUP(P172,'DO NOT TOUCH Imported'!$A$1:$D$800,4,False),iferror(VLOOKUP(P172,'DO NOT TOUCH Imported'!$C$1:$D$800,2,False),"OOPS FIX ME"))</f>
        <v>cranders71</v>
      </c>
      <c r="B172" s="166" t="s">
        <v>450</v>
      </c>
      <c r="C172" s="167" t="s">
        <v>451</v>
      </c>
      <c r="D172" s="168" t="s">
        <v>437</v>
      </c>
      <c r="E172" s="177" t="s">
        <v>452</v>
      </c>
      <c r="F172" s="168" t="s">
        <v>453</v>
      </c>
      <c r="G172" s="170">
        <v>1000.0</v>
      </c>
      <c r="H172" s="171">
        <v>100.0</v>
      </c>
      <c r="I172" s="171">
        <v>200.0</v>
      </c>
      <c r="J172" s="172">
        <f t="shared" si="7"/>
        <v>0.001023154349</v>
      </c>
      <c r="K172" s="173">
        <f t="shared" si="8"/>
        <v>1.227785219</v>
      </c>
      <c r="L172" s="174">
        <f t="shared" si="9"/>
        <v>15.11309888</v>
      </c>
      <c r="M172" s="175" t="str">
        <f t="shared" si="10"/>
        <v>cranders71</v>
      </c>
      <c r="N172" s="176">
        <f>IFERROR(__xludf.DUMMYFUNCTION("""COMPUTED_VALUE"""),2.0)</f>
        <v>2</v>
      </c>
      <c r="O172" s="176"/>
      <c r="P172" s="166" t="s">
        <v>457</v>
      </c>
      <c r="Q172" s="166" t="s">
        <v>450</v>
      </c>
      <c r="R172" s="176"/>
      <c r="S172" s="176"/>
      <c r="T172" s="176"/>
      <c r="U172" s="176"/>
      <c r="V172" s="176"/>
      <c r="W172" s="176"/>
      <c r="X172" s="176"/>
      <c r="Y172" s="176"/>
      <c r="Z172" s="176"/>
      <c r="AA172" s="176"/>
    </row>
    <row r="173">
      <c r="A173" s="165" t="str">
        <f>iferror(VLOOKUP(P173,'DO NOT TOUCH Imported'!$A$1:$D$800,4,False),iferror(VLOOKUP(P173,'DO NOT TOUCH Imported'!$C$1:$D$800,2,False),"OOPS FIX ME"))</f>
        <v>cranders71</v>
      </c>
      <c r="B173" s="166" t="s">
        <v>457</v>
      </c>
      <c r="C173" s="167" t="s">
        <v>458</v>
      </c>
      <c r="D173" s="168" t="s">
        <v>437</v>
      </c>
      <c r="E173" s="169" t="s">
        <v>438</v>
      </c>
      <c r="F173" s="168" t="s">
        <v>439</v>
      </c>
      <c r="G173" s="170">
        <v>1000.0</v>
      </c>
      <c r="H173" s="171">
        <v>100.0</v>
      </c>
      <c r="I173" s="171">
        <v>200.0</v>
      </c>
      <c r="J173" s="172">
        <f t="shared" si="7"/>
        <v>0.001023154349</v>
      </c>
      <c r="K173" s="173">
        <f t="shared" si="8"/>
        <v>1.227785219</v>
      </c>
      <c r="L173" s="174">
        <f t="shared" si="9"/>
        <v>15.11309888</v>
      </c>
      <c r="M173" s="175" t="str">
        <f t="shared" si="10"/>
        <v>cranders71</v>
      </c>
      <c r="N173" s="176">
        <f>IFERROR(__xludf.DUMMYFUNCTION("""COMPUTED_VALUE"""),3.0)</f>
        <v>3</v>
      </c>
      <c r="O173" s="176"/>
      <c r="P173" s="166" t="s">
        <v>457</v>
      </c>
      <c r="Q173" s="166" t="s">
        <v>457</v>
      </c>
      <c r="R173" s="176"/>
      <c r="S173" s="176"/>
      <c r="T173" s="176"/>
      <c r="U173" s="176"/>
      <c r="V173" s="176"/>
      <c r="W173" s="176"/>
      <c r="X173" s="176"/>
      <c r="Y173" s="176"/>
      <c r="Z173" s="176"/>
      <c r="AA173" s="176"/>
    </row>
    <row r="174">
      <c r="A174" s="165" t="str">
        <f>iferror(VLOOKUP(P174,'DO NOT TOUCH Imported'!$A$1:$D$800,4,False),iferror(VLOOKUP(P174,'DO NOT TOUCH Imported'!$C$1:$D$800,2,False),"OOPS FIX ME"))</f>
        <v>cranders71</v>
      </c>
      <c r="B174" s="166" t="s">
        <v>435</v>
      </c>
      <c r="C174" s="167" t="s">
        <v>465</v>
      </c>
      <c r="D174" s="168" t="s">
        <v>437</v>
      </c>
      <c r="E174" s="169" t="s">
        <v>445</v>
      </c>
      <c r="F174" s="168" t="s">
        <v>439</v>
      </c>
      <c r="G174" s="170">
        <v>1000.0</v>
      </c>
      <c r="H174" s="171">
        <v>100.0</v>
      </c>
      <c r="I174" s="171">
        <v>100.0</v>
      </c>
      <c r="J174" s="172">
        <f t="shared" si="7"/>
        <v>0.000723394157</v>
      </c>
      <c r="K174" s="173">
        <f t="shared" si="8"/>
        <v>0.8680729884</v>
      </c>
      <c r="L174" s="174">
        <f t="shared" si="9"/>
        <v>15.11309888</v>
      </c>
      <c r="M174" s="175" t="str">
        <f t="shared" si="10"/>
        <v>cranders71</v>
      </c>
      <c r="N174" s="176">
        <f>IFERROR(__xludf.DUMMYFUNCTION("""COMPUTED_VALUE"""),4.0)</f>
        <v>4</v>
      </c>
      <c r="O174" s="176"/>
      <c r="P174" s="166" t="s">
        <v>457</v>
      </c>
      <c r="Q174" s="166" t="s">
        <v>435</v>
      </c>
      <c r="R174" s="176"/>
      <c r="S174" s="176"/>
      <c r="T174" s="176"/>
      <c r="U174" s="176"/>
      <c r="V174" s="176"/>
      <c r="W174" s="176"/>
      <c r="X174" s="176"/>
      <c r="Y174" s="176"/>
      <c r="Z174" s="176"/>
      <c r="AA174" s="176"/>
    </row>
    <row r="175">
      <c r="A175" s="165" t="str">
        <f>iferror(VLOOKUP(P175,'DO NOT TOUCH Imported'!$A$1:$D$800,4,False),iferror(VLOOKUP(P175,'DO NOT TOUCH Imported'!$C$1:$D$800,2,False),"OOPS FIX ME"))</f>
        <v>cranders71</v>
      </c>
      <c r="B175" s="166" t="s">
        <v>528</v>
      </c>
      <c r="C175" s="167" t="s">
        <v>600</v>
      </c>
      <c r="D175" s="168" t="s">
        <v>437</v>
      </c>
      <c r="E175" s="169" t="s">
        <v>445</v>
      </c>
      <c r="F175" s="168" t="s">
        <v>439</v>
      </c>
      <c r="G175" s="170">
        <v>1000.0</v>
      </c>
      <c r="H175" s="171">
        <v>100.0</v>
      </c>
      <c r="I175" s="171">
        <v>100.0</v>
      </c>
      <c r="J175" s="172">
        <f t="shared" si="7"/>
        <v>0.000723394157</v>
      </c>
      <c r="K175" s="173">
        <f t="shared" si="8"/>
        <v>0.8680729884</v>
      </c>
      <c r="L175" s="174">
        <f t="shared" si="9"/>
        <v>15.11309888</v>
      </c>
      <c r="M175" s="175" t="str">
        <f t="shared" si="10"/>
        <v>cranders71</v>
      </c>
      <c r="N175" s="176">
        <f>IFERROR(__xludf.DUMMYFUNCTION("""COMPUTED_VALUE"""),5.0)</f>
        <v>5</v>
      </c>
      <c r="O175" s="176"/>
      <c r="P175" s="166" t="s">
        <v>457</v>
      </c>
      <c r="Q175" s="166" t="s">
        <v>528</v>
      </c>
      <c r="R175" s="176"/>
      <c r="S175" s="176"/>
      <c r="T175" s="176"/>
      <c r="U175" s="176"/>
      <c r="V175" s="176"/>
      <c r="W175" s="176"/>
      <c r="X175" s="176"/>
      <c r="Y175" s="176"/>
      <c r="Z175" s="176"/>
      <c r="AA175" s="176"/>
    </row>
    <row r="176">
      <c r="A176" s="165" t="str">
        <f>iferror(VLOOKUP(P176,'DO NOT TOUCH Imported'!$A$1:$D$800,4,False),iferror(VLOOKUP(P176,'DO NOT TOUCH Imported'!$C$1:$D$800,2,False),"OOPS FIX ME"))</f>
        <v>cranders71</v>
      </c>
      <c r="B176" s="166" t="s">
        <v>441</v>
      </c>
      <c r="C176" s="167" t="s">
        <v>601</v>
      </c>
      <c r="D176" s="168" t="s">
        <v>437</v>
      </c>
      <c r="E176" s="169" t="s">
        <v>447</v>
      </c>
      <c r="F176" s="168" t="s">
        <v>439</v>
      </c>
      <c r="G176" s="170">
        <v>1000.0</v>
      </c>
      <c r="H176" s="171">
        <v>100.0</v>
      </c>
      <c r="I176" s="171">
        <v>100.0</v>
      </c>
      <c r="J176" s="172">
        <f t="shared" si="7"/>
        <v>0.000723394157</v>
      </c>
      <c r="K176" s="173">
        <f t="shared" si="8"/>
        <v>0.8680729884</v>
      </c>
      <c r="L176" s="174">
        <f t="shared" si="9"/>
        <v>15.11309888</v>
      </c>
      <c r="M176" s="175" t="str">
        <f t="shared" si="10"/>
        <v>cranders71</v>
      </c>
      <c r="N176" s="176">
        <f>IFERROR(__xludf.DUMMYFUNCTION("""COMPUTED_VALUE"""),6.0)</f>
        <v>6</v>
      </c>
      <c r="O176" s="176"/>
      <c r="P176" s="166" t="s">
        <v>457</v>
      </c>
      <c r="Q176" s="166" t="s">
        <v>441</v>
      </c>
      <c r="R176" s="176"/>
      <c r="S176" s="176"/>
      <c r="T176" s="176"/>
      <c r="U176" s="176"/>
      <c r="V176" s="176"/>
      <c r="W176" s="176"/>
      <c r="X176" s="176"/>
      <c r="Y176" s="176"/>
      <c r="Z176" s="176"/>
      <c r="AA176" s="176"/>
    </row>
    <row r="177">
      <c r="A177" s="165" t="str">
        <f>iferror(VLOOKUP(P177,'DO NOT TOUCH Imported'!$A$1:$D$800,4,False),iferror(VLOOKUP(P177,'DO NOT TOUCH Imported'!$C$1:$D$800,2,False),"OOPS FIX ME"))</f>
        <v>cranders71</v>
      </c>
      <c r="B177" s="166" t="s">
        <v>441</v>
      </c>
      <c r="C177" s="167" t="s">
        <v>602</v>
      </c>
      <c r="D177" s="168" t="s">
        <v>437</v>
      </c>
      <c r="E177" s="177" t="s">
        <v>447</v>
      </c>
      <c r="F177" s="168" t="s">
        <v>439</v>
      </c>
      <c r="G177" s="170">
        <v>1000.0</v>
      </c>
      <c r="H177" s="171">
        <v>100.0</v>
      </c>
      <c r="I177" s="171">
        <v>100.0</v>
      </c>
      <c r="J177" s="172">
        <f t="shared" si="7"/>
        <v>0.000723394157</v>
      </c>
      <c r="K177" s="173">
        <f t="shared" si="8"/>
        <v>0.8680729884</v>
      </c>
      <c r="L177" s="174">
        <f t="shared" si="9"/>
        <v>15.11309888</v>
      </c>
      <c r="M177" s="175" t="str">
        <f t="shared" si="10"/>
        <v>cranders71</v>
      </c>
      <c r="N177" s="176">
        <f>IFERROR(__xludf.DUMMYFUNCTION("""COMPUTED_VALUE"""),7.0)</f>
        <v>7</v>
      </c>
      <c r="O177" s="176"/>
      <c r="P177" s="166" t="s">
        <v>457</v>
      </c>
      <c r="Q177" s="166" t="s">
        <v>441</v>
      </c>
      <c r="R177" s="176"/>
      <c r="S177" s="176"/>
      <c r="T177" s="176"/>
      <c r="U177" s="176"/>
      <c r="V177" s="176"/>
      <c r="W177" s="176"/>
      <c r="X177" s="176"/>
      <c r="Y177" s="176"/>
      <c r="Z177" s="176"/>
      <c r="AA177" s="176"/>
    </row>
    <row r="178">
      <c r="A178" s="165" t="str">
        <f>iferror(VLOOKUP(P178,'DO NOT TOUCH Imported'!$A$1:$D$800,4,False),iferror(VLOOKUP(P178,'DO NOT TOUCH Imported'!$C$1:$D$800,2,False),"OOPS FIX ME"))</f>
        <v>cranders71</v>
      </c>
      <c r="B178" s="166" t="s">
        <v>440</v>
      </c>
      <c r="C178" s="167" t="s">
        <v>471</v>
      </c>
      <c r="D178" s="168" t="s">
        <v>437</v>
      </c>
      <c r="E178" s="177" t="s">
        <v>447</v>
      </c>
      <c r="F178" s="168" t="s">
        <v>439</v>
      </c>
      <c r="G178" s="170">
        <v>1000.0</v>
      </c>
      <c r="H178" s="171">
        <v>100.0</v>
      </c>
      <c r="I178" s="171">
        <v>100.0</v>
      </c>
      <c r="J178" s="172">
        <f t="shared" si="7"/>
        <v>0.000723394157</v>
      </c>
      <c r="K178" s="173">
        <f t="shared" si="8"/>
        <v>0.8680729884</v>
      </c>
      <c r="L178" s="174">
        <f t="shared" si="9"/>
        <v>15.11309888</v>
      </c>
      <c r="M178" s="175" t="str">
        <f t="shared" si="10"/>
        <v>cranders71</v>
      </c>
      <c r="N178" s="176">
        <f>IFERROR(__xludf.DUMMYFUNCTION("""COMPUTED_VALUE"""),8.0)</f>
        <v>8</v>
      </c>
      <c r="O178" s="176"/>
      <c r="P178" s="166" t="s">
        <v>457</v>
      </c>
      <c r="Q178" s="166" t="s">
        <v>440</v>
      </c>
      <c r="R178" s="176"/>
      <c r="S178" s="176"/>
      <c r="T178" s="176"/>
      <c r="U178" s="176"/>
      <c r="V178" s="176"/>
      <c r="W178" s="176"/>
      <c r="X178" s="176"/>
      <c r="Y178" s="176"/>
      <c r="Z178" s="176"/>
      <c r="AA178" s="176"/>
    </row>
    <row r="179">
      <c r="A179" s="165" t="str">
        <f>iferror(VLOOKUP(P179,'DO NOT TOUCH Imported'!$A$1:$D$800,4,False),iferror(VLOOKUP(P179,'DO NOT TOUCH Imported'!$C$1:$D$800,2,False),"OOPS FIX ME"))</f>
        <v>cranders71</v>
      </c>
      <c r="B179" s="166" t="s">
        <v>435</v>
      </c>
      <c r="C179" s="167" t="s">
        <v>479</v>
      </c>
      <c r="D179" s="168" t="s">
        <v>437</v>
      </c>
      <c r="E179" s="169" t="s">
        <v>455</v>
      </c>
      <c r="F179" s="168" t="s">
        <v>439</v>
      </c>
      <c r="G179" s="170">
        <v>1000.0</v>
      </c>
      <c r="H179" s="171">
        <v>90.0</v>
      </c>
      <c r="I179" s="171">
        <v>100.0</v>
      </c>
      <c r="J179" s="172">
        <f t="shared" si="7"/>
        <v>0.0006914702636</v>
      </c>
      <c r="K179" s="173">
        <f t="shared" si="8"/>
        <v>0.8297643163</v>
      </c>
      <c r="L179" s="174">
        <f t="shared" si="9"/>
        <v>15.11309888</v>
      </c>
      <c r="M179" s="175" t="str">
        <f t="shared" si="10"/>
        <v>cranders71</v>
      </c>
      <c r="N179" s="176">
        <f>IFERROR(__xludf.DUMMYFUNCTION("""COMPUTED_VALUE"""),9.0)</f>
        <v>9</v>
      </c>
      <c r="O179" s="176"/>
      <c r="P179" s="166" t="s">
        <v>457</v>
      </c>
      <c r="Q179" s="166" t="s">
        <v>435</v>
      </c>
      <c r="R179" s="176"/>
      <c r="S179" s="176"/>
      <c r="T179" s="176"/>
      <c r="U179" s="176"/>
      <c r="V179" s="176"/>
      <c r="W179" s="176"/>
      <c r="X179" s="176"/>
      <c r="Y179" s="176"/>
      <c r="Z179" s="176"/>
      <c r="AA179" s="176"/>
    </row>
    <row r="180">
      <c r="A180" s="165" t="str">
        <f>iferror(VLOOKUP(P180,'DO NOT TOUCH Imported'!$A$1:$D$800,4,False),iferror(VLOOKUP(P180,'DO NOT TOUCH Imported'!$C$1:$D$800,2,False),"OOPS FIX ME"))</f>
        <v>cranders71</v>
      </c>
      <c r="B180" s="166" t="s">
        <v>440</v>
      </c>
      <c r="C180" s="167" t="s">
        <v>482</v>
      </c>
      <c r="D180" s="168" t="s">
        <v>437</v>
      </c>
      <c r="E180" s="177" t="s">
        <v>452</v>
      </c>
      <c r="F180" s="168" t="s">
        <v>439</v>
      </c>
      <c r="G180" s="170">
        <v>1000.0</v>
      </c>
      <c r="H180" s="171">
        <v>80.0</v>
      </c>
      <c r="I180" s="171">
        <v>100.0</v>
      </c>
      <c r="J180" s="172">
        <f t="shared" si="7"/>
        <v>0.0006595463701</v>
      </c>
      <c r="K180" s="173">
        <f t="shared" si="8"/>
        <v>0.7914556442</v>
      </c>
      <c r="L180" s="174">
        <f t="shared" si="9"/>
        <v>15.11309888</v>
      </c>
      <c r="M180" s="175" t="str">
        <f t="shared" si="10"/>
        <v>cranders71</v>
      </c>
      <c r="N180" s="176">
        <f>IFERROR(__xludf.DUMMYFUNCTION("""COMPUTED_VALUE"""),10.0)</f>
        <v>10</v>
      </c>
      <c r="O180" s="176"/>
      <c r="P180" s="166" t="s">
        <v>457</v>
      </c>
      <c r="Q180" s="166" t="s">
        <v>440</v>
      </c>
      <c r="R180" s="176"/>
      <c r="S180" s="176"/>
      <c r="T180" s="176"/>
      <c r="U180" s="176"/>
      <c r="V180" s="176"/>
      <c r="W180" s="176"/>
      <c r="X180" s="176"/>
      <c r="Y180" s="176"/>
      <c r="Z180" s="176"/>
      <c r="AA180" s="176"/>
    </row>
    <row r="181">
      <c r="A181" s="165" t="str">
        <f>iferror(VLOOKUP(P181,'DO NOT TOUCH Imported'!$A$1:$D$800,4,False),iferror(VLOOKUP(P181,'DO NOT TOUCH Imported'!$C$1:$D$800,2,False),"OOPS FIX ME"))</f>
        <v>cranders71</v>
      </c>
      <c r="B181" s="166" t="s">
        <v>483</v>
      </c>
      <c r="C181" s="167" t="s">
        <v>484</v>
      </c>
      <c r="D181" s="168" t="s">
        <v>437</v>
      </c>
      <c r="E181" s="177" t="s">
        <v>478</v>
      </c>
      <c r="F181" s="168" t="s">
        <v>439</v>
      </c>
      <c r="G181" s="170">
        <v>1000.0</v>
      </c>
      <c r="H181" s="171">
        <v>80.0</v>
      </c>
      <c r="I181" s="171">
        <v>100.0</v>
      </c>
      <c r="J181" s="172">
        <f t="shared" si="7"/>
        <v>0.0006595463701</v>
      </c>
      <c r="K181" s="173">
        <f t="shared" si="8"/>
        <v>0.7914556442</v>
      </c>
      <c r="L181" s="174">
        <f t="shared" si="9"/>
        <v>15.11309888</v>
      </c>
      <c r="M181" s="175" t="str">
        <f t="shared" si="10"/>
        <v>cranders71</v>
      </c>
      <c r="N181" s="176">
        <f>IFERROR(__xludf.DUMMYFUNCTION("""COMPUTED_VALUE"""),11.0)</f>
        <v>11</v>
      </c>
      <c r="O181" s="176"/>
      <c r="P181" s="166" t="s">
        <v>457</v>
      </c>
      <c r="Q181" s="166" t="s">
        <v>483</v>
      </c>
      <c r="R181" s="176"/>
      <c r="S181" s="176"/>
      <c r="T181" s="176"/>
      <c r="U181" s="176"/>
      <c r="V181" s="176"/>
      <c r="W181" s="176"/>
      <c r="X181" s="176"/>
      <c r="Y181" s="176"/>
      <c r="Z181" s="176"/>
      <c r="AA181" s="176"/>
    </row>
    <row r="182">
      <c r="A182" s="165" t="str">
        <f>iferror(VLOOKUP(P182,'DO NOT TOUCH Imported'!$A$1:$D$800,4,False),iferror(VLOOKUP(P182,'DO NOT TOUCH Imported'!$C$1:$D$800,2,False),"OOPS FIX ME"))</f>
        <v>cranders71</v>
      </c>
      <c r="B182" s="166" t="s">
        <v>441</v>
      </c>
      <c r="C182" s="167" t="s">
        <v>485</v>
      </c>
      <c r="D182" s="168" t="s">
        <v>437</v>
      </c>
      <c r="E182" s="169" t="s">
        <v>438</v>
      </c>
      <c r="F182" s="168" t="s">
        <v>439</v>
      </c>
      <c r="G182" s="170">
        <v>1000.0</v>
      </c>
      <c r="H182" s="171">
        <v>80.0</v>
      </c>
      <c r="I182" s="171">
        <v>100.0</v>
      </c>
      <c r="J182" s="172">
        <f t="shared" si="7"/>
        <v>0.0006595463701</v>
      </c>
      <c r="K182" s="173">
        <f t="shared" si="8"/>
        <v>0.7914556442</v>
      </c>
      <c r="L182" s="174">
        <f t="shared" si="9"/>
        <v>15.11309888</v>
      </c>
      <c r="M182" s="175" t="str">
        <f t="shared" si="10"/>
        <v>cranders71</v>
      </c>
      <c r="N182" s="176">
        <f>IFERROR(__xludf.DUMMYFUNCTION("""COMPUTED_VALUE"""),12.0)</f>
        <v>12</v>
      </c>
      <c r="O182" s="176"/>
      <c r="P182" s="166" t="s">
        <v>457</v>
      </c>
      <c r="Q182" s="166" t="s">
        <v>441</v>
      </c>
      <c r="R182" s="176"/>
      <c r="S182" s="176"/>
      <c r="T182" s="176"/>
      <c r="U182" s="176"/>
      <c r="V182" s="176"/>
      <c r="W182" s="176"/>
      <c r="X182" s="176"/>
      <c r="Y182" s="176"/>
      <c r="Z182" s="176"/>
      <c r="AA182" s="176"/>
    </row>
    <row r="183">
      <c r="A183" s="165" t="str">
        <f>iferror(VLOOKUP(P183,'DO NOT TOUCH Imported'!$A$1:$D$800,4,False),iferror(VLOOKUP(P183,'DO NOT TOUCH Imported'!$C$1:$D$800,2,False),"OOPS FIX ME"))</f>
        <v>cranders71</v>
      </c>
      <c r="B183" s="166" t="s">
        <v>490</v>
      </c>
      <c r="C183" s="167" t="s">
        <v>491</v>
      </c>
      <c r="D183" s="168" t="s">
        <v>437</v>
      </c>
      <c r="E183" s="177" t="s">
        <v>445</v>
      </c>
      <c r="F183" s="168" t="s">
        <v>439</v>
      </c>
      <c r="G183" s="170">
        <v>1000.0</v>
      </c>
      <c r="H183" s="171">
        <v>70.0</v>
      </c>
      <c r="I183" s="171">
        <v>100.0</v>
      </c>
      <c r="J183" s="172">
        <f t="shared" si="7"/>
        <v>0.0006276224767</v>
      </c>
      <c r="K183" s="173">
        <f t="shared" si="8"/>
        <v>0.7531469721</v>
      </c>
      <c r="L183" s="174">
        <f t="shared" si="9"/>
        <v>15.11309888</v>
      </c>
      <c r="M183" s="175" t="str">
        <f t="shared" si="10"/>
        <v>cranders71</v>
      </c>
      <c r="N183" s="176">
        <f>IFERROR(__xludf.DUMMYFUNCTION("""COMPUTED_VALUE"""),13.0)</f>
        <v>13</v>
      </c>
      <c r="O183" s="176"/>
      <c r="P183" s="166" t="s">
        <v>457</v>
      </c>
      <c r="Q183" s="166" t="s">
        <v>490</v>
      </c>
      <c r="R183" s="176"/>
      <c r="S183" s="176"/>
      <c r="T183" s="176"/>
      <c r="U183" s="176"/>
      <c r="V183" s="176"/>
      <c r="W183" s="176"/>
      <c r="X183" s="176"/>
      <c r="Y183" s="176"/>
      <c r="Z183" s="176"/>
      <c r="AA183" s="176"/>
    </row>
    <row r="184">
      <c r="A184" s="165" t="str">
        <f>iferror(VLOOKUP(P184,'DO NOT TOUCH Imported'!$A$1:$D$800,4,False),iferror(VLOOKUP(P184,'DO NOT TOUCH Imported'!$C$1:$D$800,2,False),"OOPS FIX ME"))</f>
        <v>cranders71</v>
      </c>
      <c r="B184" s="166" t="s">
        <v>441</v>
      </c>
      <c r="C184" s="167" t="s">
        <v>497</v>
      </c>
      <c r="D184" s="168" t="s">
        <v>437</v>
      </c>
      <c r="E184" s="177" t="s">
        <v>438</v>
      </c>
      <c r="F184" s="168" t="s">
        <v>439</v>
      </c>
      <c r="G184" s="170">
        <v>1000.0</v>
      </c>
      <c r="H184" s="171">
        <v>50.0</v>
      </c>
      <c r="I184" s="171">
        <v>100.0</v>
      </c>
      <c r="J184" s="172">
        <f t="shared" si="7"/>
        <v>0.0005637746898</v>
      </c>
      <c r="K184" s="173">
        <f t="shared" si="8"/>
        <v>0.6765296278</v>
      </c>
      <c r="L184" s="174">
        <f t="shared" si="9"/>
        <v>15.11309888</v>
      </c>
      <c r="M184" s="175" t="str">
        <f t="shared" si="10"/>
        <v>cranders71</v>
      </c>
      <c r="N184" s="176">
        <f>IFERROR(__xludf.DUMMYFUNCTION("""COMPUTED_VALUE"""),14.0)</f>
        <v>14</v>
      </c>
      <c r="O184" s="176"/>
      <c r="P184" s="166" t="s">
        <v>457</v>
      </c>
      <c r="Q184" s="166" t="s">
        <v>441</v>
      </c>
      <c r="R184" s="176"/>
      <c r="S184" s="176"/>
      <c r="T184" s="176"/>
      <c r="U184" s="176"/>
      <c r="V184" s="176"/>
      <c r="W184" s="176"/>
      <c r="X184" s="176"/>
      <c r="Y184" s="176"/>
      <c r="Z184" s="176"/>
      <c r="AA184" s="176"/>
    </row>
    <row r="185">
      <c r="A185" s="165" t="str">
        <f>iferror(VLOOKUP(P185,'DO NOT TOUCH Imported'!$A$1:$D$800,4,False),iferror(VLOOKUP(P185,'DO NOT TOUCH Imported'!$C$1:$D$800,2,False),"OOPS FIX ME"))</f>
        <v>cranders71</v>
      </c>
      <c r="B185" s="178" t="s">
        <v>10</v>
      </c>
      <c r="C185" s="179" t="s">
        <v>498</v>
      </c>
      <c r="D185" s="180" t="s">
        <v>495</v>
      </c>
      <c r="E185" s="184">
        <v>44316.0</v>
      </c>
      <c r="F185" s="182" t="s">
        <v>499</v>
      </c>
      <c r="G185" s="170">
        <v>500.0</v>
      </c>
      <c r="H185" s="171">
        <v>25.0</v>
      </c>
      <c r="I185" s="171">
        <v>100.0</v>
      </c>
      <c r="J185" s="172">
        <f t="shared" si="7"/>
        <v>0.0004317674408</v>
      </c>
      <c r="K185" s="173">
        <f t="shared" si="8"/>
        <v>0.518120929</v>
      </c>
      <c r="L185" s="174">
        <f t="shared" si="9"/>
        <v>15.11309888</v>
      </c>
      <c r="M185" s="175" t="str">
        <f t="shared" si="10"/>
        <v>cranders71</v>
      </c>
      <c r="N185" s="176">
        <f>IFERROR(__xludf.DUMMYFUNCTION("""COMPUTED_VALUE"""),15.0)</f>
        <v>15</v>
      </c>
      <c r="O185" s="176"/>
      <c r="P185" s="183" t="s">
        <v>5</v>
      </c>
      <c r="Q185" s="178" t="s">
        <v>10</v>
      </c>
      <c r="R185" s="176"/>
      <c r="S185" s="176"/>
      <c r="T185" s="176"/>
      <c r="U185" s="176"/>
      <c r="V185" s="176"/>
      <c r="W185" s="176"/>
      <c r="X185" s="176"/>
      <c r="Y185" s="176"/>
      <c r="Z185" s="176"/>
      <c r="AA185" s="176"/>
    </row>
    <row r="186">
      <c r="A186" s="165" t="str">
        <f>iferror(VLOOKUP(P186,'DO NOT TOUCH Imported'!$A$1:$D$800,4,False),iferror(VLOOKUP(P186,'DO NOT TOUCH Imported'!$C$1:$D$800,2,False),"OOPS FIX ME"))</f>
        <v>cranders71</v>
      </c>
      <c r="B186" s="178" t="s">
        <v>10</v>
      </c>
      <c r="C186" s="179" t="s">
        <v>500</v>
      </c>
      <c r="D186" s="180" t="s">
        <v>495</v>
      </c>
      <c r="E186" s="184">
        <v>44316.0</v>
      </c>
      <c r="F186" s="182" t="s">
        <v>496</v>
      </c>
      <c r="G186" s="170">
        <v>500.0</v>
      </c>
      <c r="H186" s="171">
        <v>25.0</v>
      </c>
      <c r="I186" s="171">
        <v>100.0</v>
      </c>
      <c r="J186" s="172">
        <f t="shared" si="7"/>
        <v>0.0004317674408</v>
      </c>
      <c r="K186" s="173">
        <f t="shared" si="8"/>
        <v>0.518120929</v>
      </c>
      <c r="L186" s="174">
        <f t="shared" si="9"/>
        <v>15.11309888</v>
      </c>
      <c r="M186" s="175" t="str">
        <f t="shared" si="10"/>
        <v>cranders71</v>
      </c>
      <c r="N186" s="176">
        <f>IFERROR(__xludf.DUMMYFUNCTION("""COMPUTED_VALUE"""),16.0)</f>
        <v>16</v>
      </c>
      <c r="O186" s="176"/>
      <c r="P186" s="183" t="s">
        <v>5</v>
      </c>
      <c r="Q186" s="178" t="s">
        <v>10</v>
      </c>
      <c r="R186" s="176"/>
      <c r="S186" s="176"/>
      <c r="T186" s="176"/>
      <c r="U186" s="176"/>
      <c r="V186" s="176"/>
      <c r="W186" s="176"/>
      <c r="X186" s="176"/>
      <c r="Y186" s="176"/>
      <c r="Z186" s="176"/>
      <c r="AA186" s="176"/>
    </row>
    <row r="187">
      <c r="A187" s="165" t="str">
        <f>iferror(VLOOKUP(P187,'DO NOT TOUCH Imported'!$A$1:$D$800,4,False),iferror(VLOOKUP(P187,'DO NOT TOUCH Imported'!$C$1:$D$800,2,False),"OOPS FIX ME"))</f>
        <v>cranders71</v>
      </c>
      <c r="B187" s="178" t="s">
        <v>10</v>
      </c>
      <c r="C187" s="179" t="s">
        <v>498</v>
      </c>
      <c r="D187" s="180" t="s">
        <v>495</v>
      </c>
      <c r="E187" s="181">
        <v>44323.0</v>
      </c>
      <c r="F187" s="182" t="s">
        <v>499</v>
      </c>
      <c r="G187" s="170">
        <v>500.0</v>
      </c>
      <c r="H187" s="171">
        <v>25.0</v>
      </c>
      <c r="I187" s="171">
        <v>100.0</v>
      </c>
      <c r="J187" s="172">
        <f t="shared" si="7"/>
        <v>0.0004317674408</v>
      </c>
      <c r="K187" s="173">
        <f t="shared" si="8"/>
        <v>0.518120929</v>
      </c>
      <c r="L187" s="174">
        <f t="shared" si="9"/>
        <v>15.11309888</v>
      </c>
      <c r="M187" s="175" t="str">
        <f t="shared" si="10"/>
        <v>cranders71</v>
      </c>
      <c r="N187" s="176">
        <f>IFERROR(__xludf.DUMMYFUNCTION("""COMPUTED_VALUE"""),17.0)</f>
        <v>17</v>
      </c>
      <c r="O187" s="176"/>
      <c r="P187" s="183" t="s">
        <v>5</v>
      </c>
      <c r="Q187" s="178" t="s">
        <v>10</v>
      </c>
      <c r="R187" s="176"/>
      <c r="S187" s="176"/>
      <c r="T187" s="176"/>
      <c r="U187" s="176"/>
      <c r="V187" s="176"/>
      <c r="W187" s="176"/>
      <c r="X187" s="176"/>
      <c r="Y187" s="176"/>
      <c r="Z187" s="176"/>
      <c r="AA187" s="176"/>
    </row>
    <row r="188">
      <c r="A188" s="165" t="str">
        <f>iferror(VLOOKUP(P188,'DO NOT TOUCH Imported'!$A$1:$D$800,4,False),iferror(VLOOKUP(P188,'DO NOT TOUCH Imported'!$C$1:$D$800,2,False),"OOPS FIX ME"))</f>
        <v>cranders71</v>
      </c>
      <c r="B188" s="178" t="s">
        <v>10</v>
      </c>
      <c r="C188" s="179" t="s">
        <v>500</v>
      </c>
      <c r="D188" s="180" t="s">
        <v>495</v>
      </c>
      <c r="E188" s="181">
        <v>44324.0</v>
      </c>
      <c r="F188" s="182" t="s">
        <v>496</v>
      </c>
      <c r="G188" s="170">
        <v>500.0</v>
      </c>
      <c r="H188" s="171">
        <v>25.0</v>
      </c>
      <c r="I188" s="171">
        <v>100.0</v>
      </c>
      <c r="J188" s="172">
        <f t="shared" si="7"/>
        <v>0.0004317674408</v>
      </c>
      <c r="K188" s="173">
        <f t="shared" si="8"/>
        <v>0.518120929</v>
      </c>
      <c r="L188" s="174">
        <f t="shared" si="9"/>
        <v>15.11309888</v>
      </c>
      <c r="M188" s="175" t="str">
        <f t="shared" si="10"/>
        <v>cranders71</v>
      </c>
      <c r="N188" s="176">
        <f>IFERROR(__xludf.DUMMYFUNCTION("""COMPUTED_VALUE"""),18.0)</f>
        <v>18</v>
      </c>
      <c r="O188" s="176"/>
      <c r="P188" s="183" t="s">
        <v>5</v>
      </c>
      <c r="Q188" s="178" t="s">
        <v>10</v>
      </c>
      <c r="R188" s="176"/>
      <c r="S188" s="176"/>
      <c r="T188" s="176"/>
      <c r="U188" s="176"/>
      <c r="V188" s="176"/>
      <c r="W188" s="176"/>
      <c r="X188" s="176"/>
      <c r="Y188" s="176"/>
      <c r="Z188" s="176"/>
      <c r="AA188" s="176"/>
    </row>
    <row r="189">
      <c r="A189" s="165" t="str">
        <f>iferror(VLOOKUP(P189,'DO NOT TOUCH Imported'!$A$1:$D$800,4,False),iferror(VLOOKUP(P189,'DO NOT TOUCH Imported'!$C$1:$D$800,2,False),"OOPS FIX ME"))</f>
        <v>rdfbbx#6437</v>
      </c>
      <c r="B189" s="166" t="s">
        <v>75</v>
      </c>
      <c r="C189" s="167" t="s">
        <v>514</v>
      </c>
      <c r="D189" s="168" t="s">
        <v>437</v>
      </c>
      <c r="E189" s="177" t="s">
        <v>515</v>
      </c>
      <c r="F189" s="168" t="s">
        <v>516</v>
      </c>
      <c r="G189" s="170">
        <v>20000.0</v>
      </c>
      <c r="H189" s="171">
        <v>300.0</v>
      </c>
      <c r="I189" s="171">
        <v>300.0</v>
      </c>
      <c r="J189" s="172">
        <f t="shared" si="7"/>
        <v>0.003944897995</v>
      </c>
      <c r="K189" s="173">
        <f t="shared" si="8"/>
        <v>4.733877594</v>
      </c>
      <c r="L189" s="174">
        <f t="shared" si="9"/>
        <v>14.67233897</v>
      </c>
      <c r="M189" s="175" t="str">
        <f t="shared" si="10"/>
        <v>rdfbbx#6437</v>
      </c>
      <c r="N189" s="176">
        <f>IFERROR(__xludf.DUMMYFUNCTION("""COMPUTED_VALUE"""),1.0)</f>
        <v>1</v>
      </c>
      <c r="O189" s="176"/>
      <c r="P189" s="166" t="s">
        <v>51</v>
      </c>
      <c r="Q189" s="166" t="s">
        <v>75</v>
      </c>
      <c r="R189" s="176"/>
      <c r="S189" s="176"/>
      <c r="T189" s="176"/>
      <c r="U189" s="176"/>
      <c r="V189" s="176"/>
      <c r="W189" s="176"/>
      <c r="X189" s="176"/>
      <c r="Y189" s="176"/>
      <c r="Z189" s="176"/>
      <c r="AA189" s="176"/>
    </row>
    <row r="190">
      <c r="A190" s="165" t="str">
        <f>iferror(VLOOKUP(P190,'DO NOT TOUCH Imported'!$A$1:$D$800,4,False),iferror(VLOOKUP(P190,'DO NOT TOUCH Imported'!$C$1:$D$800,2,False),"OOPS FIX ME"))</f>
        <v>rdfbbx#6437</v>
      </c>
      <c r="B190" s="166" t="s">
        <v>20</v>
      </c>
      <c r="C190" s="167" t="s">
        <v>603</v>
      </c>
      <c r="D190" s="168" t="s">
        <v>437</v>
      </c>
      <c r="E190" s="177" t="s">
        <v>515</v>
      </c>
      <c r="F190" s="168" t="s">
        <v>516</v>
      </c>
      <c r="G190" s="170">
        <v>20000.0</v>
      </c>
      <c r="H190" s="171">
        <v>100.0</v>
      </c>
      <c r="I190" s="171">
        <v>200.0</v>
      </c>
      <c r="J190" s="172">
        <f t="shared" si="7"/>
        <v>0.003006659934</v>
      </c>
      <c r="K190" s="173">
        <f t="shared" si="8"/>
        <v>3.607991921</v>
      </c>
      <c r="L190" s="174">
        <f t="shared" si="9"/>
        <v>14.67233897</v>
      </c>
      <c r="M190" s="175" t="str">
        <f t="shared" si="10"/>
        <v>rdfbbx#6437</v>
      </c>
      <c r="N190" s="176">
        <f>IFERROR(__xludf.DUMMYFUNCTION("""COMPUTED_VALUE"""),2.0)</f>
        <v>2</v>
      </c>
      <c r="O190" s="176"/>
      <c r="P190" s="166" t="s">
        <v>51</v>
      </c>
      <c r="Q190" s="166" t="s">
        <v>20</v>
      </c>
      <c r="R190" s="176"/>
      <c r="S190" s="176"/>
      <c r="T190" s="176"/>
      <c r="U190" s="176"/>
      <c r="V190" s="176"/>
      <c r="W190" s="176"/>
      <c r="X190" s="176"/>
      <c r="Y190" s="176"/>
      <c r="Z190" s="176"/>
      <c r="AA190" s="176"/>
    </row>
    <row r="191">
      <c r="A191" s="165" t="str">
        <f>iferror(VLOOKUP(P191,'DO NOT TOUCH Imported'!$A$1:$D$800,4,False),iferror(VLOOKUP(P191,'DO NOT TOUCH Imported'!$C$1:$D$800,2,False),"OOPS FIX ME"))</f>
        <v>rdfbbx#6437</v>
      </c>
      <c r="B191" s="166" t="s">
        <v>441</v>
      </c>
      <c r="C191" s="167" t="s">
        <v>604</v>
      </c>
      <c r="D191" s="168" t="s">
        <v>499</v>
      </c>
      <c r="E191" s="177" t="s">
        <v>452</v>
      </c>
      <c r="F191" s="168" t="s">
        <v>503</v>
      </c>
      <c r="G191" s="170">
        <v>1000.0</v>
      </c>
      <c r="H191" s="171">
        <v>150.0</v>
      </c>
      <c r="I191" s="171">
        <v>200.0</v>
      </c>
      <c r="J191" s="172">
        <f t="shared" si="7"/>
        <v>0.001182773816</v>
      </c>
      <c r="K191" s="173">
        <f t="shared" si="8"/>
        <v>1.419328579</v>
      </c>
      <c r="L191" s="174">
        <f t="shared" si="9"/>
        <v>14.67233897</v>
      </c>
      <c r="M191" s="175" t="str">
        <f t="shared" si="10"/>
        <v>rdfbbx#6437</v>
      </c>
      <c r="N191" s="176">
        <f>IFERROR(__xludf.DUMMYFUNCTION("""COMPUTED_VALUE"""),3.0)</f>
        <v>3</v>
      </c>
      <c r="O191" s="176"/>
      <c r="P191" s="166" t="s">
        <v>51</v>
      </c>
      <c r="Q191" s="166" t="s">
        <v>441</v>
      </c>
      <c r="R191" s="176"/>
      <c r="S191" s="176"/>
      <c r="T191" s="176"/>
      <c r="U191" s="176"/>
      <c r="V191" s="176"/>
      <c r="W191" s="176"/>
      <c r="X191" s="176"/>
      <c r="Y191" s="176"/>
      <c r="Z191" s="176"/>
      <c r="AA191" s="176"/>
    </row>
    <row r="192">
      <c r="A192" s="165" t="str">
        <f>iferror(VLOOKUP(P192,'DO NOT TOUCH Imported'!$A$1:$D$800,4,False),iferror(VLOOKUP(P192,'DO NOT TOUCH Imported'!$C$1:$D$800,2,False),"OOPS FIX ME"))</f>
        <v>rdfbbx#6437</v>
      </c>
      <c r="B192" s="166" t="s">
        <v>441</v>
      </c>
      <c r="C192" s="167" t="s">
        <v>605</v>
      </c>
      <c r="D192" s="168" t="s">
        <v>437</v>
      </c>
      <c r="E192" s="177" t="s">
        <v>452</v>
      </c>
      <c r="F192" s="168" t="s">
        <v>439</v>
      </c>
      <c r="G192" s="170">
        <v>1000.0</v>
      </c>
      <c r="H192" s="171">
        <v>100.0</v>
      </c>
      <c r="I192" s="171">
        <v>200.0</v>
      </c>
      <c r="J192" s="172">
        <f t="shared" si="7"/>
        <v>0.001023154349</v>
      </c>
      <c r="K192" s="173">
        <f t="shared" si="8"/>
        <v>1.227785219</v>
      </c>
      <c r="L192" s="174">
        <f t="shared" si="9"/>
        <v>14.67233897</v>
      </c>
      <c r="M192" s="175" t="str">
        <f t="shared" si="10"/>
        <v>rdfbbx#6437</v>
      </c>
      <c r="N192" s="176">
        <f>IFERROR(__xludf.DUMMYFUNCTION("""COMPUTED_VALUE"""),4.0)</f>
        <v>4</v>
      </c>
      <c r="O192" s="176"/>
      <c r="P192" s="166" t="s">
        <v>51</v>
      </c>
      <c r="Q192" s="166" t="s">
        <v>441</v>
      </c>
      <c r="R192" s="176"/>
      <c r="S192" s="176"/>
      <c r="T192" s="176"/>
      <c r="U192" s="176"/>
      <c r="V192" s="176"/>
      <c r="W192" s="176"/>
      <c r="X192" s="176"/>
      <c r="Y192" s="176"/>
      <c r="Z192" s="176"/>
      <c r="AA192" s="176"/>
    </row>
    <row r="193">
      <c r="A193" s="165" t="str">
        <f>iferror(VLOOKUP(P193,'DO NOT TOUCH Imported'!$A$1:$D$800,4,False),iferror(VLOOKUP(P193,'DO NOT TOUCH Imported'!$C$1:$D$800,2,False),"OOPS FIX ME"))</f>
        <v>rdfbbx#6437</v>
      </c>
      <c r="B193" s="166" t="s">
        <v>441</v>
      </c>
      <c r="C193" s="167" t="s">
        <v>606</v>
      </c>
      <c r="D193" s="168" t="s">
        <v>437</v>
      </c>
      <c r="E193" s="177" t="s">
        <v>452</v>
      </c>
      <c r="F193" s="168" t="s">
        <v>439</v>
      </c>
      <c r="G193" s="170">
        <v>1000.0</v>
      </c>
      <c r="H193" s="171">
        <v>100.0</v>
      </c>
      <c r="I193" s="171">
        <v>200.0</v>
      </c>
      <c r="J193" s="172">
        <f t="shared" si="7"/>
        <v>0.001023154349</v>
      </c>
      <c r="K193" s="173">
        <f t="shared" si="8"/>
        <v>1.227785219</v>
      </c>
      <c r="L193" s="174">
        <f t="shared" si="9"/>
        <v>14.67233897</v>
      </c>
      <c r="M193" s="175" t="str">
        <f t="shared" si="10"/>
        <v>rdfbbx#6437</v>
      </c>
      <c r="N193" s="176">
        <f>IFERROR(__xludf.DUMMYFUNCTION("""COMPUTED_VALUE"""),5.0)</f>
        <v>5</v>
      </c>
      <c r="O193" s="176"/>
      <c r="P193" s="166" t="s">
        <v>51</v>
      </c>
      <c r="Q193" s="166" t="s">
        <v>441</v>
      </c>
      <c r="R193" s="176"/>
      <c r="S193" s="176"/>
      <c r="T193" s="176"/>
      <c r="U193" s="176"/>
      <c r="V193" s="176"/>
      <c r="W193" s="176"/>
      <c r="X193" s="176"/>
      <c r="Y193" s="176"/>
      <c r="Z193" s="176"/>
      <c r="AA193" s="176"/>
    </row>
    <row r="194">
      <c r="A194" s="165" t="str">
        <f>iferror(VLOOKUP(P194,'DO NOT TOUCH Imported'!$A$1:$D$800,4,False),iferror(VLOOKUP(P194,'DO NOT TOUCH Imported'!$C$1:$D$800,2,False),"OOPS FIX ME"))</f>
        <v>rdfbbx#6437</v>
      </c>
      <c r="B194" s="166" t="s">
        <v>441</v>
      </c>
      <c r="C194" s="167" t="s">
        <v>527</v>
      </c>
      <c r="D194" s="168" t="s">
        <v>437</v>
      </c>
      <c r="E194" s="177" t="s">
        <v>438</v>
      </c>
      <c r="F194" s="168" t="s">
        <v>439</v>
      </c>
      <c r="G194" s="170">
        <v>1000.0</v>
      </c>
      <c r="H194" s="171">
        <v>100.0</v>
      </c>
      <c r="I194" s="171">
        <v>200.0</v>
      </c>
      <c r="J194" s="172">
        <f t="shared" si="7"/>
        <v>0.001023154349</v>
      </c>
      <c r="K194" s="173">
        <f t="shared" si="8"/>
        <v>1.227785219</v>
      </c>
      <c r="L194" s="174">
        <f t="shared" si="9"/>
        <v>14.67233897</v>
      </c>
      <c r="M194" s="175" t="str">
        <f t="shared" si="10"/>
        <v>rdfbbx#6437</v>
      </c>
      <c r="N194" s="176">
        <f>IFERROR(__xludf.DUMMYFUNCTION("""COMPUTED_VALUE"""),6.0)</f>
        <v>6</v>
      </c>
      <c r="O194" s="176"/>
      <c r="P194" s="166" t="s">
        <v>51</v>
      </c>
      <c r="Q194" s="166" t="s">
        <v>441</v>
      </c>
      <c r="R194" s="176"/>
      <c r="S194" s="176"/>
      <c r="T194" s="176"/>
      <c r="U194" s="176"/>
      <c r="V194" s="176"/>
      <c r="W194" s="176"/>
      <c r="X194" s="176"/>
      <c r="Y194" s="176"/>
      <c r="Z194" s="176"/>
      <c r="AA194" s="176"/>
    </row>
    <row r="195">
      <c r="A195" s="165" t="str">
        <f>iferror(VLOOKUP(P195,'DO NOT TOUCH Imported'!$A$1:$D$800,4,False),iferror(VLOOKUP(P195,'DO NOT TOUCH Imported'!$C$1:$D$800,2,False),"OOPS FIX ME"))</f>
        <v>rdfbbx#6437</v>
      </c>
      <c r="B195" s="166" t="s">
        <v>20</v>
      </c>
      <c r="C195" s="167" t="s">
        <v>527</v>
      </c>
      <c r="D195" s="168" t="s">
        <v>437</v>
      </c>
      <c r="E195" s="169" t="s">
        <v>438</v>
      </c>
      <c r="F195" s="168" t="s">
        <v>439</v>
      </c>
      <c r="G195" s="170">
        <v>1000.0</v>
      </c>
      <c r="H195" s="171">
        <v>100.0</v>
      </c>
      <c r="I195" s="171">
        <v>200.0</v>
      </c>
      <c r="J195" s="172">
        <f t="shared" si="7"/>
        <v>0.001023154349</v>
      </c>
      <c r="K195" s="173">
        <f t="shared" si="8"/>
        <v>1.227785219</v>
      </c>
      <c r="L195" s="174">
        <f t="shared" si="9"/>
        <v>14.67233897</v>
      </c>
      <c r="M195" s="175" t="str">
        <f t="shared" si="10"/>
        <v>rdfbbx#6437</v>
      </c>
      <c r="N195" s="176">
        <f>IFERROR(__xludf.DUMMYFUNCTION("""COMPUTED_VALUE"""),7.0)</f>
        <v>7</v>
      </c>
      <c r="O195" s="176"/>
      <c r="P195" s="166" t="s">
        <v>51</v>
      </c>
      <c r="Q195" s="166" t="s">
        <v>20</v>
      </c>
      <c r="R195" s="176"/>
      <c r="S195" s="176"/>
      <c r="T195" s="176"/>
      <c r="U195" s="176"/>
      <c r="V195" s="176"/>
      <c r="W195" s="176"/>
      <c r="X195" s="176"/>
      <c r="Y195" s="176"/>
      <c r="Z195" s="176"/>
      <c r="AA195" s="176"/>
    </row>
    <row r="196">
      <c r="A196" s="165" t="str">
        <f>iferror(VLOOKUP(P196,'DO NOT TOUCH Imported'!$A$1:$D$800,4,False),iferror(VLOOKUP(P196,'DO NOT TOUCH Imported'!$C$1:$D$800,2,False),"OOPS FIX ME"))</f>
        <v>Nuggan#5183</v>
      </c>
      <c r="B196" s="166" t="s">
        <v>450</v>
      </c>
      <c r="C196" s="167" t="s">
        <v>552</v>
      </c>
      <c r="D196" s="168" t="s">
        <v>437</v>
      </c>
      <c r="E196" s="177" t="s">
        <v>452</v>
      </c>
      <c r="F196" s="168" t="s">
        <v>453</v>
      </c>
      <c r="G196" s="170">
        <v>1000.0</v>
      </c>
      <c r="H196" s="171">
        <v>200.0</v>
      </c>
      <c r="I196" s="171">
        <v>400.0</v>
      </c>
      <c r="J196" s="172">
        <f t="shared" si="7"/>
        <v>0.001941913667</v>
      </c>
      <c r="K196" s="173">
        <f t="shared" si="8"/>
        <v>2.3302964</v>
      </c>
      <c r="L196" s="174">
        <f t="shared" si="9"/>
        <v>14.54507931</v>
      </c>
      <c r="M196" s="175" t="str">
        <f t="shared" si="10"/>
        <v>Nuggan#5183</v>
      </c>
      <c r="N196" s="176">
        <f>IFERROR(__xludf.DUMMYFUNCTION("""COMPUTED_VALUE"""),1.0)</f>
        <v>1</v>
      </c>
      <c r="O196" s="176"/>
      <c r="P196" s="166" t="s">
        <v>93</v>
      </c>
      <c r="Q196" s="166" t="s">
        <v>450</v>
      </c>
      <c r="R196" s="176"/>
      <c r="S196" s="176"/>
      <c r="T196" s="176"/>
      <c r="U196" s="176"/>
      <c r="V196" s="176"/>
      <c r="W196" s="176"/>
      <c r="X196" s="176"/>
      <c r="Y196" s="176"/>
      <c r="Z196" s="176"/>
      <c r="AA196" s="176"/>
    </row>
    <row r="197">
      <c r="A197" s="165" t="str">
        <f>iferror(VLOOKUP(P197,'DO NOT TOUCH Imported'!$A$1:$D$800,4,False),iferror(VLOOKUP(P197,'DO NOT TOUCH Imported'!$C$1:$D$800,2,False),"OOPS FIX ME"))</f>
        <v>Nuggan#5183</v>
      </c>
      <c r="B197" s="166" t="s">
        <v>441</v>
      </c>
      <c r="C197" s="167" t="s">
        <v>607</v>
      </c>
      <c r="D197" s="168" t="s">
        <v>437</v>
      </c>
      <c r="E197" s="177" t="s">
        <v>438</v>
      </c>
      <c r="F197" s="168" t="s">
        <v>439</v>
      </c>
      <c r="G197" s="170">
        <v>10000.0</v>
      </c>
      <c r="H197" s="171">
        <v>100.0</v>
      </c>
      <c r="I197" s="171">
        <v>100.0</v>
      </c>
      <c r="J197" s="172">
        <f t="shared" si="7"/>
        <v>0.001662949434</v>
      </c>
      <c r="K197" s="173">
        <f t="shared" si="8"/>
        <v>1.995539321</v>
      </c>
      <c r="L197" s="174">
        <f t="shared" si="9"/>
        <v>14.54507931</v>
      </c>
      <c r="M197" s="175" t="str">
        <f t="shared" si="10"/>
        <v>Nuggan#5183</v>
      </c>
      <c r="N197" s="176">
        <f>IFERROR(__xludf.DUMMYFUNCTION("""COMPUTED_VALUE"""),2.0)</f>
        <v>2</v>
      </c>
      <c r="O197" s="176"/>
      <c r="P197" s="166" t="s">
        <v>93</v>
      </c>
      <c r="Q197" s="166" t="s">
        <v>441</v>
      </c>
      <c r="R197" s="176"/>
      <c r="S197" s="176"/>
      <c r="T197" s="176"/>
      <c r="U197" s="176"/>
      <c r="V197" s="176"/>
      <c r="W197" s="176"/>
      <c r="X197" s="176"/>
      <c r="Y197" s="176"/>
      <c r="Z197" s="176"/>
      <c r="AA197" s="176"/>
    </row>
    <row r="198">
      <c r="A198" s="165" t="str">
        <f>iferror(VLOOKUP(P198,'DO NOT TOUCH Imported'!$A$1:$D$800,4,False),iferror(VLOOKUP(P198,'DO NOT TOUCH Imported'!$C$1:$D$800,2,False),"OOPS FIX ME"))</f>
        <v>Nuggan#5183</v>
      </c>
      <c r="B198" s="166" t="s">
        <v>441</v>
      </c>
      <c r="C198" s="167" t="s">
        <v>442</v>
      </c>
      <c r="D198" s="168" t="s">
        <v>437</v>
      </c>
      <c r="E198" s="169" t="s">
        <v>438</v>
      </c>
      <c r="F198" s="168" t="s">
        <v>439</v>
      </c>
      <c r="G198" s="170">
        <v>10000.0</v>
      </c>
      <c r="H198" s="171">
        <v>100.0</v>
      </c>
      <c r="I198" s="171">
        <v>100.0</v>
      </c>
      <c r="J198" s="172">
        <f t="shared" si="7"/>
        <v>0.001662949434</v>
      </c>
      <c r="K198" s="173">
        <f t="shared" si="8"/>
        <v>1.995539321</v>
      </c>
      <c r="L198" s="174">
        <f t="shared" si="9"/>
        <v>14.54507931</v>
      </c>
      <c r="M198" s="175" t="str">
        <f t="shared" si="10"/>
        <v>Nuggan#5183</v>
      </c>
      <c r="N198" s="176">
        <f>IFERROR(__xludf.DUMMYFUNCTION("""COMPUTED_VALUE"""),3.0)</f>
        <v>3</v>
      </c>
      <c r="O198" s="176"/>
      <c r="P198" s="166" t="s">
        <v>93</v>
      </c>
      <c r="Q198" s="166" t="s">
        <v>441</v>
      </c>
      <c r="R198" s="176"/>
      <c r="S198" s="176"/>
      <c r="T198" s="176"/>
      <c r="U198" s="176"/>
      <c r="V198" s="176"/>
      <c r="W198" s="176"/>
      <c r="X198" s="176"/>
      <c r="Y198" s="176"/>
      <c r="Z198" s="176"/>
      <c r="AA198" s="176"/>
    </row>
    <row r="199">
      <c r="A199" s="165" t="str">
        <f>iferror(VLOOKUP(P199,'DO NOT TOUCH Imported'!$A$1:$D$800,4,False),iferror(VLOOKUP(P199,'DO NOT TOUCH Imported'!$C$1:$D$800,2,False),"OOPS FIX ME"))</f>
        <v>Nuggan#5183</v>
      </c>
      <c r="B199" s="166" t="s">
        <v>441</v>
      </c>
      <c r="C199" s="167" t="s">
        <v>608</v>
      </c>
      <c r="D199" s="168" t="s">
        <v>437</v>
      </c>
      <c r="E199" s="177" t="s">
        <v>438</v>
      </c>
      <c r="F199" s="168" t="s">
        <v>439</v>
      </c>
      <c r="G199" s="170">
        <v>1000.0</v>
      </c>
      <c r="H199" s="171">
        <v>200.0</v>
      </c>
      <c r="I199" s="171">
        <v>100.0</v>
      </c>
      <c r="J199" s="172">
        <f t="shared" si="7"/>
        <v>0.001042633091</v>
      </c>
      <c r="K199" s="173">
        <f t="shared" si="8"/>
        <v>1.25115971</v>
      </c>
      <c r="L199" s="174">
        <f t="shared" si="9"/>
        <v>14.54507931</v>
      </c>
      <c r="M199" s="175" t="str">
        <f t="shared" si="10"/>
        <v>Nuggan#5183</v>
      </c>
      <c r="N199" s="176">
        <f>IFERROR(__xludf.DUMMYFUNCTION("""COMPUTED_VALUE"""),4.0)</f>
        <v>4</v>
      </c>
      <c r="O199" s="176"/>
      <c r="P199" s="166" t="s">
        <v>93</v>
      </c>
      <c r="Q199" s="166" t="s">
        <v>441</v>
      </c>
      <c r="R199" s="176"/>
      <c r="S199" s="176"/>
      <c r="T199" s="176"/>
      <c r="U199" s="176"/>
      <c r="V199" s="176"/>
      <c r="W199" s="176"/>
      <c r="X199" s="176"/>
      <c r="Y199" s="176"/>
      <c r="Z199" s="176"/>
      <c r="AA199" s="176"/>
    </row>
    <row r="200">
      <c r="A200" s="165" t="str">
        <f>iferror(VLOOKUP(P200,'DO NOT TOUCH Imported'!$A$1:$D$800,4,False),iferror(VLOOKUP(P200,'DO NOT TOUCH Imported'!$C$1:$D$800,2,False),"OOPS FIX ME"))</f>
        <v>Nuggan#5183</v>
      </c>
      <c r="B200" s="166" t="s">
        <v>441</v>
      </c>
      <c r="C200" s="167" t="s">
        <v>609</v>
      </c>
      <c r="D200" s="168" t="s">
        <v>437</v>
      </c>
      <c r="E200" s="177" t="s">
        <v>438</v>
      </c>
      <c r="F200" s="168" t="s">
        <v>439</v>
      </c>
      <c r="G200" s="170">
        <v>1000.0</v>
      </c>
      <c r="H200" s="171">
        <v>200.0</v>
      </c>
      <c r="I200" s="171">
        <v>100.0</v>
      </c>
      <c r="J200" s="172">
        <f t="shared" si="7"/>
        <v>0.001042633091</v>
      </c>
      <c r="K200" s="173">
        <f t="shared" si="8"/>
        <v>1.25115971</v>
      </c>
      <c r="L200" s="174">
        <f t="shared" si="9"/>
        <v>14.54507931</v>
      </c>
      <c r="M200" s="175" t="str">
        <f t="shared" si="10"/>
        <v>Nuggan#5183</v>
      </c>
      <c r="N200" s="176">
        <f>IFERROR(__xludf.DUMMYFUNCTION("""COMPUTED_VALUE"""),5.0)</f>
        <v>5</v>
      </c>
      <c r="O200" s="176"/>
      <c r="P200" s="166" t="s">
        <v>93</v>
      </c>
      <c r="Q200" s="166" t="s">
        <v>441</v>
      </c>
      <c r="R200" s="176"/>
      <c r="S200" s="176"/>
      <c r="T200" s="176"/>
      <c r="U200" s="176"/>
      <c r="V200" s="176"/>
      <c r="W200" s="176"/>
      <c r="X200" s="176"/>
      <c r="Y200" s="176"/>
      <c r="Z200" s="176"/>
      <c r="AA200" s="176"/>
    </row>
    <row r="201">
      <c r="A201" s="165" t="str">
        <f>iferror(VLOOKUP(P201,'DO NOT TOUCH Imported'!$A$1:$D$800,4,False),iferror(VLOOKUP(P201,'DO NOT TOUCH Imported'!$C$1:$D$800,2,False),"OOPS FIX ME"))</f>
        <v>Nuggan#5183</v>
      </c>
      <c r="B201" s="166" t="s">
        <v>441</v>
      </c>
      <c r="C201" s="167" t="s">
        <v>456</v>
      </c>
      <c r="D201" s="168" t="s">
        <v>437</v>
      </c>
      <c r="E201" s="169" t="s">
        <v>438</v>
      </c>
      <c r="F201" s="168" t="s">
        <v>439</v>
      </c>
      <c r="G201" s="170">
        <v>1000.0</v>
      </c>
      <c r="H201" s="171">
        <v>100.0</v>
      </c>
      <c r="I201" s="171">
        <v>200.0</v>
      </c>
      <c r="J201" s="172">
        <f t="shared" si="7"/>
        <v>0.001023154349</v>
      </c>
      <c r="K201" s="173">
        <f t="shared" si="8"/>
        <v>1.227785219</v>
      </c>
      <c r="L201" s="174">
        <f t="shared" si="9"/>
        <v>14.54507931</v>
      </c>
      <c r="M201" s="175" t="str">
        <f t="shared" si="10"/>
        <v>Nuggan#5183</v>
      </c>
      <c r="N201" s="176">
        <f>IFERROR(__xludf.DUMMYFUNCTION("""COMPUTED_VALUE"""),6.0)</f>
        <v>6</v>
      </c>
      <c r="O201" s="176"/>
      <c r="P201" s="166" t="s">
        <v>93</v>
      </c>
      <c r="Q201" s="166" t="s">
        <v>441</v>
      </c>
      <c r="R201" s="176"/>
      <c r="S201" s="176"/>
      <c r="T201" s="176"/>
      <c r="U201" s="176"/>
      <c r="V201" s="176"/>
      <c r="W201" s="176"/>
      <c r="X201" s="176"/>
      <c r="Y201" s="176"/>
      <c r="Z201" s="176"/>
      <c r="AA201" s="176"/>
    </row>
    <row r="202">
      <c r="A202" s="165" t="str">
        <f>iferror(VLOOKUP(P202,'DO NOT TOUCH Imported'!$A$1:$D$800,4,False),iferror(VLOOKUP(P202,'DO NOT TOUCH Imported'!$C$1:$D$800,2,False),"OOPS FIX ME"))</f>
        <v>Nuggan#5183</v>
      </c>
      <c r="B202" s="166" t="s">
        <v>441</v>
      </c>
      <c r="C202" s="167" t="s">
        <v>610</v>
      </c>
      <c r="D202" s="168" t="s">
        <v>437</v>
      </c>
      <c r="E202" s="177" t="s">
        <v>447</v>
      </c>
      <c r="F202" s="168" t="s">
        <v>439</v>
      </c>
      <c r="G202" s="170">
        <v>1000.0</v>
      </c>
      <c r="H202" s="171">
        <v>150.0</v>
      </c>
      <c r="I202" s="171">
        <v>100.0</v>
      </c>
      <c r="J202" s="172">
        <f t="shared" si="7"/>
        <v>0.0008830136242</v>
      </c>
      <c r="K202" s="173">
        <f t="shared" si="8"/>
        <v>1.059616349</v>
      </c>
      <c r="L202" s="174">
        <f t="shared" si="9"/>
        <v>14.54507931</v>
      </c>
      <c r="M202" s="175" t="str">
        <f t="shared" si="10"/>
        <v>Nuggan#5183</v>
      </c>
      <c r="N202" s="176">
        <f>IFERROR(__xludf.DUMMYFUNCTION("""COMPUTED_VALUE"""),7.0)</f>
        <v>7</v>
      </c>
      <c r="O202" s="176"/>
      <c r="P202" s="166" t="s">
        <v>93</v>
      </c>
      <c r="Q202" s="166" t="s">
        <v>441</v>
      </c>
      <c r="R202" s="176"/>
      <c r="S202" s="176"/>
      <c r="T202" s="176"/>
      <c r="U202" s="176"/>
      <c r="V202" s="176"/>
      <c r="W202" s="176"/>
      <c r="X202" s="176"/>
      <c r="Y202" s="176"/>
      <c r="Z202" s="176"/>
      <c r="AA202" s="176"/>
    </row>
    <row r="203">
      <c r="A203" s="165" t="str">
        <f>iferror(VLOOKUP(P203,'DO NOT TOUCH Imported'!$A$1:$D$800,4,False),iferror(VLOOKUP(P203,'DO NOT TOUCH Imported'!$C$1:$D$800,2,False),"OOPS FIX ME"))</f>
        <v>Nuggan#5183</v>
      </c>
      <c r="B203" s="166" t="s">
        <v>450</v>
      </c>
      <c r="C203" s="167" t="s">
        <v>472</v>
      </c>
      <c r="D203" s="168" t="s">
        <v>437</v>
      </c>
      <c r="E203" s="169" t="s">
        <v>452</v>
      </c>
      <c r="F203" s="168" t="s">
        <v>473</v>
      </c>
      <c r="G203" s="170">
        <v>1000.0</v>
      </c>
      <c r="H203" s="171">
        <v>100.0</v>
      </c>
      <c r="I203" s="171">
        <v>100.0</v>
      </c>
      <c r="J203" s="172">
        <f t="shared" si="7"/>
        <v>0.000723394157</v>
      </c>
      <c r="K203" s="173">
        <f t="shared" si="8"/>
        <v>0.8680729884</v>
      </c>
      <c r="L203" s="174">
        <f t="shared" si="9"/>
        <v>14.54507931</v>
      </c>
      <c r="M203" s="175" t="str">
        <f t="shared" si="10"/>
        <v>Nuggan#5183</v>
      </c>
      <c r="N203" s="176">
        <f>IFERROR(__xludf.DUMMYFUNCTION("""COMPUTED_VALUE"""),8.0)</f>
        <v>8</v>
      </c>
      <c r="O203" s="176"/>
      <c r="P203" s="166" t="s">
        <v>93</v>
      </c>
      <c r="Q203" s="166" t="s">
        <v>450</v>
      </c>
      <c r="R203" s="176"/>
      <c r="S203" s="176"/>
      <c r="T203" s="176"/>
      <c r="U203" s="176"/>
      <c r="V203" s="176"/>
      <c r="W203" s="176"/>
      <c r="X203" s="176"/>
      <c r="Y203" s="176"/>
      <c r="Z203" s="176"/>
      <c r="AA203" s="176"/>
    </row>
    <row r="204">
      <c r="A204" s="165" t="str">
        <f>iferror(VLOOKUP(P204,'DO NOT TOUCH Imported'!$A$1:$D$800,4,False),iferror(VLOOKUP(P204,'DO NOT TOUCH Imported'!$C$1:$D$800,2,False),"OOPS FIX ME"))</f>
        <v>Nuggan#5183</v>
      </c>
      <c r="B204" s="166" t="s">
        <v>483</v>
      </c>
      <c r="C204" s="167" t="s">
        <v>611</v>
      </c>
      <c r="D204" s="168" t="s">
        <v>437</v>
      </c>
      <c r="E204" s="169" t="s">
        <v>455</v>
      </c>
      <c r="F204" s="168" t="s">
        <v>439</v>
      </c>
      <c r="G204" s="170">
        <v>1000.0</v>
      </c>
      <c r="H204" s="171">
        <v>100.0</v>
      </c>
      <c r="I204" s="171">
        <v>100.0</v>
      </c>
      <c r="J204" s="172">
        <f t="shared" si="7"/>
        <v>0.000723394157</v>
      </c>
      <c r="K204" s="173">
        <f t="shared" si="8"/>
        <v>0.8680729884</v>
      </c>
      <c r="L204" s="174">
        <f t="shared" si="9"/>
        <v>14.54507931</v>
      </c>
      <c r="M204" s="175" t="str">
        <f t="shared" si="10"/>
        <v>Nuggan#5183</v>
      </c>
      <c r="N204" s="176">
        <f>IFERROR(__xludf.DUMMYFUNCTION("""COMPUTED_VALUE"""),9.0)</f>
        <v>9</v>
      </c>
      <c r="O204" s="176"/>
      <c r="P204" s="166" t="s">
        <v>93</v>
      </c>
      <c r="Q204" s="166" t="s">
        <v>483</v>
      </c>
      <c r="R204" s="176"/>
      <c r="S204" s="176"/>
      <c r="T204" s="176"/>
      <c r="U204" s="176"/>
      <c r="V204" s="176"/>
      <c r="W204" s="176"/>
      <c r="X204" s="176"/>
      <c r="Y204" s="176"/>
      <c r="Z204" s="176"/>
      <c r="AA204" s="176"/>
    </row>
    <row r="205">
      <c r="A205" s="165" t="str">
        <f>iferror(VLOOKUP(P205,'DO NOT TOUCH Imported'!$A$1:$D$800,4,False),iferror(VLOOKUP(P205,'DO NOT TOUCH Imported'!$C$1:$D$800,2,False),"OOPS FIX ME"))</f>
        <v>Nuggan#5183</v>
      </c>
      <c r="B205" s="166" t="s">
        <v>483</v>
      </c>
      <c r="C205" s="167" t="s">
        <v>612</v>
      </c>
      <c r="D205" s="168" t="s">
        <v>437</v>
      </c>
      <c r="E205" s="169" t="s">
        <v>455</v>
      </c>
      <c r="F205" s="168" t="s">
        <v>439</v>
      </c>
      <c r="G205" s="170">
        <v>1000.0</v>
      </c>
      <c r="H205" s="171">
        <v>100.0</v>
      </c>
      <c r="I205" s="171">
        <v>100.0</v>
      </c>
      <c r="J205" s="172">
        <f t="shared" si="7"/>
        <v>0.000723394157</v>
      </c>
      <c r="K205" s="173">
        <f t="shared" si="8"/>
        <v>0.8680729884</v>
      </c>
      <c r="L205" s="174">
        <f t="shared" si="9"/>
        <v>14.54507931</v>
      </c>
      <c r="M205" s="175" t="str">
        <f t="shared" si="10"/>
        <v>Nuggan#5183</v>
      </c>
      <c r="N205" s="176">
        <f>IFERROR(__xludf.DUMMYFUNCTION("""COMPUTED_VALUE"""),10.0)</f>
        <v>10</v>
      </c>
      <c r="O205" s="176"/>
      <c r="P205" s="166" t="s">
        <v>93</v>
      </c>
      <c r="Q205" s="166" t="s">
        <v>483</v>
      </c>
      <c r="R205" s="176"/>
      <c r="S205" s="176"/>
      <c r="T205" s="176"/>
      <c r="U205" s="176"/>
      <c r="V205" s="176"/>
      <c r="W205" s="176"/>
      <c r="X205" s="176"/>
      <c r="Y205" s="176"/>
      <c r="Z205" s="176"/>
      <c r="AA205" s="176"/>
    </row>
    <row r="206">
      <c r="A206" s="165" t="str">
        <f>iferror(VLOOKUP(P206,'DO NOT TOUCH Imported'!$A$1:$D$800,4,False),iferror(VLOOKUP(P206,'DO NOT TOUCH Imported'!$C$1:$D$800,2,False),"OOPS FIX ME"))</f>
        <v>Nuggan#5183</v>
      </c>
      <c r="B206" s="166" t="s">
        <v>476</v>
      </c>
      <c r="C206" s="167" t="s">
        <v>477</v>
      </c>
      <c r="D206" s="168" t="s">
        <v>437</v>
      </c>
      <c r="E206" s="177" t="s">
        <v>478</v>
      </c>
      <c r="F206" s="168" t="s">
        <v>439</v>
      </c>
      <c r="G206" s="170">
        <v>1000.0</v>
      </c>
      <c r="H206" s="171">
        <v>90.0</v>
      </c>
      <c r="I206" s="171">
        <v>100.0</v>
      </c>
      <c r="J206" s="172">
        <f t="shared" si="7"/>
        <v>0.0006914702636</v>
      </c>
      <c r="K206" s="173">
        <f t="shared" si="8"/>
        <v>0.8297643163</v>
      </c>
      <c r="L206" s="174">
        <f t="shared" si="9"/>
        <v>14.54507931</v>
      </c>
      <c r="M206" s="175" t="str">
        <f t="shared" si="10"/>
        <v>Nuggan#5183</v>
      </c>
      <c r="N206" s="176">
        <f>IFERROR(__xludf.DUMMYFUNCTION("""COMPUTED_VALUE"""),11.0)</f>
        <v>11</v>
      </c>
      <c r="O206" s="176"/>
      <c r="P206" s="166" t="s">
        <v>93</v>
      </c>
      <c r="Q206" s="166" t="s">
        <v>476</v>
      </c>
      <c r="R206" s="176"/>
      <c r="S206" s="176"/>
      <c r="T206" s="176"/>
      <c r="U206" s="176"/>
      <c r="V206" s="176"/>
      <c r="W206" s="176"/>
      <c r="X206" s="176"/>
      <c r="Y206" s="176"/>
      <c r="Z206" s="176"/>
      <c r="AA206" s="176"/>
    </row>
    <row r="207">
      <c r="A207" s="165" t="str">
        <f>iferror(VLOOKUP(P207,'DO NOT TOUCH Imported'!$A$1:$D$800,4,False),iferror(VLOOKUP(P207,'DO NOT TOUCH Imported'!$C$1:$D$800,2,False),"OOPS FIX ME"))</f>
        <v>Mount Manu#3530</v>
      </c>
      <c r="B207" s="166" t="s">
        <v>483</v>
      </c>
      <c r="C207" s="167" t="s">
        <v>613</v>
      </c>
      <c r="D207" s="168" t="s">
        <v>437</v>
      </c>
      <c r="E207" s="169" t="s">
        <v>445</v>
      </c>
      <c r="F207" s="168" t="s">
        <v>439</v>
      </c>
      <c r="G207" s="170">
        <v>1000.0</v>
      </c>
      <c r="H207" s="171">
        <v>200.0</v>
      </c>
      <c r="I207" s="171">
        <v>200.0</v>
      </c>
      <c r="J207" s="172">
        <f t="shared" si="7"/>
        <v>0.001342393283</v>
      </c>
      <c r="K207" s="173">
        <f t="shared" si="8"/>
        <v>1.61087194</v>
      </c>
      <c r="L207" s="174">
        <f t="shared" si="9"/>
        <v>13.61524525</v>
      </c>
      <c r="M207" s="175" t="str">
        <f t="shared" si="10"/>
        <v>Mount Manu#3530</v>
      </c>
      <c r="N207" s="176">
        <f>IFERROR(__xludf.DUMMYFUNCTION("""COMPUTED_VALUE"""),1.0)</f>
        <v>1</v>
      </c>
      <c r="O207" s="176"/>
      <c r="P207" s="166" t="s">
        <v>32</v>
      </c>
      <c r="Q207" s="166" t="s">
        <v>483</v>
      </c>
      <c r="R207" s="176"/>
      <c r="S207" s="176"/>
      <c r="T207" s="176"/>
      <c r="U207" s="176"/>
      <c r="V207" s="176"/>
      <c r="W207" s="176"/>
      <c r="X207" s="176"/>
      <c r="Y207" s="176"/>
      <c r="Z207" s="176"/>
      <c r="AA207" s="176"/>
    </row>
    <row r="208">
      <c r="A208" s="165" t="str">
        <f>iferror(VLOOKUP(P208,'DO NOT TOUCH Imported'!$A$1:$D$800,4,False),iferror(VLOOKUP(P208,'DO NOT TOUCH Imported'!$C$1:$D$800,2,False),"OOPS FIX ME"))</f>
        <v>Mount Manu#3530</v>
      </c>
      <c r="B208" s="166" t="s">
        <v>440</v>
      </c>
      <c r="C208" s="167" t="s">
        <v>614</v>
      </c>
      <c r="D208" s="168" t="s">
        <v>437</v>
      </c>
      <c r="E208" s="169" t="s">
        <v>455</v>
      </c>
      <c r="F208" s="168" t="s">
        <v>439</v>
      </c>
      <c r="G208" s="170">
        <v>1000.0</v>
      </c>
      <c r="H208" s="171">
        <v>100.0</v>
      </c>
      <c r="I208" s="171">
        <v>300.0</v>
      </c>
      <c r="J208" s="172">
        <f t="shared" si="7"/>
        <v>0.001322914541</v>
      </c>
      <c r="K208" s="173">
        <f t="shared" si="8"/>
        <v>1.587497449</v>
      </c>
      <c r="L208" s="174">
        <f t="shared" si="9"/>
        <v>13.61524525</v>
      </c>
      <c r="M208" s="175" t="str">
        <f t="shared" si="10"/>
        <v>Mount Manu#3530</v>
      </c>
      <c r="N208" s="176">
        <f>IFERROR(__xludf.DUMMYFUNCTION("""COMPUTED_VALUE"""),2.0)</f>
        <v>2</v>
      </c>
      <c r="O208" s="176"/>
      <c r="P208" s="166" t="s">
        <v>32</v>
      </c>
      <c r="Q208" s="166" t="s">
        <v>440</v>
      </c>
      <c r="R208" s="176"/>
      <c r="S208" s="176"/>
      <c r="T208" s="176"/>
      <c r="U208" s="176"/>
      <c r="V208" s="176"/>
      <c r="W208" s="176"/>
      <c r="X208" s="176"/>
      <c r="Y208" s="176"/>
      <c r="Z208" s="176"/>
      <c r="AA208" s="176"/>
    </row>
    <row r="209">
      <c r="A209" s="165" t="str">
        <f>iferror(VLOOKUP(P209,'DO NOT TOUCH Imported'!$A$1:$D$800,4,False),iferror(VLOOKUP(P209,'DO NOT TOUCH Imported'!$C$1:$D$800,2,False),"OOPS FIX ME"))</f>
        <v>Mount Manu#3530</v>
      </c>
      <c r="B209" s="166" t="s">
        <v>483</v>
      </c>
      <c r="C209" s="167" t="s">
        <v>615</v>
      </c>
      <c r="D209" s="168" t="s">
        <v>437</v>
      </c>
      <c r="E209" s="169" t="s">
        <v>488</v>
      </c>
      <c r="F209" s="168" t="s">
        <v>439</v>
      </c>
      <c r="G209" s="170">
        <v>1000.0</v>
      </c>
      <c r="H209" s="171">
        <v>200.0</v>
      </c>
      <c r="I209" s="171">
        <v>100.0</v>
      </c>
      <c r="J209" s="172">
        <f t="shared" si="7"/>
        <v>0.001042633091</v>
      </c>
      <c r="K209" s="173">
        <f t="shared" si="8"/>
        <v>1.25115971</v>
      </c>
      <c r="L209" s="174">
        <f t="shared" si="9"/>
        <v>13.61524525</v>
      </c>
      <c r="M209" s="175" t="str">
        <f t="shared" si="10"/>
        <v>Mount Manu#3530</v>
      </c>
      <c r="N209" s="176">
        <f>IFERROR(__xludf.DUMMYFUNCTION("""COMPUTED_VALUE"""),3.0)</f>
        <v>3</v>
      </c>
      <c r="O209" s="176"/>
      <c r="P209" s="166" t="s">
        <v>32</v>
      </c>
      <c r="Q209" s="166" t="s">
        <v>483</v>
      </c>
      <c r="R209" s="176"/>
      <c r="S209" s="176"/>
      <c r="T209" s="176"/>
      <c r="U209" s="176"/>
      <c r="V209" s="176"/>
      <c r="W209" s="176"/>
      <c r="X209" s="176"/>
      <c r="Y209" s="176"/>
      <c r="Z209" s="176"/>
      <c r="AA209" s="176"/>
    </row>
    <row r="210">
      <c r="A210" s="165" t="str">
        <f>iferror(VLOOKUP(P210,'DO NOT TOUCH Imported'!$A$1:$D$800,4,False),iferror(VLOOKUP(P210,'DO NOT TOUCH Imported'!$C$1:$D$800,2,False),"OOPS FIX ME"))</f>
        <v>Mount Manu#3530</v>
      </c>
      <c r="B210" s="166" t="s">
        <v>441</v>
      </c>
      <c r="C210" s="167" t="s">
        <v>616</v>
      </c>
      <c r="D210" s="168" t="s">
        <v>437</v>
      </c>
      <c r="E210" s="177" t="s">
        <v>438</v>
      </c>
      <c r="F210" s="168" t="s">
        <v>439</v>
      </c>
      <c r="G210" s="170">
        <v>1000.0</v>
      </c>
      <c r="H210" s="171">
        <v>150.0</v>
      </c>
      <c r="I210" s="171">
        <v>100.0</v>
      </c>
      <c r="J210" s="172">
        <f t="shared" si="7"/>
        <v>0.0008830136242</v>
      </c>
      <c r="K210" s="173">
        <f t="shared" si="8"/>
        <v>1.059616349</v>
      </c>
      <c r="L210" s="174">
        <f t="shared" si="9"/>
        <v>13.61524525</v>
      </c>
      <c r="M210" s="175" t="str">
        <f t="shared" si="10"/>
        <v>Mount Manu#3530</v>
      </c>
      <c r="N210" s="176">
        <f>IFERROR(__xludf.DUMMYFUNCTION("""COMPUTED_VALUE"""),4.0)</f>
        <v>4</v>
      </c>
      <c r="O210" s="176"/>
      <c r="P210" s="166" t="s">
        <v>32</v>
      </c>
      <c r="Q210" s="166" t="s">
        <v>441</v>
      </c>
      <c r="R210" s="176"/>
      <c r="S210" s="176"/>
      <c r="T210" s="176"/>
      <c r="U210" s="176"/>
      <c r="V210" s="176"/>
      <c r="W210" s="176"/>
      <c r="X210" s="176"/>
      <c r="Y210" s="176"/>
      <c r="Z210" s="176"/>
      <c r="AA210" s="176"/>
    </row>
    <row r="211">
      <c r="A211" s="165" t="str">
        <f>iferror(VLOOKUP(P211,'DO NOT TOUCH Imported'!$A$1:$D$800,4,False),iferror(VLOOKUP(P211,'DO NOT TOUCH Imported'!$C$1:$D$800,2,False),"OOPS FIX ME"))</f>
        <v>Mount Manu#3530</v>
      </c>
      <c r="B211" s="166" t="s">
        <v>443</v>
      </c>
      <c r="C211" s="167" t="s">
        <v>617</v>
      </c>
      <c r="D211" s="168" t="s">
        <v>437</v>
      </c>
      <c r="E211" s="177" t="s">
        <v>488</v>
      </c>
      <c r="F211" s="168" t="s">
        <v>439</v>
      </c>
      <c r="G211" s="170">
        <v>1000.0</v>
      </c>
      <c r="H211" s="171">
        <v>100.0</v>
      </c>
      <c r="I211" s="171">
        <v>100.0</v>
      </c>
      <c r="J211" s="172">
        <f t="shared" si="7"/>
        <v>0.000723394157</v>
      </c>
      <c r="K211" s="173">
        <f t="shared" si="8"/>
        <v>0.8680729884</v>
      </c>
      <c r="L211" s="174">
        <f t="shared" si="9"/>
        <v>13.61524525</v>
      </c>
      <c r="M211" s="175" t="str">
        <f t="shared" si="10"/>
        <v>Mount Manu#3530</v>
      </c>
      <c r="N211" s="176">
        <f>IFERROR(__xludf.DUMMYFUNCTION("""COMPUTED_VALUE"""),5.0)</f>
        <v>5</v>
      </c>
      <c r="O211" s="176"/>
      <c r="P211" s="166" t="s">
        <v>32</v>
      </c>
      <c r="Q211" s="166" t="s">
        <v>443</v>
      </c>
      <c r="R211" s="176"/>
      <c r="S211" s="176"/>
      <c r="T211" s="176"/>
      <c r="U211" s="176"/>
      <c r="V211" s="176"/>
      <c r="W211" s="176"/>
      <c r="X211" s="176"/>
      <c r="Y211" s="176"/>
      <c r="Z211" s="176"/>
      <c r="AA211" s="176"/>
    </row>
    <row r="212">
      <c r="A212" s="165" t="str">
        <f>iferror(VLOOKUP(P212,'DO NOT TOUCH Imported'!$A$1:$D$800,4,False),iferror(VLOOKUP(P212,'DO NOT TOUCH Imported'!$C$1:$D$800,2,False),"OOPS FIX ME"))</f>
        <v>Mount Manu#3530</v>
      </c>
      <c r="B212" s="166" t="s">
        <v>435</v>
      </c>
      <c r="C212" s="167" t="s">
        <v>618</v>
      </c>
      <c r="D212" s="168" t="s">
        <v>437</v>
      </c>
      <c r="E212" s="177" t="s">
        <v>488</v>
      </c>
      <c r="F212" s="168" t="s">
        <v>439</v>
      </c>
      <c r="G212" s="170">
        <v>1000.0</v>
      </c>
      <c r="H212" s="171">
        <v>100.0</v>
      </c>
      <c r="I212" s="171">
        <v>100.0</v>
      </c>
      <c r="J212" s="172">
        <f t="shared" si="7"/>
        <v>0.000723394157</v>
      </c>
      <c r="K212" s="173">
        <f t="shared" si="8"/>
        <v>0.8680729884</v>
      </c>
      <c r="L212" s="174">
        <f t="shared" si="9"/>
        <v>13.61524525</v>
      </c>
      <c r="M212" s="175" t="str">
        <f t="shared" si="10"/>
        <v>Mount Manu#3530</v>
      </c>
      <c r="N212" s="209">
        <f>IFERROR(__xludf.DUMMYFUNCTION("""COMPUTED_VALUE"""),6.0)</f>
        <v>6</v>
      </c>
      <c r="O212" s="209"/>
      <c r="P212" s="166" t="s">
        <v>32</v>
      </c>
      <c r="Q212" s="166" t="s">
        <v>435</v>
      </c>
      <c r="R212" s="209"/>
      <c r="S212" s="209"/>
      <c r="T212" s="209"/>
      <c r="U212" s="209"/>
      <c r="V212" s="209"/>
      <c r="W212" s="209"/>
      <c r="X212" s="209"/>
      <c r="Y212" s="209"/>
      <c r="Z212" s="209"/>
      <c r="AA212" s="209"/>
    </row>
    <row r="213">
      <c r="A213" s="165" t="str">
        <f>iferror(VLOOKUP(P213,'DO NOT TOUCH Imported'!$A$1:$D$800,4,False),iferror(VLOOKUP(P213,'DO NOT TOUCH Imported'!$C$1:$D$800,2,False),"OOPS FIX ME"))</f>
        <v>Mount Manu#3530</v>
      </c>
      <c r="B213" s="166" t="s">
        <v>435</v>
      </c>
      <c r="C213" s="167" t="s">
        <v>465</v>
      </c>
      <c r="D213" s="168" t="s">
        <v>437</v>
      </c>
      <c r="E213" s="169" t="s">
        <v>445</v>
      </c>
      <c r="F213" s="168" t="s">
        <v>439</v>
      </c>
      <c r="G213" s="170">
        <v>1000.0</v>
      </c>
      <c r="H213" s="171">
        <v>100.0</v>
      </c>
      <c r="I213" s="171">
        <v>100.0</v>
      </c>
      <c r="J213" s="172">
        <f t="shared" si="7"/>
        <v>0.000723394157</v>
      </c>
      <c r="K213" s="173">
        <f t="shared" si="8"/>
        <v>0.8680729884</v>
      </c>
      <c r="L213" s="174">
        <f t="shared" si="9"/>
        <v>13.61524525</v>
      </c>
      <c r="M213" s="175" t="str">
        <f t="shared" si="10"/>
        <v>Mount Manu#3530</v>
      </c>
      <c r="N213" s="176">
        <f>IFERROR(__xludf.DUMMYFUNCTION("""COMPUTED_VALUE"""),7.0)</f>
        <v>7</v>
      </c>
      <c r="O213" s="176"/>
      <c r="P213" s="166" t="s">
        <v>32</v>
      </c>
      <c r="Q213" s="166" t="s">
        <v>435</v>
      </c>
      <c r="R213" s="176"/>
      <c r="S213" s="176"/>
      <c r="T213" s="176"/>
      <c r="U213" s="176"/>
      <c r="V213" s="176"/>
      <c r="W213" s="176"/>
      <c r="X213" s="176"/>
      <c r="Y213" s="176"/>
      <c r="Z213" s="176"/>
      <c r="AA213" s="176"/>
    </row>
    <row r="214">
      <c r="A214" s="165" t="str">
        <f>iferror(VLOOKUP(P214,'DO NOT TOUCH Imported'!$A$1:$D$800,4,False),iferror(VLOOKUP(P214,'DO NOT TOUCH Imported'!$C$1:$D$800,2,False),"OOPS FIX ME"))</f>
        <v>Mount Manu#3530</v>
      </c>
      <c r="B214" s="166" t="s">
        <v>441</v>
      </c>
      <c r="C214" s="167" t="s">
        <v>475</v>
      </c>
      <c r="D214" s="168" t="s">
        <v>437</v>
      </c>
      <c r="E214" s="169" t="s">
        <v>438</v>
      </c>
      <c r="F214" s="168" t="s">
        <v>439</v>
      </c>
      <c r="G214" s="170">
        <v>1000.0</v>
      </c>
      <c r="H214" s="171">
        <v>100.0</v>
      </c>
      <c r="I214" s="171">
        <v>100.0</v>
      </c>
      <c r="J214" s="172">
        <f t="shared" si="7"/>
        <v>0.000723394157</v>
      </c>
      <c r="K214" s="173">
        <f t="shared" si="8"/>
        <v>0.8680729884</v>
      </c>
      <c r="L214" s="174">
        <f t="shared" si="9"/>
        <v>13.61524525</v>
      </c>
      <c r="M214" s="175" t="str">
        <f t="shared" si="10"/>
        <v>Mount Manu#3530</v>
      </c>
      <c r="N214" s="176">
        <f>IFERROR(__xludf.DUMMYFUNCTION("""COMPUTED_VALUE"""),8.0)</f>
        <v>8</v>
      </c>
      <c r="O214" s="176"/>
      <c r="P214" s="166" t="s">
        <v>32</v>
      </c>
      <c r="Q214" s="166" t="s">
        <v>441</v>
      </c>
      <c r="R214" s="176"/>
      <c r="S214" s="176"/>
      <c r="T214" s="176"/>
      <c r="U214" s="176"/>
      <c r="V214" s="176"/>
      <c r="W214" s="176"/>
      <c r="X214" s="176"/>
      <c r="Y214" s="176"/>
      <c r="Z214" s="176"/>
      <c r="AA214" s="176"/>
    </row>
    <row r="215">
      <c r="A215" s="165" t="str">
        <f>iferror(VLOOKUP(P215,'DO NOT TOUCH Imported'!$A$1:$D$800,4,False),iferror(VLOOKUP(P215,'DO NOT TOUCH Imported'!$C$1:$D$800,2,False),"OOPS FIX ME"))</f>
        <v>Mount Manu#3530</v>
      </c>
      <c r="B215" s="166" t="s">
        <v>435</v>
      </c>
      <c r="C215" s="167" t="s">
        <v>479</v>
      </c>
      <c r="D215" s="168" t="s">
        <v>437</v>
      </c>
      <c r="E215" s="177" t="s">
        <v>455</v>
      </c>
      <c r="F215" s="168" t="s">
        <v>439</v>
      </c>
      <c r="G215" s="170">
        <v>1000.0</v>
      </c>
      <c r="H215" s="171">
        <v>90.0</v>
      </c>
      <c r="I215" s="171">
        <v>100.0</v>
      </c>
      <c r="J215" s="172">
        <f t="shared" si="7"/>
        <v>0.0006914702636</v>
      </c>
      <c r="K215" s="173">
        <f t="shared" si="8"/>
        <v>0.8297643163</v>
      </c>
      <c r="L215" s="174">
        <f t="shared" si="9"/>
        <v>13.61524525</v>
      </c>
      <c r="M215" s="175" t="str">
        <f t="shared" si="10"/>
        <v>Mount Manu#3530</v>
      </c>
      <c r="N215" s="176">
        <f>IFERROR(__xludf.DUMMYFUNCTION("""COMPUTED_VALUE"""),9.0)</f>
        <v>9</v>
      </c>
      <c r="O215" s="176"/>
      <c r="P215" s="166" t="s">
        <v>32</v>
      </c>
      <c r="Q215" s="166" t="s">
        <v>435</v>
      </c>
      <c r="R215" s="176"/>
      <c r="S215" s="176"/>
      <c r="T215" s="176"/>
      <c r="U215" s="176"/>
      <c r="V215" s="176"/>
      <c r="W215" s="176"/>
      <c r="X215" s="176"/>
      <c r="Y215" s="176"/>
      <c r="Z215" s="176"/>
      <c r="AA215" s="176"/>
    </row>
    <row r="216">
      <c r="A216" s="165" t="str">
        <f>iferror(VLOOKUP(P216,'DO NOT TOUCH Imported'!$A$1:$D$800,4,False),iferror(VLOOKUP(P216,'DO NOT TOUCH Imported'!$C$1:$D$800,2,False),"OOPS FIX ME"))</f>
        <v>Mount Manu#3530</v>
      </c>
      <c r="B216" s="166" t="s">
        <v>441</v>
      </c>
      <c r="C216" s="167" t="s">
        <v>481</v>
      </c>
      <c r="D216" s="168" t="s">
        <v>437</v>
      </c>
      <c r="E216" s="177" t="s">
        <v>447</v>
      </c>
      <c r="F216" s="168" t="s">
        <v>439</v>
      </c>
      <c r="G216" s="170">
        <v>1000.0</v>
      </c>
      <c r="H216" s="171">
        <v>80.0</v>
      </c>
      <c r="I216" s="171">
        <v>100.0</v>
      </c>
      <c r="J216" s="172">
        <f t="shared" si="7"/>
        <v>0.0006595463701</v>
      </c>
      <c r="K216" s="173">
        <f t="shared" si="8"/>
        <v>0.7914556442</v>
      </c>
      <c r="L216" s="174">
        <f t="shared" si="9"/>
        <v>13.61524525</v>
      </c>
      <c r="M216" s="175" t="str">
        <f t="shared" si="10"/>
        <v>Mount Manu#3530</v>
      </c>
      <c r="N216" s="176">
        <f>IFERROR(__xludf.DUMMYFUNCTION("""COMPUTED_VALUE"""),10.0)</f>
        <v>10</v>
      </c>
      <c r="O216" s="176"/>
      <c r="P216" s="166" t="s">
        <v>32</v>
      </c>
      <c r="Q216" s="166" t="s">
        <v>441</v>
      </c>
      <c r="R216" s="176"/>
      <c r="S216" s="176"/>
      <c r="T216" s="176"/>
      <c r="U216" s="176"/>
      <c r="V216" s="176"/>
      <c r="W216" s="176"/>
      <c r="X216" s="176"/>
      <c r="Y216" s="176"/>
      <c r="Z216" s="176"/>
      <c r="AA216" s="176"/>
    </row>
    <row r="217">
      <c r="A217" s="165" t="str">
        <f>iferror(VLOOKUP(P217,'DO NOT TOUCH Imported'!$A$1:$D$800,4,False),iferror(VLOOKUP(P217,'DO NOT TOUCH Imported'!$C$1:$D$800,2,False),"OOPS FIX ME"))</f>
        <v>Mount Manu#3530</v>
      </c>
      <c r="B217" s="166" t="s">
        <v>483</v>
      </c>
      <c r="C217" s="167" t="s">
        <v>484</v>
      </c>
      <c r="D217" s="168" t="s">
        <v>437</v>
      </c>
      <c r="E217" s="169" t="s">
        <v>478</v>
      </c>
      <c r="F217" s="168" t="s">
        <v>439</v>
      </c>
      <c r="G217" s="170">
        <v>1000.0</v>
      </c>
      <c r="H217" s="171">
        <v>80.0</v>
      </c>
      <c r="I217" s="171">
        <v>100.0</v>
      </c>
      <c r="J217" s="172">
        <f t="shared" si="7"/>
        <v>0.0006595463701</v>
      </c>
      <c r="K217" s="173">
        <f t="shared" si="8"/>
        <v>0.7914556442</v>
      </c>
      <c r="L217" s="174">
        <f t="shared" si="9"/>
        <v>13.61524525</v>
      </c>
      <c r="M217" s="175" t="str">
        <f t="shared" si="10"/>
        <v>Mount Manu#3530</v>
      </c>
      <c r="N217" s="176">
        <f>IFERROR(__xludf.DUMMYFUNCTION("""COMPUTED_VALUE"""),11.0)</f>
        <v>11</v>
      </c>
      <c r="O217" s="176"/>
      <c r="P217" s="166" t="s">
        <v>32</v>
      </c>
      <c r="Q217" s="166" t="s">
        <v>483</v>
      </c>
      <c r="R217" s="176"/>
      <c r="S217" s="176"/>
      <c r="T217" s="176"/>
      <c r="U217" s="176"/>
      <c r="V217" s="176"/>
      <c r="W217" s="176"/>
      <c r="X217" s="176"/>
      <c r="Y217" s="176"/>
      <c r="Z217" s="176"/>
      <c r="AA217" s="176"/>
    </row>
    <row r="218">
      <c r="A218" s="165" t="str">
        <f>iferror(VLOOKUP(P218,'DO NOT TOUCH Imported'!$A$1:$D$800,4,False),iferror(VLOOKUP(P218,'DO NOT TOUCH Imported'!$C$1:$D$800,2,False),"OOPS FIX ME"))</f>
        <v>Mount Manu#3530</v>
      </c>
      <c r="B218" s="166" t="s">
        <v>441</v>
      </c>
      <c r="C218" s="167" t="s">
        <v>485</v>
      </c>
      <c r="D218" s="168" t="s">
        <v>437</v>
      </c>
      <c r="E218" s="169" t="s">
        <v>438</v>
      </c>
      <c r="F218" s="168" t="s">
        <v>439</v>
      </c>
      <c r="G218" s="170">
        <v>1000.0</v>
      </c>
      <c r="H218" s="171">
        <v>80.0</v>
      </c>
      <c r="I218" s="171">
        <v>100.0</v>
      </c>
      <c r="J218" s="172">
        <f t="shared" si="7"/>
        <v>0.0006595463701</v>
      </c>
      <c r="K218" s="173">
        <f t="shared" si="8"/>
        <v>0.7914556442</v>
      </c>
      <c r="L218" s="174">
        <f t="shared" si="9"/>
        <v>13.61524525</v>
      </c>
      <c r="M218" s="175" t="str">
        <f t="shared" si="10"/>
        <v>Mount Manu#3530</v>
      </c>
      <c r="N218" s="176">
        <f>IFERROR(__xludf.DUMMYFUNCTION("""COMPUTED_VALUE"""),12.0)</f>
        <v>12</v>
      </c>
      <c r="O218" s="176"/>
      <c r="P218" s="166" t="s">
        <v>32</v>
      </c>
      <c r="Q218" s="166" t="s">
        <v>441</v>
      </c>
      <c r="R218" s="176"/>
      <c r="S218" s="176"/>
      <c r="T218" s="176"/>
      <c r="U218" s="176"/>
      <c r="V218" s="176"/>
      <c r="W218" s="176"/>
      <c r="X218" s="176"/>
      <c r="Y218" s="176"/>
      <c r="Z218" s="176"/>
      <c r="AA218" s="176"/>
    </row>
    <row r="219">
      <c r="A219" s="165" t="str">
        <f>iferror(VLOOKUP(P219,'DO NOT TOUCH Imported'!$A$1:$D$800,4,False),iferror(VLOOKUP(P219,'DO NOT TOUCH Imported'!$C$1:$D$800,2,False),"OOPS FIX ME"))</f>
        <v>Mount Manu#3530</v>
      </c>
      <c r="B219" s="166" t="s">
        <v>486</v>
      </c>
      <c r="C219" s="167" t="s">
        <v>487</v>
      </c>
      <c r="D219" s="168" t="s">
        <v>437</v>
      </c>
      <c r="E219" s="169" t="s">
        <v>488</v>
      </c>
      <c r="F219" s="168" t="s">
        <v>439</v>
      </c>
      <c r="G219" s="170">
        <v>1000.0</v>
      </c>
      <c r="H219" s="171">
        <v>70.0</v>
      </c>
      <c r="I219" s="171">
        <v>100.0</v>
      </c>
      <c r="J219" s="172">
        <f t="shared" si="7"/>
        <v>0.0006276224767</v>
      </c>
      <c r="K219" s="173">
        <f t="shared" si="8"/>
        <v>0.7531469721</v>
      </c>
      <c r="L219" s="174">
        <f t="shared" si="9"/>
        <v>13.61524525</v>
      </c>
      <c r="M219" s="175" t="str">
        <f t="shared" si="10"/>
        <v>Mount Manu#3530</v>
      </c>
      <c r="N219" s="176">
        <f>IFERROR(__xludf.DUMMYFUNCTION("""COMPUTED_VALUE"""),13.0)</f>
        <v>13</v>
      </c>
      <c r="O219" s="176"/>
      <c r="P219" s="166" t="s">
        <v>32</v>
      </c>
      <c r="Q219" s="166" t="s">
        <v>486</v>
      </c>
      <c r="R219" s="176"/>
      <c r="S219" s="176"/>
      <c r="T219" s="176"/>
      <c r="U219" s="176"/>
      <c r="V219" s="176"/>
      <c r="W219" s="176"/>
      <c r="X219" s="176"/>
      <c r="Y219" s="176"/>
      <c r="Z219" s="176"/>
      <c r="AA219" s="176"/>
    </row>
    <row r="220">
      <c r="A220" s="165" t="str">
        <f>iferror(VLOOKUP(P220,'DO NOT TOUCH Imported'!$A$1:$D$800,4,False),iferror(VLOOKUP(P220,'DO NOT TOUCH Imported'!$C$1:$D$800,2,False),"OOPS FIX ME"))</f>
        <v>Mount Manu#3530</v>
      </c>
      <c r="B220" s="166" t="s">
        <v>441</v>
      </c>
      <c r="C220" s="167" t="s">
        <v>497</v>
      </c>
      <c r="D220" s="168" t="s">
        <v>437</v>
      </c>
      <c r="E220" s="177" t="s">
        <v>438</v>
      </c>
      <c r="F220" s="168" t="s">
        <v>439</v>
      </c>
      <c r="G220" s="170">
        <v>1000.0</v>
      </c>
      <c r="H220" s="171">
        <v>50.0</v>
      </c>
      <c r="I220" s="171">
        <v>100.0</v>
      </c>
      <c r="J220" s="172">
        <f t="shared" si="7"/>
        <v>0.0005637746898</v>
      </c>
      <c r="K220" s="173">
        <f t="shared" si="8"/>
        <v>0.6765296278</v>
      </c>
      <c r="L220" s="174">
        <f t="shared" si="9"/>
        <v>13.61524525</v>
      </c>
      <c r="M220" s="175" t="str">
        <f t="shared" si="10"/>
        <v>Mount Manu#3530</v>
      </c>
      <c r="N220" s="176">
        <f>IFERROR(__xludf.DUMMYFUNCTION("""COMPUTED_VALUE"""),14.0)</f>
        <v>14</v>
      </c>
      <c r="O220" s="176"/>
      <c r="P220" s="166" t="s">
        <v>32</v>
      </c>
      <c r="Q220" s="166" t="s">
        <v>441</v>
      </c>
      <c r="R220" s="176"/>
      <c r="S220" s="176"/>
      <c r="T220" s="176"/>
      <c r="U220" s="176"/>
      <c r="V220" s="176"/>
      <c r="W220" s="176"/>
      <c r="X220" s="176"/>
      <c r="Y220" s="176"/>
      <c r="Z220" s="176"/>
      <c r="AA220" s="176"/>
    </row>
    <row r="221">
      <c r="A221" s="165" t="str">
        <f>iferror(VLOOKUP(P221,'DO NOT TOUCH Imported'!$A$1:$D$800,4,False),iferror(VLOOKUP(P221,'DO NOT TOUCH Imported'!$C$1:$D$800,2,False),"OOPS FIX ME"))</f>
        <v>shawn_westrick</v>
      </c>
      <c r="B221" s="166" t="s">
        <v>443</v>
      </c>
      <c r="C221" s="167" t="s">
        <v>619</v>
      </c>
      <c r="D221" s="168" t="s">
        <v>437</v>
      </c>
      <c r="E221" s="177" t="s">
        <v>447</v>
      </c>
      <c r="F221" s="168" t="s">
        <v>439</v>
      </c>
      <c r="G221" s="170">
        <v>30000.0</v>
      </c>
      <c r="H221" s="171">
        <v>300.0</v>
      </c>
      <c r="I221" s="171">
        <v>200.0</v>
      </c>
      <c r="J221" s="172">
        <f t="shared" si="7"/>
        <v>0.004689088111</v>
      </c>
      <c r="K221" s="173">
        <f t="shared" si="8"/>
        <v>5.626905733</v>
      </c>
      <c r="L221" s="174">
        <f t="shared" si="9"/>
        <v>11.40997375</v>
      </c>
      <c r="M221" s="175" t="str">
        <f t="shared" si="10"/>
        <v>shawn_westrick</v>
      </c>
      <c r="N221" s="176">
        <f>IFERROR(__xludf.DUMMYFUNCTION("""COMPUTED_VALUE"""),1.0)</f>
        <v>1</v>
      </c>
      <c r="O221" s="176"/>
      <c r="P221" s="166" t="s">
        <v>620</v>
      </c>
      <c r="Q221" s="166" t="s">
        <v>443</v>
      </c>
      <c r="R221" s="176"/>
      <c r="S221" s="176"/>
      <c r="T221" s="176"/>
      <c r="U221" s="176"/>
      <c r="V221" s="176"/>
      <c r="W221" s="176"/>
      <c r="X221" s="176"/>
      <c r="Y221" s="176"/>
      <c r="Z221" s="176"/>
      <c r="AA221" s="176"/>
    </row>
    <row r="222">
      <c r="A222" s="165" t="str">
        <f>iferror(VLOOKUP(P222,'DO NOT TOUCH Imported'!$A$1:$D$800,4,False),iferror(VLOOKUP(P222,'DO NOT TOUCH Imported'!$C$1:$D$800,2,False),"OOPS FIX ME"))</f>
        <v>shawn_westrick</v>
      </c>
      <c r="B222" s="166" t="s">
        <v>441</v>
      </c>
      <c r="C222" s="167" t="s">
        <v>621</v>
      </c>
      <c r="D222" s="168" t="s">
        <v>437</v>
      </c>
      <c r="E222" s="177" t="s">
        <v>447</v>
      </c>
      <c r="F222" s="168" t="s">
        <v>439</v>
      </c>
      <c r="G222" s="170">
        <v>1000.0</v>
      </c>
      <c r="H222" s="171">
        <v>200.0</v>
      </c>
      <c r="I222" s="171">
        <v>100.0</v>
      </c>
      <c r="J222" s="172">
        <f t="shared" si="7"/>
        <v>0.001042633091</v>
      </c>
      <c r="K222" s="173">
        <f t="shared" si="8"/>
        <v>1.25115971</v>
      </c>
      <c r="L222" s="174">
        <f t="shared" si="9"/>
        <v>11.40997375</v>
      </c>
      <c r="M222" s="175" t="str">
        <f t="shared" si="10"/>
        <v>shawn_westrick</v>
      </c>
      <c r="N222" s="176">
        <f>IFERROR(__xludf.DUMMYFUNCTION("""COMPUTED_VALUE"""),2.0)</f>
        <v>2</v>
      </c>
      <c r="O222" s="176"/>
      <c r="P222" s="166" t="s">
        <v>620</v>
      </c>
      <c r="Q222" s="166" t="s">
        <v>441</v>
      </c>
      <c r="R222" s="176"/>
      <c r="S222" s="176"/>
      <c r="T222" s="176"/>
      <c r="U222" s="176"/>
      <c r="V222" s="176"/>
      <c r="W222" s="176"/>
      <c r="X222" s="176"/>
      <c r="Y222" s="176"/>
      <c r="Z222" s="176"/>
      <c r="AA222" s="176"/>
    </row>
    <row r="223">
      <c r="A223" s="165" t="str">
        <f>iferror(VLOOKUP(P223,'DO NOT TOUCH Imported'!$A$1:$D$800,4,False),iferror(VLOOKUP(P223,'DO NOT TOUCH Imported'!$C$1:$D$800,2,False),"OOPS FIX ME"))</f>
        <v>shawn_westrick</v>
      </c>
      <c r="B223" s="166" t="s">
        <v>483</v>
      </c>
      <c r="C223" s="167" t="s">
        <v>622</v>
      </c>
      <c r="D223" s="168" t="s">
        <v>437</v>
      </c>
      <c r="E223" s="169" t="s">
        <v>455</v>
      </c>
      <c r="F223" s="168" t="s">
        <v>439</v>
      </c>
      <c r="G223" s="170">
        <v>1000.0</v>
      </c>
      <c r="H223" s="171">
        <v>200.0</v>
      </c>
      <c r="I223" s="171">
        <v>100.0</v>
      </c>
      <c r="J223" s="172">
        <f t="shared" si="7"/>
        <v>0.001042633091</v>
      </c>
      <c r="K223" s="173">
        <f t="shared" si="8"/>
        <v>1.25115971</v>
      </c>
      <c r="L223" s="174">
        <f t="shared" si="9"/>
        <v>11.40997375</v>
      </c>
      <c r="M223" s="175" t="str">
        <f t="shared" si="10"/>
        <v>shawn_westrick</v>
      </c>
      <c r="N223" s="176">
        <f>IFERROR(__xludf.DUMMYFUNCTION("""COMPUTED_VALUE"""),3.0)</f>
        <v>3</v>
      </c>
      <c r="O223" s="176"/>
      <c r="P223" s="166" t="s">
        <v>620</v>
      </c>
      <c r="Q223" s="166" t="s">
        <v>483</v>
      </c>
      <c r="R223" s="176"/>
      <c r="S223" s="176"/>
      <c r="T223" s="176"/>
      <c r="U223" s="176"/>
      <c r="V223" s="176"/>
      <c r="W223" s="176"/>
      <c r="X223" s="176"/>
      <c r="Y223" s="176"/>
      <c r="Z223" s="176"/>
      <c r="AA223" s="176"/>
    </row>
    <row r="224">
      <c r="A224" s="165" t="str">
        <f>iferror(VLOOKUP(P224,'DO NOT TOUCH Imported'!$A$1:$D$800,4,False),iferror(VLOOKUP(P224,'DO NOT TOUCH Imported'!$C$1:$D$800,2,False),"OOPS FIX ME"))</f>
        <v>shawn_westrick</v>
      </c>
      <c r="B224" s="166" t="s">
        <v>441</v>
      </c>
      <c r="C224" s="167" t="s">
        <v>475</v>
      </c>
      <c r="D224" s="168" t="s">
        <v>437</v>
      </c>
      <c r="E224" s="177" t="s">
        <v>438</v>
      </c>
      <c r="F224" s="168" t="s">
        <v>439</v>
      </c>
      <c r="G224" s="170">
        <v>1000.0</v>
      </c>
      <c r="H224" s="171">
        <v>100.0</v>
      </c>
      <c r="I224" s="171">
        <v>100.0</v>
      </c>
      <c r="J224" s="172">
        <f t="shared" si="7"/>
        <v>0.000723394157</v>
      </c>
      <c r="K224" s="173">
        <f t="shared" si="8"/>
        <v>0.8680729884</v>
      </c>
      <c r="L224" s="174">
        <f t="shared" si="9"/>
        <v>11.40997375</v>
      </c>
      <c r="M224" s="175" t="str">
        <f t="shared" si="10"/>
        <v>shawn_westrick</v>
      </c>
      <c r="N224" s="176">
        <f>IFERROR(__xludf.DUMMYFUNCTION("""COMPUTED_VALUE"""),4.0)</f>
        <v>4</v>
      </c>
      <c r="O224" s="176"/>
      <c r="P224" s="166" t="s">
        <v>620</v>
      </c>
      <c r="Q224" s="166" t="s">
        <v>441</v>
      </c>
      <c r="R224" s="176"/>
      <c r="S224" s="176"/>
      <c r="T224" s="176"/>
      <c r="U224" s="176"/>
      <c r="V224" s="176"/>
      <c r="W224" s="176"/>
      <c r="X224" s="176"/>
      <c r="Y224" s="176"/>
      <c r="Z224" s="176"/>
      <c r="AA224" s="176"/>
    </row>
    <row r="225">
      <c r="A225" s="165" t="str">
        <f>iferror(VLOOKUP(P225,'DO NOT TOUCH Imported'!$A$1:$D$800,4,False),iferror(VLOOKUP(P225,'DO NOT TOUCH Imported'!$C$1:$D$800,2,False),"OOPS FIX ME"))</f>
        <v>shawn_westrick</v>
      </c>
      <c r="B225" s="166" t="s">
        <v>441</v>
      </c>
      <c r="C225" s="167" t="s">
        <v>480</v>
      </c>
      <c r="D225" s="168" t="s">
        <v>437</v>
      </c>
      <c r="E225" s="177" t="s">
        <v>438</v>
      </c>
      <c r="F225" s="168" t="s">
        <v>439</v>
      </c>
      <c r="G225" s="170">
        <v>1000.0</v>
      </c>
      <c r="H225" s="171">
        <v>90.0</v>
      </c>
      <c r="I225" s="171">
        <v>100.0</v>
      </c>
      <c r="J225" s="172">
        <f t="shared" si="7"/>
        <v>0.0006914702636</v>
      </c>
      <c r="K225" s="173">
        <f t="shared" si="8"/>
        <v>0.8297643163</v>
      </c>
      <c r="L225" s="174">
        <f t="shared" si="9"/>
        <v>11.40997375</v>
      </c>
      <c r="M225" s="175" t="str">
        <f t="shared" si="10"/>
        <v>shawn_westrick</v>
      </c>
      <c r="N225" s="176">
        <f>IFERROR(__xludf.DUMMYFUNCTION("""COMPUTED_VALUE"""),5.0)</f>
        <v>5</v>
      </c>
      <c r="O225" s="176"/>
      <c r="P225" s="166" t="s">
        <v>620</v>
      </c>
      <c r="Q225" s="166" t="s">
        <v>441</v>
      </c>
      <c r="R225" s="176"/>
      <c r="S225" s="176"/>
      <c r="T225" s="176"/>
      <c r="U225" s="176"/>
      <c r="V225" s="176"/>
      <c r="W225" s="176"/>
      <c r="X225" s="176"/>
      <c r="Y225" s="176"/>
      <c r="Z225" s="176"/>
      <c r="AA225" s="176"/>
    </row>
    <row r="226">
      <c r="A226" s="165" t="str">
        <f>iferror(VLOOKUP(P226,'DO NOT TOUCH Imported'!$A$1:$D$800,4,False),iferror(VLOOKUP(P226,'DO NOT TOUCH Imported'!$C$1:$D$800,2,False),"OOPS FIX ME"))</f>
        <v>shawn_westrick</v>
      </c>
      <c r="B226" s="166" t="s">
        <v>441</v>
      </c>
      <c r="C226" s="167" t="s">
        <v>481</v>
      </c>
      <c r="D226" s="168" t="s">
        <v>437</v>
      </c>
      <c r="E226" s="177" t="s">
        <v>447</v>
      </c>
      <c r="F226" s="168" t="s">
        <v>439</v>
      </c>
      <c r="G226" s="170">
        <v>1000.0</v>
      </c>
      <c r="H226" s="171">
        <v>80.0</v>
      </c>
      <c r="I226" s="171">
        <v>100.0</v>
      </c>
      <c r="J226" s="172">
        <f t="shared" si="7"/>
        <v>0.0006595463701</v>
      </c>
      <c r="K226" s="173">
        <f t="shared" si="8"/>
        <v>0.7914556442</v>
      </c>
      <c r="L226" s="174">
        <f t="shared" si="9"/>
        <v>11.40997375</v>
      </c>
      <c r="M226" s="175" t="str">
        <f t="shared" si="10"/>
        <v>shawn_westrick</v>
      </c>
      <c r="N226" s="176">
        <f>IFERROR(__xludf.DUMMYFUNCTION("""COMPUTED_VALUE"""),6.0)</f>
        <v>6</v>
      </c>
      <c r="O226" s="176"/>
      <c r="P226" s="166" t="s">
        <v>620</v>
      </c>
      <c r="Q226" s="166" t="s">
        <v>441</v>
      </c>
      <c r="R226" s="176"/>
      <c r="S226" s="176"/>
      <c r="T226" s="176"/>
      <c r="U226" s="176"/>
      <c r="V226" s="176"/>
      <c r="W226" s="176"/>
      <c r="X226" s="176"/>
      <c r="Y226" s="176"/>
      <c r="Z226" s="176"/>
      <c r="AA226" s="176"/>
    </row>
    <row r="227">
      <c r="A227" s="165" t="str">
        <f>iferror(VLOOKUP(P227,'DO NOT TOUCH Imported'!$A$1:$D$800,4,False),iferror(VLOOKUP(P227,'DO NOT TOUCH Imported'!$C$1:$D$800,2,False),"OOPS FIX ME"))</f>
        <v>shawn_westrick</v>
      </c>
      <c r="B227" s="166" t="s">
        <v>441</v>
      </c>
      <c r="C227" s="167" t="s">
        <v>485</v>
      </c>
      <c r="D227" s="168" t="s">
        <v>437</v>
      </c>
      <c r="E227" s="169" t="s">
        <v>438</v>
      </c>
      <c r="F227" s="168" t="s">
        <v>439</v>
      </c>
      <c r="G227" s="170">
        <v>1000.0</v>
      </c>
      <c r="H227" s="171">
        <v>80.0</v>
      </c>
      <c r="I227" s="171">
        <v>100.0</v>
      </c>
      <c r="J227" s="172">
        <f t="shared" si="7"/>
        <v>0.0006595463701</v>
      </c>
      <c r="K227" s="173">
        <f t="shared" si="8"/>
        <v>0.7914556442</v>
      </c>
      <c r="L227" s="174">
        <f t="shared" si="9"/>
        <v>11.40997375</v>
      </c>
      <c r="M227" s="175" t="str">
        <f t="shared" si="10"/>
        <v>shawn_westrick</v>
      </c>
      <c r="N227" s="176">
        <f>IFERROR(__xludf.DUMMYFUNCTION("""COMPUTED_VALUE"""),7.0)</f>
        <v>7</v>
      </c>
      <c r="O227" s="176"/>
      <c r="P227" s="166" t="s">
        <v>620</v>
      </c>
      <c r="Q227" s="166" t="s">
        <v>441</v>
      </c>
      <c r="R227" s="176"/>
      <c r="S227" s="176"/>
      <c r="T227" s="176"/>
      <c r="U227" s="176"/>
      <c r="V227" s="176"/>
      <c r="W227" s="176"/>
      <c r="X227" s="176"/>
      <c r="Y227" s="176"/>
      <c r="Z227" s="176"/>
      <c r="AA227" s="176"/>
    </row>
    <row r="228">
      <c r="A228" s="165" t="str">
        <f>iferror(VLOOKUP(P228,'DO NOT TOUCH Imported'!$A$1:$D$800,4,False),iferror(VLOOKUP(P228,'DO NOT TOUCH Imported'!$C$1:$D$800,2,False),"OOPS FIX ME"))</f>
        <v>T Wells#9070</v>
      </c>
      <c r="B228" s="166" t="s">
        <v>441</v>
      </c>
      <c r="C228" s="167" t="s">
        <v>623</v>
      </c>
      <c r="D228" s="168" t="s">
        <v>437</v>
      </c>
      <c r="E228" s="169" t="s">
        <v>447</v>
      </c>
      <c r="F228" s="168" t="s">
        <v>439</v>
      </c>
      <c r="G228" s="170">
        <v>50000.0</v>
      </c>
      <c r="H228" s="171">
        <v>100.0</v>
      </c>
      <c r="I228" s="171">
        <v>100.0</v>
      </c>
      <c r="J228" s="172">
        <f t="shared" si="7"/>
        <v>0.005838750666</v>
      </c>
      <c r="K228" s="173">
        <f t="shared" si="8"/>
        <v>7.006500799</v>
      </c>
      <c r="L228" s="174">
        <f t="shared" si="9"/>
        <v>11.16834885</v>
      </c>
      <c r="M228" s="175" t="str">
        <f t="shared" si="10"/>
        <v>T Wells#9070</v>
      </c>
      <c r="N228" s="176">
        <f>IFERROR(__xludf.DUMMYFUNCTION("""COMPUTED_VALUE"""),1.0)</f>
        <v>1</v>
      </c>
      <c r="O228" s="176"/>
      <c r="P228" s="166" t="s">
        <v>94</v>
      </c>
      <c r="Q228" s="166" t="s">
        <v>441</v>
      </c>
      <c r="R228" s="176"/>
      <c r="S228" s="176"/>
      <c r="T228" s="176"/>
      <c r="U228" s="176"/>
      <c r="V228" s="176"/>
      <c r="W228" s="176"/>
      <c r="X228" s="176"/>
      <c r="Y228" s="176"/>
      <c r="Z228" s="176"/>
      <c r="AA228" s="176"/>
    </row>
    <row r="229">
      <c r="A229" s="165" t="str">
        <f>iferror(VLOOKUP(P229,'DO NOT TOUCH Imported'!$A$1:$D$800,4,False),iferror(VLOOKUP(P229,'DO NOT TOUCH Imported'!$C$1:$D$800,2,False),"OOPS FIX ME"))</f>
        <v>T Wells#9070</v>
      </c>
      <c r="B229" s="166" t="s">
        <v>483</v>
      </c>
      <c r="C229" s="167" t="s">
        <v>624</v>
      </c>
      <c r="D229" s="168" t="s">
        <v>437</v>
      </c>
      <c r="E229" s="169" t="s">
        <v>488</v>
      </c>
      <c r="F229" s="168" t="s">
        <v>439</v>
      </c>
      <c r="G229" s="170">
        <v>1000.0</v>
      </c>
      <c r="H229" s="171">
        <v>200.0</v>
      </c>
      <c r="I229" s="171">
        <v>100.0</v>
      </c>
      <c r="J229" s="172">
        <f t="shared" si="7"/>
        <v>0.001042633091</v>
      </c>
      <c r="K229" s="173">
        <f t="shared" si="8"/>
        <v>1.25115971</v>
      </c>
      <c r="L229" s="174">
        <f t="shared" si="9"/>
        <v>11.16834885</v>
      </c>
      <c r="M229" s="175" t="str">
        <f t="shared" si="10"/>
        <v>T Wells#9070</v>
      </c>
      <c r="N229" s="176">
        <f>IFERROR(__xludf.DUMMYFUNCTION("""COMPUTED_VALUE"""),2.0)</f>
        <v>2</v>
      </c>
      <c r="O229" s="176"/>
      <c r="P229" s="166" t="s">
        <v>94</v>
      </c>
      <c r="Q229" s="166" t="s">
        <v>483</v>
      </c>
      <c r="R229" s="176"/>
      <c r="S229" s="176"/>
      <c r="T229" s="176"/>
      <c r="U229" s="176"/>
      <c r="V229" s="176"/>
      <c r="W229" s="176"/>
      <c r="X229" s="176"/>
      <c r="Y229" s="176"/>
      <c r="Z229" s="176"/>
      <c r="AA229" s="176"/>
    </row>
    <row r="230">
      <c r="A230" s="165" t="str">
        <f>iferror(VLOOKUP(P230,'DO NOT TOUCH Imported'!$A$1:$D$800,4,False),iferror(VLOOKUP(P230,'DO NOT TOUCH Imported'!$C$1:$D$800,2,False),"OOPS FIX ME"))</f>
        <v>T Wells#9070</v>
      </c>
      <c r="B230" s="166" t="s">
        <v>483</v>
      </c>
      <c r="C230" s="167" t="s">
        <v>615</v>
      </c>
      <c r="D230" s="168" t="s">
        <v>437</v>
      </c>
      <c r="E230" s="169" t="s">
        <v>488</v>
      </c>
      <c r="F230" s="168" t="s">
        <v>439</v>
      </c>
      <c r="G230" s="170">
        <v>1000.0</v>
      </c>
      <c r="H230" s="171">
        <v>200.0</v>
      </c>
      <c r="I230" s="171">
        <v>100.0</v>
      </c>
      <c r="J230" s="172">
        <f t="shared" si="7"/>
        <v>0.001042633091</v>
      </c>
      <c r="K230" s="173">
        <f t="shared" si="8"/>
        <v>1.25115971</v>
      </c>
      <c r="L230" s="174">
        <f t="shared" si="9"/>
        <v>11.16834885</v>
      </c>
      <c r="M230" s="175" t="str">
        <f t="shared" si="10"/>
        <v>T Wells#9070</v>
      </c>
      <c r="N230" s="176">
        <f>IFERROR(__xludf.DUMMYFUNCTION("""COMPUTED_VALUE"""),3.0)</f>
        <v>3</v>
      </c>
      <c r="O230" s="176"/>
      <c r="P230" s="166" t="s">
        <v>94</v>
      </c>
      <c r="Q230" s="166" t="s">
        <v>483</v>
      </c>
      <c r="R230" s="176"/>
      <c r="S230" s="176"/>
      <c r="T230" s="176"/>
      <c r="U230" s="176"/>
      <c r="V230" s="176"/>
      <c r="W230" s="176"/>
      <c r="X230" s="176"/>
      <c r="Y230" s="176"/>
      <c r="Z230" s="176"/>
      <c r="AA230" s="176"/>
    </row>
    <row r="231">
      <c r="A231" s="165" t="str">
        <f>iferror(VLOOKUP(P231,'DO NOT TOUCH Imported'!$A$1:$D$800,4,False),iferror(VLOOKUP(P231,'DO NOT TOUCH Imported'!$C$1:$D$800,2,False),"OOPS FIX ME"))</f>
        <v>T Wells#9070</v>
      </c>
      <c r="B231" s="166" t="s">
        <v>441</v>
      </c>
      <c r="C231" s="167" t="s">
        <v>625</v>
      </c>
      <c r="D231" s="168" t="s">
        <v>437</v>
      </c>
      <c r="E231" s="169" t="s">
        <v>447</v>
      </c>
      <c r="F231" s="168" t="s">
        <v>439</v>
      </c>
      <c r="G231" s="170">
        <v>1000.0</v>
      </c>
      <c r="H231" s="171">
        <v>100.0</v>
      </c>
      <c r="I231" s="171">
        <v>100.0</v>
      </c>
      <c r="J231" s="172">
        <f t="shared" si="7"/>
        <v>0.000723394157</v>
      </c>
      <c r="K231" s="173">
        <f t="shared" si="8"/>
        <v>0.8680729884</v>
      </c>
      <c r="L231" s="174">
        <f t="shared" si="9"/>
        <v>11.16834885</v>
      </c>
      <c r="M231" s="175" t="str">
        <f t="shared" si="10"/>
        <v>T Wells#9070</v>
      </c>
      <c r="N231" s="176">
        <f>IFERROR(__xludf.DUMMYFUNCTION("""COMPUTED_VALUE"""),4.0)</f>
        <v>4</v>
      </c>
      <c r="O231" s="176"/>
      <c r="P231" s="166" t="s">
        <v>94</v>
      </c>
      <c r="Q231" s="166" t="s">
        <v>441</v>
      </c>
      <c r="R231" s="176"/>
      <c r="S231" s="176"/>
      <c r="T231" s="176"/>
      <c r="U231" s="176"/>
      <c r="V231" s="176"/>
      <c r="W231" s="176"/>
      <c r="X231" s="176"/>
      <c r="Y231" s="176"/>
      <c r="Z231" s="176"/>
      <c r="AA231" s="176"/>
    </row>
    <row r="232">
      <c r="A232" s="165" t="str">
        <f>iferror(VLOOKUP(P232,'DO NOT TOUCH Imported'!$A$1:$D$800,4,False),iferror(VLOOKUP(P232,'DO NOT TOUCH Imported'!$C$1:$D$800,2,False),"OOPS FIX ME"))</f>
        <v>T Wells#9070</v>
      </c>
      <c r="B232" s="166" t="s">
        <v>483</v>
      </c>
      <c r="C232" s="167" t="s">
        <v>484</v>
      </c>
      <c r="D232" s="168" t="s">
        <v>437</v>
      </c>
      <c r="E232" s="177" t="s">
        <v>478</v>
      </c>
      <c r="F232" s="168" t="s">
        <v>439</v>
      </c>
      <c r="G232" s="170">
        <v>1000.0</v>
      </c>
      <c r="H232" s="171">
        <v>80.0</v>
      </c>
      <c r="I232" s="171">
        <v>100.0</v>
      </c>
      <c r="J232" s="172">
        <f t="shared" si="7"/>
        <v>0.0006595463701</v>
      </c>
      <c r="K232" s="173">
        <f t="shared" si="8"/>
        <v>0.7914556442</v>
      </c>
      <c r="L232" s="174">
        <f t="shared" si="9"/>
        <v>11.16834885</v>
      </c>
      <c r="M232" s="175" t="str">
        <f t="shared" si="10"/>
        <v>T Wells#9070</v>
      </c>
      <c r="N232" s="176">
        <f>IFERROR(__xludf.DUMMYFUNCTION("""COMPUTED_VALUE"""),5.0)</f>
        <v>5</v>
      </c>
      <c r="O232" s="176"/>
      <c r="P232" s="166" t="s">
        <v>94</v>
      </c>
      <c r="Q232" s="166" t="s">
        <v>483</v>
      </c>
      <c r="R232" s="176"/>
      <c r="S232" s="176"/>
      <c r="T232" s="176"/>
      <c r="U232" s="176"/>
      <c r="V232" s="176"/>
      <c r="W232" s="176"/>
      <c r="X232" s="176"/>
      <c r="Y232" s="176"/>
      <c r="Z232" s="176"/>
      <c r="AA232" s="176"/>
    </row>
    <row r="233">
      <c r="A233" s="165" t="str">
        <f>iferror(VLOOKUP(P233,'DO NOT TOUCH Imported'!$A$1:$D$800,4,False),iferror(VLOOKUP(P233,'DO NOT TOUCH Imported'!$C$1:$D$800,2,False),"OOPS FIX ME"))</f>
        <v>sembrestels</v>
      </c>
      <c r="B233" s="178" t="s">
        <v>6</v>
      </c>
      <c r="C233" s="179" t="s">
        <v>626</v>
      </c>
      <c r="D233" s="180" t="s">
        <v>495</v>
      </c>
      <c r="E233" s="181">
        <v>44317.0</v>
      </c>
      <c r="F233" s="182" t="s">
        <v>627</v>
      </c>
      <c r="G233" s="170">
        <v>120000.0</v>
      </c>
      <c r="H233" s="171">
        <v>600.0</v>
      </c>
      <c r="I233" s="171">
        <v>500.0</v>
      </c>
      <c r="J233" s="172">
        <f t="shared" si="7"/>
        <v>0.01594163826</v>
      </c>
      <c r="K233" s="173">
        <f t="shared" si="8"/>
        <v>19.12996591</v>
      </c>
      <c r="L233" s="174">
        <f t="shared" si="9"/>
        <v>11.11149818</v>
      </c>
      <c r="M233" s="175" t="str">
        <f t="shared" si="10"/>
        <v>sembrestels</v>
      </c>
      <c r="N233" s="176">
        <f>IFERROR(__xludf.DUMMYFUNCTION("""COMPUTED_VALUE"""),1.0)</f>
        <v>1</v>
      </c>
      <c r="O233" s="176"/>
      <c r="P233" s="183" t="s">
        <v>6</v>
      </c>
      <c r="Q233" s="178" t="s">
        <v>6</v>
      </c>
      <c r="R233" s="176"/>
      <c r="S233" s="176"/>
      <c r="T233" s="176"/>
      <c r="U233" s="176"/>
      <c r="V233" s="176"/>
      <c r="W233" s="176"/>
      <c r="X233" s="176"/>
      <c r="Y233" s="176"/>
      <c r="Z233" s="176"/>
      <c r="AA233" s="176"/>
    </row>
    <row r="234">
      <c r="A234" s="165" t="str">
        <f>iferror(VLOOKUP(P234,'DO NOT TOUCH Imported'!$A$1:$D$800,4,False),iferror(VLOOKUP(P234,'DO NOT TOUCH Imported'!$C$1:$D$800,2,False),"OOPS FIX ME"))</f>
        <v>sembrestels</v>
      </c>
      <c r="B234" s="178" t="s">
        <v>6</v>
      </c>
      <c r="C234" s="179" t="s">
        <v>628</v>
      </c>
      <c r="D234" s="180" t="s">
        <v>495</v>
      </c>
      <c r="E234" s="181">
        <v>44317.0</v>
      </c>
      <c r="F234" s="182" t="s">
        <v>627</v>
      </c>
      <c r="G234" s="170">
        <v>30000.0</v>
      </c>
      <c r="H234" s="171">
        <v>150.0</v>
      </c>
      <c r="I234" s="171">
        <v>300.0</v>
      </c>
      <c r="J234" s="172">
        <f t="shared" si="7"/>
        <v>0.004509989901</v>
      </c>
      <c r="K234" s="173">
        <f t="shared" si="8"/>
        <v>5.411987881</v>
      </c>
      <c r="L234" s="174">
        <f t="shared" si="9"/>
        <v>11.11149818</v>
      </c>
      <c r="M234" s="175" t="str">
        <f t="shared" si="10"/>
        <v>sembrestels</v>
      </c>
      <c r="N234" s="176">
        <f>IFERROR(__xludf.DUMMYFUNCTION("""COMPUTED_VALUE"""),2.0)</f>
        <v>2</v>
      </c>
      <c r="O234" s="176"/>
      <c r="P234" s="183" t="s">
        <v>6</v>
      </c>
      <c r="Q234" s="178" t="s">
        <v>6</v>
      </c>
      <c r="R234" s="176"/>
      <c r="S234" s="176"/>
      <c r="T234" s="176"/>
      <c r="U234" s="176"/>
      <c r="V234" s="176"/>
      <c r="W234" s="176"/>
      <c r="X234" s="176"/>
      <c r="Y234" s="176"/>
      <c r="Z234" s="176"/>
      <c r="AA234" s="176"/>
    </row>
    <row r="235">
      <c r="A235" s="165" t="str">
        <f>iferror(VLOOKUP(P235,'DO NOT TOUCH Imported'!$A$1:$D$800,4,False),iferror(VLOOKUP(P235,'DO NOT TOUCH Imported'!$C$1:$D$800,2,False),"OOPS FIX ME"))</f>
        <v>sembrestels</v>
      </c>
      <c r="B235" s="178" t="s">
        <v>6</v>
      </c>
      <c r="C235" s="179" t="s">
        <v>629</v>
      </c>
      <c r="D235" s="180" t="s">
        <v>495</v>
      </c>
      <c r="E235" s="181">
        <v>44319.0</v>
      </c>
      <c r="F235" s="182" t="s">
        <v>627</v>
      </c>
      <c r="G235" s="170">
        <v>20000.0</v>
      </c>
      <c r="H235" s="171">
        <v>200.0</v>
      </c>
      <c r="I235" s="171">
        <v>200.0</v>
      </c>
      <c r="J235" s="172">
        <f t="shared" si="7"/>
        <v>0.003325898868</v>
      </c>
      <c r="K235" s="173">
        <f t="shared" si="8"/>
        <v>3.991078642</v>
      </c>
      <c r="L235" s="174">
        <f t="shared" si="9"/>
        <v>11.11149818</v>
      </c>
      <c r="M235" s="175" t="str">
        <f t="shared" si="10"/>
        <v>sembrestels</v>
      </c>
      <c r="N235" s="176">
        <f>IFERROR(__xludf.DUMMYFUNCTION("""COMPUTED_VALUE"""),3.0)</f>
        <v>3</v>
      </c>
      <c r="O235" s="176"/>
      <c r="P235" s="183" t="s">
        <v>6</v>
      </c>
      <c r="Q235" s="178" t="s">
        <v>6</v>
      </c>
      <c r="R235" s="176"/>
      <c r="S235" s="176"/>
      <c r="T235" s="176"/>
      <c r="U235" s="176"/>
      <c r="V235" s="176"/>
      <c r="W235" s="176"/>
      <c r="X235" s="176"/>
      <c r="Y235" s="176"/>
      <c r="Z235" s="176"/>
      <c r="AA235" s="176"/>
    </row>
    <row r="236">
      <c r="A236" s="165" t="str">
        <f>iferror(VLOOKUP(P236,'DO NOT TOUCH Imported'!$A$1:$D$800,4,False),iferror(VLOOKUP(P236,'DO NOT TOUCH Imported'!$C$1:$D$800,2,False),"OOPS FIX ME"))</f>
        <v>sembrestels</v>
      </c>
      <c r="B236" s="178" t="s">
        <v>6</v>
      </c>
      <c r="C236" s="179" t="s">
        <v>630</v>
      </c>
      <c r="D236" s="180" t="s">
        <v>495</v>
      </c>
      <c r="E236" s="181">
        <v>44317.0</v>
      </c>
      <c r="F236" s="182" t="s">
        <v>627</v>
      </c>
      <c r="G236" s="170">
        <v>20000.0</v>
      </c>
      <c r="H236" s="171">
        <v>150.0</v>
      </c>
      <c r="I236" s="171">
        <v>200.0</v>
      </c>
      <c r="J236" s="172">
        <f t="shared" si="7"/>
        <v>0.003166279401</v>
      </c>
      <c r="K236" s="173">
        <f t="shared" si="8"/>
        <v>3.799535281</v>
      </c>
      <c r="L236" s="174">
        <f t="shared" si="9"/>
        <v>11.11149818</v>
      </c>
      <c r="M236" s="175" t="str">
        <f t="shared" si="10"/>
        <v>sembrestels</v>
      </c>
      <c r="N236" s="176">
        <f>IFERROR(__xludf.DUMMYFUNCTION("""COMPUTED_VALUE"""),4.0)</f>
        <v>4</v>
      </c>
      <c r="O236" s="176"/>
      <c r="P236" s="183" t="s">
        <v>6</v>
      </c>
      <c r="Q236" s="178" t="s">
        <v>6</v>
      </c>
      <c r="R236" s="176"/>
      <c r="S236" s="176"/>
      <c r="T236" s="176"/>
      <c r="U236" s="176"/>
      <c r="V236" s="176"/>
      <c r="W236" s="176"/>
      <c r="X236" s="176"/>
      <c r="Y236" s="176"/>
      <c r="Z236" s="176"/>
      <c r="AA236" s="176"/>
    </row>
    <row r="237">
      <c r="A237" s="165" t="str">
        <f>iferror(VLOOKUP(P237,'DO NOT TOUCH Imported'!$A$1:$D$800,4,False),iferror(VLOOKUP(P237,'DO NOT TOUCH Imported'!$C$1:$D$800,2,False),"OOPS FIX ME"))</f>
        <v>sembrestels</v>
      </c>
      <c r="B237" s="178" t="s">
        <v>519</v>
      </c>
      <c r="C237" s="179" t="s">
        <v>631</v>
      </c>
      <c r="D237" s="180" t="s">
        <v>495</v>
      </c>
      <c r="E237" s="181">
        <v>44318.0</v>
      </c>
      <c r="F237" s="182" t="s">
        <v>627</v>
      </c>
      <c r="G237" s="170">
        <v>10000.0</v>
      </c>
      <c r="H237" s="171">
        <v>150.0</v>
      </c>
      <c r="I237" s="171">
        <v>200.0</v>
      </c>
      <c r="J237" s="172">
        <f t="shared" si="7"/>
        <v>0.002122329093</v>
      </c>
      <c r="K237" s="173">
        <f t="shared" si="8"/>
        <v>2.546794912</v>
      </c>
      <c r="L237" s="174">
        <f t="shared" si="9"/>
        <v>11.11149818</v>
      </c>
      <c r="M237" s="175" t="str">
        <f t="shared" si="10"/>
        <v>sembrestels</v>
      </c>
      <c r="N237" s="176">
        <f>IFERROR(__xludf.DUMMYFUNCTION("""COMPUTED_VALUE"""),5.0)</f>
        <v>5</v>
      </c>
      <c r="O237" s="176"/>
      <c r="P237" s="183" t="s">
        <v>6</v>
      </c>
      <c r="Q237" s="178" t="s">
        <v>519</v>
      </c>
      <c r="R237" s="176"/>
      <c r="S237" s="176"/>
      <c r="T237" s="176"/>
      <c r="U237" s="176"/>
      <c r="V237" s="176"/>
      <c r="W237" s="176"/>
      <c r="X237" s="176"/>
      <c r="Y237" s="176"/>
      <c r="Z237" s="176"/>
      <c r="AA237" s="176"/>
    </row>
    <row r="238">
      <c r="A238" s="165" t="str">
        <f>iferror(VLOOKUP(P238,'DO NOT TOUCH Imported'!$A$1:$D$800,4,False),iferror(VLOOKUP(P238,'DO NOT TOUCH Imported'!$C$1:$D$800,2,False),"OOPS FIX ME"))</f>
        <v>sembrestels</v>
      </c>
      <c r="B238" s="166" t="s">
        <v>450</v>
      </c>
      <c r="C238" s="167" t="s">
        <v>552</v>
      </c>
      <c r="D238" s="168" t="s">
        <v>437</v>
      </c>
      <c r="E238" s="177" t="s">
        <v>452</v>
      </c>
      <c r="F238" s="168" t="s">
        <v>453</v>
      </c>
      <c r="G238" s="170">
        <v>1000.0</v>
      </c>
      <c r="H238" s="171">
        <v>200.0</v>
      </c>
      <c r="I238" s="171">
        <v>400.0</v>
      </c>
      <c r="J238" s="172">
        <f t="shared" si="7"/>
        <v>0.001941913667</v>
      </c>
      <c r="K238" s="173">
        <f t="shared" si="8"/>
        <v>2.3302964</v>
      </c>
      <c r="L238" s="174">
        <f t="shared" si="9"/>
        <v>11.11149818</v>
      </c>
      <c r="M238" s="175" t="str">
        <f t="shared" si="10"/>
        <v>sembrestels</v>
      </c>
      <c r="N238" s="176">
        <f>IFERROR(__xludf.DUMMYFUNCTION("""COMPUTED_VALUE"""),6.0)</f>
        <v>6</v>
      </c>
      <c r="O238" s="176"/>
      <c r="P238" s="166" t="s">
        <v>476</v>
      </c>
      <c r="Q238" s="166" t="s">
        <v>450</v>
      </c>
      <c r="R238" s="176"/>
      <c r="S238" s="176"/>
      <c r="T238" s="176"/>
      <c r="U238" s="176"/>
      <c r="V238" s="176"/>
      <c r="W238" s="176"/>
      <c r="X238" s="176"/>
      <c r="Y238" s="176"/>
      <c r="Z238" s="176"/>
      <c r="AA238" s="176"/>
    </row>
    <row r="239">
      <c r="A239" s="165" t="str">
        <f>iferror(VLOOKUP(P239,'DO NOT TOUCH Imported'!$A$1:$D$800,4,False),iferror(VLOOKUP(P239,'DO NOT TOUCH Imported'!$C$1:$D$800,2,False),"OOPS FIX ME"))</f>
        <v>sembrestels</v>
      </c>
      <c r="B239" s="166" t="s">
        <v>441</v>
      </c>
      <c r="C239" s="167" t="s">
        <v>632</v>
      </c>
      <c r="D239" s="168" t="s">
        <v>437</v>
      </c>
      <c r="E239" s="169" t="s">
        <v>447</v>
      </c>
      <c r="F239" s="168" t="s">
        <v>439</v>
      </c>
      <c r="G239" s="170">
        <v>1000.0</v>
      </c>
      <c r="H239" s="171">
        <v>100.0</v>
      </c>
      <c r="I239" s="171">
        <v>500.0</v>
      </c>
      <c r="J239" s="172">
        <f t="shared" si="7"/>
        <v>0.001922434924</v>
      </c>
      <c r="K239" s="173">
        <f t="shared" si="8"/>
        <v>2.306921909</v>
      </c>
      <c r="L239" s="174">
        <f t="shared" si="9"/>
        <v>11.11149818</v>
      </c>
      <c r="M239" s="175" t="str">
        <f t="shared" si="10"/>
        <v>sembrestels</v>
      </c>
      <c r="N239" s="176">
        <f>IFERROR(__xludf.DUMMYFUNCTION("""COMPUTED_VALUE"""),7.0)</f>
        <v>7</v>
      </c>
      <c r="O239" s="176"/>
      <c r="P239" s="166" t="s">
        <v>476</v>
      </c>
      <c r="Q239" s="166" t="s">
        <v>441</v>
      </c>
      <c r="R239" s="176"/>
      <c r="S239" s="176"/>
      <c r="T239" s="176"/>
      <c r="U239" s="176"/>
      <c r="V239" s="176"/>
      <c r="W239" s="176"/>
      <c r="X239" s="176"/>
      <c r="Y239" s="176"/>
      <c r="Z239" s="176"/>
      <c r="AA239" s="176"/>
    </row>
    <row r="240">
      <c r="A240" s="165" t="str">
        <f>iferror(VLOOKUP(P240,'DO NOT TOUCH Imported'!$A$1:$D$800,4,False),iferror(VLOOKUP(P240,'DO NOT TOUCH Imported'!$C$1:$D$800,2,False),"OOPS FIX ME"))</f>
        <v>sembrestels</v>
      </c>
      <c r="B240" s="178" t="s">
        <v>63</v>
      </c>
      <c r="C240" s="179" t="s">
        <v>633</v>
      </c>
      <c r="D240" s="180" t="s">
        <v>495</v>
      </c>
      <c r="E240" s="184">
        <v>44316.0</v>
      </c>
      <c r="F240" s="182" t="s">
        <v>627</v>
      </c>
      <c r="G240" s="170">
        <v>10000.0</v>
      </c>
      <c r="H240" s="171">
        <v>100.0</v>
      </c>
      <c r="I240" s="171">
        <v>100.0</v>
      </c>
      <c r="J240" s="172">
        <f t="shared" si="7"/>
        <v>0.001662949434</v>
      </c>
      <c r="K240" s="173">
        <f t="shared" si="8"/>
        <v>1.995539321</v>
      </c>
      <c r="L240" s="174">
        <f t="shared" si="9"/>
        <v>11.11149818</v>
      </c>
      <c r="M240" s="175" t="str">
        <f t="shared" si="10"/>
        <v>sembrestels</v>
      </c>
      <c r="N240" s="176">
        <f>IFERROR(__xludf.DUMMYFUNCTION("""COMPUTED_VALUE"""),8.0)</f>
        <v>8</v>
      </c>
      <c r="O240" s="176"/>
      <c r="P240" s="183" t="s">
        <v>6</v>
      </c>
      <c r="Q240" s="178" t="s">
        <v>63</v>
      </c>
      <c r="R240" s="176"/>
      <c r="S240" s="176"/>
      <c r="T240" s="176"/>
      <c r="U240" s="176"/>
      <c r="V240" s="176"/>
      <c r="W240" s="176"/>
      <c r="X240" s="176"/>
      <c r="Y240" s="176"/>
      <c r="Z240" s="176"/>
      <c r="AA240" s="176"/>
    </row>
    <row r="241">
      <c r="A241" s="165" t="str">
        <f>iferror(VLOOKUP(P241,'DO NOT TOUCH Imported'!$A$1:$D$800,4,False),iferror(VLOOKUP(P241,'DO NOT TOUCH Imported'!$C$1:$D$800,2,False),"OOPS FIX ME"))</f>
        <v>sembrestels</v>
      </c>
      <c r="B241" s="178" t="s">
        <v>6</v>
      </c>
      <c r="C241" s="179" t="s">
        <v>634</v>
      </c>
      <c r="D241" s="180" t="s">
        <v>495</v>
      </c>
      <c r="E241" s="181">
        <v>44317.0</v>
      </c>
      <c r="F241" s="182" t="s">
        <v>627</v>
      </c>
      <c r="G241" s="170">
        <v>10000.0</v>
      </c>
      <c r="H241" s="171">
        <v>100.0</v>
      </c>
      <c r="I241" s="171">
        <v>100.0</v>
      </c>
      <c r="J241" s="172">
        <f t="shared" si="7"/>
        <v>0.001662949434</v>
      </c>
      <c r="K241" s="173">
        <f t="shared" si="8"/>
        <v>1.995539321</v>
      </c>
      <c r="L241" s="174">
        <f t="shared" si="9"/>
        <v>11.11149818</v>
      </c>
      <c r="M241" s="175" t="str">
        <f t="shared" si="10"/>
        <v>sembrestels</v>
      </c>
      <c r="N241" s="176">
        <f>IFERROR(__xludf.DUMMYFUNCTION("""COMPUTED_VALUE"""),9.0)</f>
        <v>9</v>
      </c>
      <c r="O241" s="176"/>
      <c r="P241" s="183" t="s">
        <v>6</v>
      </c>
      <c r="Q241" s="178" t="s">
        <v>6</v>
      </c>
      <c r="R241" s="176"/>
      <c r="S241" s="176"/>
      <c r="T241" s="176"/>
      <c r="U241" s="176"/>
      <c r="V241" s="176"/>
      <c r="W241" s="176"/>
      <c r="X241" s="176"/>
      <c r="Y241" s="176"/>
      <c r="Z241" s="176"/>
      <c r="AA241" s="176"/>
    </row>
    <row r="242">
      <c r="A242" s="165" t="str">
        <f>iferror(VLOOKUP(P242,'DO NOT TOUCH Imported'!$A$1:$D$800,4,False),iferror(VLOOKUP(P242,'DO NOT TOUCH Imported'!$C$1:$D$800,2,False),"OOPS FIX ME"))</f>
        <v>sembrestels</v>
      </c>
      <c r="B242" s="178" t="s">
        <v>63</v>
      </c>
      <c r="C242" s="179" t="s">
        <v>635</v>
      </c>
      <c r="D242" s="180" t="s">
        <v>495</v>
      </c>
      <c r="E242" s="181">
        <v>44322.0</v>
      </c>
      <c r="F242" s="182" t="s">
        <v>627</v>
      </c>
      <c r="G242" s="170">
        <v>10000.0</v>
      </c>
      <c r="H242" s="171">
        <v>100.0</v>
      </c>
      <c r="I242" s="171">
        <v>100.0</v>
      </c>
      <c r="J242" s="172">
        <f t="shared" si="7"/>
        <v>0.001662949434</v>
      </c>
      <c r="K242" s="173">
        <f t="shared" si="8"/>
        <v>1.995539321</v>
      </c>
      <c r="L242" s="174">
        <f t="shared" si="9"/>
        <v>11.11149818</v>
      </c>
      <c r="M242" s="175" t="str">
        <f t="shared" si="10"/>
        <v>sembrestels</v>
      </c>
      <c r="N242" s="176">
        <f>IFERROR(__xludf.DUMMYFUNCTION("""COMPUTED_VALUE"""),10.0)</f>
        <v>10</v>
      </c>
      <c r="O242" s="176"/>
      <c r="P242" s="183" t="s">
        <v>6</v>
      </c>
      <c r="Q242" s="178" t="s">
        <v>63</v>
      </c>
      <c r="R242" s="176"/>
      <c r="S242" s="176"/>
      <c r="T242" s="176"/>
      <c r="U242" s="176"/>
      <c r="V242" s="176"/>
      <c r="W242" s="176"/>
      <c r="X242" s="176"/>
      <c r="Y242" s="176"/>
      <c r="Z242" s="176"/>
      <c r="AA242" s="176"/>
    </row>
    <row r="243">
      <c r="A243" s="165" t="str">
        <f>iferror(VLOOKUP(P243,'DO NOT TOUCH Imported'!$A$1:$D$800,4,False),iferror(VLOOKUP(P243,'DO NOT TOUCH Imported'!$C$1:$D$800,2,False),"OOPS FIX ME"))</f>
        <v>sembrestels</v>
      </c>
      <c r="B243" s="166" t="s">
        <v>441</v>
      </c>
      <c r="C243" s="167" t="s">
        <v>442</v>
      </c>
      <c r="D243" s="168" t="s">
        <v>437</v>
      </c>
      <c r="E243" s="177" t="s">
        <v>438</v>
      </c>
      <c r="F243" s="168" t="s">
        <v>439</v>
      </c>
      <c r="G243" s="170">
        <v>10000.0</v>
      </c>
      <c r="H243" s="171">
        <v>100.0</v>
      </c>
      <c r="I243" s="171">
        <v>100.0</v>
      </c>
      <c r="J243" s="172">
        <f t="shared" si="7"/>
        <v>0.001662949434</v>
      </c>
      <c r="K243" s="173">
        <f t="shared" si="8"/>
        <v>1.995539321</v>
      </c>
      <c r="L243" s="174">
        <f t="shared" si="9"/>
        <v>11.11149818</v>
      </c>
      <c r="M243" s="175" t="str">
        <f t="shared" si="10"/>
        <v>sembrestels</v>
      </c>
      <c r="N243" s="176">
        <f>IFERROR(__xludf.DUMMYFUNCTION("""COMPUTED_VALUE"""),11.0)</f>
        <v>11</v>
      </c>
      <c r="O243" s="176"/>
      <c r="P243" s="166" t="s">
        <v>476</v>
      </c>
      <c r="Q243" s="166" t="s">
        <v>441</v>
      </c>
      <c r="R243" s="176"/>
      <c r="S243" s="176"/>
      <c r="T243" s="176"/>
      <c r="U243" s="176"/>
      <c r="V243" s="176"/>
      <c r="W243" s="176"/>
      <c r="X243" s="176"/>
      <c r="Y243" s="176"/>
      <c r="Z243" s="176"/>
      <c r="AA243" s="176"/>
    </row>
    <row r="244">
      <c r="A244" s="165" t="str">
        <f>iferror(VLOOKUP(P244,'DO NOT TOUCH Imported'!$A$1:$D$800,4,False),iferror(VLOOKUP(P244,'DO NOT TOUCH Imported'!$C$1:$D$800,2,False),"OOPS FIX ME"))</f>
        <v>sembrestels</v>
      </c>
      <c r="B244" s="166" t="s">
        <v>441</v>
      </c>
      <c r="C244" s="167" t="s">
        <v>636</v>
      </c>
      <c r="D244" s="168" t="s">
        <v>437</v>
      </c>
      <c r="E244" s="169" t="s">
        <v>438</v>
      </c>
      <c r="F244" s="168" t="s">
        <v>439</v>
      </c>
      <c r="G244" s="170">
        <v>1000.0</v>
      </c>
      <c r="H244" s="171">
        <v>300.0</v>
      </c>
      <c r="I244" s="171">
        <v>200.0</v>
      </c>
      <c r="J244" s="172">
        <f t="shared" si="7"/>
        <v>0.001661632218</v>
      </c>
      <c r="K244" s="173">
        <f t="shared" si="8"/>
        <v>1.993958661</v>
      </c>
      <c r="L244" s="174">
        <f t="shared" si="9"/>
        <v>11.11149818</v>
      </c>
      <c r="M244" s="175" t="str">
        <f t="shared" si="10"/>
        <v>sembrestels</v>
      </c>
      <c r="N244" s="176">
        <f>IFERROR(__xludf.DUMMYFUNCTION("""COMPUTED_VALUE"""),12.0)</f>
        <v>12</v>
      </c>
      <c r="O244" s="176"/>
      <c r="P244" s="166" t="s">
        <v>476</v>
      </c>
      <c r="Q244" s="166" t="s">
        <v>441</v>
      </c>
      <c r="R244" s="176"/>
      <c r="S244" s="176"/>
      <c r="T244" s="176"/>
      <c r="U244" s="176"/>
      <c r="V244" s="176"/>
      <c r="W244" s="176"/>
      <c r="X244" s="176"/>
      <c r="Y244" s="176"/>
      <c r="Z244" s="176"/>
      <c r="AA244" s="176"/>
    </row>
    <row r="245">
      <c r="A245" s="165" t="str">
        <f>iferror(VLOOKUP(P245,'DO NOT TOUCH Imported'!$A$1:$D$800,4,False),iferror(VLOOKUP(P245,'DO NOT TOUCH Imported'!$C$1:$D$800,2,False),"OOPS FIX ME"))</f>
        <v>sembrestels</v>
      </c>
      <c r="B245" s="166" t="s">
        <v>441</v>
      </c>
      <c r="C245" s="167" t="s">
        <v>637</v>
      </c>
      <c r="D245" s="168" t="s">
        <v>437</v>
      </c>
      <c r="E245" s="169" t="s">
        <v>447</v>
      </c>
      <c r="F245" s="168" t="s">
        <v>439</v>
      </c>
      <c r="G245" s="170">
        <v>1000.0</v>
      </c>
      <c r="H245" s="171">
        <v>300.0</v>
      </c>
      <c r="I245" s="171">
        <v>100.0</v>
      </c>
      <c r="J245" s="172">
        <f t="shared" si="7"/>
        <v>0.001361872026</v>
      </c>
      <c r="K245" s="173">
        <f t="shared" si="8"/>
        <v>1.634246431</v>
      </c>
      <c r="L245" s="174">
        <f t="shared" si="9"/>
        <v>11.11149818</v>
      </c>
      <c r="M245" s="175" t="str">
        <f t="shared" si="10"/>
        <v>sembrestels</v>
      </c>
      <c r="N245" s="176">
        <f>IFERROR(__xludf.DUMMYFUNCTION("""COMPUTED_VALUE"""),13.0)</f>
        <v>13</v>
      </c>
      <c r="O245" s="176"/>
      <c r="P245" s="166" t="s">
        <v>476</v>
      </c>
      <c r="Q245" s="166" t="s">
        <v>441</v>
      </c>
      <c r="R245" s="176"/>
      <c r="S245" s="176"/>
      <c r="T245" s="176"/>
      <c r="U245" s="176"/>
      <c r="V245" s="176"/>
      <c r="W245" s="176"/>
      <c r="X245" s="176"/>
      <c r="Y245" s="176"/>
      <c r="Z245" s="176"/>
      <c r="AA245" s="176"/>
    </row>
    <row r="246">
      <c r="A246" s="165" t="str">
        <f>iferror(VLOOKUP(P246,'DO NOT TOUCH Imported'!$A$1:$D$800,4,False),iferror(VLOOKUP(P246,'DO NOT TOUCH Imported'!$C$1:$D$800,2,False),"OOPS FIX ME"))</f>
        <v>sembrestels</v>
      </c>
      <c r="B246" s="166" t="s">
        <v>441</v>
      </c>
      <c r="C246" s="167" t="s">
        <v>554</v>
      </c>
      <c r="D246" s="168" t="s">
        <v>437</v>
      </c>
      <c r="E246" s="177" t="s">
        <v>447</v>
      </c>
      <c r="F246" s="168" t="s">
        <v>439</v>
      </c>
      <c r="G246" s="170">
        <v>1000.0</v>
      </c>
      <c r="H246" s="171">
        <v>200.0</v>
      </c>
      <c r="I246" s="171">
        <v>200.0</v>
      </c>
      <c r="J246" s="172">
        <f t="shared" si="7"/>
        <v>0.001342393283</v>
      </c>
      <c r="K246" s="173">
        <f t="shared" si="8"/>
        <v>1.61087194</v>
      </c>
      <c r="L246" s="174">
        <f t="shared" si="9"/>
        <v>11.11149818</v>
      </c>
      <c r="M246" s="175" t="str">
        <f t="shared" si="10"/>
        <v>sembrestels</v>
      </c>
      <c r="N246" s="176">
        <f>IFERROR(__xludf.DUMMYFUNCTION("""COMPUTED_VALUE"""),14.0)</f>
        <v>14</v>
      </c>
      <c r="O246" s="176"/>
      <c r="P246" s="166" t="s">
        <v>476</v>
      </c>
      <c r="Q246" s="166" t="s">
        <v>441</v>
      </c>
      <c r="R246" s="176"/>
      <c r="S246" s="176"/>
      <c r="T246" s="176"/>
      <c r="U246" s="176"/>
      <c r="V246" s="176"/>
      <c r="W246" s="176"/>
      <c r="X246" s="176"/>
      <c r="Y246" s="176"/>
      <c r="Z246" s="176"/>
      <c r="AA246" s="176"/>
    </row>
    <row r="247">
      <c r="A247" s="165" t="str">
        <f>iferror(VLOOKUP(P247,'DO NOT TOUCH Imported'!$A$1:$D$800,4,False),iferror(VLOOKUP(P247,'DO NOT TOUCH Imported'!$C$1:$D$800,2,False),"OOPS FIX ME"))</f>
        <v>sembrestels</v>
      </c>
      <c r="B247" s="166" t="s">
        <v>441</v>
      </c>
      <c r="C247" s="167" t="s">
        <v>638</v>
      </c>
      <c r="D247" s="168" t="s">
        <v>437</v>
      </c>
      <c r="E247" s="169" t="s">
        <v>447</v>
      </c>
      <c r="F247" s="168" t="s">
        <v>439</v>
      </c>
      <c r="G247" s="170">
        <v>1000.0</v>
      </c>
      <c r="H247" s="171">
        <v>200.0</v>
      </c>
      <c r="I247" s="171">
        <v>200.0</v>
      </c>
      <c r="J247" s="172">
        <f t="shared" si="7"/>
        <v>0.001342393283</v>
      </c>
      <c r="K247" s="173">
        <f t="shared" si="8"/>
        <v>1.61087194</v>
      </c>
      <c r="L247" s="174">
        <f t="shared" si="9"/>
        <v>11.11149818</v>
      </c>
      <c r="M247" s="175" t="str">
        <f t="shared" si="10"/>
        <v>sembrestels</v>
      </c>
      <c r="N247" s="176">
        <f>IFERROR(__xludf.DUMMYFUNCTION("""COMPUTED_VALUE"""),15.0)</f>
        <v>15</v>
      </c>
      <c r="O247" s="176"/>
      <c r="P247" s="166" t="s">
        <v>476</v>
      </c>
      <c r="Q247" s="166" t="s">
        <v>441</v>
      </c>
      <c r="R247" s="176"/>
      <c r="S247" s="176"/>
      <c r="T247" s="176"/>
      <c r="U247" s="176"/>
      <c r="V247" s="176"/>
      <c r="W247" s="176"/>
      <c r="X247" s="176"/>
      <c r="Y247" s="176"/>
      <c r="Z247" s="176"/>
      <c r="AA247" s="176"/>
    </row>
    <row r="248">
      <c r="A248" s="165" t="str">
        <f>iferror(VLOOKUP(P248,'DO NOT TOUCH Imported'!$A$1:$D$800,4,False),iferror(VLOOKUP(P248,'DO NOT TOUCH Imported'!$C$1:$D$800,2,False),"OOPS FIX ME"))</f>
        <v>sembrestels</v>
      </c>
      <c r="B248" s="166" t="s">
        <v>441</v>
      </c>
      <c r="C248" s="167" t="s">
        <v>639</v>
      </c>
      <c r="D248" s="168" t="s">
        <v>437</v>
      </c>
      <c r="E248" s="177" t="s">
        <v>438</v>
      </c>
      <c r="F248" s="168" t="s">
        <v>439</v>
      </c>
      <c r="G248" s="170">
        <v>1000.0</v>
      </c>
      <c r="H248" s="171">
        <v>200.0</v>
      </c>
      <c r="I248" s="171">
        <v>200.0</v>
      </c>
      <c r="J248" s="172">
        <f t="shared" si="7"/>
        <v>0.001342393283</v>
      </c>
      <c r="K248" s="173">
        <f t="shared" si="8"/>
        <v>1.61087194</v>
      </c>
      <c r="L248" s="174">
        <f t="shared" si="9"/>
        <v>11.11149818</v>
      </c>
      <c r="M248" s="175" t="str">
        <f t="shared" si="10"/>
        <v>sembrestels</v>
      </c>
      <c r="N248" s="176">
        <f>IFERROR(__xludf.DUMMYFUNCTION("""COMPUTED_VALUE"""),16.0)</f>
        <v>16</v>
      </c>
      <c r="O248" s="176"/>
      <c r="P248" s="166" t="s">
        <v>476</v>
      </c>
      <c r="Q248" s="166" t="s">
        <v>441</v>
      </c>
      <c r="R248" s="176"/>
      <c r="S248" s="176"/>
      <c r="T248" s="176"/>
      <c r="U248" s="176"/>
      <c r="V248" s="176"/>
      <c r="W248" s="176"/>
      <c r="X248" s="176"/>
      <c r="Y248" s="176"/>
      <c r="Z248" s="176"/>
      <c r="AA248" s="176"/>
    </row>
    <row r="249">
      <c r="A249" s="165" t="str">
        <f>iferror(VLOOKUP(P249,'DO NOT TOUCH Imported'!$A$1:$D$800,4,False),iferror(VLOOKUP(P249,'DO NOT TOUCH Imported'!$C$1:$D$800,2,False),"OOPS FIX ME"))</f>
        <v>sembrestels</v>
      </c>
      <c r="B249" s="166" t="s">
        <v>441</v>
      </c>
      <c r="C249" s="167" t="s">
        <v>640</v>
      </c>
      <c r="D249" s="168" t="s">
        <v>437</v>
      </c>
      <c r="E249" s="177" t="s">
        <v>438</v>
      </c>
      <c r="F249" s="168" t="s">
        <v>439</v>
      </c>
      <c r="G249" s="170">
        <v>1000.0</v>
      </c>
      <c r="H249" s="171">
        <v>150.0</v>
      </c>
      <c r="I249" s="171">
        <v>200.0</v>
      </c>
      <c r="J249" s="172">
        <f t="shared" si="7"/>
        <v>0.001182773816</v>
      </c>
      <c r="K249" s="173">
        <f t="shared" si="8"/>
        <v>1.419328579</v>
      </c>
      <c r="L249" s="174">
        <f t="shared" si="9"/>
        <v>11.11149818</v>
      </c>
      <c r="M249" s="175" t="str">
        <f t="shared" si="10"/>
        <v>sembrestels</v>
      </c>
      <c r="N249" s="176">
        <f>IFERROR(__xludf.DUMMYFUNCTION("""COMPUTED_VALUE"""),17.0)</f>
        <v>17</v>
      </c>
      <c r="O249" s="176"/>
      <c r="P249" s="166" t="s">
        <v>476</v>
      </c>
      <c r="Q249" s="166" t="s">
        <v>441</v>
      </c>
      <c r="R249" s="176"/>
      <c r="S249" s="176"/>
      <c r="T249" s="176"/>
      <c r="U249" s="176"/>
      <c r="V249" s="176"/>
      <c r="W249" s="176"/>
      <c r="X249" s="176"/>
      <c r="Y249" s="176"/>
      <c r="Z249" s="176"/>
      <c r="AA249" s="176"/>
    </row>
    <row r="250">
      <c r="A250" s="165" t="str">
        <f>iferror(VLOOKUP(P250,'DO NOT TOUCH Imported'!$A$1:$D$800,4,False),iferror(VLOOKUP(P250,'DO NOT TOUCH Imported'!$C$1:$D$800,2,False),"OOPS FIX ME"))</f>
        <v>sembrestels</v>
      </c>
      <c r="B250" s="166" t="s">
        <v>483</v>
      </c>
      <c r="C250" s="167" t="s">
        <v>641</v>
      </c>
      <c r="D250" s="168" t="s">
        <v>437</v>
      </c>
      <c r="E250" s="177" t="s">
        <v>540</v>
      </c>
      <c r="F250" s="168" t="s">
        <v>439</v>
      </c>
      <c r="G250" s="170">
        <v>1000.0</v>
      </c>
      <c r="H250" s="171">
        <v>200.0</v>
      </c>
      <c r="I250" s="171">
        <v>100.0</v>
      </c>
      <c r="J250" s="172">
        <f t="shared" si="7"/>
        <v>0.001042633091</v>
      </c>
      <c r="K250" s="173">
        <f t="shared" si="8"/>
        <v>1.25115971</v>
      </c>
      <c r="L250" s="174">
        <f t="shared" si="9"/>
        <v>11.11149818</v>
      </c>
      <c r="M250" s="175" t="str">
        <f t="shared" si="10"/>
        <v>sembrestels</v>
      </c>
      <c r="N250" s="176">
        <f>IFERROR(__xludf.DUMMYFUNCTION("""COMPUTED_VALUE"""),18.0)</f>
        <v>18</v>
      </c>
      <c r="O250" s="176"/>
      <c r="P250" s="166" t="s">
        <v>476</v>
      </c>
      <c r="Q250" s="166" t="s">
        <v>483</v>
      </c>
      <c r="R250" s="176"/>
      <c r="S250" s="176"/>
      <c r="T250" s="176"/>
      <c r="U250" s="176"/>
      <c r="V250" s="176"/>
      <c r="W250" s="176"/>
      <c r="X250" s="176"/>
      <c r="Y250" s="176"/>
      <c r="Z250" s="176"/>
      <c r="AA250" s="176"/>
    </row>
    <row r="251">
      <c r="A251" s="165" t="str">
        <f>iferror(VLOOKUP(P251,'DO NOT TOUCH Imported'!$A$1:$D$800,4,False),iferror(VLOOKUP(P251,'DO NOT TOUCH Imported'!$C$1:$D$800,2,False),"OOPS FIX ME"))</f>
        <v>sembrestels</v>
      </c>
      <c r="B251" s="166" t="s">
        <v>441</v>
      </c>
      <c r="C251" s="167" t="s">
        <v>642</v>
      </c>
      <c r="D251" s="168" t="s">
        <v>437</v>
      </c>
      <c r="E251" s="177" t="s">
        <v>447</v>
      </c>
      <c r="F251" s="168" t="s">
        <v>439</v>
      </c>
      <c r="G251" s="170">
        <v>1000.0</v>
      </c>
      <c r="H251" s="171">
        <v>200.0</v>
      </c>
      <c r="I251" s="171">
        <v>100.0</v>
      </c>
      <c r="J251" s="172">
        <f t="shared" si="7"/>
        <v>0.001042633091</v>
      </c>
      <c r="K251" s="173">
        <f t="shared" si="8"/>
        <v>1.25115971</v>
      </c>
      <c r="L251" s="174">
        <f t="shared" si="9"/>
        <v>11.11149818</v>
      </c>
      <c r="M251" s="175" t="str">
        <f t="shared" si="10"/>
        <v>sembrestels</v>
      </c>
      <c r="N251" s="176">
        <f>IFERROR(__xludf.DUMMYFUNCTION("""COMPUTED_VALUE"""),19.0)</f>
        <v>19</v>
      </c>
      <c r="O251" s="176"/>
      <c r="P251" s="166" t="s">
        <v>476</v>
      </c>
      <c r="Q251" s="166" t="s">
        <v>441</v>
      </c>
      <c r="R251" s="176"/>
      <c r="S251" s="176"/>
      <c r="T251" s="176"/>
      <c r="U251" s="176"/>
      <c r="V251" s="176"/>
      <c r="W251" s="176"/>
      <c r="X251" s="176"/>
      <c r="Y251" s="176"/>
      <c r="Z251" s="176"/>
      <c r="AA251" s="176"/>
    </row>
    <row r="252">
      <c r="A252" s="165" t="str">
        <f>iferror(VLOOKUP(P252,'DO NOT TOUCH Imported'!$A$1:$D$800,4,False),iferror(VLOOKUP(P252,'DO NOT TOUCH Imported'!$C$1:$D$800,2,False),"OOPS FIX ME"))</f>
        <v>sembrestels</v>
      </c>
      <c r="B252" s="166" t="s">
        <v>441</v>
      </c>
      <c r="C252" s="167" t="s">
        <v>608</v>
      </c>
      <c r="D252" s="168" t="s">
        <v>437</v>
      </c>
      <c r="E252" s="169" t="s">
        <v>438</v>
      </c>
      <c r="F252" s="168" t="s">
        <v>439</v>
      </c>
      <c r="G252" s="170">
        <v>1000.0</v>
      </c>
      <c r="H252" s="171">
        <v>200.0</v>
      </c>
      <c r="I252" s="171">
        <v>100.0</v>
      </c>
      <c r="J252" s="172">
        <f t="shared" si="7"/>
        <v>0.001042633091</v>
      </c>
      <c r="K252" s="173">
        <f t="shared" si="8"/>
        <v>1.25115971</v>
      </c>
      <c r="L252" s="174">
        <f t="shared" si="9"/>
        <v>11.11149818</v>
      </c>
      <c r="M252" s="175" t="str">
        <f t="shared" si="10"/>
        <v>sembrestels</v>
      </c>
      <c r="N252" s="176">
        <f>IFERROR(__xludf.DUMMYFUNCTION("""COMPUTED_VALUE"""),20.0)</f>
        <v>20</v>
      </c>
      <c r="O252" s="176"/>
      <c r="P252" s="166" t="s">
        <v>476</v>
      </c>
      <c r="Q252" s="166" t="s">
        <v>441</v>
      </c>
      <c r="R252" s="176"/>
      <c r="S252" s="176"/>
      <c r="T252" s="176"/>
      <c r="U252" s="176"/>
      <c r="V252" s="176"/>
      <c r="W252" s="176"/>
      <c r="X252" s="176"/>
      <c r="Y252" s="176"/>
      <c r="Z252" s="176"/>
      <c r="AA252" s="176"/>
    </row>
    <row r="253">
      <c r="A253" s="165" t="str">
        <f>iferror(VLOOKUP(P253,'DO NOT TOUCH Imported'!$A$1:$D$800,4,False),iferror(VLOOKUP(P253,'DO NOT TOUCH Imported'!$C$1:$D$800,2,False),"OOPS FIX ME"))</f>
        <v>sembrestels</v>
      </c>
      <c r="B253" s="166" t="s">
        <v>441</v>
      </c>
      <c r="C253" s="167" t="s">
        <v>609</v>
      </c>
      <c r="D253" s="168" t="s">
        <v>437</v>
      </c>
      <c r="E253" s="177" t="s">
        <v>438</v>
      </c>
      <c r="F253" s="168" t="s">
        <v>439</v>
      </c>
      <c r="G253" s="170">
        <v>1000.0</v>
      </c>
      <c r="H253" s="171">
        <v>200.0</v>
      </c>
      <c r="I253" s="171">
        <v>100.0</v>
      </c>
      <c r="J253" s="172">
        <f t="shared" si="7"/>
        <v>0.001042633091</v>
      </c>
      <c r="K253" s="173">
        <f t="shared" si="8"/>
        <v>1.25115971</v>
      </c>
      <c r="L253" s="174">
        <f t="shared" si="9"/>
        <v>11.11149818</v>
      </c>
      <c r="M253" s="175" t="str">
        <f t="shared" si="10"/>
        <v>sembrestels</v>
      </c>
      <c r="N253" s="176">
        <f>IFERROR(__xludf.DUMMYFUNCTION("""COMPUTED_VALUE"""),21.0)</f>
        <v>21</v>
      </c>
      <c r="O253" s="176"/>
      <c r="P253" s="166" t="s">
        <v>476</v>
      </c>
      <c r="Q253" s="166" t="s">
        <v>441</v>
      </c>
      <c r="R253" s="176"/>
      <c r="S253" s="176"/>
      <c r="T253" s="176"/>
      <c r="U253" s="176"/>
      <c r="V253" s="176"/>
      <c r="W253" s="176"/>
      <c r="X253" s="176"/>
      <c r="Y253" s="176"/>
      <c r="Z253" s="176"/>
      <c r="AA253" s="176"/>
    </row>
    <row r="254">
      <c r="A254" s="165" t="str">
        <f>iferror(VLOOKUP(P254,'DO NOT TOUCH Imported'!$A$1:$D$800,4,False),iferror(VLOOKUP(P254,'DO NOT TOUCH Imported'!$C$1:$D$800,2,False),"OOPS FIX ME"))</f>
        <v>sembrestels</v>
      </c>
      <c r="B254" s="166" t="s">
        <v>435</v>
      </c>
      <c r="C254" s="167" t="s">
        <v>643</v>
      </c>
      <c r="D254" s="168" t="s">
        <v>437</v>
      </c>
      <c r="E254" s="169" t="s">
        <v>478</v>
      </c>
      <c r="F254" s="168" t="s">
        <v>439</v>
      </c>
      <c r="G254" s="170">
        <v>1000.0</v>
      </c>
      <c r="H254" s="171">
        <v>100.0</v>
      </c>
      <c r="I254" s="171">
        <v>200.0</v>
      </c>
      <c r="J254" s="172">
        <f t="shared" si="7"/>
        <v>0.001023154349</v>
      </c>
      <c r="K254" s="173">
        <f t="shared" si="8"/>
        <v>1.227785219</v>
      </c>
      <c r="L254" s="174">
        <f t="shared" si="9"/>
        <v>11.11149818</v>
      </c>
      <c r="M254" s="175" t="str">
        <f t="shared" si="10"/>
        <v>sembrestels</v>
      </c>
      <c r="N254" s="176">
        <f>IFERROR(__xludf.DUMMYFUNCTION("""COMPUTED_VALUE"""),22.0)</f>
        <v>22</v>
      </c>
      <c r="O254" s="176"/>
      <c r="P254" s="166" t="s">
        <v>476</v>
      </c>
      <c r="Q254" s="166" t="s">
        <v>435</v>
      </c>
      <c r="R254" s="176"/>
      <c r="S254" s="176"/>
      <c r="T254" s="176"/>
      <c r="U254" s="176"/>
      <c r="V254" s="176"/>
      <c r="W254" s="176"/>
      <c r="X254" s="176"/>
      <c r="Y254" s="176"/>
      <c r="Z254" s="176"/>
      <c r="AA254" s="176"/>
    </row>
    <row r="255">
      <c r="A255" s="165" t="str">
        <f>iferror(VLOOKUP(P255,'DO NOT TOUCH Imported'!$A$1:$D$800,4,False),iferror(VLOOKUP(P255,'DO NOT TOUCH Imported'!$C$1:$D$800,2,False),"OOPS FIX ME"))</f>
        <v>sembrestels</v>
      </c>
      <c r="B255" s="166" t="s">
        <v>441</v>
      </c>
      <c r="C255" s="167" t="s">
        <v>467</v>
      </c>
      <c r="D255" s="168" t="s">
        <v>437</v>
      </c>
      <c r="E255" s="177" t="s">
        <v>447</v>
      </c>
      <c r="F255" s="168" t="s">
        <v>439</v>
      </c>
      <c r="G255" s="170">
        <v>1000.0</v>
      </c>
      <c r="H255" s="171">
        <v>100.0</v>
      </c>
      <c r="I255" s="171">
        <v>100.0</v>
      </c>
      <c r="J255" s="172">
        <f t="shared" si="7"/>
        <v>0.000723394157</v>
      </c>
      <c r="K255" s="173">
        <f t="shared" si="8"/>
        <v>0.8680729884</v>
      </c>
      <c r="L255" s="174">
        <f t="shared" si="9"/>
        <v>11.11149818</v>
      </c>
      <c r="M255" s="175" t="str">
        <f t="shared" si="10"/>
        <v>sembrestels</v>
      </c>
      <c r="N255" s="209">
        <f>IFERROR(__xludf.DUMMYFUNCTION("""COMPUTED_VALUE"""),23.0)</f>
        <v>23</v>
      </c>
      <c r="O255" s="209"/>
      <c r="P255" s="166" t="s">
        <v>476</v>
      </c>
      <c r="Q255" s="166" t="s">
        <v>441</v>
      </c>
      <c r="R255" s="209"/>
      <c r="S255" s="209"/>
      <c r="T255" s="209"/>
      <c r="U255" s="209"/>
      <c r="V255" s="209"/>
      <c r="W255" s="209"/>
      <c r="X255" s="209"/>
      <c r="Y255" s="209"/>
      <c r="Z255" s="209"/>
      <c r="AA255" s="209"/>
    </row>
    <row r="256">
      <c r="A256" s="165" t="str">
        <f>iferror(VLOOKUP(P256,'DO NOT TOUCH Imported'!$A$1:$D$800,4,False),iferror(VLOOKUP(P256,'DO NOT TOUCH Imported'!$C$1:$D$800,2,False),"OOPS FIX ME"))</f>
        <v>sembrestels</v>
      </c>
      <c r="B256" s="166" t="s">
        <v>441</v>
      </c>
      <c r="C256" s="167" t="s">
        <v>469</v>
      </c>
      <c r="D256" s="168" t="s">
        <v>437</v>
      </c>
      <c r="E256" s="177" t="s">
        <v>447</v>
      </c>
      <c r="F256" s="168" t="s">
        <v>439</v>
      </c>
      <c r="G256" s="170">
        <v>1000.0</v>
      </c>
      <c r="H256" s="171">
        <v>100.0</v>
      </c>
      <c r="I256" s="171">
        <v>100.0</v>
      </c>
      <c r="J256" s="172">
        <f t="shared" si="7"/>
        <v>0.000723394157</v>
      </c>
      <c r="K256" s="173">
        <f t="shared" si="8"/>
        <v>0.8680729884</v>
      </c>
      <c r="L256" s="174">
        <f t="shared" si="9"/>
        <v>11.11149818</v>
      </c>
      <c r="M256" s="175" t="str">
        <f t="shared" si="10"/>
        <v>sembrestels</v>
      </c>
      <c r="N256" s="176">
        <f>IFERROR(__xludf.DUMMYFUNCTION("""COMPUTED_VALUE"""),24.0)</f>
        <v>24</v>
      </c>
      <c r="O256" s="176"/>
      <c r="P256" s="166" t="s">
        <v>476</v>
      </c>
      <c r="Q256" s="166" t="s">
        <v>441</v>
      </c>
      <c r="R256" s="176"/>
      <c r="S256" s="176"/>
      <c r="T256" s="176"/>
      <c r="U256" s="176"/>
      <c r="V256" s="176"/>
      <c r="W256" s="176"/>
      <c r="X256" s="176"/>
      <c r="Y256" s="176"/>
      <c r="Z256" s="176"/>
      <c r="AA256" s="176"/>
    </row>
    <row r="257">
      <c r="A257" s="165" t="str">
        <f>iferror(VLOOKUP(P257,'DO NOT TOUCH Imported'!$A$1:$D$800,4,False),iferror(VLOOKUP(P257,'DO NOT TOUCH Imported'!$C$1:$D$800,2,False),"OOPS FIX ME"))</f>
        <v>sembrestels</v>
      </c>
      <c r="B257" s="166" t="s">
        <v>441</v>
      </c>
      <c r="C257" s="167" t="s">
        <v>558</v>
      </c>
      <c r="D257" s="168" t="s">
        <v>437</v>
      </c>
      <c r="E257" s="177" t="s">
        <v>447</v>
      </c>
      <c r="F257" s="168" t="s">
        <v>439</v>
      </c>
      <c r="G257" s="170">
        <v>1000.0</v>
      </c>
      <c r="H257" s="171">
        <v>100.0</v>
      </c>
      <c r="I257" s="171">
        <v>100.0</v>
      </c>
      <c r="J257" s="172">
        <f t="shared" si="7"/>
        <v>0.000723394157</v>
      </c>
      <c r="K257" s="173">
        <f t="shared" si="8"/>
        <v>0.8680729884</v>
      </c>
      <c r="L257" s="174">
        <f t="shared" si="9"/>
        <v>11.11149818</v>
      </c>
      <c r="M257" s="175" t="str">
        <f t="shared" si="10"/>
        <v>sembrestels</v>
      </c>
      <c r="N257" s="176">
        <f>IFERROR(__xludf.DUMMYFUNCTION("""COMPUTED_VALUE"""),25.0)</f>
        <v>25</v>
      </c>
      <c r="O257" s="176"/>
      <c r="P257" s="166" t="s">
        <v>476</v>
      </c>
      <c r="Q257" s="166" t="s">
        <v>441</v>
      </c>
      <c r="R257" s="176"/>
      <c r="S257" s="176"/>
      <c r="T257" s="176"/>
      <c r="U257" s="176"/>
      <c r="V257" s="176"/>
      <c r="W257" s="176"/>
      <c r="X257" s="176"/>
      <c r="Y257" s="176"/>
      <c r="Z257" s="176"/>
      <c r="AA257" s="176"/>
    </row>
    <row r="258">
      <c r="A258" s="165" t="str">
        <f>iferror(VLOOKUP(P258,'DO NOT TOUCH Imported'!$A$1:$D$800,4,False),iferror(VLOOKUP(P258,'DO NOT TOUCH Imported'!$C$1:$D$800,2,False),"OOPS FIX ME"))</f>
        <v>sembrestels</v>
      </c>
      <c r="B258" s="166" t="s">
        <v>440</v>
      </c>
      <c r="C258" s="167" t="s">
        <v>644</v>
      </c>
      <c r="D258" s="168" t="s">
        <v>437</v>
      </c>
      <c r="E258" s="177" t="s">
        <v>478</v>
      </c>
      <c r="F258" s="168" t="s">
        <v>439</v>
      </c>
      <c r="G258" s="170">
        <v>1000.0</v>
      </c>
      <c r="H258" s="171">
        <v>100.0</v>
      </c>
      <c r="I258" s="171">
        <v>100.0</v>
      </c>
      <c r="J258" s="172">
        <f t="shared" si="7"/>
        <v>0.000723394157</v>
      </c>
      <c r="K258" s="173">
        <f t="shared" si="8"/>
        <v>0.8680729884</v>
      </c>
      <c r="L258" s="174">
        <f t="shared" si="9"/>
        <v>11.11149818</v>
      </c>
      <c r="M258" s="175" t="str">
        <f t="shared" si="10"/>
        <v>sembrestels</v>
      </c>
      <c r="N258" s="176">
        <f>IFERROR(__xludf.DUMMYFUNCTION("""COMPUTED_VALUE"""),26.0)</f>
        <v>26</v>
      </c>
      <c r="O258" s="176"/>
      <c r="P258" s="166" t="s">
        <v>476</v>
      </c>
      <c r="Q258" s="166" t="s">
        <v>440</v>
      </c>
      <c r="R258" s="176"/>
      <c r="S258" s="176"/>
      <c r="T258" s="176"/>
      <c r="U258" s="176"/>
      <c r="V258" s="176"/>
      <c r="W258" s="176"/>
      <c r="X258" s="176"/>
      <c r="Y258" s="176"/>
      <c r="Z258" s="176"/>
      <c r="AA258" s="176"/>
    </row>
    <row r="259">
      <c r="A259" s="165" t="str">
        <f>iferror(VLOOKUP(P259,'DO NOT TOUCH Imported'!$A$1:$D$800,4,False),iferror(VLOOKUP(P259,'DO NOT TOUCH Imported'!$C$1:$D$800,2,False),"OOPS FIX ME"))</f>
        <v>sembrestels</v>
      </c>
      <c r="B259" s="166" t="s">
        <v>441</v>
      </c>
      <c r="C259" s="167" t="s">
        <v>475</v>
      </c>
      <c r="D259" s="168" t="s">
        <v>437</v>
      </c>
      <c r="E259" s="177" t="s">
        <v>438</v>
      </c>
      <c r="F259" s="168" t="s">
        <v>439</v>
      </c>
      <c r="G259" s="170">
        <v>1000.0</v>
      </c>
      <c r="H259" s="171">
        <v>100.0</v>
      </c>
      <c r="I259" s="171">
        <v>100.0</v>
      </c>
      <c r="J259" s="172">
        <f t="shared" si="7"/>
        <v>0.000723394157</v>
      </c>
      <c r="K259" s="173">
        <f t="shared" si="8"/>
        <v>0.8680729884</v>
      </c>
      <c r="L259" s="174">
        <f t="shared" si="9"/>
        <v>11.11149818</v>
      </c>
      <c r="M259" s="175" t="str">
        <f t="shared" si="10"/>
        <v>sembrestels</v>
      </c>
      <c r="N259" s="176">
        <f>IFERROR(__xludf.DUMMYFUNCTION("""COMPUTED_VALUE"""),27.0)</f>
        <v>27</v>
      </c>
      <c r="O259" s="176"/>
      <c r="P259" s="166" t="s">
        <v>476</v>
      </c>
      <c r="Q259" s="166" t="s">
        <v>441</v>
      </c>
      <c r="R259" s="176"/>
      <c r="S259" s="176"/>
      <c r="T259" s="176"/>
      <c r="U259" s="176"/>
      <c r="V259" s="176"/>
      <c r="W259" s="176"/>
      <c r="X259" s="176"/>
      <c r="Y259" s="176"/>
      <c r="Z259" s="176"/>
      <c r="AA259" s="176"/>
    </row>
    <row r="260">
      <c r="A260" s="165" t="str">
        <f>iferror(VLOOKUP(P260,'DO NOT TOUCH Imported'!$A$1:$D$800,4,False),iferror(VLOOKUP(P260,'DO NOT TOUCH Imported'!$C$1:$D$800,2,False),"OOPS FIX ME"))</f>
        <v>sembrestels</v>
      </c>
      <c r="B260" s="166" t="s">
        <v>441</v>
      </c>
      <c r="C260" s="167" t="s">
        <v>645</v>
      </c>
      <c r="D260" s="168" t="s">
        <v>437</v>
      </c>
      <c r="E260" s="177" t="s">
        <v>438</v>
      </c>
      <c r="F260" s="168" t="s">
        <v>439</v>
      </c>
      <c r="G260" s="170">
        <v>1000.0</v>
      </c>
      <c r="H260" s="171">
        <v>100.0</v>
      </c>
      <c r="I260" s="171">
        <v>100.0</v>
      </c>
      <c r="J260" s="172">
        <f t="shared" si="7"/>
        <v>0.000723394157</v>
      </c>
      <c r="K260" s="173">
        <f t="shared" si="8"/>
        <v>0.8680729884</v>
      </c>
      <c r="L260" s="174">
        <f t="shared" si="9"/>
        <v>11.11149818</v>
      </c>
      <c r="M260" s="175" t="str">
        <f t="shared" si="10"/>
        <v>sembrestels</v>
      </c>
      <c r="N260" s="176">
        <f>IFERROR(__xludf.DUMMYFUNCTION("""COMPUTED_VALUE"""),28.0)</f>
        <v>28</v>
      </c>
      <c r="O260" s="176"/>
      <c r="P260" s="166" t="s">
        <v>476</v>
      </c>
      <c r="Q260" s="166" t="s">
        <v>441</v>
      </c>
      <c r="R260" s="176"/>
      <c r="S260" s="176"/>
      <c r="T260" s="176"/>
      <c r="U260" s="176"/>
      <c r="V260" s="176"/>
      <c r="W260" s="176"/>
      <c r="X260" s="176"/>
      <c r="Y260" s="176"/>
      <c r="Z260" s="176"/>
      <c r="AA260" s="176"/>
    </row>
    <row r="261">
      <c r="A261" s="165" t="str">
        <f>iferror(VLOOKUP(P261,'DO NOT TOUCH Imported'!$A$1:$D$800,4,False),iferror(VLOOKUP(P261,'DO NOT TOUCH Imported'!$C$1:$D$800,2,False),"OOPS FIX ME"))</f>
        <v>sembrestels</v>
      </c>
      <c r="B261" s="166" t="s">
        <v>476</v>
      </c>
      <c r="C261" s="167" t="s">
        <v>477</v>
      </c>
      <c r="D261" s="168" t="s">
        <v>437</v>
      </c>
      <c r="E261" s="177" t="s">
        <v>478</v>
      </c>
      <c r="F261" s="168" t="s">
        <v>439</v>
      </c>
      <c r="G261" s="170">
        <v>1000.0</v>
      </c>
      <c r="H261" s="171">
        <v>90.0</v>
      </c>
      <c r="I261" s="171">
        <v>100.0</v>
      </c>
      <c r="J261" s="172">
        <f t="shared" si="7"/>
        <v>0.0006914702636</v>
      </c>
      <c r="K261" s="173">
        <f t="shared" si="8"/>
        <v>0.8297643163</v>
      </c>
      <c r="L261" s="174">
        <f t="shared" si="9"/>
        <v>11.11149818</v>
      </c>
      <c r="M261" s="175" t="str">
        <f t="shared" si="10"/>
        <v>sembrestels</v>
      </c>
      <c r="N261" s="176">
        <f>IFERROR(__xludf.DUMMYFUNCTION("""COMPUTED_VALUE"""),29.0)</f>
        <v>29</v>
      </c>
      <c r="O261" s="176"/>
      <c r="P261" s="166" t="s">
        <v>476</v>
      </c>
      <c r="Q261" s="166" t="s">
        <v>476</v>
      </c>
      <c r="R261" s="176"/>
      <c r="S261" s="176"/>
      <c r="T261" s="176"/>
      <c r="U261" s="176"/>
      <c r="V261" s="176"/>
      <c r="W261" s="176"/>
      <c r="X261" s="176"/>
      <c r="Y261" s="176"/>
      <c r="Z261" s="176"/>
      <c r="AA261" s="176"/>
    </row>
    <row r="262">
      <c r="A262" s="165" t="str">
        <f>iferror(VLOOKUP(P262,'DO NOT TOUCH Imported'!$A$1:$D$800,4,False),iferror(VLOOKUP(P262,'DO NOT TOUCH Imported'!$C$1:$D$800,2,False),"OOPS FIX ME"))</f>
        <v>sembrestels</v>
      </c>
      <c r="B262" s="166" t="s">
        <v>441</v>
      </c>
      <c r="C262" s="167" t="s">
        <v>543</v>
      </c>
      <c r="D262" s="168" t="s">
        <v>437</v>
      </c>
      <c r="E262" s="177" t="s">
        <v>447</v>
      </c>
      <c r="F262" s="168" t="s">
        <v>439</v>
      </c>
      <c r="G262" s="170">
        <v>1000.0</v>
      </c>
      <c r="H262" s="171">
        <v>80.0</v>
      </c>
      <c r="I262" s="171">
        <v>100.0</v>
      </c>
      <c r="J262" s="172">
        <f t="shared" si="7"/>
        <v>0.0006595463701</v>
      </c>
      <c r="K262" s="173">
        <f t="shared" si="8"/>
        <v>0.7914556442</v>
      </c>
      <c r="L262" s="174">
        <f t="shared" si="9"/>
        <v>11.11149818</v>
      </c>
      <c r="M262" s="175" t="str">
        <f t="shared" si="10"/>
        <v>sembrestels</v>
      </c>
      <c r="N262" s="176">
        <f>IFERROR(__xludf.DUMMYFUNCTION("""COMPUTED_VALUE"""),30.0)</f>
        <v>30</v>
      </c>
      <c r="O262" s="176"/>
      <c r="P262" s="166" t="s">
        <v>476</v>
      </c>
      <c r="Q262" s="166" t="s">
        <v>441</v>
      </c>
      <c r="R262" s="176"/>
      <c r="S262" s="176"/>
      <c r="T262" s="176"/>
      <c r="U262" s="176"/>
      <c r="V262" s="176"/>
      <c r="W262" s="176"/>
      <c r="X262" s="176"/>
      <c r="Y262" s="176"/>
      <c r="Z262" s="176"/>
      <c r="AA262" s="176"/>
    </row>
    <row r="263">
      <c r="A263" s="165" t="str">
        <f>iferror(VLOOKUP(P263,'DO NOT TOUCH Imported'!$A$1:$D$800,4,False),iferror(VLOOKUP(P263,'DO NOT TOUCH Imported'!$C$1:$D$800,2,False),"OOPS FIX ME"))</f>
        <v>sembrestels</v>
      </c>
      <c r="B263" s="166" t="s">
        <v>440</v>
      </c>
      <c r="C263" s="167" t="s">
        <v>482</v>
      </c>
      <c r="D263" s="168" t="s">
        <v>437</v>
      </c>
      <c r="E263" s="169" t="s">
        <v>452</v>
      </c>
      <c r="F263" s="168" t="s">
        <v>439</v>
      </c>
      <c r="G263" s="170">
        <v>1000.0</v>
      </c>
      <c r="H263" s="171">
        <v>80.0</v>
      </c>
      <c r="I263" s="171">
        <v>100.0</v>
      </c>
      <c r="J263" s="172">
        <f t="shared" si="7"/>
        <v>0.0006595463701</v>
      </c>
      <c r="K263" s="173">
        <f t="shared" si="8"/>
        <v>0.7914556442</v>
      </c>
      <c r="L263" s="174">
        <f t="shared" si="9"/>
        <v>11.11149818</v>
      </c>
      <c r="M263" s="175" t="str">
        <f t="shared" si="10"/>
        <v>sembrestels</v>
      </c>
      <c r="N263" s="176">
        <f>IFERROR(__xludf.DUMMYFUNCTION("""COMPUTED_VALUE"""),31.0)</f>
        <v>31</v>
      </c>
      <c r="O263" s="176"/>
      <c r="P263" s="166" t="s">
        <v>476</v>
      </c>
      <c r="Q263" s="166" t="s">
        <v>440</v>
      </c>
      <c r="R263" s="176"/>
      <c r="S263" s="176"/>
      <c r="T263" s="176"/>
      <c r="U263" s="176"/>
      <c r="V263" s="176"/>
      <c r="W263" s="176"/>
      <c r="X263" s="176"/>
      <c r="Y263" s="176"/>
      <c r="Z263" s="176"/>
      <c r="AA263" s="176"/>
    </row>
    <row r="264">
      <c r="A264" s="165" t="str">
        <f>iferror(VLOOKUP(P264,'DO NOT TOUCH Imported'!$A$1:$D$800,4,False),iferror(VLOOKUP(P264,'DO NOT TOUCH Imported'!$C$1:$D$800,2,False),"OOPS FIX ME"))</f>
        <v>sembrestels</v>
      </c>
      <c r="B264" s="166" t="s">
        <v>440</v>
      </c>
      <c r="C264" s="167" t="s">
        <v>489</v>
      </c>
      <c r="D264" s="168" t="s">
        <v>437</v>
      </c>
      <c r="E264" s="169" t="s">
        <v>488</v>
      </c>
      <c r="F264" s="168" t="s">
        <v>439</v>
      </c>
      <c r="G264" s="170">
        <v>1000.0</v>
      </c>
      <c r="H264" s="171">
        <v>70.0</v>
      </c>
      <c r="I264" s="171">
        <v>100.0</v>
      </c>
      <c r="J264" s="172">
        <f t="shared" si="7"/>
        <v>0.0006276224767</v>
      </c>
      <c r="K264" s="173">
        <f t="shared" si="8"/>
        <v>0.7531469721</v>
      </c>
      <c r="L264" s="174">
        <f t="shared" si="9"/>
        <v>11.11149818</v>
      </c>
      <c r="M264" s="175" t="str">
        <f t="shared" si="10"/>
        <v>sembrestels</v>
      </c>
      <c r="N264" s="176">
        <f>IFERROR(__xludf.DUMMYFUNCTION("""COMPUTED_VALUE"""),32.0)</f>
        <v>32</v>
      </c>
      <c r="O264" s="176"/>
      <c r="P264" s="166" t="s">
        <v>476</v>
      </c>
      <c r="Q264" s="166" t="s">
        <v>440</v>
      </c>
      <c r="R264" s="176"/>
      <c r="S264" s="176"/>
      <c r="T264" s="176"/>
      <c r="U264" s="176"/>
      <c r="V264" s="176"/>
      <c r="W264" s="176"/>
      <c r="X264" s="176"/>
      <c r="Y264" s="176"/>
      <c r="Z264" s="176"/>
      <c r="AA264" s="176"/>
    </row>
    <row r="265">
      <c r="A265" s="165" t="str">
        <f>iferror(VLOOKUP(P265,'DO NOT TOUCH Imported'!$A$1:$D$800,4,False),iferror(VLOOKUP(P265,'DO NOT TOUCH Imported'!$C$1:$D$800,2,False),"OOPS FIX ME"))</f>
        <v>sembrestels</v>
      </c>
      <c r="B265" s="178" t="s">
        <v>10</v>
      </c>
      <c r="C265" s="179" t="s">
        <v>494</v>
      </c>
      <c r="D265" s="180" t="s">
        <v>495</v>
      </c>
      <c r="E265" s="181">
        <v>44317.0</v>
      </c>
      <c r="F265" s="182" t="s">
        <v>496</v>
      </c>
      <c r="G265" s="170">
        <v>1500.0</v>
      </c>
      <c r="H265" s="171">
        <v>50.0</v>
      </c>
      <c r="I265" s="171">
        <v>100.0</v>
      </c>
      <c r="J265" s="172">
        <f t="shared" si="7"/>
        <v>0.0006159722052</v>
      </c>
      <c r="K265" s="173">
        <f t="shared" si="8"/>
        <v>0.7391666463</v>
      </c>
      <c r="L265" s="174">
        <f t="shared" si="9"/>
        <v>11.11149818</v>
      </c>
      <c r="M265" s="175" t="str">
        <f t="shared" si="10"/>
        <v>sembrestels</v>
      </c>
      <c r="N265" s="176">
        <f>IFERROR(__xludf.DUMMYFUNCTION("""COMPUTED_VALUE"""),33.0)</f>
        <v>33</v>
      </c>
      <c r="O265" s="176"/>
      <c r="P265" s="183" t="s">
        <v>6</v>
      </c>
      <c r="Q265" s="178" t="s">
        <v>10</v>
      </c>
      <c r="R265" s="176"/>
      <c r="S265" s="176"/>
      <c r="T265" s="176"/>
      <c r="U265" s="176"/>
      <c r="V265" s="176"/>
      <c r="W265" s="176"/>
      <c r="X265" s="176"/>
      <c r="Y265" s="176"/>
      <c r="Z265" s="176"/>
      <c r="AA265" s="176"/>
    </row>
    <row r="266">
      <c r="A266" s="165" t="str">
        <f>iferror(VLOOKUP(P266,'DO NOT TOUCH Imported'!$A$1:$D$800,4,False),iferror(VLOOKUP(P266,'DO NOT TOUCH Imported'!$C$1:$D$800,2,False),"OOPS FIX ME"))</f>
        <v>sembrestels</v>
      </c>
      <c r="B266" s="178" t="s">
        <v>10</v>
      </c>
      <c r="C266" s="179" t="s">
        <v>494</v>
      </c>
      <c r="D266" s="180" t="s">
        <v>495</v>
      </c>
      <c r="E266" s="181">
        <v>44324.0</v>
      </c>
      <c r="F266" s="182" t="s">
        <v>496</v>
      </c>
      <c r="G266" s="170">
        <v>1000.0</v>
      </c>
      <c r="H266" s="171">
        <v>50.0</v>
      </c>
      <c r="I266" s="171">
        <v>100.0</v>
      </c>
      <c r="J266" s="172">
        <f t="shared" si="7"/>
        <v>0.0005637746898</v>
      </c>
      <c r="K266" s="173">
        <f t="shared" si="8"/>
        <v>0.6765296278</v>
      </c>
      <c r="L266" s="174">
        <f t="shared" si="9"/>
        <v>11.11149818</v>
      </c>
      <c r="M266" s="175" t="str">
        <f t="shared" si="10"/>
        <v>sembrestels</v>
      </c>
      <c r="N266" s="176">
        <f>IFERROR(__xludf.DUMMYFUNCTION("""COMPUTED_VALUE"""),34.0)</f>
        <v>34</v>
      </c>
      <c r="O266" s="176"/>
      <c r="P266" s="183" t="s">
        <v>6</v>
      </c>
      <c r="Q266" s="178" t="s">
        <v>10</v>
      </c>
      <c r="R266" s="176"/>
      <c r="S266" s="176"/>
      <c r="T266" s="176"/>
      <c r="U266" s="176"/>
      <c r="V266" s="176"/>
      <c r="W266" s="176"/>
      <c r="X266" s="176"/>
      <c r="Y266" s="176"/>
      <c r="Z266" s="176"/>
      <c r="AA266" s="176"/>
    </row>
    <row r="267">
      <c r="A267" s="165" t="str">
        <f>iferror(VLOOKUP(P267,'DO NOT TOUCH Imported'!$A$1:$D$800,4,False),iferror(VLOOKUP(P267,'DO NOT TOUCH Imported'!$C$1:$D$800,2,False),"OOPS FIX ME"))</f>
        <v>sembrestels</v>
      </c>
      <c r="B267" s="166" t="s">
        <v>441</v>
      </c>
      <c r="C267" s="167" t="s">
        <v>497</v>
      </c>
      <c r="D267" s="168" t="s">
        <v>437</v>
      </c>
      <c r="E267" s="177" t="s">
        <v>438</v>
      </c>
      <c r="F267" s="168" t="s">
        <v>439</v>
      </c>
      <c r="G267" s="170">
        <v>1000.0</v>
      </c>
      <c r="H267" s="171">
        <v>50.0</v>
      </c>
      <c r="I267" s="171">
        <v>100.0</v>
      </c>
      <c r="J267" s="172">
        <f t="shared" si="7"/>
        <v>0.0005637746898</v>
      </c>
      <c r="K267" s="173">
        <f t="shared" si="8"/>
        <v>0.6765296278</v>
      </c>
      <c r="L267" s="174">
        <f t="shared" si="9"/>
        <v>11.11149818</v>
      </c>
      <c r="M267" s="175" t="str">
        <f t="shared" si="10"/>
        <v>sembrestels</v>
      </c>
      <c r="N267" s="176">
        <f>IFERROR(__xludf.DUMMYFUNCTION("""COMPUTED_VALUE"""),35.0)</f>
        <v>35</v>
      </c>
      <c r="O267" s="176"/>
      <c r="P267" s="166" t="s">
        <v>476</v>
      </c>
      <c r="Q267" s="166" t="s">
        <v>441</v>
      </c>
      <c r="R267" s="176"/>
      <c r="S267" s="176"/>
      <c r="T267" s="176"/>
      <c r="U267" s="176"/>
      <c r="V267" s="176"/>
      <c r="W267" s="176"/>
      <c r="X267" s="176"/>
      <c r="Y267" s="176"/>
      <c r="Z267" s="176"/>
      <c r="AA267" s="176"/>
    </row>
    <row r="268">
      <c r="A268" s="185" t="str">
        <f>iferror(VLOOKUP(P268,'DO NOT TOUCH Imported'!$A$1:$D$800,4,False),iferror(VLOOKUP(P268,'DO NOT TOUCH Imported'!$C$1:$D$800,2,False),"OOPS FIX ME"))</f>
        <v>sembrestels</v>
      </c>
      <c r="B268" s="185" t="s">
        <v>534</v>
      </c>
      <c r="C268" s="210" t="s">
        <v>646</v>
      </c>
      <c r="D268" s="187"/>
      <c r="E268" s="188"/>
      <c r="F268" s="189"/>
      <c r="G268" s="190"/>
      <c r="H268" s="190"/>
      <c r="I268" s="190"/>
      <c r="J268" s="172">
        <f>(H268/$H$2+I268/$I$2)/2</f>
        <v>0</v>
      </c>
      <c r="K268" s="192">
        <f>74.078*-0.85</f>
        <v>-62.9663</v>
      </c>
      <c r="L268" s="193">
        <f t="shared" si="9"/>
        <v>11.11149818</v>
      </c>
      <c r="M268" s="194" t="str">
        <f t="shared" si="10"/>
        <v>sembrestels</v>
      </c>
      <c r="N268" s="211">
        <f>IFERROR(__xludf.DUMMYFUNCTION("""COMPUTED_VALUE"""),36.0)</f>
        <v>36</v>
      </c>
      <c r="O268" s="195"/>
      <c r="P268" s="212" t="s">
        <v>6</v>
      </c>
      <c r="Q268" s="185" t="s">
        <v>534</v>
      </c>
      <c r="R268" s="195">
        <v>57.049855624848725</v>
      </c>
      <c r="S268" s="195"/>
      <c r="T268" s="195"/>
      <c r="U268" s="195"/>
      <c r="V268" s="195"/>
      <c r="W268" s="195"/>
      <c r="X268" s="195"/>
      <c r="Y268" s="195"/>
      <c r="Z268" s="195"/>
      <c r="AA268" s="176"/>
    </row>
    <row r="269">
      <c r="A269" s="165" t="str">
        <f>iferror(VLOOKUP(P269,'DO NOT TOUCH Imported'!$A$1:$D$800,4,False),iferror(VLOOKUP(P269,'DO NOT TOUCH Imported'!$C$1:$D$800,2,False),"OOPS FIX ME"))</f>
        <v>paulo_c2d</v>
      </c>
      <c r="B269" s="178" t="s">
        <v>30</v>
      </c>
      <c r="C269" s="179" t="s">
        <v>647</v>
      </c>
      <c r="D269" s="180" t="s">
        <v>495</v>
      </c>
      <c r="E269" s="181">
        <v>44320.0</v>
      </c>
      <c r="F269" s="182" t="s">
        <v>627</v>
      </c>
      <c r="G269" s="170">
        <v>170000.0</v>
      </c>
      <c r="H269" s="171">
        <v>600.0</v>
      </c>
      <c r="I269" s="171">
        <v>500.0</v>
      </c>
      <c r="J269" s="172">
        <f t="shared" ref="J269:J287" si="11">(G269/$G$2+H269/$H$2+I269/$I$2)/3</f>
        <v>0.0211613898</v>
      </c>
      <c r="K269" s="173">
        <f t="shared" ref="K269:K287" si="12">J269*$J$1</f>
        <v>25.39366776</v>
      </c>
      <c r="L269" s="174">
        <f t="shared" si="9"/>
        <v>10.85633422</v>
      </c>
      <c r="M269" s="175" t="str">
        <f t="shared" si="10"/>
        <v>paulo_c2d</v>
      </c>
      <c r="N269" s="176">
        <f>IFERROR(__xludf.DUMMYFUNCTION("""COMPUTED_VALUE"""),1.0)</f>
        <v>1</v>
      </c>
      <c r="O269" s="176"/>
      <c r="P269" s="183" t="s">
        <v>30</v>
      </c>
      <c r="Q269" s="178" t="s">
        <v>30</v>
      </c>
      <c r="R269" s="176"/>
      <c r="S269" s="176"/>
      <c r="T269" s="176"/>
      <c r="U269" s="176"/>
      <c r="V269" s="176"/>
      <c r="W269" s="176"/>
      <c r="X269" s="176"/>
      <c r="Y269" s="176"/>
      <c r="Z269" s="176"/>
      <c r="AA269" s="176"/>
    </row>
    <row r="270">
      <c r="A270" s="165" t="str">
        <f>iferror(VLOOKUP(P270,'DO NOT TOUCH Imported'!$A$1:$D$800,4,False),iferror(VLOOKUP(P270,'DO NOT TOUCH Imported'!$C$1:$D$800,2,False),"OOPS FIX ME"))</f>
        <v>paulo_c2d</v>
      </c>
      <c r="B270" s="178" t="s">
        <v>30</v>
      </c>
      <c r="C270" s="179" t="s">
        <v>648</v>
      </c>
      <c r="D270" s="180" t="s">
        <v>495</v>
      </c>
      <c r="E270" s="181">
        <v>44320.0</v>
      </c>
      <c r="F270" s="182" t="s">
        <v>627</v>
      </c>
      <c r="G270" s="170">
        <v>90000.0</v>
      </c>
      <c r="H270" s="171">
        <v>400.0</v>
      </c>
      <c r="I270" s="171">
        <v>500.0</v>
      </c>
      <c r="J270" s="172">
        <f t="shared" si="11"/>
        <v>0.01217130947</v>
      </c>
      <c r="K270" s="173">
        <f t="shared" si="12"/>
        <v>14.60557136</v>
      </c>
      <c r="L270" s="174">
        <f t="shared" si="9"/>
        <v>10.85633422</v>
      </c>
      <c r="M270" s="175" t="str">
        <f t="shared" si="10"/>
        <v>paulo_c2d</v>
      </c>
      <c r="N270" s="176">
        <f>IFERROR(__xludf.DUMMYFUNCTION("""COMPUTED_VALUE"""),2.0)</f>
        <v>2</v>
      </c>
      <c r="O270" s="176"/>
      <c r="P270" s="183" t="s">
        <v>30</v>
      </c>
      <c r="Q270" s="178" t="s">
        <v>30</v>
      </c>
      <c r="R270" s="176"/>
      <c r="S270" s="176"/>
      <c r="T270" s="176"/>
      <c r="U270" s="176"/>
      <c r="V270" s="176"/>
      <c r="W270" s="176"/>
      <c r="X270" s="176"/>
      <c r="Y270" s="176"/>
      <c r="Z270" s="176"/>
      <c r="AA270" s="176"/>
    </row>
    <row r="271">
      <c r="A271" s="165" t="str">
        <f>iferror(VLOOKUP(P271,'DO NOT TOUCH Imported'!$A$1:$D$800,4,False),iferror(VLOOKUP(P271,'DO NOT TOUCH Imported'!$C$1:$D$800,2,False),"OOPS FIX ME"))</f>
        <v>paulo_c2d</v>
      </c>
      <c r="B271" s="178" t="s">
        <v>30</v>
      </c>
      <c r="C271" s="179" t="s">
        <v>649</v>
      </c>
      <c r="D271" s="180" t="s">
        <v>495</v>
      </c>
      <c r="E271" s="181">
        <v>44320.0</v>
      </c>
      <c r="F271" s="182" t="s">
        <v>627</v>
      </c>
      <c r="G271" s="170">
        <v>60000.0</v>
      </c>
      <c r="H271" s="171">
        <v>300.0</v>
      </c>
      <c r="I271" s="171">
        <v>500.0</v>
      </c>
      <c r="J271" s="172">
        <f t="shared" si="11"/>
        <v>0.00872021961</v>
      </c>
      <c r="K271" s="173">
        <f t="shared" si="12"/>
        <v>10.46426353</v>
      </c>
      <c r="L271" s="174">
        <f t="shared" si="9"/>
        <v>10.85633422</v>
      </c>
      <c r="M271" s="175" t="str">
        <f t="shared" si="10"/>
        <v>paulo_c2d</v>
      </c>
      <c r="N271" s="176">
        <f>IFERROR(__xludf.DUMMYFUNCTION("""COMPUTED_VALUE"""),3.0)</f>
        <v>3</v>
      </c>
      <c r="O271" s="176"/>
      <c r="P271" s="183" t="s">
        <v>30</v>
      </c>
      <c r="Q271" s="178" t="s">
        <v>30</v>
      </c>
      <c r="R271" s="176"/>
      <c r="S271" s="176"/>
      <c r="T271" s="176"/>
      <c r="U271" s="176"/>
      <c r="V271" s="176"/>
      <c r="W271" s="176"/>
      <c r="X271" s="176"/>
      <c r="Y271" s="176"/>
      <c r="Z271" s="176"/>
      <c r="AA271" s="176"/>
    </row>
    <row r="272">
      <c r="A272" s="165" t="str">
        <f>iferror(VLOOKUP(P272,'DO NOT TOUCH Imported'!$A$1:$D$800,4,False),iferror(VLOOKUP(P272,'DO NOT TOUCH Imported'!$C$1:$D$800,2,False),"OOPS FIX ME"))</f>
        <v>paulo_c2d</v>
      </c>
      <c r="B272" s="178" t="s">
        <v>30</v>
      </c>
      <c r="C272" s="179" t="s">
        <v>650</v>
      </c>
      <c r="D272" s="180" t="s">
        <v>495</v>
      </c>
      <c r="E272" s="181">
        <v>44320.0</v>
      </c>
      <c r="F272" s="182" t="s">
        <v>627</v>
      </c>
      <c r="G272" s="170">
        <v>30000.0</v>
      </c>
      <c r="H272" s="171">
        <v>200.0</v>
      </c>
      <c r="I272" s="171">
        <v>300.0</v>
      </c>
      <c r="J272" s="172">
        <f t="shared" si="11"/>
        <v>0.004669609368</v>
      </c>
      <c r="K272" s="173">
        <f t="shared" si="12"/>
        <v>5.603531242</v>
      </c>
      <c r="L272" s="174">
        <f t="shared" si="9"/>
        <v>10.85633422</v>
      </c>
      <c r="M272" s="175" t="str">
        <f t="shared" si="10"/>
        <v>paulo_c2d</v>
      </c>
      <c r="N272" s="176">
        <f>IFERROR(__xludf.DUMMYFUNCTION("""COMPUTED_VALUE"""),4.0)</f>
        <v>4</v>
      </c>
      <c r="O272" s="176"/>
      <c r="P272" s="183" t="s">
        <v>30</v>
      </c>
      <c r="Q272" s="178" t="s">
        <v>30</v>
      </c>
      <c r="R272" s="176"/>
      <c r="S272" s="176"/>
      <c r="T272" s="176"/>
      <c r="U272" s="176"/>
      <c r="V272" s="176"/>
      <c r="W272" s="176"/>
      <c r="X272" s="176"/>
      <c r="Y272" s="176"/>
      <c r="Z272" s="176"/>
      <c r="AA272" s="176"/>
    </row>
    <row r="273">
      <c r="A273" s="165" t="str">
        <f>iferror(VLOOKUP(P273,'DO NOT TOUCH Imported'!$A$1:$D$800,4,False),iferror(VLOOKUP(P273,'DO NOT TOUCH Imported'!$C$1:$D$800,2,False),"OOPS FIX ME"))</f>
        <v>paulo_c2d</v>
      </c>
      <c r="B273" s="166" t="s">
        <v>441</v>
      </c>
      <c r="C273" s="167" t="s">
        <v>636</v>
      </c>
      <c r="D273" s="168" t="s">
        <v>437</v>
      </c>
      <c r="E273" s="177" t="s">
        <v>438</v>
      </c>
      <c r="F273" s="168" t="s">
        <v>439</v>
      </c>
      <c r="G273" s="170">
        <v>1000.0</v>
      </c>
      <c r="H273" s="171">
        <v>300.0</v>
      </c>
      <c r="I273" s="171">
        <v>200.0</v>
      </c>
      <c r="J273" s="172">
        <f t="shared" si="11"/>
        <v>0.001661632218</v>
      </c>
      <c r="K273" s="173">
        <f t="shared" si="12"/>
        <v>1.993958661</v>
      </c>
      <c r="L273" s="174">
        <f t="shared" si="9"/>
        <v>10.85633422</v>
      </c>
      <c r="M273" s="175" t="str">
        <f t="shared" si="10"/>
        <v>paulo_c2d</v>
      </c>
      <c r="N273" s="176">
        <f>IFERROR(__xludf.DUMMYFUNCTION("""COMPUTED_VALUE"""),5.0)</f>
        <v>5</v>
      </c>
      <c r="O273" s="176"/>
      <c r="P273" s="166" t="s">
        <v>651</v>
      </c>
      <c r="Q273" s="166" t="s">
        <v>441</v>
      </c>
      <c r="R273" s="176"/>
      <c r="S273" s="176"/>
      <c r="T273" s="176"/>
      <c r="U273" s="176"/>
      <c r="V273" s="176"/>
      <c r="W273" s="176"/>
      <c r="X273" s="176"/>
      <c r="Y273" s="176"/>
      <c r="Z273" s="176"/>
      <c r="AA273" s="176"/>
    </row>
    <row r="274">
      <c r="A274" s="165" t="str">
        <f>iferror(VLOOKUP(P274,'DO NOT TOUCH Imported'!$A$1:$D$800,4,False),iferror(VLOOKUP(P274,'DO NOT TOUCH Imported'!$C$1:$D$800,2,False),"OOPS FIX ME"))</f>
        <v>paulo_c2d</v>
      </c>
      <c r="B274" s="166" t="s">
        <v>441</v>
      </c>
      <c r="C274" s="167" t="s">
        <v>652</v>
      </c>
      <c r="D274" s="168" t="s">
        <v>437</v>
      </c>
      <c r="E274" s="177" t="s">
        <v>438</v>
      </c>
      <c r="F274" s="168" t="s">
        <v>439</v>
      </c>
      <c r="G274" s="170">
        <v>1000.0</v>
      </c>
      <c r="H274" s="171">
        <v>300.0</v>
      </c>
      <c r="I274" s="171">
        <v>100.0</v>
      </c>
      <c r="J274" s="172">
        <f t="shared" si="11"/>
        <v>0.001361872026</v>
      </c>
      <c r="K274" s="173">
        <f t="shared" si="12"/>
        <v>1.634246431</v>
      </c>
      <c r="L274" s="174">
        <f t="shared" si="9"/>
        <v>10.85633422</v>
      </c>
      <c r="M274" s="175" t="str">
        <f t="shared" si="10"/>
        <v>paulo_c2d</v>
      </c>
      <c r="N274" s="176">
        <f>IFERROR(__xludf.DUMMYFUNCTION("""COMPUTED_VALUE"""),6.0)</f>
        <v>6</v>
      </c>
      <c r="O274" s="176"/>
      <c r="P274" s="166" t="s">
        <v>651</v>
      </c>
      <c r="Q274" s="166" t="s">
        <v>441</v>
      </c>
      <c r="R274" s="176"/>
      <c r="S274" s="176"/>
      <c r="T274" s="176"/>
      <c r="U274" s="176"/>
      <c r="V274" s="176"/>
      <c r="W274" s="176"/>
      <c r="X274" s="176"/>
      <c r="Y274" s="176"/>
      <c r="Z274" s="176"/>
      <c r="AA274" s="176"/>
    </row>
    <row r="275">
      <c r="A275" s="165" t="str">
        <f>iferror(VLOOKUP(P275,'DO NOT TOUCH Imported'!$A$1:$D$800,4,False),iferror(VLOOKUP(P275,'DO NOT TOUCH Imported'!$C$1:$D$800,2,False),"OOPS FIX ME"))</f>
        <v>paulo_c2d</v>
      </c>
      <c r="B275" s="166" t="s">
        <v>441</v>
      </c>
      <c r="C275" s="167" t="s">
        <v>640</v>
      </c>
      <c r="D275" s="168" t="s">
        <v>437</v>
      </c>
      <c r="E275" s="177" t="s">
        <v>438</v>
      </c>
      <c r="F275" s="168" t="s">
        <v>439</v>
      </c>
      <c r="G275" s="170">
        <v>1000.0</v>
      </c>
      <c r="H275" s="171">
        <v>150.0</v>
      </c>
      <c r="I275" s="171">
        <v>200.0</v>
      </c>
      <c r="J275" s="172">
        <f t="shared" si="11"/>
        <v>0.001182773816</v>
      </c>
      <c r="K275" s="173">
        <f t="shared" si="12"/>
        <v>1.419328579</v>
      </c>
      <c r="L275" s="174">
        <f t="shared" si="9"/>
        <v>10.85633422</v>
      </c>
      <c r="M275" s="175" t="str">
        <f t="shared" si="10"/>
        <v>paulo_c2d</v>
      </c>
      <c r="N275" s="176">
        <f>IFERROR(__xludf.DUMMYFUNCTION("""COMPUTED_VALUE"""),7.0)</f>
        <v>7</v>
      </c>
      <c r="O275" s="176"/>
      <c r="P275" s="166" t="s">
        <v>651</v>
      </c>
      <c r="Q275" s="166" t="s">
        <v>441</v>
      </c>
      <c r="R275" s="176"/>
      <c r="S275" s="176"/>
      <c r="T275" s="176"/>
      <c r="U275" s="176"/>
      <c r="V275" s="176"/>
      <c r="W275" s="176"/>
      <c r="X275" s="176"/>
      <c r="Y275" s="176"/>
      <c r="Z275" s="176"/>
      <c r="AA275" s="176"/>
    </row>
    <row r="276">
      <c r="A276" s="165" t="str">
        <f>iferror(VLOOKUP(P276,'DO NOT TOUCH Imported'!$A$1:$D$800,4,False),iferror(VLOOKUP(P276,'DO NOT TOUCH Imported'!$C$1:$D$800,2,False),"OOPS FIX ME"))</f>
        <v>paulo_c2d</v>
      </c>
      <c r="B276" s="166" t="s">
        <v>483</v>
      </c>
      <c r="C276" s="167" t="s">
        <v>641</v>
      </c>
      <c r="D276" s="168" t="s">
        <v>437</v>
      </c>
      <c r="E276" s="177" t="s">
        <v>540</v>
      </c>
      <c r="F276" s="168" t="s">
        <v>439</v>
      </c>
      <c r="G276" s="170">
        <v>1000.0</v>
      </c>
      <c r="H276" s="171">
        <v>200.0</v>
      </c>
      <c r="I276" s="171">
        <v>100.0</v>
      </c>
      <c r="J276" s="172">
        <f t="shared" si="11"/>
        <v>0.001042633091</v>
      </c>
      <c r="K276" s="173">
        <f t="shared" si="12"/>
        <v>1.25115971</v>
      </c>
      <c r="L276" s="174">
        <f t="shared" si="9"/>
        <v>10.85633422</v>
      </c>
      <c r="M276" s="175" t="str">
        <f t="shared" si="10"/>
        <v>paulo_c2d</v>
      </c>
      <c r="N276" s="176">
        <f>IFERROR(__xludf.DUMMYFUNCTION("""COMPUTED_VALUE"""),8.0)</f>
        <v>8</v>
      </c>
      <c r="O276" s="176"/>
      <c r="P276" s="166" t="s">
        <v>651</v>
      </c>
      <c r="Q276" s="166" t="s">
        <v>483</v>
      </c>
      <c r="R276" s="176"/>
      <c r="S276" s="176"/>
      <c r="T276" s="176"/>
      <c r="U276" s="176"/>
      <c r="V276" s="176"/>
      <c r="W276" s="176"/>
      <c r="X276" s="176"/>
      <c r="Y276" s="176"/>
      <c r="Z276" s="176"/>
      <c r="AA276" s="176"/>
    </row>
    <row r="277">
      <c r="A277" s="165" t="str">
        <f>iferror(VLOOKUP(P277,'DO NOT TOUCH Imported'!$A$1:$D$800,4,False),iferror(VLOOKUP(P277,'DO NOT TOUCH Imported'!$C$1:$D$800,2,False),"OOPS FIX ME"))</f>
        <v>paulo_c2d</v>
      </c>
      <c r="B277" s="166" t="s">
        <v>441</v>
      </c>
      <c r="C277" s="167" t="s">
        <v>653</v>
      </c>
      <c r="D277" s="168" t="s">
        <v>437</v>
      </c>
      <c r="E277" s="177" t="s">
        <v>447</v>
      </c>
      <c r="F277" s="168" t="s">
        <v>439</v>
      </c>
      <c r="G277" s="170">
        <v>1000.0</v>
      </c>
      <c r="H277" s="171">
        <v>200.0</v>
      </c>
      <c r="I277" s="171">
        <v>100.0</v>
      </c>
      <c r="J277" s="172">
        <f t="shared" si="11"/>
        <v>0.001042633091</v>
      </c>
      <c r="K277" s="173">
        <f t="shared" si="12"/>
        <v>1.25115971</v>
      </c>
      <c r="L277" s="174">
        <f t="shared" si="9"/>
        <v>10.85633422</v>
      </c>
      <c r="M277" s="175" t="str">
        <f t="shared" si="10"/>
        <v>paulo_c2d</v>
      </c>
      <c r="N277" s="176">
        <f>IFERROR(__xludf.DUMMYFUNCTION("""COMPUTED_VALUE"""),9.0)</f>
        <v>9</v>
      </c>
      <c r="O277" s="176"/>
      <c r="P277" s="166" t="s">
        <v>651</v>
      </c>
      <c r="Q277" s="166" t="s">
        <v>441</v>
      </c>
      <c r="R277" s="176"/>
      <c r="S277" s="176"/>
      <c r="T277" s="176"/>
      <c r="U277" s="176"/>
      <c r="V277" s="176"/>
      <c r="W277" s="176"/>
      <c r="X277" s="176"/>
      <c r="Y277" s="176"/>
      <c r="Z277" s="176"/>
      <c r="AA277" s="176"/>
    </row>
    <row r="278">
      <c r="A278" s="165" t="str">
        <f>iferror(VLOOKUP(P278,'DO NOT TOUCH Imported'!$A$1:$D$800,4,False),iferror(VLOOKUP(P278,'DO NOT TOUCH Imported'!$C$1:$D$800,2,False),"OOPS FIX ME"))</f>
        <v>paulo_c2d</v>
      </c>
      <c r="B278" s="166" t="s">
        <v>441</v>
      </c>
      <c r="C278" s="167" t="s">
        <v>579</v>
      </c>
      <c r="D278" s="168" t="s">
        <v>437</v>
      </c>
      <c r="E278" s="177" t="s">
        <v>447</v>
      </c>
      <c r="F278" s="168" t="s">
        <v>439</v>
      </c>
      <c r="G278" s="170">
        <v>1000.0</v>
      </c>
      <c r="H278" s="171">
        <v>200.0</v>
      </c>
      <c r="I278" s="171">
        <v>100.0</v>
      </c>
      <c r="J278" s="172">
        <f t="shared" si="11"/>
        <v>0.001042633091</v>
      </c>
      <c r="K278" s="173">
        <f t="shared" si="12"/>
        <v>1.25115971</v>
      </c>
      <c r="L278" s="174">
        <f t="shared" si="9"/>
        <v>10.85633422</v>
      </c>
      <c r="M278" s="175" t="str">
        <f t="shared" si="10"/>
        <v>paulo_c2d</v>
      </c>
      <c r="N278" s="176">
        <f>IFERROR(__xludf.DUMMYFUNCTION("""COMPUTED_VALUE"""),10.0)</f>
        <v>10</v>
      </c>
      <c r="O278" s="176"/>
      <c r="P278" s="166" t="s">
        <v>651</v>
      </c>
      <c r="Q278" s="166" t="s">
        <v>441</v>
      </c>
      <c r="R278" s="176"/>
      <c r="S278" s="176"/>
      <c r="T278" s="176"/>
      <c r="U278" s="176"/>
      <c r="V278" s="176"/>
      <c r="W278" s="176"/>
      <c r="X278" s="176"/>
      <c r="Y278" s="176"/>
      <c r="Z278" s="176"/>
      <c r="AA278" s="176"/>
    </row>
    <row r="279">
      <c r="A279" s="165" t="str">
        <f>iferror(VLOOKUP(P279,'DO NOT TOUCH Imported'!$A$1:$D$800,4,False),iferror(VLOOKUP(P279,'DO NOT TOUCH Imported'!$C$1:$D$800,2,False),"OOPS FIX ME"))</f>
        <v>paulo_c2d</v>
      </c>
      <c r="B279" s="166" t="s">
        <v>441</v>
      </c>
      <c r="C279" s="167" t="s">
        <v>608</v>
      </c>
      <c r="D279" s="168" t="s">
        <v>437</v>
      </c>
      <c r="E279" s="177" t="s">
        <v>438</v>
      </c>
      <c r="F279" s="168" t="s">
        <v>439</v>
      </c>
      <c r="G279" s="170">
        <v>1000.0</v>
      </c>
      <c r="H279" s="171">
        <v>200.0</v>
      </c>
      <c r="I279" s="171">
        <v>100.0</v>
      </c>
      <c r="J279" s="172">
        <f t="shared" si="11"/>
        <v>0.001042633091</v>
      </c>
      <c r="K279" s="173">
        <f t="shared" si="12"/>
        <v>1.25115971</v>
      </c>
      <c r="L279" s="174">
        <f t="shared" si="9"/>
        <v>10.85633422</v>
      </c>
      <c r="M279" s="175" t="str">
        <f t="shared" si="10"/>
        <v>paulo_c2d</v>
      </c>
      <c r="N279" s="176">
        <f>IFERROR(__xludf.DUMMYFUNCTION("""COMPUTED_VALUE"""),11.0)</f>
        <v>11</v>
      </c>
      <c r="O279" s="176"/>
      <c r="P279" s="166" t="s">
        <v>651</v>
      </c>
      <c r="Q279" s="166" t="s">
        <v>441</v>
      </c>
      <c r="R279" s="176"/>
      <c r="S279" s="176"/>
      <c r="T279" s="176"/>
      <c r="U279" s="176"/>
      <c r="V279" s="176"/>
      <c r="W279" s="176"/>
      <c r="X279" s="176"/>
      <c r="Y279" s="176"/>
      <c r="Z279" s="176"/>
      <c r="AA279" s="176"/>
    </row>
    <row r="280">
      <c r="A280" s="165" t="str">
        <f>iferror(VLOOKUP(P280,'DO NOT TOUCH Imported'!$A$1:$D$800,4,False),iferror(VLOOKUP(P280,'DO NOT TOUCH Imported'!$C$1:$D$800,2,False),"OOPS FIX ME"))</f>
        <v>paulo_c2d</v>
      </c>
      <c r="B280" s="166" t="s">
        <v>435</v>
      </c>
      <c r="C280" s="167" t="s">
        <v>654</v>
      </c>
      <c r="D280" s="168" t="s">
        <v>437</v>
      </c>
      <c r="E280" s="177" t="s">
        <v>478</v>
      </c>
      <c r="F280" s="168" t="s">
        <v>439</v>
      </c>
      <c r="G280" s="170">
        <v>1000.0</v>
      </c>
      <c r="H280" s="171">
        <v>100.0</v>
      </c>
      <c r="I280" s="171">
        <v>100.0</v>
      </c>
      <c r="J280" s="172">
        <f t="shared" si="11"/>
        <v>0.000723394157</v>
      </c>
      <c r="K280" s="173">
        <f t="shared" si="12"/>
        <v>0.8680729884</v>
      </c>
      <c r="L280" s="174">
        <f t="shared" si="9"/>
        <v>10.85633422</v>
      </c>
      <c r="M280" s="175" t="str">
        <f t="shared" si="10"/>
        <v>paulo_c2d</v>
      </c>
      <c r="N280" s="176">
        <f>IFERROR(__xludf.DUMMYFUNCTION("""COMPUTED_VALUE"""),12.0)</f>
        <v>12</v>
      </c>
      <c r="O280" s="176"/>
      <c r="P280" s="166" t="s">
        <v>651</v>
      </c>
      <c r="Q280" s="166" t="s">
        <v>435</v>
      </c>
      <c r="R280" s="176"/>
      <c r="S280" s="176"/>
      <c r="T280" s="176"/>
      <c r="U280" s="176"/>
      <c r="V280" s="176"/>
      <c r="W280" s="176"/>
      <c r="X280" s="176"/>
      <c r="Y280" s="176"/>
      <c r="Z280" s="176"/>
      <c r="AA280" s="176"/>
    </row>
    <row r="281">
      <c r="A281" s="165" t="str">
        <f>iferror(VLOOKUP(P281,'DO NOT TOUCH Imported'!$A$1:$D$800,4,False),iferror(VLOOKUP(P281,'DO NOT TOUCH Imported'!$C$1:$D$800,2,False),"OOPS FIX ME"))</f>
        <v>paulo_c2d</v>
      </c>
      <c r="B281" s="166" t="s">
        <v>441</v>
      </c>
      <c r="C281" s="167" t="s">
        <v>645</v>
      </c>
      <c r="D281" s="168" t="s">
        <v>437</v>
      </c>
      <c r="E281" s="169" t="s">
        <v>438</v>
      </c>
      <c r="F281" s="168" t="s">
        <v>439</v>
      </c>
      <c r="G281" s="170">
        <v>1000.0</v>
      </c>
      <c r="H281" s="171">
        <v>100.0</v>
      </c>
      <c r="I281" s="171">
        <v>100.0</v>
      </c>
      <c r="J281" s="172">
        <f t="shared" si="11"/>
        <v>0.000723394157</v>
      </c>
      <c r="K281" s="173">
        <f t="shared" si="12"/>
        <v>0.8680729884</v>
      </c>
      <c r="L281" s="174">
        <f t="shared" si="9"/>
        <v>10.85633422</v>
      </c>
      <c r="M281" s="175" t="str">
        <f t="shared" si="10"/>
        <v>paulo_c2d</v>
      </c>
      <c r="N281" s="176">
        <f>IFERROR(__xludf.DUMMYFUNCTION("""COMPUTED_VALUE"""),13.0)</f>
        <v>13</v>
      </c>
      <c r="O281" s="176"/>
      <c r="P281" s="166" t="s">
        <v>651</v>
      </c>
      <c r="Q281" s="166" t="s">
        <v>441</v>
      </c>
      <c r="R281" s="176"/>
      <c r="S281" s="176"/>
      <c r="T281" s="176"/>
      <c r="U281" s="176"/>
      <c r="V281" s="176"/>
      <c r="W281" s="176"/>
      <c r="X281" s="176"/>
      <c r="Y281" s="176"/>
      <c r="Z281" s="176"/>
      <c r="AA281" s="176"/>
    </row>
    <row r="282">
      <c r="A282" s="165" t="str">
        <f>iferror(VLOOKUP(P282,'DO NOT TOUCH Imported'!$A$1:$D$800,4,False),iferror(VLOOKUP(P282,'DO NOT TOUCH Imported'!$C$1:$D$800,2,False),"OOPS FIX ME"))</f>
        <v>paulo_c2d</v>
      </c>
      <c r="B282" s="166" t="s">
        <v>476</v>
      </c>
      <c r="C282" s="167" t="s">
        <v>477</v>
      </c>
      <c r="D282" s="168" t="s">
        <v>437</v>
      </c>
      <c r="E282" s="177" t="s">
        <v>478</v>
      </c>
      <c r="F282" s="168" t="s">
        <v>439</v>
      </c>
      <c r="G282" s="170">
        <v>1000.0</v>
      </c>
      <c r="H282" s="171">
        <v>90.0</v>
      </c>
      <c r="I282" s="171">
        <v>100.0</v>
      </c>
      <c r="J282" s="172">
        <f t="shared" si="11"/>
        <v>0.0006914702636</v>
      </c>
      <c r="K282" s="173">
        <f t="shared" si="12"/>
        <v>0.8297643163</v>
      </c>
      <c r="L282" s="174">
        <f t="shared" si="9"/>
        <v>10.85633422</v>
      </c>
      <c r="M282" s="175" t="str">
        <f t="shared" si="10"/>
        <v>paulo_c2d</v>
      </c>
      <c r="N282" s="176">
        <f>IFERROR(__xludf.DUMMYFUNCTION("""COMPUTED_VALUE"""),14.0)</f>
        <v>14</v>
      </c>
      <c r="O282" s="176"/>
      <c r="P282" s="166" t="s">
        <v>651</v>
      </c>
      <c r="Q282" s="166" t="s">
        <v>476</v>
      </c>
      <c r="R282" s="176"/>
      <c r="S282" s="176"/>
      <c r="T282" s="176"/>
      <c r="U282" s="176"/>
      <c r="V282" s="176"/>
      <c r="W282" s="176"/>
      <c r="X282" s="176"/>
      <c r="Y282" s="176"/>
      <c r="Z282" s="176"/>
      <c r="AA282" s="176"/>
    </row>
    <row r="283">
      <c r="A283" s="165" t="str">
        <f>iferror(VLOOKUP(P283,'DO NOT TOUCH Imported'!$A$1:$D$800,4,False),iferror(VLOOKUP(P283,'DO NOT TOUCH Imported'!$C$1:$D$800,2,False),"OOPS FIX ME"))</f>
        <v>paulo_c2d</v>
      </c>
      <c r="B283" s="166" t="s">
        <v>441</v>
      </c>
      <c r="C283" s="167" t="s">
        <v>543</v>
      </c>
      <c r="D283" s="168" t="s">
        <v>437</v>
      </c>
      <c r="E283" s="177" t="s">
        <v>447</v>
      </c>
      <c r="F283" s="168" t="s">
        <v>439</v>
      </c>
      <c r="G283" s="170">
        <v>1000.0</v>
      </c>
      <c r="H283" s="171">
        <v>80.0</v>
      </c>
      <c r="I283" s="171">
        <v>100.0</v>
      </c>
      <c r="J283" s="172">
        <f t="shared" si="11"/>
        <v>0.0006595463701</v>
      </c>
      <c r="K283" s="173">
        <f t="shared" si="12"/>
        <v>0.7914556442</v>
      </c>
      <c r="L283" s="174">
        <f t="shared" si="9"/>
        <v>10.85633422</v>
      </c>
      <c r="M283" s="175" t="str">
        <f t="shared" si="10"/>
        <v>paulo_c2d</v>
      </c>
      <c r="N283" s="176">
        <f>IFERROR(__xludf.DUMMYFUNCTION("""COMPUTED_VALUE"""),15.0)</f>
        <v>15</v>
      </c>
      <c r="O283" s="176"/>
      <c r="P283" s="166" t="s">
        <v>651</v>
      </c>
      <c r="Q283" s="166" t="s">
        <v>441</v>
      </c>
      <c r="R283" s="176"/>
      <c r="S283" s="176"/>
      <c r="T283" s="176"/>
      <c r="U283" s="176"/>
      <c r="V283" s="176"/>
      <c r="W283" s="176"/>
      <c r="X283" s="176"/>
      <c r="Y283" s="176"/>
      <c r="Z283" s="176"/>
      <c r="AA283" s="176"/>
    </row>
    <row r="284">
      <c r="A284" s="165" t="str">
        <f>iferror(VLOOKUP(P284,'DO NOT TOUCH Imported'!$A$1:$D$800,4,False),iferror(VLOOKUP(P284,'DO NOT TOUCH Imported'!$C$1:$D$800,2,False),"OOPS FIX ME"))</f>
        <v>paulo_c2d</v>
      </c>
      <c r="B284" s="166" t="s">
        <v>440</v>
      </c>
      <c r="C284" s="167" t="s">
        <v>482</v>
      </c>
      <c r="D284" s="168" t="s">
        <v>437</v>
      </c>
      <c r="E284" s="177" t="s">
        <v>452</v>
      </c>
      <c r="F284" s="168" t="s">
        <v>439</v>
      </c>
      <c r="G284" s="170">
        <v>1000.0</v>
      </c>
      <c r="H284" s="171">
        <v>80.0</v>
      </c>
      <c r="I284" s="171">
        <v>100.0</v>
      </c>
      <c r="J284" s="172">
        <f t="shared" si="11"/>
        <v>0.0006595463701</v>
      </c>
      <c r="K284" s="173">
        <f t="shared" si="12"/>
        <v>0.7914556442</v>
      </c>
      <c r="L284" s="174">
        <f t="shared" si="9"/>
        <v>10.85633422</v>
      </c>
      <c r="M284" s="175" t="str">
        <f t="shared" si="10"/>
        <v>paulo_c2d</v>
      </c>
      <c r="N284" s="176">
        <f>IFERROR(__xludf.DUMMYFUNCTION("""COMPUTED_VALUE"""),16.0)</f>
        <v>16</v>
      </c>
      <c r="O284" s="176"/>
      <c r="P284" s="166" t="s">
        <v>651</v>
      </c>
      <c r="Q284" s="166" t="s">
        <v>440</v>
      </c>
      <c r="R284" s="176"/>
      <c r="S284" s="176"/>
      <c r="T284" s="176"/>
      <c r="U284" s="176"/>
      <c r="V284" s="176"/>
      <c r="W284" s="176"/>
      <c r="X284" s="176"/>
      <c r="Y284" s="176"/>
      <c r="Z284" s="176"/>
      <c r="AA284" s="176"/>
    </row>
    <row r="285">
      <c r="A285" s="165" t="str">
        <f>iferror(VLOOKUP(P285,'DO NOT TOUCH Imported'!$A$1:$D$800,4,False),iferror(VLOOKUP(P285,'DO NOT TOUCH Imported'!$C$1:$D$800,2,False),"OOPS FIX ME"))</f>
        <v>paulo_c2d</v>
      </c>
      <c r="B285" s="166" t="s">
        <v>440</v>
      </c>
      <c r="C285" s="167" t="s">
        <v>489</v>
      </c>
      <c r="D285" s="168" t="s">
        <v>437</v>
      </c>
      <c r="E285" s="177" t="s">
        <v>488</v>
      </c>
      <c r="F285" s="168" t="s">
        <v>439</v>
      </c>
      <c r="G285" s="170">
        <v>1000.0</v>
      </c>
      <c r="H285" s="171">
        <v>70.0</v>
      </c>
      <c r="I285" s="171">
        <v>100.0</v>
      </c>
      <c r="J285" s="172">
        <f t="shared" si="11"/>
        <v>0.0006276224767</v>
      </c>
      <c r="K285" s="173">
        <f t="shared" si="12"/>
        <v>0.7531469721</v>
      </c>
      <c r="L285" s="174">
        <f t="shared" si="9"/>
        <v>10.85633422</v>
      </c>
      <c r="M285" s="175" t="str">
        <f t="shared" si="10"/>
        <v>paulo_c2d</v>
      </c>
      <c r="N285" s="176">
        <f>IFERROR(__xludf.DUMMYFUNCTION("""COMPUTED_VALUE"""),17.0)</f>
        <v>17</v>
      </c>
      <c r="O285" s="176"/>
      <c r="P285" s="166" t="s">
        <v>651</v>
      </c>
      <c r="Q285" s="166" t="s">
        <v>440</v>
      </c>
      <c r="R285" s="176"/>
      <c r="S285" s="176"/>
      <c r="T285" s="176"/>
      <c r="U285" s="176"/>
      <c r="V285" s="176"/>
      <c r="W285" s="176"/>
      <c r="X285" s="176"/>
      <c r="Y285" s="176"/>
      <c r="Z285" s="176"/>
      <c r="AA285" s="176"/>
    </row>
    <row r="286">
      <c r="A286" s="165" t="str">
        <f>iferror(VLOOKUP(P286,'DO NOT TOUCH Imported'!$A$1:$D$800,4,False),iferror(VLOOKUP(P286,'DO NOT TOUCH Imported'!$C$1:$D$800,2,False),"OOPS FIX ME"))</f>
        <v>paulo_c2d</v>
      </c>
      <c r="B286" s="178" t="s">
        <v>10</v>
      </c>
      <c r="C286" s="179" t="s">
        <v>494</v>
      </c>
      <c r="D286" s="180" t="s">
        <v>495</v>
      </c>
      <c r="E286" s="181">
        <v>44324.0</v>
      </c>
      <c r="F286" s="182" t="s">
        <v>496</v>
      </c>
      <c r="G286" s="170">
        <v>1000.0</v>
      </c>
      <c r="H286" s="171">
        <v>50.0</v>
      </c>
      <c r="I286" s="171">
        <v>100.0</v>
      </c>
      <c r="J286" s="172">
        <f t="shared" si="11"/>
        <v>0.0005637746898</v>
      </c>
      <c r="K286" s="173">
        <f t="shared" si="12"/>
        <v>0.6765296278</v>
      </c>
      <c r="L286" s="174">
        <f t="shared" si="9"/>
        <v>10.85633422</v>
      </c>
      <c r="M286" s="175" t="str">
        <f t="shared" si="10"/>
        <v>paulo_c2d</v>
      </c>
      <c r="N286" s="176">
        <f>IFERROR(__xludf.DUMMYFUNCTION("""COMPUTED_VALUE"""),18.0)</f>
        <v>18</v>
      </c>
      <c r="O286" s="176"/>
      <c r="P286" s="183" t="s">
        <v>30</v>
      </c>
      <c r="Q286" s="178" t="s">
        <v>10</v>
      </c>
      <c r="R286" s="176"/>
      <c r="S286" s="176"/>
      <c r="T286" s="176"/>
      <c r="U286" s="176"/>
      <c r="V286" s="176"/>
      <c r="W286" s="176"/>
      <c r="X286" s="176"/>
      <c r="Y286" s="176"/>
      <c r="Z286" s="176"/>
      <c r="AA286" s="176"/>
    </row>
    <row r="287">
      <c r="A287" s="165" t="str">
        <f>iferror(VLOOKUP(P287,'DO NOT TOUCH Imported'!$A$1:$D$800,4,False),iferror(VLOOKUP(P287,'DO NOT TOUCH Imported'!$C$1:$D$800,2,False),"OOPS FIX ME"))</f>
        <v>paulo_c2d</v>
      </c>
      <c r="B287" s="166" t="s">
        <v>441</v>
      </c>
      <c r="C287" s="167" t="s">
        <v>497</v>
      </c>
      <c r="D287" s="168" t="s">
        <v>437</v>
      </c>
      <c r="E287" s="177" t="s">
        <v>438</v>
      </c>
      <c r="F287" s="168" t="s">
        <v>439</v>
      </c>
      <c r="G287" s="170">
        <v>1000.0</v>
      </c>
      <c r="H287" s="171">
        <v>50.0</v>
      </c>
      <c r="I287" s="171">
        <v>100.0</v>
      </c>
      <c r="J287" s="172">
        <f t="shared" si="11"/>
        <v>0.0005637746898</v>
      </c>
      <c r="K287" s="173">
        <f t="shared" si="12"/>
        <v>0.6765296278</v>
      </c>
      <c r="L287" s="174">
        <f t="shared" si="9"/>
        <v>10.85633422</v>
      </c>
      <c r="M287" s="175" t="str">
        <f t="shared" si="10"/>
        <v>paulo_c2d</v>
      </c>
      <c r="N287" s="176">
        <f>IFERROR(__xludf.DUMMYFUNCTION("""COMPUTED_VALUE"""),19.0)</f>
        <v>19</v>
      </c>
      <c r="O287" s="176"/>
      <c r="P287" s="166" t="s">
        <v>651</v>
      </c>
      <c r="Q287" s="166" t="s">
        <v>441</v>
      </c>
      <c r="R287" s="176"/>
      <c r="S287" s="176"/>
      <c r="T287" s="176"/>
      <c r="U287" s="176"/>
      <c r="V287" s="176"/>
      <c r="W287" s="176"/>
      <c r="X287" s="176"/>
      <c r="Y287" s="176"/>
      <c r="Z287" s="176"/>
      <c r="AA287" s="176"/>
    </row>
    <row r="288">
      <c r="A288" s="185" t="str">
        <f>iferror(VLOOKUP(P288,'DO NOT TOUCH Imported'!$A$1:$D$800,4,False),iferror(VLOOKUP(P288,'DO NOT TOUCH Imported'!$C$1:$D$800,2,False),"OOPS FIX ME"))</f>
        <v>paulo_c2d</v>
      </c>
      <c r="B288" s="185" t="s">
        <v>534</v>
      </c>
      <c r="C288" s="210" t="s">
        <v>655</v>
      </c>
      <c r="D288" s="187"/>
      <c r="E288" s="188"/>
      <c r="F288" s="189"/>
      <c r="G288" s="190"/>
      <c r="H288" s="190"/>
      <c r="I288" s="190"/>
      <c r="J288" s="172">
        <f>(H288/$H$2+I288/$I$2)/2</f>
        <v>0</v>
      </c>
      <c r="K288" s="192">
        <f>72.374*-0.85</f>
        <v>-61.5179</v>
      </c>
      <c r="L288" s="193">
        <f t="shared" si="9"/>
        <v>10.85633422</v>
      </c>
      <c r="M288" s="194" t="str">
        <f t="shared" si="10"/>
        <v>paulo_c2d</v>
      </c>
      <c r="N288" s="195">
        <f>IFERROR(__xludf.DUMMYFUNCTION("""COMPUTED_VALUE"""),20.0)</f>
        <v>20</v>
      </c>
      <c r="O288" s="195"/>
      <c r="P288" s="185" t="s">
        <v>30</v>
      </c>
      <c r="Q288" s="185" t="s">
        <v>534</v>
      </c>
      <c r="R288" s="195">
        <v>51.99833903635589</v>
      </c>
      <c r="S288" s="195"/>
      <c r="T288" s="195"/>
      <c r="U288" s="195"/>
      <c r="V288" s="195"/>
      <c r="W288" s="195"/>
      <c r="X288" s="195"/>
      <c r="Y288" s="195"/>
      <c r="Z288" s="195"/>
      <c r="AA288" s="176"/>
    </row>
    <row r="289">
      <c r="A289" s="165" t="str">
        <f>iferror(VLOOKUP(P289,'DO NOT TOUCH Imported'!$A$1:$D$800,4,False),iferror(VLOOKUP(P289,'DO NOT TOUCH Imported'!$C$1:$D$800,2,False),"OOPS FIX ME"))</f>
        <v>danlessa</v>
      </c>
      <c r="B289" s="166" t="s">
        <v>596</v>
      </c>
      <c r="C289" s="167" t="s">
        <v>656</v>
      </c>
      <c r="D289" s="168" t="s">
        <v>437</v>
      </c>
      <c r="E289" s="169" t="s">
        <v>438</v>
      </c>
      <c r="F289" s="168" t="s">
        <v>439</v>
      </c>
      <c r="G289" s="170">
        <v>20000.0</v>
      </c>
      <c r="H289" s="171">
        <v>300.0</v>
      </c>
      <c r="I289" s="171">
        <v>200.0</v>
      </c>
      <c r="J289" s="172">
        <f t="shared" ref="J289:J369" si="13">(G289/$G$2+H289/$H$2+I289/$I$2)/3</f>
        <v>0.003645137803</v>
      </c>
      <c r="K289" s="173">
        <f t="shared" ref="K289:K316" si="14">J289*$J$1</f>
        <v>4.374165363</v>
      </c>
      <c r="L289" s="174">
        <f t="shared" si="9"/>
        <v>10.61543469</v>
      </c>
      <c r="M289" s="175" t="str">
        <f t="shared" si="10"/>
        <v>danlessa</v>
      </c>
      <c r="N289" s="176">
        <f>IFERROR(__xludf.DUMMYFUNCTION("""COMPUTED_VALUE"""),1.0)</f>
        <v>1</v>
      </c>
      <c r="O289" s="176"/>
      <c r="P289" s="166" t="s">
        <v>657</v>
      </c>
      <c r="Q289" s="166" t="s">
        <v>596</v>
      </c>
      <c r="R289" s="176"/>
      <c r="S289" s="176"/>
      <c r="T289" s="176"/>
      <c r="U289" s="176"/>
      <c r="V289" s="176"/>
      <c r="W289" s="176"/>
      <c r="X289" s="176"/>
      <c r="Y289" s="176"/>
      <c r="Z289" s="176"/>
      <c r="AA289" s="176"/>
    </row>
    <row r="290">
      <c r="A290" s="165" t="str">
        <f>iferror(VLOOKUP(P290,'DO NOT TOUCH Imported'!$A$1:$D$800,4,False),iferror(VLOOKUP(P290,'DO NOT TOUCH Imported'!$C$1:$D$800,2,False),"OOPS FIX ME"))</f>
        <v>danlessa</v>
      </c>
      <c r="B290" s="166" t="s">
        <v>564</v>
      </c>
      <c r="C290" s="167" t="s">
        <v>658</v>
      </c>
      <c r="D290" s="168" t="s">
        <v>499</v>
      </c>
      <c r="E290" s="177" t="s">
        <v>452</v>
      </c>
      <c r="F290" s="168" t="s">
        <v>503</v>
      </c>
      <c r="G290" s="170">
        <v>10000.0</v>
      </c>
      <c r="H290" s="171">
        <v>400.0</v>
      </c>
      <c r="I290" s="171">
        <v>300.0</v>
      </c>
      <c r="J290" s="172">
        <f t="shared" si="13"/>
        <v>0.003220186621</v>
      </c>
      <c r="K290" s="173">
        <f t="shared" si="14"/>
        <v>3.864223945</v>
      </c>
      <c r="L290" s="174">
        <f t="shared" si="9"/>
        <v>10.61543469</v>
      </c>
      <c r="M290" s="175" t="str">
        <f t="shared" si="10"/>
        <v>danlessa</v>
      </c>
      <c r="N290" s="176">
        <f>IFERROR(__xludf.DUMMYFUNCTION("""COMPUTED_VALUE"""),2.0)</f>
        <v>2</v>
      </c>
      <c r="O290" s="176"/>
      <c r="P290" s="166" t="s">
        <v>659</v>
      </c>
      <c r="Q290" s="166" t="s">
        <v>564</v>
      </c>
      <c r="R290" s="176"/>
      <c r="S290" s="176"/>
      <c r="T290" s="176"/>
      <c r="U290" s="176"/>
      <c r="V290" s="176"/>
      <c r="W290" s="176"/>
      <c r="X290" s="176"/>
      <c r="Y290" s="176"/>
      <c r="Z290" s="176"/>
      <c r="AA290" s="176"/>
    </row>
    <row r="291">
      <c r="A291" s="165" t="str">
        <f>iferror(VLOOKUP(P291,'DO NOT TOUCH Imported'!$A$1:$D$800,4,False),iferror(VLOOKUP(P291,'DO NOT TOUCH Imported'!$C$1:$D$800,2,False),"OOPS FIX ME"))</f>
        <v>danlessa</v>
      </c>
      <c r="B291" s="166" t="s">
        <v>566</v>
      </c>
      <c r="C291" s="167" t="s">
        <v>660</v>
      </c>
      <c r="D291" s="168" t="s">
        <v>499</v>
      </c>
      <c r="E291" s="177" t="s">
        <v>452</v>
      </c>
      <c r="F291" s="168" t="s">
        <v>503</v>
      </c>
      <c r="G291" s="170">
        <v>1000.0</v>
      </c>
      <c r="H291" s="171">
        <v>400.0</v>
      </c>
      <c r="I291" s="171">
        <v>200.0</v>
      </c>
      <c r="J291" s="172">
        <f t="shared" si="13"/>
        <v>0.001980871152</v>
      </c>
      <c r="K291" s="173">
        <f t="shared" si="14"/>
        <v>2.377045382</v>
      </c>
      <c r="L291" s="174">
        <f t="shared" si="9"/>
        <v>10.61543469</v>
      </c>
      <c r="M291" s="175" t="str">
        <f t="shared" si="10"/>
        <v>danlessa</v>
      </c>
      <c r="N291" s="176">
        <f>IFERROR(__xludf.DUMMYFUNCTION("""COMPUTED_VALUE"""),3.0)</f>
        <v>3</v>
      </c>
      <c r="O291" s="176"/>
      <c r="P291" s="166" t="s">
        <v>657</v>
      </c>
      <c r="Q291" s="166" t="s">
        <v>566</v>
      </c>
      <c r="R291" s="176"/>
      <c r="S291" s="176"/>
      <c r="T291" s="176"/>
      <c r="U291" s="176"/>
      <c r="V291" s="176"/>
      <c r="W291" s="176"/>
      <c r="X291" s="176"/>
      <c r="Y291" s="176"/>
      <c r="Z291" s="176"/>
      <c r="AA291" s="176"/>
    </row>
    <row r="292">
      <c r="A292" s="165" t="str">
        <f>iferror(VLOOKUP(P292,'DO NOT TOUCH Imported'!$A$1:$D$800,4,False),iferror(VLOOKUP(P292,'DO NOT TOUCH Imported'!$C$1:$D$800,2,False),"OOPS FIX ME"))</f>
        <v>ddan#2489</v>
      </c>
      <c r="B292" s="166" t="s">
        <v>440</v>
      </c>
      <c r="C292" s="167" t="s">
        <v>661</v>
      </c>
      <c r="D292" s="168" t="s">
        <v>437</v>
      </c>
      <c r="E292" s="169" t="s">
        <v>445</v>
      </c>
      <c r="F292" s="168" t="s">
        <v>439</v>
      </c>
      <c r="G292" s="170">
        <v>1000.0</v>
      </c>
      <c r="H292" s="171">
        <v>100.0</v>
      </c>
      <c r="I292" s="171">
        <v>1000.0</v>
      </c>
      <c r="J292" s="172">
        <f t="shared" si="13"/>
        <v>0.003421235884</v>
      </c>
      <c r="K292" s="173">
        <f t="shared" si="14"/>
        <v>4.10548306</v>
      </c>
      <c r="L292" s="174">
        <f t="shared" si="9"/>
        <v>10.51642401</v>
      </c>
      <c r="M292" s="175" t="str">
        <f t="shared" si="10"/>
        <v>ddan#2489</v>
      </c>
      <c r="N292" s="176">
        <f>IFERROR(__xludf.DUMMYFUNCTION("""COMPUTED_VALUE"""),1.0)</f>
        <v>1</v>
      </c>
      <c r="O292" s="176"/>
      <c r="P292" s="166" t="s">
        <v>46</v>
      </c>
      <c r="Q292" s="166" t="s">
        <v>440</v>
      </c>
      <c r="R292" s="176"/>
      <c r="S292" s="176"/>
      <c r="T292" s="176"/>
      <c r="U292" s="176"/>
      <c r="V292" s="176"/>
      <c r="W292" s="176"/>
      <c r="X292" s="176"/>
      <c r="Y292" s="176"/>
      <c r="Z292" s="176"/>
      <c r="AA292" s="176"/>
    </row>
    <row r="293">
      <c r="A293" s="165" t="str">
        <f>iferror(VLOOKUP(P293,'DO NOT TOUCH Imported'!$A$1:$D$800,4,False),iferror(VLOOKUP(P293,'DO NOT TOUCH Imported'!$C$1:$D$800,2,False),"OOPS FIX ME"))</f>
        <v>ddan#2489</v>
      </c>
      <c r="B293" s="166" t="s">
        <v>443</v>
      </c>
      <c r="C293" s="167" t="s">
        <v>662</v>
      </c>
      <c r="D293" s="168" t="s">
        <v>437</v>
      </c>
      <c r="E293" s="169" t="s">
        <v>506</v>
      </c>
      <c r="F293" s="168" t="s">
        <v>439</v>
      </c>
      <c r="G293" s="170">
        <v>1000.0</v>
      </c>
      <c r="H293" s="171">
        <v>300.0</v>
      </c>
      <c r="I293" s="171">
        <v>200.0</v>
      </c>
      <c r="J293" s="172">
        <f t="shared" si="13"/>
        <v>0.001661632218</v>
      </c>
      <c r="K293" s="173">
        <f t="shared" si="14"/>
        <v>1.993958661</v>
      </c>
      <c r="L293" s="174">
        <f t="shared" si="9"/>
        <v>10.51642401</v>
      </c>
      <c r="M293" s="175" t="str">
        <f t="shared" si="10"/>
        <v>ddan#2489</v>
      </c>
      <c r="N293" s="176">
        <f>IFERROR(__xludf.DUMMYFUNCTION("""COMPUTED_VALUE"""),2.0)</f>
        <v>2</v>
      </c>
      <c r="O293" s="176"/>
      <c r="P293" s="166" t="s">
        <v>46</v>
      </c>
      <c r="Q293" s="166" t="s">
        <v>443</v>
      </c>
      <c r="R293" s="176"/>
      <c r="S293" s="176"/>
      <c r="T293" s="176"/>
      <c r="U293" s="176"/>
      <c r="V293" s="176"/>
      <c r="W293" s="176"/>
      <c r="X293" s="176"/>
      <c r="Y293" s="176"/>
      <c r="Z293" s="176"/>
      <c r="AA293" s="176"/>
    </row>
    <row r="294">
      <c r="A294" s="165" t="str">
        <f>iferror(VLOOKUP(P294,'DO NOT TOUCH Imported'!$A$1:$D$800,4,False),iferror(VLOOKUP(P294,'DO NOT TOUCH Imported'!$C$1:$D$800,2,False),"OOPS FIX ME"))</f>
        <v>ddan#2489</v>
      </c>
      <c r="B294" s="166" t="s">
        <v>441</v>
      </c>
      <c r="C294" s="167" t="s">
        <v>580</v>
      </c>
      <c r="D294" s="168" t="s">
        <v>437</v>
      </c>
      <c r="E294" s="169" t="s">
        <v>447</v>
      </c>
      <c r="F294" s="168" t="s">
        <v>439</v>
      </c>
      <c r="G294" s="170">
        <v>1000.0</v>
      </c>
      <c r="H294" s="171">
        <v>150.0</v>
      </c>
      <c r="I294" s="171">
        <v>100.0</v>
      </c>
      <c r="J294" s="172">
        <f t="shared" si="13"/>
        <v>0.0008830136242</v>
      </c>
      <c r="K294" s="173">
        <f t="shared" si="14"/>
        <v>1.059616349</v>
      </c>
      <c r="L294" s="174">
        <f t="shared" si="9"/>
        <v>10.51642401</v>
      </c>
      <c r="M294" s="175" t="str">
        <f t="shared" si="10"/>
        <v>ddan#2489</v>
      </c>
      <c r="N294" s="176">
        <f>IFERROR(__xludf.DUMMYFUNCTION("""COMPUTED_VALUE"""),3.0)</f>
        <v>3</v>
      </c>
      <c r="O294" s="176"/>
      <c r="P294" s="166" t="s">
        <v>46</v>
      </c>
      <c r="Q294" s="166" t="s">
        <v>441</v>
      </c>
      <c r="R294" s="176"/>
      <c r="S294" s="176"/>
      <c r="T294" s="176"/>
      <c r="U294" s="176"/>
      <c r="V294" s="176"/>
      <c r="W294" s="176"/>
      <c r="X294" s="176"/>
      <c r="Y294" s="176"/>
      <c r="Z294" s="176"/>
      <c r="AA294" s="176"/>
    </row>
    <row r="295">
      <c r="A295" s="165" t="str">
        <f>iferror(VLOOKUP(P295,'DO NOT TOUCH Imported'!$A$1:$D$800,4,False),iferror(VLOOKUP(P295,'DO NOT TOUCH Imported'!$C$1:$D$800,2,False),"OOPS FIX ME"))</f>
        <v>ddan#2489</v>
      </c>
      <c r="B295" s="166" t="s">
        <v>441</v>
      </c>
      <c r="C295" s="167" t="s">
        <v>467</v>
      </c>
      <c r="D295" s="168" t="s">
        <v>437</v>
      </c>
      <c r="E295" s="169" t="s">
        <v>447</v>
      </c>
      <c r="F295" s="168" t="s">
        <v>439</v>
      </c>
      <c r="G295" s="170">
        <v>1000.0</v>
      </c>
      <c r="H295" s="171">
        <v>100.0</v>
      </c>
      <c r="I295" s="171">
        <v>100.0</v>
      </c>
      <c r="J295" s="172">
        <f t="shared" si="13"/>
        <v>0.000723394157</v>
      </c>
      <c r="K295" s="173">
        <f t="shared" si="14"/>
        <v>0.8680729884</v>
      </c>
      <c r="L295" s="174">
        <f t="shared" si="9"/>
        <v>10.51642401</v>
      </c>
      <c r="M295" s="175" t="str">
        <f t="shared" si="10"/>
        <v>ddan#2489</v>
      </c>
      <c r="N295" s="176">
        <f>IFERROR(__xludf.DUMMYFUNCTION("""COMPUTED_VALUE"""),4.0)</f>
        <v>4</v>
      </c>
      <c r="O295" s="176"/>
      <c r="P295" s="166" t="s">
        <v>46</v>
      </c>
      <c r="Q295" s="166" t="s">
        <v>441</v>
      </c>
      <c r="R295" s="176"/>
      <c r="S295" s="176"/>
      <c r="T295" s="176"/>
      <c r="U295" s="176"/>
      <c r="V295" s="176"/>
      <c r="W295" s="176"/>
      <c r="X295" s="176"/>
      <c r="Y295" s="176"/>
      <c r="Z295" s="176"/>
      <c r="AA295" s="176"/>
    </row>
    <row r="296">
      <c r="A296" s="165" t="str">
        <f>iferror(VLOOKUP(P296,'DO NOT TOUCH Imported'!$A$1:$D$800,4,False),iferror(VLOOKUP(P296,'DO NOT TOUCH Imported'!$C$1:$D$800,2,False),"OOPS FIX ME"))</f>
        <v>ddan#2489</v>
      </c>
      <c r="B296" s="166" t="s">
        <v>441</v>
      </c>
      <c r="C296" s="167" t="s">
        <v>475</v>
      </c>
      <c r="D296" s="168" t="s">
        <v>437</v>
      </c>
      <c r="E296" s="169" t="s">
        <v>438</v>
      </c>
      <c r="F296" s="168" t="s">
        <v>439</v>
      </c>
      <c r="G296" s="170">
        <v>1000.0</v>
      </c>
      <c r="H296" s="171">
        <v>100.0</v>
      </c>
      <c r="I296" s="171">
        <v>100.0</v>
      </c>
      <c r="J296" s="172">
        <f t="shared" si="13"/>
        <v>0.000723394157</v>
      </c>
      <c r="K296" s="173">
        <f t="shared" si="14"/>
        <v>0.8680729884</v>
      </c>
      <c r="L296" s="174">
        <f t="shared" si="9"/>
        <v>10.51642401</v>
      </c>
      <c r="M296" s="175" t="str">
        <f t="shared" si="10"/>
        <v>ddan#2489</v>
      </c>
      <c r="N296" s="176">
        <f>IFERROR(__xludf.DUMMYFUNCTION("""COMPUTED_VALUE"""),5.0)</f>
        <v>5</v>
      </c>
      <c r="O296" s="176"/>
      <c r="P296" s="166" t="s">
        <v>46</v>
      </c>
      <c r="Q296" s="166" t="s">
        <v>441</v>
      </c>
      <c r="R296" s="176"/>
      <c r="S296" s="176"/>
      <c r="T296" s="176"/>
      <c r="U296" s="176"/>
      <c r="V296" s="176"/>
      <c r="W296" s="176"/>
      <c r="X296" s="176"/>
      <c r="Y296" s="176"/>
      <c r="Z296" s="176"/>
      <c r="AA296" s="176"/>
    </row>
    <row r="297">
      <c r="A297" s="165" t="str">
        <f>iferror(VLOOKUP(P297,'DO NOT TOUCH Imported'!$A$1:$D$800,4,False),iferror(VLOOKUP(P297,'DO NOT TOUCH Imported'!$C$1:$D$800,2,False),"OOPS FIX ME"))</f>
        <v>ddan#2489</v>
      </c>
      <c r="B297" s="166" t="s">
        <v>476</v>
      </c>
      <c r="C297" s="167" t="s">
        <v>477</v>
      </c>
      <c r="D297" s="168" t="s">
        <v>437</v>
      </c>
      <c r="E297" s="169" t="s">
        <v>478</v>
      </c>
      <c r="F297" s="168" t="s">
        <v>439</v>
      </c>
      <c r="G297" s="170">
        <v>1000.0</v>
      </c>
      <c r="H297" s="171">
        <v>90.0</v>
      </c>
      <c r="I297" s="171">
        <v>100.0</v>
      </c>
      <c r="J297" s="172">
        <f t="shared" si="13"/>
        <v>0.0006914702636</v>
      </c>
      <c r="K297" s="173">
        <f t="shared" si="14"/>
        <v>0.8297643163</v>
      </c>
      <c r="L297" s="174">
        <f t="shared" si="9"/>
        <v>10.51642401</v>
      </c>
      <c r="M297" s="175" t="str">
        <f t="shared" si="10"/>
        <v>ddan#2489</v>
      </c>
      <c r="N297" s="176">
        <f>IFERROR(__xludf.DUMMYFUNCTION("""COMPUTED_VALUE"""),6.0)</f>
        <v>6</v>
      </c>
      <c r="O297" s="176"/>
      <c r="P297" s="166" t="s">
        <v>46</v>
      </c>
      <c r="Q297" s="166" t="s">
        <v>476</v>
      </c>
      <c r="R297" s="176"/>
      <c r="S297" s="176"/>
      <c r="T297" s="176"/>
      <c r="U297" s="176"/>
      <c r="V297" s="176"/>
      <c r="W297" s="176"/>
      <c r="X297" s="176"/>
      <c r="Y297" s="176"/>
      <c r="Z297" s="176"/>
      <c r="AA297" s="176"/>
    </row>
    <row r="298">
      <c r="A298" s="165" t="str">
        <f>iferror(VLOOKUP(P298,'DO NOT TOUCH Imported'!$A$1:$D$800,4,False),iferror(VLOOKUP(P298,'DO NOT TOUCH Imported'!$C$1:$D$800,2,False),"OOPS FIX ME"))</f>
        <v>ddan#2489</v>
      </c>
      <c r="B298" s="166" t="s">
        <v>441</v>
      </c>
      <c r="C298" s="167" t="s">
        <v>543</v>
      </c>
      <c r="D298" s="168" t="s">
        <v>437</v>
      </c>
      <c r="E298" s="169" t="s">
        <v>447</v>
      </c>
      <c r="F298" s="168" t="s">
        <v>439</v>
      </c>
      <c r="G298" s="170">
        <v>1000.0</v>
      </c>
      <c r="H298" s="171">
        <v>80.0</v>
      </c>
      <c r="I298" s="171">
        <v>100.0</v>
      </c>
      <c r="J298" s="172">
        <f t="shared" si="13"/>
        <v>0.0006595463701</v>
      </c>
      <c r="K298" s="173">
        <f t="shared" si="14"/>
        <v>0.7914556442</v>
      </c>
      <c r="L298" s="174">
        <f t="shared" si="9"/>
        <v>10.51642401</v>
      </c>
      <c r="M298" s="175" t="str">
        <f t="shared" si="10"/>
        <v>ddan#2489</v>
      </c>
      <c r="N298" s="176">
        <f>IFERROR(__xludf.DUMMYFUNCTION("""COMPUTED_VALUE"""),7.0)</f>
        <v>7</v>
      </c>
      <c r="O298" s="176"/>
      <c r="P298" s="166" t="s">
        <v>46</v>
      </c>
      <c r="Q298" s="166" t="s">
        <v>441</v>
      </c>
      <c r="R298" s="176"/>
      <c r="S298" s="176"/>
      <c r="T298" s="176"/>
      <c r="U298" s="176"/>
      <c r="V298" s="176"/>
      <c r="W298" s="176"/>
      <c r="X298" s="176"/>
      <c r="Y298" s="176"/>
      <c r="Z298" s="176"/>
      <c r="AA298" s="176"/>
    </row>
    <row r="299">
      <c r="A299" s="165" t="str">
        <f>iferror(VLOOKUP(P299,'DO NOT TOUCH Imported'!$A$1:$D$800,4,False),iferror(VLOOKUP(P299,'DO NOT TOUCH Imported'!$C$1:$D$800,2,False),"OOPS FIX ME"))</f>
        <v>Laurenluz</v>
      </c>
      <c r="B299" s="166" t="s">
        <v>450</v>
      </c>
      <c r="C299" s="167" t="s">
        <v>552</v>
      </c>
      <c r="D299" s="168" t="s">
        <v>437</v>
      </c>
      <c r="E299" s="169" t="s">
        <v>452</v>
      </c>
      <c r="F299" s="168" t="s">
        <v>453</v>
      </c>
      <c r="G299" s="170">
        <v>1000.0</v>
      </c>
      <c r="H299" s="171">
        <v>200.0</v>
      </c>
      <c r="I299" s="171">
        <v>400.0</v>
      </c>
      <c r="J299" s="172">
        <f t="shared" si="13"/>
        <v>0.001941913667</v>
      </c>
      <c r="K299" s="173">
        <f t="shared" si="14"/>
        <v>2.3302964</v>
      </c>
      <c r="L299" s="174">
        <f t="shared" si="9"/>
        <v>9.262478414</v>
      </c>
      <c r="M299" s="175" t="str">
        <f t="shared" si="10"/>
        <v>Laurenluz</v>
      </c>
      <c r="N299" s="176">
        <f>IFERROR(__xludf.DUMMYFUNCTION("""COMPUTED_VALUE"""),1.0)</f>
        <v>1</v>
      </c>
      <c r="O299" s="176"/>
      <c r="P299" s="166" t="s">
        <v>596</v>
      </c>
      <c r="Q299" s="166" t="s">
        <v>450</v>
      </c>
      <c r="R299" s="176"/>
      <c r="S299" s="176"/>
      <c r="T299" s="176"/>
      <c r="U299" s="176"/>
      <c r="V299" s="176"/>
      <c r="W299" s="176"/>
      <c r="X299" s="176"/>
      <c r="Y299" s="176"/>
      <c r="Z299" s="176"/>
      <c r="AA299" s="176"/>
    </row>
    <row r="300">
      <c r="A300" s="165" t="str">
        <f>iferror(VLOOKUP(P300,'DO NOT TOUCH Imported'!$A$1:$D$800,4,False),iferror(VLOOKUP(P300,'DO NOT TOUCH Imported'!$C$1:$D$800,2,False),"OOPS FIX ME"))</f>
        <v>Laurenluz</v>
      </c>
      <c r="B300" s="166" t="s">
        <v>441</v>
      </c>
      <c r="C300" s="167" t="s">
        <v>554</v>
      </c>
      <c r="D300" s="168" t="s">
        <v>437</v>
      </c>
      <c r="E300" s="177" t="s">
        <v>447</v>
      </c>
      <c r="F300" s="168" t="s">
        <v>439</v>
      </c>
      <c r="G300" s="170">
        <v>1000.0</v>
      </c>
      <c r="H300" s="171">
        <v>200.0</v>
      </c>
      <c r="I300" s="171">
        <v>200.0</v>
      </c>
      <c r="J300" s="172">
        <f t="shared" si="13"/>
        <v>0.001342393283</v>
      </c>
      <c r="K300" s="173">
        <f t="shared" si="14"/>
        <v>1.61087194</v>
      </c>
      <c r="L300" s="174">
        <f t="shared" si="9"/>
        <v>9.262478414</v>
      </c>
      <c r="M300" s="175" t="str">
        <f t="shared" si="10"/>
        <v>Laurenluz</v>
      </c>
      <c r="N300" s="176">
        <f>IFERROR(__xludf.DUMMYFUNCTION("""COMPUTED_VALUE"""),2.0)</f>
        <v>2</v>
      </c>
      <c r="O300" s="176"/>
      <c r="P300" s="166" t="s">
        <v>596</v>
      </c>
      <c r="Q300" s="166" t="s">
        <v>441</v>
      </c>
      <c r="R300" s="176"/>
      <c r="S300" s="176"/>
      <c r="T300" s="176"/>
      <c r="U300" s="176"/>
      <c r="V300" s="176"/>
      <c r="W300" s="176"/>
      <c r="X300" s="176"/>
      <c r="Y300" s="176"/>
      <c r="Z300" s="176"/>
      <c r="AA300" s="176"/>
    </row>
    <row r="301">
      <c r="A301" s="165" t="str">
        <f>iferror(VLOOKUP(P301,'DO NOT TOUCH Imported'!$A$1:$D$800,4,False),iferror(VLOOKUP(P301,'DO NOT TOUCH Imported'!$C$1:$D$800,2,False),"OOPS FIX ME"))</f>
        <v>Laurenluz</v>
      </c>
      <c r="B301" s="166" t="s">
        <v>441</v>
      </c>
      <c r="C301" s="167" t="s">
        <v>663</v>
      </c>
      <c r="D301" s="168" t="s">
        <v>437</v>
      </c>
      <c r="E301" s="177" t="s">
        <v>447</v>
      </c>
      <c r="F301" s="168" t="s">
        <v>439</v>
      </c>
      <c r="G301" s="170">
        <v>1000.0</v>
      </c>
      <c r="H301" s="171">
        <v>200.0</v>
      </c>
      <c r="I301" s="171">
        <v>100.0</v>
      </c>
      <c r="J301" s="172">
        <f t="shared" si="13"/>
        <v>0.001042633091</v>
      </c>
      <c r="K301" s="173">
        <f t="shared" si="14"/>
        <v>1.25115971</v>
      </c>
      <c r="L301" s="174">
        <f t="shared" si="9"/>
        <v>9.262478414</v>
      </c>
      <c r="M301" s="175" t="str">
        <f t="shared" si="10"/>
        <v>Laurenluz</v>
      </c>
      <c r="N301" s="176">
        <f>IFERROR(__xludf.DUMMYFUNCTION("""COMPUTED_VALUE"""),3.0)</f>
        <v>3</v>
      </c>
      <c r="O301" s="176"/>
      <c r="P301" s="166" t="s">
        <v>596</v>
      </c>
      <c r="Q301" s="166" t="s">
        <v>441</v>
      </c>
      <c r="R301" s="176"/>
      <c r="S301" s="176"/>
      <c r="T301" s="176"/>
      <c r="U301" s="176"/>
      <c r="V301" s="176"/>
      <c r="W301" s="176"/>
      <c r="X301" s="176"/>
      <c r="Y301" s="176"/>
      <c r="Z301" s="176"/>
      <c r="AA301" s="176"/>
    </row>
    <row r="302">
      <c r="A302" s="165" t="str">
        <f>iferror(VLOOKUP(P302,'DO NOT TOUCH Imported'!$A$1:$D$800,4,False),iferror(VLOOKUP(P302,'DO NOT TOUCH Imported'!$C$1:$D$800,2,False),"OOPS FIX ME"))</f>
        <v>Laurenluz</v>
      </c>
      <c r="B302" s="166" t="s">
        <v>441</v>
      </c>
      <c r="C302" s="167" t="s">
        <v>664</v>
      </c>
      <c r="D302" s="168" t="s">
        <v>437</v>
      </c>
      <c r="E302" s="177" t="s">
        <v>447</v>
      </c>
      <c r="F302" s="168" t="s">
        <v>439</v>
      </c>
      <c r="G302" s="170">
        <v>1000.0</v>
      </c>
      <c r="H302" s="171">
        <v>200.0</v>
      </c>
      <c r="I302" s="171">
        <v>100.0</v>
      </c>
      <c r="J302" s="172">
        <f t="shared" si="13"/>
        <v>0.001042633091</v>
      </c>
      <c r="K302" s="173">
        <f t="shared" si="14"/>
        <v>1.25115971</v>
      </c>
      <c r="L302" s="174">
        <f t="shared" si="9"/>
        <v>9.262478414</v>
      </c>
      <c r="M302" s="175" t="str">
        <f t="shared" si="10"/>
        <v>Laurenluz</v>
      </c>
      <c r="N302" s="176">
        <f>IFERROR(__xludf.DUMMYFUNCTION("""COMPUTED_VALUE"""),4.0)</f>
        <v>4</v>
      </c>
      <c r="O302" s="176"/>
      <c r="P302" s="166" t="s">
        <v>596</v>
      </c>
      <c r="Q302" s="166" t="s">
        <v>441</v>
      </c>
      <c r="R302" s="176"/>
      <c r="S302" s="176"/>
      <c r="T302" s="176"/>
      <c r="U302" s="176"/>
      <c r="V302" s="176"/>
      <c r="W302" s="176"/>
      <c r="X302" s="176"/>
      <c r="Y302" s="176"/>
      <c r="Z302" s="176"/>
      <c r="AA302" s="176"/>
    </row>
    <row r="303">
      <c r="A303" s="165" t="str">
        <f>iferror(VLOOKUP(P303,'DO NOT TOUCH Imported'!$A$1:$D$800,4,False),iferror(VLOOKUP(P303,'DO NOT TOUCH Imported'!$C$1:$D$800,2,False),"OOPS FIX ME"))</f>
        <v>Laurenluz</v>
      </c>
      <c r="B303" s="166" t="s">
        <v>441</v>
      </c>
      <c r="C303" s="167" t="s">
        <v>598</v>
      </c>
      <c r="D303" s="168" t="s">
        <v>437</v>
      </c>
      <c r="E303" s="169" t="s">
        <v>438</v>
      </c>
      <c r="F303" s="168" t="s">
        <v>439</v>
      </c>
      <c r="G303" s="170">
        <v>1000.0</v>
      </c>
      <c r="H303" s="171">
        <v>200.0</v>
      </c>
      <c r="I303" s="171">
        <v>100.0</v>
      </c>
      <c r="J303" s="172">
        <f t="shared" si="13"/>
        <v>0.001042633091</v>
      </c>
      <c r="K303" s="173">
        <f t="shared" si="14"/>
        <v>1.25115971</v>
      </c>
      <c r="L303" s="174">
        <f t="shared" si="9"/>
        <v>9.262478414</v>
      </c>
      <c r="M303" s="175" t="str">
        <f t="shared" si="10"/>
        <v>Laurenluz</v>
      </c>
      <c r="N303" s="176">
        <f>IFERROR(__xludf.DUMMYFUNCTION("""COMPUTED_VALUE"""),5.0)</f>
        <v>5</v>
      </c>
      <c r="O303" s="176"/>
      <c r="P303" s="166" t="s">
        <v>596</v>
      </c>
      <c r="Q303" s="166" t="s">
        <v>441</v>
      </c>
      <c r="R303" s="176"/>
      <c r="S303" s="176"/>
      <c r="T303" s="176"/>
      <c r="U303" s="176"/>
      <c r="V303" s="176"/>
      <c r="W303" s="176"/>
      <c r="X303" s="176"/>
      <c r="Y303" s="176"/>
      <c r="Z303" s="176"/>
      <c r="AA303" s="176"/>
    </row>
    <row r="304">
      <c r="A304" s="165" t="str">
        <f>iferror(VLOOKUP(P304,'DO NOT TOUCH Imported'!$A$1:$D$800,4,False),iferror(VLOOKUP(P304,'DO NOT TOUCH Imported'!$C$1:$D$800,2,False),"OOPS FIX ME"))</f>
        <v>Laurenluz</v>
      </c>
      <c r="B304" s="166" t="s">
        <v>441</v>
      </c>
      <c r="C304" s="167" t="s">
        <v>665</v>
      </c>
      <c r="D304" s="168" t="s">
        <v>437</v>
      </c>
      <c r="E304" s="177" t="s">
        <v>438</v>
      </c>
      <c r="F304" s="168" t="s">
        <v>439</v>
      </c>
      <c r="G304" s="170">
        <v>1000.0</v>
      </c>
      <c r="H304" s="171">
        <v>100.0</v>
      </c>
      <c r="I304" s="171">
        <v>200.0</v>
      </c>
      <c r="J304" s="172">
        <f t="shared" si="13"/>
        <v>0.001023154349</v>
      </c>
      <c r="K304" s="173">
        <f t="shared" si="14"/>
        <v>1.227785219</v>
      </c>
      <c r="L304" s="174">
        <f t="shared" si="9"/>
        <v>9.262478414</v>
      </c>
      <c r="M304" s="175" t="str">
        <f t="shared" si="10"/>
        <v>Laurenluz</v>
      </c>
      <c r="N304" s="176">
        <f>IFERROR(__xludf.DUMMYFUNCTION("""COMPUTED_VALUE"""),6.0)</f>
        <v>6</v>
      </c>
      <c r="O304" s="176"/>
      <c r="P304" s="166" t="s">
        <v>596</v>
      </c>
      <c r="Q304" s="166" t="s">
        <v>441</v>
      </c>
      <c r="R304" s="176"/>
      <c r="S304" s="176"/>
      <c r="T304" s="176"/>
      <c r="U304" s="176"/>
      <c r="V304" s="176"/>
      <c r="W304" s="176"/>
      <c r="X304" s="176"/>
      <c r="Y304" s="176"/>
      <c r="Z304" s="176"/>
      <c r="AA304" s="176"/>
    </row>
    <row r="305">
      <c r="A305" s="165" t="str">
        <f>iferror(VLOOKUP(P305,'DO NOT TOUCH Imported'!$A$1:$D$800,4,False),iferror(VLOOKUP(P305,'DO NOT TOUCH Imported'!$C$1:$D$800,2,False),"OOPS FIX ME"))</f>
        <v>Laurenluz</v>
      </c>
      <c r="B305" s="166" t="s">
        <v>441</v>
      </c>
      <c r="C305" s="167" t="s">
        <v>610</v>
      </c>
      <c r="D305" s="168" t="s">
        <v>437</v>
      </c>
      <c r="E305" s="177" t="s">
        <v>447</v>
      </c>
      <c r="F305" s="168" t="s">
        <v>439</v>
      </c>
      <c r="G305" s="170">
        <v>1000.0</v>
      </c>
      <c r="H305" s="171">
        <v>150.0</v>
      </c>
      <c r="I305" s="171">
        <v>100.0</v>
      </c>
      <c r="J305" s="172">
        <f t="shared" si="13"/>
        <v>0.0008830136242</v>
      </c>
      <c r="K305" s="173">
        <f t="shared" si="14"/>
        <v>1.059616349</v>
      </c>
      <c r="L305" s="174">
        <f t="shared" si="9"/>
        <v>9.262478414</v>
      </c>
      <c r="M305" s="175" t="str">
        <f t="shared" si="10"/>
        <v>Laurenluz</v>
      </c>
      <c r="N305" s="176">
        <f>IFERROR(__xludf.DUMMYFUNCTION("""COMPUTED_VALUE"""),7.0)</f>
        <v>7</v>
      </c>
      <c r="O305" s="176"/>
      <c r="P305" s="166" t="s">
        <v>596</v>
      </c>
      <c r="Q305" s="166" t="s">
        <v>441</v>
      </c>
      <c r="R305" s="176"/>
      <c r="S305" s="176"/>
      <c r="T305" s="176"/>
      <c r="U305" s="176"/>
      <c r="V305" s="176"/>
      <c r="W305" s="176"/>
      <c r="X305" s="176"/>
      <c r="Y305" s="176"/>
      <c r="Z305" s="176"/>
      <c r="AA305" s="176"/>
    </row>
    <row r="306">
      <c r="A306" s="165" t="str">
        <f>iferror(VLOOKUP(P306,'DO NOT TOUCH Imported'!$A$1:$D$800,4,False),iferror(VLOOKUP(P306,'DO NOT TOUCH Imported'!$C$1:$D$800,2,False),"OOPS FIX ME"))</f>
        <v>Laurenluz</v>
      </c>
      <c r="B306" s="166" t="s">
        <v>441</v>
      </c>
      <c r="C306" s="167" t="s">
        <v>580</v>
      </c>
      <c r="D306" s="168" t="s">
        <v>437</v>
      </c>
      <c r="E306" s="169" t="s">
        <v>447</v>
      </c>
      <c r="F306" s="168" t="s">
        <v>439</v>
      </c>
      <c r="G306" s="170">
        <v>1000.0</v>
      </c>
      <c r="H306" s="171">
        <v>150.0</v>
      </c>
      <c r="I306" s="171">
        <v>100.0</v>
      </c>
      <c r="J306" s="172">
        <f t="shared" si="13"/>
        <v>0.0008830136242</v>
      </c>
      <c r="K306" s="173">
        <f t="shared" si="14"/>
        <v>1.059616349</v>
      </c>
      <c r="L306" s="174">
        <f t="shared" si="9"/>
        <v>9.262478414</v>
      </c>
      <c r="M306" s="175" t="str">
        <f t="shared" si="10"/>
        <v>Laurenluz</v>
      </c>
      <c r="N306" s="176">
        <f>IFERROR(__xludf.DUMMYFUNCTION("""COMPUTED_VALUE"""),8.0)</f>
        <v>8</v>
      </c>
      <c r="O306" s="176"/>
      <c r="P306" s="166" t="s">
        <v>596</v>
      </c>
      <c r="Q306" s="166" t="s">
        <v>441</v>
      </c>
      <c r="R306" s="176"/>
      <c r="S306" s="176"/>
      <c r="T306" s="176"/>
      <c r="U306" s="176"/>
      <c r="V306" s="176"/>
      <c r="W306" s="176"/>
      <c r="X306" s="176"/>
      <c r="Y306" s="176"/>
      <c r="Z306" s="176"/>
      <c r="AA306" s="176"/>
    </row>
    <row r="307">
      <c r="A307" s="165" t="str">
        <f>iferror(VLOOKUP(P307,'DO NOT TOUCH Imported'!$A$1:$D$800,4,False),iferror(VLOOKUP(P307,'DO NOT TOUCH Imported'!$C$1:$D$800,2,False),"OOPS FIX ME"))</f>
        <v>Laurenluz</v>
      </c>
      <c r="B307" s="178" t="s">
        <v>18</v>
      </c>
      <c r="C307" s="179" t="s">
        <v>544</v>
      </c>
      <c r="D307" s="180" t="s">
        <v>495</v>
      </c>
      <c r="E307" s="184">
        <v>44313.0</v>
      </c>
      <c r="F307" s="182" t="s">
        <v>545</v>
      </c>
      <c r="G307" s="170">
        <v>1000.0</v>
      </c>
      <c r="H307" s="171">
        <v>100.0</v>
      </c>
      <c r="I307" s="171">
        <v>100.0</v>
      </c>
      <c r="J307" s="172">
        <f t="shared" si="13"/>
        <v>0.000723394157</v>
      </c>
      <c r="K307" s="173">
        <f t="shared" si="14"/>
        <v>0.8680729884</v>
      </c>
      <c r="L307" s="174">
        <f t="shared" si="9"/>
        <v>9.262478414</v>
      </c>
      <c r="M307" s="175" t="str">
        <f t="shared" si="10"/>
        <v>Laurenluz</v>
      </c>
      <c r="N307" s="176">
        <f>IFERROR(__xludf.DUMMYFUNCTION("""COMPUTED_VALUE"""),9.0)</f>
        <v>9</v>
      </c>
      <c r="O307" s="176"/>
      <c r="P307" s="183" t="s">
        <v>23</v>
      </c>
      <c r="Q307" s="178" t="s">
        <v>18</v>
      </c>
      <c r="R307" s="176"/>
      <c r="S307" s="176"/>
      <c r="T307" s="176"/>
      <c r="U307" s="176"/>
      <c r="V307" s="176"/>
      <c r="W307" s="176"/>
      <c r="X307" s="176"/>
      <c r="Y307" s="176"/>
      <c r="Z307" s="176"/>
      <c r="AA307" s="176"/>
    </row>
    <row r="308">
      <c r="A308" s="165" t="str">
        <f>iferror(VLOOKUP(P308,'DO NOT TOUCH Imported'!$A$1:$D$800,4,False),iferror(VLOOKUP(P308,'DO NOT TOUCH Imported'!$C$1:$D$800,2,False),"OOPS FIX ME"))</f>
        <v>Laurenluz</v>
      </c>
      <c r="B308" s="166" t="s">
        <v>441</v>
      </c>
      <c r="C308" s="167" t="s">
        <v>467</v>
      </c>
      <c r="D308" s="168" t="s">
        <v>437</v>
      </c>
      <c r="E308" s="177" t="s">
        <v>447</v>
      </c>
      <c r="F308" s="168" t="s">
        <v>439</v>
      </c>
      <c r="G308" s="170">
        <v>1000.0</v>
      </c>
      <c r="H308" s="171">
        <v>100.0</v>
      </c>
      <c r="I308" s="171">
        <v>100.0</v>
      </c>
      <c r="J308" s="172">
        <f t="shared" si="13"/>
        <v>0.000723394157</v>
      </c>
      <c r="K308" s="173">
        <f t="shared" si="14"/>
        <v>0.8680729884</v>
      </c>
      <c r="L308" s="174">
        <f t="shared" si="9"/>
        <v>9.262478414</v>
      </c>
      <c r="M308" s="175" t="str">
        <f t="shared" si="10"/>
        <v>Laurenluz</v>
      </c>
      <c r="N308" s="176">
        <f>IFERROR(__xludf.DUMMYFUNCTION("""COMPUTED_VALUE"""),10.0)</f>
        <v>10</v>
      </c>
      <c r="O308" s="176"/>
      <c r="P308" s="166" t="s">
        <v>596</v>
      </c>
      <c r="Q308" s="166" t="s">
        <v>441</v>
      </c>
      <c r="R308" s="176"/>
      <c r="S308" s="176"/>
      <c r="T308" s="176"/>
      <c r="U308" s="176"/>
      <c r="V308" s="176"/>
      <c r="W308" s="176"/>
      <c r="X308" s="176"/>
      <c r="Y308" s="176"/>
      <c r="Z308" s="176"/>
      <c r="AA308" s="176"/>
    </row>
    <row r="309">
      <c r="A309" s="165" t="str">
        <f>iferror(VLOOKUP(P309,'DO NOT TOUCH Imported'!$A$1:$D$800,4,False),iferror(VLOOKUP(P309,'DO NOT TOUCH Imported'!$C$1:$D$800,2,False),"OOPS FIX ME"))</f>
        <v>Laurenluz</v>
      </c>
      <c r="B309" s="166" t="s">
        <v>441</v>
      </c>
      <c r="C309" s="167" t="s">
        <v>666</v>
      </c>
      <c r="D309" s="168" t="s">
        <v>499</v>
      </c>
      <c r="E309" s="169" t="s">
        <v>452</v>
      </c>
      <c r="F309" s="168" t="s">
        <v>503</v>
      </c>
      <c r="G309" s="170">
        <v>1000.0</v>
      </c>
      <c r="H309" s="171">
        <v>100.0</v>
      </c>
      <c r="I309" s="171">
        <v>100.0</v>
      </c>
      <c r="J309" s="172">
        <f t="shared" si="13"/>
        <v>0.000723394157</v>
      </c>
      <c r="K309" s="173">
        <f t="shared" si="14"/>
        <v>0.8680729884</v>
      </c>
      <c r="L309" s="174">
        <f t="shared" si="9"/>
        <v>9.262478414</v>
      </c>
      <c r="M309" s="175" t="str">
        <f t="shared" si="10"/>
        <v>Laurenluz</v>
      </c>
      <c r="N309" s="176">
        <f>IFERROR(__xludf.DUMMYFUNCTION("""COMPUTED_VALUE"""),11.0)</f>
        <v>11</v>
      </c>
      <c r="O309" s="176"/>
      <c r="P309" s="166" t="s">
        <v>596</v>
      </c>
      <c r="Q309" s="166" t="s">
        <v>441</v>
      </c>
      <c r="R309" s="176"/>
      <c r="S309" s="176"/>
      <c r="T309" s="176"/>
      <c r="U309" s="176"/>
      <c r="V309" s="176"/>
      <c r="W309" s="176"/>
      <c r="X309" s="176"/>
      <c r="Y309" s="176"/>
      <c r="Z309" s="176"/>
      <c r="AA309" s="176"/>
    </row>
    <row r="310">
      <c r="A310" s="165" t="str">
        <f>iferror(VLOOKUP(P310,'DO NOT TOUCH Imported'!$A$1:$D$800,4,False),iferror(VLOOKUP(P310,'DO NOT TOUCH Imported'!$C$1:$D$800,2,False),"OOPS FIX ME"))</f>
        <v>Laurenluz</v>
      </c>
      <c r="B310" s="166" t="s">
        <v>441</v>
      </c>
      <c r="C310" s="167" t="s">
        <v>667</v>
      </c>
      <c r="D310" s="168" t="s">
        <v>437</v>
      </c>
      <c r="E310" s="177" t="s">
        <v>438</v>
      </c>
      <c r="F310" s="168" t="s">
        <v>439</v>
      </c>
      <c r="G310" s="170">
        <v>1000.0</v>
      </c>
      <c r="H310" s="171">
        <v>100.0</v>
      </c>
      <c r="I310" s="171">
        <v>100.0</v>
      </c>
      <c r="J310" s="172">
        <f t="shared" si="13"/>
        <v>0.000723394157</v>
      </c>
      <c r="K310" s="173">
        <f t="shared" si="14"/>
        <v>0.8680729884</v>
      </c>
      <c r="L310" s="174">
        <f t="shared" si="9"/>
        <v>9.262478414</v>
      </c>
      <c r="M310" s="175" t="str">
        <f t="shared" si="10"/>
        <v>Laurenluz</v>
      </c>
      <c r="N310" s="176">
        <f>IFERROR(__xludf.DUMMYFUNCTION("""COMPUTED_VALUE"""),12.0)</f>
        <v>12</v>
      </c>
      <c r="O310" s="176"/>
      <c r="P310" s="166" t="s">
        <v>596</v>
      </c>
      <c r="Q310" s="166" t="s">
        <v>441</v>
      </c>
      <c r="R310" s="176"/>
      <c r="S310" s="176"/>
      <c r="T310" s="176"/>
      <c r="U310" s="176"/>
      <c r="V310" s="176"/>
      <c r="W310" s="176"/>
      <c r="X310" s="176"/>
      <c r="Y310" s="176"/>
      <c r="Z310" s="176"/>
      <c r="AA310" s="176"/>
    </row>
    <row r="311">
      <c r="A311" s="165" t="str">
        <f>iferror(VLOOKUP(P311,'DO NOT TOUCH Imported'!$A$1:$D$800,4,False),iferror(VLOOKUP(P311,'DO NOT TOUCH Imported'!$C$1:$D$800,2,False),"OOPS FIX ME"))</f>
        <v>Laurenluz</v>
      </c>
      <c r="B311" s="166" t="s">
        <v>441</v>
      </c>
      <c r="C311" s="167" t="s">
        <v>543</v>
      </c>
      <c r="D311" s="168" t="s">
        <v>437</v>
      </c>
      <c r="E311" s="169" t="s">
        <v>447</v>
      </c>
      <c r="F311" s="168" t="s">
        <v>439</v>
      </c>
      <c r="G311" s="170">
        <v>1000.0</v>
      </c>
      <c r="H311" s="171">
        <v>80.0</v>
      </c>
      <c r="I311" s="171">
        <v>100.0</v>
      </c>
      <c r="J311" s="172">
        <f t="shared" si="13"/>
        <v>0.0006595463701</v>
      </c>
      <c r="K311" s="173">
        <f t="shared" si="14"/>
        <v>0.7914556442</v>
      </c>
      <c r="L311" s="174">
        <f t="shared" si="9"/>
        <v>9.262478414</v>
      </c>
      <c r="M311" s="175" t="str">
        <f t="shared" si="10"/>
        <v>Laurenluz</v>
      </c>
      <c r="N311" s="176">
        <f>IFERROR(__xludf.DUMMYFUNCTION("""COMPUTED_VALUE"""),13.0)</f>
        <v>13</v>
      </c>
      <c r="O311" s="176"/>
      <c r="P311" s="166" t="s">
        <v>596</v>
      </c>
      <c r="Q311" s="166" t="s">
        <v>441</v>
      </c>
      <c r="R311" s="176"/>
      <c r="S311" s="176"/>
      <c r="T311" s="176"/>
      <c r="U311" s="176"/>
      <c r="V311" s="176"/>
      <c r="W311" s="176"/>
      <c r="X311" s="176"/>
      <c r="Y311" s="176"/>
      <c r="Z311" s="176"/>
      <c r="AA311" s="176"/>
    </row>
    <row r="312">
      <c r="A312" s="165" t="str">
        <f>iferror(VLOOKUP(P312,'DO NOT TOUCH Imported'!$A$1:$D$800,4,False),iferror(VLOOKUP(P312,'DO NOT TOUCH Imported'!$C$1:$D$800,2,False),"OOPS FIX ME"))</f>
        <v>Laurenluz</v>
      </c>
      <c r="B312" s="178" t="s">
        <v>519</v>
      </c>
      <c r="C312" s="179" t="s">
        <v>668</v>
      </c>
      <c r="D312" s="180" t="s">
        <v>495</v>
      </c>
      <c r="E312" s="184">
        <v>44314.0</v>
      </c>
      <c r="F312" s="182" t="s">
        <v>521</v>
      </c>
      <c r="G312" s="170">
        <v>1000.0</v>
      </c>
      <c r="H312" s="171">
        <v>70.0</v>
      </c>
      <c r="I312" s="171">
        <v>100.0</v>
      </c>
      <c r="J312" s="172">
        <f t="shared" si="13"/>
        <v>0.0006276224767</v>
      </c>
      <c r="K312" s="173">
        <f t="shared" si="14"/>
        <v>0.7531469721</v>
      </c>
      <c r="L312" s="174">
        <f t="shared" si="9"/>
        <v>9.262478414</v>
      </c>
      <c r="M312" s="175" t="str">
        <f t="shared" si="10"/>
        <v>Laurenluz</v>
      </c>
      <c r="N312" s="176">
        <f>IFERROR(__xludf.DUMMYFUNCTION("""COMPUTED_VALUE"""),14.0)</f>
        <v>14</v>
      </c>
      <c r="O312" s="176"/>
      <c r="P312" s="183" t="s">
        <v>23</v>
      </c>
      <c r="Q312" s="178" t="s">
        <v>519</v>
      </c>
      <c r="R312" s="176"/>
      <c r="S312" s="176"/>
      <c r="T312" s="176"/>
      <c r="U312" s="176"/>
      <c r="V312" s="176"/>
      <c r="W312" s="176"/>
      <c r="X312" s="176"/>
      <c r="Y312" s="176"/>
      <c r="Z312" s="176"/>
      <c r="AA312" s="176"/>
    </row>
    <row r="313">
      <c r="A313" s="165" t="str">
        <f>iferror(VLOOKUP(P313,'DO NOT TOUCH Imported'!$A$1:$D$800,4,False),iferror(VLOOKUP(P313,'DO NOT TOUCH Imported'!$C$1:$D$800,2,False),"OOPS FIX ME"))</f>
        <v>Laurenluz</v>
      </c>
      <c r="B313" s="178" t="s">
        <v>519</v>
      </c>
      <c r="C313" s="179" t="s">
        <v>668</v>
      </c>
      <c r="D313" s="180" t="s">
        <v>495</v>
      </c>
      <c r="E313" s="181">
        <v>44321.0</v>
      </c>
      <c r="F313" s="182" t="s">
        <v>521</v>
      </c>
      <c r="G313" s="170">
        <v>1000.0</v>
      </c>
      <c r="H313" s="171">
        <v>70.0</v>
      </c>
      <c r="I313" s="171">
        <v>100.0</v>
      </c>
      <c r="J313" s="172">
        <f t="shared" si="13"/>
        <v>0.0006276224767</v>
      </c>
      <c r="K313" s="173">
        <f t="shared" si="14"/>
        <v>0.7531469721</v>
      </c>
      <c r="L313" s="174">
        <f t="shared" si="9"/>
        <v>9.262478414</v>
      </c>
      <c r="M313" s="175" t="str">
        <f t="shared" si="10"/>
        <v>Laurenluz</v>
      </c>
      <c r="N313" s="176">
        <f>IFERROR(__xludf.DUMMYFUNCTION("""COMPUTED_VALUE"""),15.0)</f>
        <v>15</v>
      </c>
      <c r="O313" s="176"/>
      <c r="P313" s="183" t="s">
        <v>23</v>
      </c>
      <c r="Q313" s="178" t="s">
        <v>519</v>
      </c>
      <c r="R313" s="176"/>
      <c r="S313" s="176"/>
      <c r="T313" s="176"/>
      <c r="U313" s="176"/>
      <c r="V313" s="176"/>
      <c r="W313" s="176"/>
      <c r="X313" s="176"/>
      <c r="Y313" s="176"/>
      <c r="Z313" s="176"/>
      <c r="AA313" s="176"/>
    </row>
    <row r="314">
      <c r="A314" s="165" t="str">
        <f>iferror(VLOOKUP(P314,'DO NOT TOUCH Imported'!$A$1:$D$800,4,False),iferror(VLOOKUP(P314,'DO NOT TOUCH Imported'!$C$1:$D$800,2,False),"OOPS FIX ME"))</f>
        <v>Laurenluz</v>
      </c>
      <c r="B314" s="166" t="s">
        <v>441</v>
      </c>
      <c r="C314" s="167" t="s">
        <v>497</v>
      </c>
      <c r="D314" s="168" t="s">
        <v>437</v>
      </c>
      <c r="E314" s="177" t="s">
        <v>438</v>
      </c>
      <c r="F314" s="168" t="s">
        <v>439</v>
      </c>
      <c r="G314" s="170">
        <v>1000.0</v>
      </c>
      <c r="H314" s="171">
        <v>50.0</v>
      </c>
      <c r="I314" s="171">
        <v>100.0</v>
      </c>
      <c r="J314" s="172">
        <f t="shared" si="13"/>
        <v>0.0005637746898</v>
      </c>
      <c r="K314" s="173">
        <f t="shared" si="14"/>
        <v>0.6765296278</v>
      </c>
      <c r="L314" s="174">
        <f t="shared" si="9"/>
        <v>9.262478414</v>
      </c>
      <c r="M314" s="175" t="str">
        <f t="shared" si="10"/>
        <v>Laurenluz</v>
      </c>
      <c r="N314" s="176">
        <f>IFERROR(__xludf.DUMMYFUNCTION("""COMPUTED_VALUE"""),16.0)</f>
        <v>16</v>
      </c>
      <c r="O314" s="176"/>
      <c r="P314" s="166" t="s">
        <v>596</v>
      </c>
      <c r="Q314" s="166" t="s">
        <v>441</v>
      </c>
      <c r="R314" s="176"/>
      <c r="S314" s="176"/>
      <c r="T314" s="176"/>
      <c r="U314" s="176"/>
      <c r="V314" s="176"/>
      <c r="W314" s="176"/>
      <c r="X314" s="176"/>
      <c r="Y314" s="176"/>
      <c r="Z314" s="176"/>
      <c r="AA314" s="176"/>
    </row>
    <row r="315">
      <c r="A315" s="165" t="str">
        <f>iferror(VLOOKUP(P315,'DO NOT TOUCH Imported'!$A$1:$D$800,4,False),iferror(VLOOKUP(P315,'DO NOT TOUCH Imported'!$C$1:$D$800,2,False),"OOPS FIX ME"))</f>
        <v>Laurenluz</v>
      </c>
      <c r="B315" s="178" t="s">
        <v>10</v>
      </c>
      <c r="C315" s="179" t="s">
        <v>498</v>
      </c>
      <c r="D315" s="180" t="s">
        <v>495</v>
      </c>
      <c r="E315" s="181">
        <v>44323.0</v>
      </c>
      <c r="F315" s="182" t="s">
        <v>499</v>
      </c>
      <c r="G315" s="170">
        <v>500.0</v>
      </c>
      <c r="H315" s="171">
        <v>25.0</v>
      </c>
      <c r="I315" s="171">
        <v>100.0</v>
      </c>
      <c r="J315" s="172">
        <f t="shared" si="13"/>
        <v>0.0004317674408</v>
      </c>
      <c r="K315" s="173">
        <f t="shared" si="14"/>
        <v>0.518120929</v>
      </c>
      <c r="L315" s="174">
        <f t="shared" si="9"/>
        <v>9.262478414</v>
      </c>
      <c r="M315" s="175" t="str">
        <f t="shared" si="10"/>
        <v>Laurenluz</v>
      </c>
      <c r="N315" s="176">
        <f>IFERROR(__xludf.DUMMYFUNCTION("""COMPUTED_VALUE"""),17.0)</f>
        <v>17</v>
      </c>
      <c r="O315" s="176"/>
      <c r="P315" s="183" t="s">
        <v>23</v>
      </c>
      <c r="Q315" s="178" t="s">
        <v>10</v>
      </c>
      <c r="R315" s="176"/>
      <c r="S315" s="176"/>
      <c r="T315" s="176"/>
      <c r="U315" s="176"/>
      <c r="V315" s="176"/>
      <c r="W315" s="176"/>
      <c r="X315" s="176"/>
      <c r="Y315" s="176"/>
      <c r="Z315" s="176"/>
      <c r="AA315" s="176"/>
    </row>
    <row r="316">
      <c r="A316" s="165" t="str">
        <f>iferror(VLOOKUP(P316,'DO NOT TOUCH Imported'!$A$1:$D$800,4,False),iferror(VLOOKUP(P316,'DO NOT TOUCH Imported'!$C$1:$D$800,2,False),"OOPS FIX ME"))</f>
        <v>Laurenluz</v>
      </c>
      <c r="B316" s="178" t="s">
        <v>10</v>
      </c>
      <c r="C316" s="179" t="s">
        <v>500</v>
      </c>
      <c r="D316" s="180" t="s">
        <v>495</v>
      </c>
      <c r="E316" s="181">
        <v>44324.0</v>
      </c>
      <c r="F316" s="182" t="s">
        <v>496</v>
      </c>
      <c r="G316" s="170">
        <v>500.0</v>
      </c>
      <c r="H316" s="171">
        <v>25.0</v>
      </c>
      <c r="I316" s="171">
        <v>100.0</v>
      </c>
      <c r="J316" s="172">
        <f t="shared" si="13"/>
        <v>0.0004317674408</v>
      </c>
      <c r="K316" s="173">
        <f t="shared" si="14"/>
        <v>0.518120929</v>
      </c>
      <c r="L316" s="174">
        <f t="shared" si="9"/>
        <v>9.262478414</v>
      </c>
      <c r="M316" s="175" t="str">
        <f t="shared" si="10"/>
        <v>Laurenluz</v>
      </c>
      <c r="N316" s="176">
        <f>IFERROR(__xludf.DUMMYFUNCTION("""COMPUTED_VALUE"""),18.0)</f>
        <v>18</v>
      </c>
      <c r="O316" s="176"/>
      <c r="P316" s="183" t="s">
        <v>23</v>
      </c>
      <c r="Q316" s="178" t="s">
        <v>10</v>
      </c>
      <c r="R316" s="176"/>
      <c r="S316" s="176"/>
      <c r="T316" s="176"/>
      <c r="U316" s="176"/>
      <c r="V316" s="176"/>
      <c r="W316" s="176"/>
      <c r="X316" s="176"/>
      <c r="Y316" s="176"/>
      <c r="Z316" s="176"/>
      <c r="AA316" s="176"/>
    </row>
    <row r="317">
      <c r="A317" s="165" t="str">
        <f>iferror(VLOOKUP(P317,'DO NOT TOUCH Imported'!$A$1:$D$800,4,False),iferror(VLOOKUP(P317,'DO NOT TOUCH Imported'!$C$1:$D$800,2,False),"OOPS FIX ME"))</f>
        <v>Laurenluz</v>
      </c>
      <c r="B317" s="185" t="s">
        <v>534</v>
      </c>
      <c r="C317" s="186" t="s">
        <v>669</v>
      </c>
      <c r="D317" s="187"/>
      <c r="E317" s="188"/>
      <c r="F317" s="189"/>
      <c r="G317" s="190"/>
      <c r="H317" s="190"/>
      <c r="I317" s="190"/>
      <c r="J317" s="191">
        <f t="shared" si="13"/>
        <v>0</v>
      </c>
      <c r="K317" s="192">
        <f>18.524*-0.5</f>
        <v>-9.262</v>
      </c>
      <c r="L317" s="193">
        <f t="shared" si="9"/>
        <v>9.262478414</v>
      </c>
      <c r="M317" s="194" t="str">
        <f t="shared" si="10"/>
        <v>Laurenluz</v>
      </c>
      <c r="N317" s="195">
        <f>IFERROR(__xludf.DUMMYFUNCTION("""COMPUTED_VALUE"""),19.0)</f>
        <v>19</v>
      </c>
      <c r="O317" s="195"/>
      <c r="P317" s="165" t="s">
        <v>23</v>
      </c>
      <c r="Q317" s="185" t="s">
        <v>534</v>
      </c>
      <c r="R317" s="195">
        <v>18.802169413641863</v>
      </c>
      <c r="S317" s="195"/>
      <c r="T317" s="195"/>
      <c r="U317" s="195"/>
      <c r="V317" s="195"/>
      <c r="W317" s="195"/>
      <c r="X317" s="195"/>
      <c r="Y317" s="195"/>
      <c r="Z317" s="195"/>
      <c r="AA317" s="176"/>
    </row>
    <row r="318">
      <c r="A318" s="165" t="str">
        <f>iferror(VLOOKUP(P318,'DO NOT TOUCH Imported'!$A$1:$D$800,4,False),iferror(VLOOKUP(P318,'DO NOT TOUCH Imported'!$C$1:$D$800,2,False),"OOPS FIX ME"))</f>
        <v>GriffGreen</v>
      </c>
      <c r="B318" s="166" t="s">
        <v>440</v>
      </c>
      <c r="C318" s="167" t="s">
        <v>670</v>
      </c>
      <c r="D318" s="168" t="s">
        <v>437</v>
      </c>
      <c r="E318" s="177" t="s">
        <v>452</v>
      </c>
      <c r="F318" s="168" t="s">
        <v>439</v>
      </c>
      <c r="G318" s="170">
        <v>1000.0</v>
      </c>
      <c r="H318" s="171">
        <v>400.0</v>
      </c>
      <c r="I318" s="171">
        <v>200.0</v>
      </c>
      <c r="J318" s="172">
        <f t="shared" si="13"/>
        <v>0.001980871152</v>
      </c>
      <c r="K318" s="173">
        <f t="shared" ref="K318:K369" si="15">J318*$J$1</f>
        <v>2.377045382</v>
      </c>
      <c r="L318" s="174">
        <f t="shared" si="9"/>
        <v>8.927063614</v>
      </c>
      <c r="M318" s="175" t="str">
        <f t="shared" si="10"/>
        <v>GriffGreen</v>
      </c>
      <c r="N318" s="176">
        <f>IFERROR(__xludf.DUMMYFUNCTION("""COMPUTED_VALUE"""),1.0)</f>
        <v>1</v>
      </c>
      <c r="O318" s="176"/>
      <c r="P318" s="166" t="s">
        <v>450</v>
      </c>
      <c r="Q318" s="166" t="s">
        <v>440</v>
      </c>
      <c r="R318" s="176"/>
      <c r="S318" s="176"/>
      <c r="T318" s="176"/>
      <c r="U318" s="176"/>
      <c r="V318" s="176"/>
      <c r="W318" s="176"/>
      <c r="X318" s="176"/>
      <c r="Y318" s="176"/>
      <c r="Z318" s="176"/>
      <c r="AA318" s="176"/>
    </row>
    <row r="319">
      <c r="A319" s="165" t="str">
        <f>iferror(VLOOKUP(P319,'DO NOT TOUCH Imported'!$A$1:$D$800,4,False),iferror(VLOOKUP(P319,'DO NOT TOUCH Imported'!$C$1:$D$800,2,False),"OOPS FIX ME"))</f>
        <v>GriffGreen</v>
      </c>
      <c r="B319" s="166" t="s">
        <v>441</v>
      </c>
      <c r="C319" s="167" t="s">
        <v>671</v>
      </c>
      <c r="D319" s="168" t="s">
        <v>437</v>
      </c>
      <c r="E319" s="177" t="s">
        <v>438</v>
      </c>
      <c r="F319" s="168" t="s">
        <v>439</v>
      </c>
      <c r="G319" s="170">
        <v>1000.0</v>
      </c>
      <c r="H319" s="171">
        <v>300.0</v>
      </c>
      <c r="I319" s="171">
        <v>300.0</v>
      </c>
      <c r="J319" s="172">
        <f t="shared" si="13"/>
        <v>0.001961392409</v>
      </c>
      <c r="K319" s="173">
        <f t="shared" si="15"/>
        <v>2.353670891</v>
      </c>
      <c r="L319" s="174">
        <f t="shared" si="9"/>
        <v>8.927063614</v>
      </c>
      <c r="M319" s="175" t="str">
        <f t="shared" si="10"/>
        <v>GriffGreen</v>
      </c>
      <c r="N319" s="176">
        <f>IFERROR(__xludf.DUMMYFUNCTION("""COMPUTED_VALUE"""),2.0)</f>
        <v>2</v>
      </c>
      <c r="O319" s="176"/>
      <c r="P319" s="166" t="s">
        <v>450</v>
      </c>
      <c r="Q319" s="166" t="s">
        <v>441</v>
      </c>
      <c r="R319" s="176"/>
      <c r="S319" s="176"/>
      <c r="T319" s="176"/>
      <c r="U319" s="176"/>
      <c r="V319" s="176"/>
      <c r="W319" s="176"/>
      <c r="X319" s="176"/>
      <c r="Y319" s="176"/>
      <c r="Z319" s="176"/>
      <c r="AA319" s="176"/>
    </row>
    <row r="320">
      <c r="A320" s="165" t="str">
        <f>iferror(VLOOKUP(P320,'DO NOT TOUCH Imported'!$A$1:$D$800,4,False),iferror(VLOOKUP(P320,'DO NOT TOUCH Imported'!$C$1:$D$800,2,False),"OOPS FIX ME"))</f>
        <v>GriffGreen</v>
      </c>
      <c r="B320" s="166" t="s">
        <v>441</v>
      </c>
      <c r="C320" s="167" t="s">
        <v>538</v>
      </c>
      <c r="D320" s="168" t="s">
        <v>437</v>
      </c>
      <c r="E320" s="169" t="s">
        <v>438</v>
      </c>
      <c r="F320" s="168" t="s">
        <v>439</v>
      </c>
      <c r="G320" s="170">
        <v>1000.0</v>
      </c>
      <c r="H320" s="171">
        <v>300.0</v>
      </c>
      <c r="I320" s="171">
        <v>300.0</v>
      </c>
      <c r="J320" s="172">
        <f t="shared" si="13"/>
        <v>0.001961392409</v>
      </c>
      <c r="K320" s="173">
        <f t="shared" si="15"/>
        <v>2.353670891</v>
      </c>
      <c r="L320" s="174">
        <f t="shared" si="9"/>
        <v>8.927063614</v>
      </c>
      <c r="M320" s="175" t="str">
        <f t="shared" si="10"/>
        <v>GriffGreen</v>
      </c>
      <c r="N320" s="176">
        <f>IFERROR(__xludf.DUMMYFUNCTION("""COMPUTED_VALUE"""),3.0)</f>
        <v>3</v>
      </c>
      <c r="O320" s="176"/>
      <c r="P320" s="166" t="s">
        <v>450</v>
      </c>
      <c r="Q320" s="166" t="s">
        <v>441</v>
      </c>
      <c r="R320" s="176"/>
      <c r="S320" s="176"/>
      <c r="T320" s="176"/>
      <c r="U320" s="176"/>
      <c r="V320" s="176"/>
      <c r="W320" s="176"/>
      <c r="X320" s="176"/>
      <c r="Y320" s="176"/>
      <c r="Z320" s="176"/>
      <c r="AA320" s="176"/>
    </row>
    <row r="321">
      <c r="A321" s="165" t="str">
        <f>iferror(VLOOKUP(P321,'DO NOT TOUCH Imported'!$A$1:$D$800,4,False),iferror(VLOOKUP(P321,'DO NOT TOUCH Imported'!$C$1:$D$800,2,False),"OOPS FIX ME"))</f>
        <v>GriffGreen</v>
      </c>
      <c r="B321" s="166" t="s">
        <v>450</v>
      </c>
      <c r="C321" s="167" t="s">
        <v>552</v>
      </c>
      <c r="D321" s="168" t="s">
        <v>437</v>
      </c>
      <c r="E321" s="177" t="s">
        <v>452</v>
      </c>
      <c r="F321" s="168" t="s">
        <v>453</v>
      </c>
      <c r="G321" s="170">
        <v>1000.0</v>
      </c>
      <c r="H321" s="171">
        <v>200.0</v>
      </c>
      <c r="I321" s="171">
        <v>400.0</v>
      </c>
      <c r="J321" s="172">
        <f t="shared" si="13"/>
        <v>0.001941913667</v>
      </c>
      <c r="K321" s="173">
        <f t="shared" si="15"/>
        <v>2.3302964</v>
      </c>
      <c r="L321" s="174">
        <f t="shared" si="9"/>
        <v>8.927063614</v>
      </c>
      <c r="M321" s="175" t="str">
        <f t="shared" si="10"/>
        <v>GriffGreen</v>
      </c>
      <c r="N321" s="176">
        <f>IFERROR(__xludf.DUMMYFUNCTION("""COMPUTED_VALUE"""),4.0)</f>
        <v>4</v>
      </c>
      <c r="O321" s="176"/>
      <c r="P321" s="166" t="s">
        <v>450</v>
      </c>
      <c r="Q321" s="166" t="s">
        <v>450</v>
      </c>
      <c r="R321" s="176"/>
      <c r="S321" s="176"/>
      <c r="T321" s="176"/>
      <c r="U321" s="176"/>
      <c r="V321" s="176"/>
      <c r="W321" s="176"/>
      <c r="X321" s="176"/>
      <c r="Y321" s="176"/>
      <c r="Z321" s="176"/>
      <c r="AA321" s="176"/>
    </row>
    <row r="322">
      <c r="A322" s="165" t="str">
        <f>iferror(VLOOKUP(P322,'DO NOT TOUCH Imported'!$A$1:$D$800,4,False),iferror(VLOOKUP(P322,'DO NOT TOUCH Imported'!$C$1:$D$800,2,False),"OOPS FIX ME"))</f>
        <v>GriffGreen</v>
      </c>
      <c r="B322" s="166" t="s">
        <v>441</v>
      </c>
      <c r="C322" s="167" t="s">
        <v>442</v>
      </c>
      <c r="D322" s="168" t="s">
        <v>437</v>
      </c>
      <c r="E322" s="169" t="s">
        <v>438</v>
      </c>
      <c r="F322" s="168" t="s">
        <v>439</v>
      </c>
      <c r="G322" s="170">
        <v>10000.0</v>
      </c>
      <c r="H322" s="171">
        <v>100.0</v>
      </c>
      <c r="I322" s="171">
        <v>100.0</v>
      </c>
      <c r="J322" s="172">
        <f t="shared" si="13"/>
        <v>0.001662949434</v>
      </c>
      <c r="K322" s="173">
        <f t="shared" si="15"/>
        <v>1.995539321</v>
      </c>
      <c r="L322" s="174">
        <f t="shared" si="9"/>
        <v>8.927063614</v>
      </c>
      <c r="M322" s="175" t="str">
        <f t="shared" si="10"/>
        <v>GriffGreen</v>
      </c>
      <c r="N322" s="209">
        <f>IFERROR(__xludf.DUMMYFUNCTION("""COMPUTED_VALUE"""),5.0)</f>
        <v>5</v>
      </c>
      <c r="O322" s="209"/>
      <c r="P322" s="166" t="s">
        <v>450</v>
      </c>
      <c r="Q322" s="166" t="s">
        <v>441</v>
      </c>
      <c r="R322" s="209"/>
      <c r="S322" s="209"/>
      <c r="T322" s="209"/>
      <c r="U322" s="209"/>
      <c r="V322" s="209"/>
      <c r="W322" s="209"/>
      <c r="X322" s="209"/>
      <c r="Y322" s="209"/>
      <c r="Z322" s="209"/>
      <c r="AA322" s="209"/>
    </row>
    <row r="323">
      <c r="A323" s="165" t="str">
        <f>iferror(VLOOKUP(P323,'DO NOT TOUCH Imported'!$A$1:$D$800,4,False),iferror(VLOOKUP(P323,'DO NOT TOUCH Imported'!$C$1:$D$800,2,False),"OOPS FIX ME"))</f>
        <v>GriffGreen</v>
      </c>
      <c r="B323" s="166" t="s">
        <v>20</v>
      </c>
      <c r="C323" s="167" t="s">
        <v>672</v>
      </c>
      <c r="D323" s="168" t="s">
        <v>437</v>
      </c>
      <c r="E323" s="169" t="s">
        <v>438</v>
      </c>
      <c r="F323" s="168" t="s">
        <v>439</v>
      </c>
      <c r="G323" s="170">
        <v>10000.0</v>
      </c>
      <c r="H323" s="171">
        <v>100.0</v>
      </c>
      <c r="I323" s="171">
        <v>100.0</v>
      </c>
      <c r="J323" s="172">
        <f t="shared" si="13"/>
        <v>0.001662949434</v>
      </c>
      <c r="K323" s="173">
        <f t="shared" si="15"/>
        <v>1.995539321</v>
      </c>
      <c r="L323" s="174">
        <f t="shared" si="9"/>
        <v>8.927063614</v>
      </c>
      <c r="M323" s="175" t="str">
        <f t="shared" si="10"/>
        <v>GriffGreen</v>
      </c>
      <c r="N323" s="176">
        <f>IFERROR(__xludf.DUMMYFUNCTION("""COMPUTED_VALUE"""),6.0)</f>
        <v>6</v>
      </c>
      <c r="O323" s="176"/>
      <c r="P323" s="166" t="s">
        <v>450</v>
      </c>
      <c r="Q323" s="166" t="s">
        <v>20</v>
      </c>
      <c r="R323" s="176"/>
      <c r="S323" s="176"/>
      <c r="T323" s="176"/>
      <c r="U323" s="176"/>
      <c r="V323" s="176"/>
      <c r="W323" s="176"/>
      <c r="X323" s="176"/>
      <c r="Y323" s="176"/>
      <c r="Z323" s="176"/>
      <c r="AA323" s="176"/>
    </row>
    <row r="324">
      <c r="A324" s="165" t="str">
        <f>iferror(VLOOKUP(P324,'DO NOT TOUCH Imported'!$A$1:$D$800,4,False),iferror(VLOOKUP(P324,'DO NOT TOUCH Imported'!$C$1:$D$800,2,False),"OOPS FIX ME"))</f>
        <v>GriffGreen</v>
      </c>
      <c r="B324" s="166" t="s">
        <v>435</v>
      </c>
      <c r="C324" s="167" t="s">
        <v>673</v>
      </c>
      <c r="D324" s="168" t="s">
        <v>437</v>
      </c>
      <c r="E324" s="177" t="s">
        <v>506</v>
      </c>
      <c r="F324" s="168" t="s">
        <v>439</v>
      </c>
      <c r="G324" s="170">
        <v>1000.0</v>
      </c>
      <c r="H324" s="171">
        <v>300.0</v>
      </c>
      <c r="I324" s="171">
        <v>100.0</v>
      </c>
      <c r="J324" s="172">
        <f t="shared" si="13"/>
        <v>0.001361872026</v>
      </c>
      <c r="K324" s="173">
        <f t="shared" si="15"/>
        <v>1.634246431</v>
      </c>
      <c r="L324" s="174">
        <f t="shared" si="9"/>
        <v>8.927063614</v>
      </c>
      <c r="M324" s="175" t="str">
        <f t="shared" si="10"/>
        <v>GriffGreen</v>
      </c>
      <c r="N324" s="176">
        <f>IFERROR(__xludf.DUMMYFUNCTION("""COMPUTED_VALUE"""),7.0)</f>
        <v>7</v>
      </c>
      <c r="O324" s="176"/>
      <c r="P324" s="166" t="s">
        <v>450</v>
      </c>
      <c r="Q324" s="166" t="s">
        <v>435</v>
      </c>
      <c r="R324" s="176"/>
      <c r="S324" s="176"/>
      <c r="T324" s="176"/>
      <c r="U324" s="176"/>
      <c r="V324" s="176"/>
      <c r="W324" s="176"/>
      <c r="X324" s="176"/>
      <c r="Y324" s="176"/>
      <c r="Z324" s="176"/>
      <c r="AA324" s="176"/>
    </row>
    <row r="325">
      <c r="A325" s="165" t="str">
        <f>iferror(VLOOKUP(P325,'DO NOT TOUCH Imported'!$A$1:$D$800,4,False),iferror(VLOOKUP(P325,'DO NOT TOUCH Imported'!$C$1:$D$800,2,False),"OOPS FIX ME"))</f>
        <v>GriffGreen</v>
      </c>
      <c r="B325" s="166" t="s">
        <v>441</v>
      </c>
      <c r="C325" s="167" t="s">
        <v>609</v>
      </c>
      <c r="D325" s="168" t="s">
        <v>437</v>
      </c>
      <c r="E325" s="177" t="s">
        <v>438</v>
      </c>
      <c r="F325" s="168" t="s">
        <v>439</v>
      </c>
      <c r="G325" s="170">
        <v>1000.0</v>
      </c>
      <c r="H325" s="171">
        <v>300.0</v>
      </c>
      <c r="I325" s="171">
        <v>100.0</v>
      </c>
      <c r="J325" s="172">
        <f t="shared" si="13"/>
        <v>0.001361872026</v>
      </c>
      <c r="K325" s="173">
        <f t="shared" si="15"/>
        <v>1.634246431</v>
      </c>
      <c r="L325" s="174">
        <f t="shared" si="9"/>
        <v>8.927063614</v>
      </c>
      <c r="M325" s="175" t="str">
        <f t="shared" si="10"/>
        <v>GriffGreen</v>
      </c>
      <c r="N325" s="176">
        <f>IFERROR(__xludf.DUMMYFUNCTION("""COMPUTED_VALUE"""),8.0)</f>
        <v>8</v>
      </c>
      <c r="O325" s="176"/>
      <c r="P325" s="166" t="s">
        <v>450</v>
      </c>
      <c r="Q325" s="166" t="s">
        <v>441</v>
      </c>
      <c r="R325" s="176"/>
      <c r="S325" s="176"/>
      <c r="T325" s="176"/>
      <c r="U325" s="176"/>
      <c r="V325" s="176"/>
      <c r="W325" s="176"/>
      <c r="X325" s="176"/>
      <c r="Y325" s="176"/>
      <c r="Z325" s="176"/>
      <c r="AA325" s="176"/>
    </row>
    <row r="326">
      <c r="A326" s="165" t="str">
        <f>iferror(VLOOKUP(P326,'DO NOT TOUCH Imported'!$A$1:$D$800,4,False),iferror(VLOOKUP(P326,'DO NOT TOUCH Imported'!$C$1:$D$800,2,False),"OOPS FIX ME"))</f>
        <v>GriffGreen</v>
      </c>
      <c r="B326" s="166" t="s">
        <v>441</v>
      </c>
      <c r="C326" s="167" t="s">
        <v>554</v>
      </c>
      <c r="D326" s="168" t="s">
        <v>437</v>
      </c>
      <c r="E326" s="169" t="s">
        <v>447</v>
      </c>
      <c r="F326" s="168" t="s">
        <v>439</v>
      </c>
      <c r="G326" s="170">
        <v>1000.0</v>
      </c>
      <c r="H326" s="171">
        <v>200.0</v>
      </c>
      <c r="I326" s="171">
        <v>200.0</v>
      </c>
      <c r="J326" s="172">
        <f t="shared" si="13"/>
        <v>0.001342393283</v>
      </c>
      <c r="K326" s="173">
        <f t="shared" si="15"/>
        <v>1.61087194</v>
      </c>
      <c r="L326" s="174">
        <f t="shared" si="9"/>
        <v>8.927063614</v>
      </c>
      <c r="M326" s="175" t="str">
        <f t="shared" si="10"/>
        <v>GriffGreen</v>
      </c>
      <c r="N326" s="176">
        <f>IFERROR(__xludf.DUMMYFUNCTION("""COMPUTED_VALUE"""),9.0)</f>
        <v>9</v>
      </c>
      <c r="O326" s="176"/>
      <c r="P326" s="166" t="s">
        <v>450</v>
      </c>
      <c r="Q326" s="166" t="s">
        <v>441</v>
      </c>
      <c r="R326" s="176"/>
      <c r="S326" s="176"/>
      <c r="T326" s="176"/>
      <c r="U326" s="176"/>
      <c r="V326" s="176"/>
      <c r="W326" s="176"/>
      <c r="X326" s="176"/>
      <c r="Y326" s="176"/>
      <c r="Z326" s="176"/>
      <c r="AA326" s="176"/>
    </row>
    <row r="327">
      <c r="A327" s="165" t="str">
        <f>iferror(VLOOKUP(P327,'DO NOT TOUCH Imported'!$A$1:$D$800,4,False),iferror(VLOOKUP(P327,'DO NOT TOUCH Imported'!$C$1:$D$800,2,False),"OOPS FIX ME"))</f>
        <v>GriffGreen</v>
      </c>
      <c r="B327" s="166" t="s">
        <v>441</v>
      </c>
      <c r="C327" s="167" t="s">
        <v>674</v>
      </c>
      <c r="D327" s="168" t="s">
        <v>437</v>
      </c>
      <c r="E327" s="169" t="s">
        <v>438</v>
      </c>
      <c r="F327" s="168" t="s">
        <v>439</v>
      </c>
      <c r="G327" s="170">
        <v>1000.0</v>
      </c>
      <c r="H327" s="171">
        <v>200.0</v>
      </c>
      <c r="I327" s="171">
        <v>200.0</v>
      </c>
      <c r="J327" s="172">
        <f t="shared" si="13"/>
        <v>0.001342393283</v>
      </c>
      <c r="K327" s="173">
        <f t="shared" si="15"/>
        <v>1.61087194</v>
      </c>
      <c r="L327" s="174">
        <f t="shared" si="9"/>
        <v>8.927063614</v>
      </c>
      <c r="M327" s="175" t="str">
        <f t="shared" si="10"/>
        <v>GriffGreen</v>
      </c>
      <c r="N327" s="176">
        <f>IFERROR(__xludf.DUMMYFUNCTION("""COMPUTED_VALUE"""),10.0)</f>
        <v>10</v>
      </c>
      <c r="O327" s="176"/>
      <c r="P327" s="166" t="s">
        <v>450</v>
      </c>
      <c r="Q327" s="166" t="s">
        <v>441</v>
      </c>
      <c r="R327" s="176"/>
      <c r="S327" s="176"/>
      <c r="T327" s="176"/>
      <c r="U327" s="176"/>
      <c r="V327" s="176"/>
      <c r="W327" s="176"/>
      <c r="X327" s="176"/>
      <c r="Y327" s="176"/>
      <c r="Z327" s="176"/>
      <c r="AA327" s="176"/>
    </row>
    <row r="328">
      <c r="A328" s="165" t="str">
        <f>iferror(VLOOKUP(P328,'DO NOT TOUCH Imported'!$A$1:$D$800,4,False),iferror(VLOOKUP(P328,'DO NOT TOUCH Imported'!$C$1:$D$800,2,False),"OOPS FIX ME"))</f>
        <v>GriffGreen</v>
      </c>
      <c r="B328" s="166" t="s">
        <v>441</v>
      </c>
      <c r="C328" s="167" t="s">
        <v>640</v>
      </c>
      <c r="D328" s="168" t="s">
        <v>437</v>
      </c>
      <c r="E328" s="169" t="s">
        <v>438</v>
      </c>
      <c r="F328" s="168" t="s">
        <v>439</v>
      </c>
      <c r="G328" s="170">
        <v>1000.0</v>
      </c>
      <c r="H328" s="171">
        <v>150.0</v>
      </c>
      <c r="I328" s="171">
        <v>200.0</v>
      </c>
      <c r="J328" s="172">
        <f t="shared" si="13"/>
        <v>0.001182773816</v>
      </c>
      <c r="K328" s="173">
        <f t="shared" si="15"/>
        <v>1.419328579</v>
      </c>
      <c r="L328" s="174">
        <f t="shared" si="9"/>
        <v>8.927063614</v>
      </c>
      <c r="M328" s="175" t="str">
        <f t="shared" si="10"/>
        <v>GriffGreen</v>
      </c>
      <c r="N328" s="209">
        <f>IFERROR(__xludf.DUMMYFUNCTION("""COMPUTED_VALUE"""),11.0)</f>
        <v>11</v>
      </c>
      <c r="O328" s="209"/>
      <c r="P328" s="166" t="s">
        <v>450</v>
      </c>
      <c r="Q328" s="166" t="s">
        <v>441</v>
      </c>
      <c r="R328" s="209"/>
      <c r="S328" s="209"/>
      <c r="T328" s="209"/>
      <c r="U328" s="209"/>
      <c r="V328" s="209"/>
      <c r="W328" s="209"/>
      <c r="X328" s="209"/>
      <c r="Y328" s="209"/>
      <c r="Z328" s="209"/>
      <c r="AA328" s="209"/>
    </row>
    <row r="329">
      <c r="A329" s="165" t="str">
        <f>iferror(VLOOKUP(P329,'DO NOT TOUCH Imported'!$A$1:$D$800,4,False),iferror(VLOOKUP(P329,'DO NOT TOUCH Imported'!$C$1:$D$800,2,False),"OOPS FIX ME"))</f>
        <v>GriffGreen</v>
      </c>
      <c r="B329" s="178" t="s">
        <v>519</v>
      </c>
      <c r="C329" s="179" t="s">
        <v>675</v>
      </c>
      <c r="D329" s="180" t="s">
        <v>495</v>
      </c>
      <c r="E329" s="184">
        <v>44311.0</v>
      </c>
      <c r="F329" s="182" t="s">
        <v>499</v>
      </c>
      <c r="G329" s="170">
        <v>2000.0</v>
      </c>
      <c r="H329" s="171">
        <v>200.0</v>
      </c>
      <c r="I329" s="171">
        <v>100.0</v>
      </c>
      <c r="J329" s="172">
        <f t="shared" si="13"/>
        <v>0.001147028122</v>
      </c>
      <c r="K329" s="173">
        <f t="shared" si="15"/>
        <v>1.376433747</v>
      </c>
      <c r="L329" s="174">
        <f t="shared" si="9"/>
        <v>8.927063614</v>
      </c>
      <c r="M329" s="175" t="str">
        <f t="shared" si="10"/>
        <v>GriffGreen</v>
      </c>
      <c r="N329" s="176">
        <f>IFERROR(__xludf.DUMMYFUNCTION("""COMPUTED_VALUE"""),12.0)</f>
        <v>12</v>
      </c>
      <c r="O329" s="176"/>
      <c r="P329" s="183" t="s">
        <v>16</v>
      </c>
      <c r="Q329" s="178" t="s">
        <v>519</v>
      </c>
      <c r="R329" s="176"/>
      <c r="S329" s="176"/>
      <c r="T329" s="176"/>
      <c r="U329" s="176"/>
      <c r="V329" s="176"/>
      <c r="W329" s="176"/>
      <c r="X329" s="176"/>
      <c r="Y329" s="176"/>
      <c r="Z329" s="176"/>
      <c r="AA329" s="176"/>
    </row>
    <row r="330">
      <c r="A330" s="165" t="str">
        <f>iferror(VLOOKUP(P330,'DO NOT TOUCH Imported'!$A$1:$D$800,4,False),iferror(VLOOKUP(P330,'DO NOT TOUCH Imported'!$C$1:$D$800,2,False),"OOPS FIX ME"))</f>
        <v>GriffGreen</v>
      </c>
      <c r="B330" s="178" t="s">
        <v>10</v>
      </c>
      <c r="C330" s="179" t="s">
        <v>676</v>
      </c>
      <c r="D330" s="180" t="s">
        <v>495</v>
      </c>
      <c r="E330" s="184">
        <v>44316.0</v>
      </c>
      <c r="F330" s="182" t="s">
        <v>496</v>
      </c>
      <c r="G330" s="170">
        <v>2000.0</v>
      </c>
      <c r="H330" s="171">
        <v>200.0</v>
      </c>
      <c r="I330" s="171">
        <v>100.0</v>
      </c>
      <c r="J330" s="172">
        <f t="shared" si="13"/>
        <v>0.001147028122</v>
      </c>
      <c r="K330" s="173">
        <f t="shared" si="15"/>
        <v>1.376433747</v>
      </c>
      <c r="L330" s="174">
        <f t="shared" si="9"/>
        <v>8.927063614</v>
      </c>
      <c r="M330" s="175" t="str">
        <f t="shared" si="10"/>
        <v>GriffGreen</v>
      </c>
      <c r="N330" s="176">
        <f>IFERROR(__xludf.DUMMYFUNCTION("""COMPUTED_VALUE"""),13.0)</f>
        <v>13</v>
      </c>
      <c r="O330" s="176"/>
      <c r="P330" s="183" t="s">
        <v>16</v>
      </c>
      <c r="Q330" s="178" t="s">
        <v>10</v>
      </c>
      <c r="R330" s="176"/>
      <c r="S330" s="176"/>
      <c r="T330" s="176"/>
      <c r="U330" s="176"/>
      <c r="V330" s="176"/>
      <c r="W330" s="176"/>
      <c r="X330" s="176"/>
      <c r="Y330" s="176"/>
      <c r="Z330" s="176"/>
      <c r="AA330" s="176"/>
    </row>
    <row r="331">
      <c r="A331" s="165" t="str">
        <f>iferror(VLOOKUP(P331,'DO NOT TOUCH Imported'!$A$1:$D$800,4,False),iferror(VLOOKUP(P331,'DO NOT TOUCH Imported'!$C$1:$D$800,2,False),"OOPS FIX ME"))</f>
        <v>GriffGreen</v>
      </c>
      <c r="B331" s="166" t="s">
        <v>435</v>
      </c>
      <c r="C331" s="167" t="s">
        <v>677</v>
      </c>
      <c r="D331" s="168" t="s">
        <v>437</v>
      </c>
      <c r="E331" s="177" t="s">
        <v>488</v>
      </c>
      <c r="F331" s="168" t="s">
        <v>473</v>
      </c>
      <c r="G331" s="170">
        <v>1000.0</v>
      </c>
      <c r="H331" s="171">
        <v>200.0</v>
      </c>
      <c r="I331" s="171">
        <v>100.0</v>
      </c>
      <c r="J331" s="172">
        <f t="shared" si="13"/>
        <v>0.001042633091</v>
      </c>
      <c r="K331" s="173">
        <f t="shared" si="15"/>
        <v>1.25115971</v>
      </c>
      <c r="L331" s="174">
        <f t="shared" si="9"/>
        <v>8.927063614</v>
      </c>
      <c r="M331" s="175" t="str">
        <f t="shared" si="10"/>
        <v>GriffGreen</v>
      </c>
      <c r="N331" s="176">
        <f>IFERROR(__xludf.DUMMYFUNCTION("""COMPUTED_VALUE"""),14.0)</f>
        <v>14</v>
      </c>
      <c r="O331" s="176"/>
      <c r="P331" s="166" t="s">
        <v>450</v>
      </c>
      <c r="Q331" s="166" t="s">
        <v>435</v>
      </c>
      <c r="R331" s="176"/>
      <c r="S331" s="176"/>
      <c r="T331" s="176"/>
      <c r="U331" s="176"/>
      <c r="V331" s="176"/>
      <c r="W331" s="176"/>
      <c r="X331" s="176"/>
      <c r="Y331" s="176"/>
      <c r="Z331" s="176"/>
      <c r="AA331" s="176"/>
    </row>
    <row r="332">
      <c r="A332" s="165" t="str">
        <f>iferror(VLOOKUP(P332,'DO NOT TOUCH Imported'!$A$1:$D$800,4,False),iferror(VLOOKUP(P332,'DO NOT TOUCH Imported'!$C$1:$D$800,2,False),"OOPS FIX ME"))</f>
        <v>GriffGreen</v>
      </c>
      <c r="B332" s="166" t="s">
        <v>528</v>
      </c>
      <c r="C332" s="167" t="s">
        <v>600</v>
      </c>
      <c r="D332" s="168" t="s">
        <v>437</v>
      </c>
      <c r="E332" s="169" t="s">
        <v>445</v>
      </c>
      <c r="F332" s="168" t="s">
        <v>439</v>
      </c>
      <c r="G332" s="170">
        <v>1000.0</v>
      </c>
      <c r="H332" s="171">
        <v>200.0</v>
      </c>
      <c r="I332" s="171">
        <v>100.0</v>
      </c>
      <c r="J332" s="172">
        <f t="shared" si="13"/>
        <v>0.001042633091</v>
      </c>
      <c r="K332" s="173">
        <f t="shared" si="15"/>
        <v>1.25115971</v>
      </c>
      <c r="L332" s="174">
        <f t="shared" si="9"/>
        <v>8.927063614</v>
      </c>
      <c r="M332" s="175" t="str">
        <f t="shared" si="10"/>
        <v>GriffGreen</v>
      </c>
      <c r="N332" s="176">
        <f>IFERROR(__xludf.DUMMYFUNCTION("""COMPUTED_VALUE"""),15.0)</f>
        <v>15</v>
      </c>
      <c r="O332" s="176"/>
      <c r="P332" s="166" t="s">
        <v>450</v>
      </c>
      <c r="Q332" s="166" t="s">
        <v>528</v>
      </c>
      <c r="R332" s="176"/>
      <c r="S332" s="176"/>
      <c r="T332" s="176"/>
      <c r="U332" s="176"/>
      <c r="V332" s="176"/>
      <c r="W332" s="176"/>
      <c r="X332" s="176"/>
      <c r="Y332" s="176"/>
      <c r="Z332" s="176"/>
      <c r="AA332" s="176"/>
    </row>
    <row r="333">
      <c r="A333" s="165" t="str">
        <f>iferror(VLOOKUP(P333,'DO NOT TOUCH Imported'!$A$1:$D$800,4,False),iferror(VLOOKUP(P333,'DO NOT TOUCH Imported'!$C$1:$D$800,2,False),"OOPS FIX ME"))</f>
        <v>GriffGreen</v>
      </c>
      <c r="B333" s="166" t="s">
        <v>441</v>
      </c>
      <c r="C333" s="167" t="s">
        <v>678</v>
      </c>
      <c r="D333" s="168" t="s">
        <v>437</v>
      </c>
      <c r="E333" s="169" t="s">
        <v>447</v>
      </c>
      <c r="F333" s="168" t="s">
        <v>439</v>
      </c>
      <c r="G333" s="170">
        <v>1000.0</v>
      </c>
      <c r="H333" s="171">
        <v>200.0</v>
      </c>
      <c r="I333" s="171">
        <v>100.0</v>
      </c>
      <c r="J333" s="172">
        <f t="shared" si="13"/>
        <v>0.001042633091</v>
      </c>
      <c r="K333" s="173">
        <f t="shared" si="15"/>
        <v>1.25115971</v>
      </c>
      <c r="L333" s="174">
        <f t="shared" si="9"/>
        <v>8.927063614</v>
      </c>
      <c r="M333" s="175" t="str">
        <f t="shared" si="10"/>
        <v>GriffGreen</v>
      </c>
      <c r="N333" s="176">
        <f>IFERROR(__xludf.DUMMYFUNCTION("""COMPUTED_VALUE"""),16.0)</f>
        <v>16</v>
      </c>
      <c r="O333" s="176"/>
      <c r="P333" s="166" t="s">
        <v>450</v>
      </c>
      <c r="Q333" s="166" t="s">
        <v>441</v>
      </c>
      <c r="R333" s="176"/>
      <c r="S333" s="176"/>
      <c r="T333" s="176"/>
      <c r="U333" s="176"/>
      <c r="V333" s="176"/>
      <c r="W333" s="176"/>
      <c r="X333" s="176"/>
      <c r="Y333" s="176"/>
      <c r="Z333" s="176"/>
      <c r="AA333" s="176"/>
    </row>
    <row r="334">
      <c r="A334" s="165" t="str">
        <f>iferror(VLOOKUP(P334,'DO NOT TOUCH Imported'!$A$1:$D$800,4,False),iferror(VLOOKUP(P334,'DO NOT TOUCH Imported'!$C$1:$D$800,2,False),"OOPS FIX ME"))</f>
        <v>GriffGreen</v>
      </c>
      <c r="B334" s="166" t="s">
        <v>441</v>
      </c>
      <c r="C334" s="167" t="s">
        <v>679</v>
      </c>
      <c r="D334" s="168" t="s">
        <v>437</v>
      </c>
      <c r="E334" s="177" t="s">
        <v>447</v>
      </c>
      <c r="F334" s="168" t="s">
        <v>439</v>
      </c>
      <c r="G334" s="170">
        <v>1000.0</v>
      </c>
      <c r="H334" s="171">
        <v>200.0</v>
      </c>
      <c r="I334" s="171">
        <v>100.0</v>
      </c>
      <c r="J334" s="172">
        <f t="shared" si="13"/>
        <v>0.001042633091</v>
      </c>
      <c r="K334" s="173">
        <f t="shared" si="15"/>
        <v>1.25115971</v>
      </c>
      <c r="L334" s="174">
        <f t="shared" si="9"/>
        <v>8.927063614</v>
      </c>
      <c r="M334" s="175" t="str">
        <f t="shared" si="10"/>
        <v>GriffGreen</v>
      </c>
      <c r="N334" s="176">
        <f>IFERROR(__xludf.DUMMYFUNCTION("""COMPUTED_VALUE"""),17.0)</f>
        <v>17</v>
      </c>
      <c r="O334" s="176"/>
      <c r="P334" s="166" t="s">
        <v>450</v>
      </c>
      <c r="Q334" s="166" t="s">
        <v>441</v>
      </c>
      <c r="R334" s="176"/>
      <c r="S334" s="176"/>
      <c r="T334" s="176"/>
      <c r="U334" s="176"/>
      <c r="V334" s="176"/>
      <c r="W334" s="176"/>
      <c r="X334" s="176"/>
      <c r="Y334" s="176"/>
      <c r="Z334" s="176"/>
      <c r="AA334" s="176"/>
    </row>
    <row r="335">
      <c r="A335" s="165" t="str">
        <f>iferror(VLOOKUP(P335,'DO NOT TOUCH Imported'!$A$1:$D$800,4,False),iferror(VLOOKUP(P335,'DO NOT TOUCH Imported'!$C$1:$D$800,2,False),"OOPS FIX ME"))</f>
        <v>GriffGreen</v>
      </c>
      <c r="B335" s="166" t="s">
        <v>441</v>
      </c>
      <c r="C335" s="167" t="s">
        <v>580</v>
      </c>
      <c r="D335" s="168" t="s">
        <v>437</v>
      </c>
      <c r="E335" s="177" t="s">
        <v>447</v>
      </c>
      <c r="F335" s="168" t="s">
        <v>439</v>
      </c>
      <c r="G335" s="170">
        <v>1000.0</v>
      </c>
      <c r="H335" s="171">
        <v>200.0</v>
      </c>
      <c r="I335" s="171">
        <v>100.0</v>
      </c>
      <c r="J335" s="172">
        <f t="shared" si="13"/>
        <v>0.001042633091</v>
      </c>
      <c r="K335" s="173">
        <f t="shared" si="15"/>
        <v>1.25115971</v>
      </c>
      <c r="L335" s="174">
        <f t="shared" si="9"/>
        <v>8.927063614</v>
      </c>
      <c r="M335" s="175" t="str">
        <f t="shared" si="10"/>
        <v>GriffGreen</v>
      </c>
      <c r="N335" s="176">
        <f>IFERROR(__xludf.DUMMYFUNCTION("""COMPUTED_VALUE"""),18.0)</f>
        <v>18</v>
      </c>
      <c r="O335" s="176"/>
      <c r="P335" s="166" t="s">
        <v>450</v>
      </c>
      <c r="Q335" s="166" t="s">
        <v>441</v>
      </c>
      <c r="R335" s="176"/>
      <c r="S335" s="176"/>
      <c r="T335" s="176"/>
      <c r="U335" s="176"/>
      <c r="V335" s="176"/>
      <c r="W335" s="176"/>
      <c r="X335" s="176"/>
      <c r="Y335" s="176"/>
      <c r="Z335" s="176"/>
      <c r="AA335" s="176"/>
    </row>
    <row r="336">
      <c r="A336" s="165" t="str">
        <f>iferror(VLOOKUP(P336,'DO NOT TOUCH Imported'!$A$1:$D$800,4,False),iferror(VLOOKUP(P336,'DO NOT TOUCH Imported'!$C$1:$D$800,2,False),"OOPS FIX ME"))</f>
        <v>GriffGreen</v>
      </c>
      <c r="B336" s="166" t="s">
        <v>441</v>
      </c>
      <c r="C336" s="167" t="s">
        <v>468</v>
      </c>
      <c r="D336" s="168" t="s">
        <v>437</v>
      </c>
      <c r="E336" s="169" t="s">
        <v>447</v>
      </c>
      <c r="F336" s="168" t="s">
        <v>439</v>
      </c>
      <c r="G336" s="170">
        <v>1000.0</v>
      </c>
      <c r="H336" s="171">
        <v>200.0</v>
      </c>
      <c r="I336" s="171">
        <v>100.0</v>
      </c>
      <c r="J336" s="172">
        <f t="shared" si="13"/>
        <v>0.001042633091</v>
      </c>
      <c r="K336" s="173">
        <f t="shared" si="15"/>
        <v>1.25115971</v>
      </c>
      <c r="L336" s="174">
        <f t="shared" si="9"/>
        <v>8.927063614</v>
      </c>
      <c r="M336" s="175" t="str">
        <f t="shared" si="10"/>
        <v>GriffGreen</v>
      </c>
      <c r="N336" s="176">
        <f>IFERROR(__xludf.DUMMYFUNCTION("""COMPUTED_VALUE"""),19.0)</f>
        <v>19</v>
      </c>
      <c r="O336" s="176"/>
      <c r="P336" s="166" t="s">
        <v>450</v>
      </c>
      <c r="Q336" s="166" t="s">
        <v>441</v>
      </c>
      <c r="R336" s="176"/>
      <c r="S336" s="176"/>
      <c r="T336" s="176"/>
      <c r="U336" s="176"/>
      <c r="V336" s="176"/>
      <c r="W336" s="176"/>
      <c r="X336" s="176"/>
      <c r="Y336" s="176"/>
      <c r="Z336" s="176"/>
      <c r="AA336" s="176"/>
    </row>
    <row r="337">
      <c r="A337" s="165" t="str">
        <f>iferror(VLOOKUP(P337,'DO NOT TOUCH Imported'!$A$1:$D$800,4,False),iferror(VLOOKUP(P337,'DO NOT TOUCH Imported'!$C$1:$D$800,2,False),"OOPS FIX ME"))</f>
        <v>GriffGreen</v>
      </c>
      <c r="B337" s="166" t="s">
        <v>441</v>
      </c>
      <c r="C337" s="167" t="s">
        <v>680</v>
      </c>
      <c r="D337" s="168" t="s">
        <v>437</v>
      </c>
      <c r="E337" s="177" t="s">
        <v>447</v>
      </c>
      <c r="F337" s="168" t="s">
        <v>439</v>
      </c>
      <c r="G337" s="170">
        <v>1000.0</v>
      </c>
      <c r="H337" s="171">
        <v>200.0</v>
      </c>
      <c r="I337" s="171">
        <v>100.0</v>
      </c>
      <c r="J337" s="172">
        <f t="shared" si="13"/>
        <v>0.001042633091</v>
      </c>
      <c r="K337" s="173">
        <f t="shared" si="15"/>
        <v>1.25115971</v>
      </c>
      <c r="L337" s="174">
        <f t="shared" si="9"/>
        <v>8.927063614</v>
      </c>
      <c r="M337" s="175" t="str">
        <f t="shared" si="10"/>
        <v>GriffGreen</v>
      </c>
      <c r="N337" s="176">
        <f>IFERROR(__xludf.DUMMYFUNCTION("""COMPUTED_VALUE"""),20.0)</f>
        <v>20</v>
      </c>
      <c r="O337" s="176"/>
      <c r="P337" s="166" t="s">
        <v>450</v>
      </c>
      <c r="Q337" s="166" t="s">
        <v>441</v>
      </c>
      <c r="R337" s="176"/>
      <c r="S337" s="176"/>
      <c r="T337" s="176"/>
      <c r="U337" s="176"/>
      <c r="V337" s="176"/>
      <c r="W337" s="176"/>
      <c r="X337" s="176"/>
      <c r="Y337" s="176"/>
      <c r="Z337" s="176"/>
      <c r="AA337" s="176"/>
    </row>
    <row r="338">
      <c r="A338" s="165" t="str">
        <f>iferror(VLOOKUP(P338,'DO NOT TOUCH Imported'!$A$1:$D$800,4,False),iferror(VLOOKUP(P338,'DO NOT TOUCH Imported'!$C$1:$D$800,2,False),"OOPS FIX ME"))</f>
        <v>GriffGreen</v>
      </c>
      <c r="B338" s="166" t="s">
        <v>441</v>
      </c>
      <c r="C338" s="167" t="s">
        <v>681</v>
      </c>
      <c r="D338" s="168" t="s">
        <v>437</v>
      </c>
      <c r="E338" s="169" t="s">
        <v>447</v>
      </c>
      <c r="F338" s="168" t="s">
        <v>439</v>
      </c>
      <c r="G338" s="170">
        <v>1000.0</v>
      </c>
      <c r="H338" s="171">
        <v>200.0</v>
      </c>
      <c r="I338" s="171">
        <v>100.0</v>
      </c>
      <c r="J338" s="172">
        <f t="shared" si="13"/>
        <v>0.001042633091</v>
      </c>
      <c r="K338" s="173">
        <f t="shared" si="15"/>
        <v>1.25115971</v>
      </c>
      <c r="L338" s="174">
        <f t="shared" si="9"/>
        <v>8.927063614</v>
      </c>
      <c r="M338" s="175" t="str">
        <f t="shared" si="10"/>
        <v>GriffGreen</v>
      </c>
      <c r="N338" s="176">
        <f>IFERROR(__xludf.DUMMYFUNCTION("""COMPUTED_VALUE"""),21.0)</f>
        <v>21</v>
      </c>
      <c r="O338" s="176"/>
      <c r="P338" s="166" t="s">
        <v>450</v>
      </c>
      <c r="Q338" s="166" t="s">
        <v>441</v>
      </c>
      <c r="R338" s="176"/>
      <c r="S338" s="176"/>
      <c r="T338" s="176"/>
      <c r="U338" s="176"/>
      <c r="V338" s="176"/>
      <c r="W338" s="176"/>
      <c r="X338" s="176"/>
      <c r="Y338" s="176"/>
      <c r="Z338" s="176"/>
      <c r="AA338" s="176"/>
    </row>
    <row r="339">
      <c r="A339" s="165" t="str">
        <f>iferror(VLOOKUP(P339,'DO NOT TOUCH Imported'!$A$1:$D$800,4,False),iferror(VLOOKUP(P339,'DO NOT TOUCH Imported'!$C$1:$D$800,2,False),"OOPS FIX ME"))</f>
        <v>GriffGreen</v>
      </c>
      <c r="B339" s="166" t="s">
        <v>441</v>
      </c>
      <c r="C339" s="167" t="s">
        <v>682</v>
      </c>
      <c r="D339" s="168" t="s">
        <v>437</v>
      </c>
      <c r="E339" s="169" t="s">
        <v>447</v>
      </c>
      <c r="F339" s="168" t="s">
        <v>439</v>
      </c>
      <c r="G339" s="170">
        <v>1000.0</v>
      </c>
      <c r="H339" s="171">
        <v>200.0</v>
      </c>
      <c r="I339" s="171">
        <v>100.0</v>
      </c>
      <c r="J339" s="172">
        <f t="shared" si="13"/>
        <v>0.001042633091</v>
      </c>
      <c r="K339" s="173">
        <f t="shared" si="15"/>
        <v>1.25115971</v>
      </c>
      <c r="L339" s="174">
        <f t="shared" si="9"/>
        <v>8.927063614</v>
      </c>
      <c r="M339" s="175" t="str">
        <f t="shared" si="10"/>
        <v>GriffGreen</v>
      </c>
      <c r="N339" s="176">
        <f>IFERROR(__xludf.DUMMYFUNCTION("""COMPUTED_VALUE"""),22.0)</f>
        <v>22</v>
      </c>
      <c r="O339" s="176"/>
      <c r="P339" s="166" t="s">
        <v>450</v>
      </c>
      <c r="Q339" s="166" t="s">
        <v>441</v>
      </c>
      <c r="R339" s="176"/>
      <c r="S339" s="176"/>
      <c r="T339" s="176"/>
      <c r="U339" s="176"/>
      <c r="V339" s="176"/>
      <c r="W339" s="176"/>
      <c r="X339" s="176"/>
      <c r="Y339" s="176"/>
      <c r="Z339" s="176"/>
      <c r="AA339" s="176"/>
    </row>
    <row r="340">
      <c r="A340" s="165" t="str">
        <f>iferror(VLOOKUP(P340,'DO NOT TOUCH Imported'!$A$1:$D$800,4,False),iferror(VLOOKUP(P340,'DO NOT TOUCH Imported'!$C$1:$D$800,2,False),"OOPS FIX ME"))</f>
        <v>GriffGreen</v>
      </c>
      <c r="B340" s="166" t="s">
        <v>441</v>
      </c>
      <c r="C340" s="167" t="s">
        <v>481</v>
      </c>
      <c r="D340" s="168" t="s">
        <v>437</v>
      </c>
      <c r="E340" s="169" t="s">
        <v>447</v>
      </c>
      <c r="F340" s="168" t="s">
        <v>439</v>
      </c>
      <c r="G340" s="170">
        <v>1000.0</v>
      </c>
      <c r="H340" s="171">
        <v>200.0</v>
      </c>
      <c r="I340" s="171">
        <v>100.0</v>
      </c>
      <c r="J340" s="172">
        <f t="shared" si="13"/>
        <v>0.001042633091</v>
      </c>
      <c r="K340" s="173">
        <f t="shared" si="15"/>
        <v>1.25115971</v>
      </c>
      <c r="L340" s="174">
        <f t="shared" si="9"/>
        <v>8.927063614</v>
      </c>
      <c r="M340" s="175" t="str">
        <f t="shared" si="10"/>
        <v>GriffGreen</v>
      </c>
      <c r="N340" s="176">
        <f>IFERROR(__xludf.DUMMYFUNCTION("""COMPUTED_VALUE"""),23.0)</f>
        <v>23</v>
      </c>
      <c r="O340" s="176"/>
      <c r="P340" s="166" t="s">
        <v>450</v>
      </c>
      <c r="Q340" s="166" t="s">
        <v>441</v>
      </c>
      <c r="R340" s="176"/>
      <c r="S340" s="176"/>
      <c r="T340" s="176"/>
      <c r="U340" s="176"/>
      <c r="V340" s="176"/>
      <c r="W340" s="176"/>
      <c r="X340" s="176"/>
      <c r="Y340" s="176"/>
      <c r="Z340" s="176"/>
      <c r="AA340" s="176"/>
    </row>
    <row r="341">
      <c r="A341" s="165" t="str">
        <f>iferror(VLOOKUP(P341,'DO NOT TOUCH Imported'!$A$1:$D$800,4,False),iferror(VLOOKUP(P341,'DO NOT TOUCH Imported'!$C$1:$D$800,2,False),"OOPS FIX ME"))</f>
        <v>GriffGreen</v>
      </c>
      <c r="B341" s="166" t="s">
        <v>240</v>
      </c>
      <c r="C341" s="167" t="s">
        <v>683</v>
      </c>
      <c r="D341" s="168" t="s">
        <v>499</v>
      </c>
      <c r="E341" s="169" t="s">
        <v>506</v>
      </c>
      <c r="F341" s="168" t="s">
        <v>503</v>
      </c>
      <c r="G341" s="170">
        <v>1000.0</v>
      </c>
      <c r="H341" s="171">
        <v>200.0</v>
      </c>
      <c r="I341" s="171">
        <v>100.0</v>
      </c>
      <c r="J341" s="172">
        <f t="shared" si="13"/>
        <v>0.001042633091</v>
      </c>
      <c r="K341" s="173">
        <f t="shared" si="15"/>
        <v>1.25115971</v>
      </c>
      <c r="L341" s="174">
        <f t="shared" si="9"/>
        <v>8.927063614</v>
      </c>
      <c r="M341" s="175" t="str">
        <f t="shared" si="10"/>
        <v>GriffGreen</v>
      </c>
      <c r="N341" s="176">
        <f>IFERROR(__xludf.DUMMYFUNCTION("""COMPUTED_VALUE"""),24.0)</f>
        <v>24</v>
      </c>
      <c r="O341" s="176"/>
      <c r="P341" s="166" t="s">
        <v>450</v>
      </c>
      <c r="Q341" s="166" t="s">
        <v>240</v>
      </c>
      <c r="R341" s="176"/>
      <c r="S341" s="176"/>
      <c r="T341" s="176"/>
      <c r="U341" s="176"/>
      <c r="V341" s="176"/>
      <c r="W341" s="176"/>
      <c r="X341" s="176"/>
      <c r="Y341" s="176"/>
      <c r="Z341" s="176"/>
      <c r="AA341" s="176"/>
    </row>
    <row r="342">
      <c r="A342" s="165" t="str">
        <f>iferror(VLOOKUP(P342,'DO NOT TOUCH Imported'!$A$1:$D$800,4,False),iferror(VLOOKUP(P342,'DO NOT TOUCH Imported'!$C$1:$D$800,2,False),"OOPS FIX ME"))</f>
        <v>GriffGreen</v>
      </c>
      <c r="B342" s="166" t="s">
        <v>441</v>
      </c>
      <c r="C342" s="167" t="s">
        <v>456</v>
      </c>
      <c r="D342" s="168" t="s">
        <v>437</v>
      </c>
      <c r="E342" s="169" t="s">
        <v>438</v>
      </c>
      <c r="F342" s="168" t="s">
        <v>439</v>
      </c>
      <c r="G342" s="170">
        <v>1000.0</v>
      </c>
      <c r="H342" s="171">
        <v>100.0</v>
      </c>
      <c r="I342" s="171">
        <v>200.0</v>
      </c>
      <c r="J342" s="172">
        <f t="shared" si="13"/>
        <v>0.001023154349</v>
      </c>
      <c r="K342" s="173">
        <f t="shared" si="15"/>
        <v>1.227785219</v>
      </c>
      <c r="L342" s="174">
        <f t="shared" si="9"/>
        <v>8.927063614</v>
      </c>
      <c r="M342" s="175" t="str">
        <f t="shared" si="10"/>
        <v>GriffGreen</v>
      </c>
      <c r="N342" s="176">
        <f>IFERROR(__xludf.DUMMYFUNCTION("""COMPUTED_VALUE"""),25.0)</f>
        <v>25</v>
      </c>
      <c r="O342" s="176"/>
      <c r="P342" s="166" t="s">
        <v>450</v>
      </c>
      <c r="Q342" s="166" t="s">
        <v>441</v>
      </c>
      <c r="R342" s="176"/>
      <c r="S342" s="176"/>
      <c r="T342" s="176"/>
      <c r="U342" s="176"/>
      <c r="V342" s="176"/>
      <c r="W342" s="176"/>
      <c r="X342" s="176"/>
      <c r="Y342" s="176"/>
      <c r="Z342" s="176"/>
      <c r="AA342" s="176"/>
    </row>
    <row r="343">
      <c r="A343" s="165" t="str">
        <f>iferror(VLOOKUP(P343,'DO NOT TOUCH Imported'!$A$1:$D$800,4,False),iferror(VLOOKUP(P343,'DO NOT TOUCH Imported'!$C$1:$D$800,2,False),"OOPS FIX ME"))</f>
        <v>GriffGreen</v>
      </c>
      <c r="B343" s="166" t="s">
        <v>435</v>
      </c>
      <c r="C343" s="167" t="s">
        <v>465</v>
      </c>
      <c r="D343" s="168" t="s">
        <v>437</v>
      </c>
      <c r="E343" s="177" t="s">
        <v>445</v>
      </c>
      <c r="F343" s="168" t="s">
        <v>439</v>
      </c>
      <c r="G343" s="170">
        <v>1000.0</v>
      </c>
      <c r="H343" s="171">
        <v>100.0</v>
      </c>
      <c r="I343" s="171">
        <v>100.0</v>
      </c>
      <c r="J343" s="172">
        <f t="shared" si="13"/>
        <v>0.000723394157</v>
      </c>
      <c r="K343" s="173">
        <f t="shared" si="15"/>
        <v>0.8680729884</v>
      </c>
      <c r="L343" s="174">
        <f t="shared" si="9"/>
        <v>8.927063614</v>
      </c>
      <c r="M343" s="175" t="str">
        <f t="shared" si="10"/>
        <v>GriffGreen</v>
      </c>
      <c r="N343" s="176">
        <f>IFERROR(__xludf.DUMMYFUNCTION("""COMPUTED_VALUE"""),26.0)</f>
        <v>26</v>
      </c>
      <c r="O343" s="176"/>
      <c r="P343" s="166" t="s">
        <v>450</v>
      </c>
      <c r="Q343" s="166" t="s">
        <v>435</v>
      </c>
      <c r="R343" s="176"/>
      <c r="S343" s="176"/>
      <c r="T343" s="176"/>
      <c r="U343" s="176"/>
      <c r="V343" s="176"/>
      <c r="W343" s="176"/>
      <c r="X343" s="176"/>
      <c r="Y343" s="176"/>
      <c r="Z343" s="176"/>
      <c r="AA343" s="176"/>
    </row>
    <row r="344">
      <c r="A344" s="165" t="str">
        <f>iferror(VLOOKUP(P344,'DO NOT TOUCH Imported'!$A$1:$D$800,4,False),iferror(VLOOKUP(P344,'DO NOT TOUCH Imported'!$C$1:$D$800,2,False),"OOPS FIX ME"))</f>
        <v>GriffGreen</v>
      </c>
      <c r="B344" s="166" t="s">
        <v>490</v>
      </c>
      <c r="C344" s="167" t="s">
        <v>539</v>
      </c>
      <c r="D344" s="168" t="s">
        <v>437</v>
      </c>
      <c r="E344" s="177" t="s">
        <v>540</v>
      </c>
      <c r="F344" s="168" t="s">
        <v>439</v>
      </c>
      <c r="G344" s="170">
        <v>1000.0</v>
      </c>
      <c r="H344" s="171">
        <v>100.0</v>
      </c>
      <c r="I344" s="171">
        <v>100.0</v>
      </c>
      <c r="J344" s="172">
        <f t="shared" si="13"/>
        <v>0.000723394157</v>
      </c>
      <c r="K344" s="173">
        <f t="shared" si="15"/>
        <v>0.8680729884</v>
      </c>
      <c r="L344" s="174">
        <f t="shared" si="9"/>
        <v>8.927063614</v>
      </c>
      <c r="M344" s="175" t="str">
        <f t="shared" si="10"/>
        <v>GriffGreen</v>
      </c>
      <c r="N344" s="176">
        <f>IFERROR(__xludf.DUMMYFUNCTION("""COMPUTED_VALUE"""),27.0)</f>
        <v>27</v>
      </c>
      <c r="O344" s="176"/>
      <c r="P344" s="166" t="s">
        <v>450</v>
      </c>
      <c r="Q344" s="166" t="s">
        <v>490</v>
      </c>
      <c r="R344" s="176"/>
      <c r="S344" s="176"/>
      <c r="T344" s="176"/>
      <c r="U344" s="176"/>
      <c r="V344" s="176"/>
      <c r="W344" s="176"/>
      <c r="X344" s="176"/>
      <c r="Y344" s="176"/>
      <c r="Z344" s="176"/>
      <c r="AA344" s="176"/>
    </row>
    <row r="345">
      <c r="A345" s="165" t="str">
        <f>iferror(VLOOKUP(P345,'DO NOT TOUCH Imported'!$A$1:$D$800,4,False),iferror(VLOOKUP(P345,'DO NOT TOUCH Imported'!$C$1:$D$800,2,False),"OOPS FIX ME"))</f>
        <v>GriffGreen</v>
      </c>
      <c r="B345" s="166" t="s">
        <v>440</v>
      </c>
      <c r="C345" s="167" t="s">
        <v>471</v>
      </c>
      <c r="D345" s="168" t="s">
        <v>437</v>
      </c>
      <c r="E345" s="169" t="s">
        <v>447</v>
      </c>
      <c r="F345" s="168" t="s">
        <v>439</v>
      </c>
      <c r="G345" s="170">
        <v>1000.0</v>
      </c>
      <c r="H345" s="171">
        <v>100.0</v>
      </c>
      <c r="I345" s="171">
        <v>100.0</v>
      </c>
      <c r="J345" s="172">
        <f t="shared" si="13"/>
        <v>0.000723394157</v>
      </c>
      <c r="K345" s="173">
        <f t="shared" si="15"/>
        <v>0.8680729884</v>
      </c>
      <c r="L345" s="174">
        <f t="shared" si="9"/>
        <v>8.927063614</v>
      </c>
      <c r="M345" s="175" t="str">
        <f t="shared" si="10"/>
        <v>GriffGreen</v>
      </c>
      <c r="N345" s="176">
        <f>IFERROR(__xludf.DUMMYFUNCTION("""COMPUTED_VALUE"""),28.0)</f>
        <v>28</v>
      </c>
      <c r="O345" s="176"/>
      <c r="P345" s="166" t="s">
        <v>450</v>
      </c>
      <c r="Q345" s="166" t="s">
        <v>440</v>
      </c>
      <c r="R345" s="176"/>
      <c r="S345" s="176"/>
      <c r="T345" s="176"/>
      <c r="U345" s="176"/>
      <c r="V345" s="176"/>
      <c r="W345" s="176"/>
      <c r="X345" s="176"/>
      <c r="Y345" s="176"/>
      <c r="Z345" s="176"/>
      <c r="AA345" s="176"/>
    </row>
    <row r="346">
      <c r="A346" s="165" t="str">
        <f>iferror(VLOOKUP(P346,'DO NOT TOUCH Imported'!$A$1:$D$800,4,False),iferror(VLOOKUP(P346,'DO NOT TOUCH Imported'!$C$1:$D$800,2,False),"OOPS FIX ME"))</f>
        <v>GriffGreen</v>
      </c>
      <c r="B346" s="166" t="s">
        <v>530</v>
      </c>
      <c r="C346" s="167" t="s">
        <v>531</v>
      </c>
      <c r="D346" s="168" t="s">
        <v>499</v>
      </c>
      <c r="E346" s="177" t="s">
        <v>452</v>
      </c>
      <c r="F346" s="168" t="s">
        <v>503</v>
      </c>
      <c r="G346" s="170">
        <v>1000.0</v>
      </c>
      <c r="H346" s="171">
        <v>100.0</v>
      </c>
      <c r="I346" s="171">
        <v>100.0</v>
      </c>
      <c r="J346" s="172">
        <f t="shared" si="13"/>
        <v>0.000723394157</v>
      </c>
      <c r="K346" s="173">
        <f t="shared" si="15"/>
        <v>0.8680729884</v>
      </c>
      <c r="L346" s="174">
        <f t="shared" si="9"/>
        <v>8.927063614</v>
      </c>
      <c r="M346" s="175" t="str">
        <f t="shared" si="10"/>
        <v>GriffGreen</v>
      </c>
      <c r="N346" s="176">
        <f>IFERROR(__xludf.DUMMYFUNCTION("""COMPUTED_VALUE"""),29.0)</f>
        <v>29</v>
      </c>
      <c r="O346" s="176"/>
      <c r="P346" s="166" t="s">
        <v>450</v>
      </c>
      <c r="Q346" s="166" t="s">
        <v>530</v>
      </c>
      <c r="R346" s="176"/>
      <c r="S346" s="176"/>
      <c r="T346" s="176"/>
      <c r="U346" s="176"/>
      <c r="V346" s="176"/>
      <c r="W346" s="176"/>
      <c r="X346" s="176"/>
      <c r="Y346" s="176"/>
      <c r="Z346" s="176"/>
      <c r="AA346" s="176"/>
    </row>
    <row r="347">
      <c r="A347" s="165" t="str">
        <f>iferror(VLOOKUP(P347,'DO NOT TOUCH Imported'!$A$1:$D$800,4,False),iferror(VLOOKUP(P347,'DO NOT TOUCH Imported'!$C$1:$D$800,2,False),"OOPS FIX ME"))</f>
        <v>GriffGreen</v>
      </c>
      <c r="B347" s="166" t="s">
        <v>450</v>
      </c>
      <c r="C347" s="167" t="s">
        <v>472</v>
      </c>
      <c r="D347" s="168" t="s">
        <v>437</v>
      </c>
      <c r="E347" s="169" t="s">
        <v>452</v>
      </c>
      <c r="F347" s="168" t="s">
        <v>473</v>
      </c>
      <c r="G347" s="170">
        <v>1000.0</v>
      </c>
      <c r="H347" s="171">
        <v>100.0</v>
      </c>
      <c r="I347" s="171">
        <v>100.0</v>
      </c>
      <c r="J347" s="172">
        <f t="shared" si="13"/>
        <v>0.000723394157</v>
      </c>
      <c r="K347" s="173">
        <f t="shared" si="15"/>
        <v>0.8680729884</v>
      </c>
      <c r="L347" s="174">
        <f t="shared" si="9"/>
        <v>8.927063614</v>
      </c>
      <c r="M347" s="175" t="str">
        <f t="shared" si="10"/>
        <v>GriffGreen</v>
      </c>
      <c r="N347" s="176">
        <f>IFERROR(__xludf.DUMMYFUNCTION("""COMPUTED_VALUE"""),30.0)</f>
        <v>30</v>
      </c>
      <c r="O347" s="176"/>
      <c r="P347" s="166" t="s">
        <v>450</v>
      </c>
      <c r="Q347" s="166" t="s">
        <v>450</v>
      </c>
      <c r="R347" s="176"/>
      <c r="S347" s="176"/>
      <c r="T347" s="176"/>
      <c r="U347" s="176"/>
      <c r="V347" s="176"/>
      <c r="W347" s="176"/>
      <c r="X347" s="176"/>
      <c r="Y347" s="176"/>
      <c r="Z347" s="176"/>
      <c r="AA347" s="176"/>
    </row>
    <row r="348">
      <c r="A348" s="165" t="str">
        <f>iferror(VLOOKUP(P348,'DO NOT TOUCH Imported'!$A$1:$D$800,4,False),iferror(VLOOKUP(P348,'DO NOT TOUCH Imported'!$C$1:$D$800,2,False),"OOPS FIX ME"))</f>
        <v>GriffGreen</v>
      </c>
      <c r="B348" s="166" t="s">
        <v>441</v>
      </c>
      <c r="C348" s="167" t="s">
        <v>533</v>
      </c>
      <c r="D348" s="168" t="s">
        <v>437</v>
      </c>
      <c r="E348" s="169" t="s">
        <v>438</v>
      </c>
      <c r="F348" s="168" t="s">
        <v>439</v>
      </c>
      <c r="G348" s="170">
        <v>1000.0</v>
      </c>
      <c r="H348" s="171">
        <v>100.0</v>
      </c>
      <c r="I348" s="171">
        <v>100.0</v>
      </c>
      <c r="J348" s="172">
        <f t="shared" si="13"/>
        <v>0.000723394157</v>
      </c>
      <c r="K348" s="173">
        <f t="shared" si="15"/>
        <v>0.8680729884</v>
      </c>
      <c r="L348" s="174">
        <f t="shared" si="9"/>
        <v>8.927063614</v>
      </c>
      <c r="M348" s="175" t="str">
        <f t="shared" si="10"/>
        <v>GriffGreen</v>
      </c>
      <c r="N348" s="176">
        <f>IFERROR(__xludf.DUMMYFUNCTION("""COMPUTED_VALUE"""),31.0)</f>
        <v>31</v>
      </c>
      <c r="O348" s="176"/>
      <c r="P348" s="166" t="s">
        <v>450</v>
      </c>
      <c r="Q348" s="166" t="s">
        <v>441</v>
      </c>
      <c r="R348" s="176"/>
      <c r="S348" s="176"/>
      <c r="T348" s="176"/>
      <c r="U348" s="176"/>
      <c r="V348" s="176"/>
      <c r="W348" s="176"/>
      <c r="X348" s="176"/>
      <c r="Y348" s="176"/>
      <c r="Z348" s="176"/>
      <c r="AA348" s="176"/>
    </row>
    <row r="349">
      <c r="A349" s="165" t="str">
        <f>iferror(VLOOKUP(P349,'DO NOT TOUCH Imported'!$A$1:$D$800,4,False),iferror(VLOOKUP(P349,'DO NOT TOUCH Imported'!$C$1:$D$800,2,False),"OOPS FIX ME"))</f>
        <v>GriffGreen</v>
      </c>
      <c r="B349" s="166" t="s">
        <v>441</v>
      </c>
      <c r="C349" s="167" t="s">
        <v>548</v>
      </c>
      <c r="D349" s="168" t="s">
        <v>437</v>
      </c>
      <c r="E349" s="169" t="s">
        <v>438</v>
      </c>
      <c r="F349" s="168" t="s">
        <v>439</v>
      </c>
      <c r="G349" s="170">
        <v>1000.0</v>
      </c>
      <c r="H349" s="171">
        <v>100.0</v>
      </c>
      <c r="I349" s="171">
        <v>100.0</v>
      </c>
      <c r="J349" s="172">
        <f t="shared" si="13"/>
        <v>0.000723394157</v>
      </c>
      <c r="K349" s="173">
        <f t="shared" si="15"/>
        <v>0.8680729884</v>
      </c>
      <c r="L349" s="174">
        <f t="shared" si="9"/>
        <v>8.927063614</v>
      </c>
      <c r="M349" s="175" t="str">
        <f t="shared" si="10"/>
        <v>GriffGreen</v>
      </c>
      <c r="N349" s="176">
        <f>IFERROR(__xludf.DUMMYFUNCTION("""COMPUTED_VALUE"""),32.0)</f>
        <v>32</v>
      </c>
      <c r="O349" s="176"/>
      <c r="P349" s="166" t="s">
        <v>450</v>
      </c>
      <c r="Q349" s="166" t="s">
        <v>441</v>
      </c>
      <c r="R349" s="176"/>
      <c r="S349" s="176"/>
      <c r="T349" s="176"/>
      <c r="U349" s="176"/>
      <c r="V349" s="176"/>
      <c r="W349" s="176"/>
      <c r="X349" s="176"/>
      <c r="Y349" s="176"/>
      <c r="Z349" s="176"/>
      <c r="AA349" s="176"/>
    </row>
    <row r="350">
      <c r="A350" s="165" t="str">
        <f>iferror(VLOOKUP(P350,'DO NOT TOUCH Imported'!$A$1:$D$800,4,False),iferror(VLOOKUP(P350,'DO NOT TOUCH Imported'!$C$1:$D$800,2,False),"OOPS FIX ME"))</f>
        <v>GriffGreen</v>
      </c>
      <c r="B350" s="166" t="s">
        <v>441</v>
      </c>
      <c r="C350" s="167" t="s">
        <v>475</v>
      </c>
      <c r="D350" s="168" t="s">
        <v>437</v>
      </c>
      <c r="E350" s="177" t="s">
        <v>438</v>
      </c>
      <c r="F350" s="168" t="s">
        <v>439</v>
      </c>
      <c r="G350" s="170">
        <v>1000.0</v>
      </c>
      <c r="H350" s="171">
        <v>100.0</v>
      </c>
      <c r="I350" s="171">
        <v>100.0</v>
      </c>
      <c r="J350" s="172">
        <f t="shared" si="13"/>
        <v>0.000723394157</v>
      </c>
      <c r="K350" s="173">
        <f t="shared" si="15"/>
        <v>0.8680729884</v>
      </c>
      <c r="L350" s="174">
        <f t="shared" si="9"/>
        <v>8.927063614</v>
      </c>
      <c r="M350" s="175" t="str">
        <f t="shared" si="10"/>
        <v>GriffGreen</v>
      </c>
      <c r="N350" s="176">
        <f>IFERROR(__xludf.DUMMYFUNCTION("""COMPUTED_VALUE"""),33.0)</f>
        <v>33</v>
      </c>
      <c r="O350" s="176"/>
      <c r="P350" s="166" t="s">
        <v>450</v>
      </c>
      <c r="Q350" s="166" t="s">
        <v>441</v>
      </c>
      <c r="R350" s="176"/>
      <c r="S350" s="176"/>
      <c r="T350" s="176"/>
      <c r="U350" s="176"/>
      <c r="V350" s="176"/>
      <c r="W350" s="176"/>
      <c r="X350" s="176"/>
      <c r="Y350" s="176"/>
      <c r="Z350" s="176"/>
      <c r="AA350" s="176"/>
    </row>
    <row r="351">
      <c r="A351" s="165" t="str">
        <f>iferror(VLOOKUP(P351,'DO NOT TOUCH Imported'!$A$1:$D$800,4,False),iferror(VLOOKUP(P351,'DO NOT TOUCH Imported'!$C$1:$D$800,2,False),"OOPS FIX ME"))</f>
        <v>GriffGreen</v>
      </c>
      <c r="B351" s="166" t="s">
        <v>435</v>
      </c>
      <c r="C351" s="167" t="s">
        <v>479</v>
      </c>
      <c r="D351" s="168" t="s">
        <v>437</v>
      </c>
      <c r="E351" s="169" t="s">
        <v>455</v>
      </c>
      <c r="F351" s="168" t="s">
        <v>439</v>
      </c>
      <c r="G351" s="170">
        <v>1000.0</v>
      </c>
      <c r="H351" s="171">
        <v>90.0</v>
      </c>
      <c r="I351" s="171">
        <v>100.0</v>
      </c>
      <c r="J351" s="172">
        <f t="shared" si="13"/>
        <v>0.0006914702636</v>
      </c>
      <c r="K351" s="173">
        <f t="shared" si="15"/>
        <v>0.8297643163</v>
      </c>
      <c r="L351" s="174">
        <f t="shared" si="9"/>
        <v>8.927063614</v>
      </c>
      <c r="M351" s="175" t="str">
        <f t="shared" si="10"/>
        <v>GriffGreen</v>
      </c>
      <c r="N351" s="176">
        <f>IFERROR(__xludf.DUMMYFUNCTION("""COMPUTED_VALUE"""),34.0)</f>
        <v>34</v>
      </c>
      <c r="O351" s="176"/>
      <c r="P351" s="166" t="s">
        <v>450</v>
      </c>
      <c r="Q351" s="166" t="s">
        <v>435</v>
      </c>
      <c r="R351" s="176"/>
      <c r="S351" s="176"/>
      <c r="T351" s="176"/>
      <c r="U351" s="176"/>
      <c r="V351" s="176"/>
      <c r="W351" s="176"/>
      <c r="X351" s="176"/>
      <c r="Y351" s="176"/>
      <c r="Z351" s="176"/>
      <c r="AA351" s="176"/>
    </row>
    <row r="352">
      <c r="A352" s="165" t="str">
        <f>iferror(VLOOKUP(P352,'DO NOT TOUCH Imported'!$A$1:$D$800,4,False),iferror(VLOOKUP(P352,'DO NOT TOUCH Imported'!$C$1:$D$800,2,False),"OOPS FIX ME"))</f>
        <v>GriffGreen</v>
      </c>
      <c r="B352" s="166" t="s">
        <v>441</v>
      </c>
      <c r="C352" s="167" t="s">
        <v>480</v>
      </c>
      <c r="D352" s="168" t="s">
        <v>437</v>
      </c>
      <c r="E352" s="177" t="s">
        <v>438</v>
      </c>
      <c r="F352" s="168" t="s">
        <v>439</v>
      </c>
      <c r="G352" s="170">
        <v>1000.0</v>
      </c>
      <c r="H352" s="171">
        <v>90.0</v>
      </c>
      <c r="I352" s="171">
        <v>100.0</v>
      </c>
      <c r="J352" s="172">
        <f t="shared" si="13"/>
        <v>0.0006914702636</v>
      </c>
      <c r="K352" s="173">
        <f t="shared" si="15"/>
        <v>0.8297643163</v>
      </c>
      <c r="L352" s="174">
        <f t="shared" si="9"/>
        <v>8.927063614</v>
      </c>
      <c r="M352" s="175" t="str">
        <f t="shared" si="10"/>
        <v>GriffGreen</v>
      </c>
      <c r="N352" s="176">
        <f>IFERROR(__xludf.DUMMYFUNCTION("""COMPUTED_VALUE"""),35.0)</f>
        <v>35</v>
      </c>
      <c r="O352" s="176"/>
      <c r="P352" s="166" t="s">
        <v>450</v>
      </c>
      <c r="Q352" s="166" t="s">
        <v>441</v>
      </c>
      <c r="R352" s="176"/>
      <c r="S352" s="176"/>
      <c r="T352" s="176"/>
      <c r="U352" s="176"/>
      <c r="V352" s="176"/>
      <c r="W352" s="176"/>
      <c r="X352" s="176"/>
      <c r="Y352" s="176"/>
      <c r="Z352" s="176"/>
      <c r="AA352" s="176"/>
    </row>
    <row r="353">
      <c r="A353" s="165" t="str">
        <f>iferror(VLOOKUP(P353,'DO NOT TOUCH Imported'!$A$1:$D$800,4,False),iferror(VLOOKUP(P353,'DO NOT TOUCH Imported'!$C$1:$D$800,2,False),"OOPS FIX ME"))</f>
        <v>GriffGreen</v>
      </c>
      <c r="B353" s="166" t="s">
        <v>441</v>
      </c>
      <c r="C353" s="167" t="s">
        <v>543</v>
      </c>
      <c r="D353" s="168" t="s">
        <v>437</v>
      </c>
      <c r="E353" s="169" t="s">
        <v>447</v>
      </c>
      <c r="F353" s="168" t="s">
        <v>439</v>
      </c>
      <c r="G353" s="170">
        <v>1000.0</v>
      </c>
      <c r="H353" s="171">
        <v>80.0</v>
      </c>
      <c r="I353" s="171">
        <v>100.0</v>
      </c>
      <c r="J353" s="172">
        <f t="shared" si="13"/>
        <v>0.0006595463701</v>
      </c>
      <c r="K353" s="173">
        <f t="shared" si="15"/>
        <v>0.7914556442</v>
      </c>
      <c r="L353" s="174">
        <f t="shared" si="9"/>
        <v>8.927063614</v>
      </c>
      <c r="M353" s="175" t="str">
        <f t="shared" si="10"/>
        <v>GriffGreen</v>
      </c>
      <c r="N353" s="176">
        <f>IFERROR(__xludf.DUMMYFUNCTION("""COMPUTED_VALUE"""),36.0)</f>
        <v>36</v>
      </c>
      <c r="O353" s="176"/>
      <c r="P353" s="166" t="s">
        <v>450</v>
      </c>
      <c r="Q353" s="166" t="s">
        <v>441</v>
      </c>
      <c r="R353" s="176"/>
      <c r="S353" s="176"/>
      <c r="T353" s="176"/>
      <c r="U353" s="176"/>
      <c r="V353" s="176"/>
      <c r="W353" s="176"/>
      <c r="X353" s="176"/>
      <c r="Y353" s="176"/>
      <c r="Z353" s="176"/>
      <c r="AA353" s="176"/>
    </row>
    <row r="354">
      <c r="A354" s="165" t="str">
        <f>iferror(VLOOKUP(P354,'DO NOT TOUCH Imported'!$A$1:$D$800,4,False),iferror(VLOOKUP(P354,'DO NOT TOUCH Imported'!$C$1:$D$800,2,False),"OOPS FIX ME"))</f>
        <v>GriffGreen</v>
      </c>
      <c r="B354" s="166" t="s">
        <v>440</v>
      </c>
      <c r="C354" s="167" t="s">
        <v>482</v>
      </c>
      <c r="D354" s="168" t="s">
        <v>437</v>
      </c>
      <c r="E354" s="177" t="s">
        <v>452</v>
      </c>
      <c r="F354" s="168" t="s">
        <v>439</v>
      </c>
      <c r="G354" s="170">
        <v>1000.0</v>
      </c>
      <c r="H354" s="171">
        <v>80.0</v>
      </c>
      <c r="I354" s="171">
        <v>100.0</v>
      </c>
      <c r="J354" s="172">
        <f t="shared" si="13"/>
        <v>0.0006595463701</v>
      </c>
      <c r="K354" s="173">
        <f t="shared" si="15"/>
        <v>0.7914556442</v>
      </c>
      <c r="L354" s="174">
        <f t="shared" si="9"/>
        <v>8.927063614</v>
      </c>
      <c r="M354" s="175" t="str">
        <f t="shared" si="10"/>
        <v>GriffGreen</v>
      </c>
      <c r="N354" s="176">
        <f>IFERROR(__xludf.DUMMYFUNCTION("""COMPUTED_VALUE"""),37.0)</f>
        <v>37</v>
      </c>
      <c r="O354" s="176"/>
      <c r="P354" s="166" t="s">
        <v>450</v>
      </c>
      <c r="Q354" s="166" t="s">
        <v>440</v>
      </c>
      <c r="R354" s="176"/>
      <c r="S354" s="176"/>
      <c r="T354" s="176"/>
      <c r="U354" s="176"/>
      <c r="V354" s="176"/>
      <c r="W354" s="176"/>
      <c r="X354" s="176"/>
      <c r="Y354" s="176"/>
      <c r="Z354" s="176"/>
      <c r="AA354" s="176"/>
    </row>
    <row r="355">
      <c r="A355" s="165" t="str">
        <f>iferror(VLOOKUP(P355,'DO NOT TOUCH Imported'!$A$1:$D$800,4,False),iferror(VLOOKUP(P355,'DO NOT TOUCH Imported'!$C$1:$D$800,2,False),"OOPS FIX ME"))</f>
        <v>GriffGreen</v>
      </c>
      <c r="B355" s="166" t="s">
        <v>483</v>
      </c>
      <c r="C355" s="167" t="s">
        <v>484</v>
      </c>
      <c r="D355" s="168" t="s">
        <v>437</v>
      </c>
      <c r="E355" s="169" t="s">
        <v>478</v>
      </c>
      <c r="F355" s="168" t="s">
        <v>439</v>
      </c>
      <c r="G355" s="170">
        <v>1000.0</v>
      </c>
      <c r="H355" s="171">
        <v>80.0</v>
      </c>
      <c r="I355" s="171">
        <v>100.0</v>
      </c>
      <c r="J355" s="172">
        <f t="shared" si="13"/>
        <v>0.0006595463701</v>
      </c>
      <c r="K355" s="173">
        <f t="shared" si="15"/>
        <v>0.7914556442</v>
      </c>
      <c r="L355" s="174">
        <f t="shared" si="9"/>
        <v>8.927063614</v>
      </c>
      <c r="M355" s="175" t="str">
        <f t="shared" si="10"/>
        <v>GriffGreen</v>
      </c>
      <c r="N355" s="176">
        <f>IFERROR(__xludf.DUMMYFUNCTION("""COMPUTED_VALUE"""),38.0)</f>
        <v>38</v>
      </c>
      <c r="O355" s="176"/>
      <c r="P355" s="166" t="s">
        <v>450</v>
      </c>
      <c r="Q355" s="166" t="s">
        <v>483</v>
      </c>
      <c r="R355" s="176"/>
      <c r="S355" s="176"/>
      <c r="T355" s="176"/>
      <c r="U355" s="176"/>
      <c r="V355" s="176"/>
      <c r="W355" s="176"/>
      <c r="X355" s="176"/>
      <c r="Y355" s="176"/>
      <c r="Z355" s="176"/>
      <c r="AA355" s="176"/>
    </row>
    <row r="356">
      <c r="A356" s="165" t="str">
        <f>iferror(VLOOKUP(P356,'DO NOT TOUCH Imported'!$A$1:$D$800,4,False),iferror(VLOOKUP(P356,'DO NOT TOUCH Imported'!$C$1:$D$800,2,False),"OOPS FIX ME"))</f>
        <v>GriffGreen</v>
      </c>
      <c r="B356" s="166" t="s">
        <v>441</v>
      </c>
      <c r="C356" s="167" t="s">
        <v>485</v>
      </c>
      <c r="D356" s="168" t="s">
        <v>437</v>
      </c>
      <c r="E356" s="169" t="s">
        <v>438</v>
      </c>
      <c r="F356" s="168" t="s">
        <v>439</v>
      </c>
      <c r="G356" s="170">
        <v>1000.0</v>
      </c>
      <c r="H356" s="171">
        <v>80.0</v>
      </c>
      <c r="I356" s="171">
        <v>100.0</v>
      </c>
      <c r="J356" s="172">
        <f t="shared" si="13"/>
        <v>0.0006595463701</v>
      </c>
      <c r="K356" s="173">
        <f t="shared" si="15"/>
        <v>0.7914556442</v>
      </c>
      <c r="L356" s="174">
        <f t="shared" si="9"/>
        <v>8.927063614</v>
      </c>
      <c r="M356" s="175" t="str">
        <f t="shared" si="10"/>
        <v>GriffGreen</v>
      </c>
      <c r="N356" s="176">
        <f>IFERROR(__xludf.DUMMYFUNCTION("""COMPUTED_VALUE"""),39.0)</f>
        <v>39</v>
      </c>
      <c r="O356" s="176"/>
      <c r="P356" s="166" t="s">
        <v>450</v>
      </c>
      <c r="Q356" s="166" t="s">
        <v>441</v>
      </c>
      <c r="R356" s="176"/>
      <c r="S356" s="176"/>
      <c r="T356" s="176"/>
      <c r="U356" s="176"/>
      <c r="V356" s="176"/>
      <c r="W356" s="176"/>
      <c r="X356" s="176"/>
      <c r="Y356" s="176"/>
      <c r="Z356" s="176"/>
      <c r="AA356" s="176"/>
    </row>
    <row r="357">
      <c r="A357" s="165" t="str">
        <f>iferror(VLOOKUP(P357,'DO NOT TOUCH Imported'!$A$1:$D$800,4,False),iferror(VLOOKUP(P357,'DO NOT TOUCH Imported'!$C$1:$D$800,2,False),"OOPS FIX ME"))</f>
        <v>GriffGreen</v>
      </c>
      <c r="B357" s="178" t="s">
        <v>519</v>
      </c>
      <c r="C357" s="179" t="s">
        <v>668</v>
      </c>
      <c r="D357" s="180" t="s">
        <v>495</v>
      </c>
      <c r="E357" s="184">
        <v>44314.0</v>
      </c>
      <c r="F357" s="182" t="s">
        <v>521</v>
      </c>
      <c r="G357" s="170">
        <v>1000.0</v>
      </c>
      <c r="H357" s="171">
        <v>70.0</v>
      </c>
      <c r="I357" s="171">
        <v>100.0</v>
      </c>
      <c r="J357" s="172">
        <f t="shared" si="13"/>
        <v>0.0006276224767</v>
      </c>
      <c r="K357" s="173">
        <f t="shared" si="15"/>
        <v>0.7531469721</v>
      </c>
      <c r="L357" s="174">
        <f t="shared" si="9"/>
        <v>8.927063614</v>
      </c>
      <c r="M357" s="175" t="str">
        <f t="shared" si="10"/>
        <v>GriffGreen</v>
      </c>
      <c r="N357" s="176">
        <f>IFERROR(__xludf.DUMMYFUNCTION("""COMPUTED_VALUE"""),40.0)</f>
        <v>40</v>
      </c>
      <c r="O357" s="176"/>
      <c r="P357" s="183" t="s">
        <v>16</v>
      </c>
      <c r="Q357" s="178" t="s">
        <v>519</v>
      </c>
      <c r="R357" s="176"/>
      <c r="S357" s="176"/>
      <c r="T357" s="176"/>
      <c r="U357" s="176"/>
      <c r="V357" s="176"/>
      <c r="W357" s="176"/>
      <c r="X357" s="176"/>
      <c r="Y357" s="176"/>
      <c r="Z357" s="176"/>
      <c r="AA357" s="176"/>
    </row>
    <row r="358">
      <c r="A358" s="165" t="str">
        <f>iferror(VLOOKUP(P358,'DO NOT TOUCH Imported'!$A$1:$D$800,4,False),iferror(VLOOKUP(P358,'DO NOT TOUCH Imported'!$C$1:$D$800,2,False),"OOPS FIX ME"))</f>
        <v>GriffGreen</v>
      </c>
      <c r="B358" s="178" t="s">
        <v>519</v>
      </c>
      <c r="C358" s="179" t="s">
        <v>668</v>
      </c>
      <c r="D358" s="180" t="s">
        <v>495</v>
      </c>
      <c r="E358" s="181">
        <v>44321.0</v>
      </c>
      <c r="F358" s="182" t="s">
        <v>521</v>
      </c>
      <c r="G358" s="170">
        <v>1000.0</v>
      </c>
      <c r="H358" s="171">
        <v>70.0</v>
      </c>
      <c r="I358" s="171">
        <v>100.0</v>
      </c>
      <c r="J358" s="172">
        <f t="shared" si="13"/>
        <v>0.0006276224767</v>
      </c>
      <c r="K358" s="173">
        <f t="shared" si="15"/>
        <v>0.7531469721</v>
      </c>
      <c r="L358" s="174">
        <f t="shared" si="9"/>
        <v>8.927063614</v>
      </c>
      <c r="M358" s="175" t="str">
        <f t="shared" si="10"/>
        <v>GriffGreen</v>
      </c>
      <c r="N358" s="176">
        <f>IFERROR(__xludf.DUMMYFUNCTION("""COMPUTED_VALUE"""),41.0)</f>
        <v>41</v>
      </c>
      <c r="O358" s="176"/>
      <c r="P358" s="183" t="s">
        <v>16</v>
      </c>
      <c r="Q358" s="178" t="s">
        <v>519</v>
      </c>
      <c r="R358" s="176"/>
      <c r="S358" s="176"/>
      <c r="T358" s="176"/>
      <c r="U358" s="176"/>
      <c r="V358" s="176"/>
      <c r="W358" s="176"/>
      <c r="X358" s="176"/>
      <c r="Y358" s="176"/>
      <c r="Z358" s="176"/>
      <c r="AA358" s="176"/>
    </row>
    <row r="359">
      <c r="A359" s="165" t="str">
        <f>iferror(VLOOKUP(P359,'DO NOT TOUCH Imported'!$A$1:$D$800,4,False),iferror(VLOOKUP(P359,'DO NOT TOUCH Imported'!$C$1:$D$800,2,False),"OOPS FIX ME"))</f>
        <v>GriffGreen</v>
      </c>
      <c r="B359" s="166" t="s">
        <v>486</v>
      </c>
      <c r="C359" s="167" t="s">
        <v>487</v>
      </c>
      <c r="D359" s="168" t="s">
        <v>437</v>
      </c>
      <c r="E359" s="169" t="s">
        <v>488</v>
      </c>
      <c r="F359" s="168" t="s">
        <v>439</v>
      </c>
      <c r="G359" s="170">
        <v>1000.0</v>
      </c>
      <c r="H359" s="171">
        <v>70.0</v>
      </c>
      <c r="I359" s="171">
        <v>100.0</v>
      </c>
      <c r="J359" s="172">
        <f t="shared" si="13"/>
        <v>0.0006276224767</v>
      </c>
      <c r="K359" s="173">
        <f t="shared" si="15"/>
        <v>0.7531469721</v>
      </c>
      <c r="L359" s="174">
        <f t="shared" si="9"/>
        <v>8.927063614</v>
      </c>
      <c r="M359" s="175" t="str">
        <f t="shared" si="10"/>
        <v>GriffGreen</v>
      </c>
      <c r="N359" s="176">
        <f>IFERROR(__xludf.DUMMYFUNCTION("""COMPUTED_VALUE"""),42.0)</f>
        <v>42</v>
      </c>
      <c r="O359" s="176"/>
      <c r="P359" s="166" t="s">
        <v>450</v>
      </c>
      <c r="Q359" s="166" t="s">
        <v>486</v>
      </c>
      <c r="R359" s="176"/>
      <c r="S359" s="176"/>
      <c r="T359" s="176"/>
      <c r="U359" s="176"/>
      <c r="V359" s="176"/>
      <c r="W359" s="176"/>
      <c r="X359" s="176"/>
      <c r="Y359" s="176"/>
      <c r="Z359" s="176"/>
      <c r="AA359" s="176"/>
    </row>
    <row r="360">
      <c r="A360" s="165" t="str">
        <f>iferror(VLOOKUP(P360,'DO NOT TOUCH Imported'!$A$1:$D$800,4,False),iferror(VLOOKUP(P360,'DO NOT TOUCH Imported'!$C$1:$D$800,2,False),"OOPS FIX ME"))</f>
        <v>GriffGreen</v>
      </c>
      <c r="B360" s="166" t="s">
        <v>440</v>
      </c>
      <c r="C360" s="167" t="s">
        <v>489</v>
      </c>
      <c r="D360" s="168" t="s">
        <v>437</v>
      </c>
      <c r="E360" s="177" t="s">
        <v>488</v>
      </c>
      <c r="F360" s="168" t="s">
        <v>439</v>
      </c>
      <c r="G360" s="170">
        <v>1000.0</v>
      </c>
      <c r="H360" s="171">
        <v>70.0</v>
      </c>
      <c r="I360" s="171">
        <v>100.0</v>
      </c>
      <c r="J360" s="172">
        <f t="shared" si="13"/>
        <v>0.0006276224767</v>
      </c>
      <c r="K360" s="173">
        <f t="shared" si="15"/>
        <v>0.7531469721</v>
      </c>
      <c r="L360" s="174">
        <f t="shared" si="9"/>
        <v>8.927063614</v>
      </c>
      <c r="M360" s="175" t="str">
        <f t="shared" si="10"/>
        <v>GriffGreen</v>
      </c>
      <c r="N360" s="176">
        <f>IFERROR(__xludf.DUMMYFUNCTION("""COMPUTED_VALUE"""),43.0)</f>
        <v>43</v>
      </c>
      <c r="O360" s="176"/>
      <c r="P360" s="166" t="s">
        <v>450</v>
      </c>
      <c r="Q360" s="166" t="s">
        <v>440</v>
      </c>
      <c r="R360" s="176"/>
      <c r="S360" s="176"/>
      <c r="T360" s="176"/>
      <c r="U360" s="176"/>
      <c r="V360" s="176"/>
      <c r="W360" s="176"/>
      <c r="X360" s="176"/>
      <c r="Y360" s="176"/>
      <c r="Z360" s="176"/>
      <c r="AA360" s="176"/>
    </row>
    <row r="361">
      <c r="A361" s="165" t="str">
        <f>iferror(VLOOKUP(P361,'DO NOT TOUCH Imported'!$A$1:$D$800,4,False),iferror(VLOOKUP(P361,'DO NOT TOUCH Imported'!$C$1:$D$800,2,False),"OOPS FIX ME"))</f>
        <v>GriffGreen</v>
      </c>
      <c r="B361" s="166" t="s">
        <v>490</v>
      </c>
      <c r="C361" s="167" t="s">
        <v>491</v>
      </c>
      <c r="D361" s="168" t="s">
        <v>437</v>
      </c>
      <c r="E361" s="177" t="s">
        <v>445</v>
      </c>
      <c r="F361" s="168" t="s">
        <v>439</v>
      </c>
      <c r="G361" s="170">
        <v>1000.0</v>
      </c>
      <c r="H361" s="171">
        <v>70.0</v>
      </c>
      <c r="I361" s="171">
        <v>100.0</v>
      </c>
      <c r="J361" s="172">
        <f t="shared" si="13"/>
        <v>0.0006276224767</v>
      </c>
      <c r="K361" s="173">
        <f t="shared" si="15"/>
        <v>0.7531469721</v>
      </c>
      <c r="L361" s="174">
        <f t="shared" si="9"/>
        <v>8.927063614</v>
      </c>
      <c r="M361" s="175" t="str">
        <f t="shared" si="10"/>
        <v>GriffGreen</v>
      </c>
      <c r="N361" s="176">
        <f>IFERROR(__xludf.DUMMYFUNCTION("""COMPUTED_VALUE"""),44.0)</f>
        <v>44</v>
      </c>
      <c r="O361" s="176"/>
      <c r="P361" s="166" t="s">
        <v>450</v>
      </c>
      <c r="Q361" s="166" t="s">
        <v>490</v>
      </c>
      <c r="R361" s="176"/>
      <c r="S361" s="176"/>
      <c r="T361" s="176"/>
      <c r="U361" s="176"/>
      <c r="V361" s="176"/>
      <c r="W361" s="176"/>
      <c r="X361" s="176"/>
      <c r="Y361" s="176"/>
      <c r="Z361" s="176"/>
      <c r="AA361" s="176"/>
    </row>
    <row r="362">
      <c r="A362" s="165" t="str">
        <f>iferror(VLOOKUP(P362,'DO NOT TOUCH Imported'!$A$1:$D$800,4,False),iferror(VLOOKUP(P362,'DO NOT TOUCH Imported'!$C$1:$D$800,2,False),"OOPS FIX ME"))</f>
        <v>GriffGreen</v>
      </c>
      <c r="B362" s="166" t="s">
        <v>492</v>
      </c>
      <c r="C362" s="167" t="s">
        <v>493</v>
      </c>
      <c r="D362" s="168" t="s">
        <v>437</v>
      </c>
      <c r="E362" s="177" t="s">
        <v>445</v>
      </c>
      <c r="F362" s="168" t="s">
        <v>439</v>
      </c>
      <c r="G362" s="170">
        <v>1000.0</v>
      </c>
      <c r="H362" s="171">
        <v>70.0</v>
      </c>
      <c r="I362" s="171">
        <v>100.0</v>
      </c>
      <c r="J362" s="172">
        <f t="shared" si="13"/>
        <v>0.0006276224767</v>
      </c>
      <c r="K362" s="173">
        <f t="shared" si="15"/>
        <v>0.7531469721</v>
      </c>
      <c r="L362" s="174">
        <f t="shared" si="9"/>
        <v>8.927063614</v>
      </c>
      <c r="M362" s="175" t="str">
        <f t="shared" si="10"/>
        <v>GriffGreen</v>
      </c>
      <c r="N362" s="176">
        <f>IFERROR(__xludf.DUMMYFUNCTION("""COMPUTED_VALUE"""),45.0)</f>
        <v>45</v>
      </c>
      <c r="O362" s="176"/>
      <c r="P362" s="166" t="s">
        <v>450</v>
      </c>
      <c r="Q362" s="166" t="s">
        <v>492</v>
      </c>
      <c r="R362" s="176"/>
      <c r="S362" s="176"/>
      <c r="T362" s="176"/>
      <c r="U362" s="176"/>
      <c r="V362" s="176"/>
      <c r="W362" s="176"/>
      <c r="X362" s="176"/>
      <c r="Y362" s="176"/>
      <c r="Z362" s="176"/>
      <c r="AA362" s="176"/>
    </row>
    <row r="363">
      <c r="A363" s="165" t="str">
        <f>iferror(VLOOKUP(P363,'DO NOT TOUCH Imported'!$A$1:$D$800,4,False),iferror(VLOOKUP(P363,'DO NOT TOUCH Imported'!$C$1:$D$800,2,False),"OOPS FIX ME"))</f>
        <v>GriffGreen</v>
      </c>
      <c r="B363" s="178" t="s">
        <v>10</v>
      </c>
      <c r="C363" s="179" t="s">
        <v>494</v>
      </c>
      <c r="D363" s="180" t="s">
        <v>495</v>
      </c>
      <c r="E363" s="181">
        <v>44317.0</v>
      </c>
      <c r="F363" s="182" t="s">
        <v>496</v>
      </c>
      <c r="G363" s="170">
        <v>1500.0</v>
      </c>
      <c r="H363" s="171">
        <v>50.0</v>
      </c>
      <c r="I363" s="171">
        <v>100.0</v>
      </c>
      <c r="J363" s="172">
        <f t="shared" si="13"/>
        <v>0.0006159722052</v>
      </c>
      <c r="K363" s="173">
        <f t="shared" si="15"/>
        <v>0.7391666463</v>
      </c>
      <c r="L363" s="174">
        <f t="shared" si="9"/>
        <v>8.927063614</v>
      </c>
      <c r="M363" s="175" t="str">
        <f t="shared" si="10"/>
        <v>GriffGreen</v>
      </c>
      <c r="N363" s="176">
        <f>IFERROR(__xludf.DUMMYFUNCTION("""COMPUTED_VALUE"""),46.0)</f>
        <v>46</v>
      </c>
      <c r="O363" s="176"/>
      <c r="P363" s="183" t="s">
        <v>16</v>
      </c>
      <c r="Q363" s="178" t="s">
        <v>10</v>
      </c>
      <c r="R363" s="176"/>
      <c r="S363" s="176"/>
      <c r="T363" s="176"/>
      <c r="U363" s="176"/>
      <c r="V363" s="176"/>
      <c r="W363" s="176"/>
      <c r="X363" s="176"/>
      <c r="Y363" s="176"/>
      <c r="Z363" s="176"/>
      <c r="AA363" s="176"/>
    </row>
    <row r="364">
      <c r="A364" s="165" t="str">
        <f>iferror(VLOOKUP(P364,'DO NOT TOUCH Imported'!$A$1:$D$800,4,False),iferror(VLOOKUP(P364,'DO NOT TOUCH Imported'!$C$1:$D$800,2,False),"OOPS FIX ME"))</f>
        <v>GriffGreen</v>
      </c>
      <c r="B364" s="178" t="s">
        <v>10</v>
      </c>
      <c r="C364" s="179" t="s">
        <v>494</v>
      </c>
      <c r="D364" s="180" t="s">
        <v>495</v>
      </c>
      <c r="E364" s="181">
        <v>44324.0</v>
      </c>
      <c r="F364" s="182" t="s">
        <v>496</v>
      </c>
      <c r="G364" s="170">
        <v>1000.0</v>
      </c>
      <c r="H364" s="171">
        <v>50.0</v>
      </c>
      <c r="I364" s="171">
        <v>100.0</v>
      </c>
      <c r="J364" s="172">
        <f t="shared" si="13"/>
        <v>0.0005637746898</v>
      </c>
      <c r="K364" s="173">
        <f t="shared" si="15"/>
        <v>0.6765296278</v>
      </c>
      <c r="L364" s="174">
        <f t="shared" si="9"/>
        <v>8.927063614</v>
      </c>
      <c r="M364" s="175" t="str">
        <f t="shared" si="10"/>
        <v>GriffGreen</v>
      </c>
      <c r="N364" s="176">
        <f>IFERROR(__xludf.DUMMYFUNCTION("""COMPUTED_VALUE"""),47.0)</f>
        <v>47</v>
      </c>
      <c r="O364" s="176"/>
      <c r="P364" s="183" t="s">
        <v>16</v>
      </c>
      <c r="Q364" s="178" t="s">
        <v>10</v>
      </c>
      <c r="R364" s="176"/>
      <c r="S364" s="176"/>
      <c r="T364" s="176"/>
      <c r="U364" s="176"/>
      <c r="V364" s="176"/>
      <c r="W364" s="176"/>
      <c r="X364" s="176"/>
      <c r="Y364" s="176"/>
      <c r="Z364" s="176"/>
      <c r="AA364" s="176"/>
    </row>
    <row r="365">
      <c r="A365" s="165" t="str">
        <f>iferror(VLOOKUP(P365,'DO NOT TOUCH Imported'!$A$1:$D$800,4,False),iferror(VLOOKUP(P365,'DO NOT TOUCH Imported'!$C$1:$D$800,2,False),"OOPS FIX ME"))</f>
        <v>GriffGreen</v>
      </c>
      <c r="B365" s="166" t="s">
        <v>441</v>
      </c>
      <c r="C365" s="167" t="s">
        <v>497</v>
      </c>
      <c r="D365" s="168" t="s">
        <v>437</v>
      </c>
      <c r="E365" s="177" t="s">
        <v>438</v>
      </c>
      <c r="F365" s="168" t="s">
        <v>439</v>
      </c>
      <c r="G365" s="170">
        <v>1000.0</v>
      </c>
      <c r="H365" s="171">
        <v>50.0</v>
      </c>
      <c r="I365" s="171">
        <v>100.0</v>
      </c>
      <c r="J365" s="172">
        <f t="shared" si="13"/>
        <v>0.0005637746898</v>
      </c>
      <c r="K365" s="173">
        <f t="shared" si="15"/>
        <v>0.6765296278</v>
      </c>
      <c r="L365" s="174">
        <f t="shared" si="9"/>
        <v>8.927063614</v>
      </c>
      <c r="M365" s="175" t="str">
        <f t="shared" si="10"/>
        <v>GriffGreen</v>
      </c>
      <c r="N365" s="176">
        <f>IFERROR(__xludf.DUMMYFUNCTION("""COMPUTED_VALUE"""),48.0)</f>
        <v>48</v>
      </c>
      <c r="O365" s="176"/>
      <c r="P365" s="166" t="s">
        <v>450</v>
      </c>
      <c r="Q365" s="166" t="s">
        <v>441</v>
      </c>
      <c r="R365" s="176"/>
      <c r="S365" s="176"/>
      <c r="T365" s="176"/>
      <c r="U365" s="176"/>
      <c r="V365" s="176"/>
      <c r="W365" s="176"/>
      <c r="X365" s="176"/>
      <c r="Y365" s="176"/>
      <c r="Z365" s="176"/>
      <c r="AA365" s="176"/>
    </row>
    <row r="366">
      <c r="A366" s="165" t="str">
        <f>iferror(VLOOKUP(P366,'DO NOT TOUCH Imported'!$A$1:$D$800,4,False),iferror(VLOOKUP(P366,'DO NOT TOUCH Imported'!$C$1:$D$800,2,False),"OOPS FIX ME"))</f>
        <v>GriffGreen</v>
      </c>
      <c r="B366" s="178" t="s">
        <v>10</v>
      </c>
      <c r="C366" s="179" t="s">
        <v>498</v>
      </c>
      <c r="D366" s="180" t="s">
        <v>495</v>
      </c>
      <c r="E366" s="184">
        <v>44316.0</v>
      </c>
      <c r="F366" s="182" t="s">
        <v>499</v>
      </c>
      <c r="G366" s="170">
        <v>500.0</v>
      </c>
      <c r="H366" s="171">
        <v>25.0</v>
      </c>
      <c r="I366" s="171">
        <v>100.0</v>
      </c>
      <c r="J366" s="172">
        <f t="shared" si="13"/>
        <v>0.0004317674408</v>
      </c>
      <c r="K366" s="173">
        <f t="shared" si="15"/>
        <v>0.518120929</v>
      </c>
      <c r="L366" s="174">
        <f t="shared" si="9"/>
        <v>8.927063614</v>
      </c>
      <c r="M366" s="175" t="str">
        <f t="shared" si="10"/>
        <v>GriffGreen</v>
      </c>
      <c r="N366" s="176">
        <f>IFERROR(__xludf.DUMMYFUNCTION("""COMPUTED_VALUE"""),49.0)</f>
        <v>49</v>
      </c>
      <c r="O366" s="176"/>
      <c r="P366" s="183" t="s">
        <v>16</v>
      </c>
      <c r="Q366" s="178" t="s">
        <v>10</v>
      </c>
      <c r="R366" s="176"/>
      <c r="S366" s="176"/>
      <c r="T366" s="176"/>
      <c r="U366" s="176"/>
      <c r="V366" s="176"/>
      <c r="W366" s="176"/>
      <c r="X366" s="176"/>
      <c r="Y366" s="176"/>
      <c r="Z366" s="176"/>
      <c r="AA366" s="176"/>
    </row>
    <row r="367">
      <c r="A367" s="165" t="str">
        <f>iferror(VLOOKUP(P367,'DO NOT TOUCH Imported'!$A$1:$D$800,4,False),iferror(VLOOKUP(P367,'DO NOT TOUCH Imported'!$C$1:$D$800,2,False),"OOPS FIX ME"))</f>
        <v>GriffGreen</v>
      </c>
      <c r="B367" s="178" t="s">
        <v>10</v>
      </c>
      <c r="C367" s="179" t="s">
        <v>500</v>
      </c>
      <c r="D367" s="180" t="s">
        <v>495</v>
      </c>
      <c r="E367" s="184">
        <v>44316.0</v>
      </c>
      <c r="F367" s="182" t="s">
        <v>496</v>
      </c>
      <c r="G367" s="170">
        <v>500.0</v>
      </c>
      <c r="H367" s="171">
        <v>25.0</v>
      </c>
      <c r="I367" s="171">
        <v>100.0</v>
      </c>
      <c r="J367" s="172">
        <f t="shared" si="13"/>
        <v>0.0004317674408</v>
      </c>
      <c r="K367" s="173">
        <f t="shared" si="15"/>
        <v>0.518120929</v>
      </c>
      <c r="L367" s="174">
        <f t="shared" si="9"/>
        <v>8.927063614</v>
      </c>
      <c r="M367" s="175" t="str">
        <f t="shared" si="10"/>
        <v>GriffGreen</v>
      </c>
      <c r="N367" s="176">
        <f>IFERROR(__xludf.DUMMYFUNCTION("""COMPUTED_VALUE"""),50.0)</f>
        <v>50</v>
      </c>
      <c r="O367" s="176"/>
      <c r="P367" s="183" t="s">
        <v>16</v>
      </c>
      <c r="Q367" s="178" t="s">
        <v>10</v>
      </c>
      <c r="R367" s="176"/>
      <c r="S367" s="176"/>
      <c r="T367" s="176"/>
      <c r="U367" s="176"/>
      <c r="V367" s="176"/>
      <c r="W367" s="176"/>
      <c r="X367" s="176"/>
      <c r="Y367" s="176"/>
      <c r="Z367" s="176"/>
      <c r="AA367" s="176"/>
    </row>
    <row r="368">
      <c r="A368" s="165" t="str">
        <f>iferror(VLOOKUP(P368,'DO NOT TOUCH Imported'!$A$1:$D$800,4,False),iferror(VLOOKUP(P368,'DO NOT TOUCH Imported'!$C$1:$D$800,2,False),"OOPS FIX ME"))</f>
        <v>GriffGreen</v>
      </c>
      <c r="B368" s="178" t="s">
        <v>10</v>
      </c>
      <c r="C368" s="179" t="s">
        <v>498</v>
      </c>
      <c r="D368" s="180" t="s">
        <v>495</v>
      </c>
      <c r="E368" s="181">
        <v>44323.0</v>
      </c>
      <c r="F368" s="182" t="s">
        <v>499</v>
      </c>
      <c r="G368" s="170">
        <v>500.0</v>
      </c>
      <c r="H368" s="171">
        <v>25.0</v>
      </c>
      <c r="I368" s="171">
        <v>100.0</v>
      </c>
      <c r="J368" s="172">
        <f t="shared" si="13"/>
        <v>0.0004317674408</v>
      </c>
      <c r="K368" s="173">
        <f t="shared" si="15"/>
        <v>0.518120929</v>
      </c>
      <c r="L368" s="174">
        <f t="shared" si="9"/>
        <v>8.927063614</v>
      </c>
      <c r="M368" s="175" t="str">
        <f t="shared" si="10"/>
        <v>GriffGreen</v>
      </c>
      <c r="N368" s="176">
        <f>IFERROR(__xludf.DUMMYFUNCTION("""COMPUTED_VALUE"""),51.0)</f>
        <v>51</v>
      </c>
      <c r="O368" s="176"/>
      <c r="P368" s="183" t="s">
        <v>16</v>
      </c>
      <c r="Q368" s="178" t="s">
        <v>10</v>
      </c>
      <c r="R368" s="176"/>
      <c r="S368" s="176"/>
      <c r="T368" s="176"/>
      <c r="U368" s="176"/>
      <c r="V368" s="176"/>
      <c r="W368" s="176"/>
      <c r="X368" s="176"/>
      <c r="Y368" s="176"/>
      <c r="Z368" s="176"/>
      <c r="AA368" s="176"/>
    </row>
    <row r="369">
      <c r="A369" s="165" t="str">
        <f>iferror(VLOOKUP(P369,'DO NOT TOUCH Imported'!$A$1:$D$800,4,False),iferror(VLOOKUP(P369,'DO NOT TOUCH Imported'!$C$1:$D$800,2,False),"OOPS FIX ME"))</f>
        <v>GriffGreen</v>
      </c>
      <c r="B369" s="178" t="s">
        <v>10</v>
      </c>
      <c r="C369" s="179" t="s">
        <v>500</v>
      </c>
      <c r="D369" s="180" t="s">
        <v>495</v>
      </c>
      <c r="E369" s="181">
        <v>44324.0</v>
      </c>
      <c r="F369" s="182" t="s">
        <v>496</v>
      </c>
      <c r="G369" s="170">
        <v>500.0</v>
      </c>
      <c r="H369" s="171">
        <v>25.0</v>
      </c>
      <c r="I369" s="171">
        <v>100.0</v>
      </c>
      <c r="J369" s="172">
        <f t="shared" si="13"/>
        <v>0.0004317674408</v>
      </c>
      <c r="K369" s="173">
        <f t="shared" si="15"/>
        <v>0.518120929</v>
      </c>
      <c r="L369" s="174">
        <f t="shared" si="9"/>
        <v>8.927063614</v>
      </c>
      <c r="M369" s="175" t="str">
        <f t="shared" si="10"/>
        <v>GriffGreen</v>
      </c>
      <c r="N369" s="176">
        <f>IFERROR(__xludf.DUMMYFUNCTION("""COMPUTED_VALUE"""),52.0)</f>
        <v>52</v>
      </c>
      <c r="O369" s="176"/>
      <c r="P369" s="183" t="s">
        <v>16</v>
      </c>
      <c r="Q369" s="178" t="s">
        <v>10</v>
      </c>
      <c r="R369" s="176"/>
      <c r="S369" s="176"/>
      <c r="T369" s="176"/>
      <c r="U369" s="176"/>
      <c r="V369" s="176"/>
      <c r="W369" s="176"/>
      <c r="X369" s="176"/>
      <c r="Y369" s="176"/>
      <c r="Z369" s="176"/>
      <c r="AA369" s="176"/>
    </row>
    <row r="370">
      <c r="A370" s="185" t="str">
        <f>iferror(VLOOKUP(P370,'DO NOT TOUCH Imported'!$A$1:$D$800,4,False),iferror(VLOOKUP(P370,'DO NOT TOUCH Imported'!$C$1:$D$800,2,False),"OOPS FIX ME"))</f>
        <v>GriffGreen</v>
      </c>
      <c r="B370" s="185" t="s">
        <v>534</v>
      </c>
      <c r="C370" s="213" t="s">
        <v>684</v>
      </c>
      <c r="D370" s="212"/>
      <c r="E370" s="214"/>
      <c r="F370" s="212"/>
      <c r="G370" s="196"/>
      <c r="H370" s="196"/>
      <c r="I370" s="196"/>
      <c r="J370" s="172">
        <f>(H370/$H$2+I370/$I$2)/2</f>
        <v>0</v>
      </c>
      <c r="K370" s="215">
        <f>59.512*-0.85</f>
        <v>-50.5852</v>
      </c>
      <c r="L370" s="193">
        <f t="shared" si="9"/>
        <v>8.927063614</v>
      </c>
      <c r="M370" s="194" t="str">
        <f t="shared" si="10"/>
        <v>GriffGreen</v>
      </c>
      <c r="N370" s="212">
        <f>IFERROR(__xludf.DUMMYFUNCTION("""COMPUTED_VALUE"""),53.0)</f>
        <v>53</v>
      </c>
      <c r="O370" s="212"/>
      <c r="P370" s="195" t="s">
        <v>16</v>
      </c>
      <c r="Q370" s="195" t="s">
        <v>534</v>
      </c>
      <c r="R370" s="212"/>
      <c r="S370" s="212"/>
      <c r="T370" s="212"/>
      <c r="U370" s="212"/>
      <c r="V370" s="212"/>
      <c r="W370" s="212"/>
      <c r="X370" s="212"/>
      <c r="Y370" s="212"/>
      <c r="Z370" s="212"/>
      <c r="AA370" s="176"/>
    </row>
    <row r="371">
      <c r="A371" s="165" t="str">
        <f>iferror(VLOOKUP(P371,'DO NOT TOUCH Imported'!$A$1:$D$800,4,False),iferror(VLOOKUP(P371,'DO NOT TOUCH Imported'!$C$1:$D$800,2,False),"OOPS FIX ME"))</f>
        <v>atacas</v>
      </c>
      <c r="B371" s="166" t="s">
        <v>441</v>
      </c>
      <c r="C371" s="167" t="s">
        <v>685</v>
      </c>
      <c r="D371" s="168" t="s">
        <v>437</v>
      </c>
      <c r="E371" s="177" t="s">
        <v>447</v>
      </c>
      <c r="F371" s="168" t="s">
        <v>439</v>
      </c>
      <c r="G371" s="170">
        <v>100000.0</v>
      </c>
      <c r="H371" s="171">
        <v>300.0</v>
      </c>
      <c r="I371" s="171">
        <v>100.0</v>
      </c>
      <c r="J371" s="172">
        <f t="shared" ref="J371:J372" si="16">(G371/$G$2+H371/$H$2+I371/$I$2)/3</f>
        <v>0.01169698007</v>
      </c>
      <c r="K371" s="173">
        <f t="shared" ref="K371:K372" si="17">J371*$J$1</f>
        <v>14.03637609</v>
      </c>
      <c r="L371" s="174">
        <f t="shared" si="9"/>
        <v>7.823748029</v>
      </c>
      <c r="M371" s="175" t="str">
        <f t="shared" si="10"/>
        <v>atacas</v>
      </c>
      <c r="N371" s="176">
        <f>IFERROR(__xludf.DUMMYFUNCTION("""COMPUTED_VALUE"""),1.0)</f>
        <v>1</v>
      </c>
      <c r="O371" s="176"/>
      <c r="P371" s="166" t="s">
        <v>686</v>
      </c>
      <c r="Q371" s="166" t="s">
        <v>441</v>
      </c>
      <c r="R371" s="176"/>
      <c r="S371" s="176"/>
      <c r="T371" s="176"/>
      <c r="U371" s="176"/>
      <c r="V371" s="176"/>
      <c r="W371" s="176"/>
      <c r="X371" s="176"/>
      <c r="Y371" s="176"/>
      <c r="Z371" s="176"/>
      <c r="AA371" s="176"/>
    </row>
    <row r="372">
      <c r="A372" s="165" t="str">
        <f>iferror(VLOOKUP(P372,'DO NOT TOUCH Imported'!$A$1:$D$800,4,False),iferror(VLOOKUP(P372,'DO NOT TOUCH Imported'!$C$1:$D$800,2,False),"OOPS FIX ME"))</f>
        <v>atacas</v>
      </c>
      <c r="B372" s="166" t="s">
        <v>530</v>
      </c>
      <c r="C372" s="167" t="s">
        <v>687</v>
      </c>
      <c r="D372" s="168" t="s">
        <v>499</v>
      </c>
      <c r="E372" s="177" t="s">
        <v>452</v>
      </c>
      <c r="F372" s="168" t="s">
        <v>503</v>
      </c>
      <c r="G372" s="170">
        <v>1000.0</v>
      </c>
      <c r="H372" s="171">
        <v>200.0</v>
      </c>
      <c r="I372" s="171">
        <v>200.0</v>
      </c>
      <c r="J372" s="172">
        <f t="shared" si="16"/>
        <v>0.001342393283</v>
      </c>
      <c r="K372" s="173">
        <f t="shared" si="17"/>
        <v>1.61087194</v>
      </c>
      <c r="L372" s="174">
        <f t="shared" si="9"/>
        <v>7.823748029</v>
      </c>
      <c r="M372" s="175" t="str">
        <f t="shared" si="10"/>
        <v>atacas</v>
      </c>
      <c r="N372" s="176">
        <f>IFERROR(__xludf.DUMMYFUNCTION("""COMPUTED_VALUE"""),2.0)</f>
        <v>2</v>
      </c>
      <c r="O372" s="176"/>
      <c r="P372" s="166" t="s">
        <v>686</v>
      </c>
      <c r="Q372" s="166" t="s">
        <v>530</v>
      </c>
      <c r="R372" s="176"/>
      <c r="S372" s="176"/>
      <c r="T372" s="176"/>
      <c r="U372" s="176"/>
      <c r="V372" s="176"/>
      <c r="W372" s="176"/>
      <c r="X372" s="176"/>
      <c r="Y372" s="176"/>
      <c r="Z372" s="176"/>
      <c r="AA372" s="176"/>
    </row>
    <row r="373">
      <c r="A373" s="185" t="str">
        <f>iferror(VLOOKUP(P373,'DO NOT TOUCH Imported'!$A$1:$D$800,4,False),iferror(VLOOKUP(P373,'DO NOT TOUCH Imported'!$C$1:$D$800,2,False),"OOPS FIX ME"))</f>
        <v>atacas</v>
      </c>
      <c r="B373" s="185" t="s">
        <v>534</v>
      </c>
      <c r="C373" s="186" t="s">
        <v>688</v>
      </c>
      <c r="D373" s="187"/>
      <c r="E373" s="188"/>
      <c r="F373" s="189"/>
      <c r="G373" s="195"/>
      <c r="H373" s="190"/>
      <c r="I373" s="190"/>
      <c r="J373" s="172">
        <f>(H373/$H$2+I373/$I$2)/2</f>
        <v>0</v>
      </c>
      <c r="K373" s="215">
        <f>15.647*-0.5</f>
        <v>-7.8235</v>
      </c>
      <c r="L373" s="193">
        <f t="shared" si="9"/>
        <v>7.823748029</v>
      </c>
      <c r="M373" s="194" t="str">
        <f t="shared" si="10"/>
        <v>atacas</v>
      </c>
      <c r="N373" s="195">
        <f>IFERROR(__xludf.DUMMYFUNCTION("""COMPUTED_VALUE"""),3.0)</f>
        <v>3</v>
      </c>
      <c r="O373" s="195"/>
      <c r="P373" s="185" t="s">
        <v>55</v>
      </c>
      <c r="Q373" s="185" t="s">
        <v>534</v>
      </c>
      <c r="R373" s="195">
        <v>6.463920504925881</v>
      </c>
      <c r="S373" s="195"/>
      <c r="T373" s="195"/>
      <c r="U373" s="195"/>
      <c r="V373" s="195"/>
      <c r="W373" s="195"/>
      <c r="X373" s="195"/>
      <c r="Y373" s="195"/>
      <c r="Z373" s="195"/>
      <c r="AA373" s="176"/>
    </row>
    <row r="374">
      <c r="A374" s="165" t="str">
        <f>iferror(VLOOKUP(P374,'DO NOT TOUCH Imported'!$A$1:$D$800,4,False),iferror(VLOOKUP(P374,'DO NOT TOUCH Imported'!$C$1:$D$800,2,False),"OOPS FIX ME"))</f>
        <v>VitorMarthendal</v>
      </c>
      <c r="B374" s="166" t="s">
        <v>441</v>
      </c>
      <c r="C374" s="167" t="s">
        <v>689</v>
      </c>
      <c r="D374" s="168" t="s">
        <v>437</v>
      </c>
      <c r="E374" s="177" t="s">
        <v>438</v>
      </c>
      <c r="F374" s="168" t="s">
        <v>439</v>
      </c>
      <c r="G374" s="170">
        <v>200000.0</v>
      </c>
      <c r="H374" s="171">
        <v>200.0</v>
      </c>
      <c r="I374" s="171">
        <v>200.0</v>
      </c>
      <c r="J374" s="172">
        <f t="shared" ref="J374:J390" si="18">(G374/$G$2+H374/$H$2+I374/$I$2)/3</f>
        <v>0.02211700441</v>
      </c>
      <c r="K374" s="173">
        <f t="shared" ref="K374:K390" si="19">J374*$J$1</f>
        <v>26.54040529</v>
      </c>
      <c r="L374" s="174">
        <f t="shared" si="9"/>
        <v>7.559265334</v>
      </c>
      <c r="M374" s="175" t="str">
        <f t="shared" si="10"/>
        <v>VitorMarthendal</v>
      </c>
      <c r="N374" s="176">
        <f>IFERROR(__xludf.DUMMYFUNCTION("""COMPUTED_VALUE"""),1.0)</f>
        <v>1</v>
      </c>
      <c r="O374" s="176"/>
      <c r="P374" s="166" t="s">
        <v>690</v>
      </c>
      <c r="Q374" s="166" t="s">
        <v>441</v>
      </c>
      <c r="R374" s="176"/>
      <c r="S374" s="176"/>
      <c r="T374" s="176"/>
      <c r="U374" s="176"/>
      <c r="V374" s="176"/>
      <c r="W374" s="176"/>
      <c r="X374" s="176"/>
      <c r="Y374" s="176"/>
      <c r="Z374" s="176"/>
      <c r="AA374" s="176"/>
    </row>
    <row r="375">
      <c r="A375" s="165" t="str">
        <f>iferror(VLOOKUP(P375,'DO NOT TOUCH Imported'!$A$1:$D$800,4,False),iferror(VLOOKUP(P375,'DO NOT TOUCH Imported'!$C$1:$D$800,2,False),"OOPS FIX ME"))</f>
        <v>VitorMarthendal</v>
      </c>
      <c r="B375" s="166" t="s">
        <v>440</v>
      </c>
      <c r="C375" s="167" t="s">
        <v>691</v>
      </c>
      <c r="D375" s="168" t="s">
        <v>437</v>
      </c>
      <c r="E375" s="169" t="s">
        <v>438</v>
      </c>
      <c r="F375" s="168" t="s">
        <v>439</v>
      </c>
      <c r="G375" s="170">
        <v>20000.0</v>
      </c>
      <c r="H375" s="171">
        <v>200.0</v>
      </c>
      <c r="I375" s="171">
        <v>200.0</v>
      </c>
      <c r="J375" s="172">
        <f t="shared" si="18"/>
        <v>0.003325898868</v>
      </c>
      <c r="K375" s="173">
        <f t="shared" si="19"/>
        <v>3.991078642</v>
      </c>
      <c r="L375" s="174">
        <f t="shared" si="9"/>
        <v>7.559265334</v>
      </c>
      <c r="M375" s="175" t="str">
        <f t="shared" si="10"/>
        <v>VitorMarthendal</v>
      </c>
      <c r="N375" s="176">
        <f>IFERROR(__xludf.DUMMYFUNCTION("""COMPUTED_VALUE"""),2.0)</f>
        <v>2</v>
      </c>
      <c r="O375" s="176"/>
      <c r="P375" s="166" t="s">
        <v>690</v>
      </c>
      <c r="Q375" s="166" t="s">
        <v>440</v>
      </c>
      <c r="R375" s="176"/>
      <c r="S375" s="176"/>
      <c r="T375" s="176"/>
      <c r="U375" s="176"/>
      <c r="V375" s="176"/>
      <c r="W375" s="176"/>
      <c r="X375" s="176"/>
      <c r="Y375" s="176"/>
      <c r="Z375" s="176"/>
      <c r="AA375" s="176"/>
    </row>
    <row r="376">
      <c r="A376" s="165" t="str">
        <f>iferror(VLOOKUP(P376,'DO NOT TOUCH Imported'!$A$1:$D$800,4,False),iferror(VLOOKUP(P376,'DO NOT TOUCH Imported'!$C$1:$D$800,2,False),"OOPS FIX ME"))</f>
        <v>VitorMarthendal</v>
      </c>
      <c r="B376" s="166" t="s">
        <v>450</v>
      </c>
      <c r="C376" s="167" t="s">
        <v>552</v>
      </c>
      <c r="D376" s="168" t="s">
        <v>437</v>
      </c>
      <c r="E376" s="177" t="s">
        <v>452</v>
      </c>
      <c r="F376" s="168" t="s">
        <v>453</v>
      </c>
      <c r="G376" s="170">
        <v>1000.0</v>
      </c>
      <c r="H376" s="171">
        <v>200.0</v>
      </c>
      <c r="I376" s="171">
        <v>400.0</v>
      </c>
      <c r="J376" s="172">
        <f t="shared" si="18"/>
        <v>0.001941913667</v>
      </c>
      <c r="K376" s="173">
        <f t="shared" si="19"/>
        <v>2.3302964</v>
      </c>
      <c r="L376" s="174">
        <f t="shared" si="9"/>
        <v>7.559265334</v>
      </c>
      <c r="M376" s="175" t="str">
        <f t="shared" si="10"/>
        <v>VitorMarthendal</v>
      </c>
      <c r="N376" s="176">
        <f>IFERROR(__xludf.DUMMYFUNCTION("""COMPUTED_VALUE"""),3.0)</f>
        <v>3</v>
      </c>
      <c r="O376" s="176"/>
      <c r="P376" s="166" t="s">
        <v>690</v>
      </c>
      <c r="Q376" s="166" t="s">
        <v>450</v>
      </c>
      <c r="R376" s="176"/>
      <c r="S376" s="176"/>
      <c r="T376" s="176"/>
      <c r="U376" s="176"/>
      <c r="V376" s="176"/>
      <c r="W376" s="176"/>
      <c r="X376" s="176"/>
      <c r="Y376" s="176"/>
      <c r="Z376" s="176"/>
      <c r="AA376" s="176"/>
    </row>
    <row r="377">
      <c r="A377" s="165" t="str">
        <f>iferror(VLOOKUP(P377,'DO NOT TOUCH Imported'!$A$1:$D$800,4,False),iferror(VLOOKUP(P377,'DO NOT TOUCH Imported'!$C$1:$D$800,2,False),"OOPS FIX ME"))</f>
        <v>VitorMarthendal</v>
      </c>
      <c r="B377" s="166" t="s">
        <v>441</v>
      </c>
      <c r="C377" s="167" t="s">
        <v>442</v>
      </c>
      <c r="D377" s="168" t="s">
        <v>437</v>
      </c>
      <c r="E377" s="177" t="s">
        <v>438</v>
      </c>
      <c r="F377" s="168" t="s">
        <v>439</v>
      </c>
      <c r="G377" s="170">
        <v>10000.0</v>
      </c>
      <c r="H377" s="171">
        <v>100.0</v>
      </c>
      <c r="I377" s="171">
        <v>100.0</v>
      </c>
      <c r="J377" s="172">
        <f t="shared" si="18"/>
        <v>0.001662949434</v>
      </c>
      <c r="K377" s="173">
        <f t="shared" si="19"/>
        <v>1.995539321</v>
      </c>
      <c r="L377" s="174">
        <f t="shared" si="9"/>
        <v>7.559265334</v>
      </c>
      <c r="M377" s="175" t="str">
        <f t="shared" si="10"/>
        <v>VitorMarthendal</v>
      </c>
      <c r="N377" s="176">
        <f>IFERROR(__xludf.DUMMYFUNCTION("""COMPUTED_VALUE"""),4.0)</f>
        <v>4</v>
      </c>
      <c r="O377" s="176"/>
      <c r="P377" s="166" t="s">
        <v>690</v>
      </c>
      <c r="Q377" s="166" t="s">
        <v>441</v>
      </c>
      <c r="R377" s="176"/>
      <c r="S377" s="176"/>
      <c r="T377" s="176"/>
      <c r="U377" s="176"/>
      <c r="V377" s="176"/>
      <c r="W377" s="176"/>
      <c r="X377" s="176"/>
      <c r="Y377" s="176"/>
      <c r="Z377" s="176"/>
      <c r="AA377" s="176"/>
    </row>
    <row r="378">
      <c r="A378" s="165" t="str">
        <f>iferror(VLOOKUP(P378,'DO NOT TOUCH Imported'!$A$1:$D$800,4,False),iferror(VLOOKUP(P378,'DO NOT TOUCH Imported'!$C$1:$D$800,2,False),"OOPS FIX ME"))</f>
        <v>VitorMarthendal</v>
      </c>
      <c r="B378" s="166" t="s">
        <v>20</v>
      </c>
      <c r="C378" s="167" t="s">
        <v>672</v>
      </c>
      <c r="D378" s="168" t="s">
        <v>437</v>
      </c>
      <c r="E378" s="177" t="s">
        <v>438</v>
      </c>
      <c r="F378" s="168" t="s">
        <v>439</v>
      </c>
      <c r="G378" s="170">
        <v>10000.0</v>
      </c>
      <c r="H378" s="171">
        <v>100.0</v>
      </c>
      <c r="I378" s="171">
        <v>100.0</v>
      </c>
      <c r="J378" s="172">
        <f t="shared" si="18"/>
        <v>0.001662949434</v>
      </c>
      <c r="K378" s="173">
        <f t="shared" si="19"/>
        <v>1.995539321</v>
      </c>
      <c r="L378" s="174">
        <f t="shared" si="9"/>
        <v>7.559265334</v>
      </c>
      <c r="M378" s="175" t="str">
        <f t="shared" si="10"/>
        <v>VitorMarthendal</v>
      </c>
      <c r="N378" s="176">
        <f>IFERROR(__xludf.DUMMYFUNCTION("""COMPUTED_VALUE"""),5.0)</f>
        <v>5</v>
      </c>
      <c r="O378" s="176"/>
      <c r="P378" s="166" t="s">
        <v>690</v>
      </c>
      <c r="Q378" s="166" t="s">
        <v>20</v>
      </c>
      <c r="R378" s="176"/>
      <c r="S378" s="176"/>
      <c r="T378" s="176"/>
      <c r="U378" s="176"/>
      <c r="V378" s="176"/>
      <c r="W378" s="176"/>
      <c r="X378" s="176"/>
      <c r="Y378" s="176"/>
      <c r="Z378" s="176"/>
      <c r="AA378" s="176"/>
    </row>
    <row r="379">
      <c r="A379" s="165" t="str">
        <f>iferror(VLOOKUP(P379,'DO NOT TOUCH Imported'!$A$1:$D$800,4,False),iferror(VLOOKUP(P379,'DO NOT TOUCH Imported'!$C$1:$D$800,2,False),"OOPS FIX ME"))</f>
        <v>VitorMarthendal</v>
      </c>
      <c r="B379" s="166" t="s">
        <v>441</v>
      </c>
      <c r="C379" s="167" t="s">
        <v>554</v>
      </c>
      <c r="D379" s="168" t="s">
        <v>437</v>
      </c>
      <c r="E379" s="169" t="s">
        <v>447</v>
      </c>
      <c r="F379" s="168" t="s">
        <v>439</v>
      </c>
      <c r="G379" s="170">
        <v>1000.0</v>
      </c>
      <c r="H379" s="171">
        <v>200.0</v>
      </c>
      <c r="I379" s="171">
        <v>200.0</v>
      </c>
      <c r="J379" s="172">
        <f t="shared" si="18"/>
        <v>0.001342393283</v>
      </c>
      <c r="K379" s="173">
        <f t="shared" si="19"/>
        <v>1.61087194</v>
      </c>
      <c r="L379" s="174">
        <f t="shared" si="9"/>
        <v>7.559265334</v>
      </c>
      <c r="M379" s="175" t="str">
        <f t="shared" si="10"/>
        <v>VitorMarthendal</v>
      </c>
      <c r="N379" s="176">
        <f>IFERROR(__xludf.DUMMYFUNCTION("""COMPUTED_VALUE"""),6.0)</f>
        <v>6</v>
      </c>
      <c r="O379" s="176"/>
      <c r="P379" s="166" t="s">
        <v>690</v>
      </c>
      <c r="Q379" s="166" t="s">
        <v>441</v>
      </c>
      <c r="R379" s="176"/>
      <c r="S379" s="176"/>
      <c r="T379" s="176"/>
      <c r="U379" s="176"/>
      <c r="V379" s="176"/>
      <c r="W379" s="176"/>
      <c r="X379" s="176"/>
      <c r="Y379" s="176"/>
      <c r="Z379" s="176"/>
      <c r="AA379" s="176"/>
    </row>
    <row r="380">
      <c r="A380" s="165" t="str">
        <f>iferror(VLOOKUP(P380,'DO NOT TOUCH Imported'!$A$1:$D$800,4,False),iferror(VLOOKUP(P380,'DO NOT TOUCH Imported'!$C$1:$D$800,2,False),"OOPS FIX ME"))</f>
        <v>VitorMarthendal</v>
      </c>
      <c r="B380" s="166" t="s">
        <v>441</v>
      </c>
      <c r="C380" s="167" t="s">
        <v>674</v>
      </c>
      <c r="D380" s="168" t="s">
        <v>437</v>
      </c>
      <c r="E380" s="177" t="s">
        <v>438</v>
      </c>
      <c r="F380" s="168" t="s">
        <v>439</v>
      </c>
      <c r="G380" s="170">
        <v>1000.0</v>
      </c>
      <c r="H380" s="171">
        <v>200.0</v>
      </c>
      <c r="I380" s="171">
        <v>200.0</v>
      </c>
      <c r="J380" s="172">
        <f t="shared" si="18"/>
        <v>0.001342393283</v>
      </c>
      <c r="K380" s="173">
        <f t="shared" si="19"/>
        <v>1.61087194</v>
      </c>
      <c r="L380" s="174">
        <f t="shared" si="9"/>
        <v>7.559265334</v>
      </c>
      <c r="M380" s="175" t="str">
        <f t="shared" si="10"/>
        <v>VitorMarthendal</v>
      </c>
      <c r="N380" s="176">
        <f>IFERROR(__xludf.DUMMYFUNCTION("""COMPUTED_VALUE"""),7.0)</f>
        <v>7</v>
      </c>
      <c r="O380" s="176"/>
      <c r="P380" s="166" t="s">
        <v>690</v>
      </c>
      <c r="Q380" s="166" t="s">
        <v>441</v>
      </c>
      <c r="R380" s="176"/>
      <c r="S380" s="176"/>
      <c r="T380" s="176"/>
      <c r="U380" s="176"/>
      <c r="V380" s="176"/>
      <c r="W380" s="176"/>
      <c r="X380" s="176"/>
      <c r="Y380" s="176"/>
      <c r="Z380" s="176"/>
      <c r="AA380" s="176"/>
    </row>
    <row r="381">
      <c r="A381" s="165" t="str">
        <f>iferror(VLOOKUP(P381,'DO NOT TOUCH Imported'!$A$1:$D$800,4,False),iferror(VLOOKUP(P381,'DO NOT TOUCH Imported'!$C$1:$D$800,2,False),"OOPS FIX ME"))</f>
        <v>VitorMarthendal</v>
      </c>
      <c r="B381" s="166" t="s">
        <v>441</v>
      </c>
      <c r="C381" s="167" t="s">
        <v>555</v>
      </c>
      <c r="D381" s="168" t="s">
        <v>437</v>
      </c>
      <c r="E381" s="177" t="s">
        <v>438</v>
      </c>
      <c r="F381" s="168" t="s">
        <v>439</v>
      </c>
      <c r="G381" s="170">
        <v>1000.0</v>
      </c>
      <c r="H381" s="171">
        <v>200.0</v>
      </c>
      <c r="I381" s="171">
        <v>200.0</v>
      </c>
      <c r="J381" s="172">
        <f t="shared" si="18"/>
        <v>0.001342393283</v>
      </c>
      <c r="K381" s="173">
        <f t="shared" si="19"/>
        <v>1.61087194</v>
      </c>
      <c r="L381" s="174">
        <f t="shared" si="9"/>
        <v>7.559265334</v>
      </c>
      <c r="M381" s="175" t="str">
        <f t="shared" si="10"/>
        <v>VitorMarthendal</v>
      </c>
      <c r="N381" s="176">
        <f>IFERROR(__xludf.DUMMYFUNCTION("""COMPUTED_VALUE"""),8.0)</f>
        <v>8</v>
      </c>
      <c r="O381" s="176"/>
      <c r="P381" s="166" t="s">
        <v>690</v>
      </c>
      <c r="Q381" s="166" t="s">
        <v>441</v>
      </c>
      <c r="R381" s="176"/>
      <c r="S381" s="176"/>
      <c r="T381" s="176"/>
      <c r="U381" s="176"/>
      <c r="V381" s="176"/>
      <c r="W381" s="176"/>
      <c r="X381" s="176"/>
      <c r="Y381" s="176"/>
      <c r="Z381" s="176"/>
      <c r="AA381" s="176"/>
    </row>
    <row r="382">
      <c r="A382" s="165" t="str">
        <f>iferror(VLOOKUP(P382,'DO NOT TOUCH Imported'!$A$1:$D$800,4,False),iferror(VLOOKUP(P382,'DO NOT TOUCH Imported'!$C$1:$D$800,2,False),"OOPS FIX ME"))</f>
        <v>VitorMarthendal</v>
      </c>
      <c r="B382" s="166" t="s">
        <v>441</v>
      </c>
      <c r="C382" s="167" t="s">
        <v>556</v>
      </c>
      <c r="D382" s="168" t="s">
        <v>437</v>
      </c>
      <c r="E382" s="177" t="s">
        <v>438</v>
      </c>
      <c r="F382" s="168" t="s">
        <v>439</v>
      </c>
      <c r="G382" s="170">
        <v>1000.0</v>
      </c>
      <c r="H382" s="171">
        <v>150.0</v>
      </c>
      <c r="I382" s="171">
        <v>200.0</v>
      </c>
      <c r="J382" s="172">
        <f t="shared" si="18"/>
        <v>0.001182773816</v>
      </c>
      <c r="K382" s="173">
        <f t="shared" si="19"/>
        <v>1.419328579</v>
      </c>
      <c r="L382" s="174">
        <f t="shared" si="9"/>
        <v>7.559265334</v>
      </c>
      <c r="M382" s="175" t="str">
        <f t="shared" si="10"/>
        <v>VitorMarthendal</v>
      </c>
      <c r="N382" s="176">
        <f>IFERROR(__xludf.DUMMYFUNCTION("""COMPUTED_VALUE"""),9.0)</f>
        <v>9</v>
      </c>
      <c r="O382" s="176"/>
      <c r="P382" s="166" t="s">
        <v>690</v>
      </c>
      <c r="Q382" s="166" t="s">
        <v>441</v>
      </c>
      <c r="R382" s="176"/>
      <c r="S382" s="176"/>
      <c r="T382" s="176"/>
      <c r="U382" s="176"/>
      <c r="V382" s="176"/>
      <c r="W382" s="176"/>
      <c r="X382" s="176"/>
      <c r="Y382" s="176"/>
      <c r="Z382" s="176"/>
      <c r="AA382" s="176"/>
    </row>
    <row r="383">
      <c r="A383" s="165" t="str">
        <f>iferror(VLOOKUP(P383,'DO NOT TOUCH Imported'!$A$1:$D$800,4,False),iferror(VLOOKUP(P383,'DO NOT TOUCH Imported'!$C$1:$D$800,2,False),"OOPS FIX ME"))</f>
        <v>VitorMarthendal</v>
      </c>
      <c r="B383" s="166" t="s">
        <v>441</v>
      </c>
      <c r="C383" s="167" t="s">
        <v>692</v>
      </c>
      <c r="D383" s="168" t="s">
        <v>437</v>
      </c>
      <c r="E383" s="177" t="s">
        <v>438</v>
      </c>
      <c r="F383" s="168" t="s">
        <v>439</v>
      </c>
      <c r="G383" s="170">
        <v>1000.0</v>
      </c>
      <c r="H383" s="171">
        <v>200.0</v>
      </c>
      <c r="I383" s="171">
        <v>100.0</v>
      </c>
      <c r="J383" s="172">
        <f t="shared" si="18"/>
        <v>0.001042633091</v>
      </c>
      <c r="K383" s="173">
        <f t="shared" si="19"/>
        <v>1.25115971</v>
      </c>
      <c r="L383" s="174">
        <f t="shared" si="9"/>
        <v>7.559265334</v>
      </c>
      <c r="M383" s="175" t="str">
        <f t="shared" si="10"/>
        <v>VitorMarthendal</v>
      </c>
      <c r="N383" s="176">
        <f>IFERROR(__xludf.DUMMYFUNCTION("""COMPUTED_VALUE"""),10.0)</f>
        <v>10</v>
      </c>
      <c r="O383" s="176"/>
      <c r="P383" s="166" t="s">
        <v>690</v>
      </c>
      <c r="Q383" s="166" t="s">
        <v>441</v>
      </c>
      <c r="R383" s="176"/>
      <c r="S383" s="176"/>
      <c r="T383" s="176"/>
      <c r="U383" s="176"/>
      <c r="V383" s="176"/>
      <c r="W383" s="176"/>
      <c r="X383" s="176"/>
      <c r="Y383" s="176"/>
      <c r="Z383" s="176"/>
      <c r="AA383" s="176"/>
    </row>
    <row r="384">
      <c r="A384" s="165" t="str">
        <f>iferror(VLOOKUP(P384,'DO NOT TOUCH Imported'!$A$1:$D$800,4,False),iferror(VLOOKUP(P384,'DO NOT TOUCH Imported'!$C$1:$D$800,2,False),"OOPS FIX ME"))</f>
        <v>VitorMarthendal</v>
      </c>
      <c r="B384" s="166" t="s">
        <v>441</v>
      </c>
      <c r="C384" s="167" t="s">
        <v>610</v>
      </c>
      <c r="D384" s="168" t="s">
        <v>437</v>
      </c>
      <c r="E384" s="177" t="s">
        <v>447</v>
      </c>
      <c r="F384" s="168" t="s">
        <v>439</v>
      </c>
      <c r="G384" s="170">
        <v>1000.0</v>
      </c>
      <c r="H384" s="171">
        <v>150.0</v>
      </c>
      <c r="I384" s="171">
        <v>100.0</v>
      </c>
      <c r="J384" s="172">
        <f t="shared" si="18"/>
        <v>0.0008830136242</v>
      </c>
      <c r="K384" s="173">
        <f t="shared" si="19"/>
        <v>1.059616349</v>
      </c>
      <c r="L384" s="174">
        <f t="shared" si="9"/>
        <v>7.559265334</v>
      </c>
      <c r="M384" s="175" t="str">
        <f t="shared" si="10"/>
        <v>VitorMarthendal</v>
      </c>
      <c r="N384" s="176">
        <f>IFERROR(__xludf.DUMMYFUNCTION("""COMPUTED_VALUE"""),11.0)</f>
        <v>11</v>
      </c>
      <c r="O384" s="176"/>
      <c r="P384" s="166" t="s">
        <v>690</v>
      </c>
      <c r="Q384" s="166" t="s">
        <v>441</v>
      </c>
      <c r="R384" s="176"/>
      <c r="S384" s="176"/>
      <c r="T384" s="176"/>
      <c r="U384" s="176"/>
      <c r="V384" s="176"/>
      <c r="W384" s="176"/>
      <c r="X384" s="176"/>
      <c r="Y384" s="176"/>
      <c r="Z384" s="176"/>
      <c r="AA384" s="176"/>
    </row>
    <row r="385">
      <c r="A385" s="165" t="str">
        <f>iferror(VLOOKUP(P385,'DO NOT TOUCH Imported'!$A$1:$D$800,4,False),iferror(VLOOKUP(P385,'DO NOT TOUCH Imported'!$C$1:$D$800,2,False),"OOPS FIX ME"))</f>
        <v>VitorMarthendal</v>
      </c>
      <c r="B385" s="166" t="s">
        <v>441</v>
      </c>
      <c r="C385" s="167" t="s">
        <v>681</v>
      </c>
      <c r="D385" s="168" t="s">
        <v>437</v>
      </c>
      <c r="E385" s="177" t="s">
        <v>447</v>
      </c>
      <c r="F385" s="168" t="s">
        <v>439</v>
      </c>
      <c r="G385" s="170">
        <v>1000.0</v>
      </c>
      <c r="H385" s="171">
        <v>100.0</v>
      </c>
      <c r="I385" s="171">
        <v>100.0</v>
      </c>
      <c r="J385" s="172">
        <f t="shared" si="18"/>
        <v>0.000723394157</v>
      </c>
      <c r="K385" s="173">
        <f t="shared" si="19"/>
        <v>0.8680729884</v>
      </c>
      <c r="L385" s="174">
        <f t="shared" si="9"/>
        <v>7.559265334</v>
      </c>
      <c r="M385" s="175" t="str">
        <f t="shared" si="10"/>
        <v>VitorMarthendal</v>
      </c>
      <c r="N385" s="176">
        <f>IFERROR(__xludf.DUMMYFUNCTION("""COMPUTED_VALUE"""),12.0)</f>
        <v>12</v>
      </c>
      <c r="O385" s="176"/>
      <c r="P385" s="166" t="s">
        <v>690</v>
      </c>
      <c r="Q385" s="166" t="s">
        <v>441</v>
      </c>
      <c r="R385" s="176"/>
      <c r="S385" s="176"/>
      <c r="T385" s="176"/>
      <c r="U385" s="176"/>
      <c r="V385" s="176"/>
      <c r="W385" s="176"/>
      <c r="X385" s="176"/>
      <c r="Y385" s="176"/>
      <c r="Z385" s="176"/>
      <c r="AA385" s="176"/>
    </row>
    <row r="386">
      <c r="A386" s="165" t="str">
        <f>iferror(VLOOKUP(P386,'DO NOT TOUCH Imported'!$A$1:$D$800,4,False),iferror(VLOOKUP(P386,'DO NOT TOUCH Imported'!$C$1:$D$800,2,False),"OOPS FIX ME"))</f>
        <v>VitorMarthendal</v>
      </c>
      <c r="B386" s="166" t="s">
        <v>441</v>
      </c>
      <c r="C386" s="167" t="s">
        <v>666</v>
      </c>
      <c r="D386" s="168" t="s">
        <v>499</v>
      </c>
      <c r="E386" s="169" t="s">
        <v>452</v>
      </c>
      <c r="F386" s="168" t="s">
        <v>503</v>
      </c>
      <c r="G386" s="170">
        <v>1000.0</v>
      </c>
      <c r="H386" s="171">
        <v>100.0</v>
      </c>
      <c r="I386" s="171">
        <v>100.0</v>
      </c>
      <c r="J386" s="172">
        <f t="shared" si="18"/>
        <v>0.000723394157</v>
      </c>
      <c r="K386" s="173">
        <f t="shared" si="19"/>
        <v>0.8680729884</v>
      </c>
      <c r="L386" s="174">
        <f t="shared" si="9"/>
        <v>7.559265334</v>
      </c>
      <c r="M386" s="175" t="str">
        <f t="shared" si="10"/>
        <v>VitorMarthendal</v>
      </c>
      <c r="N386" s="176">
        <f>IFERROR(__xludf.DUMMYFUNCTION("""COMPUTED_VALUE"""),13.0)</f>
        <v>13</v>
      </c>
      <c r="O386" s="176"/>
      <c r="P386" s="166" t="s">
        <v>690</v>
      </c>
      <c r="Q386" s="166" t="s">
        <v>441</v>
      </c>
      <c r="R386" s="176"/>
      <c r="S386" s="176"/>
      <c r="T386" s="176"/>
      <c r="U386" s="176"/>
      <c r="V386" s="176"/>
      <c r="W386" s="176"/>
      <c r="X386" s="176"/>
      <c r="Y386" s="176"/>
      <c r="Z386" s="176"/>
      <c r="AA386" s="176"/>
    </row>
    <row r="387">
      <c r="A387" s="165" t="str">
        <f>iferror(VLOOKUP(P387,'DO NOT TOUCH Imported'!$A$1:$D$800,4,False),iferror(VLOOKUP(P387,'DO NOT TOUCH Imported'!$C$1:$D$800,2,False),"OOPS FIX ME"))</f>
        <v>VitorMarthendal</v>
      </c>
      <c r="B387" s="166" t="s">
        <v>441</v>
      </c>
      <c r="C387" s="167" t="s">
        <v>475</v>
      </c>
      <c r="D387" s="168" t="s">
        <v>437</v>
      </c>
      <c r="E387" s="177" t="s">
        <v>438</v>
      </c>
      <c r="F387" s="168" t="s">
        <v>439</v>
      </c>
      <c r="G387" s="170">
        <v>1000.0</v>
      </c>
      <c r="H387" s="171">
        <v>100.0</v>
      </c>
      <c r="I387" s="171">
        <v>100.0</v>
      </c>
      <c r="J387" s="172">
        <f t="shared" si="18"/>
        <v>0.000723394157</v>
      </c>
      <c r="K387" s="173">
        <f t="shared" si="19"/>
        <v>0.8680729884</v>
      </c>
      <c r="L387" s="174">
        <f t="shared" si="9"/>
        <v>7.559265334</v>
      </c>
      <c r="M387" s="175" t="str">
        <f t="shared" si="10"/>
        <v>VitorMarthendal</v>
      </c>
      <c r="N387" s="176">
        <f>IFERROR(__xludf.DUMMYFUNCTION("""COMPUTED_VALUE"""),14.0)</f>
        <v>14</v>
      </c>
      <c r="O387" s="176"/>
      <c r="P387" s="166" t="s">
        <v>690</v>
      </c>
      <c r="Q387" s="166" t="s">
        <v>441</v>
      </c>
      <c r="R387" s="176"/>
      <c r="S387" s="176"/>
      <c r="T387" s="176"/>
      <c r="U387" s="176"/>
      <c r="V387" s="176"/>
      <c r="W387" s="176"/>
      <c r="X387" s="176"/>
      <c r="Y387" s="176"/>
      <c r="Z387" s="176"/>
      <c r="AA387" s="176"/>
    </row>
    <row r="388">
      <c r="A388" s="165" t="str">
        <f>iferror(VLOOKUP(P388,'DO NOT TOUCH Imported'!$A$1:$D$800,4,False),iferror(VLOOKUP(P388,'DO NOT TOUCH Imported'!$C$1:$D$800,2,False),"OOPS FIX ME"))</f>
        <v>VitorMarthendal</v>
      </c>
      <c r="B388" s="166" t="s">
        <v>441</v>
      </c>
      <c r="C388" s="167" t="s">
        <v>667</v>
      </c>
      <c r="D388" s="168" t="s">
        <v>437</v>
      </c>
      <c r="E388" s="169" t="s">
        <v>438</v>
      </c>
      <c r="F388" s="168" t="s">
        <v>439</v>
      </c>
      <c r="G388" s="170">
        <v>1000.0</v>
      </c>
      <c r="H388" s="171">
        <v>100.0</v>
      </c>
      <c r="I388" s="171">
        <v>100.0</v>
      </c>
      <c r="J388" s="172">
        <f t="shared" si="18"/>
        <v>0.000723394157</v>
      </c>
      <c r="K388" s="173">
        <f t="shared" si="19"/>
        <v>0.8680729884</v>
      </c>
      <c r="L388" s="174">
        <f t="shared" si="9"/>
        <v>7.559265334</v>
      </c>
      <c r="M388" s="175" t="str">
        <f t="shared" si="10"/>
        <v>VitorMarthendal</v>
      </c>
      <c r="N388" s="176">
        <f>IFERROR(__xludf.DUMMYFUNCTION("""COMPUTED_VALUE"""),15.0)</f>
        <v>15</v>
      </c>
      <c r="O388" s="176"/>
      <c r="P388" s="166" t="s">
        <v>690</v>
      </c>
      <c r="Q388" s="166" t="s">
        <v>441</v>
      </c>
      <c r="R388" s="176"/>
      <c r="S388" s="176"/>
      <c r="T388" s="176"/>
      <c r="U388" s="176"/>
      <c r="V388" s="176"/>
      <c r="W388" s="176"/>
      <c r="X388" s="176"/>
      <c r="Y388" s="176"/>
      <c r="Z388" s="176"/>
      <c r="AA388" s="176"/>
    </row>
    <row r="389">
      <c r="A389" s="165" t="str">
        <f>iferror(VLOOKUP(P389,'DO NOT TOUCH Imported'!$A$1:$D$800,4,False),iferror(VLOOKUP(P389,'DO NOT TOUCH Imported'!$C$1:$D$800,2,False),"OOPS FIX ME"))</f>
        <v>VitorMarthendal</v>
      </c>
      <c r="B389" s="178" t="s">
        <v>519</v>
      </c>
      <c r="C389" s="179" t="s">
        <v>668</v>
      </c>
      <c r="D389" s="180" t="s">
        <v>495</v>
      </c>
      <c r="E389" s="184">
        <v>44314.0</v>
      </c>
      <c r="F389" s="182" t="s">
        <v>521</v>
      </c>
      <c r="G389" s="170">
        <v>1000.0</v>
      </c>
      <c r="H389" s="171">
        <v>70.0</v>
      </c>
      <c r="I389" s="171">
        <v>100.0</v>
      </c>
      <c r="J389" s="172">
        <f t="shared" si="18"/>
        <v>0.0006276224767</v>
      </c>
      <c r="K389" s="173">
        <f t="shared" si="19"/>
        <v>0.7531469721</v>
      </c>
      <c r="L389" s="174">
        <f t="shared" si="9"/>
        <v>7.559265334</v>
      </c>
      <c r="M389" s="175" t="str">
        <f t="shared" si="10"/>
        <v>VitorMarthendal</v>
      </c>
      <c r="N389" s="176">
        <f>IFERROR(__xludf.DUMMYFUNCTION("""COMPUTED_VALUE"""),16.0)</f>
        <v>16</v>
      </c>
      <c r="O389" s="176"/>
      <c r="P389" s="183" t="s">
        <v>35</v>
      </c>
      <c r="Q389" s="178" t="s">
        <v>519</v>
      </c>
      <c r="R389" s="176"/>
      <c r="S389" s="176"/>
      <c r="T389" s="176"/>
      <c r="U389" s="176"/>
      <c r="V389" s="176"/>
      <c r="W389" s="176"/>
      <c r="X389" s="176"/>
      <c r="Y389" s="176"/>
      <c r="Z389" s="176"/>
      <c r="AA389" s="176"/>
    </row>
    <row r="390">
      <c r="A390" s="165" t="str">
        <f>iferror(VLOOKUP(P390,'DO NOT TOUCH Imported'!$A$1:$D$800,4,False),iferror(VLOOKUP(P390,'DO NOT TOUCH Imported'!$C$1:$D$800,2,False),"OOPS FIX ME"))</f>
        <v>VitorMarthendal</v>
      </c>
      <c r="B390" s="178" t="s">
        <v>519</v>
      </c>
      <c r="C390" s="179" t="s">
        <v>668</v>
      </c>
      <c r="D390" s="180" t="s">
        <v>495</v>
      </c>
      <c r="E390" s="181">
        <v>44321.0</v>
      </c>
      <c r="F390" s="182" t="s">
        <v>521</v>
      </c>
      <c r="G390" s="170">
        <v>1000.0</v>
      </c>
      <c r="H390" s="171">
        <v>70.0</v>
      </c>
      <c r="I390" s="171">
        <v>100.0</v>
      </c>
      <c r="J390" s="172">
        <f t="shared" si="18"/>
        <v>0.0006276224767</v>
      </c>
      <c r="K390" s="173">
        <f t="shared" si="19"/>
        <v>0.7531469721</v>
      </c>
      <c r="L390" s="174">
        <f t="shared" si="9"/>
        <v>7.559265334</v>
      </c>
      <c r="M390" s="175" t="str">
        <f t="shared" si="10"/>
        <v>VitorMarthendal</v>
      </c>
      <c r="N390" s="176">
        <f>IFERROR(__xludf.DUMMYFUNCTION("""COMPUTED_VALUE"""),17.0)</f>
        <v>17</v>
      </c>
      <c r="O390" s="176"/>
      <c r="P390" s="183" t="s">
        <v>35</v>
      </c>
      <c r="Q390" s="178" t="s">
        <v>519</v>
      </c>
      <c r="R390" s="176"/>
      <c r="S390" s="176"/>
      <c r="T390" s="176"/>
      <c r="U390" s="176"/>
      <c r="V390" s="176"/>
      <c r="W390" s="176"/>
      <c r="X390" s="176"/>
      <c r="Y390" s="176"/>
      <c r="Z390" s="176"/>
      <c r="AA390" s="176"/>
    </row>
    <row r="391">
      <c r="A391" s="185" t="str">
        <f>iferror(VLOOKUP(P391,'DO NOT TOUCH Imported'!$A$1:$D$800,4,False),iferror(VLOOKUP(P391,'DO NOT TOUCH Imported'!$C$1:$D$800,2,False),"OOPS FIX ME"))</f>
        <v>VitorMarthendal</v>
      </c>
      <c r="B391" s="196" t="s">
        <v>534</v>
      </c>
      <c r="C391" s="216" t="s">
        <v>693</v>
      </c>
      <c r="D391" s="212"/>
      <c r="E391" s="214"/>
      <c r="F391" s="212"/>
      <c r="G391" s="196"/>
      <c r="H391" s="196"/>
      <c r="I391" s="196"/>
      <c r="J391" s="172">
        <f>(H391/$H$2+I391/$I$2)/2</f>
        <v>0</v>
      </c>
      <c r="K391" s="192">
        <f>50.394*-0.85</f>
        <v>-42.8349</v>
      </c>
      <c r="L391" s="193">
        <f t="shared" si="9"/>
        <v>7.559265334</v>
      </c>
      <c r="M391" s="194" t="str">
        <f t="shared" si="10"/>
        <v>VitorMarthendal</v>
      </c>
      <c r="N391" s="217">
        <f>IFERROR(__xludf.DUMMYFUNCTION("""COMPUTED_VALUE"""),18.0)</f>
        <v>18</v>
      </c>
      <c r="O391" s="212"/>
      <c r="P391" s="196" t="s">
        <v>35</v>
      </c>
      <c r="Q391" s="196" t="s">
        <v>534</v>
      </c>
      <c r="R391" s="187">
        <v>57.049855624848725</v>
      </c>
      <c r="S391" s="212"/>
      <c r="T391" s="212"/>
      <c r="U391" s="212"/>
      <c r="V391" s="212"/>
      <c r="W391" s="212"/>
      <c r="X391" s="212"/>
      <c r="Y391" s="212"/>
      <c r="Z391" s="212"/>
      <c r="AA391" s="176"/>
    </row>
    <row r="392">
      <c r="A392" s="165" t="str">
        <f>iferror(VLOOKUP(P392,'DO NOT TOUCH Imported'!$A$1:$D$800,4,False),iferror(VLOOKUP(P392,'DO NOT TOUCH Imported'!$C$1:$D$800,2,False),"OOPS FIX ME"))</f>
        <v>mateodaza</v>
      </c>
      <c r="B392" s="166" t="s">
        <v>441</v>
      </c>
      <c r="C392" s="167" t="s">
        <v>694</v>
      </c>
      <c r="D392" s="168" t="s">
        <v>437</v>
      </c>
      <c r="E392" s="169" t="s">
        <v>447</v>
      </c>
      <c r="F392" s="168" t="s">
        <v>439</v>
      </c>
      <c r="G392" s="170">
        <v>1000.0</v>
      </c>
      <c r="H392" s="171">
        <v>200.0</v>
      </c>
      <c r="I392" s="171">
        <v>200.0</v>
      </c>
      <c r="J392" s="172">
        <f t="shared" ref="J392:J456" si="20">(G392/$G$2+H392/$H$2+I392/$I$2)/3</f>
        <v>0.001342393283</v>
      </c>
      <c r="K392" s="173">
        <f t="shared" ref="K392:K405" si="21">J392*$J$1</f>
        <v>1.61087194</v>
      </c>
      <c r="L392" s="174">
        <f t="shared" si="9"/>
        <v>7.478048774</v>
      </c>
      <c r="M392" s="175" t="str">
        <f t="shared" si="10"/>
        <v>mateodaza</v>
      </c>
      <c r="N392" s="176">
        <f>IFERROR(__xludf.DUMMYFUNCTION("""COMPUTED_VALUE"""),1.0)</f>
        <v>1</v>
      </c>
      <c r="O392" s="176"/>
      <c r="P392" s="166" t="s">
        <v>695</v>
      </c>
      <c r="Q392" s="166" t="s">
        <v>441</v>
      </c>
      <c r="R392" s="176"/>
      <c r="S392" s="176"/>
      <c r="T392" s="176"/>
      <c r="U392" s="176"/>
      <c r="V392" s="176"/>
      <c r="W392" s="176"/>
      <c r="X392" s="176"/>
      <c r="Y392" s="176"/>
      <c r="Z392" s="176"/>
      <c r="AA392" s="176"/>
    </row>
    <row r="393">
      <c r="A393" s="165" t="str">
        <f>iferror(VLOOKUP(P393,'DO NOT TOUCH Imported'!$A$1:$D$800,4,False),iferror(VLOOKUP(P393,'DO NOT TOUCH Imported'!$C$1:$D$800,2,False),"OOPS FIX ME"))</f>
        <v>mateodaza</v>
      </c>
      <c r="B393" s="166" t="s">
        <v>441</v>
      </c>
      <c r="C393" s="167" t="s">
        <v>575</v>
      </c>
      <c r="D393" s="168" t="s">
        <v>437</v>
      </c>
      <c r="E393" s="169" t="s">
        <v>447</v>
      </c>
      <c r="F393" s="168" t="s">
        <v>439</v>
      </c>
      <c r="G393" s="170">
        <v>1000.0</v>
      </c>
      <c r="H393" s="171">
        <v>150.0</v>
      </c>
      <c r="I393" s="171">
        <v>200.0</v>
      </c>
      <c r="J393" s="172">
        <f t="shared" si="20"/>
        <v>0.001182773816</v>
      </c>
      <c r="K393" s="173">
        <f t="shared" si="21"/>
        <v>1.419328579</v>
      </c>
      <c r="L393" s="174">
        <f t="shared" si="9"/>
        <v>7.478048774</v>
      </c>
      <c r="M393" s="175" t="str">
        <f t="shared" si="10"/>
        <v>mateodaza</v>
      </c>
      <c r="N393" s="176">
        <f>IFERROR(__xludf.DUMMYFUNCTION("""COMPUTED_VALUE"""),2.0)</f>
        <v>2</v>
      </c>
      <c r="O393" s="176"/>
      <c r="P393" s="166" t="s">
        <v>695</v>
      </c>
      <c r="Q393" s="166" t="s">
        <v>441</v>
      </c>
      <c r="R393" s="176"/>
      <c r="S393" s="176"/>
      <c r="T393" s="176"/>
      <c r="U393" s="176"/>
      <c r="V393" s="176"/>
      <c r="W393" s="176"/>
      <c r="X393" s="176"/>
      <c r="Y393" s="176"/>
      <c r="Z393" s="176"/>
      <c r="AA393" s="176"/>
    </row>
    <row r="394">
      <c r="A394" s="165" t="str">
        <f>iferror(VLOOKUP(P394,'DO NOT TOUCH Imported'!$A$1:$D$800,4,False),iferror(VLOOKUP(P394,'DO NOT TOUCH Imported'!$C$1:$D$800,2,False),"OOPS FIX ME"))</f>
        <v>mateodaza</v>
      </c>
      <c r="B394" s="166" t="s">
        <v>441</v>
      </c>
      <c r="C394" s="167" t="s">
        <v>696</v>
      </c>
      <c r="D394" s="168" t="s">
        <v>437</v>
      </c>
      <c r="E394" s="177" t="s">
        <v>438</v>
      </c>
      <c r="F394" s="168" t="s">
        <v>439</v>
      </c>
      <c r="G394" s="170">
        <v>1000.0</v>
      </c>
      <c r="H394" s="171">
        <v>150.0</v>
      </c>
      <c r="I394" s="171">
        <v>200.0</v>
      </c>
      <c r="J394" s="172">
        <f t="shared" si="20"/>
        <v>0.001182773816</v>
      </c>
      <c r="K394" s="173">
        <f t="shared" si="21"/>
        <v>1.419328579</v>
      </c>
      <c r="L394" s="174">
        <f t="shared" si="9"/>
        <v>7.478048774</v>
      </c>
      <c r="M394" s="175" t="str">
        <f t="shared" si="10"/>
        <v>mateodaza</v>
      </c>
      <c r="N394" s="176">
        <f>IFERROR(__xludf.DUMMYFUNCTION("""COMPUTED_VALUE"""),3.0)</f>
        <v>3</v>
      </c>
      <c r="O394" s="176"/>
      <c r="P394" s="166" t="s">
        <v>695</v>
      </c>
      <c r="Q394" s="166" t="s">
        <v>441</v>
      </c>
      <c r="R394" s="176"/>
      <c r="S394" s="176"/>
      <c r="T394" s="176"/>
      <c r="U394" s="176"/>
      <c r="V394" s="176"/>
      <c r="W394" s="176"/>
      <c r="X394" s="176"/>
      <c r="Y394" s="176"/>
      <c r="Z394" s="176"/>
      <c r="AA394" s="176"/>
    </row>
    <row r="395">
      <c r="A395" s="165" t="str">
        <f>iferror(VLOOKUP(P395,'DO NOT TOUCH Imported'!$A$1:$D$800,4,False),iferror(VLOOKUP(P395,'DO NOT TOUCH Imported'!$C$1:$D$800,2,False),"OOPS FIX ME"))</f>
        <v>mateodaza</v>
      </c>
      <c r="B395" s="166" t="s">
        <v>435</v>
      </c>
      <c r="C395" s="167" t="s">
        <v>697</v>
      </c>
      <c r="D395" s="168" t="s">
        <v>437</v>
      </c>
      <c r="E395" s="177" t="s">
        <v>488</v>
      </c>
      <c r="F395" s="168" t="s">
        <v>439</v>
      </c>
      <c r="G395" s="170">
        <v>1000.0</v>
      </c>
      <c r="H395" s="171">
        <v>200.0</v>
      </c>
      <c r="I395" s="171">
        <v>100.0</v>
      </c>
      <c r="J395" s="172">
        <f t="shared" si="20"/>
        <v>0.001042633091</v>
      </c>
      <c r="K395" s="173">
        <f t="shared" si="21"/>
        <v>1.25115971</v>
      </c>
      <c r="L395" s="174">
        <f t="shared" si="9"/>
        <v>7.478048774</v>
      </c>
      <c r="M395" s="175" t="str">
        <f t="shared" si="10"/>
        <v>mateodaza</v>
      </c>
      <c r="N395" s="176">
        <f>IFERROR(__xludf.DUMMYFUNCTION("""COMPUTED_VALUE"""),4.0)</f>
        <v>4</v>
      </c>
      <c r="O395" s="176"/>
      <c r="P395" s="166" t="s">
        <v>695</v>
      </c>
      <c r="Q395" s="166" t="s">
        <v>435</v>
      </c>
      <c r="R395" s="176"/>
      <c r="S395" s="176"/>
      <c r="T395" s="176"/>
      <c r="U395" s="176"/>
      <c r="V395" s="176"/>
      <c r="W395" s="176"/>
      <c r="X395" s="176"/>
      <c r="Y395" s="176"/>
      <c r="Z395" s="176"/>
      <c r="AA395" s="176"/>
    </row>
    <row r="396">
      <c r="A396" s="165" t="str">
        <f>iferror(VLOOKUP(P396,'DO NOT TOUCH Imported'!$A$1:$D$800,4,False),iferror(VLOOKUP(P396,'DO NOT TOUCH Imported'!$C$1:$D$800,2,False),"OOPS FIX ME"))</f>
        <v>mateodaza</v>
      </c>
      <c r="B396" s="166" t="s">
        <v>490</v>
      </c>
      <c r="C396" s="167" t="s">
        <v>577</v>
      </c>
      <c r="D396" s="168" t="s">
        <v>437</v>
      </c>
      <c r="E396" s="177" t="s">
        <v>445</v>
      </c>
      <c r="F396" s="168" t="s">
        <v>439</v>
      </c>
      <c r="G396" s="170">
        <v>1000.0</v>
      </c>
      <c r="H396" s="171">
        <v>200.0</v>
      </c>
      <c r="I396" s="171">
        <v>100.0</v>
      </c>
      <c r="J396" s="172">
        <f t="shared" si="20"/>
        <v>0.001042633091</v>
      </c>
      <c r="K396" s="173">
        <f t="shared" si="21"/>
        <v>1.25115971</v>
      </c>
      <c r="L396" s="174">
        <f t="shared" si="9"/>
        <v>7.478048774</v>
      </c>
      <c r="M396" s="175" t="str">
        <f t="shared" si="10"/>
        <v>mateodaza</v>
      </c>
      <c r="N396" s="176">
        <f>IFERROR(__xludf.DUMMYFUNCTION("""COMPUTED_VALUE"""),5.0)</f>
        <v>5</v>
      </c>
      <c r="O396" s="176"/>
      <c r="P396" s="166" t="s">
        <v>695</v>
      </c>
      <c r="Q396" s="166" t="s">
        <v>490</v>
      </c>
      <c r="R396" s="176"/>
      <c r="S396" s="176"/>
      <c r="T396" s="176"/>
      <c r="U396" s="176"/>
      <c r="V396" s="176"/>
      <c r="W396" s="176"/>
      <c r="X396" s="176"/>
      <c r="Y396" s="176"/>
      <c r="Z396" s="176"/>
      <c r="AA396" s="176"/>
    </row>
    <row r="397">
      <c r="A397" s="165" t="str">
        <f>iferror(VLOOKUP(P397,'DO NOT TOUCH Imported'!$A$1:$D$800,4,False),iferror(VLOOKUP(P397,'DO NOT TOUCH Imported'!$C$1:$D$800,2,False),"OOPS FIX ME"))</f>
        <v>mateodaza</v>
      </c>
      <c r="B397" s="166" t="s">
        <v>441</v>
      </c>
      <c r="C397" s="167" t="s">
        <v>698</v>
      </c>
      <c r="D397" s="168" t="s">
        <v>437</v>
      </c>
      <c r="E397" s="169" t="s">
        <v>447</v>
      </c>
      <c r="F397" s="168" t="s">
        <v>439</v>
      </c>
      <c r="G397" s="170">
        <v>1000.0</v>
      </c>
      <c r="H397" s="171">
        <v>200.0</v>
      </c>
      <c r="I397" s="171">
        <v>100.0</v>
      </c>
      <c r="J397" s="172">
        <f t="shared" si="20"/>
        <v>0.001042633091</v>
      </c>
      <c r="K397" s="173">
        <f t="shared" si="21"/>
        <v>1.25115971</v>
      </c>
      <c r="L397" s="174">
        <f t="shared" si="9"/>
        <v>7.478048774</v>
      </c>
      <c r="M397" s="175" t="str">
        <f t="shared" si="10"/>
        <v>mateodaza</v>
      </c>
      <c r="N397" s="176">
        <f>IFERROR(__xludf.DUMMYFUNCTION("""COMPUTED_VALUE"""),6.0)</f>
        <v>6</v>
      </c>
      <c r="O397" s="176"/>
      <c r="P397" s="166" t="s">
        <v>695</v>
      </c>
      <c r="Q397" s="166" t="s">
        <v>441</v>
      </c>
      <c r="R397" s="176"/>
      <c r="S397" s="176"/>
      <c r="T397" s="176"/>
      <c r="U397" s="176"/>
      <c r="V397" s="176"/>
      <c r="W397" s="176"/>
      <c r="X397" s="176"/>
      <c r="Y397" s="176"/>
      <c r="Z397" s="176"/>
      <c r="AA397" s="176"/>
    </row>
    <row r="398">
      <c r="A398" s="165" t="str">
        <f>iferror(VLOOKUP(P398,'DO NOT TOUCH Imported'!$A$1:$D$800,4,False),iferror(VLOOKUP(P398,'DO NOT TOUCH Imported'!$C$1:$D$800,2,False),"OOPS FIX ME"))</f>
        <v>mateodaza</v>
      </c>
      <c r="B398" s="166" t="s">
        <v>441</v>
      </c>
      <c r="C398" s="167" t="s">
        <v>580</v>
      </c>
      <c r="D398" s="168" t="s">
        <v>437</v>
      </c>
      <c r="E398" s="177" t="s">
        <v>447</v>
      </c>
      <c r="F398" s="168" t="s">
        <v>439</v>
      </c>
      <c r="G398" s="170">
        <v>1000.0</v>
      </c>
      <c r="H398" s="171">
        <v>150.0</v>
      </c>
      <c r="I398" s="171">
        <v>100.0</v>
      </c>
      <c r="J398" s="172">
        <f t="shared" si="20"/>
        <v>0.0008830136242</v>
      </c>
      <c r="K398" s="173">
        <f t="shared" si="21"/>
        <v>1.059616349</v>
      </c>
      <c r="L398" s="174">
        <f t="shared" si="9"/>
        <v>7.478048774</v>
      </c>
      <c r="M398" s="175" t="str">
        <f t="shared" si="10"/>
        <v>mateodaza</v>
      </c>
      <c r="N398" s="176">
        <f>IFERROR(__xludf.DUMMYFUNCTION("""COMPUTED_VALUE"""),7.0)</f>
        <v>7</v>
      </c>
      <c r="O398" s="176"/>
      <c r="P398" s="166" t="s">
        <v>695</v>
      </c>
      <c r="Q398" s="166" t="s">
        <v>441</v>
      </c>
      <c r="R398" s="176"/>
      <c r="S398" s="176"/>
      <c r="T398" s="176"/>
      <c r="U398" s="176"/>
      <c r="V398" s="176"/>
      <c r="W398" s="176"/>
      <c r="X398" s="176"/>
      <c r="Y398" s="176"/>
      <c r="Z398" s="176"/>
      <c r="AA398" s="176"/>
    </row>
    <row r="399">
      <c r="A399" s="165" t="str">
        <f>iferror(VLOOKUP(P399,'DO NOT TOUCH Imported'!$A$1:$D$800,4,False),iferror(VLOOKUP(P399,'DO NOT TOUCH Imported'!$C$1:$D$800,2,False),"OOPS FIX ME"))</f>
        <v>mateodaza</v>
      </c>
      <c r="B399" s="166" t="s">
        <v>441</v>
      </c>
      <c r="C399" s="167" t="s">
        <v>468</v>
      </c>
      <c r="D399" s="168" t="s">
        <v>437</v>
      </c>
      <c r="E399" s="169" t="s">
        <v>447</v>
      </c>
      <c r="F399" s="168" t="s">
        <v>439</v>
      </c>
      <c r="G399" s="170">
        <v>1000.0</v>
      </c>
      <c r="H399" s="171">
        <v>100.0</v>
      </c>
      <c r="I399" s="171">
        <v>100.0</v>
      </c>
      <c r="J399" s="172">
        <f t="shared" si="20"/>
        <v>0.000723394157</v>
      </c>
      <c r="K399" s="173">
        <f t="shared" si="21"/>
        <v>0.8680729884</v>
      </c>
      <c r="L399" s="174">
        <f t="shared" si="9"/>
        <v>7.478048774</v>
      </c>
      <c r="M399" s="175" t="str">
        <f t="shared" si="10"/>
        <v>mateodaza</v>
      </c>
      <c r="N399" s="176">
        <f>IFERROR(__xludf.DUMMYFUNCTION("""COMPUTED_VALUE"""),8.0)</f>
        <v>8</v>
      </c>
      <c r="O399" s="176"/>
      <c r="P399" s="166" t="s">
        <v>695</v>
      </c>
      <c r="Q399" s="166" t="s">
        <v>441</v>
      </c>
      <c r="R399" s="176"/>
      <c r="S399" s="176"/>
      <c r="T399" s="176"/>
      <c r="U399" s="176"/>
      <c r="V399" s="176"/>
      <c r="W399" s="176"/>
      <c r="X399" s="176"/>
      <c r="Y399" s="176"/>
      <c r="Z399" s="176"/>
      <c r="AA399" s="176"/>
    </row>
    <row r="400">
      <c r="A400" s="165" t="str">
        <f>iferror(VLOOKUP(P400,'DO NOT TOUCH Imported'!$A$1:$D$800,4,False),iferror(VLOOKUP(P400,'DO NOT TOUCH Imported'!$C$1:$D$800,2,False),"OOPS FIX ME"))</f>
        <v>mateodaza</v>
      </c>
      <c r="B400" s="166" t="s">
        <v>490</v>
      </c>
      <c r="C400" s="167" t="s">
        <v>582</v>
      </c>
      <c r="D400" s="168" t="s">
        <v>437</v>
      </c>
      <c r="E400" s="177" t="s">
        <v>506</v>
      </c>
      <c r="F400" s="168" t="s">
        <v>439</v>
      </c>
      <c r="G400" s="170">
        <v>1000.0</v>
      </c>
      <c r="H400" s="171">
        <v>100.0</v>
      </c>
      <c r="I400" s="171">
        <v>100.0</v>
      </c>
      <c r="J400" s="172">
        <f t="shared" si="20"/>
        <v>0.000723394157</v>
      </c>
      <c r="K400" s="173">
        <f t="shared" si="21"/>
        <v>0.8680729884</v>
      </c>
      <c r="L400" s="174">
        <f t="shared" si="9"/>
        <v>7.478048774</v>
      </c>
      <c r="M400" s="175" t="str">
        <f t="shared" si="10"/>
        <v>mateodaza</v>
      </c>
      <c r="N400" s="176">
        <f>IFERROR(__xludf.DUMMYFUNCTION("""COMPUTED_VALUE"""),9.0)</f>
        <v>9</v>
      </c>
      <c r="O400" s="176"/>
      <c r="P400" s="166" t="s">
        <v>695</v>
      </c>
      <c r="Q400" s="166" t="s">
        <v>490</v>
      </c>
      <c r="R400" s="176"/>
      <c r="S400" s="176"/>
      <c r="T400" s="176"/>
      <c r="U400" s="176"/>
      <c r="V400" s="176"/>
      <c r="W400" s="176"/>
      <c r="X400" s="176"/>
      <c r="Y400" s="176"/>
      <c r="Z400" s="176"/>
      <c r="AA400" s="176"/>
    </row>
    <row r="401">
      <c r="A401" s="165" t="str">
        <f>iferror(VLOOKUP(P401,'DO NOT TOUCH Imported'!$A$1:$D$800,4,False),iferror(VLOOKUP(P401,'DO NOT TOUCH Imported'!$C$1:$D$800,2,False),"OOPS FIX ME"))</f>
        <v>mateodaza</v>
      </c>
      <c r="B401" s="166" t="s">
        <v>441</v>
      </c>
      <c r="C401" s="167" t="s">
        <v>584</v>
      </c>
      <c r="D401" s="168" t="s">
        <v>437</v>
      </c>
      <c r="E401" s="177" t="s">
        <v>438</v>
      </c>
      <c r="F401" s="168" t="s">
        <v>439</v>
      </c>
      <c r="G401" s="170">
        <v>1000.0</v>
      </c>
      <c r="H401" s="171">
        <v>100.0</v>
      </c>
      <c r="I401" s="171">
        <v>100.0</v>
      </c>
      <c r="J401" s="172">
        <f t="shared" si="20"/>
        <v>0.000723394157</v>
      </c>
      <c r="K401" s="173">
        <f t="shared" si="21"/>
        <v>0.8680729884</v>
      </c>
      <c r="L401" s="174">
        <f t="shared" si="9"/>
        <v>7.478048774</v>
      </c>
      <c r="M401" s="175" t="str">
        <f t="shared" si="10"/>
        <v>mateodaza</v>
      </c>
      <c r="N401" s="176">
        <f>IFERROR(__xludf.DUMMYFUNCTION("""COMPUTED_VALUE"""),10.0)</f>
        <v>10</v>
      </c>
      <c r="O401" s="176"/>
      <c r="P401" s="166" t="s">
        <v>695</v>
      </c>
      <c r="Q401" s="166" t="s">
        <v>441</v>
      </c>
      <c r="R401" s="176"/>
      <c r="S401" s="176"/>
      <c r="T401" s="176"/>
      <c r="U401" s="176"/>
      <c r="V401" s="176"/>
      <c r="W401" s="176"/>
      <c r="X401" s="176"/>
      <c r="Y401" s="176"/>
      <c r="Z401" s="176"/>
      <c r="AA401" s="176"/>
    </row>
    <row r="402">
      <c r="A402" s="165" t="str">
        <f>iferror(VLOOKUP(P402,'DO NOT TOUCH Imported'!$A$1:$D$800,4,False),iferror(VLOOKUP(P402,'DO NOT TOUCH Imported'!$C$1:$D$800,2,False),"OOPS FIX ME"))</f>
        <v>mateodaza</v>
      </c>
      <c r="B402" s="166" t="s">
        <v>441</v>
      </c>
      <c r="C402" s="167" t="s">
        <v>475</v>
      </c>
      <c r="D402" s="168" t="s">
        <v>437</v>
      </c>
      <c r="E402" s="177" t="s">
        <v>438</v>
      </c>
      <c r="F402" s="168" t="s">
        <v>439</v>
      </c>
      <c r="G402" s="170">
        <v>1000.0</v>
      </c>
      <c r="H402" s="171">
        <v>100.0</v>
      </c>
      <c r="I402" s="171">
        <v>100.0</v>
      </c>
      <c r="J402" s="172">
        <f t="shared" si="20"/>
        <v>0.000723394157</v>
      </c>
      <c r="K402" s="173">
        <f t="shared" si="21"/>
        <v>0.8680729884</v>
      </c>
      <c r="L402" s="174">
        <f t="shared" si="9"/>
        <v>7.478048774</v>
      </c>
      <c r="M402" s="175" t="str">
        <f t="shared" si="10"/>
        <v>mateodaza</v>
      </c>
      <c r="N402" s="176">
        <f>IFERROR(__xludf.DUMMYFUNCTION("""COMPUTED_VALUE"""),11.0)</f>
        <v>11</v>
      </c>
      <c r="O402" s="176"/>
      <c r="P402" s="166" t="s">
        <v>695</v>
      </c>
      <c r="Q402" s="166" t="s">
        <v>441</v>
      </c>
      <c r="R402" s="176"/>
      <c r="S402" s="176"/>
      <c r="T402" s="176"/>
      <c r="U402" s="176"/>
      <c r="V402" s="176"/>
      <c r="W402" s="176"/>
      <c r="X402" s="176"/>
      <c r="Y402" s="176"/>
      <c r="Z402" s="176"/>
      <c r="AA402" s="176"/>
    </row>
    <row r="403">
      <c r="A403" s="165" t="str">
        <f>iferror(VLOOKUP(P403,'DO NOT TOUCH Imported'!$A$1:$D$800,4,False),iferror(VLOOKUP(P403,'DO NOT TOUCH Imported'!$C$1:$D$800,2,False),"OOPS FIX ME"))</f>
        <v>mateodaza</v>
      </c>
      <c r="B403" s="166" t="s">
        <v>441</v>
      </c>
      <c r="C403" s="167" t="s">
        <v>543</v>
      </c>
      <c r="D403" s="168" t="s">
        <v>437</v>
      </c>
      <c r="E403" s="169" t="s">
        <v>447</v>
      </c>
      <c r="F403" s="168" t="s">
        <v>439</v>
      </c>
      <c r="G403" s="170">
        <v>1000.0</v>
      </c>
      <c r="H403" s="171">
        <v>80.0</v>
      </c>
      <c r="I403" s="171">
        <v>100.0</v>
      </c>
      <c r="J403" s="172">
        <f t="shared" si="20"/>
        <v>0.0006595463701</v>
      </c>
      <c r="K403" s="173">
        <f t="shared" si="21"/>
        <v>0.7914556442</v>
      </c>
      <c r="L403" s="174">
        <f t="shared" si="9"/>
        <v>7.478048774</v>
      </c>
      <c r="M403" s="175" t="str">
        <f t="shared" si="10"/>
        <v>mateodaza</v>
      </c>
      <c r="N403" s="176">
        <f>IFERROR(__xludf.DUMMYFUNCTION("""COMPUTED_VALUE"""),12.0)</f>
        <v>12</v>
      </c>
      <c r="O403" s="176"/>
      <c r="P403" s="166" t="s">
        <v>695</v>
      </c>
      <c r="Q403" s="166" t="s">
        <v>441</v>
      </c>
      <c r="R403" s="176"/>
      <c r="S403" s="176"/>
      <c r="T403" s="176"/>
      <c r="U403" s="176"/>
      <c r="V403" s="176"/>
      <c r="W403" s="176"/>
      <c r="X403" s="176"/>
      <c r="Y403" s="176"/>
      <c r="Z403" s="176"/>
      <c r="AA403" s="176"/>
    </row>
    <row r="404">
      <c r="A404" s="165" t="str">
        <f>iferror(VLOOKUP(P404,'DO NOT TOUCH Imported'!$A$1:$D$800,4,False),iferror(VLOOKUP(P404,'DO NOT TOUCH Imported'!$C$1:$D$800,2,False),"OOPS FIX ME"))</f>
        <v>mateodaza</v>
      </c>
      <c r="B404" s="166" t="s">
        <v>490</v>
      </c>
      <c r="C404" s="167" t="s">
        <v>491</v>
      </c>
      <c r="D404" s="168" t="s">
        <v>437</v>
      </c>
      <c r="E404" s="169" t="s">
        <v>445</v>
      </c>
      <c r="F404" s="168" t="s">
        <v>439</v>
      </c>
      <c r="G404" s="170">
        <v>1000.0</v>
      </c>
      <c r="H404" s="171">
        <v>70.0</v>
      </c>
      <c r="I404" s="171">
        <v>100.0</v>
      </c>
      <c r="J404" s="172">
        <f t="shared" si="20"/>
        <v>0.0006276224767</v>
      </c>
      <c r="K404" s="173">
        <f t="shared" si="21"/>
        <v>0.7531469721</v>
      </c>
      <c r="L404" s="174">
        <f t="shared" si="9"/>
        <v>7.478048774</v>
      </c>
      <c r="M404" s="175" t="str">
        <f t="shared" si="10"/>
        <v>mateodaza</v>
      </c>
      <c r="N404" s="176">
        <f>IFERROR(__xludf.DUMMYFUNCTION("""COMPUTED_VALUE"""),13.0)</f>
        <v>13</v>
      </c>
      <c r="O404" s="176"/>
      <c r="P404" s="166" t="s">
        <v>695</v>
      </c>
      <c r="Q404" s="166" t="s">
        <v>490</v>
      </c>
      <c r="R404" s="176"/>
      <c r="S404" s="176"/>
      <c r="T404" s="176"/>
      <c r="U404" s="176"/>
      <c r="V404" s="176"/>
      <c r="W404" s="176"/>
      <c r="X404" s="176"/>
      <c r="Y404" s="176"/>
      <c r="Z404" s="176"/>
      <c r="AA404" s="176"/>
    </row>
    <row r="405">
      <c r="A405" s="165" t="str">
        <f>iferror(VLOOKUP(P405,'DO NOT TOUCH Imported'!$A$1:$D$800,4,False),iferror(VLOOKUP(P405,'DO NOT TOUCH Imported'!$C$1:$D$800,2,False),"OOPS FIX ME"))</f>
        <v>mateodaza</v>
      </c>
      <c r="B405" s="166" t="s">
        <v>441</v>
      </c>
      <c r="C405" s="167" t="s">
        <v>497</v>
      </c>
      <c r="D405" s="168" t="s">
        <v>437</v>
      </c>
      <c r="E405" s="169" t="s">
        <v>438</v>
      </c>
      <c r="F405" s="168" t="s">
        <v>439</v>
      </c>
      <c r="G405" s="170">
        <v>1000.0</v>
      </c>
      <c r="H405" s="171">
        <v>50.0</v>
      </c>
      <c r="I405" s="171">
        <v>100.0</v>
      </c>
      <c r="J405" s="172">
        <f t="shared" si="20"/>
        <v>0.0005637746898</v>
      </c>
      <c r="K405" s="173">
        <f t="shared" si="21"/>
        <v>0.6765296278</v>
      </c>
      <c r="L405" s="174">
        <f t="shared" si="9"/>
        <v>7.478048774</v>
      </c>
      <c r="M405" s="175" t="str">
        <f t="shared" si="10"/>
        <v>mateodaza</v>
      </c>
      <c r="N405" s="176">
        <f>IFERROR(__xludf.DUMMYFUNCTION("""COMPUTED_VALUE"""),14.0)</f>
        <v>14</v>
      </c>
      <c r="O405" s="176"/>
      <c r="P405" s="166" t="s">
        <v>695</v>
      </c>
      <c r="Q405" s="166" t="s">
        <v>441</v>
      </c>
      <c r="R405" s="176"/>
      <c r="S405" s="176"/>
      <c r="T405" s="176"/>
      <c r="U405" s="176"/>
      <c r="V405" s="176"/>
      <c r="W405" s="176"/>
      <c r="X405" s="176"/>
      <c r="Y405" s="176"/>
      <c r="Z405" s="176"/>
      <c r="AA405" s="176"/>
    </row>
    <row r="406">
      <c r="A406" s="165" t="str">
        <f>iferror(VLOOKUP(P406,'DO NOT TOUCH Imported'!$A$1:$D$800,4,False),iferror(VLOOKUP(P406,'DO NOT TOUCH Imported'!$C$1:$D$800,2,False),"OOPS FIX ME"))</f>
        <v>mateodaza</v>
      </c>
      <c r="B406" s="185" t="s">
        <v>534</v>
      </c>
      <c r="C406" s="186" t="s">
        <v>669</v>
      </c>
      <c r="D406" s="187"/>
      <c r="E406" s="188"/>
      <c r="F406" s="189"/>
      <c r="G406" s="190"/>
      <c r="H406" s="190"/>
      <c r="I406" s="190"/>
      <c r="J406" s="191">
        <f t="shared" si="20"/>
        <v>0</v>
      </c>
      <c r="K406" s="192">
        <f>14.956*-0.5</f>
        <v>-7.478</v>
      </c>
      <c r="L406" s="193">
        <f t="shared" si="9"/>
        <v>7.478048774</v>
      </c>
      <c r="M406" s="194" t="str">
        <f t="shared" si="10"/>
        <v>mateodaza</v>
      </c>
      <c r="N406" s="195">
        <f>IFERROR(__xludf.DUMMYFUNCTION("""COMPUTED_VALUE"""),15.0)</f>
        <v>15</v>
      </c>
      <c r="O406" s="195"/>
      <c r="P406" s="165" t="s">
        <v>11</v>
      </c>
      <c r="Q406" s="185" t="s">
        <v>534</v>
      </c>
      <c r="R406" s="195">
        <v>18.802169413641863</v>
      </c>
      <c r="S406" s="195"/>
      <c r="T406" s="195"/>
      <c r="U406" s="195"/>
      <c r="V406" s="195"/>
      <c r="W406" s="195"/>
      <c r="X406" s="195"/>
      <c r="Y406" s="195"/>
      <c r="Z406" s="195"/>
      <c r="AA406" s="176"/>
    </row>
    <row r="407">
      <c r="A407" s="165" t="str">
        <f>iferror(VLOOKUP(P407,'DO NOT TOUCH Imported'!$A$1:$D$800,4,False),iferror(VLOOKUP(P407,'DO NOT TOUCH Imported'!$C$1:$D$800,2,False),"OOPS FIX ME"))</f>
        <v>Letty#5399</v>
      </c>
      <c r="B407" s="166" t="s">
        <v>463</v>
      </c>
      <c r="C407" s="167" t="s">
        <v>699</v>
      </c>
      <c r="D407" s="168" t="s">
        <v>437</v>
      </c>
      <c r="E407" s="169" t="s">
        <v>445</v>
      </c>
      <c r="F407" s="168" t="s">
        <v>439</v>
      </c>
      <c r="G407" s="170">
        <v>30000.0</v>
      </c>
      <c r="H407" s="171">
        <v>100.0</v>
      </c>
      <c r="I407" s="171">
        <v>100.0</v>
      </c>
      <c r="J407" s="172">
        <f t="shared" si="20"/>
        <v>0.00375085005</v>
      </c>
      <c r="K407" s="173">
        <f t="shared" ref="K407:K456" si="22">J407*$J$1</f>
        <v>4.50102006</v>
      </c>
      <c r="L407" s="174">
        <f t="shared" si="9"/>
        <v>7.464951256</v>
      </c>
      <c r="M407" s="175" t="str">
        <f t="shared" si="10"/>
        <v>Letty#5399</v>
      </c>
      <c r="N407" s="176">
        <f>IFERROR(__xludf.DUMMYFUNCTION("""COMPUTED_VALUE"""),1.0)</f>
        <v>1</v>
      </c>
      <c r="O407" s="176"/>
      <c r="P407" s="166" t="s">
        <v>75</v>
      </c>
      <c r="Q407" s="166" t="s">
        <v>463</v>
      </c>
      <c r="R407" s="176"/>
      <c r="S407" s="176"/>
      <c r="T407" s="176"/>
      <c r="U407" s="176"/>
      <c r="V407" s="176"/>
      <c r="W407" s="176"/>
      <c r="X407" s="176"/>
      <c r="Y407" s="176"/>
      <c r="Z407" s="176"/>
      <c r="AA407" s="176"/>
    </row>
    <row r="408">
      <c r="A408" s="165" t="str">
        <f>iferror(VLOOKUP(P408,'DO NOT TOUCH Imported'!$A$1:$D$800,4,False),iferror(VLOOKUP(P408,'DO NOT TOUCH Imported'!$C$1:$D$800,2,False),"OOPS FIX ME"))</f>
        <v>Letty#5399</v>
      </c>
      <c r="B408" s="166" t="s">
        <v>566</v>
      </c>
      <c r="C408" s="167" t="s">
        <v>700</v>
      </c>
      <c r="D408" s="168" t="s">
        <v>499</v>
      </c>
      <c r="E408" s="177" t="s">
        <v>452</v>
      </c>
      <c r="F408" s="168" t="s">
        <v>503</v>
      </c>
      <c r="G408" s="170">
        <v>1000.0</v>
      </c>
      <c r="H408" s="171">
        <v>100.0</v>
      </c>
      <c r="I408" s="171">
        <v>200.0</v>
      </c>
      <c r="J408" s="172">
        <f t="shared" si="20"/>
        <v>0.001023154349</v>
      </c>
      <c r="K408" s="173">
        <f t="shared" si="22"/>
        <v>1.227785219</v>
      </c>
      <c r="L408" s="174">
        <f t="shared" si="9"/>
        <v>7.464951256</v>
      </c>
      <c r="M408" s="175" t="str">
        <f t="shared" si="10"/>
        <v>Letty#5399</v>
      </c>
      <c r="N408" s="176">
        <f>IFERROR(__xludf.DUMMYFUNCTION("""COMPUTED_VALUE"""),2.0)</f>
        <v>2</v>
      </c>
      <c r="O408" s="176"/>
      <c r="P408" s="166" t="s">
        <v>75</v>
      </c>
      <c r="Q408" s="166" t="s">
        <v>566</v>
      </c>
      <c r="R408" s="176"/>
      <c r="S408" s="176"/>
      <c r="T408" s="176"/>
      <c r="U408" s="176"/>
      <c r="V408" s="176"/>
      <c r="W408" s="176"/>
      <c r="X408" s="176"/>
      <c r="Y408" s="176"/>
      <c r="Z408" s="176"/>
      <c r="AA408" s="176"/>
    </row>
    <row r="409">
      <c r="A409" s="165" t="str">
        <f>iferror(VLOOKUP(P409,'DO NOT TOUCH Imported'!$A$1:$D$800,4,False),iferror(VLOOKUP(P409,'DO NOT TOUCH Imported'!$C$1:$D$800,2,False),"OOPS FIX ME"))</f>
        <v>Letty#5399</v>
      </c>
      <c r="B409" s="166" t="s">
        <v>463</v>
      </c>
      <c r="C409" s="167" t="s">
        <v>464</v>
      </c>
      <c r="D409" s="168" t="s">
        <v>437</v>
      </c>
      <c r="E409" s="177" t="s">
        <v>445</v>
      </c>
      <c r="F409" s="168" t="s">
        <v>439</v>
      </c>
      <c r="G409" s="170">
        <v>1000.0</v>
      </c>
      <c r="H409" s="171">
        <v>100.0</v>
      </c>
      <c r="I409" s="171">
        <v>100.0</v>
      </c>
      <c r="J409" s="172">
        <f t="shared" si="20"/>
        <v>0.000723394157</v>
      </c>
      <c r="K409" s="173">
        <f t="shared" si="22"/>
        <v>0.8680729884</v>
      </c>
      <c r="L409" s="174">
        <f t="shared" si="9"/>
        <v>7.464951256</v>
      </c>
      <c r="M409" s="175" t="str">
        <f t="shared" si="10"/>
        <v>Letty#5399</v>
      </c>
      <c r="N409" s="176">
        <f>IFERROR(__xludf.DUMMYFUNCTION("""COMPUTED_VALUE"""),3.0)</f>
        <v>3</v>
      </c>
      <c r="O409" s="176"/>
      <c r="P409" s="166" t="s">
        <v>75</v>
      </c>
      <c r="Q409" s="166" t="s">
        <v>463</v>
      </c>
      <c r="R409" s="176"/>
      <c r="S409" s="176"/>
      <c r="T409" s="176"/>
      <c r="U409" s="176"/>
      <c r="V409" s="176"/>
      <c r="W409" s="176"/>
      <c r="X409" s="176"/>
      <c r="Y409" s="176"/>
      <c r="Z409" s="176"/>
      <c r="AA409" s="176"/>
    </row>
    <row r="410">
      <c r="A410" s="165" t="str">
        <f>iferror(VLOOKUP(P410,'DO NOT TOUCH Imported'!$A$1:$D$800,4,False),iferror(VLOOKUP(P410,'DO NOT TOUCH Imported'!$C$1:$D$800,2,False),"OOPS FIX ME"))</f>
        <v>Letty#5399</v>
      </c>
      <c r="B410" s="166" t="s">
        <v>441</v>
      </c>
      <c r="C410" s="167" t="s">
        <v>509</v>
      </c>
      <c r="D410" s="168" t="s">
        <v>437</v>
      </c>
      <c r="E410" s="177" t="s">
        <v>447</v>
      </c>
      <c r="F410" s="168" t="s">
        <v>439</v>
      </c>
      <c r="G410" s="170">
        <v>1000.0</v>
      </c>
      <c r="H410" s="171">
        <v>100.0</v>
      </c>
      <c r="I410" s="171">
        <v>100.0</v>
      </c>
      <c r="J410" s="172">
        <f t="shared" si="20"/>
        <v>0.000723394157</v>
      </c>
      <c r="K410" s="173">
        <f t="shared" si="22"/>
        <v>0.8680729884</v>
      </c>
      <c r="L410" s="174">
        <f t="shared" si="9"/>
        <v>7.464951256</v>
      </c>
      <c r="M410" s="175" t="str">
        <f t="shared" si="10"/>
        <v>Letty#5399</v>
      </c>
      <c r="N410" s="176">
        <f>IFERROR(__xludf.DUMMYFUNCTION("""COMPUTED_VALUE"""),4.0)</f>
        <v>4</v>
      </c>
      <c r="O410" s="176"/>
      <c r="P410" s="166" t="s">
        <v>75</v>
      </c>
      <c r="Q410" s="166" t="s">
        <v>441</v>
      </c>
      <c r="R410" s="176"/>
      <c r="S410" s="176"/>
      <c r="T410" s="176"/>
      <c r="U410" s="176"/>
      <c r="V410" s="176"/>
      <c r="W410" s="176"/>
      <c r="X410" s="176"/>
      <c r="Y410" s="176"/>
      <c r="Z410" s="176"/>
      <c r="AA410" s="176"/>
    </row>
    <row r="411">
      <c r="A411" s="165" t="str">
        <f>iferror(VLOOKUP(P411,'DO NOT TOUCH Imported'!$A$1:$D$800,4,False),iferror(VLOOKUP(P411,'DO NOT TOUCH Imported'!$C$1:$D$800,2,False),"OOPS FIX ME"))</f>
        <v>chuygarcia92</v>
      </c>
      <c r="B411" s="166" t="s">
        <v>20</v>
      </c>
      <c r="C411" s="167" t="s">
        <v>701</v>
      </c>
      <c r="D411" s="168" t="s">
        <v>437</v>
      </c>
      <c r="E411" s="169" t="s">
        <v>438</v>
      </c>
      <c r="F411" s="168" t="s">
        <v>439</v>
      </c>
      <c r="G411" s="170">
        <v>10000.0</v>
      </c>
      <c r="H411" s="171">
        <v>200.0</v>
      </c>
      <c r="I411" s="171">
        <v>200.0</v>
      </c>
      <c r="J411" s="172">
        <f t="shared" si="20"/>
        <v>0.00228194856</v>
      </c>
      <c r="K411" s="173">
        <f t="shared" si="22"/>
        <v>2.738338273</v>
      </c>
      <c r="L411" s="174">
        <f t="shared" si="9"/>
        <v>7.18127319</v>
      </c>
      <c r="M411" s="175" t="str">
        <f t="shared" si="10"/>
        <v>chuygarcia92</v>
      </c>
      <c r="N411" s="176">
        <f>IFERROR(__xludf.DUMMYFUNCTION("""COMPUTED_VALUE"""),1.0)</f>
        <v>1</v>
      </c>
      <c r="O411" s="176"/>
      <c r="P411" s="166" t="s">
        <v>483</v>
      </c>
      <c r="Q411" s="166" t="s">
        <v>20</v>
      </c>
      <c r="R411" s="176"/>
      <c r="S411" s="176"/>
      <c r="T411" s="176"/>
      <c r="U411" s="176"/>
      <c r="V411" s="176"/>
      <c r="W411" s="176"/>
      <c r="X411" s="176"/>
      <c r="Y411" s="176"/>
      <c r="Z411" s="176"/>
      <c r="AA411" s="176"/>
    </row>
    <row r="412">
      <c r="A412" s="165" t="str">
        <f>iferror(VLOOKUP(P412,'DO NOT TOUCH Imported'!$A$1:$D$800,4,False),iferror(VLOOKUP(P412,'DO NOT TOUCH Imported'!$C$1:$D$800,2,False),"OOPS FIX ME"))</f>
        <v>chuygarcia92</v>
      </c>
      <c r="B412" s="178" t="s">
        <v>63</v>
      </c>
      <c r="C412" s="179" t="s">
        <v>633</v>
      </c>
      <c r="D412" s="180" t="s">
        <v>495</v>
      </c>
      <c r="E412" s="184">
        <v>44316.0</v>
      </c>
      <c r="F412" s="182" t="s">
        <v>627</v>
      </c>
      <c r="G412" s="170">
        <v>10000.0</v>
      </c>
      <c r="H412" s="171">
        <v>100.0</v>
      </c>
      <c r="I412" s="171">
        <v>100.0</v>
      </c>
      <c r="J412" s="172">
        <f t="shared" si="20"/>
        <v>0.001662949434</v>
      </c>
      <c r="K412" s="173">
        <f t="shared" si="22"/>
        <v>1.995539321</v>
      </c>
      <c r="L412" s="174">
        <f t="shared" si="9"/>
        <v>7.18127319</v>
      </c>
      <c r="M412" s="175" t="str">
        <f t="shared" si="10"/>
        <v>chuygarcia92</v>
      </c>
      <c r="N412" s="176">
        <f>IFERROR(__xludf.DUMMYFUNCTION("""COMPUTED_VALUE"""),2.0)</f>
        <v>2</v>
      </c>
      <c r="O412" s="176"/>
      <c r="P412" s="183" t="s">
        <v>63</v>
      </c>
      <c r="Q412" s="178" t="s">
        <v>63</v>
      </c>
      <c r="R412" s="176"/>
      <c r="S412" s="176"/>
      <c r="T412" s="176"/>
      <c r="U412" s="176"/>
      <c r="V412" s="176"/>
      <c r="W412" s="176"/>
      <c r="X412" s="176"/>
      <c r="Y412" s="176"/>
      <c r="Z412" s="176"/>
      <c r="AA412" s="176"/>
    </row>
    <row r="413">
      <c r="A413" s="165" t="str">
        <f>iferror(VLOOKUP(P413,'DO NOT TOUCH Imported'!$A$1:$D$800,4,False),iferror(VLOOKUP(P413,'DO NOT TOUCH Imported'!$C$1:$D$800,2,False),"OOPS FIX ME"))</f>
        <v>chuygarcia92</v>
      </c>
      <c r="B413" s="178" t="s">
        <v>63</v>
      </c>
      <c r="C413" s="179" t="s">
        <v>702</v>
      </c>
      <c r="D413" s="180" t="s">
        <v>495</v>
      </c>
      <c r="E413" s="184">
        <v>44316.0</v>
      </c>
      <c r="F413" s="182" t="s">
        <v>627</v>
      </c>
      <c r="G413" s="170">
        <v>10000.0</v>
      </c>
      <c r="H413" s="171">
        <v>100.0</v>
      </c>
      <c r="I413" s="171">
        <v>100.0</v>
      </c>
      <c r="J413" s="172">
        <f t="shared" si="20"/>
        <v>0.001662949434</v>
      </c>
      <c r="K413" s="173">
        <f t="shared" si="22"/>
        <v>1.995539321</v>
      </c>
      <c r="L413" s="174">
        <f t="shared" si="9"/>
        <v>7.18127319</v>
      </c>
      <c r="M413" s="175" t="str">
        <f t="shared" si="10"/>
        <v>chuygarcia92</v>
      </c>
      <c r="N413" s="176">
        <f>IFERROR(__xludf.DUMMYFUNCTION("""COMPUTED_VALUE"""),3.0)</f>
        <v>3</v>
      </c>
      <c r="O413" s="176"/>
      <c r="P413" s="183" t="s">
        <v>63</v>
      </c>
      <c r="Q413" s="178" t="s">
        <v>63</v>
      </c>
      <c r="R413" s="176"/>
      <c r="S413" s="176"/>
      <c r="T413" s="176"/>
      <c r="U413" s="176"/>
      <c r="V413" s="176"/>
      <c r="W413" s="176"/>
      <c r="X413" s="176"/>
      <c r="Y413" s="176"/>
      <c r="Z413" s="176"/>
      <c r="AA413" s="176"/>
    </row>
    <row r="414">
      <c r="A414" s="165" t="str">
        <f>iferror(VLOOKUP(P414,'DO NOT TOUCH Imported'!$A$1:$D$800,4,False),iferror(VLOOKUP(P414,'DO NOT TOUCH Imported'!$C$1:$D$800,2,False),"OOPS FIX ME"))</f>
        <v>chuygarcia92</v>
      </c>
      <c r="B414" s="178" t="s">
        <v>63</v>
      </c>
      <c r="C414" s="179" t="s">
        <v>635</v>
      </c>
      <c r="D414" s="180" t="s">
        <v>495</v>
      </c>
      <c r="E414" s="181">
        <v>44322.0</v>
      </c>
      <c r="F414" s="182" t="s">
        <v>627</v>
      </c>
      <c r="G414" s="170">
        <v>10000.0</v>
      </c>
      <c r="H414" s="171">
        <v>100.0</v>
      </c>
      <c r="I414" s="171">
        <v>100.0</v>
      </c>
      <c r="J414" s="172">
        <f t="shared" si="20"/>
        <v>0.001662949434</v>
      </c>
      <c r="K414" s="173">
        <f t="shared" si="22"/>
        <v>1.995539321</v>
      </c>
      <c r="L414" s="174">
        <f t="shared" si="9"/>
        <v>7.18127319</v>
      </c>
      <c r="M414" s="175" t="str">
        <f t="shared" si="10"/>
        <v>chuygarcia92</v>
      </c>
      <c r="N414" s="176">
        <f>IFERROR(__xludf.DUMMYFUNCTION("""COMPUTED_VALUE"""),4.0)</f>
        <v>4</v>
      </c>
      <c r="O414" s="176"/>
      <c r="P414" s="183" t="s">
        <v>63</v>
      </c>
      <c r="Q414" s="178" t="s">
        <v>63</v>
      </c>
      <c r="R414" s="176"/>
      <c r="S414" s="176"/>
      <c r="T414" s="176"/>
      <c r="U414" s="176"/>
      <c r="V414" s="176"/>
      <c r="W414" s="176"/>
      <c r="X414" s="176"/>
      <c r="Y414" s="176"/>
      <c r="Z414" s="176"/>
      <c r="AA414" s="176"/>
    </row>
    <row r="415">
      <c r="A415" s="165" t="str">
        <f>iferror(VLOOKUP(P415,'DO NOT TOUCH Imported'!$A$1:$D$800,4,False),iferror(VLOOKUP(P415,'DO NOT TOUCH Imported'!$C$1:$D$800,2,False),"OOPS FIX ME"))</f>
        <v>chuygarcia92</v>
      </c>
      <c r="B415" s="178" t="s">
        <v>63</v>
      </c>
      <c r="C415" s="179" t="s">
        <v>703</v>
      </c>
      <c r="D415" s="180" t="s">
        <v>495</v>
      </c>
      <c r="E415" s="181">
        <v>44322.0</v>
      </c>
      <c r="F415" s="182" t="s">
        <v>627</v>
      </c>
      <c r="G415" s="170">
        <v>10000.0</v>
      </c>
      <c r="H415" s="171">
        <v>100.0</v>
      </c>
      <c r="I415" s="171">
        <v>100.0</v>
      </c>
      <c r="J415" s="172">
        <f t="shared" si="20"/>
        <v>0.001662949434</v>
      </c>
      <c r="K415" s="173">
        <f t="shared" si="22"/>
        <v>1.995539321</v>
      </c>
      <c r="L415" s="174">
        <f t="shared" si="9"/>
        <v>7.18127319</v>
      </c>
      <c r="M415" s="175" t="str">
        <f t="shared" si="10"/>
        <v>chuygarcia92</v>
      </c>
      <c r="N415" s="176">
        <f>IFERROR(__xludf.DUMMYFUNCTION("""COMPUTED_VALUE"""),5.0)</f>
        <v>5</v>
      </c>
      <c r="O415" s="176"/>
      <c r="P415" s="183" t="s">
        <v>63</v>
      </c>
      <c r="Q415" s="178" t="s">
        <v>63</v>
      </c>
      <c r="R415" s="176"/>
      <c r="S415" s="176"/>
      <c r="T415" s="176"/>
      <c r="U415" s="176"/>
      <c r="V415" s="176"/>
      <c r="W415" s="176"/>
      <c r="X415" s="176"/>
      <c r="Y415" s="176"/>
      <c r="Z415" s="176"/>
      <c r="AA415" s="176"/>
    </row>
    <row r="416">
      <c r="A416" s="165" t="str">
        <f>iferror(VLOOKUP(P416,'DO NOT TOUCH Imported'!$A$1:$D$800,4,False),iferror(VLOOKUP(P416,'DO NOT TOUCH Imported'!$C$1:$D$800,2,False),"OOPS FIX ME"))</f>
        <v>chuygarcia92</v>
      </c>
      <c r="B416" s="166" t="s">
        <v>441</v>
      </c>
      <c r="C416" s="167" t="s">
        <v>704</v>
      </c>
      <c r="D416" s="168" t="s">
        <v>437</v>
      </c>
      <c r="E416" s="177" t="s">
        <v>438</v>
      </c>
      <c r="F416" s="168" t="s">
        <v>439</v>
      </c>
      <c r="G416" s="170">
        <v>1000.0</v>
      </c>
      <c r="H416" s="171">
        <v>200.0</v>
      </c>
      <c r="I416" s="171">
        <v>200.0</v>
      </c>
      <c r="J416" s="172">
        <f t="shared" si="20"/>
        <v>0.001342393283</v>
      </c>
      <c r="K416" s="173">
        <f t="shared" si="22"/>
        <v>1.61087194</v>
      </c>
      <c r="L416" s="174">
        <f t="shared" si="9"/>
        <v>7.18127319</v>
      </c>
      <c r="M416" s="175" t="str">
        <f t="shared" si="10"/>
        <v>chuygarcia92</v>
      </c>
      <c r="N416" s="176">
        <f>IFERROR(__xludf.DUMMYFUNCTION("""COMPUTED_VALUE"""),6.0)</f>
        <v>6</v>
      </c>
      <c r="O416" s="176"/>
      <c r="P416" s="166" t="s">
        <v>483</v>
      </c>
      <c r="Q416" s="166" t="s">
        <v>441</v>
      </c>
      <c r="R416" s="176"/>
      <c r="S416" s="176"/>
      <c r="T416" s="176"/>
      <c r="U416" s="176"/>
      <c r="V416" s="176"/>
      <c r="W416" s="176"/>
      <c r="X416" s="176"/>
      <c r="Y416" s="176"/>
      <c r="Z416" s="176"/>
      <c r="AA416" s="176"/>
    </row>
    <row r="417">
      <c r="A417" s="165" t="str">
        <f>iferror(VLOOKUP(P417,'DO NOT TOUCH Imported'!$A$1:$D$800,4,False),iferror(VLOOKUP(P417,'DO NOT TOUCH Imported'!$C$1:$D$800,2,False),"OOPS FIX ME"))</f>
        <v>chuygarcia92</v>
      </c>
      <c r="B417" s="166" t="s">
        <v>457</v>
      </c>
      <c r="C417" s="167" t="s">
        <v>458</v>
      </c>
      <c r="D417" s="168" t="s">
        <v>437</v>
      </c>
      <c r="E417" s="169" t="s">
        <v>438</v>
      </c>
      <c r="F417" s="168" t="s">
        <v>439</v>
      </c>
      <c r="G417" s="170">
        <v>1000.0</v>
      </c>
      <c r="H417" s="171">
        <v>200.0</v>
      </c>
      <c r="I417" s="171">
        <v>200.0</v>
      </c>
      <c r="J417" s="172">
        <f t="shared" si="20"/>
        <v>0.001342393283</v>
      </c>
      <c r="K417" s="173">
        <f t="shared" si="22"/>
        <v>1.61087194</v>
      </c>
      <c r="L417" s="174">
        <f t="shared" si="9"/>
        <v>7.18127319</v>
      </c>
      <c r="M417" s="175" t="str">
        <f t="shared" si="10"/>
        <v>chuygarcia92</v>
      </c>
      <c r="N417" s="176">
        <f>IFERROR(__xludf.DUMMYFUNCTION("""COMPUTED_VALUE"""),7.0)</f>
        <v>7</v>
      </c>
      <c r="O417" s="176"/>
      <c r="P417" s="166" t="s">
        <v>483</v>
      </c>
      <c r="Q417" s="166" t="s">
        <v>457</v>
      </c>
      <c r="R417" s="176"/>
      <c r="S417" s="176"/>
      <c r="T417" s="176"/>
      <c r="U417" s="176"/>
      <c r="V417" s="176"/>
      <c r="W417" s="176"/>
      <c r="X417" s="176"/>
      <c r="Y417" s="176"/>
      <c r="Z417" s="176"/>
      <c r="AA417" s="176"/>
    </row>
    <row r="418">
      <c r="A418" s="165" t="str">
        <f>iferror(VLOOKUP(P418,'DO NOT TOUCH Imported'!$A$1:$D$800,4,False),iferror(VLOOKUP(P418,'DO NOT TOUCH Imported'!$C$1:$D$800,2,False),"OOPS FIX ME"))</f>
        <v>chuygarcia92</v>
      </c>
      <c r="B418" s="166" t="s">
        <v>441</v>
      </c>
      <c r="C418" s="167" t="s">
        <v>705</v>
      </c>
      <c r="D418" s="168" t="s">
        <v>437</v>
      </c>
      <c r="E418" s="169" t="s">
        <v>447</v>
      </c>
      <c r="F418" s="168" t="s">
        <v>439</v>
      </c>
      <c r="G418" s="170">
        <v>1000.0</v>
      </c>
      <c r="H418" s="171">
        <v>200.0</v>
      </c>
      <c r="I418" s="171">
        <v>100.0</v>
      </c>
      <c r="J418" s="172">
        <f t="shared" si="20"/>
        <v>0.001042633091</v>
      </c>
      <c r="K418" s="173">
        <f t="shared" si="22"/>
        <v>1.25115971</v>
      </c>
      <c r="L418" s="174">
        <f t="shared" si="9"/>
        <v>7.18127319</v>
      </c>
      <c r="M418" s="175" t="str">
        <f t="shared" si="10"/>
        <v>chuygarcia92</v>
      </c>
      <c r="N418" s="176">
        <f>IFERROR(__xludf.DUMMYFUNCTION("""COMPUTED_VALUE"""),8.0)</f>
        <v>8</v>
      </c>
      <c r="O418" s="176"/>
      <c r="P418" s="166" t="s">
        <v>483</v>
      </c>
      <c r="Q418" s="166" t="s">
        <v>441</v>
      </c>
      <c r="R418" s="176"/>
      <c r="S418" s="176"/>
      <c r="T418" s="176"/>
      <c r="U418" s="176"/>
      <c r="V418" s="176"/>
      <c r="W418" s="176"/>
      <c r="X418" s="176"/>
      <c r="Y418" s="176"/>
      <c r="Z418" s="176"/>
      <c r="AA418" s="176"/>
    </row>
    <row r="419">
      <c r="A419" s="165" t="str">
        <f>iferror(VLOOKUP(P419,'DO NOT TOUCH Imported'!$A$1:$D$800,4,False),iferror(VLOOKUP(P419,'DO NOT TOUCH Imported'!$C$1:$D$800,2,False),"OOPS FIX ME"))</f>
        <v>chuygarcia92</v>
      </c>
      <c r="B419" s="166" t="s">
        <v>450</v>
      </c>
      <c r="C419" s="167" t="s">
        <v>451</v>
      </c>
      <c r="D419" s="168" t="s">
        <v>437</v>
      </c>
      <c r="E419" s="169" t="s">
        <v>452</v>
      </c>
      <c r="F419" s="168" t="s">
        <v>453</v>
      </c>
      <c r="G419" s="170">
        <v>1000.0</v>
      </c>
      <c r="H419" s="171">
        <v>100.0</v>
      </c>
      <c r="I419" s="171">
        <v>200.0</v>
      </c>
      <c r="J419" s="172">
        <f t="shared" si="20"/>
        <v>0.001023154349</v>
      </c>
      <c r="K419" s="173">
        <f t="shared" si="22"/>
        <v>1.227785219</v>
      </c>
      <c r="L419" s="174">
        <f t="shared" si="9"/>
        <v>7.18127319</v>
      </c>
      <c r="M419" s="175" t="str">
        <f t="shared" si="10"/>
        <v>chuygarcia92</v>
      </c>
      <c r="N419" s="176">
        <f>IFERROR(__xludf.DUMMYFUNCTION("""COMPUTED_VALUE"""),9.0)</f>
        <v>9</v>
      </c>
      <c r="O419" s="176"/>
      <c r="P419" s="166" t="s">
        <v>483</v>
      </c>
      <c r="Q419" s="166" t="s">
        <v>450</v>
      </c>
      <c r="R419" s="176"/>
      <c r="S419" s="176"/>
      <c r="T419" s="176"/>
      <c r="U419" s="176"/>
      <c r="V419" s="176"/>
      <c r="W419" s="176"/>
      <c r="X419" s="176"/>
      <c r="Y419" s="176"/>
      <c r="Z419" s="176"/>
      <c r="AA419" s="176"/>
    </row>
    <row r="420">
      <c r="A420" s="165" t="str">
        <f>iferror(VLOOKUP(P420,'DO NOT TOUCH Imported'!$A$1:$D$800,4,False),iferror(VLOOKUP(P420,'DO NOT TOUCH Imported'!$C$1:$D$800,2,False),"OOPS FIX ME"))</f>
        <v>chuygarcia92</v>
      </c>
      <c r="B420" s="166" t="s">
        <v>440</v>
      </c>
      <c r="C420" s="167" t="s">
        <v>706</v>
      </c>
      <c r="D420" s="168" t="s">
        <v>437</v>
      </c>
      <c r="E420" s="169" t="s">
        <v>478</v>
      </c>
      <c r="F420" s="168" t="s">
        <v>439</v>
      </c>
      <c r="G420" s="170">
        <v>1000.0</v>
      </c>
      <c r="H420" s="171">
        <v>100.0</v>
      </c>
      <c r="I420" s="171">
        <v>200.0</v>
      </c>
      <c r="J420" s="172">
        <f t="shared" si="20"/>
        <v>0.001023154349</v>
      </c>
      <c r="K420" s="173">
        <f t="shared" si="22"/>
        <v>1.227785219</v>
      </c>
      <c r="L420" s="174">
        <f t="shared" si="9"/>
        <v>7.18127319</v>
      </c>
      <c r="M420" s="175" t="str">
        <f t="shared" si="10"/>
        <v>chuygarcia92</v>
      </c>
      <c r="N420" s="176">
        <f>IFERROR(__xludf.DUMMYFUNCTION("""COMPUTED_VALUE"""),10.0)</f>
        <v>10</v>
      </c>
      <c r="O420" s="176"/>
      <c r="P420" s="166" t="s">
        <v>483</v>
      </c>
      <c r="Q420" s="166" t="s">
        <v>440</v>
      </c>
      <c r="R420" s="176"/>
      <c r="S420" s="176"/>
      <c r="T420" s="176"/>
      <c r="U420" s="176"/>
      <c r="V420" s="176"/>
      <c r="W420" s="176"/>
      <c r="X420" s="176"/>
      <c r="Y420" s="176"/>
      <c r="Z420" s="176"/>
      <c r="AA420" s="176"/>
    </row>
    <row r="421">
      <c r="A421" s="165" t="str">
        <f>iferror(VLOOKUP(P421,'DO NOT TOUCH Imported'!$A$1:$D$800,4,False),iferror(VLOOKUP(P421,'DO NOT TOUCH Imported'!$C$1:$D$800,2,False),"OOPS FIX ME"))</f>
        <v>chuygarcia92</v>
      </c>
      <c r="B421" s="166" t="s">
        <v>441</v>
      </c>
      <c r="C421" s="167" t="s">
        <v>456</v>
      </c>
      <c r="D421" s="168" t="s">
        <v>437</v>
      </c>
      <c r="E421" s="169" t="s">
        <v>438</v>
      </c>
      <c r="F421" s="168" t="s">
        <v>439</v>
      </c>
      <c r="G421" s="170">
        <v>1000.0</v>
      </c>
      <c r="H421" s="171">
        <v>100.0</v>
      </c>
      <c r="I421" s="171">
        <v>200.0</v>
      </c>
      <c r="J421" s="172">
        <f t="shared" si="20"/>
        <v>0.001023154349</v>
      </c>
      <c r="K421" s="173">
        <f t="shared" si="22"/>
        <v>1.227785219</v>
      </c>
      <c r="L421" s="174">
        <f t="shared" si="9"/>
        <v>7.18127319</v>
      </c>
      <c r="M421" s="175" t="str">
        <f t="shared" si="10"/>
        <v>chuygarcia92</v>
      </c>
      <c r="N421" s="176">
        <f>IFERROR(__xludf.DUMMYFUNCTION("""COMPUTED_VALUE"""),11.0)</f>
        <v>11</v>
      </c>
      <c r="O421" s="176"/>
      <c r="P421" s="166" t="s">
        <v>483</v>
      </c>
      <c r="Q421" s="166" t="s">
        <v>441</v>
      </c>
      <c r="R421" s="176"/>
      <c r="S421" s="176"/>
      <c r="T421" s="176"/>
      <c r="U421" s="176"/>
      <c r="V421" s="176"/>
      <c r="W421" s="176"/>
      <c r="X421" s="176"/>
      <c r="Y421" s="176"/>
      <c r="Z421" s="176"/>
      <c r="AA421" s="176"/>
    </row>
    <row r="422">
      <c r="A422" s="165" t="str">
        <f>iferror(VLOOKUP(P422,'DO NOT TOUCH Imported'!$A$1:$D$800,4,False),iferror(VLOOKUP(P422,'DO NOT TOUCH Imported'!$C$1:$D$800,2,False),"OOPS FIX ME"))</f>
        <v>chuygarcia92</v>
      </c>
      <c r="B422" s="166" t="s">
        <v>441</v>
      </c>
      <c r="C422" s="167" t="s">
        <v>580</v>
      </c>
      <c r="D422" s="168" t="s">
        <v>437</v>
      </c>
      <c r="E422" s="169" t="s">
        <v>447</v>
      </c>
      <c r="F422" s="168" t="s">
        <v>439</v>
      </c>
      <c r="G422" s="170">
        <v>1000.0</v>
      </c>
      <c r="H422" s="171">
        <v>150.0</v>
      </c>
      <c r="I422" s="171">
        <v>100.0</v>
      </c>
      <c r="J422" s="172">
        <f t="shared" si="20"/>
        <v>0.0008830136242</v>
      </c>
      <c r="K422" s="173">
        <f t="shared" si="22"/>
        <v>1.059616349</v>
      </c>
      <c r="L422" s="174">
        <f t="shared" si="9"/>
        <v>7.18127319</v>
      </c>
      <c r="M422" s="175" t="str">
        <f t="shared" si="10"/>
        <v>chuygarcia92</v>
      </c>
      <c r="N422" s="176">
        <f>IFERROR(__xludf.DUMMYFUNCTION("""COMPUTED_VALUE"""),12.0)</f>
        <v>12</v>
      </c>
      <c r="O422" s="176"/>
      <c r="P422" s="166" t="s">
        <v>483</v>
      </c>
      <c r="Q422" s="166" t="s">
        <v>441</v>
      </c>
      <c r="R422" s="176"/>
      <c r="S422" s="176"/>
      <c r="T422" s="176"/>
      <c r="U422" s="176"/>
      <c r="V422" s="176"/>
      <c r="W422" s="176"/>
      <c r="X422" s="176"/>
      <c r="Y422" s="176"/>
      <c r="Z422" s="176"/>
      <c r="AA422" s="176"/>
    </row>
    <row r="423">
      <c r="A423" s="165" t="str">
        <f>iferror(VLOOKUP(P423,'DO NOT TOUCH Imported'!$A$1:$D$800,4,False),iferror(VLOOKUP(P423,'DO NOT TOUCH Imported'!$C$1:$D$800,2,False),"OOPS FIX ME"))</f>
        <v>chuygarcia92</v>
      </c>
      <c r="B423" s="166" t="s">
        <v>441</v>
      </c>
      <c r="C423" s="167" t="s">
        <v>461</v>
      </c>
      <c r="D423" s="168" t="s">
        <v>437</v>
      </c>
      <c r="E423" s="169" t="s">
        <v>460</v>
      </c>
      <c r="F423" s="168" t="s">
        <v>439</v>
      </c>
      <c r="G423" s="170">
        <v>1000.0</v>
      </c>
      <c r="H423" s="171">
        <v>100.0</v>
      </c>
      <c r="I423" s="171">
        <v>100.0</v>
      </c>
      <c r="J423" s="172">
        <f t="shared" si="20"/>
        <v>0.000723394157</v>
      </c>
      <c r="K423" s="173">
        <f t="shared" si="22"/>
        <v>0.8680729884</v>
      </c>
      <c r="L423" s="174">
        <f t="shared" si="9"/>
        <v>7.18127319</v>
      </c>
      <c r="M423" s="175" t="str">
        <f t="shared" si="10"/>
        <v>chuygarcia92</v>
      </c>
      <c r="N423" s="176">
        <f>IFERROR(__xludf.DUMMYFUNCTION("""COMPUTED_VALUE"""),13.0)</f>
        <v>13</v>
      </c>
      <c r="O423" s="176"/>
      <c r="P423" s="166" t="s">
        <v>483</v>
      </c>
      <c r="Q423" s="166" t="s">
        <v>441</v>
      </c>
      <c r="R423" s="176"/>
      <c r="S423" s="176"/>
      <c r="T423" s="176"/>
      <c r="U423" s="176"/>
      <c r="V423" s="176"/>
      <c r="W423" s="176"/>
      <c r="X423" s="176"/>
      <c r="Y423" s="176"/>
      <c r="Z423" s="176"/>
      <c r="AA423" s="176"/>
    </row>
    <row r="424">
      <c r="A424" s="165" t="str">
        <f>iferror(VLOOKUP(P424,'DO NOT TOUCH Imported'!$A$1:$D$800,4,False),iferror(VLOOKUP(P424,'DO NOT TOUCH Imported'!$C$1:$D$800,2,False),"OOPS FIX ME"))</f>
        <v>chuygarcia92</v>
      </c>
      <c r="B424" s="166" t="s">
        <v>463</v>
      </c>
      <c r="C424" s="167" t="s">
        <v>464</v>
      </c>
      <c r="D424" s="168" t="s">
        <v>437</v>
      </c>
      <c r="E424" s="177" t="s">
        <v>445</v>
      </c>
      <c r="F424" s="168" t="s">
        <v>439</v>
      </c>
      <c r="G424" s="170">
        <v>1000.0</v>
      </c>
      <c r="H424" s="171">
        <v>100.0</v>
      </c>
      <c r="I424" s="171">
        <v>100.0</v>
      </c>
      <c r="J424" s="172">
        <f t="shared" si="20"/>
        <v>0.000723394157</v>
      </c>
      <c r="K424" s="173">
        <f t="shared" si="22"/>
        <v>0.8680729884</v>
      </c>
      <c r="L424" s="174">
        <f t="shared" si="9"/>
        <v>7.18127319</v>
      </c>
      <c r="M424" s="175" t="str">
        <f t="shared" si="10"/>
        <v>chuygarcia92</v>
      </c>
      <c r="N424" s="176">
        <f>IFERROR(__xludf.DUMMYFUNCTION("""COMPUTED_VALUE"""),14.0)</f>
        <v>14</v>
      </c>
      <c r="O424" s="176"/>
      <c r="P424" s="166" t="s">
        <v>483</v>
      </c>
      <c r="Q424" s="166" t="s">
        <v>463</v>
      </c>
      <c r="R424" s="176"/>
      <c r="S424" s="176"/>
      <c r="T424" s="176"/>
      <c r="U424" s="176"/>
      <c r="V424" s="176"/>
      <c r="W424" s="176"/>
      <c r="X424" s="176"/>
      <c r="Y424" s="176"/>
      <c r="Z424" s="176"/>
      <c r="AA424" s="176"/>
    </row>
    <row r="425">
      <c r="A425" s="165" t="str">
        <f>iferror(VLOOKUP(P425,'DO NOT TOUCH Imported'!$A$1:$D$800,4,False),iferror(VLOOKUP(P425,'DO NOT TOUCH Imported'!$C$1:$D$800,2,False),"OOPS FIX ME"))</f>
        <v>chuygarcia92</v>
      </c>
      <c r="B425" s="166" t="s">
        <v>435</v>
      </c>
      <c r="C425" s="167" t="s">
        <v>465</v>
      </c>
      <c r="D425" s="168" t="s">
        <v>437</v>
      </c>
      <c r="E425" s="177" t="s">
        <v>445</v>
      </c>
      <c r="F425" s="168" t="s">
        <v>439</v>
      </c>
      <c r="G425" s="170">
        <v>1000.0</v>
      </c>
      <c r="H425" s="171">
        <v>100.0</v>
      </c>
      <c r="I425" s="171">
        <v>100.0</v>
      </c>
      <c r="J425" s="172">
        <f t="shared" si="20"/>
        <v>0.000723394157</v>
      </c>
      <c r="K425" s="173">
        <f t="shared" si="22"/>
        <v>0.8680729884</v>
      </c>
      <c r="L425" s="174">
        <f t="shared" si="9"/>
        <v>7.18127319</v>
      </c>
      <c r="M425" s="175" t="str">
        <f t="shared" si="10"/>
        <v>chuygarcia92</v>
      </c>
      <c r="N425" s="176">
        <f>IFERROR(__xludf.DUMMYFUNCTION("""COMPUTED_VALUE"""),15.0)</f>
        <v>15</v>
      </c>
      <c r="O425" s="176"/>
      <c r="P425" s="166" t="s">
        <v>483</v>
      </c>
      <c r="Q425" s="166" t="s">
        <v>435</v>
      </c>
      <c r="R425" s="176"/>
      <c r="S425" s="176"/>
      <c r="T425" s="176"/>
      <c r="U425" s="176"/>
      <c r="V425" s="176"/>
      <c r="W425" s="176"/>
      <c r="X425" s="176"/>
      <c r="Y425" s="176"/>
      <c r="Z425" s="176"/>
      <c r="AA425" s="176"/>
    </row>
    <row r="426">
      <c r="A426" s="165" t="str">
        <f>iferror(VLOOKUP(P426,'DO NOT TOUCH Imported'!$A$1:$D$800,4,False),iferror(VLOOKUP(P426,'DO NOT TOUCH Imported'!$C$1:$D$800,2,False),"OOPS FIX ME"))</f>
        <v>chuygarcia92</v>
      </c>
      <c r="B426" s="166" t="s">
        <v>528</v>
      </c>
      <c r="C426" s="167" t="s">
        <v>600</v>
      </c>
      <c r="D426" s="168" t="s">
        <v>437</v>
      </c>
      <c r="E426" s="177" t="s">
        <v>445</v>
      </c>
      <c r="F426" s="168" t="s">
        <v>439</v>
      </c>
      <c r="G426" s="170">
        <v>1000.0</v>
      </c>
      <c r="H426" s="171">
        <v>100.0</v>
      </c>
      <c r="I426" s="171">
        <v>100.0</v>
      </c>
      <c r="J426" s="172">
        <f t="shared" si="20"/>
        <v>0.000723394157</v>
      </c>
      <c r="K426" s="173">
        <f t="shared" si="22"/>
        <v>0.8680729884</v>
      </c>
      <c r="L426" s="174">
        <f t="shared" si="9"/>
        <v>7.18127319</v>
      </c>
      <c r="M426" s="175" t="str">
        <f t="shared" si="10"/>
        <v>chuygarcia92</v>
      </c>
      <c r="N426" s="176">
        <f>IFERROR(__xludf.DUMMYFUNCTION("""COMPUTED_VALUE"""),16.0)</f>
        <v>16</v>
      </c>
      <c r="O426" s="176"/>
      <c r="P426" s="166" t="s">
        <v>483</v>
      </c>
      <c r="Q426" s="166" t="s">
        <v>528</v>
      </c>
      <c r="R426" s="176"/>
      <c r="S426" s="176"/>
      <c r="T426" s="176"/>
      <c r="U426" s="176"/>
      <c r="V426" s="176"/>
      <c r="W426" s="176"/>
      <c r="X426" s="176"/>
      <c r="Y426" s="176"/>
      <c r="Z426" s="176"/>
      <c r="AA426" s="176"/>
    </row>
    <row r="427">
      <c r="A427" s="165" t="str">
        <f>iferror(VLOOKUP(P427,'DO NOT TOUCH Imported'!$A$1:$D$800,4,False),iferror(VLOOKUP(P427,'DO NOT TOUCH Imported'!$C$1:$D$800,2,False),"OOPS FIX ME"))</f>
        <v>chuygarcia92</v>
      </c>
      <c r="B427" s="166" t="s">
        <v>441</v>
      </c>
      <c r="C427" s="167" t="s">
        <v>707</v>
      </c>
      <c r="D427" s="168" t="s">
        <v>437</v>
      </c>
      <c r="E427" s="177" t="s">
        <v>447</v>
      </c>
      <c r="F427" s="168" t="s">
        <v>439</v>
      </c>
      <c r="G427" s="170">
        <v>1000.0</v>
      </c>
      <c r="H427" s="171">
        <v>100.0</v>
      </c>
      <c r="I427" s="171">
        <v>100.0</v>
      </c>
      <c r="J427" s="172">
        <f t="shared" si="20"/>
        <v>0.000723394157</v>
      </c>
      <c r="K427" s="173">
        <f t="shared" si="22"/>
        <v>0.8680729884</v>
      </c>
      <c r="L427" s="174">
        <f t="shared" si="9"/>
        <v>7.18127319</v>
      </c>
      <c r="M427" s="175" t="str">
        <f t="shared" si="10"/>
        <v>chuygarcia92</v>
      </c>
      <c r="N427" s="176">
        <f>IFERROR(__xludf.DUMMYFUNCTION("""COMPUTED_VALUE"""),17.0)</f>
        <v>17</v>
      </c>
      <c r="O427" s="176"/>
      <c r="P427" s="166" t="s">
        <v>483</v>
      </c>
      <c r="Q427" s="166" t="s">
        <v>441</v>
      </c>
      <c r="R427" s="176"/>
      <c r="S427" s="176"/>
      <c r="T427" s="176"/>
      <c r="U427" s="176"/>
      <c r="V427" s="176"/>
      <c r="W427" s="176"/>
      <c r="X427" s="176"/>
      <c r="Y427" s="176"/>
      <c r="Z427" s="176"/>
      <c r="AA427" s="176"/>
    </row>
    <row r="428">
      <c r="A428" s="165" t="str">
        <f>iferror(VLOOKUP(P428,'DO NOT TOUCH Imported'!$A$1:$D$800,4,False),iferror(VLOOKUP(P428,'DO NOT TOUCH Imported'!$C$1:$D$800,2,False),"OOPS FIX ME"))</f>
        <v>chuygarcia92</v>
      </c>
      <c r="B428" s="166" t="s">
        <v>441</v>
      </c>
      <c r="C428" s="167" t="s">
        <v>542</v>
      </c>
      <c r="D428" s="168" t="s">
        <v>437</v>
      </c>
      <c r="E428" s="169" t="s">
        <v>447</v>
      </c>
      <c r="F428" s="168" t="s">
        <v>439</v>
      </c>
      <c r="G428" s="170">
        <v>1000.0</v>
      </c>
      <c r="H428" s="171">
        <v>100.0</v>
      </c>
      <c r="I428" s="171">
        <v>100.0</v>
      </c>
      <c r="J428" s="172">
        <f t="shared" si="20"/>
        <v>0.000723394157</v>
      </c>
      <c r="K428" s="173">
        <f t="shared" si="22"/>
        <v>0.8680729884</v>
      </c>
      <c r="L428" s="174">
        <f t="shared" si="9"/>
        <v>7.18127319</v>
      </c>
      <c r="M428" s="175" t="str">
        <f t="shared" si="10"/>
        <v>chuygarcia92</v>
      </c>
      <c r="N428" s="176">
        <f>IFERROR(__xludf.DUMMYFUNCTION("""COMPUTED_VALUE"""),18.0)</f>
        <v>18</v>
      </c>
      <c r="O428" s="176"/>
      <c r="P428" s="166" t="s">
        <v>483</v>
      </c>
      <c r="Q428" s="166" t="s">
        <v>441</v>
      </c>
      <c r="R428" s="176"/>
      <c r="S428" s="176"/>
      <c r="T428" s="176"/>
      <c r="U428" s="176"/>
      <c r="V428" s="176"/>
      <c r="W428" s="176"/>
      <c r="X428" s="176"/>
      <c r="Y428" s="176"/>
      <c r="Z428" s="176"/>
      <c r="AA428" s="176"/>
    </row>
    <row r="429">
      <c r="A429" s="165" t="str">
        <f>iferror(VLOOKUP(P429,'DO NOT TOUCH Imported'!$A$1:$D$800,4,False),iferror(VLOOKUP(P429,'DO NOT TOUCH Imported'!$C$1:$D$800,2,False),"OOPS FIX ME"))</f>
        <v>chuygarcia92</v>
      </c>
      <c r="B429" s="166" t="s">
        <v>441</v>
      </c>
      <c r="C429" s="167" t="s">
        <v>468</v>
      </c>
      <c r="D429" s="168" t="s">
        <v>437</v>
      </c>
      <c r="E429" s="169" t="s">
        <v>447</v>
      </c>
      <c r="F429" s="168" t="s">
        <v>439</v>
      </c>
      <c r="G429" s="170">
        <v>1000.0</v>
      </c>
      <c r="H429" s="171">
        <v>100.0</v>
      </c>
      <c r="I429" s="171">
        <v>100.0</v>
      </c>
      <c r="J429" s="172">
        <f t="shared" si="20"/>
        <v>0.000723394157</v>
      </c>
      <c r="K429" s="173">
        <f t="shared" si="22"/>
        <v>0.8680729884</v>
      </c>
      <c r="L429" s="174">
        <f t="shared" si="9"/>
        <v>7.18127319</v>
      </c>
      <c r="M429" s="175" t="str">
        <f t="shared" si="10"/>
        <v>chuygarcia92</v>
      </c>
      <c r="N429" s="176">
        <f>IFERROR(__xludf.DUMMYFUNCTION("""COMPUTED_VALUE"""),19.0)</f>
        <v>19</v>
      </c>
      <c r="O429" s="176"/>
      <c r="P429" s="166" t="s">
        <v>483</v>
      </c>
      <c r="Q429" s="166" t="s">
        <v>441</v>
      </c>
      <c r="R429" s="176"/>
      <c r="S429" s="176"/>
      <c r="T429" s="176"/>
      <c r="U429" s="176"/>
      <c r="V429" s="176"/>
      <c r="W429" s="176"/>
      <c r="X429" s="176"/>
      <c r="Y429" s="176"/>
      <c r="Z429" s="176"/>
      <c r="AA429" s="176"/>
    </row>
    <row r="430">
      <c r="A430" s="165" t="str">
        <f>iferror(VLOOKUP(P430,'DO NOT TOUCH Imported'!$A$1:$D$800,4,False),iferror(VLOOKUP(P430,'DO NOT TOUCH Imported'!$C$1:$D$800,2,False),"OOPS FIX ME"))</f>
        <v>chuygarcia92</v>
      </c>
      <c r="B430" s="166" t="s">
        <v>441</v>
      </c>
      <c r="C430" s="167" t="s">
        <v>469</v>
      </c>
      <c r="D430" s="168" t="s">
        <v>437</v>
      </c>
      <c r="E430" s="177" t="s">
        <v>447</v>
      </c>
      <c r="F430" s="168" t="s">
        <v>439</v>
      </c>
      <c r="G430" s="170">
        <v>1000.0</v>
      </c>
      <c r="H430" s="171">
        <v>100.0</v>
      </c>
      <c r="I430" s="171">
        <v>100.0</v>
      </c>
      <c r="J430" s="172">
        <f t="shared" si="20"/>
        <v>0.000723394157</v>
      </c>
      <c r="K430" s="173">
        <f t="shared" si="22"/>
        <v>0.8680729884</v>
      </c>
      <c r="L430" s="174">
        <f t="shared" si="9"/>
        <v>7.18127319</v>
      </c>
      <c r="M430" s="175" t="str">
        <f t="shared" si="10"/>
        <v>chuygarcia92</v>
      </c>
      <c r="N430" s="176">
        <f>IFERROR(__xludf.DUMMYFUNCTION("""COMPUTED_VALUE"""),20.0)</f>
        <v>20</v>
      </c>
      <c r="O430" s="176"/>
      <c r="P430" s="166" t="s">
        <v>483</v>
      </c>
      <c r="Q430" s="166" t="s">
        <v>441</v>
      </c>
      <c r="R430" s="176"/>
      <c r="S430" s="176"/>
      <c r="T430" s="176"/>
      <c r="U430" s="176"/>
      <c r="V430" s="176"/>
      <c r="W430" s="176"/>
      <c r="X430" s="176"/>
      <c r="Y430" s="176"/>
      <c r="Z430" s="176"/>
      <c r="AA430" s="176"/>
    </row>
    <row r="431">
      <c r="A431" s="165" t="str">
        <f>iferror(VLOOKUP(P431,'DO NOT TOUCH Imported'!$A$1:$D$800,4,False),iferror(VLOOKUP(P431,'DO NOT TOUCH Imported'!$C$1:$D$800,2,False),"OOPS FIX ME"))</f>
        <v>chuygarcia92</v>
      </c>
      <c r="B431" s="166" t="s">
        <v>441</v>
      </c>
      <c r="C431" s="167" t="s">
        <v>708</v>
      </c>
      <c r="D431" s="168" t="s">
        <v>437</v>
      </c>
      <c r="E431" s="177" t="s">
        <v>447</v>
      </c>
      <c r="F431" s="168" t="s">
        <v>439</v>
      </c>
      <c r="G431" s="170">
        <v>1000.0</v>
      </c>
      <c r="H431" s="171">
        <v>100.0</v>
      </c>
      <c r="I431" s="171">
        <v>100.0</v>
      </c>
      <c r="J431" s="172">
        <f t="shared" si="20"/>
        <v>0.000723394157</v>
      </c>
      <c r="K431" s="173">
        <f t="shared" si="22"/>
        <v>0.8680729884</v>
      </c>
      <c r="L431" s="174">
        <f t="shared" si="9"/>
        <v>7.18127319</v>
      </c>
      <c r="M431" s="175" t="str">
        <f t="shared" si="10"/>
        <v>chuygarcia92</v>
      </c>
      <c r="N431" s="209">
        <f>IFERROR(__xludf.DUMMYFUNCTION("""COMPUTED_VALUE"""),21.0)</f>
        <v>21</v>
      </c>
      <c r="O431" s="209"/>
      <c r="P431" s="166" t="s">
        <v>483</v>
      </c>
      <c r="Q431" s="166" t="s">
        <v>441</v>
      </c>
      <c r="R431" s="209"/>
      <c r="S431" s="209"/>
      <c r="T431" s="209"/>
      <c r="U431" s="209"/>
      <c r="V431" s="209"/>
      <c r="W431" s="209"/>
      <c r="X431" s="209"/>
      <c r="Y431" s="209"/>
      <c r="Z431" s="209"/>
      <c r="AA431" s="209"/>
    </row>
    <row r="432">
      <c r="A432" s="165" t="str">
        <f>iferror(VLOOKUP(P432,'DO NOT TOUCH Imported'!$A$1:$D$800,4,False),iferror(VLOOKUP(P432,'DO NOT TOUCH Imported'!$C$1:$D$800,2,False),"OOPS FIX ME"))</f>
        <v>chuygarcia92</v>
      </c>
      <c r="B432" s="166" t="s">
        <v>441</v>
      </c>
      <c r="C432" s="167" t="s">
        <v>709</v>
      </c>
      <c r="D432" s="168" t="s">
        <v>437</v>
      </c>
      <c r="E432" s="169" t="s">
        <v>447</v>
      </c>
      <c r="F432" s="168" t="s">
        <v>439</v>
      </c>
      <c r="G432" s="170">
        <v>1000.0</v>
      </c>
      <c r="H432" s="171">
        <v>100.0</v>
      </c>
      <c r="I432" s="171">
        <v>100.0</v>
      </c>
      <c r="J432" s="172">
        <f t="shared" si="20"/>
        <v>0.000723394157</v>
      </c>
      <c r="K432" s="173">
        <f t="shared" si="22"/>
        <v>0.8680729884</v>
      </c>
      <c r="L432" s="174">
        <f t="shared" si="9"/>
        <v>7.18127319</v>
      </c>
      <c r="M432" s="175" t="str">
        <f t="shared" si="10"/>
        <v>chuygarcia92</v>
      </c>
      <c r="N432" s="176">
        <f>IFERROR(__xludf.DUMMYFUNCTION("""COMPUTED_VALUE"""),22.0)</f>
        <v>22</v>
      </c>
      <c r="O432" s="176"/>
      <c r="P432" s="166" t="s">
        <v>483</v>
      </c>
      <c r="Q432" s="166" t="s">
        <v>441</v>
      </c>
      <c r="R432" s="176"/>
      <c r="S432" s="176"/>
      <c r="T432" s="176"/>
      <c r="U432" s="176"/>
      <c r="V432" s="176"/>
      <c r="W432" s="176"/>
      <c r="X432" s="176"/>
      <c r="Y432" s="176"/>
      <c r="Z432" s="176"/>
      <c r="AA432" s="176"/>
    </row>
    <row r="433">
      <c r="A433" s="165" t="str">
        <f>iferror(VLOOKUP(P433,'DO NOT TOUCH Imported'!$A$1:$D$800,4,False),iferror(VLOOKUP(P433,'DO NOT TOUCH Imported'!$C$1:$D$800,2,False),"OOPS FIX ME"))</f>
        <v>chuygarcia92</v>
      </c>
      <c r="B433" s="166" t="s">
        <v>440</v>
      </c>
      <c r="C433" s="167" t="s">
        <v>471</v>
      </c>
      <c r="D433" s="168" t="s">
        <v>437</v>
      </c>
      <c r="E433" s="177" t="s">
        <v>447</v>
      </c>
      <c r="F433" s="168" t="s">
        <v>439</v>
      </c>
      <c r="G433" s="170">
        <v>1000.0</v>
      </c>
      <c r="H433" s="171">
        <v>100.0</v>
      </c>
      <c r="I433" s="171">
        <v>100.0</v>
      </c>
      <c r="J433" s="172">
        <f t="shared" si="20"/>
        <v>0.000723394157</v>
      </c>
      <c r="K433" s="173">
        <f t="shared" si="22"/>
        <v>0.8680729884</v>
      </c>
      <c r="L433" s="174">
        <f t="shared" si="9"/>
        <v>7.18127319</v>
      </c>
      <c r="M433" s="175" t="str">
        <f t="shared" si="10"/>
        <v>chuygarcia92</v>
      </c>
      <c r="N433" s="176">
        <f>IFERROR(__xludf.DUMMYFUNCTION("""COMPUTED_VALUE"""),23.0)</f>
        <v>23</v>
      </c>
      <c r="O433" s="176"/>
      <c r="P433" s="166" t="s">
        <v>483</v>
      </c>
      <c r="Q433" s="166" t="s">
        <v>440</v>
      </c>
      <c r="R433" s="176"/>
      <c r="S433" s="176"/>
      <c r="T433" s="176"/>
      <c r="U433" s="176"/>
      <c r="V433" s="176"/>
      <c r="W433" s="176"/>
      <c r="X433" s="176"/>
      <c r="Y433" s="176"/>
      <c r="Z433" s="176"/>
      <c r="AA433" s="176"/>
    </row>
    <row r="434">
      <c r="A434" s="165" t="str">
        <f>iferror(VLOOKUP(P434,'DO NOT TOUCH Imported'!$A$1:$D$800,4,False),iferror(VLOOKUP(P434,'DO NOT TOUCH Imported'!$C$1:$D$800,2,False),"OOPS FIX ME"))</f>
        <v>chuygarcia92</v>
      </c>
      <c r="B434" s="166" t="s">
        <v>435</v>
      </c>
      <c r="C434" s="167" t="s">
        <v>710</v>
      </c>
      <c r="D434" s="168" t="s">
        <v>437</v>
      </c>
      <c r="E434" s="177" t="s">
        <v>447</v>
      </c>
      <c r="F434" s="168" t="s">
        <v>439</v>
      </c>
      <c r="G434" s="170">
        <v>1000.0</v>
      </c>
      <c r="H434" s="171">
        <v>100.0</v>
      </c>
      <c r="I434" s="171">
        <v>100.0</v>
      </c>
      <c r="J434" s="172">
        <f t="shared" si="20"/>
        <v>0.000723394157</v>
      </c>
      <c r="K434" s="173">
        <f t="shared" si="22"/>
        <v>0.8680729884</v>
      </c>
      <c r="L434" s="174">
        <f t="shared" si="9"/>
        <v>7.18127319</v>
      </c>
      <c r="M434" s="175" t="str">
        <f t="shared" si="10"/>
        <v>chuygarcia92</v>
      </c>
      <c r="N434" s="176">
        <f>IFERROR(__xludf.DUMMYFUNCTION("""COMPUTED_VALUE"""),24.0)</f>
        <v>24</v>
      </c>
      <c r="O434" s="176"/>
      <c r="P434" s="166" t="s">
        <v>483</v>
      </c>
      <c r="Q434" s="166" t="s">
        <v>435</v>
      </c>
      <c r="R434" s="176"/>
      <c r="S434" s="176"/>
      <c r="T434" s="176"/>
      <c r="U434" s="176"/>
      <c r="V434" s="176"/>
      <c r="W434" s="176"/>
      <c r="X434" s="176"/>
      <c r="Y434" s="176"/>
      <c r="Z434" s="176"/>
      <c r="AA434" s="176"/>
    </row>
    <row r="435">
      <c r="A435" s="165" t="str">
        <f>iferror(VLOOKUP(P435,'DO NOT TOUCH Imported'!$A$1:$D$800,4,False),iferror(VLOOKUP(P435,'DO NOT TOUCH Imported'!$C$1:$D$800,2,False),"OOPS FIX ME"))</f>
        <v>chuygarcia92</v>
      </c>
      <c r="B435" s="166" t="s">
        <v>528</v>
      </c>
      <c r="C435" s="167" t="s">
        <v>529</v>
      </c>
      <c r="D435" s="168" t="s">
        <v>437</v>
      </c>
      <c r="E435" s="177" t="s">
        <v>447</v>
      </c>
      <c r="F435" s="168" t="s">
        <v>439</v>
      </c>
      <c r="G435" s="170">
        <v>1000.0</v>
      </c>
      <c r="H435" s="171">
        <v>100.0</v>
      </c>
      <c r="I435" s="171">
        <v>100.0</v>
      </c>
      <c r="J435" s="172">
        <f t="shared" si="20"/>
        <v>0.000723394157</v>
      </c>
      <c r="K435" s="173">
        <f t="shared" si="22"/>
        <v>0.8680729884</v>
      </c>
      <c r="L435" s="174">
        <f t="shared" si="9"/>
        <v>7.18127319</v>
      </c>
      <c r="M435" s="175" t="str">
        <f t="shared" si="10"/>
        <v>chuygarcia92</v>
      </c>
      <c r="N435" s="176">
        <f>IFERROR(__xludf.DUMMYFUNCTION("""COMPUTED_VALUE"""),25.0)</f>
        <v>25</v>
      </c>
      <c r="O435" s="176"/>
      <c r="P435" s="166" t="s">
        <v>483</v>
      </c>
      <c r="Q435" s="166" t="s">
        <v>528</v>
      </c>
      <c r="R435" s="176"/>
      <c r="S435" s="176"/>
      <c r="T435" s="176"/>
      <c r="U435" s="176"/>
      <c r="V435" s="176"/>
      <c r="W435" s="176"/>
      <c r="X435" s="176"/>
      <c r="Y435" s="176"/>
      <c r="Z435" s="176"/>
      <c r="AA435" s="176"/>
    </row>
    <row r="436">
      <c r="A436" s="165" t="str">
        <f>iferror(VLOOKUP(P436,'DO NOT TOUCH Imported'!$A$1:$D$800,4,False),iferror(VLOOKUP(P436,'DO NOT TOUCH Imported'!$C$1:$D$800,2,False),"OOPS FIX ME"))</f>
        <v>chuygarcia92</v>
      </c>
      <c r="B436" s="166" t="s">
        <v>450</v>
      </c>
      <c r="C436" s="167" t="s">
        <v>711</v>
      </c>
      <c r="D436" s="168" t="s">
        <v>437</v>
      </c>
      <c r="E436" s="177" t="s">
        <v>447</v>
      </c>
      <c r="F436" s="168" t="s">
        <v>712</v>
      </c>
      <c r="G436" s="170">
        <v>1000.0</v>
      </c>
      <c r="H436" s="171">
        <v>100.0</v>
      </c>
      <c r="I436" s="171">
        <v>100.0</v>
      </c>
      <c r="J436" s="172">
        <f t="shared" si="20"/>
        <v>0.000723394157</v>
      </c>
      <c r="K436" s="173">
        <f t="shared" si="22"/>
        <v>0.8680729884</v>
      </c>
      <c r="L436" s="174">
        <f t="shared" si="9"/>
        <v>7.18127319</v>
      </c>
      <c r="M436" s="175" t="str">
        <f t="shared" si="10"/>
        <v>chuygarcia92</v>
      </c>
      <c r="N436" s="176">
        <f>IFERROR(__xludf.DUMMYFUNCTION("""COMPUTED_VALUE"""),26.0)</f>
        <v>26</v>
      </c>
      <c r="O436" s="176"/>
      <c r="P436" s="166" t="s">
        <v>483</v>
      </c>
      <c r="Q436" s="166" t="s">
        <v>450</v>
      </c>
      <c r="R436" s="176"/>
      <c r="S436" s="176"/>
      <c r="T436" s="176"/>
      <c r="U436" s="176"/>
      <c r="V436" s="176"/>
      <c r="W436" s="176"/>
      <c r="X436" s="176"/>
      <c r="Y436" s="176"/>
      <c r="Z436" s="176"/>
      <c r="AA436" s="176"/>
    </row>
    <row r="437">
      <c r="A437" s="165" t="str">
        <f>iferror(VLOOKUP(P437,'DO NOT TOUCH Imported'!$A$1:$D$800,4,False),iferror(VLOOKUP(P437,'DO NOT TOUCH Imported'!$C$1:$D$800,2,False),"OOPS FIX ME"))</f>
        <v>chuygarcia92</v>
      </c>
      <c r="B437" s="166" t="s">
        <v>450</v>
      </c>
      <c r="C437" s="167" t="s">
        <v>472</v>
      </c>
      <c r="D437" s="168" t="s">
        <v>437</v>
      </c>
      <c r="E437" s="169" t="s">
        <v>452</v>
      </c>
      <c r="F437" s="168" t="s">
        <v>473</v>
      </c>
      <c r="G437" s="170">
        <v>1000.0</v>
      </c>
      <c r="H437" s="171">
        <v>100.0</v>
      </c>
      <c r="I437" s="171">
        <v>100.0</v>
      </c>
      <c r="J437" s="172">
        <f t="shared" si="20"/>
        <v>0.000723394157</v>
      </c>
      <c r="K437" s="173">
        <f t="shared" si="22"/>
        <v>0.8680729884</v>
      </c>
      <c r="L437" s="174">
        <f t="shared" si="9"/>
        <v>7.18127319</v>
      </c>
      <c r="M437" s="175" t="str">
        <f t="shared" si="10"/>
        <v>chuygarcia92</v>
      </c>
      <c r="N437" s="176">
        <f>IFERROR(__xludf.DUMMYFUNCTION("""COMPUTED_VALUE"""),27.0)</f>
        <v>27</v>
      </c>
      <c r="O437" s="176"/>
      <c r="P437" s="166" t="s">
        <v>483</v>
      </c>
      <c r="Q437" s="166" t="s">
        <v>450</v>
      </c>
      <c r="R437" s="176"/>
      <c r="S437" s="176"/>
      <c r="T437" s="176"/>
      <c r="U437" s="176"/>
      <c r="V437" s="176"/>
      <c r="W437" s="176"/>
      <c r="X437" s="176"/>
      <c r="Y437" s="176"/>
      <c r="Z437" s="176"/>
      <c r="AA437" s="176"/>
    </row>
    <row r="438">
      <c r="A438" s="165" t="str">
        <f>iferror(VLOOKUP(P438,'DO NOT TOUCH Imported'!$A$1:$D$800,4,False),iferror(VLOOKUP(P438,'DO NOT TOUCH Imported'!$C$1:$D$800,2,False),"OOPS FIX ME"))</f>
        <v>chuygarcia92</v>
      </c>
      <c r="B438" s="166" t="s">
        <v>483</v>
      </c>
      <c r="C438" s="167" t="s">
        <v>713</v>
      </c>
      <c r="D438" s="168" t="s">
        <v>437</v>
      </c>
      <c r="E438" s="177" t="s">
        <v>452</v>
      </c>
      <c r="F438" s="168" t="s">
        <v>439</v>
      </c>
      <c r="G438" s="170">
        <v>1000.0</v>
      </c>
      <c r="H438" s="171">
        <v>100.0</v>
      </c>
      <c r="I438" s="171">
        <v>100.0</v>
      </c>
      <c r="J438" s="172">
        <f t="shared" si="20"/>
        <v>0.000723394157</v>
      </c>
      <c r="K438" s="173">
        <f t="shared" si="22"/>
        <v>0.8680729884</v>
      </c>
      <c r="L438" s="174">
        <f t="shared" si="9"/>
        <v>7.18127319</v>
      </c>
      <c r="M438" s="175" t="str">
        <f t="shared" si="10"/>
        <v>chuygarcia92</v>
      </c>
      <c r="N438" s="176">
        <f>IFERROR(__xludf.DUMMYFUNCTION("""COMPUTED_VALUE"""),28.0)</f>
        <v>28</v>
      </c>
      <c r="O438" s="176"/>
      <c r="P438" s="166" t="s">
        <v>483</v>
      </c>
      <c r="Q438" s="166" t="s">
        <v>483</v>
      </c>
      <c r="R438" s="176"/>
      <c r="S438" s="176"/>
      <c r="T438" s="176"/>
      <c r="U438" s="176"/>
      <c r="V438" s="176"/>
      <c r="W438" s="176"/>
      <c r="X438" s="176"/>
      <c r="Y438" s="176"/>
      <c r="Z438" s="176"/>
      <c r="AA438" s="176"/>
    </row>
    <row r="439">
      <c r="A439" s="165" t="str">
        <f>iferror(VLOOKUP(P439,'DO NOT TOUCH Imported'!$A$1:$D$800,4,False),iferror(VLOOKUP(P439,'DO NOT TOUCH Imported'!$C$1:$D$800,2,False),"OOPS FIX ME"))</f>
        <v>chuygarcia92</v>
      </c>
      <c r="B439" s="166" t="s">
        <v>490</v>
      </c>
      <c r="C439" s="167" t="s">
        <v>582</v>
      </c>
      <c r="D439" s="168" t="s">
        <v>437</v>
      </c>
      <c r="E439" s="169" t="s">
        <v>506</v>
      </c>
      <c r="F439" s="168" t="s">
        <v>439</v>
      </c>
      <c r="G439" s="170">
        <v>1000.0</v>
      </c>
      <c r="H439" s="171">
        <v>100.0</v>
      </c>
      <c r="I439" s="171">
        <v>100.0</v>
      </c>
      <c r="J439" s="172">
        <f t="shared" si="20"/>
        <v>0.000723394157</v>
      </c>
      <c r="K439" s="173">
        <f t="shared" si="22"/>
        <v>0.8680729884</v>
      </c>
      <c r="L439" s="174">
        <f t="shared" si="9"/>
        <v>7.18127319</v>
      </c>
      <c r="M439" s="175" t="str">
        <f t="shared" si="10"/>
        <v>chuygarcia92</v>
      </c>
      <c r="N439" s="176">
        <f>IFERROR(__xludf.DUMMYFUNCTION("""COMPUTED_VALUE"""),29.0)</f>
        <v>29</v>
      </c>
      <c r="O439" s="176"/>
      <c r="P439" s="166" t="s">
        <v>483</v>
      </c>
      <c r="Q439" s="166" t="s">
        <v>490</v>
      </c>
      <c r="R439" s="176"/>
      <c r="S439" s="176"/>
      <c r="T439" s="176"/>
      <c r="U439" s="176"/>
      <c r="V439" s="176"/>
      <c r="W439" s="176"/>
      <c r="X439" s="176"/>
      <c r="Y439" s="176"/>
      <c r="Z439" s="176"/>
      <c r="AA439" s="176"/>
    </row>
    <row r="440">
      <c r="A440" s="165" t="str">
        <f>iferror(VLOOKUP(P440,'DO NOT TOUCH Imported'!$A$1:$D$800,4,False),iferror(VLOOKUP(P440,'DO NOT TOUCH Imported'!$C$1:$D$800,2,False),"OOPS FIX ME"))</f>
        <v>chuygarcia92</v>
      </c>
      <c r="B440" s="166" t="s">
        <v>441</v>
      </c>
      <c r="C440" s="167" t="s">
        <v>475</v>
      </c>
      <c r="D440" s="168" t="s">
        <v>437</v>
      </c>
      <c r="E440" s="177" t="s">
        <v>438</v>
      </c>
      <c r="F440" s="168" t="s">
        <v>439</v>
      </c>
      <c r="G440" s="170">
        <v>1000.0</v>
      </c>
      <c r="H440" s="171">
        <v>100.0</v>
      </c>
      <c r="I440" s="171">
        <v>100.0</v>
      </c>
      <c r="J440" s="172">
        <f t="shared" si="20"/>
        <v>0.000723394157</v>
      </c>
      <c r="K440" s="173">
        <f t="shared" si="22"/>
        <v>0.8680729884</v>
      </c>
      <c r="L440" s="174">
        <f t="shared" si="9"/>
        <v>7.18127319</v>
      </c>
      <c r="M440" s="175" t="str">
        <f t="shared" si="10"/>
        <v>chuygarcia92</v>
      </c>
      <c r="N440" s="176">
        <f>IFERROR(__xludf.DUMMYFUNCTION("""COMPUTED_VALUE"""),30.0)</f>
        <v>30</v>
      </c>
      <c r="O440" s="176"/>
      <c r="P440" s="166" t="s">
        <v>483</v>
      </c>
      <c r="Q440" s="166" t="s">
        <v>441</v>
      </c>
      <c r="R440" s="176"/>
      <c r="S440" s="176"/>
      <c r="T440" s="176"/>
      <c r="U440" s="176"/>
      <c r="V440" s="176"/>
      <c r="W440" s="176"/>
      <c r="X440" s="176"/>
      <c r="Y440" s="176"/>
      <c r="Z440" s="176"/>
      <c r="AA440" s="176"/>
    </row>
    <row r="441">
      <c r="A441" s="165" t="str">
        <f>iferror(VLOOKUP(P441,'DO NOT TOUCH Imported'!$A$1:$D$800,4,False),iferror(VLOOKUP(P441,'DO NOT TOUCH Imported'!$C$1:$D$800,2,False),"OOPS FIX ME"))</f>
        <v>chuygarcia92</v>
      </c>
      <c r="B441" s="166" t="s">
        <v>441</v>
      </c>
      <c r="C441" s="167" t="s">
        <v>714</v>
      </c>
      <c r="D441" s="168" t="s">
        <v>437</v>
      </c>
      <c r="E441" s="169" t="s">
        <v>438</v>
      </c>
      <c r="F441" s="168" t="s">
        <v>439</v>
      </c>
      <c r="G441" s="170">
        <v>1000.0</v>
      </c>
      <c r="H441" s="171">
        <v>100.0</v>
      </c>
      <c r="I441" s="171">
        <v>100.0</v>
      </c>
      <c r="J441" s="172">
        <f t="shared" si="20"/>
        <v>0.000723394157</v>
      </c>
      <c r="K441" s="173">
        <f t="shared" si="22"/>
        <v>0.8680729884</v>
      </c>
      <c r="L441" s="174">
        <f t="shared" si="9"/>
        <v>7.18127319</v>
      </c>
      <c r="M441" s="175" t="str">
        <f t="shared" si="10"/>
        <v>chuygarcia92</v>
      </c>
      <c r="N441" s="176">
        <f>IFERROR(__xludf.DUMMYFUNCTION("""COMPUTED_VALUE"""),31.0)</f>
        <v>31</v>
      </c>
      <c r="O441" s="176"/>
      <c r="P441" s="166" t="s">
        <v>483</v>
      </c>
      <c r="Q441" s="166" t="s">
        <v>441</v>
      </c>
      <c r="R441" s="176"/>
      <c r="S441" s="176"/>
      <c r="T441" s="176"/>
      <c r="U441" s="176"/>
      <c r="V441" s="176"/>
      <c r="W441" s="176"/>
      <c r="X441" s="176"/>
      <c r="Y441" s="176"/>
      <c r="Z441" s="176"/>
      <c r="AA441" s="176"/>
    </row>
    <row r="442">
      <c r="A442" s="165" t="str">
        <f>iferror(VLOOKUP(P442,'DO NOT TOUCH Imported'!$A$1:$D$800,4,False),iferror(VLOOKUP(P442,'DO NOT TOUCH Imported'!$C$1:$D$800,2,False),"OOPS FIX ME"))</f>
        <v>chuygarcia92</v>
      </c>
      <c r="B442" s="166" t="s">
        <v>441</v>
      </c>
      <c r="C442" s="167" t="s">
        <v>715</v>
      </c>
      <c r="D442" s="168" t="s">
        <v>437</v>
      </c>
      <c r="E442" s="169" t="s">
        <v>438</v>
      </c>
      <c r="F442" s="168" t="s">
        <v>439</v>
      </c>
      <c r="G442" s="170">
        <v>1000.0</v>
      </c>
      <c r="H442" s="171">
        <v>100.0</v>
      </c>
      <c r="I442" s="171">
        <v>100.0</v>
      </c>
      <c r="J442" s="172">
        <f t="shared" si="20"/>
        <v>0.000723394157</v>
      </c>
      <c r="K442" s="173">
        <f t="shared" si="22"/>
        <v>0.8680729884</v>
      </c>
      <c r="L442" s="174">
        <f t="shared" si="9"/>
        <v>7.18127319</v>
      </c>
      <c r="M442" s="175" t="str">
        <f t="shared" si="10"/>
        <v>chuygarcia92</v>
      </c>
      <c r="N442" s="176">
        <f>IFERROR(__xludf.DUMMYFUNCTION("""COMPUTED_VALUE"""),32.0)</f>
        <v>32</v>
      </c>
      <c r="O442" s="176"/>
      <c r="P442" s="166" t="s">
        <v>483</v>
      </c>
      <c r="Q442" s="166" t="s">
        <v>441</v>
      </c>
      <c r="R442" s="176"/>
      <c r="S442" s="176"/>
      <c r="T442" s="176"/>
      <c r="U442" s="176"/>
      <c r="V442" s="176"/>
      <c r="W442" s="176"/>
      <c r="X442" s="176"/>
      <c r="Y442" s="176"/>
      <c r="Z442" s="176"/>
      <c r="AA442" s="176"/>
    </row>
    <row r="443">
      <c r="A443" s="165" t="str">
        <f>iferror(VLOOKUP(P443,'DO NOT TOUCH Imported'!$A$1:$D$800,4,False),iferror(VLOOKUP(P443,'DO NOT TOUCH Imported'!$C$1:$D$800,2,False),"OOPS FIX ME"))</f>
        <v>chuygarcia92</v>
      </c>
      <c r="B443" s="166" t="s">
        <v>435</v>
      </c>
      <c r="C443" s="167" t="s">
        <v>479</v>
      </c>
      <c r="D443" s="168" t="s">
        <v>437</v>
      </c>
      <c r="E443" s="169" t="s">
        <v>455</v>
      </c>
      <c r="F443" s="168" t="s">
        <v>439</v>
      </c>
      <c r="G443" s="170">
        <v>1000.0</v>
      </c>
      <c r="H443" s="171">
        <v>90.0</v>
      </c>
      <c r="I443" s="171">
        <v>100.0</v>
      </c>
      <c r="J443" s="172">
        <f t="shared" si="20"/>
        <v>0.0006914702636</v>
      </c>
      <c r="K443" s="173">
        <f t="shared" si="22"/>
        <v>0.8297643163</v>
      </c>
      <c r="L443" s="174">
        <f t="shared" si="9"/>
        <v>7.18127319</v>
      </c>
      <c r="M443" s="175" t="str">
        <f t="shared" si="10"/>
        <v>chuygarcia92</v>
      </c>
      <c r="N443" s="176">
        <f>IFERROR(__xludf.DUMMYFUNCTION("""COMPUTED_VALUE"""),33.0)</f>
        <v>33</v>
      </c>
      <c r="O443" s="176"/>
      <c r="P443" s="166" t="s">
        <v>483</v>
      </c>
      <c r="Q443" s="166" t="s">
        <v>435</v>
      </c>
      <c r="R443" s="176"/>
      <c r="S443" s="176"/>
      <c r="T443" s="176"/>
      <c r="U443" s="176"/>
      <c r="V443" s="176"/>
      <c r="W443" s="176"/>
      <c r="X443" s="176"/>
      <c r="Y443" s="176"/>
      <c r="Z443" s="176"/>
      <c r="AA443" s="176"/>
    </row>
    <row r="444">
      <c r="A444" s="165" t="str">
        <f>iferror(VLOOKUP(P444,'DO NOT TOUCH Imported'!$A$1:$D$800,4,False),iferror(VLOOKUP(P444,'DO NOT TOUCH Imported'!$C$1:$D$800,2,False),"OOPS FIX ME"))</f>
        <v>chuygarcia92</v>
      </c>
      <c r="B444" s="166" t="s">
        <v>441</v>
      </c>
      <c r="C444" s="167" t="s">
        <v>480</v>
      </c>
      <c r="D444" s="168" t="s">
        <v>437</v>
      </c>
      <c r="E444" s="177" t="s">
        <v>438</v>
      </c>
      <c r="F444" s="168" t="s">
        <v>439</v>
      </c>
      <c r="G444" s="170">
        <v>1000.0</v>
      </c>
      <c r="H444" s="171">
        <v>90.0</v>
      </c>
      <c r="I444" s="171">
        <v>100.0</v>
      </c>
      <c r="J444" s="172">
        <f t="shared" si="20"/>
        <v>0.0006914702636</v>
      </c>
      <c r="K444" s="173">
        <f t="shared" si="22"/>
        <v>0.8297643163</v>
      </c>
      <c r="L444" s="174">
        <f t="shared" si="9"/>
        <v>7.18127319</v>
      </c>
      <c r="M444" s="175" t="str">
        <f t="shared" si="10"/>
        <v>chuygarcia92</v>
      </c>
      <c r="N444" s="176">
        <f>IFERROR(__xludf.DUMMYFUNCTION("""COMPUTED_VALUE"""),34.0)</f>
        <v>34</v>
      </c>
      <c r="O444" s="176"/>
      <c r="P444" s="166" t="s">
        <v>483</v>
      </c>
      <c r="Q444" s="166" t="s">
        <v>441</v>
      </c>
      <c r="R444" s="176"/>
      <c r="S444" s="176"/>
      <c r="T444" s="176"/>
      <c r="U444" s="176"/>
      <c r="V444" s="176"/>
      <c r="W444" s="176"/>
      <c r="X444" s="176"/>
      <c r="Y444" s="176"/>
      <c r="Z444" s="176"/>
      <c r="AA444" s="176"/>
    </row>
    <row r="445">
      <c r="A445" s="165" t="str">
        <f>iferror(VLOOKUP(P445,'DO NOT TOUCH Imported'!$A$1:$D$800,4,False),iferror(VLOOKUP(P445,'DO NOT TOUCH Imported'!$C$1:$D$800,2,False),"OOPS FIX ME"))</f>
        <v>chuygarcia92</v>
      </c>
      <c r="B445" s="166" t="s">
        <v>441</v>
      </c>
      <c r="C445" s="167" t="s">
        <v>716</v>
      </c>
      <c r="D445" s="168" t="s">
        <v>437</v>
      </c>
      <c r="E445" s="177" t="s">
        <v>438</v>
      </c>
      <c r="F445" s="168" t="s">
        <v>439</v>
      </c>
      <c r="G445" s="170">
        <v>1000.0</v>
      </c>
      <c r="H445" s="171">
        <v>90.0</v>
      </c>
      <c r="I445" s="171">
        <v>100.0</v>
      </c>
      <c r="J445" s="172">
        <f t="shared" si="20"/>
        <v>0.0006914702636</v>
      </c>
      <c r="K445" s="173">
        <f t="shared" si="22"/>
        <v>0.8297643163</v>
      </c>
      <c r="L445" s="174">
        <f t="shared" si="9"/>
        <v>7.18127319</v>
      </c>
      <c r="M445" s="175" t="str">
        <f t="shared" si="10"/>
        <v>chuygarcia92</v>
      </c>
      <c r="N445" s="176">
        <f>IFERROR(__xludf.DUMMYFUNCTION("""COMPUTED_VALUE"""),35.0)</f>
        <v>35</v>
      </c>
      <c r="O445" s="176"/>
      <c r="P445" s="166" t="s">
        <v>483</v>
      </c>
      <c r="Q445" s="166" t="s">
        <v>441</v>
      </c>
      <c r="R445" s="176"/>
      <c r="S445" s="176"/>
      <c r="T445" s="176"/>
      <c r="U445" s="176"/>
      <c r="V445" s="176"/>
      <c r="W445" s="176"/>
      <c r="X445" s="176"/>
      <c r="Y445" s="176"/>
      <c r="Z445" s="176"/>
      <c r="AA445" s="176"/>
    </row>
    <row r="446">
      <c r="A446" s="165" t="str">
        <f>iferror(VLOOKUP(P446,'DO NOT TOUCH Imported'!$A$1:$D$800,4,False),iferror(VLOOKUP(P446,'DO NOT TOUCH Imported'!$C$1:$D$800,2,False),"OOPS FIX ME"))</f>
        <v>chuygarcia92</v>
      </c>
      <c r="B446" s="166" t="s">
        <v>441</v>
      </c>
      <c r="C446" s="167" t="s">
        <v>543</v>
      </c>
      <c r="D446" s="168" t="s">
        <v>437</v>
      </c>
      <c r="E446" s="177" t="s">
        <v>447</v>
      </c>
      <c r="F446" s="168" t="s">
        <v>439</v>
      </c>
      <c r="G446" s="170">
        <v>1000.0</v>
      </c>
      <c r="H446" s="171">
        <v>80.0</v>
      </c>
      <c r="I446" s="171">
        <v>100.0</v>
      </c>
      <c r="J446" s="172">
        <f t="shared" si="20"/>
        <v>0.0006595463701</v>
      </c>
      <c r="K446" s="173">
        <f t="shared" si="22"/>
        <v>0.7914556442</v>
      </c>
      <c r="L446" s="174">
        <f t="shared" si="9"/>
        <v>7.18127319</v>
      </c>
      <c r="M446" s="175" t="str">
        <f t="shared" si="10"/>
        <v>chuygarcia92</v>
      </c>
      <c r="N446" s="176">
        <f>IFERROR(__xludf.DUMMYFUNCTION("""COMPUTED_VALUE"""),36.0)</f>
        <v>36</v>
      </c>
      <c r="O446" s="176"/>
      <c r="P446" s="166" t="s">
        <v>483</v>
      </c>
      <c r="Q446" s="166" t="s">
        <v>441</v>
      </c>
      <c r="R446" s="176"/>
      <c r="S446" s="176"/>
      <c r="T446" s="176"/>
      <c r="U446" s="176"/>
      <c r="V446" s="176"/>
      <c r="W446" s="176"/>
      <c r="X446" s="176"/>
      <c r="Y446" s="176"/>
      <c r="Z446" s="176"/>
      <c r="AA446" s="176"/>
    </row>
    <row r="447">
      <c r="A447" s="165" t="str">
        <f>iferror(VLOOKUP(P447,'DO NOT TOUCH Imported'!$A$1:$D$800,4,False),iferror(VLOOKUP(P447,'DO NOT TOUCH Imported'!$C$1:$D$800,2,False),"OOPS FIX ME"))</f>
        <v>chuygarcia92</v>
      </c>
      <c r="B447" s="166" t="s">
        <v>441</v>
      </c>
      <c r="C447" s="167" t="s">
        <v>481</v>
      </c>
      <c r="D447" s="168" t="s">
        <v>437</v>
      </c>
      <c r="E447" s="177" t="s">
        <v>447</v>
      </c>
      <c r="F447" s="168" t="s">
        <v>439</v>
      </c>
      <c r="G447" s="170">
        <v>1000.0</v>
      </c>
      <c r="H447" s="171">
        <v>80.0</v>
      </c>
      <c r="I447" s="171">
        <v>100.0</v>
      </c>
      <c r="J447" s="172">
        <f t="shared" si="20"/>
        <v>0.0006595463701</v>
      </c>
      <c r="K447" s="173">
        <f t="shared" si="22"/>
        <v>0.7914556442</v>
      </c>
      <c r="L447" s="174">
        <f t="shared" si="9"/>
        <v>7.18127319</v>
      </c>
      <c r="M447" s="175" t="str">
        <f t="shared" si="10"/>
        <v>chuygarcia92</v>
      </c>
      <c r="N447" s="176">
        <f>IFERROR(__xludf.DUMMYFUNCTION("""COMPUTED_VALUE"""),37.0)</f>
        <v>37</v>
      </c>
      <c r="O447" s="176"/>
      <c r="P447" s="166" t="s">
        <v>483</v>
      </c>
      <c r="Q447" s="166" t="s">
        <v>441</v>
      </c>
      <c r="R447" s="176"/>
      <c r="S447" s="176"/>
      <c r="T447" s="176"/>
      <c r="U447" s="176"/>
      <c r="V447" s="176"/>
      <c r="W447" s="176"/>
      <c r="X447" s="176"/>
      <c r="Y447" s="176"/>
      <c r="Z447" s="176"/>
      <c r="AA447" s="176"/>
    </row>
    <row r="448">
      <c r="A448" s="165" t="str">
        <f>iferror(VLOOKUP(P448,'DO NOT TOUCH Imported'!$A$1:$D$800,4,False),iferror(VLOOKUP(P448,'DO NOT TOUCH Imported'!$C$1:$D$800,2,False),"OOPS FIX ME"))</f>
        <v>chuygarcia92</v>
      </c>
      <c r="B448" s="166" t="s">
        <v>440</v>
      </c>
      <c r="C448" s="167" t="s">
        <v>482</v>
      </c>
      <c r="D448" s="168" t="s">
        <v>437</v>
      </c>
      <c r="E448" s="177" t="s">
        <v>452</v>
      </c>
      <c r="F448" s="168" t="s">
        <v>439</v>
      </c>
      <c r="G448" s="170">
        <v>1000.0</v>
      </c>
      <c r="H448" s="171">
        <v>80.0</v>
      </c>
      <c r="I448" s="171">
        <v>100.0</v>
      </c>
      <c r="J448" s="172">
        <f t="shared" si="20"/>
        <v>0.0006595463701</v>
      </c>
      <c r="K448" s="173">
        <f t="shared" si="22"/>
        <v>0.7914556442</v>
      </c>
      <c r="L448" s="174">
        <f t="shared" si="9"/>
        <v>7.18127319</v>
      </c>
      <c r="M448" s="175" t="str">
        <f t="shared" si="10"/>
        <v>chuygarcia92</v>
      </c>
      <c r="N448" s="176">
        <f>IFERROR(__xludf.DUMMYFUNCTION("""COMPUTED_VALUE"""),38.0)</f>
        <v>38</v>
      </c>
      <c r="O448" s="176"/>
      <c r="P448" s="166" t="s">
        <v>483</v>
      </c>
      <c r="Q448" s="166" t="s">
        <v>440</v>
      </c>
      <c r="R448" s="176"/>
      <c r="S448" s="176"/>
      <c r="T448" s="176"/>
      <c r="U448" s="176"/>
      <c r="V448" s="176"/>
      <c r="W448" s="176"/>
      <c r="X448" s="176"/>
      <c r="Y448" s="176"/>
      <c r="Z448" s="176"/>
      <c r="AA448" s="176"/>
    </row>
    <row r="449">
      <c r="A449" s="165" t="str">
        <f>iferror(VLOOKUP(P449,'DO NOT TOUCH Imported'!$A$1:$D$800,4,False),iferror(VLOOKUP(P449,'DO NOT TOUCH Imported'!$C$1:$D$800,2,False),"OOPS FIX ME"))</f>
        <v>chuygarcia92</v>
      </c>
      <c r="B449" s="166" t="s">
        <v>483</v>
      </c>
      <c r="C449" s="167" t="s">
        <v>484</v>
      </c>
      <c r="D449" s="168" t="s">
        <v>437</v>
      </c>
      <c r="E449" s="169" t="s">
        <v>478</v>
      </c>
      <c r="F449" s="168" t="s">
        <v>439</v>
      </c>
      <c r="G449" s="170">
        <v>1000.0</v>
      </c>
      <c r="H449" s="171">
        <v>80.0</v>
      </c>
      <c r="I449" s="171">
        <v>100.0</v>
      </c>
      <c r="J449" s="172">
        <f t="shared" si="20"/>
        <v>0.0006595463701</v>
      </c>
      <c r="K449" s="173">
        <f t="shared" si="22"/>
        <v>0.7914556442</v>
      </c>
      <c r="L449" s="174">
        <f t="shared" si="9"/>
        <v>7.18127319</v>
      </c>
      <c r="M449" s="175" t="str">
        <f t="shared" si="10"/>
        <v>chuygarcia92</v>
      </c>
      <c r="N449" s="176">
        <f>IFERROR(__xludf.DUMMYFUNCTION("""COMPUTED_VALUE"""),39.0)</f>
        <v>39</v>
      </c>
      <c r="O449" s="176"/>
      <c r="P449" s="166" t="s">
        <v>483</v>
      </c>
      <c r="Q449" s="166" t="s">
        <v>483</v>
      </c>
      <c r="R449" s="176"/>
      <c r="S449" s="176"/>
      <c r="T449" s="176"/>
      <c r="U449" s="176"/>
      <c r="V449" s="176"/>
      <c r="W449" s="176"/>
      <c r="X449" s="176"/>
      <c r="Y449" s="176"/>
      <c r="Z449" s="176"/>
      <c r="AA449" s="176"/>
    </row>
    <row r="450">
      <c r="A450" s="165" t="str">
        <f>iferror(VLOOKUP(P450,'DO NOT TOUCH Imported'!$A$1:$D$800,4,False),iferror(VLOOKUP(P450,'DO NOT TOUCH Imported'!$C$1:$D$800,2,False),"OOPS FIX ME"))</f>
        <v>chuygarcia92</v>
      </c>
      <c r="B450" s="166" t="s">
        <v>441</v>
      </c>
      <c r="C450" s="167" t="s">
        <v>485</v>
      </c>
      <c r="D450" s="168" t="s">
        <v>437</v>
      </c>
      <c r="E450" s="169" t="s">
        <v>438</v>
      </c>
      <c r="F450" s="168" t="s">
        <v>439</v>
      </c>
      <c r="G450" s="170">
        <v>1000.0</v>
      </c>
      <c r="H450" s="171">
        <v>80.0</v>
      </c>
      <c r="I450" s="171">
        <v>100.0</v>
      </c>
      <c r="J450" s="172">
        <f t="shared" si="20"/>
        <v>0.0006595463701</v>
      </c>
      <c r="K450" s="173">
        <f t="shared" si="22"/>
        <v>0.7914556442</v>
      </c>
      <c r="L450" s="174">
        <f t="shared" si="9"/>
        <v>7.18127319</v>
      </c>
      <c r="M450" s="175" t="str">
        <f t="shared" si="10"/>
        <v>chuygarcia92</v>
      </c>
      <c r="N450" s="176">
        <f>IFERROR(__xludf.DUMMYFUNCTION("""COMPUTED_VALUE"""),40.0)</f>
        <v>40</v>
      </c>
      <c r="O450" s="176"/>
      <c r="P450" s="166" t="s">
        <v>483</v>
      </c>
      <c r="Q450" s="166" t="s">
        <v>441</v>
      </c>
      <c r="R450" s="176"/>
      <c r="S450" s="176"/>
      <c r="T450" s="176"/>
      <c r="U450" s="176"/>
      <c r="V450" s="176"/>
      <c r="W450" s="176"/>
      <c r="X450" s="176"/>
      <c r="Y450" s="176"/>
      <c r="Z450" s="176"/>
      <c r="AA450" s="176"/>
    </row>
    <row r="451">
      <c r="A451" s="165" t="str">
        <f>iferror(VLOOKUP(P451,'DO NOT TOUCH Imported'!$A$1:$D$800,4,False),iferror(VLOOKUP(P451,'DO NOT TOUCH Imported'!$C$1:$D$800,2,False),"OOPS FIX ME"))</f>
        <v>chuygarcia92</v>
      </c>
      <c r="B451" s="166" t="s">
        <v>486</v>
      </c>
      <c r="C451" s="167" t="s">
        <v>487</v>
      </c>
      <c r="D451" s="168" t="s">
        <v>437</v>
      </c>
      <c r="E451" s="177" t="s">
        <v>488</v>
      </c>
      <c r="F451" s="168" t="s">
        <v>439</v>
      </c>
      <c r="G451" s="170">
        <v>1000.0</v>
      </c>
      <c r="H451" s="171">
        <v>70.0</v>
      </c>
      <c r="I451" s="171">
        <v>100.0</v>
      </c>
      <c r="J451" s="172">
        <f t="shared" si="20"/>
        <v>0.0006276224767</v>
      </c>
      <c r="K451" s="173">
        <f t="shared" si="22"/>
        <v>0.7531469721</v>
      </c>
      <c r="L451" s="174">
        <f t="shared" si="9"/>
        <v>7.18127319</v>
      </c>
      <c r="M451" s="175" t="str">
        <f t="shared" si="10"/>
        <v>chuygarcia92</v>
      </c>
      <c r="N451" s="176">
        <f>IFERROR(__xludf.DUMMYFUNCTION("""COMPUTED_VALUE"""),41.0)</f>
        <v>41</v>
      </c>
      <c r="O451" s="176"/>
      <c r="P451" s="166" t="s">
        <v>483</v>
      </c>
      <c r="Q451" s="166" t="s">
        <v>486</v>
      </c>
      <c r="R451" s="176"/>
      <c r="S451" s="176"/>
      <c r="T451" s="176"/>
      <c r="U451" s="176"/>
      <c r="V451" s="176"/>
      <c r="W451" s="176"/>
      <c r="X451" s="176"/>
      <c r="Y451" s="176"/>
      <c r="Z451" s="176"/>
      <c r="AA451" s="176"/>
    </row>
    <row r="452">
      <c r="A452" s="165" t="str">
        <f>iferror(VLOOKUP(P452,'DO NOT TOUCH Imported'!$A$1:$D$800,4,False),iferror(VLOOKUP(P452,'DO NOT TOUCH Imported'!$C$1:$D$800,2,False),"OOPS FIX ME"))</f>
        <v>chuygarcia92</v>
      </c>
      <c r="B452" s="166" t="s">
        <v>440</v>
      </c>
      <c r="C452" s="167" t="s">
        <v>489</v>
      </c>
      <c r="D452" s="168" t="s">
        <v>437</v>
      </c>
      <c r="E452" s="177" t="s">
        <v>488</v>
      </c>
      <c r="F452" s="168" t="s">
        <v>439</v>
      </c>
      <c r="G452" s="170">
        <v>1000.0</v>
      </c>
      <c r="H452" s="171">
        <v>70.0</v>
      </c>
      <c r="I452" s="171">
        <v>100.0</v>
      </c>
      <c r="J452" s="172">
        <f t="shared" si="20"/>
        <v>0.0006276224767</v>
      </c>
      <c r="K452" s="173">
        <f t="shared" si="22"/>
        <v>0.7531469721</v>
      </c>
      <c r="L452" s="174">
        <f t="shared" si="9"/>
        <v>7.18127319</v>
      </c>
      <c r="M452" s="175" t="str">
        <f t="shared" si="10"/>
        <v>chuygarcia92</v>
      </c>
      <c r="N452" s="176">
        <f>IFERROR(__xludf.DUMMYFUNCTION("""COMPUTED_VALUE"""),42.0)</f>
        <v>42</v>
      </c>
      <c r="O452" s="176"/>
      <c r="P452" s="166" t="s">
        <v>483</v>
      </c>
      <c r="Q452" s="166" t="s">
        <v>440</v>
      </c>
      <c r="R452" s="176"/>
      <c r="S452" s="176"/>
      <c r="T452" s="176"/>
      <c r="U452" s="176"/>
      <c r="V452" s="176"/>
      <c r="W452" s="176"/>
      <c r="X452" s="176"/>
      <c r="Y452" s="176"/>
      <c r="Z452" s="176"/>
      <c r="AA452" s="176"/>
    </row>
    <row r="453">
      <c r="A453" s="165" t="str">
        <f>iferror(VLOOKUP(P453,'DO NOT TOUCH Imported'!$A$1:$D$800,4,False),iferror(VLOOKUP(P453,'DO NOT TOUCH Imported'!$C$1:$D$800,2,False),"OOPS FIX ME"))</f>
        <v>chuygarcia92</v>
      </c>
      <c r="B453" s="166" t="s">
        <v>490</v>
      </c>
      <c r="C453" s="167" t="s">
        <v>491</v>
      </c>
      <c r="D453" s="168" t="s">
        <v>437</v>
      </c>
      <c r="E453" s="169" t="s">
        <v>445</v>
      </c>
      <c r="F453" s="168" t="s">
        <v>439</v>
      </c>
      <c r="G453" s="170">
        <v>1000.0</v>
      </c>
      <c r="H453" s="171">
        <v>70.0</v>
      </c>
      <c r="I453" s="171">
        <v>100.0</v>
      </c>
      <c r="J453" s="172">
        <f t="shared" si="20"/>
        <v>0.0006276224767</v>
      </c>
      <c r="K453" s="173">
        <f t="shared" si="22"/>
        <v>0.7531469721</v>
      </c>
      <c r="L453" s="174">
        <f t="shared" si="9"/>
        <v>7.18127319</v>
      </c>
      <c r="M453" s="175" t="str">
        <f t="shared" si="10"/>
        <v>chuygarcia92</v>
      </c>
      <c r="N453" s="176">
        <f>IFERROR(__xludf.DUMMYFUNCTION("""COMPUTED_VALUE"""),43.0)</f>
        <v>43</v>
      </c>
      <c r="O453" s="176"/>
      <c r="P453" s="166" t="s">
        <v>483</v>
      </c>
      <c r="Q453" s="166" t="s">
        <v>490</v>
      </c>
      <c r="R453" s="176"/>
      <c r="S453" s="176"/>
      <c r="T453" s="176"/>
      <c r="U453" s="176"/>
      <c r="V453" s="176"/>
      <c r="W453" s="176"/>
      <c r="X453" s="176"/>
      <c r="Y453" s="176"/>
      <c r="Z453" s="176"/>
      <c r="AA453" s="176"/>
    </row>
    <row r="454">
      <c r="A454" s="165" t="str">
        <f>iferror(VLOOKUP(P454,'DO NOT TOUCH Imported'!$A$1:$D$800,4,False),iferror(VLOOKUP(P454,'DO NOT TOUCH Imported'!$C$1:$D$800,2,False),"OOPS FIX ME"))</f>
        <v>chuygarcia92</v>
      </c>
      <c r="B454" s="166" t="s">
        <v>441</v>
      </c>
      <c r="C454" s="167" t="s">
        <v>497</v>
      </c>
      <c r="D454" s="168" t="s">
        <v>437</v>
      </c>
      <c r="E454" s="169" t="s">
        <v>438</v>
      </c>
      <c r="F454" s="168" t="s">
        <v>439</v>
      </c>
      <c r="G454" s="170">
        <v>1000.0</v>
      </c>
      <c r="H454" s="171">
        <v>50.0</v>
      </c>
      <c r="I454" s="171">
        <v>100.0</v>
      </c>
      <c r="J454" s="172">
        <f t="shared" si="20"/>
        <v>0.0005637746898</v>
      </c>
      <c r="K454" s="173">
        <f t="shared" si="22"/>
        <v>0.6765296278</v>
      </c>
      <c r="L454" s="174">
        <f t="shared" si="9"/>
        <v>7.18127319</v>
      </c>
      <c r="M454" s="175" t="str">
        <f t="shared" si="10"/>
        <v>chuygarcia92</v>
      </c>
      <c r="N454" s="176">
        <f>IFERROR(__xludf.DUMMYFUNCTION("""COMPUTED_VALUE"""),44.0)</f>
        <v>44</v>
      </c>
      <c r="O454" s="176"/>
      <c r="P454" s="166" t="s">
        <v>483</v>
      </c>
      <c r="Q454" s="166" t="s">
        <v>441</v>
      </c>
      <c r="R454" s="176"/>
      <c r="S454" s="176"/>
      <c r="T454" s="176"/>
      <c r="U454" s="176"/>
      <c r="V454" s="176"/>
      <c r="W454" s="176"/>
      <c r="X454" s="176"/>
      <c r="Y454" s="176"/>
      <c r="Z454" s="176"/>
      <c r="AA454" s="176"/>
    </row>
    <row r="455">
      <c r="A455" s="165" t="str">
        <f>iferror(VLOOKUP(P455,'DO NOT TOUCH Imported'!$A$1:$D$800,4,False),iferror(VLOOKUP(P455,'DO NOT TOUCH Imported'!$C$1:$D$800,2,False),"OOPS FIX ME"))</f>
        <v>chuygarcia92</v>
      </c>
      <c r="B455" s="178" t="s">
        <v>10</v>
      </c>
      <c r="C455" s="179" t="s">
        <v>494</v>
      </c>
      <c r="D455" s="180" t="s">
        <v>495</v>
      </c>
      <c r="E455" s="181">
        <v>44324.0</v>
      </c>
      <c r="F455" s="182" t="s">
        <v>496</v>
      </c>
      <c r="G455" s="170">
        <v>1000.0</v>
      </c>
      <c r="H455" s="171">
        <v>50.0</v>
      </c>
      <c r="I455" s="171">
        <v>100.0</v>
      </c>
      <c r="J455" s="172">
        <f t="shared" si="20"/>
        <v>0.0005637746898</v>
      </c>
      <c r="K455" s="173">
        <f t="shared" si="22"/>
        <v>0.6765296278</v>
      </c>
      <c r="L455" s="174">
        <f t="shared" si="9"/>
        <v>7.18127319</v>
      </c>
      <c r="M455" s="175" t="str">
        <f t="shared" si="10"/>
        <v>chuygarcia92</v>
      </c>
      <c r="N455" s="176">
        <f>IFERROR(__xludf.DUMMYFUNCTION("""COMPUTED_VALUE"""),45.0)</f>
        <v>45</v>
      </c>
      <c r="O455" s="176"/>
      <c r="P455" s="183" t="s">
        <v>63</v>
      </c>
      <c r="Q455" s="178" t="s">
        <v>10</v>
      </c>
      <c r="R455" s="176"/>
      <c r="S455" s="176"/>
      <c r="T455" s="176"/>
      <c r="U455" s="176"/>
      <c r="V455" s="176"/>
      <c r="W455" s="176"/>
      <c r="X455" s="176"/>
      <c r="Y455" s="176"/>
      <c r="Z455" s="176"/>
      <c r="AA455" s="176"/>
    </row>
    <row r="456">
      <c r="A456" s="165" t="str">
        <f>iferror(VLOOKUP(P456,'DO NOT TOUCH Imported'!$A$1:$D$800,4,False),iferror(VLOOKUP(P456,'DO NOT TOUCH Imported'!$C$1:$D$800,2,False),"OOPS FIX ME"))</f>
        <v>chuygarcia92</v>
      </c>
      <c r="B456" s="178" t="s">
        <v>10</v>
      </c>
      <c r="C456" s="179" t="s">
        <v>500</v>
      </c>
      <c r="D456" s="180" t="s">
        <v>495</v>
      </c>
      <c r="E456" s="181">
        <v>44324.0</v>
      </c>
      <c r="F456" s="182" t="s">
        <v>496</v>
      </c>
      <c r="G456" s="170">
        <v>500.0</v>
      </c>
      <c r="H456" s="171">
        <v>25.0</v>
      </c>
      <c r="I456" s="171">
        <v>100.0</v>
      </c>
      <c r="J456" s="172">
        <f t="shared" si="20"/>
        <v>0.0004317674408</v>
      </c>
      <c r="K456" s="173">
        <f t="shared" si="22"/>
        <v>0.518120929</v>
      </c>
      <c r="L456" s="174">
        <f t="shared" si="9"/>
        <v>7.18127319</v>
      </c>
      <c r="M456" s="175" t="str">
        <f t="shared" si="10"/>
        <v>chuygarcia92</v>
      </c>
      <c r="N456" s="176">
        <f>IFERROR(__xludf.DUMMYFUNCTION("""COMPUTED_VALUE"""),46.0)</f>
        <v>46</v>
      </c>
      <c r="O456" s="176"/>
      <c r="P456" s="183" t="s">
        <v>63</v>
      </c>
      <c r="Q456" s="178" t="s">
        <v>10</v>
      </c>
      <c r="R456" s="176"/>
      <c r="S456" s="176"/>
      <c r="T456" s="176"/>
      <c r="U456" s="176"/>
      <c r="V456" s="176"/>
      <c r="W456" s="176"/>
      <c r="X456" s="176"/>
      <c r="Y456" s="176"/>
      <c r="Z456" s="176"/>
      <c r="AA456" s="176"/>
    </row>
    <row r="457">
      <c r="A457" s="185" t="str">
        <f>iferror(VLOOKUP(P457,'DO NOT TOUCH Imported'!$A$1:$D$800,4,False),iferror(VLOOKUP(P457,'DO NOT TOUCH Imported'!$C$1:$D$800,2,False),"OOPS FIX ME"))</f>
        <v>chuygarcia92</v>
      </c>
      <c r="B457" s="185" t="s">
        <v>534</v>
      </c>
      <c r="C457" s="210" t="s">
        <v>717</v>
      </c>
      <c r="D457" s="187"/>
      <c r="E457" s="188"/>
      <c r="F457" s="189"/>
      <c r="G457" s="190"/>
      <c r="H457" s="190"/>
      <c r="I457" s="190"/>
      <c r="J457" s="172">
        <f>(H457/$H$2+I457/$I$2)/2</f>
        <v>0</v>
      </c>
      <c r="K457" s="192">
        <f>0.85*-47.875</f>
        <v>-40.69375</v>
      </c>
      <c r="L457" s="193">
        <f t="shared" si="9"/>
        <v>7.18127319</v>
      </c>
      <c r="M457" s="194" t="str">
        <f t="shared" si="10"/>
        <v>chuygarcia92</v>
      </c>
      <c r="N457" s="211">
        <f>IFERROR(__xludf.DUMMYFUNCTION("""COMPUTED_VALUE"""),47.0)</f>
        <v>47</v>
      </c>
      <c r="O457" s="195"/>
      <c r="P457" s="185" t="s">
        <v>63</v>
      </c>
      <c r="Q457" s="185" t="s">
        <v>534</v>
      </c>
      <c r="R457" s="195">
        <v>57.049855624848725</v>
      </c>
      <c r="S457" s="195"/>
      <c r="T457" s="195"/>
      <c r="U457" s="195"/>
      <c r="V457" s="195"/>
      <c r="W457" s="195"/>
      <c r="X457" s="195"/>
      <c r="Y457" s="195"/>
      <c r="Z457" s="195"/>
      <c r="AA457" s="176"/>
    </row>
    <row r="458">
      <c r="A458" s="165" t="str">
        <f>iferror(VLOOKUP(P458,'DO NOT TOUCH Imported'!$A$1:$D$800,4,False),iferror(VLOOKUP(P458,'DO NOT TOUCH Imported'!$C$1:$D$800,2,False),"OOPS FIX ME"))</f>
        <v>metaverde</v>
      </c>
      <c r="B458" s="166" t="s">
        <v>441</v>
      </c>
      <c r="C458" s="167" t="s">
        <v>580</v>
      </c>
      <c r="D458" s="168" t="s">
        <v>437</v>
      </c>
      <c r="E458" s="169" t="s">
        <v>447</v>
      </c>
      <c r="F458" s="168" t="s">
        <v>439</v>
      </c>
      <c r="G458" s="170"/>
      <c r="H458" s="171"/>
      <c r="I458" s="171"/>
      <c r="J458" s="172">
        <f t="shared" ref="J458:J506" si="23">(G458/$G$2+H458/$H$2+I458/$I$2)/3</f>
        <v>0</v>
      </c>
      <c r="K458" s="218">
        <v>1.3544018058690745</v>
      </c>
      <c r="L458" s="174">
        <f t="shared" si="9"/>
        <v>6.772009029</v>
      </c>
      <c r="M458" s="175" t="str">
        <f t="shared" si="10"/>
        <v>metaverde</v>
      </c>
      <c r="N458" s="176">
        <f>IFERROR(__xludf.DUMMYFUNCTION("""COMPUTED_VALUE"""),1.0)</f>
        <v>1</v>
      </c>
      <c r="O458" s="176"/>
      <c r="P458" s="166" t="s">
        <v>718</v>
      </c>
      <c r="Q458" s="166" t="s">
        <v>441</v>
      </c>
      <c r="R458" s="176"/>
      <c r="S458" s="176"/>
      <c r="T458" s="176"/>
      <c r="U458" s="176"/>
      <c r="V458" s="176"/>
      <c r="W458" s="176"/>
      <c r="X458" s="176"/>
      <c r="Y458" s="176"/>
      <c r="Z458" s="176"/>
      <c r="AA458" s="176"/>
    </row>
    <row r="459">
      <c r="A459" s="165" t="str">
        <f>iferror(VLOOKUP(P459,'DO NOT TOUCH Imported'!$A$1:$D$800,4,False),iferror(VLOOKUP(P459,'DO NOT TOUCH Imported'!$C$1:$D$800,2,False),"OOPS FIX ME"))</f>
        <v>metaverde</v>
      </c>
      <c r="B459" s="166" t="s">
        <v>566</v>
      </c>
      <c r="C459" s="167" t="s">
        <v>719</v>
      </c>
      <c r="D459" s="168" t="s">
        <v>499</v>
      </c>
      <c r="E459" s="177" t="s">
        <v>452</v>
      </c>
      <c r="F459" s="168" t="s">
        <v>503</v>
      </c>
      <c r="G459" s="170"/>
      <c r="H459" s="171"/>
      <c r="I459" s="171"/>
      <c r="J459" s="172">
        <f t="shared" si="23"/>
        <v>0</v>
      </c>
      <c r="K459" s="218">
        <v>1.3544018058690745</v>
      </c>
      <c r="L459" s="174">
        <f t="shared" si="9"/>
        <v>6.772009029</v>
      </c>
      <c r="M459" s="175" t="str">
        <f t="shared" si="10"/>
        <v>metaverde</v>
      </c>
      <c r="N459" s="176">
        <f>IFERROR(__xludf.DUMMYFUNCTION("""COMPUTED_VALUE"""),2.0)</f>
        <v>2</v>
      </c>
      <c r="O459" s="176"/>
      <c r="P459" s="166" t="s">
        <v>718</v>
      </c>
      <c r="Q459" s="166" t="s">
        <v>566</v>
      </c>
      <c r="R459" s="176"/>
      <c r="S459" s="176"/>
      <c r="T459" s="176"/>
      <c r="U459" s="176"/>
      <c r="V459" s="176"/>
      <c r="W459" s="176"/>
      <c r="X459" s="176"/>
      <c r="Y459" s="176"/>
      <c r="Z459" s="176"/>
      <c r="AA459" s="176"/>
    </row>
    <row r="460">
      <c r="A460" s="165" t="str">
        <f>iferror(VLOOKUP(P460,'DO NOT TOUCH Imported'!$A$1:$D$800,4,False),iferror(VLOOKUP(P460,'DO NOT TOUCH Imported'!$C$1:$D$800,2,False),"OOPS FIX ME"))</f>
        <v>metaverde</v>
      </c>
      <c r="B460" s="166" t="s">
        <v>483</v>
      </c>
      <c r="C460" s="167" t="s">
        <v>484</v>
      </c>
      <c r="D460" s="168" t="s">
        <v>437</v>
      </c>
      <c r="E460" s="177" t="s">
        <v>478</v>
      </c>
      <c r="F460" s="168" t="s">
        <v>439</v>
      </c>
      <c r="G460" s="170"/>
      <c r="H460" s="171"/>
      <c r="I460" s="171"/>
      <c r="J460" s="172">
        <f t="shared" si="23"/>
        <v>0</v>
      </c>
      <c r="K460" s="218">
        <v>1.3544018058690745</v>
      </c>
      <c r="L460" s="174">
        <f t="shared" si="9"/>
        <v>6.772009029</v>
      </c>
      <c r="M460" s="175" t="str">
        <f t="shared" si="10"/>
        <v>metaverde</v>
      </c>
      <c r="N460" s="176">
        <f>IFERROR(__xludf.DUMMYFUNCTION("""COMPUTED_VALUE"""),3.0)</f>
        <v>3</v>
      </c>
      <c r="O460" s="176"/>
      <c r="P460" s="166" t="s">
        <v>718</v>
      </c>
      <c r="Q460" s="166" t="s">
        <v>483</v>
      </c>
      <c r="R460" s="176"/>
      <c r="S460" s="176"/>
      <c r="T460" s="176"/>
      <c r="U460" s="176"/>
      <c r="V460" s="176"/>
      <c r="W460" s="176"/>
      <c r="X460" s="176"/>
      <c r="Y460" s="176"/>
      <c r="Z460" s="176"/>
      <c r="AA460" s="176"/>
    </row>
    <row r="461">
      <c r="A461" s="165" t="str">
        <f>iferror(VLOOKUP(P461,'DO NOT TOUCH Imported'!$A$1:$D$800,4,False),iferror(VLOOKUP(P461,'DO NOT TOUCH Imported'!$C$1:$D$800,2,False),"OOPS FIX ME"))</f>
        <v>metaverde</v>
      </c>
      <c r="B461" s="166" t="s">
        <v>441</v>
      </c>
      <c r="C461" s="167" t="s">
        <v>475</v>
      </c>
      <c r="D461" s="168" t="s">
        <v>437</v>
      </c>
      <c r="E461" s="169" t="s">
        <v>438</v>
      </c>
      <c r="F461" s="168" t="s">
        <v>439</v>
      </c>
      <c r="G461" s="170"/>
      <c r="H461" s="171"/>
      <c r="I461" s="171"/>
      <c r="J461" s="172">
        <f t="shared" si="23"/>
        <v>0</v>
      </c>
      <c r="K461" s="218">
        <v>1.3544018058690745</v>
      </c>
      <c r="L461" s="174">
        <f t="shared" si="9"/>
        <v>6.772009029</v>
      </c>
      <c r="M461" s="175" t="str">
        <f t="shared" si="10"/>
        <v>metaverde</v>
      </c>
      <c r="N461" s="176">
        <f>IFERROR(__xludf.DUMMYFUNCTION("""COMPUTED_VALUE"""),4.0)</f>
        <v>4</v>
      </c>
      <c r="O461" s="176"/>
      <c r="P461" s="166" t="s">
        <v>718</v>
      </c>
      <c r="Q461" s="166" t="s">
        <v>441</v>
      </c>
      <c r="R461" s="176"/>
      <c r="S461" s="176"/>
      <c r="T461" s="176"/>
      <c r="U461" s="176"/>
      <c r="V461" s="176"/>
      <c r="W461" s="176"/>
      <c r="X461" s="176"/>
      <c r="Y461" s="176"/>
      <c r="Z461" s="176"/>
      <c r="AA461" s="176"/>
    </row>
    <row r="462">
      <c r="A462" s="183" t="s">
        <v>12</v>
      </c>
      <c r="B462" s="178" t="s">
        <v>10</v>
      </c>
      <c r="C462" s="179" t="s">
        <v>498</v>
      </c>
      <c r="D462" s="180" t="s">
        <v>495</v>
      </c>
      <c r="E462" s="184">
        <v>44316.0</v>
      </c>
      <c r="F462" s="182" t="s">
        <v>499</v>
      </c>
      <c r="G462" s="219"/>
      <c r="H462" s="171"/>
      <c r="I462" s="171"/>
      <c r="J462" s="172">
        <f t="shared" si="23"/>
        <v>0</v>
      </c>
      <c r="K462" s="218">
        <v>1.3544018058690745</v>
      </c>
      <c r="L462" s="174">
        <f t="shared" si="9"/>
        <v>6.772009029</v>
      </c>
      <c r="M462" s="175" t="str">
        <f t="shared" si="10"/>
        <v>metaverde</v>
      </c>
      <c r="N462" s="176">
        <f>IFERROR(__xludf.DUMMYFUNCTION("""COMPUTED_VALUE"""),5.0)</f>
        <v>5</v>
      </c>
      <c r="O462" s="176"/>
      <c r="P462" s="165" t="s">
        <v>443</v>
      </c>
      <c r="Q462" s="165" t="s">
        <v>486</v>
      </c>
      <c r="R462" s="176"/>
      <c r="S462" s="176"/>
      <c r="T462" s="176"/>
      <c r="U462" s="176"/>
      <c r="V462" s="176"/>
      <c r="W462" s="176"/>
      <c r="X462" s="176"/>
      <c r="Y462" s="176"/>
      <c r="Z462" s="176"/>
      <c r="AA462" s="176"/>
    </row>
    <row r="463">
      <c r="A463" s="183" t="s">
        <v>15</v>
      </c>
      <c r="B463" s="178" t="s">
        <v>10</v>
      </c>
      <c r="C463" s="179" t="s">
        <v>500</v>
      </c>
      <c r="D463" s="180" t="s">
        <v>495</v>
      </c>
      <c r="E463" s="184">
        <v>44316.0</v>
      </c>
      <c r="F463" s="182" t="s">
        <v>496</v>
      </c>
      <c r="G463" s="219"/>
      <c r="H463" s="171"/>
      <c r="I463" s="171"/>
      <c r="J463" s="172">
        <f t="shared" si="23"/>
        <v>0</v>
      </c>
      <c r="K463" s="218">
        <v>1.3544018058690745</v>
      </c>
      <c r="L463" s="174">
        <f t="shared" si="9"/>
        <v>6.501007788</v>
      </c>
      <c r="M463" s="175" t="str">
        <f t="shared" si="10"/>
        <v>juankbell</v>
      </c>
      <c r="N463" s="176">
        <f>IFERROR(__xludf.DUMMYFUNCTION("""COMPUTED_VALUE"""),1.0)</f>
        <v>1</v>
      </c>
      <c r="O463" s="176"/>
      <c r="P463" s="165" t="s">
        <v>443</v>
      </c>
      <c r="Q463" s="165" t="s">
        <v>46</v>
      </c>
      <c r="R463" s="176"/>
      <c r="S463" s="176"/>
      <c r="T463" s="176"/>
      <c r="U463" s="176"/>
      <c r="V463" s="176"/>
      <c r="W463" s="176"/>
      <c r="X463" s="176"/>
      <c r="Y463" s="176"/>
      <c r="Z463" s="176"/>
      <c r="AA463" s="176"/>
    </row>
    <row r="464">
      <c r="A464" s="183" t="s">
        <v>15</v>
      </c>
      <c r="B464" s="178" t="s">
        <v>10</v>
      </c>
      <c r="C464" s="179" t="s">
        <v>494</v>
      </c>
      <c r="D464" s="180" t="s">
        <v>495</v>
      </c>
      <c r="E464" s="181">
        <v>44317.0</v>
      </c>
      <c r="F464" s="182" t="s">
        <v>496</v>
      </c>
      <c r="G464" s="219"/>
      <c r="H464" s="171"/>
      <c r="I464" s="171"/>
      <c r="J464" s="172">
        <f t="shared" si="23"/>
        <v>0</v>
      </c>
      <c r="K464" s="218">
        <v>1.3544018058690745</v>
      </c>
      <c r="L464" s="174">
        <f t="shared" si="9"/>
        <v>6.501007788</v>
      </c>
      <c r="M464" s="175" t="str">
        <f t="shared" si="10"/>
        <v>juankbell</v>
      </c>
      <c r="N464" s="176">
        <f>IFERROR(__xludf.DUMMYFUNCTION("""COMPUTED_VALUE"""),2.0)</f>
        <v>2</v>
      </c>
      <c r="O464" s="176"/>
      <c r="P464" s="165" t="s">
        <v>443</v>
      </c>
      <c r="Q464" s="165" t="s">
        <v>441</v>
      </c>
      <c r="R464" s="176"/>
      <c r="S464" s="176"/>
      <c r="T464" s="176"/>
      <c r="U464" s="176"/>
      <c r="V464" s="176"/>
      <c r="W464" s="176"/>
      <c r="X464" s="176"/>
      <c r="Y464" s="176"/>
      <c r="Z464" s="176"/>
      <c r="AA464" s="176"/>
    </row>
    <row r="465">
      <c r="A465" s="165" t="str">
        <f>iferror(VLOOKUP(P465,'DO NOT TOUCH Imported'!$A$1:$D$800,4,False),iferror(VLOOKUP(P465,'DO NOT TOUCH Imported'!$C$1:$D$800,2,False),"OOPS FIX ME"))</f>
        <v>JuankBell</v>
      </c>
      <c r="B465" s="166" t="s">
        <v>441</v>
      </c>
      <c r="C465" s="167" t="s">
        <v>461</v>
      </c>
      <c r="D465" s="168" t="s">
        <v>437</v>
      </c>
      <c r="E465" s="169" t="s">
        <v>460</v>
      </c>
      <c r="F465" s="168" t="s">
        <v>439</v>
      </c>
      <c r="G465" s="170"/>
      <c r="H465" s="171"/>
      <c r="I465" s="171"/>
      <c r="J465" s="172">
        <f t="shared" si="23"/>
        <v>0</v>
      </c>
      <c r="K465" s="218">
        <v>1.3544018058690745</v>
      </c>
      <c r="L465" s="174">
        <f t="shared" si="9"/>
        <v>6.501007788</v>
      </c>
      <c r="M465" s="175" t="str">
        <f t="shared" si="10"/>
        <v>JuankBell</v>
      </c>
      <c r="N465" s="176">
        <f>IFERROR(__xludf.DUMMYFUNCTION("""COMPUTED_VALUE"""),3.0)</f>
        <v>3</v>
      </c>
      <c r="O465" s="176"/>
      <c r="P465" s="166" t="s">
        <v>443</v>
      </c>
      <c r="Q465" s="166" t="s">
        <v>441</v>
      </c>
      <c r="R465" s="176"/>
      <c r="S465" s="176"/>
      <c r="T465" s="176"/>
      <c r="U465" s="176"/>
      <c r="V465" s="176"/>
      <c r="W465" s="176"/>
      <c r="X465" s="176"/>
      <c r="Y465" s="176"/>
      <c r="Z465" s="176"/>
      <c r="AA465" s="176"/>
    </row>
    <row r="466">
      <c r="A466" s="165" t="str">
        <f>iferror(VLOOKUP(P466,'DO NOT TOUCH Imported'!$A$1:$D$800,4,False),iferror(VLOOKUP(P466,'DO NOT TOUCH Imported'!$C$1:$D$800,2,False),"OOPS FIX ME"))</f>
        <v>JuankBell</v>
      </c>
      <c r="B466" s="166" t="s">
        <v>440</v>
      </c>
      <c r="C466" s="167" t="s">
        <v>720</v>
      </c>
      <c r="D466" s="168" t="s">
        <v>437</v>
      </c>
      <c r="E466" s="169" t="s">
        <v>460</v>
      </c>
      <c r="F466" s="168" t="s">
        <v>439</v>
      </c>
      <c r="G466" s="170"/>
      <c r="H466" s="171"/>
      <c r="I466" s="171"/>
      <c r="J466" s="172">
        <f t="shared" si="23"/>
        <v>0</v>
      </c>
      <c r="K466" s="218">
        <v>1.3544018058690745</v>
      </c>
      <c r="L466" s="174">
        <f t="shared" si="9"/>
        <v>6.501007788</v>
      </c>
      <c r="M466" s="175" t="str">
        <f t="shared" si="10"/>
        <v>JuankBell</v>
      </c>
      <c r="N466" s="176">
        <f>IFERROR(__xludf.DUMMYFUNCTION("""COMPUTED_VALUE"""),4.0)</f>
        <v>4</v>
      </c>
      <c r="O466" s="176"/>
      <c r="P466" s="166" t="s">
        <v>443</v>
      </c>
      <c r="Q466" s="166" t="s">
        <v>440</v>
      </c>
      <c r="R466" s="176"/>
      <c r="S466" s="176"/>
      <c r="T466" s="176"/>
      <c r="U466" s="176"/>
      <c r="V466" s="176"/>
      <c r="W466" s="176"/>
      <c r="X466" s="176"/>
      <c r="Y466" s="176"/>
      <c r="Z466" s="176"/>
      <c r="AA466" s="176"/>
    </row>
    <row r="467">
      <c r="A467" s="165" t="str">
        <f>iferror(VLOOKUP(P467,'DO NOT TOUCH Imported'!$A$1:$D$800,4,False),iferror(VLOOKUP(P467,'DO NOT TOUCH Imported'!$C$1:$D$800,2,False),"OOPS FIX ME"))</f>
        <v>JuankBell</v>
      </c>
      <c r="B467" s="166" t="s">
        <v>486</v>
      </c>
      <c r="C467" s="167" t="s">
        <v>487</v>
      </c>
      <c r="D467" s="168" t="s">
        <v>437</v>
      </c>
      <c r="E467" s="177" t="s">
        <v>488</v>
      </c>
      <c r="F467" s="168" t="s">
        <v>439</v>
      </c>
      <c r="G467" s="170"/>
      <c r="H467" s="171"/>
      <c r="I467" s="171"/>
      <c r="J467" s="172">
        <f t="shared" si="23"/>
        <v>0</v>
      </c>
      <c r="K467" s="218">
        <v>1.3544018058690745</v>
      </c>
      <c r="L467" s="174">
        <f t="shared" si="9"/>
        <v>6.501007788</v>
      </c>
      <c r="M467" s="175" t="str">
        <f t="shared" si="10"/>
        <v>JuankBell</v>
      </c>
      <c r="N467" s="176">
        <f>IFERROR(__xludf.DUMMYFUNCTION("""COMPUTED_VALUE"""),5.0)</f>
        <v>5</v>
      </c>
      <c r="O467" s="176"/>
      <c r="P467" s="166" t="s">
        <v>443</v>
      </c>
      <c r="Q467" s="166" t="s">
        <v>486</v>
      </c>
      <c r="R467" s="176"/>
      <c r="S467" s="176"/>
      <c r="T467" s="176"/>
      <c r="U467" s="176"/>
      <c r="V467" s="176"/>
      <c r="W467" s="176"/>
      <c r="X467" s="176"/>
      <c r="Y467" s="176"/>
      <c r="Z467" s="176"/>
      <c r="AA467" s="176"/>
    </row>
    <row r="468">
      <c r="A468" s="165" t="str">
        <f>iferror(VLOOKUP(P468,'DO NOT TOUCH Imported'!$A$1:$D$800,4,False),iferror(VLOOKUP(P468,'DO NOT TOUCH Imported'!$C$1:$D$800,2,False),"OOPS FIX ME"))</f>
        <v>JuankBell</v>
      </c>
      <c r="B468" s="166" t="s">
        <v>490</v>
      </c>
      <c r="C468" s="167" t="s">
        <v>491</v>
      </c>
      <c r="D468" s="168" t="s">
        <v>437</v>
      </c>
      <c r="E468" s="177" t="s">
        <v>445</v>
      </c>
      <c r="F468" s="168" t="s">
        <v>439</v>
      </c>
      <c r="G468" s="170"/>
      <c r="H468" s="171"/>
      <c r="I468" s="171"/>
      <c r="J468" s="172">
        <f t="shared" si="23"/>
        <v>0</v>
      </c>
      <c r="K468" s="218">
        <v>1.3544018058690745</v>
      </c>
      <c r="L468" s="174">
        <f t="shared" si="9"/>
        <v>6.501007788</v>
      </c>
      <c r="M468" s="175" t="str">
        <f t="shared" si="10"/>
        <v>JuankBell</v>
      </c>
      <c r="N468" s="176">
        <f>IFERROR(__xludf.DUMMYFUNCTION("""COMPUTED_VALUE"""),6.0)</f>
        <v>6</v>
      </c>
      <c r="O468" s="176"/>
      <c r="P468" s="166" t="s">
        <v>443</v>
      </c>
      <c r="Q468" s="166" t="s">
        <v>490</v>
      </c>
      <c r="R468" s="176"/>
      <c r="S468" s="176"/>
      <c r="T468" s="176"/>
      <c r="U468" s="176"/>
      <c r="V468" s="176"/>
      <c r="W468" s="176"/>
      <c r="X468" s="176"/>
      <c r="Y468" s="176"/>
      <c r="Z468" s="176"/>
      <c r="AA468" s="176"/>
    </row>
    <row r="469">
      <c r="A469" s="165" t="str">
        <f>iferror(VLOOKUP(P469,'DO NOT TOUCH Imported'!$A$1:$D$800,4,False),iferror(VLOOKUP(P469,'DO NOT TOUCH Imported'!$C$1:$D$800,2,False),"OOPS FIX ME"))</f>
        <v>JuankBell</v>
      </c>
      <c r="B469" s="166" t="s">
        <v>492</v>
      </c>
      <c r="C469" s="167" t="s">
        <v>493</v>
      </c>
      <c r="D469" s="168" t="s">
        <v>437</v>
      </c>
      <c r="E469" s="169" t="s">
        <v>445</v>
      </c>
      <c r="F469" s="168" t="s">
        <v>439</v>
      </c>
      <c r="G469" s="170"/>
      <c r="H469" s="171"/>
      <c r="I469" s="171"/>
      <c r="J469" s="172">
        <f t="shared" si="23"/>
        <v>0</v>
      </c>
      <c r="K469" s="218">
        <v>1.3544018058690745</v>
      </c>
      <c r="L469" s="174">
        <f t="shared" si="9"/>
        <v>6.501007788</v>
      </c>
      <c r="M469" s="175" t="str">
        <f t="shared" si="10"/>
        <v>JuankBell</v>
      </c>
      <c r="N469" s="176">
        <f>IFERROR(__xludf.DUMMYFUNCTION("""COMPUTED_VALUE"""),7.0)</f>
        <v>7</v>
      </c>
      <c r="O469" s="176"/>
      <c r="P469" s="166" t="s">
        <v>443</v>
      </c>
      <c r="Q469" s="166" t="s">
        <v>492</v>
      </c>
      <c r="R469" s="176"/>
      <c r="S469" s="176"/>
      <c r="T469" s="176"/>
      <c r="U469" s="176"/>
      <c r="V469" s="176"/>
      <c r="W469" s="176"/>
      <c r="X469" s="176"/>
      <c r="Y469" s="176"/>
      <c r="Z469" s="176"/>
      <c r="AA469" s="176"/>
    </row>
    <row r="470">
      <c r="A470" s="165" t="str">
        <f>iferror(VLOOKUP(P470,'DO NOT TOUCH Imported'!$A$1:$D$800,4,False),iferror(VLOOKUP(P470,'DO NOT TOUCH Imported'!$C$1:$D$800,2,False),"OOPS FIX ME"))</f>
        <v>JuankBell</v>
      </c>
      <c r="B470" s="166" t="s">
        <v>440</v>
      </c>
      <c r="C470" s="167" t="s">
        <v>721</v>
      </c>
      <c r="D470" s="168" t="s">
        <v>437</v>
      </c>
      <c r="E470" s="177" t="s">
        <v>445</v>
      </c>
      <c r="F470" s="168" t="s">
        <v>439</v>
      </c>
      <c r="G470" s="220"/>
      <c r="H470" s="171"/>
      <c r="I470" s="171"/>
      <c r="J470" s="172">
        <f t="shared" si="23"/>
        <v>0</v>
      </c>
      <c r="K470" s="218">
        <v>1.3544018058690745</v>
      </c>
      <c r="L470" s="174">
        <f t="shared" si="9"/>
        <v>6.501007788</v>
      </c>
      <c r="M470" s="175" t="str">
        <f t="shared" si="10"/>
        <v>JuankBell</v>
      </c>
      <c r="N470" s="176">
        <f>IFERROR(__xludf.DUMMYFUNCTION("""COMPUTED_VALUE"""),8.0)</f>
        <v>8</v>
      </c>
      <c r="O470" s="176"/>
      <c r="P470" s="166" t="s">
        <v>443</v>
      </c>
      <c r="Q470" s="166" t="s">
        <v>440</v>
      </c>
      <c r="R470" s="176"/>
      <c r="S470" s="176"/>
      <c r="T470" s="176"/>
      <c r="U470" s="176"/>
      <c r="V470" s="176"/>
      <c r="W470" s="176"/>
      <c r="X470" s="176"/>
      <c r="Y470" s="176"/>
      <c r="Z470" s="176"/>
      <c r="AA470" s="176"/>
    </row>
    <row r="471">
      <c r="A471" s="165" t="str">
        <f>iferror(VLOOKUP(P471,'DO NOT TOUCH Imported'!$A$1:$D$800,4,False),iferror(VLOOKUP(P471,'DO NOT TOUCH Imported'!$C$1:$D$800,2,False),"OOPS FIX ME"))</f>
        <v>JuankBell</v>
      </c>
      <c r="B471" s="166" t="s">
        <v>435</v>
      </c>
      <c r="C471" s="167" t="s">
        <v>465</v>
      </c>
      <c r="D471" s="168" t="s">
        <v>437</v>
      </c>
      <c r="E471" s="169" t="s">
        <v>445</v>
      </c>
      <c r="F471" s="168" t="s">
        <v>439</v>
      </c>
      <c r="G471" s="170"/>
      <c r="H471" s="171"/>
      <c r="I471" s="171"/>
      <c r="J471" s="172">
        <f t="shared" si="23"/>
        <v>0</v>
      </c>
      <c r="K471" s="218">
        <v>1.3544018058690745</v>
      </c>
      <c r="L471" s="174">
        <f t="shared" si="9"/>
        <v>6.501007788</v>
      </c>
      <c r="M471" s="175" t="str">
        <f t="shared" si="10"/>
        <v>JuankBell</v>
      </c>
      <c r="N471" s="176">
        <f>IFERROR(__xludf.DUMMYFUNCTION("""COMPUTED_VALUE"""),9.0)</f>
        <v>9</v>
      </c>
      <c r="O471" s="176"/>
      <c r="P471" s="166" t="s">
        <v>443</v>
      </c>
      <c r="Q471" s="166" t="s">
        <v>435</v>
      </c>
      <c r="R471" s="176"/>
      <c r="S471" s="176"/>
      <c r="T471" s="176"/>
      <c r="U471" s="176"/>
      <c r="V471" s="176"/>
      <c r="W471" s="176"/>
      <c r="X471" s="176"/>
      <c r="Y471" s="176"/>
      <c r="Z471" s="176"/>
      <c r="AA471" s="176"/>
    </row>
    <row r="472">
      <c r="A472" s="165" t="str">
        <f>iferror(VLOOKUP(P472,'DO NOT TOUCH Imported'!$A$1:$D$800,4,False),iferror(VLOOKUP(P472,'DO NOT TOUCH Imported'!$C$1:$D$800,2,False),"OOPS FIX ME"))</f>
        <v>JuankBell</v>
      </c>
      <c r="B472" s="166" t="s">
        <v>440</v>
      </c>
      <c r="C472" s="167" t="s">
        <v>722</v>
      </c>
      <c r="D472" s="168" t="s">
        <v>437</v>
      </c>
      <c r="E472" s="177" t="s">
        <v>445</v>
      </c>
      <c r="F472" s="168" t="s">
        <v>439</v>
      </c>
      <c r="G472" s="170"/>
      <c r="H472" s="171"/>
      <c r="I472" s="171"/>
      <c r="J472" s="172">
        <f t="shared" si="23"/>
        <v>0</v>
      </c>
      <c r="K472" s="218">
        <v>1.3544018058690745</v>
      </c>
      <c r="L472" s="174">
        <f t="shared" si="9"/>
        <v>6.501007788</v>
      </c>
      <c r="M472" s="175" t="str">
        <f t="shared" si="10"/>
        <v>JuankBell</v>
      </c>
      <c r="N472" s="176">
        <f>IFERROR(__xludf.DUMMYFUNCTION("""COMPUTED_VALUE"""),10.0)</f>
        <v>10</v>
      </c>
      <c r="O472" s="176"/>
      <c r="P472" s="166" t="s">
        <v>443</v>
      </c>
      <c r="Q472" s="166" t="s">
        <v>440</v>
      </c>
      <c r="R472" s="176"/>
      <c r="S472" s="176"/>
      <c r="T472" s="176"/>
      <c r="U472" s="176"/>
      <c r="V472" s="176"/>
      <c r="W472" s="176"/>
      <c r="X472" s="176"/>
      <c r="Y472" s="176"/>
      <c r="Z472" s="176"/>
      <c r="AA472" s="176"/>
    </row>
    <row r="473">
      <c r="A473" s="165" t="str">
        <f>iferror(VLOOKUP(P473,'DO NOT TOUCH Imported'!$A$1:$D$800,4,False),iferror(VLOOKUP(P473,'DO NOT TOUCH Imported'!$C$1:$D$800,2,False),"OOPS FIX ME"))</f>
        <v>JuankBell</v>
      </c>
      <c r="B473" s="166" t="s">
        <v>490</v>
      </c>
      <c r="C473" s="167" t="s">
        <v>723</v>
      </c>
      <c r="D473" s="168" t="s">
        <v>437</v>
      </c>
      <c r="E473" s="169" t="s">
        <v>445</v>
      </c>
      <c r="F473" s="168" t="s">
        <v>439</v>
      </c>
      <c r="G473" s="170"/>
      <c r="H473" s="171"/>
      <c r="I473" s="171"/>
      <c r="J473" s="172">
        <f t="shared" si="23"/>
        <v>0</v>
      </c>
      <c r="K473" s="218">
        <v>1.3544018058690745</v>
      </c>
      <c r="L473" s="174">
        <f t="shared" si="9"/>
        <v>6.501007788</v>
      </c>
      <c r="M473" s="175" t="str">
        <f t="shared" si="10"/>
        <v>JuankBell</v>
      </c>
      <c r="N473" s="176">
        <f>IFERROR(__xludf.DUMMYFUNCTION("""COMPUTED_VALUE"""),11.0)</f>
        <v>11</v>
      </c>
      <c r="O473" s="176"/>
      <c r="P473" s="166" t="s">
        <v>443</v>
      </c>
      <c r="Q473" s="166" t="s">
        <v>490</v>
      </c>
      <c r="R473" s="176"/>
      <c r="S473" s="176"/>
      <c r="T473" s="176"/>
      <c r="U473" s="176"/>
      <c r="V473" s="176"/>
      <c r="W473" s="176"/>
      <c r="X473" s="176"/>
      <c r="Y473" s="176"/>
      <c r="Z473" s="176"/>
      <c r="AA473" s="176"/>
    </row>
    <row r="474">
      <c r="A474" s="165" t="str">
        <f>iferror(VLOOKUP(P474,'DO NOT TOUCH Imported'!$A$1:$D$800,4,False),iferror(VLOOKUP(P474,'DO NOT TOUCH Imported'!$C$1:$D$800,2,False),"OOPS FIX ME"))</f>
        <v>JuankBell</v>
      </c>
      <c r="B474" s="166" t="s">
        <v>490</v>
      </c>
      <c r="C474" s="167" t="s">
        <v>539</v>
      </c>
      <c r="D474" s="168" t="s">
        <v>437</v>
      </c>
      <c r="E474" s="177" t="s">
        <v>540</v>
      </c>
      <c r="F474" s="168" t="s">
        <v>439</v>
      </c>
      <c r="G474" s="170"/>
      <c r="H474" s="171"/>
      <c r="I474" s="171"/>
      <c r="J474" s="172">
        <f t="shared" si="23"/>
        <v>0</v>
      </c>
      <c r="K474" s="218">
        <v>1.3544018058690745</v>
      </c>
      <c r="L474" s="174">
        <f t="shared" si="9"/>
        <v>6.501007788</v>
      </c>
      <c r="M474" s="175" t="str">
        <f t="shared" si="10"/>
        <v>JuankBell</v>
      </c>
      <c r="N474" s="176">
        <f>IFERROR(__xludf.DUMMYFUNCTION("""COMPUTED_VALUE"""),12.0)</f>
        <v>12</v>
      </c>
      <c r="O474" s="176"/>
      <c r="P474" s="166" t="s">
        <v>443</v>
      </c>
      <c r="Q474" s="166" t="s">
        <v>490</v>
      </c>
      <c r="R474" s="176"/>
      <c r="S474" s="176"/>
      <c r="T474" s="176"/>
      <c r="U474" s="176"/>
      <c r="V474" s="176"/>
      <c r="W474" s="176"/>
      <c r="X474" s="176"/>
      <c r="Y474" s="176"/>
      <c r="Z474" s="176"/>
      <c r="AA474" s="176"/>
    </row>
    <row r="475">
      <c r="A475" s="165" t="str">
        <f>iferror(VLOOKUP(P475,'DO NOT TOUCH Imported'!$A$1:$D$800,4,False),iferror(VLOOKUP(P475,'DO NOT TOUCH Imported'!$C$1:$D$800,2,False),"OOPS FIX ME"))</f>
        <v>JuankBell</v>
      </c>
      <c r="B475" s="166" t="s">
        <v>596</v>
      </c>
      <c r="C475" s="167" t="s">
        <v>724</v>
      </c>
      <c r="D475" s="168" t="s">
        <v>437</v>
      </c>
      <c r="E475" s="169" t="s">
        <v>540</v>
      </c>
      <c r="F475" s="168" t="s">
        <v>439</v>
      </c>
      <c r="G475" s="170"/>
      <c r="H475" s="171"/>
      <c r="I475" s="171"/>
      <c r="J475" s="172">
        <f t="shared" si="23"/>
        <v>0</v>
      </c>
      <c r="K475" s="218">
        <v>1.3544018058690745</v>
      </c>
      <c r="L475" s="174">
        <f t="shared" si="9"/>
        <v>6.501007788</v>
      </c>
      <c r="M475" s="175" t="str">
        <f t="shared" si="10"/>
        <v>JuankBell</v>
      </c>
      <c r="N475" s="176">
        <f>IFERROR(__xludf.DUMMYFUNCTION("""COMPUTED_VALUE"""),13.0)</f>
        <v>13</v>
      </c>
      <c r="O475" s="176"/>
      <c r="P475" s="166" t="s">
        <v>443</v>
      </c>
      <c r="Q475" s="166" t="s">
        <v>596</v>
      </c>
      <c r="R475" s="176"/>
      <c r="S475" s="176"/>
      <c r="T475" s="176"/>
      <c r="U475" s="176"/>
      <c r="V475" s="176"/>
      <c r="W475" s="176"/>
      <c r="X475" s="176"/>
      <c r="Y475" s="176"/>
      <c r="Z475" s="176"/>
      <c r="AA475" s="176"/>
    </row>
    <row r="476">
      <c r="A476" s="165" t="str">
        <f>iferror(VLOOKUP(P476,'DO NOT TOUCH Imported'!$A$1:$D$800,4,False),iferror(VLOOKUP(P476,'DO NOT TOUCH Imported'!$C$1:$D$800,2,False),"OOPS FIX ME"))</f>
        <v>JuankBell</v>
      </c>
      <c r="B476" s="166" t="s">
        <v>483</v>
      </c>
      <c r="C476" s="167" t="s">
        <v>725</v>
      </c>
      <c r="D476" s="168" t="s">
        <v>437</v>
      </c>
      <c r="E476" s="177" t="s">
        <v>540</v>
      </c>
      <c r="F476" s="168" t="s">
        <v>439</v>
      </c>
      <c r="G476" s="170"/>
      <c r="H476" s="171"/>
      <c r="I476" s="171"/>
      <c r="J476" s="172">
        <f t="shared" si="23"/>
        <v>0</v>
      </c>
      <c r="K476" s="218">
        <v>1.3544018058690745</v>
      </c>
      <c r="L476" s="174">
        <f t="shared" si="9"/>
        <v>6.501007788</v>
      </c>
      <c r="M476" s="175" t="str">
        <f t="shared" si="10"/>
        <v>JuankBell</v>
      </c>
      <c r="N476" s="176">
        <f>IFERROR(__xludf.DUMMYFUNCTION("""COMPUTED_VALUE"""),14.0)</f>
        <v>14</v>
      </c>
      <c r="O476" s="176"/>
      <c r="P476" s="166" t="s">
        <v>443</v>
      </c>
      <c r="Q476" s="166" t="s">
        <v>483</v>
      </c>
      <c r="R476" s="176"/>
      <c r="S476" s="176"/>
      <c r="T476" s="176"/>
      <c r="U476" s="176"/>
      <c r="V476" s="176"/>
      <c r="W476" s="176"/>
      <c r="X476" s="176"/>
      <c r="Y476" s="176"/>
      <c r="Z476" s="176"/>
      <c r="AA476" s="176"/>
    </row>
    <row r="477">
      <c r="A477" s="165" t="str">
        <f>iferror(VLOOKUP(P477,'DO NOT TOUCH Imported'!$A$1:$D$800,4,False),iferror(VLOOKUP(P477,'DO NOT TOUCH Imported'!$C$1:$D$800,2,False),"OOPS FIX ME"))</f>
        <v>JuankBell</v>
      </c>
      <c r="B477" s="166" t="s">
        <v>20</v>
      </c>
      <c r="C477" s="167" t="s">
        <v>726</v>
      </c>
      <c r="D477" s="168" t="s">
        <v>437</v>
      </c>
      <c r="E477" s="169" t="s">
        <v>540</v>
      </c>
      <c r="F477" s="168" t="s">
        <v>439</v>
      </c>
      <c r="G477" s="170"/>
      <c r="H477" s="171"/>
      <c r="I477" s="171"/>
      <c r="J477" s="172">
        <f t="shared" si="23"/>
        <v>0</v>
      </c>
      <c r="K477" s="218">
        <v>1.3544018058690745</v>
      </c>
      <c r="L477" s="174">
        <f t="shared" si="9"/>
        <v>6.501007788</v>
      </c>
      <c r="M477" s="175" t="str">
        <f t="shared" si="10"/>
        <v>JuankBell</v>
      </c>
      <c r="N477" s="176">
        <f>IFERROR(__xludf.DUMMYFUNCTION("""COMPUTED_VALUE"""),15.0)</f>
        <v>15</v>
      </c>
      <c r="O477" s="176"/>
      <c r="P477" s="166" t="s">
        <v>443</v>
      </c>
      <c r="Q477" s="166" t="s">
        <v>20</v>
      </c>
      <c r="R477" s="176"/>
      <c r="S477" s="176"/>
      <c r="T477" s="176"/>
      <c r="U477" s="176"/>
      <c r="V477" s="176"/>
      <c r="W477" s="176"/>
      <c r="X477" s="176"/>
      <c r="Y477" s="176"/>
      <c r="Z477" s="176"/>
      <c r="AA477" s="176"/>
    </row>
    <row r="478">
      <c r="A478" s="165" t="str">
        <f>iferror(VLOOKUP(P478,'DO NOT TOUCH Imported'!$A$1:$D$800,4,False),iferror(VLOOKUP(P478,'DO NOT TOUCH Imported'!$C$1:$D$800,2,False),"OOPS FIX ME"))</f>
        <v>JuankBell</v>
      </c>
      <c r="B478" s="166" t="s">
        <v>441</v>
      </c>
      <c r="C478" s="167" t="s">
        <v>446</v>
      </c>
      <c r="D478" s="168" t="s">
        <v>437</v>
      </c>
      <c r="E478" s="177" t="s">
        <v>447</v>
      </c>
      <c r="F478" s="168" t="s">
        <v>439</v>
      </c>
      <c r="G478" s="170"/>
      <c r="H478" s="171"/>
      <c r="I478" s="171"/>
      <c r="J478" s="172">
        <f t="shared" si="23"/>
        <v>0</v>
      </c>
      <c r="K478" s="218">
        <v>1.3544018058690745</v>
      </c>
      <c r="L478" s="174">
        <f t="shared" si="9"/>
        <v>6.501007788</v>
      </c>
      <c r="M478" s="175" t="str">
        <f t="shared" si="10"/>
        <v>JuankBell</v>
      </c>
      <c r="N478" s="176">
        <f>IFERROR(__xludf.DUMMYFUNCTION("""COMPUTED_VALUE"""),16.0)</f>
        <v>16</v>
      </c>
      <c r="O478" s="176"/>
      <c r="P478" s="166" t="s">
        <v>443</v>
      </c>
      <c r="Q478" s="166" t="s">
        <v>441</v>
      </c>
      <c r="R478" s="176"/>
      <c r="S478" s="176"/>
      <c r="T478" s="176"/>
      <c r="U478" s="176"/>
      <c r="V478" s="176"/>
      <c r="W478" s="176"/>
      <c r="X478" s="176"/>
      <c r="Y478" s="176"/>
      <c r="Z478" s="176"/>
      <c r="AA478" s="176"/>
    </row>
    <row r="479">
      <c r="A479" s="165" t="str">
        <f>iferror(VLOOKUP(P479,'DO NOT TOUCH Imported'!$A$1:$D$800,4,False),iferror(VLOOKUP(P479,'DO NOT TOUCH Imported'!$C$1:$D$800,2,False),"OOPS FIX ME"))</f>
        <v>JuankBell</v>
      </c>
      <c r="B479" s="166" t="s">
        <v>441</v>
      </c>
      <c r="C479" s="167" t="s">
        <v>727</v>
      </c>
      <c r="D479" s="168" t="s">
        <v>437</v>
      </c>
      <c r="E479" s="169" t="s">
        <v>447</v>
      </c>
      <c r="F479" s="168" t="s">
        <v>439</v>
      </c>
      <c r="G479" s="170"/>
      <c r="H479" s="171"/>
      <c r="I479" s="171"/>
      <c r="J479" s="172">
        <f t="shared" si="23"/>
        <v>0</v>
      </c>
      <c r="K479" s="218">
        <v>1.3544018058690745</v>
      </c>
      <c r="L479" s="174">
        <f t="shared" si="9"/>
        <v>6.501007788</v>
      </c>
      <c r="M479" s="175" t="str">
        <f t="shared" si="10"/>
        <v>JuankBell</v>
      </c>
      <c r="N479" s="176">
        <f>IFERROR(__xludf.DUMMYFUNCTION("""COMPUTED_VALUE"""),17.0)</f>
        <v>17</v>
      </c>
      <c r="O479" s="176"/>
      <c r="P479" s="166" t="s">
        <v>443</v>
      </c>
      <c r="Q479" s="166" t="s">
        <v>441</v>
      </c>
      <c r="R479" s="176"/>
      <c r="S479" s="176"/>
      <c r="T479" s="176"/>
      <c r="U479" s="176"/>
      <c r="V479" s="176"/>
      <c r="W479" s="176"/>
      <c r="X479" s="176"/>
      <c r="Y479" s="176"/>
      <c r="Z479" s="176"/>
      <c r="AA479" s="176"/>
    </row>
    <row r="480">
      <c r="A480" s="165" t="str">
        <f>iferror(VLOOKUP(P480,'DO NOT TOUCH Imported'!$A$1:$D$800,4,False),iferror(VLOOKUP(P480,'DO NOT TOUCH Imported'!$C$1:$D$800,2,False),"OOPS FIX ME"))</f>
        <v>JuankBell</v>
      </c>
      <c r="B480" s="166" t="s">
        <v>441</v>
      </c>
      <c r="C480" s="167" t="s">
        <v>467</v>
      </c>
      <c r="D480" s="168" t="s">
        <v>437</v>
      </c>
      <c r="E480" s="177" t="s">
        <v>447</v>
      </c>
      <c r="F480" s="168" t="s">
        <v>439</v>
      </c>
      <c r="G480" s="170"/>
      <c r="H480" s="171"/>
      <c r="I480" s="171"/>
      <c r="J480" s="172">
        <f t="shared" si="23"/>
        <v>0</v>
      </c>
      <c r="K480" s="218">
        <v>1.3544018058690745</v>
      </c>
      <c r="L480" s="174">
        <f t="shared" si="9"/>
        <v>6.501007788</v>
      </c>
      <c r="M480" s="175" t="str">
        <f t="shared" si="10"/>
        <v>JuankBell</v>
      </c>
      <c r="N480" s="176">
        <f>IFERROR(__xludf.DUMMYFUNCTION("""COMPUTED_VALUE"""),18.0)</f>
        <v>18</v>
      </c>
      <c r="O480" s="176"/>
      <c r="P480" s="166" t="s">
        <v>443</v>
      </c>
      <c r="Q480" s="166" t="s">
        <v>441</v>
      </c>
      <c r="R480" s="176"/>
      <c r="S480" s="176"/>
      <c r="T480" s="176"/>
      <c r="U480" s="176"/>
      <c r="V480" s="176"/>
      <c r="W480" s="176"/>
      <c r="X480" s="176"/>
      <c r="Y480" s="176"/>
      <c r="Z480" s="176"/>
      <c r="AA480" s="176"/>
    </row>
    <row r="481">
      <c r="A481" s="165" t="str">
        <f>iferror(VLOOKUP(P481,'DO NOT TOUCH Imported'!$A$1:$D$800,4,False),iferror(VLOOKUP(P481,'DO NOT TOUCH Imported'!$C$1:$D$800,2,False),"OOPS FIX ME"))</f>
        <v>JuankBell</v>
      </c>
      <c r="B481" s="166" t="s">
        <v>441</v>
      </c>
      <c r="C481" s="167" t="s">
        <v>468</v>
      </c>
      <c r="D481" s="168" t="s">
        <v>437</v>
      </c>
      <c r="E481" s="169" t="s">
        <v>447</v>
      </c>
      <c r="F481" s="168" t="s">
        <v>439</v>
      </c>
      <c r="G481" s="170"/>
      <c r="H481" s="171"/>
      <c r="I481" s="171"/>
      <c r="J481" s="172">
        <f t="shared" si="23"/>
        <v>0</v>
      </c>
      <c r="K481" s="218">
        <v>1.3544018058690745</v>
      </c>
      <c r="L481" s="174">
        <f t="shared" si="9"/>
        <v>6.501007788</v>
      </c>
      <c r="M481" s="175" t="str">
        <f t="shared" si="10"/>
        <v>JuankBell</v>
      </c>
      <c r="N481" s="176">
        <f>IFERROR(__xludf.DUMMYFUNCTION("""COMPUTED_VALUE"""),19.0)</f>
        <v>19</v>
      </c>
      <c r="O481" s="176"/>
      <c r="P481" s="166" t="s">
        <v>443</v>
      </c>
      <c r="Q481" s="166" t="s">
        <v>441</v>
      </c>
      <c r="R481" s="176"/>
      <c r="S481" s="176"/>
      <c r="T481" s="176"/>
      <c r="U481" s="176"/>
      <c r="V481" s="176"/>
      <c r="W481" s="176"/>
      <c r="X481" s="176"/>
      <c r="Y481" s="176"/>
      <c r="Z481" s="176"/>
      <c r="AA481" s="176"/>
    </row>
    <row r="482">
      <c r="A482" s="165" t="str">
        <f>iferror(VLOOKUP(P482,'DO NOT TOUCH Imported'!$A$1:$D$800,4,False),iferror(VLOOKUP(P482,'DO NOT TOUCH Imported'!$C$1:$D$800,2,False),"OOPS FIX ME"))</f>
        <v>JuankBell</v>
      </c>
      <c r="B482" s="166" t="s">
        <v>441</v>
      </c>
      <c r="C482" s="167" t="s">
        <v>543</v>
      </c>
      <c r="D482" s="168" t="s">
        <v>437</v>
      </c>
      <c r="E482" s="177" t="s">
        <v>447</v>
      </c>
      <c r="F482" s="168" t="s">
        <v>439</v>
      </c>
      <c r="G482" s="170"/>
      <c r="H482" s="171"/>
      <c r="I482" s="171"/>
      <c r="J482" s="172">
        <f t="shared" si="23"/>
        <v>0</v>
      </c>
      <c r="K482" s="218">
        <v>1.3544018058690745</v>
      </c>
      <c r="L482" s="174">
        <f t="shared" si="9"/>
        <v>6.501007788</v>
      </c>
      <c r="M482" s="175" t="str">
        <f t="shared" si="10"/>
        <v>JuankBell</v>
      </c>
      <c r="N482" s="176">
        <f>IFERROR(__xludf.DUMMYFUNCTION("""COMPUTED_VALUE"""),20.0)</f>
        <v>20</v>
      </c>
      <c r="O482" s="176"/>
      <c r="P482" s="166" t="s">
        <v>443</v>
      </c>
      <c r="Q482" s="166" t="s">
        <v>441</v>
      </c>
      <c r="R482" s="176"/>
      <c r="S482" s="176"/>
      <c r="T482" s="176"/>
      <c r="U482" s="176"/>
      <c r="V482" s="176"/>
      <c r="W482" s="176"/>
      <c r="X482" s="176"/>
      <c r="Y482" s="176"/>
      <c r="Z482" s="176"/>
      <c r="AA482" s="176"/>
    </row>
    <row r="483">
      <c r="A483" s="165" t="str">
        <f>iferror(VLOOKUP(P483,'DO NOT TOUCH Imported'!$A$1:$D$800,4,False),iferror(VLOOKUP(P483,'DO NOT TOUCH Imported'!$C$1:$D$800,2,False),"OOPS FIX ME"))</f>
        <v>JuankBell</v>
      </c>
      <c r="B483" s="166" t="s">
        <v>440</v>
      </c>
      <c r="C483" s="167" t="s">
        <v>471</v>
      </c>
      <c r="D483" s="168" t="s">
        <v>437</v>
      </c>
      <c r="E483" s="169" t="s">
        <v>447</v>
      </c>
      <c r="F483" s="168" t="s">
        <v>439</v>
      </c>
      <c r="G483" s="170"/>
      <c r="H483" s="171"/>
      <c r="I483" s="171"/>
      <c r="J483" s="172">
        <f t="shared" si="23"/>
        <v>0</v>
      </c>
      <c r="K483" s="218">
        <v>1.3544018058690745</v>
      </c>
      <c r="L483" s="174">
        <f t="shared" si="9"/>
        <v>6.501007788</v>
      </c>
      <c r="M483" s="175" t="str">
        <f t="shared" si="10"/>
        <v>JuankBell</v>
      </c>
      <c r="N483" s="176">
        <f>IFERROR(__xludf.DUMMYFUNCTION("""COMPUTED_VALUE"""),21.0)</f>
        <v>21</v>
      </c>
      <c r="O483" s="176"/>
      <c r="P483" s="166" t="s">
        <v>443</v>
      </c>
      <c r="Q483" s="166" t="s">
        <v>440</v>
      </c>
      <c r="R483" s="176"/>
      <c r="S483" s="176"/>
      <c r="T483" s="176"/>
      <c r="U483" s="176"/>
      <c r="V483" s="176"/>
      <c r="W483" s="176"/>
      <c r="X483" s="176"/>
      <c r="Y483" s="176"/>
      <c r="Z483" s="176"/>
      <c r="AA483" s="176"/>
    </row>
    <row r="484">
      <c r="A484" s="165" t="str">
        <f>iferror(VLOOKUP(P484,'DO NOT TOUCH Imported'!$A$1:$D$800,4,False),iferror(VLOOKUP(P484,'DO NOT TOUCH Imported'!$C$1:$D$800,2,False),"OOPS FIX ME"))</f>
        <v>JuankBell</v>
      </c>
      <c r="B484" s="166" t="s">
        <v>441</v>
      </c>
      <c r="C484" s="167" t="s">
        <v>481</v>
      </c>
      <c r="D484" s="168" t="s">
        <v>437</v>
      </c>
      <c r="E484" s="177" t="s">
        <v>447</v>
      </c>
      <c r="F484" s="168" t="s">
        <v>439</v>
      </c>
      <c r="G484" s="170"/>
      <c r="H484" s="171"/>
      <c r="I484" s="171"/>
      <c r="J484" s="172">
        <f t="shared" si="23"/>
        <v>0</v>
      </c>
      <c r="K484" s="218">
        <v>1.3544018058690745</v>
      </c>
      <c r="L484" s="174">
        <f t="shared" si="9"/>
        <v>6.501007788</v>
      </c>
      <c r="M484" s="175" t="str">
        <f t="shared" si="10"/>
        <v>JuankBell</v>
      </c>
      <c r="N484" s="176">
        <f>IFERROR(__xludf.DUMMYFUNCTION("""COMPUTED_VALUE"""),22.0)</f>
        <v>22</v>
      </c>
      <c r="O484" s="176"/>
      <c r="P484" s="166" t="s">
        <v>443</v>
      </c>
      <c r="Q484" s="166" t="s">
        <v>441</v>
      </c>
      <c r="R484" s="176"/>
      <c r="S484" s="176"/>
      <c r="T484" s="176"/>
      <c r="U484" s="176"/>
      <c r="V484" s="176"/>
      <c r="W484" s="176"/>
      <c r="X484" s="176"/>
      <c r="Y484" s="176"/>
      <c r="Z484" s="176"/>
      <c r="AA484" s="176"/>
    </row>
    <row r="485">
      <c r="A485" s="165" t="str">
        <f>iferror(VLOOKUP(P485,'DO NOT TOUCH Imported'!$A$1:$D$800,4,False),iferror(VLOOKUP(P485,'DO NOT TOUCH Imported'!$C$1:$D$800,2,False),"OOPS FIX ME"))</f>
        <v>JuankBell</v>
      </c>
      <c r="B485" s="166" t="s">
        <v>435</v>
      </c>
      <c r="C485" s="167" t="s">
        <v>728</v>
      </c>
      <c r="D485" s="168" t="s">
        <v>437</v>
      </c>
      <c r="E485" s="169" t="s">
        <v>447</v>
      </c>
      <c r="F485" s="168" t="s">
        <v>439</v>
      </c>
      <c r="G485" s="170"/>
      <c r="H485" s="171"/>
      <c r="I485" s="171"/>
      <c r="J485" s="172">
        <f t="shared" si="23"/>
        <v>0</v>
      </c>
      <c r="K485" s="218">
        <v>1.3544018058690745</v>
      </c>
      <c r="L485" s="174">
        <f t="shared" si="9"/>
        <v>6.501007788</v>
      </c>
      <c r="M485" s="175" t="str">
        <f t="shared" si="10"/>
        <v>JuankBell</v>
      </c>
      <c r="N485" s="176">
        <f>IFERROR(__xludf.DUMMYFUNCTION("""COMPUTED_VALUE"""),23.0)</f>
        <v>23</v>
      </c>
      <c r="O485" s="176"/>
      <c r="P485" s="166" t="s">
        <v>443</v>
      </c>
      <c r="Q485" s="166" t="s">
        <v>435</v>
      </c>
      <c r="R485" s="176"/>
      <c r="S485" s="176"/>
      <c r="T485" s="176"/>
      <c r="U485" s="176"/>
      <c r="V485" s="176"/>
      <c r="W485" s="176"/>
      <c r="X485" s="176"/>
      <c r="Y485" s="176"/>
      <c r="Z485" s="176"/>
      <c r="AA485" s="176"/>
    </row>
    <row r="486">
      <c r="A486" s="165" t="str">
        <f>iferror(VLOOKUP(P486,'DO NOT TOUCH Imported'!$A$1:$D$800,4,False),iferror(VLOOKUP(P486,'DO NOT TOUCH Imported'!$C$1:$D$800,2,False),"OOPS FIX ME"))</f>
        <v>JuankBell</v>
      </c>
      <c r="B486" s="166" t="s">
        <v>450</v>
      </c>
      <c r="C486" s="167" t="s">
        <v>472</v>
      </c>
      <c r="D486" s="168" t="s">
        <v>437</v>
      </c>
      <c r="E486" s="169" t="s">
        <v>452</v>
      </c>
      <c r="F486" s="168" t="s">
        <v>473</v>
      </c>
      <c r="G486" s="170"/>
      <c r="H486" s="171"/>
      <c r="I486" s="171"/>
      <c r="J486" s="172">
        <f t="shared" si="23"/>
        <v>0</v>
      </c>
      <c r="K486" s="218">
        <v>1.3544018058690745</v>
      </c>
      <c r="L486" s="174">
        <f t="shared" si="9"/>
        <v>6.501007788</v>
      </c>
      <c r="M486" s="175" t="str">
        <f t="shared" si="10"/>
        <v>JuankBell</v>
      </c>
      <c r="N486" s="176">
        <f>IFERROR(__xludf.DUMMYFUNCTION("""COMPUTED_VALUE"""),24.0)</f>
        <v>24</v>
      </c>
      <c r="O486" s="176"/>
      <c r="P486" s="166" t="s">
        <v>443</v>
      </c>
      <c r="Q486" s="166" t="s">
        <v>450</v>
      </c>
      <c r="R486" s="176"/>
      <c r="S486" s="176"/>
      <c r="T486" s="176"/>
      <c r="U486" s="176"/>
      <c r="V486" s="176"/>
      <c r="W486" s="176"/>
      <c r="X486" s="176"/>
      <c r="Y486" s="176"/>
      <c r="Z486" s="176"/>
      <c r="AA486" s="176"/>
    </row>
    <row r="487">
      <c r="A487" s="165" t="str">
        <f>iferror(VLOOKUP(P487,'DO NOT TOUCH Imported'!$A$1:$D$800,4,False),iferror(VLOOKUP(P487,'DO NOT TOUCH Imported'!$C$1:$D$800,2,False),"OOPS FIX ME"))</f>
        <v>JuankBell</v>
      </c>
      <c r="B487" s="166" t="s">
        <v>483</v>
      </c>
      <c r="C487" s="167" t="s">
        <v>484</v>
      </c>
      <c r="D487" s="168" t="s">
        <v>437</v>
      </c>
      <c r="E487" s="169" t="s">
        <v>478</v>
      </c>
      <c r="F487" s="168" t="s">
        <v>439</v>
      </c>
      <c r="G487" s="221"/>
      <c r="H487" s="222"/>
      <c r="I487" s="222"/>
      <c r="J487" s="172">
        <f t="shared" si="23"/>
        <v>0</v>
      </c>
      <c r="K487" s="218">
        <v>1.3544018058690745</v>
      </c>
      <c r="L487" s="174">
        <f t="shared" si="9"/>
        <v>6.501007788</v>
      </c>
      <c r="M487" s="175" t="str">
        <f t="shared" si="10"/>
        <v>JuankBell</v>
      </c>
      <c r="N487" s="209">
        <f>IFERROR(__xludf.DUMMYFUNCTION("""COMPUTED_VALUE"""),25.0)</f>
        <v>25</v>
      </c>
      <c r="O487" s="209"/>
      <c r="P487" s="166" t="s">
        <v>443</v>
      </c>
      <c r="Q487" s="166" t="s">
        <v>483</v>
      </c>
      <c r="R487" s="209"/>
      <c r="S487" s="209"/>
      <c r="T487" s="209"/>
      <c r="U487" s="209"/>
      <c r="V487" s="209"/>
      <c r="W487" s="209"/>
      <c r="X487" s="209"/>
      <c r="Y487" s="209"/>
      <c r="Z487" s="209"/>
      <c r="AA487" s="209"/>
    </row>
    <row r="488">
      <c r="A488" s="165" t="str">
        <f>iferror(VLOOKUP(P488,'DO NOT TOUCH Imported'!$A$1:$D$800,4,False),iferror(VLOOKUP(P488,'DO NOT TOUCH Imported'!$C$1:$D$800,2,False),"OOPS FIX ME"))</f>
        <v>JuankBell</v>
      </c>
      <c r="B488" s="166" t="s">
        <v>476</v>
      </c>
      <c r="C488" s="167" t="s">
        <v>477</v>
      </c>
      <c r="D488" s="168" t="s">
        <v>437</v>
      </c>
      <c r="E488" s="169" t="s">
        <v>478</v>
      </c>
      <c r="F488" s="168" t="s">
        <v>439</v>
      </c>
      <c r="G488" s="170"/>
      <c r="H488" s="171"/>
      <c r="I488" s="171"/>
      <c r="J488" s="172">
        <f t="shared" si="23"/>
        <v>0</v>
      </c>
      <c r="K488" s="218">
        <v>1.3544018058690745</v>
      </c>
      <c r="L488" s="174">
        <f t="shared" si="9"/>
        <v>6.501007788</v>
      </c>
      <c r="M488" s="175" t="str">
        <f t="shared" si="10"/>
        <v>JuankBell</v>
      </c>
      <c r="N488" s="176">
        <f>IFERROR(__xludf.DUMMYFUNCTION("""COMPUTED_VALUE"""),26.0)</f>
        <v>26</v>
      </c>
      <c r="O488" s="176"/>
      <c r="P488" s="166" t="s">
        <v>443</v>
      </c>
      <c r="Q488" s="166" t="s">
        <v>476</v>
      </c>
      <c r="R488" s="176"/>
      <c r="S488" s="176"/>
      <c r="T488" s="176"/>
      <c r="U488" s="176"/>
      <c r="V488" s="176"/>
      <c r="W488" s="176"/>
      <c r="X488" s="176"/>
      <c r="Y488" s="176"/>
      <c r="Z488" s="176"/>
      <c r="AA488" s="176"/>
    </row>
    <row r="489">
      <c r="A489" s="165" t="str">
        <f>iferror(VLOOKUP(P489,'DO NOT TOUCH Imported'!$A$1:$D$800,4,False),iferror(VLOOKUP(P489,'DO NOT TOUCH Imported'!$C$1:$D$800,2,False),"OOPS FIX ME"))</f>
        <v>JuankBell</v>
      </c>
      <c r="B489" s="166" t="s">
        <v>435</v>
      </c>
      <c r="C489" s="167" t="s">
        <v>479</v>
      </c>
      <c r="D489" s="168" t="s">
        <v>437</v>
      </c>
      <c r="E489" s="169" t="s">
        <v>455</v>
      </c>
      <c r="F489" s="168" t="s">
        <v>439</v>
      </c>
      <c r="G489" s="170"/>
      <c r="H489" s="171"/>
      <c r="I489" s="171"/>
      <c r="J489" s="172">
        <f t="shared" si="23"/>
        <v>0</v>
      </c>
      <c r="K489" s="218">
        <v>1.3544018058690745</v>
      </c>
      <c r="L489" s="174">
        <f t="shared" si="9"/>
        <v>6.501007788</v>
      </c>
      <c r="M489" s="175" t="str">
        <f t="shared" si="10"/>
        <v>JuankBell</v>
      </c>
      <c r="N489" s="176">
        <f>IFERROR(__xludf.DUMMYFUNCTION("""COMPUTED_VALUE"""),27.0)</f>
        <v>27</v>
      </c>
      <c r="O489" s="176"/>
      <c r="P489" s="166" t="s">
        <v>443</v>
      </c>
      <c r="Q489" s="166" t="s">
        <v>435</v>
      </c>
      <c r="R489" s="176"/>
      <c r="S489" s="176"/>
      <c r="T489" s="176"/>
      <c r="U489" s="176"/>
      <c r="V489" s="176"/>
      <c r="W489" s="176"/>
      <c r="X489" s="176"/>
      <c r="Y489" s="176"/>
      <c r="Z489" s="176"/>
      <c r="AA489" s="176"/>
    </row>
    <row r="490">
      <c r="A490" s="165" t="str">
        <f>iferror(VLOOKUP(P490,'DO NOT TOUCH Imported'!$A$1:$D$800,4,False),iferror(VLOOKUP(P490,'DO NOT TOUCH Imported'!$C$1:$D$800,2,False),"OOPS FIX ME"))</f>
        <v>JuankBell</v>
      </c>
      <c r="B490" s="166" t="s">
        <v>441</v>
      </c>
      <c r="C490" s="167" t="s">
        <v>729</v>
      </c>
      <c r="D490" s="168" t="s">
        <v>437</v>
      </c>
      <c r="E490" s="169" t="s">
        <v>438</v>
      </c>
      <c r="F490" s="168" t="s">
        <v>439</v>
      </c>
      <c r="G490" s="170"/>
      <c r="H490" s="171"/>
      <c r="I490" s="171"/>
      <c r="J490" s="172">
        <f t="shared" si="23"/>
        <v>0</v>
      </c>
      <c r="K490" s="218">
        <v>1.3544018058690745</v>
      </c>
      <c r="L490" s="174">
        <f t="shared" si="9"/>
        <v>6.501007788</v>
      </c>
      <c r="M490" s="175" t="str">
        <f t="shared" si="10"/>
        <v>JuankBell</v>
      </c>
      <c r="N490" s="176">
        <f>IFERROR(__xludf.DUMMYFUNCTION("""COMPUTED_VALUE"""),28.0)</f>
        <v>28</v>
      </c>
      <c r="O490" s="176"/>
      <c r="P490" s="166" t="s">
        <v>443</v>
      </c>
      <c r="Q490" s="166" t="s">
        <v>441</v>
      </c>
      <c r="R490" s="176"/>
      <c r="S490" s="176"/>
      <c r="T490" s="176"/>
      <c r="U490" s="176"/>
      <c r="V490" s="176"/>
      <c r="W490" s="176"/>
      <c r="X490" s="176"/>
      <c r="Y490" s="176"/>
      <c r="Z490" s="176"/>
      <c r="AA490" s="176"/>
    </row>
    <row r="491">
      <c r="A491" s="165" t="str">
        <f>iferror(VLOOKUP(P491,'DO NOT TOUCH Imported'!$A$1:$D$800,4,False),iferror(VLOOKUP(P491,'DO NOT TOUCH Imported'!$C$1:$D$800,2,False),"OOPS FIX ME"))</f>
        <v>JuankBell</v>
      </c>
      <c r="B491" s="166" t="s">
        <v>441</v>
      </c>
      <c r="C491" s="167" t="s">
        <v>480</v>
      </c>
      <c r="D491" s="168" t="s">
        <v>437</v>
      </c>
      <c r="E491" s="169" t="s">
        <v>438</v>
      </c>
      <c r="F491" s="168" t="s">
        <v>439</v>
      </c>
      <c r="G491" s="170"/>
      <c r="H491" s="171"/>
      <c r="I491" s="171"/>
      <c r="J491" s="172">
        <f t="shared" si="23"/>
        <v>0</v>
      </c>
      <c r="K491" s="218">
        <v>1.3544018058690745</v>
      </c>
      <c r="L491" s="174">
        <f t="shared" si="9"/>
        <v>6.501007788</v>
      </c>
      <c r="M491" s="175" t="str">
        <f t="shared" si="10"/>
        <v>JuankBell</v>
      </c>
      <c r="N491" s="176">
        <f>IFERROR(__xludf.DUMMYFUNCTION("""COMPUTED_VALUE"""),29.0)</f>
        <v>29</v>
      </c>
      <c r="O491" s="176"/>
      <c r="P491" s="166" t="s">
        <v>443</v>
      </c>
      <c r="Q491" s="166" t="s">
        <v>441</v>
      </c>
      <c r="R491" s="176"/>
      <c r="S491" s="176"/>
      <c r="T491" s="176"/>
      <c r="U491" s="176"/>
      <c r="V491" s="176"/>
      <c r="W491" s="176"/>
      <c r="X491" s="176"/>
      <c r="Y491" s="176"/>
      <c r="Z491" s="176"/>
      <c r="AA491" s="176"/>
    </row>
    <row r="492">
      <c r="A492" s="165" t="str">
        <f>iferror(VLOOKUP(P492,'DO NOT TOUCH Imported'!$A$1:$D$800,4,False),iferror(VLOOKUP(P492,'DO NOT TOUCH Imported'!$C$1:$D$800,2,False),"OOPS FIX ME"))</f>
        <v>JuankBell</v>
      </c>
      <c r="B492" s="166" t="s">
        <v>441</v>
      </c>
      <c r="C492" s="167" t="s">
        <v>497</v>
      </c>
      <c r="D492" s="168" t="s">
        <v>437</v>
      </c>
      <c r="E492" s="177" t="s">
        <v>438</v>
      </c>
      <c r="F492" s="168" t="s">
        <v>439</v>
      </c>
      <c r="G492" s="170"/>
      <c r="H492" s="171"/>
      <c r="I492" s="171"/>
      <c r="J492" s="172">
        <f t="shared" si="23"/>
        <v>0</v>
      </c>
      <c r="K492" s="218">
        <v>1.3544018058690745</v>
      </c>
      <c r="L492" s="174">
        <f t="shared" si="9"/>
        <v>6.501007788</v>
      </c>
      <c r="M492" s="175" t="str">
        <f t="shared" si="10"/>
        <v>JuankBell</v>
      </c>
      <c r="N492" s="176">
        <f>IFERROR(__xludf.DUMMYFUNCTION("""COMPUTED_VALUE"""),30.0)</f>
        <v>30</v>
      </c>
      <c r="O492" s="176"/>
      <c r="P492" s="166" t="s">
        <v>443</v>
      </c>
      <c r="Q492" s="166" t="s">
        <v>441</v>
      </c>
      <c r="R492" s="176"/>
      <c r="S492" s="176"/>
      <c r="T492" s="176"/>
      <c r="U492" s="176"/>
      <c r="V492" s="176"/>
      <c r="W492" s="176"/>
      <c r="X492" s="176"/>
      <c r="Y492" s="176"/>
      <c r="Z492" s="176"/>
      <c r="AA492" s="176"/>
    </row>
    <row r="493">
      <c r="A493" s="165" t="str">
        <f>iferror(VLOOKUP(P493,'DO NOT TOUCH Imported'!$A$1:$D$800,4,False),iferror(VLOOKUP(P493,'DO NOT TOUCH Imported'!$C$1:$D$800,2,False),"OOPS FIX ME"))</f>
        <v>JuankBell</v>
      </c>
      <c r="B493" s="166" t="s">
        <v>483</v>
      </c>
      <c r="C493" s="167" t="s">
        <v>730</v>
      </c>
      <c r="D493" s="168" t="s">
        <v>437</v>
      </c>
      <c r="E493" s="169" t="s">
        <v>438</v>
      </c>
      <c r="F493" s="168" t="s">
        <v>439</v>
      </c>
      <c r="G493" s="219"/>
      <c r="H493" s="171"/>
      <c r="I493" s="171"/>
      <c r="J493" s="172">
        <f t="shared" si="23"/>
        <v>0</v>
      </c>
      <c r="K493" s="218">
        <v>1.3544018058690745</v>
      </c>
      <c r="L493" s="174">
        <f t="shared" si="9"/>
        <v>6.501007788</v>
      </c>
      <c r="M493" s="175" t="str">
        <f t="shared" si="10"/>
        <v>JuankBell</v>
      </c>
      <c r="N493" s="176">
        <f>IFERROR(__xludf.DUMMYFUNCTION("""COMPUTED_VALUE"""),31.0)</f>
        <v>31</v>
      </c>
      <c r="O493" s="176"/>
      <c r="P493" s="166" t="s">
        <v>443</v>
      </c>
      <c r="Q493" s="166" t="s">
        <v>483</v>
      </c>
      <c r="R493" s="176"/>
      <c r="S493" s="176"/>
      <c r="T493" s="176"/>
      <c r="U493" s="176"/>
      <c r="V493" s="176"/>
      <c r="W493" s="176"/>
      <c r="X493" s="176"/>
      <c r="Y493" s="176"/>
      <c r="Z493" s="176"/>
      <c r="AA493" s="176"/>
    </row>
    <row r="494">
      <c r="A494" s="165" t="str">
        <f>iferror(VLOOKUP(P494,'DO NOT TOUCH Imported'!$A$1:$D$800,4,False),iferror(VLOOKUP(P494,'DO NOT TOUCH Imported'!$C$1:$D$800,2,False),"OOPS FIX ME"))</f>
        <v>JuankBell</v>
      </c>
      <c r="B494" s="166" t="s">
        <v>441</v>
      </c>
      <c r="C494" s="167" t="s">
        <v>485</v>
      </c>
      <c r="D494" s="168" t="s">
        <v>437</v>
      </c>
      <c r="E494" s="169" t="s">
        <v>438</v>
      </c>
      <c r="F494" s="168" t="s">
        <v>439</v>
      </c>
      <c r="G494" s="219"/>
      <c r="H494" s="171"/>
      <c r="I494" s="171"/>
      <c r="J494" s="172">
        <f t="shared" si="23"/>
        <v>0</v>
      </c>
      <c r="K494" s="218">
        <v>1.3544018058690745</v>
      </c>
      <c r="L494" s="174">
        <f t="shared" si="9"/>
        <v>6.501007788</v>
      </c>
      <c r="M494" s="175" t="str">
        <f t="shared" si="10"/>
        <v>JuankBell</v>
      </c>
      <c r="N494" s="176">
        <f>IFERROR(__xludf.DUMMYFUNCTION("""COMPUTED_VALUE"""),32.0)</f>
        <v>32</v>
      </c>
      <c r="O494" s="176"/>
      <c r="P494" s="166" t="s">
        <v>443</v>
      </c>
      <c r="Q494" s="166" t="s">
        <v>441</v>
      </c>
      <c r="R494" s="176"/>
      <c r="S494" s="176"/>
      <c r="T494" s="176"/>
      <c r="U494" s="176"/>
      <c r="V494" s="176"/>
      <c r="W494" s="176"/>
      <c r="X494" s="176"/>
      <c r="Y494" s="176"/>
      <c r="Z494" s="176"/>
      <c r="AA494" s="176"/>
    </row>
    <row r="495">
      <c r="A495" s="185" t="str">
        <f>iferror(VLOOKUP(P495,'DO NOT TOUCH Imported'!$A$1:$D$800,4,False),iferror(VLOOKUP(P495,'DO NOT TOUCH Imported'!$C$1:$D$800,2,False),"OOPS FIX ME"))</f>
        <v>JuankBell</v>
      </c>
      <c r="B495" s="185" t="s">
        <v>534</v>
      </c>
      <c r="C495" s="186" t="s">
        <v>684</v>
      </c>
      <c r="D495" s="187"/>
      <c r="E495" s="188"/>
      <c r="F495" s="189"/>
      <c r="G495" s="190"/>
      <c r="H495" s="190"/>
      <c r="I495" s="190"/>
      <c r="J495" s="191">
        <f t="shared" si="23"/>
        <v>0</v>
      </c>
      <c r="K495" s="192">
        <f>0.85*-43.341</f>
        <v>-36.83985</v>
      </c>
      <c r="L495" s="193">
        <f t="shared" si="9"/>
        <v>6.501007788</v>
      </c>
      <c r="M495" s="194" t="str">
        <f t="shared" si="10"/>
        <v>JuankBell</v>
      </c>
      <c r="N495" s="195">
        <f>IFERROR(__xludf.DUMMYFUNCTION("""COMPUTED_VALUE"""),33.0)</f>
        <v>33</v>
      </c>
      <c r="O495" s="195"/>
      <c r="P495" s="185" t="s">
        <v>15</v>
      </c>
      <c r="Q495" s="185" t="s">
        <v>534</v>
      </c>
      <c r="R495" s="195">
        <v>36.89669088595067</v>
      </c>
      <c r="S495" s="195"/>
      <c r="T495" s="195"/>
      <c r="U495" s="195"/>
      <c r="V495" s="195"/>
      <c r="W495" s="195"/>
      <c r="X495" s="195"/>
      <c r="Y495" s="195"/>
      <c r="Z495" s="195"/>
      <c r="AA495" s="176"/>
    </row>
    <row r="496">
      <c r="A496" s="165" t="str">
        <f>iferror(VLOOKUP(P496,'DO NOT TOUCH Imported'!$A$1:$D$800,4,False),iferror(VLOOKUP(P496,'DO NOT TOUCH Imported'!$C$1:$D$800,2,False),"OOPS FIX ME"))</f>
        <v>jeffemmett</v>
      </c>
      <c r="B496" s="178" t="s">
        <v>10</v>
      </c>
      <c r="C496" s="179" t="s">
        <v>551</v>
      </c>
      <c r="D496" s="180" t="s">
        <v>495</v>
      </c>
      <c r="E496" s="181">
        <v>44323.0</v>
      </c>
      <c r="F496" s="182" t="s">
        <v>496</v>
      </c>
      <c r="G496" s="170">
        <v>10000.0</v>
      </c>
      <c r="H496" s="171">
        <v>300.0</v>
      </c>
      <c r="I496" s="171">
        <v>100.0</v>
      </c>
      <c r="J496" s="172">
        <f t="shared" si="23"/>
        <v>0.002301427303</v>
      </c>
      <c r="K496" s="173">
        <f t="shared" ref="K496:K506" si="24">J496*$J$1</f>
        <v>2.761712764</v>
      </c>
      <c r="L496" s="174">
        <f t="shared" si="9"/>
        <v>6.257951473</v>
      </c>
      <c r="M496" s="175" t="str">
        <f t="shared" si="10"/>
        <v>jeffemmett</v>
      </c>
      <c r="N496" s="176">
        <f>IFERROR(__xludf.DUMMYFUNCTION("""COMPUTED_VALUE"""),1.0)</f>
        <v>1</v>
      </c>
      <c r="O496" s="176"/>
      <c r="P496" s="183" t="s">
        <v>29</v>
      </c>
      <c r="Q496" s="178" t="s">
        <v>10</v>
      </c>
      <c r="R496" s="176"/>
      <c r="S496" s="176"/>
      <c r="T496" s="176"/>
      <c r="U496" s="176"/>
      <c r="V496" s="176"/>
      <c r="W496" s="176"/>
      <c r="X496" s="176"/>
      <c r="Y496" s="176"/>
      <c r="Z496" s="176"/>
      <c r="AA496" s="176"/>
    </row>
    <row r="497">
      <c r="A497" s="165" t="str">
        <f>iferror(VLOOKUP(P497,'DO NOT TOUCH Imported'!$A$1:$D$800,4,False),iferror(VLOOKUP(P497,'DO NOT TOUCH Imported'!$C$1:$D$800,2,False),"OOPS FIX ME"))</f>
        <v>jeffemmett</v>
      </c>
      <c r="B497" s="166" t="s">
        <v>441</v>
      </c>
      <c r="C497" s="167" t="s">
        <v>731</v>
      </c>
      <c r="D497" s="168" t="s">
        <v>437</v>
      </c>
      <c r="E497" s="169" t="s">
        <v>447</v>
      </c>
      <c r="F497" s="168" t="s">
        <v>439</v>
      </c>
      <c r="G497" s="170">
        <v>1000.0</v>
      </c>
      <c r="H497" s="171">
        <v>200.0</v>
      </c>
      <c r="I497" s="171">
        <v>200.0</v>
      </c>
      <c r="J497" s="172">
        <f t="shared" si="23"/>
        <v>0.001342393283</v>
      </c>
      <c r="K497" s="173">
        <f t="shared" si="24"/>
        <v>1.61087194</v>
      </c>
      <c r="L497" s="174">
        <f t="shared" si="9"/>
        <v>6.257951473</v>
      </c>
      <c r="M497" s="175" t="str">
        <f t="shared" si="10"/>
        <v>jeffemmett</v>
      </c>
      <c r="N497" s="176">
        <f>IFERROR(__xludf.DUMMYFUNCTION("""COMPUTED_VALUE"""),2.0)</f>
        <v>2</v>
      </c>
      <c r="O497" s="176"/>
      <c r="P497" s="166" t="s">
        <v>564</v>
      </c>
      <c r="Q497" s="166" t="s">
        <v>441</v>
      </c>
      <c r="R497" s="176"/>
      <c r="S497" s="176"/>
      <c r="T497" s="176"/>
      <c r="U497" s="176"/>
      <c r="V497" s="176"/>
      <c r="W497" s="176"/>
      <c r="X497" s="176"/>
      <c r="Y497" s="176"/>
      <c r="Z497" s="176"/>
      <c r="AA497" s="176"/>
    </row>
    <row r="498">
      <c r="A498" s="165" t="str">
        <f>iferror(VLOOKUP(P498,'DO NOT TOUCH Imported'!$A$1:$D$800,4,False),iferror(VLOOKUP(P498,'DO NOT TOUCH Imported'!$C$1:$D$800,2,False),"OOPS FIX ME"))</f>
        <v>jeffemmett</v>
      </c>
      <c r="B498" s="166" t="s">
        <v>441</v>
      </c>
      <c r="C498" s="167" t="s">
        <v>732</v>
      </c>
      <c r="D498" s="168" t="s">
        <v>437</v>
      </c>
      <c r="E498" s="169" t="s">
        <v>447</v>
      </c>
      <c r="F498" s="168" t="s">
        <v>439</v>
      </c>
      <c r="G498" s="170">
        <v>1000.0</v>
      </c>
      <c r="H498" s="171">
        <v>200.0</v>
      </c>
      <c r="I498" s="171">
        <v>200.0</v>
      </c>
      <c r="J498" s="172">
        <f t="shared" si="23"/>
        <v>0.001342393283</v>
      </c>
      <c r="K498" s="173">
        <f t="shared" si="24"/>
        <v>1.61087194</v>
      </c>
      <c r="L498" s="174">
        <f t="shared" si="9"/>
        <v>6.257951473</v>
      </c>
      <c r="M498" s="175" t="str">
        <f t="shared" si="10"/>
        <v>jeffemmett</v>
      </c>
      <c r="N498" s="176">
        <f>IFERROR(__xludf.DUMMYFUNCTION("""COMPUTED_VALUE"""),3.0)</f>
        <v>3</v>
      </c>
      <c r="O498" s="176"/>
      <c r="P498" s="166" t="s">
        <v>564</v>
      </c>
      <c r="Q498" s="166" t="s">
        <v>441</v>
      </c>
      <c r="R498" s="176"/>
      <c r="S498" s="176"/>
      <c r="T498" s="176"/>
      <c r="U498" s="176"/>
      <c r="V498" s="176"/>
      <c r="W498" s="176"/>
      <c r="X498" s="176"/>
      <c r="Y498" s="176"/>
      <c r="Z498" s="176"/>
      <c r="AA498" s="176"/>
    </row>
    <row r="499">
      <c r="A499" s="165" t="str">
        <f>iferror(VLOOKUP(P499,'DO NOT TOUCH Imported'!$A$1:$D$800,4,False),iferror(VLOOKUP(P499,'DO NOT TOUCH Imported'!$C$1:$D$800,2,False),"OOPS FIX ME"))</f>
        <v>jeffemmett</v>
      </c>
      <c r="B499" s="166" t="s">
        <v>441</v>
      </c>
      <c r="C499" s="167" t="s">
        <v>733</v>
      </c>
      <c r="D499" s="168" t="s">
        <v>437</v>
      </c>
      <c r="E499" s="169" t="s">
        <v>447</v>
      </c>
      <c r="F499" s="168" t="s">
        <v>439</v>
      </c>
      <c r="G499" s="170">
        <v>1000.0</v>
      </c>
      <c r="H499" s="171">
        <v>200.0</v>
      </c>
      <c r="I499" s="171">
        <v>100.0</v>
      </c>
      <c r="J499" s="172">
        <f t="shared" si="23"/>
        <v>0.001042633091</v>
      </c>
      <c r="K499" s="173">
        <f t="shared" si="24"/>
        <v>1.25115971</v>
      </c>
      <c r="L499" s="174">
        <f t="shared" si="9"/>
        <v>6.257951473</v>
      </c>
      <c r="M499" s="175" t="str">
        <f t="shared" si="10"/>
        <v>jeffemmett</v>
      </c>
      <c r="N499" s="176">
        <f>IFERROR(__xludf.DUMMYFUNCTION("""COMPUTED_VALUE"""),4.0)</f>
        <v>4</v>
      </c>
      <c r="O499" s="176"/>
      <c r="P499" s="166" t="s">
        <v>564</v>
      </c>
      <c r="Q499" s="166" t="s">
        <v>441</v>
      </c>
      <c r="R499" s="176"/>
      <c r="S499" s="176"/>
      <c r="T499" s="176"/>
      <c r="U499" s="176"/>
      <c r="V499" s="176"/>
      <c r="W499" s="176"/>
      <c r="X499" s="176"/>
      <c r="Y499" s="176"/>
      <c r="Z499" s="176"/>
      <c r="AA499" s="176"/>
    </row>
    <row r="500">
      <c r="A500" s="165" t="str">
        <f>iferror(VLOOKUP(P500,'DO NOT TOUCH Imported'!$A$1:$D$800,4,False),iferror(VLOOKUP(P500,'DO NOT TOUCH Imported'!$C$1:$D$800,2,False),"OOPS FIX ME"))</f>
        <v>jeffemmett</v>
      </c>
      <c r="B500" s="166" t="s">
        <v>441</v>
      </c>
      <c r="C500" s="167" t="s">
        <v>524</v>
      </c>
      <c r="D500" s="168" t="s">
        <v>437</v>
      </c>
      <c r="E500" s="169" t="s">
        <v>447</v>
      </c>
      <c r="F500" s="168" t="s">
        <v>439</v>
      </c>
      <c r="G500" s="170">
        <v>1000.0</v>
      </c>
      <c r="H500" s="171">
        <v>200.0</v>
      </c>
      <c r="I500" s="171">
        <v>100.0</v>
      </c>
      <c r="J500" s="172">
        <f t="shared" si="23"/>
        <v>0.001042633091</v>
      </c>
      <c r="K500" s="173">
        <f t="shared" si="24"/>
        <v>1.25115971</v>
      </c>
      <c r="L500" s="174">
        <f t="shared" si="9"/>
        <v>6.257951473</v>
      </c>
      <c r="M500" s="175" t="str">
        <f t="shared" si="10"/>
        <v>jeffemmett</v>
      </c>
      <c r="N500" s="176">
        <f>IFERROR(__xludf.DUMMYFUNCTION("""COMPUTED_VALUE"""),5.0)</f>
        <v>5</v>
      </c>
      <c r="O500" s="176"/>
      <c r="P500" s="166" t="s">
        <v>564</v>
      </c>
      <c r="Q500" s="166" t="s">
        <v>441</v>
      </c>
      <c r="R500" s="176"/>
      <c r="S500" s="176"/>
      <c r="T500" s="176"/>
      <c r="U500" s="176"/>
      <c r="V500" s="176"/>
      <c r="W500" s="176"/>
      <c r="X500" s="176"/>
      <c r="Y500" s="176"/>
      <c r="Z500" s="176"/>
      <c r="AA500" s="176"/>
    </row>
    <row r="501">
      <c r="A501" s="165" t="str">
        <f>iferror(VLOOKUP(P501,'DO NOT TOUCH Imported'!$A$1:$D$800,4,False),iferror(VLOOKUP(P501,'DO NOT TOUCH Imported'!$C$1:$D$800,2,False),"OOPS FIX ME"))</f>
        <v>jeffemmett</v>
      </c>
      <c r="B501" s="166" t="s">
        <v>530</v>
      </c>
      <c r="C501" s="167" t="s">
        <v>531</v>
      </c>
      <c r="D501" s="168" t="s">
        <v>499</v>
      </c>
      <c r="E501" s="177" t="s">
        <v>452</v>
      </c>
      <c r="F501" s="168" t="s">
        <v>503</v>
      </c>
      <c r="G501" s="170">
        <v>1000.0</v>
      </c>
      <c r="H501" s="171">
        <v>100.0</v>
      </c>
      <c r="I501" s="171">
        <v>100.0</v>
      </c>
      <c r="J501" s="172">
        <f t="shared" si="23"/>
        <v>0.000723394157</v>
      </c>
      <c r="K501" s="173">
        <f t="shared" si="24"/>
        <v>0.8680729884</v>
      </c>
      <c r="L501" s="174">
        <f t="shared" si="9"/>
        <v>6.257951473</v>
      </c>
      <c r="M501" s="175" t="str">
        <f t="shared" si="10"/>
        <v>jeffemmett</v>
      </c>
      <c r="N501" s="176">
        <f>IFERROR(__xludf.DUMMYFUNCTION("""COMPUTED_VALUE"""),6.0)</f>
        <v>6</v>
      </c>
      <c r="O501" s="176"/>
      <c r="P501" s="166" t="s">
        <v>564</v>
      </c>
      <c r="Q501" s="166" t="s">
        <v>530</v>
      </c>
      <c r="R501" s="176"/>
      <c r="S501" s="176"/>
      <c r="T501" s="176"/>
      <c r="U501" s="176"/>
      <c r="V501" s="176"/>
      <c r="W501" s="176"/>
      <c r="X501" s="176"/>
      <c r="Y501" s="176"/>
      <c r="Z501" s="176"/>
      <c r="AA501" s="176"/>
    </row>
    <row r="502">
      <c r="A502" s="165" t="str">
        <f>iferror(VLOOKUP(P502,'DO NOT TOUCH Imported'!$A$1:$D$800,4,False),iferror(VLOOKUP(P502,'DO NOT TOUCH Imported'!$C$1:$D$800,2,False),"OOPS FIX ME"))</f>
        <v>jeffemmett</v>
      </c>
      <c r="B502" s="178" t="s">
        <v>18</v>
      </c>
      <c r="C502" s="179" t="s">
        <v>544</v>
      </c>
      <c r="D502" s="180" t="s">
        <v>495</v>
      </c>
      <c r="E502" s="184">
        <v>44313.0</v>
      </c>
      <c r="F502" s="182" t="s">
        <v>545</v>
      </c>
      <c r="G502" s="170">
        <v>1000.0</v>
      </c>
      <c r="H502" s="171">
        <v>100.0</v>
      </c>
      <c r="I502" s="171">
        <v>100.0</v>
      </c>
      <c r="J502" s="172">
        <f t="shared" si="23"/>
        <v>0.000723394157</v>
      </c>
      <c r="K502" s="173">
        <f t="shared" si="24"/>
        <v>0.8680729884</v>
      </c>
      <c r="L502" s="174">
        <f t="shared" si="9"/>
        <v>6.257951473</v>
      </c>
      <c r="M502" s="175" t="str">
        <f t="shared" si="10"/>
        <v>jeffemmett</v>
      </c>
      <c r="N502" s="176">
        <f>IFERROR(__xludf.DUMMYFUNCTION("""COMPUTED_VALUE"""),7.0)</f>
        <v>7</v>
      </c>
      <c r="O502" s="176"/>
      <c r="P502" s="183" t="s">
        <v>29</v>
      </c>
      <c r="Q502" s="178" t="s">
        <v>18</v>
      </c>
      <c r="R502" s="176"/>
      <c r="S502" s="176"/>
      <c r="T502" s="176"/>
      <c r="U502" s="176"/>
      <c r="V502" s="176"/>
      <c r="W502" s="176"/>
      <c r="X502" s="176"/>
      <c r="Y502" s="176"/>
      <c r="Z502" s="176"/>
      <c r="AA502" s="176"/>
    </row>
    <row r="503">
      <c r="A503" s="165" t="str">
        <f>iferror(VLOOKUP(P503,'DO NOT TOUCH Imported'!$A$1:$D$800,4,False),iferror(VLOOKUP(P503,'DO NOT TOUCH Imported'!$C$1:$D$800,2,False),"OOPS FIX ME"))</f>
        <v>jeffemmett</v>
      </c>
      <c r="B503" s="178" t="s">
        <v>10</v>
      </c>
      <c r="C503" s="179" t="s">
        <v>494</v>
      </c>
      <c r="D503" s="180" t="s">
        <v>495</v>
      </c>
      <c r="E503" s="181">
        <v>44317.0</v>
      </c>
      <c r="F503" s="182" t="s">
        <v>496</v>
      </c>
      <c r="G503" s="170">
        <v>1500.0</v>
      </c>
      <c r="H503" s="171">
        <v>50.0</v>
      </c>
      <c r="I503" s="171">
        <v>100.0</v>
      </c>
      <c r="J503" s="172">
        <f t="shared" si="23"/>
        <v>0.0006159722052</v>
      </c>
      <c r="K503" s="173">
        <f t="shared" si="24"/>
        <v>0.7391666463</v>
      </c>
      <c r="L503" s="174">
        <f t="shared" si="9"/>
        <v>6.257951473</v>
      </c>
      <c r="M503" s="175" t="str">
        <f t="shared" si="10"/>
        <v>jeffemmett</v>
      </c>
      <c r="N503" s="176">
        <f>IFERROR(__xludf.DUMMYFUNCTION("""COMPUTED_VALUE"""),8.0)</f>
        <v>8</v>
      </c>
      <c r="O503" s="176"/>
      <c r="P503" s="183" t="s">
        <v>29</v>
      </c>
      <c r="Q503" s="178" t="s">
        <v>10</v>
      </c>
      <c r="R503" s="176"/>
      <c r="S503" s="176"/>
      <c r="T503" s="176"/>
      <c r="U503" s="176"/>
      <c r="V503" s="176"/>
      <c r="W503" s="176"/>
      <c r="X503" s="176"/>
      <c r="Y503" s="176"/>
      <c r="Z503" s="176"/>
      <c r="AA503" s="176"/>
    </row>
    <row r="504">
      <c r="A504" s="165" t="str">
        <f>iferror(VLOOKUP(P504,'DO NOT TOUCH Imported'!$A$1:$D$800,4,False),iferror(VLOOKUP(P504,'DO NOT TOUCH Imported'!$C$1:$D$800,2,False),"OOPS FIX ME"))</f>
        <v>jeffemmett</v>
      </c>
      <c r="B504" s="178" t="s">
        <v>10</v>
      </c>
      <c r="C504" s="179" t="s">
        <v>498</v>
      </c>
      <c r="D504" s="180" t="s">
        <v>495</v>
      </c>
      <c r="E504" s="184">
        <v>44316.0</v>
      </c>
      <c r="F504" s="182" t="s">
        <v>499</v>
      </c>
      <c r="G504" s="170">
        <v>500.0</v>
      </c>
      <c r="H504" s="171">
        <v>25.0</v>
      </c>
      <c r="I504" s="171">
        <v>100.0</v>
      </c>
      <c r="J504" s="172">
        <f t="shared" si="23"/>
        <v>0.0004317674408</v>
      </c>
      <c r="K504" s="173">
        <f t="shared" si="24"/>
        <v>0.518120929</v>
      </c>
      <c r="L504" s="174">
        <f t="shared" si="9"/>
        <v>6.257951473</v>
      </c>
      <c r="M504" s="175" t="str">
        <f t="shared" si="10"/>
        <v>jeffemmett</v>
      </c>
      <c r="N504" s="176">
        <f>IFERROR(__xludf.DUMMYFUNCTION("""COMPUTED_VALUE"""),9.0)</f>
        <v>9</v>
      </c>
      <c r="O504" s="176"/>
      <c r="P504" s="183" t="s">
        <v>29</v>
      </c>
      <c r="Q504" s="178" t="s">
        <v>10</v>
      </c>
      <c r="R504" s="176"/>
      <c r="S504" s="176"/>
      <c r="T504" s="176"/>
      <c r="U504" s="176"/>
      <c r="V504" s="176"/>
      <c r="W504" s="176"/>
      <c r="X504" s="176"/>
      <c r="Y504" s="176"/>
      <c r="Z504" s="176"/>
      <c r="AA504" s="176"/>
    </row>
    <row r="505">
      <c r="A505" s="165" t="str">
        <f>iferror(VLOOKUP(P505,'DO NOT TOUCH Imported'!$A$1:$D$800,4,False),iferror(VLOOKUP(P505,'DO NOT TOUCH Imported'!$C$1:$D$800,2,False),"OOPS FIX ME"))</f>
        <v>jeffemmett</v>
      </c>
      <c r="B505" s="178" t="s">
        <v>10</v>
      </c>
      <c r="C505" s="179" t="s">
        <v>498</v>
      </c>
      <c r="D505" s="180" t="s">
        <v>495</v>
      </c>
      <c r="E505" s="181">
        <v>44323.0</v>
      </c>
      <c r="F505" s="182" t="s">
        <v>499</v>
      </c>
      <c r="G505" s="170">
        <v>500.0</v>
      </c>
      <c r="H505" s="171">
        <v>25.0</v>
      </c>
      <c r="I505" s="171">
        <v>100.0</v>
      </c>
      <c r="J505" s="172">
        <f t="shared" si="23"/>
        <v>0.0004317674408</v>
      </c>
      <c r="K505" s="173">
        <f t="shared" si="24"/>
        <v>0.518120929</v>
      </c>
      <c r="L505" s="174">
        <f t="shared" si="9"/>
        <v>6.257951473</v>
      </c>
      <c r="M505" s="175" t="str">
        <f t="shared" si="10"/>
        <v>jeffemmett</v>
      </c>
      <c r="N505" s="176">
        <f>IFERROR(__xludf.DUMMYFUNCTION("""COMPUTED_VALUE"""),10.0)</f>
        <v>10</v>
      </c>
      <c r="O505" s="176"/>
      <c r="P505" s="183" t="s">
        <v>29</v>
      </c>
      <c r="Q505" s="178" t="s">
        <v>10</v>
      </c>
      <c r="R505" s="176"/>
      <c r="S505" s="176"/>
      <c r="T505" s="176"/>
      <c r="U505" s="176"/>
      <c r="V505" s="176"/>
      <c r="W505" s="176"/>
      <c r="X505" s="176"/>
      <c r="Y505" s="176"/>
      <c r="Z505" s="176"/>
      <c r="AA505" s="176"/>
    </row>
    <row r="506">
      <c r="A506" s="165" t="str">
        <f>iferror(VLOOKUP(P506,'DO NOT TOUCH Imported'!$A$1:$D$800,4,False),iferror(VLOOKUP(P506,'DO NOT TOUCH Imported'!$C$1:$D$800,2,False),"OOPS FIX ME"))</f>
        <v>jeffemmett</v>
      </c>
      <c r="B506" s="178" t="s">
        <v>10</v>
      </c>
      <c r="C506" s="179" t="s">
        <v>500</v>
      </c>
      <c r="D506" s="180" t="s">
        <v>495</v>
      </c>
      <c r="E506" s="181">
        <v>44324.0</v>
      </c>
      <c r="F506" s="182" t="s">
        <v>496</v>
      </c>
      <c r="G506" s="170">
        <v>500.0</v>
      </c>
      <c r="H506" s="171">
        <v>25.0</v>
      </c>
      <c r="I506" s="171">
        <v>100.0</v>
      </c>
      <c r="J506" s="172">
        <f t="shared" si="23"/>
        <v>0.0004317674408</v>
      </c>
      <c r="K506" s="173">
        <f t="shared" si="24"/>
        <v>0.518120929</v>
      </c>
      <c r="L506" s="174">
        <f t="shared" si="9"/>
        <v>6.257951473</v>
      </c>
      <c r="M506" s="175" t="str">
        <f t="shared" si="10"/>
        <v>jeffemmett</v>
      </c>
      <c r="N506" s="176">
        <f>IFERROR(__xludf.DUMMYFUNCTION("""COMPUTED_VALUE"""),11.0)</f>
        <v>11</v>
      </c>
      <c r="O506" s="176"/>
      <c r="P506" s="183" t="s">
        <v>29</v>
      </c>
      <c r="Q506" s="178" t="s">
        <v>10</v>
      </c>
      <c r="R506" s="176"/>
      <c r="S506" s="176"/>
      <c r="T506" s="176"/>
      <c r="U506" s="176"/>
      <c r="V506" s="176"/>
      <c r="W506" s="176"/>
      <c r="X506" s="176"/>
      <c r="Y506" s="176"/>
      <c r="Z506" s="176"/>
      <c r="AA506" s="176"/>
    </row>
    <row r="507">
      <c r="A507" s="185" t="str">
        <f>iferror(VLOOKUP(P507,'DO NOT TOUCH Imported'!$A$1:$D$800,4,False),iferror(VLOOKUP(P507,'DO NOT TOUCH Imported'!$C$1:$D$800,2,False),"OOPS FIX ME"))</f>
        <v>jeffemmett</v>
      </c>
      <c r="B507" s="196" t="s">
        <v>534</v>
      </c>
      <c r="C507" s="213" t="s">
        <v>684</v>
      </c>
      <c r="D507" s="212"/>
      <c r="E507" s="214"/>
      <c r="F507" s="212"/>
      <c r="G507" s="196"/>
      <c r="H507" s="196"/>
      <c r="I507" s="196"/>
      <c r="J507" s="172">
        <f>(H507/$H$2+I507/$I$2)/2</f>
        <v>0</v>
      </c>
      <c r="K507" s="192">
        <f>0.5*-12.515</f>
        <v>-6.2575</v>
      </c>
      <c r="L507" s="193">
        <f t="shared" si="9"/>
        <v>6.257951473</v>
      </c>
      <c r="M507" s="194" t="str">
        <f t="shared" si="10"/>
        <v>jeffemmett</v>
      </c>
      <c r="N507" s="212">
        <f>IFERROR(__xludf.DUMMYFUNCTION("""COMPUTED_VALUE"""),12.0)</f>
        <v>12</v>
      </c>
      <c r="O507" s="212"/>
      <c r="P507" s="212" t="s">
        <v>29</v>
      </c>
      <c r="Q507" s="196" t="s">
        <v>534</v>
      </c>
      <c r="R507" s="212">
        <v>18.15686701513158</v>
      </c>
      <c r="S507" s="212"/>
      <c r="T507" s="212"/>
      <c r="U507" s="212"/>
      <c r="V507" s="212"/>
      <c r="W507" s="212"/>
      <c r="X507" s="212"/>
      <c r="Y507" s="212"/>
      <c r="Z507" s="212"/>
      <c r="AA507" s="176"/>
    </row>
    <row r="508">
      <c r="A508" s="165" t="str">
        <f>iferror(VLOOKUP(P508,'DO NOT TOUCH Imported'!$A$1:$D$800,4,False),iferror(VLOOKUP(P508,'DO NOT TOUCH Imported'!$C$1:$D$800,2,False),"OOPS FIX ME"))</f>
        <v>liviade</v>
      </c>
      <c r="B508" s="166" t="s">
        <v>441</v>
      </c>
      <c r="C508" s="167" t="s">
        <v>581</v>
      </c>
      <c r="D508" s="168" t="s">
        <v>437</v>
      </c>
      <c r="E508" s="177" t="s">
        <v>447</v>
      </c>
      <c r="F508" s="168" t="s">
        <v>439</v>
      </c>
      <c r="G508" s="170">
        <v>10000.0</v>
      </c>
      <c r="H508" s="171">
        <v>200.0</v>
      </c>
      <c r="I508" s="171">
        <v>100.0</v>
      </c>
      <c r="J508" s="172">
        <f t="shared" ref="J508:J546" si="25">(G508/$G$2+H508/$H$2+I508/$I$2)/3</f>
        <v>0.001982188369</v>
      </c>
      <c r="K508" s="173">
        <f t="shared" ref="K508:K546" si="26">J508*$J$1</f>
        <v>2.378626042</v>
      </c>
      <c r="L508" s="174">
        <f t="shared" si="9"/>
        <v>6.18923096</v>
      </c>
      <c r="M508" s="175" t="str">
        <f t="shared" si="10"/>
        <v>liviade</v>
      </c>
      <c r="N508" s="176">
        <f>IFERROR(__xludf.DUMMYFUNCTION("""COMPUTED_VALUE"""),1.0)</f>
        <v>1</v>
      </c>
      <c r="O508" s="176"/>
      <c r="P508" s="166" t="s">
        <v>490</v>
      </c>
      <c r="Q508" s="166" t="s">
        <v>441</v>
      </c>
      <c r="R508" s="176"/>
      <c r="S508" s="176"/>
      <c r="T508" s="176"/>
      <c r="U508" s="176"/>
      <c r="V508" s="176"/>
      <c r="W508" s="176"/>
      <c r="X508" s="176"/>
      <c r="Y508" s="176"/>
      <c r="Z508" s="176"/>
      <c r="AA508" s="176"/>
    </row>
    <row r="509">
      <c r="A509" s="165" t="str">
        <f>iferror(VLOOKUP(P509,'DO NOT TOUCH Imported'!$A$1:$D$800,4,False),iferror(VLOOKUP(P509,'DO NOT TOUCH Imported'!$C$1:$D$800,2,False),"OOPS FIX ME"))</f>
        <v>liviade</v>
      </c>
      <c r="B509" s="166" t="s">
        <v>450</v>
      </c>
      <c r="C509" s="167" t="s">
        <v>451</v>
      </c>
      <c r="D509" s="168" t="s">
        <v>437</v>
      </c>
      <c r="E509" s="177" t="s">
        <v>452</v>
      </c>
      <c r="F509" s="168" t="s">
        <v>453</v>
      </c>
      <c r="G509" s="170">
        <v>1000.0</v>
      </c>
      <c r="H509" s="171">
        <v>200.0</v>
      </c>
      <c r="I509" s="171">
        <v>200.0</v>
      </c>
      <c r="J509" s="172">
        <f t="shared" si="25"/>
        <v>0.001342393283</v>
      </c>
      <c r="K509" s="173">
        <f t="shared" si="26"/>
        <v>1.61087194</v>
      </c>
      <c r="L509" s="174">
        <f t="shared" si="9"/>
        <v>6.18923096</v>
      </c>
      <c r="M509" s="175" t="str">
        <f t="shared" si="10"/>
        <v>liviade</v>
      </c>
      <c r="N509" s="176">
        <f>IFERROR(__xludf.DUMMYFUNCTION("""COMPUTED_VALUE"""),2.0)</f>
        <v>2</v>
      </c>
      <c r="O509" s="176"/>
      <c r="P509" s="166" t="s">
        <v>490</v>
      </c>
      <c r="Q509" s="166" t="s">
        <v>450</v>
      </c>
      <c r="R509" s="176"/>
      <c r="S509" s="176"/>
      <c r="T509" s="176"/>
      <c r="U509" s="176"/>
      <c r="V509" s="176"/>
      <c r="W509" s="176"/>
      <c r="X509" s="176"/>
      <c r="Y509" s="176"/>
      <c r="Z509" s="176"/>
      <c r="AA509" s="176"/>
    </row>
    <row r="510">
      <c r="A510" s="165" t="str">
        <f>iferror(VLOOKUP(P510,'DO NOT TOUCH Imported'!$A$1:$D$800,4,False),iferror(VLOOKUP(P510,'DO NOT TOUCH Imported'!$C$1:$D$800,2,False),"OOPS FIX ME"))</f>
        <v>liviade</v>
      </c>
      <c r="B510" s="166" t="s">
        <v>67</v>
      </c>
      <c r="C510" s="167" t="s">
        <v>734</v>
      </c>
      <c r="D510" s="168" t="s">
        <v>499</v>
      </c>
      <c r="E510" s="169" t="s">
        <v>438</v>
      </c>
      <c r="F510" s="168" t="s">
        <v>503</v>
      </c>
      <c r="G510" s="170">
        <v>1000.0</v>
      </c>
      <c r="H510" s="171">
        <v>200.0</v>
      </c>
      <c r="I510" s="171">
        <v>200.0</v>
      </c>
      <c r="J510" s="172">
        <f t="shared" si="25"/>
        <v>0.001342393283</v>
      </c>
      <c r="K510" s="173">
        <f t="shared" si="26"/>
        <v>1.61087194</v>
      </c>
      <c r="L510" s="174">
        <f t="shared" si="9"/>
        <v>6.18923096</v>
      </c>
      <c r="M510" s="175" t="str">
        <f t="shared" si="10"/>
        <v>liviade</v>
      </c>
      <c r="N510" s="176">
        <f>IFERROR(__xludf.DUMMYFUNCTION("""COMPUTED_VALUE"""),3.0)</f>
        <v>3</v>
      </c>
      <c r="O510" s="176"/>
      <c r="P510" s="166" t="s">
        <v>490</v>
      </c>
      <c r="Q510" s="166" t="s">
        <v>67</v>
      </c>
      <c r="R510" s="176"/>
      <c r="S510" s="176"/>
      <c r="T510" s="176"/>
      <c r="U510" s="176"/>
      <c r="V510" s="176"/>
      <c r="W510" s="176"/>
      <c r="X510" s="176"/>
      <c r="Y510" s="176"/>
      <c r="Z510" s="176"/>
      <c r="AA510" s="176"/>
    </row>
    <row r="511">
      <c r="A511" s="165" t="str">
        <f>iferror(VLOOKUP(P511,'DO NOT TOUCH Imported'!$A$1:$D$800,4,False),iferror(VLOOKUP(P511,'DO NOT TOUCH Imported'!$C$1:$D$800,2,False),"OOPS FIX ME"))</f>
        <v>liviade</v>
      </c>
      <c r="B511" s="166" t="s">
        <v>440</v>
      </c>
      <c r="C511" s="167" t="s">
        <v>471</v>
      </c>
      <c r="D511" s="168" t="s">
        <v>437</v>
      </c>
      <c r="E511" s="169" t="s">
        <v>447</v>
      </c>
      <c r="F511" s="168" t="s">
        <v>439</v>
      </c>
      <c r="G511" s="170">
        <v>1000.0</v>
      </c>
      <c r="H511" s="171">
        <v>250.0</v>
      </c>
      <c r="I511" s="171">
        <v>100.0</v>
      </c>
      <c r="J511" s="172">
        <f t="shared" si="25"/>
        <v>0.001202252559</v>
      </c>
      <c r="K511" s="173">
        <f t="shared" si="26"/>
        <v>1.44270307</v>
      </c>
      <c r="L511" s="174">
        <f t="shared" si="9"/>
        <v>6.18923096</v>
      </c>
      <c r="M511" s="175" t="str">
        <f t="shared" si="10"/>
        <v>liviade</v>
      </c>
      <c r="N511" s="176">
        <f>IFERROR(__xludf.DUMMYFUNCTION("""COMPUTED_VALUE"""),4.0)</f>
        <v>4</v>
      </c>
      <c r="O511" s="176"/>
      <c r="P511" s="166" t="s">
        <v>490</v>
      </c>
      <c r="Q511" s="166" t="s">
        <v>440</v>
      </c>
      <c r="R511" s="176"/>
      <c r="S511" s="176"/>
      <c r="T511" s="176"/>
      <c r="U511" s="176"/>
      <c r="V511" s="176"/>
      <c r="W511" s="176"/>
      <c r="X511" s="176"/>
      <c r="Y511" s="176"/>
      <c r="Z511" s="176"/>
      <c r="AA511" s="176"/>
    </row>
    <row r="512">
      <c r="A512" s="165" t="str">
        <f>iferror(VLOOKUP(P512,'DO NOT TOUCH Imported'!$A$1:$D$800,4,False),iferror(VLOOKUP(P512,'DO NOT TOUCH Imported'!$C$1:$D$800,2,False),"OOPS FIX ME"))</f>
        <v>liviade</v>
      </c>
      <c r="B512" s="166" t="s">
        <v>490</v>
      </c>
      <c r="C512" s="167" t="s">
        <v>577</v>
      </c>
      <c r="D512" s="168" t="s">
        <v>437</v>
      </c>
      <c r="E512" s="177" t="s">
        <v>445</v>
      </c>
      <c r="F512" s="168" t="s">
        <v>439</v>
      </c>
      <c r="G512" s="170">
        <v>1000.0</v>
      </c>
      <c r="H512" s="171">
        <v>200.0</v>
      </c>
      <c r="I512" s="171">
        <v>100.0</v>
      </c>
      <c r="J512" s="172">
        <f t="shared" si="25"/>
        <v>0.001042633091</v>
      </c>
      <c r="K512" s="173">
        <f t="shared" si="26"/>
        <v>1.25115971</v>
      </c>
      <c r="L512" s="174">
        <f t="shared" si="9"/>
        <v>6.18923096</v>
      </c>
      <c r="M512" s="175" t="str">
        <f t="shared" si="10"/>
        <v>liviade</v>
      </c>
      <c r="N512" s="176">
        <f>IFERROR(__xludf.DUMMYFUNCTION("""COMPUTED_VALUE"""),5.0)</f>
        <v>5</v>
      </c>
      <c r="O512" s="176"/>
      <c r="P512" s="166" t="s">
        <v>490</v>
      </c>
      <c r="Q512" s="166" t="s">
        <v>490</v>
      </c>
      <c r="R512" s="176"/>
      <c r="S512" s="176"/>
      <c r="T512" s="176"/>
      <c r="U512" s="176"/>
      <c r="V512" s="176"/>
      <c r="W512" s="176"/>
      <c r="X512" s="176"/>
      <c r="Y512" s="176"/>
      <c r="Z512" s="176"/>
      <c r="AA512" s="176"/>
    </row>
    <row r="513">
      <c r="A513" s="165" t="str">
        <f>iferror(VLOOKUP(P513,'DO NOT TOUCH Imported'!$A$1:$D$800,4,False),iferror(VLOOKUP(P513,'DO NOT TOUCH Imported'!$C$1:$D$800,2,False),"OOPS FIX ME"))</f>
        <v>liviade</v>
      </c>
      <c r="B513" s="166" t="s">
        <v>441</v>
      </c>
      <c r="C513" s="167" t="s">
        <v>446</v>
      </c>
      <c r="D513" s="168" t="s">
        <v>437</v>
      </c>
      <c r="E513" s="177" t="s">
        <v>447</v>
      </c>
      <c r="F513" s="168" t="s">
        <v>439</v>
      </c>
      <c r="G513" s="170">
        <v>1000.0</v>
      </c>
      <c r="H513" s="171">
        <v>200.0</v>
      </c>
      <c r="I513" s="171">
        <v>100.0</v>
      </c>
      <c r="J513" s="172">
        <f t="shared" si="25"/>
        <v>0.001042633091</v>
      </c>
      <c r="K513" s="173">
        <f t="shared" si="26"/>
        <v>1.25115971</v>
      </c>
      <c r="L513" s="174">
        <f t="shared" si="9"/>
        <v>6.18923096</v>
      </c>
      <c r="M513" s="175" t="str">
        <f t="shared" si="10"/>
        <v>liviade</v>
      </c>
      <c r="N513" s="176">
        <f>IFERROR(__xludf.DUMMYFUNCTION("""COMPUTED_VALUE"""),6.0)</f>
        <v>6</v>
      </c>
      <c r="O513" s="176"/>
      <c r="P513" s="166" t="s">
        <v>490</v>
      </c>
      <c r="Q513" s="166" t="s">
        <v>441</v>
      </c>
      <c r="R513" s="176"/>
      <c r="S513" s="176"/>
      <c r="T513" s="176"/>
      <c r="U513" s="176"/>
      <c r="V513" s="176"/>
      <c r="W513" s="176"/>
      <c r="X513" s="176"/>
      <c r="Y513" s="176"/>
      <c r="Z513" s="176"/>
      <c r="AA513" s="176"/>
    </row>
    <row r="514">
      <c r="A514" s="165" t="str">
        <f>iferror(VLOOKUP(P514,'DO NOT TOUCH Imported'!$A$1:$D$800,4,False),iferror(VLOOKUP(P514,'DO NOT TOUCH Imported'!$C$1:$D$800,2,False),"OOPS FIX ME"))</f>
        <v>liviade</v>
      </c>
      <c r="B514" s="166" t="s">
        <v>441</v>
      </c>
      <c r="C514" s="167" t="s">
        <v>735</v>
      </c>
      <c r="D514" s="168" t="s">
        <v>437</v>
      </c>
      <c r="E514" s="177" t="s">
        <v>447</v>
      </c>
      <c r="F514" s="168" t="s">
        <v>439</v>
      </c>
      <c r="G514" s="170">
        <v>1000.0</v>
      </c>
      <c r="H514" s="171">
        <v>200.0</v>
      </c>
      <c r="I514" s="171">
        <v>100.0</v>
      </c>
      <c r="J514" s="172">
        <f t="shared" si="25"/>
        <v>0.001042633091</v>
      </c>
      <c r="K514" s="173">
        <f t="shared" si="26"/>
        <v>1.25115971</v>
      </c>
      <c r="L514" s="174">
        <f t="shared" si="9"/>
        <v>6.18923096</v>
      </c>
      <c r="M514" s="175" t="str">
        <f t="shared" si="10"/>
        <v>liviade</v>
      </c>
      <c r="N514" s="176">
        <f>IFERROR(__xludf.DUMMYFUNCTION("""COMPUTED_VALUE"""),7.0)</f>
        <v>7</v>
      </c>
      <c r="O514" s="176"/>
      <c r="P514" s="166" t="s">
        <v>490</v>
      </c>
      <c r="Q514" s="166" t="s">
        <v>441</v>
      </c>
      <c r="R514" s="176"/>
      <c r="S514" s="176"/>
      <c r="T514" s="176"/>
      <c r="U514" s="176"/>
      <c r="V514" s="176"/>
      <c r="W514" s="176"/>
      <c r="X514" s="176"/>
      <c r="Y514" s="176"/>
      <c r="Z514" s="176"/>
      <c r="AA514" s="176"/>
    </row>
    <row r="515">
      <c r="A515" s="165" t="str">
        <f>iferror(VLOOKUP(P515,'DO NOT TOUCH Imported'!$A$1:$D$800,4,False),iferror(VLOOKUP(P515,'DO NOT TOUCH Imported'!$C$1:$D$800,2,False),"OOPS FIX ME"))</f>
        <v>liviade</v>
      </c>
      <c r="B515" s="166" t="s">
        <v>441</v>
      </c>
      <c r="C515" s="167" t="s">
        <v>678</v>
      </c>
      <c r="D515" s="168" t="s">
        <v>437</v>
      </c>
      <c r="E515" s="169" t="s">
        <v>447</v>
      </c>
      <c r="F515" s="168" t="s">
        <v>439</v>
      </c>
      <c r="G515" s="170">
        <v>1000.0</v>
      </c>
      <c r="H515" s="171">
        <v>200.0</v>
      </c>
      <c r="I515" s="171">
        <v>100.0</v>
      </c>
      <c r="J515" s="172">
        <f t="shared" si="25"/>
        <v>0.001042633091</v>
      </c>
      <c r="K515" s="173">
        <f t="shared" si="26"/>
        <v>1.25115971</v>
      </c>
      <c r="L515" s="174">
        <f t="shared" si="9"/>
        <v>6.18923096</v>
      </c>
      <c r="M515" s="175" t="str">
        <f t="shared" si="10"/>
        <v>liviade</v>
      </c>
      <c r="N515" s="176">
        <f>IFERROR(__xludf.DUMMYFUNCTION("""COMPUTED_VALUE"""),8.0)</f>
        <v>8</v>
      </c>
      <c r="O515" s="176"/>
      <c r="P515" s="166" t="s">
        <v>490</v>
      </c>
      <c r="Q515" s="166" t="s">
        <v>441</v>
      </c>
      <c r="R515" s="176"/>
      <c r="S515" s="176"/>
      <c r="T515" s="176"/>
      <c r="U515" s="176"/>
      <c r="V515" s="176"/>
      <c r="W515" s="176"/>
      <c r="X515" s="176"/>
      <c r="Y515" s="176"/>
      <c r="Z515" s="176"/>
      <c r="AA515" s="176"/>
    </row>
    <row r="516">
      <c r="A516" s="165" t="str">
        <f>iferror(VLOOKUP(P516,'DO NOT TOUCH Imported'!$A$1:$D$800,4,False),iferror(VLOOKUP(P516,'DO NOT TOUCH Imported'!$C$1:$D$800,2,False),"OOPS FIX ME"))</f>
        <v>liviade</v>
      </c>
      <c r="B516" s="166" t="s">
        <v>441</v>
      </c>
      <c r="C516" s="167" t="s">
        <v>736</v>
      </c>
      <c r="D516" s="168" t="s">
        <v>437</v>
      </c>
      <c r="E516" s="169" t="s">
        <v>447</v>
      </c>
      <c r="F516" s="168" t="s">
        <v>439</v>
      </c>
      <c r="G516" s="170">
        <v>1000.0</v>
      </c>
      <c r="H516" s="171">
        <v>200.0</v>
      </c>
      <c r="I516" s="171">
        <v>100.0</v>
      </c>
      <c r="J516" s="172">
        <f t="shared" si="25"/>
        <v>0.001042633091</v>
      </c>
      <c r="K516" s="173">
        <f t="shared" si="26"/>
        <v>1.25115971</v>
      </c>
      <c r="L516" s="174">
        <f t="shared" si="9"/>
        <v>6.18923096</v>
      </c>
      <c r="M516" s="175" t="str">
        <f t="shared" si="10"/>
        <v>liviade</v>
      </c>
      <c r="N516" s="176">
        <f>IFERROR(__xludf.DUMMYFUNCTION("""COMPUTED_VALUE"""),9.0)</f>
        <v>9</v>
      </c>
      <c r="O516" s="176"/>
      <c r="P516" s="166" t="s">
        <v>490</v>
      </c>
      <c r="Q516" s="166" t="s">
        <v>441</v>
      </c>
      <c r="R516" s="176"/>
      <c r="S516" s="176"/>
      <c r="T516" s="176"/>
      <c r="U516" s="176"/>
      <c r="V516" s="176"/>
      <c r="W516" s="176"/>
      <c r="X516" s="176"/>
      <c r="Y516" s="176"/>
      <c r="Z516" s="176"/>
      <c r="AA516" s="176"/>
    </row>
    <row r="517">
      <c r="A517" s="165" t="str">
        <f>iferror(VLOOKUP(P517,'DO NOT TOUCH Imported'!$A$1:$D$800,4,False),iferror(VLOOKUP(P517,'DO NOT TOUCH Imported'!$C$1:$D$800,2,False),"OOPS FIX ME"))</f>
        <v>liviade</v>
      </c>
      <c r="B517" s="166" t="s">
        <v>441</v>
      </c>
      <c r="C517" s="167" t="s">
        <v>543</v>
      </c>
      <c r="D517" s="168" t="s">
        <v>437</v>
      </c>
      <c r="E517" s="177" t="s">
        <v>447</v>
      </c>
      <c r="F517" s="168" t="s">
        <v>439</v>
      </c>
      <c r="G517" s="170">
        <v>1000.0</v>
      </c>
      <c r="H517" s="171">
        <v>200.0</v>
      </c>
      <c r="I517" s="171">
        <v>100.0</v>
      </c>
      <c r="J517" s="172">
        <f t="shared" si="25"/>
        <v>0.001042633091</v>
      </c>
      <c r="K517" s="173">
        <f t="shared" si="26"/>
        <v>1.25115971</v>
      </c>
      <c r="L517" s="174">
        <f t="shared" si="9"/>
        <v>6.18923096</v>
      </c>
      <c r="M517" s="175" t="str">
        <f t="shared" si="10"/>
        <v>liviade</v>
      </c>
      <c r="N517" s="176">
        <f>IFERROR(__xludf.DUMMYFUNCTION("""COMPUTED_VALUE"""),10.0)</f>
        <v>10</v>
      </c>
      <c r="O517" s="176"/>
      <c r="P517" s="166" t="s">
        <v>490</v>
      </c>
      <c r="Q517" s="166" t="s">
        <v>441</v>
      </c>
      <c r="R517" s="176"/>
      <c r="S517" s="176"/>
      <c r="T517" s="176"/>
      <c r="U517" s="176"/>
      <c r="V517" s="176"/>
      <c r="W517" s="176"/>
      <c r="X517" s="176"/>
      <c r="Y517" s="176"/>
      <c r="Z517" s="176"/>
      <c r="AA517" s="176"/>
    </row>
    <row r="518">
      <c r="A518" s="165" t="str">
        <f>iferror(VLOOKUP(P518,'DO NOT TOUCH Imported'!$A$1:$D$800,4,False),iferror(VLOOKUP(P518,'DO NOT TOUCH Imported'!$C$1:$D$800,2,False),"OOPS FIX ME"))</f>
        <v>liviade</v>
      </c>
      <c r="B518" s="166" t="s">
        <v>441</v>
      </c>
      <c r="C518" s="167" t="s">
        <v>737</v>
      </c>
      <c r="D518" s="168" t="s">
        <v>437</v>
      </c>
      <c r="E518" s="177" t="s">
        <v>447</v>
      </c>
      <c r="F518" s="168" t="s">
        <v>439</v>
      </c>
      <c r="G518" s="170">
        <v>1000.0</v>
      </c>
      <c r="H518" s="171">
        <v>200.0</v>
      </c>
      <c r="I518" s="171">
        <v>100.0</v>
      </c>
      <c r="J518" s="172">
        <f t="shared" si="25"/>
        <v>0.001042633091</v>
      </c>
      <c r="K518" s="173">
        <f t="shared" si="26"/>
        <v>1.25115971</v>
      </c>
      <c r="L518" s="174">
        <f t="shared" si="9"/>
        <v>6.18923096</v>
      </c>
      <c r="M518" s="175" t="str">
        <f t="shared" si="10"/>
        <v>liviade</v>
      </c>
      <c r="N518" s="176">
        <f>IFERROR(__xludf.DUMMYFUNCTION("""COMPUTED_VALUE"""),11.0)</f>
        <v>11</v>
      </c>
      <c r="O518" s="176"/>
      <c r="P518" s="166" t="s">
        <v>490</v>
      </c>
      <c r="Q518" s="166" t="s">
        <v>441</v>
      </c>
      <c r="R518" s="176"/>
      <c r="S518" s="176"/>
      <c r="T518" s="176"/>
      <c r="U518" s="176"/>
      <c r="V518" s="176"/>
      <c r="W518" s="176"/>
      <c r="X518" s="176"/>
      <c r="Y518" s="176"/>
      <c r="Z518" s="176"/>
      <c r="AA518" s="176"/>
    </row>
    <row r="519">
      <c r="A519" s="165" t="str">
        <f>iferror(VLOOKUP(P519,'DO NOT TOUCH Imported'!$A$1:$D$800,4,False),iferror(VLOOKUP(P519,'DO NOT TOUCH Imported'!$C$1:$D$800,2,False),"OOPS FIX ME"))</f>
        <v>liviade</v>
      </c>
      <c r="B519" s="166" t="s">
        <v>564</v>
      </c>
      <c r="C519" s="167" t="s">
        <v>565</v>
      </c>
      <c r="D519" s="168" t="s">
        <v>499</v>
      </c>
      <c r="E519" s="169" t="s">
        <v>447</v>
      </c>
      <c r="F519" s="168" t="s">
        <v>503</v>
      </c>
      <c r="G519" s="170">
        <v>1000.0</v>
      </c>
      <c r="H519" s="171">
        <v>200.0</v>
      </c>
      <c r="I519" s="171">
        <v>100.0</v>
      </c>
      <c r="J519" s="172">
        <f t="shared" si="25"/>
        <v>0.001042633091</v>
      </c>
      <c r="K519" s="173">
        <f t="shared" si="26"/>
        <v>1.25115971</v>
      </c>
      <c r="L519" s="174">
        <f t="shared" si="9"/>
        <v>6.18923096</v>
      </c>
      <c r="M519" s="175" t="str">
        <f t="shared" si="10"/>
        <v>liviade</v>
      </c>
      <c r="N519" s="176">
        <f>IFERROR(__xludf.DUMMYFUNCTION("""COMPUTED_VALUE"""),12.0)</f>
        <v>12</v>
      </c>
      <c r="O519" s="176"/>
      <c r="P519" s="166" t="s">
        <v>490</v>
      </c>
      <c r="Q519" s="166" t="s">
        <v>564</v>
      </c>
      <c r="R519" s="176"/>
      <c r="S519" s="176"/>
      <c r="T519" s="176"/>
      <c r="U519" s="176"/>
      <c r="V519" s="176"/>
      <c r="W519" s="176"/>
      <c r="X519" s="176"/>
      <c r="Y519" s="176"/>
      <c r="Z519" s="176"/>
      <c r="AA519" s="176"/>
    </row>
    <row r="520">
      <c r="A520" s="165" t="str">
        <f>iferror(VLOOKUP(P520,'DO NOT TOUCH Imported'!$A$1:$D$800,4,False),iferror(VLOOKUP(P520,'DO NOT TOUCH Imported'!$C$1:$D$800,2,False),"OOPS FIX ME"))</f>
        <v>liviade</v>
      </c>
      <c r="B520" s="166" t="s">
        <v>530</v>
      </c>
      <c r="C520" s="167" t="s">
        <v>531</v>
      </c>
      <c r="D520" s="168" t="s">
        <v>499</v>
      </c>
      <c r="E520" s="177" t="s">
        <v>452</v>
      </c>
      <c r="F520" s="168" t="s">
        <v>503</v>
      </c>
      <c r="G520" s="170">
        <v>1000.0</v>
      </c>
      <c r="H520" s="171">
        <v>200.0</v>
      </c>
      <c r="I520" s="171">
        <v>100.0</v>
      </c>
      <c r="J520" s="172">
        <f t="shared" si="25"/>
        <v>0.001042633091</v>
      </c>
      <c r="K520" s="173">
        <f t="shared" si="26"/>
        <v>1.25115971</v>
      </c>
      <c r="L520" s="174">
        <f t="shared" si="9"/>
        <v>6.18923096</v>
      </c>
      <c r="M520" s="175" t="str">
        <f t="shared" si="10"/>
        <v>liviade</v>
      </c>
      <c r="N520" s="176">
        <f>IFERROR(__xludf.DUMMYFUNCTION("""COMPUTED_VALUE"""),13.0)</f>
        <v>13</v>
      </c>
      <c r="O520" s="176"/>
      <c r="P520" s="166" t="s">
        <v>490</v>
      </c>
      <c r="Q520" s="166" t="s">
        <v>530</v>
      </c>
      <c r="R520" s="176"/>
      <c r="S520" s="176"/>
      <c r="T520" s="176"/>
      <c r="U520" s="176"/>
      <c r="V520" s="176"/>
      <c r="W520" s="176"/>
      <c r="X520" s="176"/>
      <c r="Y520" s="176"/>
      <c r="Z520" s="176"/>
      <c r="AA520" s="176"/>
    </row>
    <row r="521">
      <c r="A521" s="165" t="str">
        <f>iferror(VLOOKUP(P521,'DO NOT TOUCH Imported'!$A$1:$D$800,4,False),iferror(VLOOKUP(P521,'DO NOT TOUCH Imported'!$C$1:$D$800,2,False),"OOPS FIX ME"))</f>
        <v>liviade</v>
      </c>
      <c r="B521" s="166" t="s">
        <v>483</v>
      </c>
      <c r="C521" s="167" t="s">
        <v>713</v>
      </c>
      <c r="D521" s="168" t="s">
        <v>437</v>
      </c>
      <c r="E521" s="177" t="s">
        <v>452</v>
      </c>
      <c r="F521" s="168" t="s">
        <v>439</v>
      </c>
      <c r="G521" s="170">
        <v>1000.0</v>
      </c>
      <c r="H521" s="171">
        <v>200.0</v>
      </c>
      <c r="I521" s="171">
        <v>100.0</v>
      </c>
      <c r="J521" s="172">
        <f t="shared" si="25"/>
        <v>0.001042633091</v>
      </c>
      <c r="K521" s="173">
        <f t="shared" si="26"/>
        <v>1.25115971</v>
      </c>
      <c r="L521" s="174">
        <f t="shared" si="9"/>
        <v>6.18923096</v>
      </c>
      <c r="M521" s="175" t="str">
        <f t="shared" si="10"/>
        <v>liviade</v>
      </c>
      <c r="N521" s="176">
        <f>IFERROR(__xludf.DUMMYFUNCTION("""COMPUTED_VALUE"""),14.0)</f>
        <v>14</v>
      </c>
      <c r="O521" s="176"/>
      <c r="P521" s="166" t="s">
        <v>490</v>
      </c>
      <c r="Q521" s="166" t="s">
        <v>483</v>
      </c>
      <c r="R521" s="176"/>
      <c r="S521" s="176"/>
      <c r="T521" s="176"/>
      <c r="U521" s="176"/>
      <c r="V521" s="176"/>
      <c r="W521" s="176"/>
      <c r="X521" s="176"/>
      <c r="Y521" s="176"/>
      <c r="Z521" s="176"/>
      <c r="AA521" s="176"/>
    </row>
    <row r="522">
      <c r="A522" s="165" t="str">
        <f>iferror(VLOOKUP(P522,'DO NOT TOUCH Imported'!$A$1:$D$800,4,False),iferror(VLOOKUP(P522,'DO NOT TOUCH Imported'!$C$1:$D$800,2,False),"OOPS FIX ME"))</f>
        <v>liviade</v>
      </c>
      <c r="B522" s="166" t="s">
        <v>483</v>
      </c>
      <c r="C522" s="167" t="s">
        <v>484</v>
      </c>
      <c r="D522" s="168" t="s">
        <v>437</v>
      </c>
      <c r="E522" s="177" t="s">
        <v>478</v>
      </c>
      <c r="F522" s="168" t="s">
        <v>439</v>
      </c>
      <c r="G522" s="170">
        <v>1000.0</v>
      </c>
      <c r="H522" s="171">
        <v>200.0</v>
      </c>
      <c r="I522" s="171">
        <v>100.0</v>
      </c>
      <c r="J522" s="172">
        <f t="shared" si="25"/>
        <v>0.001042633091</v>
      </c>
      <c r="K522" s="173">
        <f t="shared" si="26"/>
        <v>1.25115971</v>
      </c>
      <c r="L522" s="174">
        <f t="shared" si="9"/>
        <v>6.18923096</v>
      </c>
      <c r="M522" s="175" t="str">
        <f t="shared" si="10"/>
        <v>liviade</v>
      </c>
      <c r="N522" s="176">
        <f>IFERROR(__xludf.DUMMYFUNCTION("""COMPUTED_VALUE"""),15.0)</f>
        <v>15</v>
      </c>
      <c r="O522" s="176"/>
      <c r="P522" s="166" t="s">
        <v>490</v>
      </c>
      <c r="Q522" s="166" t="s">
        <v>483</v>
      </c>
      <c r="R522" s="176"/>
      <c r="S522" s="176"/>
      <c r="T522" s="176"/>
      <c r="U522" s="176"/>
      <c r="V522" s="176"/>
      <c r="W522" s="176"/>
      <c r="X522" s="176"/>
      <c r="Y522" s="176"/>
      <c r="Z522" s="176"/>
      <c r="AA522" s="176"/>
    </row>
    <row r="523">
      <c r="A523" s="165" t="str">
        <f>iferror(VLOOKUP(P523,'DO NOT TOUCH Imported'!$A$1:$D$800,4,False),iferror(VLOOKUP(P523,'DO NOT TOUCH Imported'!$C$1:$D$800,2,False),"OOPS FIX ME"))</f>
        <v>liviade</v>
      </c>
      <c r="B523" s="166" t="s">
        <v>441</v>
      </c>
      <c r="C523" s="167" t="s">
        <v>598</v>
      </c>
      <c r="D523" s="168" t="s">
        <v>437</v>
      </c>
      <c r="E523" s="177" t="s">
        <v>438</v>
      </c>
      <c r="F523" s="168" t="s">
        <v>439</v>
      </c>
      <c r="G523" s="170">
        <v>1000.0</v>
      </c>
      <c r="H523" s="171">
        <v>200.0</v>
      </c>
      <c r="I523" s="171">
        <v>100.0</v>
      </c>
      <c r="J523" s="172">
        <f t="shared" si="25"/>
        <v>0.001042633091</v>
      </c>
      <c r="K523" s="173">
        <f t="shared" si="26"/>
        <v>1.25115971</v>
      </c>
      <c r="L523" s="174">
        <f t="shared" si="9"/>
        <v>6.18923096</v>
      </c>
      <c r="M523" s="175" t="str">
        <f t="shared" si="10"/>
        <v>liviade</v>
      </c>
      <c r="N523" s="176">
        <f>IFERROR(__xludf.DUMMYFUNCTION("""COMPUTED_VALUE"""),16.0)</f>
        <v>16</v>
      </c>
      <c r="O523" s="176"/>
      <c r="P523" s="166" t="s">
        <v>490</v>
      </c>
      <c r="Q523" s="166" t="s">
        <v>441</v>
      </c>
      <c r="R523" s="176"/>
      <c r="S523" s="176"/>
      <c r="T523" s="176"/>
      <c r="U523" s="176"/>
      <c r="V523" s="176"/>
      <c r="W523" s="176"/>
      <c r="X523" s="176"/>
      <c r="Y523" s="176"/>
      <c r="Z523" s="176"/>
      <c r="AA523" s="176"/>
    </row>
    <row r="524">
      <c r="A524" s="165" t="str">
        <f>iferror(VLOOKUP(P524,'DO NOT TOUCH Imported'!$A$1:$D$800,4,False),iferror(VLOOKUP(P524,'DO NOT TOUCH Imported'!$C$1:$D$800,2,False),"OOPS FIX ME"))</f>
        <v>liviade</v>
      </c>
      <c r="B524" s="166" t="s">
        <v>441</v>
      </c>
      <c r="C524" s="167" t="s">
        <v>738</v>
      </c>
      <c r="D524" s="168" t="s">
        <v>437</v>
      </c>
      <c r="E524" s="169" t="s">
        <v>438</v>
      </c>
      <c r="F524" s="168" t="s">
        <v>439</v>
      </c>
      <c r="G524" s="170">
        <v>1000.0</v>
      </c>
      <c r="H524" s="171">
        <v>200.0</v>
      </c>
      <c r="I524" s="171">
        <v>100.0</v>
      </c>
      <c r="J524" s="172">
        <f t="shared" si="25"/>
        <v>0.001042633091</v>
      </c>
      <c r="K524" s="173">
        <f t="shared" si="26"/>
        <v>1.25115971</v>
      </c>
      <c r="L524" s="174">
        <f t="shared" si="9"/>
        <v>6.18923096</v>
      </c>
      <c r="M524" s="175" t="str">
        <f t="shared" si="10"/>
        <v>liviade</v>
      </c>
      <c r="N524" s="176">
        <f>IFERROR(__xludf.DUMMYFUNCTION("""COMPUTED_VALUE"""),17.0)</f>
        <v>17</v>
      </c>
      <c r="O524" s="176"/>
      <c r="P524" s="166" t="s">
        <v>490</v>
      </c>
      <c r="Q524" s="166" t="s">
        <v>441</v>
      </c>
      <c r="R524" s="176"/>
      <c r="S524" s="176"/>
      <c r="T524" s="176"/>
      <c r="U524" s="176"/>
      <c r="V524" s="176"/>
      <c r="W524" s="176"/>
      <c r="X524" s="176"/>
      <c r="Y524" s="176"/>
      <c r="Z524" s="176"/>
      <c r="AA524" s="176"/>
    </row>
    <row r="525">
      <c r="A525" s="165" t="str">
        <f>iferror(VLOOKUP(P525,'DO NOT TOUCH Imported'!$A$1:$D$800,4,False),iferror(VLOOKUP(P525,'DO NOT TOUCH Imported'!$C$1:$D$800,2,False),"OOPS FIX ME"))</f>
        <v>liviade</v>
      </c>
      <c r="B525" s="166" t="s">
        <v>483</v>
      </c>
      <c r="C525" s="167" t="s">
        <v>730</v>
      </c>
      <c r="D525" s="168" t="s">
        <v>437</v>
      </c>
      <c r="E525" s="169" t="s">
        <v>438</v>
      </c>
      <c r="F525" s="168" t="s">
        <v>439</v>
      </c>
      <c r="G525" s="170">
        <v>1000.0</v>
      </c>
      <c r="H525" s="171">
        <v>100.0</v>
      </c>
      <c r="I525" s="171">
        <v>200.0</v>
      </c>
      <c r="J525" s="172">
        <f t="shared" si="25"/>
        <v>0.001023154349</v>
      </c>
      <c r="K525" s="173">
        <f t="shared" si="26"/>
        <v>1.227785219</v>
      </c>
      <c r="L525" s="174">
        <f t="shared" si="9"/>
        <v>6.18923096</v>
      </c>
      <c r="M525" s="175" t="str">
        <f t="shared" si="10"/>
        <v>liviade</v>
      </c>
      <c r="N525" s="176">
        <f>IFERROR(__xludf.DUMMYFUNCTION("""COMPUTED_VALUE"""),18.0)</f>
        <v>18</v>
      </c>
      <c r="O525" s="176"/>
      <c r="P525" s="166" t="s">
        <v>490</v>
      </c>
      <c r="Q525" s="166" t="s">
        <v>483</v>
      </c>
      <c r="R525" s="176"/>
      <c r="S525" s="176"/>
      <c r="T525" s="176"/>
      <c r="U525" s="176"/>
      <c r="V525" s="176"/>
      <c r="W525" s="176"/>
      <c r="X525" s="176"/>
      <c r="Y525" s="176"/>
      <c r="Z525" s="176"/>
      <c r="AA525" s="176"/>
    </row>
    <row r="526">
      <c r="A526" s="165" t="str">
        <f>iferror(VLOOKUP(P526,'DO NOT TOUCH Imported'!$A$1:$D$800,4,False),iferror(VLOOKUP(P526,'DO NOT TOUCH Imported'!$C$1:$D$800,2,False),"OOPS FIX ME"))</f>
        <v>liviade</v>
      </c>
      <c r="B526" s="166" t="s">
        <v>441</v>
      </c>
      <c r="C526" s="167" t="s">
        <v>580</v>
      </c>
      <c r="D526" s="168" t="s">
        <v>437</v>
      </c>
      <c r="E526" s="177" t="s">
        <v>447</v>
      </c>
      <c r="F526" s="168" t="s">
        <v>439</v>
      </c>
      <c r="G526" s="170">
        <v>1000.0</v>
      </c>
      <c r="H526" s="171">
        <v>150.0</v>
      </c>
      <c r="I526" s="171">
        <v>100.0</v>
      </c>
      <c r="J526" s="172">
        <f t="shared" si="25"/>
        <v>0.0008830136242</v>
      </c>
      <c r="K526" s="173">
        <f t="shared" si="26"/>
        <v>1.059616349</v>
      </c>
      <c r="L526" s="174">
        <f t="shared" si="9"/>
        <v>6.18923096</v>
      </c>
      <c r="M526" s="175" t="str">
        <f t="shared" si="10"/>
        <v>liviade</v>
      </c>
      <c r="N526" s="176">
        <f>IFERROR(__xludf.DUMMYFUNCTION("""COMPUTED_VALUE"""),19.0)</f>
        <v>19</v>
      </c>
      <c r="O526" s="176"/>
      <c r="P526" s="166" t="s">
        <v>490</v>
      </c>
      <c r="Q526" s="166" t="s">
        <v>441</v>
      </c>
      <c r="R526" s="176"/>
      <c r="S526" s="176"/>
      <c r="T526" s="176"/>
      <c r="U526" s="176"/>
      <c r="V526" s="176"/>
      <c r="W526" s="176"/>
      <c r="X526" s="176"/>
      <c r="Y526" s="176"/>
      <c r="Z526" s="176"/>
      <c r="AA526" s="176"/>
    </row>
    <row r="527">
      <c r="A527" s="165" t="str">
        <f>iferror(VLOOKUP(P527,'DO NOT TOUCH Imported'!$A$1:$D$800,4,False),iferror(VLOOKUP(P527,'DO NOT TOUCH Imported'!$C$1:$D$800,2,False),"OOPS FIX ME"))</f>
        <v>liviade</v>
      </c>
      <c r="B527" s="166" t="s">
        <v>435</v>
      </c>
      <c r="C527" s="167" t="s">
        <v>465</v>
      </c>
      <c r="D527" s="168" t="s">
        <v>437</v>
      </c>
      <c r="E527" s="177" t="s">
        <v>445</v>
      </c>
      <c r="F527" s="168" t="s">
        <v>439</v>
      </c>
      <c r="G527" s="170">
        <v>1000.0</v>
      </c>
      <c r="H527" s="171">
        <v>100.0</v>
      </c>
      <c r="I527" s="171">
        <v>100.0</v>
      </c>
      <c r="J527" s="172">
        <f t="shared" si="25"/>
        <v>0.000723394157</v>
      </c>
      <c r="K527" s="173">
        <f t="shared" si="26"/>
        <v>0.8680729884</v>
      </c>
      <c r="L527" s="174">
        <f t="shared" si="9"/>
        <v>6.18923096</v>
      </c>
      <c r="M527" s="175" t="str">
        <f t="shared" si="10"/>
        <v>liviade</v>
      </c>
      <c r="N527" s="176">
        <f>IFERROR(__xludf.DUMMYFUNCTION("""COMPUTED_VALUE"""),20.0)</f>
        <v>20</v>
      </c>
      <c r="O527" s="176"/>
      <c r="P527" s="166" t="s">
        <v>490</v>
      </c>
      <c r="Q527" s="166" t="s">
        <v>435</v>
      </c>
      <c r="R527" s="176"/>
      <c r="S527" s="176"/>
      <c r="T527" s="176"/>
      <c r="U527" s="176"/>
      <c r="V527" s="176"/>
      <c r="W527" s="176"/>
      <c r="X527" s="176"/>
      <c r="Y527" s="176"/>
      <c r="Z527" s="176"/>
      <c r="AA527" s="176"/>
    </row>
    <row r="528">
      <c r="A528" s="165" t="str">
        <f>iferror(VLOOKUP(P528,'DO NOT TOUCH Imported'!$A$1:$D$800,4,False),iferror(VLOOKUP(P528,'DO NOT TOUCH Imported'!$C$1:$D$800,2,False),"OOPS FIX ME"))</f>
        <v>liviade</v>
      </c>
      <c r="B528" s="166" t="s">
        <v>490</v>
      </c>
      <c r="C528" s="167" t="s">
        <v>539</v>
      </c>
      <c r="D528" s="168" t="s">
        <v>437</v>
      </c>
      <c r="E528" s="169" t="s">
        <v>540</v>
      </c>
      <c r="F528" s="168" t="s">
        <v>439</v>
      </c>
      <c r="G528" s="170">
        <v>1000.0</v>
      </c>
      <c r="H528" s="171">
        <v>100.0</v>
      </c>
      <c r="I528" s="171">
        <v>100.0</v>
      </c>
      <c r="J528" s="172">
        <f t="shared" si="25"/>
        <v>0.000723394157</v>
      </c>
      <c r="K528" s="173">
        <f t="shared" si="26"/>
        <v>0.8680729884</v>
      </c>
      <c r="L528" s="174">
        <f t="shared" si="9"/>
        <v>6.18923096</v>
      </c>
      <c r="M528" s="175" t="str">
        <f t="shared" si="10"/>
        <v>liviade</v>
      </c>
      <c r="N528" s="176">
        <f>IFERROR(__xludf.DUMMYFUNCTION("""COMPUTED_VALUE"""),21.0)</f>
        <v>21</v>
      </c>
      <c r="O528" s="176"/>
      <c r="P528" s="166" t="s">
        <v>490</v>
      </c>
      <c r="Q528" s="166" t="s">
        <v>490</v>
      </c>
      <c r="R528" s="176"/>
      <c r="S528" s="176"/>
      <c r="T528" s="176"/>
      <c r="U528" s="176"/>
      <c r="V528" s="176"/>
      <c r="W528" s="176"/>
      <c r="X528" s="176"/>
      <c r="Y528" s="176"/>
      <c r="Z528" s="176"/>
      <c r="AA528" s="176"/>
    </row>
    <row r="529">
      <c r="A529" s="165" t="str">
        <f>iferror(VLOOKUP(P529,'DO NOT TOUCH Imported'!$A$1:$D$800,4,False),iferror(VLOOKUP(P529,'DO NOT TOUCH Imported'!$C$1:$D$800,2,False),"OOPS FIX ME"))</f>
        <v>liviade</v>
      </c>
      <c r="B529" s="166" t="s">
        <v>435</v>
      </c>
      <c r="C529" s="167" t="s">
        <v>479</v>
      </c>
      <c r="D529" s="168" t="s">
        <v>437</v>
      </c>
      <c r="E529" s="177" t="s">
        <v>455</v>
      </c>
      <c r="F529" s="168" t="s">
        <v>439</v>
      </c>
      <c r="G529" s="170">
        <v>1000.0</v>
      </c>
      <c r="H529" s="171">
        <v>100.0</v>
      </c>
      <c r="I529" s="171">
        <v>100.0</v>
      </c>
      <c r="J529" s="172">
        <f t="shared" si="25"/>
        <v>0.000723394157</v>
      </c>
      <c r="K529" s="173">
        <f t="shared" si="26"/>
        <v>0.8680729884</v>
      </c>
      <c r="L529" s="174">
        <f t="shared" si="9"/>
        <v>6.18923096</v>
      </c>
      <c r="M529" s="175" t="str">
        <f t="shared" si="10"/>
        <v>liviade</v>
      </c>
      <c r="N529" s="176">
        <f>IFERROR(__xludf.DUMMYFUNCTION("""COMPUTED_VALUE"""),22.0)</f>
        <v>22</v>
      </c>
      <c r="O529" s="176"/>
      <c r="P529" s="166" t="s">
        <v>490</v>
      </c>
      <c r="Q529" s="166" t="s">
        <v>435</v>
      </c>
      <c r="R529" s="176"/>
      <c r="S529" s="176"/>
      <c r="T529" s="176"/>
      <c r="U529" s="176"/>
      <c r="V529" s="176"/>
      <c r="W529" s="176"/>
      <c r="X529" s="176"/>
      <c r="Y529" s="176"/>
      <c r="Z529" s="176"/>
      <c r="AA529" s="176"/>
    </row>
    <row r="530">
      <c r="A530" s="165" t="str">
        <f>iferror(VLOOKUP(P530,'DO NOT TOUCH Imported'!$A$1:$D$800,4,False),iferror(VLOOKUP(P530,'DO NOT TOUCH Imported'!$C$1:$D$800,2,False),"OOPS FIX ME"))</f>
        <v>liviade</v>
      </c>
      <c r="B530" s="166" t="s">
        <v>441</v>
      </c>
      <c r="C530" s="167" t="s">
        <v>584</v>
      </c>
      <c r="D530" s="168" t="s">
        <v>437</v>
      </c>
      <c r="E530" s="177" t="s">
        <v>438</v>
      </c>
      <c r="F530" s="168" t="s">
        <v>439</v>
      </c>
      <c r="G530" s="170">
        <v>1000.0</v>
      </c>
      <c r="H530" s="171">
        <v>100.0</v>
      </c>
      <c r="I530" s="171">
        <v>100.0</v>
      </c>
      <c r="J530" s="172">
        <f t="shared" si="25"/>
        <v>0.000723394157</v>
      </c>
      <c r="K530" s="173">
        <f t="shared" si="26"/>
        <v>0.8680729884</v>
      </c>
      <c r="L530" s="174">
        <f t="shared" si="9"/>
        <v>6.18923096</v>
      </c>
      <c r="M530" s="175" t="str">
        <f t="shared" si="10"/>
        <v>liviade</v>
      </c>
      <c r="N530" s="176">
        <f>IFERROR(__xludf.DUMMYFUNCTION("""COMPUTED_VALUE"""),23.0)</f>
        <v>23</v>
      </c>
      <c r="O530" s="176"/>
      <c r="P530" s="166" t="s">
        <v>490</v>
      </c>
      <c r="Q530" s="166" t="s">
        <v>441</v>
      </c>
      <c r="R530" s="176"/>
      <c r="S530" s="176"/>
      <c r="T530" s="176"/>
      <c r="U530" s="176"/>
      <c r="V530" s="176"/>
      <c r="W530" s="176"/>
      <c r="X530" s="176"/>
      <c r="Y530" s="176"/>
      <c r="Z530" s="176"/>
      <c r="AA530" s="176"/>
    </row>
    <row r="531">
      <c r="A531" s="165" t="str">
        <f>iferror(VLOOKUP(P531,'DO NOT TOUCH Imported'!$A$1:$D$800,4,False),iferror(VLOOKUP(P531,'DO NOT TOUCH Imported'!$C$1:$D$800,2,False),"OOPS FIX ME"))</f>
        <v>liviade</v>
      </c>
      <c r="B531" s="166" t="s">
        <v>441</v>
      </c>
      <c r="C531" s="167" t="s">
        <v>533</v>
      </c>
      <c r="D531" s="168" t="s">
        <v>437</v>
      </c>
      <c r="E531" s="177" t="s">
        <v>438</v>
      </c>
      <c r="F531" s="168" t="s">
        <v>439</v>
      </c>
      <c r="G531" s="170">
        <v>1000.0</v>
      </c>
      <c r="H531" s="171">
        <v>100.0</v>
      </c>
      <c r="I531" s="171">
        <v>100.0</v>
      </c>
      <c r="J531" s="172">
        <f t="shared" si="25"/>
        <v>0.000723394157</v>
      </c>
      <c r="K531" s="173">
        <f t="shared" si="26"/>
        <v>0.8680729884</v>
      </c>
      <c r="L531" s="174">
        <f t="shared" si="9"/>
        <v>6.18923096</v>
      </c>
      <c r="M531" s="175" t="str">
        <f t="shared" si="10"/>
        <v>liviade</v>
      </c>
      <c r="N531" s="176">
        <f>IFERROR(__xludf.DUMMYFUNCTION("""COMPUTED_VALUE"""),24.0)</f>
        <v>24</v>
      </c>
      <c r="O531" s="176"/>
      <c r="P531" s="166" t="s">
        <v>490</v>
      </c>
      <c r="Q531" s="166" t="s">
        <v>441</v>
      </c>
      <c r="R531" s="176"/>
      <c r="S531" s="176"/>
      <c r="T531" s="176"/>
      <c r="U531" s="176"/>
      <c r="V531" s="176"/>
      <c r="W531" s="176"/>
      <c r="X531" s="176"/>
      <c r="Y531" s="176"/>
      <c r="Z531" s="176"/>
      <c r="AA531" s="176"/>
    </row>
    <row r="532">
      <c r="A532" s="165" t="str">
        <f>iferror(VLOOKUP(P532,'DO NOT TOUCH Imported'!$A$1:$D$800,4,False),iferror(VLOOKUP(P532,'DO NOT TOUCH Imported'!$C$1:$D$800,2,False),"OOPS FIX ME"))</f>
        <v>liviade</v>
      </c>
      <c r="B532" s="166" t="s">
        <v>441</v>
      </c>
      <c r="C532" s="167" t="s">
        <v>548</v>
      </c>
      <c r="D532" s="168" t="s">
        <v>437</v>
      </c>
      <c r="E532" s="169" t="s">
        <v>438</v>
      </c>
      <c r="F532" s="168" t="s">
        <v>439</v>
      </c>
      <c r="G532" s="170">
        <v>1000.0</v>
      </c>
      <c r="H532" s="171">
        <v>100.0</v>
      </c>
      <c r="I532" s="171">
        <v>100.0</v>
      </c>
      <c r="J532" s="172">
        <f t="shared" si="25"/>
        <v>0.000723394157</v>
      </c>
      <c r="K532" s="173">
        <f t="shared" si="26"/>
        <v>0.8680729884</v>
      </c>
      <c r="L532" s="174">
        <f t="shared" si="9"/>
        <v>6.18923096</v>
      </c>
      <c r="M532" s="175" t="str">
        <f t="shared" si="10"/>
        <v>liviade</v>
      </c>
      <c r="N532" s="176">
        <f>IFERROR(__xludf.DUMMYFUNCTION("""COMPUTED_VALUE"""),25.0)</f>
        <v>25</v>
      </c>
      <c r="O532" s="176"/>
      <c r="P532" s="166" t="s">
        <v>490</v>
      </c>
      <c r="Q532" s="166" t="s">
        <v>441</v>
      </c>
      <c r="R532" s="176"/>
      <c r="S532" s="176"/>
      <c r="T532" s="176"/>
      <c r="U532" s="176"/>
      <c r="V532" s="176"/>
      <c r="W532" s="176"/>
      <c r="X532" s="176"/>
      <c r="Y532" s="176"/>
      <c r="Z532" s="176"/>
      <c r="AA532" s="176"/>
    </row>
    <row r="533">
      <c r="A533" s="165" t="str">
        <f>iferror(VLOOKUP(P533,'DO NOT TOUCH Imported'!$A$1:$D$800,4,False),iferror(VLOOKUP(P533,'DO NOT TOUCH Imported'!$C$1:$D$800,2,False),"OOPS FIX ME"))</f>
        <v>liviade</v>
      </c>
      <c r="B533" s="166" t="s">
        <v>441</v>
      </c>
      <c r="C533" s="167" t="s">
        <v>475</v>
      </c>
      <c r="D533" s="168" t="s">
        <v>437</v>
      </c>
      <c r="E533" s="177" t="s">
        <v>438</v>
      </c>
      <c r="F533" s="168" t="s">
        <v>439</v>
      </c>
      <c r="G533" s="170">
        <v>1000.0</v>
      </c>
      <c r="H533" s="171">
        <v>100.0</v>
      </c>
      <c r="I533" s="171">
        <v>100.0</v>
      </c>
      <c r="J533" s="172">
        <f t="shared" si="25"/>
        <v>0.000723394157</v>
      </c>
      <c r="K533" s="173">
        <f t="shared" si="26"/>
        <v>0.8680729884</v>
      </c>
      <c r="L533" s="174">
        <f t="shared" si="9"/>
        <v>6.18923096</v>
      </c>
      <c r="M533" s="175" t="str">
        <f t="shared" si="10"/>
        <v>liviade</v>
      </c>
      <c r="N533" s="176">
        <f>IFERROR(__xludf.DUMMYFUNCTION("""COMPUTED_VALUE"""),26.0)</f>
        <v>26</v>
      </c>
      <c r="O533" s="176"/>
      <c r="P533" s="166" t="s">
        <v>490</v>
      </c>
      <c r="Q533" s="166" t="s">
        <v>441</v>
      </c>
      <c r="R533" s="176"/>
      <c r="S533" s="176"/>
      <c r="T533" s="176"/>
      <c r="U533" s="176"/>
      <c r="V533" s="176"/>
      <c r="W533" s="176"/>
      <c r="X533" s="176"/>
      <c r="Y533" s="176"/>
      <c r="Z533" s="176"/>
      <c r="AA533" s="176"/>
    </row>
    <row r="534">
      <c r="A534" s="165" t="str">
        <f>iferror(VLOOKUP(P534,'DO NOT TOUCH Imported'!$A$1:$D$800,4,False),iferror(VLOOKUP(P534,'DO NOT TOUCH Imported'!$C$1:$D$800,2,False),"OOPS FIX ME"))</f>
        <v>liviade</v>
      </c>
      <c r="B534" s="166" t="s">
        <v>441</v>
      </c>
      <c r="C534" s="167" t="s">
        <v>739</v>
      </c>
      <c r="D534" s="168" t="s">
        <v>437</v>
      </c>
      <c r="E534" s="169" t="s">
        <v>438</v>
      </c>
      <c r="F534" s="168" t="s">
        <v>439</v>
      </c>
      <c r="G534" s="170">
        <v>1000.0</v>
      </c>
      <c r="H534" s="171">
        <v>100.0</v>
      </c>
      <c r="I534" s="171">
        <v>100.0</v>
      </c>
      <c r="J534" s="172">
        <f t="shared" si="25"/>
        <v>0.000723394157</v>
      </c>
      <c r="K534" s="173">
        <f t="shared" si="26"/>
        <v>0.8680729884</v>
      </c>
      <c r="L534" s="174">
        <f t="shared" si="9"/>
        <v>6.18923096</v>
      </c>
      <c r="M534" s="175" t="str">
        <f t="shared" si="10"/>
        <v>liviade</v>
      </c>
      <c r="N534" s="176">
        <f>IFERROR(__xludf.DUMMYFUNCTION("""COMPUTED_VALUE"""),27.0)</f>
        <v>27</v>
      </c>
      <c r="O534" s="176"/>
      <c r="P534" s="166" t="s">
        <v>490</v>
      </c>
      <c r="Q534" s="166" t="s">
        <v>441</v>
      </c>
      <c r="R534" s="176"/>
      <c r="S534" s="176"/>
      <c r="T534" s="176"/>
      <c r="U534" s="176"/>
      <c r="V534" s="176"/>
      <c r="W534" s="176"/>
      <c r="X534" s="176"/>
      <c r="Y534" s="176"/>
      <c r="Z534" s="176"/>
      <c r="AA534" s="176"/>
    </row>
    <row r="535">
      <c r="A535" s="165" t="str">
        <f>iferror(VLOOKUP(P535,'DO NOT TOUCH Imported'!$A$1:$D$800,4,False),iferror(VLOOKUP(P535,'DO NOT TOUCH Imported'!$C$1:$D$800,2,False),"OOPS FIX ME"))</f>
        <v>liviade</v>
      </c>
      <c r="B535" s="166" t="s">
        <v>441</v>
      </c>
      <c r="C535" s="167" t="s">
        <v>740</v>
      </c>
      <c r="D535" s="168" t="s">
        <v>437</v>
      </c>
      <c r="E535" s="169" t="s">
        <v>438</v>
      </c>
      <c r="F535" s="168" t="s">
        <v>439</v>
      </c>
      <c r="G535" s="170">
        <v>1000.0</v>
      </c>
      <c r="H535" s="171">
        <v>100.0</v>
      </c>
      <c r="I535" s="171">
        <v>100.0</v>
      </c>
      <c r="J535" s="172">
        <f t="shared" si="25"/>
        <v>0.000723394157</v>
      </c>
      <c r="K535" s="173">
        <f t="shared" si="26"/>
        <v>0.8680729884</v>
      </c>
      <c r="L535" s="174">
        <f t="shared" si="9"/>
        <v>6.18923096</v>
      </c>
      <c r="M535" s="175" t="str">
        <f t="shared" si="10"/>
        <v>liviade</v>
      </c>
      <c r="N535" s="176">
        <f>IFERROR(__xludf.DUMMYFUNCTION("""COMPUTED_VALUE"""),28.0)</f>
        <v>28</v>
      </c>
      <c r="O535" s="176"/>
      <c r="P535" s="166" t="s">
        <v>490</v>
      </c>
      <c r="Q535" s="166" t="s">
        <v>441</v>
      </c>
      <c r="R535" s="176"/>
      <c r="S535" s="176"/>
      <c r="T535" s="176"/>
      <c r="U535" s="176"/>
      <c r="V535" s="176"/>
      <c r="W535" s="176"/>
      <c r="X535" s="176"/>
      <c r="Y535" s="176"/>
      <c r="Z535" s="176"/>
      <c r="AA535" s="176"/>
    </row>
    <row r="536">
      <c r="A536" s="165" t="str">
        <f>iferror(VLOOKUP(P536,'DO NOT TOUCH Imported'!$A$1:$D$800,4,False),iferror(VLOOKUP(P536,'DO NOT TOUCH Imported'!$C$1:$D$800,2,False),"OOPS FIX ME"))</f>
        <v>liviade</v>
      </c>
      <c r="B536" s="166" t="s">
        <v>441</v>
      </c>
      <c r="C536" s="167" t="s">
        <v>510</v>
      </c>
      <c r="D536" s="168" t="s">
        <v>437</v>
      </c>
      <c r="E536" s="177" t="s">
        <v>438</v>
      </c>
      <c r="F536" s="168" t="s">
        <v>439</v>
      </c>
      <c r="G536" s="170">
        <v>1000.0</v>
      </c>
      <c r="H536" s="171">
        <v>100.0</v>
      </c>
      <c r="I536" s="171">
        <v>100.0</v>
      </c>
      <c r="J536" s="172">
        <f t="shared" si="25"/>
        <v>0.000723394157</v>
      </c>
      <c r="K536" s="173">
        <f t="shared" si="26"/>
        <v>0.8680729884</v>
      </c>
      <c r="L536" s="174">
        <f t="shared" si="9"/>
        <v>6.18923096</v>
      </c>
      <c r="M536" s="175" t="str">
        <f t="shared" si="10"/>
        <v>liviade</v>
      </c>
      <c r="N536" s="209">
        <f>IFERROR(__xludf.DUMMYFUNCTION("""COMPUTED_VALUE"""),29.0)</f>
        <v>29</v>
      </c>
      <c r="O536" s="209"/>
      <c r="P536" s="166" t="s">
        <v>490</v>
      </c>
      <c r="Q536" s="166" t="s">
        <v>441</v>
      </c>
      <c r="R536" s="209"/>
      <c r="S536" s="209"/>
      <c r="T536" s="209"/>
      <c r="U536" s="209"/>
      <c r="V536" s="209"/>
      <c r="W536" s="209"/>
      <c r="X536" s="209"/>
      <c r="Y536" s="209"/>
      <c r="Z536" s="209"/>
      <c r="AA536" s="209"/>
    </row>
    <row r="537">
      <c r="A537" s="165" t="str">
        <f>iferror(VLOOKUP(P537,'DO NOT TOUCH Imported'!$A$1:$D$800,4,False),iferror(VLOOKUP(P537,'DO NOT TOUCH Imported'!$C$1:$D$800,2,False),"OOPS FIX ME"))</f>
        <v>liviade</v>
      </c>
      <c r="B537" s="166" t="s">
        <v>441</v>
      </c>
      <c r="C537" s="167" t="s">
        <v>480</v>
      </c>
      <c r="D537" s="168" t="s">
        <v>437</v>
      </c>
      <c r="E537" s="177" t="s">
        <v>438</v>
      </c>
      <c r="F537" s="168" t="s">
        <v>439</v>
      </c>
      <c r="G537" s="170">
        <v>1000.0</v>
      </c>
      <c r="H537" s="171">
        <v>90.0</v>
      </c>
      <c r="I537" s="171">
        <v>100.0</v>
      </c>
      <c r="J537" s="172">
        <f t="shared" si="25"/>
        <v>0.0006914702636</v>
      </c>
      <c r="K537" s="173">
        <f t="shared" si="26"/>
        <v>0.8297643163</v>
      </c>
      <c r="L537" s="174">
        <f t="shared" si="9"/>
        <v>6.18923096</v>
      </c>
      <c r="M537" s="175" t="str">
        <f t="shared" si="10"/>
        <v>liviade</v>
      </c>
      <c r="N537" s="176">
        <f>IFERROR(__xludf.DUMMYFUNCTION("""COMPUTED_VALUE"""),30.0)</f>
        <v>30</v>
      </c>
      <c r="O537" s="176"/>
      <c r="P537" s="166" t="s">
        <v>490</v>
      </c>
      <c r="Q537" s="166" t="s">
        <v>441</v>
      </c>
      <c r="R537" s="176"/>
      <c r="S537" s="176"/>
      <c r="T537" s="176"/>
      <c r="U537" s="176"/>
      <c r="V537" s="176"/>
      <c r="W537" s="176"/>
      <c r="X537" s="176"/>
      <c r="Y537" s="176"/>
      <c r="Z537" s="176"/>
      <c r="AA537" s="176"/>
    </row>
    <row r="538">
      <c r="A538" s="165" t="str">
        <f>iferror(VLOOKUP(P538,'DO NOT TOUCH Imported'!$A$1:$D$800,4,False),iferror(VLOOKUP(P538,'DO NOT TOUCH Imported'!$C$1:$D$800,2,False),"OOPS FIX ME"))</f>
        <v>liviade</v>
      </c>
      <c r="B538" s="166" t="s">
        <v>441</v>
      </c>
      <c r="C538" s="167" t="s">
        <v>481</v>
      </c>
      <c r="D538" s="168" t="s">
        <v>437</v>
      </c>
      <c r="E538" s="169" t="s">
        <v>447</v>
      </c>
      <c r="F538" s="168" t="s">
        <v>439</v>
      </c>
      <c r="G538" s="170">
        <v>1000.0</v>
      </c>
      <c r="H538" s="171">
        <v>80.0</v>
      </c>
      <c r="I538" s="171">
        <v>100.0</v>
      </c>
      <c r="J538" s="172">
        <f t="shared" si="25"/>
        <v>0.0006595463701</v>
      </c>
      <c r="K538" s="173">
        <f t="shared" si="26"/>
        <v>0.7914556442</v>
      </c>
      <c r="L538" s="174">
        <f t="shared" si="9"/>
        <v>6.18923096</v>
      </c>
      <c r="M538" s="175" t="str">
        <f t="shared" si="10"/>
        <v>liviade</v>
      </c>
      <c r="N538" s="176">
        <f>IFERROR(__xludf.DUMMYFUNCTION("""COMPUTED_VALUE"""),31.0)</f>
        <v>31</v>
      </c>
      <c r="O538" s="176"/>
      <c r="P538" s="166" t="s">
        <v>490</v>
      </c>
      <c r="Q538" s="166" t="s">
        <v>441</v>
      </c>
      <c r="R538" s="176"/>
      <c r="S538" s="176"/>
      <c r="T538" s="176"/>
      <c r="U538" s="176"/>
      <c r="V538" s="176"/>
      <c r="W538" s="176"/>
      <c r="X538" s="176"/>
      <c r="Y538" s="176"/>
      <c r="Z538" s="176"/>
      <c r="AA538" s="176"/>
    </row>
    <row r="539">
      <c r="A539" s="165" t="str">
        <f>iferror(VLOOKUP(P539,'DO NOT TOUCH Imported'!$A$1:$D$800,4,False),iferror(VLOOKUP(P539,'DO NOT TOUCH Imported'!$C$1:$D$800,2,False),"OOPS FIX ME"))</f>
        <v>liviade</v>
      </c>
      <c r="B539" s="166" t="s">
        <v>441</v>
      </c>
      <c r="C539" s="167" t="s">
        <v>485</v>
      </c>
      <c r="D539" s="168" t="s">
        <v>437</v>
      </c>
      <c r="E539" s="169" t="s">
        <v>438</v>
      </c>
      <c r="F539" s="168" t="s">
        <v>439</v>
      </c>
      <c r="G539" s="170">
        <v>1000.0</v>
      </c>
      <c r="H539" s="171">
        <v>80.0</v>
      </c>
      <c r="I539" s="171">
        <v>100.0</v>
      </c>
      <c r="J539" s="172">
        <f t="shared" si="25"/>
        <v>0.0006595463701</v>
      </c>
      <c r="K539" s="173">
        <f t="shared" si="26"/>
        <v>0.7914556442</v>
      </c>
      <c r="L539" s="174">
        <f t="shared" si="9"/>
        <v>6.18923096</v>
      </c>
      <c r="M539" s="175" t="str">
        <f t="shared" si="10"/>
        <v>liviade</v>
      </c>
      <c r="N539" s="176">
        <f>IFERROR(__xludf.DUMMYFUNCTION("""COMPUTED_VALUE"""),32.0)</f>
        <v>32</v>
      </c>
      <c r="O539" s="176"/>
      <c r="P539" s="166" t="s">
        <v>490</v>
      </c>
      <c r="Q539" s="166" t="s">
        <v>441</v>
      </c>
      <c r="R539" s="176"/>
      <c r="S539" s="176"/>
      <c r="T539" s="176"/>
      <c r="U539" s="176"/>
      <c r="V539" s="176"/>
      <c r="W539" s="176"/>
      <c r="X539" s="176"/>
      <c r="Y539" s="176"/>
      <c r="Z539" s="176"/>
      <c r="AA539" s="176"/>
    </row>
    <row r="540">
      <c r="A540" s="165" t="str">
        <f>iferror(VLOOKUP(P540,'DO NOT TOUCH Imported'!$A$1:$D$800,4,False),iferror(VLOOKUP(P540,'DO NOT TOUCH Imported'!$C$1:$D$800,2,False),"OOPS FIX ME"))</f>
        <v>liviade</v>
      </c>
      <c r="B540" s="166" t="s">
        <v>490</v>
      </c>
      <c r="C540" s="167" t="s">
        <v>491</v>
      </c>
      <c r="D540" s="168" t="s">
        <v>437</v>
      </c>
      <c r="E540" s="177" t="s">
        <v>445</v>
      </c>
      <c r="F540" s="168" t="s">
        <v>439</v>
      </c>
      <c r="G540" s="170">
        <v>1000.0</v>
      </c>
      <c r="H540" s="171">
        <v>70.0</v>
      </c>
      <c r="I540" s="171">
        <v>100.0</v>
      </c>
      <c r="J540" s="172">
        <f t="shared" si="25"/>
        <v>0.0006276224767</v>
      </c>
      <c r="K540" s="173">
        <f t="shared" si="26"/>
        <v>0.7531469721</v>
      </c>
      <c r="L540" s="174">
        <f t="shared" si="9"/>
        <v>6.18923096</v>
      </c>
      <c r="M540" s="175" t="str">
        <f t="shared" si="10"/>
        <v>liviade</v>
      </c>
      <c r="N540" s="176">
        <f>IFERROR(__xludf.DUMMYFUNCTION("""COMPUTED_VALUE"""),33.0)</f>
        <v>33</v>
      </c>
      <c r="O540" s="176"/>
      <c r="P540" s="166" t="s">
        <v>490</v>
      </c>
      <c r="Q540" s="166" t="s">
        <v>490</v>
      </c>
      <c r="R540" s="176"/>
      <c r="S540" s="176"/>
      <c r="T540" s="176"/>
      <c r="U540" s="176"/>
      <c r="V540" s="176"/>
      <c r="W540" s="176"/>
      <c r="X540" s="176"/>
      <c r="Y540" s="176"/>
      <c r="Z540" s="176"/>
      <c r="AA540" s="176"/>
    </row>
    <row r="541">
      <c r="A541" s="165" t="str">
        <f>iferror(VLOOKUP(P541,'DO NOT TOUCH Imported'!$A$1:$D$800,4,False),iferror(VLOOKUP(P541,'DO NOT TOUCH Imported'!$C$1:$D$800,2,False),"OOPS FIX ME"))</f>
        <v>liviade</v>
      </c>
      <c r="B541" s="166" t="s">
        <v>492</v>
      </c>
      <c r="C541" s="167" t="s">
        <v>493</v>
      </c>
      <c r="D541" s="168" t="s">
        <v>437</v>
      </c>
      <c r="E541" s="177" t="s">
        <v>445</v>
      </c>
      <c r="F541" s="168" t="s">
        <v>439</v>
      </c>
      <c r="G541" s="170">
        <v>1000.0</v>
      </c>
      <c r="H541" s="171">
        <v>70.0</v>
      </c>
      <c r="I541" s="171">
        <v>100.0</v>
      </c>
      <c r="J541" s="172">
        <f t="shared" si="25"/>
        <v>0.0006276224767</v>
      </c>
      <c r="K541" s="173">
        <f t="shared" si="26"/>
        <v>0.7531469721</v>
      </c>
      <c r="L541" s="174">
        <f t="shared" si="9"/>
        <v>6.18923096</v>
      </c>
      <c r="M541" s="175" t="str">
        <f t="shared" si="10"/>
        <v>liviade</v>
      </c>
      <c r="N541" s="176">
        <f>IFERROR(__xludf.DUMMYFUNCTION("""COMPUTED_VALUE"""),34.0)</f>
        <v>34</v>
      </c>
      <c r="O541" s="176"/>
      <c r="P541" s="166" t="s">
        <v>490</v>
      </c>
      <c r="Q541" s="166" t="s">
        <v>492</v>
      </c>
      <c r="R541" s="176"/>
      <c r="S541" s="176"/>
      <c r="T541" s="176"/>
      <c r="U541" s="176"/>
      <c r="V541" s="176"/>
      <c r="W541" s="176"/>
      <c r="X541" s="176"/>
      <c r="Y541" s="176"/>
      <c r="Z541" s="176"/>
      <c r="AA541" s="176"/>
    </row>
    <row r="542">
      <c r="A542" s="165" t="str">
        <f>iferror(VLOOKUP(P542,'DO NOT TOUCH Imported'!$A$1:$D$800,4,False),iferror(VLOOKUP(P542,'DO NOT TOUCH Imported'!$C$1:$D$800,2,False),"OOPS FIX ME"))</f>
        <v>liviade</v>
      </c>
      <c r="B542" s="166" t="s">
        <v>441</v>
      </c>
      <c r="C542" s="167" t="s">
        <v>497</v>
      </c>
      <c r="D542" s="168" t="s">
        <v>437</v>
      </c>
      <c r="E542" s="177" t="s">
        <v>438</v>
      </c>
      <c r="F542" s="168" t="s">
        <v>439</v>
      </c>
      <c r="G542" s="170">
        <v>1000.0</v>
      </c>
      <c r="H542" s="171">
        <v>50.0</v>
      </c>
      <c r="I542" s="171">
        <v>100.0</v>
      </c>
      <c r="J542" s="172">
        <f t="shared" si="25"/>
        <v>0.0005637746898</v>
      </c>
      <c r="K542" s="173">
        <f t="shared" si="26"/>
        <v>0.6765296278</v>
      </c>
      <c r="L542" s="174">
        <f t="shared" si="9"/>
        <v>6.18923096</v>
      </c>
      <c r="M542" s="175" t="str">
        <f t="shared" si="10"/>
        <v>liviade</v>
      </c>
      <c r="N542" s="176">
        <f>IFERROR(__xludf.DUMMYFUNCTION("""COMPUTED_VALUE"""),35.0)</f>
        <v>35</v>
      </c>
      <c r="O542" s="176"/>
      <c r="P542" s="166" t="s">
        <v>490</v>
      </c>
      <c r="Q542" s="166" t="s">
        <v>441</v>
      </c>
      <c r="R542" s="176"/>
      <c r="S542" s="176"/>
      <c r="T542" s="176"/>
      <c r="U542" s="176"/>
      <c r="V542" s="176"/>
      <c r="W542" s="176"/>
      <c r="X542" s="176"/>
      <c r="Y542" s="176"/>
      <c r="Z542" s="176"/>
      <c r="AA542" s="176"/>
    </row>
    <row r="543">
      <c r="A543" s="165" t="str">
        <f>iferror(VLOOKUP(P543,'DO NOT TOUCH Imported'!$A$1:$D$800,4,False),iferror(VLOOKUP(P543,'DO NOT TOUCH Imported'!$C$1:$D$800,2,False),"OOPS FIX ME"))</f>
        <v>liviade</v>
      </c>
      <c r="B543" s="178" t="s">
        <v>10</v>
      </c>
      <c r="C543" s="179" t="s">
        <v>494</v>
      </c>
      <c r="D543" s="180" t="s">
        <v>495</v>
      </c>
      <c r="E543" s="181">
        <v>44317.0</v>
      </c>
      <c r="F543" s="182" t="s">
        <v>496</v>
      </c>
      <c r="G543" s="170">
        <v>1000.0</v>
      </c>
      <c r="H543" s="171">
        <v>50.0</v>
      </c>
      <c r="I543" s="171">
        <v>100.0</v>
      </c>
      <c r="J543" s="172">
        <f t="shared" si="25"/>
        <v>0.0005637746898</v>
      </c>
      <c r="K543" s="173">
        <f t="shared" si="26"/>
        <v>0.6765296278</v>
      </c>
      <c r="L543" s="174">
        <f t="shared" si="9"/>
        <v>6.18923096</v>
      </c>
      <c r="M543" s="175" t="str">
        <f t="shared" si="10"/>
        <v>liviade</v>
      </c>
      <c r="N543" s="176">
        <f>IFERROR(__xludf.DUMMYFUNCTION("""COMPUTED_VALUE"""),36.0)</f>
        <v>36</v>
      </c>
      <c r="O543" s="176"/>
      <c r="P543" s="183" t="s">
        <v>18</v>
      </c>
      <c r="Q543" s="178" t="s">
        <v>10</v>
      </c>
      <c r="R543" s="176"/>
      <c r="S543" s="176"/>
      <c r="T543" s="176"/>
      <c r="U543" s="176"/>
      <c r="V543" s="176"/>
      <c r="W543" s="176"/>
      <c r="X543" s="176"/>
      <c r="Y543" s="176"/>
      <c r="Z543" s="176"/>
      <c r="AA543" s="176"/>
    </row>
    <row r="544">
      <c r="A544" s="165" t="str">
        <f>iferror(VLOOKUP(P544,'DO NOT TOUCH Imported'!$A$1:$D$800,4,False),iferror(VLOOKUP(P544,'DO NOT TOUCH Imported'!$C$1:$D$800,2,False),"OOPS FIX ME"))</f>
        <v>liviade</v>
      </c>
      <c r="B544" s="178" t="s">
        <v>10</v>
      </c>
      <c r="C544" s="179" t="s">
        <v>494</v>
      </c>
      <c r="D544" s="180" t="s">
        <v>495</v>
      </c>
      <c r="E544" s="181">
        <v>44324.0</v>
      </c>
      <c r="F544" s="182" t="s">
        <v>496</v>
      </c>
      <c r="G544" s="170">
        <v>1000.0</v>
      </c>
      <c r="H544" s="171">
        <v>50.0</v>
      </c>
      <c r="I544" s="171">
        <v>100.0</v>
      </c>
      <c r="J544" s="172">
        <f t="shared" si="25"/>
        <v>0.0005637746898</v>
      </c>
      <c r="K544" s="173">
        <f t="shared" si="26"/>
        <v>0.6765296278</v>
      </c>
      <c r="L544" s="174">
        <f t="shared" si="9"/>
        <v>6.18923096</v>
      </c>
      <c r="M544" s="175" t="str">
        <f t="shared" si="10"/>
        <v>liviade</v>
      </c>
      <c r="N544" s="176">
        <f>IFERROR(__xludf.DUMMYFUNCTION("""COMPUTED_VALUE"""),37.0)</f>
        <v>37</v>
      </c>
      <c r="O544" s="176"/>
      <c r="P544" s="183" t="s">
        <v>18</v>
      </c>
      <c r="Q544" s="178" t="s">
        <v>10</v>
      </c>
      <c r="R544" s="176"/>
      <c r="S544" s="176"/>
      <c r="T544" s="176"/>
      <c r="U544" s="176"/>
      <c r="V544" s="176"/>
      <c r="W544" s="176"/>
      <c r="X544" s="176"/>
      <c r="Y544" s="176"/>
      <c r="Z544" s="176"/>
      <c r="AA544" s="176"/>
    </row>
    <row r="545">
      <c r="A545" s="165" t="str">
        <f>iferror(VLOOKUP(P545,'DO NOT TOUCH Imported'!$A$1:$D$800,4,False),iferror(VLOOKUP(P545,'DO NOT TOUCH Imported'!$C$1:$D$800,2,False),"OOPS FIX ME"))</f>
        <v>liviade</v>
      </c>
      <c r="B545" s="178" t="s">
        <v>10</v>
      </c>
      <c r="C545" s="179" t="s">
        <v>498</v>
      </c>
      <c r="D545" s="180" t="s">
        <v>495</v>
      </c>
      <c r="E545" s="181">
        <v>44323.0</v>
      </c>
      <c r="F545" s="182" t="s">
        <v>499</v>
      </c>
      <c r="G545" s="170">
        <v>500.0</v>
      </c>
      <c r="H545" s="171">
        <v>25.0</v>
      </c>
      <c r="I545" s="171">
        <v>100.0</v>
      </c>
      <c r="J545" s="172">
        <f t="shared" si="25"/>
        <v>0.0004317674408</v>
      </c>
      <c r="K545" s="173">
        <f t="shared" si="26"/>
        <v>0.518120929</v>
      </c>
      <c r="L545" s="174">
        <f t="shared" si="9"/>
        <v>6.18923096</v>
      </c>
      <c r="M545" s="175" t="str">
        <f t="shared" si="10"/>
        <v>liviade</v>
      </c>
      <c r="N545" s="176">
        <f>IFERROR(__xludf.DUMMYFUNCTION("""COMPUTED_VALUE"""),38.0)</f>
        <v>38</v>
      </c>
      <c r="O545" s="176"/>
      <c r="P545" s="183" t="s">
        <v>18</v>
      </c>
      <c r="Q545" s="178" t="s">
        <v>10</v>
      </c>
      <c r="R545" s="176"/>
      <c r="S545" s="176"/>
      <c r="T545" s="176"/>
      <c r="U545" s="176"/>
      <c r="V545" s="176"/>
      <c r="W545" s="176"/>
      <c r="X545" s="176"/>
      <c r="Y545" s="176"/>
      <c r="Z545" s="176"/>
      <c r="AA545" s="176"/>
    </row>
    <row r="546">
      <c r="A546" s="165" t="str">
        <f>iferror(VLOOKUP(P546,'DO NOT TOUCH Imported'!$A$1:$D$800,4,False),iferror(VLOOKUP(P546,'DO NOT TOUCH Imported'!$C$1:$D$800,2,False),"OOPS FIX ME"))</f>
        <v>liviade</v>
      </c>
      <c r="B546" s="178" t="s">
        <v>10</v>
      </c>
      <c r="C546" s="179" t="s">
        <v>500</v>
      </c>
      <c r="D546" s="180" t="s">
        <v>495</v>
      </c>
      <c r="E546" s="181">
        <v>44324.0</v>
      </c>
      <c r="F546" s="182" t="s">
        <v>496</v>
      </c>
      <c r="G546" s="170">
        <v>500.0</v>
      </c>
      <c r="H546" s="171">
        <v>25.0</v>
      </c>
      <c r="I546" s="171">
        <v>100.0</v>
      </c>
      <c r="J546" s="172">
        <f t="shared" si="25"/>
        <v>0.0004317674408</v>
      </c>
      <c r="K546" s="173">
        <f t="shared" si="26"/>
        <v>0.518120929</v>
      </c>
      <c r="L546" s="174">
        <f t="shared" si="9"/>
        <v>6.18923096</v>
      </c>
      <c r="M546" s="175" t="str">
        <f t="shared" si="10"/>
        <v>liviade</v>
      </c>
      <c r="N546" s="176">
        <f>IFERROR(__xludf.DUMMYFUNCTION("""COMPUTED_VALUE"""),39.0)</f>
        <v>39</v>
      </c>
      <c r="O546" s="176"/>
      <c r="P546" s="183" t="s">
        <v>18</v>
      </c>
      <c r="Q546" s="178" t="s">
        <v>10</v>
      </c>
      <c r="R546" s="176"/>
      <c r="S546" s="176"/>
      <c r="T546" s="176"/>
      <c r="U546" s="176"/>
      <c r="V546" s="176"/>
      <c r="W546" s="176"/>
      <c r="X546" s="176"/>
      <c r="Y546" s="176"/>
      <c r="Z546" s="176"/>
      <c r="AA546" s="176"/>
    </row>
    <row r="547">
      <c r="A547" s="185" t="str">
        <f>iferror(VLOOKUP(P547,'DO NOT TOUCH Imported'!$A$1:$D$800,4,False),iferror(VLOOKUP(P547,'DO NOT TOUCH Imported'!$C$1:$D$800,2,False),"OOPS FIX ME"))</f>
        <v>liviade</v>
      </c>
      <c r="B547" s="185" t="s">
        <v>534</v>
      </c>
      <c r="C547" s="186" t="s">
        <v>741</v>
      </c>
      <c r="D547" s="187"/>
      <c r="E547" s="188"/>
      <c r="F547" s="189"/>
      <c r="G547" s="190"/>
      <c r="H547" s="190"/>
      <c r="I547" s="190"/>
      <c r="J547" s="172">
        <f>(H547/$H$2+I547/$I$2)/2</f>
        <v>0</v>
      </c>
      <c r="K547" s="192">
        <f>0.85*-41.261</f>
        <v>-35.07185</v>
      </c>
      <c r="L547" s="193">
        <f t="shared" si="9"/>
        <v>6.18923096</v>
      </c>
      <c r="M547" s="194" t="str">
        <f t="shared" si="10"/>
        <v>liviade</v>
      </c>
      <c r="N547" s="195">
        <f>IFERROR(__xludf.DUMMYFUNCTION("""COMPUTED_VALUE"""),40.0)</f>
        <v>40</v>
      </c>
      <c r="O547" s="195"/>
      <c r="P547" s="196" t="s">
        <v>18</v>
      </c>
      <c r="Q547" s="185" t="s">
        <v>534</v>
      </c>
      <c r="R547" s="195"/>
      <c r="S547" s="195"/>
      <c r="T547" s="195"/>
      <c r="U547" s="195"/>
      <c r="V547" s="195"/>
      <c r="W547" s="195"/>
      <c r="X547" s="195"/>
      <c r="Y547" s="195"/>
      <c r="Z547" s="195"/>
      <c r="AA547" s="176"/>
    </row>
    <row r="548">
      <c r="A548" s="165" t="str">
        <f>iferror(VLOOKUP(P548,'DO NOT TOUCH Imported'!$A$1:$D$800,4,False),iferror(VLOOKUP(P548,'DO NOT TOUCH Imported'!$C$1:$D$800,2,False),"OOPS FIX ME"))</f>
        <v>mehigher</v>
      </c>
      <c r="B548" s="166" t="s">
        <v>435</v>
      </c>
      <c r="C548" s="167" t="s">
        <v>742</v>
      </c>
      <c r="D548" s="168" t="s">
        <v>499</v>
      </c>
      <c r="E548" s="177" t="s">
        <v>452</v>
      </c>
      <c r="F548" s="168" t="s">
        <v>503</v>
      </c>
      <c r="G548" s="170">
        <v>1000.0</v>
      </c>
      <c r="H548" s="171">
        <v>150.0</v>
      </c>
      <c r="I548" s="171">
        <v>100.0</v>
      </c>
      <c r="J548" s="172">
        <f t="shared" ref="J548:J590" si="27">(G548/$G$2+H548/$H$2+I548/$I$2)/3</f>
        <v>0.0008830136242</v>
      </c>
      <c r="K548" s="173">
        <f t="shared" ref="K548:K590" si="28">J548*$J$1</f>
        <v>1.059616349</v>
      </c>
      <c r="L548" s="174">
        <f t="shared" si="9"/>
        <v>6.114819591</v>
      </c>
      <c r="M548" s="175" t="str">
        <f t="shared" si="10"/>
        <v>mehigher</v>
      </c>
      <c r="N548" s="176">
        <f>IFERROR(__xludf.DUMMYFUNCTION("""COMPUTED_VALUE"""),1.0)</f>
        <v>1</v>
      </c>
      <c r="O548" s="176"/>
      <c r="P548" s="166" t="s">
        <v>743</v>
      </c>
      <c r="Q548" s="166" t="s">
        <v>435</v>
      </c>
      <c r="R548" s="176"/>
      <c r="S548" s="176"/>
      <c r="T548" s="176"/>
      <c r="U548" s="176"/>
      <c r="V548" s="176"/>
      <c r="W548" s="176"/>
      <c r="X548" s="176"/>
      <c r="Y548" s="176"/>
      <c r="Z548" s="176"/>
      <c r="AA548" s="176"/>
    </row>
    <row r="549">
      <c r="A549" s="165" t="str">
        <f>iferror(VLOOKUP(P549,'DO NOT TOUCH Imported'!$A$1:$D$800,4,False),iferror(VLOOKUP(P549,'DO NOT TOUCH Imported'!$C$1:$D$800,2,False),"OOPS FIX ME"))</f>
        <v>mehigher</v>
      </c>
      <c r="B549" s="166" t="s">
        <v>435</v>
      </c>
      <c r="C549" s="167" t="s">
        <v>744</v>
      </c>
      <c r="D549" s="168" t="s">
        <v>437</v>
      </c>
      <c r="E549" s="169" t="s">
        <v>460</v>
      </c>
      <c r="F549" s="168" t="s">
        <v>439</v>
      </c>
      <c r="G549" s="170">
        <v>1000.0</v>
      </c>
      <c r="H549" s="171">
        <v>100.0</v>
      </c>
      <c r="I549" s="171">
        <v>100.0</v>
      </c>
      <c r="J549" s="172">
        <f t="shared" si="27"/>
        <v>0.000723394157</v>
      </c>
      <c r="K549" s="173">
        <f t="shared" si="28"/>
        <v>0.8680729884</v>
      </c>
      <c r="L549" s="174">
        <f t="shared" si="9"/>
        <v>6.114819591</v>
      </c>
      <c r="M549" s="175" t="str">
        <f t="shared" si="10"/>
        <v>mehigher</v>
      </c>
      <c r="N549" s="176">
        <f>IFERROR(__xludf.DUMMYFUNCTION("""COMPUTED_VALUE"""),2.0)</f>
        <v>2</v>
      </c>
      <c r="O549" s="176"/>
      <c r="P549" s="166" t="s">
        <v>743</v>
      </c>
      <c r="Q549" s="166" t="s">
        <v>435</v>
      </c>
      <c r="R549" s="176"/>
      <c r="S549" s="176"/>
      <c r="T549" s="176"/>
      <c r="U549" s="176"/>
      <c r="V549" s="176"/>
      <c r="W549" s="176"/>
      <c r="X549" s="176"/>
      <c r="Y549" s="176"/>
      <c r="Z549" s="176"/>
      <c r="AA549" s="176"/>
    </row>
    <row r="550">
      <c r="A550" s="165" t="str">
        <f>iferror(VLOOKUP(P550,'DO NOT TOUCH Imported'!$A$1:$D$800,4,False),iferror(VLOOKUP(P550,'DO NOT TOUCH Imported'!$C$1:$D$800,2,False),"OOPS FIX ME"))</f>
        <v>mehigher</v>
      </c>
      <c r="B550" s="166" t="s">
        <v>441</v>
      </c>
      <c r="C550" s="167" t="s">
        <v>461</v>
      </c>
      <c r="D550" s="168" t="s">
        <v>437</v>
      </c>
      <c r="E550" s="169" t="s">
        <v>460</v>
      </c>
      <c r="F550" s="168" t="s">
        <v>439</v>
      </c>
      <c r="G550" s="170">
        <v>1000.0</v>
      </c>
      <c r="H550" s="171">
        <v>100.0</v>
      </c>
      <c r="I550" s="171">
        <v>100.0</v>
      </c>
      <c r="J550" s="172">
        <f t="shared" si="27"/>
        <v>0.000723394157</v>
      </c>
      <c r="K550" s="173">
        <f t="shared" si="28"/>
        <v>0.8680729884</v>
      </c>
      <c r="L550" s="174">
        <f t="shared" si="9"/>
        <v>6.114819591</v>
      </c>
      <c r="M550" s="175" t="str">
        <f t="shared" si="10"/>
        <v>mehigher</v>
      </c>
      <c r="N550" s="176">
        <f>IFERROR(__xludf.DUMMYFUNCTION("""COMPUTED_VALUE"""),3.0)</f>
        <v>3</v>
      </c>
      <c r="O550" s="176"/>
      <c r="P550" s="166" t="s">
        <v>743</v>
      </c>
      <c r="Q550" s="166" t="s">
        <v>441</v>
      </c>
      <c r="R550" s="176"/>
      <c r="S550" s="176"/>
      <c r="T550" s="176"/>
      <c r="U550" s="176"/>
      <c r="V550" s="176"/>
      <c r="W550" s="176"/>
      <c r="X550" s="176"/>
      <c r="Y550" s="176"/>
      <c r="Z550" s="176"/>
      <c r="AA550" s="176"/>
    </row>
    <row r="551">
      <c r="A551" s="165" t="str">
        <f>iferror(VLOOKUP(P551,'DO NOT TOUCH Imported'!$A$1:$D$800,4,False),iferror(VLOOKUP(P551,'DO NOT TOUCH Imported'!$C$1:$D$800,2,False),"OOPS FIX ME"))</f>
        <v>mehigher</v>
      </c>
      <c r="B551" s="166" t="s">
        <v>45</v>
      </c>
      <c r="C551" s="167" t="s">
        <v>745</v>
      </c>
      <c r="D551" s="168" t="s">
        <v>499</v>
      </c>
      <c r="E551" s="177" t="s">
        <v>478</v>
      </c>
      <c r="F551" s="168" t="s">
        <v>503</v>
      </c>
      <c r="G551" s="170">
        <v>1000.0</v>
      </c>
      <c r="H551" s="171">
        <v>100.0</v>
      </c>
      <c r="I551" s="171">
        <v>100.0</v>
      </c>
      <c r="J551" s="172">
        <f t="shared" si="27"/>
        <v>0.000723394157</v>
      </c>
      <c r="K551" s="173">
        <f t="shared" si="28"/>
        <v>0.8680729884</v>
      </c>
      <c r="L551" s="174">
        <f t="shared" si="9"/>
        <v>6.114819591</v>
      </c>
      <c r="M551" s="175" t="str">
        <f t="shared" si="10"/>
        <v>mehigher</v>
      </c>
      <c r="N551" s="176">
        <f>IFERROR(__xludf.DUMMYFUNCTION("""COMPUTED_VALUE"""),4.0)</f>
        <v>4</v>
      </c>
      <c r="O551" s="176"/>
      <c r="P551" s="166" t="s">
        <v>743</v>
      </c>
      <c r="Q551" s="166" t="s">
        <v>45</v>
      </c>
      <c r="R551" s="176"/>
      <c r="S551" s="176"/>
      <c r="T551" s="176"/>
      <c r="U551" s="176"/>
      <c r="V551" s="176"/>
      <c r="W551" s="176"/>
      <c r="X551" s="176"/>
      <c r="Y551" s="176"/>
      <c r="Z551" s="176"/>
      <c r="AA551" s="176"/>
    </row>
    <row r="552">
      <c r="A552" s="165" t="str">
        <f>iferror(VLOOKUP(P552,'DO NOT TOUCH Imported'!$A$1:$D$800,4,False),iferror(VLOOKUP(P552,'DO NOT TOUCH Imported'!$C$1:$D$800,2,False),"OOPS FIX ME"))</f>
        <v>mehigher</v>
      </c>
      <c r="B552" s="166" t="s">
        <v>435</v>
      </c>
      <c r="C552" s="167" t="s">
        <v>746</v>
      </c>
      <c r="D552" s="168" t="s">
        <v>437</v>
      </c>
      <c r="E552" s="169" t="s">
        <v>438</v>
      </c>
      <c r="F552" s="168" t="s">
        <v>439</v>
      </c>
      <c r="G552" s="170">
        <v>1000.0</v>
      </c>
      <c r="H552" s="171">
        <v>100.0</v>
      </c>
      <c r="I552" s="171">
        <v>100.0</v>
      </c>
      <c r="J552" s="172">
        <f t="shared" si="27"/>
        <v>0.000723394157</v>
      </c>
      <c r="K552" s="173">
        <f t="shared" si="28"/>
        <v>0.8680729884</v>
      </c>
      <c r="L552" s="174">
        <f t="shared" si="9"/>
        <v>6.114819591</v>
      </c>
      <c r="M552" s="175" t="str">
        <f t="shared" si="10"/>
        <v>mehigher</v>
      </c>
      <c r="N552" s="176">
        <f>IFERROR(__xludf.DUMMYFUNCTION("""COMPUTED_VALUE"""),5.0)</f>
        <v>5</v>
      </c>
      <c r="O552" s="176"/>
      <c r="P552" s="166" t="s">
        <v>743</v>
      </c>
      <c r="Q552" s="166" t="s">
        <v>435</v>
      </c>
      <c r="R552" s="176"/>
      <c r="S552" s="176"/>
      <c r="T552" s="176"/>
      <c r="U552" s="176"/>
      <c r="V552" s="176"/>
      <c r="W552" s="176"/>
      <c r="X552" s="176"/>
      <c r="Y552" s="176"/>
      <c r="Z552" s="176"/>
      <c r="AA552" s="176"/>
    </row>
    <row r="553">
      <c r="A553" s="165" t="str">
        <f>iferror(VLOOKUP(P553,'DO NOT TOUCH Imported'!$A$1:$D$800,4,False),iferror(VLOOKUP(P553,'DO NOT TOUCH Imported'!$C$1:$D$800,2,False),"OOPS FIX ME"))</f>
        <v>mehigher</v>
      </c>
      <c r="B553" s="166" t="s">
        <v>435</v>
      </c>
      <c r="C553" s="167" t="s">
        <v>479</v>
      </c>
      <c r="D553" s="168" t="s">
        <v>437</v>
      </c>
      <c r="E553" s="169" t="s">
        <v>455</v>
      </c>
      <c r="F553" s="168" t="s">
        <v>439</v>
      </c>
      <c r="G553" s="170">
        <v>1000.0</v>
      </c>
      <c r="H553" s="171">
        <v>90.0</v>
      </c>
      <c r="I553" s="171">
        <v>100.0</v>
      </c>
      <c r="J553" s="172">
        <f t="shared" si="27"/>
        <v>0.0006914702636</v>
      </c>
      <c r="K553" s="173">
        <f t="shared" si="28"/>
        <v>0.8297643163</v>
      </c>
      <c r="L553" s="174">
        <f t="shared" si="9"/>
        <v>6.114819591</v>
      </c>
      <c r="M553" s="175" t="str">
        <f t="shared" si="10"/>
        <v>mehigher</v>
      </c>
      <c r="N553" s="176">
        <f>IFERROR(__xludf.DUMMYFUNCTION("""COMPUTED_VALUE"""),6.0)</f>
        <v>6</v>
      </c>
      <c r="O553" s="176"/>
      <c r="P553" s="166" t="s">
        <v>743</v>
      </c>
      <c r="Q553" s="166" t="s">
        <v>435</v>
      </c>
      <c r="R553" s="176"/>
      <c r="S553" s="176"/>
      <c r="T553" s="176"/>
      <c r="U553" s="176"/>
      <c r="V553" s="176"/>
      <c r="W553" s="176"/>
      <c r="X553" s="176"/>
      <c r="Y553" s="176"/>
      <c r="Z553" s="176"/>
      <c r="AA553" s="176"/>
    </row>
    <row r="554">
      <c r="A554" s="165" t="str">
        <f>iferror(VLOOKUP(P554,'DO NOT TOUCH Imported'!$A$1:$D$800,4,False),iferror(VLOOKUP(P554,'DO NOT TOUCH Imported'!$C$1:$D$800,2,False),"OOPS FIX ME"))</f>
        <v>mehigher</v>
      </c>
      <c r="B554" s="166" t="s">
        <v>486</v>
      </c>
      <c r="C554" s="167" t="s">
        <v>487</v>
      </c>
      <c r="D554" s="168" t="s">
        <v>437</v>
      </c>
      <c r="E554" s="177" t="s">
        <v>488</v>
      </c>
      <c r="F554" s="168" t="s">
        <v>439</v>
      </c>
      <c r="G554" s="170">
        <v>1000.0</v>
      </c>
      <c r="H554" s="171">
        <v>70.0</v>
      </c>
      <c r="I554" s="171">
        <v>100.0</v>
      </c>
      <c r="J554" s="172">
        <f t="shared" si="27"/>
        <v>0.0006276224767</v>
      </c>
      <c r="K554" s="173">
        <f t="shared" si="28"/>
        <v>0.7531469721</v>
      </c>
      <c r="L554" s="174">
        <f t="shared" si="9"/>
        <v>6.114819591</v>
      </c>
      <c r="M554" s="175" t="str">
        <f t="shared" si="10"/>
        <v>mehigher</v>
      </c>
      <c r="N554" s="176">
        <f>IFERROR(__xludf.DUMMYFUNCTION("""COMPUTED_VALUE"""),7.0)</f>
        <v>7</v>
      </c>
      <c r="O554" s="176"/>
      <c r="P554" s="166" t="s">
        <v>743</v>
      </c>
      <c r="Q554" s="166" t="s">
        <v>486</v>
      </c>
      <c r="R554" s="176"/>
      <c r="S554" s="176"/>
      <c r="T554" s="176"/>
      <c r="U554" s="176"/>
      <c r="V554" s="176"/>
      <c r="W554" s="176"/>
      <c r="X554" s="176"/>
      <c r="Y554" s="176"/>
      <c r="Z554" s="176"/>
      <c r="AA554" s="176"/>
    </row>
    <row r="555">
      <c r="A555" s="165" t="str">
        <f>iferror(VLOOKUP(P555,'DO NOT TOUCH Imported'!$A$1:$D$800,4,False),iferror(VLOOKUP(P555,'DO NOT TOUCH Imported'!$C$1:$D$800,2,False),"OOPS FIX ME"))</f>
        <v>sherminv</v>
      </c>
      <c r="B555" s="178" t="s">
        <v>590</v>
      </c>
      <c r="C555" s="179" t="s">
        <v>747</v>
      </c>
      <c r="D555" s="180" t="s">
        <v>495</v>
      </c>
      <c r="E555" s="181">
        <v>44322.0</v>
      </c>
      <c r="F555" s="182" t="s">
        <v>499</v>
      </c>
      <c r="G555" s="170">
        <v>10000.0</v>
      </c>
      <c r="H555" s="171">
        <v>500.0</v>
      </c>
      <c r="I555" s="171">
        <v>100.0</v>
      </c>
      <c r="J555" s="172">
        <f t="shared" si="27"/>
        <v>0.002939905172</v>
      </c>
      <c r="K555" s="173">
        <f t="shared" si="28"/>
        <v>3.527886206</v>
      </c>
      <c r="L555" s="174">
        <f t="shared" si="9"/>
        <v>6.098055609</v>
      </c>
      <c r="M555" s="175" t="str">
        <f t="shared" si="10"/>
        <v>sherminv</v>
      </c>
      <c r="N555" s="176">
        <f>IFERROR(__xludf.DUMMYFUNCTION("""COMPUTED_VALUE"""),1.0)</f>
        <v>1</v>
      </c>
      <c r="O555" s="176"/>
      <c r="P555" s="183" t="s">
        <v>121</v>
      </c>
      <c r="Q555" s="178" t="s">
        <v>590</v>
      </c>
      <c r="R555" s="176"/>
      <c r="S555" s="176"/>
      <c r="T555" s="176"/>
      <c r="U555" s="176"/>
      <c r="V555" s="176"/>
      <c r="W555" s="176"/>
      <c r="X555" s="176"/>
      <c r="Y555" s="176"/>
      <c r="Z555" s="176"/>
      <c r="AA555" s="176"/>
    </row>
    <row r="556">
      <c r="A556" s="165" t="str">
        <f>iferror(VLOOKUP(P556,'DO NOT TOUCH Imported'!$A$1:$D$800,4,False),iferror(VLOOKUP(P556,'DO NOT TOUCH Imported'!$C$1:$D$800,2,False),"OOPS FIX ME"))</f>
        <v>sherminv</v>
      </c>
      <c r="B556" s="178" t="s">
        <v>10</v>
      </c>
      <c r="C556" s="179" t="s">
        <v>748</v>
      </c>
      <c r="D556" s="180" t="s">
        <v>495</v>
      </c>
      <c r="E556" s="181">
        <v>44323.0</v>
      </c>
      <c r="F556" s="182" t="s">
        <v>496</v>
      </c>
      <c r="G556" s="170">
        <v>10000.0</v>
      </c>
      <c r="H556" s="171">
        <v>250.0</v>
      </c>
      <c r="I556" s="171">
        <v>100.0</v>
      </c>
      <c r="J556" s="172">
        <f t="shared" si="27"/>
        <v>0.002141807836</v>
      </c>
      <c r="K556" s="173">
        <f t="shared" si="28"/>
        <v>2.570169403</v>
      </c>
      <c r="L556" s="174">
        <f t="shared" si="9"/>
        <v>6.098055609</v>
      </c>
      <c r="M556" s="175" t="str">
        <f t="shared" si="10"/>
        <v>sherminv</v>
      </c>
      <c r="N556" s="176">
        <f>IFERROR(__xludf.DUMMYFUNCTION("""COMPUTED_VALUE"""),2.0)</f>
        <v>2</v>
      </c>
      <c r="O556" s="176"/>
      <c r="P556" s="183" t="s">
        <v>121</v>
      </c>
      <c r="Q556" s="178" t="s">
        <v>10</v>
      </c>
      <c r="R556" s="176"/>
      <c r="S556" s="176"/>
      <c r="T556" s="176"/>
      <c r="U556" s="176"/>
      <c r="V556" s="176"/>
      <c r="W556" s="176"/>
      <c r="X556" s="176"/>
      <c r="Y556" s="176"/>
      <c r="Z556" s="176"/>
      <c r="AA556" s="176"/>
    </row>
    <row r="557">
      <c r="A557" s="165" t="str">
        <f>iferror(VLOOKUP(P557,'DO NOT TOUCH Imported'!$A$1:$D$800,4,False),iferror(VLOOKUP(P557,'DO NOT TOUCH Imported'!$C$1:$D$800,2,False),"OOPS FIX ME"))</f>
        <v>BenjaminScholtz</v>
      </c>
      <c r="B557" s="178" t="s">
        <v>29</v>
      </c>
      <c r="C557" s="179" t="s">
        <v>749</v>
      </c>
      <c r="D557" s="180" t="s">
        <v>495</v>
      </c>
      <c r="E557" s="181">
        <v>44319.0</v>
      </c>
      <c r="F557" s="182" t="s">
        <v>499</v>
      </c>
      <c r="G557" s="170">
        <v>20000.0</v>
      </c>
      <c r="H557" s="171">
        <v>300.0</v>
      </c>
      <c r="I557" s="171">
        <v>200.0</v>
      </c>
      <c r="J557" s="172">
        <f t="shared" si="27"/>
        <v>0.003645137803</v>
      </c>
      <c r="K557" s="173">
        <f t="shared" si="28"/>
        <v>4.374165363</v>
      </c>
      <c r="L557" s="174">
        <f t="shared" si="9"/>
        <v>5.985037303</v>
      </c>
      <c r="M557" s="175" t="str">
        <f t="shared" si="10"/>
        <v>BenjaminScholtz</v>
      </c>
      <c r="N557" s="176">
        <f>IFERROR(__xludf.DUMMYFUNCTION("""COMPUTED_VALUE"""),1.0)</f>
        <v>1</v>
      </c>
      <c r="O557" s="176"/>
      <c r="P557" s="183" t="s">
        <v>47</v>
      </c>
      <c r="Q557" s="178" t="s">
        <v>29</v>
      </c>
      <c r="R557" s="176"/>
      <c r="S557" s="176"/>
      <c r="T557" s="176"/>
      <c r="U557" s="176"/>
      <c r="V557" s="176"/>
      <c r="W557" s="176"/>
      <c r="X557" s="176"/>
      <c r="Y557" s="176"/>
      <c r="Z557" s="176"/>
      <c r="AA557" s="176"/>
    </row>
    <row r="558">
      <c r="A558" s="165" t="str">
        <f>iferror(VLOOKUP(P558,'DO NOT TOUCH Imported'!$A$1:$D$800,4,False),iferror(VLOOKUP(P558,'DO NOT TOUCH Imported'!$C$1:$D$800,2,False),"OOPS FIX ME"))</f>
        <v>BenjaminScholtz</v>
      </c>
      <c r="B558" s="166" t="s">
        <v>566</v>
      </c>
      <c r="C558" s="167" t="s">
        <v>750</v>
      </c>
      <c r="D558" s="168" t="s">
        <v>499</v>
      </c>
      <c r="E558" s="169" t="s">
        <v>452</v>
      </c>
      <c r="F558" s="168" t="s">
        <v>503</v>
      </c>
      <c r="G558" s="170">
        <v>1000.0</v>
      </c>
      <c r="H558" s="171">
        <v>200.0</v>
      </c>
      <c r="I558" s="171">
        <v>200.0</v>
      </c>
      <c r="J558" s="172">
        <f t="shared" si="27"/>
        <v>0.001342393283</v>
      </c>
      <c r="K558" s="173">
        <f t="shared" si="28"/>
        <v>1.61087194</v>
      </c>
      <c r="L558" s="174">
        <f t="shared" si="9"/>
        <v>5.985037303</v>
      </c>
      <c r="M558" s="175" t="str">
        <f t="shared" si="10"/>
        <v>BenjaminScholtz</v>
      </c>
      <c r="N558" s="176">
        <f>IFERROR(__xludf.DUMMYFUNCTION("""COMPUTED_VALUE"""),2.0)</f>
        <v>2</v>
      </c>
      <c r="O558" s="176"/>
      <c r="P558" s="166" t="s">
        <v>751</v>
      </c>
      <c r="Q558" s="166" t="s">
        <v>566</v>
      </c>
      <c r="R558" s="176"/>
      <c r="S558" s="176"/>
      <c r="T558" s="176"/>
      <c r="U558" s="176"/>
      <c r="V558" s="176"/>
      <c r="W558" s="176"/>
      <c r="X558" s="176"/>
      <c r="Y558" s="176"/>
      <c r="Z558" s="176"/>
      <c r="AA558" s="176"/>
    </row>
    <row r="559">
      <c r="A559" s="165" t="str">
        <f>iferror(VLOOKUP(P559,'DO NOT TOUCH Imported'!$A$1:$D$800,4,False),iferror(VLOOKUP(P559,'DO NOT TOUCH Imported'!$C$1:$D$800,2,False),"OOPS FIX ME"))</f>
        <v>naynaysoo</v>
      </c>
      <c r="B559" s="166" t="s">
        <v>441</v>
      </c>
      <c r="C559" s="167" t="s">
        <v>752</v>
      </c>
      <c r="D559" s="168" t="s">
        <v>437</v>
      </c>
      <c r="E559" s="177" t="s">
        <v>447</v>
      </c>
      <c r="F559" s="168" t="s">
        <v>439</v>
      </c>
      <c r="G559" s="170">
        <v>50000.0</v>
      </c>
      <c r="H559" s="171">
        <v>200.0</v>
      </c>
      <c r="I559" s="171">
        <v>100.0</v>
      </c>
      <c r="J559" s="172">
        <f t="shared" si="27"/>
        <v>0.0061579896</v>
      </c>
      <c r="K559" s="173">
        <f t="shared" si="28"/>
        <v>7.389587521</v>
      </c>
      <c r="L559" s="174">
        <f t="shared" si="9"/>
        <v>5.86706192</v>
      </c>
      <c r="M559" s="175" t="str">
        <f t="shared" si="10"/>
        <v>naynaysoo</v>
      </c>
      <c r="N559" s="176">
        <f>IFERROR(__xludf.DUMMYFUNCTION("""COMPUTED_VALUE"""),1.0)</f>
        <v>1</v>
      </c>
      <c r="O559" s="176"/>
      <c r="P559" s="166" t="s">
        <v>528</v>
      </c>
      <c r="Q559" s="166" t="s">
        <v>441</v>
      </c>
      <c r="R559" s="176"/>
      <c r="S559" s="176"/>
      <c r="T559" s="176"/>
      <c r="U559" s="176"/>
      <c r="V559" s="176"/>
      <c r="W559" s="176"/>
      <c r="X559" s="176"/>
      <c r="Y559" s="176"/>
      <c r="Z559" s="176"/>
      <c r="AA559" s="176"/>
    </row>
    <row r="560">
      <c r="A560" s="165" t="str">
        <f>iferror(VLOOKUP(P560,'DO NOT TOUCH Imported'!$A$1:$D$800,4,False),iferror(VLOOKUP(P560,'DO NOT TOUCH Imported'!$C$1:$D$800,2,False),"OOPS FIX ME"))</f>
        <v>naynaysoo</v>
      </c>
      <c r="B560" s="166" t="s">
        <v>441</v>
      </c>
      <c r="C560" s="167" t="s">
        <v>753</v>
      </c>
      <c r="D560" s="168" t="s">
        <v>437</v>
      </c>
      <c r="E560" s="169" t="s">
        <v>438</v>
      </c>
      <c r="F560" s="168" t="s">
        <v>439</v>
      </c>
      <c r="G560" s="170">
        <v>20000.0</v>
      </c>
      <c r="H560" s="171">
        <v>200.0</v>
      </c>
      <c r="I560" s="171">
        <v>200.0</v>
      </c>
      <c r="J560" s="172">
        <f t="shared" si="27"/>
        <v>0.003325898868</v>
      </c>
      <c r="K560" s="173">
        <f t="shared" si="28"/>
        <v>3.991078642</v>
      </c>
      <c r="L560" s="174">
        <f t="shared" si="9"/>
        <v>5.86706192</v>
      </c>
      <c r="M560" s="175" t="str">
        <f t="shared" si="10"/>
        <v>naynaysoo</v>
      </c>
      <c r="N560" s="176">
        <f>IFERROR(__xludf.DUMMYFUNCTION("""COMPUTED_VALUE"""),2.0)</f>
        <v>2</v>
      </c>
      <c r="O560" s="176"/>
      <c r="P560" s="166" t="s">
        <v>528</v>
      </c>
      <c r="Q560" s="166" t="s">
        <v>441</v>
      </c>
      <c r="R560" s="176"/>
      <c r="S560" s="176"/>
      <c r="T560" s="176"/>
      <c r="U560" s="176"/>
      <c r="V560" s="176"/>
      <c r="W560" s="176"/>
      <c r="X560" s="176"/>
      <c r="Y560" s="176"/>
      <c r="Z560" s="176"/>
      <c r="AA560" s="176"/>
    </row>
    <row r="561">
      <c r="A561" s="165" t="str">
        <f>iferror(VLOOKUP(P561,'DO NOT TOUCH Imported'!$A$1:$D$800,4,False),iferror(VLOOKUP(P561,'DO NOT TOUCH Imported'!$C$1:$D$800,2,False),"OOPS FIX ME"))</f>
        <v>naynaysoo</v>
      </c>
      <c r="B561" s="166" t="s">
        <v>441</v>
      </c>
      <c r="C561" s="167" t="s">
        <v>442</v>
      </c>
      <c r="D561" s="168" t="s">
        <v>437</v>
      </c>
      <c r="E561" s="177" t="s">
        <v>438</v>
      </c>
      <c r="F561" s="168" t="s">
        <v>439</v>
      </c>
      <c r="G561" s="170">
        <v>10000.0</v>
      </c>
      <c r="H561" s="171">
        <v>100.0</v>
      </c>
      <c r="I561" s="171">
        <v>100.0</v>
      </c>
      <c r="J561" s="172">
        <f t="shared" si="27"/>
        <v>0.001662949434</v>
      </c>
      <c r="K561" s="173">
        <f t="shared" si="28"/>
        <v>1.995539321</v>
      </c>
      <c r="L561" s="174">
        <f t="shared" si="9"/>
        <v>5.86706192</v>
      </c>
      <c r="M561" s="175" t="str">
        <f t="shared" si="10"/>
        <v>naynaysoo</v>
      </c>
      <c r="N561" s="176">
        <f>IFERROR(__xludf.DUMMYFUNCTION("""COMPUTED_VALUE"""),3.0)</f>
        <v>3</v>
      </c>
      <c r="O561" s="176"/>
      <c r="P561" s="166" t="s">
        <v>528</v>
      </c>
      <c r="Q561" s="166" t="s">
        <v>441</v>
      </c>
      <c r="R561" s="176"/>
      <c r="S561" s="176"/>
      <c r="T561" s="176"/>
      <c r="U561" s="176"/>
      <c r="V561" s="176"/>
      <c r="W561" s="176"/>
      <c r="X561" s="176"/>
      <c r="Y561" s="176"/>
      <c r="Z561" s="176"/>
      <c r="AA561" s="176"/>
    </row>
    <row r="562">
      <c r="A562" s="165" t="str">
        <f>iferror(VLOOKUP(P562,'DO NOT TOUCH Imported'!$A$1:$D$800,4,False),iferror(VLOOKUP(P562,'DO NOT TOUCH Imported'!$C$1:$D$800,2,False),"OOPS FIX ME"))</f>
        <v>naynaysoo</v>
      </c>
      <c r="B562" s="166" t="s">
        <v>440</v>
      </c>
      <c r="C562" s="167" t="s">
        <v>754</v>
      </c>
      <c r="D562" s="168" t="s">
        <v>437</v>
      </c>
      <c r="E562" s="177" t="s">
        <v>540</v>
      </c>
      <c r="F562" s="168" t="s">
        <v>439</v>
      </c>
      <c r="G562" s="170">
        <v>1000.0</v>
      </c>
      <c r="H562" s="171">
        <v>200.0</v>
      </c>
      <c r="I562" s="171">
        <v>100.0</v>
      </c>
      <c r="J562" s="172">
        <f t="shared" si="27"/>
        <v>0.001042633091</v>
      </c>
      <c r="K562" s="173">
        <f t="shared" si="28"/>
        <v>1.25115971</v>
      </c>
      <c r="L562" s="174">
        <f t="shared" si="9"/>
        <v>5.86706192</v>
      </c>
      <c r="M562" s="175" t="str">
        <f t="shared" si="10"/>
        <v>naynaysoo</v>
      </c>
      <c r="N562" s="176">
        <f>IFERROR(__xludf.DUMMYFUNCTION("""COMPUTED_VALUE"""),4.0)</f>
        <v>4</v>
      </c>
      <c r="O562" s="176"/>
      <c r="P562" s="166" t="s">
        <v>528</v>
      </c>
      <c r="Q562" s="166" t="s">
        <v>440</v>
      </c>
      <c r="R562" s="176"/>
      <c r="S562" s="176"/>
      <c r="T562" s="176"/>
      <c r="U562" s="176"/>
      <c r="V562" s="176"/>
      <c r="W562" s="176"/>
      <c r="X562" s="176"/>
      <c r="Y562" s="176"/>
      <c r="Z562" s="176"/>
      <c r="AA562" s="176"/>
    </row>
    <row r="563">
      <c r="A563" s="165" t="str">
        <f>iferror(VLOOKUP(P563,'DO NOT TOUCH Imported'!$A$1:$D$800,4,False),iferror(VLOOKUP(P563,'DO NOT TOUCH Imported'!$C$1:$D$800,2,False),"OOPS FIX ME"))</f>
        <v>naynaysoo</v>
      </c>
      <c r="B563" s="166" t="s">
        <v>441</v>
      </c>
      <c r="C563" s="167" t="s">
        <v>755</v>
      </c>
      <c r="D563" s="168" t="s">
        <v>437</v>
      </c>
      <c r="E563" s="169" t="s">
        <v>447</v>
      </c>
      <c r="F563" s="168" t="s">
        <v>439</v>
      </c>
      <c r="G563" s="170">
        <v>1000.0</v>
      </c>
      <c r="H563" s="171">
        <v>200.0</v>
      </c>
      <c r="I563" s="171">
        <v>100.0</v>
      </c>
      <c r="J563" s="172">
        <f t="shared" si="27"/>
        <v>0.001042633091</v>
      </c>
      <c r="K563" s="173">
        <f t="shared" si="28"/>
        <v>1.25115971</v>
      </c>
      <c r="L563" s="174">
        <f t="shared" si="9"/>
        <v>5.86706192</v>
      </c>
      <c r="M563" s="175" t="str">
        <f t="shared" si="10"/>
        <v>naynaysoo</v>
      </c>
      <c r="N563" s="176">
        <f>IFERROR(__xludf.DUMMYFUNCTION("""COMPUTED_VALUE"""),5.0)</f>
        <v>5</v>
      </c>
      <c r="O563" s="176"/>
      <c r="P563" s="166" t="s">
        <v>528</v>
      </c>
      <c r="Q563" s="166" t="s">
        <v>441</v>
      </c>
      <c r="R563" s="176"/>
      <c r="S563" s="176"/>
      <c r="T563" s="176"/>
      <c r="U563" s="176"/>
      <c r="V563" s="176"/>
      <c r="W563" s="176"/>
      <c r="X563" s="176"/>
      <c r="Y563" s="176"/>
      <c r="Z563" s="176"/>
      <c r="AA563" s="176"/>
    </row>
    <row r="564">
      <c r="A564" s="165" t="str">
        <f>iferror(VLOOKUP(P564,'DO NOT TOUCH Imported'!$A$1:$D$800,4,False),iferror(VLOOKUP(P564,'DO NOT TOUCH Imported'!$C$1:$D$800,2,False),"OOPS FIX ME"))</f>
        <v>naynaysoo</v>
      </c>
      <c r="B564" s="166" t="s">
        <v>450</v>
      </c>
      <c r="C564" s="167" t="s">
        <v>451</v>
      </c>
      <c r="D564" s="168" t="s">
        <v>437</v>
      </c>
      <c r="E564" s="177" t="s">
        <v>452</v>
      </c>
      <c r="F564" s="168" t="s">
        <v>453</v>
      </c>
      <c r="G564" s="170">
        <v>1000.0</v>
      </c>
      <c r="H564" s="171">
        <v>100.0</v>
      </c>
      <c r="I564" s="171">
        <v>200.0</v>
      </c>
      <c r="J564" s="172">
        <f t="shared" si="27"/>
        <v>0.001023154349</v>
      </c>
      <c r="K564" s="173">
        <f t="shared" si="28"/>
        <v>1.227785219</v>
      </c>
      <c r="L564" s="174">
        <f t="shared" si="9"/>
        <v>5.86706192</v>
      </c>
      <c r="M564" s="175" t="str">
        <f t="shared" si="10"/>
        <v>naynaysoo</v>
      </c>
      <c r="N564" s="176">
        <f>IFERROR(__xludf.DUMMYFUNCTION("""COMPUTED_VALUE"""),6.0)</f>
        <v>6</v>
      </c>
      <c r="O564" s="176"/>
      <c r="P564" s="166" t="s">
        <v>528</v>
      </c>
      <c r="Q564" s="166" t="s">
        <v>450</v>
      </c>
      <c r="R564" s="176"/>
      <c r="S564" s="176"/>
      <c r="T564" s="176"/>
      <c r="U564" s="176"/>
      <c r="V564" s="176"/>
      <c r="W564" s="176"/>
      <c r="X564" s="176"/>
      <c r="Y564" s="176"/>
      <c r="Z564" s="176"/>
      <c r="AA564" s="176"/>
    </row>
    <row r="565">
      <c r="A565" s="165" t="str">
        <f>iferror(VLOOKUP(P565,'DO NOT TOUCH Imported'!$A$1:$D$800,4,False),iferror(VLOOKUP(P565,'DO NOT TOUCH Imported'!$C$1:$D$800,2,False),"OOPS FIX ME"))</f>
        <v>naynaysoo</v>
      </c>
      <c r="B565" s="166" t="s">
        <v>441</v>
      </c>
      <c r="C565" s="167" t="s">
        <v>456</v>
      </c>
      <c r="D565" s="168" t="s">
        <v>437</v>
      </c>
      <c r="E565" s="177" t="s">
        <v>438</v>
      </c>
      <c r="F565" s="168" t="s">
        <v>439</v>
      </c>
      <c r="G565" s="170">
        <v>1000.0</v>
      </c>
      <c r="H565" s="171">
        <v>100.0</v>
      </c>
      <c r="I565" s="171">
        <v>200.0</v>
      </c>
      <c r="J565" s="172">
        <f t="shared" si="27"/>
        <v>0.001023154349</v>
      </c>
      <c r="K565" s="173">
        <f t="shared" si="28"/>
        <v>1.227785219</v>
      </c>
      <c r="L565" s="174">
        <f t="shared" si="9"/>
        <v>5.86706192</v>
      </c>
      <c r="M565" s="175" t="str">
        <f t="shared" si="10"/>
        <v>naynaysoo</v>
      </c>
      <c r="N565" s="176">
        <f>IFERROR(__xludf.DUMMYFUNCTION("""COMPUTED_VALUE"""),7.0)</f>
        <v>7</v>
      </c>
      <c r="O565" s="176"/>
      <c r="P565" s="166" t="s">
        <v>528</v>
      </c>
      <c r="Q565" s="166" t="s">
        <v>441</v>
      </c>
      <c r="R565" s="176"/>
      <c r="S565" s="176"/>
      <c r="T565" s="176"/>
      <c r="U565" s="176"/>
      <c r="V565" s="176"/>
      <c r="W565" s="176"/>
      <c r="X565" s="176"/>
      <c r="Y565" s="176"/>
      <c r="Z565" s="176"/>
      <c r="AA565" s="176"/>
    </row>
    <row r="566">
      <c r="A566" s="165" t="str">
        <f>iferror(VLOOKUP(P566,'DO NOT TOUCH Imported'!$A$1:$D$800,4,False),iferror(VLOOKUP(P566,'DO NOT TOUCH Imported'!$C$1:$D$800,2,False),"OOPS FIX ME"))</f>
        <v>naynaysoo</v>
      </c>
      <c r="B566" s="166" t="s">
        <v>435</v>
      </c>
      <c r="C566" s="167" t="s">
        <v>465</v>
      </c>
      <c r="D566" s="168" t="s">
        <v>437</v>
      </c>
      <c r="E566" s="169" t="s">
        <v>445</v>
      </c>
      <c r="F566" s="168" t="s">
        <v>439</v>
      </c>
      <c r="G566" s="170">
        <v>1000.0</v>
      </c>
      <c r="H566" s="171">
        <v>100.0</v>
      </c>
      <c r="I566" s="171">
        <v>100.0</v>
      </c>
      <c r="J566" s="172">
        <f t="shared" si="27"/>
        <v>0.000723394157</v>
      </c>
      <c r="K566" s="173">
        <f t="shared" si="28"/>
        <v>0.8680729884</v>
      </c>
      <c r="L566" s="174">
        <f t="shared" si="9"/>
        <v>5.86706192</v>
      </c>
      <c r="M566" s="175" t="str">
        <f t="shared" si="10"/>
        <v>naynaysoo</v>
      </c>
      <c r="N566" s="176">
        <f>IFERROR(__xludf.DUMMYFUNCTION("""COMPUTED_VALUE"""),8.0)</f>
        <v>8</v>
      </c>
      <c r="O566" s="176"/>
      <c r="P566" s="166" t="s">
        <v>528</v>
      </c>
      <c r="Q566" s="166" t="s">
        <v>435</v>
      </c>
      <c r="R566" s="176"/>
      <c r="S566" s="176"/>
      <c r="T566" s="176"/>
      <c r="U566" s="176"/>
      <c r="V566" s="176"/>
      <c r="W566" s="176"/>
      <c r="X566" s="176"/>
      <c r="Y566" s="176"/>
      <c r="Z566" s="176"/>
      <c r="AA566" s="176"/>
    </row>
    <row r="567">
      <c r="A567" s="165" t="str">
        <f>iferror(VLOOKUP(P567,'DO NOT TOUCH Imported'!$A$1:$D$800,4,False),iferror(VLOOKUP(P567,'DO NOT TOUCH Imported'!$C$1:$D$800,2,False),"OOPS FIX ME"))</f>
        <v>naynaysoo</v>
      </c>
      <c r="B567" s="166" t="s">
        <v>528</v>
      </c>
      <c r="C567" s="167" t="s">
        <v>600</v>
      </c>
      <c r="D567" s="168" t="s">
        <v>437</v>
      </c>
      <c r="E567" s="177" t="s">
        <v>445</v>
      </c>
      <c r="F567" s="168" t="s">
        <v>439</v>
      </c>
      <c r="G567" s="170">
        <v>1000.0</v>
      </c>
      <c r="H567" s="171">
        <v>100.0</v>
      </c>
      <c r="I567" s="171">
        <v>100.0</v>
      </c>
      <c r="J567" s="172">
        <f t="shared" si="27"/>
        <v>0.000723394157</v>
      </c>
      <c r="K567" s="173">
        <f t="shared" si="28"/>
        <v>0.8680729884</v>
      </c>
      <c r="L567" s="174">
        <f t="shared" si="9"/>
        <v>5.86706192</v>
      </c>
      <c r="M567" s="175" t="str">
        <f t="shared" si="10"/>
        <v>naynaysoo</v>
      </c>
      <c r="N567" s="176">
        <f>IFERROR(__xludf.DUMMYFUNCTION("""COMPUTED_VALUE"""),9.0)</f>
        <v>9</v>
      </c>
      <c r="O567" s="176"/>
      <c r="P567" s="166" t="s">
        <v>528</v>
      </c>
      <c r="Q567" s="166" t="s">
        <v>528</v>
      </c>
      <c r="R567" s="176"/>
      <c r="S567" s="176"/>
      <c r="T567" s="176"/>
      <c r="U567" s="176"/>
      <c r="V567" s="176"/>
      <c r="W567" s="176"/>
      <c r="X567" s="176"/>
      <c r="Y567" s="176"/>
      <c r="Z567" s="176"/>
      <c r="AA567" s="176"/>
    </row>
    <row r="568">
      <c r="A568" s="165" t="str">
        <f>iferror(VLOOKUP(P568,'DO NOT TOUCH Imported'!$A$1:$D$800,4,False),iferror(VLOOKUP(P568,'DO NOT TOUCH Imported'!$C$1:$D$800,2,False),"OOPS FIX ME"))</f>
        <v>naynaysoo</v>
      </c>
      <c r="B568" s="166" t="s">
        <v>441</v>
      </c>
      <c r="C568" s="167" t="s">
        <v>542</v>
      </c>
      <c r="D568" s="168" t="s">
        <v>437</v>
      </c>
      <c r="E568" s="177" t="s">
        <v>447</v>
      </c>
      <c r="F568" s="168" t="s">
        <v>439</v>
      </c>
      <c r="G568" s="170">
        <v>1000.0</v>
      </c>
      <c r="H568" s="171">
        <v>100.0</v>
      </c>
      <c r="I568" s="171">
        <v>100.0</v>
      </c>
      <c r="J568" s="172">
        <f t="shared" si="27"/>
        <v>0.000723394157</v>
      </c>
      <c r="K568" s="173">
        <f t="shared" si="28"/>
        <v>0.8680729884</v>
      </c>
      <c r="L568" s="174">
        <f t="shared" si="9"/>
        <v>5.86706192</v>
      </c>
      <c r="M568" s="175" t="str">
        <f t="shared" si="10"/>
        <v>naynaysoo</v>
      </c>
      <c r="N568" s="176">
        <f>IFERROR(__xludf.DUMMYFUNCTION("""COMPUTED_VALUE"""),10.0)</f>
        <v>10</v>
      </c>
      <c r="O568" s="176"/>
      <c r="P568" s="166" t="s">
        <v>528</v>
      </c>
      <c r="Q568" s="166" t="s">
        <v>441</v>
      </c>
      <c r="R568" s="176"/>
      <c r="S568" s="176"/>
      <c r="T568" s="176"/>
      <c r="U568" s="176"/>
      <c r="V568" s="176"/>
      <c r="W568" s="176"/>
      <c r="X568" s="176"/>
      <c r="Y568" s="176"/>
      <c r="Z568" s="176"/>
      <c r="AA568" s="176"/>
    </row>
    <row r="569">
      <c r="A569" s="165" t="str">
        <f>iferror(VLOOKUP(P569,'DO NOT TOUCH Imported'!$A$1:$D$800,4,False),iferror(VLOOKUP(P569,'DO NOT TOUCH Imported'!$C$1:$D$800,2,False),"OOPS FIX ME"))</f>
        <v>naynaysoo</v>
      </c>
      <c r="B569" s="166" t="s">
        <v>441</v>
      </c>
      <c r="C569" s="167" t="s">
        <v>467</v>
      </c>
      <c r="D569" s="168" t="s">
        <v>437</v>
      </c>
      <c r="E569" s="177" t="s">
        <v>447</v>
      </c>
      <c r="F569" s="168" t="s">
        <v>439</v>
      </c>
      <c r="G569" s="170">
        <v>1000.0</v>
      </c>
      <c r="H569" s="171">
        <v>100.0</v>
      </c>
      <c r="I569" s="171">
        <v>100.0</v>
      </c>
      <c r="J569" s="172">
        <f t="shared" si="27"/>
        <v>0.000723394157</v>
      </c>
      <c r="K569" s="173">
        <f t="shared" si="28"/>
        <v>0.8680729884</v>
      </c>
      <c r="L569" s="174">
        <f t="shared" si="9"/>
        <v>5.86706192</v>
      </c>
      <c r="M569" s="175" t="str">
        <f t="shared" si="10"/>
        <v>naynaysoo</v>
      </c>
      <c r="N569" s="176">
        <f>IFERROR(__xludf.DUMMYFUNCTION("""COMPUTED_VALUE"""),11.0)</f>
        <v>11</v>
      </c>
      <c r="O569" s="176"/>
      <c r="P569" s="166" t="s">
        <v>528</v>
      </c>
      <c r="Q569" s="166" t="s">
        <v>441</v>
      </c>
      <c r="R569" s="176"/>
      <c r="S569" s="176"/>
      <c r="T569" s="176"/>
      <c r="U569" s="176"/>
      <c r="V569" s="176"/>
      <c r="W569" s="176"/>
      <c r="X569" s="176"/>
      <c r="Y569" s="176"/>
      <c r="Z569" s="176"/>
      <c r="AA569" s="176"/>
    </row>
    <row r="570">
      <c r="A570" s="165" t="str">
        <f>iferror(VLOOKUP(P570,'DO NOT TOUCH Imported'!$A$1:$D$800,4,False),iferror(VLOOKUP(P570,'DO NOT TOUCH Imported'!$C$1:$D$800,2,False),"OOPS FIX ME"))</f>
        <v>naynaysoo</v>
      </c>
      <c r="B570" s="166" t="s">
        <v>441</v>
      </c>
      <c r="C570" s="167" t="s">
        <v>468</v>
      </c>
      <c r="D570" s="168" t="s">
        <v>437</v>
      </c>
      <c r="E570" s="177" t="s">
        <v>447</v>
      </c>
      <c r="F570" s="168" t="s">
        <v>439</v>
      </c>
      <c r="G570" s="170">
        <v>1000.0</v>
      </c>
      <c r="H570" s="171">
        <v>100.0</v>
      </c>
      <c r="I570" s="171">
        <v>100.0</v>
      </c>
      <c r="J570" s="172">
        <f t="shared" si="27"/>
        <v>0.000723394157</v>
      </c>
      <c r="K570" s="173">
        <f t="shared" si="28"/>
        <v>0.8680729884</v>
      </c>
      <c r="L570" s="174">
        <f t="shared" si="9"/>
        <v>5.86706192</v>
      </c>
      <c r="M570" s="175" t="str">
        <f t="shared" si="10"/>
        <v>naynaysoo</v>
      </c>
      <c r="N570" s="176">
        <f>IFERROR(__xludf.DUMMYFUNCTION("""COMPUTED_VALUE"""),12.0)</f>
        <v>12</v>
      </c>
      <c r="O570" s="176"/>
      <c r="P570" s="166" t="s">
        <v>528</v>
      </c>
      <c r="Q570" s="166" t="s">
        <v>441</v>
      </c>
      <c r="R570" s="176"/>
      <c r="S570" s="176"/>
      <c r="T570" s="176"/>
      <c r="U570" s="176"/>
      <c r="V570" s="176"/>
      <c r="W570" s="176"/>
      <c r="X570" s="176"/>
      <c r="Y570" s="176"/>
      <c r="Z570" s="176"/>
      <c r="AA570" s="176"/>
    </row>
    <row r="571">
      <c r="A571" s="165" t="str">
        <f>iferror(VLOOKUP(P571,'DO NOT TOUCH Imported'!$A$1:$D$800,4,False),iferror(VLOOKUP(P571,'DO NOT TOUCH Imported'!$C$1:$D$800,2,False),"OOPS FIX ME"))</f>
        <v>naynaysoo</v>
      </c>
      <c r="B571" s="166" t="s">
        <v>441</v>
      </c>
      <c r="C571" s="167" t="s">
        <v>756</v>
      </c>
      <c r="D571" s="168" t="s">
        <v>437</v>
      </c>
      <c r="E571" s="177" t="s">
        <v>447</v>
      </c>
      <c r="F571" s="168" t="s">
        <v>439</v>
      </c>
      <c r="G571" s="170">
        <v>1000.0</v>
      </c>
      <c r="H571" s="171">
        <v>100.0</v>
      </c>
      <c r="I571" s="171">
        <v>100.0</v>
      </c>
      <c r="J571" s="172">
        <f t="shared" si="27"/>
        <v>0.000723394157</v>
      </c>
      <c r="K571" s="173">
        <f t="shared" si="28"/>
        <v>0.8680729884</v>
      </c>
      <c r="L571" s="174">
        <f t="shared" si="9"/>
        <v>5.86706192</v>
      </c>
      <c r="M571" s="175" t="str">
        <f t="shared" si="10"/>
        <v>naynaysoo</v>
      </c>
      <c r="N571" s="176">
        <f>IFERROR(__xludf.DUMMYFUNCTION("""COMPUTED_VALUE"""),13.0)</f>
        <v>13</v>
      </c>
      <c r="O571" s="176"/>
      <c r="P571" s="166" t="s">
        <v>528</v>
      </c>
      <c r="Q571" s="166" t="s">
        <v>441</v>
      </c>
      <c r="R571" s="176"/>
      <c r="S571" s="176"/>
      <c r="T571" s="176"/>
      <c r="U571" s="176"/>
      <c r="V571" s="176"/>
      <c r="W571" s="176"/>
      <c r="X571" s="176"/>
      <c r="Y571" s="176"/>
      <c r="Z571" s="176"/>
      <c r="AA571" s="176"/>
    </row>
    <row r="572">
      <c r="A572" s="165" t="str">
        <f>iferror(VLOOKUP(P572,'DO NOT TOUCH Imported'!$A$1:$D$800,4,False),iferror(VLOOKUP(P572,'DO NOT TOUCH Imported'!$C$1:$D$800,2,False),"OOPS FIX ME"))</f>
        <v>naynaysoo</v>
      </c>
      <c r="B572" s="166" t="s">
        <v>441</v>
      </c>
      <c r="C572" s="167" t="s">
        <v>602</v>
      </c>
      <c r="D572" s="168" t="s">
        <v>437</v>
      </c>
      <c r="E572" s="169" t="s">
        <v>447</v>
      </c>
      <c r="F572" s="168" t="s">
        <v>439</v>
      </c>
      <c r="G572" s="170">
        <v>1000.0</v>
      </c>
      <c r="H572" s="171">
        <v>100.0</v>
      </c>
      <c r="I572" s="171">
        <v>100.0</v>
      </c>
      <c r="J572" s="172">
        <f t="shared" si="27"/>
        <v>0.000723394157</v>
      </c>
      <c r="K572" s="173">
        <f t="shared" si="28"/>
        <v>0.8680729884</v>
      </c>
      <c r="L572" s="174">
        <f t="shared" si="9"/>
        <v>5.86706192</v>
      </c>
      <c r="M572" s="175" t="str">
        <f t="shared" si="10"/>
        <v>naynaysoo</v>
      </c>
      <c r="N572" s="176">
        <f>IFERROR(__xludf.DUMMYFUNCTION("""COMPUTED_VALUE"""),14.0)</f>
        <v>14</v>
      </c>
      <c r="O572" s="176"/>
      <c r="P572" s="166" t="s">
        <v>528</v>
      </c>
      <c r="Q572" s="166" t="s">
        <v>441</v>
      </c>
      <c r="R572" s="176"/>
      <c r="S572" s="176"/>
      <c r="T572" s="176"/>
      <c r="U572" s="176"/>
      <c r="V572" s="176"/>
      <c r="W572" s="176"/>
      <c r="X572" s="176"/>
      <c r="Y572" s="176"/>
      <c r="Z572" s="176"/>
      <c r="AA572" s="176"/>
    </row>
    <row r="573">
      <c r="A573" s="165" t="str">
        <f>iferror(VLOOKUP(P573,'DO NOT TOUCH Imported'!$A$1:$D$800,4,False),iferror(VLOOKUP(P573,'DO NOT TOUCH Imported'!$C$1:$D$800,2,False),"OOPS FIX ME"))</f>
        <v>naynaysoo</v>
      </c>
      <c r="B573" s="166" t="s">
        <v>440</v>
      </c>
      <c r="C573" s="167" t="s">
        <v>471</v>
      </c>
      <c r="D573" s="168" t="s">
        <v>437</v>
      </c>
      <c r="E573" s="169" t="s">
        <v>447</v>
      </c>
      <c r="F573" s="168" t="s">
        <v>439</v>
      </c>
      <c r="G573" s="170">
        <v>1000.0</v>
      </c>
      <c r="H573" s="171">
        <v>100.0</v>
      </c>
      <c r="I573" s="171">
        <v>100.0</v>
      </c>
      <c r="J573" s="172">
        <f t="shared" si="27"/>
        <v>0.000723394157</v>
      </c>
      <c r="K573" s="173">
        <f t="shared" si="28"/>
        <v>0.8680729884</v>
      </c>
      <c r="L573" s="174">
        <f t="shared" si="9"/>
        <v>5.86706192</v>
      </c>
      <c r="M573" s="175" t="str">
        <f t="shared" si="10"/>
        <v>naynaysoo</v>
      </c>
      <c r="N573" s="176">
        <f>IFERROR(__xludf.DUMMYFUNCTION("""COMPUTED_VALUE"""),15.0)</f>
        <v>15</v>
      </c>
      <c r="O573" s="176"/>
      <c r="P573" s="166" t="s">
        <v>528</v>
      </c>
      <c r="Q573" s="166" t="s">
        <v>440</v>
      </c>
      <c r="R573" s="176"/>
      <c r="S573" s="176"/>
      <c r="T573" s="176"/>
      <c r="U573" s="176"/>
      <c r="V573" s="176"/>
      <c r="W573" s="176"/>
      <c r="X573" s="176"/>
      <c r="Y573" s="176"/>
      <c r="Z573" s="176"/>
      <c r="AA573" s="176"/>
    </row>
    <row r="574">
      <c r="A574" s="165" t="str">
        <f>iferror(VLOOKUP(P574,'DO NOT TOUCH Imported'!$A$1:$D$800,4,False),iferror(VLOOKUP(P574,'DO NOT TOUCH Imported'!$C$1:$D$800,2,False),"OOPS FIX ME"))</f>
        <v>naynaysoo</v>
      </c>
      <c r="B574" s="166" t="s">
        <v>528</v>
      </c>
      <c r="C574" s="167" t="s">
        <v>529</v>
      </c>
      <c r="D574" s="168" t="s">
        <v>437</v>
      </c>
      <c r="E574" s="169" t="s">
        <v>447</v>
      </c>
      <c r="F574" s="168" t="s">
        <v>439</v>
      </c>
      <c r="G574" s="170">
        <v>1000.0</v>
      </c>
      <c r="H574" s="171">
        <v>100.0</v>
      </c>
      <c r="I574" s="171">
        <v>100.0</v>
      </c>
      <c r="J574" s="172">
        <f t="shared" si="27"/>
        <v>0.000723394157</v>
      </c>
      <c r="K574" s="173">
        <f t="shared" si="28"/>
        <v>0.8680729884</v>
      </c>
      <c r="L574" s="174">
        <f t="shared" si="9"/>
        <v>5.86706192</v>
      </c>
      <c r="M574" s="175" t="str">
        <f t="shared" si="10"/>
        <v>naynaysoo</v>
      </c>
      <c r="N574" s="176">
        <f>IFERROR(__xludf.DUMMYFUNCTION("""COMPUTED_VALUE"""),16.0)</f>
        <v>16</v>
      </c>
      <c r="O574" s="176"/>
      <c r="P574" s="166" t="s">
        <v>528</v>
      </c>
      <c r="Q574" s="166" t="s">
        <v>528</v>
      </c>
      <c r="R574" s="176"/>
      <c r="S574" s="176"/>
      <c r="T574" s="176"/>
      <c r="U574" s="176"/>
      <c r="V574" s="176"/>
      <c r="W574" s="176"/>
      <c r="X574" s="176"/>
      <c r="Y574" s="176"/>
      <c r="Z574" s="176"/>
      <c r="AA574" s="176"/>
    </row>
    <row r="575">
      <c r="A575" s="165" t="str">
        <f>iferror(VLOOKUP(P575,'DO NOT TOUCH Imported'!$A$1:$D$800,4,False),iferror(VLOOKUP(P575,'DO NOT TOUCH Imported'!$C$1:$D$800,2,False),"OOPS FIX ME"))</f>
        <v>naynaysoo</v>
      </c>
      <c r="B575" s="166" t="s">
        <v>530</v>
      </c>
      <c r="C575" s="167" t="s">
        <v>757</v>
      </c>
      <c r="D575" s="168" t="s">
        <v>499</v>
      </c>
      <c r="E575" s="169" t="s">
        <v>452</v>
      </c>
      <c r="F575" s="168" t="s">
        <v>503</v>
      </c>
      <c r="G575" s="170">
        <v>1000.0</v>
      </c>
      <c r="H575" s="171">
        <v>100.0</v>
      </c>
      <c r="I575" s="171">
        <v>100.0</v>
      </c>
      <c r="J575" s="172">
        <f t="shared" si="27"/>
        <v>0.000723394157</v>
      </c>
      <c r="K575" s="173">
        <f t="shared" si="28"/>
        <v>0.8680729884</v>
      </c>
      <c r="L575" s="174">
        <f t="shared" si="9"/>
        <v>5.86706192</v>
      </c>
      <c r="M575" s="175" t="str">
        <f t="shared" si="10"/>
        <v>naynaysoo</v>
      </c>
      <c r="N575" s="176">
        <f>IFERROR(__xludf.DUMMYFUNCTION("""COMPUTED_VALUE"""),17.0)</f>
        <v>17</v>
      </c>
      <c r="O575" s="176"/>
      <c r="P575" s="166" t="s">
        <v>528</v>
      </c>
      <c r="Q575" s="166" t="s">
        <v>530</v>
      </c>
      <c r="R575" s="176"/>
      <c r="S575" s="176"/>
      <c r="T575" s="176"/>
      <c r="U575" s="176"/>
      <c r="V575" s="176"/>
      <c r="W575" s="176"/>
      <c r="X575" s="176"/>
      <c r="Y575" s="176"/>
      <c r="Z575" s="176"/>
      <c r="AA575" s="176"/>
    </row>
    <row r="576">
      <c r="A576" s="165" t="str">
        <f>iferror(VLOOKUP(P576,'DO NOT TOUCH Imported'!$A$1:$D$800,4,False),iferror(VLOOKUP(P576,'DO NOT TOUCH Imported'!$C$1:$D$800,2,False),"OOPS FIX ME"))</f>
        <v>naynaysoo</v>
      </c>
      <c r="B576" s="166" t="s">
        <v>450</v>
      </c>
      <c r="C576" s="167" t="s">
        <v>472</v>
      </c>
      <c r="D576" s="168" t="s">
        <v>437</v>
      </c>
      <c r="E576" s="177" t="s">
        <v>452</v>
      </c>
      <c r="F576" s="168" t="s">
        <v>473</v>
      </c>
      <c r="G576" s="170">
        <v>1000.0</v>
      </c>
      <c r="H576" s="171">
        <v>100.0</v>
      </c>
      <c r="I576" s="171">
        <v>100.0</v>
      </c>
      <c r="J576" s="172">
        <f t="shared" si="27"/>
        <v>0.000723394157</v>
      </c>
      <c r="K576" s="173">
        <f t="shared" si="28"/>
        <v>0.8680729884</v>
      </c>
      <c r="L576" s="174">
        <f t="shared" si="9"/>
        <v>5.86706192</v>
      </c>
      <c r="M576" s="175" t="str">
        <f t="shared" si="10"/>
        <v>naynaysoo</v>
      </c>
      <c r="N576" s="176">
        <f>IFERROR(__xludf.DUMMYFUNCTION("""COMPUTED_VALUE"""),18.0)</f>
        <v>18</v>
      </c>
      <c r="O576" s="176"/>
      <c r="P576" s="166" t="s">
        <v>528</v>
      </c>
      <c r="Q576" s="166" t="s">
        <v>450</v>
      </c>
      <c r="R576" s="176"/>
      <c r="S576" s="176"/>
      <c r="T576" s="176"/>
      <c r="U576" s="176"/>
      <c r="V576" s="176"/>
      <c r="W576" s="176"/>
      <c r="X576" s="176"/>
      <c r="Y576" s="176"/>
      <c r="Z576" s="176"/>
      <c r="AA576" s="176"/>
    </row>
    <row r="577">
      <c r="A577" s="165" t="str">
        <f>iferror(VLOOKUP(P577,'DO NOT TOUCH Imported'!$A$1:$D$800,4,False),iferror(VLOOKUP(P577,'DO NOT TOUCH Imported'!$C$1:$D$800,2,False),"OOPS FIX ME"))</f>
        <v>naynaysoo</v>
      </c>
      <c r="B577" s="166" t="s">
        <v>483</v>
      </c>
      <c r="C577" s="167" t="s">
        <v>713</v>
      </c>
      <c r="D577" s="168" t="s">
        <v>437</v>
      </c>
      <c r="E577" s="169" t="s">
        <v>452</v>
      </c>
      <c r="F577" s="168" t="s">
        <v>439</v>
      </c>
      <c r="G577" s="170">
        <v>1000.0</v>
      </c>
      <c r="H577" s="171">
        <v>100.0</v>
      </c>
      <c r="I577" s="171">
        <v>100.0</v>
      </c>
      <c r="J577" s="172">
        <f t="shared" si="27"/>
        <v>0.000723394157</v>
      </c>
      <c r="K577" s="173">
        <f t="shared" si="28"/>
        <v>0.8680729884</v>
      </c>
      <c r="L577" s="174">
        <f t="shared" si="9"/>
        <v>5.86706192</v>
      </c>
      <c r="M577" s="175" t="str">
        <f t="shared" si="10"/>
        <v>naynaysoo</v>
      </c>
      <c r="N577" s="176">
        <f>IFERROR(__xludf.DUMMYFUNCTION("""COMPUTED_VALUE"""),19.0)</f>
        <v>19</v>
      </c>
      <c r="O577" s="176"/>
      <c r="P577" s="166" t="s">
        <v>528</v>
      </c>
      <c r="Q577" s="166" t="s">
        <v>483</v>
      </c>
      <c r="R577" s="176"/>
      <c r="S577" s="176"/>
      <c r="T577" s="176"/>
      <c r="U577" s="176"/>
      <c r="V577" s="176"/>
      <c r="W577" s="176"/>
      <c r="X577" s="176"/>
      <c r="Y577" s="176"/>
      <c r="Z577" s="176"/>
      <c r="AA577" s="176"/>
    </row>
    <row r="578">
      <c r="A578" s="165" t="str">
        <f>iferror(VLOOKUP(P578,'DO NOT TOUCH Imported'!$A$1:$D$800,4,False),iferror(VLOOKUP(P578,'DO NOT TOUCH Imported'!$C$1:$D$800,2,False),"OOPS FIX ME"))</f>
        <v>naynaysoo</v>
      </c>
      <c r="B578" s="166" t="s">
        <v>450</v>
      </c>
      <c r="C578" s="167" t="s">
        <v>758</v>
      </c>
      <c r="D578" s="168" t="s">
        <v>437</v>
      </c>
      <c r="E578" s="169" t="s">
        <v>506</v>
      </c>
      <c r="F578" s="168" t="s">
        <v>439</v>
      </c>
      <c r="G578" s="170">
        <v>1000.0</v>
      </c>
      <c r="H578" s="171">
        <v>100.0</v>
      </c>
      <c r="I578" s="171">
        <v>100.0</v>
      </c>
      <c r="J578" s="172">
        <f t="shared" si="27"/>
        <v>0.000723394157</v>
      </c>
      <c r="K578" s="173">
        <f t="shared" si="28"/>
        <v>0.8680729884</v>
      </c>
      <c r="L578" s="174">
        <f t="shared" si="9"/>
        <v>5.86706192</v>
      </c>
      <c r="M578" s="175" t="str">
        <f t="shared" si="10"/>
        <v>naynaysoo</v>
      </c>
      <c r="N578" s="176">
        <f>IFERROR(__xludf.DUMMYFUNCTION("""COMPUTED_VALUE"""),20.0)</f>
        <v>20</v>
      </c>
      <c r="O578" s="176"/>
      <c r="P578" s="166" t="s">
        <v>528</v>
      </c>
      <c r="Q578" s="166" t="s">
        <v>450</v>
      </c>
      <c r="R578" s="176"/>
      <c r="S578" s="176"/>
      <c r="T578" s="176"/>
      <c r="U578" s="176"/>
      <c r="V578" s="176"/>
      <c r="W578" s="176"/>
      <c r="X578" s="176"/>
      <c r="Y578" s="176"/>
      <c r="Z578" s="176"/>
      <c r="AA578" s="176"/>
    </row>
    <row r="579">
      <c r="A579" s="165" t="str">
        <f>iferror(VLOOKUP(P579,'DO NOT TOUCH Imported'!$A$1:$D$800,4,False),iferror(VLOOKUP(P579,'DO NOT TOUCH Imported'!$C$1:$D$800,2,False),"OOPS FIX ME"))</f>
        <v>naynaysoo</v>
      </c>
      <c r="B579" s="166" t="s">
        <v>441</v>
      </c>
      <c r="C579" s="167" t="s">
        <v>475</v>
      </c>
      <c r="D579" s="168" t="s">
        <v>437</v>
      </c>
      <c r="E579" s="169" t="s">
        <v>438</v>
      </c>
      <c r="F579" s="168" t="s">
        <v>439</v>
      </c>
      <c r="G579" s="170">
        <v>1000.0</v>
      </c>
      <c r="H579" s="171">
        <v>100.0</v>
      </c>
      <c r="I579" s="171">
        <v>100.0</v>
      </c>
      <c r="J579" s="172">
        <f t="shared" si="27"/>
        <v>0.000723394157</v>
      </c>
      <c r="K579" s="173">
        <f t="shared" si="28"/>
        <v>0.8680729884</v>
      </c>
      <c r="L579" s="174">
        <f t="shared" si="9"/>
        <v>5.86706192</v>
      </c>
      <c r="M579" s="175" t="str">
        <f t="shared" si="10"/>
        <v>naynaysoo</v>
      </c>
      <c r="N579" s="176">
        <f>IFERROR(__xludf.DUMMYFUNCTION("""COMPUTED_VALUE"""),21.0)</f>
        <v>21</v>
      </c>
      <c r="O579" s="176"/>
      <c r="P579" s="166" t="s">
        <v>528</v>
      </c>
      <c r="Q579" s="166" t="s">
        <v>441</v>
      </c>
      <c r="R579" s="176"/>
      <c r="S579" s="176"/>
      <c r="T579" s="176"/>
      <c r="U579" s="176"/>
      <c r="V579" s="176"/>
      <c r="W579" s="176"/>
      <c r="X579" s="176"/>
      <c r="Y579" s="176"/>
      <c r="Z579" s="176"/>
      <c r="AA579" s="176"/>
    </row>
    <row r="580">
      <c r="A580" s="165" t="str">
        <f>iferror(VLOOKUP(P580,'DO NOT TOUCH Imported'!$A$1:$D$800,4,False),iferror(VLOOKUP(P580,'DO NOT TOUCH Imported'!$C$1:$D$800,2,False),"OOPS FIX ME"))</f>
        <v>naynaysoo</v>
      </c>
      <c r="B580" s="166" t="s">
        <v>441</v>
      </c>
      <c r="C580" s="167" t="s">
        <v>714</v>
      </c>
      <c r="D580" s="168" t="s">
        <v>437</v>
      </c>
      <c r="E580" s="177" t="s">
        <v>438</v>
      </c>
      <c r="F580" s="168" t="s">
        <v>439</v>
      </c>
      <c r="G580" s="170">
        <v>1000.0</v>
      </c>
      <c r="H580" s="171">
        <v>100.0</v>
      </c>
      <c r="I580" s="171">
        <v>100.0</v>
      </c>
      <c r="J580" s="172">
        <f t="shared" si="27"/>
        <v>0.000723394157</v>
      </c>
      <c r="K580" s="173">
        <f t="shared" si="28"/>
        <v>0.8680729884</v>
      </c>
      <c r="L580" s="174">
        <f t="shared" si="9"/>
        <v>5.86706192</v>
      </c>
      <c r="M580" s="175" t="str">
        <f t="shared" si="10"/>
        <v>naynaysoo</v>
      </c>
      <c r="N580" s="176">
        <f>IFERROR(__xludf.DUMMYFUNCTION("""COMPUTED_VALUE"""),22.0)</f>
        <v>22</v>
      </c>
      <c r="O580" s="176"/>
      <c r="P580" s="166" t="s">
        <v>528</v>
      </c>
      <c r="Q580" s="166" t="s">
        <v>441</v>
      </c>
      <c r="R580" s="176"/>
      <c r="S580" s="176"/>
      <c r="T580" s="176"/>
      <c r="U580" s="176"/>
      <c r="V580" s="176"/>
      <c r="W580" s="176"/>
      <c r="X580" s="176"/>
      <c r="Y580" s="176"/>
      <c r="Z580" s="176"/>
      <c r="AA580" s="176"/>
    </row>
    <row r="581">
      <c r="A581" s="165" t="str">
        <f>iferror(VLOOKUP(P581,'DO NOT TOUCH Imported'!$A$1:$D$800,4,False),iferror(VLOOKUP(P581,'DO NOT TOUCH Imported'!$C$1:$D$800,2,False),"OOPS FIX ME"))</f>
        <v>naynaysoo</v>
      </c>
      <c r="B581" s="166" t="s">
        <v>476</v>
      </c>
      <c r="C581" s="167" t="s">
        <v>477</v>
      </c>
      <c r="D581" s="168" t="s">
        <v>437</v>
      </c>
      <c r="E581" s="177" t="s">
        <v>478</v>
      </c>
      <c r="F581" s="168" t="s">
        <v>439</v>
      </c>
      <c r="G581" s="170">
        <v>1000.0</v>
      </c>
      <c r="H581" s="171">
        <v>90.0</v>
      </c>
      <c r="I581" s="171">
        <v>100.0</v>
      </c>
      <c r="J581" s="172">
        <f t="shared" si="27"/>
        <v>0.0006914702636</v>
      </c>
      <c r="K581" s="173">
        <f t="shared" si="28"/>
        <v>0.8297643163</v>
      </c>
      <c r="L581" s="174">
        <f t="shared" si="9"/>
        <v>5.86706192</v>
      </c>
      <c r="M581" s="175" t="str">
        <f t="shared" si="10"/>
        <v>naynaysoo</v>
      </c>
      <c r="N581" s="176">
        <f>IFERROR(__xludf.DUMMYFUNCTION("""COMPUTED_VALUE"""),23.0)</f>
        <v>23</v>
      </c>
      <c r="O581" s="176"/>
      <c r="P581" s="166" t="s">
        <v>528</v>
      </c>
      <c r="Q581" s="166" t="s">
        <v>476</v>
      </c>
      <c r="R581" s="176"/>
      <c r="S581" s="176"/>
      <c r="T581" s="176"/>
      <c r="U581" s="176"/>
      <c r="V581" s="176"/>
      <c r="W581" s="176"/>
      <c r="X581" s="176"/>
      <c r="Y581" s="176"/>
      <c r="Z581" s="176"/>
      <c r="AA581" s="176"/>
    </row>
    <row r="582">
      <c r="A582" s="165" t="str">
        <f>iferror(VLOOKUP(P582,'DO NOT TOUCH Imported'!$A$1:$D$800,4,False),iferror(VLOOKUP(P582,'DO NOT TOUCH Imported'!$C$1:$D$800,2,False),"OOPS FIX ME"))</f>
        <v>naynaysoo</v>
      </c>
      <c r="B582" s="166" t="s">
        <v>435</v>
      </c>
      <c r="C582" s="167" t="s">
        <v>479</v>
      </c>
      <c r="D582" s="168" t="s">
        <v>437</v>
      </c>
      <c r="E582" s="169" t="s">
        <v>455</v>
      </c>
      <c r="F582" s="168" t="s">
        <v>439</v>
      </c>
      <c r="G582" s="170">
        <v>1000.0</v>
      </c>
      <c r="H582" s="171">
        <v>90.0</v>
      </c>
      <c r="I582" s="171">
        <v>100.0</v>
      </c>
      <c r="J582" s="172">
        <f t="shared" si="27"/>
        <v>0.0006914702636</v>
      </c>
      <c r="K582" s="173">
        <f t="shared" si="28"/>
        <v>0.8297643163</v>
      </c>
      <c r="L582" s="174">
        <f t="shared" si="9"/>
        <v>5.86706192</v>
      </c>
      <c r="M582" s="175" t="str">
        <f t="shared" si="10"/>
        <v>naynaysoo</v>
      </c>
      <c r="N582" s="176">
        <f>IFERROR(__xludf.DUMMYFUNCTION("""COMPUTED_VALUE"""),24.0)</f>
        <v>24</v>
      </c>
      <c r="O582" s="176"/>
      <c r="P582" s="166" t="s">
        <v>528</v>
      </c>
      <c r="Q582" s="166" t="s">
        <v>435</v>
      </c>
      <c r="R582" s="176"/>
      <c r="S582" s="176"/>
      <c r="T582" s="176"/>
      <c r="U582" s="176"/>
      <c r="V582" s="176"/>
      <c r="W582" s="176"/>
      <c r="X582" s="176"/>
      <c r="Y582" s="176"/>
      <c r="Z582" s="176"/>
      <c r="AA582" s="176"/>
    </row>
    <row r="583">
      <c r="A583" s="165" t="str">
        <f>iferror(VLOOKUP(P583,'DO NOT TOUCH Imported'!$A$1:$D$800,4,False),iferror(VLOOKUP(P583,'DO NOT TOUCH Imported'!$C$1:$D$800,2,False),"OOPS FIX ME"))</f>
        <v>naynaysoo</v>
      </c>
      <c r="B583" s="166" t="s">
        <v>441</v>
      </c>
      <c r="C583" s="167" t="s">
        <v>716</v>
      </c>
      <c r="D583" s="168" t="s">
        <v>437</v>
      </c>
      <c r="E583" s="169" t="s">
        <v>438</v>
      </c>
      <c r="F583" s="168" t="s">
        <v>439</v>
      </c>
      <c r="G583" s="170">
        <v>1000.0</v>
      </c>
      <c r="H583" s="171">
        <v>90.0</v>
      </c>
      <c r="I583" s="171">
        <v>100.0</v>
      </c>
      <c r="J583" s="172">
        <f t="shared" si="27"/>
        <v>0.0006914702636</v>
      </c>
      <c r="K583" s="173">
        <f t="shared" si="28"/>
        <v>0.8297643163</v>
      </c>
      <c r="L583" s="174">
        <f t="shared" si="9"/>
        <v>5.86706192</v>
      </c>
      <c r="M583" s="175" t="str">
        <f t="shared" si="10"/>
        <v>naynaysoo</v>
      </c>
      <c r="N583" s="176">
        <f>IFERROR(__xludf.DUMMYFUNCTION("""COMPUTED_VALUE"""),25.0)</f>
        <v>25</v>
      </c>
      <c r="O583" s="176"/>
      <c r="P583" s="166" t="s">
        <v>528</v>
      </c>
      <c r="Q583" s="166" t="s">
        <v>441</v>
      </c>
      <c r="R583" s="176"/>
      <c r="S583" s="176"/>
      <c r="T583" s="176"/>
      <c r="U583" s="176"/>
      <c r="V583" s="176"/>
      <c r="W583" s="176"/>
      <c r="X583" s="176"/>
      <c r="Y583" s="176"/>
      <c r="Z583" s="176"/>
      <c r="AA583" s="176"/>
    </row>
    <row r="584">
      <c r="A584" s="165" t="str">
        <f>iferror(VLOOKUP(P584,'DO NOT TOUCH Imported'!$A$1:$D$800,4,False),iferror(VLOOKUP(P584,'DO NOT TOUCH Imported'!$C$1:$D$800,2,False),"OOPS FIX ME"))</f>
        <v>naynaysoo</v>
      </c>
      <c r="B584" s="166" t="s">
        <v>441</v>
      </c>
      <c r="C584" s="167" t="s">
        <v>759</v>
      </c>
      <c r="D584" s="168" t="s">
        <v>437</v>
      </c>
      <c r="E584" s="169" t="s">
        <v>438</v>
      </c>
      <c r="F584" s="168" t="s">
        <v>439</v>
      </c>
      <c r="G584" s="170">
        <v>1000.0</v>
      </c>
      <c r="H584" s="171">
        <v>90.0</v>
      </c>
      <c r="I584" s="171">
        <v>100.0</v>
      </c>
      <c r="J584" s="172">
        <f t="shared" si="27"/>
        <v>0.0006914702636</v>
      </c>
      <c r="K584" s="173">
        <f t="shared" si="28"/>
        <v>0.8297643163</v>
      </c>
      <c r="L584" s="174">
        <f t="shared" si="9"/>
        <v>5.86706192</v>
      </c>
      <c r="M584" s="175" t="str">
        <f t="shared" si="10"/>
        <v>naynaysoo</v>
      </c>
      <c r="N584" s="176">
        <f>IFERROR(__xludf.DUMMYFUNCTION("""COMPUTED_VALUE"""),26.0)</f>
        <v>26</v>
      </c>
      <c r="O584" s="176"/>
      <c r="P584" s="166" t="s">
        <v>528</v>
      </c>
      <c r="Q584" s="166" t="s">
        <v>441</v>
      </c>
      <c r="R584" s="176"/>
      <c r="S584" s="176"/>
      <c r="T584" s="176"/>
      <c r="U584" s="176"/>
      <c r="V584" s="176"/>
      <c r="W584" s="176"/>
      <c r="X584" s="176"/>
      <c r="Y584" s="176"/>
      <c r="Z584" s="176"/>
      <c r="AA584" s="176"/>
    </row>
    <row r="585">
      <c r="A585" s="165" t="str">
        <f>iferror(VLOOKUP(P585,'DO NOT TOUCH Imported'!$A$1:$D$800,4,False),iferror(VLOOKUP(P585,'DO NOT TOUCH Imported'!$C$1:$D$800,2,False),"OOPS FIX ME"))</f>
        <v>naynaysoo</v>
      </c>
      <c r="B585" s="166" t="s">
        <v>441</v>
      </c>
      <c r="C585" s="167" t="s">
        <v>543</v>
      </c>
      <c r="D585" s="168" t="s">
        <v>437</v>
      </c>
      <c r="E585" s="177" t="s">
        <v>447</v>
      </c>
      <c r="F585" s="168" t="s">
        <v>439</v>
      </c>
      <c r="G585" s="170">
        <v>1000.0</v>
      </c>
      <c r="H585" s="171">
        <v>80.0</v>
      </c>
      <c r="I585" s="171">
        <v>100.0</v>
      </c>
      <c r="J585" s="172">
        <f t="shared" si="27"/>
        <v>0.0006595463701</v>
      </c>
      <c r="K585" s="173">
        <f t="shared" si="28"/>
        <v>0.7914556442</v>
      </c>
      <c r="L585" s="174">
        <f t="shared" si="9"/>
        <v>5.86706192</v>
      </c>
      <c r="M585" s="175" t="str">
        <f t="shared" si="10"/>
        <v>naynaysoo</v>
      </c>
      <c r="N585" s="176">
        <f>IFERROR(__xludf.DUMMYFUNCTION("""COMPUTED_VALUE"""),27.0)</f>
        <v>27</v>
      </c>
      <c r="O585" s="176"/>
      <c r="P585" s="166" t="s">
        <v>528</v>
      </c>
      <c r="Q585" s="166" t="s">
        <v>441</v>
      </c>
      <c r="R585" s="176"/>
      <c r="S585" s="176"/>
      <c r="T585" s="176"/>
      <c r="U585" s="176"/>
      <c r="V585" s="176"/>
      <c r="W585" s="176"/>
      <c r="X585" s="176"/>
      <c r="Y585" s="176"/>
      <c r="Z585" s="176"/>
      <c r="AA585" s="176"/>
    </row>
    <row r="586">
      <c r="A586" s="165" t="str">
        <f>iferror(VLOOKUP(P586,'DO NOT TOUCH Imported'!$A$1:$D$800,4,False),iferror(VLOOKUP(P586,'DO NOT TOUCH Imported'!$C$1:$D$800,2,False),"OOPS FIX ME"))</f>
        <v>naynaysoo</v>
      </c>
      <c r="B586" s="166" t="s">
        <v>440</v>
      </c>
      <c r="C586" s="167" t="s">
        <v>482</v>
      </c>
      <c r="D586" s="168" t="s">
        <v>437</v>
      </c>
      <c r="E586" s="177" t="s">
        <v>452</v>
      </c>
      <c r="F586" s="168" t="s">
        <v>439</v>
      </c>
      <c r="G586" s="170">
        <v>1000.0</v>
      </c>
      <c r="H586" s="171">
        <v>80.0</v>
      </c>
      <c r="I586" s="171">
        <v>100.0</v>
      </c>
      <c r="J586" s="172">
        <f t="shared" si="27"/>
        <v>0.0006595463701</v>
      </c>
      <c r="K586" s="173">
        <f t="shared" si="28"/>
        <v>0.7914556442</v>
      </c>
      <c r="L586" s="174">
        <f t="shared" si="9"/>
        <v>5.86706192</v>
      </c>
      <c r="M586" s="175" t="str">
        <f t="shared" si="10"/>
        <v>naynaysoo</v>
      </c>
      <c r="N586" s="176">
        <f>IFERROR(__xludf.DUMMYFUNCTION("""COMPUTED_VALUE"""),28.0)</f>
        <v>28</v>
      </c>
      <c r="O586" s="176"/>
      <c r="P586" s="166" t="s">
        <v>528</v>
      </c>
      <c r="Q586" s="166" t="s">
        <v>440</v>
      </c>
      <c r="R586" s="176"/>
      <c r="S586" s="176"/>
      <c r="T586" s="176"/>
      <c r="U586" s="176"/>
      <c r="V586" s="176"/>
      <c r="W586" s="176"/>
      <c r="X586" s="176"/>
      <c r="Y586" s="176"/>
      <c r="Z586" s="176"/>
      <c r="AA586" s="176"/>
    </row>
    <row r="587">
      <c r="A587" s="165" t="str">
        <f>iferror(VLOOKUP(P587,'DO NOT TOUCH Imported'!$A$1:$D$800,4,False),iferror(VLOOKUP(P587,'DO NOT TOUCH Imported'!$C$1:$D$800,2,False),"OOPS FIX ME"))</f>
        <v>naynaysoo</v>
      </c>
      <c r="B587" s="166" t="s">
        <v>490</v>
      </c>
      <c r="C587" s="167" t="s">
        <v>491</v>
      </c>
      <c r="D587" s="168" t="s">
        <v>437</v>
      </c>
      <c r="E587" s="177" t="s">
        <v>445</v>
      </c>
      <c r="F587" s="168" t="s">
        <v>439</v>
      </c>
      <c r="G587" s="170">
        <v>1000.0</v>
      </c>
      <c r="H587" s="171">
        <v>70.0</v>
      </c>
      <c r="I587" s="171">
        <v>100.0</v>
      </c>
      <c r="J587" s="172">
        <f t="shared" si="27"/>
        <v>0.0006276224767</v>
      </c>
      <c r="K587" s="173">
        <f t="shared" si="28"/>
        <v>0.7531469721</v>
      </c>
      <c r="L587" s="174">
        <f t="shared" si="9"/>
        <v>5.86706192</v>
      </c>
      <c r="M587" s="175" t="str">
        <f t="shared" si="10"/>
        <v>naynaysoo</v>
      </c>
      <c r="N587" s="209">
        <f>IFERROR(__xludf.DUMMYFUNCTION("""COMPUTED_VALUE"""),29.0)</f>
        <v>29</v>
      </c>
      <c r="O587" s="209"/>
      <c r="P587" s="166" t="s">
        <v>528</v>
      </c>
      <c r="Q587" s="166" t="s">
        <v>490</v>
      </c>
      <c r="R587" s="209"/>
      <c r="S587" s="209"/>
      <c r="T587" s="209"/>
      <c r="U587" s="209"/>
      <c r="V587" s="209"/>
      <c r="W587" s="209"/>
      <c r="X587" s="209"/>
      <c r="Y587" s="209"/>
      <c r="Z587" s="209"/>
      <c r="AA587" s="209"/>
    </row>
    <row r="588">
      <c r="A588" s="165" t="str">
        <f>iferror(VLOOKUP(P588,'DO NOT TOUCH Imported'!$A$1:$D$800,4,False),iferror(VLOOKUP(P588,'DO NOT TOUCH Imported'!$C$1:$D$800,2,False),"OOPS FIX ME"))</f>
        <v>naynaysoo</v>
      </c>
      <c r="B588" s="166" t="s">
        <v>492</v>
      </c>
      <c r="C588" s="167" t="s">
        <v>493</v>
      </c>
      <c r="D588" s="168" t="s">
        <v>437</v>
      </c>
      <c r="E588" s="177" t="s">
        <v>445</v>
      </c>
      <c r="F588" s="168" t="s">
        <v>439</v>
      </c>
      <c r="G588" s="170">
        <v>1000.0</v>
      </c>
      <c r="H588" s="171">
        <v>70.0</v>
      </c>
      <c r="I588" s="171">
        <v>100.0</v>
      </c>
      <c r="J588" s="172">
        <f t="shared" si="27"/>
        <v>0.0006276224767</v>
      </c>
      <c r="K588" s="173">
        <f t="shared" si="28"/>
        <v>0.7531469721</v>
      </c>
      <c r="L588" s="174">
        <f t="shared" si="9"/>
        <v>5.86706192</v>
      </c>
      <c r="M588" s="175" t="str">
        <f t="shared" si="10"/>
        <v>naynaysoo</v>
      </c>
      <c r="N588" s="176">
        <f>IFERROR(__xludf.DUMMYFUNCTION("""COMPUTED_VALUE"""),30.0)</f>
        <v>30</v>
      </c>
      <c r="O588" s="176"/>
      <c r="P588" s="166" t="s">
        <v>528</v>
      </c>
      <c r="Q588" s="166" t="s">
        <v>492</v>
      </c>
      <c r="R588" s="176"/>
      <c r="S588" s="176"/>
      <c r="T588" s="176"/>
      <c r="U588" s="176"/>
      <c r="V588" s="176"/>
      <c r="W588" s="176"/>
      <c r="X588" s="176"/>
      <c r="Y588" s="176"/>
      <c r="Z588" s="176"/>
      <c r="AA588" s="176"/>
    </row>
    <row r="589">
      <c r="A589" s="165" t="str">
        <f>iferror(VLOOKUP(P589,'DO NOT TOUCH Imported'!$A$1:$D$800,4,False),iferror(VLOOKUP(P589,'DO NOT TOUCH Imported'!$C$1:$D$800,2,False),"OOPS FIX ME"))</f>
        <v>naynaysoo</v>
      </c>
      <c r="B589" s="178" t="s">
        <v>10</v>
      </c>
      <c r="C589" s="179" t="s">
        <v>494</v>
      </c>
      <c r="D589" s="180" t="s">
        <v>495</v>
      </c>
      <c r="E589" s="181">
        <v>44324.0</v>
      </c>
      <c r="F589" s="182" t="s">
        <v>496</v>
      </c>
      <c r="G589" s="170">
        <v>1000.0</v>
      </c>
      <c r="H589" s="171">
        <v>50.0</v>
      </c>
      <c r="I589" s="171">
        <v>100.0</v>
      </c>
      <c r="J589" s="172">
        <f t="shared" si="27"/>
        <v>0.0005637746898</v>
      </c>
      <c r="K589" s="173">
        <f t="shared" si="28"/>
        <v>0.6765296278</v>
      </c>
      <c r="L589" s="174">
        <f t="shared" si="9"/>
        <v>5.86706192</v>
      </c>
      <c r="M589" s="175" t="str">
        <f t="shared" si="10"/>
        <v>naynaysoo</v>
      </c>
      <c r="N589" s="176">
        <f>IFERROR(__xludf.DUMMYFUNCTION("""COMPUTED_VALUE"""),31.0)</f>
        <v>31</v>
      </c>
      <c r="O589" s="176"/>
      <c r="P589" s="183" t="s">
        <v>22</v>
      </c>
      <c r="Q589" s="178" t="s">
        <v>10</v>
      </c>
      <c r="R589" s="176"/>
      <c r="S589" s="176"/>
      <c r="T589" s="176"/>
      <c r="U589" s="176"/>
      <c r="V589" s="176"/>
      <c r="W589" s="176"/>
      <c r="X589" s="176"/>
      <c r="Y589" s="176"/>
      <c r="Z589" s="176"/>
      <c r="AA589" s="176"/>
    </row>
    <row r="590">
      <c r="A590" s="165" t="str">
        <f>iferror(VLOOKUP(P590,'DO NOT TOUCH Imported'!$A$1:$D$800,4,False),iferror(VLOOKUP(P590,'DO NOT TOUCH Imported'!$C$1:$D$800,2,False),"OOPS FIX ME"))</f>
        <v>naynaysoo</v>
      </c>
      <c r="B590" s="166" t="s">
        <v>441</v>
      </c>
      <c r="C590" s="167" t="s">
        <v>497</v>
      </c>
      <c r="D590" s="168" t="s">
        <v>437</v>
      </c>
      <c r="E590" s="177" t="s">
        <v>438</v>
      </c>
      <c r="F590" s="168" t="s">
        <v>439</v>
      </c>
      <c r="G590" s="170">
        <v>1000.0</v>
      </c>
      <c r="H590" s="171">
        <v>50.0</v>
      </c>
      <c r="I590" s="171">
        <v>100.0</v>
      </c>
      <c r="J590" s="172">
        <f t="shared" si="27"/>
        <v>0.0005637746898</v>
      </c>
      <c r="K590" s="173">
        <f t="shared" si="28"/>
        <v>0.6765296278</v>
      </c>
      <c r="L590" s="174">
        <f t="shared" si="9"/>
        <v>5.86706192</v>
      </c>
      <c r="M590" s="175" t="str">
        <f t="shared" si="10"/>
        <v>naynaysoo</v>
      </c>
      <c r="N590" s="176">
        <f>IFERROR(__xludf.DUMMYFUNCTION("""COMPUTED_VALUE"""),32.0)</f>
        <v>32</v>
      </c>
      <c r="O590" s="176"/>
      <c r="P590" s="166" t="s">
        <v>528</v>
      </c>
      <c r="Q590" s="166" t="s">
        <v>441</v>
      </c>
      <c r="R590" s="176"/>
      <c r="S590" s="176"/>
      <c r="T590" s="176"/>
      <c r="U590" s="176"/>
      <c r="V590" s="176"/>
      <c r="W590" s="176"/>
      <c r="X590" s="176"/>
      <c r="Y590" s="176"/>
      <c r="Z590" s="176"/>
      <c r="AA590" s="176"/>
    </row>
    <row r="591">
      <c r="A591" s="185" t="s">
        <v>22</v>
      </c>
      <c r="B591" s="185" t="s">
        <v>534</v>
      </c>
      <c r="C591" s="186" t="s">
        <v>684</v>
      </c>
      <c r="D591" s="187"/>
      <c r="E591" s="188"/>
      <c r="F591" s="186"/>
      <c r="G591" s="190"/>
      <c r="H591" s="190"/>
      <c r="I591" s="190"/>
      <c r="J591" s="172">
        <f>(H591/$H$2+I591/$I$2)/2</f>
        <v>0</v>
      </c>
      <c r="K591" s="192">
        <f>0.85*-39.117</f>
        <v>-33.24945</v>
      </c>
      <c r="L591" s="193">
        <f t="shared" si="9"/>
        <v>5.86706192</v>
      </c>
      <c r="M591" s="194" t="str">
        <f t="shared" si="10"/>
        <v>naynaysoo</v>
      </c>
      <c r="N591" s="195">
        <f>IFERROR(__xludf.DUMMYFUNCTION("""COMPUTED_VALUE"""),33.0)</f>
        <v>33</v>
      </c>
      <c r="O591" s="195"/>
      <c r="P591" s="196" t="s">
        <v>7</v>
      </c>
      <c r="Q591" s="185" t="s">
        <v>534</v>
      </c>
      <c r="R591" s="195"/>
      <c r="S591" s="195"/>
      <c r="T591" s="195"/>
      <c r="U591" s="195"/>
      <c r="V591" s="195"/>
      <c r="W591" s="195"/>
      <c r="X591" s="195"/>
      <c r="Y591" s="195"/>
      <c r="Z591" s="195"/>
      <c r="AA591" s="176"/>
    </row>
    <row r="592">
      <c r="A592" s="165" t="str">
        <f>iferror(VLOOKUP(P592,'DO NOT TOUCH Imported'!$A$1:$D$800,4,False),iferror(VLOOKUP(P592,'DO NOT TOUCH Imported'!$C$1:$D$800,2,False),"OOPS FIX ME"))</f>
        <v>owocki</v>
      </c>
      <c r="B592" s="166" t="s">
        <v>566</v>
      </c>
      <c r="C592" s="167" t="s">
        <v>760</v>
      </c>
      <c r="D592" s="168" t="s">
        <v>499</v>
      </c>
      <c r="E592" s="169" t="s">
        <v>452</v>
      </c>
      <c r="F592" s="168" t="s">
        <v>503</v>
      </c>
      <c r="G592" s="170">
        <v>1000.0</v>
      </c>
      <c r="H592" s="171">
        <v>500.0</v>
      </c>
      <c r="I592" s="171">
        <v>100.0</v>
      </c>
      <c r="J592" s="172">
        <f t="shared" ref="J592:J602" si="29">(G592/$G$2+H592/$H$2+I592/$I$2)/3</f>
        <v>0.002000349895</v>
      </c>
      <c r="K592" s="173">
        <f t="shared" ref="K592:K602" si="30">J592*$J$1</f>
        <v>2.400419873</v>
      </c>
      <c r="L592" s="174">
        <f t="shared" si="9"/>
        <v>5.813707114</v>
      </c>
      <c r="M592" s="175" t="str">
        <f t="shared" si="10"/>
        <v>owocki</v>
      </c>
      <c r="N592" s="176">
        <f>IFERROR(__xludf.DUMMYFUNCTION("""COMPUTED_VALUE"""),1.0)</f>
        <v>1</v>
      </c>
      <c r="O592" s="176"/>
      <c r="P592" s="166" t="s">
        <v>761</v>
      </c>
      <c r="Q592" s="166" t="s">
        <v>566</v>
      </c>
      <c r="R592" s="176"/>
      <c r="S592" s="176"/>
      <c r="T592" s="176"/>
      <c r="U592" s="176"/>
      <c r="V592" s="176"/>
      <c r="W592" s="176"/>
      <c r="X592" s="176"/>
      <c r="Y592" s="176"/>
      <c r="Z592" s="176"/>
      <c r="AA592" s="176"/>
    </row>
    <row r="593">
      <c r="A593" s="165" t="str">
        <f>iferror(VLOOKUP(P593,'DO NOT TOUCH Imported'!$A$1:$D$800,4,False),iferror(VLOOKUP(P593,'DO NOT TOUCH Imported'!$C$1:$D$800,2,False),"OOPS FIX ME"))</f>
        <v>owocki</v>
      </c>
      <c r="B593" s="166" t="s">
        <v>530</v>
      </c>
      <c r="C593" s="167" t="s">
        <v>762</v>
      </c>
      <c r="D593" s="168" t="s">
        <v>499</v>
      </c>
      <c r="E593" s="177" t="s">
        <v>452</v>
      </c>
      <c r="F593" s="168" t="s">
        <v>503</v>
      </c>
      <c r="G593" s="170">
        <v>1000.0</v>
      </c>
      <c r="H593" s="171">
        <v>400.0</v>
      </c>
      <c r="I593" s="171">
        <v>200.0</v>
      </c>
      <c r="J593" s="172">
        <f t="shared" si="29"/>
        <v>0.001980871152</v>
      </c>
      <c r="K593" s="173">
        <f t="shared" si="30"/>
        <v>2.377045382</v>
      </c>
      <c r="L593" s="174">
        <f t="shared" si="9"/>
        <v>5.813707114</v>
      </c>
      <c r="M593" s="175" t="str">
        <f t="shared" si="10"/>
        <v>owocki</v>
      </c>
      <c r="N593" s="176">
        <f>IFERROR(__xludf.DUMMYFUNCTION("""COMPUTED_VALUE"""),2.0)</f>
        <v>2</v>
      </c>
      <c r="O593" s="176"/>
      <c r="P593" s="166" t="s">
        <v>761</v>
      </c>
      <c r="Q593" s="166" t="s">
        <v>530</v>
      </c>
      <c r="R593" s="176"/>
      <c r="S593" s="176"/>
      <c r="T593" s="176"/>
      <c r="U593" s="176"/>
      <c r="V593" s="176"/>
      <c r="W593" s="176"/>
      <c r="X593" s="176"/>
      <c r="Y593" s="176"/>
      <c r="Z593" s="176"/>
      <c r="AA593" s="176"/>
    </row>
    <row r="594">
      <c r="A594" s="165" t="str">
        <f>iferror(VLOOKUP(P594,'DO NOT TOUCH Imported'!$A$1:$D$800,4,False),iferror(VLOOKUP(P594,'DO NOT TOUCH Imported'!$C$1:$D$800,2,False),"OOPS FIX ME"))</f>
        <v>owocki</v>
      </c>
      <c r="B594" s="178" t="s">
        <v>10</v>
      </c>
      <c r="C594" s="179" t="s">
        <v>498</v>
      </c>
      <c r="D594" s="180" t="s">
        <v>495</v>
      </c>
      <c r="E594" s="181">
        <v>44323.0</v>
      </c>
      <c r="F594" s="182" t="s">
        <v>499</v>
      </c>
      <c r="G594" s="170">
        <v>500.0</v>
      </c>
      <c r="H594" s="171">
        <v>25.0</v>
      </c>
      <c r="I594" s="171">
        <v>100.0</v>
      </c>
      <c r="J594" s="172">
        <f t="shared" si="29"/>
        <v>0.0004317674408</v>
      </c>
      <c r="K594" s="173">
        <f t="shared" si="30"/>
        <v>0.518120929</v>
      </c>
      <c r="L594" s="174">
        <f t="shared" si="9"/>
        <v>5.813707114</v>
      </c>
      <c r="M594" s="175" t="str">
        <f t="shared" si="10"/>
        <v>owocki</v>
      </c>
      <c r="N594" s="176">
        <f>IFERROR(__xludf.DUMMYFUNCTION("""COMPUTED_VALUE"""),3.0)</f>
        <v>3</v>
      </c>
      <c r="O594" s="176"/>
      <c r="P594" s="183" t="s">
        <v>69</v>
      </c>
      <c r="Q594" s="178" t="s">
        <v>10</v>
      </c>
      <c r="R594" s="176"/>
      <c r="S594" s="176"/>
      <c r="T594" s="176"/>
      <c r="U594" s="176"/>
      <c r="V594" s="176"/>
      <c r="W594" s="176"/>
      <c r="X594" s="176"/>
      <c r="Y594" s="176"/>
      <c r="Z594" s="176"/>
      <c r="AA594" s="176"/>
    </row>
    <row r="595">
      <c r="A595" s="165" t="str">
        <f>iferror(VLOOKUP(P595,'DO NOT TOUCH Imported'!$A$1:$D$800,4,False),iferror(VLOOKUP(P595,'DO NOT TOUCH Imported'!$C$1:$D$800,2,False),"OOPS FIX ME"))</f>
        <v>owocki</v>
      </c>
      <c r="B595" s="178" t="s">
        <v>10</v>
      </c>
      <c r="C595" s="179" t="s">
        <v>500</v>
      </c>
      <c r="D595" s="180" t="s">
        <v>495</v>
      </c>
      <c r="E595" s="181">
        <v>44324.0</v>
      </c>
      <c r="F595" s="182" t="s">
        <v>496</v>
      </c>
      <c r="G595" s="170">
        <v>500.0</v>
      </c>
      <c r="H595" s="171">
        <v>25.0</v>
      </c>
      <c r="I595" s="171">
        <v>100.0</v>
      </c>
      <c r="J595" s="172">
        <f t="shared" si="29"/>
        <v>0.0004317674408</v>
      </c>
      <c r="K595" s="173">
        <f t="shared" si="30"/>
        <v>0.518120929</v>
      </c>
      <c r="L595" s="174">
        <f t="shared" si="9"/>
        <v>5.813707114</v>
      </c>
      <c r="M595" s="175" t="str">
        <f t="shared" si="10"/>
        <v>owocki</v>
      </c>
      <c r="N595" s="176">
        <f>IFERROR(__xludf.DUMMYFUNCTION("""COMPUTED_VALUE"""),4.0)</f>
        <v>4</v>
      </c>
      <c r="O595" s="176"/>
      <c r="P595" s="183" t="s">
        <v>69</v>
      </c>
      <c r="Q595" s="178" t="s">
        <v>10</v>
      </c>
      <c r="R595" s="176"/>
      <c r="S595" s="176"/>
      <c r="T595" s="176"/>
      <c r="U595" s="176"/>
      <c r="V595" s="176"/>
      <c r="W595" s="176"/>
      <c r="X595" s="176"/>
      <c r="Y595" s="176"/>
      <c r="Z595" s="176"/>
      <c r="AA595" s="176"/>
    </row>
    <row r="596">
      <c r="A596" s="165" t="str">
        <f>iferror(VLOOKUP(P596,'DO NOT TOUCH Imported'!$A$1:$D$800,4,False),iferror(VLOOKUP(P596,'DO NOT TOUCH Imported'!$C$1:$D$800,2,False),"OOPS FIX ME"))</f>
        <v>Lydia#2825</v>
      </c>
      <c r="B596" s="166" t="s">
        <v>463</v>
      </c>
      <c r="C596" s="167" t="s">
        <v>763</v>
      </c>
      <c r="D596" s="168" t="s">
        <v>437</v>
      </c>
      <c r="E596" s="169" t="s">
        <v>445</v>
      </c>
      <c r="F596" s="168" t="s">
        <v>439</v>
      </c>
      <c r="G596" s="170">
        <v>30000.0</v>
      </c>
      <c r="H596" s="171">
        <v>100.0</v>
      </c>
      <c r="I596" s="171">
        <v>100.0</v>
      </c>
      <c r="J596" s="172">
        <f t="shared" si="29"/>
        <v>0.00375085005</v>
      </c>
      <c r="K596" s="173">
        <f t="shared" si="30"/>
        <v>4.50102006</v>
      </c>
      <c r="L596" s="174">
        <f t="shared" si="9"/>
        <v>5.369093049</v>
      </c>
      <c r="M596" s="175" t="str">
        <f t="shared" si="10"/>
        <v>Lydia#2825</v>
      </c>
      <c r="N596" s="176">
        <f>IFERROR(__xludf.DUMMYFUNCTION("""COMPUTED_VALUE"""),1.0)</f>
        <v>1</v>
      </c>
      <c r="O596" s="176"/>
      <c r="P596" s="166" t="s">
        <v>130</v>
      </c>
      <c r="Q596" s="166" t="s">
        <v>463</v>
      </c>
      <c r="R596" s="176"/>
      <c r="S596" s="176"/>
      <c r="T596" s="176"/>
      <c r="U596" s="176"/>
      <c r="V596" s="176"/>
      <c r="W596" s="176"/>
      <c r="X596" s="176"/>
      <c r="Y596" s="176"/>
      <c r="Z596" s="176"/>
      <c r="AA596" s="176"/>
    </row>
    <row r="597">
      <c r="A597" s="165" t="str">
        <f>iferror(VLOOKUP(P597,'DO NOT TOUCH Imported'!$A$1:$D$800,4,False),iferror(VLOOKUP(P597,'DO NOT TOUCH Imported'!$C$1:$D$800,2,False),"OOPS FIX ME"))</f>
        <v>Lydia#2825</v>
      </c>
      <c r="B597" s="166" t="s">
        <v>463</v>
      </c>
      <c r="C597" s="167" t="s">
        <v>464</v>
      </c>
      <c r="D597" s="168" t="s">
        <v>437</v>
      </c>
      <c r="E597" s="177" t="s">
        <v>445</v>
      </c>
      <c r="F597" s="168" t="s">
        <v>439</v>
      </c>
      <c r="G597" s="170">
        <v>1000.0</v>
      </c>
      <c r="H597" s="171">
        <v>100.0</v>
      </c>
      <c r="I597" s="171">
        <v>100.0</v>
      </c>
      <c r="J597" s="172">
        <f t="shared" si="29"/>
        <v>0.000723394157</v>
      </c>
      <c r="K597" s="173">
        <f t="shared" si="30"/>
        <v>0.8680729884</v>
      </c>
      <c r="L597" s="174">
        <f t="shared" si="9"/>
        <v>5.369093049</v>
      </c>
      <c r="M597" s="175" t="str">
        <f t="shared" si="10"/>
        <v>Lydia#2825</v>
      </c>
      <c r="N597" s="176">
        <f>IFERROR(__xludf.DUMMYFUNCTION("""COMPUTED_VALUE"""),2.0)</f>
        <v>2</v>
      </c>
      <c r="O597" s="176"/>
      <c r="P597" s="166" t="s">
        <v>130</v>
      </c>
      <c r="Q597" s="166" t="s">
        <v>463</v>
      </c>
      <c r="R597" s="176"/>
      <c r="S597" s="176"/>
      <c r="T597" s="176"/>
      <c r="U597" s="176"/>
      <c r="V597" s="176"/>
      <c r="W597" s="176"/>
      <c r="X597" s="176"/>
      <c r="Y597" s="176"/>
      <c r="Z597" s="176"/>
      <c r="AA597" s="176"/>
    </row>
    <row r="598">
      <c r="A598" s="165" t="str">
        <f>iferror(VLOOKUP(P598,'DO NOT TOUCH Imported'!$A$1:$D$800,4,False),iferror(VLOOKUP(P598,'DO NOT TOUCH Imported'!$C$1:$D$800,2,False),"OOPS FIX ME"))</f>
        <v>xgabi</v>
      </c>
      <c r="B598" s="178" t="s">
        <v>34</v>
      </c>
      <c r="C598" s="179" t="s">
        <v>764</v>
      </c>
      <c r="D598" s="180" t="s">
        <v>495</v>
      </c>
      <c r="E598" s="184">
        <v>44315.0</v>
      </c>
      <c r="F598" s="182" t="s">
        <v>627</v>
      </c>
      <c r="G598" s="170">
        <v>30000.0</v>
      </c>
      <c r="H598" s="171">
        <v>150.0</v>
      </c>
      <c r="I598" s="171">
        <v>300.0</v>
      </c>
      <c r="J598" s="172">
        <f t="shared" si="29"/>
        <v>0.004509989901</v>
      </c>
      <c r="K598" s="173">
        <f t="shared" si="30"/>
        <v>5.411987881</v>
      </c>
      <c r="L598" s="174">
        <f t="shared" si="9"/>
        <v>5.005165508</v>
      </c>
      <c r="M598" s="175" t="str">
        <f t="shared" si="10"/>
        <v>xgabi</v>
      </c>
      <c r="N598" s="176">
        <f>IFERROR(__xludf.DUMMYFUNCTION("""COMPUTED_VALUE"""),1.0)</f>
        <v>1</v>
      </c>
      <c r="O598" s="176"/>
      <c r="P598" s="183" t="s">
        <v>34</v>
      </c>
      <c r="Q598" s="178" t="s">
        <v>34</v>
      </c>
      <c r="R598" s="176"/>
      <c r="S598" s="176"/>
      <c r="T598" s="176"/>
      <c r="U598" s="176"/>
      <c r="V598" s="176"/>
      <c r="W598" s="176"/>
      <c r="X598" s="176"/>
      <c r="Y598" s="176"/>
      <c r="Z598" s="176"/>
      <c r="AA598" s="176"/>
    </row>
    <row r="599">
      <c r="A599" s="165" t="str">
        <f>iferror(VLOOKUP(P599,'DO NOT TOUCH Imported'!$A$1:$D$800,4,False),iferror(VLOOKUP(P599,'DO NOT TOUCH Imported'!$C$1:$D$800,2,False),"OOPS FIX ME"))</f>
        <v>xgabi</v>
      </c>
      <c r="B599" s="166" t="s">
        <v>441</v>
      </c>
      <c r="C599" s="167" t="s">
        <v>765</v>
      </c>
      <c r="D599" s="168" t="s">
        <v>437</v>
      </c>
      <c r="E599" s="177" t="s">
        <v>438</v>
      </c>
      <c r="F599" s="168" t="s">
        <v>439</v>
      </c>
      <c r="G599" s="170">
        <v>1000.0</v>
      </c>
      <c r="H599" s="171">
        <v>200.0</v>
      </c>
      <c r="I599" s="171">
        <v>200.0</v>
      </c>
      <c r="J599" s="172">
        <f t="shared" si="29"/>
        <v>0.001342393283</v>
      </c>
      <c r="K599" s="173">
        <f t="shared" si="30"/>
        <v>1.61087194</v>
      </c>
      <c r="L599" s="174">
        <f t="shared" si="9"/>
        <v>5.005165508</v>
      </c>
      <c r="M599" s="175" t="str">
        <f t="shared" si="10"/>
        <v>xgabi</v>
      </c>
      <c r="N599" s="176">
        <f>IFERROR(__xludf.DUMMYFUNCTION("""COMPUTED_VALUE"""),2.0)</f>
        <v>2</v>
      </c>
      <c r="O599" s="176"/>
      <c r="P599" s="166" t="s">
        <v>766</v>
      </c>
      <c r="Q599" s="166" t="s">
        <v>441</v>
      </c>
      <c r="R599" s="176"/>
      <c r="S599" s="176"/>
      <c r="T599" s="176"/>
      <c r="U599" s="176"/>
      <c r="V599" s="176"/>
      <c r="W599" s="176"/>
      <c r="X599" s="176"/>
      <c r="Y599" s="176"/>
      <c r="Z599" s="176"/>
      <c r="AA599" s="176"/>
    </row>
    <row r="600">
      <c r="A600" s="165" t="str">
        <f>iferror(VLOOKUP(P600,'DO NOT TOUCH Imported'!$A$1:$D$800,4,False),iferror(VLOOKUP(P600,'DO NOT TOUCH Imported'!$C$1:$D$800,2,False),"OOPS FIX ME"))</f>
        <v>xgabi</v>
      </c>
      <c r="B600" s="166" t="s">
        <v>483</v>
      </c>
      <c r="C600" s="167" t="s">
        <v>641</v>
      </c>
      <c r="D600" s="168" t="s">
        <v>437</v>
      </c>
      <c r="E600" s="169" t="s">
        <v>540</v>
      </c>
      <c r="F600" s="168" t="s">
        <v>439</v>
      </c>
      <c r="G600" s="170">
        <v>1000.0</v>
      </c>
      <c r="H600" s="171">
        <v>200.0</v>
      </c>
      <c r="I600" s="171">
        <v>100.0</v>
      </c>
      <c r="J600" s="172">
        <f t="shared" si="29"/>
        <v>0.001042633091</v>
      </c>
      <c r="K600" s="173">
        <f t="shared" si="30"/>
        <v>1.25115971</v>
      </c>
      <c r="L600" s="174">
        <f t="shared" si="9"/>
        <v>5.005165508</v>
      </c>
      <c r="M600" s="175" t="str">
        <f t="shared" si="10"/>
        <v>xgabi</v>
      </c>
      <c r="N600" s="176">
        <f>IFERROR(__xludf.DUMMYFUNCTION("""COMPUTED_VALUE"""),3.0)</f>
        <v>3</v>
      </c>
      <c r="O600" s="176"/>
      <c r="P600" s="166" t="s">
        <v>766</v>
      </c>
      <c r="Q600" s="166" t="s">
        <v>483</v>
      </c>
      <c r="R600" s="176"/>
      <c r="S600" s="176"/>
      <c r="T600" s="176"/>
      <c r="U600" s="176"/>
      <c r="V600" s="176"/>
      <c r="W600" s="176"/>
      <c r="X600" s="176"/>
      <c r="Y600" s="176"/>
      <c r="Z600" s="176"/>
      <c r="AA600" s="176"/>
    </row>
    <row r="601">
      <c r="A601" s="165" t="str">
        <f>iferror(VLOOKUP(P601,'DO NOT TOUCH Imported'!$A$1:$D$800,4,False),iferror(VLOOKUP(P601,'DO NOT TOUCH Imported'!$C$1:$D$800,2,False),"OOPS FIX ME"))</f>
        <v>xgabi</v>
      </c>
      <c r="B601" s="166" t="s">
        <v>441</v>
      </c>
      <c r="C601" s="167" t="s">
        <v>767</v>
      </c>
      <c r="D601" s="168" t="s">
        <v>437</v>
      </c>
      <c r="E601" s="177" t="s">
        <v>447</v>
      </c>
      <c r="F601" s="168" t="s">
        <v>439</v>
      </c>
      <c r="G601" s="170">
        <v>1000.0</v>
      </c>
      <c r="H601" s="171">
        <v>100.0</v>
      </c>
      <c r="I601" s="171">
        <v>100.0</v>
      </c>
      <c r="J601" s="172">
        <f t="shared" si="29"/>
        <v>0.000723394157</v>
      </c>
      <c r="K601" s="173">
        <f t="shared" si="30"/>
        <v>0.8680729884</v>
      </c>
      <c r="L601" s="174">
        <f t="shared" si="9"/>
        <v>5.005165508</v>
      </c>
      <c r="M601" s="175" t="str">
        <f t="shared" si="10"/>
        <v>xgabi</v>
      </c>
      <c r="N601" s="176">
        <f>IFERROR(__xludf.DUMMYFUNCTION("""COMPUTED_VALUE"""),4.0)</f>
        <v>4</v>
      </c>
      <c r="O601" s="176"/>
      <c r="P601" s="166" t="s">
        <v>766</v>
      </c>
      <c r="Q601" s="166" t="s">
        <v>441</v>
      </c>
      <c r="R601" s="176"/>
      <c r="S601" s="176"/>
      <c r="T601" s="176"/>
      <c r="U601" s="176"/>
      <c r="V601" s="176"/>
      <c r="W601" s="176"/>
      <c r="X601" s="176"/>
      <c r="Y601" s="176"/>
      <c r="Z601" s="176"/>
      <c r="AA601" s="176"/>
    </row>
    <row r="602">
      <c r="A602" s="165" t="str">
        <f>iferror(VLOOKUP(P602,'DO NOT TOUCH Imported'!$A$1:$D$800,4,False),iferror(VLOOKUP(P602,'DO NOT TOUCH Imported'!$C$1:$D$800,2,False),"OOPS FIX ME"))</f>
        <v>xgabi</v>
      </c>
      <c r="B602" s="166" t="s">
        <v>441</v>
      </c>
      <c r="C602" s="167" t="s">
        <v>645</v>
      </c>
      <c r="D602" s="168" t="s">
        <v>437</v>
      </c>
      <c r="E602" s="177" t="s">
        <v>438</v>
      </c>
      <c r="F602" s="168" t="s">
        <v>439</v>
      </c>
      <c r="G602" s="170">
        <v>1000.0</v>
      </c>
      <c r="H602" s="171">
        <v>100.0</v>
      </c>
      <c r="I602" s="171">
        <v>100.0</v>
      </c>
      <c r="J602" s="172">
        <f t="shared" si="29"/>
        <v>0.000723394157</v>
      </c>
      <c r="K602" s="173">
        <f t="shared" si="30"/>
        <v>0.8680729884</v>
      </c>
      <c r="L602" s="174">
        <f t="shared" si="9"/>
        <v>5.005165508</v>
      </c>
      <c r="M602" s="175" t="str">
        <f t="shared" si="10"/>
        <v>xgabi</v>
      </c>
      <c r="N602" s="176">
        <f>IFERROR(__xludf.DUMMYFUNCTION("""COMPUTED_VALUE"""),5.0)</f>
        <v>5</v>
      </c>
      <c r="O602" s="176"/>
      <c r="P602" s="166" t="s">
        <v>766</v>
      </c>
      <c r="Q602" s="166" t="s">
        <v>441</v>
      </c>
      <c r="R602" s="176"/>
      <c r="S602" s="176"/>
      <c r="T602" s="176"/>
      <c r="U602" s="176"/>
      <c r="V602" s="176"/>
      <c r="W602" s="176"/>
      <c r="X602" s="176"/>
      <c r="Y602" s="176"/>
      <c r="Z602" s="176"/>
      <c r="AA602" s="176"/>
    </row>
    <row r="603">
      <c r="A603" s="185" t="s">
        <v>34</v>
      </c>
      <c r="B603" s="185" t="s">
        <v>534</v>
      </c>
      <c r="C603" s="210" t="s">
        <v>646</v>
      </c>
      <c r="D603" s="187"/>
      <c r="E603" s="188"/>
      <c r="F603" s="189"/>
      <c r="G603" s="190"/>
      <c r="H603" s="190"/>
      <c r="I603" s="190"/>
      <c r="J603" s="172">
        <f>(H603/$H$2+I603/$I$2)/2</f>
        <v>0</v>
      </c>
      <c r="K603" s="215">
        <f>0.5*-10.01</f>
        <v>-5.005</v>
      </c>
      <c r="L603" s="193">
        <f t="shared" si="9"/>
        <v>5.005165508</v>
      </c>
      <c r="M603" s="194" t="str">
        <f t="shared" si="10"/>
        <v>xgabi</v>
      </c>
      <c r="N603" s="211">
        <f>IFERROR(__xludf.DUMMYFUNCTION("""COMPUTED_VALUE"""),6.0)</f>
        <v>6</v>
      </c>
      <c r="O603" s="195"/>
      <c r="P603" s="212" t="s">
        <v>6</v>
      </c>
      <c r="Q603" s="185" t="s">
        <v>534</v>
      </c>
      <c r="R603" s="195">
        <v>57.049855624848725</v>
      </c>
      <c r="S603" s="195"/>
      <c r="T603" s="195"/>
      <c r="U603" s="195"/>
      <c r="V603" s="195"/>
      <c r="W603" s="195"/>
      <c r="X603" s="195"/>
      <c r="Y603" s="195"/>
      <c r="Z603" s="195"/>
      <c r="AA603" s="176"/>
    </row>
    <row r="604">
      <c r="A604" s="165" t="str">
        <f>iferror(VLOOKUP(P604,'DO NOT TOUCH Imported'!$A$1:$D$800,4,False),iferror(VLOOKUP(P604,'DO NOT TOUCH Imported'!$C$1:$D$800,2,False),"OOPS FIX ME"))</f>
        <v>MerlinEgalite</v>
      </c>
      <c r="B604" s="178" t="s">
        <v>590</v>
      </c>
      <c r="C604" s="179" t="s">
        <v>591</v>
      </c>
      <c r="D604" s="180" t="s">
        <v>495</v>
      </c>
      <c r="E604" s="181">
        <v>44321.0</v>
      </c>
      <c r="F604" s="182" t="s">
        <v>592</v>
      </c>
      <c r="G604" s="170">
        <v>2500.0</v>
      </c>
      <c r="H604" s="171">
        <v>200.0</v>
      </c>
      <c r="I604" s="171">
        <v>100.0</v>
      </c>
      <c r="J604" s="172">
        <f t="shared" ref="J604:J620" si="31">(G604/$G$2+H604/$H$2+I604/$I$2)/3</f>
        <v>0.001199225638</v>
      </c>
      <c r="K604" s="173">
        <f t="shared" ref="K604:K620" si="32">J604*$J$1</f>
        <v>1.439070765</v>
      </c>
      <c r="L604" s="174">
        <f t="shared" si="9"/>
        <v>4.974953593</v>
      </c>
      <c r="M604" s="175" t="str">
        <f t="shared" si="10"/>
        <v>MerlinEgalite</v>
      </c>
      <c r="N604" s="176">
        <f>IFERROR(__xludf.DUMMYFUNCTION("""COMPUTED_VALUE"""),1.0)</f>
        <v>1</v>
      </c>
      <c r="O604" s="176"/>
      <c r="P604" s="183" t="s">
        <v>27</v>
      </c>
      <c r="Q604" s="178" t="s">
        <v>590</v>
      </c>
      <c r="R604" s="176"/>
      <c r="S604" s="176"/>
      <c r="T604" s="176"/>
      <c r="U604" s="176"/>
      <c r="V604" s="176"/>
      <c r="W604" s="176"/>
      <c r="X604" s="176"/>
      <c r="Y604" s="176"/>
      <c r="Z604" s="176"/>
      <c r="AA604" s="176"/>
    </row>
    <row r="605">
      <c r="A605" s="165" t="str">
        <f>iferror(VLOOKUP(P605,'DO NOT TOUCH Imported'!$A$1:$D$800,4,False),iferror(VLOOKUP(P605,'DO NOT TOUCH Imported'!$C$1:$D$800,2,False),"OOPS FIX ME"))</f>
        <v>MerlinEgalite</v>
      </c>
      <c r="B605" s="178" t="s">
        <v>10</v>
      </c>
      <c r="C605" s="179" t="s">
        <v>676</v>
      </c>
      <c r="D605" s="180" t="s">
        <v>495</v>
      </c>
      <c r="E605" s="184">
        <v>44316.0</v>
      </c>
      <c r="F605" s="182" t="s">
        <v>496</v>
      </c>
      <c r="G605" s="170">
        <v>2000.0</v>
      </c>
      <c r="H605" s="171">
        <v>100.0</v>
      </c>
      <c r="I605" s="171">
        <v>100.0</v>
      </c>
      <c r="J605" s="172">
        <f t="shared" si="31"/>
        <v>0.0008277891878</v>
      </c>
      <c r="K605" s="173">
        <f t="shared" si="32"/>
        <v>0.9933470254</v>
      </c>
      <c r="L605" s="174">
        <f t="shared" si="9"/>
        <v>4.974953593</v>
      </c>
      <c r="M605" s="175" t="str">
        <f t="shared" si="10"/>
        <v>MerlinEgalite</v>
      </c>
      <c r="N605" s="176">
        <f>IFERROR(__xludf.DUMMYFUNCTION("""COMPUTED_VALUE"""),2.0)</f>
        <v>2</v>
      </c>
      <c r="O605" s="176"/>
      <c r="P605" s="183" t="s">
        <v>27</v>
      </c>
      <c r="Q605" s="178" t="s">
        <v>10</v>
      </c>
      <c r="R605" s="176"/>
      <c r="S605" s="176"/>
      <c r="T605" s="176"/>
      <c r="U605" s="176"/>
      <c r="V605" s="176"/>
      <c r="W605" s="176"/>
      <c r="X605" s="176"/>
      <c r="Y605" s="176"/>
      <c r="Z605" s="176"/>
      <c r="AA605" s="176"/>
    </row>
    <row r="606">
      <c r="A606" s="165" t="str">
        <f>iferror(VLOOKUP(P606,'DO NOT TOUCH Imported'!$A$1:$D$800,4,False),iferror(VLOOKUP(P606,'DO NOT TOUCH Imported'!$C$1:$D$800,2,False),"OOPS FIX ME"))</f>
        <v>MerlinEgalite</v>
      </c>
      <c r="B606" s="178" t="s">
        <v>519</v>
      </c>
      <c r="C606" s="179" t="s">
        <v>668</v>
      </c>
      <c r="D606" s="180" t="s">
        <v>495</v>
      </c>
      <c r="E606" s="184">
        <v>44314.0</v>
      </c>
      <c r="F606" s="182" t="s">
        <v>521</v>
      </c>
      <c r="G606" s="170">
        <v>1000.0</v>
      </c>
      <c r="H606" s="171">
        <v>70.0</v>
      </c>
      <c r="I606" s="171">
        <v>100.0</v>
      </c>
      <c r="J606" s="172">
        <f t="shared" si="31"/>
        <v>0.0006276224767</v>
      </c>
      <c r="K606" s="173">
        <f t="shared" si="32"/>
        <v>0.7531469721</v>
      </c>
      <c r="L606" s="174">
        <f t="shared" si="9"/>
        <v>4.974953593</v>
      </c>
      <c r="M606" s="175" t="str">
        <f t="shared" si="10"/>
        <v>MerlinEgalite</v>
      </c>
      <c r="N606" s="176">
        <f>IFERROR(__xludf.DUMMYFUNCTION("""COMPUTED_VALUE"""),3.0)</f>
        <v>3</v>
      </c>
      <c r="O606" s="176"/>
      <c r="P606" s="183" t="s">
        <v>27</v>
      </c>
      <c r="Q606" s="178" t="s">
        <v>519</v>
      </c>
      <c r="R606" s="176"/>
      <c r="S606" s="176"/>
      <c r="T606" s="176"/>
      <c r="U606" s="176"/>
      <c r="V606" s="176"/>
      <c r="W606" s="176"/>
      <c r="X606" s="176"/>
      <c r="Y606" s="176"/>
      <c r="Z606" s="176"/>
      <c r="AA606" s="176"/>
    </row>
    <row r="607">
      <c r="A607" s="165" t="str">
        <f>iferror(VLOOKUP(P607,'DO NOT TOUCH Imported'!$A$1:$D$800,4,False),iferror(VLOOKUP(P607,'DO NOT TOUCH Imported'!$C$1:$D$800,2,False),"OOPS FIX ME"))</f>
        <v>MerlinEgalite</v>
      </c>
      <c r="B607" s="178" t="s">
        <v>519</v>
      </c>
      <c r="C607" s="179" t="s">
        <v>668</v>
      </c>
      <c r="D607" s="180" t="s">
        <v>495</v>
      </c>
      <c r="E607" s="181">
        <v>44321.0</v>
      </c>
      <c r="F607" s="182" t="s">
        <v>521</v>
      </c>
      <c r="G607" s="170">
        <v>1000.0</v>
      </c>
      <c r="H607" s="171">
        <v>70.0</v>
      </c>
      <c r="I607" s="171">
        <v>100.0</v>
      </c>
      <c r="J607" s="172">
        <f t="shared" si="31"/>
        <v>0.0006276224767</v>
      </c>
      <c r="K607" s="173">
        <f t="shared" si="32"/>
        <v>0.7531469721</v>
      </c>
      <c r="L607" s="174">
        <f t="shared" si="9"/>
        <v>4.974953593</v>
      </c>
      <c r="M607" s="175" t="str">
        <f t="shared" si="10"/>
        <v>MerlinEgalite</v>
      </c>
      <c r="N607" s="176">
        <f>IFERROR(__xludf.DUMMYFUNCTION("""COMPUTED_VALUE"""),4.0)</f>
        <v>4</v>
      </c>
      <c r="O607" s="176"/>
      <c r="P607" s="183" t="s">
        <v>27</v>
      </c>
      <c r="Q607" s="178" t="s">
        <v>519</v>
      </c>
      <c r="R607" s="176"/>
      <c r="S607" s="176"/>
      <c r="T607" s="176"/>
      <c r="U607" s="176"/>
      <c r="V607" s="176"/>
      <c r="W607" s="176"/>
      <c r="X607" s="176"/>
      <c r="Y607" s="176"/>
      <c r="Z607" s="176"/>
      <c r="AA607" s="176"/>
    </row>
    <row r="608">
      <c r="A608" s="165" t="str">
        <f>iferror(VLOOKUP(P608,'DO NOT TOUCH Imported'!$A$1:$D$800,4,False),iferror(VLOOKUP(P608,'DO NOT TOUCH Imported'!$C$1:$D$800,2,False),"OOPS FIX ME"))</f>
        <v>MerlinEgalite</v>
      </c>
      <c r="B608" s="178" t="s">
        <v>10</v>
      </c>
      <c r="C608" s="179" t="s">
        <v>498</v>
      </c>
      <c r="D608" s="180" t="s">
        <v>495</v>
      </c>
      <c r="E608" s="181">
        <v>44323.0</v>
      </c>
      <c r="F608" s="182" t="s">
        <v>499</v>
      </c>
      <c r="G608" s="170">
        <v>500.0</v>
      </c>
      <c r="H608" s="171">
        <v>25.0</v>
      </c>
      <c r="I608" s="171">
        <v>100.0</v>
      </c>
      <c r="J608" s="172">
        <f t="shared" si="31"/>
        <v>0.0004317674408</v>
      </c>
      <c r="K608" s="173">
        <f t="shared" si="32"/>
        <v>0.518120929</v>
      </c>
      <c r="L608" s="174">
        <f t="shared" si="9"/>
        <v>4.974953593</v>
      </c>
      <c r="M608" s="175" t="str">
        <f t="shared" si="10"/>
        <v>MerlinEgalite</v>
      </c>
      <c r="N608" s="176">
        <f>IFERROR(__xludf.DUMMYFUNCTION("""COMPUTED_VALUE"""),5.0)</f>
        <v>5</v>
      </c>
      <c r="O608" s="176"/>
      <c r="P608" s="183" t="s">
        <v>27</v>
      </c>
      <c r="Q608" s="178" t="s">
        <v>10</v>
      </c>
      <c r="R608" s="176"/>
      <c r="S608" s="176"/>
      <c r="T608" s="176"/>
      <c r="U608" s="176"/>
      <c r="V608" s="176"/>
      <c r="W608" s="176"/>
      <c r="X608" s="176"/>
      <c r="Y608" s="176"/>
      <c r="Z608" s="176"/>
      <c r="AA608" s="176"/>
    </row>
    <row r="609">
      <c r="A609" s="165" t="str">
        <f>iferror(VLOOKUP(P609,'DO NOT TOUCH Imported'!$A$1:$D$800,4,False),iferror(VLOOKUP(P609,'DO NOT TOUCH Imported'!$C$1:$D$800,2,False),"OOPS FIX ME"))</f>
        <v>MerlinEgalite</v>
      </c>
      <c r="B609" s="178" t="s">
        <v>10</v>
      </c>
      <c r="C609" s="179" t="s">
        <v>500</v>
      </c>
      <c r="D609" s="180" t="s">
        <v>495</v>
      </c>
      <c r="E609" s="181">
        <v>44324.0</v>
      </c>
      <c r="F609" s="182" t="s">
        <v>496</v>
      </c>
      <c r="G609" s="170">
        <v>500.0</v>
      </c>
      <c r="H609" s="171">
        <v>25.0</v>
      </c>
      <c r="I609" s="171">
        <v>100.0</v>
      </c>
      <c r="J609" s="172">
        <f t="shared" si="31"/>
        <v>0.0004317674408</v>
      </c>
      <c r="K609" s="173">
        <f t="shared" si="32"/>
        <v>0.518120929</v>
      </c>
      <c r="L609" s="174">
        <f t="shared" si="9"/>
        <v>4.974953593</v>
      </c>
      <c r="M609" s="175" t="str">
        <f t="shared" si="10"/>
        <v>MerlinEgalite</v>
      </c>
      <c r="N609" s="176">
        <f>IFERROR(__xludf.DUMMYFUNCTION("""COMPUTED_VALUE"""),6.0)</f>
        <v>6</v>
      </c>
      <c r="O609" s="176"/>
      <c r="P609" s="183" t="s">
        <v>27</v>
      </c>
      <c r="Q609" s="178" t="s">
        <v>10</v>
      </c>
      <c r="R609" s="176"/>
      <c r="S609" s="176"/>
      <c r="T609" s="176"/>
      <c r="U609" s="176"/>
      <c r="V609" s="176"/>
      <c r="W609" s="176"/>
      <c r="X609" s="176"/>
      <c r="Y609" s="176"/>
      <c r="Z609" s="176"/>
      <c r="AA609" s="176"/>
    </row>
    <row r="610">
      <c r="A610" s="165" t="str">
        <f>iferror(VLOOKUP(P610,'DO NOT TOUCH Imported'!$A$1:$D$800,4,False),iferror(VLOOKUP(P610,'DO NOT TOUCH Imported'!$C$1:$D$800,2,False),"OOPS FIX ME"))</f>
        <v>gyalbo</v>
      </c>
      <c r="B610" s="166" t="s">
        <v>768</v>
      </c>
      <c r="C610" s="167" t="s">
        <v>769</v>
      </c>
      <c r="D610" s="168" t="s">
        <v>499</v>
      </c>
      <c r="E610" s="177" t="s">
        <v>478</v>
      </c>
      <c r="F610" s="168" t="s">
        <v>503</v>
      </c>
      <c r="G610" s="170">
        <v>1000.0</v>
      </c>
      <c r="H610" s="171">
        <v>200.0</v>
      </c>
      <c r="I610" s="171">
        <v>100.0</v>
      </c>
      <c r="J610" s="172">
        <f t="shared" si="31"/>
        <v>0.001042633091</v>
      </c>
      <c r="K610" s="173">
        <f t="shared" si="32"/>
        <v>1.25115971</v>
      </c>
      <c r="L610" s="174">
        <f t="shared" si="9"/>
        <v>4.868246042</v>
      </c>
      <c r="M610" s="175" t="str">
        <f t="shared" si="10"/>
        <v>gyalbo</v>
      </c>
      <c r="N610" s="176">
        <f>IFERROR(__xludf.DUMMYFUNCTION("""COMPUTED_VALUE"""),1.0)</f>
        <v>1</v>
      </c>
      <c r="O610" s="176"/>
      <c r="P610" s="166" t="s">
        <v>770</v>
      </c>
      <c r="Q610" s="166" t="s">
        <v>768</v>
      </c>
      <c r="R610" s="176"/>
      <c r="S610" s="176"/>
      <c r="T610" s="176"/>
      <c r="U610" s="176"/>
      <c r="V610" s="176"/>
      <c r="W610" s="176"/>
      <c r="X610" s="176"/>
      <c r="Y610" s="176"/>
      <c r="Z610" s="176"/>
      <c r="AA610" s="176"/>
    </row>
    <row r="611">
      <c r="A611" s="165" t="str">
        <f>iferror(VLOOKUP(P611,'DO NOT TOUCH Imported'!$A$1:$D$800,4,False),iferror(VLOOKUP(P611,'DO NOT TOUCH Imported'!$C$1:$D$800,2,False),"OOPS FIX ME"))</f>
        <v>gyalbo</v>
      </c>
      <c r="B611" s="166" t="s">
        <v>566</v>
      </c>
      <c r="C611" s="167" t="s">
        <v>771</v>
      </c>
      <c r="D611" s="168" t="s">
        <v>499</v>
      </c>
      <c r="E611" s="177" t="s">
        <v>452</v>
      </c>
      <c r="F611" s="168" t="s">
        <v>503</v>
      </c>
      <c r="G611" s="170">
        <v>1000.0</v>
      </c>
      <c r="H611" s="171">
        <v>100.0</v>
      </c>
      <c r="I611" s="171">
        <v>100.0</v>
      </c>
      <c r="J611" s="172">
        <f t="shared" si="31"/>
        <v>0.000723394157</v>
      </c>
      <c r="K611" s="173">
        <f t="shared" si="32"/>
        <v>0.8680729884</v>
      </c>
      <c r="L611" s="174">
        <f t="shared" si="9"/>
        <v>4.868246042</v>
      </c>
      <c r="M611" s="175" t="str">
        <f t="shared" si="10"/>
        <v>gyalbo</v>
      </c>
      <c r="N611" s="176">
        <f>IFERROR(__xludf.DUMMYFUNCTION("""COMPUTED_VALUE"""),2.0)</f>
        <v>2</v>
      </c>
      <c r="O611" s="176"/>
      <c r="P611" s="166" t="s">
        <v>770</v>
      </c>
      <c r="Q611" s="166" t="s">
        <v>566</v>
      </c>
      <c r="R611" s="176"/>
      <c r="S611" s="176"/>
      <c r="T611" s="176"/>
      <c r="U611" s="176"/>
      <c r="V611" s="176"/>
      <c r="W611" s="176"/>
      <c r="X611" s="176"/>
      <c r="Y611" s="176"/>
      <c r="Z611" s="176"/>
      <c r="AA611" s="176"/>
    </row>
    <row r="612">
      <c r="A612" s="165" t="str">
        <f>iferror(VLOOKUP(P612,'DO NOT TOUCH Imported'!$A$1:$D$800,4,False),iferror(VLOOKUP(P612,'DO NOT TOUCH Imported'!$C$1:$D$800,2,False),"OOPS FIX ME"))</f>
        <v>gyalbo</v>
      </c>
      <c r="B612" s="166" t="s">
        <v>530</v>
      </c>
      <c r="C612" s="167" t="s">
        <v>772</v>
      </c>
      <c r="D612" s="168" t="s">
        <v>499</v>
      </c>
      <c r="E612" s="177" t="s">
        <v>452</v>
      </c>
      <c r="F612" s="168" t="s">
        <v>503</v>
      </c>
      <c r="G612" s="170">
        <v>1000.0</v>
      </c>
      <c r="H612" s="171">
        <v>50.0</v>
      </c>
      <c r="I612" s="171">
        <v>100.0</v>
      </c>
      <c r="J612" s="172">
        <f t="shared" si="31"/>
        <v>0.0005637746898</v>
      </c>
      <c r="K612" s="173">
        <f t="shared" si="32"/>
        <v>0.6765296278</v>
      </c>
      <c r="L612" s="174">
        <f t="shared" si="9"/>
        <v>4.868246042</v>
      </c>
      <c r="M612" s="175" t="str">
        <f t="shared" si="10"/>
        <v>gyalbo</v>
      </c>
      <c r="N612" s="176">
        <f>IFERROR(__xludf.DUMMYFUNCTION("""COMPUTED_VALUE"""),3.0)</f>
        <v>3</v>
      </c>
      <c r="O612" s="176"/>
      <c r="P612" s="166" t="s">
        <v>770</v>
      </c>
      <c r="Q612" s="166" t="s">
        <v>530</v>
      </c>
      <c r="R612" s="176"/>
      <c r="S612" s="176"/>
      <c r="T612" s="176"/>
      <c r="U612" s="176"/>
      <c r="V612" s="176"/>
      <c r="W612" s="176"/>
      <c r="X612" s="176"/>
      <c r="Y612" s="176"/>
      <c r="Z612" s="176"/>
      <c r="AA612" s="176"/>
    </row>
    <row r="613">
      <c r="A613" s="165" t="str">
        <f>iferror(VLOOKUP(P613,'DO NOT TOUCH Imported'!$A$1:$D$800,4,False),iferror(VLOOKUP(P613,'DO NOT TOUCH Imported'!$C$1:$D$800,2,False),"OOPS FIX ME"))</f>
        <v>gyalbo</v>
      </c>
      <c r="B613" s="178" t="s">
        <v>10</v>
      </c>
      <c r="C613" s="179" t="s">
        <v>498</v>
      </c>
      <c r="D613" s="180" t="s">
        <v>495</v>
      </c>
      <c r="E613" s="184">
        <v>44316.0</v>
      </c>
      <c r="F613" s="182" t="s">
        <v>499</v>
      </c>
      <c r="G613" s="170">
        <v>500.0</v>
      </c>
      <c r="H613" s="171">
        <v>25.0</v>
      </c>
      <c r="I613" s="171">
        <v>100.0</v>
      </c>
      <c r="J613" s="172">
        <f t="shared" si="31"/>
        <v>0.0004317674408</v>
      </c>
      <c r="K613" s="173">
        <f t="shared" si="32"/>
        <v>0.518120929</v>
      </c>
      <c r="L613" s="174">
        <f t="shared" si="9"/>
        <v>4.868246042</v>
      </c>
      <c r="M613" s="175" t="str">
        <f t="shared" si="10"/>
        <v>gyalbo</v>
      </c>
      <c r="N613" s="176">
        <f>IFERROR(__xludf.DUMMYFUNCTION("""COMPUTED_VALUE"""),4.0)</f>
        <v>4</v>
      </c>
      <c r="O613" s="176"/>
      <c r="P613" s="183" t="s">
        <v>108</v>
      </c>
      <c r="Q613" s="178" t="s">
        <v>10</v>
      </c>
      <c r="R613" s="176"/>
      <c r="S613" s="176"/>
      <c r="T613" s="176"/>
      <c r="U613" s="176"/>
      <c r="V613" s="176"/>
      <c r="W613" s="176"/>
      <c r="X613" s="176"/>
      <c r="Y613" s="176"/>
      <c r="Z613" s="176"/>
      <c r="AA613" s="176"/>
    </row>
    <row r="614">
      <c r="A614" s="165" t="str">
        <f>iferror(VLOOKUP(P614,'DO NOT TOUCH Imported'!$A$1:$D$800,4,False),iferror(VLOOKUP(P614,'DO NOT TOUCH Imported'!$C$1:$D$800,2,False),"OOPS FIX ME"))</f>
        <v>gyalbo</v>
      </c>
      <c r="B614" s="178" t="s">
        <v>10</v>
      </c>
      <c r="C614" s="179" t="s">
        <v>500</v>
      </c>
      <c r="D614" s="180" t="s">
        <v>495</v>
      </c>
      <c r="E614" s="184">
        <v>44316.0</v>
      </c>
      <c r="F614" s="182" t="s">
        <v>496</v>
      </c>
      <c r="G614" s="170">
        <v>500.0</v>
      </c>
      <c r="H614" s="171">
        <v>25.0</v>
      </c>
      <c r="I614" s="171">
        <v>100.0</v>
      </c>
      <c r="J614" s="172">
        <f t="shared" si="31"/>
        <v>0.0004317674408</v>
      </c>
      <c r="K614" s="173">
        <f t="shared" si="32"/>
        <v>0.518120929</v>
      </c>
      <c r="L614" s="174">
        <f t="shared" si="9"/>
        <v>4.868246042</v>
      </c>
      <c r="M614" s="175" t="str">
        <f t="shared" si="10"/>
        <v>gyalbo</v>
      </c>
      <c r="N614" s="176">
        <f>IFERROR(__xludf.DUMMYFUNCTION("""COMPUTED_VALUE"""),5.0)</f>
        <v>5</v>
      </c>
      <c r="O614" s="176"/>
      <c r="P614" s="183" t="s">
        <v>108</v>
      </c>
      <c r="Q614" s="178" t="s">
        <v>10</v>
      </c>
      <c r="R614" s="176"/>
      <c r="S614" s="176"/>
      <c r="T614" s="176"/>
      <c r="U614" s="176"/>
      <c r="V614" s="176"/>
      <c r="W614" s="176"/>
      <c r="X614" s="176"/>
      <c r="Y614" s="176"/>
      <c r="Z614" s="176"/>
      <c r="AA614" s="176"/>
    </row>
    <row r="615">
      <c r="A615" s="165" t="str">
        <f>iferror(VLOOKUP(P615,'DO NOT TOUCH Imported'!$A$1:$D$800,4,False),iferror(VLOOKUP(P615,'DO NOT TOUCH Imported'!$C$1:$D$800,2,False),"OOPS FIX ME"))</f>
        <v>gyalbo</v>
      </c>
      <c r="B615" s="178" t="s">
        <v>10</v>
      </c>
      <c r="C615" s="179" t="s">
        <v>498</v>
      </c>
      <c r="D615" s="180" t="s">
        <v>495</v>
      </c>
      <c r="E615" s="181">
        <v>44323.0</v>
      </c>
      <c r="F615" s="182" t="s">
        <v>499</v>
      </c>
      <c r="G615" s="170">
        <v>500.0</v>
      </c>
      <c r="H615" s="171">
        <v>25.0</v>
      </c>
      <c r="I615" s="171">
        <v>100.0</v>
      </c>
      <c r="J615" s="172">
        <f t="shared" si="31"/>
        <v>0.0004317674408</v>
      </c>
      <c r="K615" s="173">
        <f t="shared" si="32"/>
        <v>0.518120929</v>
      </c>
      <c r="L615" s="174">
        <f t="shared" si="9"/>
        <v>4.868246042</v>
      </c>
      <c r="M615" s="175" t="str">
        <f t="shared" si="10"/>
        <v>gyalbo</v>
      </c>
      <c r="N615" s="176">
        <f>IFERROR(__xludf.DUMMYFUNCTION("""COMPUTED_VALUE"""),6.0)</f>
        <v>6</v>
      </c>
      <c r="O615" s="176"/>
      <c r="P615" s="183" t="s">
        <v>108</v>
      </c>
      <c r="Q615" s="178" t="s">
        <v>10</v>
      </c>
      <c r="R615" s="176"/>
      <c r="S615" s="176"/>
      <c r="T615" s="176"/>
      <c r="U615" s="176"/>
      <c r="V615" s="176"/>
      <c r="W615" s="176"/>
      <c r="X615" s="176"/>
      <c r="Y615" s="176"/>
      <c r="Z615" s="176"/>
      <c r="AA615" s="176"/>
    </row>
    <row r="616">
      <c r="A616" s="165" t="str">
        <f>iferror(VLOOKUP(P616,'DO NOT TOUCH Imported'!$A$1:$D$800,4,False),iferror(VLOOKUP(P616,'DO NOT TOUCH Imported'!$C$1:$D$800,2,False),"OOPS FIX ME"))</f>
        <v>gyalbo</v>
      </c>
      <c r="B616" s="178" t="s">
        <v>10</v>
      </c>
      <c r="C616" s="179" t="s">
        <v>500</v>
      </c>
      <c r="D616" s="180" t="s">
        <v>495</v>
      </c>
      <c r="E616" s="181">
        <v>44324.0</v>
      </c>
      <c r="F616" s="182" t="s">
        <v>496</v>
      </c>
      <c r="G616" s="170">
        <v>500.0</v>
      </c>
      <c r="H616" s="171">
        <v>25.0</v>
      </c>
      <c r="I616" s="171">
        <v>100.0</v>
      </c>
      <c r="J616" s="172">
        <f t="shared" si="31"/>
        <v>0.0004317674408</v>
      </c>
      <c r="K616" s="173">
        <f t="shared" si="32"/>
        <v>0.518120929</v>
      </c>
      <c r="L616" s="174">
        <f t="shared" si="9"/>
        <v>4.868246042</v>
      </c>
      <c r="M616" s="175" t="str">
        <f t="shared" si="10"/>
        <v>gyalbo</v>
      </c>
      <c r="N616" s="176">
        <f>IFERROR(__xludf.DUMMYFUNCTION("""COMPUTED_VALUE"""),7.0)</f>
        <v>7</v>
      </c>
      <c r="O616" s="176"/>
      <c r="P616" s="183" t="s">
        <v>108</v>
      </c>
      <c r="Q616" s="178" t="s">
        <v>10</v>
      </c>
      <c r="R616" s="176"/>
      <c r="S616" s="176"/>
      <c r="T616" s="176"/>
      <c r="U616" s="176"/>
      <c r="V616" s="176"/>
      <c r="W616" s="176"/>
      <c r="X616" s="176"/>
      <c r="Y616" s="176"/>
      <c r="Z616" s="176"/>
      <c r="AA616" s="176"/>
    </row>
    <row r="617">
      <c r="A617" s="165" t="str">
        <f>iferror(VLOOKUP(P617,'DO NOT TOUCH Imported'!$A$1:$D$800,4,False),iferror(VLOOKUP(P617,'DO NOT TOUCH Imported'!$C$1:$D$800,2,False),"OOPS FIX ME"))</f>
        <v>fabiosmendes</v>
      </c>
      <c r="B617" s="166" t="s">
        <v>441</v>
      </c>
      <c r="C617" s="167" t="s">
        <v>689</v>
      </c>
      <c r="D617" s="168" t="s">
        <v>437</v>
      </c>
      <c r="E617" s="177" t="s">
        <v>438</v>
      </c>
      <c r="F617" s="168" t="s">
        <v>439</v>
      </c>
      <c r="G617" s="170">
        <v>200000.0</v>
      </c>
      <c r="H617" s="171">
        <v>200.0</v>
      </c>
      <c r="I617" s="171">
        <v>200.0</v>
      </c>
      <c r="J617" s="172">
        <f t="shared" si="31"/>
        <v>0.02211700441</v>
      </c>
      <c r="K617" s="173">
        <f t="shared" si="32"/>
        <v>26.54040529</v>
      </c>
      <c r="L617" s="174">
        <f t="shared" si="9"/>
        <v>4.814245574</v>
      </c>
      <c r="M617" s="175" t="str">
        <f t="shared" si="10"/>
        <v>fabiosmendes</v>
      </c>
      <c r="N617" s="176">
        <f>IFERROR(__xludf.DUMMYFUNCTION("""COMPUTED_VALUE"""),1.0)</f>
        <v>1</v>
      </c>
      <c r="O617" s="176"/>
      <c r="P617" s="166" t="s">
        <v>773</v>
      </c>
      <c r="Q617" s="166" t="s">
        <v>441</v>
      </c>
      <c r="R617" s="176"/>
      <c r="S617" s="176"/>
      <c r="T617" s="176"/>
      <c r="U617" s="176"/>
      <c r="V617" s="176"/>
      <c r="W617" s="176"/>
      <c r="X617" s="176"/>
      <c r="Y617" s="176"/>
      <c r="Z617" s="176"/>
      <c r="AA617" s="176"/>
    </row>
    <row r="618">
      <c r="A618" s="165" t="str">
        <f>iferror(VLOOKUP(P618,'DO NOT TOUCH Imported'!$A$1:$D$800,4,False),iferror(VLOOKUP(P618,'DO NOT TOUCH Imported'!$C$1:$D$800,2,False),"OOPS FIX ME"))</f>
        <v>fabiosmendes</v>
      </c>
      <c r="B618" s="166" t="s">
        <v>450</v>
      </c>
      <c r="C618" s="167" t="s">
        <v>552</v>
      </c>
      <c r="D618" s="168" t="s">
        <v>437</v>
      </c>
      <c r="E618" s="177" t="s">
        <v>452</v>
      </c>
      <c r="F618" s="168" t="s">
        <v>453</v>
      </c>
      <c r="G618" s="170">
        <v>1000.0</v>
      </c>
      <c r="H618" s="171">
        <v>200.0</v>
      </c>
      <c r="I618" s="171">
        <v>400.0</v>
      </c>
      <c r="J618" s="172">
        <f t="shared" si="31"/>
        <v>0.001941913667</v>
      </c>
      <c r="K618" s="173">
        <f t="shared" si="32"/>
        <v>2.3302964</v>
      </c>
      <c r="L618" s="174">
        <f t="shared" si="9"/>
        <v>4.814245574</v>
      </c>
      <c r="M618" s="175" t="str">
        <f t="shared" si="10"/>
        <v>fabiosmendes</v>
      </c>
      <c r="N618" s="176">
        <f>IFERROR(__xludf.DUMMYFUNCTION("""COMPUTED_VALUE"""),2.0)</f>
        <v>2</v>
      </c>
      <c r="O618" s="176"/>
      <c r="P618" s="166" t="s">
        <v>773</v>
      </c>
      <c r="Q618" s="166" t="s">
        <v>450</v>
      </c>
      <c r="R618" s="176"/>
      <c r="S618" s="176"/>
      <c r="T618" s="176"/>
      <c r="U618" s="176"/>
      <c r="V618" s="176"/>
      <c r="W618" s="176"/>
      <c r="X618" s="176"/>
      <c r="Y618" s="176"/>
      <c r="Z618" s="176"/>
      <c r="AA618" s="176"/>
    </row>
    <row r="619">
      <c r="A619" s="165" t="str">
        <f>iferror(VLOOKUP(P619,'DO NOT TOUCH Imported'!$A$1:$D$800,4,False),iferror(VLOOKUP(P619,'DO NOT TOUCH Imported'!$C$1:$D$800,2,False),"OOPS FIX ME"))</f>
        <v>fabiosmendes</v>
      </c>
      <c r="B619" s="166" t="s">
        <v>441</v>
      </c>
      <c r="C619" s="167" t="s">
        <v>554</v>
      </c>
      <c r="D619" s="168" t="s">
        <v>437</v>
      </c>
      <c r="E619" s="169" t="s">
        <v>447</v>
      </c>
      <c r="F619" s="168" t="s">
        <v>439</v>
      </c>
      <c r="G619" s="170">
        <v>1000.0</v>
      </c>
      <c r="H619" s="171">
        <v>200.0</v>
      </c>
      <c r="I619" s="171">
        <v>200.0</v>
      </c>
      <c r="J619" s="172">
        <f t="shared" si="31"/>
        <v>0.001342393283</v>
      </c>
      <c r="K619" s="173">
        <f t="shared" si="32"/>
        <v>1.61087194</v>
      </c>
      <c r="L619" s="174">
        <f t="shared" si="9"/>
        <v>4.814245574</v>
      </c>
      <c r="M619" s="175" t="str">
        <f t="shared" si="10"/>
        <v>fabiosmendes</v>
      </c>
      <c r="N619" s="176">
        <f>IFERROR(__xludf.DUMMYFUNCTION("""COMPUTED_VALUE"""),3.0)</f>
        <v>3</v>
      </c>
      <c r="O619" s="176"/>
      <c r="P619" s="166" t="s">
        <v>773</v>
      </c>
      <c r="Q619" s="166" t="s">
        <v>441</v>
      </c>
      <c r="R619" s="176"/>
      <c r="S619" s="176"/>
      <c r="T619" s="176"/>
      <c r="U619" s="176"/>
      <c r="V619" s="176"/>
      <c r="W619" s="176"/>
      <c r="X619" s="176"/>
      <c r="Y619" s="176"/>
      <c r="Z619" s="176"/>
      <c r="AA619" s="176"/>
    </row>
    <row r="620">
      <c r="A620" s="165" t="str">
        <f>iferror(VLOOKUP(P620,'DO NOT TOUCH Imported'!$A$1:$D$800,4,False),iferror(VLOOKUP(P620,'DO NOT TOUCH Imported'!$C$1:$D$800,2,False),"OOPS FIX ME"))</f>
        <v>fabiosmendes</v>
      </c>
      <c r="B620" s="166" t="s">
        <v>441</v>
      </c>
      <c r="C620" s="167" t="s">
        <v>555</v>
      </c>
      <c r="D620" s="168" t="s">
        <v>437</v>
      </c>
      <c r="E620" s="177" t="s">
        <v>438</v>
      </c>
      <c r="F620" s="168" t="s">
        <v>439</v>
      </c>
      <c r="G620" s="170">
        <v>1000.0</v>
      </c>
      <c r="H620" s="171">
        <v>200.0</v>
      </c>
      <c r="I620" s="171">
        <v>200.0</v>
      </c>
      <c r="J620" s="172">
        <f t="shared" si="31"/>
        <v>0.001342393283</v>
      </c>
      <c r="K620" s="173">
        <f t="shared" si="32"/>
        <v>1.61087194</v>
      </c>
      <c r="L620" s="174">
        <f t="shared" si="9"/>
        <v>4.814245574</v>
      </c>
      <c r="M620" s="175" t="str">
        <f t="shared" si="10"/>
        <v>fabiosmendes</v>
      </c>
      <c r="N620" s="176">
        <f>IFERROR(__xludf.DUMMYFUNCTION("""COMPUTED_VALUE"""),4.0)</f>
        <v>4</v>
      </c>
      <c r="O620" s="176"/>
      <c r="P620" s="166" t="s">
        <v>773</v>
      </c>
      <c r="Q620" s="166" t="s">
        <v>441</v>
      </c>
      <c r="R620" s="176"/>
      <c r="S620" s="176"/>
      <c r="T620" s="176"/>
      <c r="U620" s="176"/>
      <c r="V620" s="176"/>
      <c r="W620" s="176"/>
      <c r="X620" s="176"/>
      <c r="Y620" s="176"/>
      <c r="Z620" s="176"/>
      <c r="AA620" s="176"/>
    </row>
    <row r="621">
      <c r="A621" s="185" t="str">
        <f>iferror(VLOOKUP(P621,'DO NOT TOUCH Imported'!$A$1:$D$800,4,False),iferror(VLOOKUP(P621,'DO NOT TOUCH Imported'!$C$1:$D$800,2,False),"OOPS FIX ME"))</f>
        <v>fabiosmendes</v>
      </c>
      <c r="B621" s="196" t="s">
        <v>534</v>
      </c>
      <c r="C621" s="216" t="s">
        <v>774</v>
      </c>
      <c r="D621" s="212"/>
      <c r="E621" s="214"/>
      <c r="F621" s="212"/>
      <c r="G621" s="196"/>
      <c r="H621" s="196"/>
      <c r="I621" s="196"/>
      <c r="J621" s="172">
        <f>(H621/$H$2+I621/$I$2)/2</f>
        <v>0</v>
      </c>
      <c r="K621" s="192">
        <f>0.85*-32.092</f>
        <v>-27.2782</v>
      </c>
      <c r="L621" s="193">
        <f t="shared" si="9"/>
        <v>4.814245574</v>
      </c>
      <c r="M621" s="194" t="str">
        <f t="shared" si="10"/>
        <v>fabiosmendes</v>
      </c>
      <c r="N621" s="217">
        <f>IFERROR(__xludf.DUMMYFUNCTION("""COMPUTED_VALUE"""),5.0)</f>
        <v>5</v>
      </c>
      <c r="O621" s="212"/>
      <c r="P621" s="196" t="s">
        <v>57</v>
      </c>
      <c r="Q621" s="196" t="s">
        <v>534</v>
      </c>
      <c r="R621" s="187">
        <v>57.049855624848725</v>
      </c>
      <c r="S621" s="212"/>
      <c r="T621" s="212"/>
      <c r="U621" s="212"/>
      <c r="V621" s="212"/>
      <c r="W621" s="212"/>
      <c r="X621" s="212"/>
      <c r="Y621" s="212"/>
      <c r="Z621" s="212"/>
      <c r="AA621" s="176"/>
    </row>
    <row r="622">
      <c r="A622" s="165" t="str">
        <f>iferror(VLOOKUP(P622,'DO NOT TOUCH Imported'!$A$1:$D$800,4,False),iferror(VLOOKUP(P622,'DO NOT TOUCH Imported'!$C$1:$D$800,2,False),"OOPS FIX ME"))</f>
        <v>Tam2140</v>
      </c>
      <c r="B622" s="166" t="s">
        <v>441</v>
      </c>
      <c r="C622" s="167" t="s">
        <v>731</v>
      </c>
      <c r="D622" s="168" t="s">
        <v>437</v>
      </c>
      <c r="E622" s="169" t="s">
        <v>447</v>
      </c>
      <c r="F622" s="168" t="s">
        <v>439</v>
      </c>
      <c r="G622" s="170">
        <v>1000.0</v>
      </c>
      <c r="H622" s="171">
        <v>200.0</v>
      </c>
      <c r="I622" s="171">
        <v>200.0</v>
      </c>
      <c r="J622" s="172">
        <f t="shared" ref="J622:J652" si="33">(G622/$G$2+H622/$H$2+I622/$I$2)/3</f>
        <v>0.001342393283</v>
      </c>
      <c r="K622" s="173">
        <f t="shared" ref="K622:K652" si="34">J622*$J$1</f>
        <v>1.61087194</v>
      </c>
      <c r="L622" s="174">
        <f t="shared" si="9"/>
        <v>4.797711404</v>
      </c>
      <c r="M622" s="175" t="str">
        <f t="shared" si="10"/>
        <v>Tam2140</v>
      </c>
      <c r="N622" s="176">
        <f>IFERROR(__xludf.DUMMYFUNCTION("""COMPUTED_VALUE"""),1.0)</f>
        <v>1</v>
      </c>
      <c r="O622" s="176"/>
      <c r="P622" s="166" t="s">
        <v>435</v>
      </c>
      <c r="Q622" s="166" t="s">
        <v>441</v>
      </c>
      <c r="R622" s="176"/>
      <c r="S622" s="176"/>
      <c r="T622" s="176"/>
      <c r="U622" s="176"/>
      <c r="V622" s="176"/>
      <c r="W622" s="176"/>
      <c r="X622" s="176"/>
      <c r="Y622" s="176"/>
      <c r="Z622" s="176"/>
      <c r="AA622" s="176"/>
    </row>
    <row r="623">
      <c r="A623" s="165" t="str">
        <f>iferror(VLOOKUP(P623,'DO NOT TOUCH Imported'!$A$1:$D$800,4,False),iferror(VLOOKUP(P623,'DO NOT TOUCH Imported'!$C$1:$D$800,2,False),"OOPS FIX ME"))</f>
        <v>Tam2140</v>
      </c>
      <c r="B623" s="166" t="s">
        <v>440</v>
      </c>
      <c r="C623" s="167" t="s">
        <v>775</v>
      </c>
      <c r="D623" s="168" t="s">
        <v>437</v>
      </c>
      <c r="E623" s="169" t="s">
        <v>455</v>
      </c>
      <c r="F623" s="168" t="s">
        <v>439</v>
      </c>
      <c r="G623" s="170">
        <v>1000.0</v>
      </c>
      <c r="H623" s="171">
        <v>150.0</v>
      </c>
      <c r="I623" s="171">
        <v>200.0</v>
      </c>
      <c r="J623" s="172">
        <f t="shared" si="33"/>
        <v>0.001182773816</v>
      </c>
      <c r="K623" s="173">
        <f t="shared" si="34"/>
        <v>1.419328579</v>
      </c>
      <c r="L623" s="174">
        <f t="shared" si="9"/>
        <v>4.797711404</v>
      </c>
      <c r="M623" s="175" t="str">
        <f t="shared" si="10"/>
        <v>Tam2140</v>
      </c>
      <c r="N623" s="176">
        <f>IFERROR(__xludf.DUMMYFUNCTION("""COMPUTED_VALUE"""),2.0)</f>
        <v>2</v>
      </c>
      <c r="O623" s="176"/>
      <c r="P623" s="166" t="s">
        <v>435</v>
      </c>
      <c r="Q623" s="166" t="s">
        <v>440</v>
      </c>
      <c r="R623" s="176"/>
      <c r="S623" s="176"/>
      <c r="T623" s="176"/>
      <c r="U623" s="176"/>
      <c r="V623" s="176"/>
      <c r="W623" s="176"/>
      <c r="X623" s="176"/>
      <c r="Y623" s="176"/>
      <c r="Z623" s="176"/>
      <c r="AA623" s="176"/>
    </row>
    <row r="624">
      <c r="A624" s="165" t="str">
        <f>iferror(VLOOKUP(P624,'DO NOT TOUCH Imported'!$A$1:$D$800,4,False),iferror(VLOOKUP(P624,'DO NOT TOUCH Imported'!$C$1:$D$800,2,False),"OOPS FIX ME"))</f>
        <v>Tam2140</v>
      </c>
      <c r="B624" s="166" t="s">
        <v>441</v>
      </c>
      <c r="C624" s="167" t="s">
        <v>446</v>
      </c>
      <c r="D624" s="168" t="s">
        <v>437</v>
      </c>
      <c r="E624" s="169" t="s">
        <v>447</v>
      </c>
      <c r="F624" s="168" t="s">
        <v>439</v>
      </c>
      <c r="G624" s="170">
        <v>1000.0</v>
      </c>
      <c r="H624" s="171">
        <v>200.0</v>
      </c>
      <c r="I624" s="171">
        <v>100.0</v>
      </c>
      <c r="J624" s="172">
        <f t="shared" si="33"/>
        <v>0.001042633091</v>
      </c>
      <c r="K624" s="173">
        <f t="shared" si="34"/>
        <v>1.25115971</v>
      </c>
      <c r="L624" s="174">
        <f t="shared" si="9"/>
        <v>4.797711404</v>
      </c>
      <c r="M624" s="175" t="str">
        <f t="shared" si="10"/>
        <v>Tam2140</v>
      </c>
      <c r="N624" s="176">
        <f>IFERROR(__xludf.DUMMYFUNCTION("""COMPUTED_VALUE"""),3.0)</f>
        <v>3</v>
      </c>
      <c r="O624" s="176"/>
      <c r="P624" s="166" t="s">
        <v>435</v>
      </c>
      <c r="Q624" s="166" t="s">
        <v>441</v>
      </c>
      <c r="R624" s="176"/>
      <c r="S624" s="176"/>
      <c r="T624" s="176"/>
      <c r="U624" s="176"/>
      <c r="V624" s="176"/>
      <c r="W624" s="176"/>
      <c r="X624" s="176"/>
      <c r="Y624" s="176"/>
      <c r="Z624" s="176"/>
      <c r="AA624" s="176"/>
    </row>
    <row r="625">
      <c r="A625" s="165" t="str">
        <f>iferror(VLOOKUP(P625,'DO NOT TOUCH Imported'!$A$1:$D$800,4,False),iferror(VLOOKUP(P625,'DO NOT TOUCH Imported'!$C$1:$D$800,2,False),"OOPS FIX ME"))</f>
        <v>Tam2140</v>
      </c>
      <c r="B625" s="166" t="s">
        <v>441</v>
      </c>
      <c r="C625" s="167" t="s">
        <v>776</v>
      </c>
      <c r="D625" s="168" t="s">
        <v>437</v>
      </c>
      <c r="E625" s="177" t="s">
        <v>447</v>
      </c>
      <c r="F625" s="168" t="s">
        <v>439</v>
      </c>
      <c r="G625" s="170">
        <v>1000.0</v>
      </c>
      <c r="H625" s="171">
        <v>200.0</v>
      </c>
      <c r="I625" s="171">
        <v>100.0</v>
      </c>
      <c r="J625" s="172">
        <f t="shared" si="33"/>
        <v>0.001042633091</v>
      </c>
      <c r="K625" s="173">
        <f t="shared" si="34"/>
        <v>1.25115971</v>
      </c>
      <c r="L625" s="174">
        <f t="shared" si="9"/>
        <v>4.797711404</v>
      </c>
      <c r="M625" s="175" t="str">
        <f t="shared" si="10"/>
        <v>Tam2140</v>
      </c>
      <c r="N625" s="176">
        <f>IFERROR(__xludf.DUMMYFUNCTION("""COMPUTED_VALUE"""),4.0)</f>
        <v>4</v>
      </c>
      <c r="O625" s="176"/>
      <c r="P625" s="166" t="s">
        <v>435</v>
      </c>
      <c r="Q625" s="166" t="s">
        <v>441</v>
      </c>
      <c r="R625" s="176"/>
      <c r="S625" s="176"/>
      <c r="T625" s="176"/>
      <c r="U625" s="176"/>
      <c r="V625" s="176"/>
      <c r="W625" s="176"/>
      <c r="X625" s="176"/>
      <c r="Y625" s="176"/>
      <c r="Z625" s="176"/>
      <c r="AA625" s="176"/>
    </row>
    <row r="626">
      <c r="A626" s="165" t="str">
        <f>iferror(VLOOKUP(P626,'DO NOT TOUCH Imported'!$A$1:$D$800,4,False),iferror(VLOOKUP(P626,'DO NOT TOUCH Imported'!$C$1:$D$800,2,False),"OOPS FIX ME"))</f>
        <v>Tam2140</v>
      </c>
      <c r="B626" s="166" t="s">
        <v>441</v>
      </c>
      <c r="C626" s="167" t="s">
        <v>678</v>
      </c>
      <c r="D626" s="168" t="s">
        <v>437</v>
      </c>
      <c r="E626" s="177" t="s">
        <v>447</v>
      </c>
      <c r="F626" s="168" t="s">
        <v>439</v>
      </c>
      <c r="G626" s="170">
        <v>1000.0</v>
      </c>
      <c r="H626" s="171">
        <v>200.0</v>
      </c>
      <c r="I626" s="171">
        <v>100.0</v>
      </c>
      <c r="J626" s="172">
        <f t="shared" si="33"/>
        <v>0.001042633091</v>
      </c>
      <c r="K626" s="173">
        <f t="shared" si="34"/>
        <v>1.25115971</v>
      </c>
      <c r="L626" s="174">
        <f t="shared" si="9"/>
        <v>4.797711404</v>
      </c>
      <c r="M626" s="175" t="str">
        <f t="shared" si="10"/>
        <v>Tam2140</v>
      </c>
      <c r="N626" s="176">
        <f>IFERROR(__xludf.DUMMYFUNCTION("""COMPUTED_VALUE"""),5.0)</f>
        <v>5</v>
      </c>
      <c r="O626" s="176"/>
      <c r="P626" s="166" t="s">
        <v>435</v>
      </c>
      <c r="Q626" s="166" t="s">
        <v>441</v>
      </c>
      <c r="R626" s="176"/>
      <c r="S626" s="176"/>
      <c r="T626" s="176"/>
      <c r="U626" s="176"/>
      <c r="V626" s="176"/>
      <c r="W626" s="176"/>
      <c r="X626" s="176"/>
      <c r="Y626" s="176"/>
      <c r="Z626" s="176"/>
      <c r="AA626" s="176"/>
    </row>
    <row r="627">
      <c r="A627" s="165" t="str">
        <f>iferror(VLOOKUP(P627,'DO NOT TOUCH Imported'!$A$1:$D$800,4,False),iferror(VLOOKUP(P627,'DO NOT TOUCH Imported'!$C$1:$D$800,2,False),"OOPS FIX ME"))</f>
        <v>Tam2140</v>
      </c>
      <c r="B627" s="166" t="s">
        <v>441</v>
      </c>
      <c r="C627" s="167" t="s">
        <v>679</v>
      </c>
      <c r="D627" s="168" t="s">
        <v>437</v>
      </c>
      <c r="E627" s="177" t="s">
        <v>447</v>
      </c>
      <c r="F627" s="168" t="s">
        <v>439</v>
      </c>
      <c r="G627" s="170">
        <v>1000.0</v>
      </c>
      <c r="H627" s="171">
        <v>200.0</v>
      </c>
      <c r="I627" s="171">
        <v>100.0</v>
      </c>
      <c r="J627" s="172">
        <f t="shared" si="33"/>
        <v>0.001042633091</v>
      </c>
      <c r="K627" s="173">
        <f t="shared" si="34"/>
        <v>1.25115971</v>
      </c>
      <c r="L627" s="174">
        <f t="shared" si="9"/>
        <v>4.797711404</v>
      </c>
      <c r="M627" s="175" t="str">
        <f t="shared" si="10"/>
        <v>Tam2140</v>
      </c>
      <c r="N627" s="176">
        <f>IFERROR(__xludf.DUMMYFUNCTION("""COMPUTED_VALUE"""),6.0)</f>
        <v>6</v>
      </c>
      <c r="O627" s="176"/>
      <c r="P627" s="166" t="s">
        <v>435</v>
      </c>
      <c r="Q627" s="166" t="s">
        <v>441</v>
      </c>
      <c r="R627" s="176"/>
      <c r="S627" s="176"/>
      <c r="T627" s="176"/>
      <c r="U627" s="176"/>
      <c r="V627" s="176"/>
      <c r="W627" s="176"/>
      <c r="X627" s="176"/>
      <c r="Y627" s="176"/>
      <c r="Z627" s="176"/>
      <c r="AA627" s="176"/>
    </row>
    <row r="628">
      <c r="A628" s="165" t="str">
        <f>iferror(VLOOKUP(P628,'DO NOT TOUCH Imported'!$A$1:$D$800,4,False),iferror(VLOOKUP(P628,'DO NOT TOUCH Imported'!$C$1:$D$800,2,False),"OOPS FIX ME"))</f>
        <v>Tam2140</v>
      </c>
      <c r="B628" s="166" t="s">
        <v>441</v>
      </c>
      <c r="C628" s="167" t="s">
        <v>777</v>
      </c>
      <c r="D628" s="168" t="s">
        <v>437</v>
      </c>
      <c r="E628" s="177" t="s">
        <v>447</v>
      </c>
      <c r="F628" s="168" t="s">
        <v>439</v>
      </c>
      <c r="G628" s="170">
        <v>1000.0</v>
      </c>
      <c r="H628" s="171">
        <v>200.0</v>
      </c>
      <c r="I628" s="171">
        <v>100.0</v>
      </c>
      <c r="J628" s="172">
        <f t="shared" si="33"/>
        <v>0.001042633091</v>
      </c>
      <c r="K628" s="173">
        <f t="shared" si="34"/>
        <v>1.25115971</v>
      </c>
      <c r="L628" s="174">
        <f t="shared" si="9"/>
        <v>4.797711404</v>
      </c>
      <c r="M628" s="175" t="str">
        <f t="shared" si="10"/>
        <v>Tam2140</v>
      </c>
      <c r="N628" s="176">
        <f>IFERROR(__xludf.DUMMYFUNCTION("""COMPUTED_VALUE"""),7.0)</f>
        <v>7</v>
      </c>
      <c r="O628" s="176"/>
      <c r="P628" s="166" t="s">
        <v>435</v>
      </c>
      <c r="Q628" s="166" t="s">
        <v>441</v>
      </c>
      <c r="R628" s="176"/>
      <c r="S628" s="176"/>
      <c r="T628" s="176"/>
      <c r="U628" s="176"/>
      <c r="V628" s="176"/>
      <c r="W628" s="176"/>
      <c r="X628" s="176"/>
      <c r="Y628" s="176"/>
      <c r="Z628" s="176"/>
      <c r="AA628" s="176"/>
    </row>
    <row r="629">
      <c r="A629" s="165" t="str">
        <f>iferror(VLOOKUP(P629,'DO NOT TOUCH Imported'!$A$1:$D$800,4,False),iferror(VLOOKUP(P629,'DO NOT TOUCH Imported'!$C$1:$D$800,2,False),"OOPS FIX ME"))</f>
        <v>Tam2140</v>
      </c>
      <c r="B629" s="166" t="s">
        <v>441</v>
      </c>
      <c r="C629" s="167" t="s">
        <v>778</v>
      </c>
      <c r="D629" s="168" t="s">
        <v>437</v>
      </c>
      <c r="E629" s="169" t="s">
        <v>438</v>
      </c>
      <c r="F629" s="168" t="s">
        <v>439</v>
      </c>
      <c r="G629" s="170">
        <v>1000.0</v>
      </c>
      <c r="H629" s="171">
        <v>200.0</v>
      </c>
      <c r="I629" s="171">
        <v>100.0</v>
      </c>
      <c r="J629" s="172">
        <f t="shared" si="33"/>
        <v>0.001042633091</v>
      </c>
      <c r="K629" s="173">
        <f t="shared" si="34"/>
        <v>1.25115971</v>
      </c>
      <c r="L629" s="174">
        <f t="shared" si="9"/>
        <v>4.797711404</v>
      </c>
      <c r="M629" s="175" t="str">
        <f t="shared" si="10"/>
        <v>Tam2140</v>
      </c>
      <c r="N629" s="176">
        <f>IFERROR(__xludf.DUMMYFUNCTION("""COMPUTED_VALUE"""),8.0)</f>
        <v>8</v>
      </c>
      <c r="O629" s="176"/>
      <c r="P629" s="166" t="s">
        <v>435</v>
      </c>
      <c r="Q629" s="166" t="s">
        <v>441</v>
      </c>
      <c r="R629" s="176"/>
      <c r="S629" s="176"/>
      <c r="T629" s="176"/>
      <c r="U629" s="176"/>
      <c r="V629" s="176"/>
      <c r="W629" s="176"/>
      <c r="X629" s="176"/>
      <c r="Y629" s="176"/>
      <c r="Z629" s="176"/>
      <c r="AA629" s="176"/>
    </row>
    <row r="630">
      <c r="A630" s="165" t="str">
        <f>iferror(VLOOKUP(P630,'DO NOT TOUCH Imported'!$A$1:$D$800,4,False),iferror(VLOOKUP(P630,'DO NOT TOUCH Imported'!$C$1:$D$800,2,False),"OOPS FIX ME"))</f>
        <v>Tam2140</v>
      </c>
      <c r="B630" s="166" t="s">
        <v>441</v>
      </c>
      <c r="C630" s="167" t="s">
        <v>779</v>
      </c>
      <c r="D630" s="168" t="s">
        <v>437</v>
      </c>
      <c r="E630" s="177" t="s">
        <v>438</v>
      </c>
      <c r="F630" s="168" t="s">
        <v>439</v>
      </c>
      <c r="G630" s="170">
        <v>1000.0</v>
      </c>
      <c r="H630" s="171">
        <v>200.0</v>
      </c>
      <c r="I630" s="171">
        <v>100.0</v>
      </c>
      <c r="J630" s="172">
        <f t="shared" si="33"/>
        <v>0.001042633091</v>
      </c>
      <c r="K630" s="173">
        <f t="shared" si="34"/>
        <v>1.25115971</v>
      </c>
      <c r="L630" s="174">
        <f t="shared" si="9"/>
        <v>4.797711404</v>
      </c>
      <c r="M630" s="175" t="str">
        <f t="shared" si="10"/>
        <v>Tam2140</v>
      </c>
      <c r="N630" s="176">
        <f>IFERROR(__xludf.DUMMYFUNCTION("""COMPUTED_VALUE"""),9.0)</f>
        <v>9</v>
      </c>
      <c r="O630" s="176"/>
      <c r="P630" s="166" t="s">
        <v>435</v>
      </c>
      <c r="Q630" s="166" t="s">
        <v>441</v>
      </c>
      <c r="R630" s="176"/>
      <c r="S630" s="176"/>
      <c r="T630" s="176"/>
      <c r="U630" s="176"/>
      <c r="V630" s="176"/>
      <c r="W630" s="176"/>
      <c r="X630" s="176"/>
      <c r="Y630" s="176"/>
      <c r="Z630" s="176"/>
      <c r="AA630" s="176"/>
    </row>
    <row r="631">
      <c r="A631" s="165" t="str">
        <f>iferror(VLOOKUP(P631,'DO NOT TOUCH Imported'!$A$1:$D$800,4,False),iferror(VLOOKUP(P631,'DO NOT TOUCH Imported'!$C$1:$D$800,2,False),"OOPS FIX ME"))</f>
        <v>Tam2140</v>
      </c>
      <c r="B631" s="166" t="s">
        <v>441</v>
      </c>
      <c r="C631" s="167" t="s">
        <v>475</v>
      </c>
      <c r="D631" s="168" t="s">
        <v>437</v>
      </c>
      <c r="E631" s="169" t="s">
        <v>438</v>
      </c>
      <c r="F631" s="168" t="s">
        <v>439</v>
      </c>
      <c r="G631" s="170">
        <v>1000.0</v>
      </c>
      <c r="H631" s="171">
        <v>200.0</v>
      </c>
      <c r="I631" s="171">
        <v>100.0</v>
      </c>
      <c r="J631" s="172">
        <f t="shared" si="33"/>
        <v>0.001042633091</v>
      </c>
      <c r="K631" s="173">
        <f t="shared" si="34"/>
        <v>1.25115971</v>
      </c>
      <c r="L631" s="174">
        <f t="shared" si="9"/>
        <v>4.797711404</v>
      </c>
      <c r="M631" s="175" t="str">
        <f t="shared" si="10"/>
        <v>Tam2140</v>
      </c>
      <c r="N631" s="176">
        <f>IFERROR(__xludf.DUMMYFUNCTION("""COMPUTED_VALUE"""),10.0)</f>
        <v>10</v>
      </c>
      <c r="O631" s="176"/>
      <c r="P631" s="166" t="s">
        <v>435</v>
      </c>
      <c r="Q631" s="166" t="s">
        <v>441</v>
      </c>
      <c r="R631" s="176"/>
      <c r="S631" s="176"/>
      <c r="T631" s="176"/>
      <c r="U631" s="176"/>
      <c r="V631" s="176"/>
      <c r="W631" s="176"/>
      <c r="X631" s="176"/>
      <c r="Y631" s="176"/>
      <c r="Z631" s="176"/>
      <c r="AA631" s="176"/>
    </row>
    <row r="632">
      <c r="A632" s="165" t="str">
        <f>iferror(VLOOKUP(P632,'DO NOT TOUCH Imported'!$A$1:$D$800,4,False),iferror(VLOOKUP(P632,'DO NOT TOUCH Imported'!$C$1:$D$800,2,False),"OOPS FIX ME"))</f>
        <v>Tam2140</v>
      </c>
      <c r="B632" s="166" t="s">
        <v>435</v>
      </c>
      <c r="C632" s="167" t="s">
        <v>746</v>
      </c>
      <c r="D632" s="168" t="s">
        <v>437</v>
      </c>
      <c r="E632" s="177" t="s">
        <v>438</v>
      </c>
      <c r="F632" s="168" t="s">
        <v>439</v>
      </c>
      <c r="G632" s="170">
        <v>1000.0</v>
      </c>
      <c r="H632" s="171">
        <v>200.0</v>
      </c>
      <c r="I632" s="171">
        <v>100.0</v>
      </c>
      <c r="J632" s="172">
        <f t="shared" si="33"/>
        <v>0.001042633091</v>
      </c>
      <c r="K632" s="173">
        <f t="shared" si="34"/>
        <v>1.25115971</v>
      </c>
      <c r="L632" s="174">
        <f t="shared" si="9"/>
        <v>4.797711404</v>
      </c>
      <c r="M632" s="175" t="str">
        <f t="shared" si="10"/>
        <v>Tam2140</v>
      </c>
      <c r="N632" s="176">
        <f>IFERROR(__xludf.DUMMYFUNCTION("""COMPUTED_VALUE"""),11.0)</f>
        <v>11</v>
      </c>
      <c r="O632" s="176"/>
      <c r="P632" s="166" t="s">
        <v>435</v>
      </c>
      <c r="Q632" s="166" t="s">
        <v>435</v>
      </c>
      <c r="R632" s="176"/>
      <c r="S632" s="176"/>
      <c r="T632" s="176"/>
      <c r="U632" s="176"/>
      <c r="V632" s="176"/>
      <c r="W632" s="176"/>
      <c r="X632" s="176"/>
      <c r="Y632" s="176"/>
      <c r="Z632" s="176"/>
      <c r="AA632" s="176"/>
    </row>
    <row r="633">
      <c r="A633" s="165" t="str">
        <f>iferror(VLOOKUP(P633,'DO NOT TOUCH Imported'!$A$1:$D$800,4,False),iferror(VLOOKUP(P633,'DO NOT TOUCH Imported'!$C$1:$D$800,2,False),"OOPS FIX ME"))</f>
        <v>Tam2140</v>
      </c>
      <c r="B633" s="166" t="s">
        <v>450</v>
      </c>
      <c r="C633" s="167" t="s">
        <v>451</v>
      </c>
      <c r="D633" s="168" t="s">
        <v>437</v>
      </c>
      <c r="E633" s="169" t="s">
        <v>452</v>
      </c>
      <c r="F633" s="168" t="s">
        <v>453</v>
      </c>
      <c r="G633" s="170">
        <v>1000.0</v>
      </c>
      <c r="H633" s="171">
        <v>100.0</v>
      </c>
      <c r="I633" s="171">
        <v>200.0</v>
      </c>
      <c r="J633" s="172">
        <f t="shared" si="33"/>
        <v>0.001023154349</v>
      </c>
      <c r="K633" s="173">
        <f t="shared" si="34"/>
        <v>1.227785219</v>
      </c>
      <c r="L633" s="174">
        <f t="shared" si="9"/>
        <v>4.797711404</v>
      </c>
      <c r="M633" s="175" t="str">
        <f t="shared" si="10"/>
        <v>Tam2140</v>
      </c>
      <c r="N633" s="176">
        <f>IFERROR(__xludf.DUMMYFUNCTION("""COMPUTED_VALUE"""),12.0)</f>
        <v>12</v>
      </c>
      <c r="O633" s="176"/>
      <c r="P633" s="166" t="s">
        <v>435</v>
      </c>
      <c r="Q633" s="166" t="s">
        <v>450</v>
      </c>
      <c r="R633" s="176"/>
      <c r="S633" s="176"/>
      <c r="T633" s="176"/>
      <c r="U633" s="176"/>
      <c r="V633" s="176"/>
      <c r="W633" s="176"/>
      <c r="X633" s="176"/>
      <c r="Y633" s="176"/>
      <c r="Z633" s="176"/>
      <c r="AA633" s="176"/>
    </row>
    <row r="634">
      <c r="A634" s="165" t="str">
        <f>iferror(VLOOKUP(P634,'DO NOT TOUCH Imported'!$A$1:$D$800,4,False),iferror(VLOOKUP(P634,'DO NOT TOUCH Imported'!$C$1:$D$800,2,False),"OOPS FIX ME"))</f>
        <v>Tam2140</v>
      </c>
      <c r="B634" s="166" t="s">
        <v>441</v>
      </c>
      <c r="C634" s="167" t="s">
        <v>780</v>
      </c>
      <c r="D634" s="168" t="s">
        <v>437</v>
      </c>
      <c r="E634" s="177" t="s">
        <v>455</v>
      </c>
      <c r="F634" s="168" t="s">
        <v>439</v>
      </c>
      <c r="G634" s="170">
        <v>1000.0</v>
      </c>
      <c r="H634" s="171">
        <v>100.0</v>
      </c>
      <c r="I634" s="171">
        <v>200.0</v>
      </c>
      <c r="J634" s="172">
        <f t="shared" si="33"/>
        <v>0.001023154349</v>
      </c>
      <c r="K634" s="173">
        <f t="shared" si="34"/>
        <v>1.227785219</v>
      </c>
      <c r="L634" s="174">
        <f t="shared" si="9"/>
        <v>4.797711404</v>
      </c>
      <c r="M634" s="175" t="str">
        <f t="shared" si="10"/>
        <v>Tam2140</v>
      </c>
      <c r="N634" s="176">
        <f>IFERROR(__xludf.DUMMYFUNCTION("""COMPUTED_VALUE"""),13.0)</f>
        <v>13</v>
      </c>
      <c r="O634" s="176"/>
      <c r="P634" s="166" t="s">
        <v>435</v>
      </c>
      <c r="Q634" s="166" t="s">
        <v>441</v>
      </c>
      <c r="R634" s="176"/>
      <c r="S634" s="176"/>
      <c r="T634" s="176"/>
      <c r="U634" s="176"/>
      <c r="V634" s="176"/>
      <c r="W634" s="176"/>
      <c r="X634" s="176"/>
      <c r="Y634" s="176"/>
      <c r="Z634" s="176"/>
      <c r="AA634" s="176"/>
    </row>
    <row r="635">
      <c r="A635" s="165" t="str">
        <f>iferror(VLOOKUP(P635,'DO NOT TOUCH Imported'!$A$1:$D$800,4,False),iferror(VLOOKUP(P635,'DO NOT TOUCH Imported'!$C$1:$D$800,2,False),"OOPS FIX ME"))</f>
        <v>Tam2140</v>
      </c>
      <c r="B635" s="166" t="s">
        <v>435</v>
      </c>
      <c r="C635" s="167" t="s">
        <v>479</v>
      </c>
      <c r="D635" s="168" t="s">
        <v>437</v>
      </c>
      <c r="E635" s="177" t="s">
        <v>455</v>
      </c>
      <c r="F635" s="168" t="s">
        <v>439</v>
      </c>
      <c r="G635" s="170">
        <v>1000.0</v>
      </c>
      <c r="H635" s="171">
        <v>150.0</v>
      </c>
      <c r="I635" s="171">
        <v>100.0</v>
      </c>
      <c r="J635" s="172">
        <f t="shared" si="33"/>
        <v>0.0008830136242</v>
      </c>
      <c r="K635" s="173">
        <f t="shared" si="34"/>
        <v>1.059616349</v>
      </c>
      <c r="L635" s="174">
        <f t="shared" si="9"/>
        <v>4.797711404</v>
      </c>
      <c r="M635" s="175" t="str">
        <f t="shared" si="10"/>
        <v>Tam2140</v>
      </c>
      <c r="N635" s="176">
        <f>IFERROR(__xludf.DUMMYFUNCTION("""COMPUTED_VALUE"""),14.0)</f>
        <v>14</v>
      </c>
      <c r="O635" s="176"/>
      <c r="P635" s="166" t="s">
        <v>435</v>
      </c>
      <c r="Q635" s="166" t="s">
        <v>435</v>
      </c>
      <c r="R635" s="176"/>
      <c r="S635" s="176"/>
      <c r="T635" s="176"/>
      <c r="U635" s="176"/>
      <c r="V635" s="176"/>
      <c r="W635" s="176"/>
      <c r="X635" s="176"/>
      <c r="Y635" s="176"/>
      <c r="Z635" s="176"/>
      <c r="AA635" s="176"/>
    </row>
    <row r="636">
      <c r="A636" s="165" t="str">
        <f>iferror(VLOOKUP(P636,'DO NOT TOUCH Imported'!$A$1:$D$800,4,False),iferror(VLOOKUP(P636,'DO NOT TOUCH Imported'!$C$1:$D$800,2,False),"OOPS FIX ME"))</f>
        <v>Tam2140</v>
      </c>
      <c r="B636" s="166" t="s">
        <v>441</v>
      </c>
      <c r="C636" s="167" t="s">
        <v>533</v>
      </c>
      <c r="D636" s="168" t="s">
        <v>437</v>
      </c>
      <c r="E636" s="177" t="s">
        <v>438</v>
      </c>
      <c r="F636" s="168" t="s">
        <v>439</v>
      </c>
      <c r="G636" s="170">
        <v>1000.0</v>
      </c>
      <c r="H636" s="171">
        <v>150.0</v>
      </c>
      <c r="I636" s="171">
        <v>100.0</v>
      </c>
      <c r="J636" s="172">
        <f t="shared" si="33"/>
        <v>0.0008830136242</v>
      </c>
      <c r="K636" s="173">
        <f t="shared" si="34"/>
        <v>1.059616349</v>
      </c>
      <c r="L636" s="174">
        <f t="shared" si="9"/>
        <v>4.797711404</v>
      </c>
      <c r="M636" s="175" t="str">
        <f t="shared" si="10"/>
        <v>Tam2140</v>
      </c>
      <c r="N636" s="176">
        <f>IFERROR(__xludf.DUMMYFUNCTION("""COMPUTED_VALUE"""),15.0)</f>
        <v>15</v>
      </c>
      <c r="O636" s="176"/>
      <c r="P636" s="166" t="s">
        <v>435</v>
      </c>
      <c r="Q636" s="166" t="s">
        <v>441</v>
      </c>
      <c r="R636" s="176"/>
      <c r="S636" s="176"/>
      <c r="T636" s="176"/>
      <c r="U636" s="176"/>
      <c r="V636" s="176"/>
      <c r="W636" s="176"/>
      <c r="X636" s="176"/>
      <c r="Y636" s="176"/>
      <c r="Z636" s="176"/>
      <c r="AA636" s="176"/>
    </row>
    <row r="637">
      <c r="A637" s="165" t="str">
        <f>iferror(VLOOKUP(P637,'DO NOT TOUCH Imported'!$A$1:$D$800,4,False),iferror(VLOOKUP(P637,'DO NOT TOUCH Imported'!$C$1:$D$800,2,False),"OOPS FIX ME"))</f>
        <v>Tam2140</v>
      </c>
      <c r="B637" s="166" t="s">
        <v>441</v>
      </c>
      <c r="C637" s="167" t="s">
        <v>548</v>
      </c>
      <c r="D637" s="168" t="s">
        <v>437</v>
      </c>
      <c r="E637" s="169" t="s">
        <v>438</v>
      </c>
      <c r="F637" s="168" t="s">
        <v>439</v>
      </c>
      <c r="G637" s="170">
        <v>1000.0</v>
      </c>
      <c r="H637" s="171">
        <v>150.0</v>
      </c>
      <c r="I637" s="171">
        <v>100.0</v>
      </c>
      <c r="J637" s="172">
        <f t="shared" si="33"/>
        <v>0.0008830136242</v>
      </c>
      <c r="K637" s="173">
        <f t="shared" si="34"/>
        <v>1.059616349</v>
      </c>
      <c r="L637" s="174">
        <f t="shared" si="9"/>
        <v>4.797711404</v>
      </c>
      <c r="M637" s="175" t="str">
        <f t="shared" si="10"/>
        <v>Tam2140</v>
      </c>
      <c r="N637" s="176">
        <f>IFERROR(__xludf.DUMMYFUNCTION("""COMPUTED_VALUE"""),16.0)</f>
        <v>16</v>
      </c>
      <c r="O637" s="176"/>
      <c r="P637" s="166" t="s">
        <v>435</v>
      </c>
      <c r="Q637" s="166" t="s">
        <v>441</v>
      </c>
      <c r="R637" s="176"/>
      <c r="S637" s="176"/>
      <c r="T637" s="176"/>
      <c r="U637" s="176"/>
      <c r="V637" s="176"/>
      <c r="W637" s="176"/>
      <c r="X637" s="176"/>
      <c r="Y637" s="176"/>
      <c r="Z637" s="176"/>
      <c r="AA637" s="176"/>
    </row>
    <row r="638">
      <c r="A638" s="165" t="str">
        <f>iferror(VLOOKUP(P638,'DO NOT TOUCH Imported'!$A$1:$D$800,4,False),iferror(VLOOKUP(P638,'DO NOT TOUCH Imported'!$C$1:$D$800,2,False),"OOPS FIX ME"))</f>
        <v>Tam2140</v>
      </c>
      <c r="B638" s="166" t="s">
        <v>441</v>
      </c>
      <c r="C638" s="167" t="s">
        <v>740</v>
      </c>
      <c r="D638" s="168" t="s">
        <v>437</v>
      </c>
      <c r="E638" s="177" t="s">
        <v>438</v>
      </c>
      <c r="F638" s="168" t="s">
        <v>439</v>
      </c>
      <c r="G638" s="170">
        <v>1000.0</v>
      </c>
      <c r="H638" s="171">
        <v>150.0</v>
      </c>
      <c r="I638" s="171">
        <v>100.0</v>
      </c>
      <c r="J638" s="172">
        <f t="shared" si="33"/>
        <v>0.0008830136242</v>
      </c>
      <c r="K638" s="173">
        <f t="shared" si="34"/>
        <v>1.059616349</v>
      </c>
      <c r="L638" s="174">
        <f t="shared" si="9"/>
        <v>4.797711404</v>
      </c>
      <c r="M638" s="175" t="str">
        <f t="shared" si="10"/>
        <v>Tam2140</v>
      </c>
      <c r="N638" s="176">
        <f>IFERROR(__xludf.DUMMYFUNCTION("""COMPUTED_VALUE"""),17.0)</f>
        <v>17</v>
      </c>
      <c r="O638" s="176"/>
      <c r="P638" s="166" t="s">
        <v>435</v>
      </c>
      <c r="Q638" s="166" t="s">
        <v>441</v>
      </c>
      <c r="R638" s="176"/>
      <c r="S638" s="176"/>
      <c r="T638" s="176"/>
      <c r="U638" s="176"/>
      <c r="V638" s="176"/>
      <c r="W638" s="176"/>
      <c r="X638" s="176"/>
      <c r="Y638" s="176"/>
      <c r="Z638" s="176"/>
      <c r="AA638" s="176"/>
    </row>
    <row r="639">
      <c r="A639" s="165" t="str">
        <f>iferror(VLOOKUP(P639,'DO NOT TOUCH Imported'!$A$1:$D$800,4,False),iferror(VLOOKUP(P639,'DO NOT TOUCH Imported'!$C$1:$D$800,2,False),"OOPS FIX ME"))</f>
        <v>Tam2140</v>
      </c>
      <c r="B639" s="166" t="s">
        <v>435</v>
      </c>
      <c r="C639" s="167" t="s">
        <v>465</v>
      </c>
      <c r="D639" s="168" t="s">
        <v>437</v>
      </c>
      <c r="E639" s="177" t="s">
        <v>445</v>
      </c>
      <c r="F639" s="168" t="s">
        <v>439</v>
      </c>
      <c r="G639" s="170">
        <v>1000.0</v>
      </c>
      <c r="H639" s="171">
        <v>100.0</v>
      </c>
      <c r="I639" s="171">
        <v>100.0</v>
      </c>
      <c r="J639" s="172">
        <f t="shared" si="33"/>
        <v>0.000723394157</v>
      </c>
      <c r="K639" s="173">
        <f t="shared" si="34"/>
        <v>0.8680729884</v>
      </c>
      <c r="L639" s="174">
        <f t="shared" si="9"/>
        <v>4.797711404</v>
      </c>
      <c r="M639" s="175" t="str">
        <f t="shared" si="10"/>
        <v>Tam2140</v>
      </c>
      <c r="N639" s="176">
        <f>IFERROR(__xludf.DUMMYFUNCTION("""COMPUTED_VALUE"""),18.0)</f>
        <v>18</v>
      </c>
      <c r="O639" s="176"/>
      <c r="P639" s="166" t="s">
        <v>435</v>
      </c>
      <c r="Q639" s="166" t="s">
        <v>435</v>
      </c>
      <c r="R639" s="176"/>
      <c r="S639" s="176"/>
      <c r="T639" s="176"/>
      <c r="U639" s="176"/>
      <c r="V639" s="176"/>
      <c r="W639" s="176"/>
      <c r="X639" s="176"/>
      <c r="Y639" s="176"/>
      <c r="Z639" s="176"/>
      <c r="AA639" s="176"/>
    </row>
    <row r="640">
      <c r="A640" s="165" t="str">
        <f>iferror(VLOOKUP(P640,'DO NOT TOUCH Imported'!$A$1:$D$800,4,False),iferror(VLOOKUP(P640,'DO NOT TOUCH Imported'!$C$1:$D$800,2,False),"OOPS FIX ME"))</f>
        <v>Tam2140</v>
      </c>
      <c r="B640" s="166" t="s">
        <v>441</v>
      </c>
      <c r="C640" s="167" t="s">
        <v>542</v>
      </c>
      <c r="D640" s="168" t="s">
        <v>437</v>
      </c>
      <c r="E640" s="177" t="s">
        <v>447</v>
      </c>
      <c r="F640" s="168" t="s">
        <v>439</v>
      </c>
      <c r="G640" s="170">
        <v>1000.0</v>
      </c>
      <c r="H640" s="171">
        <v>100.0</v>
      </c>
      <c r="I640" s="171">
        <v>100.0</v>
      </c>
      <c r="J640" s="172">
        <f t="shared" si="33"/>
        <v>0.000723394157</v>
      </c>
      <c r="K640" s="173">
        <f t="shared" si="34"/>
        <v>0.8680729884</v>
      </c>
      <c r="L640" s="174">
        <f t="shared" si="9"/>
        <v>4.797711404</v>
      </c>
      <c r="M640" s="175" t="str">
        <f t="shared" si="10"/>
        <v>Tam2140</v>
      </c>
      <c r="N640" s="176">
        <f>IFERROR(__xludf.DUMMYFUNCTION("""COMPUTED_VALUE"""),19.0)</f>
        <v>19</v>
      </c>
      <c r="O640" s="176"/>
      <c r="P640" s="166" t="s">
        <v>435</v>
      </c>
      <c r="Q640" s="166" t="s">
        <v>441</v>
      </c>
      <c r="R640" s="176"/>
      <c r="S640" s="176"/>
      <c r="T640" s="176"/>
      <c r="U640" s="176"/>
      <c r="V640" s="176"/>
      <c r="W640" s="176"/>
      <c r="X640" s="176"/>
      <c r="Y640" s="176"/>
      <c r="Z640" s="176"/>
      <c r="AA640" s="176"/>
    </row>
    <row r="641">
      <c r="A641" s="165" t="str">
        <f>iferror(VLOOKUP(P641,'DO NOT TOUCH Imported'!$A$1:$D$800,4,False),iferror(VLOOKUP(P641,'DO NOT TOUCH Imported'!$C$1:$D$800,2,False),"OOPS FIX ME"))</f>
        <v>Tam2140</v>
      </c>
      <c r="B641" s="166" t="s">
        <v>441</v>
      </c>
      <c r="C641" s="167" t="s">
        <v>736</v>
      </c>
      <c r="D641" s="168" t="s">
        <v>437</v>
      </c>
      <c r="E641" s="177" t="s">
        <v>447</v>
      </c>
      <c r="F641" s="168" t="s">
        <v>439</v>
      </c>
      <c r="G641" s="170">
        <v>1000.0</v>
      </c>
      <c r="H641" s="171">
        <v>100.0</v>
      </c>
      <c r="I641" s="171">
        <v>100.0</v>
      </c>
      <c r="J641" s="172">
        <f t="shared" si="33"/>
        <v>0.000723394157</v>
      </c>
      <c r="K641" s="173">
        <f t="shared" si="34"/>
        <v>0.8680729884</v>
      </c>
      <c r="L641" s="174">
        <f t="shared" si="9"/>
        <v>4.797711404</v>
      </c>
      <c r="M641" s="175" t="str">
        <f t="shared" si="10"/>
        <v>Tam2140</v>
      </c>
      <c r="N641" s="176">
        <f>IFERROR(__xludf.DUMMYFUNCTION("""COMPUTED_VALUE"""),20.0)</f>
        <v>20</v>
      </c>
      <c r="O641" s="176"/>
      <c r="P641" s="166" t="s">
        <v>435</v>
      </c>
      <c r="Q641" s="166" t="s">
        <v>441</v>
      </c>
      <c r="R641" s="176"/>
      <c r="S641" s="176"/>
      <c r="T641" s="176"/>
      <c r="U641" s="176"/>
      <c r="V641" s="176"/>
      <c r="W641" s="176"/>
      <c r="X641" s="176"/>
      <c r="Y641" s="176"/>
      <c r="Z641" s="176"/>
      <c r="AA641" s="176"/>
    </row>
    <row r="642">
      <c r="A642" s="165" t="str">
        <f>iferror(VLOOKUP(P642,'DO NOT TOUCH Imported'!$A$1:$D$800,4,False),iferror(VLOOKUP(P642,'DO NOT TOUCH Imported'!$C$1:$D$800,2,False),"OOPS FIX ME"))</f>
        <v>Tam2140</v>
      </c>
      <c r="B642" s="166" t="s">
        <v>441</v>
      </c>
      <c r="C642" s="167" t="s">
        <v>468</v>
      </c>
      <c r="D642" s="168" t="s">
        <v>437</v>
      </c>
      <c r="E642" s="177" t="s">
        <v>447</v>
      </c>
      <c r="F642" s="168" t="s">
        <v>439</v>
      </c>
      <c r="G642" s="170">
        <v>1000.0</v>
      </c>
      <c r="H642" s="171">
        <v>100.0</v>
      </c>
      <c r="I642" s="171">
        <v>100.0</v>
      </c>
      <c r="J642" s="172">
        <f t="shared" si="33"/>
        <v>0.000723394157</v>
      </c>
      <c r="K642" s="173">
        <f t="shared" si="34"/>
        <v>0.8680729884</v>
      </c>
      <c r="L642" s="174">
        <f t="shared" si="9"/>
        <v>4.797711404</v>
      </c>
      <c r="M642" s="175" t="str">
        <f t="shared" si="10"/>
        <v>Tam2140</v>
      </c>
      <c r="N642" s="176">
        <f>IFERROR(__xludf.DUMMYFUNCTION("""COMPUTED_VALUE"""),21.0)</f>
        <v>21</v>
      </c>
      <c r="O642" s="176"/>
      <c r="P642" s="166" t="s">
        <v>435</v>
      </c>
      <c r="Q642" s="166" t="s">
        <v>441</v>
      </c>
      <c r="R642" s="176"/>
      <c r="S642" s="176"/>
      <c r="T642" s="176"/>
      <c r="U642" s="176"/>
      <c r="V642" s="176"/>
      <c r="W642" s="176"/>
      <c r="X642" s="176"/>
      <c r="Y642" s="176"/>
      <c r="Z642" s="176"/>
      <c r="AA642" s="176"/>
    </row>
    <row r="643">
      <c r="A643" s="165" t="str">
        <f>iferror(VLOOKUP(P643,'DO NOT TOUCH Imported'!$A$1:$D$800,4,False),iferror(VLOOKUP(P643,'DO NOT TOUCH Imported'!$C$1:$D$800,2,False),"OOPS FIX ME"))</f>
        <v>Tam2140</v>
      </c>
      <c r="B643" s="166" t="s">
        <v>440</v>
      </c>
      <c r="C643" s="167" t="s">
        <v>471</v>
      </c>
      <c r="D643" s="168" t="s">
        <v>437</v>
      </c>
      <c r="E643" s="169" t="s">
        <v>447</v>
      </c>
      <c r="F643" s="168" t="s">
        <v>439</v>
      </c>
      <c r="G643" s="170">
        <v>1000.0</v>
      </c>
      <c r="H643" s="171">
        <v>100.0</v>
      </c>
      <c r="I643" s="171">
        <v>100.0</v>
      </c>
      <c r="J643" s="172">
        <f t="shared" si="33"/>
        <v>0.000723394157</v>
      </c>
      <c r="K643" s="173">
        <f t="shared" si="34"/>
        <v>0.8680729884</v>
      </c>
      <c r="L643" s="174">
        <f t="shared" si="9"/>
        <v>4.797711404</v>
      </c>
      <c r="M643" s="175" t="str">
        <f t="shared" si="10"/>
        <v>Tam2140</v>
      </c>
      <c r="N643" s="176">
        <f>IFERROR(__xludf.DUMMYFUNCTION("""COMPUTED_VALUE"""),22.0)</f>
        <v>22</v>
      </c>
      <c r="O643" s="176"/>
      <c r="P643" s="166" t="s">
        <v>435</v>
      </c>
      <c r="Q643" s="166" t="s">
        <v>440</v>
      </c>
      <c r="R643" s="176"/>
      <c r="S643" s="176"/>
      <c r="T643" s="176"/>
      <c r="U643" s="176"/>
      <c r="V643" s="176"/>
      <c r="W643" s="176"/>
      <c r="X643" s="176"/>
      <c r="Y643" s="176"/>
      <c r="Z643" s="176"/>
      <c r="AA643" s="176"/>
    </row>
    <row r="644">
      <c r="A644" s="165" t="str">
        <f>iferror(VLOOKUP(P644,'DO NOT TOUCH Imported'!$A$1:$D$800,4,False),iferror(VLOOKUP(P644,'DO NOT TOUCH Imported'!$C$1:$D$800,2,False),"OOPS FIX ME"))</f>
        <v>Tam2140</v>
      </c>
      <c r="B644" s="166" t="s">
        <v>530</v>
      </c>
      <c r="C644" s="167" t="s">
        <v>531</v>
      </c>
      <c r="D644" s="168" t="s">
        <v>499</v>
      </c>
      <c r="E644" s="177" t="s">
        <v>452</v>
      </c>
      <c r="F644" s="168" t="s">
        <v>503</v>
      </c>
      <c r="G644" s="170">
        <v>1000.0</v>
      </c>
      <c r="H644" s="171">
        <v>100.0</v>
      </c>
      <c r="I644" s="171">
        <v>100.0</v>
      </c>
      <c r="J644" s="172">
        <f t="shared" si="33"/>
        <v>0.000723394157</v>
      </c>
      <c r="K644" s="173">
        <f t="shared" si="34"/>
        <v>0.8680729884</v>
      </c>
      <c r="L644" s="174">
        <f t="shared" si="9"/>
        <v>4.797711404</v>
      </c>
      <c r="M644" s="175" t="str">
        <f t="shared" si="10"/>
        <v>Tam2140</v>
      </c>
      <c r="N644" s="176">
        <f>IFERROR(__xludf.DUMMYFUNCTION("""COMPUTED_VALUE"""),23.0)</f>
        <v>23</v>
      </c>
      <c r="O644" s="176"/>
      <c r="P644" s="166" t="s">
        <v>435</v>
      </c>
      <c r="Q644" s="166" t="s">
        <v>530</v>
      </c>
      <c r="R644" s="176"/>
      <c r="S644" s="176"/>
      <c r="T644" s="176"/>
      <c r="U644" s="176"/>
      <c r="V644" s="176"/>
      <c r="W644" s="176"/>
      <c r="X644" s="176"/>
      <c r="Y644" s="176"/>
      <c r="Z644" s="176"/>
      <c r="AA644" s="176"/>
    </row>
    <row r="645">
      <c r="A645" s="165" t="str">
        <f>iferror(VLOOKUP(P645,'DO NOT TOUCH Imported'!$A$1:$D$800,4,False),iferror(VLOOKUP(P645,'DO NOT TOUCH Imported'!$C$1:$D$800,2,False),"OOPS FIX ME"))</f>
        <v>Tam2140</v>
      </c>
      <c r="B645" s="166" t="s">
        <v>441</v>
      </c>
      <c r="C645" s="167" t="s">
        <v>550</v>
      </c>
      <c r="D645" s="168" t="s">
        <v>437</v>
      </c>
      <c r="E645" s="177" t="s">
        <v>438</v>
      </c>
      <c r="F645" s="168" t="s">
        <v>439</v>
      </c>
      <c r="G645" s="170">
        <v>1000.0</v>
      </c>
      <c r="H645" s="171">
        <v>100.0</v>
      </c>
      <c r="I645" s="171">
        <v>100.0</v>
      </c>
      <c r="J645" s="172">
        <f t="shared" si="33"/>
        <v>0.000723394157</v>
      </c>
      <c r="K645" s="173">
        <f t="shared" si="34"/>
        <v>0.8680729884</v>
      </c>
      <c r="L645" s="174">
        <f t="shared" si="9"/>
        <v>4.797711404</v>
      </c>
      <c r="M645" s="175" t="str">
        <f t="shared" si="10"/>
        <v>Tam2140</v>
      </c>
      <c r="N645" s="176">
        <f>IFERROR(__xludf.DUMMYFUNCTION("""COMPUTED_VALUE"""),24.0)</f>
        <v>24</v>
      </c>
      <c r="O645" s="176"/>
      <c r="P645" s="166" t="s">
        <v>435</v>
      </c>
      <c r="Q645" s="166" t="s">
        <v>441</v>
      </c>
      <c r="R645" s="176"/>
      <c r="S645" s="176"/>
      <c r="T645" s="176"/>
      <c r="U645" s="176"/>
      <c r="V645" s="176"/>
      <c r="W645" s="176"/>
      <c r="X645" s="176"/>
      <c r="Y645" s="176"/>
      <c r="Z645" s="176"/>
      <c r="AA645" s="176"/>
    </row>
    <row r="646">
      <c r="A646" s="165" t="str">
        <f>iferror(VLOOKUP(P646,'DO NOT TOUCH Imported'!$A$1:$D$800,4,False),iferror(VLOOKUP(P646,'DO NOT TOUCH Imported'!$C$1:$D$800,2,False),"OOPS FIX ME"))</f>
        <v>Tam2140</v>
      </c>
      <c r="B646" s="166" t="s">
        <v>441</v>
      </c>
      <c r="C646" s="167" t="s">
        <v>543</v>
      </c>
      <c r="D646" s="168" t="s">
        <v>437</v>
      </c>
      <c r="E646" s="169" t="s">
        <v>447</v>
      </c>
      <c r="F646" s="168" t="s">
        <v>439</v>
      </c>
      <c r="G646" s="170">
        <v>1000.0</v>
      </c>
      <c r="H646" s="171">
        <v>80.0</v>
      </c>
      <c r="I646" s="171">
        <v>100.0</v>
      </c>
      <c r="J646" s="172">
        <f t="shared" si="33"/>
        <v>0.0006595463701</v>
      </c>
      <c r="K646" s="173">
        <f t="shared" si="34"/>
        <v>0.7914556442</v>
      </c>
      <c r="L646" s="174">
        <f t="shared" si="9"/>
        <v>4.797711404</v>
      </c>
      <c r="M646" s="175" t="str">
        <f t="shared" si="10"/>
        <v>Tam2140</v>
      </c>
      <c r="N646" s="176">
        <f>IFERROR(__xludf.DUMMYFUNCTION("""COMPUTED_VALUE"""),25.0)</f>
        <v>25</v>
      </c>
      <c r="O646" s="176"/>
      <c r="P646" s="166" t="s">
        <v>435</v>
      </c>
      <c r="Q646" s="166" t="s">
        <v>441</v>
      </c>
      <c r="R646" s="176"/>
      <c r="S646" s="176"/>
      <c r="T646" s="176"/>
      <c r="U646" s="176"/>
      <c r="V646" s="176"/>
      <c r="W646" s="176"/>
      <c r="X646" s="176"/>
      <c r="Y646" s="176"/>
      <c r="Z646" s="176"/>
      <c r="AA646" s="176"/>
    </row>
    <row r="647">
      <c r="A647" s="165" t="str">
        <f>iferror(VLOOKUP(P647,'DO NOT TOUCH Imported'!$A$1:$D$800,4,False),iferror(VLOOKUP(P647,'DO NOT TOUCH Imported'!$C$1:$D$800,2,False),"OOPS FIX ME"))</f>
        <v>Tam2140</v>
      </c>
      <c r="B647" s="166" t="s">
        <v>486</v>
      </c>
      <c r="C647" s="167" t="s">
        <v>487</v>
      </c>
      <c r="D647" s="168" t="s">
        <v>437</v>
      </c>
      <c r="E647" s="169" t="s">
        <v>488</v>
      </c>
      <c r="F647" s="168" t="s">
        <v>439</v>
      </c>
      <c r="G647" s="170">
        <v>1000.0</v>
      </c>
      <c r="H647" s="171">
        <v>70.0</v>
      </c>
      <c r="I647" s="171">
        <v>100.0</v>
      </c>
      <c r="J647" s="172">
        <f t="shared" si="33"/>
        <v>0.0006276224767</v>
      </c>
      <c r="K647" s="173">
        <f t="shared" si="34"/>
        <v>0.7531469721</v>
      </c>
      <c r="L647" s="174">
        <f t="shared" si="9"/>
        <v>4.797711404</v>
      </c>
      <c r="M647" s="175" t="str">
        <f t="shared" si="10"/>
        <v>Tam2140</v>
      </c>
      <c r="N647" s="176">
        <f>IFERROR(__xludf.DUMMYFUNCTION("""COMPUTED_VALUE"""),26.0)</f>
        <v>26</v>
      </c>
      <c r="O647" s="176"/>
      <c r="P647" s="166" t="s">
        <v>435</v>
      </c>
      <c r="Q647" s="166" t="s">
        <v>486</v>
      </c>
      <c r="R647" s="176"/>
      <c r="S647" s="176"/>
      <c r="T647" s="176"/>
      <c r="U647" s="176"/>
      <c r="V647" s="176"/>
      <c r="W647" s="176"/>
      <c r="X647" s="176"/>
      <c r="Y647" s="176"/>
      <c r="Z647" s="176"/>
      <c r="AA647" s="176"/>
    </row>
    <row r="648">
      <c r="A648" s="165" t="str">
        <f>iferror(VLOOKUP(P648,'DO NOT TOUCH Imported'!$A$1:$D$800,4,False),iferror(VLOOKUP(P648,'DO NOT TOUCH Imported'!$C$1:$D$800,2,False),"OOPS FIX ME"))</f>
        <v>Tam2140</v>
      </c>
      <c r="B648" s="166" t="s">
        <v>490</v>
      </c>
      <c r="C648" s="167" t="s">
        <v>491</v>
      </c>
      <c r="D648" s="168" t="s">
        <v>437</v>
      </c>
      <c r="E648" s="169" t="s">
        <v>445</v>
      </c>
      <c r="F648" s="168" t="s">
        <v>439</v>
      </c>
      <c r="G648" s="170">
        <v>1000.0</v>
      </c>
      <c r="H648" s="171">
        <v>70.0</v>
      </c>
      <c r="I648" s="171">
        <v>100.0</v>
      </c>
      <c r="J648" s="172">
        <f t="shared" si="33"/>
        <v>0.0006276224767</v>
      </c>
      <c r="K648" s="173">
        <f t="shared" si="34"/>
        <v>0.7531469721</v>
      </c>
      <c r="L648" s="174">
        <f t="shared" si="9"/>
        <v>4.797711404</v>
      </c>
      <c r="M648" s="175" t="str">
        <f t="shared" si="10"/>
        <v>Tam2140</v>
      </c>
      <c r="N648" s="176">
        <f>IFERROR(__xludf.DUMMYFUNCTION("""COMPUTED_VALUE"""),27.0)</f>
        <v>27</v>
      </c>
      <c r="O648" s="176"/>
      <c r="P648" s="166" t="s">
        <v>435</v>
      </c>
      <c r="Q648" s="166" t="s">
        <v>490</v>
      </c>
      <c r="R648" s="176"/>
      <c r="S648" s="176"/>
      <c r="T648" s="176"/>
      <c r="U648" s="176"/>
      <c r="V648" s="176"/>
      <c r="W648" s="176"/>
      <c r="X648" s="176"/>
      <c r="Y648" s="176"/>
      <c r="Z648" s="176"/>
      <c r="AA648" s="176"/>
    </row>
    <row r="649">
      <c r="A649" s="165" t="str">
        <f>iferror(VLOOKUP(P649,'DO NOT TOUCH Imported'!$A$1:$D$800,4,False),iferror(VLOOKUP(P649,'DO NOT TOUCH Imported'!$C$1:$D$800,2,False),"OOPS FIX ME"))</f>
        <v>Tam2140</v>
      </c>
      <c r="B649" s="166" t="s">
        <v>492</v>
      </c>
      <c r="C649" s="167" t="s">
        <v>493</v>
      </c>
      <c r="D649" s="168" t="s">
        <v>437</v>
      </c>
      <c r="E649" s="177" t="s">
        <v>445</v>
      </c>
      <c r="F649" s="168" t="s">
        <v>439</v>
      </c>
      <c r="G649" s="170">
        <v>1000.0</v>
      </c>
      <c r="H649" s="171">
        <v>70.0</v>
      </c>
      <c r="I649" s="171">
        <v>100.0</v>
      </c>
      <c r="J649" s="172">
        <f t="shared" si="33"/>
        <v>0.0006276224767</v>
      </c>
      <c r="K649" s="173">
        <f t="shared" si="34"/>
        <v>0.7531469721</v>
      </c>
      <c r="L649" s="174">
        <f t="shared" si="9"/>
        <v>4.797711404</v>
      </c>
      <c r="M649" s="175" t="str">
        <f t="shared" si="10"/>
        <v>Tam2140</v>
      </c>
      <c r="N649" s="176">
        <f>IFERROR(__xludf.DUMMYFUNCTION("""COMPUTED_VALUE"""),28.0)</f>
        <v>28</v>
      </c>
      <c r="O649" s="176"/>
      <c r="P649" s="166" t="s">
        <v>435</v>
      </c>
      <c r="Q649" s="166" t="s">
        <v>492</v>
      </c>
      <c r="R649" s="176"/>
      <c r="S649" s="176"/>
      <c r="T649" s="176"/>
      <c r="U649" s="176"/>
      <c r="V649" s="176"/>
      <c r="W649" s="176"/>
      <c r="X649" s="176"/>
      <c r="Y649" s="176"/>
      <c r="Z649" s="176"/>
      <c r="AA649" s="176"/>
    </row>
    <row r="650">
      <c r="A650" s="165" t="str">
        <f>iferror(VLOOKUP(P650,'DO NOT TOUCH Imported'!$A$1:$D$800,4,False),iferror(VLOOKUP(P650,'DO NOT TOUCH Imported'!$C$1:$D$800,2,False),"OOPS FIX ME"))</f>
        <v>Tam2140</v>
      </c>
      <c r="B650" s="166" t="s">
        <v>441</v>
      </c>
      <c r="C650" s="167" t="s">
        <v>497</v>
      </c>
      <c r="D650" s="168" t="s">
        <v>437</v>
      </c>
      <c r="E650" s="177" t="s">
        <v>438</v>
      </c>
      <c r="F650" s="168" t="s">
        <v>439</v>
      </c>
      <c r="G650" s="170">
        <v>1000.0</v>
      </c>
      <c r="H650" s="171">
        <v>50.0</v>
      </c>
      <c r="I650" s="171">
        <v>100.0</v>
      </c>
      <c r="J650" s="172">
        <f t="shared" si="33"/>
        <v>0.0005637746898</v>
      </c>
      <c r="K650" s="173">
        <f t="shared" si="34"/>
        <v>0.6765296278</v>
      </c>
      <c r="L650" s="174">
        <f t="shared" si="9"/>
        <v>4.797711404</v>
      </c>
      <c r="M650" s="175" t="str">
        <f t="shared" si="10"/>
        <v>Tam2140</v>
      </c>
      <c r="N650" s="176">
        <f>IFERROR(__xludf.DUMMYFUNCTION("""COMPUTED_VALUE"""),29.0)</f>
        <v>29</v>
      </c>
      <c r="O650" s="176"/>
      <c r="P650" s="166" t="s">
        <v>435</v>
      </c>
      <c r="Q650" s="166" t="s">
        <v>441</v>
      </c>
      <c r="R650" s="176"/>
      <c r="S650" s="176"/>
      <c r="T650" s="176"/>
      <c r="U650" s="176"/>
      <c r="V650" s="176"/>
      <c r="W650" s="176"/>
      <c r="X650" s="176"/>
      <c r="Y650" s="176"/>
      <c r="Z650" s="176"/>
      <c r="AA650" s="176"/>
    </row>
    <row r="651">
      <c r="A651" s="165" t="str">
        <f>iferror(VLOOKUP(P651,'DO NOT TOUCH Imported'!$A$1:$D$800,4,False),iferror(VLOOKUP(P651,'DO NOT TOUCH Imported'!$C$1:$D$800,2,False),"OOPS FIX ME"))</f>
        <v>Tam2140</v>
      </c>
      <c r="B651" s="178" t="s">
        <v>10</v>
      </c>
      <c r="C651" s="179" t="s">
        <v>494</v>
      </c>
      <c r="D651" s="180" t="s">
        <v>495</v>
      </c>
      <c r="E651" s="181">
        <v>44324.0</v>
      </c>
      <c r="F651" s="182" t="s">
        <v>496</v>
      </c>
      <c r="G651" s="170">
        <v>1000.0</v>
      </c>
      <c r="H651" s="171">
        <v>50.0</v>
      </c>
      <c r="I651" s="171">
        <v>100.0</v>
      </c>
      <c r="J651" s="172">
        <f t="shared" si="33"/>
        <v>0.0005637746898</v>
      </c>
      <c r="K651" s="173">
        <f t="shared" si="34"/>
        <v>0.6765296278</v>
      </c>
      <c r="L651" s="174">
        <f t="shared" si="9"/>
        <v>4.797711404</v>
      </c>
      <c r="M651" s="175" t="str">
        <f t="shared" si="10"/>
        <v>Tam2140</v>
      </c>
      <c r="N651" s="176">
        <f>IFERROR(__xludf.DUMMYFUNCTION("""COMPUTED_VALUE"""),30.0)</f>
        <v>30</v>
      </c>
      <c r="O651" s="176"/>
      <c r="P651" s="183" t="s">
        <v>28</v>
      </c>
      <c r="Q651" s="178" t="s">
        <v>10</v>
      </c>
      <c r="R651" s="176"/>
      <c r="S651" s="176"/>
      <c r="T651" s="176"/>
      <c r="U651" s="176"/>
      <c r="V651" s="176"/>
      <c r="W651" s="176"/>
      <c r="X651" s="176"/>
      <c r="Y651" s="176"/>
      <c r="Z651" s="176"/>
      <c r="AA651" s="176"/>
    </row>
    <row r="652">
      <c r="A652" s="165" t="str">
        <f>iferror(VLOOKUP(P652,'DO NOT TOUCH Imported'!$A$1:$D$800,4,False),iferror(VLOOKUP(P652,'DO NOT TOUCH Imported'!$C$1:$D$800,2,False),"OOPS FIX ME"))</f>
        <v>Tam2140</v>
      </c>
      <c r="B652" s="178" t="s">
        <v>10</v>
      </c>
      <c r="C652" s="179" t="s">
        <v>498</v>
      </c>
      <c r="D652" s="180" t="s">
        <v>495</v>
      </c>
      <c r="E652" s="181">
        <v>44323.0</v>
      </c>
      <c r="F652" s="182" t="s">
        <v>499</v>
      </c>
      <c r="G652" s="170">
        <v>500.0</v>
      </c>
      <c r="H652" s="171">
        <v>25.0</v>
      </c>
      <c r="I652" s="171">
        <v>100.0</v>
      </c>
      <c r="J652" s="172">
        <f t="shared" si="33"/>
        <v>0.0004317674408</v>
      </c>
      <c r="K652" s="173">
        <f t="shared" si="34"/>
        <v>0.518120929</v>
      </c>
      <c r="L652" s="174">
        <f t="shared" si="9"/>
        <v>4.797711404</v>
      </c>
      <c r="M652" s="175" t="str">
        <f t="shared" si="10"/>
        <v>Tam2140</v>
      </c>
      <c r="N652" s="176">
        <f>IFERROR(__xludf.DUMMYFUNCTION("""COMPUTED_VALUE"""),31.0)</f>
        <v>31</v>
      </c>
      <c r="O652" s="176"/>
      <c r="P652" s="183" t="s">
        <v>28</v>
      </c>
      <c r="Q652" s="178" t="s">
        <v>10</v>
      </c>
      <c r="R652" s="176"/>
      <c r="S652" s="176"/>
      <c r="T652" s="176"/>
      <c r="U652" s="176"/>
      <c r="V652" s="176"/>
      <c r="W652" s="176"/>
      <c r="X652" s="176"/>
      <c r="Y652" s="176"/>
      <c r="Z652" s="176"/>
      <c r="AA652" s="176"/>
    </row>
    <row r="653">
      <c r="A653" s="185" t="str">
        <f>iferror(VLOOKUP(P653,'DO NOT TOUCH Imported'!$A$1:$D$800,4,False),iferror(VLOOKUP(P653,'DO NOT TOUCH Imported'!$C$1:$D$800,2,False),"OOPS FIX ME"))</f>
        <v>Tam2140</v>
      </c>
      <c r="B653" s="185" t="s">
        <v>534</v>
      </c>
      <c r="C653" s="186" t="s">
        <v>781</v>
      </c>
      <c r="D653" s="187"/>
      <c r="E653" s="188"/>
      <c r="F653" s="189"/>
      <c r="G653" s="223"/>
      <c r="H653" s="190"/>
      <c r="I653" s="190"/>
      <c r="J653" s="172">
        <f>(H653/$H$2+I653/$I$2)/2</f>
        <v>0</v>
      </c>
      <c r="K653" s="224">
        <f>31.983*-0.85</f>
        <v>-27.18555</v>
      </c>
      <c r="L653" s="193">
        <f t="shared" si="9"/>
        <v>4.797711404</v>
      </c>
      <c r="M653" s="194" t="str">
        <f t="shared" si="10"/>
        <v>Tam2140</v>
      </c>
      <c r="N653" s="195">
        <f>IFERROR(__xludf.DUMMYFUNCTION("""COMPUTED_VALUE"""),32.0)</f>
        <v>32</v>
      </c>
      <c r="O653" s="195"/>
      <c r="P653" s="185" t="s">
        <v>28</v>
      </c>
      <c r="Q653" s="185" t="s">
        <v>534</v>
      </c>
      <c r="R653" s="195">
        <v>27.866735844582376</v>
      </c>
      <c r="S653" s="195"/>
      <c r="T653" s="195"/>
      <c r="U653" s="195"/>
      <c r="V653" s="195"/>
      <c r="W653" s="195"/>
      <c r="X653" s="195"/>
      <c r="Y653" s="195"/>
      <c r="Z653" s="195"/>
      <c r="AA653" s="176"/>
    </row>
    <row r="654">
      <c r="A654" s="165" t="str">
        <f>iferror(VLOOKUP(P654,'DO NOT TOUCH Imported'!$A$1:$D$800,4,False),iferror(VLOOKUP(P654,'DO NOT TOUCH Imported'!$C$1:$D$800,2,False),"OOPS FIX ME"))</f>
        <v>durgadasji</v>
      </c>
      <c r="B654" s="166" t="s">
        <v>441</v>
      </c>
      <c r="C654" s="167" t="s">
        <v>598</v>
      </c>
      <c r="D654" s="168" t="s">
        <v>437</v>
      </c>
      <c r="E654" s="177" t="s">
        <v>438</v>
      </c>
      <c r="F654" s="168" t="s">
        <v>439</v>
      </c>
      <c r="G654" s="170">
        <v>1000.0</v>
      </c>
      <c r="H654" s="171">
        <v>200.0</v>
      </c>
      <c r="I654" s="171">
        <v>100.0</v>
      </c>
      <c r="J654" s="172">
        <f t="shared" ref="J654:J704" si="35">(G654/$G$2+H654/$H$2+I654/$I$2)/3</f>
        <v>0.001042633091</v>
      </c>
      <c r="K654" s="173">
        <f t="shared" ref="K654:K683" si="36">J654*$J$1</f>
        <v>1.25115971</v>
      </c>
      <c r="L654" s="174">
        <f t="shared" si="9"/>
        <v>4.723451663</v>
      </c>
      <c r="M654" s="175" t="str">
        <f t="shared" si="10"/>
        <v>durgadasji</v>
      </c>
      <c r="N654" s="176">
        <f>IFERROR(__xludf.DUMMYFUNCTION("""COMPUTED_VALUE"""),1.0)</f>
        <v>1</v>
      </c>
      <c r="O654" s="176"/>
      <c r="P654" s="166" t="s">
        <v>782</v>
      </c>
      <c r="Q654" s="166" t="s">
        <v>441</v>
      </c>
      <c r="R654" s="176"/>
      <c r="S654" s="176"/>
      <c r="T654" s="176"/>
      <c r="U654" s="176"/>
      <c r="V654" s="176"/>
      <c r="W654" s="176"/>
      <c r="X654" s="176"/>
      <c r="Y654" s="176"/>
      <c r="Z654" s="176"/>
      <c r="AA654" s="176"/>
    </row>
    <row r="655">
      <c r="A655" s="165" t="str">
        <f>iferror(VLOOKUP(P655,'DO NOT TOUCH Imported'!$A$1:$D$800,4,False),iferror(VLOOKUP(P655,'DO NOT TOUCH Imported'!$C$1:$D$800,2,False),"OOPS FIX ME"))</f>
        <v>durgadasji</v>
      </c>
      <c r="B655" s="166" t="s">
        <v>443</v>
      </c>
      <c r="C655" s="167" t="s">
        <v>462</v>
      </c>
      <c r="D655" s="168" t="s">
        <v>437</v>
      </c>
      <c r="E655" s="169" t="s">
        <v>460</v>
      </c>
      <c r="F655" s="168" t="s">
        <v>439</v>
      </c>
      <c r="G655" s="170">
        <v>1000.0</v>
      </c>
      <c r="H655" s="171">
        <v>100.0</v>
      </c>
      <c r="I655" s="171">
        <v>100.0</v>
      </c>
      <c r="J655" s="172">
        <f t="shared" si="35"/>
        <v>0.000723394157</v>
      </c>
      <c r="K655" s="173">
        <f t="shared" si="36"/>
        <v>0.8680729884</v>
      </c>
      <c r="L655" s="174">
        <f t="shared" si="9"/>
        <v>4.723451663</v>
      </c>
      <c r="M655" s="175" t="str">
        <f t="shared" si="10"/>
        <v>durgadasji</v>
      </c>
      <c r="N655" s="176">
        <f>IFERROR(__xludf.DUMMYFUNCTION("""COMPUTED_VALUE"""),2.0)</f>
        <v>2</v>
      </c>
      <c r="O655" s="176"/>
      <c r="P655" s="166" t="s">
        <v>782</v>
      </c>
      <c r="Q655" s="166" t="s">
        <v>443</v>
      </c>
      <c r="R655" s="176"/>
      <c r="S655" s="176"/>
      <c r="T655" s="176"/>
      <c r="U655" s="176"/>
      <c r="V655" s="176"/>
      <c r="W655" s="176"/>
      <c r="X655" s="176"/>
      <c r="Y655" s="176"/>
      <c r="Z655" s="176"/>
      <c r="AA655" s="176"/>
    </row>
    <row r="656">
      <c r="A656" s="165" t="str">
        <f>iferror(VLOOKUP(P656,'DO NOT TOUCH Imported'!$A$1:$D$800,4,False),iferror(VLOOKUP(P656,'DO NOT TOUCH Imported'!$C$1:$D$800,2,False),"OOPS FIX ME"))</f>
        <v>durgadasji</v>
      </c>
      <c r="B656" s="166" t="s">
        <v>441</v>
      </c>
      <c r="C656" s="167" t="s">
        <v>468</v>
      </c>
      <c r="D656" s="168" t="s">
        <v>437</v>
      </c>
      <c r="E656" s="177" t="s">
        <v>447</v>
      </c>
      <c r="F656" s="168" t="s">
        <v>439</v>
      </c>
      <c r="G656" s="170">
        <v>1000.0</v>
      </c>
      <c r="H656" s="171">
        <v>100.0</v>
      </c>
      <c r="I656" s="171">
        <v>100.0</v>
      </c>
      <c r="J656" s="172">
        <f t="shared" si="35"/>
        <v>0.000723394157</v>
      </c>
      <c r="K656" s="173">
        <f t="shared" si="36"/>
        <v>0.8680729884</v>
      </c>
      <c r="L656" s="174">
        <f t="shared" si="9"/>
        <v>4.723451663</v>
      </c>
      <c r="M656" s="175" t="str">
        <f t="shared" si="10"/>
        <v>durgadasji</v>
      </c>
      <c r="N656" s="176">
        <f>IFERROR(__xludf.DUMMYFUNCTION("""COMPUTED_VALUE"""),3.0)</f>
        <v>3</v>
      </c>
      <c r="O656" s="176"/>
      <c r="P656" s="166" t="s">
        <v>782</v>
      </c>
      <c r="Q656" s="166" t="s">
        <v>441</v>
      </c>
      <c r="R656" s="176"/>
      <c r="S656" s="176"/>
      <c r="T656" s="176"/>
      <c r="U656" s="176"/>
      <c r="V656" s="176"/>
      <c r="W656" s="176"/>
      <c r="X656" s="176"/>
      <c r="Y656" s="176"/>
      <c r="Z656" s="176"/>
      <c r="AA656" s="176"/>
    </row>
    <row r="657">
      <c r="A657" s="165" t="str">
        <f>iferror(VLOOKUP(P657,'DO NOT TOUCH Imported'!$A$1:$D$800,4,False),iferror(VLOOKUP(P657,'DO NOT TOUCH Imported'!$C$1:$D$800,2,False),"OOPS FIX ME"))</f>
        <v>durgadasji</v>
      </c>
      <c r="B657" s="166" t="s">
        <v>441</v>
      </c>
      <c r="C657" s="167" t="s">
        <v>783</v>
      </c>
      <c r="D657" s="168" t="s">
        <v>437</v>
      </c>
      <c r="E657" s="177" t="s">
        <v>447</v>
      </c>
      <c r="F657" s="168" t="s">
        <v>439</v>
      </c>
      <c r="G657" s="170">
        <v>1000.0</v>
      </c>
      <c r="H657" s="171">
        <v>100.0</v>
      </c>
      <c r="I657" s="171">
        <v>100.0</v>
      </c>
      <c r="J657" s="172">
        <f t="shared" si="35"/>
        <v>0.000723394157</v>
      </c>
      <c r="K657" s="173">
        <f t="shared" si="36"/>
        <v>0.8680729884</v>
      </c>
      <c r="L657" s="174">
        <f t="shared" si="9"/>
        <v>4.723451663</v>
      </c>
      <c r="M657" s="175" t="str">
        <f t="shared" si="10"/>
        <v>durgadasji</v>
      </c>
      <c r="N657" s="176">
        <f>IFERROR(__xludf.DUMMYFUNCTION("""COMPUTED_VALUE"""),4.0)</f>
        <v>4</v>
      </c>
      <c r="O657" s="176"/>
      <c r="P657" s="166" t="s">
        <v>782</v>
      </c>
      <c r="Q657" s="166" t="s">
        <v>441</v>
      </c>
      <c r="R657" s="176"/>
      <c r="S657" s="176"/>
      <c r="T657" s="176"/>
      <c r="U657" s="176"/>
      <c r="V657" s="176"/>
      <c r="W657" s="176"/>
      <c r="X657" s="176"/>
      <c r="Y657" s="176"/>
      <c r="Z657" s="176"/>
      <c r="AA657" s="176"/>
    </row>
    <row r="658">
      <c r="A658" s="165" t="str">
        <f>iferror(VLOOKUP(P658,'DO NOT TOUCH Imported'!$A$1:$D$800,4,False),iferror(VLOOKUP(P658,'DO NOT TOUCH Imported'!$C$1:$D$800,2,False),"OOPS FIX ME"))</f>
        <v>durgadasji</v>
      </c>
      <c r="B658" s="166" t="s">
        <v>441</v>
      </c>
      <c r="C658" s="167" t="s">
        <v>784</v>
      </c>
      <c r="D658" s="168" t="s">
        <v>437</v>
      </c>
      <c r="E658" s="177" t="s">
        <v>447</v>
      </c>
      <c r="F658" s="168" t="s">
        <v>439</v>
      </c>
      <c r="G658" s="170">
        <v>1000.0</v>
      </c>
      <c r="H658" s="171">
        <v>100.0</v>
      </c>
      <c r="I658" s="171">
        <v>100.0</v>
      </c>
      <c r="J658" s="172">
        <f t="shared" si="35"/>
        <v>0.000723394157</v>
      </c>
      <c r="K658" s="173">
        <f t="shared" si="36"/>
        <v>0.8680729884</v>
      </c>
      <c r="L658" s="174">
        <f t="shared" si="9"/>
        <v>4.723451663</v>
      </c>
      <c r="M658" s="175" t="str">
        <f t="shared" si="10"/>
        <v>durgadasji</v>
      </c>
      <c r="N658" s="176">
        <f>IFERROR(__xludf.DUMMYFUNCTION("""COMPUTED_VALUE"""),5.0)</f>
        <v>5</v>
      </c>
      <c r="O658" s="176"/>
      <c r="P658" s="166" t="s">
        <v>782</v>
      </c>
      <c r="Q658" s="166" t="s">
        <v>441</v>
      </c>
      <c r="R658" s="176"/>
      <c r="S658" s="176"/>
      <c r="T658" s="176"/>
      <c r="U658" s="176"/>
      <c r="V658" s="176"/>
      <c r="W658" s="176"/>
      <c r="X658" s="176"/>
      <c r="Y658" s="176"/>
      <c r="Z658" s="176"/>
      <c r="AA658" s="176"/>
    </row>
    <row r="659">
      <c r="A659" s="165" t="str">
        <f>iferror(VLOOKUP(P659,'DO NOT TOUCH Imported'!$A$1:$D$800,4,False),iferror(VLOOKUP(P659,'DO NOT TOUCH Imported'!$C$1:$D$800,2,False),"OOPS FIX ME"))</f>
        <v>Vyvy-vi#5040</v>
      </c>
      <c r="B659" s="166" t="s">
        <v>75</v>
      </c>
      <c r="C659" s="167" t="s">
        <v>514</v>
      </c>
      <c r="D659" s="168" t="s">
        <v>437</v>
      </c>
      <c r="E659" s="177" t="s">
        <v>515</v>
      </c>
      <c r="F659" s="168" t="s">
        <v>516</v>
      </c>
      <c r="G659" s="170">
        <v>20000.0</v>
      </c>
      <c r="H659" s="171">
        <v>300.0</v>
      </c>
      <c r="I659" s="171">
        <v>300.0</v>
      </c>
      <c r="J659" s="172">
        <f t="shared" si="35"/>
        <v>0.003944897995</v>
      </c>
      <c r="K659" s="173">
        <f t="shared" si="36"/>
        <v>4.733877594</v>
      </c>
      <c r="L659" s="174">
        <f t="shared" si="9"/>
        <v>4.554641424</v>
      </c>
      <c r="M659" s="175" t="str">
        <f t="shared" si="10"/>
        <v>Vyvy-vi#5040</v>
      </c>
      <c r="N659" s="176">
        <f>IFERROR(__xludf.DUMMYFUNCTION("""COMPUTED_VALUE"""),1.0)</f>
        <v>1</v>
      </c>
      <c r="O659" s="176"/>
      <c r="P659" s="166" t="s">
        <v>20</v>
      </c>
      <c r="Q659" s="166" t="s">
        <v>75</v>
      </c>
      <c r="R659" s="176"/>
      <c r="S659" s="176"/>
      <c r="T659" s="176"/>
      <c r="U659" s="176"/>
      <c r="V659" s="176"/>
      <c r="W659" s="176"/>
      <c r="X659" s="176"/>
      <c r="Y659" s="176"/>
      <c r="Z659" s="176"/>
      <c r="AA659" s="176"/>
    </row>
    <row r="660">
      <c r="A660" s="165" t="str">
        <f>iferror(VLOOKUP(P660,'DO NOT TOUCH Imported'!$A$1:$D$800,4,False),iferror(VLOOKUP(P660,'DO NOT TOUCH Imported'!$C$1:$D$800,2,False),"OOPS FIX ME"))</f>
        <v>Vyvy-vi#5040</v>
      </c>
      <c r="B660" s="166" t="s">
        <v>490</v>
      </c>
      <c r="C660" s="167" t="s">
        <v>785</v>
      </c>
      <c r="D660" s="168" t="s">
        <v>437</v>
      </c>
      <c r="E660" s="169" t="s">
        <v>452</v>
      </c>
      <c r="F660" s="168" t="s">
        <v>439</v>
      </c>
      <c r="G660" s="170">
        <v>10000.0</v>
      </c>
      <c r="H660" s="171">
        <v>200.0</v>
      </c>
      <c r="I660" s="171">
        <v>200.0</v>
      </c>
      <c r="J660" s="172">
        <f t="shared" si="35"/>
        <v>0.00228194856</v>
      </c>
      <c r="K660" s="173">
        <f t="shared" si="36"/>
        <v>2.738338273</v>
      </c>
      <c r="L660" s="174">
        <f t="shared" si="9"/>
        <v>4.554641424</v>
      </c>
      <c r="M660" s="175" t="str">
        <f t="shared" si="10"/>
        <v>Vyvy-vi#5040</v>
      </c>
      <c r="N660" s="176">
        <f>IFERROR(__xludf.DUMMYFUNCTION("""COMPUTED_VALUE"""),2.0)</f>
        <v>2</v>
      </c>
      <c r="O660" s="176"/>
      <c r="P660" s="166" t="s">
        <v>20</v>
      </c>
      <c r="Q660" s="166" t="s">
        <v>490</v>
      </c>
      <c r="R660" s="176"/>
      <c r="S660" s="176"/>
      <c r="T660" s="176"/>
      <c r="U660" s="176"/>
      <c r="V660" s="176"/>
      <c r="W660" s="176"/>
      <c r="X660" s="176"/>
      <c r="Y660" s="176"/>
      <c r="Z660" s="176"/>
      <c r="AA660" s="176"/>
    </row>
    <row r="661">
      <c r="A661" s="165" t="str">
        <f>iferror(VLOOKUP(P661,'DO NOT TOUCH Imported'!$A$1:$D$800,4,False),iferror(VLOOKUP(P661,'DO NOT TOUCH Imported'!$C$1:$D$800,2,False),"OOPS FIX ME"))</f>
        <v>Vyvy-vi#5040</v>
      </c>
      <c r="B661" s="166" t="s">
        <v>441</v>
      </c>
      <c r="C661" s="167" t="s">
        <v>538</v>
      </c>
      <c r="D661" s="168" t="s">
        <v>437</v>
      </c>
      <c r="E661" s="169" t="s">
        <v>438</v>
      </c>
      <c r="F661" s="168" t="s">
        <v>439</v>
      </c>
      <c r="G661" s="170">
        <v>1000.0</v>
      </c>
      <c r="H661" s="171">
        <v>100.0</v>
      </c>
      <c r="I661" s="171">
        <v>300.0</v>
      </c>
      <c r="J661" s="172">
        <f t="shared" si="35"/>
        <v>0.001322914541</v>
      </c>
      <c r="K661" s="173">
        <f t="shared" si="36"/>
        <v>1.587497449</v>
      </c>
      <c r="L661" s="174">
        <f t="shared" si="9"/>
        <v>4.554641424</v>
      </c>
      <c r="M661" s="175" t="str">
        <f t="shared" si="10"/>
        <v>Vyvy-vi#5040</v>
      </c>
      <c r="N661" s="176">
        <f>IFERROR(__xludf.DUMMYFUNCTION("""COMPUTED_VALUE"""),3.0)</f>
        <v>3</v>
      </c>
      <c r="O661" s="176"/>
      <c r="P661" s="166" t="s">
        <v>20</v>
      </c>
      <c r="Q661" s="166" t="s">
        <v>441</v>
      </c>
      <c r="R661" s="176"/>
      <c r="S661" s="176"/>
      <c r="T661" s="176"/>
      <c r="U661" s="176"/>
      <c r="V661" s="176"/>
      <c r="W661" s="176"/>
      <c r="X661" s="176"/>
      <c r="Y661" s="176"/>
      <c r="Z661" s="176"/>
      <c r="AA661" s="176"/>
    </row>
    <row r="662">
      <c r="A662" s="165" t="str">
        <f>iferror(VLOOKUP(P662,'DO NOT TOUCH Imported'!$A$1:$D$800,4,False),iferror(VLOOKUP(P662,'DO NOT TOUCH Imported'!$C$1:$D$800,2,False),"OOPS FIX ME"))</f>
        <v>Vyvy-vi#5040</v>
      </c>
      <c r="B662" s="166" t="s">
        <v>441</v>
      </c>
      <c r="C662" s="167" t="s">
        <v>575</v>
      </c>
      <c r="D662" s="168" t="s">
        <v>437</v>
      </c>
      <c r="E662" s="169" t="s">
        <v>447</v>
      </c>
      <c r="F662" s="168" t="s">
        <v>439</v>
      </c>
      <c r="G662" s="170">
        <v>1000.0</v>
      </c>
      <c r="H662" s="171">
        <v>150.0</v>
      </c>
      <c r="I662" s="171">
        <v>200.0</v>
      </c>
      <c r="J662" s="172">
        <f t="shared" si="35"/>
        <v>0.001182773816</v>
      </c>
      <c r="K662" s="173">
        <f t="shared" si="36"/>
        <v>1.419328579</v>
      </c>
      <c r="L662" s="174">
        <f t="shared" si="9"/>
        <v>4.554641424</v>
      </c>
      <c r="M662" s="175" t="str">
        <f t="shared" si="10"/>
        <v>Vyvy-vi#5040</v>
      </c>
      <c r="N662" s="176">
        <f>IFERROR(__xludf.DUMMYFUNCTION("""COMPUTED_VALUE"""),4.0)</f>
        <v>4</v>
      </c>
      <c r="O662" s="176"/>
      <c r="P662" s="166" t="s">
        <v>20</v>
      </c>
      <c r="Q662" s="166" t="s">
        <v>441</v>
      </c>
      <c r="R662" s="176"/>
      <c r="S662" s="176"/>
      <c r="T662" s="176"/>
      <c r="U662" s="176"/>
      <c r="V662" s="176"/>
      <c r="W662" s="176"/>
      <c r="X662" s="176"/>
      <c r="Y662" s="176"/>
      <c r="Z662" s="176"/>
      <c r="AA662" s="176"/>
    </row>
    <row r="663">
      <c r="A663" s="165" t="str">
        <f>iferror(VLOOKUP(P663,'DO NOT TOUCH Imported'!$A$1:$D$800,4,False),iferror(VLOOKUP(P663,'DO NOT TOUCH Imported'!$C$1:$D$800,2,False),"OOPS FIX ME"))</f>
        <v>Vyvy-vi#5040</v>
      </c>
      <c r="B663" s="166" t="s">
        <v>441</v>
      </c>
      <c r="C663" s="167" t="s">
        <v>604</v>
      </c>
      <c r="D663" s="168" t="s">
        <v>499</v>
      </c>
      <c r="E663" s="177" t="s">
        <v>452</v>
      </c>
      <c r="F663" s="168" t="s">
        <v>503</v>
      </c>
      <c r="G663" s="170">
        <v>1000.0</v>
      </c>
      <c r="H663" s="171">
        <v>150.0</v>
      </c>
      <c r="I663" s="171">
        <v>200.0</v>
      </c>
      <c r="J663" s="172">
        <f t="shared" si="35"/>
        <v>0.001182773816</v>
      </c>
      <c r="K663" s="173">
        <f t="shared" si="36"/>
        <v>1.419328579</v>
      </c>
      <c r="L663" s="174">
        <f t="shared" si="9"/>
        <v>4.554641424</v>
      </c>
      <c r="M663" s="175" t="str">
        <f t="shared" si="10"/>
        <v>Vyvy-vi#5040</v>
      </c>
      <c r="N663" s="176">
        <f>IFERROR(__xludf.DUMMYFUNCTION("""COMPUTED_VALUE"""),5.0)</f>
        <v>5</v>
      </c>
      <c r="O663" s="176"/>
      <c r="P663" s="166" t="s">
        <v>20</v>
      </c>
      <c r="Q663" s="166" t="s">
        <v>441</v>
      </c>
      <c r="R663" s="176"/>
      <c r="S663" s="176"/>
      <c r="T663" s="176"/>
      <c r="U663" s="176"/>
      <c r="V663" s="176"/>
      <c r="W663" s="176"/>
      <c r="X663" s="176"/>
      <c r="Y663" s="176"/>
      <c r="Z663" s="176"/>
      <c r="AA663" s="176"/>
    </row>
    <row r="664">
      <c r="A664" s="165" t="str">
        <f>iferror(VLOOKUP(P664,'DO NOT TOUCH Imported'!$A$1:$D$800,4,False),iferror(VLOOKUP(P664,'DO NOT TOUCH Imported'!$C$1:$D$800,2,False),"OOPS FIX ME"))</f>
        <v>Vyvy-vi#5040</v>
      </c>
      <c r="B664" s="166" t="s">
        <v>441</v>
      </c>
      <c r="C664" s="167" t="s">
        <v>786</v>
      </c>
      <c r="D664" s="168" t="s">
        <v>437</v>
      </c>
      <c r="E664" s="169" t="s">
        <v>447</v>
      </c>
      <c r="F664" s="168" t="s">
        <v>439</v>
      </c>
      <c r="G664" s="170">
        <v>1000.0</v>
      </c>
      <c r="H664" s="171">
        <v>200.0</v>
      </c>
      <c r="I664" s="171">
        <v>100.0</v>
      </c>
      <c r="J664" s="172">
        <f t="shared" si="35"/>
        <v>0.001042633091</v>
      </c>
      <c r="K664" s="173">
        <f t="shared" si="36"/>
        <v>1.25115971</v>
      </c>
      <c r="L664" s="174">
        <f t="shared" si="9"/>
        <v>4.554641424</v>
      </c>
      <c r="M664" s="175" t="str">
        <f t="shared" si="10"/>
        <v>Vyvy-vi#5040</v>
      </c>
      <c r="N664" s="176">
        <f>IFERROR(__xludf.DUMMYFUNCTION("""COMPUTED_VALUE"""),6.0)</f>
        <v>6</v>
      </c>
      <c r="O664" s="176"/>
      <c r="P664" s="166" t="s">
        <v>20</v>
      </c>
      <c r="Q664" s="166" t="s">
        <v>441</v>
      </c>
      <c r="R664" s="176"/>
      <c r="S664" s="176"/>
      <c r="T664" s="176"/>
      <c r="U664" s="176"/>
      <c r="V664" s="176"/>
      <c r="W664" s="176"/>
      <c r="X664" s="176"/>
      <c r="Y664" s="176"/>
      <c r="Z664" s="176"/>
      <c r="AA664" s="176"/>
    </row>
    <row r="665">
      <c r="A665" s="165" t="str">
        <f>iferror(VLOOKUP(P665,'DO NOT TOUCH Imported'!$A$1:$D$800,4,False),iferror(VLOOKUP(P665,'DO NOT TOUCH Imported'!$C$1:$D$800,2,False),"OOPS FIX ME"))</f>
        <v>Vyvy-vi#5040</v>
      </c>
      <c r="B665" s="166" t="s">
        <v>441</v>
      </c>
      <c r="C665" s="167" t="s">
        <v>698</v>
      </c>
      <c r="D665" s="168" t="s">
        <v>437</v>
      </c>
      <c r="E665" s="169" t="s">
        <v>447</v>
      </c>
      <c r="F665" s="168" t="s">
        <v>439</v>
      </c>
      <c r="G665" s="170">
        <v>1000.0</v>
      </c>
      <c r="H665" s="171">
        <v>200.0</v>
      </c>
      <c r="I665" s="171">
        <v>100.0</v>
      </c>
      <c r="J665" s="172">
        <f t="shared" si="35"/>
        <v>0.001042633091</v>
      </c>
      <c r="K665" s="173">
        <f t="shared" si="36"/>
        <v>1.25115971</v>
      </c>
      <c r="L665" s="174">
        <f t="shared" si="9"/>
        <v>4.554641424</v>
      </c>
      <c r="M665" s="175" t="str">
        <f t="shared" si="10"/>
        <v>Vyvy-vi#5040</v>
      </c>
      <c r="N665" s="176">
        <f>IFERROR(__xludf.DUMMYFUNCTION("""COMPUTED_VALUE"""),7.0)</f>
        <v>7</v>
      </c>
      <c r="O665" s="176"/>
      <c r="P665" s="166" t="s">
        <v>20</v>
      </c>
      <c r="Q665" s="166" t="s">
        <v>441</v>
      </c>
      <c r="R665" s="176"/>
      <c r="S665" s="176"/>
      <c r="T665" s="176"/>
      <c r="U665" s="176"/>
      <c r="V665" s="176"/>
      <c r="W665" s="176"/>
      <c r="X665" s="176"/>
      <c r="Y665" s="176"/>
      <c r="Z665" s="176"/>
      <c r="AA665" s="176"/>
    </row>
    <row r="666">
      <c r="A666" s="165" t="str">
        <f>iferror(VLOOKUP(P666,'DO NOT TOUCH Imported'!$A$1:$D$800,4,False),iferror(VLOOKUP(P666,'DO NOT TOUCH Imported'!$C$1:$D$800,2,False),"OOPS FIX ME"))</f>
        <v>Vyvy-vi#5040</v>
      </c>
      <c r="B666" s="166" t="s">
        <v>441</v>
      </c>
      <c r="C666" s="167" t="s">
        <v>605</v>
      </c>
      <c r="D666" s="168" t="s">
        <v>437</v>
      </c>
      <c r="E666" s="177" t="s">
        <v>452</v>
      </c>
      <c r="F666" s="168" t="s">
        <v>439</v>
      </c>
      <c r="G666" s="170">
        <v>1000.0</v>
      </c>
      <c r="H666" s="171">
        <v>100.0</v>
      </c>
      <c r="I666" s="171">
        <v>200.0</v>
      </c>
      <c r="J666" s="172">
        <f t="shared" si="35"/>
        <v>0.001023154349</v>
      </c>
      <c r="K666" s="173">
        <f t="shared" si="36"/>
        <v>1.227785219</v>
      </c>
      <c r="L666" s="174">
        <f t="shared" si="9"/>
        <v>4.554641424</v>
      </c>
      <c r="M666" s="175" t="str">
        <f t="shared" si="10"/>
        <v>Vyvy-vi#5040</v>
      </c>
      <c r="N666" s="176">
        <f>IFERROR(__xludf.DUMMYFUNCTION("""COMPUTED_VALUE"""),8.0)</f>
        <v>8</v>
      </c>
      <c r="O666" s="176"/>
      <c r="P666" s="166" t="s">
        <v>20</v>
      </c>
      <c r="Q666" s="166" t="s">
        <v>441</v>
      </c>
      <c r="R666" s="176"/>
      <c r="S666" s="176"/>
      <c r="T666" s="176"/>
      <c r="U666" s="176"/>
      <c r="V666" s="176"/>
      <c r="W666" s="176"/>
      <c r="X666" s="176"/>
      <c r="Y666" s="176"/>
      <c r="Z666" s="176"/>
      <c r="AA666" s="176"/>
    </row>
    <row r="667">
      <c r="A667" s="165" t="str">
        <f>iferror(VLOOKUP(P667,'DO NOT TOUCH Imported'!$A$1:$D$800,4,False),iferror(VLOOKUP(P667,'DO NOT TOUCH Imported'!$C$1:$D$800,2,False),"OOPS FIX ME"))</f>
        <v>Vyvy-vi#5040</v>
      </c>
      <c r="B667" s="166" t="s">
        <v>441</v>
      </c>
      <c r="C667" s="167" t="s">
        <v>606</v>
      </c>
      <c r="D667" s="168" t="s">
        <v>437</v>
      </c>
      <c r="E667" s="177" t="s">
        <v>452</v>
      </c>
      <c r="F667" s="168" t="s">
        <v>439</v>
      </c>
      <c r="G667" s="170">
        <v>1000.0</v>
      </c>
      <c r="H667" s="171">
        <v>100.0</v>
      </c>
      <c r="I667" s="171">
        <v>200.0</v>
      </c>
      <c r="J667" s="172">
        <f t="shared" si="35"/>
        <v>0.001023154349</v>
      </c>
      <c r="K667" s="173">
        <f t="shared" si="36"/>
        <v>1.227785219</v>
      </c>
      <c r="L667" s="174">
        <f t="shared" si="9"/>
        <v>4.554641424</v>
      </c>
      <c r="M667" s="175" t="str">
        <f t="shared" si="10"/>
        <v>Vyvy-vi#5040</v>
      </c>
      <c r="N667" s="176">
        <f>IFERROR(__xludf.DUMMYFUNCTION("""COMPUTED_VALUE"""),9.0)</f>
        <v>9</v>
      </c>
      <c r="O667" s="176"/>
      <c r="P667" s="166" t="s">
        <v>20</v>
      </c>
      <c r="Q667" s="166" t="s">
        <v>441</v>
      </c>
      <c r="R667" s="176"/>
      <c r="S667" s="176"/>
      <c r="T667" s="176"/>
      <c r="U667" s="176"/>
      <c r="V667" s="176"/>
      <c r="W667" s="176"/>
      <c r="X667" s="176"/>
      <c r="Y667" s="176"/>
      <c r="Z667" s="176"/>
      <c r="AA667" s="176"/>
    </row>
    <row r="668">
      <c r="A668" s="165" t="str">
        <f>iferror(VLOOKUP(P668,'DO NOT TOUCH Imported'!$A$1:$D$800,4,False),iferror(VLOOKUP(P668,'DO NOT TOUCH Imported'!$C$1:$D$800,2,False),"OOPS FIX ME"))</f>
        <v>Vyvy-vi#5040</v>
      </c>
      <c r="B668" s="166" t="s">
        <v>440</v>
      </c>
      <c r="C668" s="167" t="s">
        <v>787</v>
      </c>
      <c r="D668" s="168" t="s">
        <v>437</v>
      </c>
      <c r="E668" s="177" t="s">
        <v>445</v>
      </c>
      <c r="F668" s="168" t="s">
        <v>439</v>
      </c>
      <c r="G668" s="170">
        <v>1000.0</v>
      </c>
      <c r="H668" s="171">
        <v>150.0</v>
      </c>
      <c r="I668" s="171">
        <v>100.0</v>
      </c>
      <c r="J668" s="172">
        <f t="shared" si="35"/>
        <v>0.0008830136242</v>
      </c>
      <c r="K668" s="173">
        <f t="shared" si="36"/>
        <v>1.059616349</v>
      </c>
      <c r="L668" s="174">
        <f t="shared" si="9"/>
        <v>4.554641424</v>
      </c>
      <c r="M668" s="175" t="str">
        <f t="shared" si="10"/>
        <v>Vyvy-vi#5040</v>
      </c>
      <c r="N668" s="176">
        <f>IFERROR(__xludf.DUMMYFUNCTION("""COMPUTED_VALUE"""),10.0)</f>
        <v>10</v>
      </c>
      <c r="O668" s="176"/>
      <c r="P668" s="166" t="s">
        <v>20</v>
      </c>
      <c r="Q668" s="166" t="s">
        <v>440</v>
      </c>
      <c r="R668" s="176"/>
      <c r="S668" s="176"/>
      <c r="T668" s="176"/>
      <c r="U668" s="176"/>
      <c r="V668" s="176"/>
      <c r="W668" s="176"/>
      <c r="X668" s="176"/>
      <c r="Y668" s="176"/>
      <c r="Z668" s="176"/>
      <c r="AA668" s="176"/>
    </row>
    <row r="669">
      <c r="A669" s="165" t="str">
        <f>iferror(VLOOKUP(P669,'DO NOT TOUCH Imported'!$A$1:$D$800,4,False),iferror(VLOOKUP(P669,'DO NOT TOUCH Imported'!$C$1:$D$800,2,False),"OOPS FIX ME"))</f>
        <v>Vyvy-vi#5040</v>
      </c>
      <c r="B669" s="166" t="s">
        <v>490</v>
      </c>
      <c r="C669" s="167" t="s">
        <v>539</v>
      </c>
      <c r="D669" s="168" t="s">
        <v>437</v>
      </c>
      <c r="E669" s="177" t="s">
        <v>540</v>
      </c>
      <c r="F669" s="168" t="s">
        <v>439</v>
      </c>
      <c r="G669" s="170">
        <v>1000.0</v>
      </c>
      <c r="H669" s="171">
        <v>100.0</v>
      </c>
      <c r="I669" s="171">
        <v>100.0</v>
      </c>
      <c r="J669" s="172">
        <f t="shared" si="35"/>
        <v>0.000723394157</v>
      </c>
      <c r="K669" s="173">
        <f t="shared" si="36"/>
        <v>0.8680729884</v>
      </c>
      <c r="L669" s="174">
        <f t="shared" si="9"/>
        <v>4.554641424</v>
      </c>
      <c r="M669" s="175" t="str">
        <f t="shared" si="10"/>
        <v>Vyvy-vi#5040</v>
      </c>
      <c r="N669" s="176">
        <f>IFERROR(__xludf.DUMMYFUNCTION("""COMPUTED_VALUE"""),11.0)</f>
        <v>11</v>
      </c>
      <c r="O669" s="176"/>
      <c r="P669" s="166" t="s">
        <v>20</v>
      </c>
      <c r="Q669" s="166" t="s">
        <v>490</v>
      </c>
      <c r="R669" s="176"/>
      <c r="S669" s="176"/>
      <c r="T669" s="176"/>
      <c r="U669" s="176"/>
      <c r="V669" s="176"/>
      <c r="W669" s="176"/>
      <c r="X669" s="176"/>
      <c r="Y669" s="176"/>
      <c r="Z669" s="176"/>
      <c r="AA669" s="176"/>
    </row>
    <row r="670">
      <c r="A670" s="165" t="str">
        <f>iferror(VLOOKUP(P670,'DO NOT TOUCH Imported'!$A$1:$D$800,4,False),iferror(VLOOKUP(P670,'DO NOT TOUCH Imported'!$C$1:$D$800,2,False),"OOPS FIX ME"))</f>
        <v>Vyvy-vi#5040</v>
      </c>
      <c r="B670" s="166" t="s">
        <v>441</v>
      </c>
      <c r="C670" s="167" t="s">
        <v>625</v>
      </c>
      <c r="D670" s="168" t="s">
        <v>437</v>
      </c>
      <c r="E670" s="177" t="s">
        <v>447</v>
      </c>
      <c r="F670" s="168" t="s">
        <v>439</v>
      </c>
      <c r="G670" s="170">
        <v>1000.0</v>
      </c>
      <c r="H670" s="171">
        <v>100.0</v>
      </c>
      <c r="I670" s="171">
        <v>100.0</v>
      </c>
      <c r="J670" s="172">
        <f t="shared" si="35"/>
        <v>0.000723394157</v>
      </c>
      <c r="K670" s="173">
        <f t="shared" si="36"/>
        <v>0.8680729884</v>
      </c>
      <c r="L670" s="174">
        <f t="shared" si="9"/>
        <v>4.554641424</v>
      </c>
      <c r="M670" s="175" t="str">
        <f t="shared" si="10"/>
        <v>Vyvy-vi#5040</v>
      </c>
      <c r="N670" s="176">
        <f>IFERROR(__xludf.DUMMYFUNCTION("""COMPUTED_VALUE"""),12.0)</f>
        <v>12</v>
      </c>
      <c r="O670" s="176"/>
      <c r="P670" s="166" t="s">
        <v>20</v>
      </c>
      <c r="Q670" s="166" t="s">
        <v>441</v>
      </c>
      <c r="R670" s="176"/>
      <c r="S670" s="176"/>
      <c r="T670" s="176"/>
      <c r="U670" s="176"/>
      <c r="V670" s="176"/>
      <c r="W670" s="176"/>
      <c r="X670" s="176"/>
      <c r="Y670" s="176"/>
      <c r="Z670" s="176"/>
      <c r="AA670" s="176"/>
    </row>
    <row r="671">
      <c r="A671" s="165" t="str">
        <f>iferror(VLOOKUP(P671,'DO NOT TOUCH Imported'!$A$1:$D$800,4,False),iferror(VLOOKUP(P671,'DO NOT TOUCH Imported'!$C$1:$D$800,2,False),"OOPS FIX ME"))</f>
        <v>Vyvy-vi#5040</v>
      </c>
      <c r="B671" s="166" t="s">
        <v>440</v>
      </c>
      <c r="C671" s="167" t="s">
        <v>471</v>
      </c>
      <c r="D671" s="168" t="s">
        <v>437</v>
      </c>
      <c r="E671" s="169" t="s">
        <v>447</v>
      </c>
      <c r="F671" s="168" t="s">
        <v>439</v>
      </c>
      <c r="G671" s="170">
        <v>1000.0</v>
      </c>
      <c r="H671" s="171">
        <v>100.0</v>
      </c>
      <c r="I671" s="171">
        <v>100.0</v>
      </c>
      <c r="J671" s="172">
        <f t="shared" si="35"/>
        <v>0.000723394157</v>
      </c>
      <c r="K671" s="173">
        <f t="shared" si="36"/>
        <v>0.8680729884</v>
      </c>
      <c r="L671" s="174">
        <f t="shared" si="9"/>
        <v>4.554641424</v>
      </c>
      <c r="M671" s="175" t="str">
        <f t="shared" si="10"/>
        <v>Vyvy-vi#5040</v>
      </c>
      <c r="N671" s="176">
        <f>IFERROR(__xludf.DUMMYFUNCTION("""COMPUTED_VALUE"""),13.0)</f>
        <v>13</v>
      </c>
      <c r="O671" s="176"/>
      <c r="P671" s="166" t="s">
        <v>20</v>
      </c>
      <c r="Q671" s="166" t="s">
        <v>440</v>
      </c>
      <c r="R671" s="176"/>
      <c r="S671" s="176"/>
      <c r="T671" s="176"/>
      <c r="U671" s="176"/>
      <c r="V671" s="176"/>
      <c r="W671" s="176"/>
      <c r="X671" s="176"/>
      <c r="Y671" s="176"/>
      <c r="Z671" s="176"/>
      <c r="AA671" s="176"/>
    </row>
    <row r="672">
      <c r="A672" s="165" t="str">
        <f>iferror(VLOOKUP(P672,'DO NOT TOUCH Imported'!$A$1:$D$800,4,False),iferror(VLOOKUP(P672,'DO NOT TOUCH Imported'!$C$1:$D$800,2,False),"OOPS FIX ME"))</f>
        <v>Vyvy-vi#5040</v>
      </c>
      <c r="B672" s="166" t="s">
        <v>463</v>
      </c>
      <c r="C672" s="167" t="s">
        <v>788</v>
      </c>
      <c r="D672" s="168" t="s">
        <v>437</v>
      </c>
      <c r="E672" s="177" t="s">
        <v>515</v>
      </c>
      <c r="F672" s="168" t="s">
        <v>516</v>
      </c>
      <c r="G672" s="170">
        <v>1000.0</v>
      </c>
      <c r="H672" s="171">
        <v>100.0</v>
      </c>
      <c r="I672" s="171">
        <v>100.0</v>
      </c>
      <c r="J672" s="172">
        <f t="shared" si="35"/>
        <v>0.000723394157</v>
      </c>
      <c r="K672" s="173">
        <f t="shared" si="36"/>
        <v>0.8680729884</v>
      </c>
      <c r="L672" s="174">
        <f t="shared" si="9"/>
        <v>4.554641424</v>
      </c>
      <c r="M672" s="175" t="str">
        <f t="shared" si="10"/>
        <v>Vyvy-vi#5040</v>
      </c>
      <c r="N672" s="176">
        <f>IFERROR(__xludf.DUMMYFUNCTION("""COMPUTED_VALUE"""),14.0)</f>
        <v>14</v>
      </c>
      <c r="O672" s="176"/>
      <c r="P672" s="166" t="s">
        <v>20</v>
      </c>
      <c r="Q672" s="166" t="s">
        <v>463</v>
      </c>
      <c r="R672" s="176"/>
      <c r="S672" s="176"/>
      <c r="T672" s="176"/>
      <c r="U672" s="176"/>
      <c r="V672" s="176"/>
      <c r="W672" s="176"/>
      <c r="X672" s="176"/>
      <c r="Y672" s="176"/>
      <c r="Z672" s="176"/>
      <c r="AA672" s="176"/>
    </row>
    <row r="673">
      <c r="A673" s="165" t="str">
        <f>iferror(VLOOKUP(P673,'DO NOT TOUCH Imported'!$A$1:$D$800,4,False),iferror(VLOOKUP(P673,'DO NOT TOUCH Imported'!$C$1:$D$800,2,False),"OOPS FIX ME"))</f>
        <v>Vyvy-vi#5040</v>
      </c>
      <c r="B673" s="166" t="s">
        <v>450</v>
      </c>
      <c r="C673" s="167" t="s">
        <v>472</v>
      </c>
      <c r="D673" s="168" t="s">
        <v>437</v>
      </c>
      <c r="E673" s="169" t="s">
        <v>452</v>
      </c>
      <c r="F673" s="168" t="s">
        <v>473</v>
      </c>
      <c r="G673" s="170">
        <v>1000.0</v>
      </c>
      <c r="H673" s="171">
        <v>100.0</v>
      </c>
      <c r="I673" s="171">
        <v>100.0</v>
      </c>
      <c r="J673" s="172">
        <f t="shared" si="35"/>
        <v>0.000723394157</v>
      </c>
      <c r="K673" s="173">
        <f t="shared" si="36"/>
        <v>0.8680729884</v>
      </c>
      <c r="L673" s="174">
        <f t="shared" si="9"/>
        <v>4.554641424</v>
      </c>
      <c r="M673" s="175" t="str">
        <f t="shared" si="10"/>
        <v>Vyvy-vi#5040</v>
      </c>
      <c r="N673" s="176">
        <f>IFERROR(__xludf.DUMMYFUNCTION("""COMPUTED_VALUE"""),15.0)</f>
        <v>15</v>
      </c>
      <c r="O673" s="176"/>
      <c r="P673" s="166" t="s">
        <v>20</v>
      </c>
      <c r="Q673" s="166" t="s">
        <v>450</v>
      </c>
      <c r="R673" s="176"/>
      <c r="S673" s="176"/>
      <c r="T673" s="176"/>
      <c r="U673" s="176"/>
      <c r="V673" s="176"/>
      <c r="W673" s="176"/>
      <c r="X673" s="176"/>
      <c r="Y673" s="176"/>
      <c r="Z673" s="176"/>
      <c r="AA673" s="176"/>
    </row>
    <row r="674">
      <c r="A674" s="165" t="str">
        <f>iferror(VLOOKUP(P674,'DO NOT TOUCH Imported'!$A$1:$D$800,4,False),iferror(VLOOKUP(P674,'DO NOT TOUCH Imported'!$C$1:$D$800,2,False),"OOPS FIX ME"))</f>
        <v>Vyvy-vi#5040</v>
      </c>
      <c r="B674" s="166" t="s">
        <v>490</v>
      </c>
      <c r="C674" s="167" t="s">
        <v>582</v>
      </c>
      <c r="D674" s="168" t="s">
        <v>437</v>
      </c>
      <c r="E674" s="169" t="s">
        <v>506</v>
      </c>
      <c r="F674" s="168" t="s">
        <v>439</v>
      </c>
      <c r="G674" s="170">
        <v>1000.0</v>
      </c>
      <c r="H674" s="171">
        <v>100.0</v>
      </c>
      <c r="I674" s="171">
        <v>100.0</v>
      </c>
      <c r="J674" s="172">
        <f t="shared" si="35"/>
        <v>0.000723394157</v>
      </c>
      <c r="K674" s="173">
        <f t="shared" si="36"/>
        <v>0.8680729884</v>
      </c>
      <c r="L674" s="174">
        <f t="shared" si="9"/>
        <v>4.554641424</v>
      </c>
      <c r="M674" s="175" t="str">
        <f t="shared" si="10"/>
        <v>Vyvy-vi#5040</v>
      </c>
      <c r="N674" s="176">
        <f>IFERROR(__xludf.DUMMYFUNCTION("""COMPUTED_VALUE"""),16.0)</f>
        <v>16</v>
      </c>
      <c r="O674" s="176"/>
      <c r="P674" s="166" t="s">
        <v>20</v>
      </c>
      <c r="Q674" s="166" t="s">
        <v>490</v>
      </c>
      <c r="R674" s="176"/>
      <c r="S674" s="176"/>
      <c r="T674" s="176"/>
      <c r="U674" s="176"/>
      <c r="V674" s="176"/>
      <c r="W674" s="176"/>
      <c r="X674" s="176"/>
      <c r="Y674" s="176"/>
      <c r="Z674" s="176"/>
      <c r="AA674" s="176"/>
    </row>
    <row r="675">
      <c r="A675" s="165" t="str">
        <f>iferror(VLOOKUP(P675,'DO NOT TOUCH Imported'!$A$1:$D$800,4,False),iferror(VLOOKUP(P675,'DO NOT TOUCH Imported'!$C$1:$D$800,2,False),"OOPS FIX ME"))</f>
        <v>Vyvy-vi#5040</v>
      </c>
      <c r="B675" s="166" t="s">
        <v>441</v>
      </c>
      <c r="C675" s="167" t="s">
        <v>789</v>
      </c>
      <c r="D675" s="168" t="s">
        <v>437</v>
      </c>
      <c r="E675" s="177" t="s">
        <v>438</v>
      </c>
      <c r="F675" s="168" t="s">
        <v>439</v>
      </c>
      <c r="G675" s="170">
        <v>1000.0</v>
      </c>
      <c r="H675" s="171">
        <v>100.0</v>
      </c>
      <c r="I675" s="171">
        <v>100.0</v>
      </c>
      <c r="J675" s="172">
        <f t="shared" si="35"/>
        <v>0.000723394157</v>
      </c>
      <c r="K675" s="173">
        <f t="shared" si="36"/>
        <v>0.8680729884</v>
      </c>
      <c r="L675" s="174">
        <f t="shared" si="9"/>
        <v>4.554641424</v>
      </c>
      <c r="M675" s="175" t="str">
        <f t="shared" si="10"/>
        <v>Vyvy-vi#5040</v>
      </c>
      <c r="N675" s="176">
        <f>IFERROR(__xludf.DUMMYFUNCTION("""COMPUTED_VALUE"""),17.0)</f>
        <v>17</v>
      </c>
      <c r="O675" s="176"/>
      <c r="P675" s="166" t="s">
        <v>20</v>
      </c>
      <c r="Q675" s="166" t="s">
        <v>441</v>
      </c>
      <c r="R675" s="176"/>
      <c r="S675" s="176"/>
      <c r="T675" s="176"/>
      <c r="U675" s="176"/>
      <c r="V675" s="176"/>
      <c r="W675" s="176"/>
      <c r="X675" s="176"/>
      <c r="Y675" s="176"/>
      <c r="Z675" s="176"/>
      <c r="AA675" s="176"/>
    </row>
    <row r="676">
      <c r="A676" s="165" t="str">
        <f>iferror(VLOOKUP(P676,'DO NOT TOUCH Imported'!$A$1:$D$800,4,False),iferror(VLOOKUP(P676,'DO NOT TOUCH Imported'!$C$1:$D$800,2,False),"OOPS FIX ME"))</f>
        <v>Vyvy-vi#5040</v>
      </c>
      <c r="B676" s="166" t="s">
        <v>441</v>
      </c>
      <c r="C676" s="167" t="s">
        <v>475</v>
      </c>
      <c r="D676" s="168" t="s">
        <v>437</v>
      </c>
      <c r="E676" s="177" t="s">
        <v>438</v>
      </c>
      <c r="F676" s="168" t="s">
        <v>439</v>
      </c>
      <c r="G676" s="170">
        <v>1000.0</v>
      </c>
      <c r="H676" s="171">
        <v>100.0</v>
      </c>
      <c r="I676" s="171">
        <v>100.0</v>
      </c>
      <c r="J676" s="172">
        <f t="shared" si="35"/>
        <v>0.000723394157</v>
      </c>
      <c r="K676" s="173">
        <f t="shared" si="36"/>
        <v>0.8680729884</v>
      </c>
      <c r="L676" s="174">
        <f t="shared" si="9"/>
        <v>4.554641424</v>
      </c>
      <c r="M676" s="175" t="str">
        <f t="shared" si="10"/>
        <v>Vyvy-vi#5040</v>
      </c>
      <c r="N676" s="176">
        <f>IFERROR(__xludf.DUMMYFUNCTION("""COMPUTED_VALUE"""),18.0)</f>
        <v>18</v>
      </c>
      <c r="O676" s="176"/>
      <c r="P676" s="166" t="s">
        <v>20</v>
      </c>
      <c r="Q676" s="166" t="s">
        <v>441</v>
      </c>
      <c r="R676" s="176"/>
      <c r="S676" s="176"/>
      <c r="T676" s="176"/>
      <c r="U676" s="176"/>
      <c r="V676" s="176"/>
      <c r="W676" s="176"/>
      <c r="X676" s="176"/>
      <c r="Y676" s="176"/>
      <c r="Z676" s="176"/>
      <c r="AA676" s="176"/>
    </row>
    <row r="677">
      <c r="A677" s="165" t="str">
        <f>iferror(VLOOKUP(P677,'DO NOT TOUCH Imported'!$A$1:$D$800,4,False),iferror(VLOOKUP(P677,'DO NOT TOUCH Imported'!$C$1:$D$800,2,False),"OOPS FIX ME"))</f>
        <v>Vyvy-vi#5040</v>
      </c>
      <c r="B677" s="166" t="s">
        <v>441</v>
      </c>
      <c r="C677" s="167" t="s">
        <v>715</v>
      </c>
      <c r="D677" s="168" t="s">
        <v>437</v>
      </c>
      <c r="E677" s="169" t="s">
        <v>438</v>
      </c>
      <c r="F677" s="168" t="s">
        <v>439</v>
      </c>
      <c r="G677" s="170">
        <v>1000.0</v>
      </c>
      <c r="H677" s="171">
        <v>100.0</v>
      </c>
      <c r="I677" s="171">
        <v>100.0</v>
      </c>
      <c r="J677" s="172">
        <f t="shared" si="35"/>
        <v>0.000723394157</v>
      </c>
      <c r="K677" s="173">
        <f t="shared" si="36"/>
        <v>0.8680729884</v>
      </c>
      <c r="L677" s="174">
        <f t="shared" si="9"/>
        <v>4.554641424</v>
      </c>
      <c r="M677" s="175" t="str">
        <f t="shared" si="10"/>
        <v>Vyvy-vi#5040</v>
      </c>
      <c r="N677" s="176">
        <f>IFERROR(__xludf.DUMMYFUNCTION("""COMPUTED_VALUE"""),19.0)</f>
        <v>19</v>
      </c>
      <c r="O677" s="176"/>
      <c r="P677" s="166" t="s">
        <v>20</v>
      </c>
      <c r="Q677" s="166" t="s">
        <v>441</v>
      </c>
      <c r="R677" s="176"/>
      <c r="S677" s="176"/>
      <c r="T677" s="176"/>
      <c r="U677" s="176"/>
      <c r="V677" s="176"/>
      <c r="W677" s="176"/>
      <c r="X677" s="176"/>
      <c r="Y677" s="176"/>
      <c r="Z677" s="176"/>
      <c r="AA677" s="176"/>
    </row>
    <row r="678">
      <c r="A678" s="165" t="str">
        <f>iferror(VLOOKUP(P678,'DO NOT TOUCH Imported'!$A$1:$D$800,4,False),iferror(VLOOKUP(P678,'DO NOT TOUCH Imported'!$C$1:$D$800,2,False),"OOPS FIX ME"))</f>
        <v>Vyvy-vi#5040</v>
      </c>
      <c r="B678" s="178" t="s">
        <v>18</v>
      </c>
      <c r="C678" s="179" t="s">
        <v>544</v>
      </c>
      <c r="D678" s="180" t="s">
        <v>495</v>
      </c>
      <c r="E678" s="184">
        <v>44313.0</v>
      </c>
      <c r="F678" s="182" t="s">
        <v>545</v>
      </c>
      <c r="G678" s="170">
        <v>1000.0</v>
      </c>
      <c r="H678" s="171">
        <v>100.0</v>
      </c>
      <c r="I678" s="171">
        <v>100.0</v>
      </c>
      <c r="J678" s="172">
        <f t="shared" si="35"/>
        <v>0.000723394157</v>
      </c>
      <c r="K678" s="173">
        <f t="shared" si="36"/>
        <v>0.8680729884</v>
      </c>
      <c r="L678" s="174">
        <f t="shared" si="9"/>
        <v>4.554641424</v>
      </c>
      <c r="M678" s="175" t="str">
        <f t="shared" si="10"/>
        <v>Vyvy-vi#5040</v>
      </c>
      <c r="N678" s="176">
        <f>IFERROR(__xludf.DUMMYFUNCTION("""COMPUTED_VALUE"""),20.0)</f>
        <v>20</v>
      </c>
      <c r="O678" s="176"/>
      <c r="P678" s="183" t="s">
        <v>790</v>
      </c>
      <c r="Q678" s="178" t="s">
        <v>18</v>
      </c>
      <c r="R678" s="176"/>
      <c r="S678" s="176"/>
      <c r="T678" s="176"/>
      <c r="U678" s="176"/>
      <c r="V678" s="176"/>
      <c r="W678" s="176"/>
      <c r="X678" s="176"/>
      <c r="Y678" s="176"/>
      <c r="Z678" s="176"/>
      <c r="AA678" s="176"/>
    </row>
    <row r="679">
      <c r="A679" s="165" t="str">
        <f>iferror(VLOOKUP(P679,'DO NOT TOUCH Imported'!$A$1:$D$800,4,False),iferror(VLOOKUP(P679,'DO NOT TOUCH Imported'!$C$1:$D$800,2,False),"OOPS FIX ME"))</f>
        <v>Vyvy-vi#5040</v>
      </c>
      <c r="B679" s="166" t="s">
        <v>441</v>
      </c>
      <c r="C679" s="167" t="s">
        <v>543</v>
      </c>
      <c r="D679" s="168" t="s">
        <v>437</v>
      </c>
      <c r="E679" s="177" t="s">
        <v>447</v>
      </c>
      <c r="F679" s="168" t="s">
        <v>439</v>
      </c>
      <c r="G679" s="170">
        <v>1000.0</v>
      </c>
      <c r="H679" s="171">
        <v>80.0</v>
      </c>
      <c r="I679" s="171">
        <v>100.0</v>
      </c>
      <c r="J679" s="172">
        <f t="shared" si="35"/>
        <v>0.0006595463701</v>
      </c>
      <c r="K679" s="173">
        <f t="shared" si="36"/>
        <v>0.7914556442</v>
      </c>
      <c r="L679" s="174">
        <f t="shared" si="9"/>
        <v>4.554641424</v>
      </c>
      <c r="M679" s="175" t="str">
        <f t="shared" si="10"/>
        <v>Vyvy-vi#5040</v>
      </c>
      <c r="N679" s="176">
        <f>IFERROR(__xludf.DUMMYFUNCTION("""COMPUTED_VALUE"""),21.0)</f>
        <v>21</v>
      </c>
      <c r="O679" s="176"/>
      <c r="P679" s="166" t="s">
        <v>20</v>
      </c>
      <c r="Q679" s="166" t="s">
        <v>441</v>
      </c>
      <c r="R679" s="176"/>
      <c r="S679" s="176"/>
      <c r="T679" s="176"/>
      <c r="U679" s="176"/>
      <c r="V679" s="176"/>
      <c r="W679" s="176"/>
      <c r="X679" s="176"/>
      <c r="Y679" s="176"/>
      <c r="Z679" s="176"/>
      <c r="AA679" s="176"/>
    </row>
    <row r="680">
      <c r="A680" s="165" t="str">
        <f>iferror(VLOOKUP(P680,'DO NOT TOUCH Imported'!$A$1:$D$800,4,False),iferror(VLOOKUP(P680,'DO NOT TOUCH Imported'!$C$1:$D$800,2,False),"OOPS FIX ME"))</f>
        <v>Vyvy-vi#5040</v>
      </c>
      <c r="B680" s="166" t="s">
        <v>483</v>
      </c>
      <c r="C680" s="167" t="s">
        <v>484</v>
      </c>
      <c r="D680" s="168" t="s">
        <v>437</v>
      </c>
      <c r="E680" s="169" t="s">
        <v>478</v>
      </c>
      <c r="F680" s="168" t="s">
        <v>439</v>
      </c>
      <c r="G680" s="170">
        <v>1000.0</v>
      </c>
      <c r="H680" s="171">
        <v>80.0</v>
      </c>
      <c r="I680" s="171">
        <v>100.0</v>
      </c>
      <c r="J680" s="172">
        <f t="shared" si="35"/>
        <v>0.0006595463701</v>
      </c>
      <c r="K680" s="173">
        <f t="shared" si="36"/>
        <v>0.7914556442</v>
      </c>
      <c r="L680" s="174">
        <f t="shared" si="9"/>
        <v>4.554641424</v>
      </c>
      <c r="M680" s="175" t="str">
        <f t="shared" si="10"/>
        <v>Vyvy-vi#5040</v>
      </c>
      <c r="N680" s="176">
        <f>IFERROR(__xludf.DUMMYFUNCTION("""COMPUTED_VALUE"""),22.0)</f>
        <v>22</v>
      </c>
      <c r="O680" s="176"/>
      <c r="P680" s="166" t="s">
        <v>20</v>
      </c>
      <c r="Q680" s="166" t="s">
        <v>483</v>
      </c>
      <c r="R680" s="176"/>
      <c r="S680" s="176"/>
      <c r="T680" s="176"/>
      <c r="U680" s="176"/>
      <c r="V680" s="176"/>
      <c r="W680" s="176"/>
      <c r="X680" s="176"/>
      <c r="Y680" s="176"/>
      <c r="Z680" s="176"/>
      <c r="AA680" s="176"/>
    </row>
    <row r="681">
      <c r="A681" s="165" t="str">
        <f>iferror(VLOOKUP(P681,'DO NOT TOUCH Imported'!$A$1:$D$800,4,False),iferror(VLOOKUP(P681,'DO NOT TOUCH Imported'!$C$1:$D$800,2,False),"OOPS FIX ME"))</f>
        <v>Vyvy-vi#5040</v>
      </c>
      <c r="B681" s="166" t="s">
        <v>486</v>
      </c>
      <c r="C681" s="167" t="s">
        <v>487</v>
      </c>
      <c r="D681" s="168" t="s">
        <v>437</v>
      </c>
      <c r="E681" s="177" t="s">
        <v>488</v>
      </c>
      <c r="F681" s="168" t="s">
        <v>439</v>
      </c>
      <c r="G681" s="170">
        <v>1000.0</v>
      </c>
      <c r="H681" s="171">
        <v>70.0</v>
      </c>
      <c r="I681" s="171">
        <v>100.0</v>
      </c>
      <c r="J681" s="172">
        <f t="shared" si="35"/>
        <v>0.0006276224767</v>
      </c>
      <c r="K681" s="173">
        <f t="shared" si="36"/>
        <v>0.7531469721</v>
      </c>
      <c r="L681" s="174">
        <f t="shared" si="9"/>
        <v>4.554641424</v>
      </c>
      <c r="M681" s="175" t="str">
        <f t="shared" si="10"/>
        <v>Vyvy-vi#5040</v>
      </c>
      <c r="N681" s="176">
        <f>IFERROR(__xludf.DUMMYFUNCTION("""COMPUTED_VALUE"""),23.0)</f>
        <v>23</v>
      </c>
      <c r="O681" s="176"/>
      <c r="P681" s="166" t="s">
        <v>20</v>
      </c>
      <c r="Q681" s="166" t="s">
        <v>486</v>
      </c>
      <c r="R681" s="176"/>
      <c r="S681" s="176"/>
      <c r="T681" s="176"/>
      <c r="U681" s="176"/>
      <c r="V681" s="176"/>
      <c r="W681" s="176"/>
      <c r="X681" s="176"/>
      <c r="Y681" s="176"/>
      <c r="Z681" s="176"/>
      <c r="AA681" s="176"/>
    </row>
    <row r="682">
      <c r="A682" s="165" t="str">
        <f>iferror(VLOOKUP(P682,'DO NOT TOUCH Imported'!$A$1:$D$800,4,False),iferror(VLOOKUP(P682,'DO NOT TOUCH Imported'!$C$1:$D$800,2,False),"OOPS FIX ME"))</f>
        <v>Vyvy-vi#5040</v>
      </c>
      <c r="B682" s="166" t="s">
        <v>490</v>
      </c>
      <c r="C682" s="167" t="s">
        <v>491</v>
      </c>
      <c r="D682" s="168" t="s">
        <v>437</v>
      </c>
      <c r="E682" s="177" t="s">
        <v>445</v>
      </c>
      <c r="F682" s="168" t="s">
        <v>439</v>
      </c>
      <c r="G682" s="170">
        <v>1000.0</v>
      </c>
      <c r="H682" s="171">
        <v>70.0</v>
      </c>
      <c r="I682" s="171">
        <v>100.0</v>
      </c>
      <c r="J682" s="172">
        <f t="shared" si="35"/>
        <v>0.0006276224767</v>
      </c>
      <c r="K682" s="173">
        <f t="shared" si="36"/>
        <v>0.7531469721</v>
      </c>
      <c r="L682" s="174">
        <f t="shared" si="9"/>
        <v>4.554641424</v>
      </c>
      <c r="M682" s="175" t="str">
        <f t="shared" si="10"/>
        <v>Vyvy-vi#5040</v>
      </c>
      <c r="N682" s="176">
        <f>IFERROR(__xludf.DUMMYFUNCTION("""COMPUTED_VALUE"""),24.0)</f>
        <v>24</v>
      </c>
      <c r="O682" s="176"/>
      <c r="P682" s="166" t="s">
        <v>20</v>
      </c>
      <c r="Q682" s="166" t="s">
        <v>490</v>
      </c>
      <c r="R682" s="176"/>
      <c r="S682" s="176"/>
      <c r="T682" s="176"/>
      <c r="U682" s="176"/>
      <c r="V682" s="176"/>
      <c r="W682" s="176"/>
      <c r="X682" s="176"/>
      <c r="Y682" s="176"/>
      <c r="Z682" s="176"/>
      <c r="AA682" s="176"/>
    </row>
    <row r="683">
      <c r="A683" s="165" t="str">
        <f>iferror(VLOOKUP(P683,'DO NOT TOUCH Imported'!$A$1:$D$800,4,False),iferror(VLOOKUP(P683,'DO NOT TOUCH Imported'!$C$1:$D$800,2,False),"OOPS FIX ME"))</f>
        <v>Vyvy-vi#5040</v>
      </c>
      <c r="B683" s="166" t="s">
        <v>441</v>
      </c>
      <c r="C683" s="167" t="s">
        <v>497</v>
      </c>
      <c r="D683" s="168" t="s">
        <v>437</v>
      </c>
      <c r="E683" s="169" t="s">
        <v>438</v>
      </c>
      <c r="F683" s="168" t="s">
        <v>439</v>
      </c>
      <c r="G683" s="170">
        <v>1000.0</v>
      </c>
      <c r="H683" s="171">
        <v>50.0</v>
      </c>
      <c r="I683" s="171">
        <v>100.0</v>
      </c>
      <c r="J683" s="172">
        <f t="shared" si="35"/>
        <v>0.0005637746898</v>
      </c>
      <c r="K683" s="173">
        <f t="shared" si="36"/>
        <v>0.6765296278</v>
      </c>
      <c r="L683" s="174">
        <f t="shared" si="9"/>
        <v>4.554641424</v>
      </c>
      <c r="M683" s="175" t="str">
        <f t="shared" si="10"/>
        <v>Vyvy-vi#5040</v>
      </c>
      <c r="N683" s="176">
        <f>IFERROR(__xludf.DUMMYFUNCTION("""COMPUTED_VALUE"""),25.0)</f>
        <v>25</v>
      </c>
      <c r="O683" s="176"/>
      <c r="P683" s="166" t="s">
        <v>20</v>
      </c>
      <c r="Q683" s="166" t="s">
        <v>441</v>
      </c>
      <c r="R683" s="176"/>
      <c r="S683" s="176"/>
      <c r="T683" s="176"/>
      <c r="U683" s="176"/>
      <c r="V683" s="176"/>
      <c r="W683" s="176"/>
      <c r="X683" s="176"/>
      <c r="Y683" s="176"/>
      <c r="Z683" s="176"/>
      <c r="AA683" s="176"/>
    </row>
    <row r="684">
      <c r="A684" s="185" t="s">
        <v>20</v>
      </c>
      <c r="B684" s="185" t="s">
        <v>534</v>
      </c>
      <c r="C684" s="186" t="s">
        <v>791</v>
      </c>
      <c r="D684" s="187"/>
      <c r="E684" s="188"/>
      <c r="F684" s="189"/>
      <c r="G684" s="190"/>
      <c r="H684" s="190"/>
      <c r="I684" s="190"/>
      <c r="J684" s="191">
        <f t="shared" si="35"/>
        <v>0</v>
      </c>
      <c r="K684" s="192">
        <f>-0.85*30.362</f>
        <v>-25.8077</v>
      </c>
      <c r="L684" s="193">
        <f t="shared" si="9"/>
        <v>4.554641424</v>
      </c>
      <c r="M684" s="194" t="str">
        <f t="shared" si="10"/>
        <v>Vyvy-vi#5040</v>
      </c>
      <c r="N684" s="195">
        <f>IFERROR(__xludf.DUMMYFUNCTION("""COMPUTED_VALUE"""),26.0)</f>
        <v>26</v>
      </c>
      <c r="O684" s="195"/>
      <c r="P684" s="185" t="s">
        <v>10</v>
      </c>
      <c r="Q684" s="185" t="s">
        <v>534</v>
      </c>
      <c r="R684" s="195">
        <v>18.802169413641863</v>
      </c>
      <c r="S684" s="195"/>
      <c r="T684" s="195"/>
      <c r="U684" s="195"/>
      <c r="V684" s="195"/>
      <c r="W684" s="195"/>
      <c r="X684" s="195"/>
      <c r="Y684" s="195"/>
      <c r="Z684" s="195"/>
      <c r="AA684" s="176"/>
    </row>
    <row r="685">
      <c r="A685" s="165" t="str">
        <f>iferror(VLOOKUP(P685,'DO NOT TOUCH Imported'!$A$1:$D$800,4,False),iferror(VLOOKUP(P685,'DO NOT TOUCH Imported'!$C$1:$D$800,2,False),"OOPS FIX ME"))</f>
        <v>markop</v>
      </c>
      <c r="B685" s="166" t="s">
        <v>450</v>
      </c>
      <c r="C685" s="167" t="s">
        <v>552</v>
      </c>
      <c r="D685" s="168" t="s">
        <v>437</v>
      </c>
      <c r="E685" s="177" t="s">
        <v>452</v>
      </c>
      <c r="F685" s="168" t="s">
        <v>453</v>
      </c>
      <c r="G685" s="170">
        <v>1000.0</v>
      </c>
      <c r="H685" s="171">
        <v>200.0</v>
      </c>
      <c r="I685" s="171">
        <v>400.0</v>
      </c>
      <c r="J685" s="172">
        <f t="shared" si="35"/>
        <v>0.001941913667</v>
      </c>
      <c r="K685" s="173">
        <f t="shared" ref="K685:K704" si="37">J685*$J$1</f>
        <v>2.3302964</v>
      </c>
      <c r="L685" s="174">
        <f t="shared" si="9"/>
        <v>4.540587734</v>
      </c>
      <c r="M685" s="175" t="str">
        <f t="shared" si="10"/>
        <v>markop</v>
      </c>
      <c r="N685" s="176">
        <f>IFERROR(__xludf.DUMMYFUNCTION("""COMPUTED_VALUE"""),1.0)</f>
        <v>1</v>
      </c>
      <c r="O685" s="176"/>
      <c r="P685" s="166" t="s">
        <v>486</v>
      </c>
      <c r="Q685" s="166" t="s">
        <v>450</v>
      </c>
      <c r="R685" s="176"/>
      <c r="S685" s="176"/>
      <c r="T685" s="176"/>
      <c r="U685" s="176"/>
      <c r="V685" s="176"/>
      <c r="W685" s="176"/>
      <c r="X685" s="176"/>
      <c r="Y685" s="176"/>
      <c r="Z685" s="176"/>
      <c r="AA685" s="176"/>
    </row>
    <row r="686">
      <c r="A686" s="165" t="str">
        <f>iferror(VLOOKUP(P686,'DO NOT TOUCH Imported'!$A$1:$D$800,4,False),iferror(VLOOKUP(P686,'DO NOT TOUCH Imported'!$C$1:$D$800,2,False),"OOPS FIX ME"))</f>
        <v>markop</v>
      </c>
      <c r="B686" s="166" t="s">
        <v>441</v>
      </c>
      <c r="C686" s="167" t="s">
        <v>523</v>
      </c>
      <c r="D686" s="168" t="s">
        <v>437</v>
      </c>
      <c r="E686" s="177" t="s">
        <v>447</v>
      </c>
      <c r="F686" s="168" t="s">
        <v>439</v>
      </c>
      <c r="G686" s="170">
        <v>1000.0</v>
      </c>
      <c r="H686" s="171">
        <v>200.0</v>
      </c>
      <c r="I686" s="171">
        <v>100.0</v>
      </c>
      <c r="J686" s="172">
        <f t="shared" si="35"/>
        <v>0.001042633091</v>
      </c>
      <c r="K686" s="173">
        <f t="shared" si="37"/>
        <v>1.25115971</v>
      </c>
      <c r="L686" s="174">
        <f t="shared" si="9"/>
        <v>4.540587734</v>
      </c>
      <c r="M686" s="175" t="str">
        <f t="shared" si="10"/>
        <v>markop</v>
      </c>
      <c r="N686" s="176">
        <f>IFERROR(__xludf.DUMMYFUNCTION("""COMPUTED_VALUE"""),2.0)</f>
        <v>2</v>
      </c>
      <c r="O686" s="176"/>
      <c r="P686" s="166" t="s">
        <v>486</v>
      </c>
      <c r="Q686" s="166" t="s">
        <v>441</v>
      </c>
      <c r="R686" s="176"/>
      <c r="S686" s="176"/>
      <c r="T686" s="176"/>
      <c r="U686" s="176"/>
      <c r="V686" s="176"/>
      <c r="W686" s="176"/>
      <c r="X686" s="176"/>
      <c r="Y686" s="176"/>
      <c r="Z686" s="176"/>
      <c r="AA686" s="176"/>
    </row>
    <row r="687">
      <c r="A687" s="165" t="str">
        <f>iferror(VLOOKUP(P687,'DO NOT TOUCH Imported'!$A$1:$D$800,4,False),iferror(VLOOKUP(P687,'DO NOT TOUCH Imported'!$C$1:$D$800,2,False),"OOPS FIX ME"))</f>
        <v>markop</v>
      </c>
      <c r="B687" s="166" t="s">
        <v>441</v>
      </c>
      <c r="C687" s="167" t="s">
        <v>792</v>
      </c>
      <c r="D687" s="168" t="s">
        <v>437</v>
      </c>
      <c r="E687" s="177" t="s">
        <v>447</v>
      </c>
      <c r="F687" s="168" t="s">
        <v>439</v>
      </c>
      <c r="G687" s="170">
        <v>1000.0</v>
      </c>
      <c r="H687" s="171">
        <v>200.0</v>
      </c>
      <c r="I687" s="171">
        <v>100.0</v>
      </c>
      <c r="J687" s="172">
        <f t="shared" si="35"/>
        <v>0.001042633091</v>
      </c>
      <c r="K687" s="173">
        <f t="shared" si="37"/>
        <v>1.25115971</v>
      </c>
      <c r="L687" s="174">
        <f t="shared" si="9"/>
        <v>4.540587734</v>
      </c>
      <c r="M687" s="175" t="str">
        <f t="shared" si="10"/>
        <v>markop</v>
      </c>
      <c r="N687" s="176">
        <f>IFERROR(__xludf.DUMMYFUNCTION("""COMPUTED_VALUE"""),3.0)</f>
        <v>3</v>
      </c>
      <c r="O687" s="176"/>
      <c r="P687" s="166" t="s">
        <v>486</v>
      </c>
      <c r="Q687" s="166" t="s">
        <v>441</v>
      </c>
      <c r="R687" s="176"/>
      <c r="S687" s="176"/>
      <c r="T687" s="176"/>
      <c r="U687" s="176"/>
      <c r="V687" s="176"/>
      <c r="W687" s="176"/>
      <c r="X687" s="176"/>
      <c r="Y687" s="176"/>
      <c r="Z687" s="176"/>
      <c r="AA687" s="176"/>
    </row>
    <row r="688">
      <c r="A688" s="165" t="str">
        <f>iferror(VLOOKUP(P688,'DO NOT TOUCH Imported'!$A$1:$D$800,4,False),iferror(VLOOKUP(P688,'DO NOT TOUCH Imported'!$C$1:$D$800,2,False),"OOPS FIX ME"))</f>
        <v>markop</v>
      </c>
      <c r="B688" s="166" t="s">
        <v>441</v>
      </c>
      <c r="C688" s="167" t="s">
        <v>707</v>
      </c>
      <c r="D688" s="168" t="s">
        <v>437</v>
      </c>
      <c r="E688" s="169" t="s">
        <v>447</v>
      </c>
      <c r="F688" s="168" t="s">
        <v>439</v>
      </c>
      <c r="G688" s="170">
        <v>1000.0</v>
      </c>
      <c r="H688" s="171">
        <v>100.0</v>
      </c>
      <c r="I688" s="171">
        <v>100.0</v>
      </c>
      <c r="J688" s="172">
        <f t="shared" si="35"/>
        <v>0.000723394157</v>
      </c>
      <c r="K688" s="173">
        <f t="shared" si="37"/>
        <v>0.8680729884</v>
      </c>
      <c r="L688" s="174">
        <f t="shared" si="9"/>
        <v>4.540587734</v>
      </c>
      <c r="M688" s="175" t="str">
        <f t="shared" si="10"/>
        <v>markop</v>
      </c>
      <c r="N688" s="176">
        <f>IFERROR(__xludf.DUMMYFUNCTION("""COMPUTED_VALUE"""),4.0)</f>
        <v>4</v>
      </c>
      <c r="O688" s="176"/>
      <c r="P688" s="166" t="s">
        <v>486</v>
      </c>
      <c r="Q688" s="166" t="s">
        <v>441</v>
      </c>
      <c r="R688" s="176"/>
      <c r="S688" s="176"/>
      <c r="T688" s="176"/>
      <c r="U688" s="176"/>
      <c r="V688" s="176"/>
      <c r="W688" s="176"/>
      <c r="X688" s="176"/>
      <c r="Y688" s="176"/>
      <c r="Z688" s="176"/>
      <c r="AA688" s="176"/>
    </row>
    <row r="689">
      <c r="A689" s="165" t="str">
        <f>iferror(VLOOKUP(P689,'DO NOT TOUCH Imported'!$A$1:$D$800,4,False),iferror(VLOOKUP(P689,'DO NOT TOUCH Imported'!$C$1:$D$800,2,False),"OOPS FIX ME"))</f>
        <v>markop</v>
      </c>
      <c r="B689" s="166" t="s">
        <v>441</v>
      </c>
      <c r="C689" s="167" t="s">
        <v>542</v>
      </c>
      <c r="D689" s="168" t="s">
        <v>437</v>
      </c>
      <c r="E689" s="177" t="s">
        <v>447</v>
      </c>
      <c r="F689" s="168" t="s">
        <v>439</v>
      </c>
      <c r="G689" s="170">
        <v>1000.0</v>
      </c>
      <c r="H689" s="171">
        <v>100.0</v>
      </c>
      <c r="I689" s="171">
        <v>100.0</v>
      </c>
      <c r="J689" s="172">
        <f t="shared" si="35"/>
        <v>0.000723394157</v>
      </c>
      <c r="K689" s="173">
        <f t="shared" si="37"/>
        <v>0.8680729884</v>
      </c>
      <c r="L689" s="174">
        <f t="shared" si="9"/>
        <v>4.540587734</v>
      </c>
      <c r="M689" s="175" t="str">
        <f t="shared" si="10"/>
        <v>markop</v>
      </c>
      <c r="N689" s="176">
        <f>IFERROR(__xludf.DUMMYFUNCTION("""COMPUTED_VALUE"""),5.0)</f>
        <v>5</v>
      </c>
      <c r="O689" s="176"/>
      <c r="P689" s="166" t="s">
        <v>486</v>
      </c>
      <c r="Q689" s="166" t="s">
        <v>441</v>
      </c>
      <c r="R689" s="176"/>
      <c r="S689" s="176"/>
      <c r="T689" s="176"/>
      <c r="U689" s="176"/>
      <c r="V689" s="176"/>
      <c r="W689" s="176"/>
      <c r="X689" s="176"/>
      <c r="Y689" s="176"/>
      <c r="Z689" s="176"/>
      <c r="AA689" s="176"/>
    </row>
    <row r="690">
      <c r="A690" s="165" t="str">
        <f>iferror(VLOOKUP(P690,'DO NOT TOUCH Imported'!$A$1:$D$800,4,False),iferror(VLOOKUP(P690,'DO NOT TOUCH Imported'!$C$1:$D$800,2,False),"OOPS FIX ME"))</f>
        <v>markop</v>
      </c>
      <c r="B690" s="166" t="s">
        <v>441</v>
      </c>
      <c r="C690" s="167" t="s">
        <v>625</v>
      </c>
      <c r="D690" s="168" t="s">
        <v>437</v>
      </c>
      <c r="E690" s="169" t="s">
        <v>447</v>
      </c>
      <c r="F690" s="168" t="s">
        <v>439</v>
      </c>
      <c r="G690" s="170">
        <v>1000.0</v>
      </c>
      <c r="H690" s="171">
        <v>100.0</v>
      </c>
      <c r="I690" s="171">
        <v>100.0</v>
      </c>
      <c r="J690" s="172">
        <f t="shared" si="35"/>
        <v>0.000723394157</v>
      </c>
      <c r="K690" s="173">
        <f t="shared" si="37"/>
        <v>0.8680729884</v>
      </c>
      <c r="L690" s="174">
        <f t="shared" si="9"/>
        <v>4.540587734</v>
      </c>
      <c r="M690" s="175" t="str">
        <f t="shared" si="10"/>
        <v>markop</v>
      </c>
      <c r="N690" s="176">
        <f>IFERROR(__xludf.DUMMYFUNCTION("""COMPUTED_VALUE"""),6.0)</f>
        <v>6</v>
      </c>
      <c r="O690" s="176"/>
      <c r="P690" s="166" t="s">
        <v>486</v>
      </c>
      <c r="Q690" s="166" t="s">
        <v>441</v>
      </c>
      <c r="R690" s="176"/>
      <c r="S690" s="176"/>
      <c r="T690" s="176"/>
      <c r="U690" s="176"/>
      <c r="V690" s="176"/>
      <c r="W690" s="176"/>
      <c r="X690" s="176"/>
      <c r="Y690" s="176"/>
      <c r="Z690" s="176"/>
      <c r="AA690" s="176"/>
    </row>
    <row r="691">
      <c r="A691" s="165" t="str">
        <f>iferror(VLOOKUP(P691,'DO NOT TOUCH Imported'!$A$1:$D$800,4,False),iferror(VLOOKUP(P691,'DO NOT TOUCH Imported'!$C$1:$D$800,2,False),"OOPS FIX ME"))</f>
        <v>markop</v>
      </c>
      <c r="B691" s="166" t="s">
        <v>441</v>
      </c>
      <c r="C691" s="167" t="s">
        <v>756</v>
      </c>
      <c r="D691" s="168" t="s">
        <v>437</v>
      </c>
      <c r="E691" s="177" t="s">
        <v>447</v>
      </c>
      <c r="F691" s="168" t="s">
        <v>439</v>
      </c>
      <c r="G691" s="170">
        <v>1000.0</v>
      </c>
      <c r="H691" s="171">
        <v>100.0</v>
      </c>
      <c r="I691" s="171">
        <v>100.0</v>
      </c>
      <c r="J691" s="172">
        <f t="shared" si="35"/>
        <v>0.000723394157</v>
      </c>
      <c r="K691" s="173">
        <f t="shared" si="37"/>
        <v>0.8680729884</v>
      </c>
      <c r="L691" s="174">
        <f t="shared" si="9"/>
        <v>4.540587734</v>
      </c>
      <c r="M691" s="175" t="str">
        <f t="shared" si="10"/>
        <v>markop</v>
      </c>
      <c r="N691" s="176">
        <f>IFERROR(__xludf.DUMMYFUNCTION("""COMPUTED_VALUE"""),7.0)</f>
        <v>7</v>
      </c>
      <c r="O691" s="176"/>
      <c r="P691" s="166" t="s">
        <v>486</v>
      </c>
      <c r="Q691" s="166" t="s">
        <v>441</v>
      </c>
      <c r="R691" s="176"/>
      <c r="S691" s="176"/>
      <c r="T691" s="176"/>
      <c r="U691" s="176"/>
      <c r="V691" s="176"/>
      <c r="W691" s="176"/>
      <c r="X691" s="176"/>
      <c r="Y691" s="176"/>
      <c r="Z691" s="176"/>
      <c r="AA691" s="176"/>
    </row>
    <row r="692">
      <c r="A692" s="165" t="str">
        <f>iferror(VLOOKUP(P692,'DO NOT TOUCH Imported'!$A$1:$D$800,4,False),iferror(VLOOKUP(P692,'DO NOT TOUCH Imported'!$C$1:$D$800,2,False),"OOPS FIX ME"))</f>
        <v>markop</v>
      </c>
      <c r="B692" s="166" t="s">
        <v>440</v>
      </c>
      <c r="C692" s="167" t="s">
        <v>471</v>
      </c>
      <c r="D692" s="168" t="s">
        <v>437</v>
      </c>
      <c r="E692" s="169" t="s">
        <v>447</v>
      </c>
      <c r="F692" s="168" t="s">
        <v>439</v>
      </c>
      <c r="G692" s="170">
        <v>1000.0</v>
      </c>
      <c r="H692" s="171">
        <v>100.0</v>
      </c>
      <c r="I692" s="171">
        <v>100.0</v>
      </c>
      <c r="J692" s="172">
        <f t="shared" si="35"/>
        <v>0.000723394157</v>
      </c>
      <c r="K692" s="173">
        <f t="shared" si="37"/>
        <v>0.8680729884</v>
      </c>
      <c r="L692" s="174">
        <f t="shared" si="9"/>
        <v>4.540587734</v>
      </c>
      <c r="M692" s="175" t="str">
        <f t="shared" si="10"/>
        <v>markop</v>
      </c>
      <c r="N692" s="176">
        <f>IFERROR(__xludf.DUMMYFUNCTION("""COMPUTED_VALUE"""),8.0)</f>
        <v>8</v>
      </c>
      <c r="O692" s="176"/>
      <c r="P692" s="166" t="s">
        <v>486</v>
      </c>
      <c r="Q692" s="166" t="s">
        <v>440</v>
      </c>
      <c r="R692" s="176"/>
      <c r="S692" s="176"/>
      <c r="T692" s="176"/>
      <c r="U692" s="176"/>
      <c r="V692" s="176"/>
      <c r="W692" s="176"/>
      <c r="X692" s="176"/>
      <c r="Y692" s="176"/>
      <c r="Z692" s="176"/>
      <c r="AA692" s="176"/>
    </row>
    <row r="693">
      <c r="A693" s="165" t="str">
        <f>iferror(VLOOKUP(P693,'DO NOT TOUCH Imported'!$A$1:$D$800,4,False),iferror(VLOOKUP(P693,'DO NOT TOUCH Imported'!$C$1:$D$800,2,False),"OOPS FIX ME"))</f>
        <v>markop</v>
      </c>
      <c r="B693" s="166" t="s">
        <v>435</v>
      </c>
      <c r="C693" s="167" t="s">
        <v>793</v>
      </c>
      <c r="D693" s="168" t="s">
        <v>437</v>
      </c>
      <c r="E693" s="177" t="s">
        <v>478</v>
      </c>
      <c r="F693" s="168" t="s">
        <v>439</v>
      </c>
      <c r="G693" s="170">
        <v>1000.0</v>
      </c>
      <c r="H693" s="171">
        <v>100.0</v>
      </c>
      <c r="I693" s="171">
        <v>100.0</v>
      </c>
      <c r="J693" s="172">
        <f t="shared" si="35"/>
        <v>0.000723394157</v>
      </c>
      <c r="K693" s="173">
        <f t="shared" si="37"/>
        <v>0.8680729884</v>
      </c>
      <c r="L693" s="174">
        <f t="shared" si="9"/>
        <v>4.540587734</v>
      </c>
      <c r="M693" s="175" t="str">
        <f t="shared" si="10"/>
        <v>markop</v>
      </c>
      <c r="N693" s="176">
        <f>IFERROR(__xludf.DUMMYFUNCTION("""COMPUTED_VALUE"""),9.0)</f>
        <v>9</v>
      </c>
      <c r="O693" s="176"/>
      <c r="P693" s="166" t="s">
        <v>486</v>
      </c>
      <c r="Q693" s="166" t="s">
        <v>435</v>
      </c>
      <c r="R693" s="176"/>
      <c r="S693" s="176"/>
      <c r="T693" s="176"/>
      <c r="U693" s="176"/>
      <c r="V693" s="176"/>
      <c r="W693" s="176"/>
      <c r="X693" s="176"/>
      <c r="Y693" s="176"/>
      <c r="Z693" s="176"/>
      <c r="AA693" s="176"/>
    </row>
    <row r="694">
      <c r="A694" s="165" t="str">
        <f>iferror(VLOOKUP(P694,'DO NOT TOUCH Imported'!$A$1:$D$800,4,False),iferror(VLOOKUP(P694,'DO NOT TOUCH Imported'!$C$1:$D$800,2,False),"OOPS FIX ME"))</f>
        <v>markop</v>
      </c>
      <c r="B694" s="166" t="s">
        <v>441</v>
      </c>
      <c r="C694" s="167" t="s">
        <v>533</v>
      </c>
      <c r="D694" s="168" t="s">
        <v>437</v>
      </c>
      <c r="E694" s="177" t="s">
        <v>438</v>
      </c>
      <c r="F694" s="168" t="s">
        <v>439</v>
      </c>
      <c r="G694" s="170">
        <v>1000.0</v>
      </c>
      <c r="H694" s="171">
        <v>100.0</v>
      </c>
      <c r="I694" s="171">
        <v>100.0</v>
      </c>
      <c r="J694" s="172">
        <f t="shared" si="35"/>
        <v>0.000723394157</v>
      </c>
      <c r="K694" s="173">
        <f t="shared" si="37"/>
        <v>0.8680729884</v>
      </c>
      <c r="L694" s="174">
        <f t="shared" si="9"/>
        <v>4.540587734</v>
      </c>
      <c r="M694" s="175" t="str">
        <f t="shared" si="10"/>
        <v>markop</v>
      </c>
      <c r="N694" s="176">
        <f>IFERROR(__xludf.DUMMYFUNCTION("""COMPUTED_VALUE"""),10.0)</f>
        <v>10</v>
      </c>
      <c r="O694" s="176"/>
      <c r="P694" s="166" t="s">
        <v>486</v>
      </c>
      <c r="Q694" s="166" t="s">
        <v>441</v>
      </c>
      <c r="R694" s="176"/>
      <c r="S694" s="176"/>
      <c r="T694" s="176"/>
      <c r="U694" s="176"/>
      <c r="V694" s="176"/>
      <c r="W694" s="176"/>
      <c r="X694" s="176"/>
      <c r="Y694" s="176"/>
      <c r="Z694" s="176"/>
      <c r="AA694" s="176"/>
    </row>
    <row r="695">
      <c r="A695" s="165" t="str">
        <f>iferror(VLOOKUP(P695,'DO NOT TOUCH Imported'!$A$1:$D$800,4,False),iferror(VLOOKUP(P695,'DO NOT TOUCH Imported'!$C$1:$D$800,2,False),"OOPS FIX ME"))</f>
        <v>markop</v>
      </c>
      <c r="B695" s="166" t="s">
        <v>441</v>
      </c>
      <c r="C695" s="167" t="s">
        <v>715</v>
      </c>
      <c r="D695" s="168" t="s">
        <v>437</v>
      </c>
      <c r="E695" s="169" t="s">
        <v>438</v>
      </c>
      <c r="F695" s="168" t="s">
        <v>439</v>
      </c>
      <c r="G695" s="170">
        <v>1000.0</v>
      </c>
      <c r="H695" s="171">
        <v>100.0</v>
      </c>
      <c r="I695" s="171">
        <v>100.0</v>
      </c>
      <c r="J695" s="172">
        <f t="shared" si="35"/>
        <v>0.000723394157</v>
      </c>
      <c r="K695" s="173">
        <f t="shared" si="37"/>
        <v>0.8680729884</v>
      </c>
      <c r="L695" s="174">
        <f t="shared" si="9"/>
        <v>4.540587734</v>
      </c>
      <c r="M695" s="175" t="str">
        <f t="shared" si="10"/>
        <v>markop</v>
      </c>
      <c r="N695" s="176">
        <f>IFERROR(__xludf.DUMMYFUNCTION("""COMPUTED_VALUE"""),11.0)</f>
        <v>11</v>
      </c>
      <c r="O695" s="176"/>
      <c r="P695" s="166" t="s">
        <v>486</v>
      </c>
      <c r="Q695" s="166" t="s">
        <v>441</v>
      </c>
      <c r="R695" s="176"/>
      <c r="S695" s="176"/>
      <c r="T695" s="176"/>
      <c r="U695" s="176"/>
      <c r="V695" s="176"/>
      <c r="W695" s="176"/>
      <c r="X695" s="176"/>
      <c r="Y695" s="176"/>
      <c r="Z695" s="176"/>
      <c r="AA695" s="176"/>
    </row>
    <row r="696">
      <c r="A696" s="165" t="str">
        <f>iferror(VLOOKUP(P696,'DO NOT TOUCH Imported'!$A$1:$D$800,4,False),iferror(VLOOKUP(P696,'DO NOT TOUCH Imported'!$C$1:$D$800,2,False),"OOPS FIX ME"))</f>
        <v>markop</v>
      </c>
      <c r="B696" s="166" t="s">
        <v>441</v>
      </c>
      <c r="C696" s="167" t="s">
        <v>759</v>
      </c>
      <c r="D696" s="168" t="s">
        <v>437</v>
      </c>
      <c r="E696" s="177" t="s">
        <v>438</v>
      </c>
      <c r="F696" s="168" t="s">
        <v>439</v>
      </c>
      <c r="G696" s="170">
        <v>1000.0</v>
      </c>
      <c r="H696" s="171">
        <v>90.0</v>
      </c>
      <c r="I696" s="171">
        <v>100.0</v>
      </c>
      <c r="J696" s="172">
        <f t="shared" si="35"/>
        <v>0.0006914702636</v>
      </c>
      <c r="K696" s="173">
        <f t="shared" si="37"/>
        <v>0.8297643163</v>
      </c>
      <c r="L696" s="174">
        <f t="shared" si="9"/>
        <v>4.540587734</v>
      </c>
      <c r="M696" s="175" t="str">
        <f t="shared" si="10"/>
        <v>markop</v>
      </c>
      <c r="N696" s="176">
        <f>IFERROR(__xludf.DUMMYFUNCTION("""COMPUTED_VALUE"""),12.0)</f>
        <v>12</v>
      </c>
      <c r="O696" s="176"/>
      <c r="P696" s="166" t="s">
        <v>486</v>
      </c>
      <c r="Q696" s="166" t="s">
        <v>441</v>
      </c>
      <c r="R696" s="176"/>
      <c r="S696" s="176"/>
      <c r="T696" s="176"/>
      <c r="U696" s="176"/>
      <c r="V696" s="176"/>
      <c r="W696" s="176"/>
      <c r="X696" s="176"/>
      <c r="Y696" s="176"/>
      <c r="Z696" s="176"/>
      <c r="AA696" s="176"/>
    </row>
    <row r="697">
      <c r="A697" s="165" t="str">
        <f>iferror(VLOOKUP(P697,'DO NOT TOUCH Imported'!$A$1:$D$800,4,False),iferror(VLOOKUP(P697,'DO NOT TOUCH Imported'!$C$1:$D$800,2,False),"OOPS FIX ME"))</f>
        <v>markop</v>
      </c>
      <c r="B697" s="166" t="s">
        <v>441</v>
      </c>
      <c r="C697" s="167" t="s">
        <v>481</v>
      </c>
      <c r="D697" s="168" t="s">
        <v>437</v>
      </c>
      <c r="E697" s="177" t="s">
        <v>447</v>
      </c>
      <c r="F697" s="168" t="s">
        <v>439</v>
      </c>
      <c r="G697" s="170">
        <v>1000.0</v>
      </c>
      <c r="H697" s="171">
        <v>80.0</v>
      </c>
      <c r="I697" s="171">
        <v>100.0</v>
      </c>
      <c r="J697" s="172">
        <f t="shared" si="35"/>
        <v>0.0006595463701</v>
      </c>
      <c r="K697" s="173">
        <f t="shared" si="37"/>
        <v>0.7914556442</v>
      </c>
      <c r="L697" s="174">
        <f t="shared" si="9"/>
        <v>4.540587734</v>
      </c>
      <c r="M697" s="175" t="str">
        <f t="shared" si="10"/>
        <v>markop</v>
      </c>
      <c r="N697" s="176">
        <f>IFERROR(__xludf.DUMMYFUNCTION("""COMPUTED_VALUE"""),13.0)</f>
        <v>13</v>
      </c>
      <c r="O697" s="176"/>
      <c r="P697" s="166" t="s">
        <v>486</v>
      </c>
      <c r="Q697" s="166" t="s">
        <v>441</v>
      </c>
      <c r="R697" s="176"/>
      <c r="S697" s="176"/>
      <c r="T697" s="176"/>
      <c r="U697" s="176"/>
      <c r="V697" s="176"/>
      <c r="W697" s="176"/>
      <c r="X697" s="176"/>
      <c r="Y697" s="176"/>
      <c r="Z697" s="176"/>
      <c r="AA697" s="176"/>
    </row>
    <row r="698">
      <c r="A698" s="165" t="str">
        <f>iferror(VLOOKUP(P698,'DO NOT TOUCH Imported'!$A$1:$D$800,4,False),iferror(VLOOKUP(P698,'DO NOT TOUCH Imported'!$C$1:$D$800,2,False),"OOPS FIX ME"))</f>
        <v>markop</v>
      </c>
      <c r="B698" s="166" t="s">
        <v>483</v>
      </c>
      <c r="C698" s="167" t="s">
        <v>484</v>
      </c>
      <c r="D698" s="168" t="s">
        <v>437</v>
      </c>
      <c r="E698" s="169" t="s">
        <v>478</v>
      </c>
      <c r="F698" s="168" t="s">
        <v>439</v>
      </c>
      <c r="G698" s="170">
        <v>1000.0</v>
      </c>
      <c r="H698" s="171">
        <v>80.0</v>
      </c>
      <c r="I698" s="171">
        <v>100.0</v>
      </c>
      <c r="J698" s="172">
        <f t="shared" si="35"/>
        <v>0.0006595463701</v>
      </c>
      <c r="K698" s="173">
        <f t="shared" si="37"/>
        <v>0.7914556442</v>
      </c>
      <c r="L698" s="174">
        <f t="shared" si="9"/>
        <v>4.540587734</v>
      </c>
      <c r="M698" s="175" t="str">
        <f t="shared" si="10"/>
        <v>markop</v>
      </c>
      <c r="N698" s="176">
        <f>IFERROR(__xludf.DUMMYFUNCTION("""COMPUTED_VALUE"""),14.0)</f>
        <v>14</v>
      </c>
      <c r="O698" s="176"/>
      <c r="P698" s="166" t="s">
        <v>486</v>
      </c>
      <c r="Q698" s="166" t="s">
        <v>483</v>
      </c>
      <c r="R698" s="176"/>
      <c r="S698" s="176"/>
      <c r="T698" s="176"/>
      <c r="U698" s="176"/>
      <c r="V698" s="176"/>
      <c r="W698" s="176"/>
      <c r="X698" s="176"/>
      <c r="Y698" s="176"/>
      <c r="Z698" s="176"/>
      <c r="AA698" s="176"/>
    </row>
    <row r="699">
      <c r="A699" s="165" t="str">
        <f>iferror(VLOOKUP(P699,'DO NOT TOUCH Imported'!$A$1:$D$800,4,False),iferror(VLOOKUP(P699,'DO NOT TOUCH Imported'!$C$1:$D$800,2,False),"OOPS FIX ME"))</f>
        <v>markop</v>
      </c>
      <c r="B699" s="166" t="s">
        <v>486</v>
      </c>
      <c r="C699" s="167" t="s">
        <v>487</v>
      </c>
      <c r="D699" s="168" t="s">
        <v>437</v>
      </c>
      <c r="E699" s="177" t="s">
        <v>488</v>
      </c>
      <c r="F699" s="168" t="s">
        <v>439</v>
      </c>
      <c r="G699" s="170">
        <v>1000.0</v>
      </c>
      <c r="H699" s="171">
        <v>70.0</v>
      </c>
      <c r="I699" s="171">
        <v>100.0</v>
      </c>
      <c r="J699" s="172">
        <f t="shared" si="35"/>
        <v>0.0006276224767</v>
      </c>
      <c r="K699" s="173">
        <f t="shared" si="37"/>
        <v>0.7531469721</v>
      </c>
      <c r="L699" s="174">
        <f t="shared" si="9"/>
        <v>4.540587734</v>
      </c>
      <c r="M699" s="175" t="str">
        <f t="shared" si="10"/>
        <v>markop</v>
      </c>
      <c r="N699" s="176">
        <f>IFERROR(__xludf.DUMMYFUNCTION("""COMPUTED_VALUE"""),15.0)</f>
        <v>15</v>
      </c>
      <c r="O699" s="176"/>
      <c r="P699" s="166" t="s">
        <v>486</v>
      </c>
      <c r="Q699" s="166" t="s">
        <v>486</v>
      </c>
      <c r="R699" s="176"/>
      <c r="S699" s="176"/>
      <c r="T699" s="176"/>
      <c r="U699" s="176"/>
      <c r="V699" s="176"/>
      <c r="W699" s="176"/>
      <c r="X699" s="176"/>
      <c r="Y699" s="176"/>
      <c r="Z699" s="176"/>
      <c r="AA699" s="176"/>
    </row>
    <row r="700">
      <c r="A700" s="165" t="str">
        <f>iferror(VLOOKUP(P700,'DO NOT TOUCH Imported'!$A$1:$D$800,4,False),iferror(VLOOKUP(P700,'DO NOT TOUCH Imported'!$C$1:$D$800,2,False),"OOPS FIX ME"))</f>
        <v>markop</v>
      </c>
      <c r="B700" s="178" t="s">
        <v>519</v>
      </c>
      <c r="C700" s="179" t="s">
        <v>668</v>
      </c>
      <c r="D700" s="180" t="s">
        <v>495</v>
      </c>
      <c r="E700" s="184">
        <v>44314.0</v>
      </c>
      <c r="F700" s="182" t="s">
        <v>521</v>
      </c>
      <c r="G700" s="170">
        <v>1000.0</v>
      </c>
      <c r="H700" s="171">
        <v>70.0</v>
      </c>
      <c r="I700" s="171">
        <v>100.0</v>
      </c>
      <c r="J700" s="172">
        <f t="shared" si="35"/>
        <v>0.0006276224767</v>
      </c>
      <c r="K700" s="173">
        <f t="shared" si="37"/>
        <v>0.7531469721</v>
      </c>
      <c r="L700" s="174">
        <f t="shared" si="9"/>
        <v>4.540587734</v>
      </c>
      <c r="M700" s="175" t="str">
        <f t="shared" si="10"/>
        <v>markop</v>
      </c>
      <c r="N700" s="176">
        <f>IFERROR(__xludf.DUMMYFUNCTION("""COMPUTED_VALUE"""),16.0)</f>
        <v>16</v>
      </c>
      <c r="O700" s="176"/>
      <c r="P700" s="183" t="s">
        <v>43</v>
      </c>
      <c r="Q700" s="178" t="s">
        <v>519</v>
      </c>
      <c r="R700" s="176"/>
      <c r="S700" s="176"/>
      <c r="T700" s="176"/>
      <c r="U700" s="176"/>
      <c r="V700" s="176"/>
      <c r="W700" s="176"/>
      <c r="X700" s="176"/>
      <c r="Y700" s="176"/>
      <c r="Z700" s="176"/>
      <c r="AA700" s="176"/>
    </row>
    <row r="701">
      <c r="A701" s="165" t="str">
        <f>iferror(VLOOKUP(P701,'DO NOT TOUCH Imported'!$A$1:$D$800,4,False),iferror(VLOOKUP(P701,'DO NOT TOUCH Imported'!$C$1:$D$800,2,False),"OOPS FIX ME"))</f>
        <v>markop</v>
      </c>
      <c r="B701" s="178" t="s">
        <v>519</v>
      </c>
      <c r="C701" s="179" t="s">
        <v>668</v>
      </c>
      <c r="D701" s="180" t="s">
        <v>495</v>
      </c>
      <c r="E701" s="181">
        <v>44321.0</v>
      </c>
      <c r="F701" s="182" t="s">
        <v>521</v>
      </c>
      <c r="G701" s="170">
        <v>1000.0</v>
      </c>
      <c r="H701" s="171">
        <v>70.0</v>
      </c>
      <c r="I701" s="171">
        <v>100.0</v>
      </c>
      <c r="J701" s="172">
        <f t="shared" si="35"/>
        <v>0.0006276224767</v>
      </c>
      <c r="K701" s="173">
        <f t="shared" si="37"/>
        <v>0.7531469721</v>
      </c>
      <c r="L701" s="174">
        <f t="shared" si="9"/>
        <v>4.540587734</v>
      </c>
      <c r="M701" s="175" t="str">
        <f t="shared" si="10"/>
        <v>markop</v>
      </c>
      <c r="N701" s="176">
        <f>IFERROR(__xludf.DUMMYFUNCTION("""COMPUTED_VALUE"""),17.0)</f>
        <v>17</v>
      </c>
      <c r="O701" s="176"/>
      <c r="P701" s="183" t="s">
        <v>43</v>
      </c>
      <c r="Q701" s="178" t="s">
        <v>519</v>
      </c>
      <c r="R701" s="176"/>
      <c r="S701" s="176"/>
      <c r="T701" s="176"/>
      <c r="U701" s="176"/>
      <c r="V701" s="176"/>
      <c r="W701" s="176"/>
      <c r="X701" s="176"/>
      <c r="Y701" s="176"/>
      <c r="Z701" s="176"/>
      <c r="AA701" s="176"/>
    </row>
    <row r="702">
      <c r="A702" s="165" t="str">
        <f>iferror(VLOOKUP(P702,'DO NOT TOUCH Imported'!$A$1:$D$800,4,False),iferror(VLOOKUP(P702,'DO NOT TOUCH Imported'!$C$1:$D$800,2,False),"OOPS FIX ME"))</f>
        <v>markop</v>
      </c>
      <c r="B702" s="178" t="s">
        <v>10</v>
      </c>
      <c r="C702" s="179" t="s">
        <v>494</v>
      </c>
      <c r="D702" s="180" t="s">
        <v>495</v>
      </c>
      <c r="E702" s="181">
        <v>44324.0</v>
      </c>
      <c r="F702" s="182" t="s">
        <v>496</v>
      </c>
      <c r="G702" s="170">
        <v>1000.0</v>
      </c>
      <c r="H702" s="171">
        <v>50.0</v>
      </c>
      <c r="I702" s="171">
        <v>100.0</v>
      </c>
      <c r="J702" s="172">
        <f t="shared" si="35"/>
        <v>0.0005637746898</v>
      </c>
      <c r="K702" s="173">
        <f t="shared" si="37"/>
        <v>0.6765296278</v>
      </c>
      <c r="L702" s="174">
        <f t="shared" si="9"/>
        <v>4.540587734</v>
      </c>
      <c r="M702" s="175" t="str">
        <f t="shared" si="10"/>
        <v>markop</v>
      </c>
      <c r="N702" s="176">
        <f>IFERROR(__xludf.DUMMYFUNCTION("""COMPUTED_VALUE"""),18.0)</f>
        <v>18</v>
      </c>
      <c r="O702" s="176"/>
      <c r="P702" s="183" t="s">
        <v>43</v>
      </c>
      <c r="Q702" s="178" t="s">
        <v>10</v>
      </c>
      <c r="R702" s="176"/>
      <c r="S702" s="176"/>
      <c r="T702" s="176"/>
      <c r="U702" s="176"/>
      <c r="V702" s="176"/>
      <c r="W702" s="176"/>
      <c r="X702" s="176"/>
      <c r="Y702" s="176"/>
      <c r="Z702" s="176"/>
      <c r="AA702" s="176"/>
    </row>
    <row r="703">
      <c r="A703" s="165" t="str">
        <f>iferror(VLOOKUP(P703,'DO NOT TOUCH Imported'!$A$1:$D$800,4,False),iferror(VLOOKUP(P703,'DO NOT TOUCH Imported'!$C$1:$D$800,2,False),"OOPS FIX ME"))</f>
        <v>markop</v>
      </c>
      <c r="B703" s="178" t="s">
        <v>10</v>
      </c>
      <c r="C703" s="179" t="s">
        <v>498</v>
      </c>
      <c r="D703" s="180" t="s">
        <v>495</v>
      </c>
      <c r="E703" s="181">
        <v>44323.0</v>
      </c>
      <c r="F703" s="182" t="s">
        <v>499</v>
      </c>
      <c r="G703" s="170">
        <v>500.0</v>
      </c>
      <c r="H703" s="171">
        <v>25.0</v>
      </c>
      <c r="I703" s="171">
        <v>100.0</v>
      </c>
      <c r="J703" s="172">
        <f t="shared" si="35"/>
        <v>0.0004317674408</v>
      </c>
      <c r="K703" s="173">
        <f t="shared" si="37"/>
        <v>0.518120929</v>
      </c>
      <c r="L703" s="174">
        <f t="shared" si="9"/>
        <v>4.540587734</v>
      </c>
      <c r="M703" s="175" t="str">
        <f t="shared" si="10"/>
        <v>markop</v>
      </c>
      <c r="N703" s="176">
        <f>IFERROR(__xludf.DUMMYFUNCTION("""COMPUTED_VALUE"""),19.0)</f>
        <v>19</v>
      </c>
      <c r="O703" s="176"/>
      <c r="P703" s="183" t="s">
        <v>43</v>
      </c>
      <c r="Q703" s="178" t="s">
        <v>10</v>
      </c>
      <c r="R703" s="176"/>
      <c r="S703" s="176"/>
      <c r="T703" s="176"/>
      <c r="U703" s="176"/>
      <c r="V703" s="176"/>
      <c r="W703" s="176"/>
      <c r="X703" s="176"/>
      <c r="Y703" s="176"/>
      <c r="Z703" s="176"/>
      <c r="AA703" s="176"/>
    </row>
    <row r="704">
      <c r="A704" s="165" t="str">
        <f>iferror(VLOOKUP(P704,'DO NOT TOUCH Imported'!$A$1:$D$800,4,False),iferror(VLOOKUP(P704,'DO NOT TOUCH Imported'!$C$1:$D$800,2,False),"OOPS FIX ME"))</f>
        <v>markop</v>
      </c>
      <c r="B704" s="178" t="s">
        <v>10</v>
      </c>
      <c r="C704" s="179" t="s">
        <v>500</v>
      </c>
      <c r="D704" s="180" t="s">
        <v>495</v>
      </c>
      <c r="E704" s="181">
        <v>44324.0</v>
      </c>
      <c r="F704" s="182" t="s">
        <v>496</v>
      </c>
      <c r="G704" s="170">
        <v>500.0</v>
      </c>
      <c r="H704" s="171">
        <v>25.0</v>
      </c>
      <c r="I704" s="171">
        <v>100.0</v>
      </c>
      <c r="J704" s="172">
        <f t="shared" si="35"/>
        <v>0.0004317674408</v>
      </c>
      <c r="K704" s="173">
        <f t="shared" si="37"/>
        <v>0.518120929</v>
      </c>
      <c r="L704" s="174">
        <f t="shared" si="9"/>
        <v>4.540587734</v>
      </c>
      <c r="M704" s="175" t="str">
        <f t="shared" si="10"/>
        <v>markop</v>
      </c>
      <c r="N704" s="176">
        <f>IFERROR(__xludf.DUMMYFUNCTION("""COMPUTED_VALUE"""),20.0)</f>
        <v>20</v>
      </c>
      <c r="O704" s="176"/>
      <c r="P704" s="183" t="s">
        <v>43</v>
      </c>
      <c r="Q704" s="178" t="s">
        <v>10</v>
      </c>
      <c r="R704" s="176"/>
      <c r="S704" s="176"/>
      <c r="T704" s="176"/>
      <c r="U704" s="176"/>
      <c r="V704" s="176"/>
      <c r="W704" s="176"/>
      <c r="X704" s="176"/>
      <c r="Y704" s="176"/>
      <c r="Z704" s="176"/>
      <c r="AA704" s="176"/>
    </row>
    <row r="705">
      <c r="A705" s="185" t="str">
        <f>iferror(VLOOKUP(P705,'DO NOT TOUCH Imported'!$A$1:$D$800,4,False),iferror(VLOOKUP(P705,'DO NOT TOUCH Imported'!$C$1:$D$800,2,False),"OOPS FIX ME"))</f>
        <v>markop</v>
      </c>
      <c r="B705" s="185" t="s">
        <v>534</v>
      </c>
      <c r="C705" s="186" t="s">
        <v>794</v>
      </c>
      <c r="D705" s="187"/>
      <c r="E705" s="188"/>
      <c r="F705" s="189"/>
      <c r="G705" s="190"/>
      <c r="H705" s="190"/>
      <c r="I705" s="190"/>
      <c r="J705" s="172">
        <f>(H705/$H$2+I705/$I$2)/2</f>
        <v>0</v>
      </c>
      <c r="K705" s="215">
        <f>0.75*-18.162</f>
        <v>-13.6215</v>
      </c>
      <c r="L705" s="193">
        <f t="shared" si="9"/>
        <v>4.540587734</v>
      </c>
      <c r="M705" s="194" t="str">
        <f t="shared" si="10"/>
        <v>markop</v>
      </c>
      <c r="N705" s="195">
        <f>IFERROR(__xludf.DUMMYFUNCTION("""COMPUTED_VALUE"""),21.0)</f>
        <v>21</v>
      </c>
      <c r="O705" s="195"/>
      <c r="P705" s="212" t="s">
        <v>43</v>
      </c>
      <c r="Q705" s="185" t="s">
        <v>534</v>
      </c>
      <c r="R705" s="195">
        <v>18.848124090566696</v>
      </c>
      <c r="S705" s="195"/>
      <c r="T705" s="195"/>
      <c r="U705" s="195"/>
      <c r="V705" s="195"/>
      <c r="W705" s="195"/>
      <c r="X705" s="195"/>
      <c r="Y705" s="195"/>
      <c r="Z705" s="195"/>
      <c r="AA705" s="176"/>
    </row>
    <row r="706">
      <c r="A706" s="165" t="str">
        <f>iferror(VLOOKUP(P706,'DO NOT TOUCH Imported'!$A$1:$D$800,4,False),iferror(VLOOKUP(P706,'DO NOT TOUCH Imported'!$C$1:$D$800,2,False),"OOPS FIX ME"))</f>
        <v>JonathanBSci</v>
      </c>
      <c r="B706" s="178" t="s">
        <v>29</v>
      </c>
      <c r="C706" s="179" t="s">
        <v>749</v>
      </c>
      <c r="D706" s="180" t="s">
        <v>495</v>
      </c>
      <c r="E706" s="181">
        <v>44319.0</v>
      </c>
      <c r="F706" s="182" t="s">
        <v>499</v>
      </c>
      <c r="G706" s="170">
        <v>20000.0</v>
      </c>
      <c r="H706" s="171">
        <v>300.0</v>
      </c>
      <c r="I706" s="171">
        <v>200.0</v>
      </c>
      <c r="J706" s="172">
        <f t="shared" ref="J706:J713" si="38">(G706/$G$2+H706/$H$2+I706/$I$2)/3</f>
        <v>0.003645137803</v>
      </c>
      <c r="K706" s="173">
        <f t="shared" ref="K706:K713" si="39">J706*$J$1</f>
        <v>4.374165363</v>
      </c>
      <c r="L706" s="174">
        <f t="shared" si="9"/>
        <v>4.374165363</v>
      </c>
      <c r="M706" s="175" t="str">
        <f t="shared" si="10"/>
        <v>JonathanBSci</v>
      </c>
      <c r="N706" s="176">
        <f>IFERROR(__xludf.DUMMYFUNCTION("""COMPUTED_VALUE"""),1.0)</f>
        <v>1</v>
      </c>
      <c r="O706" s="176"/>
      <c r="P706" s="183" t="s">
        <v>78</v>
      </c>
      <c r="Q706" s="178" t="s">
        <v>29</v>
      </c>
      <c r="R706" s="176"/>
      <c r="S706" s="176"/>
      <c r="T706" s="176"/>
      <c r="U706" s="176"/>
      <c r="V706" s="176"/>
      <c r="W706" s="176"/>
      <c r="X706" s="176"/>
      <c r="Y706" s="176"/>
      <c r="Z706" s="176"/>
      <c r="AA706" s="176"/>
    </row>
    <row r="707">
      <c r="A707" s="165" t="str">
        <f>iferror(VLOOKUP(P707,'DO NOT TOUCH Imported'!$A$1:$D$800,4,False),iferror(VLOOKUP(P707,'DO NOT TOUCH Imported'!$C$1:$D$800,2,False),"OOPS FIX ME"))</f>
        <v>lkngtn</v>
      </c>
      <c r="B707" s="166" t="s">
        <v>441</v>
      </c>
      <c r="C707" s="167" t="s">
        <v>638</v>
      </c>
      <c r="D707" s="168" t="s">
        <v>437</v>
      </c>
      <c r="E707" s="177" t="s">
        <v>447</v>
      </c>
      <c r="F707" s="168" t="s">
        <v>439</v>
      </c>
      <c r="G707" s="170">
        <v>1000.0</v>
      </c>
      <c r="H707" s="171">
        <v>200.0</v>
      </c>
      <c r="I707" s="171">
        <v>200.0</v>
      </c>
      <c r="J707" s="172">
        <f t="shared" si="38"/>
        <v>0.001342393283</v>
      </c>
      <c r="K707" s="173">
        <f t="shared" si="39"/>
        <v>1.61087194</v>
      </c>
      <c r="L707" s="174">
        <f t="shared" si="9"/>
        <v>4.089816868</v>
      </c>
      <c r="M707" s="175" t="str">
        <f t="shared" si="10"/>
        <v>lkngtn</v>
      </c>
      <c r="N707" s="176">
        <f>IFERROR(__xludf.DUMMYFUNCTION("""COMPUTED_VALUE"""),1.0)</f>
        <v>1</v>
      </c>
      <c r="O707" s="176"/>
      <c r="P707" s="166" t="s">
        <v>795</v>
      </c>
      <c r="Q707" s="166" t="s">
        <v>441</v>
      </c>
      <c r="R707" s="176"/>
      <c r="S707" s="176"/>
      <c r="T707" s="176"/>
      <c r="U707" s="176"/>
      <c r="V707" s="176"/>
      <c r="W707" s="176"/>
      <c r="X707" s="176"/>
      <c r="Y707" s="176"/>
      <c r="Z707" s="176"/>
      <c r="AA707" s="176"/>
    </row>
    <row r="708">
      <c r="A708" s="165" t="str">
        <f>iferror(VLOOKUP(P708,'DO NOT TOUCH Imported'!$A$1:$D$800,4,False),iferror(VLOOKUP(P708,'DO NOT TOUCH Imported'!$C$1:$D$800,2,False),"OOPS FIX ME"))</f>
        <v>lkngtn</v>
      </c>
      <c r="B708" s="166" t="s">
        <v>483</v>
      </c>
      <c r="C708" s="167" t="s">
        <v>641</v>
      </c>
      <c r="D708" s="168" t="s">
        <v>437</v>
      </c>
      <c r="E708" s="169" t="s">
        <v>540</v>
      </c>
      <c r="F708" s="168" t="s">
        <v>439</v>
      </c>
      <c r="G708" s="170">
        <v>1000.0</v>
      </c>
      <c r="H708" s="171">
        <v>200.0</v>
      </c>
      <c r="I708" s="171">
        <v>100.0</v>
      </c>
      <c r="J708" s="172">
        <f t="shared" si="38"/>
        <v>0.001042633091</v>
      </c>
      <c r="K708" s="173">
        <f t="shared" si="39"/>
        <v>1.25115971</v>
      </c>
      <c r="L708" s="174">
        <f t="shared" si="9"/>
        <v>4.089816868</v>
      </c>
      <c r="M708" s="175" t="str">
        <f t="shared" si="10"/>
        <v>lkngtn</v>
      </c>
      <c r="N708" s="176">
        <f>IFERROR(__xludf.DUMMYFUNCTION("""COMPUTED_VALUE"""),2.0)</f>
        <v>2</v>
      </c>
      <c r="O708" s="176"/>
      <c r="P708" s="166" t="s">
        <v>795</v>
      </c>
      <c r="Q708" s="166" t="s">
        <v>483</v>
      </c>
      <c r="R708" s="176"/>
      <c r="S708" s="176"/>
      <c r="T708" s="176"/>
      <c r="U708" s="176"/>
      <c r="V708" s="176"/>
      <c r="W708" s="176"/>
      <c r="X708" s="176"/>
      <c r="Y708" s="176"/>
      <c r="Z708" s="176"/>
      <c r="AA708" s="176"/>
    </row>
    <row r="709">
      <c r="A709" s="165" t="str">
        <f>iferror(VLOOKUP(P709,'DO NOT TOUCH Imported'!$A$1:$D$800,4,False),iferror(VLOOKUP(P709,'DO NOT TOUCH Imported'!$C$1:$D$800,2,False),"OOPS FIX ME"))</f>
        <v>lkngtn</v>
      </c>
      <c r="B709" s="166" t="s">
        <v>457</v>
      </c>
      <c r="C709" s="167" t="s">
        <v>458</v>
      </c>
      <c r="D709" s="168" t="s">
        <v>437</v>
      </c>
      <c r="E709" s="169" t="s">
        <v>438</v>
      </c>
      <c r="F709" s="168" t="s">
        <v>439</v>
      </c>
      <c r="G709" s="170">
        <v>1000.0</v>
      </c>
      <c r="H709" s="171">
        <v>100.0</v>
      </c>
      <c r="I709" s="171">
        <v>200.0</v>
      </c>
      <c r="J709" s="172">
        <f t="shared" si="38"/>
        <v>0.001023154349</v>
      </c>
      <c r="K709" s="173">
        <f t="shared" si="39"/>
        <v>1.227785219</v>
      </c>
      <c r="L709" s="174">
        <f t="shared" si="9"/>
        <v>4.089816868</v>
      </c>
      <c r="M709" s="175" t="str">
        <f t="shared" si="10"/>
        <v>lkngtn</v>
      </c>
      <c r="N709" s="176">
        <f>IFERROR(__xludf.DUMMYFUNCTION("""COMPUTED_VALUE"""),3.0)</f>
        <v>3</v>
      </c>
      <c r="O709" s="176"/>
      <c r="P709" s="166" t="s">
        <v>795</v>
      </c>
      <c r="Q709" s="166" t="s">
        <v>457</v>
      </c>
      <c r="R709" s="176"/>
      <c r="S709" s="176"/>
      <c r="T709" s="176"/>
      <c r="U709" s="176"/>
      <c r="V709" s="176"/>
      <c r="W709" s="176"/>
      <c r="X709" s="176"/>
      <c r="Y709" s="176"/>
      <c r="Z709" s="176"/>
      <c r="AA709" s="176"/>
    </row>
    <row r="710">
      <c r="A710" s="165" t="str">
        <f>iferror(VLOOKUP(P710,'DO NOT TOUCH Imported'!$A$1:$D$800,4,False),iferror(VLOOKUP(P710,'DO NOT TOUCH Imported'!$C$1:$D$800,2,False),"OOPS FIX ME"))</f>
        <v>OOPS FIX ME</v>
      </c>
      <c r="B710" s="166" t="s">
        <v>20</v>
      </c>
      <c r="C710" s="167" t="s">
        <v>701</v>
      </c>
      <c r="D710" s="168" t="s">
        <v>437</v>
      </c>
      <c r="E710" s="169" t="s">
        <v>438</v>
      </c>
      <c r="F710" s="168" t="s">
        <v>439</v>
      </c>
      <c r="G710" s="170">
        <v>10000.0</v>
      </c>
      <c r="H710" s="171">
        <v>200.0</v>
      </c>
      <c r="I710" s="171">
        <v>200.0</v>
      </c>
      <c r="J710" s="172">
        <f t="shared" si="38"/>
        <v>0.00228194856</v>
      </c>
      <c r="K710" s="173">
        <f t="shared" si="39"/>
        <v>2.738338273</v>
      </c>
      <c r="L710" s="174">
        <f t="shared" si="9"/>
        <v>11.88985225</v>
      </c>
      <c r="M710" s="175" t="str">
        <f t="shared" si="10"/>
        <v>OOPS FIX ME</v>
      </c>
      <c r="N710" s="176">
        <f>IFERROR(__xludf.DUMMYFUNCTION("""COMPUTED_VALUE"""),1.0)</f>
        <v>1</v>
      </c>
      <c r="O710" s="176"/>
      <c r="P710" s="166" t="s">
        <v>179</v>
      </c>
      <c r="Q710" s="166" t="s">
        <v>20</v>
      </c>
      <c r="R710" s="176"/>
      <c r="S710" s="176"/>
      <c r="T710" s="176"/>
      <c r="U710" s="176"/>
      <c r="V710" s="176"/>
      <c r="W710" s="176"/>
      <c r="X710" s="176"/>
      <c r="Y710" s="176"/>
      <c r="Z710" s="176"/>
      <c r="AA710" s="176"/>
    </row>
    <row r="711">
      <c r="A711" s="165" t="str">
        <f>iferror(VLOOKUP(P711,'DO NOT TOUCH Imported'!$A$1:$D$800,4,False),iferror(VLOOKUP(P711,'DO NOT TOUCH Imported'!$C$1:$D$800,2,False),"OOPS FIX ME"))</f>
        <v>OOPS FIX ME</v>
      </c>
      <c r="B711" s="166" t="s">
        <v>457</v>
      </c>
      <c r="C711" s="167" t="s">
        <v>458</v>
      </c>
      <c r="D711" s="168" t="s">
        <v>437</v>
      </c>
      <c r="E711" s="169" t="s">
        <v>438</v>
      </c>
      <c r="F711" s="168" t="s">
        <v>439</v>
      </c>
      <c r="G711" s="170">
        <v>1000.0</v>
      </c>
      <c r="H711" s="171">
        <v>100.0</v>
      </c>
      <c r="I711" s="171">
        <v>200.0</v>
      </c>
      <c r="J711" s="172">
        <f t="shared" si="38"/>
        <v>0.001023154349</v>
      </c>
      <c r="K711" s="173">
        <f t="shared" si="39"/>
        <v>1.227785219</v>
      </c>
      <c r="L711" s="174">
        <f t="shared" si="9"/>
        <v>11.88985225</v>
      </c>
      <c r="M711" s="175" t="str">
        <f t="shared" si="10"/>
        <v>OOPS FIX ME</v>
      </c>
      <c r="N711" s="176">
        <f>IFERROR(__xludf.DUMMYFUNCTION("""COMPUTED_VALUE"""),2.0)</f>
        <v>2</v>
      </c>
      <c r="O711" s="176"/>
      <c r="P711" s="166" t="s">
        <v>179</v>
      </c>
      <c r="Q711" s="166" t="s">
        <v>457</v>
      </c>
      <c r="R711" s="176"/>
      <c r="S711" s="176"/>
      <c r="T711" s="176"/>
      <c r="U711" s="176"/>
      <c r="V711" s="176"/>
      <c r="W711" s="176"/>
      <c r="X711" s="176"/>
      <c r="Y711" s="176"/>
      <c r="Z711" s="176"/>
      <c r="AA711" s="176"/>
    </row>
    <row r="712">
      <c r="A712" s="165" t="str">
        <f>iferror(VLOOKUP(P712,'DO NOT TOUCH Imported'!$A$1:$D$800,4,False),iferror(VLOOKUP(P712,'DO NOT TOUCH Imported'!$C$1:$D$800,2,False),"OOPS FIX ME"))</f>
        <v>sgonzt</v>
      </c>
      <c r="B712" s="166" t="s">
        <v>450</v>
      </c>
      <c r="C712" s="167" t="s">
        <v>552</v>
      </c>
      <c r="D712" s="168" t="s">
        <v>437</v>
      </c>
      <c r="E712" s="169" t="s">
        <v>452</v>
      </c>
      <c r="F712" s="168" t="s">
        <v>453</v>
      </c>
      <c r="G712" s="170">
        <v>1000.0</v>
      </c>
      <c r="H712" s="171">
        <v>200.0</v>
      </c>
      <c r="I712" s="171">
        <v>400.0</v>
      </c>
      <c r="J712" s="172">
        <f t="shared" si="38"/>
        <v>0.001941913667</v>
      </c>
      <c r="K712" s="173">
        <f t="shared" si="39"/>
        <v>2.3302964</v>
      </c>
      <c r="L712" s="174">
        <f t="shared" si="9"/>
        <v>3.94116834</v>
      </c>
      <c r="M712" s="175" t="str">
        <f t="shared" si="10"/>
        <v>sgonzt</v>
      </c>
      <c r="N712" s="176">
        <f>IFERROR(__xludf.DUMMYFUNCTION("""COMPUTED_VALUE"""),1.0)</f>
        <v>1</v>
      </c>
      <c r="O712" s="176"/>
      <c r="P712" s="166" t="s">
        <v>796</v>
      </c>
      <c r="Q712" s="166" t="s">
        <v>450</v>
      </c>
      <c r="R712" s="176"/>
      <c r="S712" s="176"/>
      <c r="T712" s="176"/>
      <c r="U712" s="176"/>
      <c r="V712" s="176"/>
      <c r="W712" s="176"/>
      <c r="X712" s="176"/>
      <c r="Y712" s="176"/>
      <c r="Z712" s="176"/>
      <c r="AA712" s="176"/>
    </row>
    <row r="713">
      <c r="A713" s="165" t="str">
        <f>iferror(VLOOKUP(P713,'DO NOT TOUCH Imported'!$A$1:$D$800,4,False),iferror(VLOOKUP(P713,'DO NOT TOUCH Imported'!$C$1:$D$800,2,False),"OOPS FIX ME"))</f>
        <v>sgonzt</v>
      </c>
      <c r="B713" s="166" t="s">
        <v>441</v>
      </c>
      <c r="C713" s="167" t="s">
        <v>554</v>
      </c>
      <c r="D713" s="168" t="s">
        <v>437</v>
      </c>
      <c r="E713" s="177" t="s">
        <v>447</v>
      </c>
      <c r="F713" s="168" t="s">
        <v>439</v>
      </c>
      <c r="G713" s="170">
        <v>1000.0</v>
      </c>
      <c r="H713" s="171">
        <v>200.0</v>
      </c>
      <c r="I713" s="171">
        <v>200.0</v>
      </c>
      <c r="J713" s="172">
        <f t="shared" si="38"/>
        <v>0.001342393283</v>
      </c>
      <c r="K713" s="173">
        <f t="shared" si="39"/>
        <v>1.61087194</v>
      </c>
      <c r="L713" s="174">
        <f t="shared" si="9"/>
        <v>3.94116834</v>
      </c>
      <c r="M713" s="175" t="str">
        <f t="shared" si="10"/>
        <v>sgonzt</v>
      </c>
      <c r="N713" s="176">
        <f>IFERROR(__xludf.DUMMYFUNCTION("""COMPUTED_VALUE"""),2.0)</f>
        <v>2</v>
      </c>
      <c r="O713" s="176"/>
      <c r="P713" s="166" t="s">
        <v>796</v>
      </c>
      <c r="Q713" s="166" t="s">
        <v>441</v>
      </c>
      <c r="R713" s="176"/>
      <c r="S713" s="176"/>
      <c r="T713" s="176"/>
      <c r="U713" s="176"/>
      <c r="V713" s="176"/>
      <c r="W713" s="176"/>
      <c r="X713" s="176"/>
      <c r="Y713" s="176"/>
      <c r="Z713" s="176"/>
      <c r="AA713" s="176"/>
    </row>
    <row r="714">
      <c r="A714" s="185" t="s">
        <v>26</v>
      </c>
      <c r="B714" s="185" t="s">
        <v>534</v>
      </c>
      <c r="C714" s="186" t="s">
        <v>797</v>
      </c>
      <c r="D714" s="187"/>
      <c r="E714" s="188"/>
      <c r="F714" s="189"/>
      <c r="G714" s="190"/>
      <c r="H714" s="190"/>
      <c r="I714" s="190"/>
      <c r="J714" s="172">
        <f>(H714/$H$2+I714/$I$2)/2</f>
        <v>0</v>
      </c>
      <c r="K714" s="215">
        <v>0.0</v>
      </c>
      <c r="L714" s="193">
        <f t="shared" si="9"/>
        <v>3.94116834</v>
      </c>
      <c r="M714" s="194" t="str">
        <f t="shared" si="10"/>
        <v>sgonzt</v>
      </c>
      <c r="N714" s="195">
        <f>IFERROR(__xludf.DUMMYFUNCTION("""COMPUTED_VALUE"""),3.0)</f>
        <v>3</v>
      </c>
      <c r="O714" s="195"/>
      <c r="P714" s="185" t="s">
        <v>10</v>
      </c>
      <c r="Q714" s="185" t="s">
        <v>534</v>
      </c>
      <c r="R714" s="195">
        <v>18.802169413641863</v>
      </c>
      <c r="S714" s="195"/>
      <c r="T714" s="195"/>
      <c r="U714" s="195"/>
      <c r="V714" s="195"/>
      <c r="W714" s="195"/>
      <c r="X714" s="195"/>
      <c r="Y714" s="195"/>
      <c r="Z714" s="195"/>
      <c r="AA714" s="176"/>
    </row>
    <row r="715">
      <c r="A715" s="165" t="str">
        <f>iferror(VLOOKUP(P715,'DO NOT TOUCH Imported'!$A$1:$D$800,4,False),iferror(VLOOKUP(P715,'DO NOT TOUCH Imported'!$C$1:$D$800,2,False),"OOPS FIX ME"))</f>
        <v>sbilbao</v>
      </c>
      <c r="B715" s="166" t="s">
        <v>463</v>
      </c>
      <c r="C715" s="167" t="s">
        <v>464</v>
      </c>
      <c r="D715" s="168" t="s">
        <v>437</v>
      </c>
      <c r="E715" s="177" t="s">
        <v>445</v>
      </c>
      <c r="F715" s="168" t="s">
        <v>439</v>
      </c>
      <c r="G715" s="170">
        <v>1000.0</v>
      </c>
      <c r="H715" s="171">
        <v>100.0</v>
      </c>
      <c r="I715" s="171">
        <v>100.0</v>
      </c>
      <c r="J715" s="172">
        <f t="shared" ref="J715:J741" si="40">(G715/$G$2+H715/$H$2+I715/$I$2)/3</f>
        <v>0.000723394157</v>
      </c>
      <c r="K715" s="173">
        <f t="shared" ref="K715:K741" si="41">J715*$J$1</f>
        <v>0.8680729884</v>
      </c>
      <c r="L715" s="174">
        <f t="shared" si="9"/>
        <v>3.904989223</v>
      </c>
      <c r="M715" s="175" t="str">
        <f t="shared" si="10"/>
        <v>sbilbao</v>
      </c>
      <c r="N715" s="176">
        <f>IFERROR(__xludf.DUMMYFUNCTION("""COMPUTED_VALUE"""),1.0)</f>
        <v>1</v>
      </c>
      <c r="O715" s="176"/>
      <c r="P715" s="166" t="s">
        <v>798</v>
      </c>
      <c r="Q715" s="166" t="s">
        <v>463</v>
      </c>
      <c r="R715" s="176"/>
      <c r="S715" s="176"/>
      <c r="T715" s="176"/>
      <c r="U715" s="176"/>
      <c r="V715" s="176"/>
      <c r="W715" s="176"/>
      <c r="X715" s="176"/>
      <c r="Y715" s="176"/>
      <c r="Z715" s="176"/>
      <c r="AA715" s="176"/>
    </row>
    <row r="716">
      <c r="A716" s="165" t="str">
        <f>iferror(VLOOKUP(P716,'DO NOT TOUCH Imported'!$A$1:$D$800,4,False),iferror(VLOOKUP(P716,'DO NOT TOUCH Imported'!$C$1:$D$800,2,False),"OOPS FIX ME"))</f>
        <v>sbilbao</v>
      </c>
      <c r="B716" s="166" t="s">
        <v>490</v>
      </c>
      <c r="C716" s="167" t="s">
        <v>539</v>
      </c>
      <c r="D716" s="168" t="s">
        <v>437</v>
      </c>
      <c r="E716" s="177" t="s">
        <v>540</v>
      </c>
      <c r="F716" s="168" t="s">
        <v>439</v>
      </c>
      <c r="G716" s="170">
        <v>1000.0</v>
      </c>
      <c r="H716" s="171">
        <v>100.0</v>
      </c>
      <c r="I716" s="171">
        <v>100.0</v>
      </c>
      <c r="J716" s="172">
        <f t="shared" si="40"/>
        <v>0.000723394157</v>
      </c>
      <c r="K716" s="173">
        <f t="shared" si="41"/>
        <v>0.8680729884</v>
      </c>
      <c r="L716" s="174">
        <f t="shared" si="9"/>
        <v>3.904989223</v>
      </c>
      <c r="M716" s="175" t="str">
        <f t="shared" si="10"/>
        <v>sbilbao</v>
      </c>
      <c r="N716" s="176">
        <f>IFERROR(__xludf.DUMMYFUNCTION("""COMPUTED_VALUE"""),2.0)</f>
        <v>2</v>
      </c>
      <c r="O716" s="176"/>
      <c r="P716" s="166" t="s">
        <v>798</v>
      </c>
      <c r="Q716" s="166" t="s">
        <v>490</v>
      </c>
      <c r="R716" s="176"/>
      <c r="S716" s="176"/>
      <c r="T716" s="176"/>
      <c r="U716" s="176"/>
      <c r="V716" s="176"/>
      <c r="W716" s="176"/>
      <c r="X716" s="176"/>
      <c r="Y716" s="176"/>
      <c r="Z716" s="176"/>
      <c r="AA716" s="176"/>
    </row>
    <row r="717">
      <c r="A717" s="165" t="str">
        <f>iferror(VLOOKUP(P717,'DO NOT TOUCH Imported'!$A$1:$D$800,4,False),iferror(VLOOKUP(P717,'DO NOT TOUCH Imported'!$C$1:$D$800,2,False),"OOPS FIX ME"))</f>
        <v>sbilbao</v>
      </c>
      <c r="B717" s="166" t="s">
        <v>486</v>
      </c>
      <c r="C717" s="167" t="s">
        <v>487</v>
      </c>
      <c r="D717" s="168" t="s">
        <v>437</v>
      </c>
      <c r="E717" s="177" t="s">
        <v>488</v>
      </c>
      <c r="F717" s="168" t="s">
        <v>439</v>
      </c>
      <c r="G717" s="170">
        <v>1000.0</v>
      </c>
      <c r="H717" s="171">
        <v>70.0</v>
      </c>
      <c r="I717" s="171">
        <v>100.0</v>
      </c>
      <c r="J717" s="172">
        <f t="shared" si="40"/>
        <v>0.0006276224767</v>
      </c>
      <c r="K717" s="173">
        <f t="shared" si="41"/>
        <v>0.7531469721</v>
      </c>
      <c r="L717" s="174">
        <f t="shared" si="9"/>
        <v>3.904989223</v>
      </c>
      <c r="M717" s="175" t="str">
        <f t="shared" si="10"/>
        <v>sbilbao</v>
      </c>
      <c r="N717" s="176">
        <f>IFERROR(__xludf.DUMMYFUNCTION("""COMPUTED_VALUE"""),3.0)</f>
        <v>3</v>
      </c>
      <c r="O717" s="176"/>
      <c r="P717" s="166" t="s">
        <v>798</v>
      </c>
      <c r="Q717" s="166" t="s">
        <v>486</v>
      </c>
      <c r="R717" s="176"/>
      <c r="S717" s="176"/>
      <c r="T717" s="176"/>
      <c r="U717" s="176"/>
      <c r="V717" s="176"/>
      <c r="W717" s="176"/>
      <c r="X717" s="176"/>
      <c r="Y717" s="176"/>
      <c r="Z717" s="176"/>
      <c r="AA717" s="176"/>
    </row>
    <row r="718">
      <c r="A718" s="165" t="str">
        <f>iferror(VLOOKUP(P718,'DO NOT TOUCH Imported'!$A$1:$D$800,4,False),iferror(VLOOKUP(P718,'DO NOT TOUCH Imported'!$C$1:$D$800,2,False),"OOPS FIX ME"))</f>
        <v>sbilbao</v>
      </c>
      <c r="B718" s="178" t="s">
        <v>10</v>
      </c>
      <c r="C718" s="179" t="s">
        <v>494</v>
      </c>
      <c r="D718" s="180" t="s">
        <v>495</v>
      </c>
      <c r="E718" s="181">
        <v>44317.0</v>
      </c>
      <c r="F718" s="182" t="s">
        <v>496</v>
      </c>
      <c r="G718" s="170">
        <v>1500.0</v>
      </c>
      <c r="H718" s="171">
        <v>50.0</v>
      </c>
      <c r="I718" s="171">
        <v>100.0</v>
      </c>
      <c r="J718" s="172">
        <f t="shared" si="40"/>
        <v>0.0006159722052</v>
      </c>
      <c r="K718" s="173">
        <f t="shared" si="41"/>
        <v>0.7391666463</v>
      </c>
      <c r="L718" s="174">
        <f t="shared" si="9"/>
        <v>3.904989223</v>
      </c>
      <c r="M718" s="175" t="str">
        <f t="shared" si="10"/>
        <v>sbilbao</v>
      </c>
      <c r="N718" s="176">
        <f>IFERROR(__xludf.DUMMYFUNCTION("""COMPUTED_VALUE"""),4.0)</f>
        <v>4</v>
      </c>
      <c r="O718" s="176"/>
      <c r="P718" s="183" t="s">
        <v>133</v>
      </c>
      <c r="Q718" s="178" t="s">
        <v>10</v>
      </c>
      <c r="R718" s="176"/>
      <c r="S718" s="176"/>
      <c r="T718" s="176"/>
      <c r="U718" s="176"/>
      <c r="V718" s="176"/>
      <c r="W718" s="176"/>
      <c r="X718" s="176"/>
      <c r="Y718" s="176"/>
      <c r="Z718" s="176"/>
      <c r="AA718" s="176"/>
    </row>
    <row r="719">
      <c r="A719" s="165" t="str">
        <f>iferror(VLOOKUP(P719,'DO NOT TOUCH Imported'!$A$1:$D$800,4,False),iferror(VLOOKUP(P719,'DO NOT TOUCH Imported'!$C$1:$D$800,2,False),"OOPS FIX ME"))</f>
        <v>sbilbao</v>
      </c>
      <c r="B719" s="178" t="s">
        <v>10</v>
      </c>
      <c r="C719" s="179" t="s">
        <v>494</v>
      </c>
      <c r="D719" s="180" t="s">
        <v>495</v>
      </c>
      <c r="E719" s="181">
        <v>44324.0</v>
      </c>
      <c r="F719" s="182" t="s">
        <v>496</v>
      </c>
      <c r="G719" s="170">
        <v>1000.0</v>
      </c>
      <c r="H719" s="171">
        <v>50.0</v>
      </c>
      <c r="I719" s="171">
        <v>100.0</v>
      </c>
      <c r="J719" s="172">
        <f t="shared" si="40"/>
        <v>0.0005637746898</v>
      </c>
      <c r="K719" s="173">
        <f t="shared" si="41"/>
        <v>0.6765296278</v>
      </c>
      <c r="L719" s="174">
        <f t="shared" si="9"/>
        <v>3.904989223</v>
      </c>
      <c r="M719" s="175" t="str">
        <f t="shared" si="10"/>
        <v>sbilbao</v>
      </c>
      <c r="N719" s="176">
        <f>IFERROR(__xludf.DUMMYFUNCTION("""COMPUTED_VALUE"""),5.0)</f>
        <v>5</v>
      </c>
      <c r="O719" s="176"/>
      <c r="P719" s="183" t="s">
        <v>133</v>
      </c>
      <c r="Q719" s="178" t="s">
        <v>10</v>
      </c>
      <c r="R719" s="176"/>
      <c r="S719" s="176"/>
      <c r="T719" s="176"/>
      <c r="U719" s="176"/>
      <c r="V719" s="176"/>
      <c r="W719" s="176"/>
      <c r="X719" s="176"/>
      <c r="Y719" s="176"/>
      <c r="Z719" s="176"/>
      <c r="AA719" s="176"/>
    </row>
    <row r="720">
      <c r="A720" s="165" t="str">
        <f>iferror(VLOOKUP(P720,'DO NOT TOUCH Imported'!$A$1:$D$800,4,False),iferror(VLOOKUP(P720,'DO NOT TOUCH Imported'!$C$1:$D$800,2,False),"OOPS FIX ME"))</f>
        <v>JessicaZartler</v>
      </c>
      <c r="B720" s="166" t="s">
        <v>441</v>
      </c>
      <c r="C720" s="167" t="s">
        <v>562</v>
      </c>
      <c r="D720" s="168" t="s">
        <v>437</v>
      </c>
      <c r="E720" s="169" t="s">
        <v>438</v>
      </c>
      <c r="F720" s="168" t="s">
        <v>439</v>
      </c>
      <c r="G720" s="170">
        <v>20000.0</v>
      </c>
      <c r="H720" s="171">
        <v>200.0</v>
      </c>
      <c r="I720" s="171">
        <v>200.0</v>
      </c>
      <c r="J720" s="172">
        <f t="shared" si="40"/>
        <v>0.003325898868</v>
      </c>
      <c r="K720" s="173">
        <f t="shared" si="41"/>
        <v>3.991078642</v>
      </c>
      <c r="L720" s="174">
        <f t="shared" si="9"/>
        <v>3.818864055</v>
      </c>
      <c r="M720" s="175" t="str">
        <f t="shared" si="10"/>
        <v>JessicaZartler</v>
      </c>
      <c r="N720" s="176">
        <f>IFERROR(__xludf.DUMMYFUNCTION("""COMPUTED_VALUE"""),1.0)</f>
        <v>1</v>
      </c>
      <c r="O720" s="176"/>
      <c r="P720" s="166" t="s">
        <v>566</v>
      </c>
      <c r="Q720" s="166" t="s">
        <v>441</v>
      </c>
      <c r="R720" s="176"/>
      <c r="S720" s="176"/>
      <c r="T720" s="176"/>
      <c r="U720" s="176"/>
      <c r="V720" s="176"/>
      <c r="W720" s="176"/>
      <c r="X720" s="176"/>
      <c r="Y720" s="176"/>
      <c r="Z720" s="176"/>
      <c r="AA720" s="176"/>
    </row>
    <row r="721">
      <c r="A721" s="165" t="str">
        <f>iferror(VLOOKUP(P721,'DO NOT TOUCH Imported'!$A$1:$D$800,4,False),iferror(VLOOKUP(P721,'DO NOT TOUCH Imported'!$C$1:$D$800,2,False),"OOPS FIX ME"))</f>
        <v>JessicaZartler</v>
      </c>
      <c r="B721" s="166" t="s">
        <v>441</v>
      </c>
      <c r="C721" s="167" t="s">
        <v>732</v>
      </c>
      <c r="D721" s="168" t="s">
        <v>437</v>
      </c>
      <c r="E721" s="177" t="s">
        <v>447</v>
      </c>
      <c r="F721" s="168" t="s">
        <v>439</v>
      </c>
      <c r="G721" s="170">
        <v>1000.0</v>
      </c>
      <c r="H721" s="171">
        <v>200.0</v>
      </c>
      <c r="I721" s="171">
        <v>200.0</v>
      </c>
      <c r="J721" s="172">
        <f t="shared" si="40"/>
        <v>0.001342393283</v>
      </c>
      <c r="K721" s="173">
        <f t="shared" si="41"/>
        <v>1.61087194</v>
      </c>
      <c r="L721" s="174">
        <f t="shared" si="9"/>
        <v>3.818864055</v>
      </c>
      <c r="M721" s="175" t="str">
        <f t="shared" si="10"/>
        <v>JessicaZartler</v>
      </c>
      <c r="N721" s="176">
        <f>IFERROR(__xludf.DUMMYFUNCTION("""COMPUTED_VALUE"""),2.0)</f>
        <v>2</v>
      </c>
      <c r="O721" s="176"/>
      <c r="P721" s="166" t="s">
        <v>566</v>
      </c>
      <c r="Q721" s="166" t="s">
        <v>441</v>
      </c>
      <c r="R721" s="176"/>
      <c r="S721" s="176"/>
      <c r="T721" s="176"/>
      <c r="U721" s="176"/>
      <c r="V721" s="176"/>
      <c r="W721" s="176"/>
      <c r="X721" s="176"/>
      <c r="Y721" s="176"/>
      <c r="Z721" s="176"/>
      <c r="AA721" s="176"/>
    </row>
    <row r="722">
      <c r="A722" s="165" t="str">
        <f>iferror(VLOOKUP(P722,'DO NOT TOUCH Imported'!$A$1:$D$800,4,False),iferror(VLOOKUP(P722,'DO NOT TOUCH Imported'!$C$1:$D$800,2,False),"OOPS FIX ME"))</f>
        <v>JessicaZartler</v>
      </c>
      <c r="B722" s="166" t="s">
        <v>67</v>
      </c>
      <c r="C722" s="167" t="s">
        <v>734</v>
      </c>
      <c r="D722" s="168" t="s">
        <v>499</v>
      </c>
      <c r="E722" s="169" t="s">
        <v>438</v>
      </c>
      <c r="F722" s="168" t="s">
        <v>503</v>
      </c>
      <c r="G722" s="170">
        <v>1000.0</v>
      </c>
      <c r="H722" s="171">
        <v>200.0</v>
      </c>
      <c r="I722" s="171">
        <v>200.0</v>
      </c>
      <c r="J722" s="172">
        <f t="shared" si="40"/>
        <v>0.001342393283</v>
      </c>
      <c r="K722" s="173">
        <f t="shared" si="41"/>
        <v>1.61087194</v>
      </c>
      <c r="L722" s="174">
        <f t="shared" si="9"/>
        <v>3.818864055</v>
      </c>
      <c r="M722" s="175" t="str">
        <f t="shared" si="10"/>
        <v>JessicaZartler</v>
      </c>
      <c r="N722" s="176">
        <f>IFERROR(__xludf.DUMMYFUNCTION("""COMPUTED_VALUE"""),3.0)</f>
        <v>3</v>
      </c>
      <c r="O722" s="176"/>
      <c r="P722" s="166" t="s">
        <v>566</v>
      </c>
      <c r="Q722" s="166" t="s">
        <v>67</v>
      </c>
      <c r="R722" s="176"/>
      <c r="S722" s="176"/>
      <c r="T722" s="176"/>
      <c r="U722" s="176"/>
      <c r="V722" s="176"/>
      <c r="W722" s="176"/>
      <c r="X722" s="176"/>
      <c r="Y722" s="176"/>
      <c r="Z722" s="176"/>
      <c r="AA722" s="176"/>
    </row>
    <row r="723">
      <c r="A723" s="165" t="str">
        <f>iferror(VLOOKUP(P723,'DO NOT TOUCH Imported'!$A$1:$D$800,4,False),iferror(VLOOKUP(P723,'DO NOT TOUCH Imported'!$C$1:$D$800,2,False),"OOPS FIX ME"))</f>
        <v>JessicaZartler</v>
      </c>
      <c r="B723" s="166" t="s">
        <v>441</v>
      </c>
      <c r="C723" s="167" t="s">
        <v>799</v>
      </c>
      <c r="D723" s="168" t="s">
        <v>437</v>
      </c>
      <c r="E723" s="169" t="s">
        <v>438</v>
      </c>
      <c r="F723" s="168" t="s">
        <v>439</v>
      </c>
      <c r="G723" s="170">
        <v>1000.0</v>
      </c>
      <c r="H723" s="171">
        <v>200.0</v>
      </c>
      <c r="I723" s="171">
        <v>200.0</v>
      </c>
      <c r="J723" s="172">
        <f t="shared" si="40"/>
        <v>0.001342393283</v>
      </c>
      <c r="K723" s="173">
        <f t="shared" si="41"/>
        <v>1.61087194</v>
      </c>
      <c r="L723" s="174">
        <f t="shared" si="9"/>
        <v>3.818864055</v>
      </c>
      <c r="M723" s="175" t="str">
        <f t="shared" si="10"/>
        <v>JessicaZartler</v>
      </c>
      <c r="N723" s="176">
        <f>IFERROR(__xludf.DUMMYFUNCTION("""COMPUTED_VALUE"""),4.0)</f>
        <v>4</v>
      </c>
      <c r="O723" s="176"/>
      <c r="P723" s="166" t="s">
        <v>566</v>
      </c>
      <c r="Q723" s="166" t="s">
        <v>441</v>
      </c>
      <c r="R723" s="176"/>
      <c r="S723" s="176"/>
      <c r="T723" s="176"/>
      <c r="U723" s="176"/>
      <c r="V723" s="176"/>
      <c r="W723" s="176"/>
      <c r="X723" s="176"/>
      <c r="Y723" s="176"/>
      <c r="Z723" s="176"/>
      <c r="AA723" s="176"/>
    </row>
    <row r="724">
      <c r="A724" s="165" t="str">
        <f>iferror(VLOOKUP(P724,'DO NOT TOUCH Imported'!$A$1:$D$800,4,False),iferror(VLOOKUP(P724,'DO NOT TOUCH Imported'!$C$1:$D$800,2,False),"OOPS FIX ME"))</f>
        <v>JessicaZartler</v>
      </c>
      <c r="B724" s="166" t="s">
        <v>441</v>
      </c>
      <c r="C724" s="167" t="s">
        <v>733</v>
      </c>
      <c r="D724" s="168" t="s">
        <v>437</v>
      </c>
      <c r="E724" s="169" t="s">
        <v>447</v>
      </c>
      <c r="F724" s="168" t="s">
        <v>439</v>
      </c>
      <c r="G724" s="170">
        <v>1000.0</v>
      </c>
      <c r="H724" s="171">
        <v>200.0</v>
      </c>
      <c r="I724" s="171">
        <v>100.0</v>
      </c>
      <c r="J724" s="172">
        <f t="shared" si="40"/>
        <v>0.001042633091</v>
      </c>
      <c r="K724" s="173">
        <f t="shared" si="41"/>
        <v>1.25115971</v>
      </c>
      <c r="L724" s="174">
        <f t="shared" si="9"/>
        <v>3.818864055</v>
      </c>
      <c r="M724" s="175" t="str">
        <f t="shared" si="10"/>
        <v>JessicaZartler</v>
      </c>
      <c r="N724" s="176">
        <f>IFERROR(__xludf.DUMMYFUNCTION("""COMPUTED_VALUE"""),5.0)</f>
        <v>5</v>
      </c>
      <c r="O724" s="176"/>
      <c r="P724" s="166" t="s">
        <v>566</v>
      </c>
      <c r="Q724" s="166" t="s">
        <v>441</v>
      </c>
      <c r="R724" s="176"/>
      <c r="S724" s="176"/>
      <c r="T724" s="176"/>
      <c r="U724" s="176"/>
      <c r="V724" s="176"/>
      <c r="W724" s="176"/>
      <c r="X724" s="176"/>
      <c r="Y724" s="176"/>
      <c r="Z724" s="176"/>
      <c r="AA724" s="176"/>
    </row>
    <row r="725">
      <c r="A725" s="165" t="str">
        <f>iferror(VLOOKUP(P725,'DO NOT TOUCH Imported'!$A$1:$D$800,4,False),iferror(VLOOKUP(P725,'DO NOT TOUCH Imported'!$C$1:$D$800,2,False),"OOPS FIX ME"))</f>
        <v>JessicaZartler</v>
      </c>
      <c r="B725" s="166" t="s">
        <v>441</v>
      </c>
      <c r="C725" s="167" t="s">
        <v>524</v>
      </c>
      <c r="D725" s="168" t="s">
        <v>437</v>
      </c>
      <c r="E725" s="177" t="s">
        <v>447</v>
      </c>
      <c r="F725" s="168" t="s">
        <v>439</v>
      </c>
      <c r="G725" s="170">
        <v>1000.0</v>
      </c>
      <c r="H725" s="171">
        <v>200.0</v>
      </c>
      <c r="I725" s="171">
        <v>100.0</v>
      </c>
      <c r="J725" s="172">
        <f t="shared" si="40"/>
        <v>0.001042633091</v>
      </c>
      <c r="K725" s="173">
        <f t="shared" si="41"/>
        <v>1.25115971</v>
      </c>
      <c r="L725" s="174">
        <f t="shared" si="9"/>
        <v>3.818864055</v>
      </c>
      <c r="M725" s="175" t="str">
        <f t="shared" si="10"/>
        <v>JessicaZartler</v>
      </c>
      <c r="N725" s="176">
        <f>IFERROR(__xludf.DUMMYFUNCTION("""COMPUTED_VALUE"""),6.0)</f>
        <v>6</v>
      </c>
      <c r="O725" s="176"/>
      <c r="P725" s="166" t="s">
        <v>566</v>
      </c>
      <c r="Q725" s="166" t="s">
        <v>441</v>
      </c>
      <c r="R725" s="176"/>
      <c r="S725" s="176"/>
      <c r="T725" s="176"/>
      <c r="U725" s="176"/>
      <c r="V725" s="176"/>
      <c r="W725" s="176"/>
      <c r="X725" s="176"/>
      <c r="Y725" s="176"/>
      <c r="Z725" s="176"/>
      <c r="AA725" s="176"/>
    </row>
    <row r="726">
      <c r="A726" s="165" t="str">
        <f>iferror(VLOOKUP(P726,'DO NOT TOUCH Imported'!$A$1:$D$800,4,False),iferror(VLOOKUP(P726,'DO NOT TOUCH Imported'!$C$1:$D$800,2,False),"OOPS FIX ME"))</f>
        <v>JessicaZartler</v>
      </c>
      <c r="B726" s="166" t="s">
        <v>435</v>
      </c>
      <c r="C726" s="167" t="s">
        <v>800</v>
      </c>
      <c r="D726" s="168" t="s">
        <v>437</v>
      </c>
      <c r="E726" s="169" t="s">
        <v>447</v>
      </c>
      <c r="F726" s="168" t="s">
        <v>439</v>
      </c>
      <c r="G726" s="170">
        <v>1000.0</v>
      </c>
      <c r="H726" s="171">
        <v>200.0</v>
      </c>
      <c r="I726" s="171">
        <v>100.0</v>
      </c>
      <c r="J726" s="172">
        <f t="shared" si="40"/>
        <v>0.001042633091</v>
      </c>
      <c r="K726" s="173">
        <f t="shared" si="41"/>
        <v>1.25115971</v>
      </c>
      <c r="L726" s="174">
        <f t="shared" si="9"/>
        <v>3.818864055</v>
      </c>
      <c r="M726" s="175" t="str">
        <f t="shared" si="10"/>
        <v>JessicaZartler</v>
      </c>
      <c r="N726" s="176">
        <f>IFERROR(__xludf.DUMMYFUNCTION("""COMPUTED_VALUE"""),7.0)</f>
        <v>7</v>
      </c>
      <c r="O726" s="176"/>
      <c r="P726" s="166" t="s">
        <v>566</v>
      </c>
      <c r="Q726" s="166" t="s">
        <v>435</v>
      </c>
      <c r="R726" s="176"/>
      <c r="S726" s="176"/>
      <c r="T726" s="176"/>
      <c r="U726" s="176"/>
      <c r="V726" s="176"/>
      <c r="W726" s="176"/>
      <c r="X726" s="176"/>
      <c r="Y726" s="176"/>
      <c r="Z726" s="176"/>
      <c r="AA726" s="176"/>
    </row>
    <row r="727">
      <c r="A727" s="165" t="str">
        <f>iferror(VLOOKUP(P727,'DO NOT TOUCH Imported'!$A$1:$D$800,4,False),iferror(VLOOKUP(P727,'DO NOT TOUCH Imported'!$C$1:$D$800,2,False),"OOPS FIX ME"))</f>
        <v>JessicaZartler</v>
      </c>
      <c r="B727" s="166" t="s">
        <v>564</v>
      </c>
      <c r="C727" s="167" t="s">
        <v>565</v>
      </c>
      <c r="D727" s="168" t="s">
        <v>499</v>
      </c>
      <c r="E727" s="177" t="s">
        <v>447</v>
      </c>
      <c r="F727" s="168" t="s">
        <v>503</v>
      </c>
      <c r="G727" s="170">
        <v>1000.0</v>
      </c>
      <c r="H727" s="171">
        <v>200.0</v>
      </c>
      <c r="I727" s="171">
        <v>100.0</v>
      </c>
      <c r="J727" s="172">
        <f t="shared" si="40"/>
        <v>0.001042633091</v>
      </c>
      <c r="K727" s="173">
        <f t="shared" si="41"/>
        <v>1.25115971</v>
      </c>
      <c r="L727" s="174">
        <f t="shared" si="9"/>
        <v>3.818864055</v>
      </c>
      <c r="M727" s="175" t="str">
        <f t="shared" si="10"/>
        <v>JessicaZartler</v>
      </c>
      <c r="N727" s="176">
        <f>IFERROR(__xludf.DUMMYFUNCTION("""COMPUTED_VALUE"""),8.0)</f>
        <v>8</v>
      </c>
      <c r="O727" s="176"/>
      <c r="P727" s="166" t="s">
        <v>566</v>
      </c>
      <c r="Q727" s="166" t="s">
        <v>564</v>
      </c>
      <c r="R727" s="176"/>
      <c r="S727" s="176"/>
      <c r="T727" s="176"/>
      <c r="U727" s="176"/>
      <c r="V727" s="176"/>
      <c r="W727" s="176"/>
      <c r="X727" s="176"/>
      <c r="Y727" s="176"/>
      <c r="Z727" s="176"/>
      <c r="AA727" s="176"/>
    </row>
    <row r="728">
      <c r="A728" s="165" t="str">
        <f>iferror(VLOOKUP(P728,'DO NOT TOUCH Imported'!$A$1:$D$800,4,False),iferror(VLOOKUP(P728,'DO NOT TOUCH Imported'!$C$1:$D$800,2,False),"OOPS FIX ME"))</f>
        <v>JessicaZartler</v>
      </c>
      <c r="B728" s="166" t="s">
        <v>441</v>
      </c>
      <c r="C728" s="167" t="s">
        <v>598</v>
      </c>
      <c r="D728" s="168" t="s">
        <v>437</v>
      </c>
      <c r="E728" s="177" t="s">
        <v>438</v>
      </c>
      <c r="F728" s="168" t="s">
        <v>439</v>
      </c>
      <c r="G728" s="170">
        <v>1000.0</v>
      </c>
      <c r="H728" s="171">
        <v>200.0</v>
      </c>
      <c r="I728" s="171">
        <v>100.0</v>
      </c>
      <c r="J728" s="172">
        <f t="shared" si="40"/>
        <v>0.001042633091</v>
      </c>
      <c r="K728" s="173">
        <f t="shared" si="41"/>
        <v>1.25115971</v>
      </c>
      <c r="L728" s="174">
        <f t="shared" si="9"/>
        <v>3.818864055</v>
      </c>
      <c r="M728" s="175" t="str">
        <f t="shared" si="10"/>
        <v>JessicaZartler</v>
      </c>
      <c r="N728" s="176">
        <f>IFERROR(__xludf.DUMMYFUNCTION("""COMPUTED_VALUE"""),9.0)</f>
        <v>9</v>
      </c>
      <c r="O728" s="176"/>
      <c r="P728" s="166" t="s">
        <v>566</v>
      </c>
      <c r="Q728" s="166" t="s">
        <v>441</v>
      </c>
      <c r="R728" s="176"/>
      <c r="S728" s="176"/>
      <c r="T728" s="176"/>
      <c r="U728" s="176"/>
      <c r="V728" s="176"/>
      <c r="W728" s="176"/>
      <c r="X728" s="176"/>
      <c r="Y728" s="176"/>
      <c r="Z728" s="176"/>
      <c r="AA728" s="176"/>
    </row>
    <row r="729">
      <c r="A729" s="165" t="str">
        <f>iferror(VLOOKUP(P729,'DO NOT TOUCH Imported'!$A$1:$D$800,4,False),iferror(VLOOKUP(P729,'DO NOT TOUCH Imported'!$C$1:$D$800,2,False),"OOPS FIX ME"))</f>
        <v>JessicaZartler</v>
      </c>
      <c r="B729" s="166" t="s">
        <v>441</v>
      </c>
      <c r="C729" s="167" t="s">
        <v>738</v>
      </c>
      <c r="D729" s="168" t="s">
        <v>437</v>
      </c>
      <c r="E729" s="169" t="s">
        <v>438</v>
      </c>
      <c r="F729" s="168" t="s">
        <v>439</v>
      </c>
      <c r="G729" s="170">
        <v>1000.0</v>
      </c>
      <c r="H729" s="171">
        <v>200.0</v>
      </c>
      <c r="I729" s="171">
        <v>100.0</v>
      </c>
      <c r="J729" s="172">
        <f t="shared" si="40"/>
        <v>0.001042633091</v>
      </c>
      <c r="K729" s="173">
        <f t="shared" si="41"/>
        <v>1.25115971</v>
      </c>
      <c r="L729" s="174">
        <f t="shared" si="9"/>
        <v>3.818864055</v>
      </c>
      <c r="M729" s="175" t="str">
        <f t="shared" si="10"/>
        <v>JessicaZartler</v>
      </c>
      <c r="N729" s="176">
        <f>IFERROR(__xludf.DUMMYFUNCTION("""COMPUTED_VALUE"""),10.0)</f>
        <v>10</v>
      </c>
      <c r="O729" s="176"/>
      <c r="P729" s="166" t="s">
        <v>566</v>
      </c>
      <c r="Q729" s="166" t="s">
        <v>441</v>
      </c>
      <c r="R729" s="176"/>
      <c r="S729" s="176"/>
      <c r="T729" s="176"/>
      <c r="U729" s="176"/>
      <c r="V729" s="176"/>
      <c r="W729" s="176"/>
      <c r="X729" s="176"/>
      <c r="Y729" s="176"/>
      <c r="Z729" s="176"/>
      <c r="AA729" s="176"/>
    </row>
    <row r="730">
      <c r="A730" s="165" t="str">
        <f>iferror(VLOOKUP(P730,'DO NOT TOUCH Imported'!$A$1:$D$800,4,False),iferror(VLOOKUP(P730,'DO NOT TOUCH Imported'!$C$1:$D$800,2,False),"OOPS FIX ME"))</f>
        <v>JessicaZartler</v>
      </c>
      <c r="B730" s="166" t="s">
        <v>441</v>
      </c>
      <c r="C730" s="167" t="s">
        <v>801</v>
      </c>
      <c r="D730" s="168" t="s">
        <v>437</v>
      </c>
      <c r="E730" s="169" t="s">
        <v>447</v>
      </c>
      <c r="F730" s="168" t="s">
        <v>439</v>
      </c>
      <c r="G730" s="170">
        <v>1000.0</v>
      </c>
      <c r="H730" s="171">
        <v>100.0</v>
      </c>
      <c r="I730" s="171">
        <v>100.0</v>
      </c>
      <c r="J730" s="172">
        <f t="shared" si="40"/>
        <v>0.000723394157</v>
      </c>
      <c r="K730" s="173">
        <f t="shared" si="41"/>
        <v>0.8680729884</v>
      </c>
      <c r="L730" s="174">
        <f t="shared" si="9"/>
        <v>3.818864055</v>
      </c>
      <c r="M730" s="175" t="str">
        <f t="shared" si="10"/>
        <v>JessicaZartler</v>
      </c>
      <c r="N730" s="176">
        <f>IFERROR(__xludf.DUMMYFUNCTION("""COMPUTED_VALUE"""),11.0)</f>
        <v>11</v>
      </c>
      <c r="O730" s="176"/>
      <c r="P730" s="166" t="s">
        <v>566</v>
      </c>
      <c r="Q730" s="166" t="s">
        <v>441</v>
      </c>
      <c r="R730" s="176"/>
      <c r="S730" s="176"/>
      <c r="T730" s="176"/>
      <c r="U730" s="176"/>
      <c r="V730" s="176"/>
      <c r="W730" s="176"/>
      <c r="X730" s="176"/>
      <c r="Y730" s="176"/>
      <c r="Z730" s="176"/>
      <c r="AA730" s="176"/>
    </row>
    <row r="731">
      <c r="A731" s="165" t="str">
        <f>iferror(VLOOKUP(P731,'DO NOT TOUCH Imported'!$A$1:$D$800,4,False),iferror(VLOOKUP(P731,'DO NOT TOUCH Imported'!$C$1:$D$800,2,False),"OOPS FIX ME"))</f>
        <v>JessicaZartler</v>
      </c>
      <c r="B731" s="166" t="s">
        <v>441</v>
      </c>
      <c r="C731" s="167" t="s">
        <v>467</v>
      </c>
      <c r="D731" s="168" t="s">
        <v>437</v>
      </c>
      <c r="E731" s="177" t="s">
        <v>447</v>
      </c>
      <c r="F731" s="168" t="s">
        <v>439</v>
      </c>
      <c r="G731" s="170">
        <v>1000.0</v>
      </c>
      <c r="H731" s="171">
        <v>100.0</v>
      </c>
      <c r="I731" s="171">
        <v>100.0</v>
      </c>
      <c r="J731" s="172">
        <f t="shared" si="40"/>
        <v>0.000723394157</v>
      </c>
      <c r="K731" s="173">
        <f t="shared" si="41"/>
        <v>0.8680729884</v>
      </c>
      <c r="L731" s="174">
        <f t="shared" si="9"/>
        <v>3.818864055</v>
      </c>
      <c r="M731" s="175" t="str">
        <f t="shared" si="10"/>
        <v>JessicaZartler</v>
      </c>
      <c r="N731" s="176">
        <f>IFERROR(__xludf.DUMMYFUNCTION("""COMPUTED_VALUE"""),12.0)</f>
        <v>12</v>
      </c>
      <c r="O731" s="176"/>
      <c r="P731" s="166" t="s">
        <v>566</v>
      </c>
      <c r="Q731" s="166" t="s">
        <v>441</v>
      </c>
      <c r="R731" s="176"/>
      <c r="S731" s="176"/>
      <c r="T731" s="176"/>
      <c r="U731" s="176"/>
      <c r="V731" s="176"/>
      <c r="W731" s="176"/>
      <c r="X731" s="176"/>
      <c r="Y731" s="176"/>
      <c r="Z731" s="176"/>
      <c r="AA731" s="176"/>
    </row>
    <row r="732">
      <c r="A732" s="165" t="str">
        <f>iferror(VLOOKUP(P732,'DO NOT TOUCH Imported'!$A$1:$D$800,4,False),iferror(VLOOKUP(P732,'DO NOT TOUCH Imported'!$C$1:$D$800,2,False),"OOPS FIX ME"))</f>
        <v>JessicaZartler</v>
      </c>
      <c r="B732" s="166" t="s">
        <v>441</v>
      </c>
      <c r="C732" s="167" t="s">
        <v>599</v>
      </c>
      <c r="D732" s="168" t="s">
        <v>437</v>
      </c>
      <c r="E732" s="177" t="s">
        <v>447</v>
      </c>
      <c r="F732" s="168" t="s">
        <v>439</v>
      </c>
      <c r="G732" s="170">
        <v>1000.0</v>
      </c>
      <c r="H732" s="171">
        <v>100.0</v>
      </c>
      <c r="I732" s="171">
        <v>100.0</v>
      </c>
      <c r="J732" s="172">
        <f t="shared" si="40"/>
        <v>0.000723394157</v>
      </c>
      <c r="K732" s="173">
        <f t="shared" si="41"/>
        <v>0.8680729884</v>
      </c>
      <c r="L732" s="174">
        <f t="shared" si="9"/>
        <v>3.818864055</v>
      </c>
      <c r="M732" s="175" t="str">
        <f t="shared" si="10"/>
        <v>JessicaZartler</v>
      </c>
      <c r="N732" s="176">
        <f>IFERROR(__xludf.DUMMYFUNCTION("""COMPUTED_VALUE"""),13.0)</f>
        <v>13</v>
      </c>
      <c r="O732" s="176"/>
      <c r="P732" s="166" t="s">
        <v>566</v>
      </c>
      <c r="Q732" s="166" t="s">
        <v>441</v>
      </c>
      <c r="R732" s="176"/>
      <c r="S732" s="176"/>
      <c r="T732" s="176"/>
      <c r="U732" s="176"/>
      <c r="V732" s="176"/>
      <c r="W732" s="176"/>
      <c r="X732" s="176"/>
      <c r="Y732" s="176"/>
      <c r="Z732" s="176"/>
      <c r="AA732" s="176"/>
    </row>
    <row r="733">
      <c r="A733" s="165" t="str">
        <f>iferror(VLOOKUP(P733,'DO NOT TOUCH Imported'!$A$1:$D$800,4,False),iferror(VLOOKUP(P733,'DO NOT TOUCH Imported'!$C$1:$D$800,2,False),"OOPS FIX ME"))</f>
        <v>JessicaZartler</v>
      </c>
      <c r="B733" s="166" t="s">
        <v>530</v>
      </c>
      <c r="C733" s="167" t="s">
        <v>531</v>
      </c>
      <c r="D733" s="168" t="s">
        <v>499</v>
      </c>
      <c r="E733" s="169" t="s">
        <v>452</v>
      </c>
      <c r="F733" s="168" t="s">
        <v>503</v>
      </c>
      <c r="G733" s="170">
        <v>1000.0</v>
      </c>
      <c r="H733" s="171">
        <v>100.0</v>
      </c>
      <c r="I733" s="171">
        <v>100.0</v>
      </c>
      <c r="J733" s="172">
        <f t="shared" si="40"/>
        <v>0.000723394157</v>
      </c>
      <c r="K733" s="173">
        <f t="shared" si="41"/>
        <v>0.8680729884</v>
      </c>
      <c r="L733" s="174">
        <f t="shared" si="9"/>
        <v>3.818864055</v>
      </c>
      <c r="M733" s="175" t="str">
        <f t="shared" si="10"/>
        <v>JessicaZartler</v>
      </c>
      <c r="N733" s="176">
        <f>IFERROR(__xludf.DUMMYFUNCTION("""COMPUTED_VALUE"""),14.0)</f>
        <v>14</v>
      </c>
      <c r="O733" s="176"/>
      <c r="P733" s="166" t="s">
        <v>566</v>
      </c>
      <c r="Q733" s="166" t="s">
        <v>530</v>
      </c>
      <c r="R733" s="176"/>
      <c r="S733" s="176"/>
      <c r="T733" s="176"/>
      <c r="U733" s="176"/>
      <c r="V733" s="176"/>
      <c r="W733" s="176"/>
      <c r="X733" s="176"/>
      <c r="Y733" s="176"/>
      <c r="Z733" s="176"/>
      <c r="AA733" s="176"/>
    </row>
    <row r="734">
      <c r="A734" s="165" t="str">
        <f>iferror(VLOOKUP(P734,'DO NOT TOUCH Imported'!$A$1:$D$800,4,False),iferror(VLOOKUP(P734,'DO NOT TOUCH Imported'!$C$1:$D$800,2,False),"OOPS FIX ME"))</f>
        <v>JessicaZartler</v>
      </c>
      <c r="B734" s="166" t="s">
        <v>483</v>
      </c>
      <c r="C734" s="167" t="s">
        <v>612</v>
      </c>
      <c r="D734" s="168" t="s">
        <v>437</v>
      </c>
      <c r="E734" s="169" t="s">
        <v>455</v>
      </c>
      <c r="F734" s="168" t="s">
        <v>439</v>
      </c>
      <c r="G734" s="170">
        <v>1000.0</v>
      </c>
      <c r="H734" s="171">
        <v>100.0</v>
      </c>
      <c r="I734" s="171">
        <v>100.0</v>
      </c>
      <c r="J734" s="172">
        <f t="shared" si="40"/>
        <v>0.000723394157</v>
      </c>
      <c r="K734" s="173">
        <f t="shared" si="41"/>
        <v>0.8680729884</v>
      </c>
      <c r="L734" s="174">
        <f t="shared" si="9"/>
        <v>3.818864055</v>
      </c>
      <c r="M734" s="175" t="str">
        <f t="shared" si="10"/>
        <v>JessicaZartler</v>
      </c>
      <c r="N734" s="176">
        <f>IFERROR(__xludf.DUMMYFUNCTION("""COMPUTED_VALUE"""),15.0)</f>
        <v>15</v>
      </c>
      <c r="O734" s="176"/>
      <c r="P734" s="166" t="s">
        <v>566</v>
      </c>
      <c r="Q734" s="166" t="s">
        <v>483</v>
      </c>
      <c r="R734" s="176"/>
      <c r="S734" s="176"/>
      <c r="T734" s="176"/>
      <c r="U734" s="176"/>
      <c r="V734" s="176"/>
      <c r="W734" s="176"/>
      <c r="X734" s="176"/>
      <c r="Y734" s="176"/>
      <c r="Z734" s="176"/>
      <c r="AA734" s="176"/>
    </row>
    <row r="735">
      <c r="A735" s="165" t="str">
        <f>iferror(VLOOKUP(P735,'DO NOT TOUCH Imported'!$A$1:$D$800,4,False),iferror(VLOOKUP(P735,'DO NOT TOUCH Imported'!$C$1:$D$800,2,False),"OOPS FIX ME"))</f>
        <v>JessicaZartler</v>
      </c>
      <c r="B735" s="166" t="s">
        <v>441</v>
      </c>
      <c r="C735" s="167" t="s">
        <v>559</v>
      </c>
      <c r="D735" s="168" t="s">
        <v>437</v>
      </c>
      <c r="E735" s="177" t="s">
        <v>438</v>
      </c>
      <c r="F735" s="168" t="s">
        <v>439</v>
      </c>
      <c r="G735" s="170">
        <v>1000.0</v>
      </c>
      <c r="H735" s="171">
        <v>100.0</v>
      </c>
      <c r="I735" s="171">
        <v>100.0</v>
      </c>
      <c r="J735" s="172">
        <f t="shared" si="40"/>
        <v>0.000723394157</v>
      </c>
      <c r="K735" s="173">
        <f t="shared" si="41"/>
        <v>0.8680729884</v>
      </c>
      <c r="L735" s="174">
        <f t="shared" si="9"/>
        <v>3.818864055</v>
      </c>
      <c r="M735" s="175" t="str">
        <f t="shared" si="10"/>
        <v>JessicaZartler</v>
      </c>
      <c r="N735" s="176">
        <f>IFERROR(__xludf.DUMMYFUNCTION("""COMPUTED_VALUE"""),16.0)</f>
        <v>16</v>
      </c>
      <c r="O735" s="176"/>
      <c r="P735" s="166" t="s">
        <v>566</v>
      </c>
      <c r="Q735" s="166" t="s">
        <v>441</v>
      </c>
      <c r="R735" s="176"/>
      <c r="S735" s="176"/>
      <c r="T735" s="176"/>
      <c r="U735" s="176"/>
      <c r="V735" s="176"/>
      <c r="W735" s="176"/>
      <c r="X735" s="176"/>
      <c r="Y735" s="176"/>
      <c r="Z735" s="176"/>
      <c r="AA735" s="176"/>
    </row>
    <row r="736">
      <c r="A736" s="165" t="str">
        <f>iferror(VLOOKUP(P736,'DO NOT TOUCH Imported'!$A$1:$D$800,4,False),iferror(VLOOKUP(P736,'DO NOT TOUCH Imported'!$C$1:$D$800,2,False),"OOPS FIX ME"))</f>
        <v>JessicaZartler</v>
      </c>
      <c r="B736" s="166" t="s">
        <v>441</v>
      </c>
      <c r="C736" s="167" t="s">
        <v>543</v>
      </c>
      <c r="D736" s="168" t="s">
        <v>437</v>
      </c>
      <c r="E736" s="169" t="s">
        <v>447</v>
      </c>
      <c r="F736" s="168" t="s">
        <v>439</v>
      </c>
      <c r="G736" s="170">
        <v>1000.0</v>
      </c>
      <c r="H736" s="171">
        <v>80.0</v>
      </c>
      <c r="I736" s="171">
        <v>100.0</v>
      </c>
      <c r="J736" s="172">
        <f t="shared" si="40"/>
        <v>0.0006595463701</v>
      </c>
      <c r="K736" s="173">
        <f t="shared" si="41"/>
        <v>0.7914556442</v>
      </c>
      <c r="L736" s="174">
        <f t="shared" si="9"/>
        <v>3.818864055</v>
      </c>
      <c r="M736" s="175" t="str">
        <f t="shared" si="10"/>
        <v>JessicaZartler</v>
      </c>
      <c r="N736" s="176">
        <f>IFERROR(__xludf.DUMMYFUNCTION("""COMPUTED_VALUE"""),17.0)</f>
        <v>17</v>
      </c>
      <c r="O736" s="176"/>
      <c r="P736" s="166" t="s">
        <v>566</v>
      </c>
      <c r="Q736" s="166" t="s">
        <v>441</v>
      </c>
      <c r="R736" s="176"/>
      <c r="S736" s="176"/>
      <c r="T736" s="176"/>
      <c r="U736" s="176"/>
      <c r="V736" s="176"/>
      <c r="W736" s="176"/>
      <c r="X736" s="176"/>
      <c r="Y736" s="176"/>
      <c r="Z736" s="176"/>
      <c r="AA736" s="176"/>
    </row>
    <row r="737">
      <c r="A737" s="165" t="str">
        <f>iferror(VLOOKUP(P737,'DO NOT TOUCH Imported'!$A$1:$D$800,4,False),iferror(VLOOKUP(P737,'DO NOT TOUCH Imported'!$C$1:$D$800,2,False),"OOPS FIX ME"))</f>
        <v>JessicaZartler</v>
      </c>
      <c r="B737" s="178" t="s">
        <v>10</v>
      </c>
      <c r="C737" s="179" t="s">
        <v>494</v>
      </c>
      <c r="D737" s="180" t="s">
        <v>495</v>
      </c>
      <c r="E737" s="181">
        <v>44317.0</v>
      </c>
      <c r="F737" s="182" t="s">
        <v>496</v>
      </c>
      <c r="G737" s="170">
        <v>1500.0</v>
      </c>
      <c r="H737" s="171">
        <v>50.0</v>
      </c>
      <c r="I737" s="171">
        <v>100.0</v>
      </c>
      <c r="J737" s="172">
        <f t="shared" si="40"/>
        <v>0.0006159722052</v>
      </c>
      <c r="K737" s="173">
        <f t="shared" si="41"/>
        <v>0.7391666463</v>
      </c>
      <c r="L737" s="174">
        <f t="shared" si="9"/>
        <v>3.818864055</v>
      </c>
      <c r="M737" s="175" t="str">
        <f t="shared" si="10"/>
        <v>JessicaZartler</v>
      </c>
      <c r="N737" s="176">
        <f>IFERROR(__xludf.DUMMYFUNCTION("""COMPUTED_VALUE"""),18.0)</f>
        <v>18</v>
      </c>
      <c r="O737" s="176"/>
      <c r="P737" s="183" t="s">
        <v>14</v>
      </c>
      <c r="Q737" s="178" t="s">
        <v>10</v>
      </c>
      <c r="R737" s="176"/>
      <c r="S737" s="176"/>
      <c r="T737" s="176"/>
      <c r="U737" s="176"/>
      <c r="V737" s="176"/>
      <c r="W737" s="176"/>
      <c r="X737" s="176"/>
      <c r="Y737" s="176"/>
      <c r="Z737" s="176"/>
      <c r="AA737" s="176"/>
    </row>
    <row r="738">
      <c r="A738" s="165" t="str">
        <f>iferror(VLOOKUP(P738,'DO NOT TOUCH Imported'!$A$1:$D$800,4,False),iferror(VLOOKUP(P738,'DO NOT TOUCH Imported'!$C$1:$D$800,2,False),"OOPS FIX ME"))</f>
        <v>JessicaZartler</v>
      </c>
      <c r="B738" s="166" t="s">
        <v>441</v>
      </c>
      <c r="C738" s="167" t="s">
        <v>497</v>
      </c>
      <c r="D738" s="168" t="s">
        <v>437</v>
      </c>
      <c r="E738" s="169" t="s">
        <v>438</v>
      </c>
      <c r="F738" s="168" t="s">
        <v>439</v>
      </c>
      <c r="G738" s="170">
        <v>1000.0</v>
      </c>
      <c r="H738" s="171">
        <v>50.0</v>
      </c>
      <c r="I738" s="171">
        <v>100.0</v>
      </c>
      <c r="J738" s="172">
        <f t="shared" si="40"/>
        <v>0.0005637746898</v>
      </c>
      <c r="K738" s="173">
        <f t="shared" si="41"/>
        <v>0.6765296278</v>
      </c>
      <c r="L738" s="174">
        <f t="shared" si="9"/>
        <v>3.818864055</v>
      </c>
      <c r="M738" s="175" t="str">
        <f t="shared" si="10"/>
        <v>JessicaZartler</v>
      </c>
      <c r="N738" s="176">
        <f>IFERROR(__xludf.DUMMYFUNCTION("""COMPUTED_VALUE"""),19.0)</f>
        <v>19</v>
      </c>
      <c r="O738" s="176"/>
      <c r="P738" s="166" t="s">
        <v>566</v>
      </c>
      <c r="Q738" s="166" t="s">
        <v>441</v>
      </c>
      <c r="R738" s="176"/>
      <c r="S738" s="176"/>
      <c r="T738" s="176"/>
      <c r="U738" s="176"/>
      <c r="V738" s="176"/>
      <c r="W738" s="176"/>
      <c r="X738" s="176"/>
      <c r="Y738" s="176"/>
      <c r="Z738" s="176"/>
      <c r="AA738" s="176"/>
    </row>
    <row r="739">
      <c r="A739" s="165" t="str">
        <f>iferror(VLOOKUP(P739,'DO NOT TOUCH Imported'!$A$1:$D$800,4,False),iferror(VLOOKUP(P739,'DO NOT TOUCH Imported'!$C$1:$D$800,2,False),"OOPS FIX ME"))</f>
        <v>JessicaZartler</v>
      </c>
      <c r="B739" s="178" t="s">
        <v>10</v>
      </c>
      <c r="C739" s="179" t="s">
        <v>494</v>
      </c>
      <c r="D739" s="180" t="s">
        <v>495</v>
      </c>
      <c r="E739" s="181">
        <v>44324.0</v>
      </c>
      <c r="F739" s="182" t="s">
        <v>496</v>
      </c>
      <c r="G739" s="170">
        <v>1000.0</v>
      </c>
      <c r="H739" s="171">
        <v>50.0</v>
      </c>
      <c r="I739" s="171">
        <v>100.0</v>
      </c>
      <c r="J739" s="172">
        <f t="shared" si="40"/>
        <v>0.0005637746898</v>
      </c>
      <c r="K739" s="173">
        <f t="shared" si="41"/>
        <v>0.6765296278</v>
      </c>
      <c r="L739" s="174">
        <f t="shared" si="9"/>
        <v>3.818864055</v>
      </c>
      <c r="M739" s="175" t="str">
        <f t="shared" si="10"/>
        <v>JessicaZartler</v>
      </c>
      <c r="N739" s="176">
        <f>IFERROR(__xludf.DUMMYFUNCTION("""COMPUTED_VALUE"""),20.0)</f>
        <v>20</v>
      </c>
      <c r="O739" s="176"/>
      <c r="P739" s="183" t="s">
        <v>14</v>
      </c>
      <c r="Q739" s="178" t="s">
        <v>10</v>
      </c>
      <c r="R739" s="176"/>
      <c r="S739" s="176"/>
      <c r="T739" s="176"/>
      <c r="U739" s="176"/>
      <c r="V739" s="176"/>
      <c r="W739" s="176"/>
      <c r="X739" s="176"/>
      <c r="Y739" s="176"/>
      <c r="Z739" s="176"/>
      <c r="AA739" s="176"/>
    </row>
    <row r="740">
      <c r="A740" s="165" t="str">
        <f>iferror(VLOOKUP(P740,'DO NOT TOUCH Imported'!$A$1:$D$800,4,False),iferror(VLOOKUP(P740,'DO NOT TOUCH Imported'!$C$1:$D$800,2,False),"OOPS FIX ME"))</f>
        <v>JessicaZartler</v>
      </c>
      <c r="B740" s="178" t="s">
        <v>10</v>
      </c>
      <c r="C740" s="179" t="s">
        <v>498</v>
      </c>
      <c r="D740" s="180" t="s">
        <v>495</v>
      </c>
      <c r="E740" s="181">
        <v>44323.0</v>
      </c>
      <c r="F740" s="182" t="s">
        <v>499</v>
      </c>
      <c r="G740" s="170">
        <v>500.0</v>
      </c>
      <c r="H740" s="171">
        <v>25.0</v>
      </c>
      <c r="I740" s="171">
        <v>100.0</v>
      </c>
      <c r="J740" s="172">
        <f t="shared" si="40"/>
        <v>0.0004317674408</v>
      </c>
      <c r="K740" s="173">
        <f t="shared" si="41"/>
        <v>0.518120929</v>
      </c>
      <c r="L740" s="174">
        <f t="shared" si="9"/>
        <v>3.818864055</v>
      </c>
      <c r="M740" s="175" t="str">
        <f t="shared" si="10"/>
        <v>JessicaZartler</v>
      </c>
      <c r="N740" s="176">
        <f>IFERROR(__xludf.DUMMYFUNCTION("""COMPUTED_VALUE"""),21.0)</f>
        <v>21</v>
      </c>
      <c r="O740" s="176"/>
      <c r="P740" s="183" t="s">
        <v>14</v>
      </c>
      <c r="Q740" s="178" t="s">
        <v>10</v>
      </c>
      <c r="R740" s="176"/>
      <c r="S740" s="176"/>
      <c r="T740" s="176"/>
      <c r="U740" s="176"/>
      <c r="V740" s="176"/>
      <c r="W740" s="176"/>
      <c r="X740" s="176"/>
      <c r="Y740" s="176"/>
      <c r="Z740" s="176"/>
      <c r="AA740" s="176"/>
    </row>
    <row r="741">
      <c r="A741" s="165" t="str">
        <f>iferror(VLOOKUP(P741,'DO NOT TOUCH Imported'!$A$1:$D$800,4,False),iferror(VLOOKUP(P741,'DO NOT TOUCH Imported'!$C$1:$D$800,2,False),"OOPS FIX ME"))</f>
        <v>JessicaZartler</v>
      </c>
      <c r="B741" s="178" t="s">
        <v>10</v>
      </c>
      <c r="C741" s="179" t="s">
        <v>500</v>
      </c>
      <c r="D741" s="180" t="s">
        <v>495</v>
      </c>
      <c r="E741" s="181">
        <v>44324.0</v>
      </c>
      <c r="F741" s="182" t="s">
        <v>496</v>
      </c>
      <c r="G741" s="170">
        <v>500.0</v>
      </c>
      <c r="H741" s="171">
        <v>25.0</v>
      </c>
      <c r="I741" s="171">
        <v>100.0</v>
      </c>
      <c r="J741" s="172">
        <f t="shared" si="40"/>
        <v>0.0004317674408</v>
      </c>
      <c r="K741" s="173">
        <f t="shared" si="41"/>
        <v>0.518120929</v>
      </c>
      <c r="L741" s="174">
        <f t="shared" si="9"/>
        <v>3.818864055</v>
      </c>
      <c r="M741" s="175" t="str">
        <f t="shared" si="10"/>
        <v>JessicaZartler</v>
      </c>
      <c r="N741" s="176">
        <f>IFERROR(__xludf.DUMMYFUNCTION("""COMPUTED_VALUE"""),22.0)</f>
        <v>22</v>
      </c>
      <c r="O741" s="176"/>
      <c r="P741" s="183" t="s">
        <v>14</v>
      </c>
      <c r="Q741" s="178" t="s">
        <v>10</v>
      </c>
      <c r="R741" s="176"/>
      <c r="S741" s="176"/>
      <c r="T741" s="176"/>
      <c r="U741" s="176"/>
      <c r="V741" s="176"/>
      <c r="W741" s="176"/>
      <c r="X741" s="176"/>
      <c r="Y741" s="176"/>
      <c r="Z741" s="176"/>
      <c r="AA741" s="176"/>
    </row>
    <row r="742">
      <c r="A742" s="185" t="str">
        <f>iferror(VLOOKUP(P742,'DO NOT TOUCH Imported'!$A$1:$D$800,4,False),iferror(VLOOKUP(P742,'DO NOT TOUCH Imported'!$C$1:$D$800,2,False),"OOPS FIX ME"))</f>
        <v>JessicaZartler</v>
      </c>
      <c r="B742" s="185" t="s">
        <v>534</v>
      </c>
      <c r="C742" s="186" t="s">
        <v>741</v>
      </c>
      <c r="D742" s="187"/>
      <c r="E742" s="188"/>
      <c r="F742" s="189"/>
      <c r="G742" s="190"/>
      <c r="H742" s="190"/>
      <c r="I742" s="190"/>
      <c r="J742" s="172">
        <f>(H742/$H$2+I742/$I$2)/2</f>
        <v>0</v>
      </c>
      <c r="K742" s="192">
        <f>0.85*-25.459</f>
        <v>-21.64015</v>
      </c>
      <c r="L742" s="193">
        <f t="shared" si="9"/>
        <v>3.818864055</v>
      </c>
      <c r="M742" s="194" t="str">
        <f t="shared" si="10"/>
        <v>JessicaZartler</v>
      </c>
      <c r="N742" s="195">
        <f>IFERROR(__xludf.DUMMYFUNCTION("""COMPUTED_VALUE"""),23.0)</f>
        <v>23</v>
      </c>
      <c r="O742" s="195"/>
      <c r="P742" s="185" t="s">
        <v>14</v>
      </c>
      <c r="Q742" s="185" t="s">
        <v>534</v>
      </c>
      <c r="R742" s="195"/>
      <c r="S742" s="195"/>
      <c r="T742" s="195"/>
      <c r="U742" s="195"/>
      <c r="V742" s="195"/>
      <c r="W742" s="195"/>
      <c r="X742" s="195"/>
      <c r="Y742" s="195"/>
      <c r="Z742" s="195"/>
      <c r="AA742" s="176"/>
    </row>
    <row r="743">
      <c r="A743" s="165" t="str">
        <f>iferror(VLOOKUP(P743,'DO NOT TOUCH Imported'!$A$1:$D$800,4,False),iferror(VLOOKUP(P743,'DO NOT TOUCH Imported'!$C$1:$D$800,2,False),"OOPS FIX ME"))</f>
        <v>baartch#5796</v>
      </c>
      <c r="B743" s="166" t="s">
        <v>441</v>
      </c>
      <c r="C743" s="167" t="s">
        <v>664</v>
      </c>
      <c r="D743" s="168" t="s">
        <v>437</v>
      </c>
      <c r="E743" s="169" t="s">
        <v>447</v>
      </c>
      <c r="F743" s="168" t="s">
        <v>439</v>
      </c>
      <c r="G743" s="170">
        <v>1000.0</v>
      </c>
      <c r="H743" s="171">
        <v>200.0</v>
      </c>
      <c r="I743" s="171">
        <v>100.0</v>
      </c>
      <c r="J743" s="172">
        <f t="shared" ref="J743:J747" si="42">(G743/$G$2+H743/$H$2+I743/$I$2)/3</f>
        <v>0.001042633091</v>
      </c>
      <c r="K743" s="173">
        <f t="shared" ref="K743:K747" si="43">J743*$J$1</f>
        <v>1.25115971</v>
      </c>
      <c r="L743" s="174">
        <f t="shared" si="9"/>
        <v>3.778761331</v>
      </c>
      <c r="M743" s="175" t="str">
        <f t="shared" si="10"/>
        <v>baartch#5796</v>
      </c>
      <c r="N743" s="176">
        <f>IFERROR(__xludf.DUMMYFUNCTION("""COMPUTED_VALUE"""),1.0)</f>
        <v>1</v>
      </c>
      <c r="O743" s="176"/>
      <c r="P743" s="166" t="s">
        <v>90</v>
      </c>
      <c r="Q743" s="166" t="s">
        <v>441</v>
      </c>
      <c r="R743" s="176"/>
      <c r="S743" s="176"/>
      <c r="T743" s="176"/>
      <c r="U743" s="176"/>
      <c r="V743" s="176"/>
      <c r="W743" s="176"/>
      <c r="X743" s="176"/>
      <c r="Y743" s="176"/>
      <c r="Z743" s="176"/>
      <c r="AA743" s="176"/>
    </row>
    <row r="744">
      <c r="A744" s="165" t="str">
        <f>iferror(VLOOKUP(P744,'DO NOT TOUCH Imported'!$A$1:$D$800,4,False),iferror(VLOOKUP(P744,'DO NOT TOUCH Imported'!$C$1:$D$800,2,False),"OOPS FIX ME"))</f>
        <v>baartch#5796</v>
      </c>
      <c r="B744" s="166" t="s">
        <v>441</v>
      </c>
      <c r="C744" s="167" t="s">
        <v>802</v>
      </c>
      <c r="D744" s="168" t="s">
        <v>437</v>
      </c>
      <c r="E744" s="169" t="s">
        <v>447</v>
      </c>
      <c r="F744" s="168" t="s">
        <v>439</v>
      </c>
      <c r="G744" s="170">
        <v>1000.0</v>
      </c>
      <c r="H744" s="171">
        <v>100.0</v>
      </c>
      <c r="I744" s="171">
        <v>100.0</v>
      </c>
      <c r="J744" s="172">
        <f t="shared" si="42"/>
        <v>0.000723394157</v>
      </c>
      <c r="K744" s="173">
        <f t="shared" si="43"/>
        <v>0.8680729884</v>
      </c>
      <c r="L744" s="174">
        <f t="shared" si="9"/>
        <v>3.778761331</v>
      </c>
      <c r="M744" s="175" t="str">
        <f t="shared" si="10"/>
        <v>baartch#5796</v>
      </c>
      <c r="N744" s="176">
        <f>IFERROR(__xludf.DUMMYFUNCTION("""COMPUTED_VALUE"""),2.0)</f>
        <v>2</v>
      </c>
      <c r="O744" s="176"/>
      <c r="P744" s="166" t="s">
        <v>90</v>
      </c>
      <c r="Q744" s="166" t="s">
        <v>441</v>
      </c>
      <c r="R744" s="176"/>
      <c r="S744" s="176"/>
      <c r="T744" s="176"/>
      <c r="U744" s="176"/>
      <c r="V744" s="176"/>
      <c r="W744" s="176"/>
      <c r="X744" s="176"/>
      <c r="Y744" s="176"/>
      <c r="Z744" s="176"/>
      <c r="AA744" s="176"/>
    </row>
    <row r="745">
      <c r="A745" s="165" t="str">
        <f>iferror(VLOOKUP(P745,'DO NOT TOUCH Imported'!$A$1:$D$800,4,False),iferror(VLOOKUP(P745,'DO NOT TOUCH Imported'!$C$1:$D$800,2,False),"OOPS FIX ME"))</f>
        <v>baartch#5796</v>
      </c>
      <c r="B745" s="166" t="s">
        <v>483</v>
      </c>
      <c r="C745" s="167" t="s">
        <v>612</v>
      </c>
      <c r="D745" s="168" t="s">
        <v>437</v>
      </c>
      <c r="E745" s="177" t="s">
        <v>455</v>
      </c>
      <c r="F745" s="168" t="s">
        <v>439</v>
      </c>
      <c r="G745" s="170">
        <v>1000.0</v>
      </c>
      <c r="H745" s="171">
        <v>100.0</v>
      </c>
      <c r="I745" s="171">
        <v>100.0</v>
      </c>
      <c r="J745" s="172">
        <f t="shared" si="42"/>
        <v>0.000723394157</v>
      </c>
      <c r="K745" s="173">
        <f t="shared" si="43"/>
        <v>0.8680729884</v>
      </c>
      <c r="L745" s="174">
        <f t="shared" si="9"/>
        <v>3.778761331</v>
      </c>
      <c r="M745" s="175" t="str">
        <f t="shared" si="10"/>
        <v>baartch#5796</v>
      </c>
      <c r="N745" s="176">
        <f>IFERROR(__xludf.DUMMYFUNCTION("""COMPUTED_VALUE"""),3.0)</f>
        <v>3</v>
      </c>
      <c r="O745" s="176"/>
      <c r="P745" s="166" t="s">
        <v>90</v>
      </c>
      <c r="Q745" s="166" t="s">
        <v>483</v>
      </c>
      <c r="R745" s="176"/>
      <c r="S745" s="176"/>
      <c r="T745" s="176"/>
      <c r="U745" s="176"/>
      <c r="V745" s="176"/>
      <c r="W745" s="176"/>
      <c r="X745" s="176"/>
      <c r="Y745" s="176"/>
      <c r="Z745" s="176"/>
      <c r="AA745" s="176"/>
    </row>
    <row r="746">
      <c r="A746" s="165" t="str">
        <f>iferror(VLOOKUP(P746,'DO NOT TOUCH Imported'!$A$1:$D$800,4,False),iferror(VLOOKUP(P746,'DO NOT TOUCH Imported'!$C$1:$D$800,2,False),"OOPS FIX ME"))</f>
        <v>baartch#5796</v>
      </c>
      <c r="B746" s="166" t="s">
        <v>441</v>
      </c>
      <c r="C746" s="167" t="s">
        <v>543</v>
      </c>
      <c r="D746" s="168" t="s">
        <v>437</v>
      </c>
      <c r="E746" s="177" t="s">
        <v>447</v>
      </c>
      <c r="F746" s="168" t="s">
        <v>439</v>
      </c>
      <c r="G746" s="170">
        <v>1000.0</v>
      </c>
      <c r="H746" s="171">
        <v>80.0</v>
      </c>
      <c r="I746" s="171">
        <v>100.0</v>
      </c>
      <c r="J746" s="172">
        <f t="shared" si="42"/>
        <v>0.0006595463701</v>
      </c>
      <c r="K746" s="173">
        <f t="shared" si="43"/>
        <v>0.7914556442</v>
      </c>
      <c r="L746" s="174">
        <f t="shared" si="9"/>
        <v>3.778761331</v>
      </c>
      <c r="M746" s="175" t="str">
        <f t="shared" si="10"/>
        <v>baartch#5796</v>
      </c>
      <c r="N746" s="176">
        <f>IFERROR(__xludf.DUMMYFUNCTION("""COMPUTED_VALUE"""),4.0)</f>
        <v>4</v>
      </c>
      <c r="O746" s="176"/>
      <c r="P746" s="166" t="s">
        <v>90</v>
      </c>
      <c r="Q746" s="166" t="s">
        <v>441</v>
      </c>
      <c r="R746" s="176"/>
      <c r="S746" s="176"/>
      <c r="T746" s="176"/>
      <c r="U746" s="176"/>
      <c r="V746" s="176"/>
      <c r="W746" s="176"/>
      <c r="X746" s="176"/>
      <c r="Y746" s="176"/>
      <c r="Z746" s="176"/>
      <c r="AA746" s="176"/>
    </row>
    <row r="747">
      <c r="A747" s="165" t="str">
        <f>iferror(VLOOKUP(P747,'DO NOT TOUCH Imported'!$A$1:$D$800,4,False),iferror(VLOOKUP(P747,'DO NOT TOUCH Imported'!$C$1:$D$800,2,False),"OOPS FIX ME"))</f>
        <v>geleeroyale</v>
      </c>
      <c r="B747" s="166" t="s">
        <v>441</v>
      </c>
      <c r="C747" s="167" t="s">
        <v>803</v>
      </c>
      <c r="D747" s="168" t="s">
        <v>437</v>
      </c>
      <c r="E747" s="177" t="s">
        <v>447</v>
      </c>
      <c r="F747" s="168" t="s">
        <v>439</v>
      </c>
      <c r="G747" s="170">
        <v>50000.0</v>
      </c>
      <c r="H747" s="171">
        <v>200.0</v>
      </c>
      <c r="I747" s="171">
        <v>100.0</v>
      </c>
      <c r="J747" s="172">
        <f t="shared" si="42"/>
        <v>0.0061579896</v>
      </c>
      <c r="K747" s="173">
        <f t="shared" si="43"/>
        <v>7.389587521</v>
      </c>
      <c r="L747" s="174">
        <f t="shared" si="9"/>
        <v>3.694587521</v>
      </c>
      <c r="M747" s="175" t="str">
        <f t="shared" si="10"/>
        <v>geleeroyale</v>
      </c>
      <c r="N747" s="176">
        <f>IFERROR(__xludf.DUMMYFUNCTION("""COMPUTED_VALUE"""),1.0)</f>
        <v>1</v>
      </c>
      <c r="O747" s="176"/>
      <c r="P747" s="166" t="s">
        <v>804</v>
      </c>
      <c r="Q747" s="166" t="s">
        <v>441</v>
      </c>
      <c r="R747" s="176"/>
      <c r="S747" s="176"/>
      <c r="T747" s="176"/>
      <c r="U747" s="176"/>
      <c r="V747" s="176"/>
      <c r="W747" s="176"/>
      <c r="X747" s="176"/>
      <c r="Y747" s="176"/>
      <c r="Z747" s="176"/>
      <c r="AA747" s="176"/>
    </row>
    <row r="748">
      <c r="A748" s="185" t="str">
        <f>iferror(VLOOKUP(P748,'DO NOT TOUCH Imported'!$A$1:$D$800,4,False),iferror(VLOOKUP(P748,'DO NOT TOUCH Imported'!$C$1:$D$800,2,False),"OOPS FIX ME"))</f>
        <v>geleeroyale</v>
      </c>
      <c r="B748" s="185" t="s">
        <v>534</v>
      </c>
      <c r="C748" s="186" t="s">
        <v>688</v>
      </c>
      <c r="D748" s="187"/>
      <c r="E748" s="188"/>
      <c r="F748" s="189"/>
      <c r="G748" s="190"/>
      <c r="H748" s="190"/>
      <c r="I748" s="190"/>
      <c r="J748" s="172">
        <f>(H748/$H$2+I748/$I$2)/2</f>
        <v>0</v>
      </c>
      <c r="K748" s="215">
        <f>0.5*-7.39</f>
        <v>-3.695</v>
      </c>
      <c r="L748" s="193">
        <f t="shared" si="9"/>
        <v>3.694587521</v>
      </c>
      <c r="M748" s="194" t="str">
        <f t="shared" si="10"/>
        <v>geleeroyale</v>
      </c>
      <c r="N748" s="195">
        <f>IFERROR(__xludf.DUMMYFUNCTION("""COMPUTED_VALUE"""),2.0)</f>
        <v>2</v>
      </c>
      <c r="O748" s="195"/>
      <c r="P748" s="185" t="s">
        <v>50</v>
      </c>
      <c r="Q748" s="185" t="s">
        <v>534</v>
      </c>
      <c r="R748" s="195">
        <v>18.802169413641863</v>
      </c>
      <c r="S748" s="195"/>
      <c r="T748" s="195"/>
      <c r="U748" s="195"/>
      <c r="V748" s="195"/>
      <c r="W748" s="195"/>
      <c r="X748" s="195"/>
      <c r="Y748" s="195"/>
      <c r="Z748" s="195"/>
      <c r="AA748" s="176"/>
    </row>
    <row r="749">
      <c r="A749" s="165" t="str">
        <f>iferror(VLOOKUP(P749,'DO NOT TOUCH Imported'!$A$1:$D$800,4,False),iferror(VLOOKUP(P749,'DO NOT TOUCH Imported'!$C$1:$D$800,2,False),"OOPS FIX ME"))</f>
        <v>JamesSimbouras</v>
      </c>
      <c r="B749" s="178" t="s">
        <v>590</v>
      </c>
      <c r="C749" s="179" t="s">
        <v>591</v>
      </c>
      <c r="D749" s="180" t="s">
        <v>495</v>
      </c>
      <c r="E749" s="181">
        <v>44321.0</v>
      </c>
      <c r="F749" s="182" t="s">
        <v>592</v>
      </c>
      <c r="G749" s="170">
        <v>2500.0</v>
      </c>
      <c r="H749" s="171">
        <v>200.0</v>
      </c>
      <c r="I749" s="171">
        <v>100.0</v>
      </c>
      <c r="J749" s="172">
        <f t="shared" ref="J749:J768" si="44">(G749/$G$2+H749/$H$2+I749/$I$2)/3</f>
        <v>0.001199225638</v>
      </c>
      <c r="K749" s="173">
        <f t="shared" ref="K749:K751" si="45">J749*$J$1</f>
        <v>1.439070765</v>
      </c>
      <c r="L749" s="174">
        <f t="shared" si="9"/>
        <v>3.558303463</v>
      </c>
      <c r="M749" s="175" t="str">
        <f t="shared" si="10"/>
        <v>JamesSimbouras</v>
      </c>
      <c r="N749" s="176">
        <f>IFERROR(__xludf.DUMMYFUNCTION("""COMPUTED_VALUE"""),1.0)</f>
        <v>1</v>
      </c>
      <c r="O749" s="176"/>
      <c r="P749" s="183" t="s">
        <v>106</v>
      </c>
      <c r="Q749" s="178" t="s">
        <v>590</v>
      </c>
      <c r="R749" s="176"/>
      <c r="S749" s="176"/>
      <c r="T749" s="176"/>
      <c r="U749" s="176"/>
      <c r="V749" s="176"/>
      <c r="W749" s="176"/>
      <c r="X749" s="176"/>
      <c r="Y749" s="176"/>
      <c r="Z749" s="176"/>
      <c r="AA749" s="176"/>
    </row>
    <row r="750">
      <c r="A750" s="165" t="str">
        <f>iferror(VLOOKUP(P750,'DO NOT TOUCH Imported'!$A$1:$D$800,4,False),iferror(VLOOKUP(P750,'DO NOT TOUCH Imported'!$C$1:$D$800,2,False),"OOPS FIX ME"))</f>
        <v>JamesSimbouras</v>
      </c>
      <c r="B750" s="166" t="s">
        <v>564</v>
      </c>
      <c r="C750" s="167" t="s">
        <v>805</v>
      </c>
      <c r="D750" s="168" t="s">
        <v>499</v>
      </c>
      <c r="E750" s="177" t="s">
        <v>452</v>
      </c>
      <c r="F750" s="168" t="s">
        <v>503</v>
      </c>
      <c r="G750" s="170">
        <v>1000.0</v>
      </c>
      <c r="H750" s="171">
        <v>200.0</v>
      </c>
      <c r="I750" s="171">
        <v>100.0</v>
      </c>
      <c r="J750" s="172">
        <f t="shared" si="44"/>
        <v>0.001042633091</v>
      </c>
      <c r="K750" s="173">
        <f t="shared" si="45"/>
        <v>1.25115971</v>
      </c>
      <c r="L750" s="174">
        <f t="shared" si="9"/>
        <v>3.558303463</v>
      </c>
      <c r="M750" s="175" t="str">
        <f t="shared" si="10"/>
        <v>JamesSimbouras</v>
      </c>
      <c r="N750" s="176">
        <f>IFERROR(__xludf.DUMMYFUNCTION("""COMPUTED_VALUE"""),2.0)</f>
        <v>2</v>
      </c>
      <c r="O750" s="176"/>
      <c r="P750" s="166" t="s">
        <v>806</v>
      </c>
      <c r="Q750" s="166" t="s">
        <v>564</v>
      </c>
      <c r="R750" s="176"/>
      <c r="S750" s="176"/>
      <c r="T750" s="176"/>
      <c r="U750" s="176"/>
      <c r="V750" s="176"/>
      <c r="W750" s="176"/>
      <c r="X750" s="176"/>
      <c r="Y750" s="176"/>
      <c r="Z750" s="176"/>
      <c r="AA750" s="176"/>
    </row>
    <row r="751">
      <c r="A751" s="165" t="str">
        <f>iferror(VLOOKUP(P751,'DO NOT TOUCH Imported'!$A$1:$D$800,4,False),iferror(VLOOKUP(P751,'DO NOT TOUCH Imported'!$C$1:$D$800,2,False),"OOPS FIX ME"))</f>
        <v>JamesSimbouras</v>
      </c>
      <c r="B751" s="166" t="s">
        <v>566</v>
      </c>
      <c r="C751" s="167" t="s">
        <v>807</v>
      </c>
      <c r="D751" s="168" t="s">
        <v>499</v>
      </c>
      <c r="E751" s="177" t="s">
        <v>452</v>
      </c>
      <c r="F751" s="168" t="s">
        <v>503</v>
      </c>
      <c r="G751" s="170">
        <v>1000.0</v>
      </c>
      <c r="H751" s="171">
        <v>100.0</v>
      </c>
      <c r="I751" s="171">
        <v>100.0</v>
      </c>
      <c r="J751" s="172">
        <f t="shared" si="44"/>
        <v>0.000723394157</v>
      </c>
      <c r="K751" s="173">
        <f t="shared" si="45"/>
        <v>0.8680729884</v>
      </c>
      <c r="L751" s="174">
        <f t="shared" si="9"/>
        <v>3.558303463</v>
      </c>
      <c r="M751" s="175" t="str">
        <f t="shared" si="10"/>
        <v>JamesSimbouras</v>
      </c>
      <c r="N751" s="176">
        <f>IFERROR(__xludf.DUMMYFUNCTION("""COMPUTED_VALUE"""),3.0)</f>
        <v>3</v>
      </c>
      <c r="O751" s="176"/>
      <c r="P751" s="166" t="s">
        <v>806</v>
      </c>
      <c r="Q751" s="166" t="s">
        <v>566</v>
      </c>
      <c r="R751" s="176"/>
      <c r="S751" s="176"/>
      <c r="T751" s="176"/>
      <c r="U751" s="176"/>
      <c r="V751" s="176"/>
      <c r="W751" s="176"/>
      <c r="X751" s="176"/>
      <c r="Y751" s="176"/>
      <c r="Z751" s="176"/>
      <c r="AA751" s="176"/>
    </row>
    <row r="752">
      <c r="A752" s="183" t="s">
        <v>33</v>
      </c>
      <c r="B752" s="178" t="s">
        <v>10</v>
      </c>
      <c r="C752" s="179" t="s">
        <v>498</v>
      </c>
      <c r="D752" s="180" t="s">
        <v>495</v>
      </c>
      <c r="E752" s="181">
        <v>44323.0</v>
      </c>
      <c r="F752" s="182" t="s">
        <v>499</v>
      </c>
      <c r="G752" s="170"/>
      <c r="H752" s="171"/>
      <c r="I752" s="171"/>
      <c r="J752" s="172">
        <f t="shared" si="44"/>
        <v>0</v>
      </c>
      <c r="K752" s="218">
        <v>1.3544018058690745</v>
      </c>
      <c r="L752" s="174">
        <f t="shared" si="9"/>
        <v>3.4535807</v>
      </c>
      <c r="M752" s="175" t="str">
        <f t="shared" si="10"/>
        <v>vegayp</v>
      </c>
      <c r="N752" s="176">
        <f>IFERROR(__xludf.DUMMYFUNCTION("""COMPUTED_VALUE"""),1.0)</f>
        <v>1</v>
      </c>
      <c r="O752" s="176"/>
      <c r="P752" s="165" t="s">
        <v>3</v>
      </c>
      <c r="Q752" s="165" t="s">
        <v>10</v>
      </c>
      <c r="R752" s="176"/>
      <c r="S752" s="176"/>
      <c r="T752" s="176"/>
      <c r="U752" s="176"/>
      <c r="V752" s="176"/>
      <c r="W752" s="176"/>
      <c r="X752" s="176"/>
      <c r="Y752" s="176"/>
      <c r="Z752" s="176"/>
      <c r="AA752" s="176"/>
    </row>
    <row r="753">
      <c r="A753" s="183" t="s">
        <v>33</v>
      </c>
      <c r="B753" s="178" t="s">
        <v>10</v>
      </c>
      <c r="C753" s="179" t="s">
        <v>500</v>
      </c>
      <c r="D753" s="180" t="s">
        <v>495</v>
      </c>
      <c r="E753" s="181">
        <v>44324.0</v>
      </c>
      <c r="F753" s="182" t="s">
        <v>496</v>
      </c>
      <c r="G753" s="170"/>
      <c r="H753" s="171"/>
      <c r="I753" s="171"/>
      <c r="J753" s="172">
        <f t="shared" si="44"/>
        <v>0</v>
      </c>
      <c r="K753" s="218">
        <v>1.3544018058690745</v>
      </c>
      <c r="L753" s="174">
        <f t="shared" si="9"/>
        <v>3.4535807</v>
      </c>
      <c r="M753" s="175" t="str">
        <f t="shared" si="10"/>
        <v>vegayp</v>
      </c>
      <c r="N753" s="176">
        <f>IFERROR(__xludf.DUMMYFUNCTION("""COMPUTED_VALUE"""),2.0)</f>
        <v>2</v>
      </c>
      <c r="O753" s="176"/>
      <c r="P753" s="165" t="s">
        <v>576</v>
      </c>
      <c r="Q753" s="165" t="s">
        <v>486</v>
      </c>
      <c r="R753" s="176"/>
      <c r="S753" s="176"/>
      <c r="T753" s="176"/>
      <c r="U753" s="176"/>
      <c r="V753" s="176"/>
      <c r="W753" s="176"/>
      <c r="X753" s="176"/>
      <c r="Y753" s="176"/>
      <c r="Z753" s="176"/>
      <c r="AA753" s="176"/>
    </row>
    <row r="754">
      <c r="A754" s="183" t="s">
        <v>33</v>
      </c>
      <c r="B754" s="178" t="s">
        <v>10</v>
      </c>
      <c r="C754" s="179" t="s">
        <v>498</v>
      </c>
      <c r="D754" s="180" t="s">
        <v>495</v>
      </c>
      <c r="E754" s="184">
        <v>44316.0</v>
      </c>
      <c r="F754" s="182" t="s">
        <v>499</v>
      </c>
      <c r="G754" s="219"/>
      <c r="H754" s="171"/>
      <c r="I754" s="171"/>
      <c r="J754" s="172">
        <f t="shared" si="44"/>
        <v>0</v>
      </c>
      <c r="K754" s="218">
        <v>1.3544018058690745</v>
      </c>
      <c r="L754" s="174">
        <f t="shared" si="9"/>
        <v>3.4535807</v>
      </c>
      <c r="M754" s="175" t="str">
        <f t="shared" si="10"/>
        <v>vegayp</v>
      </c>
      <c r="N754" s="176">
        <f>IFERROR(__xludf.DUMMYFUNCTION("""COMPUTED_VALUE"""),3.0)</f>
        <v>3</v>
      </c>
      <c r="O754" s="176"/>
      <c r="P754" s="165" t="s">
        <v>10</v>
      </c>
      <c r="Q754" s="165" t="s">
        <v>519</v>
      </c>
      <c r="R754" s="176"/>
      <c r="S754" s="176"/>
      <c r="T754" s="176"/>
      <c r="U754" s="176"/>
      <c r="V754" s="176"/>
      <c r="W754" s="176"/>
      <c r="X754" s="176"/>
      <c r="Y754" s="176"/>
      <c r="Z754" s="176"/>
      <c r="AA754" s="176"/>
    </row>
    <row r="755">
      <c r="A755" s="165" t="str">
        <f>iferror(VLOOKUP(P755,'DO NOT TOUCH Imported'!$A$1:$D$800,4,False),iferror(VLOOKUP(P755,'DO NOT TOUCH Imported'!$C$1:$D$800,2,False),"OOPS FIX ME"))</f>
        <v>vegayp</v>
      </c>
      <c r="B755" s="166" t="s">
        <v>492</v>
      </c>
      <c r="C755" s="167" t="s">
        <v>493</v>
      </c>
      <c r="D755" s="168" t="s">
        <v>437</v>
      </c>
      <c r="E755" s="177" t="s">
        <v>445</v>
      </c>
      <c r="F755" s="168" t="s">
        <v>439</v>
      </c>
      <c r="G755" s="170"/>
      <c r="H755" s="171"/>
      <c r="I755" s="171"/>
      <c r="J755" s="172">
        <f t="shared" si="44"/>
        <v>0</v>
      </c>
      <c r="K755" s="218">
        <v>1.3544018058690745</v>
      </c>
      <c r="L755" s="174">
        <f t="shared" si="9"/>
        <v>3.4535807</v>
      </c>
      <c r="M755" s="175" t="str">
        <f t="shared" si="10"/>
        <v>vegayp</v>
      </c>
      <c r="N755" s="176">
        <f>IFERROR(__xludf.DUMMYFUNCTION("""COMPUTED_VALUE"""),4.0)</f>
        <v>4</v>
      </c>
      <c r="O755" s="176"/>
      <c r="P755" s="166" t="s">
        <v>492</v>
      </c>
      <c r="Q755" s="166" t="s">
        <v>492</v>
      </c>
      <c r="R755" s="176"/>
      <c r="S755" s="176"/>
      <c r="T755" s="176"/>
      <c r="U755" s="176"/>
      <c r="V755" s="176"/>
      <c r="W755" s="176"/>
      <c r="X755" s="176"/>
      <c r="Y755" s="176"/>
      <c r="Z755" s="176"/>
      <c r="AA755" s="176"/>
    </row>
    <row r="756">
      <c r="A756" s="165" t="str">
        <f>iferror(VLOOKUP(P756,'DO NOT TOUCH Imported'!$A$1:$D$800,4,False),iferror(VLOOKUP(P756,'DO NOT TOUCH Imported'!$C$1:$D$800,2,False),"OOPS FIX ME"))</f>
        <v>vegayp</v>
      </c>
      <c r="B756" s="166" t="s">
        <v>435</v>
      </c>
      <c r="C756" s="167" t="s">
        <v>465</v>
      </c>
      <c r="D756" s="168" t="s">
        <v>437</v>
      </c>
      <c r="E756" s="177" t="s">
        <v>445</v>
      </c>
      <c r="F756" s="168" t="s">
        <v>439</v>
      </c>
      <c r="G756" s="170"/>
      <c r="H756" s="171"/>
      <c r="I756" s="171"/>
      <c r="J756" s="172">
        <f t="shared" si="44"/>
        <v>0</v>
      </c>
      <c r="K756" s="218">
        <v>1.3544018058690745</v>
      </c>
      <c r="L756" s="174">
        <f t="shared" si="9"/>
        <v>3.4535807</v>
      </c>
      <c r="M756" s="175" t="str">
        <f t="shared" si="10"/>
        <v>vegayp</v>
      </c>
      <c r="N756" s="176">
        <f>IFERROR(__xludf.DUMMYFUNCTION("""COMPUTED_VALUE"""),5.0)</f>
        <v>5</v>
      </c>
      <c r="O756" s="176"/>
      <c r="P756" s="166" t="s">
        <v>492</v>
      </c>
      <c r="Q756" s="166" t="s">
        <v>435</v>
      </c>
      <c r="R756" s="176"/>
      <c r="S756" s="176"/>
      <c r="T756" s="176"/>
      <c r="U756" s="176"/>
      <c r="V756" s="176"/>
      <c r="W756" s="176"/>
      <c r="X756" s="176"/>
      <c r="Y756" s="176"/>
      <c r="Z756" s="176"/>
      <c r="AA756" s="176"/>
    </row>
    <row r="757">
      <c r="A757" s="165" t="str">
        <f>iferror(VLOOKUP(P757,'DO NOT TOUCH Imported'!$A$1:$D$800,4,False),iferror(VLOOKUP(P757,'DO NOT TOUCH Imported'!$C$1:$D$800,2,False),"OOPS FIX ME"))</f>
        <v>vegayp</v>
      </c>
      <c r="B757" s="166" t="s">
        <v>441</v>
      </c>
      <c r="C757" s="167" t="s">
        <v>579</v>
      </c>
      <c r="D757" s="168" t="s">
        <v>437</v>
      </c>
      <c r="E757" s="169" t="s">
        <v>447</v>
      </c>
      <c r="F757" s="168" t="s">
        <v>439</v>
      </c>
      <c r="G757" s="170"/>
      <c r="H757" s="171"/>
      <c r="I757" s="171"/>
      <c r="J757" s="172">
        <f t="shared" si="44"/>
        <v>0</v>
      </c>
      <c r="K757" s="218">
        <v>1.3544018058690745</v>
      </c>
      <c r="L757" s="174">
        <f t="shared" si="9"/>
        <v>3.4535807</v>
      </c>
      <c r="M757" s="175" t="str">
        <f t="shared" si="10"/>
        <v>vegayp</v>
      </c>
      <c r="N757" s="176">
        <f>IFERROR(__xludf.DUMMYFUNCTION("""COMPUTED_VALUE"""),6.0)</f>
        <v>6</v>
      </c>
      <c r="O757" s="176"/>
      <c r="P757" s="166" t="s">
        <v>492</v>
      </c>
      <c r="Q757" s="166" t="s">
        <v>441</v>
      </c>
      <c r="R757" s="176"/>
      <c r="S757" s="176"/>
      <c r="T757" s="176"/>
      <c r="U757" s="176"/>
      <c r="V757" s="176"/>
      <c r="W757" s="176"/>
      <c r="X757" s="176"/>
      <c r="Y757" s="176"/>
      <c r="Z757" s="176"/>
      <c r="AA757" s="176"/>
    </row>
    <row r="758">
      <c r="A758" s="165" t="str">
        <f>iferror(VLOOKUP(P758,'DO NOT TOUCH Imported'!$A$1:$D$800,4,False),iferror(VLOOKUP(P758,'DO NOT TOUCH Imported'!$C$1:$D$800,2,False),"OOPS FIX ME"))</f>
        <v>vegayp</v>
      </c>
      <c r="B758" s="166" t="s">
        <v>441</v>
      </c>
      <c r="C758" s="167" t="s">
        <v>543</v>
      </c>
      <c r="D758" s="168" t="s">
        <v>437</v>
      </c>
      <c r="E758" s="177" t="s">
        <v>447</v>
      </c>
      <c r="F758" s="168" t="s">
        <v>439</v>
      </c>
      <c r="G758" s="170"/>
      <c r="H758" s="171"/>
      <c r="I758" s="171"/>
      <c r="J758" s="172">
        <f t="shared" si="44"/>
        <v>0</v>
      </c>
      <c r="K758" s="218">
        <v>1.3544018058690745</v>
      </c>
      <c r="L758" s="174">
        <f t="shared" si="9"/>
        <v>3.4535807</v>
      </c>
      <c r="M758" s="175" t="str">
        <f t="shared" si="10"/>
        <v>vegayp</v>
      </c>
      <c r="N758" s="176">
        <f>IFERROR(__xludf.DUMMYFUNCTION("""COMPUTED_VALUE"""),7.0)</f>
        <v>7</v>
      </c>
      <c r="O758" s="176"/>
      <c r="P758" s="166" t="s">
        <v>492</v>
      </c>
      <c r="Q758" s="166" t="s">
        <v>441</v>
      </c>
      <c r="R758" s="176"/>
      <c r="S758" s="176"/>
      <c r="T758" s="176"/>
      <c r="U758" s="176"/>
      <c r="V758" s="176"/>
      <c r="W758" s="176"/>
      <c r="X758" s="176"/>
      <c r="Y758" s="176"/>
      <c r="Z758" s="176"/>
      <c r="AA758" s="176"/>
    </row>
    <row r="759">
      <c r="A759" s="165" t="str">
        <f>iferror(VLOOKUP(P759,'DO NOT TOUCH Imported'!$A$1:$D$800,4,False),iferror(VLOOKUP(P759,'DO NOT TOUCH Imported'!$C$1:$D$800,2,False),"OOPS FIX ME"))</f>
        <v>vegayp</v>
      </c>
      <c r="B759" s="166" t="s">
        <v>440</v>
      </c>
      <c r="C759" s="167" t="s">
        <v>471</v>
      </c>
      <c r="D759" s="168" t="s">
        <v>437</v>
      </c>
      <c r="E759" s="169" t="s">
        <v>447</v>
      </c>
      <c r="F759" s="168" t="s">
        <v>439</v>
      </c>
      <c r="G759" s="170"/>
      <c r="H759" s="171"/>
      <c r="I759" s="171"/>
      <c r="J759" s="172">
        <f t="shared" si="44"/>
        <v>0</v>
      </c>
      <c r="K759" s="218">
        <v>1.3544018058690745</v>
      </c>
      <c r="L759" s="174">
        <f t="shared" si="9"/>
        <v>3.4535807</v>
      </c>
      <c r="M759" s="175" t="str">
        <f t="shared" si="10"/>
        <v>vegayp</v>
      </c>
      <c r="N759" s="176">
        <f>IFERROR(__xludf.DUMMYFUNCTION("""COMPUTED_VALUE"""),8.0)</f>
        <v>8</v>
      </c>
      <c r="O759" s="176"/>
      <c r="P759" s="166" t="s">
        <v>492</v>
      </c>
      <c r="Q759" s="166" t="s">
        <v>440</v>
      </c>
      <c r="R759" s="176"/>
      <c r="S759" s="176"/>
      <c r="T759" s="176"/>
      <c r="U759" s="176"/>
      <c r="V759" s="176"/>
      <c r="W759" s="176"/>
      <c r="X759" s="176"/>
      <c r="Y759" s="176"/>
      <c r="Z759" s="176"/>
      <c r="AA759" s="176"/>
    </row>
    <row r="760">
      <c r="A760" s="165" t="str">
        <f>iferror(VLOOKUP(P760,'DO NOT TOUCH Imported'!$A$1:$D$800,4,False),iferror(VLOOKUP(P760,'DO NOT TOUCH Imported'!$C$1:$D$800,2,False),"OOPS FIX ME"))</f>
        <v>vegayp</v>
      </c>
      <c r="B760" s="166" t="s">
        <v>483</v>
      </c>
      <c r="C760" s="167" t="s">
        <v>484</v>
      </c>
      <c r="D760" s="168" t="s">
        <v>437</v>
      </c>
      <c r="E760" s="169" t="s">
        <v>478</v>
      </c>
      <c r="F760" s="168" t="s">
        <v>439</v>
      </c>
      <c r="G760" s="170"/>
      <c r="H760" s="171"/>
      <c r="I760" s="171"/>
      <c r="J760" s="172">
        <f t="shared" si="44"/>
        <v>0</v>
      </c>
      <c r="K760" s="218">
        <v>1.3544018058690745</v>
      </c>
      <c r="L760" s="174">
        <f t="shared" si="9"/>
        <v>3.4535807</v>
      </c>
      <c r="M760" s="175" t="str">
        <f t="shared" si="10"/>
        <v>vegayp</v>
      </c>
      <c r="N760" s="176">
        <f>IFERROR(__xludf.DUMMYFUNCTION("""COMPUTED_VALUE"""),9.0)</f>
        <v>9</v>
      </c>
      <c r="O760" s="176"/>
      <c r="P760" s="166" t="s">
        <v>492</v>
      </c>
      <c r="Q760" s="166" t="s">
        <v>483</v>
      </c>
      <c r="R760" s="176"/>
      <c r="S760" s="176"/>
      <c r="T760" s="176"/>
      <c r="U760" s="176"/>
      <c r="V760" s="176"/>
      <c r="W760" s="176"/>
      <c r="X760" s="176"/>
      <c r="Y760" s="176"/>
      <c r="Z760" s="176"/>
      <c r="AA760" s="176"/>
    </row>
    <row r="761">
      <c r="A761" s="165" t="str">
        <f>iferror(VLOOKUP(P761,'DO NOT TOUCH Imported'!$A$1:$D$800,4,False),iferror(VLOOKUP(P761,'DO NOT TOUCH Imported'!$C$1:$D$800,2,False),"OOPS FIX ME"))</f>
        <v>vegayp</v>
      </c>
      <c r="B761" s="166" t="s">
        <v>490</v>
      </c>
      <c r="C761" s="167" t="s">
        <v>582</v>
      </c>
      <c r="D761" s="168" t="s">
        <v>437</v>
      </c>
      <c r="E761" s="169" t="s">
        <v>506</v>
      </c>
      <c r="F761" s="168" t="s">
        <v>439</v>
      </c>
      <c r="G761" s="170"/>
      <c r="H761" s="171"/>
      <c r="I761" s="171"/>
      <c r="J761" s="172">
        <f t="shared" si="44"/>
        <v>0</v>
      </c>
      <c r="K761" s="218">
        <v>1.3544018058690745</v>
      </c>
      <c r="L761" s="174">
        <f t="shared" si="9"/>
        <v>3.4535807</v>
      </c>
      <c r="M761" s="175" t="str">
        <f t="shared" si="10"/>
        <v>vegayp</v>
      </c>
      <c r="N761" s="176">
        <f>IFERROR(__xludf.DUMMYFUNCTION("""COMPUTED_VALUE"""),10.0)</f>
        <v>10</v>
      </c>
      <c r="O761" s="176"/>
      <c r="P761" s="166" t="s">
        <v>492</v>
      </c>
      <c r="Q761" s="166" t="s">
        <v>490</v>
      </c>
      <c r="R761" s="176"/>
      <c r="S761" s="176"/>
      <c r="T761" s="176"/>
      <c r="U761" s="176"/>
      <c r="V761" s="176"/>
      <c r="W761" s="176"/>
      <c r="X761" s="176"/>
      <c r="Y761" s="176"/>
      <c r="Z761" s="176"/>
      <c r="AA761" s="176"/>
    </row>
    <row r="762">
      <c r="A762" s="165" t="str">
        <f>iferror(VLOOKUP(P762,'DO NOT TOUCH Imported'!$A$1:$D$800,4,False),iferror(VLOOKUP(P762,'DO NOT TOUCH Imported'!$C$1:$D$800,2,False),"OOPS FIX ME"))</f>
        <v>vegayp</v>
      </c>
      <c r="B762" s="166" t="s">
        <v>435</v>
      </c>
      <c r="C762" s="167" t="s">
        <v>479</v>
      </c>
      <c r="D762" s="168" t="s">
        <v>437</v>
      </c>
      <c r="E762" s="169" t="s">
        <v>455</v>
      </c>
      <c r="F762" s="168" t="s">
        <v>439</v>
      </c>
      <c r="G762" s="170"/>
      <c r="H762" s="171"/>
      <c r="I762" s="171"/>
      <c r="J762" s="172">
        <f t="shared" si="44"/>
        <v>0</v>
      </c>
      <c r="K762" s="218">
        <v>1.3544018058690745</v>
      </c>
      <c r="L762" s="174">
        <f t="shared" si="9"/>
        <v>3.4535807</v>
      </c>
      <c r="M762" s="175" t="str">
        <f t="shared" si="10"/>
        <v>vegayp</v>
      </c>
      <c r="N762" s="176">
        <f>IFERROR(__xludf.DUMMYFUNCTION("""COMPUTED_VALUE"""),11.0)</f>
        <v>11</v>
      </c>
      <c r="O762" s="176"/>
      <c r="P762" s="166" t="s">
        <v>492</v>
      </c>
      <c r="Q762" s="166" t="s">
        <v>435</v>
      </c>
      <c r="R762" s="176"/>
      <c r="S762" s="176"/>
      <c r="T762" s="176"/>
      <c r="U762" s="176"/>
      <c r="V762" s="176"/>
      <c r="W762" s="176"/>
      <c r="X762" s="176"/>
      <c r="Y762" s="176"/>
      <c r="Z762" s="176"/>
      <c r="AA762" s="176"/>
    </row>
    <row r="763">
      <c r="A763" s="165" t="str">
        <f>iferror(VLOOKUP(P763,'DO NOT TOUCH Imported'!$A$1:$D$800,4,False),iferror(VLOOKUP(P763,'DO NOT TOUCH Imported'!$C$1:$D$800,2,False),"OOPS FIX ME"))</f>
        <v>vegayp</v>
      </c>
      <c r="B763" s="166" t="s">
        <v>530</v>
      </c>
      <c r="C763" s="167" t="s">
        <v>808</v>
      </c>
      <c r="D763" s="168" t="s">
        <v>499</v>
      </c>
      <c r="E763" s="177" t="s">
        <v>455</v>
      </c>
      <c r="F763" s="168" t="s">
        <v>503</v>
      </c>
      <c r="G763" s="170"/>
      <c r="H763" s="171"/>
      <c r="I763" s="171"/>
      <c r="J763" s="172">
        <f t="shared" si="44"/>
        <v>0</v>
      </c>
      <c r="K763" s="218">
        <v>1.3544018058690745</v>
      </c>
      <c r="L763" s="174">
        <f t="shared" si="9"/>
        <v>3.4535807</v>
      </c>
      <c r="M763" s="175" t="str">
        <f t="shared" si="10"/>
        <v>vegayp</v>
      </c>
      <c r="N763" s="176">
        <f>IFERROR(__xludf.DUMMYFUNCTION("""COMPUTED_VALUE"""),12.0)</f>
        <v>12</v>
      </c>
      <c r="O763" s="176"/>
      <c r="P763" s="166" t="s">
        <v>492</v>
      </c>
      <c r="Q763" s="166" t="s">
        <v>530</v>
      </c>
      <c r="R763" s="176"/>
      <c r="S763" s="176"/>
      <c r="T763" s="176"/>
      <c r="U763" s="176"/>
      <c r="V763" s="176"/>
      <c r="W763" s="176"/>
      <c r="X763" s="176"/>
      <c r="Y763" s="176"/>
      <c r="Z763" s="176"/>
      <c r="AA763" s="176"/>
    </row>
    <row r="764">
      <c r="A764" s="165" t="str">
        <f>iferror(VLOOKUP(P764,'DO NOT TOUCH Imported'!$A$1:$D$800,4,False),iferror(VLOOKUP(P764,'DO NOT TOUCH Imported'!$C$1:$D$800,2,False),"OOPS FIX ME"))</f>
        <v>vegayp</v>
      </c>
      <c r="B764" s="166" t="s">
        <v>441</v>
      </c>
      <c r="C764" s="167" t="s">
        <v>779</v>
      </c>
      <c r="D764" s="168" t="s">
        <v>437</v>
      </c>
      <c r="E764" s="177" t="s">
        <v>438</v>
      </c>
      <c r="F764" s="168" t="s">
        <v>439</v>
      </c>
      <c r="G764" s="170"/>
      <c r="H764" s="171"/>
      <c r="I764" s="171"/>
      <c r="J764" s="172">
        <f t="shared" si="44"/>
        <v>0</v>
      </c>
      <c r="K764" s="218">
        <v>1.3544018058690745</v>
      </c>
      <c r="L764" s="174">
        <f t="shared" si="9"/>
        <v>3.4535807</v>
      </c>
      <c r="M764" s="175" t="str">
        <f t="shared" si="10"/>
        <v>vegayp</v>
      </c>
      <c r="N764" s="176">
        <f>IFERROR(__xludf.DUMMYFUNCTION("""COMPUTED_VALUE"""),13.0)</f>
        <v>13</v>
      </c>
      <c r="O764" s="176"/>
      <c r="P764" s="166" t="s">
        <v>492</v>
      </c>
      <c r="Q764" s="166" t="s">
        <v>441</v>
      </c>
      <c r="R764" s="176"/>
      <c r="S764" s="176"/>
      <c r="T764" s="176"/>
      <c r="U764" s="176"/>
      <c r="V764" s="176"/>
      <c r="W764" s="176"/>
      <c r="X764" s="176"/>
      <c r="Y764" s="176"/>
      <c r="Z764" s="176"/>
      <c r="AA764" s="176"/>
    </row>
    <row r="765">
      <c r="A765" s="165" t="str">
        <f>iferror(VLOOKUP(P765,'DO NOT TOUCH Imported'!$A$1:$D$800,4,False),iferror(VLOOKUP(P765,'DO NOT TOUCH Imported'!$C$1:$D$800,2,False),"OOPS FIX ME"))</f>
        <v>vegayp</v>
      </c>
      <c r="B765" s="166" t="s">
        <v>441</v>
      </c>
      <c r="C765" s="167" t="s">
        <v>475</v>
      </c>
      <c r="D765" s="168" t="s">
        <v>437</v>
      </c>
      <c r="E765" s="177" t="s">
        <v>438</v>
      </c>
      <c r="F765" s="168" t="s">
        <v>439</v>
      </c>
      <c r="G765" s="170"/>
      <c r="H765" s="171"/>
      <c r="I765" s="171"/>
      <c r="J765" s="172">
        <f t="shared" si="44"/>
        <v>0</v>
      </c>
      <c r="K765" s="218">
        <v>1.3544018058690745</v>
      </c>
      <c r="L765" s="174">
        <f t="shared" si="9"/>
        <v>3.4535807</v>
      </c>
      <c r="M765" s="175" t="str">
        <f t="shared" si="10"/>
        <v>vegayp</v>
      </c>
      <c r="N765" s="176">
        <f>IFERROR(__xludf.DUMMYFUNCTION("""COMPUTED_VALUE"""),14.0)</f>
        <v>14</v>
      </c>
      <c r="O765" s="176"/>
      <c r="P765" s="166" t="s">
        <v>492</v>
      </c>
      <c r="Q765" s="166" t="s">
        <v>441</v>
      </c>
      <c r="R765" s="176"/>
      <c r="S765" s="176"/>
      <c r="T765" s="176"/>
      <c r="U765" s="176"/>
      <c r="V765" s="176"/>
      <c r="W765" s="176"/>
      <c r="X765" s="176"/>
      <c r="Y765" s="176"/>
      <c r="Z765" s="176"/>
      <c r="AA765" s="176"/>
    </row>
    <row r="766">
      <c r="A766" s="165" t="str">
        <f>iferror(VLOOKUP(P766,'DO NOT TOUCH Imported'!$A$1:$D$800,4,False),iferror(VLOOKUP(P766,'DO NOT TOUCH Imported'!$C$1:$D$800,2,False),"OOPS FIX ME"))</f>
        <v>vegayp</v>
      </c>
      <c r="B766" s="166" t="s">
        <v>441</v>
      </c>
      <c r="C766" s="167" t="s">
        <v>809</v>
      </c>
      <c r="D766" s="168" t="s">
        <v>437</v>
      </c>
      <c r="E766" s="169" t="s">
        <v>438</v>
      </c>
      <c r="F766" s="168" t="s">
        <v>439</v>
      </c>
      <c r="G766" s="170"/>
      <c r="H766" s="171"/>
      <c r="I766" s="171"/>
      <c r="J766" s="172">
        <f t="shared" si="44"/>
        <v>0</v>
      </c>
      <c r="K766" s="218">
        <v>1.3544018058690745</v>
      </c>
      <c r="L766" s="174">
        <f t="shared" si="9"/>
        <v>3.4535807</v>
      </c>
      <c r="M766" s="175" t="str">
        <f t="shared" si="10"/>
        <v>vegayp</v>
      </c>
      <c r="N766" s="176">
        <f>IFERROR(__xludf.DUMMYFUNCTION("""COMPUTED_VALUE"""),15.0)</f>
        <v>15</v>
      </c>
      <c r="O766" s="176"/>
      <c r="P766" s="166" t="s">
        <v>492</v>
      </c>
      <c r="Q766" s="166" t="s">
        <v>441</v>
      </c>
      <c r="R766" s="176"/>
      <c r="S766" s="176"/>
      <c r="T766" s="176"/>
      <c r="U766" s="176"/>
      <c r="V766" s="176"/>
      <c r="W766" s="176"/>
      <c r="X766" s="176"/>
      <c r="Y766" s="176"/>
      <c r="Z766" s="176"/>
      <c r="AA766" s="176"/>
    </row>
    <row r="767">
      <c r="A767" s="165" t="str">
        <f>iferror(VLOOKUP(P767,'DO NOT TOUCH Imported'!$A$1:$D$800,4,False),iferror(VLOOKUP(P767,'DO NOT TOUCH Imported'!$C$1:$D$800,2,False),"OOPS FIX ME"))</f>
        <v>vegayp</v>
      </c>
      <c r="B767" s="166" t="s">
        <v>441</v>
      </c>
      <c r="C767" s="167" t="s">
        <v>550</v>
      </c>
      <c r="D767" s="168" t="s">
        <v>437</v>
      </c>
      <c r="E767" s="177" t="s">
        <v>438</v>
      </c>
      <c r="F767" s="168" t="s">
        <v>439</v>
      </c>
      <c r="G767" s="170"/>
      <c r="H767" s="171"/>
      <c r="I767" s="171"/>
      <c r="J767" s="172">
        <f t="shared" si="44"/>
        <v>0</v>
      </c>
      <c r="K767" s="218">
        <v>1.3544018058690745</v>
      </c>
      <c r="L767" s="174">
        <f t="shared" si="9"/>
        <v>3.4535807</v>
      </c>
      <c r="M767" s="175" t="str">
        <f t="shared" si="10"/>
        <v>vegayp</v>
      </c>
      <c r="N767" s="176">
        <f>IFERROR(__xludf.DUMMYFUNCTION("""COMPUTED_VALUE"""),16.0)</f>
        <v>16</v>
      </c>
      <c r="O767" s="176"/>
      <c r="P767" s="166" t="s">
        <v>492</v>
      </c>
      <c r="Q767" s="166" t="s">
        <v>441</v>
      </c>
      <c r="R767" s="176"/>
      <c r="S767" s="176"/>
      <c r="T767" s="176"/>
      <c r="U767" s="176"/>
      <c r="V767" s="176"/>
      <c r="W767" s="176"/>
      <c r="X767" s="176"/>
      <c r="Y767" s="176"/>
      <c r="Z767" s="176"/>
      <c r="AA767" s="176"/>
    </row>
    <row r="768">
      <c r="A768" s="165" t="str">
        <f>iferror(VLOOKUP(P768,'DO NOT TOUCH Imported'!$A$1:$D$800,4,False),iferror(VLOOKUP(P768,'DO NOT TOUCH Imported'!$C$1:$D$800,2,False),"OOPS FIX ME"))</f>
        <v>vegayp</v>
      </c>
      <c r="B768" s="166" t="s">
        <v>441</v>
      </c>
      <c r="C768" s="167" t="s">
        <v>497</v>
      </c>
      <c r="D768" s="168" t="s">
        <v>437</v>
      </c>
      <c r="E768" s="169" t="s">
        <v>438</v>
      </c>
      <c r="F768" s="168" t="s">
        <v>439</v>
      </c>
      <c r="G768" s="170"/>
      <c r="H768" s="171"/>
      <c r="I768" s="171"/>
      <c r="J768" s="172">
        <f t="shared" si="44"/>
        <v>0</v>
      </c>
      <c r="K768" s="218">
        <v>1.3544018058690745</v>
      </c>
      <c r="L768" s="174">
        <f t="shared" si="9"/>
        <v>3.4535807</v>
      </c>
      <c r="M768" s="175" t="str">
        <f t="shared" si="10"/>
        <v>vegayp</v>
      </c>
      <c r="N768" s="176">
        <f>IFERROR(__xludf.DUMMYFUNCTION("""COMPUTED_VALUE"""),17.0)</f>
        <v>17</v>
      </c>
      <c r="O768" s="176"/>
      <c r="P768" s="166" t="s">
        <v>492</v>
      </c>
      <c r="Q768" s="166" t="s">
        <v>441</v>
      </c>
      <c r="R768" s="176"/>
      <c r="S768" s="176"/>
      <c r="T768" s="176"/>
      <c r="U768" s="176"/>
      <c r="V768" s="176"/>
      <c r="W768" s="176"/>
      <c r="X768" s="176"/>
      <c r="Y768" s="176"/>
      <c r="Z768" s="176"/>
      <c r="AA768" s="176"/>
    </row>
    <row r="769">
      <c r="A769" s="185" t="str">
        <f>iferror(VLOOKUP(P769,'DO NOT TOUCH Imported'!$A$1:$D$800,4,False),iferror(VLOOKUP(P769,'DO NOT TOUCH Imported'!$C$1:$D$800,2,False),"OOPS FIX ME"))</f>
        <v>vegayp</v>
      </c>
      <c r="B769" s="185" t="s">
        <v>534</v>
      </c>
      <c r="C769" s="186" t="s">
        <v>810</v>
      </c>
      <c r="D769" s="187"/>
      <c r="E769" s="188"/>
      <c r="F769" s="189"/>
      <c r="G769" s="190"/>
      <c r="H769" s="190"/>
      <c r="I769" s="190"/>
      <c r="J769" s="172">
        <f>(H769/$H$2+I769/$I$2)/2</f>
        <v>0</v>
      </c>
      <c r="K769" s="192">
        <f>23.025*-0.85</f>
        <v>-19.57125</v>
      </c>
      <c r="L769" s="193">
        <f t="shared" si="9"/>
        <v>3.4535807</v>
      </c>
      <c r="M769" s="194" t="str">
        <f t="shared" si="10"/>
        <v>vegayp</v>
      </c>
      <c r="N769" s="195">
        <f>IFERROR(__xludf.DUMMYFUNCTION("""COMPUTED_VALUE"""),18.0)</f>
        <v>18</v>
      </c>
      <c r="O769" s="195"/>
      <c r="P769" s="185" t="s">
        <v>33</v>
      </c>
      <c r="Q769" s="185" t="s">
        <v>534</v>
      </c>
      <c r="R769" s="195">
        <v>18.802169413641863</v>
      </c>
      <c r="S769" s="195"/>
      <c r="T769" s="195"/>
      <c r="U769" s="195"/>
      <c r="V769" s="195"/>
      <c r="W769" s="195"/>
      <c r="X769" s="195"/>
      <c r="Y769" s="195"/>
      <c r="Z769" s="195"/>
      <c r="AA769" s="176"/>
    </row>
    <row r="770">
      <c r="A770" s="165" t="str">
        <f>iferror(VLOOKUP(P770,'DO NOT TOUCH Imported'!$A$1:$D$800,4,False),iferror(VLOOKUP(P770,'DO NOT TOUCH Imported'!$C$1:$D$800,2,False),"OOPS FIX ME"))</f>
        <v>kristoferkristofer</v>
      </c>
      <c r="B770" s="166" t="s">
        <v>450</v>
      </c>
      <c r="C770" s="167" t="s">
        <v>552</v>
      </c>
      <c r="D770" s="168" t="s">
        <v>437</v>
      </c>
      <c r="E770" s="177" t="s">
        <v>452</v>
      </c>
      <c r="F770" s="168" t="s">
        <v>453</v>
      </c>
      <c r="G770" s="170">
        <v>1000.0</v>
      </c>
      <c r="H770" s="171">
        <v>200.0</v>
      </c>
      <c r="I770" s="171">
        <v>400.0</v>
      </c>
      <c r="J770" s="172">
        <f t="shared" ref="J770:J795" si="46">(G770/$G$2+H770/$H$2+I770/$I$2)/3</f>
        <v>0.001941913667</v>
      </c>
      <c r="K770" s="173">
        <f t="shared" ref="K770:K771" si="47">J770*$J$1</f>
        <v>2.3302964</v>
      </c>
      <c r="L770" s="174">
        <f t="shared" si="9"/>
        <v>3.323643426</v>
      </c>
      <c r="M770" s="175" t="str">
        <f t="shared" si="10"/>
        <v>kristoferkristofer</v>
      </c>
      <c r="N770" s="176">
        <f>IFERROR(__xludf.DUMMYFUNCTION("""COMPUTED_VALUE"""),1.0)</f>
        <v>1</v>
      </c>
      <c r="O770" s="176"/>
      <c r="P770" s="166" t="s">
        <v>811</v>
      </c>
      <c r="Q770" s="166" t="s">
        <v>450</v>
      </c>
      <c r="R770" s="176"/>
      <c r="S770" s="176"/>
      <c r="T770" s="176"/>
      <c r="U770" s="176"/>
      <c r="V770" s="176"/>
      <c r="W770" s="176"/>
      <c r="X770" s="176"/>
      <c r="Y770" s="176"/>
      <c r="Z770" s="176"/>
      <c r="AA770" s="176"/>
    </row>
    <row r="771">
      <c r="A771" s="165" t="str">
        <f>iferror(VLOOKUP(P771,'DO NOT TOUCH Imported'!$A$1:$D$800,4,False),iferror(VLOOKUP(P771,'DO NOT TOUCH Imported'!$C$1:$D$800,2,False),"OOPS FIX ME"))</f>
        <v>kristoferkristofer</v>
      </c>
      <c r="B771" s="178" t="s">
        <v>10</v>
      </c>
      <c r="C771" s="179" t="s">
        <v>676</v>
      </c>
      <c r="D771" s="180" t="s">
        <v>495</v>
      </c>
      <c r="E771" s="184">
        <v>44316.0</v>
      </c>
      <c r="F771" s="182" t="s">
        <v>496</v>
      </c>
      <c r="G771" s="170">
        <v>2000.0</v>
      </c>
      <c r="H771" s="171">
        <v>100.0</v>
      </c>
      <c r="I771" s="171">
        <v>100.0</v>
      </c>
      <c r="J771" s="172">
        <f t="shared" si="46"/>
        <v>0.0008277891878</v>
      </c>
      <c r="K771" s="173">
        <f t="shared" si="47"/>
        <v>0.9933470254</v>
      </c>
      <c r="L771" s="174">
        <f t="shared" si="9"/>
        <v>3.323643426</v>
      </c>
      <c r="M771" s="175" t="str">
        <f t="shared" si="10"/>
        <v>kristoferkristofer</v>
      </c>
      <c r="N771" s="176">
        <f>IFERROR(__xludf.DUMMYFUNCTION("""COMPUTED_VALUE"""),2.0)</f>
        <v>2</v>
      </c>
      <c r="O771" s="176"/>
      <c r="P771" s="183" t="s">
        <v>44</v>
      </c>
      <c r="Q771" s="178" t="s">
        <v>10</v>
      </c>
      <c r="R771" s="176"/>
      <c r="S771" s="176"/>
      <c r="T771" s="176"/>
      <c r="U771" s="176"/>
      <c r="V771" s="176"/>
      <c r="W771" s="176"/>
      <c r="X771" s="176"/>
      <c r="Y771" s="176"/>
      <c r="Z771" s="176"/>
      <c r="AA771" s="176"/>
    </row>
    <row r="772">
      <c r="A772" s="185" t="s">
        <v>44</v>
      </c>
      <c r="B772" s="196" t="s">
        <v>534</v>
      </c>
      <c r="C772" s="213" t="s">
        <v>688</v>
      </c>
      <c r="D772" s="196"/>
      <c r="E772" s="225"/>
      <c r="F772" s="196"/>
      <c r="G772" s="196"/>
      <c r="H772" s="196"/>
      <c r="I772" s="196"/>
      <c r="J772" s="191">
        <f t="shared" si="46"/>
        <v>0</v>
      </c>
      <c r="K772" s="215">
        <v>0.0</v>
      </c>
      <c r="L772" s="193">
        <f t="shared" si="9"/>
        <v>3.323643426</v>
      </c>
      <c r="M772" s="194" t="str">
        <f t="shared" si="10"/>
        <v>kristoferkristofer</v>
      </c>
      <c r="N772" s="187">
        <f>IFERROR(__xludf.DUMMYFUNCTION("""COMPUTED_VALUE"""),3.0)</f>
        <v>3</v>
      </c>
      <c r="O772" s="212"/>
      <c r="P772" s="196" t="s">
        <v>10</v>
      </c>
      <c r="Q772" s="196" t="s">
        <v>534</v>
      </c>
      <c r="R772" s="187">
        <v>18.802169413641863</v>
      </c>
      <c r="S772" s="212"/>
      <c r="T772" s="212"/>
      <c r="U772" s="212"/>
      <c r="V772" s="212"/>
      <c r="W772" s="212"/>
      <c r="X772" s="212"/>
      <c r="Y772" s="212"/>
      <c r="Z772" s="212"/>
      <c r="AA772" s="226"/>
    </row>
    <row r="773">
      <c r="A773" s="165" t="str">
        <f>iferror(VLOOKUP(P773,'DO NOT TOUCH Imported'!$A$1:$D$800,4,False),iferror(VLOOKUP(P773,'DO NOT TOUCH Imported'!$C$1:$D$800,2,False),"OOPS FIX ME"))</f>
        <v>KZ Flyer#0926</v>
      </c>
      <c r="B773" s="166" t="s">
        <v>450</v>
      </c>
      <c r="C773" s="167" t="s">
        <v>451</v>
      </c>
      <c r="D773" s="168" t="s">
        <v>437</v>
      </c>
      <c r="E773" s="177" t="s">
        <v>452</v>
      </c>
      <c r="F773" s="168" t="s">
        <v>453</v>
      </c>
      <c r="G773" s="170">
        <v>1000.0</v>
      </c>
      <c r="H773" s="171">
        <v>100.0</v>
      </c>
      <c r="I773" s="171">
        <v>200.0</v>
      </c>
      <c r="J773" s="172">
        <f t="shared" si="46"/>
        <v>0.001023154349</v>
      </c>
      <c r="K773" s="173">
        <f t="shared" ref="K773:K795" si="48">J773*$J$1</f>
        <v>1.227785219</v>
      </c>
      <c r="L773" s="174">
        <f t="shared" si="9"/>
        <v>3.300268935</v>
      </c>
      <c r="M773" s="175" t="str">
        <f t="shared" si="10"/>
        <v>KZ Flyer#0926</v>
      </c>
      <c r="N773" s="176">
        <f>IFERROR(__xludf.DUMMYFUNCTION("""COMPUTED_VALUE"""),1.0)</f>
        <v>1</v>
      </c>
      <c r="O773" s="176"/>
      <c r="P773" s="166" t="s">
        <v>136</v>
      </c>
      <c r="Q773" s="166" t="s">
        <v>450</v>
      </c>
      <c r="R773" s="176"/>
      <c r="S773" s="176"/>
      <c r="T773" s="176"/>
      <c r="U773" s="176"/>
      <c r="V773" s="176"/>
      <c r="W773" s="176"/>
      <c r="X773" s="176"/>
      <c r="Y773" s="176"/>
      <c r="Z773" s="176"/>
      <c r="AA773" s="176"/>
    </row>
    <row r="774">
      <c r="A774" s="165" t="str">
        <f>iferror(VLOOKUP(P774,'DO NOT TOUCH Imported'!$A$1:$D$800,4,False),iferror(VLOOKUP(P774,'DO NOT TOUCH Imported'!$C$1:$D$800,2,False),"OOPS FIX ME"))</f>
        <v>KZ Flyer#0926</v>
      </c>
      <c r="B774" s="166" t="s">
        <v>441</v>
      </c>
      <c r="C774" s="167" t="s">
        <v>570</v>
      </c>
      <c r="D774" s="168" t="s">
        <v>499</v>
      </c>
      <c r="E774" s="177" t="s">
        <v>447</v>
      </c>
      <c r="F774" s="168" t="s">
        <v>571</v>
      </c>
      <c r="G774" s="170">
        <v>500.0</v>
      </c>
      <c r="H774" s="171">
        <v>25.0</v>
      </c>
      <c r="I774" s="171">
        <v>100.0</v>
      </c>
      <c r="J774" s="172">
        <f t="shared" si="46"/>
        <v>0.0004317674408</v>
      </c>
      <c r="K774" s="173">
        <f t="shared" si="48"/>
        <v>0.518120929</v>
      </c>
      <c r="L774" s="174">
        <f t="shared" si="9"/>
        <v>3.300268935</v>
      </c>
      <c r="M774" s="175" t="str">
        <f t="shared" si="10"/>
        <v>KZ Flyer#0926</v>
      </c>
      <c r="N774" s="176">
        <f>IFERROR(__xludf.DUMMYFUNCTION("""COMPUTED_VALUE"""),2.0)</f>
        <v>2</v>
      </c>
      <c r="O774" s="176"/>
      <c r="P774" s="166" t="s">
        <v>136</v>
      </c>
      <c r="Q774" s="166" t="s">
        <v>441</v>
      </c>
      <c r="R774" s="176"/>
      <c r="S774" s="176"/>
      <c r="T774" s="176"/>
      <c r="U774" s="176"/>
      <c r="V774" s="176"/>
      <c r="W774" s="176"/>
      <c r="X774" s="176"/>
      <c r="Y774" s="176"/>
      <c r="Z774" s="176"/>
      <c r="AA774" s="176"/>
    </row>
    <row r="775">
      <c r="A775" s="165" t="str">
        <f>iferror(VLOOKUP(P775,'DO NOT TOUCH Imported'!$A$1:$D$800,4,False),iferror(VLOOKUP(P775,'DO NOT TOUCH Imported'!$C$1:$D$800,2,False),"OOPS FIX ME"))</f>
        <v>KZ Flyer#0926</v>
      </c>
      <c r="B775" s="166" t="s">
        <v>441</v>
      </c>
      <c r="C775" s="167" t="s">
        <v>572</v>
      </c>
      <c r="D775" s="168" t="s">
        <v>499</v>
      </c>
      <c r="E775" s="169" t="s">
        <v>447</v>
      </c>
      <c r="F775" s="168" t="s">
        <v>503</v>
      </c>
      <c r="G775" s="170">
        <v>500.0</v>
      </c>
      <c r="H775" s="171">
        <v>25.0</v>
      </c>
      <c r="I775" s="171">
        <v>100.0</v>
      </c>
      <c r="J775" s="172">
        <f t="shared" si="46"/>
        <v>0.0004317674408</v>
      </c>
      <c r="K775" s="173">
        <f t="shared" si="48"/>
        <v>0.518120929</v>
      </c>
      <c r="L775" s="174">
        <f t="shared" si="9"/>
        <v>3.300268935</v>
      </c>
      <c r="M775" s="175" t="str">
        <f t="shared" si="10"/>
        <v>KZ Flyer#0926</v>
      </c>
      <c r="N775" s="209">
        <f>IFERROR(__xludf.DUMMYFUNCTION("""COMPUTED_VALUE"""),3.0)</f>
        <v>3</v>
      </c>
      <c r="O775" s="209"/>
      <c r="P775" s="166" t="s">
        <v>136</v>
      </c>
      <c r="Q775" s="166" t="s">
        <v>441</v>
      </c>
      <c r="R775" s="209"/>
      <c r="S775" s="209"/>
      <c r="T775" s="209"/>
      <c r="U775" s="209"/>
      <c r="V775" s="209"/>
      <c r="W775" s="209"/>
      <c r="X775" s="209"/>
      <c r="Y775" s="209"/>
      <c r="Z775" s="209"/>
      <c r="AA775" s="209"/>
    </row>
    <row r="776">
      <c r="A776" s="165" t="str">
        <f>iferror(VLOOKUP(P776,'DO NOT TOUCH Imported'!$A$1:$D$800,4,False),iferror(VLOOKUP(P776,'DO NOT TOUCH Imported'!$C$1:$D$800,2,False),"OOPS FIX ME"))</f>
        <v>KZ Flyer#0926</v>
      </c>
      <c r="B776" s="166" t="s">
        <v>441</v>
      </c>
      <c r="C776" s="167" t="s">
        <v>574</v>
      </c>
      <c r="D776" s="168" t="s">
        <v>499</v>
      </c>
      <c r="E776" s="169" t="s">
        <v>438</v>
      </c>
      <c r="F776" s="168" t="s">
        <v>571</v>
      </c>
      <c r="G776" s="170">
        <v>500.0</v>
      </c>
      <c r="H776" s="171">
        <v>25.0</v>
      </c>
      <c r="I776" s="171">
        <v>100.0</v>
      </c>
      <c r="J776" s="172">
        <f t="shared" si="46"/>
        <v>0.0004317674408</v>
      </c>
      <c r="K776" s="173">
        <f t="shared" si="48"/>
        <v>0.518120929</v>
      </c>
      <c r="L776" s="174">
        <f t="shared" si="9"/>
        <v>3.300268935</v>
      </c>
      <c r="M776" s="175" t="str">
        <f t="shared" si="10"/>
        <v>KZ Flyer#0926</v>
      </c>
      <c r="N776" s="176">
        <f>IFERROR(__xludf.DUMMYFUNCTION("""COMPUTED_VALUE"""),4.0)</f>
        <v>4</v>
      </c>
      <c r="O776" s="176"/>
      <c r="P776" s="166" t="s">
        <v>136</v>
      </c>
      <c r="Q776" s="166" t="s">
        <v>441</v>
      </c>
      <c r="R776" s="176"/>
      <c r="S776" s="176"/>
      <c r="T776" s="176"/>
      <c r="U776" s="176"/>
      <c r="V776" s="176"/>
      <c r="W776" s="176"/>
      <c r="X776" s="176"/>
      <c r="Y776" s="176"/>
      <c r="Z776" s="176"/>
      <c r="AA776" s="176"/>
    </row>
    <row r="777">
      <c r="A777" s="165" t="str">
        <f>iferror(VLOOKUP(P777,'DO NOT TOUCH Imported'!$A$1:$D$800,4,False),iferror(VLOOKUP(P777,'DO NOT TOUCH Imported'!$C$1:$D$800,2,False),"OOPS FIX ME"))</f>
        <v>KZ Flyer#0926</v>
      </c>
      <c r="B777" s="166" t="s">
        <v>441</v>
      </c>
      <c r="C777" s="167" t="s">
        <v>572</v>
      </c>
      <c r="D777" s="168" t="s">
        <v>499</v>
      </c>
      <c r="E777" s="169" t="s">
        <v>438</v>
      </c>
      <c r="F777" s="168" t="s">
        <v>503</v>
      </c>
      <c r="G777" s="170">
        <v>500.0</v>
      </c>
      <c r="H777" s="171">
        <v>25.0</v>
      </c>
      <c r="I777" s="171">
        <v>100.0</v>
      </c>
      <c r="J777" s="172">
        <f t="shared" si="46"/>
        <v>0.0004317674408</v>
      </c>
      <c r="K777" s="173">
        <f t="shared" si="48"/>
        <v>0.518120929</v>
      </c>
      <c r="L777" s="174">
        <f t="shared" si="9"/>
        <v>3.300268935</v>
      </c>
      <c r="M777" s="175" t="str">
        <f t="shared" si="10"/>
        <v>KZ Flyer#0926</v>
      </c>
      <c r="N777" s="176">
        <f>IFERROR(__xludf.DUMMYFUNCTION("""COMPUTED_VALUE"""),5.0)</f>
        <v>5</v>
      </c>
      <c r="O777" s="176"/>
      <c r="P777" s="166" t="s">
        <v>136</v>
      </c>
      <c r="Q777" s="166" t="s">
        <v>441</v>
      </c>
      <c r="R777" s="176"/>
      <c r="S777" s="176"/>
      <c r="T777" s="176"/>
      <c r="U777" s="176"/>
      <c r="V777" s="176"/>
      <c r="W777" s="176"/>
      <c r="X777" s="176"/>
      <c r="Y777" s="176"/>
      <c r="Z777" s="176"/>
      <c r="AA777" s="176"/>
    </row>
    <row r="778">
      <c r="A778" s="165" t="str">
        <f>iferror(VLOOKUP(P778,'DO NOT TOUCH Imported'!$A$1:$D$800,4,False),iferror(VLOOKUP(P778,'DO NOT TOUCH Imported'!$C$1:$D$800,2,False),"OOPS FIX ME"))</f>
        <v>divine_comedian</v>
      </c>
      <c r="B778" s="166" t="s">
        <v>441</v>
      </c>
      <c r="C778" s="167" t="s">
        <v>812</v>
      </c>
      <c r="D778" s="168" t="s">
        <v>437</v>
      </c>
      <c r="E778" s="177" t="s">
        <v>438</v>
      </c>
      <c r="F778" s="168" t="s">
        <v>439</v>
      </c>
      <c r="G778" s="170">
        <v>20000.0</v>
      </c>
      <c r="H778" s="171">
        <v>200.0</v>
      </c>
      <c r="I778" s="171">
        <v>200.0</v>
      </c>
      <c r="J778" s="172">
        <f t="shared" si="46"/>
        <v>0.003325898868</v>
      </c>
      <c r="K778" s="173">
        <f t="shared" si="48"/>
        <v>3.991078642</v>
      </c>
      <c r="L778" s="174">
        <f t="shared" si="9"/>
        <v>3.22455709</v>
      </c>
      <c r="M778" s="175" t="str">
        <f t="shared" si="10"/>
        <v>divine_comedian</v>
      </c>
      <c r="N778" s="176">
        <f>IFERROR(__xludf.DUMMYFUNCTION("""COMPUTED_VALUE"""),1.0)</f>
        <v>1</v>
      </c>
      <c r="O778" s="176"/>
      <c r="P778" s="166" t="s">
        <v>813</v>
      </c>
      <c r="Q778" s="166" t="s">
        <v>441</v>
      </c>
      <c r="R778" s="176"/>
      <c r="S778" s="176"/>
      <c r="T778" s="176"/>
      <c r="U778" s="176"/>
      <c r="V778" s="176"/>
      <c r="W778" s="176"/>
      <c r="X778" s="176"/>
      <c r="Y778" s="176"/>
      <c r="Z778" s="176"/>
      <c r="AA778" s="176"/>
    </row>
    <row r="779">
      <c r="A779" s="165" t="str">
        <f>iferror(VLOOKUP(P779,'DO NOT TOUCH Imported'!$A$1:$D$800,4,False),iferror(VLOOKUP(P779,'DO NOT TOUCH Imported'!$C$1:$D$800,2,False),"OOPS FIX ME"))</f>
        <v>divine_comedian</v>
      </c>
      <c r="B779" s="166" t="s">
        <v>450</v>
      </c>
      <c r="C779" s="167" t="s">
        <v>552</v>
      </c>
      <c r="D779" s="168" t="s">
        <v>437</v>
      </c>
      <c r="E779" s="169" t="s">
        <v>452</v>
      </c>
      <c r="F779" s="168" t="s">
        <v>453</v>
      </c>
      <c r="G779" s="170">
        <v>1000.0</v>
      </c>
      <c r="H779" s="171">
        <v>200.0</v>
      </c>
      <c r="I779" s="171">
        <v>400.0</v>
      </c>
      <c r="J779" s="172">
        <f t="shared" si="46"/>
        <v>0.001941913667</v>
      </c>
      <c r="K779" s="173">
        <f t="shared" si="48"/>
        <v>2.3302964</v>
      </c>
      <c r="L779" s="174">
        <f t="shared" si="9"/>
        <v>3.22455709</v>
      </c>
      <c r="M779" s="175" t="str">
        <f t="shared" si="10"/>
        <v>divine_comedian</v>
      </c>
      <c r="N779" s="176">
        <f>IFERROR(__xludf.DUMMYFUNCTION("""COMPUTED_VALUE"""),2.0)</f>
        <v>2</v>
      </c>
      <c r="O779" s="176"/>
      <c r="P779" s="166" t="s">
        <v>813</v>
      </c>
      <c r="Q779" s="166" t="s">
        <v>450</v>
      </c>
      <c r="R779" s="176"/>
      <c r="S779" s="176"/>
      <c r="T779" s="176"/>
      <c r="U779" s="176"/>
      <c r="V779" s="176"/>
      <c r="W779" s="176"/>
      <c r="X779" s="176"/>
      <c r="Y779" s="176"/>
      <c r="Z779" s="176"/>
      <c r="AA779" s="176"/>
    </row>
    <row r="780">
      <c r="A780" s="165" t="str">
        <f>iferror(VLOOKUP(P780,'DO NOT TOUCH Imported'!$A$1:$D$800,4,False),iferror(VLOOKUP(P780,'DO NOT TOUCH Imported'!$C$1:$D$800,2,False),"OOPS FIX ME"))</f>
        <v>divine_comedian</v>
      </c>
      <c r="B780" s="166" t="s">
        <v>441</v>
      </c>
      <c r="C780" s="167" t="s">
        <v>554</v>
      </c>
      <c r="D780" s="168" t="s">
        <v>437</v>
      </c>
      <c r="E780" s="177" t="s">
        <v>447</v>
      </c>
      <c r="F780" s="168" t="s">
        <v>439</v>
      </c>
      <c r="G780" s="170">
        <v>1000.0</v>
      </c>
      <c r="H780" s="171">
        <v>200.0</v>
      </c>
      <c r="I780" s="171">
        <v>200.0</v>
      </c>
      <c r="J780" s="172">
        <f t="shared" si="46"/>
        <v>0.001342393283</v>
      </c>
      <c r="K780" s="173">
        <f t="shared" si="48"/>
        <v>1.61087194</v>
      </c>
      <c r="L780" s="174">
        <f t="shared" si="9"/>
        <v>3.22455709</v>
      </c>
      <c r="M780" s="175" t="str">
        <f t="shared" si="10"/>
        <v>divine_comedian</v>
      </c>
      <c r="N780" s="176">
        <f>IFERROR(__xludf.DUMMYFUNCTION("""COMPUTED_VALUE"""),3.0)</f>
        <v>3</v>
      </c>
      <c r="O780" s="176"/>
      <c r="P780" s="166" t="s">
        <v>813</v>
      </c>
      <c r="Q780" s="166" t="s">
        <v>441</v>
      </c>
      <c r="R780" s="176"/>
      <c r="S780" s="176"/>
      <c r="T780" s="176"/>
      <c r="U780" s="176"/>
      <c r="V780" s="176"/>
      <c r="W780" s="176"/>
      <c r="X780" s="176"/>
      <c r="Y780" s="176"/>
      <c r="Z780" s="176"/>
      <c r="AA780" s="176"/>
    </row>
    <row r="781">
      <c r="A781" s="165" t="str">
        <f>iferror(VLOOKUP(P781,'DO NOT TOUCH Imported'!$A$1:$D$800,4,False),iferror(VLOOKUP(P781,'DO NOT TOUCH Imported'!$C$1:$D$800,2,False),"OOPS FIX ME"))</f>
        <v>divine_comedian</v>
      </c>
      <c r="B781" s="166" t="s">
        <v>483</v>
      </c>
      <c r="C781" s="167" t="s">
        <v>814</v>
      </c>
      <c r="D781" s="168" t="s">
        <v>437</v>
      </c>
      <c r="E781" s="177" t="s">
        <v>506</v>
      </c>
      <c r="F781" s="168" t="s">
        <v>439</v>
      </c>
      <c r="G781" s="170">
        <v>1000.0</v>
      </c>
      <c r="H781" s="171">
        <v>100.0</v>
      </c>
      <c r="I781" s="171">
        <v>300.0</v>
      </c>
      <c r="J781" s="172">
        <f t="shared" si="46"/>
        <v>0.001322914541</v>
      </c>
      <c r="K781" s="173">
        <f t="shared" si="48"/>
        <v>1.587497449</v>
      </c>
      <c r="L781" s="174">
        <f t="shared" si="9"/>
        <v>3.22455709</v>
      </c>
      <c r="M781" s="175" t="str">
        <f t="shared" si="10"/>
        <v>divine_comedian</v>
      </c>
      <c r="N781" s="176">
        <f>IFERROR(__xludf.DUMMYFUNCTION("""COMPUTED_VALUE"""),4.0)</f>
        <v>4</v>
      </c>
      <c r="O781" s="176"/>
      <c r="P781" s="166" t="s">
        <v>813</v>
      </c>
      <c r="Q781" s="166" t="s">
        <v>483</v>
      </c>
      <c r="R781" s="176"/>
      <c r="S781" s="176"/>
      <c r="T781" s="176"/>
      <c r="U781" s="176"/>
      <c r="V781" s="176"/>
      <c r="W781" s="176"/>
      <c r="X781" s="176"/>
      <c r="Y781" s="176"/>
      <c r="Z781" s="176"/>
      <c r="AA781" s="176"/>
    </row>
    <row r="782">
      <c r="A782" s="165" t="str">
        <f>iferror(VLOOKUP(P782,'DO NOT TOUCH Imported'!$A$1:$D$800,4,False),iferror(VLOOKUP(P782,'DO NOT TOUCH Imported'!$C$1:$D$800,2,False),"OOPS FIX ME"))</f>
        <v>divine_comedian</v>
      </c>
      <c r="B782" s="166" t="s">
        <v>441</v>
      </c>
      <c r="C782" s="167" t="s">
        <v>456</v>
      </c>
      <c r="D782" s="168" t="s">
        <v>437</v>
      </c>
      <c r="E782" s="177" t="s">
        <v>438</v>
      </c>
      <c r="F782" s="168" t="s">
        <v>439</v>
      </c>
      <c r="G782" s="170">
        <v>1000.0</v>
      </c>
      <c r="H782" s="171">
        <v>100.0</v>
      </c>
      <c r="I782" s="171">
        <v>200.0</v>
      </c>
      <c r="J782" s="172">
        <f t="shared" si="46"/>
        <v>0.001023154349</v>
      </c>
      <c r="K782" s="173">
        <f t="shared" si="48"/>
        <v>1.227785219</v>
      </c>
      <c r="L782" s="174">
        <f t="shared" si="9"/>
        <v>3.22455709</v>
      </c>
      <c r="M782" s="175" t="str">
        <f t="shared" si="10"/>
        <v>divine_comedian</v>
      </c>
      <c r="N782" s="176">
        <f>IFERROR(__xludf.DUMMYFUNCTION("""COMPUTED_VALUE"""),5.0)</f>
        <v>5</v>
      </c>
      <c r="O782" s="176"/>
      <c r="P782" s="166" t="s">
        <v>813</v>
      </c>
      <c r="Q782" s="166" t="s">
        <v>441</v>
      </c>
      <c r="R782" s="176"/>
      <c r="S782" s="176"/>
      <c r="T782" s="176"/>
      <c r="U782" s="176"/>
      <c r="V782" s="176"/>
      <c r="W782" s="176"/>
      <c r="X782" s="176"/>
      <c r="Y782" s="176"/>
      <c r="Z782" s="176"/>
      <c r="AA782" s="176"/>
    </row>
    <row r="783">
      <c r="A783" s="165" t="str">
        <f>iferror(VLOOKUP(P783,'DO NOT TOUCH Imported'!$A$1:$D$800,4,False),iferror(VLOOKUP(P783,'DO NOT TOUCH Imported'!$C$1:$D$800,2,False),"OOPS FIX ME"))</f>
        <v>divine_comedian</v>
      </c>
      <c r="B783" s="166" t="s">
        <v>441</v>
      </c>
      <c r="C783" s="167" t="s">
        <v>815</v>
      </c>
      <c r="D783" s="168" t="s">
        <v>437</v>
      </c>
      <c r="E783" s="169" t="s">
        <v>447</v>
      </c>
      <c r="F783" s="168" t="s">
        <v>439</v>
      </c>
      <c r="G783" s="170">
        <v>1000.0</v>
      </c>
      <c r="H783" s="171">
        <v>150.0</v>
      </c>
      <c r="I783" s="171">
        <v>100.0</v>
      </c>
      <c r="J783" s="172">
        <f t="shared" si="46"/>
        <v>0.0008830136242</v>
      </c>
      <c r="K783" s="173">
        <f t="shared" si="48"/>
        <v>1.059616349</v>
      </c>
      <c r="L783" s="174">
        <f t="shared" si="9"/>
        <v>3.22455709</v>
      </c>
      <c r="M783" s="175" t="str">
        <f t="shared" si="10"/>
        <v>divine_comedian</v>
      </c>
      <c r="N783" s="176">
        <f>IFERROR(__xludf.DUMMYFUNCTION("""COMPUTED_VALUE"""),6.0)</f>
        <v>6</v>
      </c>
      <c r="O783" s="176"/>
      <c r="P783" s="166" t="s">
        <v>813</v>
      </c>
      <c r="Q783" s="166" t="s">
        <v>441</v>
      </c>
      <c r="R783" s="176"/>
      <c r="S783" s="176"/>
      <c r="T783" s="176"/>
      <c r="U783" s="176"/>
      <c r="V783" s="176"/>
      <c r="W783" s="176"/>
      <c r="X783" s="176"/>
      <c r="Y783" s="176"/>
      <c r="Z783" s="176"/>
      <c r="AA783" s="176"/>
    </row>
    <row r="784">
      <c r="A784" s="165" t="str">
        <f>iferror(VLOOKUP(P784,'DO NOT TOUCH Imported'!$A$1:$D$800,4,False),iferror(VLOOKUP(P784,'DO NOT TOUCH Imported'!$C$1:$D$800,2,False),"OOPS FIX ME"))</f>
        <v>divine_comedian</v>
      </c>
      <c r="B784" s="166" t="s">
        <v>528</v>
      </c>
      <c r="C784" s="167" t="s">
        <v>600</v>
      </c>
      <c r="D784" s="168" t="s">
        <v>437</v>
      </c>
      <c r="E784" s="169" t="s">
        <v>445</v>
      </c>
      <c r="F784" s="168" t="s">
        <v>439</v>
      </c>
      <c r="G784" s="170">
        <v>1000.0</v>
      </c>
      <c r="H784" s="171">
        <v>100.0</v>
      </c>
      <c r="I784" s="171">
        <v>100.0</v>
      </c>
      <c r="J784" s="172">
        <f t="shared" si="46"/>
        <v>0.000723394157</v>
      </c>
      <c r="K784" s="173">
        <f t="shared" si="48"/>
        <v>0.8680729884</v>
      </c>
      <c r="L784" s="174">
        <f t="shared" si="9"/>
        <v>3.22455709</v>
      </c>
      <c r="M784" s="175" t="str">
        <f t="shared" si="10"/>
        <v>divine_comedian</v>
      </c>
      <c r="N784" s="176">
        <f>IFERROR(__xludf.DUMMYFUNCTION("""COMPUTED_VALUE"""),7.0)</f>
        <v>7</v>
      </c>
      <c r="O784" s="176"/>
      <c r="P784" s="166" t="s">
        <v>813</v>
      </c>
      <c r="Q784" s="166" t="s">
        <v>528</v>
      </c>
      <c r="R784" s="176"/>
      <c r="S784" s="176"/>
      <c r="T784" s="176"/>
      <c r="U784" s="176"/>
      <c r="V784" s="176"/>
      <c r="W784" s="176"/>
      <c r="X784" s="176"/>
      <c r="Y784" s="176"/>
      <c r="Z784" s="176"/>
      <c r="AA784" s="176"/>
    </row>
    <row r="785">
      <c r="A785" s="165" t="str">
        <f>iferror(VLOOKUP(P785,'DO NOT TOUCH Imported'!$A$1:$D$800,4,False),iferror(VLOOKUP(P785,'DO NOT TOUCH Imported'!$C$1:$D$800,2,False),"OOPS FIX ME"))</f>
        <v>divine_comedian</v>
      </c>
      <c r="B785" s="166" t="s">
        <v>441</v>
      </c>
      <c r="C785" s="167" t="s">
        <v>467</v>
      </c>
      <c r="D785" s="168" t="s">
        <v>437</v>
      </c>
      <c r="E785" s="169" t="s">
        <v>447</v>
      </c>
      <c r="F785" s="168" t="s">
        <v>439</v>
      </c>
      <c r="G785" s="170">
        <v>1000.0</v>
      </c>
      <c r="H785" s="171">
        <v>100.0</v>
      </c>
      <c r="I785" s="171">
        <v>100.0</v>
      </c>
      <c r="J785" s="172">
        <f t="shared" si="46"/>
        <v>0.000723394157</v>
      </c>
      <c r="K785" s="173">
        <f t="shared" si="48"/>
        <v>0.8680729884</v>
      </c>
      <c r="L785" s="174">
        <f t="shared" si="9"/>
        <v>3.22455709</v>
      </c>
      <c r="M785" s="175" t="str">
        <f t="shared" si="10"/>
        <v>divine_comedian</v>
      </c>
      <c r="N785" s="176">
        <f>IFERROR(__xludf.DUMMYFUNCTION("""COMPUTED_VALUE"""),8.0)</f>
        <v>8</v>
      </c>
      <c r="O785" s="176"/>
      <c r="P785" s="166" t="s">
        <v>813</v>
      </c>
      <c r="Q785" s="166" t="s">
        <v>441</v>
      </c>
      <c r="R785" s="176"/>
      <c r="S785" s="176"/>
      <c r="T785" s="176"/>
      <c r="U785" s="176"/>
      <c r="V785" s="176"/>
      <c r="W785" s="176"/>
      <c r="X785" s="176"/>
      <c r="Y785" s="176"/>
      <c r="Z785" s="176"/>
      <c r="AA785" s="176"/>
    </row>
    <row r="786">
      <c r="A786" s="165" t="str">
        <f>iferror(VLOOKUP(P786,'DO NOT TOUCH Imported'!$A$1:$D$800,4,False),iferror(VLOOKUP(P786,'DO NOT TOUCH Imported'!$C$1:$D$800,2,False),"OOPS FIX ME"))</f>
        <v>divine_comedian</v>
      </c>
      <c r="B786" s="166" t="s">
        <v>441</v>
      </c>
      <c r="C786" s="167" t="s">
        <v>756</v>
      </c>
      <c r="D786" s="168" t="s">
        <v>437</v>
      </c>
      <c r="E786" s="177" t="s">
        <v>447</v>
      </c>
      <c r="F786" s="168" t="s">
        <v>439</v>
      </c>
      <c r="G786" s="170">
        <v>1000.0</v>
      </c>
      <c r="H786" s="171">
        <v>100.0</v>
      </c>
      <c r="I786" s="171">
        <v>100.0</v>
      </c>
      <c r="J786" s="172">
        <f t="shared" si="46"/>
        <v>0.000723394157</v>
      </c>
      <c r="K786" s="173">
        <f t="shared" si="48"/>
        <v>0.8680729884</v>
      </c>
      <c r="L786" s="174">
        <f t="shared" si="9"/>
        <v>3.22455709</v>
      </c>
      <c r="M786" s="175" t="str">
        <f t="shared" si="10"/>
        <v>divine_comedian</v>
      </c>
      <c r="N786" s="176">
        <f>IFERROR(__xludf.DUMMYFUNCTION("""COMPUTED_VALUE"""),9.0)</f>
        <v>9</v>
      </c>
      <c r="O786" s="176"/>
      <c r="P786" s="166" t="s">
        <v>813</v>
      </c>
      <c r="Q786" s="166" t="s">
        <v>441</v>
      </c>
      <c r="R786" s="176"/>
      <c r="S786" s="176"/>
      <c r="T786" s="176"/>
      <c r="U786" s="176"/>
      <c r="V786" s="176"/>
      <c r="W786" s="176"/>
      <c r="X786" s="176"/>
      <c r="Y786" s="176"/>
      <c r="Z786" s="176"/>
      <c r="AA786" s="176"/>
    </row>
    <row r="787">
      <c r="A787" s="165" t="str">
        <f>iferror(VLOOKUP(P787,'DO NOT TOUCH Imported'!$A$1:$D$800,4,False),iferror(VLOOKUP(P787,'DO NOT TOUCH Imported'!$C$1:$D$800,2,False),"OOPS FIX ME"))</f>
        <v>divine_comedian</v>
      </c>
      <c r="B787" s="166" t="s">
        <v>441</v>
      </c>
      <c r="C787" s="167" t="s">
        <v>602</v>
      </c>
      <c r="D787" s="168" t="s">
        <v>437</v>
      </c>
      <c r="E787" s="177" t="s">
        <v>447</v>
      </c>
      <c r="F787" s="168" t="s">
        <v>439</v>
      </c>
      <c r="G787" s="170">
        <v>1000.0</v>
      </c>
      <c r="H787" s="171">
        <v>100.0</v>
      </c>
      <c r="I787" s="171">
        <v>100.0</v>
      </c>
      <c r="J787" s="172">
        <f t="shared" si="46"/>
        <v>0.000723394157</v>
      </c>
      <c r="K787" s="173">
        <f t="shared" si="48"/>
        <v>0.8680729884</v>
      </c>
      <c r="L787" s="174">
        <f t="shared" si="9"/>
        <v>3.22455709</v>
      </c>
      <c r="M787" s="175" t="str">
        <f t="shared" si="10"/>
        <v>divine_comedian</v>
      </c>
      <c r="N787" s="176">
        <f>IFERROR(__xludf.DUMMYFUNCTION("""COMPUTED_VALUE"""),10.0)</f>
        <v>10</v>
      </c>
      <c r="O787" s="176"/>
      <c r="P787" s="166" t="s">
        <v>813</v>
      </c>
      <c r="Q787" s="166" t="s">
        <v>441</v>
      </c>
      <c r="R787" s="176"/>
      <c r="S787" s="176"/>
      <c r="T787" s="176"/>
      <c r="U787" s="176"/>
      <c r="V787" s="176"/>
      <c r="W787" s="176"/>
      <c r="X787" s="176"/>
      <c r="Y787" s="176"/>
      <c r="Z787" s="176"/>
      <c r="AA787" s="176"/>
    </row>
    <row r="788">
      <c r="A788" s="165" t="str">
        <f>iferror(VLOOKUP(P788,'DO NOT TOUCH Imported'!$A$1:$D$800,4,False),iferror(VLOOKUP(P788,'DO NOT TOUCH Imported'!$C$1:$D$800,2,False),"OOPS FIX ME"))</f>
        <v>divine_comedian</v>
      </c>
      <c r="B788" s="166" t="s">
        <v>450</v>
      </c>
      <c r="C788" s="167" t="s">
        <v>472</v>
      </c>
      <c r="D788" s="168" t="s">
        <v>437</v>
      </c>
      <c r="E788" s="177" t="s">
        <v>452</v>
      </c>
      <c r="F788" s="168" t="s">
        <v>473</v>
      </c>
      <c r="G788" s="170">
        <v>1000.0</v>
      </c>
      <c r="H788" s="171">
        <v>100.0</v>
      </c>
      <c r="I788" s="171">
        <v>100.0</v>
      </c>
      <c r="J788" s="172">
        <f t="shared" si="46"/>
        <v>0.000723394157</v>
      </c>
      <c r="K788" s="173">
        <f t="shared" si="48"/>
        <v>0.8680729884</v>
      </c>
      <c r="L788" s="174">
        <f t="shared" si="9"/>
        <v>3.22455709</v>
      </c>
      <c r="M788" s="175" t="str">
        <f t="shared" si="10"/>
        <v>divine_comedian</v>
      </c>
      <c r="N788" s="176">
        <f>IFERROR(__xludf.DUMMYFUNCTION("""COMPUTED_VALUE"""),11.0)</f>
        <v>11</v>
      </c>
      <c r="O788" s="176"/>
      <c r="P788" s="166" t="s">
        <v>813</v>
      </c>
      <c r="Q788" s="166" t="s">
        <v>450</v>
      </c>
      <c r="R788" s="176"/>
      <c r="S788" s="176"/>
      <c r="T788" s="176"/>
      <c r="U788" s="176"/>
      <c r="V788" s="176"/>
      <c r="W788" s="176"/>
      <c r="X788" s="176"/>
      <c r="Y788" s="176"/>
      <c r="Z788" s="176"/>
      <c r="AA788" s="176"/>
    </row>
    <row r="789">
      <c r="A789" s="165" t="str">
        <f>iferror(VLOOKUP(P789,'DO NOT TOUCH Imported'!$A$1:$D$800,4,False),iferror(VLOOKUP(P789,'DO NOT TOUCH Imported'!$C$1:$D$800,2,False),"OOPS FIX ME"))</f>
        <v>divine_comedian</v>
      </c>
      <c r="B789" s="166" t="s">
        <v>441</v>
      </c>
      <c r="C789" s="167" t="s">
        <v>716</v>
      </c>
      <c r="D789" s="168" t="s">
        <v>437</v>
      </c>
      <c r="E789" s="169" t="s">
        <v>438</v>
      </c>
      <c r="F789" s="168" t="s">
        <v>439</v>
      </c>
      <c r="G789" s="170">
        <v>1000.0</v>
      </c>
      <c r="H789" s="171">
        <v>90.0</v>
      </c>
      <c r="I789" s="171">
        <v>100.0</v>
      </c>
      <c r="J789" s="172">
        <f t="shared" si="46"/>
        <v>0.0006914702636</v>
      </c>
      <c r="K789" s="173">
        <f t="shared" si="48"/>
        <v>0.8297643163</v>
      </c>
      <c r="L789" s="174">
        <f t="shared" si="9"/>
        <v>3.22455709</v>
      </c>
      <c r="M789" s="175" t="str">
        <f t="shared" si="10"/>
        <v>divine_comedian</v>
      </c>
      <c r="N789" s="176">
        <f>IFERROR(__xludf.DUMMYFUNCTION("""COMPUTED_VALUE"""),12.0)</f>
        <v>12</v>
      </c>
      <c r="O789" s="176"/>
      <c r="P789" s="166" t="s">
        <v>813</v>
      </c>
      <c r="Q789" s="166" t="s">
        <v>441</v>
      </c>
      <c r="R789" s="176"/>
      <c r="S789" s="176"/>
      <c r="T789" s="176"/>
      <c r="U789" s="176"/>
      <c r="V789" s="176"/>
      <c r="W789" s="176"/>
      <c r="X789" s="176"/>
      <c r="Y789" s="176"/>
      <c r="Z789" s="176"/>
      <c r="AA789" s="176"/>
    </row>
    <row r="790">
      <c r="A790" s="165" t="str">
        <f>iferror(VLOOKUP(P790,'DO NOT TOUCH Imported'!$A$1:$D$800,4,False),iferror(VLOOKUP(P790,'DO NOT TOUCH Imported'!$C$1:$D$800,2,False),"OOPS FIX ME"))</f>
        <v>divine_comedian</v>
      </c>
      <c r="B790" s="166" t="s">
        <v>441</v>
      </c>
      <c r="C790" s="167" t="s">
        <v>759</v>
      </c>
      <c r="D790" s="168" t="s">
        <v>437</v>
      </c>
      <c r="E790" s="177" t="s">
        <v>438</v>
      </c>
      <c r="F790" s="168" t="s">
        <v>439</v>
      </c>
      <c r="G790" s="170">
        <v>1000.0</v>
      </c>
      <c r="H790" s="171">
        <v>90.0</v>
      </c>
      <c r="I790" s="171">
        <v>100.0</v>
      </c>
      <c r="J790" s="172">
        <f t="shared" si="46"/>
        <v>0.0006914702636</v>
      </c>
      <c r="K790" s="173">
        <f t="shared" si="48"/>
        <v>0.8297643163</v>
      </c>
      <c r="L790" s="174">
        <f t="shared" si="9"/>
        <v>3.22455709</v>
      </c>
      <c r="M790" s="175" t="str">
        <f t="shared" si="10"/>
        <v>divine_comedian</v>
      </c>
      <c r="N790" s="176">
        <f>IFERROR(__xludf.DUMMYFUNCTION("""COMPUTED_VALUE"""),13.0)</f>
        <v>13</v>
      </c>
      <c r="O790" s="176"/>
      <c r="P790" s="166" t="s">
        <v>813</v>
      </c>
      <c r="Q790" s="166" t="s">
        <v>441</v>
      </c>
      <c r="R790" s="176"/>
      <c r="S790" s="176"/>
      <c r="T790" s="176"/>
      <c r="U790" s="176"/>
      <c r="V790" s="176"/>
      <c r="W790" s="176"/>
      <c r="X790" s="176"/>
      <c r="Y790" s="176"/>
      <c r="Z790" s="176"/>
      <c r="AA790" s="176"/>
    </row>
    <row r="791">
      <c r="A791" s="165" t="str">
        <f>iferror(VLOOKUP(P791,'DO NOT TOUCH Imported'!$A$1:$D$800,4,False),iferror(VLOOKUP(P791,'DO NOT TOUCH Imported'!$C$1:$D$800,2,False),"OOPS FIX ME"))</f>
        <v>divine_comedian</v>
      </c>
      <c r="B791" s="166" t="s">
        <v>441</v>
      </c>
      <c r="C791" s="167" t="s">
        <v>543</v>
      </c>
      <c r="D791" s="168" t="s">
        <v>437</v>
      </c>
      <c r="E791" s="169" t="s">
        <v>447</v>
      </c>
      <c r="F791" s="168" t="s">
        <v>439</v>
      </c>
      <c r="G791" s="170">
        <v>1000.0</v>
      </c>
      <c r="H791" s="171">
        <v>80.0</v>
      </c>
      <c r="I791" s="171">
        <v>100.0</v>
      </c>
      <c r="J791" s="172">
        <f t="shared" si="46"/>
        <v>0.0006595463701</v>
      </c>
      <c r="K791" s="173">
        <f t="shared" si="48"/>
        <v>0.7914556442</v>
      </c>
      <c r="L791" s="174">
        <f t="shared" si="9"/>
        <v>3.22455709</v>
      </c>
      <c r="M791" s="175" t="str">
        <f t="shared" si="10"/>
        <v>divine_comedian</v>
      </c>
      <c r="N791" s="176">
        <f>IFERROR(__xludf.DUMMYFUNCTION("""COMPUTED_VALUE"""),14.0)</f>
        <v>14</v>
      </c>
      <c r="O791" s="176"/>
      <c r="P791" s="166" t="s">
        <v>813</v>
      </c>
      <c r="Q791" s="166" t="s">
        <v>441</v>
      </c>
      <c r="R791" s="176"/>
      <c r="S791" s="176"/>
      <c r="T791" s="176"/>
      <c r="U791" s="176"/>
      <c r="V791" s="176"/>
      <c r="W791" s="176"/>
      <c r="X791" s="176"/>
      <c r="Y791" s="176"/>
      <c r="Z791" s="176"/>
      <c r="AA791" s="176"/>
    </row>
    <row r="792">
      <c r="A792" s="165" t="str">
        <f>iferror(VLOOKUP(P792,'DO NOT TOUCH Imported'!$A$1:$D$800,4,False),iferror(VLOOKUP(P792,'DO NOT TOUCH Imported'!$C$1:$D$800,2,False),"OOPS FIX ME"))</f>
        <v>divine_comedian</v>
      </c>
      <c r="B792" s="166" t="s">
        <v>483</v>
      </c>
      <c r="C792" s="167" t="s">
        <v>484</v>
      </c>
      <c r="D792" s="168" t="s">
        <v>437</v>
      </c>
      <c r="E792" s="169" t="s">
        <v>478</v>
      </c>
      <c r="F792" s="168" t="s">
        <v>439</v>
      </c>
      <c r="G792" s="170">
        <v>1000.0</v>
      </c>
      <c r="H792" s="171">
        <v>80.0</v>
      </c>
      <c r="I792" s="171">
        <v>100.0</v>
      </c>
      <c r="J792" s="172">
        <f t="shared" si="46"/>
        <v>0.0006595463701</v>
      </c>
      <c r="K792" s="173">
        <f t="shared" si="48"/>
        <v>0.7914556442</v>
      </c>
      <c r="L792" s="174">
        <f t="shared" si="9"/>
        <v>3.22455709</v>
      </c>
      <c r="M792" s="175" t="str">
        <f t="shared" si="10"/>
        <v>divine_comedian</v>
      </c>
      <c r="N792" s="176">
        <f>IFERROR(__xludf.DUMMYFUNCTION("""COMPUTED_VALUE"""),15.0)</f>
        <v>15</v>
      </c>
      <c r="O792" s="176"/>
      <c r="P792" s="166" t="s">
        <v>813</v>
      </c>
      <c r="Q792" s="166" t="s">
        <v>483</v>
      </c>
      <c r="R792" s="176"/>
      <c r="S792" s="176"/>
      <c r="T792" s="176"/>
      <c r="U792" s="176"/>
      <c r="V792" s="176"/>
      <c r="W792" s="176"/>
      <c r="X792" s="176"/>
      <c r="Y792" s="176"/>
      <c r="Z792" s="176"/>
      <c r="AA792" s="176"/>
    </row>
    <row r="793">
      <c r="A793" s="165" t="str">
        <f>iferror(VLOOKUP(P793,'DO NOT TOUCH Imported'!$A$1:$D$800,4,False),iferror(VLOOKUP(P793,'DO NOT TOUCH Imported'!$C$1:$D$800,2,False),"OOPS FIX ME"))</f>
        <v>divine_comedian</v>
      </c>
      <c r="B793" s="166" t="s">
        <v>486</v>
      </c>
      <c r="C793" s="167" t="s">
        <v>487</v>
      </c>
      <c r="D793" s="168" t="s">
        <v>437</v>
      </c>
      <c r="E793" s="169" t="s">
        <v>488</v>
      </c>
      <c r="F793" s="168" t="s">
        <v>439</v>
      </c>
      <c r="G793" s="170">
        <v>1000.0</v>
      </c>
      <c r="H793" s="171">
        <v>70.0</v>
      </c>
      <c r="I793" s="171">
        <v>100.0</v>
      </c>
      <c r="J793" s="172">
        <f t="shared" si="46"/>
        <v>0.0006276224767</v>
      </c>
      <c r="K793" s="173">
        <f t="shared" si="48"/>
        <v>0.7531469721</v>
      </c>
      <c r="L793" s="174">
        <f t="shared" si="9"/>
        <v>3.22455709</v>
      </c>
      <c r="M793" s="175" t="str">
        <f t="shared" si="10"/>
        <v>divine_comedian</v>
      </c>
      <c r="N793" s="176">
        <f>IFERROR(__xludf.DUMMYFUNCTION("""COMPUTED_VALUE"""),16.0)</f>
        <v>16</v>
      </c>
      <c r="O793" s="176"/>
      <c r="P793" s="166" t="s">
        <v>813</v>
      </c>
      <c r="Q793" s="166" t="s">
        <v>486</v>
      </c>
      <c r="R793" s="176"/>
      <c r="S793" s="176"/>
      <c r="T793" s="176"/>
      <c r="U793" s="176"/>
      <c r="V793" s="176"/>
      <c r="W793" s="176"/>
      <c r="X793" s="176"/>
      <c r="Y793" s="176"/>
      <c r="Z793" s="176"/>
      <c r="AA793" s="176"/>
    </row>
    <row r="794">
      <c r="A794" s="165" t="str">
        <f>iferror(VLOOKUP(P794,'DO NOT TOUCH Imported'!$A$1:$D$800,4,False),iferror(VLOOKUP(P794,'DO NOT TOUCH Imported'!$C$1:$D$800,2,False),"OOPS FIX ME"))</f>
        <v>divine_comedian</v>
      </c>
      <c r="B794" s="166" t="s">
        <v>441</v>
      </c>
      <c r="C794" s="167" t="s">
        <v>497</v>
      </c>
      <c r="D794" s="168" t="s">
        <v>437</v>
      </c>
      <c r="E794" s="169" t="s">
        <v>438</v>
      </c>
      <c r="F794" s="168" t="s">
        <v>439</v>
      </c>
      <c r="G794" s="170">
        <v>1000.0</v>
      </c>
      <c r="H794" s="171">
        <v>50.0</v>
      </c>
      <c r="I794" s="171">
        <v>100.0</v>
      </c>
      <c r="J794" s="172">
        <f t="shared" si="46"/>
        <v>0.0005637746898</v>
      </c>
      <c r="K794" s="173">
        <f t="shared" si="48"/>
        <v>0.6765296278</v>
      </c>
      <c r="L794" s="174">
        <f t="shared" si="9"/>
        <v>3.22455709</v>
      </c>
      <c r="M794" s="175" t="str">
        <f t="shared" si="10"/>
        <v>divine_comedian</v>
      </c>
      <c r="N794" s="176">
        <f>IFERROR(__xludf.DUMMYFUNCTION("""COMPUTED_VALUE"""),17.0)</f>
        <v>17</v>
      </c>
      <c r="O794" s="176"/>
      <c r="P794" s="166" t="s">
        <v>813</v>
      </c>
      <c r="Q794" s="166" t="s">
        <v>441</v>
      </c>
      <c r="R794" s="176"/>
      <c r="S794" s="176"/>
      <c r="T794" s="176"/>
      <c r="U794" s="176"/>
      <c r="V794" s="176"/>
      <c r="W794" s="176"/>
      <c r="X794" s="176"/>
      <c r="Y794" s="176"/>
      <c r="Z794" s="176"/>
      <c r="AA794" s="176"/>
    </row>
    <row r="795">
      <c r="A795" s="165" t="str">
        <f>iferror(VLOOKUP(P795,'DO NOT TOUCH Imported'!$A$1:$D$800,4,False),iferror(VLOOKUP(P795,'DO NOT TOUCH Imported'!$C$1:$D$800,2,False),"OOPS FIX ME"))</f>
        <v>divine_comedian</v>
      </c>
      <c r="B795" s="178" t="s">
        <v>10</v>
      </c>
      <c r="C795" s="179" t="s">
        <v>494</v>
      </c>
      <c r="D795" s="180" t="s">
        <v>495</v>
      </c>
      <c r="E795" s="181">
        <v>44324.0</v>
      </c>
      <c r="F795" s="182" t="s">
        <v>496</v>
      </c>
      <c r="G795" s="170">
        <v>1000.0</v>
      </c>
      <c r="H795" s="171">
        <v>50.0</v>
      </c>
      <c r="I795" s="171">
        <v>100.0</v>
      </c>
      <c r="J795" s="172">
        <f t="shared" si="46"/>
        <v>0.0005637746898</v>
      </c>
      <c r="K795" s="173">
        <f t="shared" si="48"/>
        <v>0.6765296278</v>
      </c>
      <c r="L795" s="174">
        <f t="shared" si="9"/>
        <v>3.22455709</v>
      </c>
      <c r="M795" s="175" t="str">
        <f t="shared" si="10"/>
        <v>divine_comedian</v>
      </c>
      <c r="N795" s="176">
        <f>IFERROR(__xludf.DUMMYFUNCTION("""COMPUTED_VALUE"""),18.0)</f>
        <v>18</v>
      </c>
      <c r="O795" s="176"/>
      <c r="P795" s="183" t="s">
        <v>48</v>
      </c>
      <c r="Q795" s="178" t="s">
        <v>10</v>
      </c>
      <c r="R795" s="176"/>
      <c r="S795" s="176"/>
      <c r="T795" s="176"/>
      <c r="U795" s="176"/>
      <c r="V795" s="176"/>
      <c r="W795" s="176"/>
      <c r="X795" s="176"/>
      <c r="Y795" s="176"/>
      <c r="Z795" s="176"/>
      <c r="AA795" s="176"/>
    </row>
    <row r="796">
      <c r="A796" s="185" t="s">
        <v>48</v>
      </c>
      <c r="B796" s="212" t="s">
        <v>534</v>
      </c>
      <c r="C796" s="186" t="s">
        <v>816</v>
      </c>
      <c r="D796" s="212"/>
      <c r="E796" s="214"/>
      <c r="F796" s="212"/>
      <c r="G796" s="212"/>
      <c r="H796" s="196"/>
      <c r="I796" s="196"/>
      <c r="J796" s="172">
        <f>(H796/$H$2+I796/$I$2)/2</f>
        <v>0</v>
      </c>
      <c r="K796" s="192">
        <f>21.496*-0.85</f>
        <v>-18.2716</v>
      </c>
      <c r="L796" s="193">
        <f t="shared" si="9"/>
        <v>3.22455709</v>
      </c>
      <c r="M796" s="194" t="str">
        <f t="shared" si="10"/>
        <v>divine_comedian</v>
      </c>
      <c r="N796" s="187">
        <f>IFERROR(__xludf.DUMMYFUNCTION("""COMPUTED_VALUE"""),19.0)</f>
        <v>19</v>
      </c>
      <c r="O796" s="212"/>
      <c r="P796" s="227" t="s">
        <v>25</v>
      </c>
      <c r="Q796" s="227" t="s">
        <v>534</v>
      </c>
      <c r="R796" s="187">
        <v>36.89669088595067</v>
      </c>
      <c r="S796" s="212"/>
      <c r="T796" s="212"/>
      <c r="U796" s="212"/>
      <c r="V796" s="212"/>
      <c r="W796" s="212"/>
      <c r="X796" s="212"/>
      <c r="Y796" s="212"/>
      <c r="Z796" s="212"/>
      <c r="AA796" s="226"/>
    </row>
    <row r="797">
      <c r="A797" s="165" t="str">
        <f>iferror(VLOOKUP(P797,'DO NOT TOUCH Imported'!$A$1:$D$800,4,False),iferror(VLOOKUP(P797,'DO NOT TOUCH Imported'!$C$1:$D$800,2,False),"OOPS FIX ME"))</f>
        <v>Krisjones</v>
      </c>
      <c r="B797" s="166" t="s">
        <v>20</v>
      </c>
      <c r="C797" s="167" t="s">
        <v>817</v>
      </c>
      <c r="D797" s="168" t="s">
        <v>437</v>
      </c>
      <c r="E797" s="177" t="s">
        <v>460</v>
      </c>
      <c r="F797" s="168" t="s">
        <v>439</v>
      </c>
      <c r="G797" s="170">
        <v>100000.0</v>
      </c>
      <c r="H797" s="171">
        <v>300.0</v>
      </c>
      <c r="I797" s="171">
        <v>100.0</v>
      </c>
      <c r="J797" s="172">
        <f t="shared" ref="J797:J805" si="49">(G797/$G$2+H797/$H$2+I797/$I$2)/3</f>
        <v>0.01169698007</v>
      </c>
      <c r="K797" s="173">
        <f t="shared" ref="K797:K805" si="50">J797*$J$1</f>
        <v>14.03637609</v>
      </c>
      <c r="L797" s="174">
        <f t="shared" si="9"/>
        <v>3.07265941</v>
      </c>
      <c r="M797" s="175" t="str">
        <f t="shared" si="10"/>
        <v>Krisjones</v>
      </c>
      <c r="N797" s="176">
        <f>IFERROR(__xludf.DUMMYFUNCTION("""COMPUTED_VALUE"""),1.0)</f>
        <v>1</v>
      </c>
      <c r="O797" s="176"/>
      <c r="P797" s="166" t="s">
        <v>530</v>
      </c>
      <c r="Q797" s="166" t="s">
        <v>20</v>
      </c>
      <c r="R797" s="176"/>
      <c r="S797" s="176"/>
      <c r="T797" s="176"/>
      <c r="U797" s="176"/>
      <c r="V797" s="176"/>
      <c r="W797" s="176"/>
      <c r="X797" s="176"/>
      <c r="Y797" s="176"/>
      <c r="Z797" s="176"/>
      <c r="AA797" s="176"/>
    </row>
    <row r="798">
      <c r="A798" s="165" t="str">
        <f>iferror(VLOOKUP(P798,'DO NOT TOUCH Imported'!$A$1:$D$800,4,False),iferror(VLOOKUP(P798,'DO NOT TOUCH Imported'!$C$1:$D$800,2,False),"OOPS FIX ME"))</f>
        <v>Krisjones</v>
      </c>
      <c r="B798" s="166" t="s">
        <v>441</v>
      </c>
      <c r="C798" s="167" t="s">
        <v>524</v>
      </c>
      <c r="D798" s="168" t="s">
        <v>437</v>
      </c>
      <c r="E798" s="177" t="s">
        <v>447</v>
      </c>
      <c r="F798" s="168" t="s">
        <v>439</v>
      </c>
      <c r="G798" s="170">
        <v>1000.0</v>
      </c>
      <c r="H798" s="171">
        <v>200.0</v>
      </c>
      <c r="I798" s="171">
        <v>100.0</v>
      </c>
      <c r="J798" s="172">
        <f t="shared" si="49"/>
        <v>0.001042633091</v>
      </c>
      <c r="K798" s="173">
        <f t="shared" si="50"/>
        <v>1.25115971</v>
      </c>
      <c r="L798" s="174">
        <f t="shared" si="9"/>
        <v>3.07265941</v>
      </c>
      <c r="M798" s="175" t="str">
        <f t="shared" si="10"/>
        <v>Krisjones</v>
      </c>
      <c r="N798" s="176">
        <f>IFERROR(__xludf.DUMMYFUNCTION("""COMPUTED_VALUE"""),2.0)</f>
        <v>2</v>
      </c>
      <c r="O798" s="176"/>
      <c r="P798" s="166" t="s">
        <v>530</v>
      </c>
      <c r="Q798" s="166" t="s">
        <v>441</v>
      </c>
      <c r="R798" s="176"/>
      <c r="S798" s="176"/>
      <c r="T798" s="176"/>
      <c r="U798" s="176"/>
      <c r="V798" s="176"/>
      <c r="W798" s="176"/>
      <c r="X798" s="176"/>
      <c r="Y798" s="176"/>
      <c r="Z798" s="176"/>
      <c r="AA798" s="176"/>
    </row>
    <row r="799">
      <c r="A799" s="165" t="str">
        <f>iferror(VLOOKUP(P799,'DO NOT TOUCH Imported'!$A$1:$D$800,4,False),iferror(VLOOKUP(P799,'DO NOT TOUCH Imported'!$C$1:$D$800,2,False),"OOPS FIX ME"))</f>
        <v>Krisjones</v>
      </c>
      <c r="B799" s="166" t="s">
        <v>441</v>
      </c>
      <c r="C799" s="167" t="s">
        <v>456</v>
      </c>
      <c r="D799" s="168" t="s">
        <v>437</v>
      </c>
      <c r="E799" s="169" t="s">
        <v>438</v>
      </c>
      <c r="F799" s="168" t="s">
        <v>439</v>
      </c>
      <c r="G799" s="170">
        <v>1000.0</v>
      </c>
      <c r="H799" s="171">
        <v>100.0</v>
      </c>
      <c r="I799" s="171">
        <v>200.0</v>
      </c>
      <c r="J799" s="172">
        <f t="shared" si="49"/>
        <v>0.001023154349</v>
      </c>
      <c r="K799" s="173">
        <f t="shared" si="50"/>
        <v>1.227785219</v>
      </c>
      <c r="L799" s="174">
        <f t="shared" si="9"/>
        <v>3.07265941</v>
      </c>
      <c r="M799" s="175" t="str">
        <f t="shared" si="10"/>
        <v>Krisjones</v>
      </c>
      <c r="N799" s="176">
        <f>IFERROR(__xludf.DUMMYFUNCTION("""COMPUTED_VALUE"""),3.0)</f>
        <v>3</v>
      </c>
      <c r="O799" s="176"/>
      <c r="P799" s="166" t="s">
        <v>530</v>
      </c>
      <c r="Q799" s="166" t="s">
        <v>441</v>
      </c>
      <c r="R799" s="176"/>
      <c r="S799" s="176"/>
      <c r="T799" s="176"/>
      <c r="U799" s="176"/>
      <c r="V799" s="176"/>
      <c r="W799" s="176"/>
      <c r="X799" s="176"/>
      <c r="Y799" s="176"/>
      <c r="Z799" s="176"/>
      <c r="AA799" s="176"/>
    </row>
    <row r="800">
      <c r="A800" s="165" t="str">
        <f>iferror(VLOOKUP(P800,'DO NOT TOUCH Imported'!$A$1:$D$800,4,False),iferror(VLOOKUP(P800,'DO NOT TOUCH Imported'!$C$1:$D$800,2,False),"OOPS FIX ME"))</f>
        <v>Krisjones</v>
      </c>
      <c r="B800" s="166" t="s">
        <v>450</v>
      </c>
      <c r="C800" s="167" t="s">
        <v>472</v>
      </c>
      <c r="D800" s="168" t="s">
        <v>437</v>
      </c>
      <c r="E800" s="177" t="s">
        <v>452</v>
      </c>
      <c r="F800" s="168" t="s">
        <v>473</v>
      </c>
      <c r="G800" s="170">
        <v>1000.0</v>
      </c>
      <c r="H800" s="171">
        <v>100.0</v>
      </c>
      <c r="I800" s="171">
        <v>100.0</v>
      </c>
      <c r="J800" s="172">
        <f t="shared" si="49"/>
        <v>0.000723394157</v>
      </c>
      <c r="K800" s="173">
        <f t="shared" si="50"/>
        <v>0.8680729884</v>
      </c>
      <c r="L800" s="174">
        <f t="shared" si="9"/>
        <v>3.07265941</v>
      </c>
      <c r="M800" s="175" t="str">
        <f t="shared" si="10"/>
        <v>Krisjones</v>
      </c>
      <c r="N800" s="176">
        <f>IFERROR(__xludf.DUMMYFUNCTION("""COMPUTED_VALUE"""),4.0)</f>
        <v>4</v>
      </c>
      <c r="O800" s="176"/>
      <c r="P800" s="166" t="s">
        <v>530</v>
      </c>
      <c r="Q800" s="166" t="s">
        <v>450</v>
      </c>
      <c r="R800" s="176"/>
      <c r="S800" s="176"/>
      <c r="T800" s="176"/>
      <c r="U800" s="176"/>
      <c r="V800" s="176"/>
      <c r="W800" s="176"/>
      <c r="X800" s="176"/>
      <c r="Y800" s="176"/>
      <c r="Z800" s="176"/>
      <c r="AA800" s="176"/>
    </row>
    <row r="801">
      <c r="A801" s="165" t="str">
        <f>iferror(VLOOKUP(P801,'DO NOT TOUCH Imported'!$A$1:$D$800,4,False),iferror(VLOOKUP(P801,'DO NOT TOUCH Imported'!$C$1:$D$800,2,False),"OOPS FIX ME"))</f>
        <v>Krisjones</v>
      </c>
      <c r="B801" s="166" t="s">
        <v>240</v>
      </c>
      <c r="C801" s="167" t="s">
        <v>818</v>
      </c>
      <c r="D801" s="168" t="s">
        <v>499</v>
      </c>
      <c r="E801" s="169" t="s">
        <v>506</v>
      </c>
      <c r="F801" s="168" t="s">
        <v>503</v>
      </c>
      <c r="G801" s="170">
        <v>1000.0</v>
      </c>
      <c r="H801" s="171">
        <v>100.0</v>
      </c>
      <c r="I801" s="171">
        <v>100.0</v>
      </c>
      <c r="J801" s="172">
        <f t="shared" si="49"/>
        <v>0.000723394157</v>
      </c>
      <c r="K801" s="173">
        <f t="shared" si="50"/>
        <v>0.8680729884</v>
      </c>
      <c r="L801" s="174">
        <f t="shared" si="9"/>
        <v>3.07265941</v>
      </c>
      <c r="M801" s="175" t="str">
        <f t="shared" si="10"/>
        <v>Krisjones</v>
      </c>
      <c r="N801" s="176">
        <f>IFERROR(__xludf.DUMMYFUNCTION("""COMPUTED_VALUE"""),5.0)</f>
        <v>5</v>
      </c>
      <c r="O801" s="176"/>
      <c r="P801" s="166" t="s">
        <v>530</v>
      </c>
      <c r="Q801" s="166" t="s">
        <v>240</v>
      </c>
      <c r="R801" s="176"/>
      <c r="S801" s="176"/>
      <c r="T801" s="176"/>
      <c r="U801" s="176"/>
      <c r="V801" s="176"/>
      <c r="W801" s="176"/>
      <c r="X801" s="176"/>
      <c r="Y801" s="176"/>
      <c r="Z801" s="176"/>
      <c r="AA801" s="176"/>
    </row>
    <row r="802">
      <c r="A802" s="165" t="str">
        <f>iferror(VLOOKUP(P802,'DO NOT TOUCH Imported'!$A$1:$D$800,4,False),iferror(VLOOKUP(P802,'DO NOT TOUCH Imported'!$C$1:$D$800,2,False),"OOPS FIX ME"))</f>
        <v>Krisjones</v>
      </c>
      <c r="B802" s="166" t="s">
        <v>441</v>
      </c>
      <c r="C802" s="167" t="s">
        <v>497</v>
      </c>
      <c r="D802" s="168" t="s">
        <v>437</v>
      </c>
      <c r="E802" s="177" t="s">
        <v>438</v>
      </c>
      <c r="F802" s="168" t="s">
        <v>439</v>
      </c>
      <c r="G802" s="170">
        <v>1000.0</v>
      </c>
      <c r="H802" s="171">
        <v>50.0</v>
      </c>
      <c r="I802" s="171">
        <v>100.0</v>
      </c>
      <c r="J802" s="172">
        <f t="shared" si="49"/>
        <v>0.0005637746898</v>
      </c>
      <c r="K802" s="173">
        <f t="shared" si="50"/>
        <v>0.6765296278</v>
      </c>
      <c r="L802" s="174">
        <f t="shared" si="9"/>
        <v>3.07265941</v>
      </c>
      <c r="M802" s="175" t="str">
        <f t="shared" si="10"/>
        <v>Krisjones</v>
      </c>
      <c r="N802" s="176">
        <f>IFERROR(__xludf.DUMMYFUNCTION("""COMPUTED_VALUE"""),6.0)</f>
        <v>6</v>
      </c>
      <c r="O802" s="176"/>
      <c r="P802" s="166" t="s">
        <v>530</v>
      </c>
      <c r="Q802" s="166" t="s">
        <v>441</v>
      </c>
      <c r="R802" s="176"/>
      <c r="S802" s="176"/>
      <c r="T802" s="176"/>
      <c r="U802" s="176"/>
      <c r="V802" s="176"/>
      <c r="W802" s="176"/>
      <c r="X802" s="176"/>
      <c r="Y802" s="176"/>
      <c r="Z802" s="176"/>
      <c r="AA802" s="176"/>
    </row>
    <row r="803">
      <c r="A803" s="165" t="str">
        <f>iferror(VLOOKUP(P803,'DO NOT TOUCH Imported'!$A$1:$D$800,4,False),iferror(VLOOKUP(P803,'DO NOT TOUCH Imported'!$C$1:$D$800,2,False),"OOPS FIX ME"))</f>
        <v>Krisjones</v>
      </c>
      <c r="B803" s="178" t="s">
        <v>10</v>
      </c>
      <c r="C803" s="179" t="s">
        <v>498</v>
      </c>
      <c r="D803" s="180" t="s">
        <v>495</v>
      </c>
      <c r="E803" s="184">
        <v>44316.0</v>
      </c>
      <c r="F803" s="182" t="s">
        <v>499</v>
      </c>
      <c r="G803" s="170">
        <v>500.0</v>
      </c>
      <c r="H803" s="171">
        <v>25.0</v>
      </c>
      <c r="I803" s="171">
        <v>100.0</v>
      </c>
      <c r="J803" s="172">
        <f t="shared" si="49"/>
        <v>0.0004317674408</v>
      </c>
      <c r="K803" s="173">
        <f t="shared" si="50"/>
        <v>0.518120929</v>
      </c>
      <c r="L803" s="174">
        <f t="shared" si="9"/>
        <v>3.07265941</v>
      </c>
      <c r="M803" s="175" t="str">
        <f t="shared" si="10"/>
        <v>Krisjones</v>
      </c>
      <c r="N803" s="176">
        <f>IFERROR(__xludf.DUMMYFUNCTION("""COMPUTED_VALUE"""),7.0)</f>
        <v>7</v>
      </c>
      <c r="O803" s="176"/>
      <c r="P803" s="183" t="s">
        <v>59</v>
      </c>
      <c r="Q803" s="178" t="s">
        <v>10</v>
      </c>
      <c r="R803" s="176"/>
      <c r="S803" s="176"/>
      <c r="T803" s="176"/>
      <c r="U803" s="176"/>
      <c r="V803" s="176"/>
      <c r="W803" s="176"/>
      <c r="X803" s="176"/>
      <c r="Y803" s="176"/>
      <c r="Z803" s="176"/>
      <c r="AA803" s="176"/>
    </row>
    <row r="804">
      <c r="A804" s="165" t="str">
        <f>iferror(VLOOKUP(P804,'DO NOT TOUCH Imported'!$A$1:$D$800,4,False),iferror(VLOOKUP(P804,'DO NOT TOUCH Imported'!$C$1:$D$800,2,False),"OOPS FIX ME"))</f>
        <v>Krisjones</v>
      </c>
      <c r="B804" s="178" t="s">
        <v>10</v>
      </c>
      <c r="C804" s="179" t="s">
        <v>498</v>
      </c>
      <c r="D804" s="180" t="s">
        <v>495</v>
      </c>
      <c r="E804" s="181">
        <v>44323.0</v>
      </c>
      <c r="F804" s="182" t="s">
        <v>499</v>
      </c>
      <c r="G804" s="170">
        <v>500.0</v>
      </c>
      <c r="H804" s="171">
        <v>25.0</v>
      </c>
      <c r="I804" s="171">
        <v>100.0</v>
      </c>
      <c r="J804" s="172">
        <f t="shared" si="49"/>
        <v>0.0004317674408</v>
      </c>
      <c r="K804" s="173">
        <f t="shared" si="50"/>
        <v>0.518120929</v>
      </c>
      <c r="L804" s="174">
        <f t="shared" si="9"/>
        <v>3.07265941</v>
      </c>
      <c r="M804" s="175" t="str">
        <f t="shared" si="10"/>
        <v>Krisjones</v>
      </c>
      <c r="N804" s="176">
        <f>IFERROR(__xludf.DUMMYFUNCTION("""COMPUTED_VALUE"""),8.0)</f>
        <v>8</v>
      </c>
      <c r="O804" s="176"/>
      <c r="P804" s="183" t="s">
        <v>59</v>
      </c>
      <c r="Q804" s="178" t="s">
        <v>10</v>
      </c>
      <c r="R804" s="176"/>
      <c r="S804" s="176"/>
      <c r="T804" s="176"/>
      <c r="U804" s="176"/>
      <c r="V804" s="176"/>
      <c r="W804" s="176"/>
      <c r="X804" s="176"/>
      <c r="Y804" s="176"/>
      <c r="Z804" s="176"/>
      <c r="AA804" s="176"/>
    </row>
    <row r="805">
      <c r="A805" s="165" t="str">
        <f>iferror(VLOOKUP(P805,'DO NOT TOUCH Imported'!$A$1:$D$800,4,False),iferror(VLOOKUP(P805,'DO NOT TOUCH Imported'!$C$1:$D$800,2,False),"OOPS FIX ME"))</f>
        <v>Krisjones</v>
      </c>
      <c r="B805" s="178" t="s">
        <v>10</v>
      </c>
      <c r="C805" s="179" t="s">
        <v>500</v>
      </c>
      <c r="D805" s="180" t="s">
        <v>495</v>
      </c>
      <c r="E805" s="181">
        <v>44324.0</v>
      </c>
      <c r="F805" s="182" t="s">
        <v>496</v>
      </c>
      <c r="G805" s="170">
        <v>500.0</v>
      </c>
      <c r="H805" s="171">
        <v>25.0</v>
      </c>
      <c r="I805" s="171">
        <v>100.0</v>
      </c>
      <c r="J805" s="172">
        <f t="shared" si="49"/>
        <v>0.0004317674408</v>
      </c>
      <c r="K805" s="173">
        <f t="shared" si="50"/>
        <v>0.518120929</v>
      </c>
      <c r="L805" s="174">
        <f t="shared" si="9"/>
        <v>3.07265941</v>
      </c>
      <c r="M805" s="175" t="str">
        <f t="shared" si="10"/>
        <v>Krisjones</v>
      </c>
      <c r="N805" s="176">
        <f>IFERROR(__xludf.DUMMYFUNCTION("""COMPUTED_VALUE"""),9.0)</f>
        <v>9</v>
      </c>
      <c r="O805" s="176"/>
      <c r="P805" s="183" t="s">
        <v>59</v>
      </c>
      <c r="Q805" s="178" t="s">
        <v>10</v>
      </c>
      <c r="R805" s="176"/>
      <c r="S805" s="176"/>
      <c r="T805" s="176"/>
      <c r="U805" s="176"/>
      <c r="V805" s="176"/>
      <c r="W805" s="176"/>
      <c r="X805" s="176"/>
      <c r="Y805" s="176"/>
      <c r="Z805" s="176"/>
      <c r="AA805" s="176"/>
    </row>
    <row r="806">
      <c r="A806" s="185" t="str">
        <f>iferror(VLOOKUP(P806,'DO NOT TOUCH Imported'!$A$1:$D$800,4,False),iferror(VLOOKUP(P806,'DO NOT TOUCH Imported'!$C$1:$D$800,2,False),"OOPS FIX ME"))</f>
        <v>Krisjones</v>
      </c>
      <c r="B806" s="185" t="s">
        <v>534</v>
      </c>
      <c r="C806" s="228" t="s">
        <v>810</v>
      </c>
      <c r="D806" s="187"/>
      <c r="E806" s="188"/>
      <c r="F806" s="189"/>
      <c r="G806" s="190"/>
      <c r="H806" s="190"/>
      <c r="I806" s="190"/>
      <c r="J806" s="172">
        <f>(H806/$H$2+I806/$I$2)/2</f>
        <v>0</v>
      </c>
      <c r="K806" s="192">
        <f>20.482*-0.85</f>
        <v>-17.4097</v>
      </c>
      <c r="L806" s="193">
        <f t="shared" si="9"/>
        <v>3.07265941</v>
      </c>
      <c r="M806" s="194" t="str">
        <f t="shared" si="10"/>
        <v>Krisjones</v>
      </c>
      <c r="N806" s="195">
        <f>IFERROR(__xludf.DUMMYFUNCTION("""COMPUTED_VALUE"""),10.0)</f>
        <v>10</v>
      </c>
      <c r="O806" s="195"/>
      <c r="P806" s="185" t="s">
        <v>59</v>
      </c>
      <c r="Q806" s="185" t="s">
        <v>534</v>
      </c>
      <c r="R806" s="195">
        <v>14.561258630642886</v>
      </c>
      <c r="S806" s="195"/>
      <c r="T806" s="195"/>
      <c r="U806" s="195"/>
      <c r="V806" s="195"/>
      <c r="W806" s="195"/>
      <c r="X806" s="195"/>
      <c r="Y806" s="195"/>
      <c r="Z806" s="195"/>
      <c r="AA806" s="176"/>
    </row>
    <row r="807">
      <c r="A807" s="165" t="str">
        <f>iferror(VLOOKUP(P807,'DO NOT TOUCH Imported'!$A$1:$D$800,4,False),iferror(VLOOKUP(P807,'DO NOT TOUCH Imported'!$C$1:$D$800,2,False),"OOPS FIX ME"))</f>
        <v>The Blockchain Socialist#5005</v>
      </c>
      <c r="B807" s="166" t="s">
        <v>530</v>
      </c>
      <c r="C807" s="167" t="s">
        <v>819</v>
      </c>
      <c r="D807" s="168" t="s">
        <v>499</v>
      </c>
      <c r="E807" s="169" t="s">
        <v>452</v>
      </c>
      <c r="F807" s="168" t="s">
        <v>503</v>
      </c>
      <c r="G807" s="170">
        <v>1000.0</v>
      </c>
      <c r="H807" s="171">
        <v>200.0</v>
      </c>
      <c r="I807" s="171">
        <v>100.0</v>
      </c>
      <c r="J807" s="172">
        <f t="shared" ref="J807:J832" si="51">(G807/$G$2+H807/$H$2+I807/$I$2)/3</f>
        <v>0.001042633091</v>
      </c>
      <c r="K807" s="173">
        <f t="shared" ref="K807:K832" si="52">J807*$J$1</f>
        <v>1.25115971</v>
      </c>
      <c r="L807" s="174">
        <f t="shared" si="9"/>
        <v>2.963931196</v>
      </c>
      <c r="M807" s="175" t="str">
        <f t="shared" si="10"/>
        <v>The Blockchain Socialist#5005</v>
      </c>
      <c r="N807" s="176">
        <f>IFERROR(__xludf.DUMMYFUNCTION("""COMPUTED_VALUE"""),1.0)</f>
        <v>1</v>
      </c>
      <c r="O807" s="176"/>
      <c r="P807" s="166" t="s">
        <v>205</v>
      </c>
      <c r="Q807" s="166" t="s">
        <v>530</v>
      </c>
      <c r="R807" s="176"/>
      <c r="S807" s="176"/>
      <c r="T807" s="176"/>
      <c r="U807" s="176"/>
      <c r="V807" s="176"/>
      <c r="W807" s="176"/>
      <c r="X807" s="176"/>
      <c r="Y807" s="176"/>
      <c r="Z807" s="176"/>
      <c r="AA807" s="176"/>
    </row>
    <row r="808">
      <c r="A808" s="165" t="str">
        <f>iferror(VLOOKUP(P808,'DO NOT TOUCH Imported'!$A$1:$D$800,4,False),iferror(VLOOKUP(P808,'DO NOT TOUCH Imported'!$C$1:$D$800,2,False),"OOPS FIX ME"))</f>
        <v>The Blockchain Socialist#5005</v>
      </c>
      <c r="B808" s="166" t="s">
        <v>530</v>
      </c>
      <c r="C808" s="167" t="s">
        <v>772</v>
      </c>
      <c r="D808" s="168" t="s">
        <v>499</v>
      </c>
      <c r="E808" s="177" t="s">
        <v>452</v>
      </c>
      <c r="F808" s="168" t="s">
        <v>503</v>
      </c>
      <c r="G808" s="170">
        <v>1000.0</v>
      </c>
      <c r="H808" s="171">
        <v>50.0</v>
      </c>
      <c r="I808" s="171">
        <v>100.0</v>
      </c>
      <c r="J808" s="172">
        <f t="shared" si="51"/>
        <v>0.0005637746898</v>
      </c>
      <c r="K808" s="173">
        <f t="shared" si="52"/>
        <v>0.6765296278</v>
      </c>
      <c r="L808" s="174">
        <f t="shared" si="9"/>
        <v>2.963931196</v>
      </c>
      <c r="M808" s="175" t="str">
        <f t="shared" si="10"/>
        <v>The Blockchain Socialist#5005</v>
      </c>
      <c r="N808" s="176">
        <f>IFERROR(__xludf.DUMMYFUNCTION("""COMPUTED_VALUE"""),2.0)</f>
        <v>2</v>
      </c>
      <c r="O808" s="176"/>
      <c r="P808" s="166" t="s">
        <v>205</v>
      </c>
      <c r="Q808" s="166" t="s">
        <v>530</v>
      </c>
      <c r="R808" s="176"/>
      <c r="S808" s="176"/>
      <c r="T808" s="176"/>
      <c r="U808" s="176"/>
      <c r="V808" s="176"/>
      <c r="W808" s="176"/>
      <c r="X808" s="176"/>
      <c r="Y808" s="176"/>
      <c r="Z808" s="176"/>
      <c r="AA808" s="176"/>
    </row>
    <row r="809">
      <c r="A809" s="165" t="str">
        <f>iferror(VLOOKUP(P809,'DO NOT TOUCH Imported'!$A$1:$D$800,4,False),iferror(VLOOKUP(P809,'DO NOT TOUCH Imported'!$C$1:$D$800,2,False),"OOPS FIX ME"))</f>
        <v>The Blockchain Socialist#5005</v>
      </c>
      <c r="B809" s="166" t="s">
        <v>441</v>
      </c>
      <c r="C809" s="167" t="s">
        <v>574</v>
      </c>
      <c r="D809" s="168" t="s">
        <v>499</v>
      </c>
      <c r="E809" s="169" t="s">
        <v>438</v>
      </c>
      <c r="F809" s="168" t="s">
        <v>571</v>
      </c>
      <c r="G809" s="170">
        <v>500.0</v>
      </c>
      <c r="H809" s="171">
        <v>25.0</v>
      </c>
      <c r="I809" s="171">
        <v>100.0</v>
      </c>
      <c r="J809" s="172">
        <f t="shared" si="51"/>
        <v>0.0004317674408</v>
      </c>
      <c r="K809" s="173">
        <f t="shared" si="52"/>
        <v>0.518120929</v>
      </c>
      <c r="L809" s="174">
        <f t="shared" si="9"/>
        <v>2.963931196</v>
      </c>
      <c r="M809" s="175" t="str">
        <f t="shared" si="10"/>
        <v>The Blockchain Socialist#5005</v>
      </c>
      <c r="N809" s="176">
        <f>IFERROR(__xludf.DUMMYFUNCTION("""COMPUTED_VALUE"""),3.0)</f>
        <v>3</v>
      </c>
      <c r="O809" s="176"/>
      <c r="P809" s="166" t="s">
        <v>205</v>
      </c>
      <c r="Q809" s="166" t="s">
        <v>441</v>
      </c>
      <c r="R809" s="176"/>
      <c r="S809" s="176"/>
      <c r="T809" s="176"/>
      <c r="U809" s="176"/>
      <c r="V809" s="176"/>
      <c r="W809" s="176"/>
      <c r="X809" s="176"/>
      <c r="Y809" s="176"/>
      <c r="Z809" s="176"/>
      <c r="AA809" s="176"/>
    </row>
    <row r="810">
      <c r="A810" s="165" t="str">
        <f>iferror(VLOOKUP(P810,'DO NOT TOUCH Imported'!$A$1:$D$800,4,False),iferror(VLOOKUP(P810,'DO NOT TOUCH Imported'!$C$1:$D$800,2,False),"OOPS FIX ME"))</f>
        <v>The Blockchain Socialist#5005</v>
      </c>
      <c r="B810" s="166" t="s">
        <v>441</v>
      </c>
      <c r="C810" s="167" t="s">
        <v>572</v>
      </c>
      <c r="D810" s="168" t="s">
        <v>499</v>
      </c>
      <c r="E810" s="169" t="s">
        <v>438</v>
      </c>
      <c r="F810" s="168" t="s">
        <v>503</v>
      </c>
      <c r="G810" s="170">
        <v>500.0</v>
      </c>
      <c r="H810" s="171">
        <v>25.0</v>
      </c>
      <c r="I810" s="171">
        <v>100.0</v>
      </c>
      <c r="J810" s="172">
        <f t="shared" si="51"/>
        <v>0.0004317674408</v>
      </c>
      <c r="K810" s="173">
        <f t="shared" si="52"/>
        <v>0.518120929</v>
      </c>
      <c r="L810" s="174">
        <f t="shared" si="9"/>
        <v>2.963931196</v>
      </c>
      <c r="M810" s="175" t="str">
        <f t="shared" si="10"/>
        <v>The Blockchain Socialist#5005</v>
      </c>
      <c r="N810" s="176">
        <f>IFERROR(__xludf.DUMMYFUNCTION("""COMPUTED_VALUE"""),4.0)</f>
        <v>4</v>
      </c>
      <c r="O810" s="176"/>
      <c r="P810" s="166" t="s">
        <v>205</v>
      </c>
      <c r="Q810" s="166" t="s">
        <v>441</v>
      </c>
      <c r="R810" s="176"/>
      <c r="S810" s="176"/>
      <c r="T810" s="176"/>
      <c r="U810" s="176"/>
      <c r="V810" s="176"/>
      <c r="W810" s="176"/>
      <c r="X810" s="176"/>
      <c r="Y810" s="176"/>
      <c r="Z810" s="176"/>
      <c r="AA810" s="176"/>
    </row>
    <row r="811">
      <c r="A811" s="165" t="str">
        <f>iferror(VLOOKUP(P811,'DO NOT TOUCH Imported'!$A$1:$D$800,4,False),iferror(VLOOKUP(P811,'DO NOT TOUCH Imported'!$C$1:$D$800,2,False),"OOPS FIX ME"))</f>
        <v>WhyldWanderer#7002</v>
      </c>
      <c r="B811" s="166" t="s">
        <v>566</v>
      </c>
      <c r="C811" s="167" t="s">
        <v>820</v>
      </c>
      <c r="D811" s="168" t="s">
        <v>499</v>
      </c>
      <c r="E811" s="169" t="s">
        <v>452</v>
      </c>
      <c r="F811" s="168" t="s">
        <v>503</v>
      </c>
      <c r="G811" s="170">
        <v>1000.0</v>
      </c>
      <c r="H811" s="171">
        <v>100.0</v>
      </c>
      <c r="I811" s="171">
        <v>100.0</v>
      </c>
      <c r="J811" s="172">
        <f t="shared" si="51"/>
        <v>0.000723394157</v>
      </c>
      <c r="K811" s="173">
        <f t="shared" si="52"/>
        <v>0.8680729884</v>
      </c>
      <c r="L811" s="174">
        <f t="shared" si="9"/>
        <v>2.940556704</v>
      </c>
      <c r="M811" s="175" t="str">
        <f t="shared" si="10"/>
        <v>WhyldWanderer#7002</v>
      </c>
      <c r="N811" s="176">
        <f>IFERROR(__xludf.DUMMYFUNCTION("""COMPUTED_VALUE"""),1.0)</f>
        <v>1</v>
      </c>
      <c r="O811" s="176"/>
      <c r="P811" s="166" t="s">
        <v>195</v>
      </c>
      <c r="Q811" s="166" t="s">
        <v>566</v>
      </c>
      <c r="R811" s="176"/>
      <c r="S811" s="176"/>
      <c r="T811" s="176"/>
      <c r="U811" s="176"/>
      <c r="V811" s="176"/>
      <c r="W811" s="176"/>
      <c r="X811" s="176"/>
      <c r="Y811" s="176"/>
      <c r="Z811" s="176"/>
      <c r="AA811" s="176"/>
    </row>
    <row r="812">
      <c r="A812" s="165" t="str">
        <f>iferror(VLOOKUP(P812,'DO NOT TOUCH Imported'!$A$1:$D$800,4,False),iferror(VLOOKUP(P812,'DO NOT TOUCH Imported'!$C$1:$D$800,2,False),"OOPS FIX ME"))</f>
        <v>WhyldWanderer#7002</v>
      </c>
      <c r="B812" s="166" t="s">
        <v>441</v>
      </c>
      <c r="C812" s="167" t="s">
        <v>570</v>
      </c>
      <c r="D812" s="168" t="s">
        <v>499</v>
      </c>
      <c r="E812" s="177" t="s">
        <v>447</v>
      </c>
      <c r="F812" s="168" t="s">
        <v>571</v>
      </c>
      <c r="G812" s="170">
        <v>500.0</v>
      </c>
      <c r="H812" s="171">
        <v>25.0</v>
      </c>
      <c r="I812" s="171">
        <v>100.0</v>
      </c>
      <c r="J812" s="172">
        <f t="shared" si="51"/>
        <v>0.0004317674408</v>
      </c>
      <c r="K812" s="173">
        <f t="shared" si="52"/>
        <v>0.518120929</v>
      </c>
      <c r="L812" s="174">
        <f t="shared" si="9"/>
        <v>2.940556704</v>
      </c>
      <c r="M812" s="175" t="str">
        <f t="shared" si="10"/>
        <v>WhyldWanderer#7002</v>
      </c>
      <c r="N812" s="176">
        <f>IFERROR(__xludf.DUMMYFUNCTION("""COMPUTED_VALUE"""),2.0)</f>
        <v>2</v>
      </c>
      <c r="O812" s="176"/>
      <c r="P812" s="166" t="s">
        <v>195</v>
      </c>
      <c r="Q812" s="166" t="s">
        <v>441</v>
      </c>
      <c r="R812" s="176"/>
      <c r="S812" s="176"/>
      <c r="T812" s="176"/>
      <c r="U812" s="176"/>
      <c r="V812" s="176"/>
      <c r="W812" s="176"/>
      <c r="X812" s="176"/>
      <c r="Y812" s="176"/>
      <c r="Z812" s="176"/>
      <c r="AA812" s="176"/>
    </row>
    <row r="813">
      <c r="A813" s="165" t="str">
        <f>iferror(VLOOKUP(P813,'DO NOT TOUCH Imported'!$A$1:$D$800,4,False),iferror(VLOOKUP(P813,'DO NOT TOUCH Imported'!$C$1:$D$800,2,False),"OOPS FIX ME"))</f>
        <v>WhyldWanderer#7002</v>
      </c>
      <c r="B813" s="166" t="s">
        <v>441</v>
      </c>
      <c r="C813" s="167" t="s">
        <v>572</v>
      </c>
      <c r="D813" s="168" t="s">
        <v>499</v>
      </c>
      <c r="E813" s="169" t="s">
        <v>447</v>
      </c>
      <c r="F813" s="168" t="s">
        <v>503</v>
      </c>
      <c r="G813" s="170">
        <v>500.0</v>
      </c>
      <c r="H813" s="171">
        <v>25.0</v>
      </c>
      <c r="I813" s="171">
        <v>100.0</v>
      </c>
      <c r="J813" s="172">
        <f t="shared" si="51"/>
        <v>0.0004317674408</v>
      </c>
      <c r="K813" s="173">
        <f t="shared" si="52"/>
        <v>0.518120929</v>
      </c>
      <c r="L813" s="174">
        <f t="shared" si="9"/>
        <v>2.940556704</v>
      </c>
      <c r="M813" s="175" t="str">
        <f t="shared" si="10"/>
        <v>WhyldWanderer#7002</v>
      </c>
      <c r="N813" s="176">
        <f>IFERROR(__xludf.DUMMYFUNCTION("""COMPUTED_VALUE"""),3.0)</f>
        <v>3</v>
      </c>
      <c r="O813" s="176"/>
      <c r="P813" s="166" t="s">
        <v>195</v>
      </c>
      <c r="Q813" s="166" t="s">
        <v>441</v>
      </c>
      <c r="R813" s="176"/>
      <c r="S813" s="176"/>
      <c r="T813" s="176"/>
      <c r="U813" s="176"/>
      <c r="V813" s="176"/>
      <c r="W813" s="176"/>
      <c r="X813" s="176"/>
      <c r="Y813" s="176"/>
      <c r="Z813" s="176"/>
      <c r="AA813" s="176"/>
    </row>
    <row r="814">
      <c r="A814" s="165" t="str">
        <f>iferror(VLOOKUP(P814,'DO NOT TOUCH Imported'!$A$1:$D$800,4,False),iferror(VLOOKUP(P814,'DO NOT TOUCH Imported'!$C$1:$D$800,2,False),"OOPS FIX ME"))</f>
        <v>WhyldWanderer#7002</v>
      </c>
      <c r="B814" s="166" t="s">
        <v>441</v>
      </c>
      <c r="C814" s="167" t="s">
        <v>574</v>
      </c>
      <c r="D814" s="168" t="s">
        <v>499</v>
      </c>
      <c r="E814" s="169" t="s">
        <v>438</v>
      </c>
      <c r="F814" s="168" t="s">
        <v>571</v>
      </c>
      <c r="G814" s="170">
        <v>500.0</v>
      </c>
      <c r="H814" s="171">
        <v>25.0</v>
      </c>
      <c r="I814" s="171">
        <v>100.0</v>
      </c>
      <c r="J814" s="172">
        <f t="shared" si="51"/>
        <v>0.0004317674408</v>
      </c>
      <c r="K814" s="173">
        <f t="shared" si="52"/>
        <v>0.518120929</v>
      </c>
      <c r="L814" s="174">
        <f t="shared" si="9"/>
        <v>2.940556704</v>
      </c>
      <c r="M814" s="175" t="str">
        <f t="shared" si="10"/>
        <v>WhyldWanderer#7002</v>
      </c>
      <c r="N814" s="176">
        <f>IFERROR(__xludf.DUMMYFUNCTION("""COMPUTED_VALUE"""),4.0)</f>
        <v>4</v>
      </c>
      <c r="O814" s="176"/>
      <c r="P814" s="166" t="s">
        <v>195</v>
      </c>
      <c r="Q814" s="166" t="s">
        <v>441</v>
      </c>
      <c r="R814" s="176"/>
      <c r="S814" s="176"/>
      <c r="T814" s="176"/>
      <c r="U814" s="176"/>
      <c r="V814" s="176"/>
      <c r="W814" s="176"/>
      <c r="X814" s="176"/>
      <c r="Y814" s="176"/>
      <c r="Z814" s="176"/>
      <c r="AA814" s="176"/>
    </row>
    <row r="815">
      <c r="A815" s="165" t="str">
        <f>iferror(VLOOKUP(P815,'DO NOT TOUCH Imported'!$A$1:$D$800,4,False),iferror(VLOOKUP(P815,'DO NOT TOUCH Imported'!$C$1:$D$800,2,False),"OOPS FIX ME"))</f>
        <v>WhyldWanderer#7002</v>
      </c>
      <c r="B815" s="166" t="s">
        <v>441</v>
      </c>
      <c r="C815" s="167" t="s">
        <v>572</v>
      </c>
      <c r="D815" s="168" t="s">
        <v>499</v>
      </c>
      <c r="E815" s="177" t="s">
        <v>438</v>
      </c>
      <c r="F815" s="168" t="s">
        <v>503</v>
      </c>
      <c r="G815" s="170">
        <v>500.0</v>
      </c>
      <c r="H815" s="171">
        <v>25.0</v>
      </c>
      <c r="I815" s="171">
        <v>100.0</v>
      </c>
      <c r="J815" s="172">
        <f t="shared" si="51"/>
        <v>0.0004317674408</v>
      </c>
      <c r="K815" s="173">
        <f t="shared" si="52"/>
        <v>0.518120929</v>
      </c>
      <c r="L815" s="174">
        <f t="shared" si="9"/>
        <v>2.940556704</v>
      </c>
      <c r="M815" s="175" t="str">
        <f t="shared" si="10"/>
        <v>WhyldWanderer#7002</v>
      </c>
      <c r="N815" s="176">
        <f>IFERROR(__xludf.DUMMYFUNCTION("""COMPUTED_VALUE"""),5.0)</f>
        <v>5</v>
      </c>
      <c r="O815" s="176"/>
      <c r="P815" s="166" t="s">
        <v>195</v>
      </c>
      <c r="Q815" s="166" t="s">
        <v>441</v>
      </c>
      <c r="R815" s="176"/>
      <c r="S815" s="176"/>
      <c r="T815" s="176"/>
      <c r="U815" s="176"/>
      <c r="V815" s="176"/>
      <c r="W815" s="176"/>
      <c r="X815" s="176"/>
      <c r="Y815" s="176"/>
      <c r="Z815" s="176"/>
      <c r="AA815" s="176"/>
    </row>
    <row r="816">
      <c r="A816" s="165" t="str">
        <f>iferror(VLOOKUP(P816,'DO NOT TOUCH Imported'!$A$1:$D$800,4,False),iferror(VLOOKUP(P816,'DO NOT TOUCH Imported'!$C$1:$D$800,2,False),"OOPS FIX ME"))</f>
        <v>rubenrussel7</v>
      </c>
      <c r="B816" s="178" t="s">
        <v>18</v>
      </c>
      <c r="C816" s="179" t="s">
        <v>544</v>
      </c>
      <c r="D816" s="180" t="s">
        <v>495</v>
      </c>
      <c r="E816" s="184">
        <v>44313.0</v>
      </c>
      <c r="F816" s="182" t="s">
        <v>545</v>
      </c>
      <c r="G816" s="170">
        <v>1000.0</v>
      </c>
      <c r="H816" s="171">
        <v>100.0</v>
      </c>
      <c r="I816" s="171">
        <v>100.0</v>
      </c>
      <c r="J816" s="172">
        <f t="shared" si="51"/>
        <v>0.000723394157</v>
      </c>
      <c r="K816" s="173">
        <f t="shared" si="52"/>
        <v>0.8680729884</v>
      </c>
      <c r="L816" s="174">
        <f t="shared" si="9"/>
        <v>2.854179189</v>
      </c>
      <c r="M816" s="175" t="str">
        <f t="shared" si="10"/>
        <v>rubenrussel7</v>
      </c>
      <c r="N816" s="176">
        <f>IFERROR(__xludf.DUMMYFUNCTION("""COMPUTED_VALUE"""),1.0)</f>
        <v>1</v>
      </c>
      <c r="O816" s="176"/>
      <c r="P816" s="183" t="s">
        <v>70</v>
      </c>
      <c r="Q816" s="178" t="s">
        <v>18</v>
      </c>
      <c r="R816" s="176"/>
      <c r="S816" s="176"/>
      <c r="T816" s="176"/>
      <c r="U816" s="176"/>
      <c r="V816" s="176"/>
      <c r="W816" s="176"/>
      <c r="X816" s="176"/>
      <c r="Y816" s="176"/>
      <c r="Z816" s="176"/>
      <c r="AA816" s="176"/>
    </row>
    <row r="817">
      <c r="A817" s="165" t="str">
        <f>iferror(VLOOKUP(P817,'DO NOT TOUCH Imported'!$A$1:$D$800,4,False),iferror(VLOOKUP(P817,'DO NOT TOUCH Imported'!$C$1:$D$800,2,False),"OOPS FIX ME"))</f>
        <v>rubenrussel7</v>
      </c>
      <c r="B817" s="166" t="s">
        <v>483</v>
      </c>
      <c r="C817" s="167" t="s">
        <v>484</v>
      </c>
      <c r="D817" s="168" t="s">
        <v>437</v>
      </c>
      <c r="E817" s="177" t="s">
        <v>478</v>
      </c>
      <c r="F817" s="168" t="s">
        <v>439</v>
      </c>
      <c r="G817" s="170">
        <v>1000.0</v>
      </c>
      <c r="H817" s="171">
        <v>80.0</v>
      </c>
      <c r="I817" s="171">
        <v>100.0</v>
      </c>
      <c r="J817" s="172">
        <f t="shared" si="51"/>
        <v>0.0006595463701</v>
      </c>
      <c r="K817" s="173">
        <f t="shared" si="52"/>
        <v>0.7914556442</v>
      </c>
      <c r="L817" s="174">
        <f t="shared" si="9"/>
        <v>2.854179189</v>
      </c>
      <c r="M817" s="175" t="str">
        <f t="shared" si="10"/>
        <v>rubenrussel7</v>
      </c>
      <c r="N817" s="176">
        <f>IFERROR(__xludf.DUMMYFUNCTION("""COMPUTED_VALUE"""),2.0)</f>
        <v>2</v>
      </c>
      <c r="O817" s="176"/>
      <c r="P817" s="166" t="s">
        <v>821</v>
      </c>
      <c r="Q817" s="166" t="s">
        <v>483</v>
      </c>
      <c r="R817" s="176"/>
      <c r="S817" s="176"/>
      <c r="T817" s="176"/>
      <c r="U817" s="176"/>
      <c r="V817" s="176"/>
      <c r="W817" s="176"/>
      <c r="X817" s="176"/>
      <c r="Y817" s="176"/>
      <c r="Z817" s="176"/>
      <c r="AA817" s="176"/>
    </row>
    <row r="818">
      <c r="A818" s="165" t="str">
        <f>iferror(VLOOKUP(P818,'DO NOT TOUCH Imported'!$A$1:$D$800,4,False),iferror(VLOOKUP(P818,'DO NOT TOUCH Imported'!$C$1:$D$800,2,False),"OOPS FIX ME"))</f>
        <v>rubenrussel7</v>
      </c>
      <c r="B818" s="178" t="s">
        <v>10</v>
      </c>
      <c r="C818" s="179" t="s">
        <v>494</v>
      </c>
      <c r="D818" s="180" t="s">
        <v>495</v>
      </c>
      <c r="E818" s="181">
        <v>44324.0</v>
      </c>
      <c r="F818" s="182" t="s">
        <v>496</v>
      </c>
      <c r="G818" s="170">
        <v>1000.0</v>
      </c>
      <c r="H818" s="171">
        <v>50.0</v>
      </c>
      <c r="I818" s="171">
        <v>100.0</v>
      </c>
      <c r="J818" s="172">
        <f t="shared" si="51"/>
        <v>0.0005637746898</v>
      </c>
      <c r="K818" s="173">
        <f t="shared" si="52"/>
        <v>0.6765296278</v>
      </c>
      <c r="L818" s="174">
        <f t="shared" si="9"/>
        <v>2.854179189</v>
      </c>
      <c r="M818" s="175" t="str">
        <f t="shared" si="10"/>
        <v>rubenrussel7</v>
      </c>
      <c r="N818" s="176">
        <f>IFERROR(__xludf.DUMMYFUNCTION("""COMPUTED_VALUE"""),3.0)</f>
        <v>3</v>
      </c>
      <c r="O818" s="176"/>
      <c r="P818" s="183" t="s">
        <v>70</v>
      </c>
      <c r="Q818" s="178" t="s">
        <v>10</v>
      </c>
      <c r="R818" s="176"/>
      <c r="S818" s="176"/>
      <c r="T818" s="176"/>
      <c r="U818" s="176"/>
      <c r="V818" s="176"/>
      <c r="W818" s="176"/>
      <c r="X818" s="176"/>
      <c r="Y818" s="176"/>
      <c r="Z818" s="176"/>
      <c r="AA818" s="176"/>
    </row>
    <row r="819">
      <c r="A819" s="165" t="str">
        <f>iferror(VLOOKUP(P819,'DO NOT TOUCH Imported'!$A$1:$D$800,4,False),iferror(VLOOKUP(P819,'DO NOT TOUCH Imported'!$C$1:$D$800,2,False),"OOPS FIX ME"))</f>
        <v>rubenrussel7</v>
      </c>
      <c r="B819" s="178" t="s">
        <v>10</v>
      </c>
      <c r="C819" s="179" t="s">
        <v>498</v>
      </c>
      <c r="D819" s="180" t="s">
        <v>495</v>
      </c>
      <c r="E819" s="181">
        <v>44323.0</v>
      </c>
      <c r="F819" s="182" t="s">
        <v>499</v>
      </c>
      <c r="G819" s="170">
        <v>500.0</v>
      </c>
      <c r="H819" s="171">
        <v>25.0</v>
      </c>
      <c r="I819" s="171">
        <v>100.0</v>
      </c>
      <c r="J819" s="172">
        <f t="shared" si="51"/>
        <v>0.0004317674408</v>
      </c>
      <c r="K819" s="173">
        <f t="shared" si="52"/>
        <v>0.518120929</v>
      </c>
      <c r="L819" s="174">
        <f t="shared" si="9"/>
        <v>2.854179189</v>
      </c>
      <c r="M819" s="175" t="str">
        <f t="shared" si="10"/>
        <v>rubenrussel7</v>
      </c>
      <c r="N819" s="176">
        <f>IFERROR(__xludf.DUMMYFUNCTION("""COMPUTED_VALUE"""),4.0)</f>
        <v>4</v>
      </c>
      <c r="O819" s="176"/>
      <c r="P819" s="183" t="s">
        <v>70</v>
      </c>
      <c r="Q819" s="178" t="s">
        <v>10</v>
      </c>
      <c r="R819" s="176"/>
      <c r="S819" s="176"/>
      <c r="T819" s="176"/>
      <c r="U819" s="176"/>
      <c r="V819" s="176"/>
      <c r="W819" s="176"/>
      <c r="X819" s="176"/>
      <c r="Y819" s="176"/>
      <c r="Z819" s="176"/>
      <c r="AA819" s="176"/>
    </row>
    <row r="820">
      <c r="A820" s="165" t="str">
        <f>iferror(VLOOKUP(P820,'DO NOT TOUCH Imported'!$A$1:$D$800,4,False),iferror(VLOOKUP(P820,'DO NOT TOUCH Imported'!$C$1:$D$800,2,False),"OOPS FIX ME"))</f>
        <v>wslyvh</v>
      </c>
      <c r="B820" s="166" t="s">
        <v>441</v>
      </c>
      <c r="C820" s="167" t="s">
        <v>822</v>
      </c>
      <c r="D820" s="168" t="s">
        <v>437</v>
      </c>
      <c r="E820" s="169" t="s">
        <v>447</v>
      </c>
      <c r="F820" s="168" t="s">
        <v>439</v>
      </c>
      <c r="G820" s="170">
        <v>1000.0</v>
      </c>
      <c r="H820" s="171">
        <v>200.0</v>
      </c>
      <c r="I820" s="171">
        <v>100.0</v>
      </c>
      <c r="J820" s="172">
        <f t="shared" si="51"/>
        <v>0.001042633091</v>
      </c>
      <c r="K820" s="173">
        <f t="shared" si="52"/>
        <v>1.25115971</v>
      </c>
      <c r="L820" s="174">
        <f t="shared" si="9"/>
        <v>2.805522497</v>
      </c>
      <c r="M820" s="175" t="str">
        <f t="shared" si="10"/>
        <v>wslyvh</v>
      </c>
      <c r="N820" s="176">
        <f>IFERROR(__xludf.DUMMYFUNCTION("""COMPUTED_VALUE"""),1.0)</f>
        <v>1</v>
      </c>
      <c r="O820" s="176"/>
      <c r="P820" s="166" t="s">
        <v>823</v>
      </c>
      <c r="Q820" s="166" t="s">
        <v>441</v>
      </c>
      <c r="R820" s="176"/>
      <c r="S820" s="176"/>
      <c r="T820" s="176"/>
      <c r="U820" s="176"/>
      <c r="V820" s="176"/>
      <c r="W820" s="176"/>
      <c r="X820" s="176"/>
      <c r="Y820" s="176"/>
      <c r="Z820" s="176"/>
      <c r="AA820" s="176"/>
    </row>
    <row r="821">
      <c r="A821" s="165" t="str">
        <f>iferror(VLOOKUP(P821,'DO NOT TOUCH Imported'!$A$1:$D$800,4,False),iferror(VLOOKUP(P821,'DO NOT TOUCH Imported'!$C$1:$D$800,2,False),"OOPS FIX ME"))</f>
        <v>wslyvh</v>
      </c>
      <c r="B821" s="178" t="s">
        <v>10</v>
      </c>
      <c r="C821" s="179" t="s">
        <v>500</v>
      </c>
      <c r="D821" s="180" t="s">
        <v>495</v>
      </c>
      <c r="E821" s="184">
        <v>44316.0</v>
      </c>
      <c r="F821" s="182" t="s">
        <v>496</v>
      </c>
      <c r="G821" s="170">
        <v>500.0</v>
      </c>
      <c r="H821" s="171">
        <v>25.0</v>
      </c>
      <c r="I821" s="171">
        <v>100.0</v>
      </c>
      <c r="J821" s="172">
        <f t="shared" si="51"/>
        <v>0.0004317674408</v>
      </c>
      <c r="K821" s="173">
        <f t="shared" si="52"/>
        <v>0.518120929</v>
      </c>
      <c r="L821" s="174">
        <f t="shared" si="9"/>
        <v>2.805522497</v>
      </c>
      <c r="M821" s="175" t="str">
        <f t="shared" si="10"/>
        <v>wslyvh</v>
      </c>
      <c r="N821" s="176">
        <f>IFERROR(__xludf.DUMMYFUNCTION("""COMPUTED_VALUE"""),2.0)</f>
        <v>2</v>
      </c>
      <c r="O821" s="176"/>
      <c r="P821" s="183" t="s">
        <v>36</v>
      </c>
      <c r="Q821" s="178" t="s">
        <v>10</v>
      </c>
      <c r="R821" s="176"/>
      <c r="S821" s="176"/>
      <c r="T821" s="176"/>
      <c r="U821" s="176"/>
      <c r="V821" s="176"/>
      <c r="W821" s="176"/>
      <c r="X821" s="176"/>
      <c r="Y821" s="176"/>
      <c r="Z821" s="176"/>
      <c r="AA821" s="176"/>
    </row>
    <row r="822">
      <c r="A822" s="165" t="str">
        <f>iferror(VLOOKUP(P822,'DO NOT TOUCH Imported'!$A$1:$D$800,4,False),iferror(VLOOKUP(P822,'DO NOT TOUCH Imported'!$C$1:$D$800,2,False),"OOPS FIX ME"))</f>
        <v>wslyvh</v>
      </c>
      <c r="B822" s="178" t="s">
        <v>10</v>
      </c>
      <c r="C822" s="179" t="s">
        <v>498</v>
      </c>
      <c r="D822" s="180" t="s">
        <v>495</v>
      </c>
      <c r="E822" s="181">
        <v>44323.0</v>
      </c>
      <c r="F822" s="182" t="s">
        <v>499</v>
      </c>
      <c r="G822" s="170">
        <v>500.0</v>
      </c>
      <c r="H822" s="171">
        <v>25.0</v>
      </c>
      <c r="I822" s="171">
        <v>100.0</v>
      </c>
      <c r="J822" s="172">
        <f t="shared" si="51"/>
        <v>0.0004317674408</v>
      </c>
      <c r="K822" s="173">
        <f t="shared" si="52"/>
        <v>0.518120929</v>
      </c>
      <c r="L822" s="174">
        <f t="shared" si="9"/>
        <v>2.805522497</v>
      </c>
      <c r="M822" s="175" t="str">
        <f t="shared" si="10"/>
        <v>wslyvh</v>
      </c>
      <c r="N822" s="176">
        <f>IFERROR(__xludf.DUMMYFUNCTION("""COMPUTED_VALUE"""),3.0)</f>
        <v>3</v>
      </c>
      <c r="O822" s="176"/>
      <c r="P822" s="183" t="s">
        <v>36</v>
      </c>
      <c r="Q822" s="178" t="s">
        <v>10</v>
      </c>
      <c r="R822" s="176"/>
      <c r="S822" s="176"/>
      <c r="T822" s="176"/>
      <c r="U822" s="176"/>
      <c r="V822" s="176"/>
      <c r="W822" s="176"/>
      <c r="X822" s="176"/>
      <c r="Y822" s="176"/>
      <c r="Z822" s="176"/>
      <c r="AA822" s="176"/>
    </row>
    <row r="823">
      <c r="A823" s="165" t="str">
        <f>iferror(VLOOKUP(P823,'DO NOT TOUCH Imported'!$A$1:$D$800,4,False),iferror(VLOOKUP(P823,'DO NOT TOUCH Imported'!$C$1:$D$800,2,False),"OOPS FIX ME"))</f>
        <v>wslyvh</v>
      </c>
      <c r="B823" s="178" t="s">
        <v>10</v>
      </c>
      <c r="C823" s="179" t="s">
        <v>500</v>
      </c>
      <c r="D823" s="180" t="s">
        <v>495</v>
      </c>
      <c r="E823" s="181">
        <v>44324.0</v>
      </c>
      <c r="F823" s="182" t="s">
        <v>496</v>
      </c>
      <c r="G823" s="170">
        <v>500.0</v>
      </c>
      <c r="H823" s="171">
        <v>25.0</v>
      </c>
      <c r="I823" s="171">
        <v>100.0</v>
      </c>
      <c r="J823" s="172">
        <f t="shared" si="51"/>
        <v>0.0004317674408</v>
      </c>
      <c r="K823" s="173">
        <f t="shared" si="52"/>
        <v>0.518120929</v>
      </c>
      <c r="L823" s="174">
        <f t="shared" si="9"/>
        <v>2.805522497</v>
      </c>
      <c r="M823" s="175" t="str">
        <f t="shared" si="10"/>
        <v>wslyvh</v>
      </c>
      <c r="N823" s="176">
        <f>IFERROR(__xludf.DUMMYFUNCTION("""COMPUTED_VALUE"""),4.0)</f>
        <v>4</v>
      </c>
      <c r="O823" s="176"/>
      <c r="P823" s="183" t="s">
        <v>36</v>
      </c>
      <c r="Q823" s="178" t="s">
        <v>10</v>
      </c>
      <c r="R823" s="176"/>
      <c r="S823" s="176"/>
      <c r="T823" s="176"/>
      <c r="U823" s="176"/>
      <c r="V823" s="176"/>
      <c r="W823" s="176"/>
      <c r="X823" s="176"/>
      <c r="Y823" s="176"/>
      <c r="Z823" s="176"/>
      <c r="AA823" s="176"/>
    </row>
    <row r="824">
      <c r="A824" s="165" t="str">
        <f>iferror(VLOOKUP(P824,'DO NOT TOUCH Imported'!$A$1:$D$800,4,False),iferror(VLOOKUP(P824,'DO NOT TOUCH Imported'!$C$1:$D$800,2,False),"OOPS FIX ME"))</f>
        <v>TannrA</v>
      </c>
      <c r="B824" s="178" t="s">
        <v>10</v>
      </c>
      <c r="C824" s="179" t="s">
        <v>551</v>
      </c>
      <c r="D824" s="180" t="s">
        <v>495</v>
      </c>
      <c r="E824" s="181">
        <v>44323.0</v>
      </c>
      <c r="F824" s="182" t="s">
        <v>496</v>
      </c>
      <c r="G824" s="170">
        <v>10000.0</v>
      </c>
      <c r="H824" s="171">
        <v>300.0</v>
      </c>
      <c r="I824" s="171">
        <v>100.0</v>
      </c>
      <c r="J824" s="172">
        <f t="shared" si="51"/>
        <v>0.002301427303</v>
      </c>
      <c r="K824" s="173">
        <f t="shared" si="52"/>
        <v>2.761712764</v>
      </c>
      <c r="L824" s="174">
        <f t="shared" si="9"/>
        <v>2.761712764</v>
      </c>
      <c r="M824" s="175" t="str">
        <f t="shared" si="10"/>
        <v>TannrA</v>
      </c>
      <c r="N824" s="176">
        <f>IFERROR(__xludf.DUMMYFUNCTION("""COMPUTED_VALUE"""),1.0)</f>
        <v>1</v>
      </c>
      <c r="O824" s="176"/>
      <c r="P824" s="183" t="s">
        <v>42</v>
      </c>
      <c r="Q824" s="178" t="s">
        <v>10</v>
      </c>
      <c r="R824" s="176"/>
      <c r="S824" s="176"/>
      <c r="T824" s="176"/>
      <c r="U824" s="176"/>
      <c r="V824" s="176"/>
      <c r="W824" s="176"/>
      <c r="X824" s="176"/>
      <c r="Y824" s="176"/>
      <c r="Z824" s="176"/>
      <c r="AA824" s="176"/>
    </row>
    <row r="825">
      <c r="A825" s="165" t="str">
        <f>iferror(VLOOKUP(P825,'DO NOT TOUCH Imported'!$A$1:$D$800,4,False),iferror(VLOOKUP(P825,'DO NOT TOUCH Imported'!$C$1:$D$800,2,False),"OOPS FIX ME"))</f>
        <v>mzargham</v>
      </c>
      <c r="B825" s="178" t="s">
        <v>10</v>
      </c>
      <c r="C825" s="179" t="s">
        <v>551</v>
      </c>
      <c r="D825" s="180" t="s">
        <v>495</v>
      </c>
      <c r="E825" s="181">
        <v>44323.0</v>
      </c>
      <c r="F825" s="182" t="s">
        <v>496</v>
      </c>
      <c r="G825" s="170">
        <v>10000.0</v>
      </c>
      <c r="H825" s="171">
        <v>300.0</v>
      </c>
      <c r="I825" s="171">
        <v>100.0</v>
      </c>
      <c r="J825" s="172">
        <f t="shared" si="51"/>
        <v>0.002301427303</v>
      </c>
      <c r="K825" s="173">
        <f t="shared" si="52"/>
        <v>2.761712764</v>
      </c>
      <c r="L825" s="174">
        <f t="shared" si="9"/>
        <v>2.761712764</v>
      </c>
      <c r="M825" s="175" t="str">
        <f t="shared" si="10"/>
        <v>mzargham</v>
      </c>
      <c r="N825" s="176">
        <f>IFERROR(__xludf.DUMMYFUNCTION("""COMPUTED_VALUE"""),1.0)</f>
        <v>1</v>
      </c>
      <c r="O825" s="176"/>
      <c r="P825" s="183" t="s">
        <v>19</v>
      </c>
      <c r="Q825" s="178" t="s">
        <v>10</v>
      </c>
      <c r="R825" s="176"/>
      <c r="S825" s="176"/>
      <c r="T825" s="176"/>
      <c r="U825" s="176"/>
      <c r="V825" s="176"/>
      <c r="W825" s="176"/>
      <c r="X825" s="176"/>
      <c r="Y825" s="176"/>
      <c r="Z825" s="176"/>
      <c r="AA825" s="176"/>
    </row>
    <row r="826">
      <c r="A826" s="165" t="str">
        <f>iferror(VLOOKUP(P826,'DO NOT TOUCH Imported'!$A$1:$D$800,4,False),iferror(VLOOKUP(P826,'DO NOT TOUCH Imported'!$C$1:$D$800,2,False),"OOPS FIX ME"))</f>
        <v>niranb</v>
      </c>
      <c r="B826" s="166" t="s">
        <v>566</v>
      </c>
      <c r="C826" s="167" t="s">
        <v>824</v>
      </c>
      <c r="D826" s="168" t="s">
        <v>499</v>
      </c>
      <c r="E826" s="169" t="s">
        <v>452</v>
      </c>
      <c r="F826" s="168" t="s">
        <v>503</v>
      </c>
      <c r="G826" s="170">
        <v>1000.0</v>
      </c>
      <c r="H826" s="171">
        <v>500.0</v>
      </c>
      <c r="I826" s="171">
        <v>200.0</v>
      </c>
      <c r="J826" s="172">
        <f t="shared" si="51"/>
        <v>0.002300110086</v>
      </c>
      <c r="K826" s="173">
        <f t="shared" si="52"/>
        <v>2.760132104</v>
      </c>
      <c r="L826" s="174">
        <f t="shared" si="9"/>
        <v>2.760132104</v>
      </c>
      <c r="M826" s="175" t="str">
        <f t="shared" si="10"/>
        <v>niranb</v>
      </c>
      <c r="N826" s="176">
        <f>IFERROR(__xludf.DUMMYFUNCTION("""COMPUTED_VALUE"""),1.0)</f>
        <v>1</v>
      </c>
      <c r="O826" s="176"/>
      <c r="P826" s="166" t="s">
        <v>825</v>
      </c>
      <c r="Q826" s="166" t="s">
        <v>566</v>
      </c>
      <c r="R826" s="176"/>
      <c r="S826" s="176"/>
      <c r="T826" s="176"/>
      <c r="U826" s="176"/>
      <c r="V826" s="176"/>
      <c r="W826" s="176"/>
      <c r="X826" s="176"/>
      <c r="Y826" s="176"/>
      <c r="Z826" s="176"/>
      <c r="AA826" s="176"/>
    </row>
    <row r="827">
      <c r="A827" s="165" t="str">
        <f>iferror(VLOOKUP(P827,'DO NOT TOUCH Imported'!$A$1:$D$800,4,False),iferror(VLOOKUP(P827,'DO NOT TOUCH Imported'!$C$1:$D$800,2,False),"OOPS FIX ME"))</f>
        <v>GraceRachmany</v>
      </c>
      <c r="B827" s="166" t="s">
        <v>566</v>
      </c>
      <c r="C827" s="167" t="s">
        <v>826</v>
      </c>
      <c r="D827" s="168" t="s">
        <v>499</v>
      </c>
      <c r="E827" s="177" t="s">
        <v>452</v>
      </c>
      <c r="F827" s="168" t="s">
        <v>503</v>
      </c>
      <c r="G827" s="170">
        <v>1000.0</v>
      </c>
      <c r="H827" s="171">
        <v>500.0</v>
      </c>
      <c r="I827" s="171">
        <v>200.0</v>
      </c>
      <c r="J827" s="172">
        <f t="shared" si="51"/>
        <v>0.002300110086</v>
      </c>
      <c r="K827" s="173">
        <f t="shared" si="52"/>
        <v>2.760132104</v>
      </c>
      <c r="L827" s="174">
        <f t="shared" si="9"/>
        <v>2.760132104</v>
      </c>
      <c r="M827" s="175" t="str">
        <f t="shared" si="10"/>
        <v>GraceRachmany</v>
      </c>
      <c r="N827" s="176">
        <f>IFERROR(__xludf.DUMMYFUNCTION("""COMPUTED_VALUE"""),1.0)</f>
        <v>1</v>
      </c>
      <c r="O827" s="176"/>
      <c r="P827" s="166" t="s">
        <v>827</v>
      </c>
      <c r="Q827" s="166" t="s">
        <v>566</v>
      </c>
      <c r="R827" s="176"/>
      <c r="S827" s="176"/>
      <c r="T827" s="176"/>
      <c r="U827" s="176"/>
      <c r="V827" s="176"/>
      <c r="W827" s="176"/>
      <c r="X827" s="176"/>
      <c r="Y827" s="176"/>
      <c r="Z827" s="176"/>
      <c r="AA827" s="176"/>
    </row>
    <row r="828">
      <c r="A828" s="165" t="str">
        <f>iferror(VLOOKUP(P828,'DO NOT TOUCH Imported'!$A$1:$D$800,4,False),iferror(VLOOKUP(P828,'DO NOT TOUCH Imported'!$C$1:$D$800,2,False),"OOPS FIX ME"))</f>
        <v>fabimol</v>
      </c>
      <c r="B828" s="166" t="s">
        <v>441</v>
      </c>
      <c r="C828" s="167" t="s">
        <v>765</v>
      </c>
      <c r="D828" s="168" t="s">
        <v>437</v>
      </c>
      <c r="E828" s="177" t="s">
        <v>438</v>
      </c>
      <c r="F828" s="168" t="s">
        <v>439</v>
      </c>
      <c r="G828" s="170">
        <v>1000.0</v>
      </c>
      <c r="H828" s="171">
        <v>200.0</v>
      </c>
      <c r="I828" s="171">
        <v>200.0</v>
      </c>
      <c r="J828" s="172">
        <f t="shared" si="51"/>
        <v>0.001342393283</v>
      </c>
      <c r="K828" s="173">
        <f t="shared" si="52"/>
        <v>1.61087194</v>
      </c>
      <c r="L828" s="174">
        <f t="shared" si="9"/>
        <v>2.637207254</v>
      </c>
      <c r="M828" s="175" t="str">
        <f t="shared" si="10"/>
        <v>fabimol</v>
      </c>
      <c r="N828" s="176">
        <f>IFERROR(__xludf.DUMMYFUNCTION("""COMPUTED_VALUE"""),1.0)</f>
        <v>1</v>
      </c>
      <c r="O828" s="176"/>
      <c r="P828" s="166" t="s">
        <v>828</v>
      </c>
      <c r="Q828" s="166" t="s">
        <v>441</v>
      </c>
      <c r="R828" s="176"/>
      <c r="S828" s="176"/>
      <c r="T828" s="176"/>
      <c r="U828" s="176"/>
      <c r="V828" s="176"/>
      <c r="W828" s="176"/>
      <c r="X828" s="176"/>
      <c r="Y828" s="176"/>
      <c r="Z828" s="176"/>
      <c r="AA828" s="176"/>
    </row>
    <row r="829">
      <c r="A829" s="165" t="str">
        <f>iferror(VLOOKUP(P829,'DO NOT TOUCH Imported'!$A$1:$D$800,4,False),iferror(VLOOKUP(P829,'DO NOT TOUCH Imported'!$C$1:$D$800,2,False),"OOPS FIX ME"))</f>
        <v>fabimol</v>
      </c>
      <c r="B829" s="166" t="s">
        <v>483</v>
      </c>
      <c r="C829" s="167" t="s">
        <v>641</v>
      </c>
      <c r="D829" s="168" t="s">
        <v>437</v>
      </c>
      <c r="E829" s="177" t="s">
        <v>540</v>
      </c>
      <c r="F829" s="168" t="s">
        <v>439</v>
      </c>
      <c r="G829" s="170">
        <v>1000.0</v>
      </c>
      <c r="H829" s="171">
        <v>200.0</v>
      </c>
      <c r="I829" s="171">
        <v>100.0</v>
      </c>
      <c r="J829" s="172">
        <f t="shared" si="51"/>
        <v>0.001042633091</v>
      </c>
      <c r="K829" s="173">
        <f t="shared" si="52"/>
        <v>1.25115971</v>
      </c>
      <c r="L829" s="174">
        <f t="shared" si="9"/>
        <v>2.637207254</v>
      </c>
      <c r="M829" s="175" t="str">
        <f t="shared" si="10"/>
        <v>fabimol</v>
      </c>
      <c r="N829" s="176">
        <f>IFERROR(__xludf.DUMMYFUNCTION("""COMPUTED_VALUE"""),2.0)</f>
        <v>2</v>
      </c>
      <c r="O829" s="176"/>
      <c r="P829" s="166" t="s">
        <v>828</v>
      </c>
      <c r="Q829" s="166" t="s">
        <v>483</v>
      </c>
      <c r="R829" s="176"/>
      <c r="S829" s="176"/>
      <c r="T829" s="176"/>
      <c r="U829" s="176"/>
      <c r="V829" s="176"/>
      <c r="W829" s="176"/>
      <c r="X829" s="176"/>
      <c r="Y829" s="176"/>
      <c r="Z829" s="176"/>
      <c r="AA829" s="176"/>
    </row>
    <row r="830">
      <c r="A830" s="165" t="str">
        <f>iferror(VLOOKUP(P830,'DO NOT TOUCH Imported'!$A$1:$D$800,4,False),iferror(VLOOKUP(P830,'DO NOT TOUCH Imported'!$C$1:$D$800,2,False),"OOPS FIX ME"))</f>
        <v>fabimol</v>
      </c>
      <c r="B830" s="166" t="s">
        <v>441</v>
      </c>
      <c r="C830" s="167" t="s">
        <v>645</v>
      </c>
      <c r="D830" s="168" t="s">
        <v>437</v>
      </c>
      <c r="E830" s="169" t="s">
        <v>438</v>
      </c>
      <c r="F830" s="168" t="s">
        <v>439</v>
      </c>
      <c r="G830" s="170">
        <v>1000.0</v>
      </c>
      <c r="H830" s="171">
        <v>100.0</v>
      </c>
      <c r="I830" s="171">
        <v>100.0</v>
      </c>
      <c r="J830" s="172">
        <f t="shared" si="51"/>
        <v>0.000723394157</v>
      </c>
      <c r="K830" s="173">
        <f t="shared" si="52"/>
        <v>0.8680729884</v>
      </c>
      <c r="L830" s="174">
        <f t="shared" si="9"/>
        <v>2.637207254</v>
      </c>
      <c r="M830" s="175" t="str">
        <f t="shared" si="10"/>
        <v>fabimol</v>
      </c>
      <c r="N830" s="176">
        <f>IFERROR(__xludf.DUMMYFUNCTION("""COMPUTED_VALUE"""),3.0)</f>
        <v>3</v>
      </c>
      <c r="O830" s="176"/>
      <c r="P830" s="166" t="s">
        <v>828</v>
      </c>
      <c r="Q830" s="166" t="s">
        <v>441</v>
      </c>
      <c r="R830" s="176"/>
      <c r="S830" s="176"/>
      <c r="T830" s="176"/>
      <c r="U830" s="176"/>
      <c r="V830" s="176"/>
      <c r="W830" s="176"/>
      <c r="X830" s="176"/>
      <c r="Y830" s="176"/>
      <c r="Z830" s="176"/>
      <c r="AA830" s="176"/>
    </row>
    <row r="831">
      <c r="A831" s="165" t="str">
        <f>iferror(VLOOKUP(P831,'DO NOT TOUCH Imported'!$A$1:$D$800,4,False),iferror(VLOOKUP(P831,'DO NOT TOUCH Imported'!$C$1:$D$800,2,False),"OOPS FIX ME"))</f>
        <v>fabimol</v>
      </c>
      <c r="B831" s="166" t="s">
        <v>441</v>
      </c>
      <c r="C831" s="167" t="s">
        <v>543</v>
      </c>
      <c r="D831" s="168" t="s">
        <v>437</v>
      </c>
      <c r="E831" s="177" t="s">
        <v>447</v>
      </c>
      <c r="F831" s="168" t="s">
        <v>439</v>
      </c>
      <c r="G831" s="170">
        <v>1000.0</v>
      </c>
      <c r="H831" s="171">
        <v>80.0</v>
      </c>
      <c r="I831" s="171">
        <v>100.0</v>
      </c>
      <c r="J831" s="172">
        <f t="shared" si="51"/>
        <v>0.0006595463701</v>
      </c>
      <c r="K831" s="173">
        <f t="shared" si="52"/>
        <v>0.7914556442</v>
      </c>
      <c r="L831" s="174">
        <f t="shared" si="9"/>
        <v>2.637207254</v>
      </c>
      <c r="M831" s="175" t="str">
        <f t="shared" si="10"/>
        <v>fabimol</v>
      </c>
      <c r="N831" s="176">
        <f>IFERROR(__xludf.DUMMYFUNCTION("""COMPUTED_VALUE"""),4.0)</f>
        <v>4</v>
      </c>
      <c r="O831" s="176"/>
      <c r="P831" s="166" t="s">
        <v>828</v>
      </c>
      <c r="Q831" s="166" t="s">
        <v>441</v>
      </c>
      <c r="R831" s="176"/>
      <c r="S831" s="176"/>
      <c r="T831" s="176"/>
      <c r="U831" s="176"/>
      <c r="V831" s="176"/>
      <c r="W831" s="176"/>
      <c r="X831" s="176"/>
      <c r="Y831" s="176"/>
      <c r="Z831" s="176"/>
      <c r="AA831" s="176"/>
    </row>
    <row r="832">
      <c r="A832" s="165" t="str">
        <f>iferror(VLOOKUP(P832,'DO NOT TOUCH Imported'!$A$1:$D$800,4,False),iferror(VLOOKUP(P832,'DO NOT TOUCH Imported'!$C$1:$D$800,2,False),"OOPS FIX ME"))</f>
        <v>fabimol</v>
      </c>
      <c r="B832" s="166" t="s">
        <v>440</v>
      </c>
      <c r="C832" s="167" t="s">
        <v>489</v>
      </c>
      <c r="D832" s="168" t="s">
        <v>437</v>
      </c>
      <c r="E832" s="169" t="s">
        <v>488</v>
      </c>
      <c r="F832" s="168" t="s">
        <v>439</v>
      </c>
      <c r="G832" s="170">
        <v>1000.0</v>
      </c>
      <c r="H832" s="171">
        <v>70.0</v>
      </c>
      <c r="I832" s="171">
        <v>100.0</v>
      </c>
      <c r="J832" s="172">
        <f t="shared" si="51"/>
        <v>0.0006276224767</v>
      </c>
      <c r="K832" s="173">
        <f t="shared" si="52"/>
        <v>0.7531469721</v>
      </c>
      <c r="L832" s="174">
        <f t="shared" si="9"/>
        <v>2.637207254</v>
      </c>
      <c r="M832" s="175" t="str">
        <f t="shared" si="10"/>
        <v>fabimol</v>
      </c>
      <c r="N832" s="176">
        <f>IFERROR(__xludf.DUMMYFUNCTION("""COMPUTED_VALUE"""),5.0)</f>
        <v>5</v>
      </c>
      <c r="O832" s="176"/>
      <c r="P832" s="166" t="s">
        <v>828</v>
      </c>
      <c r="Q832" s="166" t="s">
        <v>440</v>
      </c>
      <c r="R832" s="176"/>
      <c r="S832" s="176"/>
      <c r="T832" s="176"/>
      <c r="U832" s="176"/>
      <c r="V832" s="176"/>
      <c r="W832" s="176"/>
      <c r="X832" s="176"/>
      <c r="Y832" s="176"/>
      <c r="Z832" s="176"/>
      <c r="AA832" s="176"/>
    </row>
    <row r="833">
      <c r="A833" s="185" t="str">
        <f>iferror(VLOOKUP(P833,'DO NOT TOUCH Imported'!$A$1:$D$800,4,False),iferror(VLOOKUP(P833,'DO NOT TOUCH Imported'!$C$1:$D$800,2,False),"OOPS FIX ME"))</f>
        <v>fabimol</v>
      </c>
      <c r="B833" s="185" t="s">
        <v>534</v>
      </c>
      <c r="C833" s="210" t="s">
        <v>655</v>
      </c>
      <c r="D833" s="187"/>
      <c r="E833" s="188"/>
      <c r="F833" s="189"/>
      <c r="G833" s="190"/>
      <c r="H833" s="190"/>
      <c r="I833" s="190"/>
      <c r="J833" s="172">
        <f>(H833/$H$2+I833/$I$2)/2</f>
        <v>0</v>
      </c>
      <c r="K833" s="192">
        <f>0.5*-5.275</f>
        <v>-2.6375</v>
      </c>
      <c r="L833" s="193">
        <f t="shared" si="9"/>
        <v>2.637207254</v>
      </c>
      <c r="M833" s="194" t="str">
        <f t="shared" si="10"/>
        <v>fabimol</v>
      </c>
      <c r="N833" s="195">
        <f>IFERROR(__xludf.DUMMYFUNCTION("""COMPUTED_VALUE"""),6.0)</f>
        <v>6</v>
      </c>
      <c r="O833" s="195"/>
      <c r="P833" s="211" t="s">
        <v>61</v>
      </c>
      <c r="Q833" s="185" t="s">
        <v>534</v>
      </c>
      <c r="R833" s="195">
        <v>15.387070331364484</v>
      </c>
      <c r="S833" s="195"/>
      <c r="T833" s="195"/>
      <c r="U833" s="195"/>
      <c r="V833" s="195"/>
      <c r="W833" s="195"/>
      <c r="X833" s="195"/>
      <c r="Y833" s="195"/>
      <c r="Z833" s="195"/>
      <c r="AA833" s="176"/>
    </row>
    <row r="834">
      <c r="A834" s="165" t="str">
        <f>iferror(VLOOKUP(P834,'DO NOT TOUCH Imported'!$A$1:$D$800,4,False),iferror(VLOOKUP(P834,'DO NOT TOUCH Imported'!$C$1:$D$800,2,False),"OOPS FIX ME"))</f>
        <v>aidanbrodieo</v>
      </c>
      <c r="B834" s="166" t="s">
        <v>441</v>
      </c>
      <c r="C834" s="167" t="s">
        <v>543</v>
      </c>
      <c r="D834" s="168" t="s">
        <v>437</v>
      </c>
      <c r="E834" s="177" t="s">
        <v>447</v>
      </c>
      <c r="F834" s="168" t="s">
        <v>439</v>
      </c>
      <c r="G834" s="170">
        <v>1000.0</v>
      </c>
      <c r="H834" s="171">
        <v>80.0</v>
      </c>
      <c r="I834" s="171">
        <v>100.0</v>
      </c>
      <c r="J834" s="172">
        <f t="shared" ref="J834:J842" si="53">(G834/$G$2+H834/$H$2+I834/$I$2)/3</f>
        <v>0.0006595463701</v>
      </c>
      <c r="K834" s="173">
        <f t="shared" ref="K834:K842" si="54">J834*$J$1</f>
        <v>0.7914556442</v>
      </c>
      <c r="L834" s="174">
        <f t="shared" si="9"/>
        <v>2.580844474</v>
      </c>
      <c r="M834" s="175" t="str">
        <f t="shared" si="10"/>
        <v>aidanbrodieo</v>
      </c>
      <c r="N834" s="176">
        <f>IFERROR(__xludf.DUMMYFUNCTION("""COMPUTED_VALUE"""),1.0)</f>
        <v>1</v>
      </c>
      <c r="O834" s="176"/>
      <c r="P834" s="166" t="s">
        <v>829</v>
      </c>
      <c r="Q834" s="166" t="s">
        <v>441</v>
      </c>
      <c r="R834" s="176"/>
      <c r="S834" s="176"/>
      <c r="T834" s="176"/>
      <c r="U834" s="176"/>
      <c r="V834" s="176"/>
      <c r="W834" s="176"/>
      <c r="X834" s="176"/>
      <c r="Y834" s="176"/>
      <c r="Z834" s="176"/>
      <c r="AA834" s="176"/>
    </row>
    <row r="835">
      <c r="A835" s="165" t="str">
        <f>iferror(VLOOKUP(P835,'DO NOT TOUCH Imported'!$A$1:$D$800,4,False),iferror(VLOOKUP(P835,'DO NOT TOUCH Imported'!$C$1:$D$800,2,False),"OOPS FIX ME"))</f>
        <v>aidanbrodieo</v>
      </c>
      <c r="B835" s="166" t="s">
        <v>486</v>
      </c>
      <c r="C835" s="167" t="s">
        <v>487</v>
      </c>
      <c r="D835" s="168" t="s">
        <v>437</v>
      </c>
      <c r="E835" s="169" t="s">
        <v>488</v>
      </c>
      <c r="F835" s="168" t="s">
        <v>439</v>
      </c>
      <c r="G835" s="170">
        <v>1000.0</v>
      </c>
      <c r="H835" s="171">
        <v>70.0</v>
      </c>
      <c r="I835" s="171">
        <v>100.0</v>
      </c>
      <c r="J835" s="172">
        <f t="shared" si="53"/>
        <v>0.0006276224767</v>
      </c>
      <c r="K835" s="173">
        <f t="shared" si="54"/>
        <v>0.7531469721</v>
      </c>
      <c r="L835" s="174">
        <f t="shared" si="9"/>
        <v>2.580844474</v>
      </c>
      <c r="M835" s="175" t="str">
        <f t="shared" si="10"/>
        <v>aidanbrodieo</v>
      </c>
      <c r="N835" s="176">
        <f>IFERROR(__xludf.DUMMYFUNCTION("""COMPUTED_VALUE"""),2.0)</f>
        <v>2</v>
      </c>
      <c r="O835" s="176"/>
      <c r="P835" s="166" t="s">
        <v>829</v>
      </c>
      <c r="Q835" s="166" t="s">
        <v>486</v>
      </c>
      <c r="R835" s="176"/>
      <c r="S835" s="176"/>
      <c r="T835" s="176"/>
      <c r="U835" s="176"/>
      <c r="V835" s="176"/>
      <c r="W835" s="176"/>
      <c r="X835" s="176"/>
      <c r="Y835" s="176"/>
      <c r="Z835" s="176"/>
      <c r="AA835" s="176"/>
    </row>
    <row r="836">
      <c r="A836" s="165" t="str">
        <f>iferror(VLOOKUP(P836,'DO NOT TOUCH Imported'!$A$1:$D$800,4,False),iferror(VLOOKUP(P836,'DO NOT TOUCH Imported'!$C$1:$D$800,2,False),"OOPS FIX ME"))</f>
        <v>aidanbrodieo</v>
      </c>
      <c r="B836" s="178" t="s">
        <v>10</v>
      </c>
      <c r="C836" s="179" t="s">
        <v>500</v>
      </c>
      <c r="D836" s="180" t="s">
        <v>495</v>
      </c>
      <c r="E836" s="184">
        <v>44316.0</v>
      </c>
      <c r="F836" s="182" t="s">
        <v>496</v>
      </c>
      <c r="G836" s="170">
        <v>500.0</v>
      </c>
      <c r="H836" s="171">
        <v>25.0</v>
      </c>
      <c r="I836" s="171">
        <v>100.0</v>
      </c>
      <c r="J836" s="172">
        <f t="shared" si="53"/>
        <v>0.0004317674408</v>
      </c>
      <c r="K836" s="173">
        <f t="shared" si="54"/>
        <v>0.518120929</v>
      </c>
      <c r="L836" s="174">
        <f t="shared" si="9"/>
        <v>2.580844474</v>
      </c>
      <c r="M836" s="175" t="str">
        <f t="shared" si="10"/>
        <v>aidanbrodieo</v>
      </c>
      <c r="N836" s="176">
        <f>IFERROR(__xludf.DUMMYFUNCTION("""COMPUTED_VALUE"""),3.0)</f>
        <v>3</v>
      </c>
      <c r="O836" s="176"/>
      <c r="P836" s="183" t="s">
        <v>95</v>
      </c>
      <c r="Q836" s="178" t="s">
        <v>10</v>
      </c>
      <c r="R836" s="176"/>
      <c r="S836" s="176"/>
      <c r="T836" s="176"/>
      <c r="U836" s="176"/>
      <c r="V836" s="176"/>
      <c r="W836" s="176"/>
      <c r="X836" s="176"/>
      <c r="Y836" s="176"/>
      <c r="Z836" s="176"/>
      <c r="AA836" s="176"/>
    </row>
    <row r="837">
      <c r="A837" s="165" t="str">
        <f>iferror(VLOOKUP(P837,'DO NOT TOUCH Imported'!$A$1:$D$800,4,False),iferror(VLOOKUP(P837,'DO NOT TOUCH Imported'!$C$1:$D$800,2,False),"OOPS FIX ME"))</f>
        <v>aidanbrodieo</v>
      </c>
      <c r="B837" s="178" t="s">
        <v>10</v>
      </c>
      <c r="C837" s="179" t="s">
        <v>500</v>
      </c>
      <c r="D837" s="180" t="s">
        <v>495</v>
      </c>
      <c r="E837" s="181">
        <v>44324.0</v>
      </c>
      <c r="F837" s="182" t="s">
        <v>496</v>
      </c>
      <c r="G837" s="170">
        <v>500.0</v>
      </c>
      <c r="H837" s="171">
        <v>25.0</v>
      </c>
      <c r="I837" s="171">
        <v>100.0</v>
      </c>
      <c r="J837" s="172">
        <f t="shared" si="53"/>
        <v>0.0004317674408</v>
      </c>
      <c r="K837" s="173">
        <f t="shared" si="54"/>
        <v>0.518120929</v>
      </c>
      <c r="L837" s="174">
        <f t="shared" si="9"/>
        <v>2.580844474</v>
      </c>
      <c r="M837" s="175" t="str">
        <f t="shared" si="10"/>
        <v>aidanbrodieo</v>
      </c>
      <c r="N837" s="176">
        <f>IFERROR(__xludf.DUMMYFUNCTION("""COMPUTED_VALUE"""),4.0)</f>
        <v>4</v>
      </c>
      <c r="O837" s="176"/>
      <c r="P837" s="183" t="s">
        <v>95</v>
      </c>
      <c r="Q837" s="178" t="s">
        <v>10</v>
      </c>
      <c r="R837" s="176"/>
      <c r="S837" s="176"/>
      <c r="T837" s="176"/>
      <c r="U837" s="176"/>
      <c r="V837" s="176"/>
      <c r="W837" s="176"/>
      <c r="X837" s="176"/>
      <c r="Y837" s="176"/>
      <c r="Z837" s="176"/>
      <c r="AA837" s="176"/>
    </row>
    <row r="838">
      <c r="A838" s="165" t="str">
        <f>iferror(VLOOKUP(P838,'DO NOT TOUCH Imported'!$A$1:$D$800,4,False),iferror(VLOOKUP(P838,'DO NOT TOUCH Imported'!$C$1:$D$800,2,False),"OOPS FIX ME"))</f>
        <v>danibelle</v>
      </c>
      <c r="B838" s="166" t="s">
        <v>490</v>
      </c>
      <c r="C838" s="167" t="s">
        <v>830</v>
      </c>
      <c r="D838" s="168" t="s">
        <v>437</v>
      </c>
      <c r="E838" s="177" t="s">
        <v>460</v>
      </c>
      <c r="F838" s="168" t="s">
        <v>439</v>
      </c>
      <c r="G838" s="170">
        <v>1000.0</v>
      </c>
      <c r="H838" s="171">
        <v>400.0</v>
      </c>
      <c r="I838" s="171">
        <v>100.0</v>
      </c>
      <c r="J838" s="172">
        <f t="shared" si="53"/>
        <v>0.00168111096</v>
      </c>
      <c r="K838" s="173">
        <f t="shared" si="54"/>
        <v>2.017333152</v>
      </c>
      <c r="L838" s="174">
        <f t="shared" si="9"/>
        <v>2.535454081</v>
      </c>
      <c r="M838" s="175" t="str">
        <f t="shared" si="10"/>
        <v>danibelle</v>
      </c>
      <c r="N838" s="176">
        <f>IFERROR(__xludf.DUMMYFUNCTION("""COMPUTED_VALUE"""),1.0)</f>
        <v>1</v>
      </c>
      <c r="O838" s="176"/>
      <c r="P838" s="166" t="s">
        <v>831</v>
      </c>
      <c r="Q838" s="166" t="s">
        <v>490</v>
      </c>
      <c r="R838" s="176"/>
      <c r="S838" s="176"/>
      <c r="T838" s="176"/>
      <c r="U838" s="176"/>
      <c r="V838" s="176"/>
      <c r="W838" s="176"/>
      <c r="X838" s="176"/>
      <c r="Y838" s="176"/>
      <c r="Z838" s="176"/>
      <c r="AA838" s="176"/>
    </row>
    <row r="839">
      <c r="A839" s="165" t="str">
        <f>iferror(VLOOKUP(P839,'DO NOT TOUCH Imported'!$A$1:$D$800,4,False),iferror(VLOOKUP(P839,'DO NOT TOUCH Imported'!$C$1:$D$800,2,False),"OOPS FIX ME"))</f>
        <v>danibelle</v>
      </c>
      <c r="B839" s="178" t="s">
        <v>10</v>
      </c>
      <c r="C839" s="179" t="s">
        <v>498</v>
      </c>
      <c r="D839" s="180" t="s">
        <v>495</v>
      </c>
      <c r="E839" s="181">
        <v>44323.0</v>
      </c>
      <c r="F839" s="182" t="s">
        <v>499</v>
      </c>
      <c r="G839" s="170">
        <v>500.0</v>
      </c>
      <c r="H839" s="171">
        <v>25.0</v>
      </c>
      <c r="I839" s="171">
        <v>100.0</v>
      </c>
      <c r="J839" s="172">
        <f t="shared" si="53"/>
        <v>0.0004317674408</v>
      </c>
      <c r="K839" s="173">
        <f t="shared" si="54"/>
        <v>0.518120929</v>
      </c>
      <c r="L839" s="174">
        <f t="shared" si="9"/>
        <v>2.535454081</v>
      </c>
      <c r="M839" s="175" t="str">
        <f t="shared" si="10"/>
        <v>danibelle</v>
      </c>
      <c r="N839" s="176">
        <f>IFERROR(__xludf.DUMMYFUNCTION("""COMPUTED_VALUE"""),2.0)</f>
        <v>2</v>
      </c>
      <c r="O839" s="176"/>
      <c r="P839" s="183" t="s">
        <v>38</v>
      </c>
      <c r="Q839" s="178" t="s">
        <v>10</v>
      </c>
      <c r="R839" s="176"/>
      <c r="S839" s="176"/>
      <c r="T839" s="176"/>
      <c r="U839" s="176"/>
      <c r="V839" s="176"/>
      <c r="W839" s="176"/>
      <c r="X839" s="176"/>
      <c r="Y839" s="176"/>
      <c r="Z839" s="176"/>
      <c r="AA839" s="176"/>
    </row>
    <row r="840">
      <c r="A840" s="165" t="str">
        <f>iferror(VLOOKUP(P840,'DO NOT TOUCH Imported'!$A$1:$D$800,4,False),iferror(VLOOKUP(P840,'DO NOT TOUCH Imported'!$C$1:$D$800,2,False),"OOPS FIX ME"))</f>
        <v>knobsDAO</v>
      </c>
      <c r="B840" s="166" t="s">
        <v>528</v>
      </c>
      <c r="C840" s="167" t="s">
        <v>600</v>
      </c>
      <c r="D840" s="168" t="s">
        <v>437</v>
      </c>
      <c r="E840" s="169" t="s">
        <v>445</v>
      </c>
      <c r="F840" s="168" t="s">
        <v>439</v>
      </c>
      <c r="G840" s="170">
        <v>1000.0</v>
      </c>
      <c r="H840" s="171">
        <v>100.0</v>
      </c>
      <c r="I840" s="171">
        <v>100.0</v>
      </c>
      <c r="J840" s="172">
        <f t="shared" si="53"/>
        <v>0.000723394157</v>
      </c>
      <c r="K840" s="173">
        <f t="shared" si="54"/>
        <v>0.8680729884</v>
      </c>
      <c r="L840" s="174">
        <f t="shared" si="9"/>
        <v>2.527601621</v>
      </c>
      <c r="M840" s="175" t="str">
        <f t="shared" si="10"/>
        <v>knobsDAO</v>
      </c>
      <c r="N840" s="176">
        <f>IFERROR(__xludf.DUMMYFUNCTION("""COMPUTED_VALUE"""),1.0)</f>
        <v>1</v>
      </c>
      <c r="O840" s="176"/>
      <c r="P840" s="166" t="s">
        <v>768</v>
      </c>
      <c r="Q840" s="166" t="s">
        <v>528</v>
      </c>
      <c r="R840" s="176"/>
      <c r="S840" s="176"/>
      <c r="T840" s="176"/>
      <c r="U840" s="176"/>
      <c r="V840" s="176"/>
      <c r="W840" s="176"/>
      <c r="X840" s="176"/>
      <c r="Y840" s="176"/>
      <c r="Z840" s="176"/>
      <c r="AA840" s="176"/>
    </row>
    <row r="841">
      <c r="A841" s="165" t="str">
        <f>iferror(VLOOKUP(P841,'DO NOT TOUCH Imported'!$A$1:$D$800,4,False),iferror(VLOOKUP(P841,'DO NOT TOUCH Imported'!$C$1:$D$800,2,False),"OOPS FIX ME"))</f>
        <v>knobsDAO</v>
      </c>
      <c r="B841" s="166" t="s">
        <v>530</v>
      </c>
      <c r="C841" s="167" t="s">
        <v>531</v>
      </c>
      <c r="D841" s="168" t="s">
        <v>499</v>
      </c>
      <c r="E841" s="177" t="s">
        <v>452</v>
      </c>
      <c r="F841" s="168" t="s">
        <v>503</v>
      </c>
      <c r="G841" s="170">
        <v>1000.0</v>
      </c>
      <c r="H841" s="171">
        <v>100.0</v>
      </c>
      <c r="I841" s="171">
        <v>100.0</v>
      </c>
      <c r="J841" s="172">
        <f t="shared" si="53"/>
        <v>0.000723394157</v>
      </c>
      <c r="K841" s="173">
        <f t="shared" si="54"/>
        <v>0.8680729884</v>
      </c>
      <c r="L841" s="174">
        <f t="shared" si="9"/>
        <v>2.527601621</v>
      </c>
      <c r="M841" s="175" t="str">
        <f t="shared" si="10"/>
        <v>knobsDAO</v>
      </c>
      <c r="N841" s="176">
        <f>IFERROR(__xludf.DUMMYFUNCTION("""COMPUTED_VALUE"""),2.0)</f>
        <v>2</v>
      </c>
      <c r="O841" s="176"/>
      <c r="P841" s="166" t="s">
        <v>768</v>
      </c>
      <c r="Q841" s="166" t="s">
        <v>530</v>
      </c>
      <c r="R841" s="176"/>
      <c r="S841" s="176"/>
      <c r="T841" s="176"/>
      <c r="U841" s="176"/>
      <c r="V841" s="176"/>
      <c r="W841" s="176"/>
      <c r="X841" s="176"/>
      <c r="Y841" s="176"/>
      <c r="Z841" s="176"/>
      <c r="AA841" s="176"/>
    </row>
    <row r="842">
      <c r="A842" s="165" t="str">
        <f>iferror(VLOOKUP(P842,'DO NOT TOUCH Imported'!$A$1:$D$800,4,False),iferror(VLOOKUP(P842,'DO NOT TOUCH Imported'!$C$1:$D$800,2,False),"OOPS FIX ME"))</f>
        <v>knobsDAO</v>
      </c>
      <c r="B842" s="166" t="s">
        <v>441</v>
      </c>
      <c r="C842" s="167" t="s">
        <v>543</v>
      </c>
      <c r="D842" s="168" t="s">
        <v>437</v>
      </c>
      <c r="E842" s="169" t="s">
        <v>447</v>
      </c>
      <c r="F842" s="168" t="s">
        <v>439</v>
      </c>
      <c r="G842" s="170">
        <v>1000.0</v>
      </c>
      <c r="H842" s="171">
        <v>80.0</v>
      </c>
      <c r="I842" s="171">
        <v>100.0</v>
      </c>
      <c r="J842" s="172">
        <f t="shared" si="53"/>
        <v>0.0006595463701</v>
      </c>
      <c r="K842" s="173">
        <f t="shared" si="54"/>
        <v>0.7914556442</v>
      </c>
      <c r="L842" s="174">
        <f t="shared" si="9"/>
        <v>2.527601621</v>
      </c>
      <c r="M842" s="175" t="str">
        <f t="shared" si="10"/>
        <v>knobsDAO</v>
      </c>
      <c r="N842" s="176">
        <f>IFERROR(__xludf.DUMMYFUNCTION("""COMPUTED_VALUE"""),3.0)</f>
        <v>3</v>
      </c>
      <c r="O842" s="176"/>
      <c r="P842" s="166" t="s">
        <v>768</v>
      </c>
      <c r="Q842" s="166" t="s">
        <v>441</v>
      </c>
      <c r="R842" s="176"/>
      <c r="S842" s="176"/>
      <c r="T842" s="176"/>
      <c r="U842" s="176"/>
      <c r="V842" s="176"/>
      <c r="W842" s="176"/>
      <c r="X842" s="176"/>
      <c r="Y842" s="176"/>
      <c r="Z842" s="176"/>
      <c r="AA842" s="176"/>
    </row>
    <row r="843">
      <c r="A843" s="185" t="str">
        <f>iferror(VLOOKUP(P843,'DO NOT TOUCH Imported'!$A$1:$D$800,4,False),iferror(VLOOKUP(P843,'DO NOT TOUCH Imported'!$C$1:$D$800,2,False),"OOPS FIX ME"))</f>
        <v>knobsDAO</v>
      </c>
      <c r="B843" s="185" t="s">
        <v>534</v>
      </c>
      <c r="C843" s="186" t="s">
        <v>684</v>
      </c>
      <c r="D843" s="187"/>
      <c r="E843" s="188"/>
      <c r="F843" s="189"/>
      <c r="G843" s="190"/>
      <c r="H843" s="190"/>
      <c r="I843" s="190"/>
      <c r="J843" s="172">
        <f>(H843/$H$2+I843/$I$2)/2</f>
        <v>0</v>
      </c>
      <c r="K843" s="215">
        <v>0.0</v>
      </c>
      <c r="L843" s="193">
        <f t="shared" si="9"/>
        <v>2.527601621</v>
      </c>
      <c r="M843" s="194" t="str">
        <f t="shared" si="10"/>
        <v>knobsDAO</v>
      </c>
      <c r="N843" s="195">
        <f>IFERROR(__xludf.DUMMYFUNCTION("""COMPUTED_VALUE"""),4.0)</f>
        <v>4</v>
      </c>
      <c r="O843" s="195"/>
      <c r="P843" s="185" t="s">
        <v>49</v>
      </c>
      <c r="Q843" s="185" t="s">
        <v>534</v>
      </c>
      <c r="R843" s="195">
        <v>15.224018051145396</v>
      </c>
      <c r="S843" s="195"/>
      <c r="T843" s="195"/>
      <c r="U843" s="195"/>
      <c r="V843" s="195"/>
      <c r="W843" s="195"/>
      <c r="X843" s="195"/>
      <c r="Y843" s="195"/>
      <c r="Z843" s="195"/>
      <c r="AA843" s="176"/>
    </row>
    <row r="844">
      <c r="A844" s="165" t="str">
        <f>iferror(VLOOKUP(P844,'DO NOT TOUCH Imported'!$A$1:$D$800,4,False),iferror(VLOOKUP(P844,'DO NOT TOUCH Imported'!$C$1:$D$800,2,False),"OOPS FIX ME"))</f>
        <v>jwaup</v>
      </c>
      <c r="B844" s="166" t="s">
        <v>441</v>
      </c>
      <c r="C844" s="167" t="s">
        <v>461</v>
      </c>
      <c r="D844" s="168" t="s">
        <v>437</v>
      </c>
      <c r="E844" s="169" t="s">
        <v>460</v>
      </c>
      <c r="F844" s="168" t="s">
        <v>439</v>
      </c>
      <c r="G844" s="170">
        <v>1000.0</v>
      </c>
      <c r="H844" s="171">
        <v>100.0</v>
      </c>
      <c r="I844" s="171">
        <v>100.0</v>
      </c>
      <c r="J844" s="172">
        <f t="shared" ref="J844:J870" si="55">(G844/$G$2+H844/$H$2+I844/$I$2)/3</f>
        <v>0.000723394157</v>
      </c>
      <c r="K844" s="173">
        <f t="shared" ref="K844:K870" si="56">J844*$J$1</f>
        <v>0.8680729884</v>
      </c>
      <c r="L844" s="174">
        <f t="shared" si="9"/>
        <v>2.489292949</v>
      </c>
      <c r="M844" s="175" t="str">
        <f t="shared" si="10"/>
        <v>jwaup</v>
      </c>
      <c r="N844" s="176">
        <f>IFERROR(__xludf.DUMMYFUNCTION("""COMPUTED_VALUE"""),1.0)</f>
        <v>1</v>
      </c>
      <c r="O844" s="176"/>
      <c r="P844" s="166" t="s">
        <v>832</v>
      </c>
      <c r="Q844" s="166" t="s">
        <v>441</v>
      </c>
      <c r="R844" s="176"/>
      <c r="S844" s="176"/>
      <c r="T844" s="176"/>
      <c r="U844" s="176"/>
      <c r="V844" s="176"/>
      <c r="W844" s="176"/>
      <c r="X844" s="176"/>
      <c r="Y844" s="176"/>
      <c r="Z844" s="176"/>
      <c r="AA844" s="176"/>
    </row>
    <row r="845">
      <c r="A845" s="165" t="str">
        <f>iferror(VLOOKUP(P845,'DO NOT TOUCH Imported'!$A$1:$D$800,4,False),iferror(VLOOKUP(P845,'DO NOT TOUCH Imported'!$C$1:$D$800,2,False),"OOPS FIX ME"))</f>
        <v>jwaup</v>
      </c>
      <c r="B845" s="166" t="s">
        <v>566</v>
      </c>
      <c r="C845" s="167" t="s">
        <v>833</v>
      </c>
      <c r="D845" s="168" t="s">
        <v>499</v>
      </c>
      <c r="E845" s="169" t="s">
        <v>452</v>
      </c>
      <c r="F845" s="168" t="s">
        <v>503</v>
      </c>
      <c r="G845" s="170">
        <v>1000.0</v>
      </c>
      <c r="H845" s="171">
        <v>100.0</v>
      </c>
      <c r="I845" s="171">
        <v>100.0</v>
      </c>
      <c r="J845" s="172">
        <f t="shared" si="55"/>
        <v>0.000723394157</v>
      </c>
      <c r="K845" s="173">
        <f t="shared" si="56"/>
        <v>0.8680729884</v>
      </c>
      <c r="L845" s="174">
        <f t="shared" si="9"/>
        <v>2.489292949</v>
      </c>
      <c r="M845" s="175" t="str">
        <f t="shared" si="10"/>
        <v>jwaup</v>
      </c>
      <c r="N845" s="176">
        <f>IFERROR(__xludf.DUMMYFUNCTION("""COMPUTED_VALUE"""),2.0)</f>
        <v>2</v>
      </c>
      <c r="O845" s="176"/>
      <c r="P845" s="166" t="s">
        <v>832</v>
      </c>
      <c r="Q845" s="166" t="s">
        <v>566</v>
      </c>
      <c r="R845" s="176"/>
      <c r="S845" s="176"/>
      <c r="T845" s="176"/>
      <c r="U845" s="176"/>
      <c r="V845" s="176"/>
      <c r="W845" s="176"/>
      <c r="X845" s="176"/>
      <c r="Y845" s="176"/>
      <c r="Z845" s="176"/>
      <c r="AA845" s="176"/>
    </row>
    <row r="846">
      <c r="A846" s="165" t="str">
        <f>iferror(VLOOKUP(P846,'DO NOT TOUCH Imported'!$A$1:$D$800,4,False),iferror(VLOOKUP(P846,'DO NOT TOUCH Imported'!$C$1:$D$800,2,False),"OOPS FIX ME"))</f>
        <v>jwaup</v>
      </c>
      <c r="B846" s="166" t="s">
        <v>486</v>
      </c>
      <c r="C846" s="167" t="s">
        <v>487</v>
      </c>
      <c r="D846" s="168" t="s">
        <v>437</v>
      </c>
      <c r="E846" s="177" t="s">
        <v>488</v>
      </c>
      <c r="F846" s="168" t="s">
        <v>439</v>
      </c>
      <c r="G846" s="170">
        <v>1000.0</v>
      </c>
      <c r="H846" s="171">
        <v>70.0</v>
      </c>
      <c r="I846" s="171">
        <v>100.0</v>
      </c>
      <c r="J846" s="172">
        <f t="shared" si="55"/>
        <v>0.0006276224767</v>
      </c>
      <c r="K846" s="173">
        <f t="shared" si="56"/>
        <v>0.7531469721</v>
      </c>
      <c r="L846" s="174">
        <f t="shared" si="9"/>
        <v>2.489292949</v>
      </c>
      <c r="M846" s="175" t="str">
        <f t="shared" si="10"/>
        <v>jwaup</v>
      </c>
      <c r="N846" s="176">
        <f>IFERROR(__xludf.DUMMYFUNCTION("""COMPUTED_VALUE"""),3.0)</f>
        <v>3</v>
      </c>
      <c r="O846" s="176"/>
      <c r="P846" s="166" t="s">
        <v>832</v>
      </c>
      <c r="Q846" s="166" t="s">
        <v>486</v>
      </c>
      <c r="R846" s="176"/>
      <c r="S846" s="176"/>
      <c r="T846" s="176"/>
      <c r="U846" s="176"/>
      <c r="V846" s="176"/>
      <c r="W846" s="176"/>
      <c r="X846" s="176"/>
      <c r="Y846" s="176"/>
      <c r="Z846" s="176"/>
      <c r="AA846" s="176"/>
    </row>
    <row r="847">
      <c r="A847" s="165" t="str">
        <f>iferror(VLOOKUP(P847,'DO NOT TOUCH Imported'!$A$1:$D$800,4,False),iferror(VLOOKUP(P847,'DO NOT TOUCH Imported'!$C$1:$D$800,2,False),"OOPS FIX ME"))</f>
        <v>Pronoia🐙#2154</v>
      </c>
      <c r="B847" s="166" t="s">
        <v>441</v>
      </c>
      <c r="C847" s="167" t="s">
        <v>485</v>
      </c>
      <c r="D847" s="168" t="s">
        <v>437</v>
      </c>
      <c r="E847" s="169" t="s">
        <v>438</v>
      </c>
      <c r="F847" s="168" t="s">
        <v>439</v>
      </c>
      <c r="G847" s="170">
        <v>1000.0</v>
      </c>
      <c r="H847" s="171">
        <v>80.0</v>
      </c>
      <c r="I847" s="171">
        <v>100.0</v>
      </c>
      <c r="J847" s="172">
        <f t="shared" si="55"/>
        <v>0.0006595463701</v>
      </c>
      <c r="K847" s="173">
        <f t="shared" si="56"/>
        <v>0.7914556442</v>
      </c>
      <c r="L847" s="174">
        <f t="shared" si="9"/>
        <v>2.40845545</v>
      </c>
      <c r="M847" s="175" t="str">
        <f t="shared" si="10"/>
        <v>Pronoia🐙#2154</v>
      </c>
      <c r="N847" s="176">
        <f>IFERROR(__xludf.DUMMYFUNCTION("""COMPUTED_VALUE"""),1.0)</f>
        <v>1</v>
      </c>
      <c r="O847" s="176"/>
      <c r="P847" s="166" t="s">
        <v>220</v>
      </c>
      <c r="Q847" s="166" t="s">
        <v>441</v>
      </c>
      <c r="R847" s="176"/>
      <c r="S847" s="176"/>
      <c r="T847" s="176"/>
      <c r="U847" s="176"/>
      <c r="V847" s="176"/>
      <c r="W847" s="176"/>
      <c r="X847" s="176"/>
      <c r="Y847" s="176"/>
      <c r="Z847" s="176"/>
      <c r="AA847" s="176"/>
    </row>
    <row r="848">
      <c r="A848" s="165" t="str">
        <f>iferror(VLOOKUP(P848,'DO NOT TOUCH Imported'!$A$1:$D$800,4,False),iferror(VLOOKUP(P848,'DO NOT TOUCH Imported'!$C$1:$D$800,2,False),"OOPS FIX ME"))</f>
        <v>Pronoia🐙#2154</v>
      </c>
      <c r="B848" s="166" t="s">
        <v>441</v>
      </c>
      <c r="C848" s="167" t="s">
        <v>572</v>
      </c>
      <c r="D848" s="168" t="s">
        <v>499</v>
      </c>
      <c r="E848" s="177" t="s">
        <v>447</v>
      </c>
      <c r="F848" s="168" t="s">
        <v>503</v>
      </c>
      <c r="G848" s="170">
        <v>1000.0</v>
      </c>
      <c r="H848" s="171">
        <v>25.0</v>
      </c>
      <c r="I848" s="171">
        <v>100.0</v>
      </c>
      <c r="J848" s="172">
        <f t="shared" si="55"/>
        <v>0.0004839649562</v>
      </c>
      <c r="K848" s="173">
        <f t="shared" si="56"/>
        <v>0.5807579475</v>
      </c>
      <c r="L848" s="174">
        <f t="shared" si="9"/>
        <v>2.40845545</v>
      </c>
      <c r="M848" s="175" t="str">
        <f t="shared" si="10"/>
        <v>Pronoia🐙#2154</v>
      </c>
      <c r="N848" s="176">
        <f>IFERROR(__xludf.DUMMYFUNCTION("""COMPUTED_VALUE"""),2.0)</f>
        <v>2</v>
      </c>
      <c r="O848" s="176"/>
      <c r="P848" s="166" t="s">
        <v>220</v>
      </c>
      <c r="Q848" s="166" t="s">
        <v>441</v>
      </c>
      <c r="R848" s="176"/>
      <c r="S848" s="176"/>
      <c r="T848" s="176"/>
      <c r="U848" s="176"/>
      <c r="V848" s="176"/>
      <c r="W848" s="176"/>
      <c r="X848" s="176"/>
      <c r="Y848" s="176"/>
      <c r="Z848" s="176"/>
      <c r="AA848" s="176"/>
    </row>
    <row r="849">
      <c r="A849" s="165" t="str">
        <f>iferror(VLOOKUP(P849,'DO NOT TOUCH Imported'!$A$1:$D$800,4,False),iferror(VLOOKUP(P849,'DO NOT TOUCH Imported'!$C$1:$D$800,2,False),"OOPS FIX ME"))</f>
        <v>Pronoia🐙#2154</v>
      </c>
      <c r="B849" s="166" t="s">
        <v>441</v>
      </c>
      <c r="C849" s="167" t="s">
        <v>574</v>
      </c>
      <c r="D849" s="168" t="s">
        <v>499</v>
      </c>
      <c r="E849" s="169" t="s">
        <v>438</v>
      </c>
      <c r="F849" s="168" t="s">
        <v>571</v>
      </c>
      <c r="G849" s="170">
        <v>500.0</v>
      </c>
      <c r="H849" s="171">
        <v>25.0</v>
      </c>
      <c r="I849" s="171">
        <v>100.0</v>
      </c>
      <c r="J849" s="172">
        <f t="shared" si="55"/>
        <v>0.0004317674408</v>
      </c>
      <c r="K849" s="173">
        <f t="shared" si="56"/>
        <v>0.518120929</v>
      </c>
      <c r="L849" s="174">
        <f t="shared" si="9"/>
        <v>2.40845545</v>
      </c>
      <c r="M849" s="175" t="str">
        <f t="shared" si="10"/>
        <v>Pronoia🐙#2154</v>
      </c>
      <c r="N849" s="176">
        <f>IFERROR(__xludf.DUMMYFUNCTION("""COMPUTED_VALUE"""),3.0)</f>
        <v>3</v>
      </c>
      <c r="O849" s="176"/>
      <c r="P849" s="166" t="s">
        <v>220</v>
      </c>
      <c r="Q849" s="166" t="s">
        <v>441</v>
      </c>
      <c r="R849" s="176"/>
      <c r="S849" s="176"/>
      <c r="T849" s="176"/>
      <c r="U849" s="176"/>
      <c r="V849" s="176"/>
      <c r="W849" s="176"/>
      <c r="X849" s="176"/>
      <c r="Y849" s="176"/>
      <c r="Z849" s="176"/>
      <c r="AA849" s="176"/>
    </row>
    <row r="850">
      <c r="A850" s="165" t="str">
        <f>iferror(VLOOKUP(P850,'DO NOT TOUCH Imported'!$A$1:$D$800,4,False),iferror(VLOOKUP(P850,'DO NOT TOUCH Imported'!$C$1:$D$800,2,False),"OOPS FIX ME"))</f>
        <v>Pronoia🐙#2154</v>
      </c>
      <c r="B850" s="166" t="s">
        <v>441</v>
      </c>
      <c r="C850" s="167" t="s">
        <v>572</v>
      </c>
      <c r="D850" s="168" t="s">
        <v>499</v>
      </c>
      <c r="E850" s="177" t="s">
        <v>438</v>
      </c>
      <c r="F850" s="168" t="s">
        <v>503</v>
      </c>
      <c r="G850" s="170">
        <v>500.0</v>
      </c>
      <c r="H850" s="171">
        <v>25.0</v>
      </c>
      <c r="I850" s="171">
        <v>100.0</v>
      </c>
      <c r="J850" s="172">
        <f t="shared" si="55"/>
        <v>0.0004317674408</v>
      </c>
      <c r="K850" s="173">
        <f t="shared" si="56"/>
        <v>0.518120929</v>
      </c>
      <c r="L850" s="174">
        <f t="shared" si="9"/>
        <v>2.40845545</v>
      </c>
      <c r="M850" s="175" t="str">
        <f t="shared" si="10"/>
        <v>Pronoia🐙#2154</v>
      </c>
      <c r="N850" s="176">
        <f>IFERROR(__xludf.DUMMYFUNCTION("""COMPUTED_VALUE"""),4.0)</f>
        <v>4</v>
      </c>
      <c r="O850" s="176"/>
      <c r="P850" s="166" t="s">
        <v>220</v>
      </c>
      <c r="Q850" s="166" t="s">
        <v>441</v>
      </c>
      <c r="R850" s="176"/>
      <c r="S850" s="176"/>
      <c r="T850" s="176"/>
      <c r="U850" s="176"/>
      <c r="V850" s="176"/>
      <c r="W850" s="176"/>
      <c r="X850" s="176"/>
      <c r="Y850" s="176"/>
      <c r="Z850" s="176"/>
      <c r="AA850" s="176"/>
    </row>
    <row r="851">
      <c r="A851" s="165" t="str">
        <f>iferror(VLOOKUP(P851,'DO NOT TOUCH Imported'!$A$1:$D$800,4,False),iferror(VLOOKUP(P851,'DO NOT TOUCH Imported'!$C$1:$D$800,2,False),"OOPS FIX ME"))</f>
        <v>PaulaBerman#9915</v>
      </c>
      <c r="B851" s="166" t="s">
        <v>566</v>
      </c>
      <c r="C851" s="167" t="s">
        <v>834</v>
      </c>
      <c r="D851" s="168" t="s">
        <v>499</v>
      </c>
      <c r="E851" s="177" t="s">
        <v>452</v>
      </c>
      <c r="F851" s="168" t="s">
        <v>503</v>
      </c>
      <c r="G851" s="170">
        <v>1000.0</v>
      </c>
      <c r="H851" s="171">
        <v>500.0</v>
      </c>
      <c r="I851" s="171">
        <v>100.0</v>
      </c>
      <c r="J851" s="172">
        <f t="shared" si="55"/>
        <v>0.002000349895</v>
      </c>
      <c r="K851" s="173">
        <f t="shared" si="56"/>
        <v>2.400419873</v>
      </c>
      <c r="L851" s="174">
        <f t="shared" si="9"/>
        <v>2.400419873</v>
      </c>
      <c r="M851" s="175" t="str">
        <f t="shared" si="10"/>
        <v>PaulaBerman#9915</v>
      </c>
      <c r="N851" s="176">
        <f>IFERROR(__xludf.DUMMYFUNCTION("""COMPUTED_VALUE"""),1.0)</f>
        <v>1</v>
      </c>
      <c r="O851" s="176"/>
      <c r="P851" s="166" t="s">
        <v>141</v>
      </c>
      <c r="Q851" s="166" t="s">
        <v>566</v>
      </c>
      <c r="R851" s="176"/>
      <c r="S851" s="176"/>
      <c r="T851" s="176"/>
      <c r="U851" s="176"/>
      <c r="V851" s="176"/>
      <c r="W851" s="176"/>
      <c r="X851" s="176"/>
      <c r="Y851" s="176"/>
      <c r="Z851" s="176"/>
      <c r="AA851" s="176"/>
    </row>
    <row r="852">
      <c r="A852" s="165" t="str">
        <f>iferror(VLOOKUP(P852,'DO NOT TOUCH Imported'!$A$1:$D$800,4,False),iferror(VLOOKUP(P852,'DO NOT TOUCH Imported'!$C$1:$D$800,2,False),"OOPS FIX ME"))</f>
        <v>felixfalafel</v>
      </c>
      <c r="B852" s="166" t="s">
        <v>566</v>
      </c>
      <c r="C852" s="167" t="s">
        <v>835</v>
      </c>
      <c r="D852" s="168" t="s">
        <v>499</v>
      </c>
      <c r="E852" s="169" t="s">
        <v>452</v>
      </c>
      <c r="F852" s="168" t="s">
        <v>503</v>
      </c>
      <c r="G852" s="170">
        <v>1000.0</v>
      </c>
      <c r="H852" s="171">
        <v>200.0</v>
      </c>
      <c r="I852" s="171">
        <v>200.0</v>
      </c>
      <c r="J852" s="172">
        <f t="shared" si="55"/>
        <v>0.001342393283</v>
      </c>
      <c r="K852" s="173">
        <f t="shared" si="56"/>
        <v>1.61087194</v>
      </c>
      <c r="L852" s="174">
        <f t="shared" si="9"/>
        <v>2.128992869</v>
      </c>
      <c r="M852" s="175" t="str">
        <f t="shared" si="10"/>
        <v>felixfalafel</v>
      </c>
      <c r="N852" s="176">
        <f>IFERROR(__xludf.DUMMYFUNCTION("""COMPUTED_VALUE"""),1.0)</f>
        <v>1</v>
      </c>
      <c r="O852" s="176"/>
      <c r="P852" s="166" t="s">
        <v>836</v>
      </c>
      <c r="Q852" s="166" t="s">
        <v>566</v>
      </c>
      <c r="R852" s="176"/>
      <c r="S852" s="176"/>
      <c r="T852" s="176"/>
      <c r="U852" s="176"/>
      <c r="V852" s="176"/>
      <c r="W852" s="176"/>
      <c r="X852" s="176"/>
      <c r="Y852" s="176"/>
      <c r="Z852" s="176"/>
      <c r="AA852" s="176"/>
    </row>
    <row r="853">
      <c r="A853" s="165" t="str">
        <f>iferror(VLOOKUP(P853,'DO NOT TOUCH Imported'!$A$1:$D$800,4,False),iferror(VLOOKUP(P853,'DO NOT TOUCH Imported'!$C$1:$D$800,2,False),"OOPS FIX ME"))</f>
        <v>felixfalafel</v>
      </c>
      <c r="B853" s="178" t="s">
        <v>10</v>
      </c>
      <c r="C853" s="179" t="s">
        <v>498</v>
      </c>
      <c r="D853" s="180" t="s">
        <v>495</v>
      </c>
      <c r="E853" s="181">
        <v>44323.0</v>
      </c>
      <c r="F853" s="182" t="s">
        <v>499</v>
      </c>
      <c r="G853" s="170">
        <v>500.0</v>
      </c>
      <c r="H853" s="171">
        <v>25.0</v>
      </c>
      <c r="I853" s="171">
        <v>100.0</v>
      </c>
      <c r="J853" s="172">
        <f t="shared" si="55"/>
        <v>0.0004317674408</v>
      </c>
      <c r="K853" s="173">
        <f t="shared" si="56"/>
        <v>0.518120929</v>
      </c>
      <c r="L853" s="174">
        <f t="shared" si="9"/>
        <v>2.128992869</v>
      </c>
      <c r="M853" s="175" t="str">
        <f t="shared" si="10"/>
        <v>felixfalafel</v>
      </c>
      <c r="N853" s="176">
        <f>IFERROR(__xludf.DUMMYFUNCTION("""COMPUTED_VALUE"""),2.0)</f>
        <v>2</v>
      </c>
      <c r="O853" s="176"/>
      <c r="P853" s="183" t="s">
        <v>81</v>
      </c>
      <c r="Q853" s="178" t="s">
        <v>10</v>
      </c>
      <c r="R853" s="176"/>
      <c r="S853" s="176"/>
      <c r="T853" s="176"/>
      <c r="U853" s="176"/>
      <c r="V853" s="176"/>
      <c r="W853" s="176"/>
      <c r="X853" s="176"/>
      <c r="Y853" s="176"/>
      <c r="Z853" s="176"/>
      <c r="AA853" s="176"/>
    </row>
    <row r="854">
      <c r="A854" s="165" t="str">
        <f>iferror(VLOOKUP(P854,'DO NOT TOUCH Imported'!$A$1:$D$800,4,False),iferror(VLOOKUP(P854,'DO NOT TOUCH Imported'!$C$1:$D$800,2,False),"OOPS FIX ME"))</f>
        <v>kaikai520#0224</v>
      </c>
      <c r="B854" s="166" t="s">
        <v>441</v>
      </c>
      <c r="C854" s="167" t="s">
        <v>570</v>
      </c>
      <c r="D854" s="168" t="s">
        <v>499</v>
      </c>
      <c r="E854" s="169" t="s">
        <v>447</v>
      </c>
      <c r="F854" s="168" t="s">
        <v>571</v>
      </c>
      <c r="G854" s="170">
        <v>500.0</v>
      </c>
      <c r="H854" s="171">
        <v>25.0</v>
      </c>
      <c r="I854" s="171">
        <v>100.0</v>
      </c>
      <c r="J854" s="172">
        <f t="shared" si="55"/>
        <v>0.0004317674408</v>
      </c>
      <c r="K854" s="173">
        <f t="shared" si="56"/>
        <v>0.518120929</v>
      </c>
      <c r="L854" s="174">
        <f t="shared" si="9"/>
        <v>2.072483716</v>
      </c>
      <c r="M854" s="175" t="str">
        <f t="shared" si="10"/>
        <v>kaikai520#0224</v>
      </c>
      <c r="N854" s="176">
        <f>IFERROR(__xludf.DUMMYFUNCTION("""COMPUTED_VALUE"""),1.0)</f>
        <v>1</v>
      </c>
      <c r="O854" s="176"/>
      <c r="P854" s="166" t="s">
        <v>161</v>
      </c>
      <c r="Q854" s="166" t="s">
        <v>441</v>
      </c>
      <c r="R854" s="176"/>
      <c r="S854" s="176"/>
      <c r="T854" s="176"/>
      <c r="U854" s="176"/>
      <c r="V854" s="176"/>
      <c r="W854" s="176"/>
      <c r="X854" s="176"/>
      <c r="Y854" s="176"/>
      <c r="Z854" s="176"/>
      <c r="AA854" s="176"/>
    </row>
    <row r="855">
      <c r="A855" s="165" t="str">
        <f>iferror(VLOOKUP(P855,'DO NOT TOUCH Imported'!$A$1:$D$800,4,False),iferror(VLOOKUP(P855,'DO NOT TOUCH Imported'!$C$1:$D$800,2,False),"OOPS FIX ME"))</f>
        <v>kaikai520#0224</v>
      </c>
      <c r="B855" s="166" t="s">
        <v>441</v>
      </c>
      <c r="C855" s="167" t="s">
        <v>572</v>
      </c>
      <c r="D855" s="168" t="s">
        <v>499</v>
      </c>
      <c r="E855" s="169" t="s">
        <v>447</v>
      </c>
      <c r="F855" s="168" t="s">
        <v>503</v>
      </c>
      <c r="G855" s="170">
        <v>500.0</v>
      </c>
      <c r="H855" s="171">
        <v>25.0</v>
      </c>
      <c r="I855" s="171">
        <v>100.0</v>
      </c>
      <c r="J855" s="172">
        <f t="shared" si="55"/>
        <v>0.0004317674408</v>
      </c>
      <c r="K855" s="173">
        <f t="shared" si="56"/>
        <v>0.518120929</v>
      </c>
      <c r="L855" s="174">
        <f t="shared" si="9"/>
        <v>2.072483716</v>
      </c>
      <c r="M855" s="175" t="str">
        <f t="shared" si="10"/>
        <v>kaikai520#0224</v>
      </c>
      <c r="N855" s="176">
        <f>IFERROR(__xludf.DUMMYFUNCTION("""COMPUTED_VALUE"""),2.0)</f>
        <v>2</v>
      </c>
      <c r="O855" s="176"/>
      <c r="P855" s="166" t="s">
        <v>161</v>
      </c>
      <c r="Q855" s="166" t="s">
        <v>441</v>
      </c>
      <c r="R855" s="176"/>
      <c r="S855" s="176"/>
      <c r="T855" s="176"/>
      <c r="U855" s="176"/>
      <c r="V855" s="176"/>
      <c r="W855" s="176"/>
      <c r="X855" s="176"/>
      <c r="Y855" s="176"/>
      <c r="Z855" s="176"/>
      <c r="AA855" s="176"/>
    </row>
    <row r="856">
      <c r="A856" s="165" t="str">
        <f>iferror(VLOOKUP(P856,'DO NOT TOUCH Imported'!$A$1:$D$800,4,False),iferror(VLOOKUP(P856,'DO NOT TOUCH Imported'!$C$1:$D$800,2,False),"OOPS FIX ME"))</f>
        <v>kaikai520#0224</v>
      </c>
      <c r="B856" s="166" t="s">
        <v>441</v>
      </c>
      <c r="C856" s="167" t="s">
        <v>574</v>
      </c>
      <c r="D856" s="168" t="s">
        <v>499</v>
      </c>
      <c r="E856" s="169" t="s">
        <v>438</v>
      </c>
      <c r="F856" s="168" t="s">
        <v>571</v>
      </c>
      <c r="G856" s="170">
        <v>500.0</v>
      </c>
      <c r="H856" s="171">
        <v>25.0</v>
      </c>
      <c r="I856" s="171">
        <v>100.0</v>
      </c>
      <c r="J856" s="172">
        <f t="shared" si="55"/>
        <v>0.0004317674408</v>
      </c>
      <c r="K856" s="173">
        <f t="shared" si="56"/>
        <v>0.518120929</v>
      </c>
      <c r="L856" s="174">
        <f t="shared" si="9"/>
        <v>2.072483716</v>
      </c>
      <c r="M856" s="175" t="str">
        <f t="shared" si="10"/>
        <v>kaikai520#0224</v>
      </c>
      <c r="N856" s="176">
        <f>IFERROR(__xludf.DUMMYFUNCTION("""COMPUTED_VALUE"""),3.0)</f>
        <v>3</v>
      </c>
      <c r="O856" s="176"/>
      <c r="P856" s="166" t="s">
        <v>161</v>
      </c>
      <c r="Q856" s="166" t="s">
        <v>441</v>
      </c>
      <c r="R856" s="176"/>
      <c r="S856" s="176"/>
      <c r="T856" s="176"/>
      <c r="U856" s="176"/>
      <c r="V856" s="176"/>
      <c r="W856" s="176"/>
      <c r="X856" s="176"/>
      <c r="Y856" s="176"/>
      <c r="Z856" s="176"/>
      <c r="AA856" s="176"/>
    </row>
    <row r="857">
      <c r="A857" s="165" t="str">
        <f>iferror(VLOOKUP(P857,'DO NOT TOUCH Imported'!$A$1:$D$800,4,False),iferror(VLOOKUP(P857,'DO NOT TOUCH Imported'!$C$1:$D$800,2,False),"OOPS FIX ME"))</f>
        <v>kaikai520#0224</v>
      </c>
      <c r="B857" s="166" t="s">
        <v>441</v>
      </c>
      <c r="C857" s="167" t="s">
        <v>572</v>
      </c>
      <c r="D857" s="168" t="s">
        <v>499</v>
      </c>
      <c r="E857" s="169" t="s">
        <v>438</v>
      </c>
      <c r="F857" s="168" t="s">
        <v>503</v>
      </c>
      <c r="G857" s="170">
        <v>500.0</v>
      </c>
      <c r="H857" s="171">
        <v>25.0</v>
      </c>
      <c r="I857" s="171">
        <v>100.0</v>
      </c>
      <c r="J857" s="172">
        <f t="shared" si="55"/>
        <v>0.0004317674408</v>
      </c>
      <c r="K857" s="173">
        <f t="shared" si="56"/>
        <v>0.518120929</v>
      </c>
      <c r="L857" s="174">
        <f t="shared" si="9"/>
        <v>2.072483716</v>
      </c>
      <c r="M857" s="175" t="str">
        <f t="shared" si="10"/>
        <v>kaikai520#0224</v>
      </c>
      <c r="N857" s="176">
        <f>IFERROR(__xludf.DUMMYFUNCTION("""COMPUTED_VALUE"""),4.0)</f>
        <v>4</v>
      </c>
      <c r="O857" s="176"/>
      <c r="P857" s="166" t="s">
        <v>161</v>
      </c>
      <c r="Q857" s="166" t="s">
        <v>441</v>
      </c>
      <c r="R857" s="176"/>
      <c r="S857" s="176"/>
      <c r="T857" s="176"/>
      <c r="U857" s="176"/>
      <c r="V857" s="176"/>
      <c r="W857" s="176"/>
      <c r="X857" s="176"/>
      <c r="Y857" s="176"/>
      <c r="Z857" s="176"/>
      <c r="AA857" s="176"/>
    </row>
    <row r="858">
      <c r="A858" s="165" t="str">
        <f>iferror(VLOOKUP(P858,'DO NOT TOUCH Imported'!$A$1:$D$800,4,False),iferror(VLOOKUP(P858,'DO NOT TOUCH Imported'!$C$1:$D$800,2,False),"OOPS FIX ME"))</f>
        <v>CJ_33Logic#3171</v>
      </c>
      <c r="B858" s="166" t="s">
        <v>441</v>
      </c>
      <c r="C858" s="167" t="s">
        <v>570</v>
      </c>
      <c r="D858" s="168" t="s">
        <v>499</v>
      </c>
      <c r="E858" s="177" t="s">
        <v>447</v>
      </c>
      <c r="F858" s="168" t="s">
        <v>571</v>
      </c>
      <c r="G858" s="170">
        <v>500.0</v>
      </c>
      <c r="H858" s="171">
        <v>25.0</v>
      </c>
      <c r="I858" s="171">
        <v>100.0</v>
      </c>
      <c r="J858" s="172">
        <f t="shared" si="55"/>
        <v>0.0004317674408</v>
      </c>
      <c r="K858" s="173">
        <f t="shared" si="56"/>
        <v>0.518120929</v>
      </c>
      <c r="L858" s="174">
        <f t="shared" si="9"/>
        <v>2.072483716</v>
      </c>
      <c r="M858" s="175" t="str">
        <f t="shared" si="10"/>
        <v>CJ_33Logic#3171</v>
      </c>
      <c r="N858" s="176">
        <f>IFERROR(__xludf.DUMMYFUNCTION("""COMPUTED_VALUE"""),1.0)</f>
        <v>1</v>
      </c>
      <c r="O858" s="176"/>
      <c r="P858" s="166" t="s">
        <v>219</v>
      </c>
      <c r="Q858" s="166" t="s">
        <v>441</v>
      </c>
      <c r="R858" s="176"/>
      <c r="S858" s="176"/>
      <c r="T858" s="176"/>
      <c r="U858" s="176"/>
      <c r="V858" s="176"/>
      <c r="W858" s="176"/>
      <c r="X858" s="176"/>
      <c r="Y858" s="176"/>
      <c r="Z858" s="176"/>
      <c r="AA858" s="176"/>
    </row>
    <row r="859">
      <c r="A859" s="165" t="str">
        <f>iferror(VLOOKUP(P859,'DO NOT TOUCH Imported'!$A$1:$D$800,4,False),iferror(VLOOKUP(P859,'DO NOT TOUCH Imported'!$C$1:$D$800,2,False),"OOPS FIX ME"))</f>
        <v>CJ_33Logic#3171</v>
      </c>
      <c r="B859" s="166" t="s">
        <v>441</v>
      </c>
      <c r="C859" s="167" t="s">
        <v>572</v>
      </c>
      <c r="D859" s="168" t="s">
        <v>499</v>
      </c>
      <c r="E859" s="177" t="s">
        <v>447</v>
      </c>
      <c r="F859" s="168" t="s">
        <v>503</v>
      </c>
      <c r="G859" s="170">
        <v>500.0</v>
      </c>
      <c r="H859" s="171">
        <v>25.0</v>
      </c>
      <c r="I859" s="171">
        <v>100.0</v>
      </c>
      <c r="J859" s="172">
        <f t="shared" si="55"/>
        <v>0.0004317674408</v>
      </c>
      <c r="K859" s="173">
        <f t="shared" si="56"/>
        <v>0.518120929</v>
      </c>
      <c r="L859" s="174">
        <f t="shared" si="9"/>
        <v>2.072483716</v>
      </c>
      <c r="M859" s="175" t="str">
        <f t="shared" si="10"/>
        <v>CJ_33Logic#3171</v>
      </c>
      <c r="N859" s="176">
        <f>IFERROR(__xludf.DUMMYFUNCTION("""COMPUTED_VALUE"""),2.0)</f>
        <v>2</v>
      </c>
      <c r="O859" s="176"/>
      <c r="P859" s="166" t="s">
        <v>219</v>
      </c>
      <c r="Q859" s="166" t="s">
        <v>441</v>
      </c>
      <c r="R859" s="176"/>
      <c r="S859" s="176"/>
      <c r="T859" s="176"/>
      <c r="U859" s="176"/>
      <c r="V859" s="176"/>
      <c r="W859" s="176"/>
      <c r="X859" s="176"/>
      <c r="Y859" s="176"/>
      <c r="Z859" s="176"/>
      <c r="AA859" s="176"/>
    </row>
    <row r="860">
      <c r="A860" s="165" t="str">
        <f>iferror(VLOOKUP(P860,'DO NOT TOUCH Imported'!$A$1:$D$800,4,False),iferror(VLOOKUP(P860,'DO NOT TOUCH Imported'!$C$1:$D$800,2,False),"OOPS FIX ME"))</f>
        <v>CJ_33Logic#3171</v>
      </c>
      <c r="B860" s="166" t="s">
        <v>441</v>
      </c>
      <c r="C860" s="167" t="s">
        <v>574</v>
      </c>
      <c r="D860" s="168" t="s">
        <v>499</v>
      </c>
      <c r="E860" s="169" t="s">
        <v>438</v>
      </c>
      <c r="F860" s="168" t="s">
        <v>571</v>
      </c>
      <c r="G860" s="170">
        <v>500.0</v>
      </c>
      <c r="H860" s="171">
        <v>25.0</v>
      </c>
      <c r="I860" s="171">
        <v>100.0</v>
      </c>
      <c r="J860" s="172">
        <f t="shared" si="55"/>
        <v>0.0004317674408</v>
      </c>
      <c r="K860" s="173">
        <f t="shared" si="56"/>
        <v>0.518120929</v>
      </c>
      <c r="L860" s="174">
        <f t="shared" si="9"/>
        <v>2.072483716</v>
      </c>
      <c r="M860" s="175" t="str">
        <f t="shared" si="10"/>
        <v>CJ_33Logic#3171</v>
      </c>
      <c r="N860" s="176">
        <f>IFERROR(__xludf.DUMMYFUNCTION("""COMPUTED_VALUE"""),3.0)</f>
        <v>3</v>
      </c>
      <c r="O860" s="176"/>
      <c r="P860" s="166" t="s">
        <v>219</v>
      </c>
      <c r="Q860" s="166" t="s">
        <v>441</v>
      </c>
      <c r="R860" s="176"/>
      <c r="S860" s="176"/>
      <c r="T860" s="176"/>
      <c r="U860" s="176"/>
      <c r="V860" s="176"/>
      <c r="W860" s="176"/>
      <c r="X860" s="176"/>
      <c r="Y860" s="176"/>
      <c r="Z860" s="176"/>
      <c r="AA860" s="176"/>
    </row>
    <row r="861">
      <c r="A861" s="165" t="str">
        <f>iferror(VLOOKUP(P861,'DO NOT TOUCH Imported'!$A$1:$D$800,4,False),iferror(VLOOKUP(P861,'DO NOT TOUCH Imported'!$C$1:$D$800,2,False),"OOPS FIX ME"))</f>
        <v>CJ_33Logic#3171</v>
      </c>
      <c r="B861" s="166" t="s">
        <v>441</v>
      </c>
      <c r="C861" s="167" t="s">
        <v>572</v>
      </c>
      <c r="D861" s="168" t="s">
        <v>499</v>
      </c>
      <c r="E861" s="169" t="s">
        <v>438</v>
      </c>
      <c r="F861" s="168" t="s">
        <v>503</v>
      </c>
      <c r="G861" s="170">
        <v>500.0</v>
      </c>
      <c r="H861" s="171">
        <v>25.0</v>
      </c>
      <c r="I861" s="171">
        <v>100.0</v>
      </c>
      <c r="J861" s="172">
        <f t="shared" si="55"/>
        <v>0.0004317674408</v>
      </c>
      <c r="K861" s="173">
        <f t="shared" si="56"/>
        <v>0.518120929</v>
      </c>
      <c r="L861" s="174">
        <f t="shared" si="9"/>
        <v>2.072483716</v>
      </c>
      <c r="M861" s="175" t="str">
        <f t="shared" si="10"/>
        <v>CJ_33Logic#3171</v>
      </c>
      <c r="N861" s="176">
        <f>IFERROR(__xludf.DUMMYFUNCTION("""COMPUTED_VALUE"""),4.0)</f>
        <v>4</v>
      </c>
      <c r="O861" s="176"/>
      <c r="P861" s="166" t="s">
        <v>219</v>
      </c>
      <c r="Q861" s="166" t="s">
        <v>441</v>
      </c>
      <c r="R861" s="176"/>
      <c r="S861" s="176"/>
      <c r="T861" s="176"/>
      <c r="U861" s="176"/>
      <c r="V861" s="176"/>
      <c r="W861" s="176"/>
      <c r="X861" s="176"/>
      <c r="Y861" s="176"/>
      <c r="Z861" s="176"/>
      <c r="AA861" s="176"/>
    </row>
    <row r="862">
      <c r="A862" s="165" t="str">
        <f>iferror(VLOOKUP(P862,'DO NOT TOUCH Imported'!$A$1:$D$800,4,False),iferror(VLOOKUP(P862,'DO NOT TOUCH Imported'!$C$1:$D$800,2,False),"OOPS FIX ME"))</f>
        <v>kei#9866</v>
      </c>
      <c r="B862" s="166" t="s">
        <v>530</v>
      </c>
      <c r="C862" s="167" t="s">
        <v>772</v>
      </c>
      <c r="D862" s="168" t="s">
        <v>499</v>
      </c>
      <c r="E862" s="177" t="s">
        <v>452</v>
      </c>
      <c r="F862" s="168" t="s">
        <v>503</v>
      </c>
      <c r="G862" s="170">
        <v>1000.0</v>
      </c>
      <c r="H862" s="171">
        <v>50.0</v>
      </c>
      <c r="I862" s="171">
        <v>100.0</v>
      </c>
      <c r="J862" s="172">
        <f t="shared" si="55"/>
        <v>0.0005637746898</v>
      </c>
      <c r="K862" s="173">
        <f t="shared" si="56"/>
        <v>0.6765296278</v>
      </c>
      <c r="L862" s="174">
        <f t="shared" si="9"/>
        <v>1.712771486</v>
      </c>
      <c r="M862" s="175" t="str">
        <f t="shared" si="10"/>
        <v>kei#9866</v>
      </c>
      <c r="N862" s="176">
        <f>IFERROR(__xludf.DUMMYFUNCTION("""COMPUTED_VALUE"""),1.0)</f>
        <v>1</v>
      </c>
      <c r="O862" s="176"/>
      <c r="P862" s="166" t="s">
        <v>243</v>
      </c>
      <c r="Q862" s="166" t="s">
        <v>530</v>
      </c>
      <c r="R862" s="176"/>
      <c r="S862" s="176"/>
      <c r="T862" s="176"/>
      <c r="U862" s="176"/>
      <c r="V862" s="176"/>
      <c r="W862" s="176"/>
      <c r="X862" s="176"/>
      <c r="Y862" s="176"/>
      <c r="Z862" s="176"/>
      <c r="AA862" s="176"/>
    </row>
    <row r="863">
      <c r="A863" s="165" t="str">
        <f>iferror(VLOOKUP(P863,'DO NOT TOUCH Imported'!$A$1:$D$800,4,False),iferror(VLOOKUP(P863,'DO NOT TOUCH Imported'!$C$1:$D$800,2,False),"OOPS FIX ME"))</f>
        <v>andythegreenie#7463</v>
      </c>
      <c r="B863" s="166" t="s">
        <v>530</v>
      </c>
      <c r="C863" s="167" t="s">
        <v>772</v>
      </c>
      <c r="D863" s="168" t="s">
        <v>499</v>
      </c>
      <c r="E863" s="177" t="s">
        <v>452</v>
      </c>
      <c r="F863" s="168" t="s">
        <v>503</v>
      </c>
      <c r="G863" s="170">
        <v>1000.0</v>
      </c>
      <c r="H863" s="171">
        <v>50.0</v>
      </c>
      <c r="I863" s="171">
        <v>100.0</v>
      </c>
      <c r="J863" s="172">
        <f t="shared" si="55"/>
        <v>0.0005637746898</v>
      </c>
      <c r="K863" s="173">
        <f t="shared" si="56"/>
        <v>0.6765296278</v>
      </c>
      <c r="L863" s="174">
        <f t="shared" si="9"/>
        <v>1.712771486</v>
      </c>
      <c r="M863" s="175" t="str">
        <f t="shared" si="10"/>
        <v>andythegreenie#7463</v>
      </c>
      <c r="N863" s="176">
        <f>IFERROR(__xludf.DUMMYFUNCTION("""COMPUTED_VALUE"""),1.0)</f>
        <v>1</v>
      </c>
      <c r="O863" s="176"/>
      <c r="P863" s="166" t="s">
        <v>230</v>
      </c>
      <c r="Q863" s="166" t="s">
        <v>530</v>
      </c>
      <c r="R863" s="176"/>
      <c r="S863" s="176"/>
      <c r="T863" s="176"/>
      <c r="U863" s="176"/>
      <c r="V863" s="176"/>
      <c r="W863" s="176"/>
      <c r="X863" s="176"/>
      <c r="Y863" s="176"/>
      <c r="Z863" s="176"/>
      <c r="AA863" s="176"/>
    </row>
    <row r="864">
      <c r="A864" s="165" t="str">
        <f>iferror(VLOOKUP(P864,'DO NOT TOUCH Imported'!$A$1:$D$800,4,False),iferror(VLOOKUP(P864,'DO NOT TOUCH Imported'!$C$1:$D$800,2,False),"OOPS FIX ME"))</f>
        <v>kei#9866</v>
      </c>
      <c r="B864" s="166" t="s">
        <v>441</v>
      </c>
      <c r="C864" s="167" t="s">
        <v>574</v>
      </c>
      <c r="D864" s="168" t="s">
        <v>499</v>
      </c>
      <c r="E864" s="169" t="s">
        <v>438</v>
      </c>
      <c r="F864" s="168" t="s">
        <v>571</v>
      </c>
      <c r="G864" s="170">
        <v>500.0</v>
      </c>
      <c r="H864" s="171">
        <v>25.0</v>
      </c>
      <c r="I864" s="171">
        <v>100.0</v>
      </c>
      <c r="J864" s="172">
        <f t="shared" si="55"/>
        <v>0.0004317674408</v>
      </c>
      <c r="K864" s="173">
        <f t="shared" si="56"/>
        <v>0.518120929</v>
      </c>
      <c r="L864" s="174">
        <f t="shared" si="9"/>
        <v>1.712771486</v>
      </c>
      <c r="M864" s="175" t="str">
        <f t="shared" si="10"/>
        <v>kei#9866</v>
      </c>
      <c r="N864" s="176">
        <f>IFERROR(__xludf.DUMMYFUNCTION("""COMPUTED_VALUE"""),2.0)</f>
        <v>2</v>
      </c>
      <c r="O864" s="176"/>
      <c r="P864" s="166" t="s">
        <v>243</v>
      </c>
      <c r="Q864" s="166" t="s">
        <v>441</v>
      </c>
      <c r="R864" s="176"/>
      <c r="S864" s="176"/>
      <c r="T864" s="176"/>
      <c r="U864" s="176"/>
      <c r="V864" s="176"/>
      <c r="W864" s="176"/>
      <c r="X864" s="176"/>
      <c r="Y864" s="176"/>
      <c r="Z864" s="176"/>
      <c r="AA864" s="176"/>
    </row>
    <row r="865">
      <c r="A865" s="165" t="str">
        <f>iferror(VLOOKUP(P865,'DO NOT TOUCH Imported'!$A$1:$D$800,4,False),iferror(VLOOKUP(P865,'DO NOT TOUCH Imported'!$C$1:$D$800,2,False),"OOPS FIX ME"))</f>
        <v>kei#9866</v>
      </c>
      <c r="B865" s="166" t="s">
        <v>441</v>
      </c>
      <c r="C865" s="167" t="s">
        <v>572</v>
      </c>
      <c r="D865" s="168" t="s">
        <v>499</v>
      </c>
      <c r="E865" s="169" t="s">
        <v>438</v>
      </c>
      <c r="F865" s="168" t="s">
        <v>503</v>
      </c>
      <c r="G865" s="170">
        <v>500.0</v>
      </c>
      <c r="H865" s="171">
        <v>25.0</v>
      </c>
      <c r="I865" s="171">
        <v>100.0</v>
      </c>
      <c r="J865" s="172">
        <f t="shared" si="55"/>
        <v>0.0004317674408</v>
      </c>
      <c r="K865" s="173">
        <f t="shared" si="56"/>
        <v>0.518120929</v>
      </c>
      <c r="L865" s="174">
        <f t="shared" si="9"/>
        <v>1.712771486</v>
      </c>
      <c r="M865" s="175" t="str">
        <f t="shared" si="10"/>
        <v>kei#9866</v>
      </c>
      <c r="N865" s="176">
        <f>IFERROR(__xludf.DUMMYFUNCTION("""COMPUTED_VALUE"""),3.0)</f>
        <v>3</v>
      </c>
      <c r="O865" s="176"/>
      <c r="P865" s="166" t="s">
        <v>243</v>
      </c>
      <c r="Q865" s="166" t="s">
        <v>441</v>
      </c>
      <c r="R865" s="176"/>
      <c r="S865" s="176"/>
      <c r="T865" s="176"/>
      <c r="U865" s="176"/>
      <c r="V865" s="176"/>
      <c r="W865" s="176"/>
      <c r="X865" s="176"/>
      <c r="Y865" s="176"/>
      <c r="Z865" s="176"/>
      <c r="AA865" s="176"/>
    </row>
    <row r="866">
      <c r="A866" s="165" t="str">
        <f>iferror(VLOOKUP(P866,'DO NOT TOUCH Imported'!$A$1:$D$800,4,False),iferror(VLOOKUP(P866,'DO NOT TOUCH Imported'!$C$1:$D$800,2,False),"OOPS FIX ME"))</f>
        <v>andythegreenie#7463</v>
      </c>
      <c r="B866" s="166" t="s">
        <v>441</v>
      </c>
      <c r="C866" s="167" t="s">
        <v>574</v>
      </c>
      <c r="D866" s="168" t="s">
        <v>499</v>
      </c>
      <c r="E866" s="169" t="s">
        <v>438</v>
      </c>
      <c r="F866" s="168" t="s">
        <v>571</v>
      </c>
      <c r="G866" s="170">
        <v>500.0</v>
      </c>
      <c r="H866" s="171">
        <v>25.0</v>
      </c>
      <c r="I866" s="171">
        <v>100.0</v>
      </c>
      <c r="J866" s="172">
        <f t="shared" si="55"/>
        <v>0.0004317674408</v>
      </c>
      <c r="K866" s="173">
        <f t="shared" si="56"/>
        <v>0.518120929</v>
      </c>
      <c r="L866" s="174">
        <f t="shared" si="9"/>
        <v>1.712771486</v>
      </c>
      <c r="M866" s="175" t="str">
        <f t="shared" si="10"/>
        <v>andythegreenie#7463</v>
      </c>
      <c r="N866" s="176">
        <f>IFERROR(__xludf.DUMMYFUNCTION("""COMPUTED_VALUE"""),2.0)</f>
        <v>2</v>
      </c>
      <c r="O866" s="176"/>
      <c r="P866" s="166" t="s">
        <v>230</v>
      </c>
      <c r="Q866" s="166" t="s">
        <v>441</v>
      </c>
      <c r="R866" s="176"/>
      <c r="S866" s="176"/>
      <c r="T866" s="176"/>
      <c r="U866" s="176"/>
      <c r="V866" s="176"/>
      <c r="W866" s="176"/>
      <c r="X866" s="176"/>
      <c r="Y866" s="176"/>
      <c r="Z866" s="176"/>
      <c r="AA866" s="176"/>
    </row>
    <row r="867">
      <c r="A867" s="165" t="str">
        <f>iferror(VLOOKUP(P867,'DO NOT TOUCH Imported'!$A$1:$D$800,4,False),iferror(VLOOKUP(P867,'DO NOT TOUCH Imported'!$C$1:$D$800,2,False),"OOPS FIX ME"))</f>
        <v>andythegreenie#7463</v>
      </c>
      <c r="B867" s="166" t="s">
        <v>441</v>
      </c>
      <c r="C867" s="167" t="s">
        <v>572</v>
      </c>
      <c r="D867" s="168" t="s">
        <v>499</v>
      </c>
      <c r="E867" s="169" t="s">
        <v>438</v>
      </c>
      <c r="F867" s="168" t="s">
        <v>503</v>
      </c>
      <c r="G867" s="170">
        <v>500.0</v>
      </c>
      <c r="H867" s="171">
        <v>25.0</v>
      </c>
      <c r="I867" s="171">
        <v>100.0</v>
      </c>
      <c r="J867" s="172">
        <f t="shared" si="55"/>
        <v>0.0004317674408</v>
      </c>
      <c r="K867" s="173">
        <f t="shared" si="56"/>
        <v>0.518120929</v>
      </c>
      <c r="L867" s="174">
        <f t="shared" si="9"/>
        <v>1.712771486</v>
      </c>
      <c r="M867" s="175" t="str">
        <f t="shared" si="10"/>
        <v>andythegreenie#7463</v>
      </c>
      <c r="N867" s="176">
        <f>IFERROR(__xludf.DUMMYFUNCTION("""COMPUTED_VALUE"""),3.0)</f>
        <v>3</v>
      </c>
      <c r="O867" s="176"/>
      <c r="P867" s="166" t="s">
        <v>230</v>
      </c>
      <c r="Q867" s="166" t="s">
        <v>441</v>
      </c>
      <c r="R867" s="176"/>
      <c r="S867" s="176"/>
      <c r="T867" s="176"/>
      <c r="U867" s="176"/>
      <c r="V867" s="176"/>
      <c r="W867" s="176"/>
      <c r="X867" s="176"/>
      <c r="Y867" s="176"/>
      <c r="Z867" s="176"/>
      <c r="AA867" s="176"/>
    </row>
    <row r="868">
      <c r="A868" s="165" t="str">
        <f>iferror(VLOOKUP(P868,'DO NOT TOUCH Imported'!$A$1:$D$800,4,False),iferror(VLOOKUP(P868,'DO NOT TOUCH Imported'!$C$1:$D$800,2,False),"OOPS FIX ME"))</f>
        <v>nic#9212</v>
      </c>
      <c r="B868" s="166" t="s">
        <v>486</v>
      </c>
      <c r="C868" s="167" t="s">
        <v>837</v>
      </c>
      <c r="D868" s="168" t="s">
        <v>437</v>
      </c>
      <c r="E868" s="177" t="s">
        <v>506</v>
      </c>
      <c r="F868" s="168" t="s">
        <v>439</v>
      </c>
      <c r="G868" s="170">
        <v>1000.0</v>
      </c>
      <c r="H868" s="171">
        <v>100.0</v>
      </c>
      <c r="I868" s="171">
        <v>300.0</v>
      </c>
      <c r="J868" s="172">
        <f t="shared" si="55"/>
        <v>0.001322914541</v>
      </c>
      <c r="K868" s="173">
        <f t="shared" si="56"/>
        <v>1.587497449</v>
      </c>
      <c r="L868" s="174">
        <f t="shared" si="9"/>
        <v>1.587497449</v>
      </c>
      <c r="M868" s="175" t="str">
        <f t="shared" si="10"/>
        <v>nic#9212</v>
      </c>
      <c r="N868" s="176">
        <f>IFERROR(__xludf.DUMMYFUNCTION("""COMPUTED_VALUE"""),1.0)</f>
        <v>1</v>
      </c>
      <c r="O868" s="176"/>
      <c r="P868" s="166" t="s">
        <v>255</v>
      </c>
      <c r="Q868" s="166" t="s">
        <v>486</v>
      </c>
      <c r="R868" s="176"/>
      <c r="S868" s="176"/>
      <c r="T868" s="176"/>
      <c r="U868" s="176"/>
      <c r="V868" s="176"/>
      <c r="W868" s="176"/>
      <c r="X868" s="176"/>
      <c r="Y868" s="176"/>
      <c r="Z868" s="176"/>
      <c r="AA868" s="176"/>
    </row>
    <row r="869">
      <c r="A869" s="165" t="str">
        <f>iferror(VLOOKUP(P869,'DO NOT TOUCH Imported'!$A$1:$D$800,4,False),iferror(VLOOKUP(P869,'DO NOT TOUCH Imported'!$C$1:$D$800,2,False),"OOPS FIX ME"))</f>
        <v>aminlatifi</v>
      </c>
      <c r="B869" s="178" t="s">
        <v>10</v>
      </c>
      <c r="C869" s="179" t="s">
        <v>676</v>
      </c>
      <c r="D869" s="180" t="s">
        <v>495</v>
      </c>
      <c r="E869" s="184">
        <v>44316.0</v>
      </c>
      <c r="F869" s="182" t="s">
        <v>496</v>
      </c>
      <c r="G869" s="170">
        <v>2000.0</v>
      </c>
      <c r="H869" s="171">
        <v>100.0</v>
      </c>
      <c r="I869" s="171">
        <v>100.0</v>
      </c>
      <c r="J869" s="172">
        <f t="shared" si="55"/>
        <v>0.0008277891878</v>
      </c>
      <c r="K869" s="173">
        <f t="shared" si="56"/>
        <v>0.9933470254</v>
      </c>
      <c r="L869" s="174">
        <f t="shared" si="9"/>
        <v>1.574104973</v>
      </c>
      <c r="M869" s="175" t="str">
        <f t="shared" si="10"/>
        <v>aminlatifi</v>
      </c>
      <c r="N869" s="176">
        <f>IFERROR(__xludf.DUMMYFUNCTION("""COMPUTED_VALUE"""),1.0)</f>
        <v>1</v>
      </c>
      <c r="O869" s="176"/>
      <c r="P869" s="183" t="s">
        <v>73</v>
      </c>
      <c r="Q869" s="178" t="s">
        <v>10</v>
      </c>
      <c r="R869" s="176"/>
      <c r="S869" s="176"/>
      <c r="T869" s="176"/>
      <c r="U869" s="176"/>
      <c r="V869" s="176"/>
      <c r="W869" s="176"/>
      <c r="X869" s="176"/>
      <c r="Y869" s="176"/>
      <c r="Z869" s="176"/>
      <c r="AA869" s="176"/>
    </row>
    <row r="870">
      <c r="A870" s="165" t="str">
        <f>iferror(VLOOKUP(P870,'DO NOT TOUCH Imported'!$A$1:$D$800,4,False),iferror(VLOOKUP(P870,'DO NOT TOUCH Imported'!$C$1:$D$800,2,False),"OOPS FIX ME"))</f>
        <v>aminlatifi</v>
      </c>
      <c r="B870" s="166" t="s">
        <v>530</v>
      </c>
      <c r="C870" s="167" t="s">
        <v>808</v>
      </c>
      <c r="D870" s="168" t="s">
        <v>499</v>
      </c>
      <c r="E870" s="169" t="s">
        <v>455</v>
      </c>
      <c r="F870" s="168" t="s">
        <v>503</v>
      </c>
      <c r="G870" s="170">
        <v>1000.0</v>
      </c>
      <c r="H870" s="171">
        <v>25.0</v>
      </c>
      <c r="I870" s="171">
        <v>100.0</v>
      </c>
      <c r="J870" s="172">
        <f t="shared" si="55"/>
        <v>0.0004839649562</v>
      </c>
      <c r="K870" s="173">
        <f t="shared" si="56"/>
        <v>0.5807579475</v>
      </c>
      <c r="L870" s="174">
        <f t="shared" si="9"/>
        <v>1.574104973</v>
      </c>
      <c r="M870" s="175" t="str">
        <f t="shared" si="10"/>
        <v>aminlatifi</v>
      </c>
      <c r="N870" s="176">
        <f>IFERROR(__xludf.DUMMYFUNCTION("""COMPUTED_VALUE"""),2.0)</f>
        <v>2</v>
      </c>
      <c r="O870" s="176"/>
      <c r="P870" s="166" t="s">
        <v>838</v>
      </c>
      <c r="Q870" s="166" t="s">
        <v>530</v>
      </c>
      <c r="R870" s="176"/>
      <c r="S870" s="176"/>
      <c r="T870" s="176"/>
      <c r="U870" s="176"/>
      <c r="V870" s="176"/>
      <c r="W870" s="176"/>
      <c r="X870" s="176"/>
      <c r="Y870" s="176"/>
      <c r="Z870" s="176"/>
      <c r="AA870" s="176"/>
    </row>
    <row r="871">
      <c r="A871" s="185" t="str">
        <f>iferror(VLOOKUP(P871,'DO NOT TOUCH Imported'!$A$1:$D$800,4,False),iferror(VLOOKUP(P871,'DO NOT TOUCH Imported'!$C$1:$D$800,2,False),"OOPS FIX ME"))</f>
        <v>aminlatifi</v>
      </c>
      <c r="B871" s="185" t="s">
        <v>534</v>
      </c>
      <c r="C871" s="186" t="s">
        <v>839</v>
      </c>
      <c r="D871" s="187"/>
      <c r="E871" s="188"/>
      <c r="F871" s="189"/>
      <c r="G871" s="190"/>
      <c r="H871" s="190"/>
      <c r="I871" s="190"/>
      <c r="J871" s="172">
        <f>(H871/$H$2+I871/$I$2)/2</f>
        <v>0</v>
      </c>
      <c r="K871" s="218">
        <v>0.0</v>
      </c>
      <c r="L871" s="193">
        <f t="shared" si="9"/>
        <v>1.574104973</v>
      </c>
      <c r="M871" s="194" t="str">
        <f t="shared" si="10"/>
        <v>aminlatifi</v>
      </c>
      <c r="N871" s="195">
        <f>IFERROR(__xludf.DUMMYFUNCTION("""COMPUTED_VALUE"""),3.0)</f>
        <v>3</v>
      </c>
      <c r="O871" s="195"/>
      <c r="P871" s="185" t="s">
        <v>73</v>
      </c>
      <c r="Q871" s="185" t="s">
        <v>534</v>
      </c>
      <c r="R871" s="195">
        <v>18.802169413641863</v>
      </c>
      <c r="S871" s="195"/>
      <c r="T871" s="195"/>
      <c r="U871" s="195"/>
      <c r="V871" s="195"/>
      <c r="W871" s="195"/>
      <c r="X871" s="195"/>
      <c r="Y871" s="195"/>
      <c r="Z871" s="195"/>
      <c r="AA871" s="176"/>
    </row>
    <row r="872">
      <c r="A872" s="165" t="str">
        <f>iferror(VLOOKUP(P872,'DO NOT TOUCH Imported'!$A$1:$D$800,4,False),iferror(VLOOKUP(P872,'DO NOT TOUCH Imported'!$C$1:$D$800,2,False),"OOPS FIX ME"))</f>
        <v>HBesso31</v>
      </c>
      <c r="B872" s="178" t="s">
        <v>10</v>
      </c>
      <c r="C872" s="179" t="s">
        <v>498</v>
      </c>
      <c r="D872" s="180" t="s">
        <v>495</v>
      </c>
      <c r="E872" s="184">
        <v>44316.0</v>
      </c>
      <c r="F872" s="182" t="s">
        <v>499</v>
      </c>
      <c r="G872" s="170">
        <v>500.0</v>
      </c>
      <c r="H872" s="171">
        <v>25.0</v>
      </c>
      <c r="I872" s="171">
        <v>100.0</v>
      </c>
      <c r="J872" s="172">
        <f t="shared" ref="J872:J972" si="57">(G872/$G$2+H872/$H$2+I872/$I$2)/3</f>
        <v>0.0004317674408</v>
      </c>
      <c r="K872" s="173">
        <f t="shared" ref="K872:K972" si="58">J872*$J$1</f>
        <v>0.518120929</v>
      </c>
      <c r="L872" s="174">
        <f t="shared" si="9"/>
        <v>1.554362787</v>
      </c>
      <c r="M872" s="175" t="str">
        <f t="shared" si="10"/>
        <v>HBesso31</v>
      </c>
      <c r="N872" s="176">
        <f>IFERROR(__xludf.DUMMYFUNCTION("""COMPUTED_VALUE"""),1.0)</f>
        <v>1</v>
      </c>
      <c r="O872" s="176"/>
      <c r="P872" s="183" t="s">
        <v>54</v>
      </c>
      <c r="Q872" s="178" t="s">
        <v>10</v>
      </c>
      <c r="R872" s="176"/>
      <c r="S872" s="176"/>
      <c r="T872" s="176"/>
      <c r="U872" s="176"/>
      <c r="V872" s="176"/>
      <c r="W872" s="176"/>
      <c r="X872" s="176"/>
      <c r="Y872" s="176"/>
      <c r="Z872" s="176"/>
      <c r="AA872" s="176"/>
    </row>
    <row r="873">
      <c r="A873" s="165" t="str">
        <f>iferror(VLOOKUP(P873,'DO NOT TOUCH Imported'!$A$1:$D$800,4,False),iferror(VLOOKUP(P873,'DO NOT TOUCH Imported'!$C$1:$D$800,2,False),"OOPS FIX ME"))</f>
        <v>HBesso31</v>
      </c>
      <c r="B873" s="178" t="s">
        <v>10</v>
      </c>
      <c r="C873" s="179" t="s">
        <v>500</v>
      </c>
      <c r="D873" s="180" t="s">
        <v>495</v>
      </c>
      <c r="E873" s="184">
        <v>44316.0</v>
      </c>
      <c r="F873" s="182" t="s">
        <v>496</v>
      </c>
      <c r="G873" s="170">
        <v>500.0</v>
      </c>
      <c r="H873" s="171">
        <v>25.0</v>
      </c>
      <c r="I873" s="171">
        <v>100.0</v>
      </c>
      <c r="J873" s="172">
        <f t="shared" si="57"/>
        <v>0.0004317674408</v>
      </c>
      <c r="K873" s="173">
        <f t="shared" si="58"/>
        <v>0.518120929</v>
      </c>
      <c r="L873" s="174">
        <f t="shared" si="9"/>
        <v>1.554362787</v>
      </c>
      <c r="M873" s="175" t="str">
        <f t="shared" si="10"/>
        <v>HBesso31</v>
      </c>
      <c r="N873" s="176">
        <f>IFERROR(__xludf.DUMMYFUNCTION("""COMPUTED_VALUE"""),2.0)</f>
        <v>2</v>
      </c>
      <c r="O873" s="176"/>
      <c r="P873" s="183" t="s">
        <v>54</v>
      </c>
      <c r="Q873" s="178" t="s">
        <v>10</v>
      </c>
      <c r="R873" s="176"/>
      <c r="S873" s="176"/>
      <c r="T873" s="176"/>
      <c r="U873" s="176"/>
      <c r="V873" s="176"/>
      <c r="W873" s="176"/>
      <c r="X873" s="176"/>
      <c r="Y873" s="176"/>
      <c r="Z873" s="176"/>
      <c r="AA873" s="176"/>
    </row>
    <row r="874">
      <c r="A874" s="165" t="str">
        <f>iferror(VLOOKUP(P874,'DO NOT TOUCH Imported'!$A$1:$D$800,4,False),iferror(VLOOKUP(P874,'DO NOT TOUCH Imported'!$C$1:$D$800,2,False),"OOPS FIX ME"))</f>
        <v>HBesso31</v>
      </c>
      <c r="B874" s="178" t="s">
        <v>10</v>
      </c>
      <c r="C874" s="179" t="s">
        <v>498</v>
      </c>
      <c r="D874" s="180" t="s">
        <v>495</v>
      </c>
      <c r="E874" s="181">
        <v>44323.0</v>
      </c>
      <c r="F874" s="182" t="s">
        <v>499</v>
      </c>
      <c r="G874" s="170">
        <v>500.0</v>
      </c>
      <c r="H874" s="171">
        <v>25.0</v>
      </c>
      <c r="I874" s="171">
        <v>100.0</v>
      </c>
      <c r="J874" s="172">
        <f t="shared" si="57"/>
        <v>0.0004317674408</v>
      </c>
      <c r="K874" s="173">
        <f t="shared" si="58"/>
        <v>0.518120929</v>
      </c>
      <c r="L874" s="174">
        <f t="shared" si="9"/>
        <v>1.554362787</v>
      </c>
      <c r="M874" s="175" t="str">
        <f t="shared" si="10"/>
        <v>HBesso31</v>
      </c>
      <c r="N874" s="176">
        <f>IFERROR(__xludf.DUMMYFUNCTION("""COMPUTED_VALUE"""),3.0)</f>
        <v>3</v>
      </c>
      <c r="O874" s="176"/>
      <c r="P874" s="183" t="s">
        <v>54</v>
      </c>
      <c r="Q874" s="178" t="s">
        <v>10</v>
      </c>
      <c r="R874" s="176"/>
      <c r="S874" s="176"/>
      <c r="T874" s="176"/>
      <c r="U874" s="176"/>
      <c r="V874" s="176"/>
      <c r="W874" s="176"/>
      <c r="X874" s="176"/>
      <c r="Y874" s="176"/>
      <c r="Z874" s="176"/>
      <c r="AA874" s="176"/>
    </row>
    <row r="875">
      <c r="A875" s="165" t="str">
        <f>iferror(VLOOKUP(P875,'DO NOT TOUCH Imported'!$A$1:$D$800,4,False),iferror(VLOOKUP(P875,'DO NOT TOUCH Imported'!$C$1:$D$800,2,False),"OOPS FIX ME"))</f>
        <v>Lin#3884</v>
      </c>
      <c r="B875" s="166" t="s">
        <v>564</v>
      </c>
      <c r="C875" s="167" t="s">
        <v>840</v>
      </c>
      <c r="D875" s="168" t="s">
        <v>499</v>
      </c>
      <c r="E875" s="169" t="s">
        <v>452</v>
      </c>
      <c r="F875" s="168" t="s">
        <v>503</v>
      </c>
      <c r="G875" s="170">
        <v>1000.0</v>
      </c>
      <c r="H875" s="171">
        <v>100.0</v>
      </c>
      <c r="I875" s="171">
        <v>100.0</v>
      </c>
      <c r="J875" s="172">
        <f t="shared" si="57"/>
        <v>0.000723394157</v>
      </c>
      <c r="K875" s="173">
        <f t="shared" si="58"/>
        <v>0.8680729884</v>
      </c>
      <c r="L875" s="174">
        <f t="shared" si="9"/>
        <v>1.544602616</v>
      </c>
      <c r="M875" s="175" t="str">
        <f t="shared" si="10"/>
        <v>Lin#3884</v>
      </c>
      <c r="N875" s="176">
        <f>IFERROR(__xludf.DUMMYFUNCTION("""COMPUTED_VALUE"""),1.0)</f>
        <v>1</v>
      </c>
      <c r="O875" s="176"/>
      <c r="P875" s="166" t="s">
        <v>258</v>
      </c>
      <c r="Q875" s="166" t="s">
        <v>564</v>
      </c>
      <c r="R875" s="176"/>
      <c r="S875" s="176"/>
      <c r="T875" s="176"/>
      <c r="U875" s="176"/>
      <c r="V875" s="176"/>
      <c r="W875" s="176"/>
      <c r="X875" s="176"/>
      <c r="Y875" s="176"/>
      <c r="Z875" s="176"/>
      <c r="AA875" s="176"/>
    </row>
    <row r="876">
      <c r="A876" s="165" t="str">
        <f>iferror(VLOOKUP(P876,'DO NOT TOUCH Imported'!$A$1:$D$800,4,False),iferror(VLOOKUP(P876,'DO NOT TOUCH Imported'!$C$1:$D$800,2,False),"OOPS FIX ME"))</f>
        <v>castall</v>
      </c>
      <c r="B876" s="166" t="s">
        <v>566</v>
      </c>
      <c r="C876" s="167" t="s">
        <v>841</v>
      </c>
      <c r="D876" s="168" t="s">
        <v>499</v>
      </c>
      <c r="E876" s="177" t="s">
        <v>452</v>
      </c>
      <c r="F876" s="168" t="s">
        <v>503</v>
      </c>
      <c r="G876" s="170">
        <v>1000.0</v>
      </c>
      <c r="H876" s="171">
        <v>100.0</v>
      </c>
      <c r="I876" s="171">
        <v>100.0</v>
      </c>
      <c r="J876" s="172">
        <f t="shared" si="57"/>
        <v>0.000723394157</v>
      </c>
      <c r="K876" s="173">
        <f t="shared" si="58"/>
        <v>0.8680729884</v>
      </c>
      <c r="L876" s="174">
        <f t="shared" si="9"/>
        <v>1.544602616</v>
      </c>
      <c r="M876" s="175" t="str">
        <f t="shared" si="10"/>
        <v>castall</v>
      </c>
      <c r="N876" s="176">
        <f>IFERROR(__xludf.DUMMYFUNCTION("""COMPUTED_VALUE"""),1.0)</f>
        <v>1</v>
      </c>
      <c r="O876" s="176"/>
      <c r="P876" s="166" t="s">
        <v>842</v>
      </c>
      <c r="Q876" s="166" t="s">
        <v>566</v>
      </c>
      <c r="R876" s="176"/>
      <c r="S876" s="176"/>
      <c r="T876" s="176"/>
      <c r="U876" s="176"/>
      <c r="V876" s="176"/>
      <c r="W876" s="176"/>
      <c r="X876" s="176"/>
      <c r="Y876" s="176"/>
      <c r="Z876" s="176"/>
      <c r="AA876" s="176"/>
    </row>
    <row r="877">
      <c r="A877" s="165" t="str">
        <f>iferror(VLOOKUP(P877,'DO NOT TOUCH Imported'!$A$1:$D$800,4,False),iferror(VLOOKUP(P877,'DO NOT TOUCH Imported'!$C$1:$D$800,2,False),"OOPS FIX ME"))</f>
        <v>Lin#3884</v>
      </c>
      <c r="B877" s="166" t="s">
        <v>530</v>
      </c>
      <c r="C877" s="167" t="s">
        <v>772</v>
      </c>
      <c r="D877" s="168" t="s">
        <v>499</v>
      </c>
      <c r="E877" s="169" t="s">
        <v>452</v>
      </c>
      <c r="F877" s="168" t="s">
        <v>503</v>
      </c>
      <c r="G877" s="170">
        <v>1000.0</v>
      </c>
      <c r="H877" s="171">
        <v>50.0</v>
      </c>
      <c r="I877" s="171">
        <v>100.0</v>
      </c>
      <c r="J877" s="172">
        <f t="shared" si="57"/>
        <v>0.0005637746898</v>
      </c>
      <c r="K877" s="173">
        <f t="shared" si="58"/>
        <v>0.6765296278</v>
      </c>
      <c r="L877" s="174">
        <f t="shared" si="9"/>
        <v>1.544602616</v>
      </c>
      <c r="M877" s="175" t="str">
        <f t="shared" si="10"/>
        <v>Lin#3884</v>
      </c>
      <c r="N877" s="176">
        <f>IFERROR(__xludf.DUMMYFUNCTION("""COMPUTED_VALUE"""),2.0)</f>
        <v>2</v>
      </c>
      <c r="O877" s="176"/>
      <c r="P877" s="166" t="s">
        <v>258</v>
      </c>
      <c r="Q877" s="166" t="s">
        <v>530</v>
      </c>
      <c r="R877" s="176"/>
      <c r="S877" s="176"/>
      <c r="T877" s="176"/>
      <c r="U877" s="176"/>
      <c r="V877" s="176"/>
      <c r="W877" s="176"/>
      <c r="X877" s="176"/>
      <c r="Y877" s="176"/>
      <c r="Z877" s="176"/>
      <c r="AA877" s="176"/>
    </row>
    <row r="878">
      <c r="A878" s="165" t="str">
        <f>iferror(VLOOKUP(P878,'DO NOT TOUCH Imported'!$A$1:$D$800,4,False),iferror(VLOOKUP(P878,'DO NOT TOUCH Imported'!$C$1:$D$800,2,False),"OOPS FIX ME"))</f>
        <v>castall</v>
      </c>
      <c r="B878" s="178" t="s">
        <v>10</v>
      </c>
      <c r="C878" s="179" t="s">
        <v>494</v>
      </c>
      <c r="D878" s="180" t="s">
        <v>495</v>
      </c>
      <c r="E878" s="181">
        <v>44324.0</v>
      </c>
      <c r="F878" s="182" t="s">
        <v>496</v>
      </c>
      <c r="G878" s="170">
        <v>1000.0</v>
      </c>
      <c r="H878" s="171">
        <v>50.0</v>
      </c>
      <c r="I878" s="171">
        <v>100.0</v>
      </c>
      <c r="J878" s="172">
        <f t="shared" si="57"/>
        <v>0.0005637746898</v>
      </c>
      <c r="K878" s="173">
        <f t="shared" si="58"/>
        <v>0.6765296278</v>
      </c>
      <c r="L878" s="174">
        <f t="shared" si="9"/>
        <v>1.544602616</v>
      </c>
      <c r="M878" s="175" t="str">
        <f t="shared" si="10"/>
        <v>castall</v>
      </c>
      <c r="N878" s="176">
        <f>IFERROR(__xludf.DUMMYFUNCTION("""COMPUTED_VALUE"""),2.0)</f>
        <v>2</v>
      </c>
      <c r="O878" s="176"/>
      <c r="P878" s="183" t="s">
        <v>147</v>
      </c>
      <c r="Q878" s="178" t="s">
        <v>10</v>
      </c>
      <c r="R878" s="176"/>
      <c r="S878" s="176"/>
      <c r="T878" s="176"/>
      <c r="U878" s="176"/>
      <c r="V878" s="176"/>
      <c r="W878" s="176"/>
      <c r="X878" s="176"/>
      <c r="Y878" s="176"/>
      <c r="Z878" s="176"/>
      <c r="AA878" s="176"/>
    </row>
    <row r="879">
      <c r="A879" s="165" t="str">
        <f>iferror(VLOOKUP(P879,'DO NOT TOUCH Imported'!$A$1:$D$800,4,False),iferror(VLOOKUP(P879,'DO NOT TOUCH Imported'!$C$1:$D$800,2,False),"OOPS FIX ME"))</f>
        <v>Typto</v>
      </c>
      <c r="B879" s="166" t="s">
        <v>566</v>
      </c>
      <c r="C879" s="167" t="s">
        <v>820</v>
      </c>
      <c r="D879" s="168" t="s">
        <v>499</v>
      </c>
      <c r="E879" s="169" t="s">
        <v>452</v>
      </c>
      <c r="F879" s="168" t="s">
        <v>503</v>
      </c>
      <c r="G879" s="170">
        <v>1000.0</v>
      </c>
      <c r="H879" s="171">
        <v>100.0</v>
      </c>
      <c r="I879" s="171">
        <v>100.0</v>
      </c>
      <c r="J879" s="172">
        <f t="shared" si="57"/>
        <v>0.000723394157</v>
      </c>
      <c r="K879" s="173">
        <f t="shared" si="58"/>
        <v>0.8680729884</v>
      </c>
      <c r="L879" s="174">
        <f t="shared" si="9"/>
        <v>1.386193917</v>
      </c>
      <c r="M879" s="175" t="str">
        <f t="shared" si="10"/>
        <v>Typto</v>
      </c>
      <c r="N879" s="176">
        <f>IFERROR(__xludf.DUMMYFUNCTION("""COMPUTED_VALUE"""),1.0)</f>
        <v>1</v>
      </c>
      <c r="O879" s="176"/>
      <c r="P879" s="166" t="s">
        <v>843</v>
      </c>
      <c r="Q879" s="166" t="s">
        <v>566</v>
      </c>
      <c r="R879" s="176"/>
      <c r="S879" s="176"/>
      <c r="T879" s="176"/>
      <c r="U879" s="176"/>
      <c r="V879" s="176"/>
      <c r="W879" s="176"/>
      <c r="X879" s="176"/>
      <c r="Y879" s="176"/>
      <c r="Z879" s="176"/>
      <c r="AA879" s="176"/>
    </row>
    <row r="880">
      <c r="A880" s="165" t="str">
        <f>iferror(VLOOKUP(P880,'DO NOT TOUCH Imported'!$A$1:$D$800,4,False),iferror(VLOOKUP(P880,'DO NOT TOUCH Imported'!$C$1:$D$800,2,False),"OOPS FIX ME"))</f>
        <v>bends#3537</v>
      </c>
      <c r="B880" s="166" t="s">
        <v>435</v>
      </c>
      <c r="C880" s="167" t="s">
        <v>746</v>
      </c>
      <c r="D880" s="168" t="s">
        <v>437</v>
      </c>
      <c r="E880" s="169" t="s">
        <v>438</v>
      </c>
      <c r="F880" s="168" t="s">
        <v>439</v>
      </c>
      <c r="G880" s="170">
        <v>1000.0</v>
      </c>
      <c r="H880" s="171">
        <v>100.0</v>
      </c>
      <c r="I880" s="171">
        <v>100.0</v>
      </c>
      <c r="J880" s="172">
        <f t="shared" si="57"/>
        <v>0.000723394157</v>
      </c>
      <c r="K880" s="173">
        <f t="shared" si="58"/>
        <v>0.8680729884</v>
      </c>
      <c r="L880" s="174">
        <f t="shared" si="9"/>
        <v>1.386193917</v>
      </c>
      <c r="M880" s="175" t="str">
        <f t="shared" si="10"/>
        <v>bends#3537</v>
      </c>
      <c r="N880" s="176">
        <f>IFERROR(__xludf.DUMMYFUNCTION("""COMPUTED_VALUE"""),1.0)</f>
        <v>1</v>
      </c>
      <c r="O880" s="176"/>
      <c r="P880" s="166" t="s">
        <v>182</v>
      </c>
      <c r="Q880" s="166" t="s">
        <v>435</v>
      </c>
      <c r="R880" s="176"/>
      <c r="S880" s="176"/>
      <c r="T880" s="176"/>
      <c r="U880" s="176"/>
      <c r="V880" s="176"/>
      <c r="W880" s="176"/>
      <c r="X880" s="176"/>
      <c r="Y880" s="176"/>
      <c r="Z880" s="176"/>
      <c r="AA880" s="176"/>
    </row>
    <row r="881">
      <c r="A881" s="165" t="str">
        <f>iferror(VLOOKUP(P881,'DO NOT TOUCH Imported'!$A$1:$D$800,4,False),iferror(VLOOKUP(P881,'DO NOT TOUCH Imported'!$C$1:$D$800,2,False),"OOPS FIX ME"))</f>
        <v>Typto</v>
      </c>
      <c r="B881" s="178" t="s">
        <v>10</v>
      </c>
      <c r="C881" s="179" t="s">
        <v>498</v>
      </c>
      <c r="D881" s="180" t="s">
        <v>495</v>
      </c>
      <c r="E881" s="184">
        <v>44316.0</v>
      </c>
      <c r="F881" s="182" t="s">
        <v>499</v>
      </c>
      <c r="G881" s="170">
        <v>500.0</v>
      </c>
      <c r="H881" s="171">
        <v>25.0</v>
      </c>
      <c r="I881" s="171">
        <v>100.0</v>
      </c>
      <c r="J881" s="172">
        <f t="shared" si="57"/>
        <v>0.0004317674408</v>
      </c>
      <c r="K881" s="173">
        <f t="shared" si="58"/>
        <v>0.518120929</v>
      </c>
      <c r="L881" s="174">
        <f t="shared" si="9"/>
        <v>1.386193917</v>
      </c>
      <c r="M881" s="175" t="str">
        <f t="shared" si="10"/>
        <v>Typto</v>
      </c>
      <c r="N881" s="176">
        <f>IFERROR(__xludf.DUMMYFUNCTION("""COMPUTED_VALUE"""),2.0)</f>
        <v>2</v>
      </c>
      <c r="O881" s="176"/>
      <c r="P881" s="183" t="s">
        <v>844</v>
      </c>
      <c r="Q881" s="178" t="s">
        <v>10</v>
      </c>
      <c r="R881" s="176"/>
      <c r="S881" s="176"/>
      <c r="T881" s="176"/>
      <c r="U881" s="176"/>
      <c r="V881" s="176"/>
      <c r="W881" s="176"/>
      <c r="X881" s="176"/>
      <c r="Y881" s="176"/>
      <c r="Z881" s="176"/>
      <c r="AA881" s="176"/>
    </row>
    <row r="882">
      <c r="A882" s="165" t="str">
        <f>iferror(VLOOKUP(P882,'DO NOT TOUCH Imported'!$A$1:$D$800,4,False),iferror(VLOOKUP(P882,'DO NOT TOUCH Imported'!$C$1:$D$800,2,False),"OOPS FIX ME"))</f>
        <v>bends#3537</v>
      </c>
      <c r="B882" s="166" t="s">
        <v>441</v>
      </c>
      <c r="C882" s="167" t="s">
        <v>573</v>
      </c>
      <c r="D882" s="168" t="s">
        <v>437</v>
      </c>
      <c r="E882" s="169" t="s">
        <v>447</v>
      </c>
      <c r="F882" s="168" t="s">
        <v>439</v>
      </c>
      <c r="G882" s="170">
        <v>500.0</v>
      </c>
      <c r="H882" s="171">
        <v>25.0</v>
      </c>
      <c r="I882" s="171">
        <v>100.0</v>
      </c>
      <c r="J882" s="172">
        <f t="shared" si="57"/>
        <v>0.0004317674408</v>
      </c>
      <c r="K882" s="173">
        <f t="shared" si="58"/>
        <v>0.518120929</v>
      </c>
      <c r="L882" s="174">
        <f t="shared" si="9"/>
        <v>1.386193917</v>
      </c>
      <c r="M882" s="175" t="str">
        <f t="shared" si="10"/>
        <v>bends#3537</v>
      </c>
      <c r="N882" s="176">
        <f>IFERROR(__xludf.DUMMYFUNCTION("""COMPUTED_VALUE"""),2.0)</f>
        <v>2</v>
      </c>
      <c r="O882" s="176"/>
      <c r="P882" s="166" t="s">
        <v>182</v>
      </c>
      <c r="Q882" s="166" t="s">
        <v>441</v>
      </c>
      <c r="R882" s="176"/>
      <c r="S882" s="176"/>
      <c r="T882" s="176"/>
      <c r="U882" s="176"/>
      <c r="V882" s="176"/>
      <c r="W882" s="176"/>
      <c r="X882" s="176"/>
      <c r="Y882" s="176"/>
      <c r="Z882" s="176"/>
      <c r="AA882" s="176"/>
    </row>
    <row r="883">
      <c r="A883" s="165" t="str">
        <f>iferror(VLOOKUP(P883,'DO NOT TOUCH Imported'!$A$1:$D$800,4,False),iferror(VLOOKUP(P883,'DO NOT TOUCH Imported'!$C$1:$D$800,2,False),"OOPS FIX ME"))</f>
        <v>ajmaq</v>
      </c>
      <c r="B883" s="178" t="s">
        <v>845</v>
      </c>
      <c r="C883" s="179" t="s">
        <v>846</v>
      </c>
      <c r="D883" s="180" t="s">
        <v>495</v>
      </c>
      <c r="E883" s="181">
        <v>44319.0</v>
      </c>
      <c r="F883" s="182" t="s">
        <v>499</v>
      </c>
      <c r="G883" s="170">
        <v>1500.0</v>
      </c>
      <c r="H883" s="171">
        <v>200.0</v>
      </c>
      <c r="I883" s="171">
        <v>100.0</v>
      </c>
      <c r="J883" s="172">
        <f t="shared" si="57"/>
        <v>0.001094830607</v>
      </c>
      <c r="K883" s="173">
        <f t="shared" si="58"/>
        <v>1.313796728</v>
      </c>
      <c r="L883" s="174">
        <f t="shared" si="9"/>
        <v>1.313796728</v>
      </c>
      <c r="M883" s="175" t="str">
        <f t="shared" si="10"/>
        <v>ajmaq</v>
      </c>
      <c r="N883" s="176">
        <f>IFERROR(__xludf.DUMMYFUNCTION("""COMPUTED_VALUE"""),1.0)</f>
        <v>1</v>
      </c>
      <c r="O883" s="176"/>
      <c r="P883" s="183" t="s">
        <v>269</v>
      </c>
      <c r="Q883" s="178" t="s">
        <v>845</v>
      </c>
      <c r="R883" s="176"/>
      <c r="S883" s="176"/>
      <c r="T883" s="176"/>
      <c r="U883" s="176"/>
      <c r="V883" s="176"/>
      <c r="W883" s="176"/>
      <c r="X883" s="176"/>
      <c r="Y883" s="176"/>
      <c r="Z883" s="176"/>
      <c r="AA883" s="176"/>
    </row>
    <row r="884">
      <c r="A884" s="165" t="str">
        <f>iferror(VLOOKUP(P884,'DO NOT TOUCH Imported'!$A$1:$D$800,4,False),iferror(VLOOKUP(P884,'DO NOT TOUCH Imported'!$C$1:$D$800,2,False),"OOPS FIX ME"))</f>
        <v>Mayu ☪Dev Protocol🌟#8814</v>
      </c>
      <c r="B884" s="166" t="s">
        <v>530</v>
      </c>
      <c r="C884" s="167" t="s">
        <v>762</v>
      </c>
      <c r="D884" s="168" t="s">
        <v>499</v>
      </c>
      <c r="E884" s="169" t="s">
        <v>452</v>
      </c>
      <c r="F884" s="168" t="s">
        <v>503</v>
      </c>
      <c r="G884" s="170">
        <v>1000.0</v>
      </c>
      <c r="H884" s="171">
        <v>200.0</v>
      </c>
      <c r="I884" s="171">
        <v>100.0</v>
      </c>
      <c r="J884" s="172">
        <f t="shared" si="57"/>
        <v>0.001042633091</v>
      </c>
      <c r="K884" s="173">
        <f t="shared" si="58"/>
        <v>1.25115971</v>
      </c>
      <c r="L884" s="174">
        <f t="shared" si="9"/>
        <v>1.25115971</v>
      </c>
      <c r="M884" s="175" t="str">
        <f t="shared" si="10"/>
        <v>Mayu ☪Dev Protocol🌟#8814</v>
      </c>
      <c r="N884" s="176">
        <f>IFERROR(__xludf.DUMMYFUNCTION("""COMPUTED_VALUE"""),1.0)</f>
        <v>1</v>
      </c>
      <c r="O884" s="176"/>
      <c r="P884" s="166" t="s">
        <v>251</v>
      </c>
      <c r="Q884" s="166" t="s">
        <v>530</v>
      </c>
      <c r="R884" s="176"/>
      <c r="S884" s="176"/>
      <c r="T884" s="176"/>
      <c r="U884" s="176"/>
      <c r="V884" s="176"/>
      <c r="W884" s="176"/>
      <c r="X884" s="176"/>
      <c r="Y884" s="176"/>
      <c r="Z884" s="176"/>
      <c r="AA884" s="176"/>
    </row>
    <row r="885">
      <c r="A885" s="165" t="str">
        <f>iferror(VLOOKUP(P885,'DO NOT TOUCH Imported'!$A$1:$D$800,4,False),iferror(VLOOKUP(P885,'DO NOT TOUCH Imported'!$C$1:$D$800,2,False),"OOPS FIX ME"))</f>
        <v>Aggre 🗾🗼 Dev Protocol#3446</v>
      </c>
      <c r="B885" s="166" t="s">
        <v>530</v>
      </c>
      <c r="C885" s="167" t="s">
        <v>762</v>
      </c>
      <c r="D885" s="168" t="s">
        <v>499</v>
      </c>
      <c r="E885" s="177" t="s">
        <v>452</v>
      </c>
      <c r="F885" s="168" t="s">
        <v>503</v>
      </c>
      <c r="G885" s="170">
        <v>1000.0</v>
      </c>
      <c r="H885" s="171">
        <v>200.0</v>
      </c>
      <c r="I885" s="171">
        <v>100.0</v>
      </c>
      <c r="J885" s="172">
        <f t="shared" si="57"/>
        <v>0.001042633091</v>
      </c>
      <c r="K885" s="173">
        <f t="shared" si="58"/>
        <v>1.25115971</v>
      </c>
      <c r="L885" s="174">
        <f t="shared" si="9"/>
        <v>1.25115971</v>
      </c>
      <c r="M885" s="175" t="str">
        <f t="shared" si="10"/>
        <v>Aggre 🗾🗼 Dev Protocol#3446</v>
      </c>
      <c r="N885" s="176">
        <f>IFERROR(__xludf.DUMMYFUNCTION("""COMPUTED_VALUE"""),1.0)</f>
        <v>1</v>
      </c>
      <c r="O885" s="176"/>
      <c r="P885" s="166" t="s">
        <v>274</v>
      </c>
      <c r="Q885" s="166" t="s">
        <v>530</v>
      </c>
      <c r="R885" s="176"/>
      <c r="S885" s="176"/>
      <c r="T885" s="176"/>
      <c r="U885" s="176"/>
      <c r="V885" s="176"/>
      <c r="W885" s="176"/>
      <c r="X885" s="176"/>
      <c r="Y885" s="176"/>
      <c r="Z885" s="176"/>
      <c r="AA885" s="176"/>
    </row>
    <row r="886">
      <c r="A886" s="165" t="str">
        <f>iferror(VLOOKUP(P886,'DO NOT TOUCH Imported'!$A$1:$D$800,4,False),iferror(VLOOKUP(P886,'DO NOT TOUCH Imported'!$C$1:$D$800,2,False),"OOPS FIX ME"))</f>
        <v>OOPS FIX ME</v>
      </c>
      <c r="B886" s="166" t="s">
        <v>457</v>
      </c>
      <c r="C886" s="167" t="s">
        <v>458</v>
      </c>
      <c r="D886" s="168" t="s">
        <v>437</v>
      </c>
      <c r="E886" s="169" t="s">
        <v>438</v>
      </c>
      <c r="F886" s="168" t="s">
        <v>439</v>
      </c>
      <c r="G886" s="170">
        <v>1000.0</v>
      </c>
      <c r="H886" s="171">
        <v>100.0</v>
      </c>
      <c r="I886" s="171">
        <v>200.0</v>
      </c>
      <c r="J886" s="172">
        <f t="shared" si="57"/>
        <v>0.001023154349</v>
      </c>
      <c r="K886" s="173">
        <f t="shared" si="58"/>
        <v>1.227785219</v>
      </c>
      <c r="L886" s="174">
        <f t="shared" si="9"/>
        <v>11.88985225</v>
      </c>
      <c r="M886" s="175" t="str">
        <f t="shared" si="10"/>
        <v>OOPS FIX ME</v>
      </c>
      <c r="N886" s="176">
        <f>IFERROR(__xludf.DUMMYFUNCTION("""COMPUTED_VALUE"""),3.0)</f>
        <v>3</v>
      </c>
      <c r="O886" s="176"/>
      <c r="P886" s="166" t="s">
        <v>278</v>
      </c>
      <c r="Q886" s="166" t="s">
        <v>457</v>
      </c>
      <c r="R886" s="176"/>
      <c r="S886" s="176"/>
      <c r="T886" s="176"/>
      <c r="U886" s="176"/>
      <c r="V886" s="176"/>
      <c r="W886" s="176"/>
      <c r="X886" s="176"/>
      <c r="Y886" s="176"/>
      <c r="Z886" s="176"/>
      <c r="AA886" s="176"/>
    </row>
    <row r="887">
      <c r="A887" s="165" t="str">
        <f>iferror(VLOOKUP(P887,'DO NOT TOUCH Imported'!$A$1:$D$800,4,False),iferror(VLOOKUP(P887,'DO NOT TOUCH Imported'!$C$1:$D$800,2,False),"OOPS FIX ME"))</f>
        <v>lescanore</v>
      </c>
      <c r="B887" s="166" t="s">
        <v>457</v>
      </c>
      <c r="C887" s="167" t="s">
        <v>458</v>
      </c>
      <c r="D887" s="168" t="s">
        <v>437</v>
      </c>
      <c r="E887" s="169" t="s">
        <v>438</v>
      </c>
      <c r="F887" s="168" t="s">
        <v>439</v>
      </c>
      <c r="G887" s="170">
        <v>1000.0</v>
      </c>
      <c r="H887" s="171">
        <v>100.0</v>
      </c>
      <c r="I887" s="171">
        <v>200.0</v>
      </c>
      <c r="J887" s="172">
        <f t="shared" si="57"/>
        <v>0.001023154349</v>
      </c>
      <c r="K887" s="173">
        <f t="shared" si="58"/>
        <v>1.227785219</v>
      </c>
      <c r="L887" s="174">
        <f t="shared" si="9"/>
        <v>1.227785219</v>
      </c>
      <c r="M887" s="175" t="str">
        <f t="shared" si="10"/>
        <v>lescanore</v>
      </c>
      <c r="N887" s="176">
        <f>IFERROR(__xludf.DUMMYFUNCTION("""COMPUTED_VALUE"""),1.0)</f>
        <v>1</v>
      </c>
      <c r="O887" s="176"/>
      <c r="P887" s="166" t="s">
        <v>847</v>
      </c>
      <c r="Q887" s="166" t="s">
        <v>457</v>
      </c>
      <c r="R887" s="176"/>
      <c r="S887" s="176"/>
      <c r="T887" s="176"/>
      <c r="U887" s="176"/>
      <c r="V887" s="176"/>
      <c r="W887" s="176"/>
      <c r="X887" s="176"/>
      <c r="Y887" s="176"/>
      <c r="Z887" s="176"/>
      <c r="AA887" s="176"/>
    </row>
    <row r="888">
      <c r="A888" s="165" t="str">
        <f>iferror(VLOOKUP(P888,'DO NOT TOUCH Imported'!$A$1:$D$800,4,False),iferror(VLOOKUP(P888,'DO NOT TOUCH Imported'!$C$1:$D$800,2,False),"OOPS FIX ME"))</f>
        <v>OOPS FIX ME</v>
      </c>
      <c r="B888" s="166" t="s">
        <v>457</v>
      </c>
      <c r="C888" s="167" t="s">
        <v>458</v>
      </c>
      <c r="D888" s="168" t="s">
        <v>437</v>
      </c>
      <c r="E888" s="169" t="s">
        <v>438</v>
      </c>
      <c r="F888" s="168" t="s">
        <v>439</v>
      </c>
      <c r="G888" s="170">
        <v>1000.0</v>
      </c>
      <c r="H888" s="171">
        <v>100.0</v>
      </c>
      <c r="I888" s="171">
        <v>200.0</v>
      </c>
      <c r="J888" s="172">
        <f t="shared" si="57"/>
        <v>0.001023154349</v>
      </c>
      <c r="K888" s="173">
        <f t="shared" si="58"/>
        <v>1.227785219</v>
      </c>
      <c r="L888" s="174">
        <f t="shared" si="9"/>
        <v>11.88985225</v>
      </c>
      <c r="M888" s="175" t="str">
        <f t="shared" si="10"/>
        <v>OOPS FIX ME</v>
      </c>
      <c r="N888" s="176">
        <f>IFERROR(__xludf.DUMMYFUNCTION("""COMPUTED_VALUE"""),4.0)</f>
        <v>4</v>
      </c>
      <c r="O888" s="176"/>
      <c r="P888" s="166" t="s">
        <v>279</v>
      </c>
      <c r="Q888" s="166" t="s">
        <v>457</v>
      </c>
      <c r="R888" s="176"/>
      <c r="S888" s="176"/>
      <c r="T888" s="176"/>
      <c r="U888" s="176"/>
      <c r="V888" s="176"/>
      <c r="W888" s="176"/>
      <c r="X888" s="176"/>
      <c r="Y888" s="176"/>
      <c r="Z888" s="176"/>
      <c r="AA888" s="176"/>
    </row>
    <row r="889">
      <c r="A889" s="165" t="str">
        <f>iferror(VLOOKUP(P889,'DO NOT TOUCH Imported'!$A$1:$D$800,4,False),iferror(VLOOKUP(P889,'DO NOT TOUCH Imported'!$C$1:$D$800,2,False),"OOPS FIX ME"))</f>
        <v>OOPS FIX ME</v>
      </c>
      <c r="B889" s="166" t="s">
        <v>457</v>
      </c>
      <c r="C889" s="167" t="s">
        <v>458</v>
      </c>
      <c r="D889" s="168" t="s">
        <v>437</v>
      </c>
      <c r="E889" s="169" t="s">
        <v>438</v>
      </c>
      <c r="F889" s="168" t="s">
        <v>439</v>
      </c>
      <c r="G889" s="170">
        <v>1000.0</v>
      </c>
      <c r="H889" s="171">
        <v>100.0</v>
      </c>
      <c r="I889" s="171">
        <v>200.0</v>
      </c>
      <c r="J889" s="172">
        <f t="shared" si="57"/>
        <v>0.001023154349</v>
      </c>
      <c r="K889" s="173">
        <f t="shared" si="58"/>
        <v>1.227785219</v>
      </c>
      <c r="L889" s="174">
        <f t="shared" si="9"/>
        <v>11.88985225</v>
      </c>
      <c r="M889" s="175" t="str">
        <f t="shared" si="10"/>
        <v>OOPS FIX ME</v>
      </c>
      <c r="N889" s="176">
        <f>IFERROR(__xludf.DUMMYFUNCTION("""COMPUTED_VALUE"""),5.0)</f>
        <v>5</v>
      </c>
      <c r="O889" s="176"/>
      <c r="P889" s="166" t="s">
        <v>280</v>
      </c>
      <c r="Q889" s="166" t="s">
        <v>457</v>
      </c>
      <c r="R889" s="176"/>
      <c r="S889" s="176"/>
      <c r="T889" s="176"/>
      <c r="U889" s="176"/>
      <c r="V889" s="176"/>
      <c r="W889" s="176"/>
      <c r="X889" s="176"/>
      <c r="Y889" s="176"/>
      <c r="Z889" s="176"/>
      <c r="AA889" s="176"/>
    </row>
    <row r="890">
      <c r="A890" s="165" t="str">
        <f>iferror(VLOOKUP(P890,'DO NOT TOUCH Imported'!$A$1:$D$800,4,False),iferror(VLOOKUP(P890,'DO NOT TOUCH Imported'!$C$1:$D$800,2,False),"OOPS FIX ME"))</f>
        <v>vntrp</v>
      </c>
      <c r="B890" s="166" t="s">
        <v>566</v>
      </c>
      <c r="C890" s="167" t="s">
        <v>848</v>
      </c>
      <c r="D890" s="168" t="s">
        <v>499</v>
      </c>
      <c r="E890" s="169" t="s">
        <v>452</v>
      </c>
      <c r="F890" s="168" t="s">
        <v>503</v>
      </c>
      <c r="G890" s="170">
        <v>1000.0</v>
      </c>
      <c r="H890" s="171">
        <v>100.0</v>
      </c>
      <c r="I890" s="171">
        <v>200.0</v>
      </c>
      <c r="J890" s="172">
        <f t="shared" si="57"/>
        <v>0.001023154349</v>
      </c>
      <c r="K890" s="173">
        <f t="shared" si="58"/>
        <v>1.227785219</v>
      </c>
      <c r="L890" s="174">
        <f t="shared" si="9"/>
        <v>1.227785219</v>
      </c>
      <c r="M890" s="175" t="str">
        <f t="shared" si="10"/>
        <v>vntrp</v>
      </c>
      <c r="N890" s="176">
        <f>IFERROR(__xludf.DUMMYFUNCTION("""COMPUTED_VALUE"""),1.0)</f>
        <v>1</v>
      </c>
      <c r="O890" s="176"/>
      <c r="P890" s="166" t="s">
        <v>849</v>
      </c>
      <c r="Q890" s="166" t="s">
        <v>566</v>
      </c>
      <c r="R890" s="176"/>
      <c r="S890" s="176"/>
      <c r="T890" s="176"/>
      <c r="U890" s="176"/>
      <c r="V890" s="176"/>
      <c r="W890" s="176"/>
      <c r="X890" s="176"/>
      <c r="Y890" s="176"/>
      <c r="Z890" s="176"/>
      <c r="AA890" s="176"/>
    </row>
    <row r="891">
      <c r="A891" s="165" t="str">
        <f>iferror(VLOOKUP(P891,'DO NOT TOUCH Imported'!$A$1:$D$800,4,False),iferror(VLOOKUP(P891,'DO NOT TOUCH Imported'!$C$1:$D$800,2,False),"OOPS FIX ME"))</f>
        <v>OOPS FIX ME</v>
      </c>
      <c r="B891" s="166" t="s">
        <v>457</v>
      </c>
      <c r="C891" s="167" t="s">
        <v>458</v>
      </c>
      <c r="D891" s="168" t="s">
        <v>437</v>
      </c>
      <c r="E891" s="169" t="s">
        <v>438</v>
      </c>
      <c r="F891" s="168" t="s">
        <v>439</v>
      </c>
      <c r="G891" s="170">
        <v>1000.0</v>
      </c>
      <c r="H891" s="171">
        <v>100.0</v>
      </c>
      <c r="I891" s="171">
        <v>200.0</v>
      </c>
      <c r="J891" s="172">
        <f t="shared" si="57"/>
        <v>0.001023154349</v>
      </c>
      <c r="K891" s="173">
        <f t="shared" si="58"/>
        <v>1.227785219</v>
      </c>
      <c r="L891" s="174">
        <f t="shared" si="9"/>
        <v>11.88985225</v>
      </c>
      <c r="M891" s="175" t="str">
        <f t="shared" si="10"/>
        <v>OOPS FIX ME</v>
      </c>
      <c r="N891" s="176">
        <f>IFERROR(__xludf.DUMMYFUNCTION("""COMPUTED_VALUE"""),6.0)</f>
        <v>6</v>
      </c>
      <c r="O891" s="176"/>
      <c r="P891" s="166" t="s">
        <v>281</v>
      </c>
      <c r="Q891" s="166" t="s">
        <v>457</v>
      </c>
      <c r="R891" s="176"/>
      <c r="S891" s="176"/>
      <c r="T891" s="176"/>
      <c r="U891" s="176"/>
      <c r="V891" s="176"/>
      <c r="W891" s="176"/>
      <c r="X891" s="176"/>
      <c r="Y891" s="176"/>
      <c r="Z891" s="176"/>
      <c r="AA891" s="176"/>
    </row>
    <row r="892">
      <c r="A892" s="165" t="str">
        <f>iferror(VLOOKUP(P892,'DO NOT TOUCH Imported'!$A$1:$D$800,4,False),iferror(VLOOKUP(P892,'DO NOT TOUCH Imported'!$C$1:$D$800,2,False),"OOPS FIX ME"))</f>
        <v>ontologymachine</v>
      </c>
      <c r="B892" s="178" t="s">
        <v>18</v>
      </c>
      <c r="C892" s="179" t="s">
        <v>850</v>
      </c>
      <c r="D892" s="180" t="s">
        <v>495</v>
      </c>
      <c r="E892" s="181">
        <v>44319.0</v>
      </c>
      <c r="F892" s="182" t="s">
        <v>499</v>
      </c>
      <c r="G892" s="170">
        <v>1500.0</v>
      </c>
      <c r="H892" s="171">
        <v>150.0</v>
      </c>
      <c r="I892" s="171">
        <v>100.0</v>
      </c>
      <c r="J892" s="172">
        <f t="shared" si="57"/>
        <v>0.0009352111396</v>
      </c>
      <c r="K892" s="173">
        <f t="shared" si="58"/>
        <v>1.122253368</v>
      </c>
      <c r="L892" s="174">
        <f t="shared" si="9"/>
        <v>1.122253368</v>
      </c>
      <c r="M892" s="175" t="str">
        <f t="shared" si="10"/>
        <v>ontologymachine</v>
      </c>
      <c r="N892" s="176">
        <f>IFERROR(__xludf.DUMMYFUNCTION("""COMPUTED_VALUE"""),1.0)</f>
        <v>1</v>
      </c>
      <c r="O892" s="176"/>
      <c r="P892" s="183" t="s">
        <v>236</v>
      </c>
      <c r="Q892" s="178" t="s">
        <v>18</v>
      </c>
      <c r="R892" s="176"/>
      <c r="S892" s="176"/>
      <c r="T892" s="176"/>
      <c r="U892" s="176"/>
      <c r="V892" s="176"/>
      <c r="W892" s="176"/>
      <c r="X892" s="176"/>
      <c r="Y892" s="176"/>
      <c r="Z892" s="176"/>
      <c r="AA892" s="176"/>
    </row>
    <row r="893">
      <c r="A893" s="165" t="str">
        <f>iferror(VLOOKUP(P893,'DO NOT TOUCH Imported'!$A$1:$D$800,4,False),iferror(VLOOKUP(P893,'DO NOT TOUCH Imported'!$C$1:$D$800,2,False),"OOPS FIX ME"))</f>
        <v>gcrewe</v>
      </c>
      <c r="B893" s="178" t="s">
        <v>29</v>
      </c>
      <c r="C893" s="179" t="s">
        <v>851</v>
      </c>
      <c r="D893" s="180" t="s">
        <v>495</v>
      </c>
      <c r="E893" s="184">
        <v>44312.0</v>
      </c>
      <c r="F893" s="182" t="s">
        <v>499</v>
      </c>
      <c r="G893" s="170">
        <v>1000.0</v>
      </c>
      <c r="H893" s="171">
        <v>150.0</v>
      </c>
      <c r="I893" s="171">
        <v>100.0</v>
      </c>
      <c r="J893" s="172">
        <f t="shared" si="57"/>
        <v>0.0008830136242</v>
      </c>
      <c r="K893" s="173">
        <f t="shared" si="58"/>
        <v>1.059616349</v>
      </c>
      <c r="L893" s="174">
        <f t="shared" si="9"/>
        <v>1.059616349</v>
      </c>
      <c r="M893" s="175" t="str">
        <f t="shared" si="10"/>
        <v>gcrewe</v>
      </c>
      <c r="N893" s="176">
        <f>IFERROR(__xludf.DUMMYFUNCTION("""COMPUTED_VALUE"""),1.0)</f>
        <v>1</v>
      </c>
      <c r="O893" s="176"/>
      <c r="P893" s="183" t="s">
        <v>186</v>
      </c>
      <c r="Q893" s="178" t="s">
        <v>29</v>
      </c>
      <c r="R893" s="176"/>
      <c r="S893" s="176"/>
      <c r="T893" s="176"/>
      <c r="U893" s="176"/>
      <c r="V893" s="176"/>
      <c r="W893" s="176"/>
      <c r="X893" s="176"/>
      <c r="Y893" s="176"/>
      <c r="Z893" s="176"/>
      <c r="AA893" s="176"/>
    </row>
    <row r="894">
      <c r="A894" s="165" t="str">
        <f>iferror(VLOOKUP(P894,'DO NOT TOUCH Imported'!$A$1:$D$800,4,False),iferror(VLOOKUP(P894,'DO NOT TOUCH Imported'!$C$1:$D$800,2,False),"OOPS FIX ME"))</f>
        <v>ZoushHoang#2376</v>
      </c>
      <c r="B894" s="166" t="s">
        <v>441</v>
      </c>
      <c r="C894" s="167" t="s">
        <v>574</v>
      </c>
      <c r="D894" s="168" t="s">
        <v>499</v>
      </c>
      <c r="E894" s="169" t="s">
        <v>438</v>
      </c>
      <c r="F894" s="168" t="s">
        <v>571</v>
      </c>
      <c r="G894" s="170">
        <v>500.0</v>
      </c>
      <c r="H894" s="171">
        <v>25.0</v>
      </c>
      <c r="I894" s="171">
        <v>100.0</v>
      </c>
      <c r="J894" s="172">
        <f t="shared" si="57"/>
        <v>0.0004317674408</v>
      </c>
      <c r="K894" s="173">
        <f t="shared" si="58"/>
        <v>0.518120929</v>
      </c>
      <c r="L894" s="174">
        <f t="shared" si="9"/>
        <v>1.036241858</v>
      </c>
      <c r="M894" s="175" t="str">
        <f t="shared" si="10"/>
        <v>ZoushHoang#2376</v>
      </c>
      <c r="N894" s="176">
        <f>IFERROR(__xludf.DUMMYFUNCTION("""COMPUTED_VALUE"""),1.0)</f>
        <v>1</v>
      </c>
      <c r="O894" s="176"/>
      <c r="P894" s="166" t="s">
        <v>266</v>
      </c>
      <c r="Q894" s="166" t="s">
        <v>441</v>
      </c>
      <c r="R894" s="176"/>
      <c r="S894" s="176"/>
      <c r="T894" s="176"/>
      <c r="U894" s="176"/>
      <c r="V894" s="176"/>
      <c r="W894" s="176"/>
      <c r="X894" s="176"/>
      <c r="Y894" s="176"/>
      <c r="Z894" s="176"/>
      <c r="AA894" s="176"/>
    </row>
    <row r="895">
      <c r="A895" s="165" t="str">
        <f>iferror(VLOOKUP(P895,'DO NOT TOUCH Imported'!$A$1:$D$800,4,False),iferror(VLOOKUP(P895,'DO NOT TOUCH Imported'!$C$1:$D$800,2,False),"OOPS FIX ME"))</f>
        <v>ZoushHoang#2376</v>
      </c>
      <c r="B895" s="166" t="s">
        <v>441</v>
      </c>
      <c r="C895" s="167" t="s">
        <v>572</v>
      </c>
      <c r="D895" s="168" t="s">
        <v>499</v>
      </c>
      <c r="E895" s="169" t="s">
        <v>438</v>
      </c>
      <c r="F895" s="168" t="s">
        <v>503</v>
      </c>
      <c r="G895" s="170">
        <v>500.0</v>
      </c>
      <c r="H895" s="171">
        <v>25.0</v>
      </c>
      <c r="I895" s="171">
        <v>100.0</v>
      </c>
      <c r="J895" s="172">
        <f t="shared" si="57"/>
        <v>0.0004317674408</v>
      </c>
      <c r="K895" s="173">
        <f t="shared" si="58"/>
        <v>0.518120929</v>
      </c>
      <c r="L895" s="174">
        <f t="shared" si="9"/>
        <v>1.036241858</v>
      </c>
      <c r="M895" s="175" t="str">
        <f t="shared" si="10"/>
        <v>ZoushHoang#2376</v>
      </c>
      <c r="N895" s="176">
        <f>IFERROR(__xludf.DUMMYFUNCTION("""COMPUTED_VALUE"""),2.0)</f>
        <v>2</v>
      </c>
      <c r="O895" s="176"/>
      <c r="P895" s="166" t="s">
        <v>266</v>
      </c>
      <c r="Q895" s="166" t="s">
        <v>441</v>
      </c>
      <c r="R895" s="176"/>
      <c r="S895" s="176"/>
      <c r="T895" s="176"/>
      <c r="U895" s="176"/>
      <c r="V895" s="176"/>
      <c r="W895" s="176"/>
      <c r="X895" s="176"/>
      <c r="Y895" s="176"/>
      <c r="Z895" s="176"/>
      <c r="AA895" s="176"/>
    </row>
    <row r="896">
      <c r="A896" s="165" t="str">
        <f>iferror(VLOOKUP(P896,'DO NOT TOUCH Imported'!$A$1:$D$800,4,False),iferror(VLOOKUP(P896,'DO NOT TOUCH Imported'!$C$1:$D$800,2,False),"OOPS FIX ME"))</f>
        <v>uPaul</v>
      </c>
      <c r="B896" s="178" t="s">
        <v>10</v>
      </c>
      <c r="C896" s="179" t="s">
        <v>498</v>
      </c>
      <c r="D896" s="180" t="s">
        <v>495</v>
      </c>
      <c r="E896" s="184">
        <v>44316.0</v>
      </c>
      <c r="F896" s="182" t="s">
        <v>499</v>
      </c>
      <c r="G896" s="170">
        <v>500.0</v>
      </c>
      <c r="H896" s="171">
        <v>25.0</v>
      </c>
      <c r="I896" s="171">
        <v>100.0</v>
      </c>
      <c r="J896" s="172">
        <f t="shared" si="57"/>
        <v>0.0004317674408</v>
      </c>
      <c r="K896" s="173">
        <f t="shared" si="58"/>
        <v>0.518120929</v>
      </c>
      <c r="L896" s="174">
        <f t="shared" si="9"/>
        <v>1.036241858</v>
      </c>
      <c r="M896" s="175" t="str">
        <f t="shared" si="10"/>
        <v>uPaul</v>
      </c>
      <c r="N896" s="176">
        <f>IFERROR(__xludf.DUMMYFUNCTION("""COMPUTED_VALUE"""),1.0)</f>
        <v>1</v>
      </c>
      <c r="O896" s="176"/>
      <c r="P896" s="183" t="s">
        <v>89</v>
      </c>
      <c r="Q896" s="178" t="s">
        <v>10</v>
      </c>
      <c r="R896" s="176"/>
      <c r="S896" s="176"/>
      <c r="T896" s="176"/>
      <c r="U896" s="176"/>
      <c r="V896" s="176"/>
      <c r="W896" s="176"/>
      <c r="X896" s="176"/>
      <c r="Y896" s="176"/>
      <c r="Z896" s="176"/>
      <c r="AA896" s="176"/>
    </row>
    <row r="897">
      <c r="A897" s="165" t="str">
        <f>iferror(VLOOKUP(P897,'DO NOT TOUCH Imported'!$A$1:$D$800,4,False),iferror(VLOOKUP(P897,'DO NOT TOUCH Imported'!$C$1:$D$800,2,False),"OOPS FIX ME"))</f>
        <v>uPaul</v>
      </c>
      <c r="B897" s="178" t="s">
        <v>10</v>
      </c>
      <c r="C897" s="179" t="s">
        <v>498</v>
      </c>
      <c r="D897" s="180" t="s">
        <v>495</v>
      </c>
      <c r="E897" s="181">
        <v>44323.0</v>
      </c>
      <c r="F897" s="182" t="s">
        <v>499</v>
      </c>
      <c r="G897" s="170">
        <v>500.0</v>
      </c>
      <c r="H897" s="171">
        <v>25.0</v>
      </c>
      <c r="I897" s="171">
        <v>100.0</v>
      </c>
      <c r="J897" s="172">
        <f t="shared" si="57"/>
        <v>0.0004317674408</v>
      </c>
      <c r="K897" s="173">
        <f t="shared" si="58"/>
        <v>0.518120929</v>
      </c>
      <c r="L897" s="174">
        <f t="shared" si="9"/>
        <v>1.036241858</v>
      </c>
      <c r="M897" s="175" t="str">
        <f t="shared" si="10"/>
        <v>uPaul</v>
      </c>
      <c r="N897" s="176">
        <f>IFERROR(__xludf.DUMMYFUNCTION("""COMPUTED_VALUE"""),2.0)</f>
        <v>2</v>
      </c>
      <c r="O897" s="176"/>
      <c r="P897" s="183" t="s">
        <v>89</v>
      </c>
      <c r="Q897" s="178" t="s">
        <v>10</v>
      </c>
      <c r="R897" s="176"/>
      <c r="S897" s="176"/>
      <c r="T897" s="176"/>
      <c r="U897" s="176"/>
      <c r="V897" s="176"/>
      <c r="W897" s="176"/>
      <c r="X897" s="176"/>
      <c r="Y897" s="176"/>
      <c r="Z897" s="176"/>
      <c r="AA897" s="176"/>
    </row>
    <row r="898">
      <c r="A898" s="165" t="str">
        <f>iferror(VLOOKUP(P898,'DO NOT TOUCH Imported'!$A$1:$D$800,4,False),iferror(VLOOKUP(P898,'DO NOT TOUCH Imported'!$C$1:$D$800,2,False),"OOPS FIX ME"))</f>
        <v>terry#6288</v>
      </c>
      <c r="B898" s="166" t="s">
        <v>441</v>
      </c>
      <c r="C898" s="167" t="s">
        <v>574</v>
      </c>
      <c r="D898" s="168" t="s">
        <v>499</v>
      </c>
      <c r="E898" s="169" t="s">
        <v>438</v>
      </c>
      <c r="F898" s="168" t="s">
        <v>571</v>
      </c>
      <c r="G898" s="170">
        <v>500.0</v>
      </c>
      <c r="H898" s="171">
        <v>25.0</v>
      </c>
      <c r="I898" s="171">
        <v>100.0</v>
      </c>
      <c r="J898" s="172">
        <f t="shared" si="57"/>
        <v>0.0004317674408</v>
      </c>
      <c r="K898" s="173">
        <f t="shared" si="58"/>
        <v>0.518120929</v>
      </c>
      <c r="L898" s="174">
        <f t="shared" si="9"/>
        <v>1.036241858</v>
      </c>
      <c r="M898" s="175" t="str">
        <f t="shared" si="10"/>
        <v>terry#6288</v>
      </c>
      <c r="N898" s="176">
        <f>IFERROR(__xludf.DUMMYFUNCTION("""COMPUTED_VALUE"""),1.0)</f>
        <v>1</v>
      </c>
      <c r="O898" s="176"/>
      <c r="P898" s="166" t="s">
        <v>216</v>
      </c>
      <c r="Q898" s="166" t="s">
        <v>441</v>
      </c>
      <c r="R898" s="176"/>
      <c r="S898" s="176"/>
      <c r="T898" s="176"/>
      <c r="U898" s="176"/>
      <c r="V898" s="176"/>
      <c r="W898" s="176"/>
      <c r="X898" s="176"/>
      <c r="Y898" s="176"/>
      <c r="Z898" s="176"/>
      <c r="AA898" s="176"/>
    </row>
    <row r="899">
      <c r="A899" s="165" t="str">
        <f>iferror(VLOOKUP(P899,'DO NOT TOUCH Imported'!$A$1:$D$800,4,False),iferror(VLOOKUP(P899,'DO NOT TOUCH Imported'!$C$1:$D$800,2,False),"OOPS FIX ME"))</f>
        <v>terry#6288</v>
      </c>
      <c r="B899" s="166" t="s">
        <v>441</v>
      </c>
      <c r="C899" s="167" t="s">
        <v>572</v>
      </c>
      <c r="D899" s="168" t="s">
        <v>499</v>
      </c>
      <c r="E899" s="177" t="s">
        <v>438</v>
      </c>
      <c r="F899" s="168" t="s">
        <v>503</v>
      </c>
      <c r="G899" s="170">
        <v>500.0</v>
      </c>
      <c r="H899" s="171">
        <v>25.0</v>
      </c>
      <c r="I899" s="171">
        <v>100.0</v>
      </c>
      <c r="J899" s="172">
        <f t="shared" si="57"/>
        <v>0.0004317674408</v>
      </c>
      <c r="K899" s="173">
        <f t="shared" si="58"/>
        <v>0.518120929</v>
      </c>
      <c r="L899" s="174">
        <f t="shared" si="9"/>
        <v>1.036241858</v>
      </c>
      <c r="M899" s="175" t="str">
        <f t="shared" si="10"/>
        <v>terry#6288</v>
      </c>
      <c r="N899" s="176">
        <f>IFERROR(__xludf.DUMMYFUNCTION("""COMPUTED_VALUE"""),2.0)</f>
        <v>2</v>
      </c>
      <c r="O899" s="176"/>
      <c r="P899" s="166" t="s">
        <v>216</v>
      </c>
      <c r="Q899" s="166" t="s">
        <v>441</v>
      </c>
      <c r="R899" s="176"/>
      <c r="S899" s="176"/>
      <c r="T899" s="176"/>
      <c r="U899" s="176"/>
      <c r="V899" s="176"/>
      <c r="W899" s="176"/>
      <c r="X899" s="176"/>
      <c r="Y899" s="176"/>
      <c r="Z899" s="176"/>
      <c r="AA899" s="176"/>
    </row>
    <row r="900">
      <c r="A900" s="165" t="str">
        <f>iferror(VLOOKUP(P900,'DO NOT TOUCH Imported'!$A$1:$D$800,4,False),iferror(VLOOKUP(P900,'DO NOT TOUCH Imported'!$C$1:$D$800,2,False),"OOPS FIX ME"))</f>
        <v>sergei_tran</v>
      </c>
      <c r="B900" s="178" t="s">
        <v>10</v>
      </c>
      <c r="C900" s="179" t="s">
        <v>498</v>
      </c>
      <c r="D900" s="180" t="s">
        <v>495</v>
      </c>
      <c r="E900" s="181">
        <v>44323.0</v>
      </c>
      <c r="F900" s="182" t="s">
        <v>499</v>
      </c>
      <c r="G900" s="170">
        <v>500.0</v>
      </c>
      <c r="H900" s="171">
        <v>25.0</v>
      </c>
      <c r="I900" s="171">
        <v>100.0</v>
      </c>
      <c r="J900" s="172">
        <f t="shared" si="57"/>
        <v>0.0004317674408</v>
      </c>
      <c r="K900" s="173">
        <f t="shared" si="58"/>
        <v>0.518120929</v>
      </c>
      <c r="L900" s="174">
        <f t="shared" si="9"/>
        <v>1.036241858</v>
      </c>
      <c r="M900" s="175" t="str">
        <f t="shared" si="10"/>
        <v>sergei_tran</v>
      </c>
      <c r="N900" s="176">
        <f>IFERROR(__xludf.DUMMYFUNCTION("""COMPUTED_VALUE"""),1.0)</f>
        <v>1</v>
      </c>
      <c r="O900" s="176"/>
      <c r="P900" s="183" t="s">
        <v>119</v>
      </c>
      <c r="Q900" s="178" t="s">
        <v>10</v>
      </c>
      <c r="R900" s="176"/>
      <c r="S900" s="176"/>
      <c r="T900" s="176"/>
      <c r="U900" s="176"/>
      <c r="V900" s="176"/>
      <c r="W900" s="176"/>
      <c r="X900" s="176"/>
      <c r="Y900" s="176"/>
      <c r="Z900" s="176"/>
      <c r="AA900" s="176"/>
    </row>
    <row r="901">
      <c r="A901" s="165" t="str">
        <f>iferror(VLOOKUP(P901,'DO NOT TOUCH Imported'!$A$1:$D$800,4,False),iferror(VLOOKUP(P901,'DO NOT TOUCH Imported'!$C$1:$D$800,2,False),"OOPS FIX ME"))</f>
        <v>sergei_tran</v>
      </c>
      <c r="B901" s="178" t="s">
        <v>10</v>
      </c>
      <c r="C901" s="179" t="s">
        <v>500</v>
      </c>
      <c r="D901" s="180" t="s">
        <v>495</v>
      </c>
      <c r="E901" s="181">
        <v>44324.0</v>
      </c>
      <c r="F901" s="182" t="s">
        <v>496</v>
      </c>
      <c r="G901" s="170">
        <v>500.0</v>
      </c>
      <c r="H901" s="171">
        <v>25.0</v>
      </c>
      <c r="I901" s="171">
        <v>100.0</v>
      </c>
      <c r="J901" s="172">
        <f t="shared" si="57"/>
        <v>0.0004317674408</v>
      </c>
      <c r="K901" s="173">
        <f t="shared" si="58"/>
        <v>0.518120929</v>
      </c>
      <c r="L901" s="174">
        <f t="shared" si="9"/>
        <v>1.036241858</v>
      </c>
      <c r="M901" s="175" t="str">
        <f t="shared" si="10"/>
        <v>sergei_tran</v>
      </c>
      <c r="N901" s="176">
        <f>IFERROR(__xludf.DUMMYFUNCTION("""COMPUTED_VALUE"""),2.0)</f>
        <v>2</v>
      </c>
      <c r="O901" s="176"/>
      <c r="P901" s="183" t="s">
        <v>119</v>
      </c>
      <c r="Q901" s="178" t="s">
        <v>10</v>
      </c>
      <c r="R901" s="176"/>
      <c r="S901" s="176"/>
      <c r="T901" s="176"/>
      <c r="U901" s="176"/>
      <c r="V901" s="176"/>
      <c r="W901" s="176"/>
      <c r="X901" s="176"/>
      <c r="Y901" s="176"/>
      <c r="Z901" s="176"/>
      <c r="AA901" s="176"/>
    </row>
    <row r="902">
      <c r="A902" s="165" t="str">
        <f>iferror(VLOOKUP(P902,'DO NOT TOUCH Imported'!$A$1:$D$800,4,False),iferror(VLOOKUP(P902,'DO NOT TOUCH Imported'!$C$1:$D$800,2,False),"OOPS FIX ME"))</f>
        <v>pprhsk</v>
      </c>
      <c r="B902" s="178" t="s">
        <v>10</v>
      </c>
      <c r="C902" s="179" t="s">
        <v>498</v>
      </c>
      <c r="D902" s="180" t="s">
        <v>495</v>
      </c>
      <c r="E902" s="181">
        <v>44323.0</v>
      </c>
      <c r="F902" s="182" t="s">
        <v>499</v>
      </c>
      <c r="G902" s="170">
        <v>500.0</v>
      </c>
      <c r="H902" s="171">
        <v>25.0</v>
      </c>
      <c r="I902" s="171">
        <v>100.0</v>
      </c>
      <c r="J902" s="172">
        <f t="shared" si="57"/>
        <v>0.0004317674408</v>
      </c>
      <c r="K902" s="173">
        <f t="shared" si="58"/>
        <v>0.518120929</v>
      </c>
      <c r="L902" s="174">
        <f t="shared" si="9"/>
        <v>1.036241858</v>
      </c>
      <c r="M902" s="175" t="str">
        <f t="shared" si="10"/>
        <v>pprhsk</v>
      </c>
      <c r="N902" s="176">
        <f>IFERROR(__xludf.DUMMYFUNCTION("""COMPUTED_VALUE"""),1.0)</f>
        <v>1</v>
      </c>
      <c r="O902" s="176"/>
      <c r="P902" s="183" t="s">
        <v>221</v>
      </c>
      <c r="Q902" s="178" t="s">
        <v>10</v>
      </c>
      <c r="R902" s="176"/>
      <c r="S902" s="176"/>
      <c r="T902" s="176"/>
      <c r="U902" s="176"/>
      <c r="V902" s="176"/>
      <c r="W902" s="176"/>
      <c r="X902" s="176"/>
      <c r="Y902" s="176"/>
      <c r="Z902" s="176"/>
      <c r="AA902" s="176"/>
    </row>
    <row r="903">
      <c r="A903" s="165" t="str">
        <f>iferror(VLOOKUP(P903,'DO NOT TOUCH Imported'!$A$1:$D$800,4,False),iferror(VLOOKUP(P903,'DO NOT TOUCH Imported'!$C$1:$D$800,2,False),"OOPS FIX ME"))</f>
        <v>pprhsk</v>
      </c>
      <c r="B903" s="178" t="s">
        <v>10</v>
      </c>
      <c r="C903" s="179" t="s">
        <v>500</v>
      </c>
      <c r="D903" s="180" t="s">
        <v>495</v>
      </c>
      <c r="E903" s="181">
        <v>44324.0</v>
      </c>
      <c r="F903" s="182" t="s">
        <v>496</v>
      </c>
      <c r="G903" s="170">
        <v>500.0</v>
      </c>
      <c r="H903" s="171">
        <v>25.0</v>
      </c>
      <c r="I903" s="171">
        <v>100.0</v>
      </c>
      <c r="J903" s="172">
        <f t="shared" si="57"/>
        <v>0.0004317674408</v>
      </c>
      <c r="K903" s="173">
        <f t="shared" si="58"/>
        <v>0.518120929</v>
      </c>
      <c r="L903" s="174">
        <f t="shared" si="9"/>
        <v>1.036241858</v>
      </c>
      <c r="M903" s="175" t="str">
        <f t="shared" si="10"/>
        <v>pprhsk</v>
      </c>
      <c r="N903" s="176">
        <f>IFERROR(__xludf.DUMMYFUNCTION("""COMPUTED_VALUE"""),2.0)</f>
        <v>2</v>
      </c>
      <c r="O903" s="176"/>
      <c r="P903" s="183" t="s">
        <v>221</v>
      </c>
      <c r="Q903" s="178" t="s">
        <v>10</v>
      </c>
      <c r="R903" s="176"/>
      <c r="S903" s="176"/>
      <c r="T903" s="176"/>
      <c r="U903" s="176"/>
      <c r="V903" s="176"/>
      <c r="W903" s="176"/>
      <c r="X903" s="176"/>
      <c r="Y903" s="176"/>
      <c r="Z903" s="176"/>
      <c r="AA903" s="176"/>
    </row>
    <row r="904">
      <c r="A904" s="165" t="str">
        <f>iferror(VLOOKUP(P904,'DO NOT TOUCH Imported'!$A$1:$D$800,4,False),iferror(VLOOKUP(P904,'DO NOT TOUCH Imported'!$C$1:$D$800,2,False),"OOPS FIX ME"))</f>
        <v>morgangr</v>
      </c>
      <c r="B904" s="178" t="s">
        <v>10</v>
      </c>
      <c r="C904" s="179" t="s">
        <v>498</v>
      </c>
      <c r="D904" s="180" t="s">
        <v>495</v>
      </c>
      <c r="E904" s="184">
        <v>44316.0</v>
      </c>
      <c r="F904" s="182" t="s">
        <v>499</v>
      </c>
      <c r="G904" s="170">
        <v>500.0</v>
      </c>
      <c r="H904" s="171">
        <v>25.0</v>
      </c>
      <c r="I904" s="171">
        <v>100.0</v>
      </c>
      <c r="J904" s="172">
        <f t="shared" si="57"/>
        <v>0.0004317674408</v>
      </c>
      <c r="K904" s="173">
        <f t="shared" si="58"/>
        <v>0.518120929</v>
      </c>
      <c r="L904" s="174">
        <f t="shared" si="9"/>
        <v>1.036241858</v>
      </c>
      <c r="M904" s="175" t="str">
        <f t="shared" si="10"/>
        <v>morgangr</v>
      </c>
      <c r="N904" s="176">
        <f>IFERROR(__xludf.DUMMYFUNCTION("""COMPUTED_VALUE"""),1.0)</f>
        <v>1</v>
      </c>
      <c r="O904" s="176"/>
      <c r="P904" s="183" t="s">
        <v>154</v>
      </c>
      <c r="Q904" s="178" t="s">
        <v>10</v>
      </c>
      <c r="R904" s="176"/>
      <c r="S904" s="176"/>
      <c r="T904" s="176"/>
      <c r="U904" s="176"/>
      <c r="V904" s="176"/>
      <c r="W904" s="176"/>
      <c r="X904" s="176"/>
      <c r="Y904" s="176"/>
      <c r="Z904" s="176"/>
      <c r="AA904" s="176"/>
    </row>
    <row r="905">
      <c r="A905" s="165" t="str">
        <f>iferror(VLOOKUP(P905,'DO NOT TOUCH Imported'!$A$1:$D$800,4,False),iferror(VLOOKUP(P905,'DO NOT TOUCH Imported'!$C$1:$D$800,2,False),"OOPS FIX ME"))</f>
        <v>morgangr</v>
      </c>
      <c r="B905" s="178" t="s">
        <v>10</v>
      </c>
      <c r="C905" s="179" t="s">
        <v>498</v>
      </c>
      <c r="D905" s="180" t="s">
        <v>495</v>
      </c>
      <c r="E905" s="181">
        <v>44323.0</v>
      </c>
      <c r="F905" s="182" t="s">
        <v>499</v>
      </c>
      <c r="G905" s="170">
        <v>500.0</v>
      </c>
      <c r="H905" s="171">
        <v>25.0</v>
      </c>
      <c r="I905" s="171">
        <v>100.0</v>
      </c>
      <c r="J905" s="172">
        <f t="shared" si="57"/>
        <v>0.0004317674408</v>
      </c>
      <c r="K905" s="173">
        <f t="shared" si="58"/>
        <v>0.518120929</v>
      </c>
      <c r="L905" s="174">
        <f t="shared" si="9"/>
        <v>1.036241858</v>
      </c>
      <c r="M905" s="175" t="str">
        <f t="shared" si="10"/>
        <v>morgangr</v>
      </c>
      <c r="N905" s="176">
        <f>IFERROR(__xludf.DUMMYFUNCTION("""COMPUTED_VALUE"""),2.0)</f>
        <v>2</v>
      </c>
      <c r="O905" s="176"/>
      <c r="P905" s="183" t="s">
        <v>154</v>
      </c>
      <c r="Q905" s="178" t="s">
        <v>10</v>
      </c>
      <c r="R905" s="176"/>
      <c r="S905" s="176"/>
      <c r="T905" s="176"/>
      <c r="U905" s="176"/>
      <c r="V905" s="176"/>
      <c r="W905" s="176"/>
      <c r="X905" s="176"/>
      <c r="Y905" s="176"/>
      <c r="Z905" s="176"/>
      <c r="AA905" s="176"/>
    </row>
    <row r="906">
      <c r="A906" s="165" t="str">
        <f>iferror(VLOOKUP(P906,'DO NOT TOUCH Imported'!$A$1:$D$800,4,False),iferror(VLOOKUP(P906,'DO NOT TOUCH Imported'!$C$1:$D$800,2,False),"OOPS FIX ME"))</f>
        <v>MisterBoyfriend</v>
      </c>
      <c r="B906" s="178" t="s">
        <v>10</v>
      </c>
      <c r="C906" s="179" t="s">
        <v>498</v>
      </c>
      <c r="D906" s="180" t="s">
        <v>495</v>
      </c>
      <c r="E906" s="184">
        <v>44316.0</v>
      </c>
      <c r="F906" s="182" t="s">
        <v>499</v>
      </c>
      <c r="G906" s="170">
        <v>500.0</v>
      </c>
      <c r="H906" s="171">
        <v>25.0</v>
      </c>
      <c r="I906" s="171">
        <v>100.0</v>
      </c>
      <c r="J906" s="172">
        <f t="shared" si="57"/>
        <v>0.0004317674408</v>
      </c>
      <c r="K906" s="173">
        <f t="shared" si="58"/>
        <v>0.518120929</v>
      </c>
      <c r="L906" s="174">
        <f t="shared" si="9"/>
        <v>1.036241858</v>
      </c>
      <c r="M906" s="175" t="str">
        <f t="shared" si="10"/>
        <v>MisterBoyfriend</v>
      </c>
      <c r="N906" s="176">
        <f>IFERROR(__xludf.DUMMYFUNCTION("""COMPUTED_VALUE"""),1.0)</f>
        <v>1</v>
      </c>
      <c r="O906" s="176"/>
      <c r="P906" s="183" t="s">
        <v>86</v>
      </c>
      <c r="Q906" s="178" t="s">
        <v>10</v>
      </c>
      <c r="R906" s="176"/>
      <c r="S906" s="176"/>
      <c r="T906" s="176"/>
      <c r="U906" s="176"/>
      <c r="V906" s="176"/>
      <c r="W906" s="176"/>
      <c r="X906" s="176"/>
      <c r="Y906" s="176"/>
      <c r="Z906" s="176"/>
      <c r="AA906" s="176"/>
    </row>
    <row r="907">
      <c r="A907" s="165" t="str">
        <f>iferror(VLOOKUP(P907,'DO NOT TOUCH Imported'!$A$1:$D$800,4,False),iferror(VLOOKUP(P907,'DO NOT TOUCH Imported'!$C$1:$D$800,2,False),"OOPS FIX ME"))</f>
        <v>MisterBoyfriend</v>
      </c>
      <c r="B907" s="178" t="s">
        <v>10</v>
      </c>
      <c r="C907" s="179" t="s">
        <v>498</v>
      </c>
      <c r="D907" s="180" t="s">
        <v>495</v>
      </c>
      <c r="E907" s="181">
        <v>44323.0</v>
      </c>
      <c r="F907" s="182" t="s">
        <v>499</v>
      </c>
      <c r="G907" s="170">
        <v>500.0</v>
      </c>
      <c r="H907" s="171">
        <v>25.0</v>
      </c>
      <c r="I907" s="171">
        <v>100.0</v>
      </c>
      <c r="J907" s="172">
        <f t="shared" si="57"/>
        <v>0.0004317674408</v>
      </c>
      <c r="K907" s="173">
        <f t="shared" si="58"/>
        <v>0.518120929</v>
      </c>
      <c r="L907" s="174">
        <f t="shared" si="9"/>
        <v>1.036241858</v>
      </c>
      <c r="M907" s="175" t="str">
        <f t="shared" si="10"/>
        <v>MisterBoyfriend</v>
      </c>
      <c r="N907" s="176">
        <f>IFERROR(__xludf.DUMMYFUNCTION("""COMPUTED_VALUE"""),2.0)</f>
        <v>2</v>
      </c>
      <c r="O907" s="176"/>
      <c r="P907" s="183" t="s">
        <v>86</v>
      </c>
      <c r="Q907" s="178" t="s">
        <v>10</v>
      </c>
      <c r="R907" s="176"/>
      <c r="S907" s="176"/>
      <c r="T907" s="176"/>
      <c r="U907" s="176"/>
      <c r="V907" s="176"/>
      <c r="W907" s="176"/>
      <c r="X907" s="176"/>
      <c r="Y907" s="176"/>
      <c r="Z907" s="176"/>
      <c r="AA907" s="176"/>
    </row>
    <row r="908">
      <c r="A908" s="165" t="str">
        <f>iferror(VLOOKUP(P908,'DO NOT TOUCH Imported'!$A$1:$D$800,4,False),iferror(VLOOKUP(P908,'DO NOT TOUCH Imported'!$C$1:$D$800,2,False),"OOPS FIX ME"))</f>
        <v>loie_giveth</v>
      </c>
      <c r="B908" s="178" t="s">
        <v>10</v>
      </c>
      <c r="C908" s="179" t="s">
        <v>498</v>
      </c>
      <c r="D908" s="180" t="s">
        <v>495</v>
      </c>
      <c r="E908" s="184">
        <v>44316.0</v>
      </c>
      <c r="F908" s="182" t="s">
        <v>499</v>
      </c>
      <c r="G908" s="170">
        <v>500.0</v>
      </c>
      <c r="H908" s="171">
        <v>25.0</v>
      </c>
      <c r="I908" s="171">
        <v>100.0</v>
      </c>
      <c r="J908" s="172">
        <f t="shared" si="57"/>
        <v>0.0004317674408</v>
      </c>
      <c r="K908" s="173">
        <f t="shared" si="58"/>
        <v>0.518120929</v>
      </c>
      <c r="L908" s="174">
        <f t="shared" si="9"/>
        <v>1.036241858</v>
      </c>
      <c r="M908" s="175" t="str">
        <f t="shared" si="10"/>
        <v>loie_giveth</v>
      </c>
      <c r="N908" s="176">
        <f>IFERROR(__xludf.DUMMYFUNCTION("""COMPUTED_VALUE"""),1.0)</f>
        <v>1</v>
      </c>
      <c r="O908" s="176"/>
      <c r="P908" s="183" t="s">
        <v>65</v>
      </c>
      <c r="Q908" s="178" t="s">
        <v>10</v>
      </c>
      <c r="R908" s="176"/>
      <c r="S908" s="176"/>
      <c r="T908" s="176"/>
      <c r="U908" s="176"/>
      <c r="V908" s="176"/>
      <c r="W908" s="176"/>
      <c r="X908" s="176"/>
      <c r="Y908" s="176"/>
      <c r="Z908" s="176"/>
      <c r="AA908" s="176"/>
    </row>
    <row r="909">
      <c r="A909" s="165" t="str">
        <f>iferror(VLOOKUP(P909,'DO NOT TOUCH Imported'!$A$1:$D$800,4,False),iferror(VLOOKUP(P909,'DO NOT TOUCH Imported'!$C$1:$D$800,2,False),"OOPS FIX ME"))</f>
        <v>loie_giveth</v>
      </c>
      <c r="B909" s="178" t="s">
        <v>10</v>
      </c>
      <c r="C909" s="179" t="s">
        <v>500</v>
      </c>
      <c r="D909" s="180" t="s">
        <v>495</v>
      </c>
      <c r="E909" s="184">
        <v>44316.0</v>
      </c>
      <c r="F909" s="182" t="s">
        <v>496</v>
      </c>
      <c r="G909" s="170">
        <v>500.0</v>
      </c>
      <c r="H909" s="171">
        <v>25.0</v>
      </c>
      <c r="I909" s="171">
        <v>100.0</v>
      </c>
      <c r="J909" s="172">
        <f t="shared" si="57"/>
        <v>0.0004317674408</v>
      </c>
      <c r="K909" s="173">
        <f t="shared" si="58"/>
        <v>0.518120929</v>
      </c>
      <c r="L909" s="174">
        <f t="shared" si="9"/>
        <v>1.036241858</v>
      </c>
      <c r="M909" s="175" t="str">
        <f t="shared" si="10"/>
        <v>loie_giveth</v>
      </c>
      <c r="N909" s="176">
        <f>IFERROR(__xludf.DUMMYFUNCTION("""COMPUTED_VALUE"""),2.0)</f>
        <v>2</v>
      </c>
      <c r="O909" s="176"/>
      <c r="P909" s="183" t="s">
        <v>65</v>
      </c>
      <c r="Q909" s="178" t="s">
        <v>10</v>
      </c>
      <c r="R909" s="176"/>
      <c r="S909" s="176"/>
      <c r="T909" s="176"/>
      <c r="U909" s="176"/>
      <c r="V909" s="176"/>
      <c r="W909" s="176"/>
      <c r="X909" s="176"/>
      <c r="Y909" s="176"/>
      <c r="Z909" s="176"/>
      <c r="AA909" s="176"/>
    </row>
    <row r="910">
      <c r="A910" s="165" t="str">
        <f>iferror(VLOOKUP(P910,'DO NOT TOUCH Imported'!$A$1:$D$800,4,False),iferror(VLOOKUP(P910,'DO NOT TOUCH Imported'!$C$1:$D$800,2,False),"OOPS FIX ME"))</f>
        <v>kentphilly</v>
      </c>
      <c r="B910" s="178" t="s">
        <v>10</v>
      </c>
      <c r="C910" s="179" t="s">
        <v>498</v>
      </c>
      <c r="D910" s="180" t="s">
        <v>495</v>
      </c>
      <c r="E910" s="181">
        <v>44323.0</v>
      </c>
      <c r="F910" s="182" t="s">
        <v>499</v>
      </c>
      <c r="G910" s="170">
        <v>500.0</v>
      </c>
      <c r="H910" s="171">
        <v>25.0</v>
      </c>
      <c r="I910" s="171">
        <v>100.0</v>
      </c>
      <c r="J910" s="172">
        <f t="shared" si="57"/>
        <v>0.0004317674408</v>
      </c>
      <c r="K910" s="173">
        <f t="shared" si="58"/>
        <v>0.518120929</v>
      </c>
      <c r="L910" s="174">
        <f t="shared" si="9"/>
        <v>1.036241858</v>
      </c>
      <c r="M910" s="175" t="str">
        <f t="shared" si="10"/>
        <v>kentphilly</v>
      </c>
      <c r="N910" s="176">
        <f>IFERROR(__xludf.DUMMYFUNCTION("""COMPUTED_VALUE"""),1.0)</f>
        <v>1</v>
      </c>
      <c r="O910" s="176"/>
      <c r="P910" s="183" t="s">
        <v>291</v>
      </c>
      <c r="Q910" s="178" t="s">
        <v>10</v>
      </c>
      <c r="R910" s="176"/>
      <c r="S910" s="176"/>
      <c r="T910" s="176"/>
      <c r="U910" s="176"/>
      <c r="V910" s="176"/>
      <c r="W910" s="176"/>
      <c r="X910" s="176"/>
      <c r="Y910" s="176"/>
      <c r="Z910" s="176"/>
      <c r="AA910" s="176"/>
    </row>
    <row r="911">
      <c r="A911" s="165" t="str">
        <f>iferror(VLOOKUP(P911,'DO NOT TOUCH Imported'!$A$1:$D$800,4,False),iferror(VLOOKUP(P911,'DO NOT TOUCH Imported'!$C$1:$D$800,2,False),"OOPS FIX ME"))</f>
        <v>kentphilly</v>
      </c>
      <c r="B911" s="178" t="s">
        <v>10</v>
      </c>
      <c r="C911" s="179" t="s">
        <v>500</v>
      </c>
      <c r="D911" s="180" t="s">
        <v>495</v>
      </c>
      <c r="E911" s="181">
        <v>44324.0</v>
      </c>
      <c r="F911" s="182" t="s">
        <v>496</v>
      </c>
      <c r="G911" s="170">
        <v>500.0</v>
      </c>
      <c r="H911" s="171">
        <v>25.0</v>
      </c>
      <c r="I911" s="171">
        <v>100.0</v>
      </c>
      <c r="J911" s="172">
        <f t="shared" si="57"/>
        <v>0.0004317674408</v>
      </c>
      <c r="K911" s="173">
        <f t="shared" si="58"/>
        <v>0.518120929</v>
      </c>
      <c r="L911" s="174">
        <f t="shared" si="9"/>
        <v>1.036241858</v>
      </c>
      <c r="M911" s="175" t="str">
        <f t="shared" si="10"/>
        <v>kentphilly</v>
      </c>
      <c r="N911" s="176">
        <f>IFERROR(__xludf.DUMMYFUNCTION("""COMPUTED_VALUE"""),2.0)</f>
        <v>2</v>
      </c>
      <c r="O911" s="176"/>
      <c r="P911" s="183" t="s">
        <v>291</v>
      </c>
      <c r="Q911" s="178" t="s">
        <v>10</v>
      </c>
      <c r="R911" s="176"/>
      <c r="S911" s="176"/>
      <c r="T911" s="176"/>
      <c r="U911" s="176"/>
      <c r="V911" s="176"/>
      <c r="W911" s="176"/>
      <c r="X911" s="176"/>
      <c r="Y911" s="176"/>
      <c r="Z911" s="176"/>
      <c r="AA911" s="176"/>
    </row>
    <row r="912">
      <c r="A912" s="165" t="str">
        <f>iferror(VLOOKUP(P912,'DO NOT TOUCH Imported'!$A$1:$D$800,4,False),iferror(VLOOKUP(P912,'DO NOT TOUCH Imported'!$C$1:$D$800,2,False),"OOPS FIX ME"))</f>
        <v>hanna_nevermind</v>
      </c>
      <c r="B912" s="166" t="s">
        <v>441</v>
      </c>
      <c r="C912" s="167" t="s">
        <v>574</v>
      </c>
      <c r="D912" s="168" t="s">
        <v>499</v>
      </c>
      <c r="E912" s="169" t="s">
        <v>438</v>
      </c>
      <c r="F912" s="168" t="s">
        <v>571</v>
      </c>
      <c r="G912" s="170">
        <v>500.0</v>
      </c>
      <c r="H912" s="171">
        <v>25.0</v>
      </c>
      <c r="I912" s="171">
        <v>100.0</v>
      </c>
      <c r="J912" s="172">
        <f t="shared" si="57"/>
        <v>0.0004317674408</v>
      </c>
      <c r="K912" s="173">
        <f t="shared" si="58"/>
        <v>0.518120929</v>
      </c>
      <c r="L912" s="174">
        <f t="shared" si="9"/>
        <v>1.036241858</v>
      </c>
      <c r="M912" s="175" t="str">
        <f t="shared" si="10"/>
        <v>hanna_nevermind</v>
      </c>
      <c r="N912" s="176">
        <f>IFERROR(__xludf.DUMMYFUNCTION("""COMPUTED_VALUE"""),1.0)</f>
        <v>1</v>
      </c>
      <c r="O912" s="176"/>
      <c r="P912" s="166" t="s">
        <v>852</v>
      </c>
      <c r="Q912" s="166" t="s">
        <v>441</v>
      </c>
      <c r="R912" s="176"/>
      <c r="S912" s="176"/>
      <c r="T912" s="176"/>
      <c r="U912" s="176"/>
      <c r="V912" s="176"/>
      <c r="W912" s="176"/>
      <c r="X912" s="176"/>
      <c r="Y912" s="176"/>
      <c r="Z912" s="176"/>
      <c r="AA912" s="176"/>
    </row>
    <row r="913">
      <c r="A913" s="165" t="str">
        <f>iferror(VLOOKUP(P913,'DO NOT TOUCH Imported'!$A$1:$D$800,4,False),iferror(VLOOKUP(P913,'DO NOT TOUCH Imported'!$C$1:$D$800,2,False),"OOPS FIX ME"))</f>
        <v>hanna_nevermind</v>
      </c>
      <c r="B913" s="166" t="s">
        <v>441</v>
      </c>
      <c r="C913" s="167" t="s">
        <v>572</v>
      </c>
      <c r="D913" s="168" t="s">
        <v>499</v>
      </c>
      <c r="E913" s="177" t="s">
        <v>438</v>
      </c>
      <c r="F913" s="168" t="s">
        <v>503</v>
      </c>
      <c r="G913" s="170">
        <v>500.0</v>
      </c>
      <c r="H913" s="171">
        <v>25.0</v>
      </c>
      <c r="I913" s="171">
        <v>100.0</v>
      </c>
      <c r="J913" s="172">
        <f t="shared" si="57"/>
        <v>0.0004317674408</v>
      </c>
      <c r="K913" s="173">
        <f t="shared" si="58"/>
        <v>0.518120929</v>
      </c>
      <c r="L913" s="174">
        <f t="shared" si="9"/>
        <v>1.036241858</v>
      </c>
      <c r="M913" s="175" t="str">
        <f t="shared" si="10"/>
        <v>hanna_nevermind</v>
      </c>
      <c r="N913" s="176">
        <f>IFERROR(__xludf.DUMMYFUNCTION("""COMPUTED_VALUE"""),2.0)</f>
        <v>2</v>
      </c>
      <c r="O913" s="176"/>
      <c r="P913" s="166" t="s">
        <v>852</v>
      </c>
      <c r="Q913" s="166" t="s">
        <v>441</v>
      </c>
      <c r="R913" s="176"/>
      <c r="S913" s="176"/>
      <c r="T913" s="176"/>
      <c r="U913" s="176"/>
      <c r="V913" s="176"/>
      <c r="W913" s="176"/>
      <c r="X913" s="176"/>
      <c r="Y913" s="176"/>
      <c r="Z913" s="176"/>
      <c r="AA913" s="176"/>
    </row>
    <row r="914">
      <c r="A914" s="165" t="str">
        <f>iferror(VLOOKUP(P914,'DO NOT TOUCH Imported'!$A$1:$D$800,4,False),iferror(VLOOKUP(P914,'DO NOT TOUCH Imported'!$C$1:$D$800,2,False),"OOPS FIX ME"))</f>
        <v>existenialstoic</v>
      </c>
      <c r="B914" s="178" t="s">
        <v>10</v>
      </c>
      <c r="C914" s="179" t="s">
        <v>498</v>
      </c>
      <c r="D914" s="180" t="s">
        <v>495</v>
      </c>
      <c r="E914" s="184">
        <v>44316.0</v>
      </c>
      <c r="F914" s="182" t="s">
        <v>499</v>
      </c>
      <c r="G914" s="170">
        <v>500.0</v>
      </c>
      <c r="H914" s="171">
        <v>25.0</v>
      </c>
      <c r="I914" s="171">
        <v>100.0</v>
      </c>
      <c r="J914" s="172">
        <f t="shared" si="57"/>
        <v>0.0004317674408</v>
      </c>
      <c r="K914" s="173">
        <f t="shared" si="58"/>
        <v>0.518120929</v>
      </c>
      <c r="L914" s="174">
        <f t="shared" si="9"/>
        <v>1.036241858</v>
      </c>
      <c r="M914" s="175" t="str">
        <f t="shared" si="10"/>
        <v>existenialstoic</v>
      </c>
      <c r="N914" s="176">
        <f>IFERROR(__xludf.DUMMYFUNCTION("""COMPUTED_VALUE"""),1.0)</f>
        <v>1</v>
      </c>
      <c r="O914" s="176"/>
      <c r="P914" s="183" t="s">
        <v>114</v>
      </c>
      <c r="Q914" s="178" t="s">
        <v>10</v>
      </c>
      <c r="R914" s="176"/>
      <c r="S914" s="176"/>
      <c r="T914" s="176"/>
      <c r="U914" s="176"/>
      <c r="V914" s="176"/>
      <c r="W914" s="176"/>
      <c r="X914" s="176"/>
      <c r="Y914" s="176"/>
      <c r="Z914" s="176"/>
      <c r="AA914" s="176"/>
    </row>
    <row r="915">
      <c r="A915" s="165" t="str">
        <f>iferror(VLOOKUP(P915,'DO NOT TOUCH Imported'!$A$1:$D$800,4,False),iferror(VLOOKUP(P915,'DO NOT TOUCH Imported'!$C$1:$D$800,2,False),"OOPS FIX ME"))</f>
        <v>existenialstoic</v>
      </c>
      <c r="B915" s="178" t="s">
        <v>10</v>
      </c>
      <c r="C915" s="179" t="s">
        <v>498</v>
      </c>
      <c r="D915" s="180" t="s">
        <v>495</v>
      </c>
      <c r="E915" s="181">
        <v>44323.0</v>
      </c>
      <c r="F915" s="182" t="s">
        <v>499</v>
      </c>
      <c r="G915" s="170">
        <v>500.0</v>
      </c>
      <c r="H915" s="171">
        <v>25.0</v>
      </c>
      <c r="I915" s="171">
        <v>100.0</v>
      </c>
      <c r="J915" s="172">
        <f t="shared" si="57"/>
        <v>0.0004317674408</v>
      </c>
      <c r="K915" s="173">
        <f t="shared" si="58"/>
        <v>0.518120929</v>
      </c>
      <c r="L915" s="174">
        <f t="shared" si="9"/>
        <v>1.036241858</v>
      </c>
      <c r="M915" s="175" t="str">
        <f t="shared" si="10"/>
        <v>existenialstoic</v>
      </c>
      <c r="N915" s="176">
        <f>IFERROR(__xludf.DUMMYFUNCTION("""COMPUTED_VALUE"""),2.0)</f>
        <v>2</v>
      </c>
      <c r="O915" s="176"/>
      <c r="P915" s="183" t="s">
        <v>114</v>
      </c>
      <c r="Q915" s="178" t="s">
        <v>10</v>
      </c>
      <c r="R915" s="176"/>
      <c r="S915" s="176"/>
      <c r="T915" s="176"/>
      <c r="U915" s="176"/>
      <c r="V915" s="176"/>
      <c r="W915" s="176"/>
      <c r="X915" s="176"/>
      <c r="Y915" s="176"/>
      <c r="Z915" s="176"/>
      <c r="AA915" s="176"/>
    </row>
    <row r="916">
      <c r="A916" s="165" t="str">
        <f>iferror(VLOOKUP(P916,'DO NOT TOUCH Imported'!$A$1:$D$800,4,False),iferror(VLOOKUP(P916,'DO NOT TOUCH Imported'!$C$1:$D$800,2,False),"OOPS FIX ME"))</f>
        <v>dunks411 | Adept Camp#2178</v>
      </c>
      <c r="B916" s="166" t="s">
        <v>441</v>
      </c>
      <c r="C916" s="167" t="s">
        <v>574</v>
      </c>
      <c r="D916" s="168" t="s">
        <v>499</v>
      </c>
      <c r="E916" s="169" t="s">
        <v>438</v>
      </c>
      <c r="F916" s="168" t="s">
        <v>571</v>
      </c>
      <c r="G916" s="170">
        <v>500.0</v>
      </c>
      <c r="H916" s="171">
        <v>25.0</v>
      </c>
      <c r="I916" s="171">
        <v>100.0</v>
      </c>
      <c r="J916" s="172">
        <f t="shared" si="57"/>
        <v>0.0004317674408</v>
      </c>
      <c r="K916" s="173">
        <f t="shared" si="58"/>
        <v>0.518120929</v>
      </c>
      <c r="L916" s="174">
        <f t="shared" si="9"/>
        <v>1.036241858</v>
      </c>
      <c r="M916" s="175" t="str">
        <f t="shared" si="10"/>
        <v>dunks411 | Adept Camp#2178</v>
      </c>
      <c r="N916" s="176">
        <f>IFERROR(__xludf.DUMMYFUNCTION("""COMPUTED_VALUE"""),1.0)</f>
        <v>1</v>
      </c>
      <c r="O916" s="176"/>
      <c r="P916" s="166" t="s">
        <v>292</v>
      </c>
      <c r="Q916" s="166" t="s">
        <v>441</v>
      </c>
      <c r="R916" s="176"/>
      <c r="S916" s="176"/>
      <c r="T916" s="176"/>
      <c r="U916" s="176"/>
      <c r="V916" s="176"/>
      <c r="W916" s="176"/>
      <c r="X916" s="176"/>
      <c r="Y916" s="176"/>
      <c r="Z916" s="176"/>
      <c r="AA916" s="176"/>
    </row>
    <row r="917">
      <c r="A917" s="165" t="str">
        <f>iferror(VLOOKUP(P917,'DO NOT TOUCH Imported'!$A$1:$D$800,4,False),iferror(VLOOKUP(P917,'DO NOT TOUCH Imported'!$C$1:$D$800,2,False),"OOPS FIX ME"))</f>
        <v>dunks411 | Adept Camp#2178</v>
      </c>
      <c r="B917" s="166" t="s">
        <v>441</v>
      </c>
      <c r="C917" s="167" t="s">
        <v>572</v>
      </c>
      <c r="D917" s="168" t="s">
        <v>499</v>
      </c>
      <c r="E917" s="177" t="s">
        <v>438</v>
      </c>
      <c r="F917" s="168" t="s">
        <v>503</v>
      </c>
      <c r="G917" s="170">
        <v>500.0</v>
      </c>
      <c r="H917" s="171">
        <v>25.0</v>
      </c>
      <c r="I917" s="171">
        <v>100.0</v>
      </c>
      <c r="J917" s="172">
        <f t="shared" si="57"/>
        <v>0.0004317674408</v>
      </c>
      <c r="K917" s="173">
        <f t="shared" si="58"/>
        <v>0.518120929</v>
      </c>
      <c r="L917" s="174">
        <f t="shared" si="9"/>
        <v>1.036241858</v>
      </c>
      <c r="M917" s="175" t="str">
        <f t="shared" si="10"/>
        <v>dunks411 | Adept Camp#2178</v>
      </c>
      <c r="N917" s="176">
        <f>IFERROR(__xludf.DUMMYFUNCTION("""COMPUTED_VALUE"""),2.0)</f>
        <v>2</v>
      </c>
      <c r="O917" s="176"/>
      <c r="P917" s="166" t="s">
        <v>292</v>
      </c>
      <c r="Q917" s="166" t="s">
        <v>441</v>
      </c>
      <c r="R917" s="176"/>
      <c r="S917" s="176"/>
      <c r="T917" s="176"/>
      <c r="U917" s="176"/>
      <c r="V917" s="176"/>
      <c r="W917" s="176"/>
      <c r="X917" s="176"/>
      <c r="Y917" s="176"/>
      <c r="Z917" s="176"/>
      <c r="AA917" s="176"/>
    </row>
    <row r="918">
      <c r="A918" s="165" t="str">
        <f>iferror(VLOOKUP(P918,'DO NOT TOUCH Imported'!$A$1:$D$800,4,False),iferror(VLOOKUP(P918,'DO NOT TOUCH Imported'!$C$1:$D$800,2,False),"OOPS FIX ME"))</f>
        <v>CaseyR#2795</v>
      </c>
      <c r="B918" s="166" t="s">
        <v>441</v>
      </c>
      <c r="C918" s="167" t="s">
        <v>574</v>
      </c>
      <c r="D918" s="168" t="s">
        <v>499</v>
      </c>
      <c r="E918" s="169" t="s">
        <v>438</v>
      </c>
      <c r="F918" s="168" t="s">
        <v>571</v>
      </c>
      <c r="G918" s="170">
        <v>500.0</v>
      </c>
      <c r="H918" s="171">
        <v>25.0</v>
      </c>
      <c r="I918" s="171">
        <v>100.0</v>
      </c>
      <c r="J918" s="172">
        <f t="shared" si="57"/>
        <v>0.0004317674408</v>
      </c>
      <c r="K918" s="173">
        <f t="shared" si="58"/>
        <v>0.518120929</v>
      </c>
      <c r="L918" s="174">
        <f t="shared" si="9"/>
        <v>1.036241858</v>
      </c>
      <c r="M918" s="175" t="str">
        <f t="shared" si="10"/>
        <v>CaseyR#2795</v>
      </c>
      <c r="N918" s="176">
        <f>IFERROR(__xludf.DUMMYFUNCTION("""COMPUTED_VALUE"""),1.0)</f>
        <v>1</v>
      </c>
      <c r="O918" s="176"/>
      <c r="P918" s="166" t="s">
        <v>293</v>
      </c>
      <c r="Q918" s="166" t="s">
        <v>441</v>
      </c>
      <c r="R918" s="176"/>
      <c r="S918" s="176"/>
      <c r="T918" s="176"/>
      <c r="U918" s="176"/>
      <c r="V918" s="176"/>
      <c r="W918" s="176"/>
      <c r="X918" s="176"/>
      <c r="Y918" s="176"/>
      <c r="Z918" s="176"/>
      <c r="AA918" s="176"/>
    </row>
    <row r="919">
      <c r="A919" s="165" t="str">
        <f>iferror(VLOOKUP(P919,'DO NOT TOUCH Imported'!$A$1:$D$800,4,False),iferror(VLOOKUP(P919,'DO NOT TOUCH Imported'!$C$1:$D$800,2,False),"OOPS FIX ME"))</f>
        <v>CaseyR#2795</v>
      </c>
      <c r="B919" s="166" t="s">
        <v>441</v>
      </c>
      <c r="C919" s="167" t="s">
        <v>572</v>
      </c>
      <c r="D919" s="168" t="s">
        <v>499</v>
      </c>
      <c r="E919" s="169" t="s">
        <v>438</v>
      </c>
      <c r="F919" s="168" t="s">
        <v>503</v>
      </c>
      <c r="G919" s="170">
        <v>500.0</v>
      </c>
      <c r="H919" s="171">
        <v>25.0</v>
      </c>
      <c r="I919" s="171">
        <v>100.0</v>
      </c>
      <c r="J919" s="172">
        <f t="shared" si="57"/>
        <v>0.0004317674408</v>
      </c>
      <c r="K919" s="173">
        <f t="shared" si="58"/>
        <v>0.518120929</v>
      </c>
      <c r="L919" s="174">
        <f t="shared" si="9"/>
        <v>1.036241858</v>
      </c>
      <c r="M919" s="175" t="str">
        <f t="shared" si="10"/>
        <v>CaseyR#2795</v>
      </c>
      <c r="N919" s="176">
        <f>IFERROR(__xludf.DUMMYFUNCTION("""COMPUTED_VALUE"""),2.0)</f>
        <v>2</v>
      </c>
      <c r="O919" s="176"/>
      <c r="P919" s="166" t="s">
        <v>293</v>
      </c>
      <c r="Q919" s="166" t="s">
        <v>441</v>
      </c>
      <c r="R919" s="176"/>
      <c r="S919" s="176"/>
      <c r="T919" s="176"/>
      <c r="U919" s="176"/>
      <c r="V919" s="176"/>
      <c r="W919" s="176"/>
      <c r="X919" s="176"/>
      <c r="Y919" s="176"/>
      <c r="Z919" s="176"/>
      <c r="AA919" s="176"/>
    </row>
    <row r="920">
      <c r="A920" s="165" t="str">
        <f>iferror(VLOOKUP(P920,'DO NOT TOUCH Imported'!$A$1:$D$800,4,False),iferror(VLOOKUP(P920,'DO NOT TOUCH Imported'!$C$1:$D$800,2,False),"OOPS FIX ME"))</f>
        <v>Andfletcher</v>
      </c>
      <c r="B920" s="178" t="s">
        <v>10</v>
      </c>
      <c r="C920" s="179" t="s">
        <v>498</v>
      </c>
      <c r="D920" s="180" t="s">
        <v>495</v>
      </c>
      <c r="E920" s="184">
        <v>44316.0</v>
      </c>
      <c r="F920" s="182" t="s">
        <v>499</v>
      </c>
      <c r="G920" s="170">
        <v>500.0</v>
      </c>
      <c r="H920" s="171">
        <v>25.0</v>
      </c>
      <c r="I920" s="171">
        <v>100.0</v>
      </c>
      <c r="J920" s="172">
        <f t="shared" si="57"/>
        <v>0.0004317674408</v>
      </c>
      <c r="K920" s="173">
        <f t="shared" si="58"/>
        <v>0.518120929</v>
      </c>
      <c r="L920" s="174">
        <f t="shared" si="9"/>
        <v>1.036241858</v>
      </c>
      <c r="M920" s="175" t="str">
        <f t="shared" si="10"/>
        <v>Andfletcher</v>
      </c>
      <c r="N920" s="176">
        <f>IFERROR(__xludf.DUMMYFUNCTION("""COMPUTED_VALUE"""),1.0)</f>
        <v>1</v>
      </c>
      <c r="O920" s="176"/>
      <c r="P920" s="183" t="s">
        <v>148</v>
      </c>
      <c r="Q920" s="178" t="s">
        <v>10</v>
      </c>
      <c r="R920" s="176"/>
      <c r="S920" s="176"/>
      <c r="T920" s="176"/>
      <c r="U920" s="176"/>
      <c r="V920" s="176"/>
      <c r="W920" s="176"/>
      <c r="X920" s="176"/>
      <c r="Y920" s="176"/>
      <c r="Z920" s="176"/>
      <c r="AA920" s="176"/>
    </row>
    <row r="921">
      <c r="A921" s="165" t="str">
        <f>iferror(VLOOKUP(P921,'DO NOT TOUCH Imported'!$A$1:$D$800,4,False),iferror(VLOOKUP(P921,'DO NOT TOUCH Imported'!$C$1:$D$800,2,False),"OOPS FIX ME"))</f>
        <v>Andfletcher</v>
      </c>
      <c r="B921" s="178" t="s">
        <v>10</v>
      </c>
      <c r="C921" s="179" t="s">
        <v>498</v>
      </c>
      <c r="D921" s="180" t="s">
        <v>495</v>
      </c>
      <c r="E921" s="181">
        <v>44323.0</v>
      </c>
      <c r="F921" s="182" t="s">
        <v>499</v>
      </c>
      <c r="G921" s="170">
        <v>500.0</v>
      </c>
      <c r="H921" s="171">
        <v>25.0</v>
      </c>
      <c r="I921" s="171">
        <v>100.0</v>
      </c>
      <c r="J921" s="172">
        <f t="shared" si="57"/>
        <v>0.0004317674408</v>
      </c>
      <c r="K921" s="173">
        <f t="shared" si="58"/>
        <v>0.518120929</v>
      </c>
      <c r="L921" s="174">
        <f t="shared" si="9"/>
        <v>1.036241858</v>
      </c>
      <c r="M921" s="175" t="str">
        <f t="shared" si="10"/>
        <v>Andfletcher</v>
      </c>
      <c r="N921" s="176">
        <f>IFERROR(__xludf.DUMMYFUNCTION("""COMPUTED_VALUE"""),2.0)</f>
        <v>2</v>
      </c>
      <c r="O921" s="176"/>
      <c r="P921" s="183" t="s">
        <v>148</v>
      </c>
      <c r="Q921" s="178" t="s">
        <v>10</v>
      </c>
      <c r="R921" s="176"/>
      <c r="S921" s="176"/>
      <c r="T921" s="176"/>
      <c r="U921" s="176"/>
      <c r="V921" s="176"/>
      <c r="W921" s="176"/>
      <c r="X921" s="176"/>
      <c r="Y921" s="176"/>
      <c r="Z921" s="176"/>
      <c r="AA921" s="176"/>
    </row>
    <row r="922">
      <c r="A922" s="165" t="str">
        <f>iferror(VLOOKUP(P922,'DO NOT TOUCH Imported'!$A$1:$D$800,4,False),iferror(VLOOKUP(P922,'DO NOT TOUCH Imported'!$C$1:$D$800,2,False),"OOPS FIX ME"))</f>
        <v>adnfx2#9648</v>
      </c>
      <c r="B922" s="166" t="s">
        <v>441</v>
      </c>
      <c r="C922" s="167" t="s">
        <v>574</v>
      </c>
      <c r="D922" s="168" t="s">
        <v>499</v>
      </c>
      <c r="E922" s="169" t="s">
        <v>438</v>
      </c>
      <c r="F922" s="168" t="s">
        <v>571</v>
      </c>
      <c r="G922" s="170">
        <v>500.0</v>
      </c>
      <c r="H922" s="171">
        <v>25.0</v>
      </c>
      <c r="I922" s="171">
        <v>100.0</v>
      </c>
      <c r="J922" s="172">
        <f t="shared" si="57"/>
        <v>0.0004317674408</v>
      </c>
      <c r="K922" s="173">
        <f t="shared" si="58"/>
        <v>0.518120929</v>
      </c>
      <c r="L922" s="174">
        <f t="shared" si="9"/>
        <v>1.036241858</v>
      </c>
      <c r="M922" s="175" t="str">
        <f t="shared" si="10"/>
        <v>adnfx2#9648</v>
      </c>
      <c r="N922" s="176">
        <f>IFERROR(__xludf.DUMMYFUNCTION("""COMPUTED_VALUE"""),1.0)</f>
        <v>1</v>
      </c>
      <c r="O922" s="176"/>
      <c r="P922" s="166" t="s">
        <v>240</v>
      </c>
      <c r="Q922" s="166" t="s">
        <v>441</v>
      </c>
      <c r="R922" s="176"/>
      <c r="S922" s="176"/>
      <c r="T922" s="176"/>
      <c r="U922" s="176"/>
      <c r="V922" s="176"/>
      <c r="W922" s="176"/>
      <c r="X922" s="176"/>
      <c r="Y922" s="176"/>
      <c r="Z922" s="176"/>
      <c r="AA922" s="176"/>
    </row>
    <row r="923">
      <c r="A923" s="165" t="str">
        <f>iferror(VLOOKUP(P923,'DO NOT TOUCH Imported'!$A$1:$D$800,4,False),iferror(VLOOKUP(P923,'DO NOT TOUCH Imported'!$C$1:$D$800,2,False),"OOPS FIX ME"))</f>
        <v>adnfx2#9648</v>
      </c>
      <c r="B923" s="166" t="s">
        <v>441</v>
      </c>
      <c r="C923" s="167" t="s">
        <v>572</v>
      </c>
      <c r="D923" s="168" t="s">
        <v>499</v>
      </c>
      <c r="E923" s="169" t="s">
        <v>438</v>
      </c>
      <c r="F923" s="168" t="s">
        <v>503</v>
      </c>
      <c r="G923" s="170">
        <v>500.0</v>
      </c>
      <c r="H923" s="171">
        <v>25.0</v>
      </c>
      <c r="I923" s="171">
        <v>100.0</v>
      </c>
      <c r="J923" s="172">
        <f t="shared" si="57"/>
        <v>0.0004317674408</v>
      </c>
      <c r="K923" s="173">
        <f t="shared" si="58"/>
        <v>0.518120929</v>
      </c>
      <c r="L923" s="174">
        <f t="shared" si="9"/>
        <v>1.036241858</v>
      </c>
      <c r="M923" s="175" t="str">
        <f t="shared" si="10"/>
        <v>adnfx2#9648</v>
      </c>
      <c r="N923" s="176">
        <f>IFERROR(__xludf.DUMMYFUNCTION("""COMPUTED_VALUE"""),2.0)</f>
        <v>2</v>
      </c>
      <c r="O923" s="176"/>
      <c r="P923" s="166" t="s">
        <v>240</v>
      </c>
      <c r="Q923" s="166" t="s">
        <v>441</v>
      </c>
      <c r="R923" s="176"/>
      <c r="S923" s="176"/>
      <c r="T923" s="176"/>
      <c r="U923" s="176"/>
      <c r="V923" s="176"/>
      <c r="W923" s="176"/>
      <c r="X923" s="176"/>
      <c r="Y923" s="176"/>
      <c r="Z923" s="176"/>
      <c r="AA923" s="176"/>
    </row>
    <row r="924">
      <c r="A924" s="165" t="str">
        <f>iferror(VLOOKUP(P924,'DO NOT TOUCH Imported'!$A$1:$D$800,4,False),iferror(VLOOKUP(P924,'DO NOT TOUCH Imported'!$C$1:$D$800,2,False),"OOPS FIX ME"))</f>
        <v>maxsong123</v>
      </c>
      <c r="B924" s="178" t="s">
        <v>845</v>
      </c>
      <c r="C924" s="179" t="s">
        <v>853</v>
      </c>
      <c r="D924" s="180" t="s">
        <v>495</v>
      </c>
      <c r="E924" s="181">
        <v>44319.0</v>
      </c>
      <c r="F924" s="182" t="s">
        <v>499</v>
      </c>
      <c r="G924" s="170">
        <v>1500.0</v>
      </c>
      <c r="H924" s="171">
        <v>100.0</v>
      </c>
      <c r="I924" s="171">
        <v>100.0</v>
      </c>
      <c r="J924" s="172">
        <f t="shared" si="57"/>
        <v>0.0007755916724</v>
      </c>
      <c r="K924" s="173">
        <f t="shared" si="58"/>
        <v>0.9307100069</v>
      </c>
      <c r="L924" s="174">
        <f t="shared" si="9"/>
        <v>0.9307100069</v>
      </c>
      <c r="M924" s="175" t="str">
        <f t="shared" si="10"/>
        <v>maxsong123</v>
      </c>
      <c r="N924" s="176">
        <f>IFERROR(__xludf.DUMMYFUNCTION("""COMPUTED_VALUE"""),1.0)</f>
        <v>1</v>
      </c>
      <c r="O924" s="176"/>
      <c r="P924" s="183" t="s">
        <v>163</v>
      </c>
      <c r="Q924" s="178" t="s">
        <v>845</v>
      </c>
      <c r="R924" s="176"/>
      <c r="S924" s="176"/>
      <c r="T924" s="176"/>
      <c r="U924" s="176"/>
      <c r="V924" s="176"/>
      <c r="W924" s="176"/>
      <c r="X924" s="176"/>
      <c r="Y924" s="176"/>
      <c r="Z924" s="176"/>
      <c r="AA924" s="176"/>
    </row>
    <row r="925">
      <c r="A925" s="165" t="str">
        <f>iferror(VLOOKUP(P925,'DO NOT TOUCH Imported'!$A$1:$D$800,4,False),iferror(VLOOKUP(P925,'DO NOT TOUCH Imported'!$C$1:$D$800,2,False),"OOPS FIX ME"))</f>
        <v>jantinine</v>
      </c>
      <c r="B925" s="178" t="s">
        <v>845</v>
      </c>
      <c r="C925" s="179" t="s">
        <v>854</v>
      </c>
      <c r="D925" s="180" t="s">
        <v>495</v>
      </c>
      <c r="E925" s="181">
        <v>44319.0</v>
      </c>
      <c r="F925" s="182" t="s">
        <v>499</v>
      </c>
      <c r="G925" s="170">
        <v>1500.0</v>
      </c>
      <c r="H925" s="171">
        <v>100.0</v>
      </c>
      <c r="I925" s="171">
        <v>100.0</v>
      </c>
      <c r="J925" s="172">
        <f t="shared" si="57"/>
        <v>0.0007755916724</v>
      </c>
      <c r="K925" s="173">
        <f t="shared" si="58"/>
        <v>0.9307100069</v>
      </c>
      <c r="L925" s="174">
        <f t="shared" si="9"/>
        <v>0.9307100069</v>
      </c>
      <c r="M925" s="175" t="str">
        <f t="shared" si="10"/>
        <v>jantinine</v>
      </c>
      <c r="N925" s="176">
        <f>IFERROR(__xludf.DUMMYFUNCTION("""COMPUTED_VALUE"""),1.0)</f>
        <v>1</v>
      </c>
      <c r="O925" s="176"/>
      <c r="P925" s="183" t="s">
        <v>222</v>
      </c>
      <c r="Q925" s="178" t="s">
        <v>845</v>
      </c>
      <c r="R925" s="176"/>
      <c r="S925" s="176"/>
      <c r="T925" s="176"/>
      <c r="U925" s="176"/>
      <c r="V925" s="176"/>
      <c r="W925" s="176"/>
      <c r="X925" s="176"/>
      <c r="Y925" s="176"/>
      <c r="Z925" s="176"/>
      <c r="AA925" s="176"/>
    </row>
    <row r="926">
      <c r="A926" s="165" t="str">
        <f>iferror(VLOOKUP(P926,'DO NOT TOUCH Imported'!$A$1:$D$800,4,False),iferror(VLOOKUP(P926,'DO NOT TOUCH Imported'!$C$1:$D$800,2,False),"OOPS FIX ME"))</f>
        <v>atitcomb</v>
      </c>
      <c r="B926" s="178" t="s">
        <v>845</v>
      </c>
      <c r="C926" s="179" t="s">
        <v>855</v>
      </c>
      <c r="D926" s="180" t="s">
        <v>495</v>
      </c>
      <c r="E926" s="181">
        <v>44319.0</v>
      </c>
      <c r="F926" s="182" t="s">
        <v>499</v>
      </c>
      <c r="G926" s="170">
        <v>1500.0</v>
      </c>
      <c r="H926" s="171">
        <v>100.0</v>
      </c>
      <c r="I926" s="171">
        <v>100.0</v>
      </c>
      <c r="J926" s="172">
        <f t="shared" si="57"/>
        <v>0.0007755916724</v>
      </c>
      <c r="K926" s="173">
        <f t="shared" si="58"/>
        <v>0.9307100069</v>
      </c>
      <c r="L926" s="174">
        <f t="shared" si="9"/>
        <v>0.9307100069</v>
      </c>
      <c r="M926" s="175" t="str">
        <f t="shared" si="10"/>
        <v>atitcomb</v>
      </c>
      <c r="N926" s="176">
        <f>IFERROR(__xludf.DUMMYFUNCTION("""COMPUTED_VALUE"""),1.0)</f>
        <v>1</v>
      </c>
      <c r="O926" s="176"/>
      <c r="P926" s="183" t="s">
        <v>296</v>
      </c>
      <c r="Q926" s="178" t="s">
        <v>845</v>
      </c>
      <c r="R926" s="176"/>
      <c r="S926" s="176"/>
      <c r="T926" s="176"/>
      <c r="U926" s="176"/>
      <c r="V926" s="176"/>
      <c r="W926" s="176"/>
      <c r="X926" s="176"/>
      <c r="Y926" s="176"/>
      <c r="Z926" s="176"/>
      <c r="AA926" s="176"/>
    </row>
    <row r="927">
      <c r="A927" s="165" t="str">
        <f>iferror(VLOOKUP(P927,'DO NOT TOUCH Imported'!$A$1:$D$800,4,False),iferror(VLOOKUP(P927,'DO NOT TOUCH Imported'!$C$1:$D$800,2,False),"OOPS FIX ME"))</f>
        <v>Wright#9119</v>
      </c>
      <c r="B927" s="166" t="s">
        <v>528</v>
      </c>
      <c r="C927" s="167" t="s">
        <v>600</v>
      </c>
      <c r="D927" s="168" t="s">
        <v>437</v>
      </c>
      <c r="E927" s="177" t="s">
        <v>445</v>
      </c>
      <c r="F927" s="168" t="s">
        <v>439</v>
      </c>
      <c r="G927" s="170">
        <v>1000.0</v>
      </c>
      <c r="H927" s="171">
        <v>100.0</v>
      </c>
      <c r="I927" s="171">
        <v>100.0</v>
      </c>
      <c r="J927" s="172">
        <f t="shared" si="57"/>
        <v>0.000723394157</v>
      </c>
      <c r="K927" s="173">
        <f t="shared" si="58"/>
        <v>0.8680729884</v>
      </c>
      <c r="L927" s="174">
        <f t="shared" si="9"/>
        <v>0.8680729884</v>
      </c>
      <c r="M927" s="175" t="str">
        <f t="shared" si="10"/>
        <v>Wright#9119</v>
      </c>
      <c r="N927" s="176">
        <f>IFERROR(__xludf.DUMMYFUNCTION("""COMPUTED_VALUE"""),1.0)</f>
        <v>1</v>
      </c>
      <c r="O927" s="176"/>
      <c r="P927" s="166" t="s">
        <v>300</v>
      </c>
      <c r="Q927" s="166" t="s">
        <v>528</v>
      </c>
      <c r="R927" s="176"/>
      <c r="S927" s="176"/>
      <c r="T927" s="176"/>
      <c r="U927" s="176"/>
      <c r="V927" s="176"/>
      <c r="W927" s="176"/>
      <c r="X927" s="176"/>
      <c r="Y927" s="176"/>
      <c r="Z927" s="176"/>
      <c r="AA927" s="176"/>
    </row>
    <row r="928">
      <c r="A928" s="165" t="str">
        <f>iferror(VLOOKUP(P928,'DO NOT TOUCH Imported'!$A$1:$D$800,4,False),iferror(VLOOKUP(P928,'DO NOT TOUCH Imported'!$C$1:$D$800,2,False),"OOPS FIX ME"))</f>
        <v>tomerba</v>
      </c>
      <c r="B928" s="178" t="s">
        <v>845</v>
      </c>
      <c r="C928" s="179" t="s">
        <v>856</v>
      </c>
      <c r="D928" s="180" t="s">
        <v>495</v>
      </c>
      <c r="E928" s="181">
        <v>44319.0</v>
      </c>
      <c r="F928" s="182" t="s">
        <v>499</v>
      </c>
      <c r="G928" s="170">
        <v>1000.0</v>
      </c>
      <c r="H928" s="171">
        <v>100.0</v>
      </c>
      <c r="I928" s="171">
        <v>100.0</v>
      </c>
      <c r="J928" s="172">
        <f t="shared" si="57"/>
        <v>0.000723394157</v>
      </c>
      <c r="K928" s="173">
        <f t="shared" si="58"/>
        <v>0.8680729884</v>
      </c>
      <c r="L928" s="174">
        <f t="shared" si="9"/>
        <v>0.8680729884</v>
      </c>
      <c r="M928" s="175" t="str">
        <f t="shared" si="10"/>
        <v>tomerba</v>
      </c>
      <c r="N928" s="176">
        <f>IFERROR(__xludf.DUMMYFUNCTION("""COMPUTED_VALUE"""),1.0)</f>
        <v>1</v>
      </c>
      <c r="O928" s="176"/>
      <c r="P928" s="183" t="s">
        <v>301</v>
      </c>
      <c r="Q928" s="178" t="s">
        <v>845</v>
      </c>
      <c r="R928" s="176"/>
      <c r="S928" s="176"/>
      <c r="T928" s="176"/>
      <c r="U928" s="176"/>
      <c r="V928" s="176"/>
      <c r="W928" s="176"/>
      <c r="X928" s="176"/>
      <c r="Y928" s="176"/>
      <c r="Z928" s="176"/>
      <c r="AA928" s="176"/>
    </row>
    <row r="929">
      <c r="A929" s="165" t="str">
        <f>iferror(VLOOKUP(P929,'DO NOT TOUCH Imported'!$A$1:$D$800,4,False),iferror(VLOOKUP(P929,'DO NOT TOUCH Imported'!$C$1:$D$800,2,False),"OOPS FIX ME"))</f>
        <v>Revathi#5324</v>
      </c>
      <c r="B929" s="166" t="s">
        <v>566</v>
      </c>
      <c r="C929" s="167" t="s">
        <v>857</v>
      </c>
      <c r="D929" s="168" t="s">
        <v>499</v>
      </c>
      <c r="E929" s="169" t="s">
        <v>452</v>
      </c>
      <c r="F929" s="168" t="s">
        <v>503</v>
      </c>
      <c r="G929" s="170">
        <v>1000.0</v>
      </c>
      <c r="H929" s="171">
        <v>100.0</v>
      </c>
      <c r="I929" s="171">
        <v>100.0</v>
      </c>
      <c r="J929" s="172">
        <f t="shared" si="57"/>
        <v>0.000723394157</v>
      </c>
      <c r="K929" s="173">
        <f t="shared" si="58"/>
        <v>0.8680729884</v>
      </c>
      <c r="L929" s="174">
        <f t="shared" si="9"/>
        <v>0.8680729884</v>
      </c>
      <c r="M929" s="175" t="str">
        <f t="shared" si="10"/>
        <v>Revathi#5324</v>
      </c>
      <c r="N929" s="176">
        <f>IFERROR(__xludf.DUMMYFUNCTION("""COMPUTED_VALUE"""),1.0)</f>
        <v>1</v>
      </c>
      <c r="O929" s="176"/>
      <c r="P929" s="166" t="s">
        <v>302</v>
      </c>
      <c r="Q929" s="166" t="s">
        <v>566</v>
      </c>
      <c r="R929" s="176"/>
      <c r="S929" s="176"/>
      <c r="T929" s="176"/>
      <c r="U929" s="176"/>
      <c r="V929" s="176"/>
      <c r="W929" s="176"/>
      <c r="X929" s="176"/>
      <c r="Y929" s="176"/>
      <c r="Z929" s="176"/>
      <c r="AA929" s="176"/>
    </row>
    <row r="930">
      <c r="A930" s="165" t="str">
        <f>iferror(VLOOKUP(P930,'DO NOT TOUCH Imported'!$A$1:$D$800,4,False),iferror(VLOOKUP(P930,'DO NOT TOUCH Imported'!$C$1:$D$800,2,False),"OOPS FIX ME"))</f>
        <v>JoeZ#9988</v>
      </c>
      <c r="B930" s="166" t="s">
        <v>435</v>
      </c>
      <c r="C930" s="167" t="s">
        <v>858</v>
      </c>
      <c r="D930" s="168" t="s">
        <v>437</v>
      </c>
      <c r="E930" s="177" t="s">
        <v>478</v>
      </c>
      <c r="F930" s="168" t="s">
        <v>439</v>
      </c>
      <c r="G930" s="170">
        <v>1000.0</v>
      </c>
      <c r="H930" s="171">
        <v>100.0</v>
      </c>
      <c r="I930" s="171">
        <v>100.0</v>
      </c>
      <c r="J930" s="172">
        <f t="shared" si="57"/>
        <v>0.000723394157</v>
      </c>
      <c r="K930" s="173">
        <f t="shared" si="58"/>
        <v>0.8680729884</v>
      </c>
      <c r="L930" s="174">
        <f t="shared" si="9"/>
        <v>0.8680729884</v>
      </c>
      <c r="M930" s="175" t="str">
        <f t="shared" si="10"/>
        <v>JoeZ#9988</v>
      </c>
      <c r="N930" s="176">
        <f>IFERROR(__xludf.DUMMYFUNCTION("""COMPUTED_VALUE"""),1.0)</f>
        <v>1</v>
      </c>
      <c r="O930" s="176"/>
      <c r="P930" s="166" t="s">
        <v>303</v>
      </c>
      <c r="Q930" s="166" t="s">
        <v>435</v>
      </c>
      <c r="R930" s="176"/>
      <c r="S930" s="176"/>
      <c r="T930" s="176"/>
      <c r="U930" s="176"/>
      <c r="V930" s="176"/>
      <c r="W930" s="176"/>
      <c r="X930" s="176"/>
      <c r="Y930" s="176"/>
      <c r="Z930" s="176"/>
      <c r="AA930" s="176"/>
    </row>
    <row r="931">
      <c r="A931" s="165" t="str">
        <f>iferror(VLOOKUP(P931,'DO NOT TOUCH Imported'!$A$1:$D$800,4,False),iferror(VLOOKUP(P931,'DO NOT TOUCH Imported'!$C$1:$D$800,2,False),"OOPS FIX ME"))</f>
        <v>OOPS FIX ME</v>
      </c>
      <c r="B931" s="166" t="s">
        <v>441</v>
      </c>
      <c r="C931" s="167" t="s">
        <v>549</v>
      </c>
      <c r="D931" s="168" t="s">
        <v>437</v>
      </c>
      <c r="E931" s="177" t="s">
        <v>438</v>
      </c>
      <c r="F931" s="168" t="s">
        <v>439</v>
      </c>
      <c r="G931" s="170">
        <v>1000.0</v>
      </c>
      <c r="H931" s="171">
        <v>100.0</v>
      </c>
      <c r="I931" s="171">
        <v>100.0</v>
      </c>
      <c r="J931" s="172">
        <f t="shared" si="57"/>
        <v>0.000723394157</v>
      </c>
      <c r="K931" s="173">
        <f t="shared" si="58"/>
        <v>0.8680729884</v>
      </c>
      <c r="L931" s="174">
        <f t="shared" si="9"/>
        <v>11.88985225</v>
      </c>
      <c r="M931" s="175" t="str">
        <f t="shared" si="10"/>
        <v>OOPS FIX ME</v>
      </c>
      <c r="N931" s="176">
        <f>IFERROR(__xludf.DUMMYFUNCTION("""COMPUTED_VALUE"""),7.0)</f>
        <v>7</v>
      </c>
      <c r="O931" s="176"/>
      <c r="P931" s="166" t="s">
        <v>304</v>
      </c>
      <c r="Q931" s="166" t="s">
        <v>441</v>
      </c>
      <c r="R931" s="176"/>
      <c r="S931" s="176"/>
      <c r="T931" s="176"/>
      <c r="U931" s="176"/>
      <c r="V931" s="176"/>
      <c r="W931" s="176"/>
      <c r="X931" s="176"/>
      <c r="Y931" s="176"/>
      <c r="Z931" s="176"/>
      <c r="AA931" s="176"/>
    </row>
    <row r="932">
      <c r="A932" s="165" t="str">
        <f>iferror(VLOOKUP(P932,'DO NOT TOUCH Imported'!$A$1:$D$800,4,False),iferror(VLOOKUP(P932,'DO NOT TOUCH Imported'!$C$1:$D$800,2,False),"OOPS FIX ME"))</f>
        <v>davidking 🐝#0780</v>
      </c>
      <c r="B932" s="166" t="s">
        <v>435</v>
      </c>
      <c r="C932" s="167" t="s">
        <v>859</v>
      </c>
      <c r="D932" s="168" t="s">
        <v>437</v>
      </c>
      <c r="E932" s="177" t="s">
        <v>478</v>
      </c>
      <c r="F932" s="168" t="s">
        <v>439</v>
      </c>
      <c r="G932" s="170">
        <v>1000.0</v>
      </c>
      <c r="H932" s="171">
        <v>100.0</v>
      </c>
      <c r="I932" s="171">
        <v>100.0</v>
      </c>
      <c r="J932" s="172">
        <f t="shared" si="57"/>
        <v>0.000723394157</v>
      </c>
      <c r="K932" s="173">
        <f t="shared" si="58"/>
        <v>0.8680729884</v>
      </c>
      <c r="L932" s="174">
        <f t="shared" si="9"/>
        <v>0.8680729884</v>
      </c>
      <c r="M932" s="175" t="str">
        <f t="shared" si="10"/>
        <v>davidking 🐝#0780</v>
      </c>
      <c r="N932" s="176">
        <f>IFERROR(__xludf.DUMMYFUNCTION("""COMPUTED_VALUE"""),1.0)</f>
        <v>1</v>
      </c>
      <c r="O932" s="176"/>
      <c r="P932" s="166" t="s">
        <v>305</v>
      </c>
      <c r="Q932" s="166" t="s">
        <v>435</v>
      </c>
      <c r="R932" s="176"/>
      <c r="S932" s="176"/>
      <c r="T932" s="176"/>
      <c r="U932" s="176"/>
      <c r="V932" s="176"/>
      <c r="W932" s="176"/>
      <c r="X932" s="176"/>
      <c r="Y932" s="176"/>
      <c r="Z932" s="176"/>
      <c r="AA932" s="176"/>
    </row>
    <row r="933">
      <c r="A933" s="165" t="str">
        <f>iferror(VLOOKUP(P933,'DO NOT TOUCH Imported'!$A$1:$D$800,4,False),iferror(VLOOKUP(P933,'DO NOT TOUCH Imported'!$C$1:$D$800,2,False),"OOPS FIX ME"))</f>
        <v>dahlberry</v>
      </c>
      <c r="B933" s="178" t="s">
        <v>18</v>
      </c>
      <c r="C933" s="179" t="s">
        <v>544</v>
      </c>
      <c r="D933" s="180" t="s">
        <v>495</v>
      </c>
      <c r="E933" s="184">
        <v>44313.0</v>
      </c>
      <c r="F933" s="182" t="s">
        <v>545</v>
      </c>
      <c r="G933" s="170">
        <v>1000.0</v>
      </c>
      <c r="H933" s="171">
        <v>100.0</v>
      </c>
      <c r="I933" s="171">
        <v>100.0</v>
      </c>
      <c r="J933" s="172">
        <f t="shared" si="57"/>
        <v>0.000723394157</v>
      </c>
      <c r="K933" s="173">
        <f t="shared" si="58"/>
        <v>0.8680729884</v>
      </c>
      <c r="L933" s="174">
        <f t="shared" si="9"/>
        <v>0.8680729884</v>
      </c>
      <c r="M933" s="175" t="str">
        <f t="shared" si="10"/>
        <v>dahlberry</v>
      </c>
      <c r="N933" s="176">
        <f>IFERROR(__xludf.DUMMYFUNCTION("""COMPUTED_VALUE"""),1.0)</f>
        <v>1</v>
      </c>
      <c r="O933" s="176"/>
      <c r="P933" s="183" t="s">
        <v>306</v>
      </c>
      <c r="Q933" s="178" t="s">
        <v>18</v>
      </c>
      <c r="R933" s="176"/>
      <c r="S933" s="176"/>
      <c r="T933" s="176"/>
      <c r="U933" s="176"/>
      <c r="V933" s="176"/>
      <c r="W933" s="176"/>
      <c r="X933" s="176"/>
      <c r="Y933" s="176"/>
      <c r="Z933" s="176"/>
      <c r="AA933" s="176"/>
    </row>
    <row r="934">
      <c r="A934" s="165" t="str">
        <f>iferror(VLOOKUP(P934,'DO NOT TOUCH Imported'!$A$1:$D$800,4,False),iferror(VLOOKUP(P934,'DO NOT TOUCH Imported'!$C$1:$D$800,2,False),"OOPS FIX ME"))</f>
        <v>antoniopaglino</v>
      </c>
      <c r="B934" s="166" t="s">
        <v>566</v>
      </c>
      <c r="C934" s="167" t="s">
        <v>860</v>
      </c>
      <c r="D934" s="168" t="s">
        <v>499</v>
      </c>
      <c r="E934" s="169" t="s">
        <v>452</v>
      </c>
      <c r="F934" s="168" t="s">
        <v>503</v>
      </c>
      <c r="G934" s="170">
        <v>1000.0</v>
      </c>
      <c r="H934" s="171">
        <v>100.0</v>
      </c>
      <c r="I934" s="171">
        <v>100.0</v>
      </c>
      <c r="J934" s="172">
        <f t="shared" si="57"/>
        <v>0.000723394157</v>
      </c>
      <c r="K934" s="173">
        <f t="shared" si="58"/>
        <v>0.8680729884</v>
      </c>
      <c r="L934" s="174">
        <f t="shared" si="9"/>
        <v>0.8680729884</v>
      </c>
      <c r="M934" s="175" t="str">
        <f t="shared" si="10"/>
        <v>antoniopaglino</v>
      </c>
      <c r="N934" s="176">
        <f>IFERROR(__xludf.DUMMYFUNCTION("""COMPUTED_VALUE"""),1.0)</f>
        <v>1</v>
      </c>
      <c r="O934" s="176"/>
      <c r="P934" s="166" t="s">
        <v>861</v>
      </c>
      <c r="Q934" s="166" t="s">
        <v>566</v>
      </c>
      <c r="R934" s="176"/>
      <c r="S934" s="176"/>
      <c r="T934" s="176"/>
      <c r="U934" s="176"/>
      <c r="V934" s="176"/>
      <c r="W934" s="176"/>
      <c r="X934" s="176"/>
      <c r="Y934" s="176"/>
      <c r="Z934" s="176"/>
      <c r="AA934" s="176"/>
    </row>
    <row r="935">
      <c r="A935" s="165" t="str">
        <f>iferror(VLOOKUP(P935,'DO NOT TOUCH Imported'!$A$1:$D$800,4,False),iferror(VLOOKUP(P935,'DO NOT TOUCH Imported'!$C$1:$D$800,2,False),"OOPS FIX ME"))</f>
        <v>rad casale#6107</v>
      </c>
      <c r="B935" s="166" t="s">
        <v>476</v>
      </c>
      <c r="C935" s="167" t="s">
        <v>477</v>
      </c>
      <c r="D935" s="168" t="s">
        <v>437</v>
      </c>
      <c r="E935" s="177" t="s">
        <v>478</v>
      </c>
      <c r="F935" s="168" t="s">
        <v>439</v>
      </c>
      <c r="G935" s="170">
        <v>1000.0</v>
      </c>
      <c r="H935" s="171">
        <v>90.0</v>
      </c>
      <c r="I935" s="171">
        <v>100.0</v>
      </c>
      <c r="J935" s="172">
        <f t="shared" si="57"/>
        <v>0.0006914702636</v>
      </c>
      <c r="K935" s="173">
        <f t="shared" si="58"/>
        <v>0.8297643163</v>
      </c>
      <c r="L935" s="174">
        <f t="shared" si="9"/>
        <v>0.8297643163</v>
      </c>
      <c r="M935" s="175" t="str">
        <f t="shared" si="10"/>
        <v>rad casale#6107</v>
      </c>
      <c r="N935" s="176">
        <f>IFERROR(__xludf.DUMMYFUNCTION("""COMPUTED_VALUE"""),1.0)</f>
        <v>1</v>
      </c>
      <c r="O935" s="176"/>
      <c r="P935" s="166" t="s">
        <v>310</v>
      </c>
      <c r="Q935" s="166" t="s">
        <v>476</v>
      </c>
      <c r="R935" s="176"/>
      <c r="S935" s="176"/>
      <c r="T935" s="176"/>
      <c r="U935" s="176"/>
      <c r="V935" s="176"/>
      <c r="W935" s="176"/>
      <c r="X935" s="176"/>
      <c r="Y935" s="176"/>
      <c r="Z935" s="176"/>
      <c r="AA935" s="176"/>
    </row>
    <row r="936">
      <c r="A936" s="165" t="str">
        <f>iferror(VLOOKUP(P936,'DO NOT TOUCH Imported'!$A$1:$D$800,4,False),iferror(VLOOKUP(P936,'DO NOT TOUCH Imported'!$C$1:$D$800,2,False),"OOPS FIX ME"))</f>
        <v>fahern#7639</v>
      </c>
      <c r="B936" s="166" t="s">
        <v>483</v>
      </c>
      <c r="C936" s="167" t="s">
        <v>484</v>
      </c>
      <c r="D936" s="168" t="s">
        <v>437</v>
      </c>
      <c r="E936" s="169" t="s">
        <v>478</v>
      </c>
      <c r="F936" s="168" t="s">
        <v>439</v>
      </c>
      <c r="G936" s="170">
        <v>1000.0</v>
      </c>
      <c r="H936" s="171">
        <v>80.0</v>
      </c>
      <c r="I936" s="171">
        <v>100.0</v>
      </c>
      <c r="J936" s="172">
        <f t="shared" si="57"/>
        <v>0.0006595463701</v>
      </c>
      <c r="K936" s="173">
        <f t="shared" si="58"/>
        <v>0.7914556442</v>
      </c>
      <c r="L936" s="174">
        <f t="shared" si="9"/>
        <v>0.7914556442</v>
      </c>
      <c r="M936" s="175" t="str">
        <f t="shared" si="10"/>
        <v>fahern#7639</v>
      </c>
      <c r="N936" s="176">
        <f>IFERROR(__xludf.DUMMYFUNCTION("""COMPUTED_VALUE"""),1.0)</f>
        <v>1</v>
      </c>
      <c r="O936" s="176"/>
      <c r="P936" s="166" t="s">
        <v>316</v>
      </c>
      <c r="Q936" s="166" t="s">
        <v>483</v>
      </c>
      <c r="R936" s="176"/>
      <c r="S936" s="176"/>
      <c r="T936" s="176"/>
      <c r="U936" s="176"/>
      <c r="V936" s="176"/>
      <c r="W936" s="176"/>
      <c r="X936" s="176"/>
      <c r="Y936" s="176"/>
      <c r="Z936" s="176"/>
      <c r="AA936" s="176"/>
    </row>
    <row r="937">
      <c r="A937" s="165" t="str">
        <f>iferror(VLOOKUP(P937,'DO NOT TOUCH Imported'!$A$1:$D$800,4,False),iferror(VLOOKUP(P937,'DO NOT TOUCH Imported'!$C$1:$D$800,2,False),"OOPS FIX ME"))</f>
        <v>decentralizesdgs</v>
      </c>
      <c r="B937" s="166" t="s">
        <v>441</v>
      </c>
      <c r="C937" s="167" t="s">
        <v>485</v>
      </c>
      <c r="D937" s="168" t="s">
        <v>437</v>
      </c>
      <c r="E937" s="169" t="s">
        <v>438</v>
      </c>
      <c r="F937" s="168" t="s">
        <v>439</v>
      </c>
      <c r="G937" s="170">
        <v>1000.0</v>
      </c>
      <c r="H937" s="171">
        <v>80.0</v>
      </c>
      <c r="I937" s="171">
        <v>100.0</v>
      </c>
      <c r="J937" s="172">
        <f t="shared" si="57"/>
        <v>0.0006595463701</v>
      </c>
      <c r="K937" s="173">
        <f t="shared" si="58"/>
        <v>0.7914556442</v>
      </c>
      <c r="L937" s="174">
        <f t="shared" si="9"/>
        <v>0.7914556442</v>
      </c>
      <c r="M937" s="175" t="str">
        <f t="shared" si="10"/>
        <v>decentralizesdgs</v>
      </c>
      <c r="N937" s="176">
        <f>IFERROR(__xludf.DUMMYFUNCTION("""COMPUTED_VALUE"""),1.0)</f>
        <v>1</v>
      </c>
      <c r="O937" s="176"/>
      <c r="P937" s="166" t="s">
        <v>862</v>
      </c>
      <c r="Q937" s="166" t="s">
        <v>441</v>
      </c>
      <c r="R937" s="176"/>
      <c r="S937" s="176"/>
      <c r="T937" s="176"/>
      <c r="U937" s="176"/>
      <c r="V937" s="176"/>
      <c r="W937" s="176"/>
      <c r="X937" s="176"/>
      <c r="Y937" s="176"/>
      <c r="Z937" s="176"/>
      <c r="AA937" s="176"/>
    </row>
    <row r="938">
      <c r="A938" s="165" t="str">
        <f>iferror(VLOOKUP(P938,'DO NOT TOUCH Imported'!$A$1:$D$800,4,False),iferror(VLOOKUP(P938,'DO NOT TOUCH Imported'!$C$1:$D$800,2,False),"OOPS FIX ME"))</f>
        <v>OOPS FIX ME</v>
      </c>
      <c r="B938" s="166" t="s">
        <v>441</v>
      </c>
      <c r="C938" s="167" t="s">
        <v>485</v>
      </c>
      <c r="D938" s="168" t="s">
        <v>437</v>
      </c>
      <c r="E938" s="177" t="s">
        <v>438</v>
      </c>
      <c r="F938" s="168" t="s">
        <v>439</v>
      </c>
      <c r="G938" s="170">
        <v>1000.0</v>
      </c>
      <c r="H938" s="171">
        <v>80.0</v>
      </c>
      <c r="I938" s="171">
        <v>100.0</v>
      </c>
      <c r="J938" s="172">
        <f t="shared" si="57"/>
        <v>0.0006595463701</v>
      </c>
      <c r="K938" s="173">
        <f t="shared" si="58"/>
        <v>0.7914556442</v>
      </c>
      <c r="L938" s="174">
        <f t="shared" si="9"/>
        <v>11.88985225</v>
      </c>
      <c r="M938" s="175" t="str">
        <f t="shared" si="10"/>
        <v>OOPS FIX ME</v>
      </c>
      <c r="N938" s="176">
        <f>IFERROR(__xludf.DUMMYFUNCTION("""COMPUTED_VALUE"""),8.0)</f>
        <v>8</v>
      </c>
      <c r="O938" s="176"/>
      <c r="P938" s="166" t="s">
        <v>317</v>
      </c>
      <c r="Q938" s="166" t="s">
        <v>441</v>
      </c>
      <c r="R938" s="176"/>
      <c r="S938" s="176"/>
      <c r="T938" s="176"/>
      <c r="U938" s="176"/>
      <c r="V938" s="176"/>
      <c r="W938" s="176"/>
      <c r="X938" s="176"/>
      <c r="Y938" s="176"/>
      <c r="Z938" s="176"/>
      <c r="AA938" s="176"/>
    </row>
    <row r="939">
      <c r="A939" s="165" t="str">
        <f>iferror(VLOOKUP(P939,'DO NOT TOUCH Imported'!$A$1:$D$800,4,False),iferror(VLOOKUP(P939,'DO NOT TOUCH Imported'!$C$1:$D$800,2,False),"OOPS FIX ME"))</f>
        <v>Si Chen#0557</v>
      </c>
      <c r="B939" s="166" t="s">
        <v>490</v>
      </c>
      <c r="C939" s="167" t="s">
        <v>491</v>
      </c>
      <c r="D939" s="168" t="s">
        <v>437</v>
      </c>
      <c r="E939" s="177" t="s">
        <v>445</v>
      </c>
      <c r="F939" s="168" t="s">
        <v>439</v>
      </c>
      <c r="G939" s="170">
        <v>1000.0</v>
      </c>
      <c r="H939" s="171">
        <v>70.0</v>
      </c>
      <c r="I939" s="171">
        <v>100.0</v>
      </c>
      <c r="J939" s="172">
        <f t="shared" si="57"/>
        <v>0.0006276224767</v>
      </c>
      <c r="K939" s="173">
        <f t="shared" si="58"/>
        <v>0.7531469721</v>
      </c>
      <c r="L939" s="174">
        <f t="shared" si="9"/>
        <v>0.7531469721</v>
      </c>
      <c r="M939" s="175" t="str">
        <f t="shared" si="10"/>
        <v>Si Chen#0557</v>
      </c>
      <c r="N939" s="176">
        <f>IFERROR(__xludf.DUMMYFUNCTION("""COMPUTED_VALUE"""),1.0)</f>
        <v>1</v>
      </c>
      <c r="O939" s="176"/>
      <c r="P939" s="166" t="s">
        <v>256</v>
      </c>
      <c r="Q939" s="166" t="s">
        <v>490</v>
      </c>
      <c r="R939" s="176"/>
      <c r="S939" s="176"/>
      <c r="T939" s="176"/>
      <c r="U939" s="176"/>
      <c r="V939" s="176"/>
      <c r="W939" s="176"/>
      <c r="X939" s="176"/>
      <c r="Y939" s="176"/>
      <c r="Z939" s="176"/>
      <c r="AA939" s="176"/>
    </row>
    <row r="940">
      <c r="A940" s="165" t="str">
        <f>iferror(VLOOKUP(P940,'DO NOT TOUCH Imported'!$A$1:$D$800,4,False),iferror(VLOOKUP(P940,'DO NOT TOUCH Imported'!$C$1:$D$800,2,False),"OOPS FIX ME"))</f>
        <v>witwiki3</v>
      </c>
      <c r="B940" s="178" t="s">
        <v>10</v>
      </c>
      <c r="C940" s="179" t="s">
        <v>494</v>
      </c>
      <c r="D940" s="180" t="s">
        <v>495</v>
      </c>
      <c r="E940" s="181">
        <v>44317.0</v>
      </c>
      <c r="F940" s="182" t="s">
        <v>496</v>
      </c>
      <c r="G940" s="170">
        <v>1500.0</v>
      </c>
      <c r="H940" s="171">
        <v>50.0</v>
      </c>
      <c r="I940" s="171">
        <v>100.0</v>
      </c>
      <c r="J940" s="172">
        <f t="shared" si="57"/>
        <v>0.0006159722052</v>
      </c>
      <c r="K940" s="173">
        <f t="shared" si="58"/>
        <v>0.7391666463</v>
      </c>
      <c r="L940" s="174">
        <f t="shared" si="9"/>
        <v>0.7391666463</v>
      </c>
      <c r="M940" s="175" t="str">
        <f t="shared" si="10"/>
        <v>witwiki3</v>
      </c>
      <c r="N940" s="176">
        <f>IFERROR(__xludf.DUMMYFUNCTION("""COMPUTED_VALUE"""),1.0)</f>
        <v>1</v>
      </c>
      <c r="O940" s="176"/>
      <c r="P940" s="183" t="s">
        <v>235</v>
      </c>
      <c r="Q940" s="178" t="s">
        <v>10</v>
      </c>
      <c r="R940" s="176"/>
      <c r="S940" s="176"/>
      <c r="T940" s="176"/>
      <c r="U940" s="176"/>
      <c r="V940" s="176"/>
      <c r="W940" s="176"/>
      <c r="X940" s="176"/>
      <c r="Y940" s="176"/>
      <c r="Z940" s="176"/>
      <c r="AA940" s="176"/>
    </row>
    <row r="941">
      <c r="A941" s="165" t="str">
        <f>iferror(VLOOKUP(P941,'DO NOT TOUCH Imported'!$A$1:$D$800,4,False),iferror(VLOOKUP(P941,'DO NOT TOUCH Imported'!$C$1:$D$800,2,False),"OOPS FIX ME"))</f>
        <v>pehkah</v>
      </c>
      <c r="B941" s="178" t="s">
        <v>18</v>
      </c>
      <c r="C941" s="179" t="s">
        <v>863</v>
      </c>
      <c r="D941" s="180" t="s">
        <v>495</v>
      </c>
      <c r="E941" s="184">
        <v>44313.0</v>
      </c>
      <c r="F941" s="182" t="s">
        <v>496</v>
      </c>
      <c r="G941" s="170">
        <v>1000.0</v>
      </c>
      <c r="H941" s="171">
        <v>60.0</v>
      </c>
      <c r="I941" s="171">
        <v>100.0</v>
      </c>
      <c r="J941" s="172">
        <f t="shared" si="57"/>
        <v>0.0005956985833</v>
      </c>
      <c r="K941" s="173">
        <f t="shared" si="58"/>
        <v>0.7148382999</v>
      </c>
      <c r="L941" s="174">
        <f t="shared" si="9"/>
        <v>0.7148382999</v>
      </c>
      <c r="M941" s="175" t="str">
        <f t="shared" si="10"/>
        <v>pehkah</v>
      </c>
      <c r="N941" s="176">
        <f>IFERROR(__xludf.DUMMYFUNCTION("""COMPUTED_VALUE"""),1.0)</f>
        <v>1</v>
      </c>
      <c r="O941" s="176"/>
      <c r="P941" s="183" t="s">
        <v>98</v>
      </c>
      <c r="Q941" s="178" t="s">
        <v>18</v>
      </c>
      <c r="R941" s="176"/>
      <c r="S941" s="176"/>
      <c r="T941" s="176"/>
      <c r="U941" s="176"/>
      <c r="V941" s="176"/>
      <c r="W941" s="176"/>
      <c r="X941" s="176"/>
      <c r="Y941" s="176"/>
      <c r="Z941" s="176"/>
      <c r="AA941" s="176"/>
    </row>
    <row r="942">
      <c r="A942" s="165" t="str">
        <f>iferror(VLOOKUP(P942,'DO NOT TOUCH Imported'!$A$1:$D$800,4,False),iferror(VLOOKUP(P942,'DO NOT TOUCH Imported'!$C$1:$D$800,2,False),"OOPS FIX ME"))</f>
        <v>TamedImpala#7142</v>
      </c>
      <c r="B942" s="166" t="s">
        <v>530</v>
      </c>
      <c r="C942" s="167" t="s">
        <v>772</v>
      </c>
      <c r="D942" s="168" t="s">
        <v>499</v>
      </c>
      <c r="E942" s="177" t="s">
        <v>452</v>
      </c>
      <c r="F942" s="168" t="s">
        <v>503</v>
      </c>
      <c r="G942" s="170">
        <v>1000.0</v>
      </c>
      <c r="H942" s="171">
        <v>50.0</v>
      </c>
      <c r="I942" s="171">
        <v>100.0</v>
      </c>
      <c r="J942" s="172">
        <f t="shared" si="57"/>
        <v>0.0005637746898</v>
      </c>
      <c r="K942" s="173">
        <f t="shared" si="58"/>
        <v>0.6765296278</v>
      </c>
      <c r="L942" s="174">
        <f t="shared" si="9"/>
        <v>0.6765296278</v>
      </c>
      <c r="M942" s="175" t="str">
        <f t="shared" si="10"/>
        <v>TamedImpala#7142</v>
      </c>
      <c r="N942" s="176">
        <f>IFERROR(__xludf.DUMMYFUNCTION("""COMPUTED_VALUE"""),1.0)</f>
        <v>1</v>
      </c>
      <c r="O942" s="176"/>
      <c r="P942" s="166" t="s">
        <v>326</v>
      </c>
      <c r="Q942" s="166" t="s">
        <v>530</v>
      </c>
      <c r="R942" s="176"/>
      <c r="S942" s="176"/>
      <c r="T942" s="176"/>
      <c r="U942" s="176"/>
      <c r="V942" s="176"/>
      <c r="W942" s="176"/>
      <c r="X942" s="176"/>
      <c r="Y942" s="176"/>
      <c r="Z942" s="176"/>
      <c r="AA942" s="176"/>
    </row>
    <row r="943">
      <c r="A943" s="165" t="str">
        <f>iferror(VLOOKUP(P943,'DO NOT TOUCH Imported'!$A$1:$D$800,4,False),iferror(VLOOKUP(P943,'DO NOT TOUCH Imported'!$C$1:$D$800,2,False),"OOPS FIX ME"))</f>
        <v>OOPS FIX ME</v>
      </c>
      <c r="B943" s="166" t="s">
        <v>441</v>
      </c>
      <c r="C943" s="167" t="s">
        <v>497</v>
      </c>
      <c r="D943" s="168" t="s">
        <v>437</v>
      </c>
      <c r="E943" s="177" t="s">
        <v>438</v>
      </c>
      <c r="F943" s="168" t="s">
        <v>439</v>
      </c>
      <c r="G943" s="170">
        <v>1000.0</v>
      </c>
      <c r="H943" s="171">
        <v>50.0</v>
      </c>
      <c r="I943" s="171">
        <v>100.0</v>
      </c>
      <c r="J943" s="172">
        <f t="shared" si="57"/>
        <v>0.0005637746898</v>
      </c>
      <c r="K943" s="173">
        <f t="shared" si="58"/>
        <v>0.6765296278</v>
      </c>
      <c r="L943" s="174">
        <f t="shared" si="9"/>
        <v>11.88985225</v>
      </c>
      <c r="M943" s="175" t="str">
        <f t="shared" si="10"/>
        <v>OOPS FIX ME</v>
      </c>
      <c r="N943" s="176">
        <f>IFERROR(__xludf.DUMMYFUNCTION("""COMPUTED_VALUE"""),9.0)</f>
        <v>9</v>
      </c>
      <c r="O943" s="176"/>
      <c r="P943" s="166" t="s">
        <v>327</v>
      </c>
      <c r="Q943" s="166" t="s">
        <v>441</v>
      </c>
      <c r="R943" s="176"/>
      <c r="S943" s="176"/>
      <c r="T943" s="176"/>
      <c r="U943" s="176"/>
      <c r="V943" s="176"/>
      <c r="W943" s="176"/>
      <c r="X943" s="176"/>
      <c r="Y943" s="176"/>
      <c r="Z943" s="176"/>
      <c r="AA943" s="176"/>
    </row>
    <row r="944">
      <c r="A944" s="165" t="str">
        <f>iferror(VLOOKUP(P944,'DO NOT TOUCH Imported'!$A$1:$D$800,4,False),iferror(VLOOKUP(P944,'DO NOT TOUCH Imported'!$C$1:$D$800,2,False),"OOPS FIX ME"))</f>
        <v>OOPS FIX ME</v>
      </c>
      <c r="B944" s="166" t="s">
        <v>441</v>
      </c>
      <c r="C944" s="167" t="s">
        <v>497</v>
      </c>
      <c r="D944" s="168" t="s">
        <v>437</v>
      </c>
      <c r="E944" s="177" t="s">
        <v>438</v>
      </c>
      <c r="F944" s="168" t="s">
        <v>439</v>
      </c>
      <c r="G944" s="170">
        <v>1000.0</v>
      </c>
      <c r="H944" s="171">
        <v>50.0</v>
      </c>
      <c r="I944" s="171">
        <v>100.0</v>
      </c>
      <c r="J944" s="172">
        <f t="shared" si="57"/>
        <v>0.0005637746898</v>
      </c>
      <c r="K944" s="173">
        <f t="shared" si="58"/>
        <v>0.6765296278</v>
      </c>
      <c r="L944" s="174">
        <f t="shared" si="9"/>
        <v>11.88985225</v>
      </c>
      <c r="M944" s="175" t="str">
        <f t="shared" si="10"/>
        <v>OOPS FIX ME</v>
      </c>
      <c r="N944" s="176">
        <f>IFERROR(__xludf.DUMMYFUNCTION("""COMPUTED_VALUE"""),10.0)</f>
        <v>10</v>
      </c>
      <c r="O944" s="176"/>
      <c r="P944" s="166" t="s">
        <v>328</v>
      </c>
      <c r="Q944" s="166" t="s">
        <v>441</v>
      </c>
      <c r="R944" s="176"/>
      <c r="S944" s="176"/>
      <c r="T944" s="176"/>
      <c r="U944" s="176"/>
      <c r="V944" s="176"/>
      <c r="W944" s="176"/>
      <c r="X944" s="176"/>
      <c r="Y944" s="176"/>
      <c r="Z944" s="176"/>
      <c r="AA944" s="176"/>
    </row>
    <row r="945">
      <c r="A945" s="165" t="str">
        <f>iferror(VLOOKUP(P945,'DO NOT TOUCH Imported'!$A$1:$D$800,4,False),iferror(VLOOKUP(P945,'DO NOT TOUCH Imported'!$C$1:$D$800,2,False),"OOPS FIX ME"))</f>
        <v>itiszacs#2501</v>
      </c>
      <c r="B945" s="166" t="s">
        <v>530</v>
      </c>
      <c r="C945" s="167" t="s">
        <v>772</v>
      </c>
      <c r="D945" s="168" t="s">
        <v>499</v>
      </c>
      <c r="E945" s="177" t="s">
        <v>452</v>
      </c>
      <c r="F945" s="168" t="s">
        <v>503</v>
      </c>
      <c r="G945" s="170">
        <v>1000.0</v>
      </c>
      <c r="H945" s="171">
        <v>50.0</v>
      </c>
      <c r="I945" s="171">
        <v>100.0</v>
      </c>
      <c r="J945" s="172">
        <f t="shared" si="57"/>
        <v>0.0005637746898</v>
      </c>
      <c r="K945" s="173">
        <f t="shared" si="58"/>
        <v>0.6765296278</v>
      </c>
      <c r="L945" s="174">
        <f t="shared" si="9"/>
        <v>0.6765296278</v>
      </c>
      <c r="M945" s="175" t="str">
        <f t="shared" si="10"/>
        <v>itiszacs#2501</v>
      </c>
      <c r="N945" s="176">
        <f>IFERROR(__xludf.DUMMYFUNCTION("""COMPUTED_VALUE"""),1.0)</f>
        <v>1</v>
      </c>
      <c r="O945" s="176"/>
      <c r="P945" s="166" t="s">
        <v>329</v>
      </c>
      <c r="Q945" s="166" t="s">
        <v>530</v>
      </c>
      <c r="R945" s="176"/>
      <c r="S945" s="176"/>
      <c r="T945" s="176"/>
      <c r="U945" s="176"/>
      <c r="V945" s="176"/>
      <c r="W945" s="176"/>
      <c r="X945" s="176"/>
      <c r="Y945" s="176"/>
      <c r="Z945" s="176"/>
      <c r="AA945" s="176"/>
    </row>
    <row r="946">
      <c r="A946" s="165" t="str">
        <f>iferror(VLOOKUP(P946,'DO NOT TOUCH Imported'!$A$1:$D$800,4,False),iferror(VLOOKUP(P946,'DO NOT TOUCH Imported'!$C$1:$D$800,2,False),"OOPS FIX ME"))</f>
        <v>HazardJ#9101</v>
      </c>
      <c r="B946" s="166" t="s">
        <v>530</v>
      </c>
      <c r="C946" s="167" t="s">
        <v>772</v>
      </c>
      <c r="D946" s="168" t="s">
        <v>499</v>
      </c>
      <c r="E946" s="169" t="s">
        <v>452</v>
      </c>
      <c r="F946" s="168" t="s">
        <v>503</v>
      </c>
      <c r="G946" s="170">
        <v>1000.0</v>
      </c>
      <c r="H946" s="171">
        <v>50.0</v>
      </c>
      <c r="I946" s="171">
        <v>100.0</v>
      </c>
      <c r="J946" s="172">
        <f t="shared" si="57"/>
        <v>0.0005637746898</v>
      </c>
      <c r="K946" s="173">
        <f t="shared" si="58"/>
        <v>0.6765296278</v>
      </c>
      <c r="L946" s="174">
        <f t="shared" si="9"/>
        <v>0.6765296278</v>
      </c>
      <c r="M946" s="175" t="str">
        <f t="shared" si="10"/>
        <v>HazardJ#9101</v>
      </c>
      <c r="N946" s="176">
        <f>IFERROR(__xludf.DUMMYFUNCTION("""COMPUTED_VALUE"""),1.0)</f>
        <v>1</v>
      </c>
      <c r="O946" s="176"/>
      <c r="P946" s="166" t="s">
        <v>330</v>
      </c>
      <c r="Q946" s="166" t="s">
        <v>530</v>
      </c>
      <c r="R946" s="176"/>
      <c r="S946" s="176"/>
      <c r="T946" s="176"/>
      <c r="U946" s="176"/>
      <c r="V946" s="176"/>
      <c r="W946" s="176"/>
      <c r="X946" s="176"/>
      <c r="Y946" s="176"/>
      <c r="Z946" s="176"/>
      <c r="AA946" s="176"/>
    </row>
    <row r="947">
      <c r="A947" s="165" t="str">
        <f>iferror(VLOOKUP(P947,'DO NOT TOUCH Imported'!$A$1:$D$800,4,False),iferror(VLOOKUP(P947,'DO NOT TOUCH Imported'!$C$1:$D$800,2,False),"OOPS FIX ME"))</f>
        <v>Ezra#7391</v>
      </c>
      <c r="B947" s="166" t="s">
        <v>530</v>
      </c>
      <c r="C947" s="167" t="s">
        <v>772</v>
      </c>
      <c r="D947" s="168" t="s">
        <v>499</v>
      </c>
      <c r="E947" s="169" t="s">
        <v>452</v>
      </c>
      <c r="F947" s="168" t="s">
        <v>503</v>
      </c>
      <c r="G947" s="170">
        <v>1000.0</v>
      </c>
      <c r="H947" s="171">
        <v>50.0</v>
      </c>
      <c r="I947" s="171">
        <v>100.0</v>
      </c>
      <c r="J947" s="172">
        <f t="shared" si="57"/>
        <v>0.0005637746898</v>
      </c>
      <c r="K947" s="173">
        <f t="shared" si="58"/>
        <v>0.6765296278</v>
      </c>
      <c r="L947" s="174">
        <f t="shared" si="9"/>
        <v>0.6765296278</v>
      </c>
      <c r="M947" s="175" t="str">
        <f t="shared" si="10"/>
        <v>Ezra#7391</v>
      </c>
      <c r="N947" s="176">
        <f>IFERROR(__xludf.DUMMYFUNCTION("""COMPUTED_VALUE"""),1.0)</f>
        <v>1</v>
      </c>
      <c r="O947" s="176"/>
      <c r="P947" s="166" t="s">
        <v>331</v>
      </c>
      <c r="Q947" s="166" t="s">
        <v>530</v>
      </c>
      <c r="R947" s="176"/>
      <c r="S947" s="176"/>
      <c r="T947" s="176"/>
      <c r="U947" s="176"/>
      <c r="V947" s="176"/>
      <c r="W947" s="176"/>
      <c r="X947" s="176"/>
      <c r="Y947" s="176"/>
      <c r="Z947" s="176"/>
      <c r="AA947" s="176"/>
    </row>
    <row r="948">
      <c r="A948" s="165" t="str">
        <f>iferror(VLOOKUP(P948,'DO NOT TOUCH Imported'!$A$1:$D$800,4,False),iferror(VLOOKUP(P948,'DO NOT TOUCH Imported'!$C$1:$D$800,2,False),"OOPS FIX ME"))</f>
        <v>emmy#1303</v>
      </c>
      <c r="B948" s="166" t="s">
        <v>530</v>
      </c>
      <c r="C948" s="167" t="s">
        <v>772</v>
      </c>
      <c r="D948" s="168" t="s">
        <v>499</v>
      </c>
      <c r="E948" s="169" t="s">
        <v>452</v>
      </c>
      <c r="F948" s="168" t="s">
        <v>503</v>
      </c>
      <c r="G948" s="170">
        <v>1000.0</v>
      </c>
      <c r="H948" s="171">
        <v>50.0</v>
      </c>
      <c r="I948" s="171">
        <v>100.0</v>
      </c>
      <c r="J948" s="172">
        <f t="shared" si="57"/>
        <v>0.0005637746898</v>
      </c>
      <c r="K948" s="173">
        <f t="shared" si="58"/>
        <v>0.6765296278</v>
      </c>
      <c r="L948" s="174">
        <f t="shared" si="9"/>
        <v>0.6765296278</v>
      </c>
      <c r="M948" s="175" t="str">
        <f t="shared" si="10"/>
        <v>emmy#1303</v>
      </c>
      <c r="N948" s="176">
        <f>IFERROR(__xludf.DUMMYFUNCTION("""COMPUTED_VALUE"""),1.0)</f>
        <v>1</v>
      </c>
      <c r="O948" s="176"/>
      <c r="P948" s="166" t="s">
        <v>332</v>
      </c>
      <c r="Q948" s="166" t="s">
        <v>530</v>
      </c>
      <c r="R948" s="176"/>
      <c r="S948" s="176"/>
      <c r="T948" s="176"/>
      <c r="U948" s="176"/>
      <c r="V948" s="176"/>
      <c r="W948" s="176"/>
      <c r="X948" s="176"/>
      <c r="Y948" s="176"/>
      <c r="Z948" s="176"/>
      <c r="AA948" s="176"/>
    </row>
    <row r="949">
      <c r="A949" s="165" t="str">
        <f>iferror(VLOOKUP(P949,'DO NOT TOUCH Imported'!$A$1:$D$800,4,False),iferror(VLOOKUP(P949,'DO NOT TOUCH Imported'!$C$1:$D$800,2,False),"OOPS FIX ME"))</f>
        <v>alex.v | Gnosis#4495</v>
      </c>
      <c r="B949" s="166" t="s">
        <v>530</v>
      </c>
      <c r="C949" s="167" t="s">
        <v>772</v>
      </c>
      <c r="D949" s="168" t="s">
        <v>499</v>
      </c>
      <c r="E949" s="169" t="s">
        <v>452</v>
      </c>
      <c r="F949" s="168" t="s">
        <v>503</v>
      </c>
      <c r="G949" s="170">
        <v>1000.0</v>
      </c>
      <c r="H949" s="171">
        <v>50.0</v>
      </c>
      <c r="I949" s="171">
        <v>100.0</v>
      </c>
      <c r="J949" s="172">
        <f t="shared" si="57"/>
        <v>0.0005637746898</v>
      </c>
      <c r="K949" s="173">
        <f t="shared" si="58"/>
        <v>0.6765296278</v>
      </c>
      <c r="L949" s="174">
        <f t="shared" si="9"/>
        <v>0.6765296278</v>
      </c>
      <c r="M949" s="175" t="str">
        <f t="shared" si="10"/>
        <v>alex.v | Gnosis#4495</v>
      </c>
      <c r="N949" s="176">
        <f>IFERROR(__xludf.DUMMYFUNCTION("""COMPUTED_VALUE"""),1.0)</f>
        <v>1</v>
      </c>
      <c r="O949" s="176"/>
      <c r="P949" s="166" t="s">
        <v>333</v>
      </c>
      <c r="Q949" s="166" t="s">
        <v>530</v>
      </c>
      <c r="R949" s="176"/>
      <c r="S949" s="176"/>
      <c r="T949" s="176"/>
      <c r="U949" s="176"/>
      <c r="V949" s="176"/>
      <c r="W949" s="176"/>
      <c r="X949" s="176"/>
      <c r="Y949" s="176"/>
      <c r="Z949" s="176"/>
      <c r="AA949" s="176"/>
    </row>
    <row r="950">
      <c r="A950" s="165" t="str">
        <f>iferror(VLOOKUP(P950,'DO NOT TOUCH Imported'!$A$1:$D$800,4,False),iferror(VLOOKUP(P950,'DO NOT TOUCH Imported'!$C$1:$D$800,2,False),"OOPS FIX ME"))</f>
        <v>0xJoshua#0888</v>
      </c>
      <c r="B950" s="166" t="s">
        <v>530</v>
      </c>
      <c r="C950" s="167" t="s">
        <v>772</v>
      </c>
      <c r="D950" s="168" t="s">
        <v>499</v>
      </c>
      <c r="E950" s="177" t="s">
        <v>452</v>
      </c>
      <c r="F950" s="168" t="s">
        <v>503</v>
      </c>
      <c r="G950" s="170">
        <v>1000.0</v>
      </c>
      <c r="H950" s="171">
        <v>50.0</v>
      </c>
      <c r="I950" s="171">
        <v>100.0</v>
      </c>
      <c r="J950" s="172">
        <f t="shared" si="57"/>
        <v>0.0005637746898</v>
      </c>
      <c r="K950" s="173">
        <f t="shared" si="58"/>
        <v>0.6765296278</v>
      </c>
      <c r="L950" s="174">
        <f t="shared" si="9"/>
        <v>0.6765296278</v>
      </c>
      <c r="M950" s="175" t="str">
        <f t="shared" si="10"/>
        <v>0xJoshua#0888</v>
      </c>
      <c r="N950" s="176">
        <f>IFERROR(__xludf.DUMMYFUNCTION("""COMPUTED_VALUE"""),1.0)</f>
        <v>1</v>
      </c>
      <c r="O950" s="176"/>
      <c r="P950" s="166" t="s">
        <v>334</v>
      </c>
      <c r="Q950" s="166" t="s">
        <v>530</v>
      </c>
      <c r="R950" s="176"/>
      <c r="S950" s="176"/>
      <c r="T950" s="176"/>
      <c r="U950" s="176"/>
      <c r="V950" s="176"/>
      <c r="W950" s="176"/>
      <c r="X950" s="176"/>
      <c r="Y950" s="176"/>
      <c r="Z950" s="176"/>
      <c r="AA950" s="176"/>
    </row>
    <row r="951">
      <c r="A951" s="165" t="str">
        <f>iferror(VLOOKUP(P951,'DO NOT TOUCH Imported'!$A$1:$D$800,4,False),iferror(VLOOKUP(P951,'DO NOT TOUCH Imported'!$C$1:$D$800,2,False),"OOPS FIX ME"))</f>
        <v>Xlebushek#6643</v>
      </c>
      <c r="B951" s="166" t="s">
        <v>530</v>
      </c>
      <c r="C951" s="167" t="s">
        <v>808</v>
      </c>
      <c r="D951" s="168" t="s">
        <v>499</v>
      </c>
      <c r="E951" s="177" t="s">
        <v>455</v>
      </c>
      <c r="F951" s="168" t="s">
        <v>503</v>
      </c>
      <c r="G951" s="170">
        <v>1000.0</v>
      </c>
      <c r="H951" s="171">
        <v>25.0</v>
      </c>
      <c r="I951" s="171">
        <v>100.0</v>
      </c>
      <c r="J951" s="172">
        <f t="shared" si="57"/>
        <v>0.0004839649562</v>
      </c>
      <c r="K951" s="173">
        <f t="shared" si="58"/>
        <v>0.5807579475</v>
      </c>
      <c r="L951" s="174">
        <f t="shared" si="9"/>
        <v>0.5807579475</v>
      </c>
      <c r="M951" s="175" t="str">
        <f t="shared" si="10"/>
        <v>Xlebushek#6643</v>
      </c>
      <c r="N951" s="176">
        <f>IFERROR(__xludf.DUMMYFUNCTION("""COMPUTED_VALUE"""),1.0)</f>
        <v>1</v>
      </c>
      <c r="O951" s="176"/>
      <c r="P951" s="166" t="s">
        <v>349</v>
      </c>
      <c r="Q951" s="166" t="s">
        <v>530</v>
      </c>
      <c r="R951" s="176"/>
      <c r="S951" s="176"/>
      <c r="T951" s="176"/>
      <c r="U951" s="176"/>
      <c r="V951" s="176"/>
      <c r="W951" s="176"/>
      <c r="X951" s="176"/>
      <c r="Y951" s="176"/>
      <c r="Z951" s="176"/>
      <c r="AA951" s="176"/>
    </row>
    <row r="952">
      <c r="A952" s="165" t="str">
        <f>iferror(VLOOKUP(P952,'DO NOT TOUCH Imported'!$A$1:$D$800,4,False),iferror(VLOOKUP(P952,'DO NOT TOUCH Imported'!$C$1:$D$800,2,False),"OOPS FIX ME"))</f>
        <v>tian#6241</v>
      </c>
      <c r="B952" s="166" t="s">
        <v>530</v>
      </c>
      <c r="C952" s="167" t="s">
        <v>808</v>
      </c>
      <c r="D952" s="168" t="s">
        <v>499</v>
      </c>
      <c r="E952" s="169" t="s">
        <v>455</v>
      </c>
      <c r="F952" s="168" t="s">
        <v>503</v>
      </c>
      <c r="G952" s="170">
        <v>1000.0</v>
      </c>
      <c r="H952" s="171">
        <v>25.0</v>
      </c>
      <c r="I952" s="171">
        <v>100.0</v>
      </c>
      <c r="J952" s="172">
        <f t="shared" si="57"/>
        <v>0.0004839649562</v>
      </c>
      <c r="K952" s="173">
        <f t="shared" si="58"/>
        <v>0.5807579475</v>
      </c>
      <c r="L952" s="174">
        <f t="shared" si="9"/>
        <v>0.5807579475</v>
      </c>
      <c r="M952" s="175" t="str">
        <f t="shared" si="10"/>
        <v>tian#6241</v>
      </c>
      <c r="N952" s="176">
        <f>IFERROR(__xludf.DUMMYFUNCTION("""COMPUTED_VALUE"""),1.0)</f>
        <v>1</v>
      </c>
      <c r="O952" s="176"/>
      <c r="P952" s="166" t="s">
        <v>350</v>
      </c>
      <c r="Q952" s="166" t="s">
        <v>530</v>
      </c>
      <c r="R952" s="176"/>
      <c r="S952" s="176"/>
      <c r="T952" s="176"/>
      <c r="U952" s="176"/>
      <c r="V952" s="176"/>
      <c r="W952" s="176"/>
      <c r="X952" s="176"/>
      <c r="Y952" s="176"/>
      <c r="Z952" s="176"/>
      <c r="AA952" s="176"/>
    </row>
    <row r="953">
      <c r="A953" s="165" t="str">
        <f>iferror(VLOOKUP(P953,'DO NOT TOUCH Imported'!$A$1:$D$800,4,False),iferror(VLOOKUP(P953,'DO NOT TOUCH Imported'!$C$1:$D$800,2,False),"OOPS FIX ME"))</f>
        <v>kaptan48#3044</v>
      </c>
      <c r="B953" s="166" t="s">
        <v>530</v>
      </c>
      <c r="C953" s="167" t="s">
        <v>808</v>
      </c>
      <c r="D953" s="168" t="s">
        <v>499</v>
      </c>
      <c r="E953" s="177" t="s">
        <v>455</v>
      </c>
      <c r="F953" s="168" t="s">
        <v>503</v>
      </c>
      <c r="G953" s="170">
        <v>1000.0</v>
      </c>
      <c r="H953" s="171">
        <v>25.0</v>
      </c>
      <c r="I953" s="171">
        <v>100.0</v>
      </c>
      <c r="J953" s="172">
        <f t="shared" si="57"/>
        <v>0.0004839649562</v>
      </c>
      <c r="K953" s="173">
        <f t="shared" si="58"/>
        <v>0.5807579475</v>
      </c>
      <c r="L953" s="174">
        <f t="shared" si="9"/>
        <v>0.5807579475</v>
      </c>
      <c r="M953" s="175" t="str">
        <f t="shared" si="10"/>
        <v>kaptan48#3044</v>
      </c>
      <c r="N953" s="176">
        <f>IFERROR(__xludf.DUMMYFUNCTION("""COMPUTED_VALUE"""),1.0)</f>
        <v>1</v>
      </c>
      <c r="O953" s="176"/>
      <c r="P953" s="166" t="s">
        <v>351</v>
      </c>
      <c r="Q953" s="166" t="s">
        <v>530</v>
      </c>
      <c r="R953" s="176"/>
      <c r="S953" s="176"/>
      <c r="T953" s="176"/>
      <c r="U953" s="176"/>
      <c r="V953" s="176"/>
      <c r="W953" s="176"/>
      <c r="X953" s="176"/>
      <c r="Y953" s="176"/>
      <c r="Z953" s="176"/>
      <c r="AA953" s="176"/>
    </row>
    <row r="954">
      <c r="A954" s="165" t="str">
        <f>iferror(VLOOKUP(P954,'DO NOT TOUCH Imported'!$A$1:$D$800,4,False),iferror(VLOOKUP(P954,'DO NOT TOUCH Imported'!$C$1:$D$800,2,False),"OOPS FIX ME"))</f>
        <v>jantanner#2104</v>
      </c>
      <c r="B954" s="166" t="s">
        <v>530</v>
      </c>
      <c r="C954" s="167" t="s">
        <v>808</v>
      </c>
      <c r="D954" s="168" t="s">
        <v>499</v>
      </c>
      <c r="E954" s="177" t="s">
        <v>455</v>
      </c>
      <c r="F954" s="168" t="s">
        <v>503</v>
      </c>
      <c r="G954" s="170">
        <v>1000.0</v>
      </c>
      <c r="H954" s="171">
        <v>25.0</v>
      </c>
      <c r="I954" s="171">
        <v>100.0</v>
      </c>
      <c r="J954" s="172">
        <f t="shared" si="57"/>
        <v>0.0004839649562</v>
      </c>
      <c r="K954" s="173">
        <f t="shared" si="58"/>
        <v>0.5807579475</v>
      </c>
      <c r="L954" s="174">
        <f t="shared" si="9"/>
        <v>0.5807579475</v>
      </c>
      <c r="M954" s="175" t="str">
        <f t="shared" si="10"/>
        <v>jantanner#2104</v>
      </c>
      <c r="N954" s="176">
        <f>IFERROR(__xludf.DUMMYFUNCTION("""COMPUTED_VALUE"""),1.0)</f>
        <v>1</v>
      </c>
      <c r="O954" s="176"/>
      <c r="P954" s="166" t="s">
        <v>352</v>
      </c>
      <c r="Q954" s="166" t="s">
        <v>530</v>
      </c>
      <c r="R954" s="176"/>
      <c r="S954" s="176"/>
      <c r="T954" s="176"/>
      <c r="U954" s="176"/>
      <c r="V954" s="176"/>
      <c r="W954" s="176"/>
      <c r="X954" s="176"/>
      <c r="Y954" s="176"/>
      <c r="Z954" s="176"/>
      <c r="AA954" s="176"/>
    </row>
    <row r="955">
      <c r="A955" s="165" t="str">
        <f>iferror(VLOOKUP(P955,'DO NOT TOUCH Imported'!$A$1:$D$800,4,False),iferror(VLOOKUP(P955,'DO NOT TOUCH Imported'!$C$1:$D$800,2,False),"OOPS FIX ME"))</f>
        <v>jahed#1529</v>
      </c>
      <c r="B955" s="166" t="s">
        <v>530</v>
      </c>
      <c r="C955" s="167" t="s">
        <v>808</v>
      </c>
      <c r="D955" s="168" t="s">
        <v>499</v>
      </c>
      <c r="E955" s="169" t="s">
        <v>455</v>
      </c>
      <c r="F955" s="168" t="s">
        <v>503</v>
      </c>
      <c r="G955" s="170">
        <v>1000.0</v>
      </c>
      <c r="H955" s="171">
        <v>25.0</v>
      </c>
      <c r="I955" s="171">
        <v>100.0</v>
      </c>
      <c r="J955" s="172">
        <f t="shared" si="57"/>
        <v>0.0004839649562</v>
      </c>
      <c r="K955" s="173">
        <f t="shared" si="58"/>
        <v>0.5807579475</v>
      </c>
      <c r="L955" s="174">
        <f t="shared" si="9"/>
        <v>0.5807579475</v>
      </c>
      <c r="M955" s="175" t="str">
        <f t="shared" si="10"/>
        <v>jahed#1529</v>
      </c>
      <c r="N955" s="176">
        <f>IFERROR(__xludf.DUMMYFUNCTION("""COMPUTED_VALUE"""),1.0)</f>
        <v>1</v>
      </c>
      <c r="O955" s="176"/>
      <c r="P955" s="166" t="s">
        <v>353</v>
      </c>
      <c r="Q955" s="166" t="s">
        <v>530</v>
      </c>
      <c r="R955" s="176"/>
      <c r="S955" s="176"/>
      <c r="T955" s="176"/>
      <c r="U955" s="176"/>
      <c r="V955" s="176"/>
      <c r="W955" s="176"/>
      <c r="X955" s="176"/>
      <c r="Y955" s="176"/>
      <c r="Z955" s="176"/>
      <c r="AA955" s="176"/>
    </row>
    <row r="956">
      <c r="A956" s="165" t="str">
        <f>iferror(VLOOKUP(P956,'DO NOT TOUCH Imported'!$A$1:$D$800,4,False),iferror(VLOOKUP(P956,'DO NOT TOUCH Imported'!$C$1:$D$800,2,False),"OOPS FIX ME"))</f>
        <v>GOOMBZ#3280</v>
      </c>
      <c r="B956" s="166" t="s">
        <v>530</v>
      </c>
      <c r="C956" s="167" t="s">
        <v>808</v>
      </c>
      <c r="D956" s="168" t="s">
        <v>499</v>
      </c>
      <c r="E956" s="169" t="s">
        <v>455</v>
      </c>
      <c r="F956" s="168" t="s">
        <v>503</v>
      </c>
      <c r="G956" s="170">
        <v>1000.0</v>
      </c>
      <c r="H956" s="171">
        <v>25.0</v>
      </c>
      <c r="I956" s="171">
        <v>100.0</v>
      </c>
      <c r="J956" s="172">
        <f t="shared" si="57"/>
        <v>0.0004839649562</v>
      </c>
      <c r="K956" s="173">
        <f t="shared" si="58"/>
        <v>0.5807579475</v>
      </c>
      <c r="L956" s="174">
        <f t="shared" si="9"/>
        <v>0.5807579475</v>
      </c>
      <c r="M956" s="175" t="str">
        <f t="shared" si="10"/>
        <v>GOOMBZ#3280</v>
      </c>
      <c r="N956" s="176">
        <f>IFERROR(__xludf.DUMMYFUNCTION("""COMPUTED_VALUE"""),1.0)</f>
        <v>1</v>
      </c>
      <c r="O956" s="176"/>
      <c r="P956" s="166" t="s">
        <v>354</v>
      </c>
      <c r="Q956" s="166" t="s">
        <v>530</v>
      </c>
      <c r="R956" s="176"/>
      <c r="S956" s="176"/>
      <c r="T956" s="176"/>
      <c r="U956" s="176"/>
      <c r="V956" s="176"/>
      <c r="W956" s="176"/>
      <c r="X956" s="176"/>
      <c r="Y956" s="176"/>
      <c r="Z956" s="176"/>
      <c r="AA956" s="176"/>
    </row>
    <row r="957">
      <c r="A957" s="165" t="str">
        <f>iferror(VLOOKUP(P957,'DO NOT TOUCH Imported'!$A$1:$D$800,4,False),iferror(VLOOKUP(P957,'DO NOT TOUCH Imported'!$C$1:$D$800,2,False),"OOPS FIX ME"))</f>
        <v>fakepixels#6258</v>
      </c>
      <c r="B957" s="166" t="s">
        <v>530</v>
      </c>
      <c r="C957" s="167" t="s">
        <v>808</v>
      </c>
      <c r="D957" s="168" t="s">
        <v>499</v>
      </c>
      <c r="E957" s="169" t="s">
        <v>455</v>
      </c>
      <c r="F957" s="168" t="s">
        <v>503</v>
      </c>
      <c r="G957" s="170">
        <v>1000.0</v>
      </c>
      <c r="H957" s="171">
        <v>25.0</v>
      </c>
      <c r="I957" s="171">
        <v>100.0</v>
      </c>
      <c r="J957" s="172">
        <f t="shared" si="57"/>
        <v>0.0004839649562</v>
      </c>
      <c r="K957" s="173">
        <f t="shared" si="58"/>
        <v>0.5807579475</v>
      </c>
      <c r="L957" s="174">
        <f t="shared" si="9"/>
        <v>0.5807579475</v>
      </c>
      <c r="M957" s="175" t="str">
        <f t="shared" si="10"/>
        <v>fakepixels#6258</v>
      </c>
      <c r="N957" s="176">
        <f>IFERROR(__xludf.DUMMYFUNCTION("""COMPUTED_VALUE"""),1.0)</f>
        <v>1</v>
      </c>
      <c r="O957" s="176"/>
      <c r="P957" s="166" t="s">
        <v>355</v>
      </c>
      <c r="Q957" s="166" t="s">
        <v>530</v>
      </c>
      <c r="R957" s="176"/>
      <c r="S957" s="176"/>
      <c r="T957" s="176"/>
      <c r="U957" s="176"/>
      <c r="V957" s="176"/>
      <c r="W957" s="176"/>
      <c r="X957" s="176"/>
      <c r="Y957" s="176"/>
      <c r="Z957" s="176"/>
      <c r="AA957" s="176"/>
    </row>
    <row r="958">
      <c r="A958" s="165" t="str">
        <f>iferror(VLOOKUP(P958,'DO NOT TOUCH Imported'!$A$1:$D$800,4,False),iferror(VLOOKUP(P958,'DO NOT TOUCH Imported'!$C$1:$D$800,2,False),"OOPS FIX ME"))</f>
        <v>XQTStrategy</v>
      </c>
      <c r="B958" s="178" t="s">
        <v>10</v>
      </c>
      <c r="C958" s="179" t="s">
        <v>500</v>
      </c>
      <c r="D958" s="180" t="s">
        <v>495</v>
      </c>
      <c r="E958" s="181">
        <v>44324.0</v>
      </c>
      <c r="F958" s="182" t="s">
        <v>496</v>
      </c>
      <c r="G958" s="170">
        <v>500.0</v>
      </c>
      <c r="H958" s="171">
        <v>25.0</v>
      </c>
      <c r="I958" s="171">
        <v>100.0</v>
      </c>
      <c r="J958" s="172">
        <f t="shared" si="57"/>
        <v>0.0004317674408</v>
      </c>
      <c r="K958" s="173">
        <f t="shared" si="58"/>
        <v>0.518120929</v>
      </c>
      <c r="L958" s="174">
        <f t="shared" si="9"/>
        <v>0.518120929</v>
      </c>
      <c r="M958" s="175" t="str">
        <f t="shared" si="10"/>
        <v>XQTStrategy</v>
      </c>
      <c r="N958" s="176">
        <f>IFERROR(__xludf.DUMMYFUNCTION("""COMPUTED_VALUE"""),1.0)</f>
        <v>1</v>
      </c>
      <c r="O958" s="176"/>
      <c r="P958" s="183" t="s">
        <v>211</v>
      </c>
      <c r="Q958" s="178" t="s">
        <v>10</v>
      </c>
      <c r="R958" s="176"/>
      <c r="S958" s="176"/>
      <c r="T958" s="176"/>
      <c r="U958" s="176"/>
      <c r="V958" s="176"/>
      <c r="W958" s="176"/>
      <c r="X958" s="176"/>
      <c r="Y958" s="176"/>
      <c r="Z958" s="176"/>
      <c r="AA958" s="176"/>
    </row>
    <row r="959">
      <c r="A959" s="165" t="str">
        <f>iferror(VLOOKUP(P959,'DO NOT TOUCH Imported'!$A$1:$D$800,4,False),iferror(VLOOKUP(P959,'DO NOT TOUCH Imported'!$C$1:$D$800,2,False),"OOPS FIX ME"))</f>
        <v>willruddick</v>
      </c>
      <c r="B959" s="178" t="s">
        <v>10</v>
      </c>
      <c r="C959" s="179" t="s">
        <v>500</v>
      </c>
      <c r="D959" s="180" t="s">
        <v>495</v>
      </c>
      <c r="E959" s="181">
        <v>44324.0</v>
      </c>
      <c r="F959" s="182" t="s">
        <v>496</v>
      </c>
      <c r="G959" s="170">
        <v>500.0</v>
      </c>
      <c r="H959" s="171">
        <v>25.0</v>
      </c>
      <c r="I959" s="171">
        <v>100.0</v>
      </c>
      <c r="J959" s="172">
        <f t="shared" si="57"/>
        <v>0.0004317674408</v>
      </c>
      <c r="K959" s="173">
        <f t="shared" si="58"/>
        <v>0.518120929</v>
      </c>
      <c r="L959" s="174">
        <f t="shared" si="9"/>
        <v>0.518120929</v>
      </c>
      <c r="M959" s="175" t="str">
        <f t="shared" si="10"/>
        <v>willruddick</v>
      </c>
      <c r="N959" s="176">
        <f>IFERROR(__xludf.DUMMYFUNCTION("""COMPUTED_VALUE"""),1.0)</f>
        <v>1</v>
      </c>
      <c r="O959" s="176"/>
      <c r="P959" s="183" t="s">
        <v>170</v>
      </c>
      <c r="Q959" s="178" t="s">
        <v>10</v>
      </c>
      <c r="R959" s="176"/>
      <c r="S959" s="176"/>
      <c r="T959" s="176"/>
      <c r="U959" s="176"/>
      <c r="V959" s="176"/>
      <c r="W959" s="176"/>
      <c r="X959" s="176"/>
      <c r="Y959" s="176"/>
      <c r="Z959" s="176"/>
      <c r="AA959" s="176"/>
    </row>
    <row r="960">
      <c r="A960" s="165" t="str">
        <f>iferror(VLOOKUP(P960,'DO NOT TOUCH Imported'!$A$1:$D$800,4,False),iferror(VLOOKUP(P960,'DO NOT TOUCH Imported'!$C$1:$D$800,2,False),"OOPS FIX ME"))</f>
        <v>unquaLe</v>
      </c>
      <c r="B960" s="178" t="s">
        <v>10</v>
      </c>
      <c r="C960" s="179" t="s">
        <v>498</v>
      </c>
      <c r="D960" s="180" t="s">
        <v>495</v>
      </c>
      <c r="E960" s="184">
        <v>44316.0</v>
      </c>
      <c r="F960" s="182" t="s">
        <v>499</v>
      </c>
      <c r="G960" s="170">
        <v>500.0</v>
      </c>
      <c r="H960" s="171">
        <v>25.0</v>
      </c>
      <c r="I960" s="171">
        <v>100.0</v>
      </c>
      <c r="J960" s="172">
        <f t="shared" si="57"/>
        <v>0.0004317674408</v>
      </c>
      <c r="K960" s="173">
        <f t="shared" si="58"/>
        <v>0.518120929</v>
      </c>
      <c r="L960" s="174">
        <f t="shared" si="9"/>
        <v>0.518120929</v>
      </c>
      <c r="M960" s="175" t="str">
        <f t="shared" si="10"/>
        <v>unquaLe</v>
      </c>
      <c r="N960" s="176">
        <f>IFERROR(__xludf.DUMMYFUNCTION("""COMPUTED_VALUE"""),1.0)</f>
        <v>1</v>
      </c>
      <c r="O960" s="176"/>
      <c r="P960" s="183" t="s">
        <v>131</v>
      </c>
      <c r="Q960" s="178" t="s">
        <v>10</v>
      </c>
      <c r="R960" s="176"/>
      <c r="S960" s="176"/>
      <c r="T960" s="176"/>
      <c r="U960" s="176"/>
      <c r="V960" s="176"/>
      <c r="W960" s="176"/>
      <c r="X960" s="176"/>
      <c r="Y960" s="176"/>
      <c r="Z960" s="176"/>
      <c r="AA960" s="176"/>
    </row>
    <row r="961">
      <c r="A961" s="165" t="str">
        <f>iferror(VLOOKUP(P961,'DO NOT TOUCH Imported'!$A$1:$D$800,4,False),iferror(VLOOKUP(P961,'DO NOT TOUCH Imported'!$C$1:$D$800,2,False),"OOPS FIX ME"))</f>
        <v>tunoncedemalis</v>
      </c>
      <c r="B961" s="178" t="s">
        <v>10</v>
      </c>
      <c r="C961" s="179" t="s">
        <v>498</v>
      </c>
      <c r="D961" s="180" t="s">
        <v>495</v>
      </c>
      <c r="E961" s="181">
        <v>44323.0</v>
      </c>
      <c r="F961" s="182" t="s">
        <v>499</v>
      </c>
      <c r="G961" s="170">
        <v>500.0</v>
      </c>
      <c r="H961" s="171">
        <v>25.0</v>
      </c>
      <c r="I961" s="171">
        <v>100.0</v>
      </c>
      <c r="J961" s="172">
        <f t="shared" si="57"/>
        <v>0.0004317674408</v>
      </c>
      <c r="K961" s="173">
        <f t="shared" si="58"/>
        <v>0.518120929</v>
      </c>
      <c r="L961" s="174">
        <f t="shared" si="9"/>
        <v>0.518120929</v>
      </c>
      <c r="M961" s="175" t="str">
        <f t="shared" si="10"/>
        <v>tunoncedemalis</v>
      </c>
      <c r="N961" s="176">
        <f>IFERROR(__xludf.DUMMYFUNCTION("""COMPUTED_VALUE"""),1.0)</f>
        <v>1</v>
      </c>
      <c r="O961" s="176"/>
      <c r="P961" s="183" t="s">
        <v>254</v>
      </c>
      <c r="Q961" s="178" t="s">
        <v>10</v>
      </c>
      <c r="R961" s="176"/>
      <c r="S961" s="176"/>
      <c r="T961" s="176"/>
      <c r="U961" s="176"/>
      <c r="V961" s="176"/>
      <c r="W961" s="176"/>
      <c r="X961" s="176"/>
      <c r="Y961" s="176"/>
      <c r="Z961" s="176"/>
      <c r="AA961" s="176"/>
    </row>
    <row r="962">
      <c r="A962" s="165" t="str">
        <f>iferror(VLOOKUP(P962,'DO NOT TOUCH Imported'!$A$1:$D$800,4,False),iferror(VLOOKUP(P962,'DO NOT TOUCH Imported'!$C$1:$D$800,2,False),"OOPS FIX ME"))</f>
        <v>sepu85</v>
      </c>
      <c r="B962" s="178" t="s">
        <v>10</v>
      </c>
      <c r="C962" s="179" t="s">
        <v>498</v>
      </c>
      <c r="D962" s="180" t="s">
        <v>495</v>
      </c>
      <c r="E962" s="184">
        <v>44316.0</v>
      </c>
      <c r="F962" s="182" t="s">
        <v>499</v>
      </c>
      <c r="G962" s="170">
        <v>500.0</v>
      </c>
      <c r="H962" s="171">
        <v>25.0</v>
      </c>
      <c r="I962" s="171">
        <v>100.0</v>
      </c>
      <c r="J962" s="172">
        <f t="shared" si="57"/>
        <v>0.0004317674408</v>
      </c>
      <c r="K962" s="173">
        <f t="shared" si="58"/>
        <v>0.518120929</v>
      </c>
      <c r="L962" s="174">
        <f t="shared" si="9"/>
        <v>0.518120929</v>
      </c>
      <c r="M962" s="175" t="str">
        <f t="shared" si="10"/>
        <v>sepu85</v>
      </c>
      <c r="N962" s="176">
        <f>IFERROR(__xludf.DUMMYFUNCTION("""COMPUTED_VALUE"""),1.0)</f>
        <v>1</v>
      </c>
      <c r="O962" s="176"/>
      <c r="P962" s="183" t="s">
        <v>120</v>
      </c>
      <c r="Q962" s="178" t="s">
        <v>10</v>
      </c>
      <c r="R962" s="176"/>
      <c r="S962" s="176"/>
      <c r="T962" s="176"/>
      <c r="U962" s="176"/>
      <c r="V962" s="176"/>
      <c r="W962" s="176"/>
      <c r="X962" s="176"/>
      <c r="Y962" s="176"/>
      <c r="Z962" s="176"/>
      <c r="AA962" s="176"/>
    </row>
    <row r="963">
      <c r="A963" s="165" t="str">
        <f>iferror(VLOOKUP(P963,'DO NOT TOUCH Imported'!$A$1:$D$800,4,False),iferror(VLOOKUP(P963,'DO NOT TOUCH Imported'!$C$1:$D$800,2,False),"OOPS FIX ME"))</f>
        <v>positonic</v>
      </c>
      <c r="B963" s="178" t="s">
        <v>10</v>
      </c>
      <c r="C963" s="179" t="s">
        <v>500</v>
      </c>
      <c r="D963" s="180" t="s">
        <v>495</v>
      </c>
      <c r="E963" s="181">
        <v>44324.0</v>
      </c>
      <c r="F963" s="182" t="s">
        <v>496</v>
      </c>
      <c r="G963" s="170">
        <v>500.0</v>
      </c>
      <c r="H963" s="171">
        <v>25.0</v>
      </c>
      <c r="I963" s="171">
        <v>100.0</v>
      </c>
      <c r="J963" s="172">
        <f t="shared" si="57"/>
        <v>0.0004317674408</v>
      </c>
      <c r="K963" s="173">
        <f t="shared" si="58"/>
        <v>0.518120929</v>
      </c>
      <c r="L963" s="174">
        <f t="shared" si="9"/>
        <v>0.518120929</v>
      </c>
      <c r="M963" s="175" t="str">
        <f t="shared" si="10"/>
        <v>positonic</v>
      </c>
      <c r="N963" s="176">
        <f>IFERROR(__xludf.DUMMYFUNCTION("""COMPUTED_VALUE"""),1.0)</f>
        <v>1</v>
      </c>
      <c r="O963" s="176"/>
      <c r="P963" s="183" t="s">
        <v>159</v>
      </c>
      <c r="Q963" s="178" t="s">
        <v>10</v>
      </c>
      <c r="R963" s="176"/>
      <c r="S963" s="176"/>
      <c r="T963" s="176"/>
      <c r="U963" s="176"/>
      <c r="V963" s="176"/>
      <c r="W963" s="176"/>
      <c r="X963" s="176"/>
      <c r="Y963" s="176"/>
      <c r="Z963" s="176"/>
      <c r="AA963" s="176"/>
    </row>
    <row r="964">
      <c r="A964" s="165" t="str">
        <f>iferror(VLOOKUP(P964,'DO NOT TOUCH Imported'!$A$1:$D$800,4,False),iferror(VLOOKUP(P964,'DO NOT TOUCH Imported'!$C$1:$D$800,2,False),"OOPS FIX ME"))</f>
        <v>OKDuncan</v>
      </c>
      <c r="B964" s="178" t="s">
        <v>10</v>
      </c>
      <c r="C964" s="179" t="s">
        <v>498</v>
      </c>
      <c r="D964" s="180" t="s">
        <v>495</v>
      </c>
      <c r="E964" s="181">
        <v>44323.0</v>
      </c>
      <c r="F964" s="182" t="s">
        <v>499</v>
      </c>
      <c r="G964" s="170">
        <v>500.0</v>
      </c>
      <c r="H964" s="171">
        <v>25.0</v>
      </c>
      <c r="I964" s="171">
        <v>100.0</v>
      </c>
      <c r="J964" s="172">
        <f t="shared" si="57"/>
        <v>0.0004317674408</v>
      </c>
      <c r="K964" s="173">
        <f t="shared" si="58"/>
        <v>0.518120929</v>
      </c>
      <c r="L964" s="174">
        <f t="shared" si="9"/>
        <v>0.518120929</v>
      </c>
      <c r="M964" s="175" t="str">
        <f t="shared" si="10"/>
        <v>OKDuncan</v>
      </c>
      <c r="N964" s="176">
        <f>IFERROR(__xludf.DUMMYFUNCTION("""COMPUTED_VALUE"""),1.0)</f>
        <v>1</v>
      </c>
      <c r="O964" s="176"/>
      <c r="P964" s="183" t="s">
        <v>864</v>
      </c>
      <c r="Q964" s="178" t="s">
        <v>10</v>
      </c>
      <c r="R964" s="176"/>
      <c r="S964" s="176"/>
      <c r="T964" s="176"/>
      <c r="U964" s="176"/>
      <c r="V964" s="176"/>
      <c r="W964" s="176"/>
      <c r="X964" s="176"/>
      <c r="Y964" s="176"/>
      <c r="Z964" s="176"/>
      <c r="AA964" s="176"/>
    </row>
    <row r="965">
      <c r="A965" s="165" t="str">
        <f>iferror(VLOOKUP(P965,'DO NOT TOUCH Imported'!$A$1:$D$800,4,False),iferror(VLOOKUP(P965,'DO NOT TOUCH Imported'!$C$1:$D$800,2,False),"OOPS FIX ME"))</f>
        <v>Leanne#9678</v>
      </c>
      <c r="B965" s="166" t="s">
        <v>441</v>
      </c>
      <c r="C965" s="167" t="s">
        <v>572</v>
      </c>
      <c r="D965" s="168" t="s">
        <v>499</v>
      </c>
      <c r="E965" s="169" t="s">
        <v>447</v>
      </c>
      <c r="F965" s="168" t="s">
        <v>503</v>
      </c>
      <c r="G965" s="170">
        <v>500.0</v>
      </c>
      <c r="H965" s="171">
        <v>25.0</v>
      </c>
      <c r="I965" s="171">
        <v>100.0</v>
      </c>
      <c r="J965" s="172">
        <f t="shared" si="57"/>
        <v>0.0004317674408</v>
      </c>
      <c r="K965" s="173">
        <f t="shared" si="58"/>
        <v>0.518120929</v>
      </c>
      <c r="L965" s="174">
        <f t="shared" si="9"/>
        <v>0.518120929</v>
      </c>
      <c r="M965" s="175" t="str">
        <f t="shared" si="10"/>
        <v>Leanne#9678</v>
      </c>
      <c r="N965" s="176">
        <f>IFERROR(__xludf.DUMMYFUNCTION("""COMPUTED_VALUE"""),1.0)</f>
        <v>1</v>
      </c>
      <c r="O965" s="176"/>
      <c r="P965" s="166" t="s">
        <v>358</v>
      </c>
      <c r="Q965" s="166" t="s">
        <v>441</v>
      </c>
      <c r="R965" s="176"/>
      <c r="S965" s="176"/>
      <c r="T965" s="176"/>
      <c r="U965" s="176"/>
      <c r="V965" s="176"/>
      <c r="W965" s="176"/>
      <c r="X965" s="176"/>
      <c r="Y965" s="176"/>
      <c r="Z965" s="176"/>
      <c r="AA965" s="176"/>
    </row>
    <row r="966">
      <c r="A966" s="165" t="str">
        <f>iferror(VLOOKUP(P966,'DO NOT TOUCH Imported'!$A$1:$D$800,4,False),iferror(VLOOKUP(P966,'DO NOT TOUCH Imported'!$C$1:$D$800,2,False),"OOPS FIX ME"))</f>
        <v>krrisis</v>
      </c>
      <c r="B966" s="178" t="s">
        <v>10</v>
      </c>
      <c r="C966" s="179" t="s">
        <v>498</v>
      </c>
      <c r="D966" s="180" t="s">
        <v>495</v>
      </c>
      <c r="E966" s="184">
        <v>44316.0</v>
      </c>
      <c r="F966" s="182" t="s">
        <v>499</v>
      </c>
      <c r="G966" s="170">
        <v>500.0</v>
      </c>
      <c r="H966" s="171">
        <v>25.0</v>
      </c>
      <c r="I966" s="171">
        <v>100.0</v>
      </c>
      <c r="J966" s="172">
        <f t="shared" si="57"/>
        <v>0.0004317674408</v>
      </c>
      <c r="K966" s="173">
        <f t="shared" si="58"/>
        <v>0.518120929</v>
      </c>
      <c r="L966" s="174">
        <f t="shared" si="9"/>
        <v>0.518120929</v>
      </c>
      <c r="M966" s="175" t="str">
        <f t="shared" si="10"/>
        <v>krrisis</v>
      </c>
      <c r="N966" s="176">
        <f>IFERROR(__xludf.DUMMYFUNCTION("""COMPUTED_VALUE"""),1.0)</f>
        <v>1</v>
      </c>
      <c r="O966" s="176"/>
      <c r="P966" s="183" t="s">
        <v>77</v>
      </c>
      <c r="Q966" s="178" t="s">
        <v>10</v>
      </c>
      <c r="R966" s="176"/>
      <c r="S966" s="176"/>
      <c r="T966" s="176"/>
      <c r="U966" s="176"/>
      <c r="V966" s="176"/>
      <c r="W966" s="176"/>
      <c r="X966" s="176"/>
      <c r="Y966" s="176"/>
      <c r="Z966" s="176"/>
      <c r="AA966" s="176"/>
    </row>
    <row r="967">
      <c r="A967" s="165" t="str">
        <f>iferror(VLOOKUP(P967,'DO NOT TOUCH Imported'!$A$1:$D$800,4,False),iferror(VLOOKUP(P967,'DO NOT TOUCH Imported'!$C$1:$D$800,2,False),"OOPS FIX ME"))</f>
        <v>JoeEchidna</v>
      </c>
      <c r="B967" s="178" t="s">
        <v>10</v>
      </c>
      <c r="C967" s="179" t="s">
        <v>498</v>
      </c>
      <c r="D967" s="180" t="s">
        <v>495</v>
      </c>
      <c r="E967" s="181">
        <v>44323.0</v>
      </c>
      <c r="F967" s="182" t="s">
        <v>499</v>
      </c>
      <c r="G967" s="170">
        <v>500.0</v>
      </c>
      <c r="H967" s="171">
        <v>25.0</v>
      </c>
      <c r="I967" s="171">
        <v>100.0</v>
      </c>
      <c r="J967" s="172">
        <f t="shared" si="57"/>
        <v>0.0004317674408</v>
      </c>
      <c r="K967" s="173">
        <f t="shared" si="58"/>
        <v>0.518120929</v>
      </c>
      <c r="L967" s="174">
        <f t="shared" si="9"/>
        <v>0.518120929</v>
      </c>
      <c r="M967" s="175" t="str">
        <f t="shared" si="10"/>
        <v>JoeEchidna</v>
      </c>
      <c r="N967" s="176">
        <f>IFERROR(__xludf.DUMMYFUNCTION("""COMPUTED_VALUE"""),1.0)</f>
        <v>1</v>
      </c>
      <c r="O967" s="176"/>
      <c r="P967" s="183" t="s">
        <v>865</v>
      </c>
      <c r="Q967" s="178" t="s">
        <v>10</v>
      </c>
      <c r="R967" s="176"/>
      <c r="S967" s="176"/>
      <c r="T967" s="176"/>
      <c r="U967" s="176"/>
      <c r="V967" s="176"/>
      <c r="W967" s="176"/>
      <c r="X967" s="176"/>
      <c r="Y967" s="176"/>
      <c r="Z967" s="176"/>
      <c r="AA967" s="176"/>
    </row>
    <row r="968">
      <c r="A968" s="165" t="str">
        <f>iferror(VLOOKUP(P968,'DO NOT TOUCH Imported'!$A$1:$D$800,4,False),iferror(VLOOKUP(P968,'DO NOT TOUCH Imported'!$C$1:$D$800,2,False),"OOPS FIX ME"))</f>
        <v>cpt_grog</v>
      </c>
      <c r="B968" s="178" t="s">
        <v>10</v>
      </c>
      <c r="C968" s="179" t="s">
        <v>498</v>
      </c>
      <c r="D968" s="180" t="s">
        <v>495</v>
      </c>
      <c r="E968" s="184">
        <v>44316.0</v>
      </c>
      <c r="F968" s="182" t="s">
        <v>499</v>
      </c>
      <c r="G968" s="170">
        <v>500.0</v>
      </c>
      <c r="H968" s="171">
        <v>25.0</v>
      </c>
      <c r="I968" s="171">
        <v>100.0</v>
      </c>
      <c r="J968" s="172">
        <f t="shared" si="57"/>
        <v>0.0004317674408</v>
      </c>
      <c r="K968" s="173">
        <f t="shared" si="58"/>
        <v>0.518120929</v>
      </c>
      <c r="L968" s="174">
        <f t="shared" si="9"/>
        <v>0.518120929</v>
      </c>
      <c r="M968" s="175" t="str">
        <f t="shared" si="10"/>
        <v>cpt_grog</v>
      </c>
      <c r="N968" s="176">
        <f>IFERROR(__xludf.DUMMYFUNCTION("""COMPUTED_VALUE"""),1.0)</f>
        <v>1</v>
      </c>
      <c r="O968" s="176"/>
      <c r="P968" s="183" t="s">
        <v>144</v>
      </c>
      <c r="Q968" s="178" t="s">
        <v>10</v>
      </c>
      <c r="R968" s="176"/>
      <c r="S968" s="176"/>
      <c r="T968" s="176"/>
      <c r="U968" s="176"/>
      <c r="V968" s="176"/>
      <c r="W968" s="176"/>
      <c r="X968" s="176"/>
      <c r="Y968" s="176"/>
      <c r="Z968" s="176"/>
      <c r="AA968" s="176"/>
    </row>
    <row r="969">
      <c r="A969" s="165" t="str">
        <f>iferror(VLOOKUP(P969,'DO NOT TOUCH Imported'!$A$1:$D$800,4,False),iferror(VLOOKUP(P969,'DO NOT TOUCH Imported'!$C$1:$D$800,2,False),"OOPS FIX ME"))</f>
        <v>CoachB</v>
      </c>
      <c r="B969" s="178" t="s">
        <v>10</v>
      </c>
      <c r="C969" s="179" t="s">
        <v>498</v>
      </c>
      <c r="D969" s="180" t="s">
        <v>495</v>
      </c>
      <c r="E969" s="184">
        <v>44316.0</v>
      </c>
      <c r="F969" s="182" t="s">
        <v>499</v>
      </c>
      <c r="G969" s="170">
        <v>500.0</v>
      </c>
      <c r="H969" s="171">
        <v>25.0</v>
      </c>
      <c r="I969" s="171">
        <v>100.0</v>
      </c>
      <c r="J969" s="172">
        <f t="shared" si="57"/>
        <v>0.0004317674408</v>
      </c>
      <c r="K969" s="173">
        <f t="shared" si="58"/>
        <v>0.518120929</v>
      </c>
      <c r="L969" s="174">
        <f t="shared" si="9"/>
        <v>0.518120929</v>
      </c>
      <c r="M969" s="175" t="str">
        <f t="shared" si="10"/>
        <v>CoachB</v>
      </c>
      <c r="N969" s="176">
        <f>IFERROR(__xludf.DUMMYFUNCTION("""COMPUTED_VALUE"""),1.0)</f>
        <v>1</v>
      </c>
      <c r="O969" s="176"/>
      <c r="P969" s="183" t="s">
        <v>104</v>
      </c>
      <c r="Q969" s="178" t="s">
        <v>10</v>
      </c>
      <c r="R969" s="176"/>
      <c r="S969" s="176"/>
      <c r="T969" s="176"/>
      <c r="U969" s="176"/>
      <c r="V969" s="176"/>
      <c r="W969" s="176"/>
      <c r="X969" s="176"/>
      <c r="Y969" s="176"/>
      <c r="Z969" s="176"/>
      <c r="AA969" s="176"/>
    </row>
    <row r="970">
      <c r="A970" s="165" t="str">
        <f>iferror(VLOOKUP(P970,'DO NOT TOUCH Imported'!$A$1:$D$800,4,False),iferror(VLOOKUP(P970,'DO NOT TOUCH Imported'!$C$1:$D$800,2,False),"OOPS FIX ME"))</f>
        <v>arcorren</v>
      </c>
      <c r="B970" s="178" t="s">
        <v>10</v>
      </c>
      <c r="C970" s="179" t="s">
        <v>498</v>
      </c>
      <c r="D970" s="180" t="s">
        <v>495</v>
      </c>
      <c r="E970" s="181">
        <v>44323.0</v>
      </c>
      <c r="F970" s="182" t="s">
        <v>499</v>
      </c>
      <c r="G970" s="170">
        <v>500.0</v>
      </c>
      <c r="H970" s="171">
        <v>25.0</v>
      </c>
      <c r="I970" s="171">
        <v>100.0</v>
      </c>
      <c r="J970" s="172">
        <f t="shared" si="57"/>
        <v>0.0004317674408</v>
      </c>
      <c r="K970" s="173">
        <f t="shared" si="58"/>
        <v>0.518120929</v>
      </c>
      <c r="L970" s="174">
        <f t="shared" si="9"/>
        <v>0.518120929</v>
      </c>
      <c r="M970" s="175" t="str">
        <f t="shared" si="10"/>
        <v>arcorren</v>
      </c>
      <c r="N970" s="209">
        <f>IFERROR(__xludf.DUMMYFUNCTION("""COMPUTED_VALUE"""),1.0)</f>
        <v>1</v>
      </c>
      <c r="O970" s="209"/>
      <c r="P970" s="183" t="s">
        <v>359</v>
      </c>
      <c r="Q970" s="178" t="s">
        <v>10</v>
      </c>
      <c r="R970" s="209"/>
      <c r="S970" s="209"/>
      <c r="T970" s="209"/>
      <c r="U970" s="209"/>
      <c r="V970" s="209"/>
      <c r="W970" s="209"/>
      <c r="X970" s="209"/>
      <c r="Y970" s="209"/>
      <c r="Z970" s="209"/>
      <c r="AA970" s="209"/>
    </row>
    <row r="971">
      <c r="A971" s="165" t="str">
        <f>iferror(VLOOKUP(P971,'DO NOT TOUCH Imported'!$A$1:$D$800,4,False),iferror(VLOOKUP(P971,'DO NOT TOUCH Imported'!$C$1:$D$800,2,False),"OOPS FIX ME"))</f>
        <v>acryptomuppet</v>
      </c>
      <c r="B971" s="178" t="s">
        <v>10</v>
      </c>
      <c r="C971" s="179" t="s">
        <v>498</v>
      </c>
      <c r="D971" s="180" t="s">
        <v>495</v>
      </c>
      <c r="E971" s="181">
        <v>44323.0</v>
      </c>
      <c r="F971" s="182" t="s">
        <v>499</v>
      </c>
      <c r="G971" s="170">
        <v>500.0</v>
      </c>
      <c r="H971" s="171">
        <v>25.0</v>
      </c>
      <c r="I971" s="171">
        <v>100.0</v>
      </c>
      <c r="J971" s="172">
        <f t="shared" si="57"/>
        <v>0.0004317674408</v>
      </c>
      <c r="K971" s="173">
        <f t="shared" si="58"/>
        <v>0.518120929</v>
      </c>
      <c r="L971" s="174">
        <f t="shared" si="9"/>
        <v>0.518120929</v>
      </c>
      <c r="M971" s="175" t="str">
        <f t="shared" si="10"/>
        <v>acryptomuppet</v>
      </c>
      <c r="N971" s="176">
        <f>IFERROR(__xludf.DUMMYFUNCTION("""COMPUTED_VALUE"""),1.0)</f>
        <v>1</v>
      </c>
      <c r="O971" s="176"/>
      <c r="P971" s="183" t="s">
        <v>360</v>
      </c>
      <c r="Q971" s="178" t="s">
        <v>10</v>
      </c>
      <c r="R971" s="176"/>
      <c r="S971" s="176"/>
      <c r="T971" s="176"/>
      <c r="U971" s="176"/>
      <c r="V971" s="176"/>
      <c r="W971" s="176"/>
      <c r="X971" s="176"/>
      <c r="Y971" s="176"/>
      <c r="Z971" s="176"/>
      <c r="AA971" s="176"/>
    </row>
    <row r="972">
      <c r="A972" s="165" t="str">
        <f>iferror(VLOOKUP(P972,'DO NOT TOUCH Imported'!$A$1:$D$800,4,False),iferror(VLOOKUP(P972,'DO NOT TOUCH Imported'!$C$1:$D$800,2,False),"OOPS FIX ME"))</f>
        <v>a_bornstein</v>
      </c>
      <c r="B972" s="178" t="s">
        <v>10</v>
      </c>
      <c r="C972" s="179" t="s">
        <v>498</v>
      </c>
      <c r="D972" s="180" t="s">
        <v>495</v>
      </c>
      <c r="E972" s="184">
        <v>44316.0</v>
      </c>
      <c r="F972" s="182" t="s">
        <v>499</v>
      </c>
      <c r="G972" s="170">
        <v>500.0</v>
      </c>
      <c r="H972" s="171">
        <v>25.0</v>
      </c>
      <c r="I972" s="171">
        <v>100.0</v>
      </c>
      <c r="J972" s="172">
        <f t="shared" si="57"/>
        <v>0.0004317674408</v>
      </c>
      <c r="K972" s="173">
        <f t="shared" si="58"/>
        <v>0.518120929</v>
      </c>
      <c r="L972" s="174">
        <f t="shared" si="9"/>
        <v>0.518120929</v>
      </c>
      <c r="M972" s="175" t="str">
        <f t="shared" si="10"/>
        <v>a_bornstein</v>
      </c>
      <c r="N972" s="176">
        <f>IFERROR(__xludf.DUMMYFUNCTION("""COMPUTED_VALUE"""),1.0)</f>
        <v>1</v>
      </c>
      <c r="O972" s="176"/>
      <c r="P972" s="183" t="s">
        <v>361</v>
      </c>
      <c r="Q972" s="178" t="s">
        <v>10</v>
      </c>
      <c r="R972" s="176"/>
      <c r="S972" s="176"/>
      <c r="T972" s="176"/>
      <c r="U972" s="176"/>
      <c r="V972" s="176"/>
      <c r="W972" s="176"/>
      <c r="X972" s="176"/>
      <c r="Y972" s="176"/>
      <c r="Z972" s="176"/>
      <c r="AA972" s="176"/>
    </row>
    <row r="973">
      <c r="A973" s="185" t="str">
        <f>iferror(VLOOKUP(P973,'DO NOT TOUCH Imported'!$A$1:$D$800,4,False),iferror(VLOOKUP(P973,'DO NOT TOUCH Imported'!$C$1:$D$800,2,False),"OOPS FIX ME"))</f>
        <v>katalenacaban</v>
      </c>
      <c r="B973" s="185" t="s">
        <v>534</v>
      </c>
      <c r="C973" s="186" t="s">
        <v>781</v>
      </c>
      <c r="D973" s="187"/>
      <c r="E973" s="188"/>
      <c r="F973" s="189"/>
      <c r="G973" s="190"/>
      <c r="H973" s="190"/>
      <c r="I973" s="190"/>
      <c r="J973" s="172">
        <f t="shared" ref="J973:J977" si="59">(H973/$H$2+I973/$I$2)/2</f>
        <v>0</v>
      </c>
      <c r="K973" s="192">
        <f>0*-0.85</f>
        <v>0</v>
      </c>
      <c r="L973" s="193">
        <f t="shared" si="9"/>
        <v>0</v>
      </c>
      <c r="M973" s="194" t="str">
        <f t="shared" si="10"/>
        <v>katalenacaban</v>
      </c>
      <c r="N973" s="195">
        <f>IFERROR(__xludf.DUMMYFUNCTION("""COMPUTED_VALUE"""),1.0)</f>
        <v>1</v>
      </c>
      <c r="O973" s="195"/>
      <c r="P973" s="185" t="s">
        <v>118</v>
      </c>
      <c r="Q973" s="185" t="s">
        <v>534</v>
      </c>
      <c r="R973" s="195">
        <v>36.89669088595067</v>
      </c>
      <c r="S973" s="195"/>
      <c r="T973" s="195"/>
      <c r="U973" s="195"/>
      <c r="V973" s="195"/>
      <c r="W973" s="195"/>
      <c r="X973" s="195"/>
      <c r="Y973" s="195"/>
      <c r="Z973" s="195"/>
      <c r="AA973" s="176"/>
    </row>
    <row r="974">
      <c r="A974" s="185" t="str">
        <f>iferror(VLOOKUP(P974,'DO NOT TOUCH Imported'!$A$1:$D$800,4,False),iferror(VLOOKUP(P974,'DO NOT TOUCH Imported'!$C$1:$D$800,2,False),"OOPS FIX ME"))</f>
        <v>fiorebotta</v>
      </c>
      <c r="B974" s="185" t="s">
        <v>534</v>
      </c>
      <c r="C974" s="210" t="s">
        <v>717</v>
      </c>
      <c r="D974" s="187"/>
      <c r="E974" s="188"/>
      <c r="F974" s="189"/>
      <c r="G974" s="190"/>
      <c r="H974" s="190"/>
      <c r="I974" s="190"/>
      <c r="J974" s="172">
        <f t="shared" si="59"/>
        <v>0</v>
      </c>
      <c r="K974" s="215">
        <v>0.0</v>
      </c>
      <c r="L974" s="193">
        <f t="shared" si="9"/>
        <v>0</v>
      </c>
      <c r="M974" s="194" t="str">
        <f t="shared" si="10"/>
        <v>fiorebotta</v>
      </c>
      <c r="N974" s="195">
        <f>IFERROR(__xludf.DUMMYFUNCTION("""COMPUTED_VALUE"""),1.0)</f>
        <v>1</v>
      </c>
      <c r="O974" s="195"/>
      <c r="P974" s="211" t="s">
        <v>62</v>
      </c>
      <c r="Q974" s="185" t="s">
        <v>534</v>
      </c>
      <c r="R974" s="195">
        <v>11.125055275694283</v>
      </c>
      <c r="S974" s="195"/>
      <c r="T974" s="195"/>
      <c r="U974" s="195"/>
      <c r="V974" s="195"/>
      <c r="W974" s="195"/>
      <c r="X974" s="195"/>
      <c r="Y974" s="195"/>
      <c r="Z974" s="195"/>
      <c r="AA974" s="176"/>
    </row>
    <row r="975">
      <c r="A975" s="185" t="str">
        <f>iferror(VLOOKUP(P975,'DO NOT TOUCH Imported'!$A$1:$D$800,4,False),iferror(VLOOKUP(P975,'DO NOT TOUCH Imported'!$C$1:$D$800,2,False),"OOPS FIX ME"))</f>
        <v>anthonyoliai</v>
      </c>
      <c r="B975" s="185" t="s">
        <v>534</v>
      </c>
      <c r="C975" s="210" t="s">
        <v>655</v>
      </c>
      <c r="D975" s="187"/>
      <c r="E975" s="188"/>
      <c r="F975" s="189"/>
      <c r="G975" s="190"/>
      <c r="H975" s="190"/>
      <c r="I975" s="190"/>
      <c r="J975" s="172">
        <f t="shared" si="59"/>
        <v>0</v>
      </c>
      <c r="K975" s="215">
        <v>0.0</v>
      </c>
      <c r="L975" s="193">
        <f t="shared" si="9"/>
        <v>0</v>
      </c>
      <c r="M975" s="194" t="str">
        <f t="shared" si="10"/>
        <v>anthonyoliai</v>
      </c>
      <c r="N975" s="195">
        <f>IFERROR(__xludf.DUMMYFUNCTION("""COMPUTED_VALUE"""),1.0)</f>
        <v>1</v>
      </c>
      <c r="O975" s="195"/>
      <c r="P975" s="211" t="s">
        <v>122</v>
      </c>
      <c r="Q975" s="185" t="s">
        <v>534</v>
      </c>
      <c r="R975" s="195">
        <v>8.606119831199203</v>
      </c>
      <c r="S975" s="195"/>
      <c r="T975" s="195"/>
      <c r="U975" s="195"/>
      <c r="V975" s="195"/>
      <c r="W975" s="195"/>
      <c r="X975" s="195"/>
      <c r="Y975" s="195"/>
      <c r="Z975" s="195"/>
      <c r="AA975" s="176"/>
    </row>
    <row r="976">
      <c r="A976" s="185" t="str">
        <f>iferror(VLOOKUP(P976,'DO NOT TOUCH Imported'!$A$1:$D$800,4,False),iferror(VLOOKUP(P976,'DO NOT TOUCH Imported'!$C$1:$D$800,2,False),"OOPS FIX ME"))</f>
        <v>vivszaid</v>
      </c>
      <c r="B976" s="185" t="s">
        <v>534</v>
      </c>
      <c r="C976" s="210" t="s">
        <v>717</v>
      </c>
      <c r="D976" s="187"/>
      <c r="E976" s="188"/>
      <c r="F976" s="189"/>
      <c r="G976" s="190"/>
      <c r="H976" s="190"/>
      <c r="I976" s="190"/>
      <c r="J976" s="172">
        <f t="shared" si="59"/>
        <v>0</v>
      </c>
      <c r="K976" s="215"/>
      <c r="L976" s="193">
        <f t="shared" si="9"/>
        <v>0</v>
      </c>
      <c r="M976" s="194" t="str">
        <f t="shared" si="10"/>
        <v>vivszaid</v>
      </c>
      <c r="N976" s="195">
        <f>IFERROR(__xludf.DUMMYFUNCTION("""COMPUTED_VALUE"""),1.0)</f>
        <v>1</v>
      </c>
      <c r="O976" s="195"/>
      <c r="P976" s="185" t="s">
        <v>85</v>
      </c>
      <c r="Q976" s="185" t="s">
        <v>534</v>
      </c>
      <c r="R976" s="195">
        <v>14.130370493717818</v>
      </c>
      <c r="S976" s="195"/>
      <c r="T976" s="195"/>
      <c r="U976" s="195"/>
      <c r="V976" s="195"/>
      <c r="W976" s="195"/>
      <c r="X976" s="195"/>
      <c r="Y976" s="195"/>
      <c r="Z976" s="195"/>
      <c r="AA976" s="176"/>
    </row>
    <row r="977">
      <c r="A977" s="185" t="str">
        <f>iferror(VLOOKUP(P977,'DO NOT TOUCH Imported'!$A$1:$D$800,4,False),iferror(VLOOKUP(P977,'DO NOT TOUCH Imported'!$C$1:$D$800,2,False),"OOPS FIX ME"))</f>
        <v>freedumbs00</v>
      </c>
      <c r="B977" s="212" t="s">
        <v>534</v>
      </c>
      <c r="C977" s="186" t="s">
        <v>684</v>
      </c>
      <c r="D977" s="212"/>
      <c r="E977" s="214"/>
      <c r="F977" s="212"/>
      <c r="G977" s="212"/>
      <c r="H977" s="196"/>
      <c r="I977" s="196"/>
      <c r="J977" s="172">
        <f t="shared" si="59"/>
        <v>0</v>
      </c>
      <c r="K977" s="215"/>
      <c r="L977" s="193">
        <f t="shared" si="9"/>
        <v>0</v>
      </c>
      <c r="M977" s="194" t="str">
        <f t="shared" si="10"/>
        <v>freedumbs00</v>
      </c>
      <c r="N977" s="187">
        <f>IFERROR(__xludf.DUMMYFUNCTION("""COMPUTED_VALUE"""),1.0)</f>
        <v>1</v>
      </c>
      <c r="O977" s="212"/>
      <c r="P977" s="195" t="s">
        <v>25</v>
      </c>
      <c r="Q977" s="195" t="s">
        <v>534</v>
      </c>
      <c r="R977" s="187">
        <v>36.89669088595067</v>
      </c>
      <c r="S977" s="212"/>
      <c r="T977" s="212"/>
      <c r="U977" s="212"/>
      <c r="V977" s="212"/>
      <c r="W977" s="212"/>
      <c r="X977" s="212"/>
      <c r="Y977" s="212"/>
      <c r="Z977" s="212"/>
      <c r="AA977" s="176"/>
    </row>
  </sheetData>
  <autoFilter ref="$A$3:$AA$977">
    <sortState ref="A3:AA977">
      <sortCondition descending="1" ref="L3:L977"/>
      <sortCondition descending="1" ref="K3:K977"/>
      <sortCondition descending="1" ref="P3:P977"/>
      <sortCondition descending="1" ref="A3:A977"/>
      <sortCondition descending="1" ref="B3:B977"/>
    </sortState>
  </autoFilter>
  <hyperlinks>
    <hyperlink r:id="rId1" ref="C1"/>
    <hyperlink r:id="rId2" ref="C2"/>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29" t="s">
        <v>866</v>
      </c>
      <c r="B1" s="2">
        <f>sum(B3:B900)</f>
        <v>672.5638475</v>
      </c>
    </row>
    <row r="2">
      <c r="A2" s="230" t="s">
        <v>1</v>
      </c>
      <c r="B2" s="231" t="s">
        <v>2</v>
      </c>
    </row>
    <row r="3">
      <c r="A3" s="5" t="s">
        <v>867</v>
      </c>
      <c r="B3" s="232">
        <v>39.040719908841865</v>
      </c>
    </row>
    <row r="4">
      <c r="A4" s="5" t="s">
        <v>8</v>
      </c>
      <c r="B4" s="232">
        <v>28.491994248808172</v>
      </c>
    </row>
    <row r="5">
      <c r="A5" s="5" t="s">
        <v>10</v>
      </c>
      <c r="B5" s="232">
        <v>23.87003434936902</v>
      </c>
    </row>
    <row r="6">
      <c r="A6" s="5" t="s">
        <v>45</v>
      </c>
      <c r="B6" s="232">
        <v>20.121996832540926</v>
      </c>
    </row>
    <row r="7">
      <c r="A7" s="5" t="s">
        <v>7</v>
      </c>
      <c r="B7" s="232">
        <v>19.824372725798394</v>
      </c>
    </row>
    <row r="8">
      <c r="A8" s="5" t="s">
        <v>67</v>
      </c>
      <c r="B8" s="232">
        <v>19.08114174365768</v>
      </c>
    </row>
    <row r="9">
      <c r="A9" s="5" t="s">
        <v>868</v>
      </c>
      <c r="B9" s="232">
        <v>18.56396278554404</v>
      </c>
    </row>
    <row r="10">
      <c r="A10" s="5" t="s">
        <v>9</v>
      </c>
      <c r="B10" s="232">
        <v>18.301848282030505</v>
      </c>
    </row>
    <row r="11">
      <c r="A11" s="5" t="s">
        <v>58</v>
      </c>
      <c r="B11" s="232">
        <v>16.598669490053357</v>
      </c>
    </row>
    <row r="12">
      <c r="A12" s="5" t="s">
        <v>869</v>
      </c>
      <c r="B12" s="232">
        <v>16.153611509659783</v>
      </c>
    </row>
    <row r="13">
      <c r="A13" s="5" t="s">
        <v>5</v>
      </c>
      <c r="B13" s="232">
        <v>15.11309888404543</v>
      </c>
    </row>
    <row r="14">
      <c r="A14" s="5" t="s">
        <v>51</v>
      </c>
      <c r="B14" s="232">
        <v>14.67233896818723</v>
      </c>
    </row>
    <row r="15">
      <c r="A15" s="5" t="s">
        <v>93</v>
      </c>
      <c r="B15" s="232">
        <v>14.545079311050749</v>
      </c>
    </row>
    <row r="16">
      <c r="A16" s="5" t="s">
        <v>32</v>
      </c>
      <c r="B16" s="232">
        <v>13.615245249898704</v>
      </c>
    </row>
    <row r="17">
      <c r="A17" s="5" t="s">
        <v>21</v>
      </c>
      <c r="B17" s="232">
        <v>11.4099737453304</v>
      </c>
    </row>
    <row r="18">
      <c r="A18" s="5" t="s">
        <v>94</v>
      </c>
      <c r="B18" s="232">
        <v>11.168348851238914</v>
      </c>
    </row>
    <row r="19">
      <c r="A19" s="5" t="s">
        <v>6</v>
      </c>
      <c r="B19" s="232">
        <v>11.111498181252642</v>
      </c>
    </row>
    <row r="20">
      <c r="A20" s="5" t="s">
        <v>30</v>
      </c>
      <c r="B20" s="232">
        <v>10.856334216550366</v>
      </c>
    </row>
    <row r="21">
      <c r="A21" s="5" t="s">
        <v>24</v>
      </c>
      <c r="B21" s="232">
        <v>10.615434690963628</v>
      </c>
    </row>
    <row r="22">
      <c r="A22" s="5" t="s">
        <v>46</v>
      </c>
      <c r="B22" s="232">
        <v>10.516424007919976</v>
      </c>
    </row>
    <row r="23">
      <c r="A23" s="5" t="s">
        <v>870</v>
      </c>
      <c r="B23" s="232">
        <v>9.262478413851643</v>
      </c>
    </row>
    <row r="24">
      <c r="A24" s="5" t="s">
        <v>519</v>
      </c>
      <c r="B24" s="232">
        <v>8.92706361392078</v>
      </c>
    </row>
    <row r="25">
      <c r="A25" s="5" t="s">
        <v>55</v>
      </c>
      <c r="B25" s="232">
        <v>7.823748029470035</v>
      </c>
    </row>
    <row r="26">
      <c r="A26" s="5" t="s">
        <v>871</v>
      </c>
      <c r="B26" s="232">
        <v>7.559265334098477</v>
      </c>
    </row>
    <row r="27">
      <c r="A27" s="5" t="s">
        <v>11</v>
      </c>
      <c r="B27" s="232">
        <v>7.478048774296539</v>
      </c>
    </row>
    <row r="28">
      <c r="A28" s="5" t="s">
        <v>75</v>
      </c>
      <c r="B28" s="232">
        <v>7.464951255647984</v>
      </c>
    </row>
    <row r="29">
      <c r="A29" s="5" t="s">
        <v>63</v>
      </c>
      <c r="B29" s="232">
        <v>7.181273190217816</v>
      </c>
    </row>
    <row r="30">
      <c r="A30" s="5" t="s">
        <v>12</v>
      </c>
      <c r="B30" s="232">
        <v>6.772009029345373</v>
      </c>
    </row>
    <row r="31">
      <c r="A31" s="5" t="s">
        <v>15</v>
      </c>
      <c r="B31" s="232">
        <v>6.501007787810373</v>
      </c>
    </row>
    <row r="32">
      <c r="A32" s="5" t="s">
        <v>29</v>
      </c>
      <c r="B32" s="232">
        <v>6.257951472872206</v>
      </c>
    </row>
    <row r="33">
      <c r="A33" s="5" t="s">
        <v>18</v>
      </c>
      <c r="B33" s="232">
        <v>6.189230960459405</v>
      </c>
    </row>
    <row r="34">
      <c r="A34" s="5" t="s">
        <v>99</v>
      </c>
      <c r="B34" s="232">
        <v>6.114819591123002</v>
      </c>
    </row>
    <row r="35">
      <c r="A35" s="5" t="s">
        <v>121</v>
      </c>
      <c r="B35" s="232">
        <v>6.098055608972405</v>
      </c>
    </row>
    <row r="36">
      <c r="A36" s="5" t="s">
        <v>872</v>
      </c>
      <c r="B36" s="232">
        <v>5.98503730321859</v>
      </c>
    </row>
    <row r="37">
      <c r="A37" s="5" t="s">
        <v>22</v>
      </c>
      <c r="B37" s="232">
        <v>5.867061919959816</v>
      </c>
    </row>
    <row r="38">
      <c r="A38" s="5" t="s">
        <v>69</v>
      </c>
      <c r="B38" s="232">
        <v>5.813707113883643</v>
      </c>
    </row>
    <row r="39">
      <c r="A39" s="5" t="s">
        <v>130</v>
      </c>
      <c r="B39" s="232">
        <v>5.369093048575772</v>
      </c>
    </row>
    <row r="40">
      <c r="A40" s="5" t="s">
        <v>34</v>
      </c>
      <c r="B40" s="232">
        <v>5.005165507649143</v>
      </c>
    </row>
    <row r="41">
      <c r="A41" s="5" t="s">
        <v>873</v>
      </c>
      <c r="B41" s="232">
        <v>4.974953592620741</v>
      </c>
    </row>
    <row r="42">
      <c r="A42" s="5" t="s">
        <v>108</v>
      </c>
      <c r="B42" s="232">
        <v>4.8682460419443565</v>
      </c>
    </row>
    <row r="43">
      <c r="A43" s="5" t="s">
        <v>57</v>
      </c>
      <c r="B43" s="232">
        <v>4.814245574246172</v>
      </c>
    </row>
    <row r="44">
      <c r="A44" s="5" t="s">
        <v>845</v>
      </c>
      <c r="B44" s="232">
        <v>4.797711403784827</v>
      </c>
    </row>
    <row r="45">
      <c r="A45" s="5" t="s">
        <v>13</v>
      </c>
      <c r="B45" s="232">
        <v>4.723451663397489</v>
      </c>
    </row>
    <row r="46">
      <c r="A46" s="5" t="s">
        <v>20</v>
      </c>
      <c r="B46" s="232">
        <v>4.554641423693436</v>
      </c>
    </row>
    <row r="47">
      <c r="A47" s="5" t="s">
        <v>43</v>
      </c>
      <c r="B47" s="232">
        <v>4.540587733752885</v>
      </c>
    </row>
    <row r="48">
      <c r="A48" s="5" t="s">
        <v>874</v>
      </c>
      <c r="B48" s="232">
        <v>4.3741653633180455</v>
      </c>
    </row>
    <row r="49">
      <c r="A49" s="5" t="s">
        <v>40</v>
      </c>
      <c r="B49" s="232">
        <v>4.089816868229282</v>
      </c>
    </row>
    <row r="50">
      <c r="A50" s="5" t="s">
        <v>179</v>
      </c>
      <c r="B50" s="232">
        <v>3.966123491147133</v>
      </c>
    </row>
    <row r="51">
      <c r="A51" s="5" t="s">
        <v>26</v>
      </c>
      <c r="B51" s="232">
        <v>3.941168340232744</v>
      </c>
    </row>
    <row r="52">
      <c r="A52" s="5" t="s">
        <v>133</v>
      </c>
      <c r="B52" s="232">
        <v>3.904989222985402</v>
      </c>
    </row>
    <row r="53">
      <c r="A53" s="5" t="s">
        <v>590</v>
      </c>
      <c r="B53" s="232">
        <v>3.8188640545109713</v>
      </c>
    </row>
    <row r="54">
      <c r="A54" s="5" t="s">
        <v>90</v>
      </c>
      <c r="B54" s="232">
        <v>3.7787613307179906</v>
      </c>
    </row>
    <row r="55">
      <c r="A55" s="5" t="s">
        <v>50</v>
      </c>
      <c r="B55" s="232">
        <v>3.694587520520922</v>
      </c>
    </row>
    <row r="56">
      <c r="A56" s="5" t="s">
        <v>875</v>
      </c>
      <c r="B56" s="232">
        <v>3.5583034632313884</v>
      </c>
    </row>
    <row r="57">
      <c r="A57" s="5" t="s">
        <v>33</v>
      </c>
      <c r="B57" s="232">
        <v>3.4535806997742604</v>
      </c>
    </row>
    <row r="58">
      <c r="A58" s="5" t="s">
        <v>44</v>
      </c>
      <c r="B58" s="232">
        <v>3.3236434257162326</v>
      </c>
    </row>
    <row r="59">
      <c r="A59" s="5" t="s">
        <v>136</v>
      </c>
      <c r="B59" s="232">
        <v>3.300268934675535</v>
      </c>
    </row>
    <row r="60">
      <c r="A60" s="5" t="s">
        <v>48</v>
      </c>
      <c r="B60" s="232">
        <v>3.2245570896055042</v>
      </c>
    </row>
    <row r="61">
      <c r="A61" s="5" t="s">
        <v>876</v>
      </c>
      <c r="B61" s="232">
        <v>3.072659409578179</v>
      </c>
    </row>
    <row r="62">
      <c r="A62" s="5" t="s">
        <v>205</v>
      </c>
      <c r="B62" s="232">
        <v>2.9639311955004053</v>
      </c>
    </row>
    <row r="63">
      <c r="A63" s="5" t="s">
        <v>195</v>
      </c>
      <c r="B63" s="232">
        <v>2.940556704459708</v>
      </c>
    </row>
    <row r="64">
      <c r="A64" s="5" t="s">
        <v>70</v>
      </c>
      <c r="B64" s="232">
        <v>2.85417918941289</v>
      </c>
    </row>
    <row r="65">
      <c r="A65" s="5" t="s">
        <v>36</v>
      </c>
      <c r="B65" s="232">
        <v>2.8055224967083534</v>
      </c>
    </row>
    <row r="66">
      <c r="A66" s="5" t="s">
        <v>877</v>
      </c>
      <c r="B66" s="232">
        <v>2.7617127635438097</v>
      </c>
    </row>
    <row r="67">
      <c r="A67" s="5" t="s">
        <v>19</v>
      </c>
      <c r="B67" s="232">
        <v>2.7617127635438097</v>
      </c>
    </row>
    <row r="68">
      <c r="A68" s="5" t="s">
        <v>60</v>
      </c>
      <c r="B68" s="232">
        <v>2.760132103670118</v>
      </c>
    </row>
    <row r="69">
      <c r="A69" s="5" t="s">
        <v>878</v>
      </c>
      <c r="B69" s="232">
        <v>2.760132103670118</v>
      </c>
    </row>
    <row r="70">
      <c r="A70" s="5" t="s">
        <v>61</v>
      </c>
      <c r="B70" s="232">
        <v>2.637207254241578</v>
      </c>
    </row>
    <row r="71">
      <c r="A71" s="5" t="s">
        <v>95</v>
      </c>
      <c r="B71" s="232">
        <v>2.580844474243881</v>
      </c>
    </row>
    <row r="72">
      <c r="A72" s="5" t="s">
        <v>38</v>
      </c>
      <c r="B72" s="232">
        <v>2.5354540812056445</v>
      </c>
    </row>
    <row r="73">
      <c r="A73" s="5" t="s">
        <v>879</v>
      </c>
      <c r="B73" s="232">
        <v>2.5276016210332735</v>
      </c>
    </row>
    <row r="74">
      <c r="A74" s="5" t="s">
        <v>97</v>
      </c>
      <c r="B74" s="232">
        <v>2.4892929489076208</v>
      </c>
    </row>
    <row r="75">
      <c r="A75" s="5" t="s">
        <v>220</v>
      </c>
      <c r="B75" s="232">
        <v>2.4084554496784447</v>
      </c>
    </row>
    <row r="76">
      <c r="A76" s="5" t="s">
        <v>141</v>
      </c>
      <c r="B76" s="232">
        <v>2.4004198734542905</v>
      </c>
    </row>
    <row r="77">
      <c r="A77" s="5" t="s">
        <v>81</v>
      </c>
      <c r="B77" s="232">
        <v>2.1289928689084237</v>
      </c>
    </row>
    <row r="78">
      <c r="A78" s="5" t="s">
        <v>161</v>
      </c>
      <c r="B78" s="232">
        <v>2.0724837160315155</v>
      </c>
    </row>
    <row r="79">
      <c r="A79" s="5" t="s">
        <v>219</v>
      </c>
      <c r="B79" s="232">
        <v>2.0724837160315155</v>
      </c>
    </row>
    <row r="80">
      <c r="A80" s="5" t="s">
        <v>243</v>
      </c>
      <c r="B80" s="232">
        <v>1.7127714858156882</v>
      </c>
    </row>
    <row r="81">
      <c r="A81" s="5" t="s">
        <v>230</v>
      </c>
      <c r="B81" s="232">
        <v>1.7127714858156882</v>
      </c>
    </row>
    <row r="82">
      <c r="A82" s="5" t="s">
        <v>255</v>
      </c>
      <c r="B82" s="232">
        <v>1.5874974488598474</v>
      </c>
    </row>
    <row r="83">
      <c r="A83" s="5" t="s">
        <v>73</v>
      </c>
      <c r="B83" s="232">
        <v>1.5741049728698329</v>
      </c>
    </row>
    <row r="84">
      <c r="A84" s="5" t="s">
        <v>880</v>
      </c>
      <c r="B84" s="232">
        <v>1.5543627870236367</v>
      </c>
    </row>
    <row r="85">
      <c r="A85" s="5" t="s">
        <v>258</v>
      </c>
      <c r="B85" s="232">
        <v>1.5446026162281234</v>
      </c>
    </row>
    <row r="86">
      <c r="A86" s="5" t="s">
        <v>147</v>
      </c>
      <c r="B86" s="232">
        <v>1.5446026162281234</v>
      </c>
    </row>
    <row r="87">
      <c r="A87" s="5" t="s">
        <v>165</v>
      </c>
      <c r="B87" s="232">
        <v>1.3861939174360716</v>
      </c>
    </row>
    <row r="88">
      <c r="A88" s="5" t="s">
        <v>182</v>
      </c>
      <c r="B88" s="232">
        <v>1.3861939174360716</v>
      </c>
    </row>
    <row r="89">
      <c r="A89" s="5" t="s">
        <v>269</v>
      </c>
      <c r="B89" s="232">
        <v>1.3137967281626375</v>
      </c>
    </row>
    <row r="90">
      <c r="A90" s="5" t="s">
        <v>251</v>
      </c>
      <c r="B90" s="232">
        <v>1.2511597096847171</v>
      </c>
    </row>
    <row r="91">
      <c r="A91" s="5" t="s">
        <v>274</v>
      </c>
      <c r="B91" s="232">
        <v>1.2511597096847171</v>
      </c>
    </row>
    <row r="92">
      <c r="A92" s="5" t="s">
        <v>278</v>
      </c>
      <c r="B92" s="232">
        <v>1.2277852186440201</v>
      </c>
    </row>
    <row r="93">
      <c r="A93" s="5" t="s">
        <v>183</v>
      </c>
      <c r="B93" s="232">
        <v>1.2277852186440201</v>
      </c>
    </row>
    <row r="94">
      <c r="A94" s="5" t="s">
        <v>279</v>
      </c>
      <c r="B94" s="232">
        <v>1.2277852186440201</v>
      </c>
    </row>
    <row r="95">
      <c r="A95" s="5" t="s">
        <v>280</v>
      </c>
      <c r="B95" s="232">
        <v>1.2277852186440201</v>
      </c>
    </row>
    <row r="96">
      <c r="A96" s="5" t="s">
        <v>53</v>
      </c>
      <c r="B96" s="232">
        <v>1.2277852186440201</v>
      </c>
    </row>
    <row r="97">
      <c r="A97" s="5" t="s">
        <v>281</v>
      </c>
      <c r="B97" s="232">
        <v>1.2277852186440201</v>
      </c>
    </row>
    <row r="98">
      <c r="A98" s="5" t="s">
        <v>236</v>
      </c>
      <c r="B98" s="232">
        <v>1.1222533675343753</v>
      </c>
    </row>
    <row r="99">
      <c r="A99" s="5" t="s">
        <v>186</v>
      </c>
      <c r="B99" s="232">
        <v>1.059616349056455</v>
      </c>
    </row>
    <row r="100">
      <c r="A100" s="5" t="s">
        <v>266</v>
      </c>
      <c r="B100" s="232">
        <v>1.0362418580157577</v>
      </c>
    </row>
    <row r="101">
      <c r="A101" s="5" t="s">
        <v>881</v>
      </c>
      <c r="B101" s="232">
        <v>1.0362418580157577</v>
      </c>
    </row>
    <row r="102">
      <c r="A102" s="5" t="s">
        <v>216</v>
      </c>
      <c r="B102" s="232">
        <v>1.0362418580157577</v>
      </c>
    </row>
    <row r="103">
      <c r="A103" s="5" t="s">
        <v>119</v>
      </c>
      <c r="B103" s="232">
        <v>1.0362418580157577</v>
      </c>
    </row>
    <row r="104">
      <c r="A104" s="5" t="s">
        <v>221</v>
      </c>
      <c r="B104" s="232">
        <v>1.0362418580157577</v>
      </c>
    </row>
    <row r="105">
      <c r="A105" s="5" t="s">
        <v>154</v>
      </c>
      <c r="B105" s="232">
        <v>1.0362418580157577</v>
      </c>
    </row>
    <row r="106">
      <c r="A106" s="5" t="s">
        <v>882</v>
      </c>
      <c r="B106" s="232">
        <v>1.0362418580157577</v>
      </c>
    </row>
    <row r="107">
      <c r="A107" s="5" t="s">
        <v>65</v>
      </c>
      <c r="B107" s="232">
        <v>1.0362418580157577</v>
      </c>
    </row>
    <row r="108">
      <c r="A108" s="5" t="s">
        <v>291</v>
      </c>
      <c r="B108" s="232">
        <v>1.0362418580157577</v>
      </c>
    </row>
    <row r="109">
      <c r="A109" s="5" t="s">
        <v>249</v>
      </c>
      <c r="B109" s="232">
        <v>1.0362418580157577</v>
      </c>
    </row>
    <row r="110">
      <c r="A110" s="5" t="s">
        <v>114</v>
      </c>
      <c r="B110" s="232">
        <v>1.0362418580157577</v>
      </c>
    </row>
    <row r="111">
      <c r="A111" s="5" t="s">
        <v>292</v>
      </c>
      <c r="B111" s="232">
        <v>1.0362418580157577</v>
      </c>
    </row>
    <row r="112">
      <c r="A112" s="5" t="s">
        <v>293</v>
      </c>
      <c r="B112" s="232">
        <v>1.0362418580157577</v>
      </c>
    </row>
    <row r="113">
      <c r="A113" s="5" t="s">
        <v>883</v>
      </c>
      <c r="B113" s="232">
        <v>1.0362418580157577</v>
      </c>
    </row>
    <row r="114">
      <c r="A114" s="5" t="s">
        <v>240</v>
      </c>
      <c r="B114" s="232">
        <v>1.0362418580157577</v>
      </c>
    </row>
    <row r="115">
      <c r="A115" s="5" t="s">
        <v>163</v>
      </c>
      <c r="B115" s="232">
        <v>0.930710006906113</v>
      </c>
    </row>
    <row r="116">
      <c r="A116" s="5" t="s">
        <v>222</v>
      </c>
      <c r="B116" s="232">
        <v>0.930710006906113</v>
      </c>
    </row>
    <row r="117">
      <c r="A117" s="5" t="s">
        <v>296</v>
      </c>
      <c r="B117" s="232">
        <v>0.930710006906113</v>
      </c>
    </row>
    <row r="118">
      <c r="A118" s="5" t="s">
        <v>300</v>
      </c>
      <c r="B118" s="232">
        <v>0.8680729884281928</v>
      </c>
    </row>
    <row r="119">
      <c r="A119" s="5" t="s">
        <v>301</v>
      </c>
      <c r="B119" s="232">
        <v>0.8680729884281928</v>
      </c>
    </row>
    <row r="120">
      <c r="A120" s="5" t="s">
        <v>302</v>
      </c>
      <c r="B120" s="232">
        <v>0.8680729884281928</v>
      </c>
    </row>
    <row r="121">
      <c r="A121" s="5" t="s">
        <v>303</v>
      </c>
      <c r="B121" s="232">
        <v>0.8680729884281928</v>
      </c>
    </row>
    <row r="122">
      <c r="A122" s="5" t="s">
        <v>304</v>
      </c>
      <c r="B122" s="232">
        <v>0.8680729884281928</v>
      </c>
    </row>
    <row r="123">
      <c r="A123" s="5" t="s">
        <v>305</v>
      </c>
      <c r="B123" s="232">
        <v>0.8680729884281928</v>
      </c>
    </row>
    <row r="124">
      <c r="A124" s="5" t="s">
        <v>306</v>
      </c>
      <c r="B124" s="232">
        <v>0.8680729884281928</v>
      </c>
    </row>
    <row r="125">
      <c r="A125" s="5" t="s">
        <v>151</v>
      </c>
      <c r="B125" s="232">
        <v>0.8680729884281928</v>
      </c>
    </row>
    <row r="126">
      <c r="A126" s="5" t="s">
        <v>310</v>
      </c>
      <c r="B126" s="232">
        <v>0.8297643163025403</v>
      </c>
    </row>
    <row r="127">
      <c r="A127" s="5" t="s">
        <v>316</v>
      </c>
      <c r="B127" s="232">
        <v>0.7914556441768879</v>
      </c>
    </row>
    <row r="128">
      <c r="A128" s="5" t="s">
        <v>164</v>
      </c>
      <c r="B128" s="232">
        <v>0.7914556441768879</v>
      </c>
    </row>
    <row r="129">
      <c r="A129" s="5" t="s">
        <v>317</v>
      </c>
      <c r="B129" s="232">
        <v>0.7914556441768879</v>
      </c>
    </row>
    <row r="130">
      <c r="A130" s="5" t="s">
        <v>256</v>
      </c>
      <c r="B130" s="232">
        <v>0.7531469720512354</v>
      </c>
    </row>
    <row r="131">
      <c r="A131" s="5" t="s">
        <v>235</v>
      </c>
      <c r="B131" s="232">
        <v>0.739166646277851</v>
      </c>
    </row>
    <row r="132">
      <c r="A132" s="5" t="s">
        <v>98</v>
      </c>
      <c r="B132" s="232">
        <v>0.714838299925583</v>
      </c>
    </row>
    <row r="133">
      <c r="A133" s="5" t="s">
        <v>326</v>
      </c>
      <c r="B133" s="232">
        <v>0.6765296277999305</v>
      </c>
    </row>
    <row r="134">
      <c r="A134" s="5" t="s">
        <v>327</v>
      </c>
      <c r="B134" s="232">
        <v>0.6765296277999305</v>
      </c>
    </row>
    <row r="135">
      <c r="A135" s="5" t="s">
        <v>328</v>
      </c>
      <c r="B135" s="232">
        <v>0.6765296277999305</v>
      </c>
    </row>
    <row r="136">
      <c r="A136" s="5" t="s">
        <v>329</v>
      </c>
      <c r="B136" s="232">
        <v>0.6765296277999305</v>
      </c>
    </row>
    <row r="137">
      <c r="A137" s="5" t="s">
        <v>330</v>
      </c>
      <c r="B137" s="232">
        <v>0.6765296277999305</v>
      </c>
    </row>
    <row r="138">
      <c r="A138" s="5" t="s">
        <v>331</v>
      </c>
      <c r="B138" s="232">
        <v>0.6765296277999305</v>
      </c>
    </row>
    <row r="139">
      <c r="A139" s="5" t="s">
        <v>332</v>
      </c>
      <c r="B139" s="232">
        <v>0.6765296277999305</v>
      </c>
    </row>
    <row r="140">
      <c r="A140" s="5" t="s">
        <v>333</v>
      </c>
      <c r="B140" s="232">
        <v>0.6765296277999305</v>
      </c>
    </row>
    <row r="141">
      <c r="A141" s="5" t="s">
        <v>334</v>
      </c>
      <c r="B141" s="232">
        <v>0.6765296277999305</v>
      </c>
    </row>
    <row r="142">
      <c r="A142" s="5" t="s">
        <v>349</v>
      </c>
      <c r="B142" s="232">
        <v>0.5807579474857993</v>
      </c>
    </row>
    <row r="143">
      <c r="A143" s="5" t="s">
        <v>350</v>
      </c>
      <c r="B143" s="232">
        <v>0.5807579474857993</v>
      </c>
    </row>
    <row r="144">
      <c r="A144" s="5" t="s">
        <v>351</v>
      </c>
      <c r="B144" s="232">
        <v>0.5807579474857993</v>
      </c>
    </row>
    <row r="145">
      <c r="A145" s="5" t="s">
        <v>352</v>
      </c>
      <c r="B145" s="232">
        <v>0.5807579474857993</v>
      </c>
    </row>
    <row r="146">
      <c r="A146" s="5" t="s">
        <v>353</v>
      </c>
      <c r="B146" s="232">
        <v>0.5807579474857993</v>
      </c>
    </row>
    <row r="147">
      <c r="A147" s="5" t="s">
        <v>354</v>
      </c>
      <c r="B147" s="232">
        <v>0.5807579474857993</v>
      </c>
    </row>
    <row r="148">
      <c r="A148" s="5" t="s">
        <v>355</v>
      </c>
      <c r="B148" s="232">
        <v>0.5807579474857993</v>
      </c>
    </row>
    <row r="149">
      <c r="A149" s="5" t="s">
        <v>884</v>
      </c>
      <c r="B149" s="232">
        <v>0.5181209290078789</v>
      </c>
    </row>
    <row r="150">
      <c r="A150" s="5" t="s">
        <v>170</v>
      </c>
      <c r="B150" s="232">
        <v>0.5181209290078789</v>
      </c>
    </row>
    <row r="151">
      <c r="A151" s="5" t="s">
        <v>885</v>
      </c>
      <c r="B151" s="232">
        <v>0.5181209290078789</v>
      </c>
    </row>
    <row r="152">
      <c r="A152" s="5" t="s">
        <v>254</v>
      </c>
      <c r="B152" s="232">
        <v>0.5181209290078789</v>
      </c>
    </row>
    <row r="153">
      <c r="A153" s="5" t="s">
        <v>120</v>
      </c>
      <c r="B153" s="232">
        <v>0.5181209290078789</v>
      </c>
    </row>
    <row r="154">
      <c r="A154" s="5" t="s">
        <v>159</v>
      </c>
      <c r="B154" s="232">
        <v>0.5181209290078789</v>
      </c>
    </row>
    <row r="155">
      <c r="A155" s="5" t="s">
        <v>357</v>
      </c>
      <c r="B155" s="232">
        <v>0.5181209290078789</v>
      </c>
    </row>
    <row r="156">
      <c r="A156" s="5" t="s">
        <v>358</v>
      </c>
      <c r="B156" s="232">
        <v>0.5181209290078789</v>
      </c>
    </row>
    <row r="157">
      <c r="A157" s="5" t="s">
        <v>77</v>
      </c>
      <c r="B157" s="232">
        <v>0.5181209290078789</v>
      </c>
    </row>
    <row r="158">
      <c r="A158" s="5" t="s">
        <v>277</v>
      </c>
      <c r="B158" s="232">
        <v>0.5181209290078789</v>
      </c>
    </row>
    <row r="159">
      <c r="A159" s="5" t="s">
        <v>144</v>
      </c>
      <c r="B159" s="232">
        <v>0.5181209290078789</v>
      </c>
    </row>
    <row r="160">
      <c r="A160" s="5" t="s">
        <v>886</v>
      </c>
      <c r="B160" s="232">
        <v>0.5181209290078789</v>
      </c>
    </row>
    <row r="161">
      <c r="A161" s="5" t="s">
        <v>359</v>
      </c>
      <c r="B161" s="232">
        <v>0.5181209290078789</v>
      </c>
    </row>
    <row r="162">
      <c r="A162" s="5" t="s">
        <v>360</v>
      </c>
      <c r="B162" s="232">
        <v>0.5181209290078789</v>
      </c>
    </row>
    <row r="163">
      <c r="A163" s="5" t="s">
        <v>361</v>
      </c>
      <c r="B163" s="232">
        <v>0.5181209290078789</v>
      </c>
    </row>
    <row r="164">
      <c r="A164" s="5" t="str">
        <f t="shared" ref="A164:A174" si="1">C164</f>
        <v/>
      </c>
      <c r="B164" s="6"/>
    </row>
    <row r="165">
      <c r="A165" s="5" t="str">
        <f t="shared" si="1"/>
        <v/>
      </c>
      <c r="B165" s="6"/>
    </row>
    <row r="166">
      <c r="A166" s="5" t="str">
        <f t="shared" si="1"/>
        <v/>
      </c>
      <c r="B166" s="6"/>
    </row>
    <row r="167">
      <c r="A167" s="5" t="str">
        <f t="shared" si="1"/>
        <v/>
      </c>
      <c r="B167" s="6"/>
    </row>
    <row r="168">
      <c r="A168" s="5" t="str">
        <f t="shared" si="1"/>
        <v/>
      </c>
      <c r="B168" s="6"/>
    </row>
    <row r="169">
      <c r="A169" s="5" t="str">
        <f t="shared" si="1"/>
        <v/>
      </c>
      <c r="B169" s="6"/>
    </row>
    <row r="170">
      <c r="A170" s="5" t="str">
        <f t="shared" si="1"/>
        <v/>
      </c>
      <c r="B170" s="6"/>
    </row>
    <row r="171">
      <c r="A171" s="5" t="str">
        <f t="shared" si="1"/>
        <v/>
      </c>
      <c r="B171" s="6"/>
    </row>
    <row r="172">
      <c r="A172" s="5" t="str">
        <f t="shared" si="1"/>
        <v/>
      </c>
      <c r="B172" s="6"/>
    </row>
    <row r="173">
      <c r="A173" s="5" t="str">
        <f t="shared" si="1"/>
        <v/>
      </c>
      <c r="B173" s="6"/>
    </row>
    <row r="174">
      <c r="A174" s="5" t="str">
        <f t="shared" si="1"/>
        <v/>
      </c>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7" width="10.14"/>
    <col customWidth="1" min="8" max="8" width="9.29"/>
    <col customWidth="1" min="9" max="10" width="8.43"/>
    <col customWidth="1" min="13" max="13" width="16.0"/>
    <col customWidth="1" min="16" max="16" width="13.14"/>
    <col customWidth="1" min="17" max="17" width="11.43"/>
  </cols>
  <sheetData>
    <row r="1">
      <c r="A1" s="133"/>
      <c r="B1" s="134" t="s">
        <v>414</v>
      </c>
      <c r="C1" s="233" t="s">
        <v>415</v>
      </c>
      <c r="D1" s="136"/>
      <c r="E1" s="137"/>
      <c r="F1" s="138" t="s">
        <v>416</v>
      </c>
      <c r="G1" s="139">
        <v>1200.0</v>
      </c>
      <c r="H1" s="139">
        <v>1200.0</v>
      </c>
      <c r="I1" s="139">
        <v>1200.0</v>
      </c>
      <c r="J1" s="140">
        <f>AVERAGE(G1:I1)</f>
        <v>1200</v>
      </c>
      <c r="K1" s="141" t="s">
        <v>417</v>
      </c>
      <c r="L1" s="142">
        <f>countif(J4:J1448, "&gt;0.000001")</f>
        <v>796</v>
      </c>
      <c r="M1" s="141" t="s">
        <v>418</v>
      </c>
      <c r="N1" s="143">
        <f>J1/L1</f>
        <v>1.507537688</v>
      </c>
      <c r="O1" s="144" t="s">
        <v>419</v>
      </c>
      <c r="P1" s="133"/>
      <c r="Q1" s="134"/>
      <c r="R1" s="145"/>
      <c r="S1" s="145"/>
      <c r="T1" s="145"/>
      <c r="U1" s="145"/>
    </row>
    <row r="2">
      <c r="A2" s="146"/>
      <c r="B2" s="134" t="s">
        <v>420</v>
      </c>
      <c r="C2" s="234" t="s">
        <v>421</v>
      </c>
      <c r="D2" s="148"/>
      <c r="E2" s="137"/>
      <c r="F2" s="149" t="s">
        <v>422</v>
      </c>
      <c r="G2" s="139">
        <f t="shared" ref="G2:K2" si="1">sum(G4:G961)</f>
        <v>2256000</v>
      </c>
      <c r="H2" s="139">
        <f t="shared" si="1"/>
        <v>76435</v>
      </c>
      <c r="I2" s="139">
        <f t="shared" si="1"/>
        <v>77735</v>
      </c>
      <c r="J2" s="150">
        <f t="shared" si="1"/>
        <v>1</v>
      </c>
      <c r="K2" s="151">
        <f t="shared" si="1"/>
        <v>640.4402251</v>
      </c>
      <c r="L2" s="152" t="s">
        <v>416</v>
      </c>
      <c r="M2" s="153" t="str">
        <f>'DO NOT TOUCH Imported'!A266</f>
        <v/>
      </c>
      <c r="N2" s="153" t="s">
        <v>423</v>
      </c>
      <c r="O2" s="145"/>
      <c r="P2" s="146"/>
      <c r="Q2" s="134"/>
      <c r="R2" s="145"/>
      <c r="S2" s="145"/>
      <c r="T2" s="145"/>
      <c r="U2" s="145"/>
    </row>
    <row r="3">
      <c r="A3" s="154" t="s">
        <v>424</v>
      </c>
      <c r="B3" s="154" t="s">
        <v>425</v>
      </c>
      <c r="C3" s="235" t="s">
        <v>426</v>
      </c>
      <c r="D3" s="156"/>
      <c r="E3" s="157" t="s">
        <v>427</v>
      </c>
      <c r="F3" s="158" t="s">
        <v>428</v>
      </c>
      <c r="G3" s="159" t="s">
        <v>429</v>
      </c>
      <c r="H3" s="159" t="s">
        <v>430</v>
      </c>
      <c r="I3" s="159" t="s">
        <v>887</v>
      </c>
      <c r="J3" s="160" t="s">
        <v>432</v>
      </c>
      <c r="K3" s="161" t="s">
        <v>433</v>
      </c>
      <c r="L3" s="162" t="s">
        <v>434</v>
      </c>
      <c r="M3" s="161"/>
      <c r="N3" s="163">
        <f>IFERROR(__xludf.DUMMYFUNCTION("query(iferror(sort({row(A3:A961)-row(A3)+2-match(sort(A3:A961),sort(A3:A961),0),SORT(ROW(A3:A961)+2-row(A3)+2,A3:A961,1)},2,1),),""Select Col1"")"),1.0)</f>
        <v>1</v>
      </c>
      <c r="O3" s="163"/>
      <c r="P3" s="154" t="s">
        <v>424</v>
      </c>
      <c r="Q3" s="154" t="s">
        <v>425</v>
      </c>
      <c r="R3" s="164"/>
      <c r="S3" s="164"/>
      <c r="T3" s="164"/>
      <c r="U3" s="164"/>
      <c r="V3" s="164"/>
      <c r="W3" s="164"/>
      <c r="X3" s="164"/>
      <c r="Y3" s="164"/>
      <c r="Z3" s="164"/>
      <c r="AA3" s="164"/>
    </row>
    <row r="4">
      <c r="A4" s="165" t="str">
        <f>iferror(VLOOKUP(P4,'DO NOT TOUCH Imported'!$A$1:$D$800,4,False),iferror(VLOOKUP(P4,'DO NOT TOUCH Imported'!$C$1:$D$800,2,False),"OOPS FIX ME"))</f>
        <v>zeptimusQ</v>
      </c>
      <c r="B4" s="165" t="s">
        <v>441</v>
      </c>
      <c r="C4" s="170" t="s">
        <v>888</v>
      </c>
      <c r="D4" s="236" t="s">
        <v>437</v>
      </c>
      <c r="E4" s="237">
        <v>44309.0</v>
      </c>
      <c r="F4" s="170" t="s">
        <v>439</v>
      </c>
      <c r="G4" s="238">
        <v>10000.0</v>
      </c>
      <c r="H4" s="171">
        <v>100.0</v>
      </c>
      <c r="I4" s="171">
        <v>150.0</v>
      </c>
      <c r="J4" s="172">
        <f t="shared" ref="J4:J240" si="2">(G4/$G$2+H4/$H$2+I4/$I$2)/3</f>
        <v>0.00255685267</v>
      </c>
      <c r="K4" s="173">
        <f t="shared" ref="K4:K129" si="3">J4*$J$1</f>
        <v>3.068223204</v>
      </c>
      <c r="L4" s="174">
        <f t="shared" ref="L4:L911" si="4">dsum($A$3:$K961,"IH per Praise",{$A$3;A4})</f>
        <v>43.85790881</v>
      </c>
      <c r="M4" s="175" t="str">
        <f t="shared" ref="M4:M911" si="5">A4</f>
        <v>zeptimusQ</v>
      </c>
      <c r="N4" s="176">
        <f>IFERROR(__xludf.DUMMYFUNCTION("""COMPUTED_VALUE"""),1.0)</f>
        <v>1</v>
      </c>
      <c r="O4" s="176"/>
      <c r="P4" s="165" t="s">
        <v>440</v>
      </c>
      <c r="Q4" s="165" t="s">
        <v>441</v>
      </c>
      <c r="R4" s="176"/>
      <c r="S4" s="176"/>
      <c r="T4" s="176"/>
      <c r="U4" s="176"/>
      <c r="V4" s="176"/>
      <c r="W4" s="176"/>
      <c r="X4" s="176"/>
      <c r="Y4" s="176"/>
      <c r="Z4" s="176"/>
      <c r="AA4" s="176"/>
    </row>
    <row r="5">
      <c r="A5" s="165" t="str">
        <f>iferror(VLOOKUP(P5,'DO NOT TOUCH Imported'!$A$1:$D$800,4,False),iferror(VLOOKUP(P5,'DO NOT TOUCH Imported'!$C$1:$D$800,2,False),"OOPS FIX ME"))</f>
        <v>zeptimusQ</v>
      </c>
      <c r="B5" s="165" t="s">
        <v>566</v>
      </c>
      <c r="C5" s="170" t="s">
        <v>889</v>
      </c>
      <c r="D5" s="236" t="s">
        <v>499</v>
      </c>
      <c r="E5" s="237">
        <v>44305.0</v>
      </c>
      <c r="F5" s="170" t="s">
        <v>503</v>
      </c>
      <c r="G5" s="170">
        <v>10000.0</v>
      </c>
      <c r="H5" s="171">
        <v>100.0</v>
      </c>
      <c r="I5" s="171">
        <v>100.0</v>
      </c>
      <c r="J5" s="172">
        <f t="shared" si="2"/>
        <v>0.002342449034</v>
      </c>
      <c r="K5" s="173">
        <f t="shared" si="3"/>
        <v>2.810938841</v>
      </c>
      <c r="L5" s="174">
        <f t="shared" si="4"/>
        <v>43.85790881</v>
      </c>
      <c r="M5" s="175" t="str">
        <f t="shared" si="5"/>
        <v>zeptimusQ</v>
      </c>
      <c r="N5" s="176">
        <f>IFERROR(__xludf.DUMMYFUNCTION("""COMPUTED_VALUE"""),2.0)</f>
        <v>2</v>
      </c>
      <c r="O5" s="176"/>
      <c r="P5" s="165" t="s">
        <v>440</v>
      </c>
      <c r="Q5" s="165" t="s">
        <v>566</v>
      </c>
      <c r="R5" s="176"/>
      <c r="S5" s="176"/>
      <c r="T5" s="176"/>
      <c r="U5" s="176"/>
      <c r="V5" s="176"/>
      <c r="W5" s="176"/>
      <c r="X5" s="176"/>
      <c r="Y5" s="176"/>
      <c r="Z5" s="176"/>
      <c r="AA5" s="176"/>
    </row>
    <row r="6">
      <c r="A6" s="165" t="str">
        <f>iferror(VLOOKUP(P6,'DO NOT TOUCH Imported'!$A$1:$D$800,4,False),iferror(VLOOKUP(P6,'DO NOT TOUCH Imported'!$C$1:$D$800,2,False),"OOPS FIX ME"))</f>
        <v>zeptimusQ</v>
      </c>
      <c r="B6" s="165" t="s">
        <v>443</v>
      </c>
      <c r="C6" s="170" t="s">
        <v>890</v>
      </c>
      <c r="D6" s="236" t="s">
        <v>437</v>
      </c>
      <c r="E6" s="237">
        <v>44310.0</v>
      </c>
      <c r="F6" s="170" t="s">
        <v>439</v>
      </c>
      <c r="G6" s="170">
        <v>5000.0</v>
      </c>
      <c r="H6" s="171">
        <v>100.0</v>
      </c>
      <c r="I6" s="171">
        <v>100.0</v>
      </c>
      <c r="J6" s="172">
        <f t="shared" si="2"/>
        <v>0.001603678348</v>
      </c>
      <c r="K6" s="173">
        <f t="shared" si="3"/>
        <v>1.924414018</v>
      </c>
      <c r="L6" s="174">
        <f t="shared" si="4"/>
        <v>43.85790881</v>
      </c>
      <c r="M6" s="175" t="str">
        <f t="shared" si="5"/>
        <v>zeptimusQ</v>
      </c>
      <c r="N6" s="176">
        <f>IFERROR(__xludf.DUMMYFUNCTION("""COMPUTED_VALUE"""),3.0)</f>
        <v>3</v>
      </c>
      <c r="O6" s="176"/>
      <c r="P6" s="165" t="s">
        <v>440</v>
      </c>
      <c r="Q6" s="165" t="s">
        <v>443</v>
      </c>
      <c r="R6" s="176"/>
      <c r="S6" s="176"/>
      <c r="T6" s="176"/>
      <c r="U6" s="176"/>
      <c r="V6" s="176"/>
      <c r="W6" s="176"/>
      <c r="X6" s="176"/>
      <c r="Y6" s="176"/>
      <c r="Z6" s="176"/>
      <c r="AA6" s="176"/>
    </row>
    <row r="7">
      <c r="A7" s="165" t="str">
        <f>iferror(VLOOKUP(P7,'DO NOT TOUCH Imported'!$A$1:$D$800,4,False),iferror(VLOOKUP(P7,'DO NOT TOUCH Imported'!$C$1:$D$800,2,False),"OOPS FIX ME"))</f>
        <v>zeptimusQ</v>
      </c>
      <c r="B7" s="165" t="s">
        <v>441</v>
      </c>
      <c r="C7" s="170" t="s">
        <v>891</v>
      </c>
      <c r="D7" s="236" t="s">
        <v>437</v>
      </c>
      <c r="E7" s="237">
        <v>44309.0</v>
      </c>
      <c r="F7" s="170" t="s">
        <v>439</v>
      </c>
      <c r="G7" s="170">
        <v>3000.0</v>
      </c>
      <c r="H7" s="171">
        <v>100.0</v>
      </c>
      <c r="I7" s="171">
        <v>150.0</v>
      </c>
      <c r="J7" s="172">
        <f t="shared" si="2"/>
        <v>0.001522573711</v>
      </c>
      <c r="K7" s="173">
        <f t="shared" si="3"/>
        <v>1.827088453</v>
      </c>
      <c r="L7" s="174">
        <f t="shared" si="4"/>
        <v>43.85790881</v>
      </c>
      <c r="M7" s="175" t="str">
        <f t="shared" si="5"/>
        <v>zeptimusQ</v>
      </c>
      <c r="N7" s="176">
        <f>IFERROR(__xludf.DUMMYFUNCTION("""COMPUTED_VALUE"""),4.0)</f>
        <v>4</v>
      </c>
      <c r="O7" s="176"/>
      <c r="P7" s="165" t="s">
        <v>440</v>
      </c>
      <c r="Q7" s="165" t="s">
        <v>441</v>
      </c>
      <c r="R7" s="176"/>
      <c r="S7" s="176"/>
      <c r="T7" s="176"/>
      <c r="U7" s="176"/>
      <c r="V7" s="176"/>
      <c r="W7" s="176"/>
      <c r="X7" s="176"/>
      <c r="Y7" s="176"/>
      <c r="Z7" s="176"/>
      <c r="AA7" s="176"/>
    </row>
    <row r="8">
      <c r="A8" s="165" t="str">
        <f>iferror(VLOOKUP(P8,'DO NOT TOUCH Imported'!$A$1:$D$800,4,False),iferror(VLOOKUP(P8,'DO NOT TOUCH Imported'!$C$1:$D$800,2,False),"OOPS FIX ME"))</f>
        <v>zeptimusQ</v>
      </c>
      <c r="B8" s="165" t="s">
        <v>443</v>
      </c>
      <c r="C8" s="170" t="s">
        <v>892</v>
      </c>
      <c r="D8" s="236" t="s">
        <v>437</v>
      </c>
      <c r="E8" s="239">
        <v>44310.0</v>
      </c>
      <c r="F8" s="170" t="s">
        <v>439</v>
      </c>
      <c r="G8" s="170">
        <v>1000.0</v>
      </c>
      <c r="H8" s="171">
        <v>100.0</v>
      </c>
      <c r="I8" s="171">
        <v>150.0</v>
      </c>
      <c r="J8" s="172">
        <f t="shared" si="2"/>
        <v>0.001227065436</v>
      </c>
      <c r="K8" s="173">
        <f t="shared" si="3"/>
        <v>1.472478524</v>
      </c>
      <c r="L8" s="174">
        <f t="shared" si="4"/>
        <v>43.85790881</v>
      </c>
      <c r="M8" s="175" t="str">
        <f t="shared" si="5"/>
        <v>zeptimusQ</v>
      </c>
      <c r="N8" s="176">
        <f>IFERROR(__xludf.DUMMYFUNCTION("""COMPUTED_VALUE"""),5.0)</f>
        <v>5</v>
      </c>
      <c r="O8" s="176"/>
      <c r="P8" s="165" t="s">
        <v>440</v>
      </c>
      <c r="Q8" s="165" t="s">
        <v>443</v>
      </c>
      <c r="R8" s="176"/>
      <c r="S8" s="176"/>
      <c r="T8" s="176"/>
      <c r="U8" s="176"/>
      <c r="V8" s="176"/>
      <c r="W8" s="176"/>
      <c r="X8" s="176"/>
      <c r="Y8" s="176"/>
      <c r="Z8" s="176"/>
      <c r="AA8" s="176"/>
    </row>
    <row r="9">
      <c r="A9" s="165" t="str">
        <f>iferror(VLOOKUP(P9,'DO NOT TOUCH Imported'!$A$1:$D$800,4,False),iferror(VLOOKUP(P9,'DO NOT TOUCH Imported'!$C$1:$D$800,2,False),"OOPS FIX ME"))</f>
        <v>zeptimusQ</v>
      </c>
      <c r="B9" s="165" t="s">
        <v>483</v>
      </c>
      <c r="C9" s="170" t="s">
        <v>893</v>
      </c>
      <c r="D9" s="236" t="s">
        <v>437</v>
      </c>
      <c r="E9" s="237">
        <v>44301.0</v>
      </c>
      <c r="F9" s="170" t="s">
        <v>439</v>
      </c>
      <c r="G9" s="170">
        <v>2000.0</v>
      </c>
      <c r="H9" s="171">
        <v>100.0</v>
      </c>
      <c r="I9" s="171">
        <v>100.0</v>
      </c>
      <c r="J9" s="172">
        <f t="shared" si="2"/>
        <v>0.001160415937</v>
      </c>
      <c r="K9" s="173">
        <f t="shared" si="3"/>
        <v>1.392499125</v>
      </c>
      <c r="L9" s="174">
        <f t="shared" si="4"/>
        <v>43.85790881</v>
      </c>
      <c r="M9" s="175" t="str">
        <f t="shared" si="5"/>
        <v>zeptimusQ</v>
      </c>
      <c r="N9" s="176">
        <f>IFERROR(__xludf.DUMMYFUNCTION("""COMPUTED_VALUE"""),6.0)</f>
        <v>6</v>
      </c>
      <c r="O9" s="176"/>
      <c r="P9" s="165" t="s">
        <v>440</v>
      </c>
      <c r="Q9" s="165" t="s">
        <v>483</v>
      </c>
      <c r="R9" s="176"/>
      <c r="S9" s="176"/>
      <c r="T9" s="176"/>
      <c r="U9" s="176"/>
      <c r="V9" s="176"/>
      <c r="W9" s="176"/>
      <c r="X9" s="176"/>
      <c r="Y9" s="176"/>
      <c r="Z9" s="176"/>
      <c r="AA9" s="176"/>
    </row>
    <row r="10">
      <c r="A10" s="165" t="str">
        <f>iferror(VLOOKUP(P10,'DO NOT TOUCH Imported'!$A$1:$D$800,4,False),iferror(VLOOKUP(P10,'DO NOT TOUCH Imported'!$C$1:$D$800,2,False),"OOPS FIX ME"))</f>
        <v>zeptimusQ</v>
      </c>
      <c r="B10" s="165" t="s">
        <v>782</v>
      </c>
      <c r="C10" s="170" t="s">
        <v>894</v>
      </c>
      <c r="D10" s="236" t="s">
        <v>437</v>
      </c>
      <c r="E10" s="237">
        <v>44301.0</v>
      </c>
      <c r="F10" s="170" t="s">
        <v>439</v>
      </c>
      <c r="G10" s="170">
        <v>2000.0</v>
      </c>
      <c r="H10" s="171">
        <v>100.0</v>
      </c>
      <c r="I10" s="171">
        <v>100.0</v>
      </c>
      <c r="J10" s="172">
        <f t="shared" si="2"/>
        <v>0.001160415937</v>
      </c>
      <c r="K10" s="173">
        <f t="shared" si="3"/>
        <v>1.392499125</v>
      </c>
      <c r="L10" s="174">
        <f t="shared" si="4"/>
        <v>43.85790881</v>
      </c>
      <c r="M10" s="175" t="str">
        <f t="shared" si="5"/>
        <v>zeptimusQ</v>
      </c>
      <c r="N10" s="176">
        <f>IFERROR(__xludf.DUMMYFUNCTION("""COMPUTED_VALUE"""),7.0)</f>
        <v>7</v>
      </c>
      <c r="O10" s="176"/>
      <c r="P10" s="165" t="s">
        <v>440</v>
      </c>
      <c r="Q10" s="165" t="s">
        <v>782</v>
      </c>
      <c r="R10" s="176"/>
      <c r="S10" s="176"/>
      <c r="T10" s="176"/>
      <c r="U10" s="176"/>
      <c r="V10" s="176"/>
      <c r="W10" s="176"/>
      <c r="X10" s="176"/>
      <c r="Y10" s="176"/>
      <c r="Z10" s="176"/>
      <c r="AA10" s="176"/>
    </row>
    <row r="11">
      <c r="A11" s="165" t="str">
        <f>iferror(VLOOKUP(P11,'DO NOT TOUCH Imported'!$A$1:$D$800,4,False),iferror(VLOOKUP(P11,'DO NOT TOUCH Imported'!$C$1:$D$800,2,False),"OOPS FIX ME"))</f>
        <v>zeptimusQ</v>
      </c>
      <c r="B11" s="165" t="s">
        <v>440</v>
      </c>
      <c r="C11" s="170" t="s">
        <v>895</v>
      </c>
      <c r="D11" s="236" t="s">
        <v>437</v>
      </c>
      <c r="E11" s="237">
        <v>44306.0</v>
      </c>
      <c r="F11" s="170" t="s">
        <v>439</v>
      </c>
      <c r="G11" s="170">
        <v>2000.0</v>
      </c>
      <c r="H11" s="171">
        <v>100.0</v>
      </c>
      <c r="I11" s="171">
        <v>100.0</v>
      </c>
      <c r="J11" s="172">
        <f t="shared" si="2"/>
        <v>0.001160415937</v>
      </c>
      <c r="K11" s="173">
        <f t="shared" si="3"/>
        <v>1.392499125</v>
      </c>
      <c r="L11" s="174">
        <f t="shared" si="4"/>
        <v>43.85790881</v>
      </c>
      <c r="M11" s="175" t="str">
        <f t="shared" si="5"/>
        <v>zeptimusQ</v>
      </c>
      <c r="N11" s="176">
        <f>IFERROR(__xludf.DUMMYFUNCTION("""COMPUTED_VALUE"""),8.0)</f>
        <v>8</v>
      </c>
      <c r="O11" s="176"/>
      <c r="P11" s="165" t="s">
        <v>440</v>
      </c>
      <c r="Q11" s="165" t="s">
        <v>440</v>
      </c>
      <c r="R11" s="176"/>
      <c r="S11" s="176"/>
      <c r="T11" s="176"/>
      <c r="U11" s="176"/>
      <c r="V11" s="176"/>
      <c r="W11" s="176"/>
      <c r="X11" s="176"/>
      <c r="Y11" s="176"/>
      <c r="Z11" s="176"/>
      <c r="AA11" s="176"/>
    </row>
    <row r="12">
      <c r="A12" s="165" t="str">
        <f>iferror(VLOOKUP(P12,'DO NOT TOUCH Imported'!$A$1:$D$800,4,False),iferror(VLOOKUP(P12,'DO NOT TOUCH Imported'!$C$1:$D$800,2,False),"OOPS FIX ME"))</f>
        <v>zeptimusQ</v>
      </c>
      <c r="B12" s="165" t="s">
        <v>463</v>
      </c>
      <c r="C12" s="170" t="s">
        <v>896</v>
      </c>
      <c r="D12" s="236" t="s">
        <v>437</v>
      </c>
      <c r="E12" s="237">
        <v>44305.0</v>
      </c>
      <c r="F12" s="170" t="s">
        <v>439</v>
      </c>
      <c r="G12" s="170">
        <v>5000.0</v>
      </c>
      <c r="H12" s="171">
        <v>60.0</v>
      </c>
      <c r="I12" s="171">
        <v>50.0</v>
      </c>
      <c r="J12" s="172">
        <f t="shared" si="2"/>
        <v>0.001214834556</v>
      </c>
      <c r="K12" s="173">
        <f t="shared" si="3"/>
        <v>1.457801467</v>
      </c>
      <c r="L12" s="174">
        <f t="shared" si="4"/>
        <v>43.85790881</v>
      </c>
      <c r="M12" s="175" t="str">
        <f t="shared" si="5"/>
        <v>zeptimusQ</v>
      </c>
      <c r="N12" s="176">
        <f>IFERROR(__xludf.DUMMYFUNCTION("""COMPUTED_VALUE"""),9.0)</f>
        <v>9</v>
      </c>
      <c r="O12" s="176"/>
      <c r="P12" s="165" t="s">
        <v>440</v>
      </c>
      <c r="Q12" s="165" t="s">
        <v>463</v>
      </c>
      <c r="R12" s="176"/>
      <c r="S12" s="176"/>
      <c r="T12" s="176"/>
      <c r="U12" s="176"/>
      <c r="V12" s="176"/>
      <c r="W12" s="176"/>
      <c r="X12" s="176"/>
      <c r="Y12" s="176"/>
      <c r="Z12" s="176"/>
      <c r="AA12" s="176"/>
    </row>
    <row r="13">
      <c r="A13" s="165" t="str">
        <f>iferror(VLOOKUP(P13,'DO NOT TOUCH Imported'!$A$1:$D$800,4,False),iferror(VLOOKUP(P13,'DO NOT TOUCH Imported'!$C$1:$D$800,2,False),"OOPS FIX ME"))</f>
        <v>zeptimusQ</v>
      </c>
      <c r="B13" s="165" t="s">
        <v>490</v>
      </c>
      <c r="C13" s="170" t="s">
        <v>897</v>
      </c>
      <c r="D13" s="236" t="s">
        <v>437</v>
      </c>
      <c r="E13" s="237">
        <v>44309.0</v>
      </c>
      <c r="F13" s="170" t="s">
        <v>439</v>
      </c>
      <c r="G13" s="170">
        <v>1500.0</v>
      </c>
      <c r="H13" s="171">
        <v>100.0</v>
      </c>
      <c r="I13" s="171">
        <v>100.0</v>
      </c>
      <c r="J13" s="172">
        <f t="shared" si="2"/>
        <v>0.001086538869</v>
      </c>
      <c r="K13" s="173">
        <f t="shared" si="3"/>
        <v>1.303846642</v>
      </c>
      <c r="L13" s="174">
        <f t="shared" si="4"/>
        <v>43.85790881</v>
      </c>
      <c r="M13" s="175" t="str">
        <f t="shared" si="5"/>
        <v>zeptimusQ</v>
      </c>
      <c r="N13" s="176">
        <f>IFERROR(__xludf.DUMMYFUNCTION("""COMPUTED_VALUE"""),10.0)</f>
        <v>10</v>
      </c>
      <c r="O13" s="176"/>
      <c r="P13" s="165" t="s">
        <v>440</v>
      </c>
      <c r="Q13" s="165" t="s">
        <v>490</v>
      </c>
      <c r="R13" s="176"/>
      <c r="S13" s="176"/>
      <c r="T13" s="176"/>
      <c r="U13" s="176"/>
      <c r="V13" s="176"/>
      <c r="W13" s="176"/>
      <c r="X13" s="176"/>
      <c r="Y13" s="176"/>
      <c r="Z13" s="176"/>
      <c r="AA13" s="176"/>
    </row>
    <row r="14">
      <c r="A14" s="165" t="str">
        <f>iferror(VLOOKUP(P14,'DO NOT TOUCH Imported'!$A$1:$D$800,4,False),iferror(VLOOKUP(P14,'DO NOT TOUCH Imported'!$C$1:$D$800,2,False),"OOPS FIX ME"))</f>
        <v>zeptimusQ</v>
      </c>
      <c r="B14" s="165" t="s">
        <v>435</v>
      </c>
      <c r="C14" s="170" t="s">
        <v>898</v>
      </c>
      <c r="D14" s="236" t="s">
        <v>437</v>
      </c>
      <c r="E14" s="239">
        <v>44300.0</v>
      </c>
      <c r="F14" s="170" t="s">
        <v>439</v>
      </c>
      <c r="G14" s="170">
        <v>1000.0</v>
      </c>
      <c r="H14" s="171">
        <v>100.0</v>
      </c>
      <c r="I14" s="171">
        <v>100.0</v>
      </c>
      <c r="J14" s="172">
        <f t="shared" si="2"/>
        <v>0.0010126618</v>
      </c>
      <c r="K14" s="173">
        <f t="shared" si="3"/>
        <v>1.21519416</v>
      </c>
      <c r="L14" s="174">
        <f t="shared" si="4"/>
        <v>43.85790881</v>
      </c>
      <c r="M14" s="175" t="str">
        <f t="shared" si="5"/>
        <v>zeptimusQ</v>
      </c>
      <c r="N14" s="176">
        <f>IFERROR(__xludf.DUMMYFUNCTION("""COMPUTED_VALUE"""),11.0)</f>
        <v>11</v>
      </c>
      <c r="O14" s="176"/>
      <c r="P14" s="165" t="s">
        <v>440</v>
      </c>
      <c r="Q14" s="165" t="s">
        <v>435</v>
      </c>
      <c r="R14" s="176"/>
      <c r="S14" s="176"/>
      <c r="T14" s="176"/>
      <c r="U14" s="176"/>
      <c r="V14" s="176"/>
      <c r="W14" s="176"/>
      <c r="X14" s="176"/>
      <c r="Y14" s="176"/>
      <c r="Z14" s="176"/>
      <c r="AA14" s="176"/>
    </row>
    <row r="15">
      <c r="A15" s="165" t="str">
        <f>iferror(VLOOKUP(P15,'DO NOT TOUCH Imported'!$A$1:$D$800,4,False),iferror(VLOOKUP(P15,'DO NOT TOUCH Imported'!$C$1:$D$800,2,False),"OOPS FIX ME"))</f>
        <v>zeptimusQ</v>
      </c>
      <c r="B15" s="165" t="s">
        <v>441</v>
      </c>
      <c r="C15" s="170" t="s">
        <v>899</v>
      </c>
      <c r="D15" s="236" t="s">
        <v>437</v>
      </c>
      <c r="E15" s="239">
        <v>44302.0</v>
      </c>
      <c r="F15" s="170" t="s">
        <v>439</v>
      </c>
      <c r="G15" s="170">
        <v>1000.0</v>
      </c>
      <c r="H15" s="171">
        <v>100.0</v>
      </c>
      <c r="I15" s="171">
        <v>100.0</v>
      </c>
      <c r="J15" s="172">
        <f t="shared" si="2"/>
        <v>0.0010126618</v>
      </c>
      <c r="K15" s="173">
        <f t="shared" si="3"/>
        <v>1.21519416</v>
      </c>
      <c r="L15" s="174">
        <f t="shared" si="4"/>
        <v>43.85790881</v>
      </c>
      <c r="M15" s="175" t="str">
        <f t="shared" si="5"/>
        <v>zeptimusQ</v>
      </c>
      <c r="N15" s="176">
        <f>IFERROR(__xludf.DUMMYFUNCTION("""COMPUTED_VALUE"""),12.0)</f>
        <v>12</v>
      </c>
      <c r="O15" s="176"/>
      <c r="P15" s="165" t="s">
        <v>440</v>
      </c>
      <c r="Q15" s="165" t="s">
        <v>441</v>
      </c>
      <c r="R15" s="176"/>
      <c r="S15" s="176"/>
      <c r="T15" s="176"/>
      <c r="U15" s="176"/>
      <c r="V15" s="176"/>
      <c r="W15" s="176"/>
      <c r="X15" s="176"/>
      <c r="Y15" s="176"/>
      <c r="Z15" s="176"/>
      <c r="AA15" s="176"/>
    </row>
    <row r="16">
      <c r="A16" s="165" t="str">
        <f>iferror(VLOOKUP(P16,'DO NOT TOUCH Imported'!$A$1:$D$800,4,False),iferror(VLOOKUP(P16,'DO NOT TOUCH Imported'!$C$1:$D$800,2,False),"OOPS FIX ME"))</f>
        <v>zeptimusQ</v>
      </c>
      <c r="B16" s="165" t="s">
        <v>435</v>
      </c>
      <c r="C16" s="170" t="s">
        <v>900</v>
      </c>
      <c r="D16" s="236" t="s">
        <v>437</v>
      </c>
      <c r="E16" s="237">
        <v>44302.0</v>
      </c>
      <c r="F16" s="170" t="s">
        <v>439</v>
      </c>
      <c r="G16" s="170">
        <v>1000.0</v>
      </c>
      <c r="H16" s="171">
        <v>100.0</v>
      </c>
      <c r="I16" s="171">
        <v>100.0</v>
      </c>
      <c r="J16" s="172">
        <f t="shared" si="2"/>
        <v>0.0010126618</v>
      </c>
      <c r="K16" s="173">
        <f t="shared" si="3"/>
        <v>1.21519416</v>
      </c>
      <c r="L16" s="174">
        <f t="shared" si="4"/>
        <v>43.85790881</v>
      </c>
      <c r="M16" s="175" t="str">
        <f t="shared" si="5"/>
        <v>zeptimusQ</v>
      </c>
      <c r="N16" s="176">
        <f>IFERROR(__xludf.DUMMYFUNCTION("""COMPUTED_VALUE"""),13.0)</f>
        <v>13</v>
      </c>
      <c r="O16" s="176"/>
      <c r="P16" s="165" t="s">
        <v>440</v>
      </c>
      <c r="Q16" s="165" t="s">
        <v>435</v>
      </c>
      <c r="R16" s="176"/>
      <c r="S16" s="176"/>
      <c r="T16" s="176"/>
      <c r="U16" s="176"/>
      <c r="V16" s="176"/>
      <c r="W16" s="176"/>
      <c r="X16" s="176"/>
      <c r="Y16" s="176"/>
      <c r="Z16" s="176"/>
      <c r="AA16" s="176"/>
    </row>
    <row r="17">
      <c r="A17" s="165" t="str">
        <f>iferror(VLOOKUP(P17,'DO NOT TOUCH Imported'!$A$1:$D$800,4,False),iferror(VLOOKUP(P17,'DO NOT TOUCH Imported'!$C$1:$D$800,2,False),"OOPS FIX ME"))</f>
        <v>zeptimusQ</v>
      </c>
      <c r="B17" s="165" t="s">
        <v>45</v>
      </c>
      <c r="C17" s="170" t="s">
        <v>901</v>
      </c>
      <c r="D17" s="236" t="s">
        <v>499</v>
      </c>
      <c r="E17" s="239">
        <v>44307.0</v>
      </c>
      <c r="F17" s="170" t="s">
        <v>503</v>
      </c>
      <c r="G17" s="170">
        <v>1000.0</v>
      </c>
      <c r="H17" s="171">
        <v>100.0</v>
      </c>
      <c r="I17" s="171">
        <v>100.0</v>
      </c>
      <c r="J17" s="172">
        <f t="shared" si="2"/>
        <v>0.0010126618</v>
      </c>
      <c r="K17" s="173">
        <f t="shared" si="3"/>
        <v>1.21519416</v>
      </c>
      <c r="L17" s="174">
        <f t="shared" si="4"/>
        <v>43.85790881</v>
      </c>
      <c r="M17" s="175" t="str">
        <f t="shared" si="5"/>
        <v>zeptimusQ</v>
      </c>
      <c r="N17" s="176">
        <f>IFERROR(__xludf.DUMMYFUNCTION("""COMPUTED_VALUE"""),14.0)</f>
        <v>14</v>
      </c>
      <c r="O17" s="176"/>
      <c r="P17" s="165" t="s">
        <v>440</v>
      </c>
      <c r="Q17" s="165" t="s">
        <v>45</v>
      </c>
      <c r="R17" s="176"/>
      <c r="S17" s="176"/>
      <c r="T17" s="176"/>
      <c r="U17" s="176"/>
      <c r="V17" s="176"/>
      <c r="W17" s="176"/>
      <c r="X17" s="176"/>
      <c r="Y17" s="176"/>
      <c r="Z17" s="176"/>
      <c r="AA17" s="176"/>
    </row>
    <row r="18">
      <c r="A18" s="165" t="str">
        <f>iferror(VLOOKUP(P18,'DO NOT TOUCH Imported'!$A$1:$D$800,4,False),iferror(VLOOKUP(P18,'DO NOT TOUCH Imported'!$C$1:$D$800,2,False),"OOPS FIX ME"))</f>
        <v>zeptimusQ</v>
      </c>
      <c r="B18" s="165" t="s">
        <v>441</v>
      </c>
      <c r="C18" s="170" t="s">
        <v>902</v>
      </c>
      <c r="D18" s="236" t="s">
        <v>437</v>
      </c>
      <c r="E18" s="237">
        <v>44309.0</v>
      </c>
      <c r="F18" s="170" t="s">
        <v>439</v>
      </c>
      <c r="G18" s="170">
        <v>1000.0</v>
      </c>
      <c r="H18" s="171">
        <v>100.0</v>
      </c>
      <c r="I18" s="171">
        <v>100.0</v>
      </c>
      <c r="J18" s="172">
        <f t="shared" si="2"/>
        <v>0.0010126618</v>
      </c>
      <c r="K18" s="173">
        <f t="shared" si="3"/>
        <v>1.21519416</v>
      </c>
      <c r="L18" s="174">
        <f t="shared" si="4"/>
        <v>43.85790881</v>
      </c>
      <c r="M18" s="175" t="str">
        <f t="shared" si="5"/>
        <v>zeptimusQ</v>
      </c>
      <c r="N18" s="176">
        <f>IFERROR(__xludf.DUMMYFUNCTION("""COMPUTED_VALUE"""),15.0)</f>
        <v>15</v>
      </c>
      <c r="O18" s="176"/>
      <c r="P18" s="165" t="s">
        <v>440</v>
      </c>
      <c r="Q18" s="165" t="s">
        <v>441</v>
      </c>
      <c r="R18" s="176"/>
      <c r="S18" s="176"/>
      <c r="T18" s="176"/>
      <c r="U18" s="176"/>
      <c r="V18" s="176"/>
      <c r="W18" s="176"/>
      <c r="X18" s="176"/>
      <c r="Y18" s="176"/>
      <c r="Z18" s="176"/>
      <c r="AA18" s="176"/>
    </row>
    <row r="19">
      <c r="A19" s="165" t="str">
        <f>iferror(VLOOKUP(P19,'DO NOT TOUCH Imported'!$A$1:$D$800,4,False),iferror(VLOOKUP(P19,'DO NOT TOUCH Imported'!$C$1:$D$800,2,False),"OOPS FIX ME"))</f>
        <v>zeptimusQ</v>
      </c>
      <c r="B19" s="165" t="s">
        <v>440</v>
      </c>
      <c r="C19" s="170" t="s">
        <v>903</v>
      </c>
      <c r="D19" s="236" t="s">
        <v>437</v>
      </c>
      <c r="E19" s="237">
        <v>44307.0</v>
      </c>
      <c r="F19" s="170" t="s">
        <v>439</v>
      </c>
      <c r="G19" s="170">
        <v>1000.0</v>
      </c>
      <c r="H19" s="171">
        <v>100.0</v>
      </c>
      <c r="I19" s="171">
        <v>80.0</v>
      </c>
      <c r="J19" s="172">
        <f t="shared" si="2"/>
        <v>0.0009269003455</v>
      </c>
      <c r="K19" s="173">
        <f t="shared" si="3"/>
        <v>1.112280415</v>
      </c>
      <c r="L19" s="174">
        <f t="shared" si="4"/>
        <v>43.85790881</v>
      </c>
      <c r="M19" s="175" t="str">
        <f t="shared" si="5"/>
        <v>zeptimusQ</v>
      </c>
      <c r="N19" s="176">
        <f>IFERROR(__xludf.DUMMYFUNCTION("""COMPUTED_VALUE"""),16.0)</f>
        <v>16</v>
      </c>
      <c r="O19" s="176"/>
      <c r="P19" s="165" t="s">
        <v>440</v>
      </c>
      <c r="Q19" s="165" t="s">
        <v>440</v>
      </c>
      <c r="R19" s="176"/>
      <c r="S19" s="176"/>
      <c r="T19" s="176"/>
      <c r="U19" s="176"/>
      <c r="V19" s="176"/>
      <c r="W19" s="176"/>
      <c r="X19" s="176"/>
      <c r="Y19" s="176"/>
      <c r="Z19" s="176"/>
      <c r="AA19" s="176"/>
    </row>
    <row r="20">
      <c r="A20" s="165" t="str">
        <f>iferror(VLOOKUP(P20,'DO NOT TOUCH Imported'!$A$1:$D$800,4,False),iferror(VLOOKUP(P20,'DO NOT TOUCH Imported'!$C$1:$D$800,2,False),"OOPS FIX ME"))</f>
        <v>zeptimusQ</v>
      </c>
      <c r="B20" s="165" t="s">
        <v>20</v>
      </c>
      <c r="C20" s="170" t="s">
        <v>904</v>
      </c>
      <c r="D20" s="236" t="s">
        <v>437</v>
      </c>
      <c r="E20" s="239">
        <v>44310.0</v>
      </c>
      <c r="F20" s="170" t="s">
        <v>439</v>
      </c>
      <c r="G20" s="170">
        <v>1000.0</v>
      </c>
      <c r="H20" s="171">
        <v>100.0</v>
      </c>
      <c r="I20" s="171">
        <v>80.0</v>
      </c>
      <c r="J20" s="172">
        <f t="shared" si="2"/>
        <v>0.0009269003455</v>
      </c>
      <c r="K20" s="173">
        <f t="shared" si="3"/>
        <v>1.112280415</v>
      </c>
      <c r="L20" s="174">
        <f t="shared" si="4"/>
        <v>43.85790881</v>
      </c>
      <c r="M20" s="175" t="str">
        <f t="shared" si="5"/>
        <v>zeptimusQ</v>
      </c>
      <c r="N20" s="176">
        <f>IFERROR(__xludf.DUMMYFUNCTION("""COMPUTED_VALUE"""),17.0)</f>
        <v>17</v>
      </c>
      <c r="O20" s="176"/>
      <c r="P20" s="165" t="s">
        <v>440</v>
      </c>
      <c r="Q20" s="165" t="s">
        <v>20</v>
      </c>
      <c r="R20" s="176"/>
      <c r="S20" s="176"/>
      <c r="T20" s="176"/>
      <c r="U20" s="176"/>
      <c r="V20" s="176"/>
      <c r="W20" s="176"/>
      <c r="X20" s="176"/>
      <c r="Y20" s="176"/>
      <c r="Z20" s="176"/>
      <c r="AA20" s="176"/>
    </row>
    <row r="21">
      <c r="A21" s="165" t="str">
        <f>iferror(VLOOKUP(P21,'DO NOT TOUCH Imported'!$A$1:$D$800,4,False),iferror(VLOOKUP(P21,'DO NOT TOUCH Imported'!$C$1:$D$800,2,False),"OOPS FIX ME"))</f>
        <v>zeptimusQ</v>
      </c>
      <c r="B21" s="165" t="s">
        <v>441</v>
      </c>
      <c r="C21" s="170" t="s">
        <v>905</v>
      </c>
      <c r="D21" s="236" t="s">
        <v>437</v>
      </c>
      <c r="E21" s="237">
        <v>44296.0</v>
      </c>
      <c r="F21" s="170" t="s">
        <v>439</v>
      </c>
      <c r="G21" s="170">
        <v>1000.0</v>
      </c>
      <c r="H21" s="171">
        <v>60.0</v>
      </c>
      <c r="I21" s="171">
        <v>100.0</v>
      </c>
      <c r="J21" s="172">
        <f t="shared" si="2"/>
        <v>0.0008382216439</v>
      </c>
      <c r="K21" s="173">
        <f t="shared" si="3"/>
        <v>1.005865973</v>
      </c>
      <c r="L21" s="174">
        <f t="shared" si="4"/>
        <v>43.85790881</v>
      </c>
      <c r="M21" s="175" t="str">
        <f t="shared" si="5"/>
        <v>zeptimusQ</v>
      </c>
      <c r="N21" s="176">
        <f>IFERROR(__xludf.DUMMYFUNCTION("""COMPUTED_VALUE"""),18.0)</f>
        <v>18</v>
      </c>
      <c r="O21" s="176"/>
      <c r="P21" s="165" t="s">
        <v>440</v>
      </c>
      <c r="Q21" s="165" t="s">
        <v>441</v>
      </c>
      <c r="R21" s="176"/>
      <c r="S21" s="176"/>
      <c r="T21" s="176"/>
      <c r="U21" s="176"/>
      <c r="V21" s="176"/>
      <c r="W21" s="176"/>
      <c r="X21" s="176"/>
      <c r="Y21" s="176"/>
      <c r="Z21" s="176"/>
      <c r="AA21" s="176"/>
    </row>
    <row r="22">
      <c r="A22" s="165" t="str">
        <f>iferror(VLOOKUP(P22,'DO NOT TOUCH Imported'!$A$1:$D$800,4,False),iferror(VLOOKUP(P22,'DO NOT TOUCH Imported'!$C$1:$D$800,2,False),"OOPS FIX ME"))</f>
        <v>zeptimusQ</v>
      </c>
      <c r="B22" s="165" t="s">
        <v>441</v>
      </c>
      <c r="C22" s="170" t="s">
        <v>906</v>
      </c>
      <c r="D22" s="236" t="s">
        <v>437</v>
      </c>
      <c r="E22" s="237">
        <v>44309.0</v>
      </c>
      <c r="F22" s="170" t="s">
        <v>439</v>
      </c>
      <c r="G22" s="170">
        <v>1000.0</v>
      </c>
      <c r="H22" s="171">
        <v>60.0</v>
      </c>
      <c r="I22" s="171">
        <v>100.0</v>
      </c>
      <c r="J22" s="172">
        <f t="shared" si="2"/>
        <v>0.0008382216439</v>
      </c>
      <c r="K22" s="173">
        <f t="shared" si="3"/>
        <v>1.005865973</v>
      </c>
      <c r="L22" s="174">
        <f t="shared" si="4"/>
        <v>43.85790881</v>
      </c>
      <c r="M22" s="175" t="str">
        <f t="shared" si="5"/>
        <v>zeptimusQ</v>
      </c>
      <c r="N22" s="176">
        <f>IFERROR(__xludf.DUMMYFUNCTION("""COMPUTED_VALUE"""),19.0)</f>
        <v>19</v>
      </c>
      <c r="O22" s="176"/>
      <c r="P22" s="165" t="s">
        <v>440</v>
      </c>
      <c r="Q22" s="165" t="s">
        <v>441</v>
      </c>
      <c r="R22" s="176"/>
      <c r="S22" s="176"/>
      <c r="T22" s="176"/>
      <c r="U22" s="176"/>
      <c r="V22" s="176"/>
      <c r="W22" s="176"/>
      <c r="X22" s="176"/>
      <c r="Y22" s="176"/>
      <c r="Z22" s="176"/>
      <c r="AA22" s="176"/>
    </row>
    <row r="23">
      <c r="A23" s="165" t="str">
        <f>iferror(VLOOKUP(P23,'DO NOT TOUCH Imported'!$A$1:$D$800,4,False),iferror(VLOOKUP(P23,'DO NOT TOUCH Imported'!$C$1:$D$800,2,False),"OOPS FIX ME"))</f>
        <v>zeptimusQ</v>
      </c>
      <c r="B23" s="165" t="s">
        <v>441</v>
      </c>
      <c r="C23" s="170" t="s">
        <v>907</v>
      </c>
      <c r="D23" s="236" t="s">
        <v>437</v>
      </c>
      <c r="E23" s="239">
        <v>44298.0</v>
      </c>
      <c r="F23" s="170" t="s">
        <v>439</v>
      </c>
      <c r="G23" s="170">
        <v>1000.0</v>
      </c>
      <c r="H23" s="171">
        <v>100.0</v>
      </c>
      <c r="I23" s="171">
        <v>50.0</v>
      </c>
      <c r="J23" s="172">
        <f t="shared" si="2"/>
        <v>0.0007982581637</v>
      </c>
      <c r="K23" s="173">
        <f t="shared" si="3"/>
        <v>0.9579097965</v>
      </c>
      <c r="L23" s="174">
        <f t="shared" si="4"/>
        <v>43.85790881</v>
      </c>
      <c r="M23" s="175" t="str">
        <f t="shared" si="5"/>
        <v>zeptimusQ</v>
      </c>
      <c r="N23" s="176">
        <f>IFERROR(__xludf.DUMMYFUNCTION("""COMPUTED_VALUE"""),20.0)</f>
        <v>20</v>
      </c>
      <c r="O23" s="176"/>
      <c r="P23" s="165" t="s">
        <v>440</v>
      </c>
      <c r="Q23" s="165" t="s">
        <v>441</v>
      </c>
      <c r="R23" s="176"/>
      <c r="S23" s="176"/>
      <c r="T23" s="176"/>
      <c r="U23" s="176"/>
      <c r="V23" s="176"/>
      <c r="W23" s="176"/>
      <c r="X23" s="176"/>
      <c r="Y23" s="176"/>
      <c r="Z23" s="176"/>
      <c r="AA23" s="176"/>
    </row>
    <row r="24">
      <c r="A24" s="165" t="str">
        <f>iferror(VLOOKUP(P24,'DO NOT TOUCH Imported'!$A$1:$D$800,4,False),iferror(VLOOKUP(P24,'DO NOT TOUCH Imported'!$C$1:$D$800,2,False),"OOPS FIX ME"))</f>
        <v>zeptimusQ</v>
      </c>
      <c r="B24" s="165" t="s">
        <v>443</v>
      </c>
      <c r="C24" s="170" t="s">
        <v>908</v>
      </c>
      <c r="D24" s="236" t="s">
        <v>437</v>
      </c>
      <c r="E24" s="239">
        <v>44299.0</v>
      </c>
      <c r="F24" s="170" t="s">
        <v>439</v>
      </c>
      <c r="G24" s="170">
        <v>1000.0</v>
      </c>
      <c r="H24" s="171">
        <v>100.0</v>
      </c>
      <c r="I24" s="171">
        <v>50.0</v>
      </c>
      <c r="J24" s="172">
        <f t="shared" si="2"/>
        <v>0.0007982581637</v>
      </c>
      <c r="K24" s="173">
        <f t="shared" si="3"/>
        <v>0.9579097965</v>
      </c>
      <c r="L24" s="174">
        <f t="shared" si="4"/>
        <v>43.85790881</v>
      </c>
      <c r="M24" s="175" t="str">
        <f t="shared" si="5"/>
        <v>zeptimusQ</v>
      </c>
      <c r="N24" s="176">
        <f>IFERROR(__xludf.DUMMYFUNCTION("""COMPUTED_VALUE"""),21.0)</f>
        <v>21</v>
      </c>
      <c r="O24" s="176"/>
      <c r="P24" s="165" t="s">
        <v>440</v>
      </c>
      <c r="Q24" s="165" t="s">
        <v>443</v>
      </c>
      <c r="R24" s="176"/>
      <c r="S24" s="176"/>
      <c r="T24" s="176"/>
      <c r="U24" s="176"/>
      <c r="V24" s="176"/>
      <c r="W24" s="176"/>
      <c r="X24" s="176"/>
      <c r="Y24" s="176"/>
      <c r="Z24" s="176"/>
      <c r="AA24" s="176"/>
    </row>
    <row r="25">
      <c r="A25" s="165" t="str">
        <f>iferror(VLOOKUP(P25,'DO NOT TOUCH Imported'!$A$1:$D$800,4,False),iferror(VLOOKUP(P25,'DO NOT TOUCH Imported'!$C$1:$D$800,2,False),"OOPS FIX ME"))</f>
        <v>zeptimusQ</v>
      </c>
      <c r="B25" s="165" t="s">
        <v>441</v>
      </c>
      <c r="C25" s="170" t="s">
        <v>909</v>
      </c>
      <c r="D25" s="236" t="s">
        <v>437</v>
      </c>
      <c r="E25" s="237">
        <v>44309.0</v>
      </c>
      <c r="F25" s="170" t="s">
        <v>439</v>
      </c>
      <c r="G25" s="170">
        <v>1000.0</v>
      </c>
      <c r="H25" s="171">
        <v>100.0</v>
      </c>
      <c r="I25" s="171">
        <v>50.0</v>
      </c>
      <c r="J25" s="172">
        <f t="shared" si="2"/>
        <v>0.0007982581637</v>
      </c>
      <c r="K25" s="173">
        <f t="shared" si="3"/>
        <v>0.9579097965</v>
      </c>
      <c r="L25" s="174">
        <f t="shared" si="4"/>
        <v>43.85790881</v>
      </c>
      <c r="M25" s="175" t="str">
        <f t="shared" si="5"/>
        <v>zeptimusQ</v>
      </c>
      <c r="N25" s="176">
        <f>IFERROR(__xludf.DUMMYFUNCTION("""COMPUTED_VALUE"""),22.0)</f>
        <v>22</v>
      </c>
      <c r="O25" s="176"/>
      <c r="P25" s="165" t="s">
        <v>440</v>
      </c>
      <c r="Q25" s="165" t="s">
        <v>441</v>
      </c>
      <c r="R25" s="176"/>
      <c r="S25" s="176"/>
      <c r="T25" s="176"/>
      <c r="U25" s="176"/>
      <c r="V25" s="176"/>
      <c r="W25" s="176"/>
      <c r="X25" s="176"/>
      <c r="Y25" s="176"/>
      <c r="Z25" s="176"/>
      <c r="AA25" s="176"/>
    </row>
    <row r="26">
      <c r="A26" s="165" t="str">
        <f>iferror(VLOOKUP(P26,'DO NOT TOUCH Imported'!$A$1:$D$800,4,False),iferror(VLOOKUP(P26,'DO NOT TOUCH Imported'!$C$1:$D$800,2,False),"OOPS FIX ME"))</f>
        <v>zeptimusQ</v>
      </c>
      <c r="B26" s="165" t="s">
        <v>435</v>
      </c>
      <c r="C26" s="170" t="s">
        <v>910</v>
      </c>
      <c r="D26" s="236" t="s">
        <v>437</v>
      </c>
      <c r="E26" s="239">
        <v>44302.0</v>
      </c>
      <c r="F26" s="170" t="s">
        <v>911</v>
      </c>
      <c r="G26" s="170">
        <v>1000.0</v>
      </c>
      <c r="H26" s="171">
        <v>60.0</v>
      </c>
      <c r="I26" s="171">
        <v>80.0</v>
      </c>
      <c r="J26" s="172">
        <f t="shared" si="2"/>
        <v>0.0007524601894</v>
      </c>
      <c r="K26" s="173">
        <f t="shared" si="3"/>
        <v>0.9029522272</v>
      </c>
      <c r="L26" s="174">
        <f t="shared" si="4"/>
        <v>43.85790881</v>
      </c>
      <c r="M26" s="175" t="str">
        <f t="shared" si="5"/>
        <v>zeptimusQ</v>
      </c>
      <c r="N26" s="176">
        <f>IFERROR(__xludf.DUMMYFUNCTION("""COMPUTED_VALUE"""),23.0)</f>
        <v>23</v>
      </c>
      <c r="O26" s="176"/>
      <c r="P26" s="165" t="s">
        <v>440</v>
      </c>
      <c r="Q26" s="165" t="s">
        <v>435</v>
      </c>
      <c r="R26" s="176"/>
      <c r="S26" s="176"/>
      <c r="T26" s="176"/>
      <c r="U26" s="176"/>
      <c r="V26" s="176"/>
      <c r="W26" s="176"/>
      <c r="X26" s="176"/>
      <c r="Y26" s="176"/>
      <c r="Z26" s="176"/>
      <c r="AA26" s="176"/>
    </row>
    <row r="27">
      <c r="A27" s="165" t="str">
        <f>iferror(VLOOKUP(P27,'DO NOT TOUCH Imported'!$A$1:$D$800,4,False),iferror(VLOOKUP(P27,'DO NOT TOUCH Imported'!$C$1:$D$800,2,False),"OOPS FIX ME"))</f>
        <v>zeptimusQ</v>
      </c>
      <c r="B27" s="165" t="s">
        <v>440</v>
      </c>
      <c r="C27" s="170" t="s">
        <v>912</v>
      </c>
      <c r="D27" s="236" t="s">
        <v>437</v>
      </c>
      <c r="E27" s="239">
        <v>44307.0</v>
      </c>
      <c r="F27" s="170" t="s">
        <v>439</v>
      </c>
      <c r="G27" s="170">
        <v>1000.0</v>
      </c>
      <c r="H27" s="171">
        <v>70.0</v>
      </c>
      <c r="I27" s="171">
        <v>50.0</v>
      </c>
      <c r="J27" s="172">
        <f t="shared" si="2"/>
        <v>0.0006674280466</v>
      </c>
      <c r="K27" s="173">
        <f t="shared" si="3"/>
        <v>0.8009136559</v>
      </c>
      <c r="L27" s="174">
        <f t="shared" si="4"/>
        <v>43.85790881</v>
      </c>
      <c r="M27" s="175" t="str">
        <f t="shared" si="5"/>
        <v>zeptimusQ</v>
      </c>
      <c r="N27" s="176">
        <f>IFERROR(__xludf.DUMMYFUNCTION("""COMPUTED_VALUE"""),24.0)</f>
        <v>24</v>
      </c>
      <c r="O27" s="176"/>
      <c r="P27" s="165" t="s">
        <v>440</v>
      </c>
      <c r="Q27" s="165" t="s">
        <v>440</v>
      </c>
      <c r="R27" s="176"/>
      <c r="S27" s="176"/>
      <c r="T27" s="176"/>
      <c r="U27" s="176"/>
      <c r="V27" s="176"/>
      <c r="W27" s="176"/>
      <c r="X27" s="176"/>
      <c r="Y27" s="176"/>
      <c r="Z27" s="176"/>
      <c r="AA27" s="176"/>
    </row>
    <row r="28">
      <c r="A28" s="165" t="str">
        <f>iferror(VLOOKUP(P28,'DO NOT TOUCH Imported'!$A$1:$D$800,4,False),iferror(VLOOKUP(P28,'DO NOT TOUCH Imported'!$C$1:$D$800,2,False),"OOPS FIX ME"))</f>
        <v>zeptimusQ</v>
      </c>
      <c r="B28" s="165" t="s">
        <v>440</v>
      </c>
      <c r="C28" s="170" t="s">
        <v>913</v>
      </c>
      <c r="D28" s="236" t="s">
        <v>437</v>
      </c>
      <c r="E28" s="239">
        <v>44298.0</v>
      </c>
      <c r="F28" s="170" t="s">
        <v>439</v>
      </c>
      <c r="G28" s="170">
        <v>1000.0</v>
      </c>
      <c r="H28" s="171">
        <v>60.0</v>
      </c>
      <c r="I28" s="171">
        <v>50.0</v>
      </c>
      <c r="J28" s="172">
        <f t="shared" si="2"/>
        <v>0.0006238180076</v>
      </c>
      <c r="K28" s="173">
        <f t="shared" si="3"/>
        <v>0.7485816091</v>
      </c>
      <c r="L28" s="174">
        <f t="shared" si="4"/>
        <v>43.85790881</v>
      </c>
      <c r="M28" s="175" t="str">
        <f t="shared" si="5"/>
        <v>zeptimusQ</v>
      </c>
      <c r="N28" s="176">
        <f>IFERROR(__xludf.DUMMYFUNCTION("""COMPUTED_VALUE"""),25.0)</f>
        <v>25</v>
      </c>
      <c r="O28" s="176"/>
      <c r="P28" s="165" t="s">
        <v>440</v>
      </c>
      <c r="Q28" s="165" t="s">
        <v>440</v>
      </c>
      <c r="R28" s="176"/>
      <c r="S28" s="176"/>
      <c r="T28" s="176"/>
      <c r="U28" s="176"/>
      <c r="V28" s="176"/>
      <c r="W28" s="176"/>
      <c r="X28" s="176"/>
      <c r="Y28" s="176"/>
      <c r="Z28" s="176"/>
      <c r="AA28" s="176"/>
    </row>
    <row r="29">
      <c r="A29" s="165" t="str">
        <f>iferror(VLOOKUP(P29,'DO NOT TOUCH Imported'!$A$1:$D$800,4,False),iferror(VLOOKUP(P29,'DO NOT TOUCH Imported'!$C$1:$D$800,2,False),"OOPS FIX ME"))</f>
        <v>zeptimusQ</v>
      </c>
      <c r="B29" s="165" t="s">
        <v>490</v>
      </c>
      <c r="C29" s="170" t="s">
        <v>914</v>
      </c>
      <c r="D29" s="236" t="s">
        <v>437</v>
      </c>
      <c r="E29" s="239">
        <v>44299.0</v>
      </c>
      <c r="F29" s="170" t="s">
        <v>439</v>
      </c>
      <c r="G29" s="170">
        <v>1000.0</v>
      </c>
      <c r="H29" s="171">
        <v>60.0</v>
      </c>
      <c r="I29" s="171">
        <v>50.0</v>
      </c>
      <c r="J29" s="172">
        <f t="shared" si="2"/>
        <v>0.0006238180076</v>
      </c>
      <c r="K29" s="173">
        <f t="shared" si="3"/>
        <v>0.7485816091</v>
      </c>
      <c r="L29" s="174">
        <f t="shared" si="4"/>
        <v>43.85790881</v>
      </c>
      <c r="M29" s="175" t="str">
        <f t="shared" si="5"/>
        <v>zeptimusQ</v>
      </c>
      <c r="N29" s="176">
        <f>IFERROR(__xludf.DUMMYFUNCTION("""COMPUTED_VALUE"""),26.0)</f>
        <v>26</v>
      </c>
      <c r="O29" s="176"/>
      <c r="P29" s="165" t="s">
        <v>440</v>
      </c>
      <c r="Q29" s="165" t="s">
        <v>490</v>
      </c>
      <c r="R29" s="176"/>
      <c r="S29" s="176"/>
      <c r="T29" s="176"/>
      <c r="U29" s="176"/>
      <c r="V29" s="176"/>
      <c r="W29" s="176"/>
      <c r="X29" s="176"/>
      <c r="Y29" s="176"/>
      <c r="Z29" s="176"/>
      <c r="AA29" s="176"/>
    </row>
    <row r="30">
      <c r="A30" s="165" t="str">
        <f>iferror(VLOOKUP(P30,'DO NOT TOUCH Imported'!$A$1:$D$800,4,False),iferror(VLOOKUP(P30,'DO NOT TOUCH Imported'!$C$1:$D$800,2,False),"OOPS FIX ME"))</f>
        <v>zeptimusQ</v>
      </c>
      <c r="B30" s="165" t="s">
        <v>492</v>
      </c>
      <c r="C30" s="170" t="s">
        <v>915</v>
      </c>
      <c r="D30" s="236" t="s">
        <v>437</v>
      </c>
      <c r="E30" s="237">
        <v>44300.0</v>
      </c>
      <c r="F30" s="170" t="s">
        <v>439</v>
      </c>
      <c r="G30" s="170">
        <v>1000.0</v>
      </c>
      <c r="H30" s="171">
        <v>60.0</v>
      </c>
      <c r="I30" s="171">
        <v>50.0</v>
      </c>
      <c r="J30" s="172">
        <f t="shared" si="2"/>
        <v>0.0006238180076</v>
      </c>
      <c r="K30" s="173">
        <f t="shared" si="3"/>
        <v>0.7485816091</v>
      </c>
      <c r="L30" s="174">
        <f t="shared" si="4"/>
        <v>43.85790881</v>
      </c>
      <c r="M30" s="175" t="str">
        <f t="shared" si="5"/>
        <v>zeptimusQ</v>
      </c>
      <c r="N30" s="176">
        <f>IFERROR(__xludf.DUMMYFUNCTION("""COMPUTED_VALUE"""),27.0)</f>
        <v>27</v>
      </c>
      <c r="O30" s="176"/>
      <c r="P30" s="165" t="s">
        <v>440</v>
      </c>
      <c r="Q30" s="165" t="s">
        <v>492</v>
      </c>
      <c r="R30" s="176"/>
      <c r="S30" s="176"/>
      <c r="T30" s="176"/>
      <c r="U30" s="176"/>
      <c r="V30" s="176"/>
      <c r="W30" s="176"/>
      <c r="X30" s="176"/>
      <c r="Y30" s="176"/>
      <c r="Z30" s="176"/>
      <c r="AA30" s="176"/>
    </row>
    <row r="31">
      <c r="A31" s="165" t="str">
        <f>iferror(VLOOKUP(P31,'DO NOT TOUCH Imported'!$A$1:$D$800,4,False),iferror(VLOOKUP(P31,'DO NOT TOUCH Imported'!$C$1:$D$800,2,False),"OOPS FIX ME"))</f>
        <v>zeptimusQ</v>
      </c>
      <c r="B31" s="165" t="s">
        <v>440</v>
      </c>
      <c r="C31" s="170" t="s">
        <v>916</v>
      </c>
      <c r="D31" s="236" t="s">
        <v>437</v>
      </c>
      <c r="E31" s="239">
        <v>44300.0</v>
      </c>
      <c r="F31" s="170" t="s">
        <v>439</v>
      </c>
      <c r="G31" s="170">
        <v>1000.0</v>
      </c>
      <c r="H31" s="171">
        <v>60.0</v>
      </c>
      <c r="I31" s="171">
        <v>50.0</v>
      </c>
      <c r="J31" s="172">
        <f t="shared" si="2"/>
        <v>0.0006238180076</v>
      </c>
      <c r="K31" s="173">
        <f t="shared" si="3"/>
        <v>0.7485816091</v>
      </c>
      <c r="L31" s="174">
        <f t="shared" si="4"/>
        <v>43.85790881</v>
      </c>
      <c r="M31" s="175" t="str">
        <f t="shared" si="5"/>
        <v>zeptimusQ</v>
      </c>
      <c r="N31" s="176">
        <f>IFERROR(__xludf.DUMMYFUNCTION("""COMPUTED_VALUE"""),28.0)</f>
        <v>28</v>
      </c>
      <c r="O31" s="176"/>
      <c r="P31" s="165" t="s">
        <v>440</v>
      </c>
      <c r="Q31" s="165" t="s">
        <v>440</v>
      </c>
      <c r="R31" s="176"/>
      <c r="S31" s="176"/>
      <c r="T31" s="176"/>
      <c r="U31" s="176"/>
      <c r="V31" s="176"/>
      <c r="W31" s="176"/>
      <c r="X31" s="176"/>
      <c r="Y31" s="176"/>
      <c r="Z31" s="176"/>
      <c r="AA31" s="176"/>
    </row>
    <row r="32">
      <c r="A32" s="165" t="str">
        <f>iferror(VLOOKUP(P32,'DO NOT TOUCH Imported'!$A$1:$D$800,4,False),iferror(VLOOKUP(P32,'DO NOT TOUCH Imported'!$C$1:$D$800,2,False),"OOPS FIX ME"))</f>
        <v>zeptimusQ</v>
      </c>
      <c r="B32" s="165" t="s">
        <v>440</v>
      </c>
      <c r="C32" s="170" t="s">
        <v>917</v>
      </c>
      <c r="D32" s="236" t="s">
        <v>437</v>
      </c>
      <c r="E32" s="237">
        <v>44301.0</v>
      </c>
      <c r="F32" s="170" t="s">
        <v>439</v>
      </c>
      <c r="G32" s="170">
        <v>1000.0</v>
      </c>
      <c r="H32" s="171">
        <v>60.0</v>
      </c>
      <c r="I32" s="171">
        <v>50.0</v>
      </c>
      <c r="J32" s="172">
        <f t="shared" si="2"/>
        <v>0.0006238180076</v>
      </c>
      <c r="K32" s="173">
        <f t="shared" si="3"/>
        <v>0.7485816091</v>
      </c>
      <c r="L32" s="174">
        <f t="shared" si="4"/>
        <v>43.85790881</v>
      </c>
      <c r="M32" s="175" t="str">
        <f t="shared" si="5"/>
        <v>zeptimusQ</v>
      </c>
      <c r="N32" s="176">
        <f>IFERROR(__xludf.DUMMYFUNCTION("""COMPUTED_VALUE"""),29.0)</f>
        <v>29</v>
      </c>
      <c r="O32" s="176"/>
      <c r="P32" s="165" t="s">
        <v>440</v>
      </c>
      <c r="Q32" s="165" t="s">
        <v>440</v>
      </c>
      <c r="R32" s="176"/>
      <c r="S32" s="176"/>
      <c r="T32" s="176"/>
      <c r="U32" s="176"/>
      <c r="V32" s="176"/>
      <c r="W32" s="176"/>
      <c r="X32" s="176"/>
      <c r="Y32" s="176"/>
      <c r="Z32" s="176"/>
      <c r="AA32" s="176"/>
    </row>
    <row r="33">
      <c r="A33" s="165" t="str">
        <f>iferror(VLOOKUP(P33,'DO NOT TOUCH Imported'!$A$1:$D$800,4,False),iferror(VLOOKUP(P33,'DO NOT TOUCH Imported'!$C$1:$D$800,2,False),"OOPS FIX ME"))</f>
        <v>zeptimusQ</v>
      </c>
      <c r="B33" s="165" t="s">
        <v>441</v>
      </c>
      <c r="C33" s="170" t="s">
        <v>918</v>
      </c>
      <c r="D33" s="236" t="s">
        <v>437</v>
      </c>
      <c r="E33" s="237">
        <v>44302.0</v>
      </c>
      <c r="F33" s="170" t="s">
        <v>439</v>
      </c>
      <c r="G33" s="170">
        <v>1000.0</v>
      </c>
      <c r="H33" s="171">
        <v>60.0</v>
      </c>
      <c r="I33" s="171">
        <v>50.0</v>
      </c>
      <c r="J33" s="172">
        <f t="shared" si="2"/>
        <v>0.0006238180076</v>
      </c>
      <c r="K33" s="173">
        <f t="shared" si="3"/>
        <v>0.7485816091</v>
      </c>
      <c r="L33" s="174">
        <f t="shared" si="4"/>
        <v>43.85790881</v>
      </c>
      <c r="M33" s="175" t="str">
        <f t="shared" si="5"/>
        <v>zeptimusQ</v>
      </c>
      <c r="N33" s="176">
        <f>IFERROR(__xludf.DUMMYFUNCTION("""COMPUTED_VALUE"""),30.0)</f>
        <v>30</v>
      </c>
      <c r="O33" s="176"/>
      <c r="P33" s="165" t="s">
        <v>440</v>
      </c>
      <c r="Q33" s="165" t="s">
        <v>441</v>
      </c>
      <c r="R33" s="176"/>
      <c r="S33" s="176"/>
      <c r="T33" s="176"/>
      <c r="U33" s="176"/>
      <c r="V33" s="176"/>
      <c r="W33" s="176"/>
      <c r="X33" s="176"/>
      <c r="Y33" s="176"/>
      <c r="Z33" s="176"/>
      <c r="AA33" s="176"/>
    </row>
    <row r="34">
      <c r="A34" s="165" t="str">
        <f>iferror(VLOOKUP(P34,'DO NOT TOUCH Imported'!$A$1:$D$800,4,False),iferror(VLOOKUP(P34,'DO NOT TOUCH Imported'!$C$1:$D$800,2,False),"OOPS FIX ME"))</f>
        <v>zeptimusQ</v>
      </c>
      <c r="B34" s="165" t="s">
        <v>576</v>
      </c>
      <c r="C34" s="170" t="s">
        <v>919</v>
      </c>
      <c r="D34" s="236" t="s">
        <v>437</v>
      </c>
      <c r="E34" s="237">
        <v>44302.0</v>
      </c>
      <c r="F34" s="170" t="s">
        <v>439</v>
      </c>
      <c r="G34" s="170">
        <v>1000.0</v>
      </c>
      <c r="H34" s="171">
        <v>60.0</v>
      </c>
      <c r="I34" s="171">
        <v>50.0</v>
      </c>
      <c r="J34" s="172">
        <f t="shared" si="2"/>
        <v>0.0006238180076</v>
      </c>
      <c r="K34" s="173">
        <f t="shared" si="3"/>
        <v>0.7485816091</v>
      </c>
      <c r="L34" s="174">
        <f t="shared" si="4"/>
        <v>43.85790881</v>
      </c>
      <c r="M34" s="175" t="str">
        <f t="shared" si="5"/>
        <v>zeptimusQ</v>
      </c>
      <c r="N34" s="176">
        <f>IFERROR(__xludf.DUMMYFUNCTION("""COMPUTED_VALUE"""),31.0)</f>
        <v>31</v>
      </c>
      <c r="O34" s="176"/>
      <c r="P34" s="165" t="s">
        <v>440</v>
      </c>
      <c r="Q34" s="165" t="s">
        <v>576</v>
      </c>
      <c r="R34" s="176"/>
      <c r="S34" s="176"/>
      <c r="T34" s="176"/>
      <c r="U34" s="176"/>
      <c r="V34" s="176"/>
      <c r="W34" s="176"/>
      <c r="X34" s="176"/>
      <c r="Y34" s="176"/>
      <c r="Z34" s="176"/>
      <c r="AA34" s="176"/>
    </row>
    <row r="35">
      <c r="A35" s="165" t="str">
        <f>iferror(VLOOKUP(P35,'DO NOT TOUCH Imported'!$A$1:$D$800,4,False),iferror(VLOOKUP(P35,'DO NOT TOUCH Imported'!$C$1:$D$800,2,False),"OOPS FIX ME"))</f>
        <v>zeptimusQ</v>
      </c>
      <c r="B35" s="165" t="s">
        <v>483</v>
      </c>
      <c r="C35" s="170" t="s">
        <v>920</v>
      </c>
      <c r="D35" s="236" t="s">
        <v>437</v>
      </c>
      <c r="E35" s="239">
        <v>44305.0</v>
      </c>
      <c r="F35" s="170" t="s">
        <v>439</v>
      </c>
      <c r="G35" s="170">
        <v>1000.0</v>
      </c>
      <c r="H35" s="171">
        <v>60.0</v>
      </c>
      <c r="I35" s="171">
        <v>50.0</v>
      </c>
      <c r="J35" s="172">
        <f t="shared" si="2"/>
        <v>0.0006238180076</v>
      </c>
      <c r="K35" s="173">
        <f t="shared" si="3"/>
        <v>0.7485816091</v>
      </c>
      <c r="L35" s="174">
        <f t="shared" si="4"/>
        <v>43.85790881</v>
      </c>
      <c r="M35" s="175" t="str">
        <f t="shared" si="5"/>
        <v>zeptimusQ</v>
      </c>
      <c r="N35" s="176">
        <f>IFERROR(__xludf.DUMMYFUNCTION("""COMPUTED_VALUE"""),32.0)</f>
        <v>32</v>
      </c>
      <c r="O35" s="176"/>
      <c r="P35" s="165" t="s">
        <v>440</v>
      </c>
      <c r="Q35" s="165" t="s">
        <v>483</v>
      </c>
      <c r="R35" s="176"/>
      <c r="S35" s="176"/>
      <c r="T35" s="176"/>
      <c r="U35" s="176"/>
      <c r="V35" s="176"/>
      <c r="W35" s="176"/>
      <c r="X35" s="176"/>
      <c r="Y35" s="176"/>
      <c r="Z35" s="176"/>
      <c r="AA35" s="176"/>
    </row>
    <row r="36">
      <c r="A36" s="165" t="str">
        <f>iferror(VLOOKUP(P36,'DO NOT TOUCH Imported'!$A$1:$D$800,4,False),iferror(VLOOKUP(P36,'DO NOT TOUCH Imported'!$C$1:$D$800,2,False),"OOPS FIX ME"))</f>
        <v>zeptimusQ</v>
      </c>
      <c r="B36" s="165" t="s">
        <v>486</v>
      </c>
      <c r="C36" s="170" t="s">
        <v>921</v>
      </c>
      <c r="D36" s="236" t="s">
        <v>437</v>
      </c>
      <c r="E36" s="239">
        <v>44306.0</v>
      </c>
      <c r="F36" s="170" t="s">
        <v>439</v>
      </c>
      <c r="G36" s="170">
        <v>1000.0</v>
      </c>
      <c r="H36" s="171">
        <v>60.0</v>
      </c>
      <c r="I36" s="171">
        <v>50.0</v>
      </c>
      <c r="J36" s="172">
        <f t="shared" si="2"/>
        <v>0.0006238180076</v>
      </c>
      <c r="K36" s="173">
        <f t="shared" si="3"/>
        <v>0.7485816091</v>
      </c>
      <c r="L36" s="174">
        <f t="shared" si="4"/>
        <v>43.85790881</v>
      </c>
      <c r="M36" s="175" t="str">
        <f t="shared" si="5"/>
        <v>zeptimusQ</v>
      </c>
      <c r="N36" s="176">
        <f>IFERROR(__xludf.DUMMYFUNCTION("""COMPUTED_VALUE"""),33.0)</f>
        <v>33</v>
      </c>
      <c r="O36" s="176"/>
      <c r="P36" s="165" t="s">
        <v>440</v>
      </c>
      <c r="Q36" s="165" t="s">
        <v>486</v>
      </c>
      <c r="R36" s="176"/>
      <c r="S36" s="176"/>
      <c r="T36" s="176"/>
      <c r="U36" s="176"/>
      <c r="V36" s="176"/>
      <c r="W36" s="176"/>
      <c r="X36" s="176"/>
      <c r="Y36" s="176"/>
      <c r="Z36" s="176"/>
      <c r="AA36" s="176"/>
    </row>
    <row r="37">
      <c r="A37" s="165" t="str">
        <f>iferror(VLOOKUP(P37,'DO NOT TOUCH Imported'!$A$1:$D$800,4,False),iferror(VLOOKUP(P37,'DO NOT TOUCH Imported'!$C$1:$D$800,2,False),"OOPS FIX ME"))</f>
        <v>zeptimusQ</v>
      </c>
      <c r="B37" s="165" t="s">
        <v>440</v>
      </c>
      <c r="C37" s="170" t="s">
        <v>922</v>
      </c>
      <c r="D37" s="236" t="s">
        <v>437</v>
      </c>
      <c r="E37" s="237">
        <v>44307.0</v>
      </c>
      <c r="F37" s="170" t="s">
        <v>439</v>
      </c>
      <c r="G37" s="170">
        <v>1000.0</v>
      </c>
      <c r="H37" s="171">
        <v>60.0</v>
      </c>
      <c r="I37" s="171">
        <v>50.0</v>
      </c>
      <c r="J37" s="172">
        <f t="shared" si="2"/>
        <v>0.0006238180076</v>
      </c>
      <c r="K37" s="173">
        <f t="shared" si="3"/>
        <v>0.7485816091</v>
      </c>
      <c r="L37" s="174">
        <f t="shared" si="4"/>
        <v>43.85790881</v>
      </c>
      <c r="M37" s="175" t="str">
        <f t="shared" si="5"/>
        <v>zeptimusQ</v>
      </c>
      <c r="N37" s="176">
        <f>IFERROR(__xludf.DUMMYFUNCTION("""COMPUTED_VALUE"""),34.0)</f>
        <v>34</v>
      </c>
      <c r="O37" s="176"/>
      <c r="P37" s="165" t="s">
        <v>440</v>
      </c>
      <c r="Q37" s="165" t="s">
        <v>440</v>
      </c>
      <c r="R37" s="176"/>
      <c r="S37" s="176"/>
      <c r="T37" s="176"/>
      <c r="U37" s="176"/>
      <c r="V37" s="176"/>
      <c r="W37" s="176"/>
      <c r="X37" s="176"/>
      <c r="Y37" s="176"/>
      <c r="Z37" s="176"/>
      <c r="AA37" s="176"/>
    </row>
    <row r="38">
      <c r="A38" s="165" t="str">
        <f>iferror(VLOOKUP(P38,'DO NOT TOUCH Imported'!$A$1:$D$800,4,False),iferror(VLOOKUP(P38,'DO NOT TOUCH Imported'!$C$1:$D$800,2,False),"OOPS FIX ME"))</f>
        <v>zeptimusQ</v>
      </c>
      <c r="B38" s="165" t="s">
        <v>441</v>
      </c>
      <c r="C38" s="170" t="s">
        <v>923</v>
      </c>
      <c r="D38" s="236" t="s">
        <v>437</v>
      </c>
      <c r="E38" s="237">
        <v>44309.0</v>
      </c>
      <c r="F38" s="170" t="s">
        <v>439</v>
      </c>
      <c r="G38" s="170">
        <v>1000.0</v>
      </c>
      <c r="H38" s="171">
        <v>60.0</v>
      </c>
      <c r="I38" s="171">
        <v>50.0</v>
      </c>
      <c r="J38" s="172">
        <f t="shared" si="2"/>
        <v>0.0006238180076</v>
      </c>
      <c r="K38" s="173">
        <f t="shared" si="3"/>
        <v>0.7485816091</v>
      </c>
      <c r="L38" s="174">
        <f t="shared" si="4"/>
        <v>43.85790881</v>
      </c>
      <c r="M38" s="175" t="str">
        <f t="shared" si="5"/>
        <v>zeptimusQ</v>
      </c>
      <c r="N38" s="176">
        <f>IFERROR(__xludf.DUMMYFUNCTION("""COMPUTED_VALUE"""),35.0)</f>
        <v>35</v>
      </c>
      <c r="O38" s="176"/>
      <c r="P38" s="165" t="s">
        <v>440</v>
      </c>
      <c r="Q38" s="165" t="s">
        <v>441</v>
      </c>
      <c r="R38" s="176"/>
      <c r="S38" s="176"/>
      <c r="T38" s="176"/>
      <c r="U38" s="176"/>
      <c r="V38" s="176"/>
      <c r="W38" s="176"/>
      <c r="X38" s="176"/>
      <c r="Y38" s="176"/>
      <c r="Z38" s="176"/>
      <c r="AA38" s="176"/>
    </row>
    <row r="39">
      <c r="A39" s="165" t="str">
        <f>iferror(VLOOKUP(P39,'DO NOT TOUCH Imported'!$A$1:$D$800,4,False),iferror(VLOOKUP(P39,'DO NOT TOUCH Imported'!$C$1:$D$800,2,False),"OOPS FIX ME"))</f>
        <v>zeptimusQ</v>
      </c>
      <c r="B39" s="165" t="s">
        <v>486</v>
      </c>
      <c r="C39" s="170" t="s">
        <v>924</v>
      </c>
      <c r="D39" s="236" t="s">
        <v>437</v>
      </c>
      <c r="E39" s="237">
        <v>44299.0</v>
      </c>
      <c r="F39" s="170" t="s">
        <v>439</v>
      </c>
      <c r="G39" s="170">
        <v>1000.0</v>
      </c>
      <c r="H39" s="171">
        <v>50.0</v>
      </c>
      <c r="I39" s="171">
        <v>50.0</v>
      </c>
      <c r="J39" s="172">
        <f t="shared" si="2"/>
        <v>0.0005802079686</v>
      </c>
      <c r="K39" s="173">
        <f t="shared" si="3"/>
        <v>0.6962495623</v>
      </c>
      <c r="L39" s="174">
        <f t="shared" si="4"/>
        <v>43.85790881</v>
      </c>
      <c r="M39" s="175" t="str">
        <f t="shared" si="5"/>
        <v>zeptimusQ</v>
      </c>
      <c r="N39" s="176">
        <f>IFERROR(__xludf.DUMMYFUNCTION("""COMPUTED_VALUE"""),36.0)</f>
        <v>36</v>
      </c>
      <c r="O39" s="176"/>
      <c r="P39" s="165" t="s">
        <v>440</v>
      </c>
      <c r="Q39" s="165" t="s">
        <v>486</v>
      </c>
      <c r="R39" s="176"/>
      <c r="S39" s="176"/>
      <c r="T39" s="176"/>
      <c r="U39" s="176"/>
      <c r="V39" s="176"/>
      <c r="W39" s="176"/>
      <c r="X39" s="176"/>
      <c r="Y39" s="176"/>
      <c r="Z39" s="176"/>
      <c r="AA39" s="176"/>
    </row>
    <row r="40">
      <c r="A40" s="165" t="str">
        <f>iferror(VLOOKUP(P40,'DO NOT TOUCH Imported'!$A$1:$D$800,4,False),iferror(VLOOKUP(P40,'DO NOT TOUCH Imported'!$C$1:$D$800,2,False),"OOPS FIX ME"))</f>
        <v>zeptimusQ</v>
      </c>
      <c r="B40" s="165" t="s">
        <v>10</v>
      </c>
      <c r="C40" s="170" t="s">
        <v>494</v>
      </c>
      <c r="D40" s="236" t="s">
        <v>495</v>
      </c>
      <c r="E40" s="237">
        <v>44309.0</v>
      </c>
      <c r="F40" s="170" t="s">
        <v>496</v>
      </c>
      <c r="G40" s="170">
        <v>1500.0</v>
      </c>
      <c r="H40" s="171">
        <v>25.0</v>
      </c>
      <c r="I40" s="171">
        <v>40.0</v>
      </c>
      <c r="J40" s="172">
        <f t="shared" si="2"/>
        <v>0.0005021792123</v>
      </c>
      <c r="K40" s="173">
        <f t="shared" si="3"/>
        <v>0.6026150547</v>
      </c>
      <c r="L40" s="174">
        <f t="shared" si="4"/>
        <v>43.85790881</v>
      </c>
      <c r="M40" s="175" t="str">
        <f t="shared" si="5"/>
        <v>zeptimusQ</v>
      </c>
      <c r="N40" s="176">
        <f>IFERROR(__xludf.DUMMYFUNCTION("""COMPUTED_VALUE"""),37.0)</f>
        <v>37</v>
      </c>
      <c r="O40" s="176"/>
      <c r="P40" s="165" t="s">
        <v>3</v>
      </c>
      <c r="Q40" s="165" t="s">
        <v>10</v>
      </c>
      <c r="R40" s="176"/>
      <c r="S40" s="176"/>
      <c r="T40" s="176"/>
      <c r="U40" s="176"/>
      <c r="V40" s="176"/>
      <c r="W40" s="176"/>
      <c r="X40" s="176"/>
      <c r="Y40" s="176"/>
      <c r="Z40" s="176"/>
      <c r="AA40" s="176"/>
    </row>
    <row r="41">
      <c r="A41" s="165" t="str">
        <f>iferror(VLOOKUP(P41,'DO NOT TOUCH Imported'!$A$1:$D$800,4,False),iferror(VLOOKUP(P41,'DO NOT TOUCH Imported'!$C$1:$D$800,2,False),"OOPS FIX ME"))</f>
        <v>zeptimusQ</v>
      </c>
      <c r="B41" s="165" t="s">
        <v>10</v>
      </c>
      <c r="C41" s="170" t="s">
        <v>498</v>
      </c>
      <c r="D41" s="236" t="s">
        <v>495</v>
      </c>
      <c r="E41" s="239">
        <v>44302.0</v>
      </c>
      <c r="F41" s="170" t="s">
        <v>499</v>
      </c>
      <c r="G41" s="170">
        <v>500.0</v>
      </c>
      <c r="H41" s="171">
        <v>25.0</v>
      </c>
      <c r="I41" s="171">
        <v>25.0</v>
      </c>
      <c r="J41" s="172">
        <f t="shared" si="2"/>
        <v>0.0002901039843</v>
      </c>
      <c r="K41" s="173">
        <f t="shared" si="3"/>
        <v>0.3481247811</v>
      </c>
      <c r="L41" s="174">
        <f t="shared" si="4"/>
        <v>43.85790881</v>
      </c>
      <c r="M41" s="175" t="str">
        <f t="shared" si="5"/>
        <v>zeptimusQ</v>
      </c>
      <c r="N41" s="176">
        <f>IFERROR(__xludf.DUMMYFUNCTION("""COMPUTED_VALUE"""),38.0)</f>
        <v>38</v>
      </c>
      <c r="O41" s="176"/>
      <c r="P41" s="165" t="s">
        <v>3</v>
      </c>
      <c r="Q41" s="165" t="s">
        <v>10</v>
      </c>
      <c r="R41" s="176"/>
      <c r="S41" s="176"/>
      <c r="T41" s="176"/>
      <c r="U41" s="176"/>
      <c r="V41" s="176"/>
      <c r="W41" s="176"/>
      <c r="X41" s="176"/>
      <c r="Y41" s="176"/>
      <c r="Z41" s="176"/>
      <c r="AA41" s="176"/>
    </row>
    <row r="42">
      <c r="A42" s="165" t="str">
        <f>iferror(VLOOKUP(P42,'DO NOT TOUCH Imported'!$A$1:$D$800,4,False),iferror(VLOOKUP(P42,'DO NOT TOUCH Imported'!$C$1:$D$800,2,False),"OOPS FIX ME"))</f>
        <v>zeptimusQ</v>
      </c>
      <c r="B42" s="165" t="s">
        <v>10</v>
      </c>
      <c r="C42" s="170" t="s">
        <v>500</v>
      </c>
      <c r="D42" s="236" t="s">
        <v>495</v>
      </c>
      <c r="E42" s="237">
        <v>44302.0</v>
      </c>
      <c r="F42" s="170" t="s">
        <v>496</v>
      </c>
      <c r="G42" s="170">
        <v>500.0</v>
      </c>
      <c r="H42" s="171">
        <v>25.0</v>
      </c>
      <c r="I42" s="171">
        <v>25.0</v>
      </c>
      <c r="J42" s="172">
        <f t="shared" si="2"/>
        <v>0.0002901039843</v>
      </c>
      <c r="K42" s="173">
        <f t="shared" si="3"/>
        <v>0.3481247811</v>
      </c>
      <c r="L42" s="174">
        <f t="shared" si="4"/>
        <v>43.85790881</v>
      </c>
      <c r="M42" s="175" t="str">
        <f t="shared" si="5"/>
        <v>zeptimusQ</v>
      </c>
      <c r="N42" s="176">
        <f>IFERROR(__xludf.DUMMYFUNCTION("""COMPUTED_VALUE"""),39.0)</f>
        <v>39</v>
      </c>
      <c r="O42" s="176"/>
      <c r="P42" s="165" t="s">
        <v>3</v>
      </c>
      <c r="Q42" s="165" t="s">
        <v>10</v>
      </c>
      <c r="R42" s="176"/>
      <c r="S42" s="176"/>
      <c r="T42" s="176"/>
      <c r="U42" s="176"/>
      <c r="V42" s="176"/>
      <c r="W42" s="176"/>
      <c r="X42" s="176"/>
      <c r="Y42" s="176"/>
      <c r="Z42" s="176"/>
      <c r="AA42" s="176"/>
    </row>
    <row r="43">
      <c r="A43" s="165" t="str">
        <f>iferror(VLOOKUP(P43,'DO NOT TOUCH Imported'!$A$1:$D$800,4,False),iferror(VLOOKUP(P43,'DO NOT TOUCH Imported'!$C$1:$D$800,2,False),"OOPS FIX ME"))</f>
        <v>zeptimusQ</v>
      </c>
      <c r="B43" s="165" t="s">
        <v>10</v>
      </c>
      <c r="C43" s="170" t="s">
        <v>498</v>
      </c>
      <c r="D43" s="236" t="s">
        <v>495</v>
      </c>
      <c r="E43" s="239">
        <v>44309.0</v>
      </c>
      <c r="F43" s="170" t="s">
        <v>499</v>
      </c>
      <c r="G43" s="170">
        <v>500.0</v>
      </c>
      <c r="H43" s="171">
        <v>25.0</v>
      </c>
      <c r="I43" s="171">
        <v>25.0</v>
      </c>
      <c r="J43" s="172">
        <f t="shared" si="2"/>
        <v>0.0002901039843</v>
      </c>
      <c r="K43" s="173">
        <f t="shared" si="3"/>
        <v>0.3481247811</v>
      </c>
      <c r="L43" s="174">
        <f t="shared" si="4"/>
        <v>43.85790881</v>
      </c>
      <c r="M43" s="175" t="str">
        <f t="shared" si="5"/>
        <v>zeptimusQ</v>
      </c>
      <c r="N43" s="176">
        <f>IFERROR(__xludf.DUMMYFUNCTION("""COMPUTED_VALUE"""),40.0)</f>
        <v>40</v>
      </c>
      <c r="O43" s="176"/>
      <c r="P43" s="165" t="s">
        <v>3</v>
      </c>
      <c r="Q43" s="165" t="s">
        <v>10</v>
      </c>
      <c r="R43" s="176"/>
      <c r="S43" s="176"/>
      <c r="T43" s="176"/>
      <c r="U43" s="176"/>
      <c r="V43" s="176"/>
      <c r="W43" s="176"/>
      <c r="X43" s="176"/>
      <c r="Y43" s="176"/>
      <c r="Z43" s="176"/>
      <c r="AA43" s="176"/>
    </row>
    <row r="44">
      <c r="A44" s="165" t="str">
        <f>iferror(VLOOKUP(P44,'DO NOT TOUCH Imported'!$A$1:$D$800,4,False),iferror(VLOOKUP(P44,'DO NOT TOUCH Imported'!$C$1:$D$800,2,False),"OOPS FIX ME"))</f>
        <v>zeptimusQ</v>
      </c>
      <c r="B44" s="165" t="s">
        <v>10</v>
      </c>
      <c r="C44" s="170" t="s">
        <v>500</v>
      </c>
      <c r="D44" s="236" t="s">
        <v>495</v>
      </c>
      <c r="E44" s="237">
        <v>44309.0</v>
      </c>
      <c r="F44" s="170" t="s">
        <v>496</v>
      </c>
      <c r="G44" s="170">
        <v>500.0</v>
      </c>
      <c r="H44" s="171">
        <v>25.0</v>
      </c>
      <c r="I44" s="171">
        <v>25.0</v>
      </c>
      <c r="J44" s="172">
        <f t="shared" si="2"/>
        <v>0.0002901039843</v>
      </c>
      <c r="K44" s="173">
        <f t="shared" si="3"/>
        <v>0.3481247811</v>
      </c>
      <c r="L44" s="174">
        <f t="shared" si="4"/>
        <v>43.85790881</v>
      </c>
      <c r="M44" s="175" t="str">
        <f t="shared" si="5"/>
        <v>zeptimusQ</v>
      </c>
      <c r="N44" s="176">
        <f>IFERROR(__xludf.DUMMYFUNCTION("""COMPUTED_VALUE"""),41.0)</f>
        <v>41</v>
      </c>
      <c r="O44" s="176"/>
      <c r="P44" s="165" t="s">
        <v>3</v>
      </c>
      <c r="Q44" s="165" t="s">
        <v>10</v>
      </c>
      <c r="R44" s="176"/>
      <c r="S44" s="176"/>
      <c r="T44" s="176"/>
      <c r="U44" s="176"/>
      <c r="V44" s="176"/>
      <c r="W44" s="176"/>
      <c r="X44" s="176"/>
      <c r="Y44" s="176"/>
      <c r="Z44" s="176"/>
      <c r="AA44" s="176"/>
    </row>
    <row r="45">
      <c r="A45" s="240" t="str">
        <f>iferror(VLOOKUP(P45,'DO NOT TOUCH Imported'!$A$1:$D$800,4,False),iferror(VLOOKUP(P45,'DO NOT TOUCH Imported'!$C$1:$D$800,2,False),"OOPS FIX ME"))</f>
        <v>zeptimusQ</v>
      </c>
      <c r="B45" s="240" t="s">
        <v>492</v>
      </c>
      <c r="C45" s="221" t="s">
        <v>915</v>
      </c>
      <c r="D45" s="241" t="s">
        <v>437</v>
      </c>
      <c r="E45" s="242">
        <v>44300.0</v>
      </c>
      <c r="F45" s="221" t="s">
        <v>439</v>
      </c>
      <c r="G45" s="221"/>
      <c r="H45" s="222"/>
      <c r="I45" s="222"/>
      <c r="J45" s="172">
        <f t="shared" si="2"/>
        <v>0</v>
      </c>
      <c r="K45" s="173">
        <f t="shared" si="3"/>
        <v>0</v>
      </c>
      <c r="L45" s="174">
        <f t="shared" si="4"/>
        <v>43.85790881</v>
      </c>
      <c r="M45" s="175" t="str">
        <f t="shared" si="5"/>
        <v>zeptimusQ</v>
      </c>
      <c r="N45" s="209">
        <f>IFERROR(__xludf.DUMMYFUNCTION("""COMPUTED_VALUE"""),42.0)</f>
        <v>42</v>
      </c>
      <c r="O45" s="209"/>
      <c r="P45" s="240" t="s">
        <v>440</v>
      </c>
      <c r="Q45" s="240" t="s">
        <v>492</v>
      </c>
      <c r="R45" s="209"/>
      <c r="S45" s="209"/>
      <c r="T45" s="209"/>
      <c r="U45" s="209"/>
      <c r="V45" s="209"/>
      <c r="W45" s="209"/>
      <c r="X45" s="209"/>
      <c r="Y45" s="209"/>
      <c r="Z45" s="209"/>
      <c r="AA45" s="209"/>
    </row>
    <row r="46">
      <c r="A46" s="165" t="str">
        <f>iferror(VLOOKUP(P46,'DO NOT TOUCH Imported'!$A$1:$D$800,4,False),iferror(VLOOKUP(P46,'DO NOT TOUCH Imported'!$C$1:$D$800,2,False),"OOPS FIX ME"))</f>
        <v>ygganderson</v>
      </c>
      <c r="B46" s="165" t="s">
        <v>925</v>
      </c>
      <c r="C46" s="170" t="s">
        <v>926</v>
      </c>
      <c r="D46" s="236" t="s">
        <v>495</v>
      </c>
      <c r="E46" s="237">
        <v>44300.0</v>
      </c>
      <c r="F46" s="170" t="s">
        <v>627</v>
      </c>
      <c r="G46" s="170">
        <v>8000.0</v>
      </c>
      <c r="H46" s="171">
        <v>200.0</v>
      </c>
      <c r="I46" s="171">
        <v>250.0</v>
      </c>
      <c r="J46" s="172">
        <f t="shared" si="2"/>
        <v>0.003126252059</v>
      </c>
      <c r="K46" s="173">
        <f t="shared" si="3"/>
        <v>3.751502471</v>
      </c>
      <c r="L46" s="174">
        <f t="shared" si="4"/>
        <v>29.83229292</v>
      </c>
      <c r="M46" s="175" t="str">
        <f t="shared" si="5"/>
        <v>ygganderson</v>
      </c>
      <c r="N46" s="176">
        <f>IFERROR(__xludf.DUMMYFUNCTION("""COMPUTED_VALUE"""),1.0)</f>
        <v>1</v>
      </c>
      <c r="O46" s="176"/>
      <c r="P46" s="165" t="s">
        <v>7</v>
      </c>
      <c r="Q46" s="165" t="s">
        <v>925</v>
      </c>
      <c r="R46" s="176"/>
      <c r="S46" s="176"/>
      <c r="T46" s="176"/>
      <c r="U46" s="176"/>
      <c r="V46" s="176"/>
      <c r="W46" s="176"/>
      <c r="X46" s="176"/>
      <c r="Y46" s="176"/>
      <c r="Z46" s="176"/>
      <c r="AA46" s="176"/>
    </row>
    <row r="47">
      <c r="A47" s="165" t="str">
        <f>iferror(VLOOKUP(P47,'DO NOT TOUCH Imported'!$A$1:$D$800,4,False),iferror(VLOOKUP(P47,'DO NOT TOUCH Imported'!$C$1:$D$800,2,False),"OOPS FIX ME"))</f>
        <v>ygganderson</v>
      </c>
      <c r="B47" s="165" t="s">
        <v>519</v>
      </c>
      <c r="C47" s="170" t="s">
        <v>927</v>
      </c>
      <c r="D47" s="236" t="s">
        <v>495</v>
      </c>
      <c r="E47" s="237">
        <v>44300.0</v>
      </c>
      <c r="F47" s="170" t="s">
        <v>499</v>
      </c>
      <c r="G47" s="170">
        <v>5000.0</v>
      </c>
      <c r="H47" s="171">
        <v>200.0</v>
      </c>
      <c r="I47" s="171">
        <v>200.0</v>
      </c>
      <c r="J47" s="172">
        <f t="shared" si="2"/>
        <v>0.002468586011</v>
      </c>
      <c r="K47" s="173">
        <f t="shared" si="3"/>
        <v>2.962303214</v>
      </c>
      <c r="L47" s="174">
        <f t="shared" si="4"/>
        <v>29.83229292</v>
      </c>
      <c r="M47" s="175" t="str">
        <f t="shared" si="5"/>
        <v>ygganderson</v>
      </c>
      <c r="N47" s="176">
        <f>IFERROR(__xludf.DUMMYFUNCTION("""COMPUTED_VALUE"""),2.0)</f>
        <v>2</v>
      </c>
      <c r="O47" s="176"/>
      <c r="P47" s="165" t="s">
        <v>7</v>
      </c>
      <c r="Q47" s="165" t="s">
        <v>519</v>
      </c>
      <c r="R47" s="176"/>
      <c r="S47" s="176"/>
      <c r="T47" s="176"/>
      <c r="U47" s="176"/>
      <c r="V47" s="176"/>
      <c r="W47" s="176"/>
      <c r="X47" s="176"/>
      <c r="Y47" s="176"/>
      <c r="Z47" s="176"/>
      <c r="AA47" s="176"/>
    </row>
    <row r="48">
      <c r="A48" s="165" t="str">
        <f>iferror(VLOOKUP(P48,'DO NOT TOUCH Imported'!$A$1:$D$800,4,False),iferror(VLOOKUP(P48,'DO NOT TOUCH Imported'!$C$1:$D$800,2,False),"OOPS FIX ME"))</f>
        <v>ygganderson</v>
      </c>
      <c r="B48" s="165" t="s">
        <v>441</v>
      </c>
      <c r="C48" s="170" t="s">
        <v>928</v>
      </c>
      <c r="D48" s="236" t="s">
        <v>437</v>
      </c>
      <c r="E48" s="237">
        <v>44309.0</v>
      </c>
      <c r="F48" s="170" t="s">
        <v>439</v>
      </c>
      <c r="G48" s="170">
        <v>5000.0</v>
      </c>
      <c r="H48" s="171">
        <v>100.0</v>
      </c>
      <c r="I48" s="171">
        <v>250.0</v>
      </c>
      <c r="J48" s="172">
        <f t="shared" si="2"/>
        <v>0.002246889257</v>
      </c>
      <c r="K48" s="173">
        <f t="shared" si="3"/>
        <v>2.696267109</v>
      </c>
      <c r="L48" s="174">
        <f t="shared" si="4"/>
        <v>29.83229292</v>
      </c>
      <c r="M48" s="175" t="str">
        <f t="shared" si="5"/>
        <v>ygganderson</v>
      </c>
      <c r="N48" s="176">
        <f>IFERROR(__xludf.DUMMYFUNCTION("""COMPUTED_VALUE"""),3.0)</f>
        <v>3</v>
      </c>
      <c r="O48" s="176"/>
      <c r="P48" s="165" t="s">
        <v>512</v>
      </c>
      <c r="Q48" s="165" t="s">
        <v>441</v>
      </c>
      <c r="R48" s="176"/>
      <c r="S48" s="176"/>
      <c r="T48" s="176"/>
      <c r="U48" s="176"/>
      <c r="V48" s="176"/>
      <c r="W48" s="176"/>
      <c r="X48" s="176"/>
      <c r="Y48" s="176"/>
      <c r="Z48" s="176"/>
      <c r="AA48" s="176"/>
    </row>
    <row r="49">
      <c r="A49" s="165" t="str">
        <f>iferror(VLOOKUP(P49,'DO NOT TOUCH Imported'!$A$1:$D$800,4,False),iferror(VLOOKUP(P49,'DO NOT TOUCH Imported'!$C$1:$D$800,2,False),"OOPS FIX ME"))</f>
        <v>ygganderson</v>
      </c>
      <c r="B49" s="165" t="s">
        <v>6</v>
      </c>
      <c r="C49" s="170" t="s">
        <v>929</v>
      </c>
      <c r="D49" s="236" t="s">
        <v>495</v>
      </c>
      <c r="E49" s="237">
        <v>44305.0</v>
      </c>
      <c r="F49" s="170" t="s">
        <v>496</v>
      </c>
      <c r="G49" s="170">
        <v>10000.0</v>
      </c>
      <c r="H49" s="171">
        <v>100.0</v>
      </c>
      <c r="I49" s="171">
        <v>100.0</v>
      </c>
      <c r="J49" s="172">
        <f t="shared" si="2"/>
        <v>0.002342449034</v>
      </c>
      <c r="K49" s="173">
        <f t="shared" si="3"/>
        <v>2.810938841</v>
      </c>
      <c r="L49" s="174">
        <f t="shared" si="4"/>
        <v>29.83229292</v>
      </c>
      <c r="M49" s="175" t="str">
        <f t="shared" si="5"/>
        <v>ygganderson</v>
      </c>
      <c r="N49" s="176">
        <f>IFERROR(__xludf.DUMMYFUNCTION("""COMPUTED_VALUE"""),4.0)</f>
        <v>4</v>
      </c>
      <c r="O49" s="176"/>
      <c r="P49" s="165" t="s">
        <v>7</v>
      </c>
      <c r="Q49" s="165" t="s">
        <v>6</v>
      </c>
      <c r="R49" s="176"/>
      <c r="S49" s="176"/>
      <c r="T49" s="176"/>
      <c r="U49" s="176"/>
      <c r="V49" s="176"/>
      <c r="W49" s="176"/>
      <c r="X49" s="176"/>
      <c r="Y49" s="176"/>
      <c r="Z49" s="176"/>
      <c r="AA49" s="176"/>
    </row>
    <row r="50">
      <c r="A50" s="165" t="str">
        <f>iferror(VLOOKUP(P50,'DO NOT TOUCH Imported'!$A$1:$D$800,4,False),iferror(VLOOKUP(P50,'DO NOT TOUCH Imported'!$C$1:$D$800,2,False),"OOPS FIX ME"))</f>
        <v>ygganderson</v>
      </c>
      <c r="B50" s="165" t="s">
        <v>441</v>
      </c>
      <c r="C50" s="170" t="s">
        <v>930</v>
      </c>
      <c r="D50" s="236" t="s">
        <v>437</v>
      </c>
      <c r="E50" s="239">
        <v>44309.0</v>
      </c>
      <c r="F50" s="170" t="s">
        <v>439</v>
      </c>
      <c r="G50" s="170">
        <v>5000.0</v>
      </c>
      <c r="H50" s="171">
        <v>200.0</v>
      </c>
      <c r="I50" s="171">
        <v>100.0</v>
      </c>
      <c r="J50" s="172">
        <f t="shared" si="2"/>
        <v>0.002039778739</v>
      </c>
      <c r="K50" s="173">
        <f t="shared" si="3"/>
        <v>2.447734487</v>
      </c>
      <c r="L50" s="174">
        <f t="shared" si="4"/>
        <v>29.83229292</v>
      </c>
      <c r="M50" s="175" t="str">
        <f t="shared" si="5"/>
        <v>ygganderson</v>
      </c>
      <c r="N50" s="176">
        <f>IFERROR(__xludf.DUMMYFUNCTION("""COMPUTED_VALUE"""),5.0)</f>
        <v>5</v>
      </c>
      <c r="O50" s="176"/>
      <c r="P50" s="165" t="s">
        <v>512</v>
      </c>
      <c r="Q50" s="165" t="s">
        <v>441</v>
      </c>
      <c r="R50" s="176"/>
      <c r="S50" s="176"/>
      <c r="T50" s="176"/>
      <c r="U50" s="176"/>
      <c r="V50" s="176"/>
      <c r="W50" s="176"/>
      <c r="X50" s="176"/>
      <c r="Y50" s="176"/>
      <c r="Z50" s="176"/>
      <c r="AA50" s="176"/>
    </row>
    <row r="51">
      <c r="A51" s="165" t="str">
        <f>iferror(VLOOKUP(P51,'DO NOT TOUCH Imported'!$A$1:$D$800,4,False),iferror(VLOOKUP(P51,'DO NOT TOUCH Imported'!$C$1:$D$800,2,False),"OOPS FIX ME"))</f>
        <v>ygganderson</v>
      </c>
      <c r="B51" s="165" t="s">
        <v>441</v>
      </c>
      <c r="C51" s="170" t="s">
        <v>931</v>
      </c>
      <c r="D51" s="236" t="s">
        <v>437</v>
      </c>
      <c r="E51" s="237">
        <v>44309.0</v>
      </c>
      <c r="F51" s="170" t="s">
        <v>439</v>
      </c>
      <c r="G51" s="170">
        <v>5000.0</v>
      </c>
      <c r="H51" s="171">
        <v>100.0</v>
      </c>
      <c r="I51" s="171">
        <v>200.0</v>
      </c>
      <c r="J51" s="172">
        <f t="shared" si="2"/>
        <v>0.002032485621</v>
      </c>
      <c r="K51" s="173">
        <f t="shared" si="3"/>
        <v>2.438982745</v>
      </c>
      <c r="L51" s="174">
        <f t="shared" si="4"/>
        <v>29.83229292</v>
      </c>
      <c r="M51" s="175" t="str">
        <f t="shared" si="5"/>
        <v>ygganderson</v>
      </c>
      <c r="N51" s="176">
        <f>IFERROR(__xludf.DUMMYFUNCTION("""COMPUTED_VALUE"""),6.0)</f>
        <v>6</v>
      </c>
      <c r="O51" s="176"/>
      <c r="P51" s="165" t="s">
        <v>512</v>
      </c>
      <c r="Q51" s="165" t="s">
        <v>441</v>
      </c>
      <c r="R51" s="176"/>
      <c r="S51" s="176"/>
      <c r="T51" s="176"/>
      <c r="U51" s="176"/>
      <c r="V51" s="176"/>
      <c r="W51" s="176"/>
      <c r="X51" s="176"/>
      <c r="Y51" s="176"/>
      <c r="Z51" s="176"/>
      <c r="AA51" s="176"/>
    </row>
    <row r="52">
      <c r="A52" s="165" t="str">
        <f>iferror(VLOOKUP(P52,'DO NOT TOUCH Imported'!$A$1:$D$800,4,False),iferror(VLOOKUP(P52,'DO NOT TOUCH Imported'!$C$1:$D$800,2,False),"OOPS FIX ME"))</f>
        <v>ygganderson</v>
      </c>
      <c r="B52" s="165" t="s">
        <v>441</v>
      </c>
      <c r="C52" s="170" t="s">
        <v>932</v>
      </c>
      <c r="D52" s="236" t="s">
        <v>437</v>
      </c>
      <c r="E52" s="237">
        <v>44309.0</v>
      </c>
      <c r="F52" s="170" t="s">
        <v>439</v>
      </c>
      <c r="G52" s="170">
        <v>2500.0</v>
      </c>
      <c r="H52" s="171">
        <v>100.0</v>
      </c>
      <c r="I52" s="171">
        <v>200.0</v>
      </c>
      <c r="J52" s="172">
        <f t="shared" si="2"/>
        <v>0.001663100278</v>
      </c>
      <c r="K52" s="173">
        <f t="shared" si="3"/>
        <v>1.995720334</v>
      </c>
      <c r="L52" s="174">
        <f t="shared" si="4"/>
        <v>29.83229292</v>
      </c>
      <c r="M52" s="175" t="str">
        <f t="shared" si="5"/>
        <v>ygganderson</v>
      </c>
      <c r="N52" s="176">
        <f>IFERROR(__xludf.DUMMYFUNCTION("""COMPUTED_VALUE"""),7.0)</f>
        <v>7</v>
      </c>
      <c r="O52" s="176"/>
      <c r="P52" s="165" t="s">
        <v>512</v>
      </c>
      <c r="Q52" s="165" t="s">
        <v>441</v>
      </c>
      <c r="R52" s="176"/>
      <c r="S52" s="176"/>
      <c r="T52" s="176"/>
      <c r="U52" s="176"/>
      <c r="V52" s="176"/>
      <c r="W52" s="176"/>
      <c r="X52" s="176"/>
      <c r="Y52" s="176"/>
      <c r="Z52" s="176"/>
      <c r="AA52" s="176"/>
    </row>
    <row r="53">
      <c r="A53" s="165" t="str">
        <f>iferror(VLOOKUP(P53,'DO NOT TOUCH Imported'!$A$1:$D$800,4,False),iferror(VLOOKUP(P53,'DO NOT TOUCH Imported'!$C$1:$D$800,2,False),"OOPS FIX ME"))</f>
        <v>ygganderson</v>
      </c>
      <c r="B53" s="165" t="s">
        <v>566</v>
      </c>
      <c r="C53" s="170" t="s">
        <v>933</v>
      </c>
      <c r="D53" s="236" t="s">
        <v>499</v>
      </c>
      <c r="E53" s="239">
        <v>44305.0</v>
      </c>
      <c r="F53" s="170" t="s">
        <v>503</v>
      </c>
      <c r="G53" s="170">
        <v>2000.0</v>
      </c>
      <c r="H53" s="171">
        <v>200.0</v>
      </c>
      <c r="I53" s="171">
        <v>100.0</v>
      </c>
      <c r="J53" s="172">
        <f t="shared" si="2"/>
        <v>0.001596516327</v>
      </c>
      <c r="K53" s="173">
        <f t="shared" si="3"/>
        <v>1.915819593</v>
      </c>
      <c r="L53" s="174">
        <f t="shared" si="4"/>
        <v>29.83229292</v>
      </c>
      <c r="M53" s="175" t="str">
        <f t="shared" si="5"/>
        <v>ygganderson</v>
      </c>
      <c r="N53" s="176">
        <f>IFERROR(__xludf.DUMMYFUNCTION("""COMPUTED_VALUE"""),8.0)</f>
        <v>8</v>
      </c>
      <c r="O53" s="176"/>
      <c r="P53" s="165" t="s">
        <v>512</v>
      </c>
      <c r="Q53" s="165" t="s">
        <v>566</v>
      </c>
      <c r="R53" s="176"/>
      <c r="S53" s="176"/>
      <c r="T53" s="176"/>
      <c r="U53" s="176"/>
      <c r="V53" s="176"/>
      <c r="W53" s="176"/>
      <c r="X53" s="176"/>
      <c r="Y53" s="176"/>
      <c r="Z53" s="176"/>
      <c r="AA53" s="176"/>
    </row>
    <row r="54">
      <c r="A54" s="165" t="str">
        <f>iferror(VLOOKUP(P54,'DO NOT TOUCH Imported'!$A$1:$D$800,4,False),iferror(VLOOKUP(P54,'DO NOT TOUCH Imported'!$C$1:$D$800,2,False),"OOPS FIX ME"))</f>
        <v>ygganderson</v>
      </c>
      <c r="B54" s="165" t="s">
        <v>441</v>
      </c>
      <c r="C54" s="170" t="s">
        <v>934</v>
      </c>
      <c r="D54" s="236" t="s">
        <v>437</v>
      </c>
      <c r="E54" s="237">
        <v>44302.0</v>
      </c>
      <c r="F54" s="170" t="s">
        <v>439</v>
      </c>
      <c r="G54" s="170">
        <v>2000.0</v>
      </c>
      <c r="H54" s="171">
        <v>100.0</v>
      </c>
      <c r="I54" s="171">
        <v>200.0</v>
      </c>
      <c r="J54" s="172">
        <f t="shared" si="2"/>
        <v>0.00158922321</v>
      </c>
      <c r="K54" s="173">
        <f t="shared" si="3"/>
        <v>1.907067852</v>
      </c>
      <c r="L54" s="174">
        <f t="shared" si="4"/>
        <v>29.83229292</v>
      </c>
      <c r="M54" s="175" t="str">
        <f t="shared" si="5"/>
        <v>ygganderson</v>
      </c>
      <c r="N54" s="176">
        <f>IFERROR(__xludf.DUMMYFUNCTION("""COMPUTED_VALUE"""),9.0)</f>
        <v>9</v>
      </c>
      <c r="O54" s="176"/>
      <c r="P54" s="165" t="s">
        <v>512</v>
      </c>
      <c r="Q54" s="165" t="s">
        <v>441</v>
      </c>
      <c r="R54" s="176"/>
      <c r="S54" s="176"/>
      <c r="T54" s="176"/>
      <c r="U54" s="176"/>
      <c r="V54" s="176"/>
      <c r="W54" s="176"/>
      <c r="X54" s="176"/>
      <c r="Y54" s="176"/>
      <c r="Z54" s="176"/>
      <c r="AA54" s="176"/>
    </row>
    <row r="55">
      <c r="A55" s="165" t="str">
        <f>iferror(VLOOKUP(P55,'DO NOT TOUCH Imported'!$A$1:$D$800,4,False),iferror(VLOOKUP(P55,'DO NOT TOUCH Imported'!$C$1:$D$800,2,False),"OOPS FIX ME"))</f>
        <v>ygganderson</v>
      </c>
      <c r="B55" s="165" t="s">
        <v>441</v>
      </c>
      <c r="C55" s="170" t="s">
        <v>935</v>
      </c>
      <c r="D55" s="236" t="s">
        <v>437</v>
      </c>
      <c r="E55" s="237">
        <v>44302.0</v>
      </c>
      <c r="F55" s="170" t="s">
        <v>439</v>
      </c>
      <c r="G55" s="170">
        <v>2000.0</v>
      </c>
      <c r="H55" s="171">
        <v>100.0</v>
      </c>
      <c r="I55" s="171">
        <v>200.0</v>
      </c>
      <c r="J55" s="172">
        <f t="shared" si="2"/>
        <v>0.00158922321</v>
      </c>
      <c r="K55" s="173">
        <f t="shared" si="3"/>
        <v>1.907067852</v>
      </c>
      <c r="L55" s="174">
        <f t="shared" si="4"/>
        <v>29.83229292</v>
      </c>
      <c r="M55" s="175" t="str">
        <f t="shared" si="5"/>
        <v>ygganderson</v>
      </c>
      <c r="N55" s="176">
        <f>IFERROR(__xludf.DUMMYFUNCTION("""COMPUTED_VALUE"""),10.0)</f>
        <v>10</v>
      </c>
      <c r="O55" s="176"/>
      <c r="P55" s="165" t="s">
        <v>512</v>
      </c>
      <c r="Q55" s="165" t="s">
        <v>441</v>
      </c>
      <c r="R55" s="176"/>
      <c r="S55" s="176"/>
      <c r="T55" s="176"/>
      <c r="U55" s="176"/>
      <c r="V55" s="176"/>
      <c r="W55" s="176"/>
      <c r="X55" s="176"/>
      <c r="Y55" s="176"/>
      <c r="Z55" s="176"/>
      <c r="AA55" s="176"/>
    </row>
    <row r="56">
      <c r="A56" s="165" t="str">
        <f>iferror(VLOOKUP(P56,'DO NOT TOUCH Imported'!$A$1:$D$800,4,False),iferror(VLOOKUP(P56,'DO NOT TOUCH Imported'!$C$1:$D$800,2,False),"OOPS FIX ME"))</f>
        <v>ygganderson</v>
      </c>
      <c r="B56" s="165" t="s">
        <v>10</v>
      </c>
      <c r="C56" s="170" t="s">
        <v>936</v>
      </c>
      <c r="D56" s="236" t="s">
        <v>495</v>
      </c>
      <c r="E56" s="237">
        <v>44309.0</v>
      </c>
      <c r="F56" s="170" t="s">
        <v>496</v>
      </c>
      <c r="G56" s="170">
        <v>2000.0</v>
      </c>
      <c r="H56" s="171">
        <v>100.0</v>
      </c>
      <c r="I56" s="171">
        <v>150.0</v>
      </c>
      <c r="J56" s="172">
        <f t="shared" si="2"/>
        <v>0.001374819573</v>
      </c>
      <c r="K56" s="173">
        <f t="shared" si="3"/>
        <v>1.649783488</v>
      </c>
      <c r="L56" s="174">
        <f t="shared" si="4"/>
        <v>29.83229292</v>
      </c>
      <c r="M56" s="175" t="str">
        <f t="shared" si="5"/>
        <v>ygganderson</v>
      </c>
      <c r="N56" s="176">
        <f>IFERROR(__xludf.DUMMYFUNCTION("""COMPUTED_VALUE"""),11.0)</f>
        <v>11</v>
      </c>
      <c r="O56" s="176"/>
      <c r="P56" s="165" t="s">
        <v>7</v>
      </c>
      <c r="Q56" s="165" t="s">
        <v>10</v>
      </c>
      <c r="R56" s="176"/>
      <c r="S56" s="176"/>
      <c r="T56" s="176"/>
      <c r="U56" s="176"/>
      <c r="V56" s="176"/>
      <c r="W56" s="176"/>
      <c r="X56" s="176"/>
      <c r="Y56" s="176"/>
      <c r="Z56" s="176"/>
      <c r="AA56" s="176"/>
    </row>
    <row r="57">
      <c r="A57" s="165" t="str">
        <f>iferror(VLOOKUP(P57,'DO NOT TOUCH Imported'!$A$1:$D$800,4,False),iferror(VLOOKUP(P57,'DO NOT TOUCH Imported'!$C$1:$D$800,2,False),"OOPS FIX ME"))</f>
        <v>ygganderson</v>
      </c>
      <c r="B57" s="165" t="s">
        <v>596</v>
      </c>
      <c r="C57" s="170" t="s">
        <v>937</v>
      </c>
      <c r="D57" s="236" t="s">
        <v>437</v>
      </c>
      <c r="E57" s="239">
        <v>44309.0</v>
      </c>
      <c r="F57" s="170" t="s">
        <v>439</v>
      </c>
      <c r="G57" s="170">
        <v>2000.0</v>
      </c>
      <c r="H57" s="171">
        <v>100.0</v>
      </c>
      <c r="I57" s="171">
        <v>150.0</v>
      </c>
      <c r="J57" s="172">
        <f t="shared" si="2"/>
        <v>0.001374819573</v>
      </c>
      <c r="K57" s="173">
        <f t="shared" si="3"/>
        <v>1.649783488</v>
      </c>
      <c r="L57" s="174">
        <f t="shared" si="4"/>
        <v>29.83229292</v>
      </c>
      <c r="M57" s="175" t="str">
        <f t="shared" si="5"/>
        <v>ygganderson</v>
      </c>
      <c r="N57" s="176">
        <f>IFERROR(__xludf.DUMMYFUNCTION("""COMPUTED_VALUE"""),12.0)</f>
        <v>12</v>
      </c>
      <c r="O57" s="176"/>
      <c r="P57" s="165" t="s">
        <v>512</v>
      </c>
      <c r="Q57" s="165" t="s">
        <v>596</v>
      </c>
      <c r="R57" s="176"/>
      <c r="S57" s="176"/>
      <c r="T57" s="176"/>
      <c r="U57" s="176"/>
      <c r="V57" s="176"/>
      <c r="W57" s="176"/>
      <c r="X57" s="176"/>
      <c r="Y57" s="176"/>
      <c r="Z57" s="176"/>
      <c r="AA57" s="176"/>
    </row>
    <row r="58">
      <c r="A58" s="165" t="str">
        <f>iferror(VLOOKUP(P58,'DO NOT TOUCH Imported'!$A$1:$D$800,4,False),iferror(VLOOKUP(P58,'DO NOT TOUCH Imported'!$C$1:$D$800,2,False),"OOPS FIX ME"))</f>
        <v>ygganderson</v>
      </c>
      <c r="B58" s="165" t="s">
        <v>441</v>
      </c>
      <c r="C58" s="170" t="s">
        <v>918</v>
      </c>
      <c r="D58" s="236" t="s">
        <v>437</v>
      </c>
      <c r="E58" s="237">
        <v>44302.0</v>
      </c>
      <c r="F58" s="170" t="s">
        <v>439</v>
      </c>
      <c r="G58" s="170">
        <v>1000.0</v>
      </c>
      <c r="H58" s="171">
        <v>60.0</v>
      </c>
      <c r="I58" s="171">
        <v>50.0</v>
      </c>
      <c r="J58" s="172">
        <f t="shared" si="2"/>
        <v>0.0006238180076</v>
      </c>
      <c r="K58" s="173">
        <f t="shared" si="3"/>
        <v>0.7485816091</v>
      </c>
      <c r="L58" s="174">
        <f t="shared" si="4"/>
        <v>29.83229292</v>
      </c>
      <c r="M58" s="175" t="str">
        <f t="shared" si="5"/>
        <v>ygganderson</v>
      </c>
      <c r="N58" s="176">
        <f>IFERROR(__xludf.DUMMYFUNCTION("""COMPUTED_VALUE"""),13.0)</f>
        <v>13</v>
      </c>
      <c r="O58" s="176"/>
      <c r="P58" s="165" t="s">
        <v>512</v>
      </c>
      <c r="Q58" s="165" t="s">
        <v>441</v>
      </c>
      <c r="R58" s="176"/>
      <c r="S58" s="176"/>
      <c r="T58" s="176"/>
      <c r="U58" s="176"/>
      <c r="V58" s="176"/>
      <c r="W58" s="176"/>
      <c r="X58" s="176"/>
      <c r="Y58" s="176"/>
      <c r="Z58" s="176"/>
      <c r="AA58" s="176"/>
    </row>
    <row r="59">
      <c r="A59" s="165" t="str">
        <f>iferror(VLOOKUP(P59,'DO NOT TOUCH Imported'!$A$1:$D$800,4,False),iferror(VLOOKUP(P59,'DO NOT TOUCH Imported'!$C$1:$D$800,2,False),"OOPS FIX ME"))</f>
        <v>ygganderson</v>
      </c>
      <c r="B59" s="165" t="s">
        <v>10</v>
      </c>
      <c r="C59" s="170" t="s">
        <v>494</v>
      </c>
      <c r="D59" s="236" t="s">
        <v>495</v>
      </c>
      <c r="E59" s="237">
        <v>44302.0</v>
      </c>
      <c r="F59" s="170" t="s">
        <v>496</v>
      </c>
      <c r="G59" s="170">
        <v>1500.0</v>
      </c>
      <c r="H59" s="171">
        <v>25.0</v>
      </c>
      <c r="I59" s="171">
        <v>40.0</v>
      </c>
      <c r="J59" s="172">
        <f t="shared" si="2"/>
        <v>0.0005021792123</v>
      </c>
      <c r="K59" s="173">
        <f t="shared" si="3"/>
        <v>0.6026150547</v>
      </c>
      <c r="L59" s="174">
        <f t="shared" si="4"/>
        <v>29.83229292</v>
      </c>
      <c r="M59" s="175" t="str">
        <f t="shared" si="5"/>
        <v>ygganderson</v>
      </c>
      <c r="N59" s="176">
        <f>IFERROR(__xludf.DUMMYFUNCTION("""COMPUTED_VALUE"""),14.0)</f>
        <v>14</v>
      </c>
      <c r="O59" s="176"/>
      <c r="P59" s="165" t="s">
        <v>7</v>
      </c>
      <c r="Q59" s="165" t="s">
        <v>10</v>
      </c>
      <c r="R59" s="176"/>
      <c r="S59" s="176"/>
      <c r="T59" s="176"/>
      <c r="U59" s="176"/>
      <c r="V59" s="176"/>
      <c r="W59" s="176"/>
      <c r="X59" s="176"/>
      <c r="Y59" s="176"/>
      <c r="Z59" s="176"/>
      <c r="AA59" s="176"/>
    </row>
    <row r="60">
      <c r="A60" s="165" t="str">
        <f>iferror(VLOOKUP(P60,'DO NOT TOUCH Imported'!$A$1:$D$800,4,False),iferror(VLOOKUP(P60,'DO NOT TOUCH Imported'!$C$1:$D$800,2,False),"OOPS FIX ME"))</f>
        <v>ygganderson</v>
      </c>
      <c r="B60" s="165" t="s">
        <v>10</v>
      </c>
      <c r="C60" s="170" t="s">
        <v>498</v>
      </c>
      <c r="D60" s="236" t="s">
        <v>495</v>
      </c>
      <c r="E60" s="239">
        <v>44302.0</v>
      </c>
      <c r="F60" s="170" t="s">
        <v>499</v>
      </c>
      <c r="G60" s="170">
        <v>500.0</v>
      </c>
      <c r="H60" s="171">
        <v>25.0</v>
      </c>
      <c r="I60" s="171">
        <v>25.0</v>
      </c>
      <c r="J60" s="172">
        <f t="shared" si="2"/>
        <v>0.0002901039843</v>
      </c>
      <c r="K60" s="173">
        <f t="shared" si="3"/>
        <v>0.3481247811</v>
      </c>
      <c r="L60" s="174">
        <f t="shared" si="4"/>
        <v>29.83229292</v>
      </c>
      <c r="M60" s="175" t="str">
        <f t="shared" si="5"/>
        <v>ygganderson</v>
      </c>
      <c r="N60" s="176">
        <f>IFERROR(__xludf.DUMMYFUNCTION("""COMPUTED_VALUE"""),15.0)</f>
        <v>15</v>
      </c>
      <c r="O60" s="176"/>
      <c r="P60" s="165" t="s">
        <v>7</v>
      </c>
      <c r="Q60" s="165" t="s">
        <v>10</v>
      </c>
      <c r="R60" s="176"/>
      <c r="S60" s="176"/>
      <c r="T60" s="176"/>
      <c r="U60" s="176"/>
      <c r="V60" s="176"/>
      <c r="W60" s="176"/>
      <c r="X60" s="176"/>
      <c r="Y60" s="176"/>
      <c r="Z60" s="176"/>
      <c r="AA60" s="176"/>
    </row>
    <row r="61">
      <c r="A61" s="165" t="str">
        <f>iferror(VLOOKUP(P61,'DO NOT TOUCH Imported'!$A$1:$D$800,4,False),iferror(VLOOKUP(P61,'DO NOT TOUCH Imported'!$C$1:$D$800,2,False),"OOPS FIX ME"))</f>
        <v>Santigs67</v>
      </c>
      <c r="B61" s="165" t="s">
        <v>490</v>
      </c>
      <c r="C61" s="170" t="s">
        <v>938</v>
      </c>
      <c r="D61" s="236" t="s">
        <v>437</v>
      </c>
      <c r="E61" s="239">
        <v>44299.0</v>
      </c>
      <c r="F61" s="170" t="s">
        <v>439</v>
      </c>
      <c r="G61" s="170">
        <v>50000.0</v>
      </c>
      <c r="H61" s="171">
        <v>100.0</v>
      </c>
      <c r="I61" s="171">
        <v>100.0</v>
      </c>
      <c r="J61" s="172">
        <f t="shared" si="2"/>
        <v>0.008252614519</v>
      </c>
      <c r="K61" s="173">
        <f t="shared" si="3"/>
        <v>9.903137422</v>
      </c>
      <c r="L61" s="174">
        <f t="shared" si="4"/>
        <v>26.79051054</v>
      </c>
      <c r="M61" s="175" t="str">
        <f t="shared" si="5"/>
        <v>Santigs67</v>
      </c>
      <c r="N61" s="176">
        <f>IFERROR(__xludf.DUMMYFUNCTION("""COMPUTED_VALUE"""),1.0)</f>
        <v>1</v>
      </c>
      <c r="O61" s="176"/>
      <c r="P61" s="165" t="s">
        <v>576</v>
      </c>
      <c r="Q61" s="165" t="s">
        <v>490</v>
      </c>
      <c r="R61" s="176"/>
      <c r="S61" s="176"/>
      <c r="T61" s="176"/>
      <c r="U61" s="176"/>
      <c r="V61" s="176"/>
      <c r="W61" s="176"/>
      <c r="X61" s="176"/>
      <c r="Y61" s="176"/>
      <c r="Z61" s="176"/>
      <c r="AA61" s="176"/>
    </row>
    <row r="62">
      <c r="A62" s="165" t="str">
        <f>iferror(VLOOKUP(P62,'DO NOT TOUCH Imported'!$A$1:$D$800,4,False),iferror(VLOOKUP(P62,'DO NOT TOUCH Imported'!$C$1:$D$800,2,False),"OOPS FIX ME"))</f>
        <v>Santigs67</v>
      </c>
      <c r="B62" s="165" t="s">
        <v>443</v>
      </c>
      <c r="C62" s="170" t="s">
        <v>939</v>
      </c>
      <c r="D62" s="236" t="s">
        <v>437</v>
      </c>
      <c r="E62" s="237">
        <v>44299.0</v>
      </c>
      <c r="F62" s="170" t="s">
        <v>439</v>
      </c>
      <c r="G62" s="170">
        <v>5000.0</v>
      </c>
      <c r="H62" s="171">
        <v>100.0</v>
      </c>
      <c r="I62" s="171">
        <v>150.0</v>
      </c>
      <c r="J62" s="172">
        <f t="shared" si="2"/>
        <v>0.001818081985</v>
      </c>
      <c r="K62" s="173">
        <f t="shared" si="3"/>
        <v>2.181698382</v>
      </c>
      <c r="L62" s="174">
        <f t="shared" si="4"/>
        <v>26.79051054</v>
      </c>
      <c r="M62" s="175" t="str">
        <f t="shared" si="5"/>
        <v>Santigs67</v>
      </c>
      <c r="N62" s="176">
        <f>IFERROR(__xludf.DUMMYFUNCTION("""COMPUTED_VALUE"""),2.0)</f>
        <v>2</v>
      </c>
      <c r="O62" s="176"/>
      <c r="P62" s="165" t="s">
        <v>576</v>
      </c>
      <c r="Q62" s="165" t="s">
        <v>443</v>
      </c>
      <c r="R62" s="176"/>
      <c r="S62" s="176"/>
      <c r="T62" s="176"/>
      <c r="U62" s="176"/>
      <c r="V62" s="176"/>
      <c r="W62" s="176"/>
      <c r="X62" s="176"/>
      <c r="Y62" s="176"/>
      <c r="Z62" s="176"/>
      <c r="AA62" s="176"/>
    </row>
    <row r="63">
      <c r="A63" s="165" t="str">
        <f>iferror(VLOOKUP(P63,'DO NOT TOUCH Imported'!$A$1:$D$800,4,False),iferror(VLOOKUP(P63,'DO NOT TOUCH Imported'!$C$1:$D$800,2,False),"OOPS FIX ME"))</f>
        <v>Santigs67</v>
      </c>
      <c r="B63" s="165" t="s">
        <v>443</v>
      </c>
      <c r="C63" s="170" t="s">
        <v>890</v>
      </c>
      <c r="D63" s="236" t="s">
        <v>437</v>
      </c>
      <c r="E63" s="237">
        <v>44310.0</v>
      </c>
      <c r="F63" s="170" t="s">
        <v>439</v>
      </c>
      <c r="G63" s="170">
        <v>5000.0</v>
      </c>
      <c r="H63" s="171">
        <v>100.0</v>
      </c>
      <c r="I63" s="171">
        <v>100.0</v>
      </c>
      <c r="J63" s="172">
        <f t="shared" si="2"/>
        <v>0.001603678348</v>
      </c>
      <c r="K63" s="173">
        <f t="shared" si="3"/>
        <v>1.924414018</v>
      </c>
      <c r="L63" s="174">
        <f t="shared" si="4"/>
        <v>26.79051054</v>
      </c>
      <c r="M63" s="175" t="str">
        <f t="shared" si="5"/>
        <v>Santigs67</v>
      </c>
      <c r="N63" s="176">
        <f>IFERROR(__xludf.DUMMYFUNCTION("""COMPUTED_VALUE"""),3.0)</f>
        <v>3</v>
      </c>
      <c r="O63" s="176"/>
      <c r="P63" s="165" t="s">
        <v>576</v>
      </c>
      <c r="Q63" s="165" t="s">
        <v>443</v>
      </c>
      <c r="R63" s="176"/>
      <c r="S63" s="176"/>
      <c r="T63" s="176"/>
      <c r="U63" s="176"/>
      <c r="V63" s="176"/>
      <c r="W63" s="176"/>
      <c r="X63" s="176"/>
      <c r="Y63" s="176"/>
      <c r="Z63" s="176"/>
      <c r="AA63" s="176"/>
    </row>
    <row r="64">
      <c r="A64" s="165" t="str">
        <f>iferror(VLOOKUP(P64,'DO NOT TOUCH Imported'!$A$1:$D$800,4,False),iferror(VLOOKUP(P64,'DO NOT TOUCH Imported'!$C$1:$D$800,2,False),"OOPS FIX ME"))</f>
        <v>Santigs67</v>
      </c>
      <c r="B64" s="165" t="s">
        <v>441</v>
      </c>
      <c r="C64" s="170" t="s">
        <v>940</v>
      </c>
      <c r="D64" s="236" t="s">
        <v>437</v>
      </c>
      <c r="E64" s="237">
        <v>44309.0</v>
      </c>
      <c r="F64" s="170" t="s">
        <v>439</v>
      </c>
      <c r="G64" s="170">
        <v>1000.0</v>
      </c>
      <c r="H64" s="171">
        <v>200.0</v>
      </c>
      <c r="I64" s="171">
        <v>100.0</v>
      </c>
      <c r="J64" s="172">
        <f t="shared" si="2"/>
        <v>0.00144876219</v>
      </c>
      <c r="K64" s="173">
        <f t="shared" si="3"/>
        <v>1.738514628</v>
      </c>
      <c r="L64" s="174">
        <f t="shared" si="4"/>
        <v>26.79051054</v>
      </c>
      <c r="M64" s="175" t="str">
        <f t="shared" si="5"/>
        <v>Santigs67</v>
      </c>
      <c r="N64" s="176">
        <f>IFERROR(__xludf.DUMMYFUNCTION("""COMPUTED_VALUE"""),4.0)</f>
        <v>4</v>
      </c>
      <c r="O64" s="176"/>
      <c r="P64" s="165" t="s">
        <v>576</v>
      </c>
      <c r="Q64" s="165" t="s">
        <v>441</v>
      </c>
      <c r="R64" s="176"/>
      <c r="S64" s="176"/>
      <c r="T64" s="176"/>
      <c r="U64" s="176"/>
      <c r="V64" s="176"/>
      <c r="W64" s="176"/>
      <c r="X64" s="176"/>
      <c r="Y64" s="176"/>
      <c r="Z64" s="176"/>
      <c r="AA64" s="176"/>
    </row>
    <row r="65">
      <c r="A65" s="165" t="str">
        <f>iferror(VLOOKUP(P65,'DO NOT TOUCH Imported'!$A$1:$D$800,4,False),iferror(VLOOKUP(P65,'DO NOT TOUCH Imported'!$C$1:$D$800,2,False),"OOPS FIX ME"))</f>
        <v>Santigs67</v>
      </c>
      <c r="B65" s="165" t="s">
        <v>45</v>
      </c>
      <c r="C65" s="170" t="s">
        <v>941</v>
      </c>
      <c r="D65" s="236" t="s">
        <v>499</v>
      </c>
      <c r="E65" s="239">
        <v>44307.0</v>
      </c>
      <c r="F65" s="170" t="s">
        <v>503</v>
      </c>
      <c r="G65" s="170">
        <v>1000.0</v>
      </c>
      <c r="H65" s="171">
        <v>100.0</v>
      </c>
      <c r="I65" s="171">
        <v>100.0</v>
      </c>
      <c r="J65" s="172">
        <f t="shared" si="2"/>
        <v>0.0010126618</v>
      </c>
      <c r="K65" s="173">
        <f t="shared" si="3"/>
        <v>1.21519416</v>
      </c>
      <c r="L65" s="174">
        <f t="shared" si="4"/>
        <v>26.79051054</v>
      </c>
      <c r="M65" s="175" t="str">
        <f t="shared" si="5"/>
        <v>Santigs67</v>
      </c>
      <c r="N65" s="176">
        <f>IFERROR(__xludf.DUMMYFUNCTION("""COMPUTED_VALUE"""),5.0)</f>
        <v>5</v>
      </c>
      <c r="O65" s="176"/>
      <c r="P65" s="165" t="s">
        <v>576</v>
      </c>
      <c r="Q65" s="165" t="s">
        <v>45</v>
      </c>
      <c r="R65" s="176"/>
      <c r="S65" s="176"/>
      <c r="T65" s="176"/>
      <c r="U65" s="176"/>
      <c r="V65" s="176"/>
      <c r="W65" s="176"/>
      <c r="X65" s="176"/>
      <c r="Y65" s="176"/>
      <c r="Z65" s="176"/>
      <c r="AA65" s="176"/>
    </row>
    <row r="66">
      <c r="A66" s="165" t="str">
        <f>iferror(VLOOKUP(P66,'DO NOT TOUCH Imported'!$A$1:$D$800,4,False),iferror(VLOOKUP(P66,'DO NOT TOUCH Imported'!$C$1:$D$800,2,False),"OOPS FIX ME"))</f>
        <v>Santigs67</v>
      </c>
      <c r="B66" s="165" t="s">
        <v>435</v>
      </c>
      <c r="C66" s="170" t="s">
        <v>942</v>
      </c>
      <c r="D66" s="236" t="s">
        <v>437</v>
      </c>
      <c r="E66" s="239">
        <v>44302.0</v>
      </c>
      <c r="F66" s="170" t="s">
        <v>439</v>
      </c>
      <c r="G66" s="170">
        <v>500.0</v>
      </c>
      <c r="H66" s="171">
        <v>100.0</v>
      </c>
      <c r="I66" s="171">
        <v>100.0</v>
      </c>
      <c r="J66" s="172">
        <f t="shared" si="2"/>
        <v>0.0009387847314</v>
      </c>
      <c r="K66" s="173">
        <f t="shared" si="3"/>
        <v>1.126541678</v>
      </c>
      <c r="L66" s="174">
        <f t="shared" si="4"/>
        <v>26.79051054</v>
      </c>
      <c r="M66" s="175" t="str">
        <f t="shared" si="5"/>
        <v>Santigs67</v>
      </c>
      <c r="N66" s="176">
        <f>IFERROR(__xludf.DUMMYFUNCTION("""COMPUTED_VALUE"""),6.0)</f>
        <v>6</v>
      </c>
      <c r="O66" s="176"/>
      <c r="P66" s="165" t="s">
        <v>576</v>
      </c>
      <c r="Q66" s="165" t="s">
        <v>435</v>
      </c>
      <c r="R66" s="176"/>
      <c r="S66" s="176"/>
      <c r="T66" s="176"/>
      <c r="U66" s="176"/>
      <c r="V66" s="176"/>
      <c r="W66" s="176"/>
      <c r="X66" s="176"/>
      <c r="Y66" s="176"/>
      <c r="Z66" s="176"/>
      <c r="AA66" s="176"/>
    </row>
    <row r="67">
      <c r="A67" s="165" t="str">
        <f>iferror(VLOOKUP(P67,'DO NOT TOUCH Imported'!$A$1:$D$800,4,False),iferror(VLOOKUP(P67,'DO NOT TOUCH Imported'!$C$1:$D$800,2,False),"OOPS FIX ME"))</f>
        <v>Santigs67</v>
      </c>
      <c r="B67" s="165" t="s">
        <v>441</v>
      </c>
      <c r="C67" s="170" t="s">
        <v>906</v>
      </c>
      <c r="D67" s="236" t="s">
        <v>437</v>
      </c>
      <c r="E67" s="237">
        <v>44309.0</v>
      </c>
      <c r="F67" s="170" t="s">
        <v>439</v>
      </c>
      <c r="G67" s="170">
        <v>1000.0</v>
      </c>
      <c r="H67" s="171">
        <v>60.0</v>
      </c>
      <c r="I67" s="171">
        <v>100.0</v>
      </c>
      <c r="J67" s="172">
        <f t="shared" si="2"/>
        <v>0.0008382216439</v>
      </c>
      <c r="K67" s="173">
        <f t="shared" si="3"/>
        <v>1.005865973</v>
      </c>
      <c r="L67" s="174">
        <f t="shared" si="4"/>
        <v>26.79051054</v>
      </c>
      <c r="M67" s="175" t="str">
        <f t="shared" si="5"/>
        <v>Santigs67</v>
      </c>
      <c r="N67" s="176">
        <f>IFERROR(__xludf.DUMMYFUNCTION("""COMPUTED_VALUE"""),7.0)</f>
        <v>7</v>
      </c>
      <c r="O67" s="176"/>
      <c r="P67" s="165" t="s">
        <v>576</v>
      </c>
      <c r="Q67" s="165" t="s">
        <v>441</v>
      </c>
      <c r="R67" s="176"/>
      <c r="S67" s="176"/>
      <c r="T67" s="176"/>
      <c r="U67" s="176"/>
      <c r="V67" s="176"/>
      <c r="W67" s="176"/>
      <c r="X67" s="176"/>
      <c r="Y67" s="176"/>
      <c r="Z67" s="176"/>
      <c r="AA67" s="176"/>
    </row>
    <row r="68">
      <c r="A68" s="165" t="str">
        <f>iferror(VLOOKUP(P68,'DO NOT TOUCH Imported'!$A$1:$D$800,4,False),iferror(VLOOKUP(P68,'DO NOT TOUCH Imported'!$C$1:$D$800,2,False),"OOPS FIX ME"))</f>
        <v>Santigs67</v>
      </c>
      <c r="B68" s="165" t="s">
        <v>441</v>
      </c>
      <c r="C68" s="170" t="s">
        <v>909</v>
      </c>
      <c r="D68" s="236" t="s">
        <v>437</v>
      </c>
      <c r="E68" s="237">
        <v>44309.0</v>
      </c>
      <c r="F68" s="170" t="s">
        <v>439</v>
      </c>
      <c r="G68" s="170">
        <v>1000.0</v>
      </c>
      <c r="H68" s="171">
        <v>100.0</v>
      </c>
      <c r="I68" s="171">
        <v>50.0</v>
      </c>
      <c r="J68" s="172">
        <f t="shared" si="2"/>
        <v>0.0007982581637</v>
      </c>
      <c r="K68" s="173">
        <f t="shared" si="3"/>
        <v>0.9579097965</v>
      </c>
      <c r="L68" s="174">
        <f t="shared" si="4"/>
        <v>26.79051054</v>
      </c>
      <c r="M68" s="175" t="str">
        <f t="shared" si="5"/>
        <v>Santigs67</v>
      </c>
      <c r="N68" s="176">
        <f>IFERROR(__xludf.DUMMYFUNCTION("""COMPUTED_VALUE"""),8.0)</f>
        <v>8</v>
      </c>
      <c r="O68" s="176"/>
      <c r="P68" s="165" t="s">
        <v>576</v>
      </c>
      <c r="Q68" s="165" t="s">
        <v>441</v>
      </c>
      <c r="R68" s="176"/>
      <c r="S68" s="176"/>
      <c r="T68" s="176"/>
      <c r="U68" s="176"/>
      <c r="V68" s="176"/>
      <c r="W68" s="176"/>
      <c r="X68" s="176"/>
      <c r="Y68" s="176"/>
      <c r="Z68" s="176"/>
      <c r="AA68" s="176"/>
    </row>
    <row r="69">
      <c r="A69" s="165" t="str">
        <f>iferror(VLOOKUP(P69,'DO NOT TOUCH Imported'!$A$1:$D$800,4,False),iferror(VLOOKUP(P69,'DO NOT TOUCH Imported'!$C$1:$D$800,2,False),"OOPS FIX ME"))</f>
        <v>Santigs67</v>
      </c>
      <c r="B69" s="165" t="s">
        <v>441</v>
      </c>
      <c r="C69" s="170" t="s">
        <v>943</v>
      </c>
      <c r="D69" s="236" t="s">
        <v>437</v>
      </c>
      <c r="E69" s="239">
        <v>44309.0</v>
      </c>
      <c r="F69" s="170" t="s">
        <v>439</v>
      </c>
      <c r="G69" s="170">
        <v>1000.0</v>
      </c>
      <c r="H69" s="171">
        <v>70.0</v>
      </c>
      <c r="I69" s="171">
        <v>50.0</v>
      </c>
      <c r="J69" s="172">
        <f t="shared" si="2"/>
        <v>0.0006674280466</v>
      </c>
      <c r="K69" s="173">
        <f t="shared" si="3"/>
        <v>0.8009136559</v>
      </c>
      <c r="L69" s="174">
        <f t="shared" si="4"/>
        <v>26.79051054</v>
      </c>
      <c r="M69" s="175" t="str">
        <f t="shared" si="5"/>
        <v>Santigs67</v>
      </c>
      <c r="N69" s="176">
        <f>IFERROR(__xludf.DUMMYFUNCTION("""COMPUTED_VALUE"""),9.0)</f>
        <v>9</v>
      </c>
      <c r="O69" s="176"/>
      <c r="P69" s="165" t="s">
        <v>576</v>
      </c>
      <c r="Q69" s="165" t="s">
        <v>441</v>
      </c>
      <c r="R69" s="176"/>
      <c r="S69" s="176"/>
      <c r="T69" s="176"/>
      <c r="U69" s="176"/>
      <c r="V69" s="176"/>
      <c r="W69" s="176"/>
      <c r="X69" s="176"/>
      <c r="Y69" s="176"/>
      <c r="Z69" s="176"/>
      <c r="AA69" s="176"/>
    </row>
    <row r="70">
      <c r="A70" s="165" t="str">
        <f>iferror(VLOOKUP(P70,'DO NOT TOUCH Imported'!$A$1:$D$800,4,False),iferror(VLOOKUP(P70,'DO NOT TOUCH Imported'!$C$1:$D$800,2,False),"OOPS FIX ME"))</f>
        <v>Santigs67</v>
      </c>
      <c r="B70" s="165" t="s">
        <v>490</v>
      </c>
      <c r="C70" s="170" t="s">
        <v>914</v>
      </c>
      <c r="D70" s="236" t="s">
        <v>437</v>
      </c>
      <c r="E70" s="239">
        <v>44299.0</v>
      </c>
      <c r="F70" s="170" t="s">
        <v>439</v>
      </c>
      <c r="G70" s="170">
        <v>1000.0</v>
      </c>
      <c r="H70" s="171">
        <v>60.0</v>
      </c>
      <c r="I70" s="171">
        <v>50.0</v>
      </c>
      <c r="J70" s="172">
        <f t="shared" si="2"/>
        <v>0.0006238180076</v>
      </c>
      <c r="K70" s="173">
        <f t="shared" si="3"/>
        <v>0.7485816091</v>
      </c>
      <c r="L70" s="174">
        <f t="shared" si="4"/>
        <v>26.79051054</v>
      </c>
      <c r="M70" s="175" t="str">
        <f t="shared" si="5"/>
        <v>Santigs67</v>
      </c>
      <c r="N70" s="176">
        <f>IFERROR(__xludf.DUMMYFUNCTION("""COMPUTED_VALUE"""),10.0)</f>
        <v>10</v>
      </c>
      <c r="O70" s="176"/>
      <c r="P70" s="165" t="s">
        <v>576</v>
      </c>
      <c r="Q70" s="165" t="s">
        <v>490</v>
      </c>
      <c r="R70" s="176"/>
      <c r="S70" s="176"/>
      <c r="T70" s="176"/>
      <c r="U70" s="176"/>
      <c r="V70" s="176"/>
      <c r="W70" s="176"/>
      <c r="X70" s="176"/>
      <c r="Y70" s="176"/>
      <c r="Z70" s="176"/>
      <c r="AA70" s="176"/>
    </row>
    <row r="71">
      <c r="A71" s="165" t="str">
        <f>iferror(VLOOKUP(P71,'DO NOT TOUCH Imported'!$A$1:$D$800,4,False),iferror(VLOOKUP(P71,'DO NOT TOUCH Imported'!$C$1:$D$800,2,False),"OOPS FIX ME"))</f>
        <v>Santigs67</v>
      </c>
      <c r="B71" s="165" t="s">
        <v>440</v>
      </c>
      <c r="C71" s="170" t="s">
        <v>916</v>
      </c>
      <c r="D71" s="236" t="s">
        <v>437</v>
      </c>
      <c r="E71" s="239">
        <v>44300.0</v>
      </c>
      <c r="F71" s="170" t="s">
        <v>439</v>
      </c>
      <c r="G71" s="170">
        <v>1000.0</v>
      </c>
      <c r="H71" s="171">
        <v>60.0</v>
      </c>
      <c r="I71" s="171">
        <v>50.0</v>
      </c>
      <c r="J71" s="172">
        <f t="shared" si="2"/>
        <v>0.0006238180076</v>
      </c>
      <c r="K71" s="173">
        <f t="shared" si="3"/>
        <v>0.7485816091</v>
      </c>
      <c r="L71" s="174">
        <f t="shared" si="4"/>
        <v>26.79051054</v>
      </c>
      <c r="M71" s="175" t="str">
        <f t="shared" si="5"/>
        <v>Santigs67</v>
      </c>
      <c r="N71" s="176">
        <f>IFERROR(__xludf.DUMMYFUNCTION("""COMPUTED_VALUE"""),11.0)</f>
        <v>11</v>
      </c>
      <c r="O71" s="176"/>
      <c r="P71" s="165" t="s">
        <v>576</v>
      </c>
      <c r="Q71" s="165" t="s">
        <v>440</v>
      </c>
      <c r="R71" s="176"/>
      <c r="S71" s="176"/>
      <c r="T71" s="176"/>
      <c r="U71" s="176"/>
      <c r="V71" s="176"/>
      <c r="W71" s="176"/>
      <c r="X71" s="176"/>
      <c r="Y71" s="176"/>
      <c r="Z71" s="176"/>
      <c r="AA71" s="176"/>
    </row>
    <row r="72">
      <c r="A72" s="165" t="str">
        <f>iferror(VLOOKUP(P72,'DO NOT TOUCH Imported'!$A$1:$D$800,4,False),iferror(VLOOKUP(P72,'DO NOT TOUCH Imported'!$C$1:$D$800,2,False),"OOPS FIX ME"))</f>
        <v>Santigs67</v>
      </c>
      <c r="B72" s="165" t="s">
        <v>440</v>
      </c>
      <c r="C72" s="170" t="s">
        <v>917</v>
      </c>
      <c r="D72" s="236" t="s">
        <v>437</v>
      </c>
      <c r="E72" s="239">
        <v>44301.0</v>
      </c>
      <c r="F72" s="170" t="s">
        <v>439</v>
      </c>
      <c r="G72" s="170">
        <v>1000.0</v>
      </c>
      <c r="H72" s="171">
        <v>60.0</v>
      </c>
      <c r="I72" s="171">
        <v>50.0</v>
      </c>
      <c r="J72" s="172">
        <f t="shared" si="2"/>
        <v>0.0006238180076</v>
      </c>
      <c r="K72" s="173">
        <f t="shared" si="3"/>
        <v>0.7485816091</v>
      </c>
      <c r="L72" s="174">
        <f t="shared" si="4"/>
        <v>26.79051054</v>
      </c>
      <c r="M72" s="175" t="str">
        <f t="shared" si="5"/>
        <v>Santigs67</v>
      </c>
      <c r="N72" s="176">
        <f>IFERROR(__xludf.DUMMYFUNCTION("""COMPUTED_VALUE"""),12.0)</f>
        <v>12</v>
      </c>
      <c r="O72" s="176"/>
      <c r="P72" s="165" t="s">
        <v>576</v>
      </c>
      <c r="Q72" s="165" t="s">
        <v>440</v>
      </c>
      <c r="R72" s="176"/>
      <c r="S72" s="176"/>
      <c r="T72" s="176"/>
      <c r="U72" s="176"/>
      <c r="V72" s="176"/>
      <c r="W72" s="176"/>
      <c r="X72" s="176"/>
      <c r="Y72" s="176"/>
      <c r="Z72" s="176"/>
      <c r="AA72" s="176"/>
    </row>
    <row r="73">
      <c r="A73" s="165" t="str">
        <f>iferror(VLOOKUP(P73,'DO NOT TOUCH Imported'!$A$1:$D$800,4,False),iferror(VLOOKUP(P73,'DO NOT TOUCH Imported'!$C$1:$D$800,2,False),"OOPS FIX ME"))</f>
        <v>Santigs67</v>
      </c>
      <c r="B73" s="165" t="s">
        <v>441</v>
      </c>
      <c r="C73" s="170" t="s">
        <v>918</v>
      </c>
      <c r="D73" s="236" t="s">
        <v>437</v>
      </c>
      <c r="E73" s="239">
        <v>44302.0</v>
      </c>
      <c r="F73" s="170" t="s">
        <v>439</v>
      </c>
      <c r="G73" s="170">
        <v>1000.0</v>
      </c>
      <c r="H73" s="171">
        <v>60.0</v>
      </c>
      <c r="I73" s="171">
        <v>50.0</v>
      </c>
      <c r="J73" s="172">
        <f t="shared" si="2"/>
        <v>0.0006238180076</v>
      </c>
      <c r="K73" s="173">
        <f t="shared" si="3"/>
        <v>0.7485816091</v>
      </c>
      <c r="L73" s="174">
        <f t="shared" si="4"/>
        <v>26.79051054</v>
      </c>
      <c r="M73" s="175" t="str">
        <f t="shared" si="5"/>
        <v>Santigs67</v>
      </c>
      <c r="N73" s="176">
        <f>IFERROR(__xludf.DUMMYFUNCTION("""COMPUTED_VALUE"""),13.0)</f>
        <v>13</v>
      </c>
      <c r="O73" s="176"/>
      <c r="P73" s="165" t="s">
        <v>576</v>
      </c>
      <c r="Q73" s="165" t="s">
        <v>441</v>
      </c>
      <c r="R73" s="176"/>
      <c r="S73" s="176"/>
      <c r="T73" s="176"/>
      <c r="U73" s="176"/>
      <c r="V73" s="176"/>
      <c r="W73" s="176"/>
      <c r="X73" s="176"/>
      <c r="Y73" s="176"/>
      <c r="Z73" s="176"/>
      <c r="AA73" s="176"/>
    </row>
    <row r="74">
      <c r="A74" s="165" t="str">
        <f>iferror(VLOOKUP(P74,'DO NOT TOUCH Imported'!$A$1:$D$800,4,False),iferror(VLOOKUP(P74,'DO NOT TOUCH Imported'!$C$1:$D$800,2,False),"OOPS FIX ME"))</f>
        <v>Santigs67</v>
      </c>
      <c r="B74" s="165" t="s">
        <v>576</v>
      </c>
      <c r="C74" s="170" t="s">
        <v>919</v>
      </c>
      <c r="D74" s="236" t="s">
        <v>437</v>
      </c>
      <c r="E74" s="237">
        <v>44302.0</v>
      </c>
      <c r="F74" s="170" t="s">
        <v>439</v>
      </c>
      <c r="G74" s="170">
        <v>1000.0</v>
      </c>
      <c r="H74" s="171">
        <v>60.0</v>
      </c>
      <c r="I74" s="171">
        <v>50.0</v>
      </c>
      <c r="J74" s="172">
        <f t="shared" si="2"/>
        <v>0.0006238180076</v>
      </c>
      <c r="K74" s="173">
        <f t="shared" si="3"/>
        <v>0.7485816091</v>
      </c>
      <c r="L74" s="174">
        <f t="shared" si="4"/>
        <v>26.79051054</v>
      </c>
      <c r="M74" s="175" t="str">
        <f t="shared" si="5"/>
        <v>Santigs67</v>
      </c>
      <c r="N74" s="176">
        <f>IFERROR(__xludf.DUMMYFUNCTION("""COMPUTED_VALUE"""),14.0)</f>
        <v>14</v>
      </c>
      <c r="O74" s="176"/>
      <c r="P74" s="165" t="s">
        <v>576</v>
      </c>
      <c r="Q74" s="165" t="s">
        <v>576</v>
      </c>
      <c r="R74" s="176"/>
      <c r="S74" s="176"/>
      <c r="T74" s="176"/>
      <c r="U74" s="176"/>
      <c r="V74" s="176"/>
      <c r="W74" s="176"/>
      <c r="X74" s="176"/>
      <c r="Y74" s="176"/>
      <c r="Z74" s="176"/>
      <c r="AA74" s="176"/>
    </row>
    <row r="75">
      <c r="A75" s="165" t="str">
        <f>iferror(VLOOKUP(P75,'DO NOT TOUCH Imported'!$A$1:$D$800,4,False),iferror(VLOOKUP(P75,'DO NOT TOUCH Imported'!$C$1:$D$800,2,False),"OOPS FIX ME"))</f>
        <v>Santigs67</v>
      </c>
      <c r="B75" s="165" t="s">
        <v>440</v>
      </c>
      <c r="C75" s="170" t="s">
        <v>922</v>
      </c>
      <c r="D75" s="236" t="s">
        <v>437</v>
      </c>
      <c r="E75" s="237">
        <v>44307.0</v>
      </c>
      <c r="F75" s="170" t="s">
        <v>439</v>
      </c>
      <c r="G75" s="170">
        <v>1000.0</v>
      </c>
      <c r="H75" s="171">
        <v>60.0</v>
      </c>
      <c r="I75" s="171">
        <v>50.0</v>
      </c>
      <c r="J75" s="172">
        <f t="shared" si="2"/>
        <v>0.0006238180076</v>
      </c>
      <c r="K75" s="173">
        <f t="shared" si="3"/>
        <v>0.7485816091</v>
      </c>
      <c r="L75" s="174">
        <f t="shared" si="4"/>
        <v>26.79051054</v>
      </c>
      <c r="M75" s="175" t="str">
        <f t="shared" si="5"/>
        <v>Santigs67</v>
      </c>
      <c r="N75" s="176">
        <f>IFERROR(__xludf.DUMMYFUNCTION("""COMPUTED_VALUE"""),15.0)</f>
        <v>15</v>
      </c>
      <c r="O75" s="176"/>
      <c r="P75" s="165" t="s">
        <v>576</v>
      </c>
      <c r="Q75" s="165" t="s">
        <v>440</v>
      </c>
      <c r="R75" s="176"/>
      <c r="S75" s="176"/>
      <c r="T75" s="176"/>
      <c r="U75" s="176"/>
      <c r="V75" s="176"/>
      <c r="W75" s="176"/>
      <c r="X75" s="176"/>
      <c r="Y75" s="176"/>
      <c r="Z75" s="176"/>
      <c r="AA75" s="176"/>
    </row>
    <row r="76">
      <c r="A76" s="165" t="str">
        <f>iferror(VLOOKUP(P76,'DO NOT TOUCH Imported'!$A$1:$D$800,4,False),iferror(VLOOKUP(P76,'DO NOT TOUCH Imported'!$C$1:$D$800,2,False),"OOPS FIX ME"))</f>
        <v>Santigs67</v>
      </c>
      <c r="B76" s="165" t="s">
        <v>441</v>
      </c>
      <c r="C76" s="170" t="s">
        <v>923</v>
      </c>
      <c r="D76" s="236" t="s">
        <v>437</v>
      </c>
      <c r="E76" s="237">
        <v>44309.0</v>
      </c>
      <c r="F76" s="170" t="s">
        <v>439</v>
      </c>
      <c r="G76" s="170">
        <v>1000.0</v>
      </c>
      <c r="H76" s="171">
        <v>60.0</v>
      </c>
      <c r="I76" s="171">
        <v>50.0</v>
      </c>
      <c r="J76" s="172">
        <f t="shared" si="2"/>
        <v>0.0006238180076</v>
      </c>
      <c r="K76" s="173">
        <f t="shared" si="3"/>
        <v>0.7485816091</v>
      </c>
      <c r="L76" s="174">
        <f t="shared" si="4"/>
        <v>26.79051054</v>
      </c>
      <c r="M76" s="175" t="str">
        <f t="shared" si="5"/>
        <v>Santigs67</v>
      </c>
      <c r="N76" s="176">
        <f>IFERROR(__xludf.DUMMYFUNCTION("""COMPUTED_VALUE"""),16.0)</f>
        <v>16</v>
      </c>
      <c r="O76" s="176"/>
      <c r="P76" s="165" t="s">
        <v>576</v>
      </c>
      <c r="Q76" s="165" t="s">
        <v>441</v>
      </c>
      <c r="R76" s="176"/>
      <c r="S76" s="176"/>
      <c r="T76" s="176"/>
      <c r="U76" s="176"/>
      <c r="V76" s="176"/>
      <c r="W76" s="176"/>
      <c r="X76" s="176"/>
      <c r="Y76" s="176"/>
      <c r="Z76" s="176"/>
      <c r="AA76" s="176"/>
    </row>
    <row r="77">
      <c r="A77" s="165" t="str">
        <f>iferror(VLOOKUP(P77,'DO NOT TOUCH Imported'!$A$1:$D$800,4,False),iferror(VLOOKUP(P77,'DO NOT TOUCH Imported'!$C$1:$D$800,2,False),"OOPS FIX ME"))</f>
        <v>Santigs67</v>
      </c>
      <c r="B77" s="165" t="s">
        <v>486</v>
      </c>
      <c r="C77" s="170" t="s">
        <v>924</v>
      </c>
      <c r="D77" s="236" t="s">
        <v>437</v>
      </c>
      <c r="E77" s="237">
        <v>44299.0</v>
      </c>
      <c r="F77" s="170" t="s">
        <v>439</v>
      </c>
      <c r="G77" s="170">
        <v>1000.0</v>
      </c>
      <c r="H77" s="171">
        <v>50.0</v>
      </c>
      <c r="I77" s="171">
        <v>50.0</v>
      </c>
      <c r="J77" s="172">
        <f t="shared" si="2"/>
        <v>0.0005802079686</v>
      </c>
      <c r="K77" s="173">
        <f t="shared" si="3"/>
        <v>0.6962495623</v>
      </c>
      <c r="L77" s="174">
        <f t="shared" si="4"/>
        <v>26.79051054</v>
      </c>
      <c r="M77" s="175" t="str">
        <f t="shared" si="5"/>
        <v>Santigs67</v>
      </c>
      <c r="N77" s="176">
        <f>IFERROR(__xludf.DUMMYFUNCTION("""COMPUTED_VALUE"""),17.0)</f>
        <v>17</v>
      </c>
      <c r="O77" s="176"/>
      <c r="P77" s="165" t="s">
        <v>576</v>
      </c>
      <c r="Q77" s="165" t="s">
        <v>486</v>
      </c>
      <c r="R77" s="176"/>
      <c r="S77" s="176"/>
      <c r="T77" s="176"/>
      <c r="U77" s="176"/>
      <c r="V77" s="176"/>
      <c r="W77" s="176"/>
      <c r="X77" s="176"/>
      <c r="Y77" s="176"/>
      <c r="Z77" s="176"/>
      <c r="AA77" s="176"/>
    </row>
    <row r="78">
      <c r="A78" s="165" t="str">
        <f>iferror(VLOOKUP(P78,'DO NOT TOUCH Imported'!$A$1:$D$800,4,False),iferror(VLOOKUP(P78,'DO NOT TOUCH Imported'!$C$1:$D$800,2,False),"OOPS FIX ME"))</f>
        <v>Suga#8514</v>
      </c>
      <c r="B78" s="165" t="s">
        <v>490</v>
      </c>
      <c r="C78" s="170" t="s">
        <v>944</v>
      </c>
      <c r="D78" s="236" t="s">
        <v>437</v>
      </c>
      <c r="E78" s="239">
        <v>44298.0</v>
      </c>
      <c r="F78" s="170" t="s">
        <v>439</v>
      </c>
      <c r="G78" s="170">
        <v>2000.0</v>
      </c>
      <c r="H78" s="171">
        <v>100.0</v>
      </c>
      <c r="I78" s="171">
        <v>200.0</v>
      </c>
      <c r="J78" s="172">
        <f t="shared" si="2"/>
        <v>0.00158922321</v>
      </c>
      <c r="K78" s="173">
        <f t="shared" si="3"/>
        <v>1.907067852</v>
      </c>
      <c r="L78" s="174">
        <f t="shared" si="4"/>
        <v>25.99353141</v>
      </c>
      <c r="M78" s="175" t="str">
        <f t="shared" si="5"/>
        <v>Suga#8514</v>
      </c>
      <c r="N78" s="176">
        <f>IFERROR(__xludf.DUMMYFUNCTION("""COMPUTED_VALUE"""),1.0)</f>
        <v>1</v>
      </c>
      <c r="O78" s="176"/>
      <c r="P78" s="165" t="s">
        <v>45</v>
      </c>
      <c r="Q78" s="165" t="s">
        <v>490</v>
      </c>
      <c r="R78" s="176"/>
      <c r="S78" s="176"/>
      <c r="T78" s="176"/>
      <c r="U78" s="176"/>
      <c r="V78" s="176"/>
      <c r="W78" s="176"/>
      <c r="X78" s="176"/>
      <c r="Y78" s="176"/>
      <c r="Z78" s="176"/>
      <c r="AA78" s="176"/>
    </row>
    <row r="79">
      <c r="A79" s="165" t="str">
        <f>iferror(VLOOKUP(P79,'DO NOT TOUCH Imported'!$A$1:$D$800,4,False),iferror(VLOOKUP(P79,'DO NOT TOUCH Imported'!$C$1:$D$800,2,False),"OOPS FIX ME"))</f>
        <v>Suga#8514</v>
      </c>
      <c r="B79" s="165" t="s">
        <v>443</v>
      </c>
      <c r="C79" s="170" t="s">
        <v>890</v>
      </c>
      <c r="D79" s="236" t="s">
        <v>437</v>
      </c>
      <c r="E79" s="239">
        <v>44310.0</v>
      </c>
      <c r="F79" s="170" t="s">
        <v>439</v>
      </c>
      <c r="G79" s="170">
        <v>5000.0</v>
      </c>
      <c r="H79" s="171">
        <v>100.0</v>
      </c>
      <c r="I79" s="171">
        <v>100.0</v>
      </c>
      <c r="J79" s="172">
        <f t="shared" si="2"/>
        <v>0.001603678348</v>
      </c>
      <c r="K79" s="173">
        <f t="shared" si="3"/>
        <v>1.924414018</v>
      </c>
      <c r="L79" s="174">
        <f t="shared" si="4"/>
        <v>25.99353141</v>
      </c>
      <c r="M79" s="175" t="str">
        <f t="shared" si="5"/>
        <v>Suga#8514</v>
      </c>
      <c r="N79" s="176">
        <f>IFERROR(__xludf.DUMMYFUNCTION("""COMPUTED_VALUE"""),2.0)</f>
        <v>2</v>
      </c>
      <c r="O79" s="176"/>
      <c r="P79" s="165" t="s">
        <v>45</v>
      </c>
      <c r="Q79" s="165" t="s">
        <v>443</v>
      </c>
      <c r="R79" s="176"/>
      <c r="S79" s="176"/>
      <c r="T79" s="176"/>
      <c r="U79" s="176"/>
      <c r="V79" s="176"/>
      <c r="W79" s="176"/>
      <c r="X79" s="176"/>
      <c r="Y79" s="176"/>
      <c r="Z79" s="176"/>
      <c r="AA79" s="176"/>
    </row>
    <row r="80">
      <c r="A80" s="165" t="str">
        <f>iferror(VLOOKUP(P80,'DO NOT TOUCH Imported'!$A$1:$D$800,4,False),iferror(VLOOKUP(P80,'DO NOT TOUCH Imported'!$C$1:$D$800,2,False),"OOPS FIX ME"))</f>
        <v>Suga#8514</v>
      </c>
      <c r="B80" s="165" t="s">
        <v>18</v>
      </c>
      <c r="C80" s="170" t="s">
        <v>945</v>
      </c>
      <c r="D80" s="236" t="s">
        <v>495</v>
      </c>
      <c r="E80" s="239">
        <v>44298.0</v>
      </c>
      <c r="F80" s="170" t="s">
        <v>496</v>
      </c>
      <c r="G80" s="170">
        <v>1000.0</v>
      </c>
      <c r="H80" s="171">
        <v>200.0</v>
      </c>
      <c r="I80" s="171">
        <v>100.0</v>
      </c>
      <c r="J80" s="172">
        <f t="shared" si="2"/>
        <v>0.00144876219</v>
      </c>
      <c r="K80" s="173">
        <f t="shared" si="3"/>
        <v>1.738514628</v>
      </c>
      <c r="L80" s="174">
        <f t="shared" si="4"/>
        <v>25.99353141</v>
      </c>
      <c r="M80" s="175" t="str">
        <f t="shared" si="5"/>
        <v>Suga#8514</v>
      </c>
      <c r="N80" s="176">
        <f>IFERROR(__xludf.DUMMYFUNCTION("""COMPUTED_VALUE"""),3.0)</f>
        <v>3</v>
      </c>
      <c r="O80" s="176"/>
      <c r="P80" s="165" t="s">
        <v>546</v>
      </c>
      <c r="Q80" s="165" t="s">
        <v>18</v>
      </c>
      <c r="R80" s="176"/>
      <c r="S80" s="176"/>
      <c r="T80" s="176"/>
      <c r="U80" s="176"/>
      <c r="V80" s="176"/>
      <c r="W80" s="176"/>
      <c r="X80" s="176"/>
      <c r="Y80" s="176"/>
      <c r="Z80" s="176"/>
      <c r="AA80" s="176"/>
    </row>
    <row r="81">
      <c r="A81" s="165" t="str">
        <f>iferror(VLOOKUP(P81,'DO NOT TOUCH Imported'!$A$1:$D$800,4,False),iferror(VLOOKUP(P81,'DO NOT TOUCH Imported'!$C$1:$D$800,2,False),"OOPS FIX ME"))</f>
        <v>Suga#8514</v>
      </c>
      <c r="B81" s="165" t="s">
        <v>441</v>
      </c>
      <c r="C81" s="170" t="s">
        <v>946</v>
      </c>
      <c r="D81" s="236" t="s">
        <v>437</v>
      </c>
      <c r="E81" s="237">
        <v>44309.0</v>
      </c>
      <c r="F81" s="170" t="s">
        <v>439</v>
      </c>
      <c r="G81" s="170">
        <v>1000.0</v>
      </c>
      <c r="H81" s="171">
        <v>100.0</v>
      </c>
      <c r="I81" s="171">
        <v>150.0</v>
      </c>
      <c r="J81" s="172">
        <f t="shared" si="2"/>
        <v>0.001227065436</v>
      </c>
      <c r="K81" s="173">
        <f t="shared" si="3"/>
        <v>1.472478524</v>
      </c>
      <c r="L81" s="174">
        <f t="shared" si="4"/>
        <v>25.99353141</v>
      </c>
      <c r="M81" s="175" t="str">
        <f t="shared" si="5"/>
        <v>Suga#8514</v>
      </c>
      <c r="N81" s="176">
        <f>IFERROR(__xludf.DUMMYFUNCTION("""COMPUTED_VALUE"""),4.0)</f>
        <v>4</v>
      </c>
      <c r="O81" s="176"/>
      <c r="P81" s="165" t="s">
        <v>45</v>
      </c>
      <c r="Q81" s="165" t="s">
        <v>441</v>
      </c>
      <c r="R81" s="176"/>
      <c r="S81" s="176"/>
      <c r="T81" s="176"/>
      <c r="U81" s="176"/>
      <c r="V81" s="176"/>
      <c r="W81" s="176"/>
      <c r="X81" s="176"/>
      <c r="Y81" s="176"/>
      <c r="Z81" s="176"/>
      <c r="AA81" s="176"/>
    </row>
    <row r="82">
      <c r="A82" s="165" t="str">
        <f>iferror(VLOOKUP(P82,'DO NOT TOUCH Imported'!$A$1:$D$800,4,False),iferror(VLOOKUP(P82,'DO NOT TOUCH Imported'!$C$1:$D$800,2,False),"OOPS FIX ME"))</f>
        <v>Suga#8514</v>
      </c>
      <c r="B82" s="165" t="s">
        <v>440</v>
      </c>
      <c r="C82" s="170" t="s">
        <v>947</v>
      </c>
      <c r="D82" s="236" t="s">
        <v>437</v>
      </c>
      <c r="E82" s="239">
        <v>44306.0</v>
      </c>
      <c r="F82" s="170" t="s">
        <v>439</v>
      </c>
      <c r="G82" s="170">
        <v>2000.0</v>
      </c>
      <c r="H82" s="171">
        <v>100.0</v>
      </c>
      <c r="I82" s="171">
        <v>100.0</v>
      </c>
      <c r="J82" s="172">
        <f t="shared" si="2"/>
        <v>0.001160415937</v>
      </c>
      <c r="K82" s="173">
        <f t="shared" si="3"/>
        <v>1.392499125</v>
      </c>
      <c r="L82" s="174">
        <f t="shared" si="4"/>
        <v>25.99353141</v>
      </c>
      <c r="M82" s="175" t="str">
        <f t="shared" si="5"/>
        <v>Suga#8514</v>
      </c>
      <c r="N82" s="176">
        <f>IFERROR(__xludf.DUMMYFUNCTION("""COMPUTED_VALUE"""),5.0)</f>
        <v>5</v>
      </c>
      <c r="O82" s="176"/>
      <c r="P82" s="165" t="s">
        <v>45</v>
      </c>
      <c r="Q82" s="165" t="s">
        <v>440</v>
      </c>
      <c r="R82" s="176"/>
      <c r="S82" s="176"/>
      <c r="T82" s="176"/>
      <c r="U82" s="176"/>
      <c r="V82" s="176"/>
      <c r="W82" s="176"/>
      <c r="X82" s="176"/>
      <c r="Y82" s="176"/>
      <c r="Z82" s="176"/>
      <c r="AA82" s="176"/>
    </row>
    <row r="83">
      <c r="A83" s="165" t="str">
        <f>iferror(VLOOKUP(P83,'DO NOT TOUCH Imported'!$A$1:$D$800,4,False),iferror(VLOOKUP(P83,'DO NOT TOUCH Imported'!$C$1:$D$800,2,False),"OOPS FIX ME"))</f>
        <v>Suga#8514</v>
      </c>
      <c r="B83" s="165" t="s">
        <v>528</v>
      </c>
      <c r="C83" s="170" t="s">
        <v>948</v>
      </c>
      <c r="D83" s="236" t="s">
        <v>437</v>
      </c>
      <c r="E83" s="237">
        <v>44307.0</v>
      </c>
      <c r="F83" s="170" t="s">
        <v>439</v>
      </c>
      <c r="G83" s="170">
        <v>2000.0</v>
      </c>
      <c r="H83" s="171">
        <v>100.0</v>
      </c>
      <c r="I83" s="171">
        <v>100.0</v>
      </c>
      <c r="J83" s="172">
        <f t="shared" si="2"/>
        <v>0.001160415937</v>
      </c>
      <c r="K83" s="173">
        <f t="shared" si="3"/>
        <v>1.392499125</v>
      </c>
      <c r="L83" s="174">
        <f t="shared" si="4"/>
        <v>25.99353141</v>
      </c>
      <c r="M83" s="175" t="str">
        <f t="shared" si="5"/>
        <v>Suga#8514</v>
      </c>
      <c r="N83" s="176">
        <f>IFERROR(__xludf.DUMMYFUNCTION("""COMPUTED_VALUE"""),6.0)</f>
        <v>6</v>
      </c>
      <c r="O83" s="176"/>
      <c r="P83" s="165" t="s">
        <v>45</v>
      </c>
      <c r="Q83" s="165" t="s">
        <v>528</v>
      </c>
      <c r="R83" s="176"/>
      <c r="S83" s="176"/>
      <c r="T83" s="176"/>
      <c r="U83" s="176"/>
      <c r="V83" s="176"/>
      <c r="W83" s="176"/>
      <c r="X83" s="176"/>
      <c r="Y83" s="176"/>
      <c r="Z83" s="176"/>
      <c r="AA83" s="176"/>
    </row>
    <row r="84">
      <c r="A84" s="165" t="str">
        <f>iferror(VLOOKUP(P84,'DO NOT TOUCH Imported'!$A$1:$D$800,4,False),iferror(VLOOKUP(P84,'DO NOT TOUCH Imported'!$C$1:$D$800,2,False),"OOPS FIX ME"))</f>
        <v>Suga#8514</v>
      </c>
      <c r="B84" s="165" t="s">
        <v>490</v>
      </c>
      <c r="C84" s="170" t="s">
        <v>897</v>
      </c>
      <c r="D84" s="236" t="s">
        <v>437</v>
      </c>
      <c r="E84" s="237">
        <v>44309.0</v>
      </c>
      <c r="F84" s="170" t="s">
        <v>439</v>
      </c>
      <c r="G84" s="170">
        <v>1500.0</v>
      </c>
      <c r="H84" s="171">
        <v>100.0</v>
      </c>
      <c r="I84" s="171">
        <v>100.0</v>
      </c>
      <c r="J84" s="172">
        <f t="shared" si="2"/>
        <v>0.001086538869</v>
      </c>
      <c r="K84" s="173">
        <f t="shared" si="3"/>
        <v>1.303846642</v>
      </c>
      <c r="L84" s="174">
        <f t="shared" si="4"/>
        <v>25.99353141</v>
      </c>
      <c r="M84" s="175" t="str">
        <f t="shared" si="5"/>
        <v>Suga#8514</v>
      </c>
      <c r="N84" s="176">
        <f>IFERROR(__xludf.DUMMYFUNCTION("""COMPUTED_VALUE"""),7.0)</f>
        <v>7</v>
      </c>
      <c r="O84" s="176"/>
      <c r="P84" s="165" t="s">
        <v>45</v>
      </c>
      <c r="Q84" s="165" t="s">
        <v>490</v>
      </c>
      <c r="R84" s="176"/>
      <c r="S84" s="176"/>
      <c r="T84" s="176"/>
      <c r="U84" s="176"/>
      <c r="V84" s="176"/>
      <c r="W84" s="176"/>
      <c r="X84" s="176"/>
      <c r="Y84" s="176"/>
      <c r="Z84" s="176"/>
      <c r="AA84" s="176"/>
    </row>
    <row r="85">
      <c r="A85" s="165" t="str">
        <f>iferror(VLOOKUP(P85,'DO NOT TOUCH Imported'!$A$1:$D$800,4,False),iferror(VLOOKUP(P85,'DO NOT TOUCH Imported'!$C$1:$D$800,2,False),"OOPS FIX ME"))</f>
        <v>Suga#8514</v>
      </c>
      <c r="B85" s="165" t="s">
        <v>590</v>
      </c>
      <c r="C85" s="170" t="s">
        <v>949</v>
      </c>
      <c r="D85" s="236" t="s">
        <v>495</v>
      </c>
      <c r="E85" s="239">
        <v>44300.0</v>
      </c>
      <c r="F85" s="170" t="s">
        <v>496</v>
      </c>
      <c r="G85" s="170">
        <v>1000.0</v>
      </c>
      <c r="H85" s="171">
        <v>100.0</v>
      </c>
      <c r="I85" s="171">
        <v>100.0</v>
      </c>
      <c r="J85" s="172">
        <f t="shared" si="2"/>
        <v>0.0010126618</v>
      </c>
      <c r="K85" s="173">
        <f t="shared" si="3"/>
        <v>1.21519416</v>
      </c>
      <c r="L85" s="174">
        <f t="shared" si="4"/>
        <v>25.99353141</v>
      </c>
      <c r="M85" s="175" t="str">
        <f t="shared" si="5"/>
        <v>Suga#8514</v>
      </c>
      <c r="N85" s="176">
        <f>IFERROR(__xludf.DUMMYFUNCTION("""COMPUTED_VALUE"""),8.0)</f>
        <v>8</v>
      </c>
      <c r="O85" s="176"/>
      <c r="P85" s="165" t="s">
        <v>546</v>
      </c>
      <c r="Q85" s="165" t="s">
        <v>590</v>
      </c>
      <c r="R85" s="176"/>
      <c r="S85" s="176"/>
      <c r="T85" s="176"/>
      <c r="U85" s="176"/>
      <c r="V85" s="176"/>
      <c r="W85" s="176"/>
      <c r="X85" s="176"/>
      <c r="Y85" s="176"/>
      <c r="Z85" s="176"/>
      <c r="AA85" s="176"/>
    </row>
    <row r="86">
      <c r="A86" s="165" t="str">
        <f>iferror(VLOOKUP(P86,'DO NOT TOUCH Imported'!$A$1:$D$800,4,False),iferror(VLOOKUP(P86,'DO NOT TOUCH Imported'!$C$1:$D$800,2,False),"OOPS FIX ME"))</f>
        <v>Suga#8514</v>
      </c>
      <c r="B86" s="165" t="s">
        <v>490</v>
      </c>
      <c r="C86" s="170" t="s">
        <v>950</v>
      </c>
      <c r="D86" s="236" t="s">
        <v>437</v>
      </c>
      <c r="E86" s="239">
        <v>44299.0</v>
      </c>
      <c r="F86" s="170" t="s">
        <v>439</v>
      </c>
      <c r="G86" s="170">
        <v>1000.0</v>
      </c>
      <c r="H86" s="171">
        <v>100.0</v>
      </c>
      <c r="I86" s="171">
        <v>100.0</v>
      </c>
      <c r="J86" s="172">
        <f t="shared" si="2"/>
        <v>0.0010126618</v>
      </c>
      <c r="K86" s="173">
        <f t="shared" si="3"/>
        <v>1.21519416</v>
      </c>
      <c r="L86" s="174">
        <f t="shared" si="4"/>
        <v>25.99353141</v>
      </c>
      <c r="M86" s="175" t="str">
        <f t="shared" si="5"/>
        <v>Suga#8514</v>
      </c>
      <c r="N86" s="176">
        <f>IFERROR(__xludf.DUMMYFUNCTION("""COMPUTED_VALUE"""),9.0)</f>
        <v>9</v>
      </c>
      <c r="O86" s="176"/>
      <c r="P86" s="165" t="s">
        <v>45</v>
      </c>
      <c r="Q86" s="165" t="s">
        <v>490</v>
      </c>
      <c r="R86" s="176"/>
      <c r="S86" s="176"/>
      <c r="T86" s="176"/>
      <c r="U86" s="176"/>
      <c r="V86" s="176"/>
      <c r="W86" s="176"/>
      <c r="X86" s="176"/>
      <c r="Y86" s="176"/>
      <c r="Z86" s="176"/>
      <c r="AA86" s="176"/>
    </row>
    <row r="87">
      <c r="A87" s="165" t="str">
        <f>iferror(VLOOKUP(P87,'DO NOT TOUCH Imported'!$A$1:$D$800,4,False),iferror(VLOOKUP(P87,'DO NOT TOUCH Imported'!$C$1:$D$800,2,False),"OOPS FIX ME"))</f>
        <v>Suga#8514</v>
      </c>
      <c r="B87" s="165" t="s">
        <v>435</v>
      </c>
      <c r="C87" s="170" t="s">
        <v>900</v>
      </c>
      <c r="D87" s="236" t="s">
        <v>437</v>
      </c>
      <c r="E87" s="239">
        <v>44302.0</v>
      </c>
      <c r="F87" s="170" t="s">
        <v>439</v>
      </c>
      <c r="G87" s="170">
        <v>1000.0</v>
      </c>
      <c r="H87" s="171">
        <v>100.0</v>
      </c>
      <c r="I87" s="171">
        <v>100.0</v>
      </c>
      <c r="J87" s="172">
        <f t="shared" si="2"/>
        <v>0.0010126618</v>
      </c>
      <c r="K87" s="173">
        <f t="shared" si="3"/>
        <v>1.21519416</v>
      </c>
      <c r="L87" s="174">
        <f t="shared" si="4"/>
        <v>25.99353141</v>
      </c>
      <c r="M87" s="175" t="str">
        <f t="shared" si="5"/>
        <v>Suga#8514</v>
      </c>
      <c r="N87" s="176">
        <f>IFERROR(__xludf.DUMMYFUNCTION("""COMPUTED_VALUE"""),10.0)</f>
        <v>10</v>
      </c>
      <c r="O87" s="176"/>
      <c r="P87" s="165" t="s">
        <v>45</v>
      </c>
      <c r="Q87" s="165" t="s">
        <v>435</v>
      </c>
      <c r="R87" s="176"/>
      <c r="S87" s="176"/>
      <c r="T87" s="176"/>
      <c r="U87" s="176"/>
      <c r="V87" s="176"/>
      <c r="W87" s="176"/>
      <c r="X87" s="176"/>
      <c r="Y87" s="176"/>
      <c r="Z87" s="176"/>
      <c r="AA87" s="176"/>
    </row>
    <row r="88">
      <c r="A88" s="165" t="str">
        <f>iferror(VLOOKUP(P88,'DO NOT TOUCH Imported'!$A$1:$D$800,4,False),iferror(VLOOKUP(P88,'DO NOT TOUCH Imported'!$C$1:$D$800,2,False),"OOPS FIX ME"))</f>
        <v>Suga#8514</v>
      </c>
      <c r="B88" s="165" t="s">
        <v>435</v>
      </c>
      <c r="C88" s="170" t="s">
        <v>951</v>
      </c>
      <c r="D88" s="236" t="s">
        <v>437</v>
      </c>
      <c r="E88" s="237">
        <v>44306.0</v>
      </c>
      <c r="F88" s="170" t="s">
        <v>439</v>
      </c>
      <c r="G88" s="170">
        <v>1000.0</v>
      </c>
      <c r="H88" s="171">
        <v>100.0</v>
      </c>
      <c r="I88" s="171">
        <v>100.0</v>
      </c>
      <c r="J88" s="172">
        <f t="shared" si="2"/>
        <v>0.0010126618</v>
      </c>
      <c r="K88" s="173">
        <f t="shared" si="3"/>
        <v>1.21519416</v>
      </c>
      <c r="L88" s="174">
        <f t="shared" si="4"/>
        <v>25.99353141</v>
      </c>
      <c r="M88" s="175" t="str">
        <f t="shared" si="5"/>
        <v>Suga#8514</v>
      </c>
      <c r="N88" s="176">
        <f>IFERROR(__xludf.DUMMYFUNCTION("""COMPUTED_VALUE"""),11.0)</f>
        <v>11</v>
      </c>
      <c r="O88" s="176"/>
      <c r="P88" s="165" t="s">
        <v>45</v>
      </c>
      <c r="Q88" s="165" t="s">
        <v>435</v>
      </c>
      <c r="R88" s="176"/>
      <c r="S88" s="176"/>
      <c r="T88" s="176"/>
      <c r="U88" s="176"/>
      <c r="V88" s="176"/>
      <c r="W88" s="176"/>
      <c r="X88" s="176"/>
      <c r="Y88" s="176"/>
      <c r="Z88" s="176"/>
      <c r="AA88" s="176"/>
    </row>
    <row r="89">
      <c r="A89" s="165" t="str">
        <f>iferror(VLOOKUP(P89,'DO NOT TOUCH Imported'!$A$1:$D$800,4,False),iferror(VLOOKUP(P89,'DO NOT TOUCH Imported'!$C$1:$D$800,2,False),"OOPS FIX ME"))</f>
        <v>Suga#8514</v>
      </c>
      <c r="B89" s="165" t="s">
        <v>441</v>
      </c>
      <c r="C89" s="170" t="s">
        <v>952</v>
      </c>
      <c r="D89" s="236" t="s">
        <v>437</v>
      </c>
      <c r="E89" s="239">
        <v>44309.0</v>
      </c>
      <c r="F89" s="170" t="s">
        <v>439</v>
      </c>
      <c r="G89" s="170">
        <v>1000.0</v>
      </c>
      <c r="H89" s="171">
        <v>100.0</v>
      </c>
      <c r="I89" s="171">
        <v>100.0</v>
      </c>
      <c r="J89" s="172">
        <f t="shared" si="2"/>
        <v>0.0010126618</v>
      </c>
      <c r="K89" s="173">
        <f t="shared" si="3"/>
        <v>1.21519416</v>
      </c>
      <c r="L89" s="174">
        <f t="shared" si="4"/>
        <v>25.99353141</v>
      </c>
      <c r="M89" s="175" t="str">
        <f t="shared" si="5"/>
        <v>Suga#8514</v>
      </c>
      <c r="N89" s="176">
        <f>IFERROR(__xludf.DUMMYFUNCTION("""COMPUTED_VALUE"""),12.0)</f>
        <v>12</v>
      </c>
      <c r="O89" s="176"/>
      <c r="P89" s="165" t="s">
        <v>45</v>
      </c>
      <c r="Q89" s="165" t="s">
        <v>441</v>
      </c>
      <c r="R89" s="176"/>
      <c r="S89" s="176"/>
      <c r="T89" s="176"/>
      <c r="U89" s="176"/>
      <c r="V89" s="176"/>
      <c r="W89" s="176"/>
      <c r="X89" s="176"/>
      <c r="Y89" s="176"/>
      <c r="Z89" s="176"/>
      <c r="AA89" s="176"/>
    </row>
    <row r="90">
      <c r="A90" s="165" t="str">
        <f>iferror(VLOOKUP(P90,'DO NOT TOUCH Imported'!$A$1:$D$800,4,False),iferror(VLOOKUP(P90,'DO NOT TOUCH Imported'!$C$1:$D$800,2,False),"OOPS FIX ME"))</f>
        <v>Suga#8514</v>
      </c>
      <c r="B90" s="165" t="s">
        <v>483</v>
      </c>
      <c r="C90" s="170" t="s">
        <v>953</v>
      </c>
      <c r="D90" s="236" t="s">
        <v>437</v>
      </c>
      <c r="E90" s="237">
        <v>44299.0</v>
      </c>
      <c r="F90" s="170" t="s">
        <v>439</v>
      </c>
      <c r="G90" s="170">
        <v>1000.0</v>
      </c>
      <c r="H90" s="171">
        <v>100.0</v>
      </c>
      <c r="I90" s="171">
        <v>80.0</v>
      </c>
      <c r="J90" s="172">
        <f t="shared" si="2"/>
        <v>0.0009269003455</v>
      </c>
      <c r="K90" s="173">
        <f t="shared" si="3"/>
        <v>1.112280415</v>
      </c>
      <c r="L90" s="174">
        <f t="shared" si="4"/>
        <v>25.99353141</v>
      </c>
      <c r="M90" s="175" t="str">
        <f t="shared" si="5"/>
        <v>Suga#8514</v>
      </c>
      <c r="N90" s="176">
        <f>IFERROR(__xludf.DUMMYFUNCTION("""COMPUTED_VALUE"""),13.0)</f>
        <v>13</v>
      </c>
      <c r="O90" s="176"/>
      <c r="P90" s="165" t="s">
        <v>45</v>
      </c>
      <c r="Q90" s="165" t="s">
        <v>483</v>
      </c>
      <c r="R90" s="176"/>
      <c r="S90" s="176"/>
      <c r="T90" s="176"/>
      <c r="U90" s="176"/>
      <c r="V90" s="176"/>
      <c r="W90" s="176"/>
      <c r="X90" s="176"/>
      <c r="Y90" s="176"/>
      <c r="Z90" s="176"/>
      <c r="AA90" s="176"/>
    </row>
    <row r="91">
      <c r="A91" s="165" t="str">
        <f>iferror(VLOOKUP(P91,'DO NOT TOUCH Imported'!$A$1:$D$800,4,False),iferror(VLOOKUP(P91,'DO NOT TOUCH Imported'!$C$1:$D$800,2,False),"OOPS FIX ME"))</f>
        <v>Suga#8514</v>
      </c>
      <c r="B91" s="165" t="s">
        <v>483</v>
      </c>
      <c r="C91" s="170" t="s">
        <v>954</v>
      </c>
      <c r="D91" s="236" t="s">
        <v>437</v>
      </c>
      <c r="E91" s="237">
        <v>44301.0</v>
      </c>
      <c r="F91" s="170" t="s">
        <v>439</v>
      </c>
      <c r="G91" s="170">
        <v>1000.0</v>
      </c>
      <c r="H91" s="171">
        <v>100.0</v>
      </c>
      <c r="I91" s="171">
        <v>80.0</v>
      </c>
      <c r="J91" s="172">
        <f t="shared" si="2"/>
        <v>0.0009269003455</v>
      </c>
      <c r="K91" s="173">
        <f t="shared" si="3"/>
        <v>1.112280415</v>
      </c>
      <c r="L91" s="174">
        <f t="shared" si="4"/>
        <v>25.99353141</v>
      </c>
      <c r="M91" s="175" t="str">
        <f t="shared" si="5"/>
        <v>Suga#8514</v>
      </c>
      <c r="N91" s="176">
        <f>IFERROR(__xludf.DUMMYFUNCTION("""COMPUTED_VALUE"""),14.0)</f>
        <v>14</v>
      </c>
      <c r="O91" s="176"/>
      <c r="P91" s="165" t="s">
        <v>45</v>
      </c>
      <c r="Q91" s="165" t="s">
        <v>483</v>
      </c>
      <c r="R91" s="176"/>
      <c r="S91" s="176"/>
      <c r="T91" s="176"/>
      <c r="U91" s="176"/>
      <c r="V91" s="176"/>
      <c r="W91" s="176"/>
      <c r="X91" s="176"/>
      <c r="Y91" s="176"/>
      <c r="Z91" s="176"/>
      <c r="AA91" s="176"/>
    </row>
    <row r="92">
      <c r="A92" s="165" t="str">
        <f>iferror(VLOOKUP(P92,'DO NOT TOUCH Imported'!$A$1:$D$800,4,False),iferror(VLOOKUP(P92,'DO NOT TOUCH Imported'!$C$1:$D$800,2,False),"OOPS FIX ME"))</f>
        <v>Suga#8514</v>
      </c>
      <c r="B92" s="165" t="s">
        <v>441</v>
      </c>
      <c r="C92" s="170" t="s">
        <v>955</v>
      </c>
      <c r="D92" s="236" t="s">
        <v>437</v>
      </c>
      <c r="E92" s="237">
        <v>44302.0</v>
      </c>
      <c r="F92" s="170" t="s">
        <v>439</v>
      </c>
      <c r="G92" s="170">
        <v>1000.0</v>
      </c>
      <c r="H92" s="171">
        <v>100.0</v>
      </c>
      <c r="I92" s="171">
        <v>80.0</v>
      </c>
      <c r="J92" s="172">
        <f t="shared" si="2"/>
        <v>0.0009269003455</v>
      </c>
      <c r="K92" s="173">
        <f t="shared" si="3"/>
        <v>1.112280415</v>
      </c>
      <c r="L92" s="174">
        <f t="shared" si="4"/>
        <v>25.99353141</v>
      </c>
      <c r="M92" s="175" t="str">
        <f t="shared" si="5"/>
        <v>Suga#8514</v>
      </c>
      <c r="N92" s="176">
        <f>IFERROR(__xludf.DUMMYFUNCTION("""COMPUTED_VALUE"""),15.0)</f>
        <v>15</v>
      </c>
      <c r="O92" s="176"/>
      <c r="P92" s="165" t="s">
        <v>45</v>
      </c>
      <c r="Q92" s="165" t="s">
        <v>441</v>
      </c>
      <c r="R92" s="176"/>
      <c r="S92" s="176"/>
      <c r="T92" s="176"/>
      <c r="U92" s="176"/>
      <c r="V92" s="176"/>
      <c r="W92" s="176"/>
      <c r="X92" s="176"/>
      <c r="Y92" s="176"/>
      <c r="Z92" s="176"/>
      <c r="AA92" s="176"/>
    </row>
    <row r="93">
      <c r="A93" s="165" t="str">
        <f>iferror(VLOOKUP(P93,'DO NOT TOUCH Imported'!$A$1:$D$800,4,False),iferror(VLOOKUP(P93,'DO NOT TOUCH Imported'!$C$1:$D$800,2,False),"OOPS FIX ME"))</f>
        <v>Suga#8514</v>
      </c>
      <c r="B93" s="165" t="s">
        <v>441</v>
      </c>
      <c r="C93" s="170" t="s">
        <v>956</v>
      </c>
      <c r="D93" s="236" t="s">
        <v>437</v>
      </c>
      <c r="E93" s="239">
        <v>44309.0</v>
      </c>
      <c r="F93" s="170" t="s">
        <v>439</v>
      </c>
      <c r="G93" s="170">
        <v>1000.0</v>
      </c>
      <c r="H93" s="171">
        <v>100.0</v>
      </c>
      <c r="I93" s="171">
        <v>50.0</v>
      </c>
      <c r="J93" s="172">
        <f t="shared" si="2"/>
        <v>0.0007982581637</v>
      </c>
      <c r="K93" s="173">
        <f t="shared" si="3"/>
        <v>0.9579097965</v>
      </c>
      <c r="L93" s="174">
        <f t="shared" si="4"/>
        <v>25.99353141</v>
      </c>
      <c r="M93" s="175" t="str">
        <f t="shared" si="5"/>
        <v>Suga#8514</v>
      </c>
      <c r="N93" s="176">
        <f>IFERROR(__xludf.DUMMYFUNCTION("""COMPUTED_VALUE"""),16.0)</f>
        <v>16</v>
      </c>
      <c r="O93" s="176"/>
      <c r="P93" s="165" t="s">
        <v>45</v>
      </c>
      <c r="Q93" s="165" t="s">
        <v>441</v>
      </c>
      <c r="R93" s="176"/>
      <c r="S93" s="176"/>
      <c r="T93" s="176"/>
      <c r="U93" s="176"/>
      <c r="V93" s="176"/>
      <c r="W93" s="176"/>
      <c r="X93" s="176"/>
      <c r="Y93" s="176"/>
      <c r="Z93" s="176"/>
      <c r="AA93" s="176"/>
    </row>
    <row r="94">
      <c r="A94" s="165" t="str">
        <f>iferror(VLOOKUP(P94,'DO NOT TOUCH Imported'!$A$1:$D$800,4,False),iferror(VLOOKUP(P94,'DO NOT TOUCH Imported'!$C$1:$D$800,2,False),"OOPS FIX ME"))</f>
        <v>Suga#8514</v>
      </c>
      <c r="B94" s="165" t="s">
        <v>490</v>
      </c>
      <c r="C94" s="170" t="s">
        <v>914</v>
      </c>
      <c r="D94" s="236" t="s">
        <v>437</v>
      </c>
      <c r="E94" s="239">
        <v>44299.0</v>
      </c>
      <c r="F94" s="170" t="s">
        <v>439</v>
      </c>
      <c r="G94" s="170">
        <v>1000.0</v>
      </c>
      <c r="H94" s="171">
        <v>60.0</v>
      </c>
      <c r="I94" s="171">
        <v>50.0</v>
      </c>
      <c r="J94" s="172">
        <f t="shared" si="2"/>
        <v>0.0006238180076</v>
      </c>
      <c r="K94" s="173">
        <f t="shared" si="3"/>
        <v>0.7485816091</v>
      </c>
      <c r="L94" s="174">
        <f t="shared" si="4"/>
        <v>25.99353141</v>
      </c>
      <c r="M94" s="175" t="str">
        <f t="shared" si="5"/>
        <v>Suga#8514</v>
      </c>
      <c r="N94" s="176">
        <f>IFERROR(__xludf.DUMMYFUNCTION("""COMPUTED_VALUE"""),17.0)</f>
        <v>17</v>
      </c>
      <c r="O94" s="176"/>
      <c r="P94" s="165" t="s">
        <v>45</v>
      </c>
      <c r="Q94" s="165" t="s">
        <v>490</v>
      </c>
      <c r="R94" s="176"/>
      <c r="S94" s="176"/>
      <c r="T94" s="176"/>
      <c r="U94" s="176"/>
      <c r="V94" s="176"/>
      <c r="W94" s="176"/>
      <c r="X94" s="176"/>
      <c r="Y94" s="176"/>
      <c r="Z94" s="176"/>
      <c r="AA94" s="176"/>
    </row>
    <row r="95">
      <c r="A95" s="165" t="str">
        <f>iferror(VLOOKUP(P95,'DO NOT TOUCH Imported'!$A$1:$D$800,4,False),iferror(VLOOKUP(P95,'DO NOT TOUCH Imported'!$C$1:$D$800,2,False),"OOPS FIX ME"))</f>
        <v>Suga#8514</v>
      </c>
      <c r="B95" s="165" t="s">
        <v>440</v>
      </c>
      <c r="C95" s="170" t="s">
        <v>916</v>
      </c>
      <c r="D95" s="236" t="s">
        <v>437</v>
      </c>
      <c r="E95" s="239">
        <v>44300.0</v>
      </c>
      <c r="F95" s="170" t="s">
        <v>439</v>
      </c>
      <c r="G95" s="170">
        <v>1000.0</v>
      </c>
      <c r="H95" s="171">
        <v>60.0</v>
      </c>
      <c r="I95" s="171">
        <v>50.0</v>
      </c>
      <c r="J95" s="172">
        <f t="shared" si="2"/>
        <v>0.0006238180076</v>
      </c>
      <c r="K95" s="173">
        <f t="shared" si="3"/>
        <v>0.7485816091</v>
      </c>
      <c r="L95" s="174">
        <f t="shared" si="4"/>
        <v>25.99353141</v>
      </c>
      <c r="M95" s="175" t="str">
        <f t="shared" si="5"/>
        <v>Suga#8514</v>
      </c>
      <c r="N95" s="176">
        <f>IFERROR(__xludf.DUMMYFUNCTION("""COMPUTED_VALUE"""),18.0)</f>
        <v>18</v>
      </c>
      <c r="O95" s="176"/>
      <c r="P95" s="165" t="s">
        <v>45</v>
      </c>
      <c r="Q95" s="165" t="s">
        <v>440</v>
      </c>
      <c r="R95" s="176"/>
      <c r="S95" s="176"/>
      <c r="T95" s="176"/>
      <c r="U95" s="176"/>
      <c r="V95" s="176"/>
      <c r="W95" s="176"/>
      <c r="X95" s="176"/>
      <c r="Y95" s="176"/>
      <c r="Z95" s="176"/>
      <c r="AA95" s="176"/>
    </row>
    <row r="96">
      <c r="A96" s="165" t="str">
        <f>iferror(VLOOKUP(P96,'DO NOT TOUCH Imported'!$A$1:$D$800,4,False),iferror(VLOOKUP(P96,'DO NOT TOUCH Imported'!$C$1:$D$800,2,False),"OOPS FIX ME"))</f>
        <v>Suga#8514</v>
      </c>
      <c r="B96" s="165" t="s">
        <v>441</v>
      </c>
      <c r="C96" s="170" t="s">
        <v>918</v>
      </c>
      <c r="D96" s="236" t="s">
        <v>437</v>
      </c>
      <c r="E96" s="239">
        <v>44302.0</v>
      </c>
      <c r="F96" s="170" t="s">
        <v>439</v>
      </c>
      <c r="G96" s="170">
        <v>1000.0</v>
      </c>
      <c r="H96" s="171">
        <v>60.0</v>
      </c>
      <c r="I96" s="171">
        <v>50.0</v>
      </c>
      <c r="J96" s="172">
        <f t="shared" si="2"/>
        <v>0.0006238180076</v>
      </c>
      <c r="K96" s="173">
        <f t="shared" si="3"/>
        <v>0.7485816091</v>
      </c>
      <c r="L96" s="174">
        <f t="shared" si="4"/>
        <v>25.99353141</v>
      </c>
      <c r="M96" s="175" t="str">
        <f t="shared" si="5"/>
        <v>Suga#8514</v>
      </c>
      <c r="N96" s="176">
        <f>IFERROR(__xludf.DUMMYFUNCTION("""COMPUTED_VALUE"""),19.0)</f>
        <v>19</v>
      </c>
      <c r="O96" s="176"/>
      <c r="P96" s="165" t="s">
        <v>45</v>
      </c>
      <c r="Q96" s="165" t="s">
        <v>441</v>
      </c>
      <c r="R96" s="176"/>
      <c r="S96" s="176"/>
      <c r="T96" s="176"/>
      <c r="U96" s="176"/>
      <c r="V96" s="176"/>
      <c r="W96" s="176"/>
      <c r="X96" s="176"/>
      <c r="Y96" s="176"/>
      <c r="Z96" s="176"/>
      <c r="AA96" s="176"/>
    </row>
    <row r="97">
      <c r="A97" s="165" t="str">
        <f>iferror(VLOOKUP(P97,'DO NOT TOUCH Imported'!$A$1:$D$800,4,False),iferror(VLOOKUP(P97,'DO NOT TOUCH Imported'!$C$1:$D$800,2,False),"OOPS FIX ME"))</f>
        <v>Suga#8514</v>
      </c>
      <c r="B97" s="165" t="s">
        <v>492</v>
      </c>
      <c r="C97" s="170" t="s">
        <v>957</v>
      </c>
      <c r="D97" s="236" t="s">
        <v>437</v>
      </c>
      <c r="E97" s="237">
        <v>44307.0</v>
      </c>
      <c r="F97" s="170" t="s">
        <v>439</v>
      </c>
      <c r="G97" s="170">
        <v>1000.0</v>
      </c>
      <c r="H97" s="171">
        <v>60.0</v>
      </c>
      <c r="I97" s="171">
        <v>50.0</v>
      </c>
      <c r="J97" s="172">
        <f t="shared" si="2"/>
        <v>0.0006238180076</v>
      </c>
      <c r="K97" s="173">
        <f t="shared" si="3"/>
        <v>0.7485816091</v>
      </c>
      <c r="L97" s="174">
        <f t="shared" si="4"/>
        <v>25.99353141</v>
      </c>
      <c r="M97" s="175" t="str">
        <f t="shared" si="5"/>
        <v>Suga#8514</v>
      </c>
      <c r="N97" s="176">
        <f>IFERROR(__xludf.DUMMYFUNCTION("""COMPUTED_VALUE"""),20.0)</f>
        <v>20</v>
      </c>
      <c r="O97" s="176"/>
      <c r="P97" s="165" t="s">
        <v>45</v>
      </c>
      <c r="Q97" s="165" t="s">
        <v>492</v>
      </c>
      <c r="R97" s="176"/>
      <c r="S97" s="176"/>
      <c r="T97" s="176"/>
      <c r="U97" s="176"/>
      <c r="V97" s="176"/>
      <c r="W97" s="176"/>
      <c r="X97" s="176"/>
      <c r="Y97" s="176"/>
      <c r="Z97" s="176"/>
      <c r="AA97" s="176"/>
    </row>
    <row r="98">
      <c r="A98" s="165" t="str">
        <f>iferror(VLOOKUP(P98,'DO NOT TOUCH Imported'!$A$1:$D$800,4,False),iferror(VLOOKUP(P98,'DO NOT TOUCH Imported'!$C$1:$D$800,2,False),"OOPS FIX ME"))</f>
        <v>Suga#8514</v>
      </c>
      <c r="B98" s="165" t="s">
        <v>440</v>
      </c>
      <c r="C98" s="170" t="s">
        <v>922</v>
      </c>
      <c r="D98" s="236" t="s">
        <v>437</v>
      </c>
      <c r="E98" s="237">
        <v>44307.0</v>
      </c>
      <c r="F98" s="170" t="s">
        <v>439</v>
      </c>
      <c r="G98" s="170">
        <v>1000.0</v>
      </c>
      <c r="H98" s="171">
        <v>60.0</v>
      </c>
      <c r="I98" s="171">
        <v>50.0</v>
      </c>
      <c r="J98" s="172">
        <f t="shared" si="2"/>
        <v>0.0006238180076</v>
      </c>
      <c r="K98" s="173">
        <f t="shared" si="3"/>
        <v>0.7485816091</v>
      </c>
      <c r="L98" s="174">
        <f t="shared" si="4"/>
        <v>25.99353141</v>
      </c>
      <c r="M98" s="175" t="str">
        <f t="shared" si="5"/>
        <v>Suga#8514</v>
      </c>
      <c r="N98" s="176">
        <f>IFERROR(__xludf.DUMMYFUNCTION("""COMPUTED_VALUE"""),21.0)</f>
        <v>21</v>
      </c>
      <c r="O98" s="176"/>
      <c r="P98" s="165" t="s">
        <v>45</v>
      </c>
      <c r="Q98" s="165" t="s">
        <v>440</v>
      </c>
      <c r="R98" s="176"/>
      <c r="S98" s="176"/>
      <c r="T98" s="176"/>
      <c r="U98" s="176"/>
      <c r="V98" s="176"/>
      <c r="W98" s="176"/>
      <c r="X98" s="176"/>
      <c r="Y98" s="176"/>
      <c r="Z98" s="176"/>
      <c r="AA98" s="176"/>
    </row>
    <row r="99">
      <c r="A99" s="165" t="str">
        <f>iferror(VLOOKUP(P99,'DO NOT TOUCH Imported'!$A$1:$D$800,4,False),iferror(VLOOKUP(P99,'DO NOT TOUCH Imported'!$C$1:$D$800,2,False),"OOPS FIX ME"))</f>
        <v>Suga#8514</v>
      </c>
      <c r="B99" s="165" t="s">
        <v>441</v>
      </c>
      <c r="C99" s="170" t="s">
        <v>923</v>
      </c>
      <c r="D99" s="236" t="s">
        <v>437</v>
      </c>
      <c r="E99" s="237">
        <v>44309.0</v>
      </c>
      <c r="F99" s="170" t="s">
        <v>439</v>
      </c>
      <c r="G99" s="170">
        <v>1000.0</v>
      </c>
      <c r="H99" s="171">
        <v>60.0</v>
      </c>
      <c r="I99" s="171">
        <v>50.0</v>
      </c>
      <c r="J99" s="172">
        <f t="shared" si="2"/>
        <v>0.0006238180076</v>
      </c>
      <c r="K99" s="173">
        <f t="shared" si="3"/>
        <v>0.7485816091</v>
      </c>
      <c r="L99" s="174">
        <f t="shared" si="4"/>
        <v>25.99353141</v>
      </c>
      <c r="M99" s="175" t="str">
        <f t="shared" si="5"/>
        <v>Suga#8514</v>
      </c>
      <c r="N99" s="176">
        <f>IFERROR(__xludf.DUMMYFUNCTION("""COMPUTED_VALUE"""),22.0)</f>
        <v>22</v>
      </c>
      <c r="O99" s="176"/>
      <c r="P99" s="165" t="s">
        <v>45</v>
      </c>
      <c r="Q99" s="165" t="s">
        <v>441</v>
      </c>
      <c r="R99" s="176"/>
      <c r="S99" s="176"/>
      <c r="T99" s="176"/>
      <c r="U99" s="176"/>
      <c r="V99" s="176"/>
      <c r="W99" s="176"/>
      <c r="X99" s="176"/>
      <c r="Y99" s="176"/>
      <c r="Z99" s="176"/>
      <c r="AA99" s="176"/>
    </row>
    <row r="100">
      <c r="A100" s="165" t="str">
        <f>iferror(VLOOKUP(P100,'DO NOT TOUCH Imported'!$A$1:$D$800,4,False),iferror(VLOOKUP(P100,'DO NOT TOUCH Imported'!$C$1:$D$800,2,False),"OOPS FIX ME"))</f>
        <v>wslyvh</v>
      </c>
      <c r="B100" s="165" t="s">
        <v>519</v>
      </c>
      <c r="C100" s="170" t="s">
        <v>958</v>
      </c>
      <c r="D100" s="236" t="s">
        <v>495</v>
      </c>
      <c r="E100" s="239">
        <v>44300.0</v>
      </c>
      <c r="F100" s="170" t="s">
        <v>499</v>
      </c>
      <c r="G100" s="170">
        <v>80000.0</v>
      </c>
      <c r="H100" s="171">
        <v>250.0</v>
      </c>
      <c r="I100" s="171">
        <v>300.0</v>
      </c>
      <c r="J100" s="172">
        <f t="shared" si="2"/>
        <v>0.01419700376</v>
      </c>
      <c r="K100" s="173">
        <f t="shared" si="3"/>
        <v>17.03640452</v>
      </c>
      <c r="L100" s="174">
        <f t="shared" si="4"/>
        <v>24.41232726</v>
      </c>
      <c r="M100" s="175" t="str">
        <f t="shared" si="5"/>
        <v>wslyvh</v>
      </c>
      <c r="N100" s="176">
        <f>IFERROR(__xludf.DUMMYFUNCTION("""COMPUTED_VALUE"""),1.0)</f>
        <v>1</v>
      </c>
      <c r="O100" s="176"/>
      <c r="P100" s="165" t="s">
        <v>36</v>
      </c>
      <c r="Q100" s="165" t="s">
        <v>519</v>
      </c>
      <c r="R100" s="176"/>
      <c r="S100" s="176"/>
      <c r="T100" s="176"/>
      <c r="U100" s="176"/>
      <c r="V100" s="176"/>
      <c r="W100" s="176"/>
      <c r="X100" s="176"/>
      <c r="Y100" s="176"/>
      <c r="Z100" s="176"/>
      <c r="AA100" s="176"/>
    </row>
    <row r="101">
      <c r="A101" s="165" t="str">
        <f>iferror(VLOOKUP(P101,'DO NOT TOUCH Imported'!$A$1:$D$800,4,False),iferror(VLOOKUP(P101,'DO NOT TOUCH Imported'!$C$1:$D$800,2,False),"OOPS FIX ME"))</f>
        <v>wslyvh</v>
      </c>
      <c r="B101" s="165" t="s">
        <v>450</v>
      </c>
      <c r="C101" s="170" t="s">
        <v>959</v>
      </c>
      <c r="D101" s="236" t="s">
        <v>437</v>
      </c>
      <c r="E101" s="237">
        <v>44299.0</v>
      </c>
      <c r="F101" s="170" t="s">
        <v>960</v>
      </c>
      <c r="G101" s="170">
        <v>5000.0</v>
      </c>
      <c r="H101" s="171">
        <v>200.0</v>
      </c>
      <c r="I101" s="171">
        <v>150.0</v>
      </c>
      <c r="J101" s="172">
        <f t="shared" si="2"/>
        <v>0.002254182375</v>
      </c>
      <c r="K101" s="173">
        <f t="shared" si="3"/>
        <v>2.70501885</v>
      </c>
      <c r="L101" s="174">
        <f t="shared" si="4"/>
        <v>24.41232726</v>
      </c>
      <c r="M101" s="175" t="str">
        <f t="shared" si="5"/>
        <v>wslyvh</v>
      </c>
      <c r="N101" s="176">
        <f>IFERROR(__xludf.DUMMYFUNCTION("""COMPUTED_VALUE"""),2.0)</f>
        <v>2</v>
      </c>
      <c r="O101" s="176"/>
      <c r="P101" s="165" t="s">
        <v>823</v>
      </c>
      <c r="Q101" s="165" t="s">
        <v>450</v>
      </c>
      <c r="R101" s="176"/>
      <c r="S101" s="176"/>
      <c r="T101" s="176"/>
      <c r="U101" s="176"/>
      <c r="V101" s="176"/>
      <c r="W101" s="176"/>
      <c r="X101" s="176"/>
      <c r="Y101" s="176"/>
      <c r="Z101" s="176"/>
      <c r="AA101" s="176"/>
    </row>
    <row r="102">
      <c r="A102" s="165" t="str">
        <f>iferror(VLOOKUP(P102,'DO NOT TOUCH Imported'!$A$1:$D$800,4,False),iferror(VLOOKUP(P102,'DO NOT TOUCH Imported'!$C$1:$D$800,2,False),"OOPS FIX ME"))</f>
        <v>wslyvh</v>
      </c>
      <c r="B102" s="165" t="s">
        <v>435</v>
      </c>
      <c r="C102" s="170" t="s">
        <v>961</v>
      </c>
      <c r="D102" s="236" t="s">
        <v>437</v>
      </c>
      <c r="E102" s="237">
        <v>44305.0</v>
      </c>
      <c r="F102" s="170" t="s">
        <v>439</v>
      </c>
      <c r="G102" s="170">
        <v>5000.0</v>
      </c>
      <c r="H102" s="171">
        <v>100.0</v>
      </c>
      <c r="I102" s="171">
        <v>100.0</v>
      </c>
      <c r="J102" s="172">
        <f t="shared" si="2"/>
        <v>0.001603678348</v>
      </c>
      <c r="K102" s="173">
        <f t="shared" si="3"/>
        <v>1.924414018</v>
      </c>
      <c r="L102" s="174">
        <f t="shared" si="4"/>
        <v>24.41232726</v>
      </c>
      <c r="M102" s="175" t="str">
        <f t="shared" si="5"/>
        <v>wslyvh</v>
      </c>
      <c r="N102" s="176">
        <f>IFERROR(__xludf.DUMMYFUNCTION("""COMPUTED_VALUE"""),3.0)</f>
        <v>3</v>
      </c>
      <c r="O102" s="176"/>
      <c r="P102" s="165" t="s">
        <v>823</v>
      </c>
      <c r="Q102" s="165" t="s">
        <v>435</v>
      </c>
      <c r="R102" s="176"/>
      <c r="S102" s="176"/>
      <c r="T102" s="176"/>
      <c r="U102" s="176"/>
      <c r="V102" s="176"/>
      <c r="W102" s="176"/>
      <c r="X102" s="176"/>
      <c r="Y102" s="176"/>
      <c r="Z102" s="176"/>
      <c r="AA102" s="176"/>
    </row>
    <row r="103">
      <c r="A103" s="165" t="str">
        <f>iferror(VLOOKUP(P103,'DO NOT TOUCH Imported'!$A$1:$D$800,4,False),iferror(VLOOKUP(P103,'DO NOT TOUCH Imported'!$C$1:$D$800,2,False),"OOPS FIX ME"))</f>
        <v>wslyvh</v>
      </c>
      <c r="B103" s="165" t="s">
        <v>441</v>
      </c>
      <c r="C103" s="170" t="s">
        <v>962</v>
      </c>
      <c r="D103" s="236" t="s">
        <v>437</v>
      </c>
      <c r="E103" s="239">
        <v>44302.0</v>
      </c>
      <c r="F103" s="170" t="s">
        <v>439</v>
      </c>
      <c r="G103" s="170">
        <v>1000.0</v>
      </c>
      <c r="H103" s="171">
        <v>100.0</v>
      </c>
      <c r="I103" s="171">
        <v>100.0</v>
      </c>
      <c r="J103" s="172">
        <f t="shared" si="2"/>
        <v>0.0010126618</v>
      </c>
      <c r="K103" s="173">
        <f t="shared" si="3"/>
        <v>1.21519416</v>
      </c>
      <c r="L103" s="174">
        <f t="shared" si="4"/>
        <v>24.41232726</v>
      </c>
      <c r="M103" s="175" t="str">
        <f t="shared" si="5"/>
        <v>wslyvh</v>
      </c>
      <c r="N103" s="176">
        <f>IFERROR(__xludf.DUMMYFUNCTION("""COMPUTED_VALUE"""),4.0)</f>
        <v>4</v>
      </c>
      <c r="O103" s="176"/>
      <c r="P103" s="165" t="s">
        <v>823</v>
      </c>
      <c r="Q103" s="165" t="s">
        <v>441</v>
      </c>
      <c r="R103" s="176"/>
      <c r="S103" s="176"/>
      <c r="T103" s="176"/>
      <c r="U103" s="176"/>
      <c r="V103" s="176"/>
      <c r="W103" s="176"/>
      <c r="X103" s="176"/>
      <c r="Y103" s="176"/>
      <c r="Z103" s="176"/>
      <c r="AA103" s="176"/>
    </row>
    <row r="104">
      <c r="A104" s="165" t="str">
        <f>iferror(VLOOKUP(P104,'DO NOT TOUCH Imported'!$A$1:$D$800,4,False),iferror(VLOOKUP(P104,'DO NOT TOUCH Imported'!$C$1:$D$800,2,False),"OOPS FIX ME"))</f>
        <v>wslyvh</v>
      </c>
      <c r="B104" s="165" t="s">
        <v>490</v>
      </c>
      <c r="C104" s="170" t="s">
        <v>963</v>
      </c>
      <c r="D104" s="236" t="s">
        <v>437</v>
      </c>
      <c r="E104" s="239">
        <v>44298.0</v>
      </c>
      <c r="F104" s="170" t="s">
        <v>439</v>
      </c>
      <c r="G104" s="170">
        <v>2000.0</v>
      </c>
      <c r="H104" s="171">
        <v>60.0</v>
      </c>
      <c r="I104" s="171">
        <v>100.0</v>
      </c>
      <c r="J104" s="172">
        <f t="shared" si="2"/>
        <v>0.000985975781</v>
      </c>
      <c r="K104" s="173">
        <f t="shared" si="3"/>
        <v>1.183170937</v>
      </c>
      <c r="L104" s="174">
        <f t="shared" si="4"/>
        <v>24.41232726</v>
      </c>
      <c r="M104" s="175" t="str">
        <f t="shared" si="5"/>
        <v>wslyvh</v>
      </c>
      <c r="N104" s="176">
        <f>IFERROR(__xludf.DUMMYFUNCTION("""COMPUTED_VALUE"""),5.0)</f>
        <v>5</v>
      </c>
      <c r="O104" s="176"/>
      <c r="P104" s="165" t="s">
        <v>823</v>
      </c>
      <c r="Q104" s="165" t="s">
        <v>490</v>
      </c>
      <c r="R104" s="176"/>
      <c r="S104" s="176"/>
      <c r="T104" s="176"/>
      <c r="U104" s="176"/>
      <c r="V104" s="176"/>
      <c r="W104" s="176"/>
      <c r="X104" s="176"/>
      <c r="Y104" s="176"/>
      <c r="Z104" s="176"/>
      <c r="AA104" s="176"/>
    </row>
    <row r="105">
      <c r="A105" s="165" t="str">
        <f>iferror(VLOOKUP(P105,'DO NOT TOUCH Imported'!$A$1:$D$800,4,False),iferror(VLOOKUP(P105,'DO NOT TOUCH Imported'!$C$1:$D$800,2,False),"OOPS FIX ME"))</f>
        <v>wslyvh</v>
      </c>
      <c r="B105" s="165" t="s">
        <v>10</v>
      </c>
      <c r="C105" s="170" t="s">
        <v>500</v>
      </c>
      <c r="D105" s="236" t="s">
        <v>495</v>
      </c>
      <c r="E105" s="237">
        <v>44309.0</v>
      </c>
      <c r="F105" s="170" t="s">
        <v>496</v>
      </c>
      <c r="G105" s="170">
        <v>500.0</v>
      </c>
      <c r="H105" s="171">
        <v>25.0</v>
      </c>
      <c r="I105" s="171">
        <v>25.0</v>
      </c>
      <c r="J105" s="172">
        <f t="shared" si="2"/>
        <v>0.0002901039843</v>
      </c>
      <c r="K105" s="173">
        <f t="shared" si="3"/>
        <v>0.3481247811</v>
      </c>
      <c r="L105" s="174">
        <f t="shared" si="4"/>
        <v>24.41232726</v>
      </c>
      <c r="M105" s="175" t="str">
        <f t="shared" si="5"/>
        <v>wslyvh</v>
      </c>
      <c r="N105" s="176">
        <f>IFERROR(__xludf.DUMMYFUNCTION("""COMPUTED_VALUE"""),6.0)</f>
        <v>6</v>
      </c>
      <c r="O105" s="176"/>
      <c r="P105" s="165" t="s">
        <v>36</v>
      </c>
      <c r="Q105" s="165" t="s">
        <v>10</v>
      </c>
      <c r="R105" s="176"/>
      <c r="S105" s="176"/>
      <c r="T105" s="176"/>
      <c r="U105" s="176"/>
      <c r="V105" s="176"/>
      <c r="W105" s="176"/>
      <c r="X105" s="176"/>
      <c r="Y105" s="176"/>
      <c r="Z105" s="176"/>
      <c r="AA105" s="176"/>
    </row>
    <row r="106">
      <c r="A106" s="165" t="str">
        <f>iferror(VLOOKUP(P106,'DO NOT TOUCH Imported'!$A$1:$D$800,4,False),iferror(VLOOKUP(P106,'DO NOT TOUCH Imported'!$C$1:$D$800,2,False),"OOPS FIX ME"))</f>
        <v>cranders71</v>
      </c>
      <c r="B106" s="165" t="s">
        <v>441</v>
      </c>
      <c r="C106" s="170" t="s">
        <v>964</v>
      </c>
      <c r="D106" s="236" t="s">
        <v>437</v>
      </c>
      <c r="E106" s="239">
        <v>44309.0</v>
      </c>
      <c r="F106" s="170" t="s">
        <v>439</v>
      </c>
      <c r="G106" s="170">
        <v>5000.0</v>
      </c>
      <c r="H106" s="171">
        <v>100.0</v>
      </c>
      <c r="I106" s="171">
        <v>150.0</v>
      </c>
      <c r="J106" s="172">
        <f t="shared" si="2"/>
        <v>0.001818081985</v>
      </c>
      <c r="K106" s="173">
        <f t="shared" si="3"/>
        <v>2.181698382</v>
      </c>
      <c r="L106" s="174">
        <f t="shared" si="4"/>
        <v>23.12587137</v>
      </c>
      <c r="M106" s="175" t="str">
        <f t="shared" si="5"/>
        <v>cranders71</v>
      </c>
      <c r="N106" s="176">
        <f>IFERROR(__xludf.DUMMYFUNCTION("""COMPUTED_VALUE"""),1.0)</f>
        <v>1</v>
      </c>
      <c r="O106" s="176"/>
      <c r="P106" s="165" t="s">
        <v>457</v>
      </c>
      <c r="Q106" s="165" t="s">
        <v>441</v>
      </c>
      <c r="R106" s="176"/>
      <c r="S106" s="176"/>
      <c r="T106" s="176"/>
      <c r="U106" s="176"/>
      <c r="V106" s="176"/>
      <c r="W106" s="176"/>
      <c r="X106" s="176"/>
      <c r="Y106" s="176"/>
      <c r="Z106" s="176"/>
      <c r="AA106" s="176"/>
    </row>
    <row r="107">
      <c r="A107" s="165" t="str">
        <f>iferror(VLOOKUP(P107,'DO NOT TOUCH Imported'!$A$1:$D$800,4,False),iferror(VLOOKUP(P107,'DO NOT TOUCH Imported'!$C$1:$D$800,2,False),"OOPS FIX ME"))</f>
        <v>cranders71</v>
      </c>
      <c r="B107" s="165" t="s">
        <v>435</v>
      </c>
      <c r="C107" s="170" t="s">
        <v>965</v>
      </c>
      <c r="D107" s="236" t="s">
        <v>437</v>
      </c>
      <c r="E107" s="237">
        <v>44299.0</v>
      </c>
      <c r="F107" s="170" t="s">
        <v>439</v>
      </c>
      <c r="G107" s="170">
        <v>5000.0</v>
      </c>
      <c r="H107" s="171">
        <v>100.0</v>
      </c>
      <c r="I107" s="171">
        <v>100.0</v>
      </c>
      <c r="J107" s="172">
        <f t="shared" si="2"/>
        <v>0.001603678348</v>
      </c>
      <c r="K107" s="173">
        <f t="shared" si="3"/>
        <v>1.924414018</v>
      </c>
      <c r="L107" s="174">
        <f t="shared" si="4"/>
        <v>23.12587137</v>
      </c>
      <c r="M107" s="175" t="str">
        <f t="shared" si="5"/>
        <v>cranders71</v>
      </c>
      <c r="N107" s="176">
        <f>IFERROR(__xludf.DUMMYFUNCTION("""COMPUTED_VALUE"""),2.0)</f>
        <v>2</v>
      </c>
      <c r="O107" s="176"/>
      <c r="P107" s="165" t="s">
        <v>457</v>
      </c>
      <c r="Q107" s="165" t="s">
        <v>435</v>
      </c>
      <c r="R107" s="176"/>
      <c r="S107" s="176"/>
      <c r="T107" s="176"/>
      <c r="U107" s="176"/>
      <c r="V107" s="176"/>
      <c r="W107" s="176"/>
      <c r="X107" s="176"/>
      <c r="Y107" s="176"/>
      <c r="Z107" s="176"/>
      <c r="AA107" s="176"/>
    </row>
    <row r="108">
      <c r="A108" s="165" t="str">
        <f>iferror(VLOOKUP(P108,'DO NOT TOUCH Imported'!$A$1:$D$800,4,False),iferror(VLOOKUP(P108,'DO NOT TOUCH Imported'!$C$1:$D$800,2,False),"OOPS FIX ME"))</f>
        <v>cranders71</v>
      </c>
      <c r="B108" s="165" t="s">
        <v>441</v>
      </c>
      <c r="C108" s="170" t="s">
        <v>966</v>
      </c>
      <c r="D108" s="236" t="s">
        <v>437</v>
      </c>
      <c r="E108" s="237">
        <v>44302.0</v>
      </c>
      <c r="F108" s="170" t="s">
        <v>439</v>
      </c>
      <c r="G108" s="170">
        <v>1000.0</v>
      </c>
      <c r="H108" s="171">
        <v>150.0</v>
      </c>
      <c r="I108" s="171">
        <v>150.0</v>
      </c>
      <c r="J108" s="172">
        <f t="shared" si="2"/>
        <v>0.001445115631</v>
      </c>
      <c r="K108" s="173">
        <f t="shared" si="3"/>
        <v>1.734138758</v>
      </c>
      <c r="L108" s="174">
        <f t="shared" si="4"/>
        <v>23.12587137</v>
      </c>
      <c r="M108" s="175" t="str">
        <f t="shared" si="5"/>
        <v>cranders71</v>
      </c>
      <c r="N108" s="176">
        <f>IFERROR(__xludf.DUMMYFUNCTION("""COMPUTED_VALUE"""),3.0)</f>
        <v>3</v>
      </c>
      <c r="O108" s="176"/>
      <c r="P108" s="165" t="s">
        <v>457</v>
      </c>
      <c r="Q108" s="165" t="s">
        <v>441</v>
      </c>
      <c r="R108" s="176"/>
      <c r="S108" s="176"/>
      <c r="T108" s="176"/>
      <c r="U108" s="176"/>
      <c r="V108" s="176"/>
      <c r="W108" s="176"/>
      <c r="X108" s="176"/>
      <c r="Y108" s="176"/>
      <c r="Z108" s="176"/>
      <c r="AA108" s="176"/>
    </row>
    <row r="109">
      <c r="A109" s="165" t="str">
        <f>iferror(VLOOKUP(P109,'DO NOT TOUCH Imported'!$A$1:$D$800,4,False),iferror(VLOOKUP(P109,'DO NOT TOUCH Imported'!$C$1:$D$800,2,False),"OOPS FIX ME"))</f>
        <v>cranders71</v>
      </c>
      <c r="B109" s="165" t="s">
        <v>435</v>
      </c>
      <c r="C109" s="170" t="s">
        <v>967</v>
      </c>
      <c r="D109" s="236" t="s">
        <v>437</v>
      </c>
      <c r="E109" s="239">
        <v>44300.0</v>
      </c>
      <c r="F109" s="170" t="s">
        <v>439</v>
      </c>
      <c r="G109" s="170">
        <v>1000.0</v>
      </c>
      <c r="H109" s="171">
        <v>100.0</v>
      </c>
      <c r="I109" s="171">
        <v>150.0</v>
      </c>
      <c r="J109" s="172">
        <f t="shared" si="2"/>
        <v>0.001227065436</v>
      </c>
      <c r="K109" s="173">
        <f t="shared" si="3"/>
        <v>1.472478524</v>
      </c>
      <c r="L109" s="174">
        <f t="shared" si="4"/>
        <v>23.12587137</v>
      </c>
      <c r="M109" s="175" t="str">
        <f t="shared" si="5"/>
        <v>cranders71</v>
      </c>
      <c r="N109" s="176">
        <f>IFERROR(__xludf.DUMMYFUNCTION("""COMPUTED_VALUE"""),4.0)</f>
        <v>4</v>
      </c>
      <c r="O109" s="176"/>
      <c r="P109" s="165" t="s">
        <v>457</v>
      </c>
      <c r="Q109" s="165" t="s">
        <v>435</v>
      </c>
      <c r="R109" s="176"/>
      <c r="S109" s="176"/>
      <c r="T109" s="176"/>
      <c r="U109" s="176"/>
      <c r="V109" s="176"/>
      <c r="W109" s="176"/>
      <c r="X109" s="176"/>
      <c r="Y109" s="176"/>
      <c r="Z109" s="176"/>
      <c r="AA109" s="176"/>
    </row>
    <row r="110">
      <c r="A110" s="165" t="str">
        <f>iferror(VLOOKUP(P110,'DO NOT TOUCH Imported'!$A$1:$D$800,4,False),iferror(VLOOKUP(P110,'DO NOT TOUCH Imported'!$C$1:$D$800,2,False),"OOPS FIX ME"))</f>
        <v>cranders71</v>
      </c>
      <c r="B110" s="165" t="s">
        <v>450</v>
      </c>
      <c r="C110" s="170" t="s">
        <v>968</v>
      </c>
      <c r="D110" s="236" t="s">
        <v>499</v>
      </c>
      <c r="E110" s="239">
        <v>44305.0</v>
      </c>
      <c r="F110" s="170" t="s">
        <v>503</v>
      </c>
      <c r="G110" s="170">
        <v>2000.0</v>
      </c>
      <c r="H110" s="171">
        <v>100.0</v>
      </c>
      <c r="I110" s="171">
        <v>100.0</v>
      </c>
      <c r="J110" s="172">
        <f t="shared" si="2"/>
        <v>0.001160415937</v>
      </c>
      <c r="K110" s="173">
        <f t="shared" si="3"/>
        <v>1.392499125</v>
      </c>
      <c r="L110" s="174">
        <f t="shared" si="4"/>
        <v>23.12587137</v>
      </c>
      <c r="M110" s="175" t="str">
        <f t="shared" si="5"/>
        <v>cranders71</v>
      </c>
      <c r="N110" s="176">
        <f>IFERROR(__xludf.DUMMYFUNCTION("""COMPUTED_VALUE"""),5.0)</f>
        <v>5</v>
      </c>
      <c r="O110" s="176"/>
      <c r="P110" s="165" t="s">
        <v>457</v>
      </c>
      <c r="Q110" s="165" t="s">
        <v>450</v>
      </c>
      <c r="R110" s="176"/>
      <c r="S110" s="176"/>
      <c r="T110" s="176"/>
      <c r="U110" s="176"/>
      <c r="V110" s="176"/>
      <c r="W110" s="176"/>
      <c r="X110" s="176"/>
      <c r="Y110" s="176"/>
      <c r="Z110" s="176"/>
      <c r="AA110" s="176"/>
    </row>
    <row r="111">
      <c r="A111" s="165" t="str">
        <f>iferror(VLOOKUP(P111,'DO NOT TOUCH Imported'!$A$1:$D$800,4,False),iferror(VLOOKUP(P111,'DO NOT TOUCH Imported'!$C$1:$D$800,2,False),"OOPS FIX ME"))</f>
        <v>cranders71</v>
      </c>
      <c r="B111" s="165" t="s">
        <v>441</v>
      </c>
      <c r="C111" s="170" t="s">
        <v>969</v>
      </c>
      <c r="D111" s="236" t="s">
        <v>437</v>
      </c>
      <c r="E111" s="237">
        <v>44309.0</v>
      </c>
      <c r="F111" s="170" t="s">
        <v>439</v>
      </c>
      <c r="G111" s="170">
        <v>2000.0</v>
      </c>
      <c r="H111" s="171">
        <v>100.0</v>
      </c>
      <c r="I111" s="171">
        <v>100.0</v>
      </c>
      <c r="J111" s="172">
        <f t="shared" si="2"/>
        <v>0.001160415937</v>
      </c>
      <c r="K111" s="173">
        <f t="shared" si="3"/>
        <v>1.392499125</v>
      </c>
      <c r="L111" s="174">
        <f t="shared" si="4"/>
        <v>23.12587137</v>
      </c>
      <c r="M111" s="175" t="str">
        <f t="shared" si="5"/>
        <v>cranders71</v>
      </c>
      <c r="N111" s="176">
        <f>IFERROR(__xludf.DUMMYFUNCTION("""COMPUTED_VALUE"""),6.0)</f>
        <v>6</v>
      </c>
      <c r="O111" s="176"/>
      <c r="P111" s="165" t="s">
        <v>457</v>
      </c>
      <c r="Q111" s="165" t="s">
        <v>441</v>
      </c>
      <c r="R111" s="176"/>
      <c r="S111" s="176"/>
      <c r="T111" s="176"/>
      <c r="U111" s="176"/>
      <c r="V111" s="176"/>
      <c r="W111" s="176"/>
      <c r="X111" s="176"/>
      <c r="Y111" s="176"/>
      <c r="Z111" s="176"/>
      <c r="AA111" s="176"/>
    </row>
    <row r="112">
      <c r="A112" s="165" t="str">
        <f>iferror(VLOOKUP(P112,'DO NOT TOUCH Imported'!$A$1:$D$800,4,False),iferror(VLOOKUP(P112,'DO NOT TOUCH Imported'!$C$1:$D$800,2,False),"OOPS FIX ME"))</f>
        <v>cranders71</v>
      </c>
      <c r="B112" s="165" t="s">
        <v>435</v>
      </c>
      <c r="C112" s="170" t="s">
        <v>900</v>
      </c>
      <c r="D112" s="236" t="s">
        <v>437</v>
      </c>
      <c r="E112" s="239">
        <v>44302.0</v>
      </c>
      <c r="F112" s="170" t="s">
        <v>439</v>
      </c>
      <c r="G112" s="170">
        <v>1000.0</v>
      </c>
      <c r="H112" s="171">
        <v>100.0</v>
      </c>
      <c r="I112" s="171">
        <v>100.0</v>
      </c>
      <c r="J112" s="172">
        <f t="shared" si="2"/>
        <v>0.0010126618</v>
      </c>
      <c r="K112" s="173">
        <f t="shared" si="3"/>
        <v>1.21519416</v>
      </c>
      <c r="L112" s="174">
        <f t="shared" si="4"/>
        <v>23.12587137</v>
      </c>
      <c r="M112" s="175" t="str">
        <f t="shared" si="5"/>
        <v>cranders71</v>
      </c>
      <c r="N112" s="176">
        <f>IFERROR(__xludf.DUMMYFUNCTION("""COMPUTED_VALUE"""),7.0)</f>
        <v>7</v>
      </c>
      <c r="O112" s="176"/>
      <c r="P112" s="165" t="s">
        <v>457</v>
      </c>
      <c r="Q112" s="165" t="s">
        <v>435</v>
      </c>
      <c r="R112" s="176"/>
      <c r="S112" s="176"/>
      <c r="T112" s="176"/>
      <c r="U112" s="176"/>
      <c r="V112" s="176"/>
      <c r="W112" s="176"/>
      <c r="X112" s="176"/>
      <c r="Y112" s="176"/>
      <c r="Z112" s="176"/>
      <c r="AA112" s="176"/>
    </row>
    <row r="113">
      <c r="A113" s="165" t="str">
        <f>iferror(VLOOKUP(P113,'DO NOT TOUCH Imported'!$A$1:$D$800,4,False),iferror(VLOOKUP(P113,'DO NOT TOUCH Imported'!$C$1:$D$800,2,False),"OOPS FIX ME"))</f>
        <v>cranders71</v>
      </c>
      <c r="B113" s="165" t="s">
        <v>441</v>
      </c>
      <c r="C113" s="170" t="s">
        <v>906</v>
      </c>
      <c r="D113" s="236" t="s">
        <v>437</v>
      </c>
      <c r="E113" s="237">
        <v>44309.0</v>
      </c>
      <c r="F113" s="170" t="s">
        <v>439</v>
      </c>
      <c r="G113" s="170">
        <v>1000.0</v>
      </c>
      <c r="H113" s="171">
        <v>100.0</v>
      </c>
      <c r="I113" s="171">
        <v>100.0</v>
      </c>
      <c r="J113" s="172">
        <f t="shared" si="2"/>
        <v>0.0010126618</v>
      </c>
      <c r="K113" s="173">
        <f t="shared" si="3"/>
        <v>1.21519416</v>
      </c>
      <c r="L113" s="174">
        <f t="shared" si="4"/>
        <v>23.12587137</v>
      </c>
      <c r="M113" s="175" t="str">
        <f t="shared" si="5"/>
        <v>cranders71</v>
      </c>
      <c r="N113" s="176">
        <f>IFERROR(__xludf.DUMMYFUNCTION("""COMPUTED_VALUE"""),8.0)</f>
        <v>8</v>
      </c>
      <c r="O113" s="176"/>
      <c r="P113" s="165" t="s">
        <v>457</v>
      </c>
      <c r="Q113" s="165" t="s">
        <v>441</v>
      </c>
      <c r="R113" s="176"/>
      <c r="S113" s="176"/>
      <c r="T113" s="176"/>
      <c r="U113" s="176"/>
      <c r="V113" s="176"/>
      <c r="W113" s="176"/>
      <c r="X113" s="176"/>
      <c r="Y113" s="176"/>
      <c r="Z113" s="176"/>
      <c r="AA113" s="176"/>
    </row>
    <row r="114">
      <c r="A114" s="165" t="str">
        <f>iferror(VLOOKUP(P114,'DO NOT TOUCH Imported'!$A$1:$D$800,4,False),iferror(VLOOKUP(P114,'DO NOT TOUCH Imported'!$C$1:$D$800,2,False),"OOPS FIX ME"))</f>
        <v>cranders71</v>
      </c>
      <c r="B114" s="165" t="s">
        <v>441</v>
      </c>
      <c r="C114" s="170" t="s">
        <v>970</v>
      </c>
      <c r="D114" s="236" t="s">
        <v>437</v>
      </c>
      <c r="E114" s="239">
        <v>44302.0</v>
      </c>
      <c r="F114" s="170" t="s">
        <v>439</v>
      </c>
      <c r="G114" s="170">
        <v>1000.0</v>
      </c>
      <c r="H114" s="171">
        <v>100.0</v>
      </c>
      <c r="I114" s="171">
        <v>80.0</v>
      </c>
      <c r="J114" s="172">
        <f t="shared" si="2"/>
        <v>0.0009269003455</v>
      </c>
      <c r="K114" s="173">
        <f t="shared" si="3"/>
        <v>1.112280415</v>
      </c>
      <c r="L114" s="174">
        <f t="shared" si="4"/>
        <v>23.12587137</v>
      </c>
      <c r="M114" s="175" t="str">
        <f t="shared" si="5"/>
        <v>cranders71</v>
      </c>
      <c r="N114" s="176">
        <f>IFERROR(__xludf.DUMMYFUNCTION("""COMPUTED_VALUE"""),9.0)</f>
        <v>9</v>
      </c>
      <c r="O114" s="176"/>
      <c r="P114" s="165" t="s">
        <v>457</v>
      </c>
      <c r="Q114" s="165" t="s">
        <v>441</v>
      </c>
      <c r="R114" s="176"/>
      <c r="S114" s="176"/>
      <c r="T114" s="176"/>
      <c r="U114" s="176"/>
      <c r="V114" s="176"/>
      <c r="W114" s="176"/>
      <c r="X114" s="176"/>
      <c r="Y114" s="176"/>
      <c r="Z114" s="176"/>
      <c r="AA114" s="176"/>
    </row>
    <row r="115">
      <c r="A115" s="165" t="str">
        <f>iferror(VLOOKUP(P115,'DO NOT TOUCH Imported'!$A$1:$D$800,4,False),iferror(VLOOKUP(P115,'DO NOT TOUCH Imported'!$C$1:$D$800,2,False),"OOPS FIX ME"))</f>
        <v>cranders71</v>
      </c>
      <c r="B115" s="165" t="s">
        <v>435</v>
      </c>
      <c r="C115" s="170" t="s">
        <v>910</v>
      </c>
      <c r="D115" s="236" t="s">
        <v>437</v>
      </c>
      <c r="E115" s="237">
        <v>44302.0</v>
      </c>
      <c r="F115" s="170" t="s">
        <v>911</v>
      </c>
      <c r="G115" s="170">
        <v>1000.0</v>
      </c>
      <c r="H115" s="171">
        <v>60.0</v>
      </c>
      <c r="I115" s="171">
        <v>80.0</v>
      </c>
      <c r="J115" s="172">
        <f t="shared" si="2"/>
        <v>0.0007524601894</v>
      </c>
      <c r="K115" s="173">
        <f t="shared" si="3"/>
        <v>0.9029522272</v>
      </c>
      <c r="L115" s="174">
        <f t="shared" si="4"/>
        <v>23.12587137</v>
      </c>
      <c r="M115" s="175" t="str">
        <f t="shared" si="5"/>
        <v>cranders71</v>
      </c>
      <c r="N115" s="176">
        <f>IFERROR(__xludf.DUMMYFUNCTION("""COMPUTED_VALUE"""),10.0)</f>
        <v>10</v>
      </c>
      <c r="O115" s="176"/>
      <c r="P115" s="165" t="s">
        <v>457</v>
      </c>
      <c r="Q115" s="165" t="s">
        <v>435</v>
      </c>
      <c r="R115" s="176"/>
      <c r="S115" s="176"/>
      <c r="T115" s="176"/>
      <c r="U115" s="176"/>
      <c r="V115" s="176"/>
      <c r="W115" s="176"/>
      <c r="X115" s="176"/>
      <c r="Y115" s="176"/>
      <c r="Z115" s="176"/>
      <c r="AA115" s="176"/>
    </row>
    <row r="116">
      <c r="A116" s="165" t="str">
        <f>iferror(VLOOKUP(P116,'DO NOT TOUCH Imported'!$A$1:$D$800,4,False),iferror(VLOOKUP(P116,'DO NOT TOUCH Imported'!$C$1:$D$800,2,False),"OOPS FIX ME"))</f>
        <v>cranders71</v>
      </c>
      <c r="B116" s="165" t="s">
        <v>441</v>
      </c>
      <c r="C116" s="170" t="s">
        <v>943</v>
      </c>
      <c r="D116" s="236" t="s">
        <v>437</v>
      </c>
      <c r="E116" s="237">
        <v>44309.0</v>
      </c>
      <c r="F116" s="170" t="s">
        <v>439</v>
      </c>
      <c r="G116" s="170">
        <v>1000.0</v>
      </c>
      <c r="H116" s="171">
        <v>70.0</v>
      </c>
      <c r="I116" s="171">
        <v>50.0</v>
      </c>
      <c r="J116" s="172">
        <f t="shared" si="2"/>
        <v>0.0006674280466</v>
      </c>
      <c r="K116" s="173">
        <f t="shared" si="3"/>
        <v>0.8009136559</v>
      </c>
      <c r="L116" s="174">
        <f t="shared" si="4"/>
        <v>23.12587137</v>
      </c>
      <c r="M116" s="175" t="str">
        <f t="shared" si="5"/>
        <v>cranders71</v>
      </c>
      <c r="N116" s="176">
        <f>IFERROR(__xludf.DUMMYFUNCTION("""COMPUTED_VALUE"""),11.0)</f>
        <v>11</v>
      </c>
      <c r="O116" s="176"/>
      <c r="P116" s="165" t="s">
        <v>457</v>
      </c>
      <c r="Q116" s="165" t="s">
        <v>441</v>
      </c>
      <c r="R116" s="176"/>
      <c r="S116" s="176"/>
      <c r="T116" s="176"/>
      <c r="U116" s="176"/>
      <c r="V116" s="176"/>
      <c r="W116" s="176"/>
      <c r="X116" s="176"/>
      <c r="Y116" s="176"/>
      <c r="Z116" s="176"/>
      <c r="AA116" s="176"/>
    </row>
    <row r="117">
      <c r="A117" s="165" t="str">
        <f>iferror(VLOOKUP(P117,'DO NOT TOUCH Imported'!$A$1:$D$800,4,False),iferror(VLOOKUP(P117,'DO NOT TOUCH Imported'!$C$1:$D$800,2,False),"OOPS FIX ME"))</f>
        <v>cranders71</v>
      </c>
      <c r="B117" s="165" t="s">
        <v>440</v>
      </c>
      <c r="C117" s="170" t="s">
        <v>913</v>
      </c>
      <c r="D117" s="236" t="s">
        <v>437</v>
      </c>
      <c r="E117" s="239">
        <v>44298.0</v>
      </c>
      <c r="F117" s="170" t="s">
        <v>439</v>
      </c>
      <c r="G117" s="170">
        <v>1000.0</v>
      </c>
      <c r="H117" s="171">
        <v>60.0</v>
      </c>
      <c r="I117" s="171">
        <v>50.0</v>
      </c>
      <c r="J117" s="172">
        <f t="shared" si="2"/>
        <v>0.0006238180076</v>
      </c>
      <c r="K117" s="173">
        <f t="shared" si="3"/>
        <v>0.7485816091</v>
      </c>
      <c r="L117" s="174">
        <f t="shared" si="4"/>
        <v>23.12587137</v>
      </c>
      <c r="M117" s="175" t="str">
        <f t="shared" si="5"/>
        <v>cranders71</v>
      </c>
      <c r="N117" s="176">
        <f>IFERROR(__xludf.DUMMYFUNCTION("""COMPUTED_VALUE"""),12.0)</f>
        <v>12</v>
      </c>
      <c r="O117" s="176"/>
      <c r="P117" s="165" t="s">
        <v>457</v>
      </c>
      <c r="Q117" s="165" t="s">
        <v>440</v>
      </c>
      <c r="R117" s="176"/>
      <c r="S117" s="176"/>
      <c r="T117" s="176"/>
      <c r="U117" s="176"/>
      <c r="V117" s="176"/>
      <c r="W117" s="176"/>
      <c r="X117" s="176"/>
      <c r="Y117" s="176"/>
      <c r="Z117" s="176"/>
      <c r="AA117" s="176"/>
    </row>
    <row r="118">
      <c r="A118" s="165" t="str">
        <f>iferror(VLOOKUP(P118,'DO NOT TOUCH Imported'!$A$1:$D$800,4,False),iferror(VLOOKUP(P118,'DO NOT TOUCH Imported'!$C$1:$D$800,2,False),"OOPS FIX ME"))</f>
        <v>cranders71</v>
      </c>
      <c r="B118" s="165" t="s">
        <v>490</v>
      </c>
      <c r="C118" s="170" t="s">
        <v>914</v>
      </c>
      <c r="D118" s="236" t="s">
        <v>437</v>
      </c>
      <c r="E118" s="239">
        <v>44299.0</v>
      </c>
      <c r="F118" s="170" t="s">
        <v>439</v>
      </c>
      <c r="G118" s="170">
        <v>1000.0</v>
      </c>
      <c r="H118" s="171">
        <v>60.0</v>
      </c>
      <c r="I118" s="171">
        <v>50.0</v>
      </c>
      <c r="J118" s="172">
        <f t="shared" si="2"/>
        <v>0.0006238180076</v>
      </c>
      <c r="K118" s="173">
        <f t="shared" si="3"/>
        <v>0.7485816091</v>
      </c>
      <c r="L118" s="174">
        <f t="shared" si="4"/>
        <v>23.12587137</v>
      </c>
      <c r="M118" s="175" t="str">
        <f t="shared" si="5"/>
        <v>cranders71</v>
      </c>
      <c r="N118" s="176">
        <f>IFERROR(__xludf.DUMMYFUNCTION("""COMPUTED_VALUE"""),13.0)</f>
        <v>13</v>
      </c>
      <c r="O118" s="176"/>
      <c r="P118" s="165" t="s">
        <v>457</v>
      </c>
      <c r="Q118" s="165" t="s">
        <v>490</v>
      </c>
      <c r="R118" s="176"/>
      <c r="S118" s="176"/>
      <c r="T118" s="176"/>
      <c r="U118" s="176"/>
      <c r="V118" s="176"/>
      <c r="W118" s="176"/>
      <c r="X118" s="176"/>
      <c r="Y118" s="176"/>
      <c r="Z118" s="176"/>
      <c r="AA118" s="176"/>
    </row>
    <row r="119">
      <c r="A119" s="165" t="str">
        <f>iferror(VLOOKUP(P119,'DO NOT TOUCH Imported'!$A$1:$D$800,4,False),iferror(VLOOKUP(P119,'DO NOT TOUCH Imported'!$C$1:$D$800,2,False),"OOPS FIX ME"))</f>
        <v>cranders71</v>
      </c>
      <c r="B119" s="165" t="s">
        <v>492</v>
      </c>
      <c r="C119" s="170" t="s">
        <v>915</v>
      </c>
      <c r="D119" s="236" t="s">
        <v>437</v>
      </c>
      <c r="E119" s="237">
        <v>44300.0</v>
      </c>
      <c r="F119" s="170" t="s">
        <v>439</v>
      </c>
      <c r="G119" s="170">
        <v>1000.0</v>
      </c>
      <c r="H119" s="171">
        <v>60.0</v>
      </c>
      <c r="I119" s="171">
        <v>50.0</v>
      </c>
      <c r="J119" s="172">
        <f t="shared" si="2"/>
        <v>0.0006238180076</v>
      </c>
      <c r="K119" s="173">
        <f t="shared" si="3"/>
        <v>0.7485816091</v>
      </c>
      <c r="L119" s="174">
        <f t="shared" si="4"/>
        <v>23.12587137</v>
      </c>
      <c r="M119" s="175" t="str">
        <f t="shared" si="5"/>
        <v>cranders71</v>
      </c>
      <c r="N119" s="176">
        <f>IFERROR(__xludf.DUMMYFUNCTION("""COMPUTED_VALUE"""),14.0)</f>
        <v>14</v>
      </c>
      <c r="O119" s="176"/>
      <c r="P119" s="165" t="s">
        <v>457</v>
      </c>
      <c r="Q119" s="165" t="s">
        <v>492</v>
      </c>
      <c r="R119" s="176"/>
      <c r="S119" s="176"/>
      <c r="T119" s="176"/>
      <c r="U119" s="176"/>
      <c r="V119" s="176"/>
      <c r="W119" s="176"/>
      <c r="X119" s="176"/>
      <c r="Y119" s="176"/>
      <c r="Z119" s="176"/>
      <c r="AA119" s="176"/>
    </row>
    <row r="120">
      <c r="A120" s="165" t="str">
        <f>iferror(VLOOKUP(P120,'DO NOT TOUCH Imported'!$A$1:$D$800,4,False),iferror(VLOOKUP(P120,'DO NOT TOUCH Imported'!$C$1:$D$800,2,False),"OOPS FIX ME"))</f>
        <v>cranders71</v>
      </c>
      <c r="B120" s="165" t="s">
        <v>440</v>
      </c>
      <c r="C120" s="170" t="s">
        <v>916</v>
      </c>
      <c r="D120" s="236" t="s">
        <v>437</v>
      </c>
      <c r="E120" s="239">
        <v>44300.0</v>
      </c>
      <c r="F120" s="170" t="s">
        <v>439</v>
      </c>
      <c r="G120" s="170">
        <v>1000.0</v>
      </c>
      <c r="H120" s="171">
        <v>60.0</v>
      </c>
      <c r="I120" s="171">
        <v>50.0</v>
      </c>
      <c r="J120" s="172">
        <f t="shared" si="2"/>
        <v>0.0006238180076</v>
      </c>
      <c r="K120" s="173">
        <f t="shared" si="3"/>
        <v>0.7485816091</v>
      </c>
      <c r="L120" s="174">
        <f t="shared" si="4"/>
        <v>23.12587137</v>
      </c>
      <c r="M120" s="175" t="str">
        <f t="shared" si="5"/>
        <v>cranders71</v>
      </c>
      <c r="N120" s="176">
        <f>IFERROR(__xludf.DUMMYFUNCTION("""COMPUTED_VALUE"""),15.0)</f>
        <v>15</v>
      </c>
      <c r="O120" s="176"/>
      <c r="P120" s="165" t="s">
        <v>457</v>
      </c>
      <c r="Q120" s="165" t="s">
        <v>440</v>
      </c>
      <c r="R120" s="176"/>
      <c r="S120" s="176"/>
      <c r="T120" s="176"/>
      <c r="U120" s="176"/>
      <c r="V120" s="176"/>
      <c r="W120" s="176"/>
      <c r="X120" s="176"/>
      <c r="Y120" s="176"/>
      <c r="Z120" s="176"/>
      <c r="AA120" s="176"/>
    </row>
    <row r="121">
      <c r="A121" s="165" t="str">
        <f>iferror(VLOOKUP(P121,'DO NOT TOUCH Imported'!$A$1:$D$800,4,False),iferror(VLOOKUP(P121,'DO NOT TOUCH Imported'!$C$1:$D$800,2,False),"OOPS FIX ME"))</f>
        <v>cranders71</v>
      </c>
      <c r="B121" s="165" t="s">
        <v>440</v>
      </c>
      <c r="C121" s="170" t="s">
        <v>917</v>
      </c>
      <c r="D121" s="236" t="s">
        <v>437</v>
      </c>
      <c r="E121" s="239">
        <v>44301.0</v>
      </c>
      <c r="F121" s="170" t="s">
        <v>439</v>
      </c>
      <c r="G121" s="170">
        <v>1000.0</v>
      </c>
      <c r="H121" s="171">
        <v>60.0</v>
      </c>
      <c r="I121" s="171">
        <v>50.0</v>
      </c>
      <c r="J121" s="172">
        <f t="shared" si="2"/>
        <v>0.0006238180076</v>
      </c>
      <c r="K121" s="173">
        <f t="shared" si="3"/>
        <v>0.7485816091</v>
      </c>
      <c r="L121" s="174">
        <f t="shared" si="4"/>
        <v>23.12587137</v>
      </c>
      <c r="M121" s="175" t="str">
        <f t="shared" si="5"/>
        <v>cranders71</v>
      </c>
      <c r="N121" s="176">
        <f>IFERROR(__xludf.DUMMYFUNCTION("""COMPUTED_VALUE"""),16.0)</f>
        <v>16</v>
      </c>
      <c r="O121" s="176"/>
      <c r="P121" s="165" t="s">
        <v>457</v>
      </c>
      <c r="Q121" s="165" t="s">
        <v>440</v>
      </c>
      <c r="R121" s="176"/>
      <c r="S121" s="176"/>
      <c r="T121" s="176"/>
      <c r="U121" s="176"/>
      <c r="V121" s="176"/>
      <c r="W121" s="176"/>
      <c r="X121" s="176"/>
      <c r="Y121" s="176"/>
      <c r="Z121" s="176"/>
      <c r="AA121" s="176"/>
    </row>
    <row r="122">
      <c r="A122" s="165" t="str">
        <f>iferror(VLOOKUP(P122,'DO NOT TOUCH Imported'!$A$1:$D$800,4,False),iferror(VLOOKUP(P122,'DO NOT TOUCH Imported'!$C$1:$D$800,2,False),"OOPS FIX ME"))</f>
        <v>cranders71</v>
      </c>
      <c r="B122" s="165" t="s">
        <v>441</v>
      </c>
      <c r="C122" s="170" t="s">
        <v>918</v>
      </c>
      <c r="D122" s="236" t="s">
        <v>437</v>
      </c>
      <c r="E122" s="237">
        <v>44302.0</v>
      </c>
      <c r="F122" s="170" t="s">
        <v>439</v>
      </c>
      <c r="G122" s="170">
        <v>1000.0</v>
      </c>
      <c r="H122" s="171">
        <v>60.0</v>
      </c>
      <c r="I122" s="171">
        <v>50.0</v>
      </c>
      <c r="J122" s="172">
        <f t="shared" si="2"/>
        <v>0.0006238180076</v>
      </c>
      <c r="K122" s="173">
        <f t="shared" si="3"/>
        <v>0.7485816091</v>
      </c>
      <c r="L122" s="174">
        <f t="shared" si="4"/>
        <v>23.12587137</v>
      </c>
      <c r="M122" s="175" t="str">
        <f t="shared" si="5"/>
        <v>cranders71</v>
      </c>
      <c r="N122" s="176">
        <f>IFERROR(__xludf.DUMMYFUNCTION("""COMPUTED_VALUE"""),17.0)</f>
        <v>17</v>
      </c>
      <c r="O122" s="176"/>
      <c r="P122" s="165" t="s">
        <v>457</v>
      </c>
      <c r="Q122" s="165" t="s">
        <v>441</v>
      </c>
      <c r="R122" s="176"/>
      <c r="S122" s="176"/>
      <c r="T122" s="176"/>
      <c r="U122" s="176"/>
      <c r="V122" s="176"/>
      <c r="W122" s="176"/>
      <c r="X122" s="176"/>
      <c r="Y122" s="176"/>
      <c r="Z122" s="176"/>
      <c r="AA122" s="176"/>
    </row>
    <row r="123">
      <c r="A123" s="165" t="str">
        <f>iferror(VLOOKUP(P123,'DO NOT TOUCH Imported'!$A$1:$D$800,4,False),iferror(VLOOKUP(P123,'DO NOT TOUCH Imported'!$C$1:$D$800,2,False),"OOPS FIX ME"))</f>
        <v>cranders71</v>
      </c>
      <c r="B123" s="165" t="s">
        <v>486</v>
      </c>
      <c r="C123" s="170" t="s">
        <v>921</v>
      </c>
      <c r="D123" s="236" t="s">
        <v>437</v>
      </c>
      <c r="E123" s="239">
        <v>44306.0</v>
      </c>
      <c r="F123" s="170" t="s">
        <v>439</v>
      </c>
      <c r="G123" s="170">
        <v>1000.0</v>
      </c>
      <c r="H123" s="171">
        <v>60.0</v>
      </c>
      <c r="I123" s="171">
        <v>50.0</v>
      </c>
      <c r="J123" s="172">
        <f t="shared" si="2"/>
        <v>0.0006238180076</v>
      </c>
      <c r="K123" s="173">
        <f t="shared" si="3"/>
        <v>0.7485816091</v>
      </c>
      <c r="L123" s="174">
        <f t="shared" si="4"/>
        <v>23.12587137</v>
      </c>
      <c r="M123" s="175" t="str">
        <f t="shared" si="5"/>
        <v>cranders71</v>
      </c>
      <c r="N123" s="176">
        <f>IFERROR(__xludf.DUMMYFUNCTION("""COMPUTED_VALUE"""),18.0)</f>
        <v>18</v>
      </c>
      <c r="O123" s="176"/>
      <c r="P123" s="165" t="s">
        <v>457</v>
      </c>
      <c r="Q123" s="165" t="s">
        <v>486</v>
      </c>
      <c r="R123" s="176"/>
      <c r="S123" s="176"/>
      <c r="T123" s="176"/>
      <c r="U123" s="176"/>
      <c r="V123" s="176"/>
      <c r="W123" s="176"/>
      <c r="X123" s="176"/>
      <c r="Y123" s="176"/>
      <c r="Z123" s="176"/>
      <c r="AA123" s="176"/>
    </row>
    <row r="124">
      <c r="A124" s="165" t="str">
        <f>iferror(VLOOKUP(P124,'DO NOT TOUCH Imported'!$A$1:$D$800,4,False),iferror(VLOOKUP(P124,'DO NOT TOUCH Imported'!$C$1:$D$800,2,False),"OOPS FIX ME"))</f>
        <v>cranders71</v>
      </c>
      <c r="B124" s="165" t="s">
        <v>440</v>
      </c>
      <c r="C124" s="170" t="s">
        <v>922</v>
      </c>
      <c r="D124" s="236" t="s">
        <v>437</v>
      </c>
      <c r="E124" s="237">
        <v>44307.0</v>
      </c>
      <c r="F124" s="170" t="s">
        <v>439</v>
      </c>
      <c r="G124" s="170">
        <v>1000.0</v>
      </c>
      <c r="H124" s="171">
        <v>60.0</v>
      </c>
      <c r="I124" s="171">
        <v>50.0</v>
      </c>
      <c r="J124" s="172">
        <f t="shared" si="2"/>
        <v>0.0006238180076</v>
      </c>
      <c r="K124" s="173">
        <f t="shared" si="3"/>
        <v>0.7485816091</v>
      </c>
      <c r="L124" s="174">
        <f t="shared" si="4"/>
        <v>23.12587137</v>
      </c>
      <c r="M124" s="175" t="str">
        <f t="shared" si="5"/>
        <v>cranders71</v>
      </c>
      <c r="N124" s="176">
        <f>IFERROR(__xludf.DUMMYFUNCTION("""COMPUTED_VALUE"""),19.0)</f>
        <v>19</v>
      </c>
      <c r="O124" s="176"/>
      <c r="P124" s="165" t="s">
        <v>457</v>
      </c>
      <c r="Q124" s="165" t="s">
        <v>440</v>
      </c>
      <c r="R124" s="176"/>
      <c r="S124" s="176"/>
      <c r="T124" s="176"/>
      <c r="U124" s="176"/>
      <c r="V124" s="176"/>
      <c r="W124" s="176"/>
      <c r="X124" s="176"/>
      <c r="Y124" s="176"/>
      <c r="Z124" s="176"/>
      <c r="AA124" s="176"/>
    </row>
    <row r="125">
      <c r="A125" s="165" t="str">
        <f>iferror(VLOOKUP(P125,'DO NOT TOUCH Imported'!$A$1:$D$800,4,False),iferror(VLOOKUP(P125,'DO NOT TOUCH Imported'!$C$1:$D$800,2,False),"OOPS FIX ME"))</f>
        <v>cranders71</v>
      </c>
      <c r="B125" s="165" t="s">
        <v>441</v>
      </c>
      <c r="C125" s="170" t="s">
        <v>923</v>
      </c>
      <c r="D125" s="236" t="s">
        <v>437</v>
      </c>
      <c r="E125" s="239">
        <v>44309.0</v>
      </c>
      <c r="F125" s="170" t="s">
        <v>439</v>
      </c>
      <c r="G125" s="170">
        <v>1000.0</v>
      </c>
      <c r="H125" s="171">
        <v>60.0</v>
      </c>
      <c r="I125" s="171">
        <v>50.0</v>
      </c>
      <c r="J125" s="172">
        <f t="shared" si="2"/>
        <v>0.0006238180076</v>
      </c>
      <c r="K125" s="173">
        <f t="shared" si="3"/>
        <v>0.7485816091</v>
      </c>
      <c r="L125" s="174">
        <f t="shared" si="4"/>
        <v>23.12587137</v>
      </c>
      <c r="M125" s="175" t="str">
        <f t="shared" si="5"/>
        <v>cranders71</v>
      </c>
      <c r="N125" s="176">
        <f>IFERROR(__xludf.DUMMYFUNCTION("""COMPUTED_VALUE"""),20.0)</f>
        <v>20</v>
      </c>
      <c r="O125" s="176"/>
      <c r="P125" s="165" t="s">
        <v>457</v>
      </c>
      <c r="Q125" s="165" t="s">
        <v>441</v>
      </c>
      <c r="R125" s="176"/>
      <c r="S125" s="176"/>
      <c r="T125" s="176"/>
      <c r="U125" s="176"/>
      <c r="V125" s="176"/>
      <c r="W125" s="176"/>
      <c r="X125" s="176"/>
      <c r="Y125" s="176"/>
      <c r="Z125" s="176"/>
      <c r="AA125" s="176"/>
    </row>
    <row r="126">
      <c r="A126" s="165" t="str">
        <f>iferror(VLOOKUP(P126,'DO NOT TOUCH Imported'!$A$1:$D$800,4,False),iferror(VLOOKUP(P126,'DO NOT TOUCH Imported'!$C$1:$D$800,2,False),"OOPS FIX ME"))</f>
        <v>cranders71</v>
      </c>
      <c r="B126" s="165" t="s">
        <v>10</v>
      </c>
      <c r="C126" s="170" t="s">
        <v>500</v>
      </c>
      <c r="D126" s="236" t="s">
        <v>495</v>
      </c>
      <c r="E126" s="239">
        <v>44302.0</v>
      </c>
      <c r="F126" s="170" t="s">
        <v>496</v>
      </c>
      <c r="G126" s="170">
        <v>500.0</v>
      </c>
      <c r="H126" s="171">
        <v>25.0</v>
      </c>
      <c r="I126" s="171">
        <v>25.0</v>
      </c>
      <c r="J126" s="172">
        <f t="shared" si="2"/>
        <v>0.0002901039843</v>
      </c>
      <c r="K126" s="173">
        <f t="shared" si="3"/>
        <v>0.3481247811</v>
      </c>
      <c r="L126" s="174">
        <f t="shared" si="4"/>
        <v>23.12587137</v>
      </c>
      <c r="M126" s="175" t="str">
        <f t="shared" si="5"/>
        <v>cranders71</v>
      </c>
      <c r="N126" s="176">
        <f>IFERROR(__xludf.DUMMYFUNCTION("""COMPUTED_VALUE"""),21.0)</f>
        <v>21</v>
      </c>
      <c r="O126" s="176"/>
      <c r="P126" s="165" t="s">
        <v>5</v>
      </c>
      <c r="Q126" s="165" t="s">
        <v>10</v>
      </c>
      <c r="R126" s="176"/>
      <c r="S126" s="176"/>
      <c r="T126" s="176"/>
      <c r="U126" s="176"/>
      <c r="V126" s="176"/>
      <c r="W126" s="176"/>
      <c r="X126" s="176"/>
      <c r="Y126" s="176"/>
      <c r="Z126" s="176"/>
      <c r="AA126" s="176"/>
    </row>
    <row r="127">
      <c r="A127" s="165" t="str">
        <f>iferror(VLOOKUP(P127,'DO NOT TOUCH Imported'!$A$1:$D$800,4,False),iferror(VLOOKUP(P127,'DO NOT TOUCH Imported'!$C$1:$D$800,2,False),"OOPS FIX ME"))</f>
        <v>cranders71</v>
      </c>
      <c r="B127" s="165" t="s">
        <v>10</v>
      </c>
      <c r="C127" s="170" t="s">
        <v>498</v>
      </c>
      <c r="D127" s="236" t="s">
        <v>495</v>
      </c>
      <c r="E127" s="237">
        <v>44309.0</v>
      </c>
      <c r="F127" s="170" t="s">
        <v>499</v>
      </c>
      <c r="G127" s="170">
        <v>500.0</v>
      </c>
      <c r="H127" s="171">
        <v>25.0</v>
      </c>
      <c r="I127" s="171">
        <v>25.0</v>
      </c>
      <c r="J127" s="172">
        <f t="shared" si="2"/>
        <v>0.0002901039843</v>
      </c>
      <c r="K127" s="173">
        <f t="shared" si="3"/>
        <v>0.3481247811</v>
      </c>
      <c r="L127" s="174">
        <f t="shared" si="4"/>
        <v>23.12587137</v>
      </c>
      <c r="M127" s="175" t="str">
        <f t="shared" si="5"/>
        <v>cranders71</v>
      </c>
      <c r="N127" s="176">
        <f>IFERROR(__xludf.DUMMYFUNCTION("""COMPUTED_VALUE"""),22.0)</f>
        <v>22</v>
      </c>
      <c r="O127" s="176"/>
      <c r="P127" s="165" t="s">
        <v>5</v>
      </c>
      <c r="Q127" s="165" t="s">
        <v>10</v>
      </c>
      <c r="R127" s="176"/>
      <c r="S127" s="176"/>
      <c r="T127" s="176"/>
      <c r="U127" s="176"/>
      <c r="V127" s="176"/>
      <c r="W127" s="176"/>
      <c r="X127" s="176"/>
      <c r="Y127" s="176"/>
      <c r="Z127" s="176"/>
      <c r="AA127" s="176"/>
    </row>
    <row r="128">
      <c r="A128" s="165" t="str">
        <f>iferror(VLOOKUP(P128,'DO NOT TOUCH Imported'!$A$1:$D$800,4,False),iferror(VLOOKUP(P128,'DO NOT TOUCH Imported'!$C$1:$D$800,2,False),"OOPS FIX ME"))</f>
        <v>cranders71</v>
      </c>
      <c r="B128" s="165" t="s">
        <v>10</v>
      </c>
      <c r="C128" s="170" t="s">
        <v>500</v>
      </c>
      <c r="D128" s="236" t="s">
        <v>495</v>
      </c>
      <c r="E128" s="237">
        <v>44309.0</v>
      </c>
      <c r="F128" s="170" t="s">
        <v>496</v>
      </c>
      <c r="G128" s="170">
        <v>500.0</v>
      </c>
      <c r="H128" s="171">
        <v>25.0</v>
      </c>
      <c r="I128" s="171">
        <v>25.0</v>
      </c>
      <c r="J128" s="172">
        <f t="shared" si="2"/>
        <v>0.0002901039843</v>
      </c>
      <c r="K128" s="173">
        <f t="shared" si="3"/>
        <v>0.3481247811</v>
      </c>
      <c r="L128" s="174">
        <f t="shared" si="4"/>
        <v>23.12587137</v>
      </c>
      <c r="M128" s="175" t="str">
        <f t="shared" si="5"/>
        <v>cranders71</v>
      </c>
      <c r="N128" s="176">
        <f>IFERROR(__xludf.DUMMYFUNCTION("""COMPUTED_VALUE"""),23.0)</f>
        <v>23</v>
      </c>
      <c r="O128" s="176"/>
      <c r="P128" s="165" t="s">
        <v>5</v>
      </c>
      <c r="Q128" s="165" t="s">
        <v>10</v>
      </c>
      <c r="R128" s="176"/>
      <c r="S128" s="176"/>
      <c r="T128" s="176"/>
      <c r="U128" s="176"/>
      <c r="V128" s="176"/>
      <c r="W128" s="176"/>
      <c r="X128" s="176"/>
      <c r="Y128" s="176"/>
      <c r="Z128" s="176"/>
      <c r="AA128" s="176"/>
    </row>
    <row r="129">
      <c r="A129" s="240" t="str">
        <f>iferror(VLOOKUP(P129,'DO NOT TOUCH Imported'!$A$1:$D$800,4,False),iferror(VLOOKUP(P129,'DO NOT TOUCH Imported'!$C$1:$D$800,2,False),"OOPS FIX ME"))</f>
        <v>cranders71</v>
      </c>
      <c r="B129" s="240" t="s">
        <v>492</v>
      </c>
      <c r="C129" s="221" t="s">
        <v>915</v>
      </c>
      <c r="D129" s="241" t="s">
        <v>437</v>
      </c>
      <c r="E129" s="242">
        <v>44300.0</v>
      </c>
      <c r="F129" s="221" t="s">
        <v>439</v>
      </c>
      <c r="G129" s="221"/>
      <c r="H129" s="222"/>
      <c r="I129" s="222"/>
      <c r="J129" s="172">
        <f t="shared" si="2"/>
        <v>0</v>
      </c>
      <c r="K129" s="173">
        <f t="shared" si="3"/>
        <v>0</v>
      </c>
      <c r="L129" s="174">
        <f t="shared" si="4"/>
        <v>23.12587137</v>
      </c>
      <c r="M129" s="175" t="str">
        <f t="shared" si="5"/>
        <v>cranders71</v>
      </c>
      <c r="N129" s="209">
        <f>IFERROR(__xludf.DUMMYFUNCTION("""COMPUTED_VALUE"""),24.0)</f>
        <v>24</v>
      </c>
      <c r="O129" s="209"/>
      <c r="P129" s="240" t="s">
        <v>457</v>
      </c>
      <c r="Q129" s="240" t="s">
        <v>492</v>
      </c>
      <c r="R129" s="209"/>
      <c r="S129" s="209"/>
      <c r="T129" s="209"/>
      <c r="U129" s="209"/>
      <c r="V129" s="209"/>
      <c r="W129" s="209"/>
      <c r="X129" s="209"/>
      <c r="Y129" s="209"/>
      <c r="Z129" s="209"/>
      <c r="AA129" s="209"/>
    </row>
    <row r="130">
      <c r="A130" s="185" t="str">
        <f>iferror(VLOOKUP(P130,'DO NOT TOUCH Imported'!$A$1:$D$800,4,False),iferror(VLOOKUP(P130,'DO NOT TOUCH Imported'!$C$1:$D$800,2,False),"OOPS FIX ME"))</f>
        <v>iviangita</v>
      </c>
      <c r="B130" s="185" t="s">
        <v>534</v>
      </c>
      <c r="C130" s="186" t="s">
        <v>535</v>
      </c>
      <c r="D130" s="187"/>
      <c r="E130" s="188"/>
      <c r="F130" s="189"/>
      <c r="G130" s="190"/>
      <c r="H130" s="190"/>
      <c r="I130" s="190"/>
      <c r="J130" s="191">
        <f t="shared" si="2"/>
        <v>0</v>
      </c>
      <c r="K130" s="192">
        <f>-0.5*39.196</f>
        <v>-19.598</v>
      </c>
      <c r="L130" s="193">
        <f t="shared" si="4"/>
        <v>19.5979799</v>
      </c>
      <c r="M130" s="194" t="str">
        <f t="shared" si="5"/>
        <v>iviangita</v>
      </c>
      <c r="N130" s="195">
        <f>IFERROR(__xludf.DUMMYFUNCTION("""COMPUTED_VALUE"""),1.0)</f>
        <v>1</v>
      </c>
      <c r="O130" s="195"/>
      <c r="P130" s="185" t="s">
        <v>10</v>
      </c>
      <c r="Q130" s="185" t="s">
        <v>534</v>
      </c>
      <c r="R130" s="195">
        <v>18.802169413641863</v>
      </c>
      <c r="S130" s="195"/>
      <c r="T130" s="195"/>
      <c r="U130" s="195"/>
      <c r="V130" s="195"/>
      <c r="W130" s="195"/>
      <c r="X130" s="195"/>
      <c r="Y130" s="195"/>
      <c r="Z130" s="195"/>
      <c r="AA130" s="176"/>
    </row>
    <row r="131">
      <c r="A131" s="165" t="str">
        <f>iferror(VLOOKUP(P131,'DO NOT TOUCH Imported'!$A$1:$D$800,4,False),iferror(VLOOKUP(P131,'DO NOT TOUCH Imported'!$C$1:$D$800,2,False),"OOPS FIX ME"))</f>
        <v>iviangita</v>
      </c>
      <c r="B131" s="165" t="s">
        <v>450</v>
      </c>
      <c r="C131" s="170" t="s">
        <v>971</v>
      </c>
      <c r="D131" s="236" t="s">
        <v>437</v>
      </c>
      <c r="E131" s="239">
        <v>44296.0</v>
      </c>
      <c r="F131" s="170" t="s">
        <v>439</v>
      </c>
      <c r="G131" s="219"/>
      <c r="H131" s="171"/>
      <c r="I131" s="171"/>
      <c r="J131" s="172">
        <f t="shared" si="2"/>
        <v>0</v>
      </c>
      <c r="K131" s="218">
        <v>1.5075376884422111</v>
      </c>
      <c r="L131" s="174">
        <f t="shared" si="4"/>
        <v>19.5979799</v>
      </c>
      <c r="M131" s="175" t="str">
        <f t="shared" si="5"/>
        <v>iviangita</v>
      </c>
      <c r="N131" s="176">
        <f>IFERROR(__xludf.DUMMYFUNCTION("""COMPUTED_VALUE"""),2.0)</f>
        <v>2</v>
      </c>
      <c r="O131" s="176"/>
      <c r="P131" s="165" t="s">
        <v>441</v>
      </c>
      <c r="Q131" s="165" t="s">
        <v>450</v>
      </c>
      <c r="R131" s="176"/>
      <c r="S131" s="176"/>
      <c r="T131" s="176"/>
      <c r="U131" s="176"/>
      <c r="V131" s="176"/>
      <c r="W131" s="176"/>
      <c r="X131" s="176"/>
      <c r="Y131" s="176"/>
      <c r="Z131" s="176"/>
      <c r="AA131" s="176"/>
    </row>
    <row r="132">
      <c r="A132" s="165" t="str">
        <f>iferror(VLOOKUP(P132,'DO NOT TOUCH Imported'!$A$1:$D$800,4,False),iferror(VLOOKUP(P132,'DO NOT TOUCH Imported'!$C$1:$D$800,2,False),"OOPS FIX ME"))</f>
        <v>iviangita</v>
      </c>
      <c r="B132" s="165" t="s">
        <v>46</v>
      </c>
      <c r="C132" s="170" t="s">
        <v>972</v>
      </c>
      <c r="D132" s="236" t="s">
        <v>437</v>
      </c>
      <c r="E132" s="239">
        <v>44298.0</v>
      </c>
      <c r="F132" s="170" t="s">
        <v>439</v>
      </c>
      <c r="G132" s="219"/>
      <c r="H132" s="171"/>
      <c r="I132" s="171"/>
      <c r="J132" s="172">
        <f t="shared" si="2"/>
        <v>0</v>
      </c>
      <c r="K132" s="218">
        <v>1.5075376884422111</v>
      </c>
      <c r="L132" s="174">
        <f t="shared" si="4"/>
        <v>19.5979799</v>
      </c>
      <c r="M132" s="175" t="str">
        <f t="shared" si="5"/>
        <v>iviangita</v>
      </c>
      <c r="N132" s="176">
        <f>IFERROR(__xludf.DUMMYFUNCTION("""COMPUTED_VALUE"""),3.0)</f>
        <v>3</v>
      </c>
      <c r="O132" s="176"/>
      <c r="P132" s="165" t="s">
        <v>441</v>
      </c>
      <c r="Q132" s="165" t="s">
        <v>46</v>
      </c>
      <c r="R132" s="176"/>
      <c r="S132" s="176"/>
      <c r="T132" s="176"/>
      <c r="U132" s="176"/>
      <c r="V132" s="176"/>
      <c r="W132" s="176"/>
      <c r="X132" s="176"/>
      <c r="Y132" s="176"/>
      <c r="Z132" s="176"/>
      <c r="AA132" s="176"/>
    </row>
    <row r="133">
      <c r="A133" s="165" t="str">
        <f>iferror(VLOOKUP(P133,'DO NOT TOUCH Imported'!$A$1:$D$800,4,False),iferror(VLOOKUP(P133,'DO NOT TOUCH Imported'!$C$1:$D$800,2,False),"OOPS FIX ME"))</f>
        <v>iviangita</v>
      </c>
      <c r="B133" s="165" t="s">
        <v>441</v>
      </c>
      <c r="C133" s="170" t="s">
        <v>907</v>
      </c>
      <c r="D133" s="236" t="s">
        <v>437</v>
      </c>
      <c r="E133" s="237">
        <v>44298.0</v>
      </c>
      <c r="F133" s="170" t="s">
        <v>439</v>
      </c>
      <c r="G133" s="219"/>
      <c r="H133" s="171"/>
      <c r="I133" s="171"/>
      <c r="J133" s="172">
        <f t="shared" si="2"/>
        <v>0</v>
      </c>
      <c r="K133" s="218">
        <v>1.5075376884422111</v>
      </c>
      <c r="L133" s="174">
        <f t="shared" si="4"/>
        <v>19.5979799</v>
      </c>
      <c r="M133" s="175" t="str">
        <f t="shared" si="5"/>
        <v>iviangita</v>
      </c>
      <c r="N133" s="176">
        <f>IFERROR(__xludf.DUMMYFUNCTION("""COMPUTED_VALUE"""),4.0)</f>
        <v>4</v>
      </c>
      <c r="O133" s="176"/>
      <c r="P133" s="165" t="s">
        <v>441</v>
      </c>
      <c r="Q133" s="165" t="s">
        <v>441</v>
      </c>
      <c r="R133" s="176"/>
      <c r="S133" s="176"/>
      <c r="T133" s="176"/>
      <c r="U133" s="176"/>
      <c r="V133" s="176"/>
      <c r="W133" s="176"/>
      <c r="X133" s="176"/>
      <c r="Y133" s="176"/>
      <c r="Z133" s="176"/>
      <c r="AA133" s="176"/>
    </row>
    <row r="134">
      <c r="A134" s="165" t="str">
        <f>iferror(VLOOKUP(P134,'DO NOT TOUCH Imported'!$A$1:$D$800,4,False),iferror(VLOOKUP(P134,'DO NOT TOUCH Imported'!$C$1:$D$800,2,False),"OOPS FIX ME"))</f>
        <v>iviangita</v>
      </c>
      <c r="B134" s="165" t="s">
        <v>443</v>
      </c>
      <c r="C134" s="170" t="s">
        <v>908</v>
      </c>
      <c r="D134" s="236" t="s">
        <v>437</v>
      </c>
      <c r="E134" s="239">
        <v>44299.0</v>
      </c>
      <c r="F134" s="170" t="s">
        <v>439</v>
      </c>
      <c r="G134" s="219"/>
      <c r="H134" s="171"/>
      <c r="I134" s="171"/>
      <c r="J134" s="172">
        <f t="shared" si="2"/>
        <v>0</v>
      </c>
      <c r="K134" s="218">
        <v>1.5075376884422111</v>
      </c>
      <c r="L134" s="174">
        <f t="shared" si="4"/>
        <v>19.5979799</v>
      </c>
      <c r="M134" s="175" t="str">
        <f t="shared" si="5"/>
        <v>iviangita</v>
      </c>
      <c r="N134" s="176">
        <f>IFERROR(__xludf.DUMMYFUNCTION("""COMPUTED_VALUE"""),5.0)</f>
        <v>5</v>
      </c>
      <c r="O134" s="176"/>
      <c r="P134" s="165" t="s">
        <v>441</v>
      </c>
      <c r="Q134" s="165" t="s">
        <v>443</v>
      </c>
      <c r="R134" s="176"/>
      <c r="S134" s="176"/>
      <c r="T134" s="176"/>
      <c r="U134" s="176"/>
      <c r="V134" s="176"/>
      <c r="W134" s="176"/>
      <c r="X134" s="176"/>
      <c r="Y134" s="176"/>
      <c r="Z134" s="176"/>
      <c r="AA134" s="176"/>
    </row>
    <row r="135">
      <c r="A135" s="165" t="str">
        <f>iferror(VLOOKUP(P135,'DO NOT TOUCH Imported'!$A$1:$D$800,4,False),iferror(VLOOKUP(P135,'DO NOT TOUCH Imported'!$C$1:$D$800,2,False),"OOPS FIX ME"))</f>
        <v>iviangita</v>
      </c>
      <c r="B135" s="165" t="s">
        <v>486</v>
      </c>
      <c r="C135" s="170" t="s">
        <v>924</v>
      </c>
      <c r="D135" s="236" t="s">
        <v>437</v>
      </c>
      <c r="E135" s="239">
        <v>44299.0</v>
      </c>
      <c r="F135" s="170" t="s">
        <v>439</v>
      </c>
      <c r="G135" s="219"/>
      <c r="H135" s="171"/>
      <c r="I135" s="171"/>
      <c r="J135" s="172">
        <f t="shared" si="2"/>
        <v>0</v>
      </c>
      <c r="K135" s="218">
        <v>1.5075376884422111</v>
      </c>
      <c r="L135" s="174">
        <f t="shared" si="4"/>
        <v>19.5979799</v>
      </c>
      <c r="M135" s="175" t="str">
        <f t="shared" si="5"/>
        <v>iviangita</v>
      </c>
      <c r="N135" s="176">
        <f>IFERROR(__xludf.DUMMYFUNCTION("""COMPUTED_VALUE"""),6.0)</f>
        <v>6</v>
      </c>
      <c r="O135" s="176"/>
      <c r="P135" s="165" t="s">
        <v>441</v>
      </c>
      <c r="Q135" s="165" t="s">
        <v>486</v>
      </c>
      <c r="R135" s="176"/>
      <c r="S135" s="176"/>
      <c r="T135" s="176"/>
      <c r="U135" s="176"/>
      <c r="V135" s="176"/>
      <c r="W135" s="176"/>
      <c r="X135" s="176"/>
      <c r="Y135" s="176"/>
      <c r="Z135" s="176"/>
      <c r="AA135" s="176"/>
    </row>
    <row r="136">
      <c r="A136" s="165" t="str">
        <f>iferror(VLOOKUP(P136,'DO NOT TOUCH Imported'!$A$1:$D$800,4,False),iferror(VLOOKUP(P136,'DO NOT TOUCH Imported'!$C$1:$D$800,2,False),"OOPS FIX ME"))</f>
        <v>iviangita</v>
      </c>
      <c r="B136" s="165" t="s">
        <v>440</v>
      </c>
      <c r="C136" s="170" t="s">
        <v>916</v>
      </c>
      <c r="D136" s="236" t="s">
        <v>437</v>
      </c>
      <c r="E136" s="239">
        <v>44300.0</v>
      </c>
      <c r="F136" s="170" t="s">
        <v>439</v>
      </c>
      <c r="G136" s="219"/>
      <c r="H136" s="171"/>
      <c r="I136" s="171"/>
      <c r="J136" s="172">
        <f t="shared" si="2"/>
        <v>0</v>
      </c>
      <c r="K136" s="218">
        <v>1.5075376884422111</v>
      </c>
      <c r="L136" s="174">
        <f t="shared" si="4"/>
        <v>19.5979799</v>
      </c>
      <c r="M136" s="175" t="str">
        <f t="shared" si="5"/>
        <v>iviangita</v>
      </c>
      <c r="N136" s="176">
        <f>IFERROR(__xludf.DUMMYFUNCTION("""COMPUTED_VALUE"""),7.0)</f>
        <v>7</v>
      </c>
      <c r="O136" s="176"/>
      <c r="P136" s="165" t="s">
        <v>441</v>
      </c>
      <c r="Q136" s="165" t="s">
        <v>440</v>
      </c>
      <c r="R136" s="176"/>
      <c r="S136" s="176"/>
      <c r="T136" s="176"/>
      <c r="U136" s="176"/>
      <c r="V136" s="176"/>
      <c r="W136" s="176"/>
      <c r="X136" s="176"/>
      <c r="Y136" s="176"/>
      <c r="Z136" s="176"/>
      <c r="AA136" s="176"/>
    </row>
    <row r="137">
      <c r="A137" s="165" t="str">
        <f>iferror(VLOOKUP(P137,'DO NOT TOUCH Imported'!$A$1:$D$800,4,False),iferror(VLOOKUP(P137,'DO NOT TOUCH Imported'!$C$1:$D$800,2,False),"OOPS FIX ME"))</f>
        <v>iviangita</v>
      </c>
      <c r="B137" s="165" t="s">
        <v>435</v>
      </c>
      <c r="C137" s="170" t="s">
        <v>900</v>
      </c>
      <c r="D137" s="236" t="s">
        <v>437</v>
      </c>
      <c r="E137" s="237">
        <v>44302.0</v>
      </c>
      <c r="F137" s="170" t="s">
        <v>439</v>
      </c>
      <c r="G137" s="219"/>
      <c r="H137" s="171"/>
      <c r="I137" s="171"/>
      <c r="J137" s="172">
        <f t="shared" si="2"/>
        <v>0</v>
      </c>
      <c r="K137" s="218">
        <v>1.5075376884422111</v>
      </c>
      <c r="L137" s="174">
        <f t="shared" si="4"/>
        <v>19.5979799</v>
      </c>
      <c r="M137" s="175" t="str">
        <f t="shared" si="5"/>
        <v>iviangita</v>
      </c>
      <c r="N137" s="176">
        <f>IFERROR(__xludf.DUMMYFUNCTION("""COMPUTED_VALUE"""),8.0)</f>
        <v>8</v>
      </c>
      <c r="O137" s="176"/>
      <c r="P137" s="165" t="s">
        <v>441</v>
      </c>
      <c r="Q137" s="165" t="s">
        <v>435</v>
      </c>
      <c r="R137" s="176"/>
      <c r="S137" s="176"/>
      <c r="T137" s="176"/>
      <c r="U137" s="176"/>
      <c r="V137" s="176"/>
      <c r="W137" s="176"/>
      <c r="X137" s="176"/>
      <c r="Y137" s="176"/>
      <c r="Z137" s="176"/>
      <c r="AA137" s="176"/>
    </row>
    <row r="138">
      <c r="A138" s="165" t="str">
        <f>iferror(VLOOKUP(P138,'DO NOT TOUCH Imported'!$A$1:$D$800,4,False),iferror(VLOOKUP(P138,'DO NOT TOUCH Imported'!$C$1:$D$800,2,False),"OOPS FIX ME"))</f>
        <v>iviangita</v>
      </c>
      <c r="B138" s="165" t="s">
        <v>576</v>
      </c>
      <c r="C138" s="170" t="s">
        <v>919</v>
      </c>
      <c r="D138" s="236" t="s">
        <v>437</v>
      </c>
      <c r="E138" s="237">
        <v>44302.0</v>
      </c>
      <c r="F138" s="170" t="s">
        <v>439</v>
      </c>
      <c r="G138" s="219"/>
      <c r="H138" s="171"/>
      <c r="I138" s="171"/>
      <c r="J138" s="172">
        <f t="shared" si="2"/>
        <v>0</v>
      </c>
      <c r="K138" s="218">
        <v>1.5075376884422111</v>
      </c>
      <c r="L138" s="174">
        <f t="shared" si="4"/>
        <v>19.5979799</v>
      </c>
      <c r="M138" s="175" t="str">
        <f t="shared" si="5"/>
        <v>iviangita</v>
      </c>
      <c r="N138" s="176">
        <f>IFERROR(__xludf.DUMMYFUNCTION("""COMPUTED_VALUE"""),9.0)</f>
        <v>9</v>
      </c>
      <c r="O138" s="176"/>
      <c r="P138" s="165" t="s">
        <v>441</v>
      </c>
      <c r="Q138" s="165" t="s">
        <v>576</v>
      </c>
      <c r="R138" s="176"/>
      <c r="S138" s="176"/>
      <c r="T138" s="176"/>
      <c r="U138" s="176"/>
      <c r="V138" s="176"/>
      <c r="W138" s="176"/>
      <c r="X138" s="176"/>
      <c r="Y138" s="176"/>
      <c r="Z138" s="176"/>
      <c r="AA138" s="176"/>
    </row>
    <row r="139">
      <c r="A139" s="165" t="str">
        <f>iferror(VLOOKUP(P139,'DO NOT TOUCH Imported'!$A$1:$D$800,4,False),iferror(VLOOKUP(P139,'DO NOT TOUCH Imported'!$C$1:$D$800,2,False),"OOPS FIX ME"))</f>
        <v>iviangita</v>
      </c>
      <c r="B139" s="165" t="s">
        <v>768</v>
      </c>
      <c r="C139" s="170" t="s">
        <v>973</v>
      </c>
      <c r="D139" s="236" t="s">
        <v>499</v>
      </c>
      <c r="E139" s="237">
        <v>44305.0</v>
      </c>
      <c r="F139" s="170" t="s">
        <v>503</v>
      </c>
      <c r="G139" s="219"/>
      <c r="H139" s="171"/>
      <c r="I139" s="171"/>
      <c r="J139" s="172">
        <f t="shared" si="2"/>
        <v>0</v>
      </c>
      <c r="K139" s="218">
        <v>1.5075376884422111</v>
      </c>
      <c r="L139" s="174">
        <f t="shared" si="4"/>
        <v>19.5979799</v>
      </c>
      <c r="M139" s="175" t="str">
        <f t="shared" si="5"/>
        <v>iviangita</v>
      </c>
      <c r="N139" s="176">
        <f>IFERROR(__xludf.DUMMYFUNCTION("""COMPUTED_VALUE"""),10.0)</f>
        <v>10</v>
      </c>
      <c r="O139" s="176"/>
      <c r="P139" s="165" t="s">
        <v>441</v>
      </c>
      <c r="Q139" s="165" t="s">
        <v>768</v>
      </c>
      <c r="R139" s="176"/>
      <c r="S139" s="176"/>
      <c r="T139" s="176"/>
      <c r="U139" s="176"/>
      <c r="V139" s="176"/>
      <c r="W139" s="176"/>
      <c r="X139" s="176"/>
      <c r="Y139" s="176"/>
      <c r="Z139" s="176"/>
      <c r="AA139" s="176"/>
    </row>
    <row r="140">
      <c r="A140" s="165" t="str">
        <f>iferror(VLOOKUP(P140,'DO NOT TOUCH Imported'!$A$1:$D$800,4,False),iferror(VLOOKUP(P140,'DO NOT TOUCH Imported'!$C$1:$D$800,2,False),"OOPS FIX ME"))</f>
        <v>iviangita</v>
      </c>
      <c r="B140" s="165" t="s">
        <v>435</v>
      </c>
      <c r="C140" s="170" t="s">
        <v>974</v>
      </c>
      <c r="D140" s="236" t="s">
        <v>499</v>
      </c>
      <c r="E140" s="237">
        <v>44305.0</v>
      </c>
      <c r="F140" s="170" t="s">
        <v>503</v>
      </c>
      <c r="G140" s="219"/>
      <c r="H140" s="171"/>
      <c r="I140" s="171"/>
      <c r="J140" s="172">
        <f t="shared" si="2"/>
        <v>0</v>
      </c>
      <c r="K140" s="218">
        <v>1.5075376884422111</v>
      </c>
      <c r="L140" s="174">
        <f t="shared" si="4"/>
        <v>19.5979799</v>
      </c>
      <c r="M140" s="175" t="str">
        <f t="shared" si="5"/>
        <v>iviangita</v>
      </c>
      <c r="N140" s="176">
        <f>IFERROR(__xludf.DUMMYFUNCTION("""COMPUTED_VALUE"""),11.0)</f>
        <v>11</v>
      </c>
      <c r="O140" s="176"/>
      <c r="P140" s="165" t="s">
        <v>441</v>
      </c>
      <c r="Q140" s="165" t="s">
        <v>435</v>
      </c>
      <c r="R140" s="176"/>
      <c r="S140" s="176"/>
      <c r="T140" s="176"/>
      <c r="U140" s="176"/>
      <c r="V140" s="176"/>
      <c r="W140" s="176"/>
      <c r="X140" s="176"/>
      <c r="Y140" s="176"/>
      <c r="Z140" s="176"/>
      <c r="AA140" s="176"/>
    </row>
    <row r="141">
      <c r="A141" s="165" t="str">
        <f>iferror(VLOOKUP(P141,'DO NOT TOUCH Imported'!$A$1:$D$800,4,False),iferror(VLOOKUP(P141,'DO NOT TOUCH Imported'!$C$1:$D$800,2,False),"OOPS FIX ME"))</f>
        <v>iviangita</v>
      </c>
      <c r="B141" s="165" t="s">
        <v>528</v>
      </c>
      <c r="C141" s="170" t="s">
        <v>975</v>
      </c>
      <c r="D141" s="236" t="s">
        <v>437</v>
      </c>
      <c r="E141" s="239">
        <v>44305.0</v>
      </c>
      <c r="F141" s="170" t="s">
        <v>439</v>
      </c>
      <c r="G141" s="219"/>
      <c r="H141" s="171"/>
      <c r="I141" s="171"/>
      <c r="J141" s="172">
        <f t="shared" si="2"/>
        <v>0</v>
      </c>
      <c r="K141" s="218">
        <v>1.5075376884422111</v>
      </c>
      <c r="L141" s="174">
        <f t="shared" si="4"/>
        <v>19.5979799</v>
      </c>
      <c r="M141" s="175" t="str">
        <f t="shared" si="5"/>
        <v>iviangita</v>
      </c>
      <c r="N141" s="176">
        <f>IFERROR(__xludf.DUMMYFUNCTION("""COMPUTED_VALUE"""),12.0)</f>
        <v>12</v>
      </c>
      <c r="O141" s="176"/>
      <c r="P141" s="165" t="s">
        <v>441</v>
      </c>
      <c r="Q141" s="165" t="s">
        <v>528</v>
      </c>
      <c r="R141" s="176"/>
      <c r="S141" s="176"/>
      <c r="T141" s="176"/>
      <c r="U141" s="176"/>
      <c r="V141" s="176"/>
      <c r="W141" s="176"/>
      <c r="X141" s="176"/>
      <c r="Y141" s="176"/>
      <c r="Z141" s="176"/>
      <c r="AA141" s="176"/>
    </row>
    <row r="142">
      <c r="A142" s="165" t="str">
        <f>iferror(VLOOKUP(P142,'DO NOT TOUCH Imported'!$A$1:$D$800,4,False),iferror(VLOOKUP(P142,'DO NOT TOUCH Imported'!$C$1:$D$800,2,False),"OOPS FIX ME"))</f>
        <v>iviangita</v>
      </c>
      <c r="B142" s="165" t="s">
        <v>435</v>
      </c>
      <c r="C142" s="170" t="s">
        <v>976</v>
      </c>
      <c r="D142" s="236" t="s">
        <v>437</v>
      </c>
      <c r="E142" s="237">
        <v>44306.0</v>
      </c>
      <c r="F142" s="170" t="s">
        <v>439</v>
      </c>
      <c r="G142" s="219"/>
      <c r="H142" s="171"/>
      <c r="I142" s="171"/>
      <c r="J142" s="172">
        <f t="shared" si="2"/>
        <v>0</v>
      </c>
      <c r="K142" s="218">
        <v>1.5075376884422111</v>
      </c>
      <c r="L142" s="174">
        <f t="shared" si="4"/>
        <v>19.5979799</v>
      </c>
      <c r="M142" s="175" t="str">
        <f t="shared" si="5"/>
        <v>iviangita</v>
      </c>
      <c r="N142" s="176">
        <f>IFERROR(__xludf.DUMMYFUNCTION("""COMPUTED_VALUE"""),13.0)</f>
        <v>13</v>
      </c>
      <c r="O142" s="176"/>
      <c r="P142" s="165" t="s">
        <v>441</v>
      </c>
      <c r="Q142" s="165" t="s">
        <v>435</v>
      </c>
      <c r="R142" s="176"/>
      <c r="S142" s="176"/>
      <c r="T142" s="176"/>
      <c r="U142" s="176"/>
      <c r="V142" s="176"/>
      <c r="W142" s="176"/>
      <c r="X142" s="176"/>
      <c r="Y142" s="176"/>
      <c r="Z142" s="176"/>
      <c r="AA142" s="176"/>
    </row>
    <row r="143">
      <c r="A143" s="165" t="str">
        <f>iferror(VLOOKUP(P143,'DO NOT TOUCH Imported'!$A$1:$D$800,4,False),iferror(VLOOKUP(P143,'DO NOT TOUCH Imported'!$C$1:$D$800,2,False),"OOPS FIX ME"))</f>
        <v>iviangita</v>
      </c>
      <c r="B143" s="165" t="s">
        <v>45</v>
      </c>
      <c r="C143" s="170" t="s">
        <v>977</v>
      </c>
      <c r="D143" s="236" t="s">
        <v>499</v>
      </c>
      <c r="E143" s="239">
        <v>44307.0</v>
      </c>
      <c r="F143" s="170" t="s">
        <v>503</v>
      </c>
      <c r="G143" s="219"/>
      <c r="H143" s="171"/>
      <c r="I143" s="171"/>
      <c r="J143" s="172">
        <f t="shared" si="2"/>
        <v>0</v>
      </c>
      <c r="K143" s="218">
        <v>1.5075376884422111</v>
      </c>
      <c r="L143" s="174">
        <f t="shared" si="4"/>
        <v>19.5979799</v>
      </c>
      <c r="M143" s="175" t="str">
        <f t="shared" si="5"/>
        <v>iviangita</v>
      </c>
      <c r="N143" s="176">
        <f>IFERROR(__xludf.DUMMYFUNCTION("""COMPUTED_VALUE"""),14.0)</f>
        <v>14</v>
      </c>
      <c r="O143" s="176"/>
      <c r="P143" s="165" t="s">
        <v>441</v>
      </c>
      <c r="Q143" s="165" t="s">
        <v>45</v>
      </c>
      <c r="R143" s="176"/>
      <c r="S143" s="176"/>
      <c r="T143" s="176"/>
      <c r="U143" s="176"/>
      <c r="V143" s="176"/>
      <c r="W143" s="176"/>
      <c r="X143" s="176"/>
      <c r="Y143" s="176"/>
      <c r="Z143" s="176"/>
      <c r="AA143" s="176"/>
    </row>
    <row r="144">
      <c r="A144" s="165" t="str">
        <f>iferror(VLOOKUP(P144,'DO NOT TOUCH Imported'!$A$1:$D$800,4,False),iferror(VLOOKUP(P144,'DO NOT TOUCH Imported'!$C$1:$D$800,2,False),"OOPS FIX ME"))</f>
        <v>iviangita</v>
      </c>
      <c r="B144" s="165" t="s">
        <v>440</v>
      </c>
      <c r="C144" s="170" t="s">
        <v>978</v>
      </c>
      <c r="D144" s="236" t="s">
        <v>437</v>
      </c>
      <c r="E144" s="237">
        <v>44308.0</v>
      </c>
      <c r="F144" s="170" t="s">
        <v>439</v>
      </c>
      <c r="G144" s="219"/>
      <c r="H144" s="171"/>
      <c r="I144" s="171"/>
      <c r="J144" s="172">
        <f t="shared" si="2"/>
        <v>0</v>
      </c>
      <c r="K144" s="218">
        <v>1.5075376884422111</v>
      </c>
      <c r="L144" s="174">
        <f t="shared" si="4"/>
        <v>19.5979799</v>
      </c>
      <c r="M144" s="175" t="str">
        <f t="shared" si="5"/>
        <v>iviangita</v>
      </c>
      <c r="N144" s="176">
        <f>IFERROR(__xludf.DUMMYFUNCTION("""COMPUTED_VALUE"""),15.0)</f>
        <v>15</v>
      </c>
      <c r="O144" s="176"/>
      <c r="P144" s="165" t="s">
        <v>441</v>
      </c>
      <c r="Q144" s="165" t="s">
        <v>440</v>
      </c>
      <c r="R144" s="176"/>
      <c r="S144" s="176"/>
      <c r="T144" s="176"/>
      <c r="U144" s="176"/>
      <c r="V144" s="176"/>
      <c r="W144" s="176"/>
      <c r="X144" s="176"/>
      <c r="Y144" s="176"/>
      <c r="Z144" s="176"/>
      <c r="AA144" s="176"/>
    </row>
    <row r="145">
      <c r="A145" s="165" t="str">
        <f>iferror(VLOOKUP(P145,'DO NOT TOUCH Imported'!$A$1:$D$800,4,False),iferror(VLOOKUP(P145,'DO NOT TOUCH Imported'!$C$1:$D$800,2,False),"OOPS FIX ME"))</f>
        <v>iviangita</v>
      </c>
      <c r="B145" s="165" t="s">
        <v>490</v>
      </c>
      <c r="C145" s="170" t="s">
        <v>979</v>
      </c>
      <c r="D145" s="236" t="s">
        <v>437</v>
      </c>
      <c r="E145" s="237">
        <v>44308.0</v>
      </c>
      <c r="F145" s="170" t="s">
        <v>439</v>
      </c>
      <c r="G145" s="219"/>
      <c r="H145" s="171"/>
      <c r="I145" s="171"/>
      <c r="J145" s="172">
        <f t="shared" si="2"/>
        <v>0</v>
      </c>
      <c r="K145" s="218">
        <v>1.5075376884422111</v>
      </c>
      <c r="L145" s="174">
        <f t="shared" si="4"/>
        <v>19.5979799</v>
      </c>
      <c r="M145" s="175" t="str">
        <f t="shared" si="5"/>
        <v>iviangita</v>
      </c>
      <c r="N145" s="176">
        <f>IFERROR(__xludf.DUMMYFUNCTION("""COMPUTED_VALUE"""),16.0)</f>
        <v>16</v>
      </c>
      <c r="O145" s="176"/>
      <c r="P145" s="165" t="s">
        <v>441</v>
      </c>
      <c r="Q145" s="165" t="s">
        <v>490</v>
      </c>
      <c r="R145" s="176"/>
      <c r="S145" s="176"/>
      <c r="T145" s="176"/>
      <c r="U145" s="176"/>
      <c r="V145" s="176"/>
      <c r="W145" s="176"/>
      <c r="X145" s="176"/>
      <c r="Y145" s="176"/>
      <c r="Z145" s="176"/>
      <c r="AA145" s="176"/>
    </row>
    <row r="146">
      <c r="A146" s="165" t="str">
        <f>iferror(VLOOKUP(P146,'DO NOT TOUCH Imported'!$A$1:$D$800,4,False),iferror(VLOOKUP(P146,'DO NOT TOUCH Imported'!$C$1:$D$800,2,False),"OOPS FIX ME"))</f>
        <v>iviangita</v>
      </c>
      <c r="B146" s="165" t="s">
        <v>441</v>
      </c>
      <c r="C146" s="170" t="s">
        <v>891</v>
      </c>
      <c r="D146" s="236" t="s">
        <v>437</v>
      </c>
      <c r="E146" s="237">
        <v>44309.0</v>
      </c>
      <c r="F146" s="170" t="s">
        <v>439</v>
      </c>
      <c r="G146" s="219"/>
      <c r="H146" s="171"/>
      <c r="I146" s="171"/>
      <c r="J146" s="172">
        <f t="shared" si="2"/>
        <v>0</v>
      </c>
      <c r="K146" s="218">
        <v>1.5075376884422111</v>
      </c>
      <c r="L146" s="174">
        <f t="shared" si="4"/>
        <v>19.5979799</v>
      </c>
      <c r="M146" s="175" t="str">
        <f t="shared" si="5"/>
        <v>iviangita</v>
      </c>
      <c r="N146" s="176">
        <f>IFERROR(__xludf.DUMMYFUNCTION("""COMPUTED_VALUE"""),17.0)</f>
        <v>17</v>
      </c>
      <c r="O146" s="176"/>
      <c r="P146" s="165" t="s">
        <v>441</v>
      </c>
      <c r="Q146" s="165" t="s">
        <v>441</v>
      </c>
      <c r="R146" s="176"/>
      <c r="S146" s="176"/>
      <c r="T146" s="176"/>
      <c r="U146" s="176"/>
      <c r="V146" s="176"/>
      <c r="W146" s="176"/>
      <c r="X146" s="176"/>
      <c r="Y146" s="176"/>
      <c r="Z146" s="176"/>
      <c r="AA146" s="176"/>
    </row>
    <row r="147">
      <c r="A147" s="165" t="str">
        <f>iferror(VLOOKUP(P147,'DO NOT TOUCH Imported'!$A$1:$D$800,4,False),iferror(VLOOKUP(P147,'DO NOT TOUCH Imported'!$C$1:$D$800,2,False),"OOPS FIX ME"))</f>
        <v>iviangita</v>
      </c>
      <c r="B147" s="165" t="s">
        <v>441</v>
      </c>
      <c r="C147" s="170" t="s">
        <v>906</v>
      </c>
      <c r="D147" s="236" t="s">
        <v>437</v>
      </c>
      <c r="E147" s="237">
        <v>44309.0</v>
      </c>
      <c r="F147" s="170" t="s">
        <v>439</v>
      </c>
      <c r="G147" s="219"/>
      <c r="H147" s="171"/>
      <c r="I147" s="171"/>
      <c r="J147" s="172">
        <f t="shared" si="2"/>
        <v>0</v>
      </c>
      <c r="K147" s="218">
        <v>1.5075376884422111</v>
      </c>
      <c r="L147" s="174">
        <f t="shared" si="4"/>
        <v>19.5979799</v>
      </c>
      <c r="M147" s="175" t="str">
        <f t="shared" si="5"/>
        <v>iviangita</v>
      </c>
      <c r="N147" s="176">
        <f>IFERROR(__xludf.DUMMYFUNCTION("""COMPUTED_VALUE"""),18.0)</f>
        <v>18</v>
      </c>
      <c r="O147" s="176"/>
      <c r="P147" s="165" t="s">
        <v>441</v>
      </c>
      <c r="Q147" s="165" t="s">
        <v>441</v>
      </c>
      <c r="R147" s="176"/>
      <c r="S147" s="176"/>
      <c r="T147" s="176"/>
      <c r="U147" s="176"/>
      <c r="V147" s="176"/>
      <c r="W147" s="176"/>
      <c r="X147" s="176"/>
      <c r="Y147" s="176"/>
      <c r="Z147" s="176"/>
      <c r="AA147" s="176"/>
    </row>
    <row r="148">
      <c r="A148" s="165" t="str">
        <f>iferror(VLOOKUP(P148,'DO NOT TOUCH Imported'!$A$1:$D$800,4,False),iferror(VLOOKUP(P148,'DO NOT TOUCH Imported'!$C$1:$D$800,2,False),"OOPS FIX ME"))</f>
        <v>iviangita</v>
      </c>
      <c r="B148" s="165" t="s">
        <v>441</v>
      </c>
      <c r="C148" s="170" t="s">
        <v>909</v>
      </c>
      <c r="D148" s="236" t="s">
        <v>437</v>
      </c>
      <c r="E148" s="237">
        <v>44309.0</v>
      </c>
      <c r="F148" s="170" t="s">
        <v>439</v>
      </c>
      <c r="G148" s="219"/>
      <c r="H148" s="171"/>
      <c r="I148" s="171"/>
      <c r="J148" s="172">
        <f t="shared" si="2"/>
        <v>0</v>
      </c>
      <c r="K148" s="218">
        <v>1.5075376884422111</v>
      </c>
      <c r="L148" s="174">
        <f t="shared" si="4"/>
        <v>19.5979799</v>
      </c>
      <c r="M148" s="175" t="str">
        <f t="shared" si="5"/>
        <v>iviangita</v>
      </c>
      <c r="N148" s="176">
        <f>IFERROR(__xludf.DUMMYFUNCTION("""COMPUTED_VALUE"""),19.0)</f>
        <v>19</v>
      </c>
      <c r="O148" s="176"/>
      <c r="P148" s="165" t="s">
        <v>441</v>
      </c>
      <c r="Q148" s="165" t="s">
        <v>441</v>
      </c>
      <c r="R148" s="176"/>
      <c r="S148" s="176"/>
      <c r="T148" s="176"/>
      <c r="U148" s="176"/>
      <c r="V148" s="176"/>
      <c r="W148" s="176"/>
      <c r="X148" s="176"/>
      <c r="Y148" s="176"/>
      <c r="Z148" s="176"/>
      <c r="AA148" s="176"/>
    </row>
    <row r="149">
      <c r="A149" s="165" t="str">
        <f>iferror(VLOOKUP(P149,'DO NOT TOUCH Imported'!$A$1:$D$800,4,False),iferror(VLOOKUP(P149,'DO NOT TOUCH Imported'!$C$1:$D$800,2,False),"OOPS FIX ME"))</f>
        <v>iviangita</v>
      </c>
      <c r="B149" s="165" t="s">
        <v>441</v>
      </c>
      <c r="C149" s="170" t="s">
        <v>969</v>
      </c>
      <c r="D149" s="236" t="s">
        <v>437</v>
      </c>
      <c r="E149" s="239">
        <v>44309.0</v>
      </c>
      <c r="F149" s="170" t="s">
        <v>439</v>
      </c>
      <c r="G149" s="219"/>
      <c r="H149" s="171"/>
      <c r="I149" s="171"/>
      <c r="J149" s="172">
        <f t="shared" si="2"/>
        <v>0</v>
      </c>
      <c r="K149" s="218">
        <v>1.5075376884422111</v>
      </c>
      <c r="L149" s="174">
        <f t="shared" si="4"/>
        <v>19.5979799</v>
      </c>
      <c r="M149" s="175" t="str">
        <f t="shared" si="5"/>
        <v>iviangita</v>
      </c>
      <c r="N149" s="176">
        <f>IFERROR(__xludf.DUMMYFUNCTION("""COMPUTED_VALUE"""),20.0)</f>
        <v>20</v>
      </c>
      <c r="O149" s="176"/>
      <c r="P149" s="165" t="s">
        <v>441</v>
      </c>
      <c r="Q149" s="165" t="s">
        <v>441</v>
      </c>
      <c r="R149" s="176"/>
      <c r="S149" s="176"/>
      <c r="T149" s="176"/>
      <c r="U149" s="176"/>
      <c r="V149" s="176"/>
      <c r="W149" s="176"/>
      <c r="X149" s="176"/>
      <c r="Y149" s="176"/>
      <c r="Z149" s="176"/>
      <c r="AA149" s="176"/>
    </row>
    <row r="150">
      <c r="A150" s="165" t="str">
        <f>iferror(VLOOKUP(P150,'DO NOT TOUCH Imported'!$A$1:$D$800,4,False),iferror(VLOOKUP(P150,'DO NOT TOUCH Imported'!$C$1:$D$800,2,False),"OOPS FIX ME"))</f>
        <v>iviangita</v>
      </c>
      <c r="B150" s="165" t="s">
        <v>441</v>
      </c>
      <c r="C150" s="170" t="s">
        <v>943</v>
      </c>
      <c r="D150" s="236" t="s">
        <v>437</v>
      </c>
      <c r="E150" s="239">
        <v>44309.0</v>
      </c>
      <c r="F150" s="170" t="s">
        <v>439</v>
      </c>
      <c r="G150" s="219"/>
      <c r="H150" s="171"/>
      <c r="I150" s="171"/>
      <c r="J150" s="172">
        <f t="shared" si="2"/>
        <v>0</v>
      </c>
      <c r="K150" s="218">
        <v>1.5075376884422111</v>
      </c>
      <c r="L150" s="174">
        <f t="shared" si="4"/>
        <v>19.5979799</v>
      </c>
      <c r="M150" s="175" t="str">
        <f t="shared" si="5"/>
        <v>iviangita</v>
      </c>
      <c r="N150" s="176">
        <f>IFERROR(__xludf.DUMMYFUNCTION("""COMPUTED_VALUE"""),21.0)</f>
        <v>21</v>
      </c>
      <c r="O150" s="176"/>
      <c r="P150" s="165" t="s">
        <v>441</v>
      </c>
      <c r="Q150" s="165" t="s">
        <v>441</v>
      </c>
      <c r="R150" s="176"/>
      <c r="S150" s="176"/>
      <c r="T150" s="176"/>
      <c r="U150" s="176"/>
      <c r="V150" s="176"/>
      <c r="W150" s="176"/>
      <c r="X150" s="176"/>
      <c r="Y150" s="176"/>
      <c r="Z150" s="176"/>
      <c r="AA150" s="176"/>
    </row>
    <row r="151">
      <c r="A151" s="165" t="str">
        <f>iferror(VLOOKUP(P151,'DO NOT TOUCH Imported'!$A$1:$D$800,4,False),iferror(VLOOKUP(P151,'DO NOT TOUCH Imported'!$C$1:$D$800,2,False),"OOPS FIX ME"))</f>
        <v>iviangita</v>
      </c>
      <c r="B151" s="165" t="s">
        <v>490</v>
      </c>
      <c r="C151" s="170" t="s">
        <v>980</v>
      </c>
      <c r="D151" s="236" t="s">
        <v>437</v>
      </c>
      <c r="E151" s="239">
        <v>44309.0</v>
      </c>
      <c r="F151" s="170" t="s">
        <v>439</v>
      </c>
      <c r="G151" s="219"/>
      <c r="H151" s="171"/>
      <c r="I151" s="171"/>
      <c r="J151" s="172">
        <f t="shared" si="2"/>
        <v>0</v>
      </c>
      <c r="K151" s="218">
        <v>1.5075376884422111</v>
      </c>
      <c r="L151" s="174">
        <f t="shared" si="4"/>
        <v>19.5979799</v>
      </c>
      <c r="M151" s="175" t="str">
        <f t="shared" si="5"/>
        <v>iviangita</v>
      </c>
      <c r="N151" s="176">
        <f>IFERROR(__xludf.DUMMYFUNCTION("""COMPUTED_VALUE"""),22.0)</f>
        <v>22</v>
      </c>
      <c r="O151" s="176"/>
      <c r="P151" s="165" t="s">
        <v>441</v>
      </c>
      <c r="Q151" s="165" t="s">
        <v>490</v>
      </c>
      <c r="R151" s="176"/>
      <c r="S151" s="176"/>
      <c r="T151" s="176"/>
      <c r="U151" s="176"/>
      <c r="V151" s="176"/>
      <c r="W151" s="176"/>
      <c r="X151" s="176"/>
      <c r="Y151" s="176"/>
      <c r="Z151" s="176"/>
      <c r="AA151" s="176"/>
    </row>
    <row r="152">
      <c r="A152" s="165" t="str">
        <f>iferror(VLOOKUP(P152,'DO NOT TOUCH Imported'!$A$1:$D$800,4,False),iferror(VLOOKUP(P152,'DO NOT TOUCH Imported'!$C$1:$D$800,2,False),"OOPS FIX ME"))</f>
        <v>iviangita</v>
      </c>
      <c r="B152" s="165" t="s">
        <v>528</v>
      </c>
      <c r="C152" s="170" t="s">
        <v>981</v>
      </c>
      <c r="D152" s="236" t="s">
        <v>437</v>
      </c>
      <c r="E152" s="239">
        <v>44309.0</v>
      </c>
      <c r="F152" s="170" t="s">
        <v>439</v>
      </c>
      <c r="G152" s="219"/>
      <c r="H152" s="171"/>
      <c r="I152" s="171"/>
      <c r="J152" s="172">
        <f t="shared" si="2"/>
        <v>0</v>
      </c>
      <c r="K152" s="218">
        <v>1.5075376884422111</v>
      </c>
      <c r="L152" s="174">
        <f t="shared" si="4"/>
        <v>19.5979799</v>
      </c>
      <c r="M152" s="175" t="str">
        <f t="shared" si="5"/>
        <v>iviangita</v>
      </c>
      <c r="N152" s="176">
        <f>IFERROR(__xludf.DUMMYFUNCTION("""COMPUTED_VALUE"""),23.0)</f>
        <v>23</v>
      </c>
      <c r="O152" s="176"/>
      <c r="P152" s="165" t="s">
        <v>441</v>
      </c>
      <c r="Q152" s="165" t="s">
        <v>528</v>
      </c>
      <c r="R152" s="176"/>
      <c r="S152" s="176"/>
      <c r="T152" s="176"/>
      <c r="U152" s="176"/>
      <c r="V152" s="176"/>
      <c r="W152" s="176"/>
      <c r="X152" s="176"/>
      <c r="Y152" s="176"/>
      <c r="Z152" s="176"/>
      <c r="AA152" s="176"/>
    </row>
    <row r="153">
      <c r="A153" s="165" t="str">
        <f>iferror(VLOOKUP(P153,'DO NOT TOUCH Imported'!$A$1:$D$800,4,False),iferror(VLOOKUP(P153,'DO NOT TOUCH Imported'!$C$1:$D$800,2,False),"OOPS FIX ME"))</f>
        <v>iviangita</v>
      </c>
      <c r="B153" s="165" t="s">
        <v>443</v>
      </c>
      <c r="C153" s="170" t="s">
        <v>890</v>
      </c>
      <c r="D153" s="236" t="s">
        <v>437</v>
      </c>
      <c r="E153" s="237">
        <v>44310.0</v>
      </c>
      <c r="F153" s="170" t="s">
        <v>439</v>
      </c>
      <c r="G153" s="219"/>
      <c r="H153" s="171"/>
      <c r="I153" s="171"/>
      <c r="J153" s="172">
        <f t="shared" si="2"/>
        <v>0</v>
      </c>
      <c r="K153" s="218">
        <v>1.5075376884422111</v>
      </c>
      <c r="L153" s="174">
        <f t="shared" si="4"/>
        <v>19.5979799</v>
      </c>
      <c r="M153" s="175" t="str">
        <f t="shared" si="5"/>
        <v>iviangita</v>
      </c>
      <c r="N153" s="176">
        <f>IFERROR(__xludf.DUMMYFUNCTION("""COMPUTED_VALUE"""),24.0)</f>
        <v>24</v>
      </c>
      <c r="O153" s="176"/>
      <c r="P153" s="165" t="s">
        <v>441</v>
      </c>
      <c r="Q153" s="165" t="s">
        <v>443</v>
      </c>
      <c r="R153" s="176"/>
      <c r="S153" s="176"/>
      <c r="T153" s="176"/>
      <c r="U153" s="176"/>
      <c r="V153" s="176"/>
      <c r="W153" s="176"/>
      <c r="X153" s="176"/>
      <c r="Y153" s="176"/>
      <c r="Z153" s="176"/>
      <c r="AA153" s="176"/>
    </row>
    <row r="154">
      <c r="A154" s="165" t="str">
        <f>iferror(VLOOKUP(P154,'DO NOT TOUCH Imported'!$A$1:$D$800,4,False),iferror(VLOOKUP(P154,'DO NOT TOUCH Imported'!$C$1:$D$800,2,False),"OOPS FIX ME"))</f>
        <v>iviangita</v>
      </c>
      <c r="B154" s="165" t="s">
        <v>867</v>
      </c>
      <c r="C154" s="170" t="s">
        <v>982</v>
      </c>
      <c r="D154" s="236" t="s">
        <v>495</v>
      </c>
      <c r="E154" s="239">
        <v>44296.0</v>
      </c>
      <c r="F154" s="170" t="s">
        <v>496</v>
      </c>
      <c r="G154" s="219"/>
      <c r="H154" s="171"/>
      <c r="I154" s="171"/>
      <c r="J154" s="172">
        <f t="shared" si="2"/>
        <v>0</v>
      </c>
      <c r="K154" s="218">
        <v>1.5075376884422111</v>
      </c>
      <c r="L154" s="174">
        <f t="shared" si="4"/>
        <v>19.5979799</v>
      </c>
      <c r="M154" s="175" t="str">
        <f t="shared" si="5"/>
        <v>iviangita</v>
      </c>
      <c r="N154" s="176">
        <f>IFERROR(__xludf.DUMMYFUNCTION("""COMPUTED_VALUE"""),25.0)</f>
        <v>25</v>
      </c>
      <c r="O154" s="176"/>
      <c r="P154" s="165" t="s">
        <v>10</v>
      </c>
      <c r="Q154" s="165" t="s">
        <v>867</v>
      </c>
      <c r="R154" s="176"/>
      <c r="S154" s="176"/>
      <c r="T154" s="176"/>
      <c r="U154" s="176"/>
      <c r="V154" s="176"/>
      <c r="W154" s="176"/>
      <c r="X154" s="176"/>
      <c r="Y154" s="176"/>
      <c r="Z154" s="176"/>
      <c r="AA154" s="176"/>
    </row>
    <row r="155">
      <c r="A155" s="165" t="str">
        <f>iferror(VLOOKUP(P155,'DO NOT TOUCH Imported'!$A$1:$D$800,4,False),iferror(VLOOKUP(P155,'DO NOT TOUCH Imported'!$C$1:$D$800,2,False),"OOPS FIX ME"))</f>
        <v>iviangita</v>
      </c>
      <c r="B155" s="165" t="s">
        <v>519</v>
      </c>
      <c r="C155" s="170" t="s">
        <v>983</v>
      </c>
      <c r="D155" s="236" t="s">
        <v>495</v>
      </c>
      <c r="E155" s="239">
        <v>44300.0</v>
      </c>
      <c r="F155" s="170" t="s">
        <v>499</v>
      </c>
      <c r="G155" s="219"/>
      <c r="H155" s="171"/>
      <c r="I155" s="171"/>
      <c r="J155" s="172">
        <f t="shared" si="2"/>
        <v>0</v>
      </c>
      <c r="K155" s="218">
        <v>1.5075376884422111</v>
      </c>
      <c r="L155" s="174">
        <f t="shared" si="4"/>
        <v>19.5979799</v>
      </c>
      <c r="M155" s="175" t="str">
        <f t="shared" si="5"/>
        <v>iviangita</v>
      </c>
      <c r="N155" s="176">
        <f>IFERROR(__xludf.DUMMYFUNCTION("""COMPUTED_VALUE"""),26.0)</f>
        <v>26</v>
      </c>
      <c r="O155" s="176"/>
      <c r="P155" s="165" t="s">
        <v>10</v>
      </c>
      <c r="Q155" s="165" t="s">
        <v>519</v>
      </c>
      <c r="R155" s="176"/>
      <c r="S155" s="176"/>
      <c r="T155" s="176"/>
      <c r="U155" s="176"/>
      <c r="V155" s="176"/>
      <c r="W155" s="176"/>
      <c r="X155" s="176"/>
      <c r="Y155" s="176"/>
      <c r="Z155" s="176"/>
      <c r="AA155" s="176"/>
    </row>
    <row r="156">
      <c r="A156" s="165" t="str">
        <f>iferror(VLOOKUP(P156,'DO NOT TOUCH Imported'!$A$1:$D$800,4,False),iferror(VLOOKUP(P156,'DO NOT TOUCH Imported'!$C$1:$D$800,2,False),"OOPS FIX ME"))</f>
        <v>iviangita</v>
      </c>
      <c r="B156" s="165" t="s">
        <v>519</v>
      </c>
      <c r="C156" s="170" t="s">
        <v>984</v>
      </c>
      <c r="D156" s="236" t="s">
        <v>495</v>
      </c>
      <c r="E156" s="239">
        <v>44300.0</v>
      </c>
      <c r="F156" s="170" t="s">
        <v>499</v>
      </c>
      <c r="G156" s="219"/>
      <c r="H156" s="171"/>
      <c r="I156" s="171"/>
      <c r="J156" s="172">
        <f t="shared" si="2"/>
        <v>0</v>
      </c>
      <c r="K156" s="218">
        <v>1.5075376884422111</v>
      </c>
      <c r="L156" s="174">
        <f t="shared" si="4"/>
        <v>19.5979799</v>
      </c>
      <c r="M156" s="175" t="str">
        <f t="shared" si="5"/>
        <v>iviangita</v>
      </c>
      <c r="N156" s="176">
        <f>IFERROR(__xludf.DUMMYFUNCTION("""COMPUTED_VALUE"""),27.0)</f>
        <v>27</v>
      </c>
      <c r="O156" s="176"/>
      <c r="P156" s="165" t="s">
        <v>10</v>
      </c>
      <c r="Q156" s="165" t="s">
        <v>519</v>
      </c>
      <c r="R156" s="176"/>
      <c r="S156" s="176"/>
      <c r="T156" s="176"/>
      <c r="U156" s="176"/>
      <c r="V156" s="176"/>
      <c r="W156" s="176"/>
      <c r="X156" s="176"/>
      <c r="Y156" s="176"/>
      <c r="Z156" s="176"/>
      <c r="AA156" s="176"/>
    </row>
    <row r="157">
      <c r="A157" s="165" t="str">
        <f>iferror(VLOOKUP(P157,'DO NOT TOUCH Imported'!$A$1:$D$800,4,False),iferror(VLOOKUP(P157,'DO NOT TOUCH Imported'!$C$1:$D$800,2,False),"OOPS FIX ME"))</f>
        <v>durgadasji</v>
      </c>
      <c r="B157" s="165" t="s">
        <v>443</v>
      </c>
      <c r="C157" s="170" t="s">
        <v>939</v>
      </c>
      <c r="D157" s="236" t="s">
        <v>437</v>
      </c>
      <c r="E157" s="237">
        <v>44299.0</v>
      </c>
      <c r="F157" s="170" t="s">
        <v>439</v>
      </c>
      <c r="G157" s="170">
        <v>5000.0</v>
      </c>
      <c r="H157" s="171">
        <v>100.0</v>
      </c>
      <c r="I157" s="171">
        <v>150.0</v>
      </c>
      <c r="J157" s="172">
        <f t="shared" si="2"/>
        <v>0.001818081985</v>
      </c>
      <c r="K157" s="173">
        <f t="shared" ref="K157:K169" si="6">J157*$J$1</f>
        <v>2.181698382</v>
      </c>
      <c r="L157" s="174">
        <f t="shared" si="4"/>
        <v>16.12445159</v>
      </c>
      <c r="M157" s="175" t="str">
        <f t="shared" si="5"/>
        <v>durgadasji</v>
      </c>
      <c r="N157" s="176">
        <f>IFERROR(__xludf.DUMMYFUNCTION("""COMPUTED_VALUE"""),1.0)</f>
        <v>1</v>
      </c>
      <c r="O157" s="176"/>
      <c r="P157" s="165" t="s">
        <v>782</v>
      </c>
      <c r="Q157" s="165" t="s">
        <v>443</v>
      </c>
      <c r="R157" s="176"/>
      <c r="S157" s="176"/>
      <c r="T157" s="176"/>
      <c r="U157" s="176"/>
      <c r="V157" s="176"/>
      <c r="W157" s="176"/>
      <c r="X157" s="176"/>
      <c r="Y157" s="176"/>
      <c r="Z157" s="176"/>
      <c r="AA157" s="176"/>
    </row>
    <row r="158">
      <c r="A158" s="165" t="str">
        <f>iferror(VLOOKUP(P158,'DO NOT TOUCH Imported'!$A$1:$D$800,4,False),iferror(VLOOKUP(P158,'DO NOT TOUCH Imported'!$C$1:$D$800,2,False),"OOPS FIX ME"))</f>
        <v>durgadasji</v>
      </c>
      <c r="B158" s="165" t="s">
        <v>443</v>
      </c>
      <c r="C158" s="170" t="s">
        <v>890</v>
      </c>
      <c r="D158" s="236" t="s">
        <v>437</v>
      </c>
      <c r="E158" s="237">
        <v>44310.0</v>
      </c>
      <c r="F158" s="170" t="s">
        <v>439</v>
      </c>
      <c r="G158" s="170">
        <v>5000.0</v>
      </c>
      <c r="H158" s="171">
        <v>100.0</v>
      </c>
      <c r="I158" s="171">
        <v>100.0</v>
      </c>
      <c r="J158" s="172">
        <f t="shared" si="2"/>
        <v>0.001603678348</v>
      </c>
      <c r="K158" s="173">
        <f t="shared" si="6"/>
        <v>1.924414018</v>
      </c>
      <c r="L158" s="174">
        <f t="shared" si="4"/>
        <v>16.12445159</v>
      </c>
      <c r="M158" s="175" t="str">
        <f t="shared" si="5"/>
        <v>durgadasji</v>
      </c>
      <c r="N158" s="176">
        <f>IFERROR(__xludf.DUMMYFUNCTION("""COMPUTED_VALUE"""),2.0)</f>
        <v>2</v>
      </c>
      <c r="O158" s="176"/>
      <c r="P158" s="165" t="s">
        <v>782</v>
      </c>
      <c r="Q158" s="165" t="s">
        <v>443</v>
      </c>
      <c r="R158" s="176"/>
      <c r="S158" s="176"/>
      <c r="T158" s="176"/>
      <c r="U158" s="176"/>
      <c r="V158" s="176"/>
      <c r="W158" s="176"/>
      <c r="X158" s="176"/>
      <c r="Y158" s="176"/>
      <c r="Z158" s="176"/>
      <c r="AA158" s="176"/>
    </row>
    <row r="159">
      <c r="A159" s="165" t="str">
        <f>iferror(VLOOKUP(P159,'DO NOT TOUCH Imported'!$A$1:$D$800,4,False),iferror(VLOOKUP(P159,'DO NOT TOUCH Imported'!$C$1:$D$800,2,False),"OOPS FIX ME"))</f>
        <v>durgadasji</v>
      </c>
      <c r="B159" s="165" t="s">
        <v>443</v>
      </c>
      <c r="C159" s="170" t="s">
        <v>892</v>
      </c>
      <c r="D159" s="236" t="s">
        <v>437</v>
      </c>
      <c r="E159" s="239">
        <v>44310.0</v>
      </c>
      <c r="F159" s="170" t="s">
        <v>439</v>
      </c>
      <c r="G159" s="170">
        <v>1000.0</v>
      </c>
      <c r="H159" s="171">
        <v>100.0</v>
      </c>
      <c r="I159" s="171">
        <v>150.0</v>
      </c>
      <c r="J159" s="172">
        <f t="shared" si="2"/>
        <v>0.001227065436</v>
      </c>
      <c r="K159" s="173">
        <f t="shared" si="6"/>
        <v>1.472478524</v>
      </c>
      <c r="L159" s="174">
        <f t="shared" si="4"/>
        <v>16.12445159</v>
      </c>
      <c r="M159" s="175" t="str">
        <f t="shared" si="5"/>
        <v>durgadasji</v>
      </c>
      <c r="N159" s="176">
        <f>IFERROR(__xludf.DUMMYFUNCTION("""COMPUTED_VALUE"""),3.0)</f>
        <v>3</v>
      </c>
      <c r="O159" s="176"/>
      <c r="P159" s="165" t="s">
        <v>782</v>
      </c>
      <c r="Q159" s="165" t="s">
        <v>443</v>
      </c>
      <c r="R159" s="176"/>
      <c r="S159" s="176"/>
      <c r="T159" s="176"/>
      <c r="U159" s="176"/>
      <c r="V159" s="176"/>
      <c r="W159" s="176"/>
      <c r="X159" s="176"/>
      <c r="Y159" s="176"/>
      <c r="Z159" s="176"/>
      <c r="AA159" s="176"/>
    </row>
    <row r="160">
      <c r="A160" s="165" t="str">
        <f>iferror(VLOOKUP(P160,'DO NOT TOUCH Imported'!$A$1:$D$800,4,False),iferror(VLOOKUP(P160,'DO NOT TOUCH Imported'!$C$1:$D$800,2,False),"OOPS FIX ME"))</f>
        <v>durgadasji</v>
      </c>
      <c r="B160" s="165" t="s">
        <v>483</v>
      </c>
      <c r="C160" s="170" t="s">
        <v>893</v>
      </c>
      <c r="D160" s="236" t="s">
        <v>437</v>
      </c>
      <c r="E160" s="237">
        <v>44301.0</v>
      </c>
      <c r="F160" s="170" t="s">
        <v>439</v>
      </c>
      <c r="G160" s="170">
        <v>2000.0</v>
      </c>
      <c r="H160" s="171">
        <v>100.0</v>
      </c>
      <c r="I160" s="171">
        <v>100.0</v>
      </c>
      <c r="J160" s="172">
        <f t="shared" si="2"/>
        <v>0.001160415937</v>
      </c>
      <c r="K160" s="173">
        <f t="shared" si="6"/>
        <v>1.392499125</v>
      </c>
      <c r="L160" s="174">
        <f t="shared" si="4"/>
        <v>16.12445159</v>
      </c>
      <c r="M160" s="175" t="str">
        <f t="shared" si="5"/>
        <v>durgadasji</v>
      </c>
      <c r="N160" s="176">
        <f>IFERROR(__xludf.DUMMYFUNCTION("""COMPUTED_VALUE"""),4.0)</f>
        <v>4</v>
      </c>
      <c r="O160" s="176"/>
      <c r="P160" s="165" t="s">
        <v>782</v>
      </c>
      <c r="Q160" s="165" t="s">
        <v>483</v>
      </c>
      <c r="R160" s="176"/>
      <c r="S160" s="176"/>
      <c r="T160" s="176"/>
      <c r="U160" s="176"/>
      <c r="V160" s="176"/>
      <c r="W160" s="176"/>
      <c r="X160" s="176"/>
      <c r="Y160" s="176"/>
      <c r="Z160" s="176"/>
      <c r="AA160" s="176"/>
    </row>
    <row r="161">
      <c r="A161" s="165" t="str">
        <f>iferror(VLOOKUP(P161,'DO NOT TOUCH Imported'!$A$1:$D$800,4,False),iferror(VLOOKUP(P161,'DO NOT TOUCH Imported'!$C$1:$D$800,2,False),"OOPS FIX ME"))</f>
        <v>durgadasji</v>
      </c>
      <c r="B161" s="165" t="s">
        <v>435</v>
      </c>
      <c r="C161" s="170" t="s">
        <v>985</v>
      </c>
      <c r="D161" s="236" t="s">
        <v>437</v>
      </c>
      <c r="E161" s="239">
        <v>44307.0</v>
      </c>
      <c r="F161" s="170" t="s">
        <v>439</v>
      </c>
      <c r="G161" s="170">
        <v>2000.0</v>
      </c>
      <c r="H161" s="171">
        <v>100.0</v>
      </c>
      <c r="I161" s="171">
        <v>100.0</v>
      </c>
      <c r="J161" s="172">
        <f t="shared" si="2"/>
        <v>0.001160415937</v>
      </c>
      <c r="K161" s="173">
        <f t="shared" si="6"/>
        <v>1.392499125</v>
      </c>
      <c r="L161" s="174">
        <f t="shared" si="4"/>
        <v>16.12445159</v>
      </c>
      <c r="M161" s="175" t="str">
        <f t="shared" si="5"/>
        <v>durgadasji</v>
      </c>
      <c r="N161" s="176">
        <f>IFERROR(__xludf.DUMMYFUNCTION("""COMPUTED_VALUE"""),5.0)</f>
        <v>5</v>
      </c>
      <c r="O161" s="176"/>
      <c r="P161" s="165" t="s">
        <v>782</v>
      </c>
      <c r="Q161" s="165" t="s">
        <v>435</v>
      </c>
      <c r="R161" s="176"/>
      <c r="S161" s="176"/>
      <c r="T161" s="176"/>
      <c r="U161" s="176"/>
      <c r="V161" s="176"/>
      <c r="W161" s="176"/>
      <c r="X161" s="176"/>
      <c r="Y161" s="176"/>
      <c r="Z161" s="176"/>
      <c r="AA161" s="176"/>
    </row>
    <row r="162">
      <c r="A162" s="165" t="str">
        <f>iferror(VLOOKUP(P162,'DO NOT TOUCH Imported'!$A$1:$D$800,4,False),iferror(VLOOKUP(P162,'DO NOT TOUCH Imported'!$C$1:$D$800,2,False),"OOPS FIX ME"))</f>
        <v>durgadasji</v>
      </c>
      <c r="B162" s="165" t="s">
        <v>441</v>
      </c>
      <c r="C162" s="170" t="s">
        <v>969</v>
      </c>
      <c r="D162" s="236" t="s">
        <v>437</v>
      </c>
      <c r="E162" s="239">
        <v>44309.0</v>
      </c>
      <c r="F162" s="170" t="s">
        <v>439</v>
      </c>
      <c r="G162" s="170">
        <v>2000.0</v>
      </c>
      <c r="H162" s="171">
        <v>100.0</v>
      </c>
      <c r="I162" s="171">
        <v>100.0</v>
      </c>
      <c r="J162" s="172">
        <f t="shared" si="2"/>
        <v>0.001160415937</v>
      </c>
      <c r="K162" s="173">
        <f t="shared" si="6"/>
        <v>1.392499125</v>
      </c>
      <c r="L162" s="174">
        <f t="shared" si="4"/>
        <v>16.12445159</v>
      </c>
      <c r="M162" s="175" t="str">
        <f t="shared" si="5"/>
        <v>durgadasji</v>
      </c>
      <c r="N162" s="176">
        <f>IFERROR(__xludf.DUMMYFUNCTION("""COMPUTED_VALUE"""),6.0)</f>
        <v>6</v>
      </c>
      <c r="O162" s="176"/>
      <c r="P162" s="165" t="s">
        <v>782</v>
      </c>
      <c r="Q162" s="165" t="s">
        <v>441</v>
      </c>
      <c r="R162" s="176"/>
      <c r="S162" s="176"/>
      <c r="T162" s="176"/>
      <c r="U162" s="176"/>
      <c r="V162" s="176"/>
      <c r="W162" s="176"/>
      <c r="X162" s="176"/>
      <c r="Y162" s="176"/>
      <c r="Z162" s="176"/>
      <c r="AA162" s="176"/>
    </row>
    <row r="163">
      <c r="A163" s="165" t="str">
        <f>iferror(VLOOKUP(P163,'DO NOT TOUCH Imported'!$A$1:$D$800,4,False),iferror(VLOOKUP(P163,'DO NOT TOUCH Imported'!$C$1:$D$800,2,False),"OOPS FIX ME"))</f>
        <v>durgadasji</v>
      </c>
      <c r="B163" s="165" t="s">
        <v>528</v>
      </c>
      <c r="C163" s="170" t="s">
        <v>981</v>
      </c>
      <c r="D163" s="236" t="s">
        <v>437</v>
      </c>
      <c r="E163" s="237">
        <v>44309.0</v>
      </c>
      <c r="F163" s="170" t="s">
        <v>439</v>
      </c>
      <c r="G163" s="170">
        <v>1500.0</v>
      </c>
      <c r="H163" s="171">
        <v>100.0</v>
      </c>
      <c r="I163" s="171">
        <v>100.0</v>
      </c>
      <c r="J163" s="172">
        <f t="shared" si="2"/>
        <v>0.001086538869</v>
      </c>
      <c r="K163" s="173">
        <f t="shared" si="6"/>
        <v>1.303846642</v>
      </c>
      <c r="L163" s="174">
        <f t="shared" si="4"/>
        <v>16.12445159</v>
      </c>
      <c r="M163" s="175" t="str">
        <f t="shared" si="5"/>
        <v>durgadasji</v>
      </c>
      <c r="N163" s="176">
        <f>IFERROR(__xludf.DUMMYFUNCTION("""COMPUTED_VALUE"""),7.0)</f>
        <v>7</v>
      </c>
      <c r="O163" s="176"/>
      <c r="P163" s="165" t="s">
        <v>782</v>
      </c>
      <c r="Q163" s="165" t="s">
        <v>528</v>
      </c>
      <c r="R163" s="176"/>
      <c r="S163" s="176"/>
      <c r="T163" s="176"/>
      <c r="U163" s="176"/>
      <c r="V163" s="176"/>
      <c r="W163" s="176"/>
      <c r="X163" s="176"/>
      <c r="Y163" s="176"/>
      <c r="Z163" s="176"/>
      <c r="AA163" s="176"/>
    </row>
    <row r="164">
      <c r="A164" s="165" t="str">
        <f>iferror(VLOOKUP(P164,'DO NOT TOUCH Imported'!$A$1:$D$800,4,False),iferror(VLOOKUP(P164,'DO NOT TOUCH Imported'!$C$1:$D$800,2,False),"OOPS FIX ME"))</f>
        <v>durgadasji</v>
      </c>
      <c r="B164" s="165" t="s">
        <v>46</v>
      </c>
      <c r="C164" s="170" t="s">
        <v>986</v>
      </c>
      <c r="D164" s="236" t="s">
        <v>437</v>
      </c>
      <c r="E164" s="237">
        <v>44301.0</v>
      </c>
      <c r="F164" s="170" t="s">
        <v>439</v>
      </c>
      <c r="G164" s="170">
        <v>1000.0</v>
      </c>
      <c r="H164" s="171">
        <v>100.0</v>
      </c>
      <c r="I164" s="171">
        <v>80.0</v>
      </c>
      <c r="J164" s="172">
        <f t="shared" si="2"/>
        <v>0.0009269003455</v>
      </c>
      <c r="K164" s="173">
        <f t="shared" si="6"/>
        <v>1.112280415</v>
      </c>
      <c r="L164" s="174">
        <f t="shared" si="4"/>
        <v>16.12445159</v>
      </c>
      <c r="M164" s="175" t="str">
        <f t="shared" si="5"/>
        <v>durgadasji</v>
      </c>
      <c r="N164" s="176">
        <f>IFERROR(__xludf.DUMMYFUNCTION("""COMPUTED_VALUE"""),8.0)</f>
        <v>8</v>
      </c>
      <c r="O164" s="176"/>
      <c r="P164" s="165" t="s">
        <v>782</v>
      </c>
      <c r="Q164" s="165" t="s">
        <v>46</v>
      </c>
      <c r="R164" s="176"/>
      <c r="S164" s="176"/>
      <c r="T164" s="176"/>
      <c r="U164" s="176"/>
      <c r="V164" s="176"/>
      <c r="W164" s="176"/>
      <c r="X164" s="176"/>
      <c r="Y164" s="176"/>
      <c r="Z164" s="176"/>
      <c r="AA164" s="176"/>
    </row>
    <row r="165">
      <c r="A165" s="165" t="str">
        <f>iferror(VLOOKUP(P165,'DO NOT TOUCH Imported'!$A$1:$D$800,4,False),iferror(VLOOKUP(P165,'DO NOT TOUCH Imported'!$C$1:$D$800,2,False),"OOPS FIX ME"))</f>
        <v>durgadasji</v>
      </c>
      <c r="B165" s="165" t="s">
        <v>528</v>
      </c>
      <c r="C165" s="170" t="s">
        <v>975</v>
      </c>
      <c r="D165" s="236" t="s">
        <v>437</v>
      </c>
      <c r="E165" s="239">
        <v>44305.0</v>
      </c>
      <c r="F165" s="170" t="s">
        <v>439</v>
      </c>
      <c r="G165" s="170">
        <v>1000.0</v>
      </c>
      <c r="H165" s="171">
        <v>100.0</v>
      </c>
      <c r="I165" s="171">
        <v>50.0</v>
      </c>
      <c r="J165" s="172">
        <f t="shared" si="2"/>
        <v>0.0007982581637</v>
      </c>
      <c r="K165" s="173">
        <f t="shared" si="6"/>
        <v>0.9579097965</v>
      </c>
      <c r="L165" s="174">
        <f t="shared" si="4"/>
        <v>16.12445159</v>
      </c>
      <c r="M165" s="175" t="str">
        <f t="shared" si="5"/>
        <v>durgadasji</v>
      </c>
      <c r="N165" s="176">
        <f>IFERROR(__xludf.DUMMYFUNCTION("""COMPUTED_VALUE"""),9.0)</f>
        <v>9</v>
      </c>
      <c r="O165" s="176"/>
      <c r="P165" s="165" t="s">
        <v>782</v>
      </c>
      <c r="Q165" s="165" t="s">
        <v>528</v>
      </c>
      <c r="R165" s="176"/>
      <c r="S165" s="176"/>
      <c r="T165" s="176"/>
      <c r="U165" s="176"/>
      <c r="V165" s="176"/>
      <c r="W165" s="176"/>
      <c r="X165" s="176"/>
      <c r="Y165" s="176"/>
      <c r="Z165" s="176"/>
      <c r="AA165" s="176"/>
    </row>
    <row r="166">
      <c r="A166" s="165" t="str">
        <f>iferror(VLOOKUP(P166,'DO NOT TOUCH Imported'!$A$1:$D$800,4,False),iferror(VLOOKUP(P166,'DO NOT TOUCH Imported'!$C$1:$D$800,2,False),"OOPS FIX ME"))</f>
        <v>durgadasji</v>
      </c>
      <c r="B166" s="165" t="s">
        <v>440</v>
      </c>
      <c r="C166" s="170" t="s">
        <v>912</v>
      </c>
      <c r="D166" s="236" t="s">
        <v>437</v>
      </c>
      <c r="E166" s="237">
        <v>44307.0</v>
      </c>
      <c r="F166" s="170" t="s">
        <v>439</v>
      </c>
      <c r="G166" s="170">
        <v>1000.0</v>
      </c>
      <c r="H166" s="171">
        <v>70.0</v>
      </c>
      <c r="I166" s="171">
        <v>50.0</v>
      </c>
      <c r="J166" s="172">
        <f t="shared" si="2"/>
        <v>0.0006674280466</v>
      </c>
      <c r="K166" s="173">
        <f t="shared" si="6"/>
        <v>0.8009136559</v>
      </c>
      <c r="L166" s="174">
        <f t="shared" si="4"/>
        <v>16.12445159</v>
      </c>
      <c r="M166" s="175" t="str">
        <f t="shared" si="5"/>
        <v>durgadasji</v>
      </c>
      <c r="N166" s="176">
        <f>IFERROR(__xludf.DUMMYFUNCTION("""COMPUTED_VALUE"""),10.0)</f>
        <v>10</v>
      </c>
      <c r="O166" s="176"/>
      <c r="P166" s="165" t="s">
        <v>782</v>
      </c>
      <c r="Q166" s="165" t="s">
        <v>440</v>
      </c>
      <c r="R166" s="176"/>
      <c r="S166" s="176"/>
      <c r="T166" s="176"/>
      <c r="U166" s="176"/>
      <c r="V166" s="176"/>
      <c r="W166" s="176"/>
      <c r="X166" s="176"/>
      <c r="Y166" s="176"/>
      <c r="Z166" s="176"/>
      <c r="AA166" s="176"/>
    </row>
    <row r="167">
      <c r="A167" s="165" t="str">
        <f>iferror(VLOOKUP(P167,'DO NOT TOUCH Imported'!$A$1:$D$800,4,False),iferror(VLOOKUP(P167,'DO NOT TOUCH Imported'!$C$1:$D$800,2,False),"OOPS FIX ME"))</f>
        <v>durgadasji</v>
      </c>
      <c r="B167" s="165" t="s">
        <v>490</v>
      </c>
      <c r="C167" s="170" t="s">
        <v>914</v>
      </c>
      <c r="D167" s="236" t="s">
        <v>437</v>
      </c>
      <c r="E167" s="239">
        <v>44299.0</v>
      </c>
      <c r="F167" s="170" t="s">
        <v>439</v>
      </c>
      <c r="G167" s="170">
        <v>1000.0</v>
      </c>
      <c r="H167" s="171">
        <v>60.0</v>
      </c>
      <c r="I167" s="171">
        <v>50.0</v>
      </c>
      <c r="J167" s="172">
        <f t="shared" si="2"/>
        <v>0.0006238180076</v>
      </c>
      <c r="K167" s="173">
        <f t="shared" si="6"/>
        <v>0.7485816091</v>
      </c>
      <c r="L167" s="174">
        <f t="shared" si="4"/>
        <v>16.12445159</v>
      </c>
      <c r="M167" s="175" t="str">
        <f t="shared" si="5"/>
        <v>durgadasji</v>
      </c>
      <c r="N167" s="176">
        <f>IFERROR(__xludf.DUMMYFUNCTION("""COMPUTED_VALUE"""),11.0)</f>
        <v>11</v>
      </c>
      <c r="O167" s="176"/>
      <c r="P167" s="165" t="s">
        <v>782</v>
      </c>
      <c r="Q167" s="165" t="s">
        <v>490</v>
      </c>
      <c r="R167" s="176"/>
      <c r="S167" s="176"/>
      <c r="T167" s="176"/>
      <c r="U167" s="176"/>
      <c r="V167" s="176"/>
      <c r="W167" s="176"/>
      <c r="X167" s="176"/>
      <c r="Y167" s="176"/>
      <c r="Z167" s="176"/>
      <c r="AA167" s="176"/>
    </row>
    <row r="168">
      <c r="A168" s="165" t="str">
        <f>iferror(VLOOKUP(P168,'DO NOT TOUCH Imported'!$A$1:$D$800,4,False),iferror(VLOOKUP(P168,'DO NOT TOUCH Imported'!$C$1:$D$800,2,False),"OOPS FIX ME"))</f>
        <v>durgadasji</v>
      </c>
      <c r="B168" s="165" t="s">
        <v>441</v>
      </c>
      <c r="C168" s="170" t="s">
        <v>918</v>
      </c>
      <c r="D168" s="236" t="s">
        <v>437</v>
      </c>
      <c r="E168" s="237">
        <v>44302.0</v>
      </c>
      <c r="F168" s="170" t="s">
        <v>439</v>
      </c>
      <c r="G168" s="170">
        <v>1000.0</v>
      </c>
      <c r="H168" s="171">
        <v>60.0</v>
      </c>
      <c r="I168" s="171">
        <v>50.0</v>
      </c>
      <c r="J168" s="172">
        <f t="shared" si="2"/>
        <v>0.0006238180076</v>
      </c>
      <c r="K168" s="173">
        <f t="shared" si="6"/>
        <v>0.7485816091</v>
      </c>
      <c r="L168" s="174">
        <f t="shared" si="4"/>
        <v>16.12445159</v>
      </c>
      <c r="M168" s="175" t="str">
        <f t="shared" si="5"/>
        <v>durgadasji</v>
      </c>
      <c r="N168" s="176">
        <f>IFERROR(__xludf.DUMMYFUNCTION("""COMPUTED_VALUE"""),12.0)</f>
        <v>12</v>
      </c>
      <c r="O168" s="176"/>
      <c r="P168" s="165" t="s">
        <v>782</v>
      </c>
      <c r="Q168" s="165" t="s">
        <v>441</v>
      </c>
      <c r="R168" s="176"/>
      <c r="S168" s="176"/>
      <c r="T168" s="176"/>
      <c r="U168" s="176"/>
      <c r="V168" s="176"/>
      <c r="W168" s="176"/>
      <c r="X168" s="176"/>
      <c r="Y168" s="176"/>
      <c r="Z168" s="176"/>
      <c r="AA168" s="176"/>
    </row>
    <row r="169">
      <c r="A169" s="165" t="str">
        <f>iferror(VLOOKUP(P169,'DO NOT TOUCH Imported'!$A$1:$D$800,4,False),iferror(VLOOKUP(P169,'DO NOT TOUCH Imported'!$C$1:$D$800,2,False),"OOPS FIX ME"))</f>
        <v>durgadasji</v>
      </c>
      <c r="B169" s="165" t="s">
        <v>486</v>
      </c>
      <c r="C169" s="170" t="s">
        <v>924</v>
      </c>
      <c r="D169" s="236" t="s">
        <v>437</v>
      </c>
      <c r="E169" s="237">
        <v>44299.0</v>
      </c>
      <c r="F169" s="170" t="s">
        <v>439</v>
      </c>
      <c r="G169" s="170">
        <v>1000.0</v>
      </c>
      <c r="H169" s="171">
        <v>50.0</v>
      </c>
      <c r="I169" s="171">
        <v>50.0</v>
      </c>
      <c r="J169" s="172">
        <f t="shared" si="2"/>
        <v>0.0005802079686</v>
      </c>
      <c r="K169" s="173">
        <f t="shared" si="6"/>
        <v>0.6962495623</v>
      </c>
      <c r="L169" s="174">
        <f t="shared" si="4"/>
        <v>16.12445159</v>
      </c>
      <c r="M169" s="175" t="str">
        <f t="shared" si="5"/>
        <v>durgadasji</v>
      </c>
      <c r="N169" s="176">
        <f>IFERROR(__xludf.DUMMYFUNCTION("""COMPUTED_VALUE"""),13.0)</f>
        <v>13</v>
      </c>
      <c r="O169" s="176"/>
      <c r="P169" s="165" t="s">
        <v>782</v>
      </c>
      <c r="Q169" s="165" t="s">
        <v>486</v>
      </c>
      <c r="R169" s="176"/>
      <c r="S169" s="176"/>
      <c r="T169" s="176"/>
      <c r="U169" s="176"/>
      <c r="V169" s="176"/>
      <c r="W169" s="176"/>
      <c r="X169" s="176"/>
      <c r="Y169" s="176"/>
      <c r="Z169" s="176"/>
      <c r="AA169" s="176"/>
    </row>
    <row r="170">
      <c r="A170" s="185" t="s">
        <v>20</v>
      </c>
      <c r="B170" s="185" t="s">
        <v>534</v>
      </c>
      <c r="C170" s="186" t="s">
        <v>688</v>
      </c>
      <c r="D170" s="187"/>
      <c r="E170" s="188"/>
      <c r="F170" s="189"/>
      <c r="G170" s="190"/>
      <c r="H170" s="190"/>
      <c r="I170" s="190"/>
      <c r="J170" s="191">
        <f t="shared" si="2"/>
        <v>0</v>
      </c>
      <c r="K170" s="192">
        <f>-0.5*31.86</f>
        <v>-15.93</v>
      </c>
      <c r="L170" s="193">
        <f t="shared" si="4"/>
        <v>15.9296445</v>
      </c>
      <c r="M170" s="194" t="str">
        <f t="shared" si="5"/>
        <v>Vyvy-vi#5040</v>
      </c>
      <c r="N170" s="195">
        <f>IFERROR(__xludf.DUMMYFUNCTION("""COMPUTED_VALUE"""),1.0)</f>
        <v>1</v>
      </c>
      <c r="O170" s="195"/>
      <c r="P170" s="185" t="s">
        <v>10</v>
      </c>
      <c r="Q170" s="185" t="s">
        <v>534</v>
      </c>
      <c r="R170" s="195">
        <v>18.802169413641863</v>
      </c>
      <c r="S170" s="195"/>
      <c r="T170" s="195"/>
      <c r="U170" s="195"/>
      <c r="V170" s="195"/>
      <c r="W170" s="195"/>
      <c r="X170" s="195"/>
      <c r="Y170" s="195"/>
      <c r="Z170" s="195"/>
      <c r="AA170" s="176"/>
    </row>
    <row r="171">
      <c r="A171" s="165" t="str">
        <f>iferror(VLOOKUP(P171,'DO NOT TOUCH Imported'!$A$1:$D$800,4,False),iferror(VLOOKUP(P171,'DO NOT TOUCH Imported'!$C$1:$D$800,2,False),"OOPS FIX ME"))</f>
        <v>Vyvy-vi#5040</v>
      </c>
      <c r="B171" s="165" t="s">
        <v>441</v>
      </c>
      <c r="C171" s="170" t="s">
        <v>987</v>
      </c>
      <c r="D171" s="236" t="s">
        <v>437</v>
      </c>
      <c r="E171" s="239">
        <v>44309.0</v>
      </c>
      <c r="F171" s="170" t="s">
        <v>439</v>
      </c>
      <c r="G171" s="170">
        <v>5000.0</v>
      </c>
      <c r="H171" s="171">
        <v>100.0</v>
      </c>
      <c r="I171" s="171">
        <v>200.0</v>
      </c>
      <c r="J171" s="172">
        <f t="shared" si="2"/>
        <v>0.002032485621</v>
      </c>
      <c r="K171" s="173">
        <f t="shared" ref="K171:K206" si="7">J171*$J$1</f>
        <v>2.438982745</v>
      </c>
      <c r="L171" s="174">
        <f t="shared" si="4"/>
        <v>15.9296445</v>
      </c>
      <c r="M171" s="175" t="str">
        <f t="shared" si="5"/>
        <v>Vyvy-vi#5040</v>
      </c>
      <c r="N171" s="176">
        <f>IFERROR(__xludf.DUMMYFUNCTION("""COMPUTED_VALUE"""),2.0)</f>
        <v>2</v>
      </c>
      <c r="O171" s="176"/>
      <c r="P171" s="165" t="s">
        <v>20</v>
      </c>
      <c r="Q171" s="165" t="s">
        <v>441</v>
      </c>
      <c r="R171" s="176"/>
      <c r="S171" s="176"/>
      <c r="T171" s="176"/>
      <c r="U171" s="176"/>
      <c r="V171" s="176"/>
      <c r="W171" s="176"/>
      <c r="X171" s="176"/>
      <c r="Y171" s="176"/>
      <c r="Z171" s="176"/>
      <c r="AA171" s="176"/>
    </row>
    <row r="172">
      <c r="A172" s="165" t="str">
        <f>iferror(VLOOKUP(P172,'DO NOT TOUCH Imported'!$A$1:$D$800,4,False),iferror(VLOOKUP(P172,'DO NOT TOUCH Imported'!$C$1:$D$800,2,False),"OOPS FIX ME"))</f>
        <v>Vyvy-vi#5040</v>
      </c>
      <c r="B172" s="165" t="s">
        <v>435</v>
      </c>
      <c r="C172" s="170" t="s">
        <v>988</v>
      </c>
      <c r="D172" s="236" t="s">
        <v>437</v>
      </c>
      <c r="E172" s="237">
        <v>44299.0</v>
      </c>
      <c r="F172" s="170" t="s">
        <v>439</v>
      </c>
      <c r="G172" s="170">
        <v>5000.0</v>
      </c>
      <c r="H172" s="171">
        <v>100.0</v>
      </c>
      <c r="I172" s="171">
        <v>150.0</v>
      </c>
      <c r="J172" s="172">
        <f t="shared" si="2"/>
        <v>0.001818081985</v>
      </c>
      <c r="K172" s="173">
        <f t="shared" si="7"/>
        <v>2.181698382</v>
      </c>
      <c r="L172" s="174">
        <f t="shared" si="4"/>
        <v>15.9296445</v>
      </c>
      <c r="M172" s="175" t="str">
        <f t="shared" si="5"/>
        <v>Vyvy-vi#5040</v>
      </c>
      <c r="N172" s="176">
        <f>IFERROR(__xludf.DUMMYFUNCTION("""COMPUTED_VALUE"""),3.0)</f>
        <v>3</v>
      </c>
      <c r="O172" s="176"/>
      <c r="P172" s="165" t="s">
        <v>20</v>
      </c>
      <c r="Q172" s="165" t="s">
        <v>435</v>
      </c>
      <c r="R172" s="176"/>
      <c r="S172" s="176"/>
      <c r="T172" s="176"/>
      <c r="U172" s="176"/>
      <c r="V172" s="176"/>
      <c r="W172" s="176"/>
      <c r="X172" s="176"/>
      <c r="Y172" s="176"/>
      <c r="Z172" s="176"/>
      <c r="AA172" s="176"/>
    </row>
    <row r="173">
      <c r="A173" s="165" t="str">
        <f>iferror(VLOOKUP(P173,'DO NOT TOUCH Imported'!$A$1:$D$800,4,False),iferror(VLOOKUP(P173,'DO NOT TOUCH Imported'!$C$1:$D$800,2,False),"OOPS FIX ME"))</f>
        <v>Vyvy-vi#5040</v>
      </c>
      <c r="B173" s="165" t="s">
        <v>486</v>
      </c>
      <c r="C173" s="170" t="s">
        <v>989</v>
      </c>
      <c r="D173" s="236" t="s">
        <v>437</v>
      </c>
      <c r="E173" s="237">
        <v>44305.0</v>
      </c>
      <c r="F173" s="170" t="s">
        <v>439</v>
      </c>
      <c r="G173" s="170">
        <v>5000.0</v>
      </c>
      <c r="H173" s="171">
        <v>100.0</v>
      </c>
      <c r="I173" s="171">
        <v>100.0</v>
      </c>
      <c r="J173" s="172">
        <f t="shared" si="2"/>
        <v>0.001603678348</v>
      </c>
      <c r="K173" s="173">
        <f t="shared" si="7"/>
        <v>1.924414018</v>
      </c>
      <c r="L173" s="174">
        <f t="shared" si="4"/>
        <v>15.9296445</v>
      </c>
      <c r="M173" s="175" t="str">
        <f t="shared" si="5"/>
        <v>Vyvy-vi#5040</v>
      </c>
      <c r="N173" s="176">
        <f>IFERROR(__xludf.DUMMYFUNCTION("""COMPUTED_VALUE"""),4.0)</f>
        <v>4</v>
      </c>
      <c r="O173" s="176"/>
      <c r="P173" s="165" t="s">
        <v>20</v>
      </c>
      <c r="Q173" s="165" t="s">
        <v>486</v>
      </c>
      <c r="R173" s="176"/>
      <c r="S173" s="176"/>
      <c r="T173" s="176"/>
      <c r="U173" s="176"/>
      <c r="V173" s="176"/>
      <c r="W173" s="176"/>
      <c r="X173" s="176"/>
      <c r="Y173" s="176"/>
      <c r="Z173" s="176"/>
      <c r="AA173" s="176"/>
    </row>
    <row r="174">
      <c r="A174" s="165" t="str">
        <f>iferror(VLOOKUP(P174,'DO NOT TOUCH Imported'!$A$1:$D$800,4,False),iferror(VLOOKUP(P174,'DO NOT TOUCH Imported'!$C$1:$D$800,2,False),"OOPS FIX ME"))</f>
        <v>Vyvy-vi#5040</v>
      </c>
      <c r="B174" s="165" t="s">
        <v>441</v>
      </c>
      <c r="C174" s="170" t="s">
        <v>990</v>
      </c>
      <c r="D174" s="236" t="s">
        <v>437</v>
      </c>
      <c r="E174" s="237">
        <v>44309.0</v>
      </c>
      <c r="F174" s="170" t="s">
        <v>439</v>
      </c>
      <c r="G174" s="170">
        <v>5000.0</v>
      </c>
      <c r="H174" s="171">
        <v>100.0</v>
      </c>
      <c r="I174" s="171">
        <v>100.0</v>
      </c>
      <c r="J174" s="172">
        <f t="shared" si="2"/>
        <v>0.001603678348</v>
      </c>
      <c r="K174" s="173">
        <f t="shared" si="7"/>
        <v>1.924414018</v>
      </c>
      <c r="L174" s="174">
        <f t="shared" si="4"/>
        <v>15.9296445</v>
      </c>
      <c r="M174" s="175" t="str">
        <f t="shared" si="5"/>
        <v>Vyvy-vi#5040</v>
      </c>
      <c r="N174" s="176">
        <f>IFERROR(__xludf.DUMMYFUNCTION("""COMPUTED_VALUE"""),5.0)</f>
        <v>5</v>
      </c>
      <c r="O174" s="176"/>
      <c r="P174" s="165" t="s">
        <v>20</v>
      </c>
      <c r="Q174" s="165" t="s">
        <v>441</v>
      </c>
      <c r="R174" s="176"/>
      <c r="S174" s="176"/>
      <c r="T174" s="176"/>
      <c r="U174" s="176"/>
      <c r="V174" s="176"/>
      <c r="W174" s="176"/>
      <c r="X174" s="176"/>
      <c r="Y174" s="176"/>
      <c r="Z174" s="176"/>
      <c r="AA174" s="176"/>
    </row>
    <row r="175">
      <c r="A175" s="165" t="str">
        <f>iferror(VLOOKUP(P175,'DO NOT TOUCH Imported'!$A$1:$D$800,4,False),iferror(VLOOKUP(P175,'DO NOT TOUCH Imported'!$C$1:$D$800,2,False),"OOPS FIX ME"))</f>
        <v>Vyvy-vi#5040</v>
      </c>
      <c r="B175" s="165" t="s">
        <v>443</v>
      </c>
      <c r="C175" s="170" t="s">
        <v>890</v>
      </c>
      <c r="D175" s="236" t="s">
        <v>437</v>
      </c>
      <c r="E175" s="237">
        <v>44310.0</v>
      </c>
      <c r="F175" s="170" t="s">
        <v>439</v>
      </c>
      <c r="G175" s="170">
        <v>5000.0</v>
      </c>
      <c r="H175" s="171">
        <v>100.0</v>
      </c>
      <c r="I175" s="171">
        <v>100.0</v>
      </c>
      <c r="J175" s="172">
        <f t="shared" si="2"/>
        <v>0.001603678348</v>
      </c>
      <c r="K175" s="173">
        <f t="shared" si="7"/>
        <v>1.924414018</v>
      </c>
      <c r="L175" s="174">
        <f t="shared" si="4"/>
        <v>15.9296445</v>
      </c>
      <c r="M175" s="175" t="str">
        <f t="shared" si="5"/>
        <v>Vyvy-vi#5040</v>
      </c>
      <c r="N175" s="176">
        <f>IFERROR(__xludf.DUMMYFUNCTION("""COMPUTED_VALUE"""),6.0)</f>
        <v>6</v>
      </c>
      <c r="O175" s="176"/>
      <c r="P175" s="165" t="s">
        <v>20</v>
      </c>
      <c r="Q175" s="165" t="s">
        <v>443</v>
      </c>
      <c r="R175" s="176"/>
      <c r="S175" s="176"/>
      <c r="T175" s="176"/>
      <c r="U175" s="176"/>
      <c r="V175" s="176"/>
      <c r="W175" s="176"/>
      <c r="X175" s="176"/>
      <c r="Y175" s="176"/>
      <c r="Z175" s="176"/>
      <c r="AA175" s="176"/>
    </row>
    <row r="176">
      <c r="A176" s="165" t="str">
        <f>iferror(VLOOKUP(P176,'DO NOT TOUCH Imported'!$A$1:$D$800,4,False),iferror(VLOOKUP(P176,'DO NOT TOUCH Imported'!$C$1:$D$800,2,False),"OOPS FIX ME"))</f>
        <v>Vyvy-vi#5040</v>
      </c>
      <c r="B176" s="165" t="s">
        <v>443</v>
      </c>
      <c r="C176" s="170" t="s">
        <v>991</v>
      </c>
      <c r="D176" s="236" t="s">
        <v>437</v>
      </c>
      <c r="E176" s="239">
        <v>44296.0</v>
      </c>
      <c r="F176" s="170" t="s">
        <v>439</v>
      </c>
      <c r="G176" s="170">
        <v>1000.0</v>
      </c>
      <c r="H176" s="171">
        <v>200.0</v>
      </c>
      <c r="I176" s="171">
        <v>100.0</v>
      </c>
      <c r="J176" s="172">
        <f t="shared" si="2"/>
        <v>0.00144876219</v>
      </c>
      <c r="K176" s="173">
        <f t="shared" si="7"/>
        <v>1.738514628</v>
      </c>
      <c r="L176" s="174">
        <f t="shared" si="4"/>
        <v>15.9296445</v>
      </c>
      <c r="M176" s="175" t="str">
        <f t="shared" si="5"/>
        <v>Vyvy-vi#5040</v>
      </c>
      <c r="N176" s="176">
        <f>IFERROR(__xludf.DUMMYFUNCTION("""COMPUTED_VALUE"""),7.0)</f>
        <v>7</v>
      </c>
      <c r="O176" s="176"/>
      <c r="P176" s="165" t="s">
        <v>20</v>
      </c>
      <c r="Q176" s="165" t="s">
        <v>443</v>
      </c>
      <c r="R176" s="176"/>
      <c r="S176" s="176"/>
      <c r="T176" s="176"/>
      <c r="U176" s="176"/>
      <c r="V176" s="176"/>
      <c r="W176" s="176"/>
      <c r="X176" s="176"/>
      <c r="Y176" s="176"/>
      <c r="Z176" s="176"/>
      <c r="AA176" s="176"/>
    </row>
    <row r="177">
      <c r="A177" s="165" t="str">
        <f>iferror(VLOOKUP(P177,'DO NOT TOUCH Imported'!$A$1:$D$800,4,False),iferror(VLOOKUP(P177,'DO NOT TOUCH Imported'!$C$1:$D$800,2,False),"OOPS FIX ME"))</f>
        <v>Vyvy-vi#5040</v>
      </c>
      <c r="B177" s="165" t="s">
        <v>441</v>
      </c>
      <c r="C177" s="170" t="s">
        <v>992</v>
      </c>
      <c r="D177" s="236" t="s">
        <v>437</v>
      </c>
      <c r="E177" s="237">
        <v>44307.0</v>
      </c>
      <c r="F177" s="170" t="s">
        <v>439</v>
      </c>
      <c r="G177" s="170">
        <v>2500.0</v>
      </c>
      <c r="H177" s="171">
        <v>100.0</v>
      </c>
      <c r="I177" s="171">
        <v>150.0</v>
      </c>
      <c r="J177" s="172">
        <f t="shared" si="2"/>
        <v>0.001448696642</v>
      </c>
      <c r="K177" s="173">
        <f t="shared" si="7"/>
        <v>1.73843597</v>
      </c>
      <c r="L177" s="174">
        <f t="shared" si="4"/>
        <v>15.9296445</v>
      </c>
      <c r="M177" s="175" t="str">
        <f t="shared" si="5"/>
        <v>Vyvy-vi#5040</v>
      </c>
      <c r="N177" s="176">
        <f>IFERROR(__xludf.DUMMYFUNCTION("""COMPUTED_VALUE"""),8.0)</f>
        <v>8</v>
      </c>
      <c r="O177" s="176"/>
      <c r="P177" s="165" t="s">
        <v>20</v>
      </c>
      <c r="Q177" s="165" t="s">
        <v>441</v>
      </c>
      <c r="R177" s="176"/>
      <c r="S177" s="176"/>
      <c r="T177" s="176"/>
      <c r="U177" s="176"/>
      <c r="V177" s="176"/>
      <c r="W177" s="176"/>
      <c r="X177" s="176"/>
      <c r="Y177" s="176"/>
      <c r="Z177" s="176"/>
      <c r="AA177" s="176"/>
    </row>
    <row r="178">
      <c r="A178" s="165" t="str">
        <f>iferror(VLOOKUP(P178,'DO NOT TOUCH Imported'!$A$1:$D$800,4,False),iferror(VLOOKUP(P178,'DO NOT TOUCH Imported'!$C$1:$D$800,2,False),"OOPS FIX ME"))</f>
        <v>Vyvy-vi#5040</v>
      </c>
      <c r="B178" s="165" t="s">
        <v>443</v>
      </c>
      <c r="C178" s="170" t="s">
        <v>892</v>
      </c>
      <c r="D178" s="236" t="s">
        <v>437</v>
      </c>
      <c r="E178" s="239">
        <v>44310.0</v>
      </c>
      <c r="F178" s="170" t="s">
        <v>439</v>
      </c>
      <c r="G178" s="170">
        <v>1000.0</v>
      </c>
      <c r="H178" s="171">
        <v>100.0</v>
      </c>
      <c r="I178" s="171">
        <v>150.0</v>
      </c>
      <c r="J178" s="172">
        <f t="shared" si="2"/>
        <v>0.001227065436</v>
      </c>
      <c r="K178" s="173">
        <f t="shared" si="7"/>
        <v>1.472478524</v>
      </c>
      <c r="L178" s="174">
        <f t="shared" si="4"/>
        <v>15.9296445</v>
      </c>
      <c r="M178" s="175" t="str">
        <f t="shared" si="5"/>
        <v>Vyvy-vi#5040</v>
      </c>
      <c r="N178" s="176">
        <f>IFERROR(__xludf.DUMMYFUNCTION("""COMPUTED_VALUE"""),9.0)</f>
        <v>9</v>
      </c>
      <c r="O178" s="176"/>
      <c r="P178" s="165" t="s">
        <v>20</v>
      </c>
      <c r="Q178" s="165" t="s">
        <v>443</v>
      </c>
      <c r="R178" s="176"/>
      <c r="S178" s="176"/>
      <c r="T178" s="176"/>
      <c r="U178" s="176"/>
      <c r="V178" s="176"/>
      <c r="W178" s="176"/>
      <c r="X178" s="176"/>
      <c r="Y178" s="176"/>
      <c r="Z178" s="176"/>
      <c r="AA178" s="176"/>
    </row>
    <row r="179">
      <c r="A179" s="165" t="str">
        <f>iferror(VLOOKUP(P179,'DO NOT TOUCH Imported'!$A$1:$D$800,4,False),iferror(VLOOKUP(P179,'DO NOT TOUCH Imported'!$C$1:$D$800,2,False),"OOPS FIX ME"))</f>
        <v>Vyvy-vi#5040</v>
      </c>
      <c r="B179" s="165" t="s">
        <v>45</v>
      </c>
      <c r="C179" s="170" t="s">
        <v>993</v>
      </c>
      <c r="D179" s="236" t="s">
        <v>499</v>
      </c>
      <c r="E179" s="237">
        <v>44308.0</v>
      </c>
      <c r="F179" s="170" t="s">
        <v>503</v>
      </c>
      <c r="G179" s="170">
        <v>2000.0</v>
      </c>
      <c r="H179" s="171">
        <v>100.0</v>
      </c>
      <c r="I179" s="171">
        <v>100.0</v>
      </c>
      <c r="J179" s="172">
        <f t="shared" si="2"/>
        <v>0.001160415937</v>
      </c>
      <c r="K179" s="173">
        <f t="shared" si="7"/>
        <v>1.392499125</v>
      </c>
      <c r="L179" s="174">
        <f t="shared" si="4"/>
        <v>15.9296445</v>
      </c>
      <c r="M179" s="175" t="str">
        <f t="shared" si="5"/>
        <v>Vyvy-vi#5040</v>
      </c>
      <c r="N179" s="176">
        <f>IFERROR(__xludf.DUMMYFUNCTION("""COMPUTED_VALUE"""),10.0)</f>
        <v>10</v>
      </c>
      <c r="O179" s="176"/>
      <c r="P179" s="165" t="s">
        <v>20</v>
      </c>
      <c r="Q179" s="165" t="s">
        <v>45</v>
      </c>
      <c r="R179" s="176"/>
      <c r="S179" s="176"/>
      <c r="T179" s="176"/>
      <c r="U179" s="176"/>
      <c r="V179" s="176"/>
      <c r="W179" s="176"/>
      <c r="X179" s="176"/>
      <c r="Y179" s="176"/>
      <c r="Z179" s="176"/>
      <c r="AA179" s="176"/>
    </row>
    <row r="180">
      <c r="A180" s="165" t="str">
        <f>iferror(VLOOKUP(P180,'DO NOT TOUCH Imported'!$A$1:$D$800,4,False),iferror(VLOOKUP(P180,'DO NOT TOUCH Imported'!$C$1:$D$800,2,False),"OOPS FIX ME"))</f>
        <v>Vyvy-vi#5040</v>
      </c>
      <c r="B180" s="165" t="s">
        <v>441</v>
      </c>
      <c r="C180" s="170" t="s">
        <v>994</v>
      </c>
      <c r="D180" s="236" t="s">
        <v>437</v>
      </c>
      <c r="E180" s="239">
        <v>44309.0</v>
      </c>
      <c r="F180" s="170" t="s">
        <v>439</v>
      </c>
      <c r="G180" s="170">
        <v>2000.0</v>
      </c>
      <c r="H180" s="171">
        <v>100.0</v>
      </c>
      <c r="I180" s="171">
        <v>100.0</v>
      </c>
      <c r="J180" s="172">
        <f t="shared" si="2"/>
        <v>0.001160415937</v>
      </c>
      <c r="K180" s="173">
        <f t="shared" si="7"/>
        <v>1.392499125</v>
      </c>
      <c r="L180" s="174">
        <f t="shared" si="4"/>
        <v>15.9296445</v>
      </c>
      <c r="M180" s="175" t="str">
        <f t="shared" si="5"/>
        <v>Vyvy-vi#5040</v>
      </c>
      <c r="N180" s="176">
        <f>IFERROR(__xludf.DUMMYFUNCTION("""COMPUTED_VALUE"""),11.0)</f>
        <v>11</v>
      </c>
      <c r="O180" s="176"/>
      <c r="P180" s="165" t="s">
        <v>20</v>
      </c>
      <c r="Q180" s="165" t="s">
        <v>441</v>
      </c>
      <c r="R180" s="176"/>
      <c r="S180" s="176"/>
      <c r="T180" s="176"/>
      <c r="U180" s="176"/>
      <c r="V180" s="176"/>
      <c r="W180" s="176"/>
      <c r="X180" s="176"/>
      <c r="Y180" s="176"/>
      <c r="Z180" s="176"/>
      <c r="AA180" s="176"/>
    </row>
    <row r="181">
      <c r="A181" s="165" t="str">
        <f>iferror(VLOOKUP(P181,'DO NOT TOUCH Imported'!$A$1:$D$800,4,False),iferror(VLOOKUP(P181,'DO NOT TOUCH Imported'!$C$1:$D$800,2,False),"OOPS FIX ME"))</f>
        <v>Vyvy-vi#5040</v>
      </c>
      <c r="B181" s="165" t="s">
        <v>45</v>
      </c>
      <c r="C181" s="170" t="s">
        <v>995</v>
      </c>
      <c r="D181" s="236" t="s">
        <v>499</v>
      </c>
      <c r="E181" s="239">
        <v>44308.0</v>
      </c>
      <c r="F181" s="170" t="s">
        <v>503</v>
      </c>
      <c r="G181" s="170">
        <v>1500.0</v>
      </c>
      <c r="H181" s="171">
        <v>100.0</v>
      </c>
      <c r="I181" s="171">
        <v>100.0</v>
      </c>
      <c r="J181" s="172">
        <f t="shared" si="2"/>
        <v>0.001086538869</v>
      </c>
      <c r="K181" s="173">
        <f t="shared" si="7"/>
        <v>1.303846642</v>
      </c>
      <c r="L181" s="174">
        <f t="shared" si="4"/>
        <v>15.9296445</v>
      </c>
      <c r="M181" s="175" t="str">
        <f t="shared" si="5"/>
        <v>Vyvy-vi#5040</v>
      </c>
      <c r="N181" s="176">
        <f>IFERROR(__xludf.DUMMYFUNCTION("""COMPUTED_VALUE"""),12.0)</f>
        <v>12</v>
      </c>
      <c r="O181" s="176"/>
      <c r="P181" s="165" t="s">
        <v>20</v>
      </c>
      <c r="Q181" s="165" t="s">
        <v>45</v>
      </c>
      <c r="R181" s="176"/>
      <c r="S181" s="176"/>
      <c r="T181" s="176"/>
      <c r="U181" s="176"/>
      <c r="V181" s="176"/>
      <c r="W181" s="176"/>
      <c r="X181" s="176"/>
      <c r="Y181" s="176"/>
      <c r="Z181" s="176"/>
      <c r="AA181" s="176"/>
    </row>
    <row r="182">
      <c r="A182" s="165" t="str">
        <f>iferror(VLOOKUP(P182,'DO NOT TOUCH Imported'!$A$1:$D$800,4,False),iferror(VLOOKUP(P182,'DO NOT TOUCH Imported'!$C$1:$D$800,2,False),"OOPS FIX ME"))</f>
        <v>Vyvy-vi#5040</v>
      </c>
      <c r="B182" s="165" t="s">
        <v>435</v>
      </c>
      <c r="C182" s="170" t="s">
        <v>900</v>
      </c>
      <c r="D182" s="236" t="s">
        <v>437</v>
      </c>
      <c r="E182" s="237">
        <v>44302.0</v>
      </c>
      <c r="F182" s="170" t="s">
        <v>439</v>
      </c>
      <c r="G182" s="170">
        <v>1000.0</v>
      </c>
      <c r="H182" s="171">
        <v>100.0</v>
      </c>
      <c r="I182" s="171">
        <v>100.0</v>
      </c>
      <c r="J182" s="172">
        <f t="shared" si="2"/>
        <v>0.0010126618</v>
      </c>
      <c r="K182" s="173">
        <f t="shared" si="7"/>
        <v>1.21519416</v>
      </c>
      <c r="L182" s="174">
        <f t="shared" si="4"/>
        <v>15.9296445</v>
      </c>
      <c r="M182" s="175" t="str">
        <f t="shared" si="5"/>
        <v>Vyvy-vi#5040</v>
      </c>
      <c r="N182" s="176">
        <f>IFERROR(__xludf.DUMMYFUNCTION("""COMPUTED_VALUE"""),13.0)</f>
        <v>13</v>
      </c>
      <c r="O182" s="176"/>
      <c r="P182" s="165" t="s">
        <v>20</v>
      </c>
      <c r="Q182" s="165" t="s">
        <v>435</v>
      </c>
      <c r="R182" s="176"/>
      <c r="S182" s="176"/>
      <c r="T182" s="176"/>
      <c r="U182" s="176"/>
      <c r="V182" s="176"/>
      <c r="W182" s="176"/>
      <c r="X182" s="176"/>
      <c r="Y182" s="176"/>
      <c r="Z182" s="176"/>
      <c r="AA182" s="176"/>
    </row>
    <row r="183">
      <c r="A183" s="165" t="str">
        <f>iferror(VLOOKUP(P183,'DO NOT TOUCH Imported'!$A$1:$D$800,4,False),iferror(VLOOKUP(P183,'DO NOT TOUCH Imported'!$C$1:$D$800,2,False),"OOPS FIX ME"))</f>
        <v>Vyvy-vi#5040</v>
      </c>
      <c r="B183" s="165" t="s">
        <v>566</v>
      </c>
      <c r="C183" s="170" t="s">
        <v>996</v>
      </c>
      <c r="D183" s="236" t="s">
        <v>499</v>
      </c>
      <c r="E183" s="237">
        <v>44305.0</v>
      </c>
      <c r="F183" s="170" t="s">
        <v>503</v>
      </c>
      <c r="G183" s="170">
        <v>1000.0</v>
      </c>
      <c r="H183" s="171">
        <v>100.0</v>
      </c>
      <c r="I183" s="171">
        <v>100.0</v>
      </c>
      <c r="J183" s="172">
        <f t="shared" si="2"/>
        <v>0.0010126618</v>
      </c>
      <c r="K183" s="173">
        <f t="shared" si="7"/>
        <v>1.21519416</v>
      </c>
      <c r="L183" s="174">
        <f t="shared" si="4"/>
        <v>15.9296445</v>
      </c>
      <c r="M183" s="175" t="str">
        <f t="shared" si="5"/>
        <v>Vyvy-vi#5040</v>
      </c>
      <c r="N183" s="176">
        <f>IFERROR(__xludf.DUMMYFUNCTION("""COMPUTED_VALUE"""),14.0)</f>
        <v>14</v>
      </c>
      <c r="O183" s="176"/>
      <c r="P183" s="165" t="s">
        <v>20</v>
      </c>
      <c r="Q183" s="165" t="s">
        <v>566</v>
      </c>
      <c r="R183" s="176"/>
      <c r="S183" s="176"/>
      <c r="T183" s="176"/>
      <c r="U183" s="176"/>
      <c r="V183" s="176"/>
      <c r="W183" s="176"/>
      <c r="X183" s="176"/>
      <c r="Y183" s="176"/>
      <c r="Z183" s="176"/>
      <c r="AA183" s="176"/>
    </row>
    <row r="184">
      <c r="A184" s="165" t="str">
        <f>iferror(VLOOKUP(P184,'DO NOT TOUCH Imported'!$A$1:$D$800,4,False),iferror(VLOOKUP(P184,'DO NOT TOUCH Imported'!$C$1:$D$800,2,False),"OOPS FIX ME"))</f>
        <v>Vyvy-vi#5040</v>
      </c>
      <c r="B184" s="165" t="s">
        <v>490</v>
      </c>
      <c r="C184" s="170" t="s">
        <v>997</v>
      </c>
      <c r="D184" s="236" t="s">
        <v>437</v>
      </c>
      <c r="E184" s="237">
        <v>44309.0</v>
      </c>
      <c r="F184" s="170" t="s">
        <v>439</v>
      </c>
      <c r="G184" s="170">
        <v>1000.0</v>
      </c>
      <c r="H184" s="171">
        <v>100.0</v>
      </c>
      <c r="I184" s="171">
        <v>100.0</v>
      </c>
      <c r="J184" s="172">
        <f t="shared" si="2"/>
        <v>0.0010126618</v>
      </c>
      <c r="K184" s="173">
        <f t="shared" si="7"/>
        <v>1.21519416</v>
      </c>
      <c r="L184" s="174">
        <f t="shared" si="4"/>
        <v>15.9296445</v>
      </c>
      <c r="M184" s="175" t="str">
        <f t="shared" si="5"/>
        <v>Vyvy-vi#5040</v>
      </c>
      <c r="N184" s="176">
        <f>IFERROR(__xludf.DUMMYFUNCTION("""COMPUTED_VALUE"""),15.0)</f>
        <v>15</v>
      </c>
      <c r="O184" s="176"/>
      <c r="P184" s="165" t="s">
        <v>20</v>
      </c>
      <c r="Q184" s="165" t="s">
        <v>490</v>
      </c>
      <c r="R184" s="176"/>
      <c r="S184" s="176"/>
      <c r="T184" s="176"/>
      <c r="U184" s="176"/>
      <c r="V184" s="176"/>
      <c r="W184" s="176"/>
      <c r="X184" s="176"/>
      <c r="Y184" s="176"/>
      <c r="Z184" s="176"/>
      <c r="AA184" s="176"/>
    </row>
    <row r="185">
      <c r="A185" s="165" t="str">
        <f>iferror(VLOOKUP(P185,'DO NOT TOUCH Imported'!$A$1:$D$800,4,False),iferror(VLOOKUP(P185,'DO NOT TOUCH Imported'!$C$1:$D$800,2,False),"OOPS FIX ME"))</f>
        <v>Vyvy-vi#5040</v>
      </c>
      <c r="B185" s="165" t="s">
        <v>441</v>
      </c>
      <c r="C185" s="170" t="s">
        <v>970</v>
      </c>
      <c r="D185" s="236" t="s">
        <v>437</v>
      </c>
      <c r="E185" s="239">
        <v>44302.0</v>
      </c>
      <c r="F185" s="170" t="s">
        <v>439</v>
      </c>
      <c r="G185" s="170">
        <v>1000.0</v>
      </c>
      <c r="H185" s="171">
        <v>100.0</v>
      </c>
      <c r="I185" s="171">
        <v>80.0</v>
      </c>
      <c r="J185" s="172">
        <f t="shared" si="2"/>
        <v>0.0009269003455</v>
      </c>
      <c r="K185" s="173">
        <f t="shared" si="7"/>
        <v>1.112280415</v>
      </c>
      <c r="L185" s="174">
        <f t="shared" si="4"/>
        <v>15.9296445</v>
      </c>
      <c r="M185" s="175" t="str">
        <f t="shared" si="5"/>
        <v>Vyvy-vi#5040</v>
      </c>
      <c r="N185" s="176">
        <f>IFERROR(__xludf.DUMMYFUNCTION("""COMPUTED_VALUE"""),16.0)</f>
        <v>16</v>
      </c>
      <c r="O185" s="176"/>
      <c r="P185" s="165" t="s">
        <v>20</v>
      </c>
      <c r="Q185" s="165" t="s">
        <v>441</v>
      </c>
      <c r="R185" s="176"/>
      <c r="S185" s="176"/>
      <c r="T185" s="176"/>
      <c r="U185" s="176"/>
      <c r="V185" s="176"/>
      <c r="W185" s="176"/>
      <c r="X185" s="176"/>
      <c r="Y185" s="176"/>
      <c r="Z185" s="176"/>
      <c r="AA185" s="176"/>
    </row>
    <row r="186">
      <c r="A186" s="165" t="str">
        <f>iferror(VLOOKUP(P186,'DO NOT TOUCH Imported'!$A$1:$D$800,4,False),iferror(VLOOKUP(P186,'DO NOT TOUCH Imported'!$C$1:$D$800,2,False),"OOPS FIX ME"))</f>
        <v>Vyvy-vi#5040</v>
      </c>
      <c r="B186" s="165" t="s">
        <v>450</v>
      </c>
      <c r="C186" s="170" t="s">
        <v>998</v>
      </c>
      <c r="D186" s="236" t="s">
        <v>437</v>
      </c>
      <c r="E186" s="239">
        <v>44303.0</v>
      </c>
      <c r="F186" s="170" t="s">
        <v>439</v>
      </c>
      <c r="G186" s="170">
        <v>1000.0</v>
      </c>
      <c r="H186" s="171">
        <v>100.0</v>
      </c>
      <c r="I186" s="171">
        <v>80.0</v>
      </c>
      <c r="J186" s="172">
        <f t="shared" si="2"/>
        <v>0.0009269003455</v>
      </c>
      <c r="K186" s="173">
        <f t="shared" si="7"/>
        <v>1.112280415</v>
      </c>
      <c r="L186" s="174">
        <f t="shared" si="4"/>
        <v>15.9296445</v>
      </c>
      <c r="M186" s="175" t="str">
        <f t="shared" si="5"/>
        <v>Vyvy-vi#5040</v>
      </c>
      <c r="N186" s="176">
        <f>IFERROR(__xludf.DUMMYFUNCTION("""COMPUTED_VALUE"""),17.0)</f>
        <v>17</v>
      </c>
      <c r="O186" s="176"/>
      <c r="P186" s="165" t="s">
        <v>20</v>
      </c>
      <c r="Q186" s="165" t="s">
        <v>450</v>
      </c>
      <c r="R186" s="176"/>
      <c r="S186" s="176"/>
      <c r="T186" s="176"/>
      <c r="U186" s="176"/>
      <c r="V186" s="176"/>
      <c r="W186" s="176"/>
      <c r="X186" s="176"/>
      <c r="Y186" s="176"/>
      <c r="Z186" s="176"/>
      <c r="AA186" s="176"/>
    </row>
    <row r="187">
      <c r="A187" s="165" t="str">
        <f>iferror(VLOOKUP(P187,'DO NOT TOUCH Imported'!$A$1:$D$800,4,False),iferror(VLOOKUP(P187,'DO NOT TOUCH Imported'!$C$1:$D$800,2,False),"OOPS FIX ME"))</f>
        <v>Vyvy-vi#5040</v>
      </c>
      <c r="B187" s="165" t="s">
        <v>441</v>
      </c>
      <c r="C187" s="170" t="s">
        <v>905</v>
      </c>
      <c r="D187" s="236" t="s">
        <v>437</v>
      </c>
      <c r="E187" s="237">
        <v>44296.0</v>
      </c>
      <c r="F187" s="170" t="s">
        <v>439</v>
      </c>
      <c r="G187" s="170">
        <v>1000.0</v>
      </c>
      <c r="H187" s="171">
        <v>60.0</v>
      </c>
      <c r="I187" s="171">
        <v>100.0</v>
      </c>
      <c r="J187" s="172">
        <f t="shared" si="2"/>
        <v>0.0008382216439</v>
      </c>
      <c r="K187" s="173">
        <f t="shared" si="7"/>
        <v>1.005865973</v>
      </c>
      <c r="L187" s="174">
        <f t="shared" si="4"/>
        <v>15.9296445</v>
      </c>
      <c r="M187" s="175" t="str">
        <f t="shared" si="5"/>
        <v>Vyvy-vi#5040</v>
      </c>
      <c r="N187" s="176">
        <f>IFERROR(__xludf.DUMMYFUNCTION("""COMPUTED_VALUE"""),18.0)</f>
        <v>18</v>
      </c>
      <c r="O187" s="176"/>
      <c r="P187" s="165" t="s">
        <v>20</v>
      </c>
      <c r="Q187" s="165" t="s">
        <v>441</v>
      </c>
      <c r="R187" s="176"/>
      <c r="S187" s="176"/>
      <c r="T187" s="176"/>
      <c r="U187" s="176"/>
      <c r="V187" s="176"/>
      <c r="W187" s="176"/>
      <c r="X187" s="176"/>
      <c r="Y187" s="176"/>
      <c r="Z187" s="176"/>
      <c r="AA187" s="176"/>
    </row>
    <row r="188">
      <c r="A188" s="165" t="str">
        <f>iferror(VLOOKUP(P188,'DO NOT TOUCH Imported'!$A$1:$D$800,4,False),iferror(VLOOKUP(P188,'DO NOT TOUCH Imported'!$C$1:$D$800,2,False),"OOPS FIX ME"))</f>
        <v>Vyvy-vi#5040</v>
      </c>
      <c r="B188" s="165" t="s">
        <v>768</v>
      </c>
      <c r="C188" s="170" t="s">
        <v>999</v>
      </c>
      <c r="D188" s="236" t="s">
        <v>499</v>
      </c>
      <c r="E188" s="239">
        <v>44308.0</v>
      </c>
      <c r="F188" s="170" t="s">
        <v>503</v>
      </c>
      <c r="G188" s="170">
        <v>1000.0</v>
      </c>
      <c r="H188" s="171">
        <v>100.0</v>
      </c>
      <c r="I188" s="171">
        <v>50.0</v>
      </c>
      <c r="J188" s="172">
        <f t="shared" si="2"/>
        <v>0.0007982581637</v>
      </c>
      <c r="K188" s="173">
        <f t="shared" si="7"/>
        <v>0.9579097965</v>
      </c>
      <c r="L188" s="174">
        <f t="shared" si="4"/>
        <v>15.9296445</v>
      </c>
      <c r="M188" s="175" t="str">
        <f t="shared" si="5"/>
        <v>Vyvy-vi#5040</v>
      </c>
      <c r="N188" s="176">
        <f>IFERROR(__xludf.DUMMYFUNCTION("""COMPUTED_VALUE"""),19.0)</f>
        <v>19</v>
      </c>
      <c r="O188" s="176"/>
      <c r="P188" s="165" t="s">
        <v>20</v>
      </c>
      <c r="Q188" s="165" t="s">
        <v>768</v>
      </c>
      <c r="R188" s="176"/>
      <c r="S188" s="176"/>
      <c r="T188" s="176"/>
      <c r="U188" s="176"/>
      <c r="V188" s="176"/>
      <c r="W188" s="176"/>
      <c r="X188" s="176"/>
      <c r="Y188" s="176"/>
      <c r="Z188" s="176"/>
      <c r="AA188" s="176"/>
    </row>
    <row r="189">
      <c r="A189" s="165" t="str">
        <f>iferror(VLOOKUP(P189,'DO NOT TOUCH Imported'!$A$1:$D$800,4,False),iferror(VLOOKUP(P189,'DO NOT TOUCH Imported'!$C$1:$D$800,2,False),"OOPS FIX ME"))</f>
        <v>Vyvy-vi#5040</v>
      </c>
      <c r="B189" s="165" t="s">
        <v>435</v>
      </c>
      <c r="C189" s="170" t="s">
        <v>910</v>
      </c>
      <c r="D189" s="236" t="s">
        <v>437</v>
      </c>
      <c r="E189" s="239">
        <v>44302.0</v>
      </c>
      <c r="F189" s="170" t="s">
        <v>911</v>
      </c>
      <c r="G189" s="170">
        <v>1000.0</v>
      </c>
      <c r="H189" s="171">
        <v>60.0</v>
      </c>
      <c r="I189" s="171">
        <v>80.0</v>
      </c>
      <c r="J189" s="172">
        <f t="shared" si="2"/>
        <v>0.0007524601894</v>
      </c>
      <c r="K189" s="173">
        <f t="shared" si="7"/>
        <v>0.9029522272</v>
      </c>
      <c r="L189" s="174">
        <f t="shared" si="4"/>
        <v>15.9296445</v>
      </c>
      <c r="M189" s="175" t="str">
        <f t="shared" si="5"/>
        <v>Vyvy-vi#5040</v>
      </c>
      <c r="N189" s="176">
        <f>IFERROR(__xludf.DUMMYFUNCTION("""COMPUTED_VALUE"""),20.0)</f>
        <v>20</v>
      </c>
      <c r="O189" s="176"/>
      <c r="P189" s="165" t="s">
        <v>20</v>
      </c>
      <c r="Q189" s="165" t="s">
        <v>435</v>
      </c>
      <c r="R189" s="176"/>
      <c r="S189" s="176"/>
      <c r="T189" s="176"/>
      <c r="U189" s="176"/>
      <c r="V189" s="176"/>
      <c r="W189" s="176"/>
      <c r="X189" s="176"/>
      <c r="Y189" s="176"/>
      <c r="Z189" s="176"/>
      <c r="AA189" s="176"/>
    </row>
    <row r="190">
      <c r="A190" s="165" t="str">
        <f>iferror(VLOOKUP(P190,'DO NOT TOUCH Imported'!$A$1:$D$800,4,False),iferror(VLOOKUP(P190,'DO NOT TOUCH Imported'!$C$1:$D$800,2,False),"OOPS FIX ME"))</f>
        <v>Vyvy-vi#5040</v>
      </c>
      <c r="B190" s="165" t="s">
        <v>492</v>
      </c>
      <c r="C190" s="170" t="s">
        <v>915</v>
      </c>
      <c r="D190" s="236" t="s">
        <v>437</v>
      </c>
      <c r="E190" s="237">
        <v>44300.0</v>
      </c>
      <c r="F190" s="170" t="s">
        <v>439</v>
      </c>
      <c r="G190" s="170">
        <v>1000.0</v>
      </c>
      <c r="H190" s="171">
        <v>60.0</v>
      </c>
      <c r="I190" s="171">
        <v>50.0</v>
      </c>
      <c r="J190" s="172">
        <f t="shared" si="2"/>
        <v>0.0006238180076</v>
      </c>
      <c r="K190" s="173">
        <f t="shared" si="7"/>
        <v>0.7485816091</v>
      </c>
      <c r="L190" s="174">
        <f t="shared" si="4"/>
        <v>15.9296445</v>
      </c>
      <c r="M190" s="175" t="str">
        <f t="shared" si="5"/>
        <v>Vyvy-vi#5040</v>
      </c>
      <c r="N190" s="176">
        <f>IFERROR(__xludf.DUMMYFUNCTION("""COMPUTED_VALUE"""),21.0)</f>
        <v>21</v>
      </c>
      <c r="O190" s="176"/>
      <c r="P190" s="165" t="s">
        <v>20</v>
      </c>
      <c r="Q190" s="165" t="s">
        <v>492</v>
      </c>
      <c r="R190" s="176"/>
      <c r="S190" s="176"/>
      <c r="T190" s="176"/>
      <c r="U190" s="176"/>
      <c r="V190" s="176"/>
      <c r="W190" s="176"/>
      <c r="X190" s="176"/>
      <c r="Y190" s="176"/>
      <c r="Z190" s="176"/>
      <c r="AA190" s="176"/>
    </row>
    <row r="191">
      <c r="A191" s="165" t="str">
        <f>iferror(VLOOKUP(P191,'DO NOT TOUCH Imported'!$A$1:$D$800,4,False),iferror(VLOOKUP(P191,'DO NOT TOUCH Imported'!$C$1:$D$800,2,False),"OOPS FIX ME"))</f>
        <v>Vyvy-vi#5040</v>
      </c>
      <c r="B191" s="165" t="s">
        <v>440</v>
      </c>
      <c r="C191" s="170" t="s">
        <v>917</v>
      </c>
      <c r="D191" s="236" t="s">
        <v>437</v>
      </c>
      <c r="E191" s="237">
        <v>44301.0</v>
      </c>
      <c r="F191" s="170" t="s">
        <v>439</v>
      </c>
      <c r="G191" s="170">
        <v>1000.0</v>
      </c>
      <c r="H191" s="171">
        <v>60.0</v>
      </c>
      <c r="I191" s="171">
        <v>50.0</v>
      </c>
      <c r="J191" s="172">
        <f t="shared" si="2"/>
        <v>0.0006238180076</v>
      </c>
      <c r="K191" s="173">
        <f t="shared" si="7"/>
        <v>0.7485816091</v>
      </c>
      <c r="L191" s="174">
        <f t="shared" si="4"/>
        <v>15.9296445</v>
      </c>
      <c r="M191" s="175" t="str">
        <f t="shared" si="5"/>
        <v>Vyvy-vi#5040</v>
      </c>
      <c r="N191" s="176">
        <f>IFERROR(__xludf.DUMMYFUNCTION("""COMPUTED_VALUE"""),22.0)</f>
        <v>22</v>
      </c>
      <c r="O191" s="176"/>
      <c r="P191" s="165" t="s">
        <v>20</v>
      </c>
      <c r="Q191" s="165" t="s">
        <v>440</v>
      </c>
      <c r="R191" s="176"/>
      <c r="S191" s="176"/>
      <c r="T191" s="176"/>
      <c r="U191" s="176"/>
      <c r="V191" s="176"/>
      <c r="W191" s="176"/>
      <c r="X191" s="176"/>
      <c r="Y191" s="176"/>
      <c r="Z191" s="176"/>
      <c r="AA191" s="176"/>
    </row>
    <row r="192">
      <c r="A192" s="165" t="str">
        <f>iferror(VLOOKUP(P192,'DO NOT TOUCH Imported'!$A$1:$D$800,4,False),iferror(VLOOKUP(P192,'DO NOT TOUCH Imported'!$C$1:$D$800,2,False),"OOPS FIX ME"))</f>
        <v>Vyvy-vi#5040</v>
      </c>
      <c r="B192" s="165" t="s">
        <v>492</v>
      </c>
      <c r="C192" s="170" t="s">
        <v>957</v>
      </c>
      <c r="D192" s="236" t="s">
        <v>437</v>
      </c>
      <c r="E192" s="237">
        <v>44307.0</v>
      </c>
      <c r="F192" s="170" t="s">
        <v>439</v>
      </c>
      <c r="G192" s="170">
        <v>1000.0</v>
      </c>
      <c r="H192" s="171">
        <v>60.0</v>
      </c>
      <c r="I192" s="171">
        <v>50.0</v>
      </c>
      <c r="J192" s="172">
        <f t="shared" si="2"/>
        <v>0.0006238180076</v>
      </c>
      <c r="K192" s="173">
        <f t="shared" si="7"/>
        <v>0.7485816091</v>
      </c>
      <c r="L192" s="174">
        <f t="shared" si="4"/>
        <v>15.9296445</v>
      </c>
      <c r="M192" s="175" t="str">
        <f t="shared" si="5"/>
        <v>Vyvy-vi#5040</v>
      </c>
      <c r="N192" s="176">
        <f>IFERROR(__xludf.DUMMYFUNCTION("""COMPUTED_VALUE"""),23.0)</f>
        <v>23</v>
      </c>
      <c r="O192" s="176"/>
      <c r="P192" s="165" t="s">
        <v>20</v>
      </c>
      <c r="Q192" s="165" t="s">
        <v>492</v>
      </c>
      <c r="R192" s="176"/>
      <c r="S192" s="176"/>
      <c r="T192" s="176"/>
      <c r="U192" s="176"/>
      <c r="V192" s="176"/>
      <c r="W192" s="176"/>
      <c r="X192" s="176"/>
      <c r="Y192" s="176"/>
      <c r="Z192" s="176"/>
      <c r="AA192" s="176"/>
    </row>
    <row r="193">
      <c r="A193" s="165" t="str">
        <f>iferror(VLOOKUP(P193,'DO NOT TOUCH Imported'!$A$1:$D$800,4,False),iferror(VLOOKUP(P193,'DO NOT TOUCH Imported'!$C$1:$D$800,2,False),"OOPS FIX ME"))</f>
        <v>Vyvy-vi#5040</v>
      </c>
      <c r="B193" s="165" t="s">
        <v>441</v>
      </c>
      <c r="C193" s="170" t="s">
        <v>923</v>
      </c>
      <c r="D193" s="236" t="s">
        <v>437</v>
      </c>
      <c r="E193" s="237">
        <v>44309.0</v>
      </c>
      <c r="F193" s="170" t="s">
        <v>439</v>
      </c>
      <c r="G193" s="170">
        <v>1000.0</v>
      </c>
      <c r="H193" s="171">
        <v>60.0</v>
      </c>
      <c r="I193" s="171">
        <v>50.0</v>
      </c>
      <c r="J193" s="172">
        <f t="shared" si="2"/>
        <v>0.0006238180076</v>
      </c>
      <c r="K193" s="173">
        <f t="shared" si="7"/>
        <v>0.7485816091</v>
      </c>
      <c r="L193" s="174">
        <f t="shared" si="4"/>
        <v>15.9296445</v>
      </c>
      <c r="M193" s="175" t="str">
        <f t="shared" si="5"/>
        <v>Vyvy-vi#5040</v>
      </c>
      <c r="N193" s="176">
        <f>IFERROR(__xludf.DUMMYFUNCTION("""COMPUTED_VALUE"""),24.0)</f>
        <v>24</v>
      </c>
      <c r="O193" s="176"/>
      <c r="P193" s="165" t="s">
        <v>20</v>
      </c>
      <c r="Q193" s="165" t="s">
        <v>441</v>
      </c>
      <c r="R193" s="176"/>
      <c r="S193" s="176"/>
      <c r="T193" s="176"/>
      <c r="U193" s="176"/>
      <c r="V193" s="176"/>
      <c r="W193" s="176"/>
      <c r="X193" s="176"/>
      <c r="Y193" s="176"/>
      <c r="Z193" s="176"/>
      <c r="AA193" s="176"/>
    </row>
    <row r="194">
      <c r="A194" s="165" t="str">
        <f>iferror(VLOOKUP(P194,'DO NOT TOUCH Imported'!$A$1:$D$800,4,False),iferror(VLOOKUP(P194,'DO NOT TOUCH Imported'!$C$1:$D$800,2,False),"OOPS FIX ME"))</f>
        <v>Vyvy-vi#5040</v>
      </c>
      <c r="B194" s="165" t="s">
        <v>486</v>
      </c>
      <c r="C194" s="170" t="s">
        <v>924</v>
      </c>
      <c r="D194" s="236" t="s">
        <v>437</v>
      </c>
      <c r="E194" s="239">
        <v>44299.0</v>
      </c>
      <c r="F194" s="170" t="s">
        <v>439</v>
      </c>
      <c r="G194" s="170">
        <v>1000.0</v>
      </c>
      <c r="H194" s="171">
        <v>50.0</v>
      </c>
      <c r="I194" s="171">
        <v>50.0</v>
      </c>
      <c r="J194" s="172">
        <f t="shared" si="2"/>
        <v>0.0005802079686</v>
      </c>
      <c r="K194" s="173">
        <f t="shared" si="7"/>
        <v>0.6962495623</v>
      </c>
      <c r="L194" s="174">
        <f t="shared" si="4"/>
        <v>15.9296445</v>
      </c>
      <c r="M194" s="175" t="str">
        <f t="shared" si="5"/>
        <v>Vyvy-vi#5040</v>
      </c>
      <c r="N194" s="176">
        <f>IFERROR(__xludf.DUMMYFUNCTION("""COMPUTED_VALUE"""),25.0)</f>
        <v>25</v>
      </c>
      <c r="O194" s="176"/>
      <c r="P194" s="165" t="s">
        <v>20</v>
      </c>
      <c r="Q194" s="165" t="s">
        <v>486</v>
      </c>
      <c r="R194" s="176"/>
      <c r="S194" s="176"/>
      <c r="T194" s="176"/>
      <c r="U194" s="176"/>
      <c r="V194" s="176"/>
      <c r="W194" s="176"/>
      <c r="X194" s="176"/>
      <c r="Y194" s="176"/>
      <c r="Z194" s="176"/>
      <c r="AA194" s="176"/>
    </row>
    <row r="195">
      <c r="A195" s="240" t="str">
        <f>iferror(VLOOKUP(P195,'DO NOT TOUCH Imported'!$A$1:$D$800,4,False),iferror(VLOOKUP(P195,'DO NOT TOUCH Imported'!$C$1:$D$800,2,False),"OOPS FIX ME"))</f>
        <v>Vyvy-vi#5040</v>
      </c>
      <c r="B195" s="240" t="s">
        <v>492</v>
      </c>
      <c r="C195" s="221" t="s">
        <v>915</v>
      </c>
      <c r="D195" s="241" t="s">
        <v>437</v>
      </c>
      <c r="E195" s="242">
        <v>44300.0</v>
      </c>
      <c r="F195" s="221" t="s">
        <v>439</v>
      </c>
      <c r="G195" s="221"/>
      <c r="H195" s="222"/>
      <c r="I195" s="222"/>
      <c r="J195" s="172">
        <f t="shared" si="2"/>
        <v>0</v>
      </c>
      <c r="K195" s="173">
        <f t="shared" si="7"/>
        <v>0</v>
      </c>
      <c r="L195" s="174">
        <f t="shared" si="4"/>
        <v>15.9296445</v>
      </c>
      <c r="M195" s="175" t="str">
        <f t="shared" si="5"/>
        <v>Vyvy-vi#5040</v>
      </c>
      <c r="N195" s="209">
        <f>IFERROR(__xludf.DUMMYFUNCTION("""COMPUTED_VALUE"""),26.0)</f>
        <v>26</v>
      </c>
      <c r="O195" s="209"/>
      <c r="P195" s="240" t="s">
        <v>20</v>
      </c>
      <c r="Q195" s="240" t="s">
        <v>492</v>
      </c>
      <c r="R195" s="209"/>
      <c r="S195" s="209"/>
      <c r="T195" s="209"/>
      <c r="U195" s="209"/>
      <c r="V195" s="209"/>
      <c r="W195" s="209"/>
      <c r="X195" s="209"/>
      <c r="Y195" s="209"/>
      <c r="Z195" s="209"/>
      <c r="AA195" s="209"/>
    </row>
    <row r="196">
      <c r="A196" s="165" t="str">
        <f>iferror(VLOOKUP(P196,'DO NOT TOUCH Imported'!$A$1:$D$800,4,False),iferror(VLOOKUP(P196,'DO NOT TOUCH Imported'!$C$1:$D$800,2,False),"OOPS FIX ME"))</f>
        <v>ddan#2489</v>
      </c>
      <c r="B196" s="165" t="s">
        <v>435</v>
      </c>
      <c r="C196" s="170" t="s">
        <v>1000</v>
      </c>
      <c r="D196" s="236" t="s">
        <v>437</v>
      </c>
      <c r="E196" s="237">
        <v>44299.0</v>
      </c>
      <c r="F196" s="170" t="s">
        <v>439</v>
      </c>
      <c r="G196" s="170">
        <v>5000.0</v>
      </c>
      <c r="H196" s="171">
        <v>200.0</v>
      </c>
      <c r="I196" s="171">
        <v>100.0</v>
      </c>
      <c r="J196" s="172">
        <f t="shared" si="2"/>
        <v>0.002039778739</v>
      </c>
      <c r="K196" s="173">
        <f t="shared" si="7"/>
        <v>2.447734487</v>
      </c>
      <c r="L196" s="174">
        <f t="shared" si="4"/>
        <v>15.13161277</v>
      </c>
      <c r="M196" s="175" t="str">
        <f t="shared" si="5"/>
        <v>ddan#2489</v>
      </c>
      <c r="N196" s="176">
        <f>IFERROR(__xludf.DUMMYFUNCTION("""COMPUTED_VALUE"""),1.0)</f>
        <v>1</v>
      </c>
      <c r="O196" s="176"/>
      <c r="P196" s="165" t="s">
        <v>46</v>
      </c>
      <c r="Q196" s="165" t="s">
        <v>435</v>
      </c>
      <c r="R196" s="176"/>
      <c r="S196" s="176"/>
      <c r="T196" s="176"/>
      <c r="U196" s="176"/>
      <c r="V196" s="176"/>
      <c r="W196" s="176"/>
      <c r="X196" s="176"/>
      <c r="Y196" s="176"/>
      <c r="Z196" s="176"/>
      <c r="AA196" s="176"/>
    </row>
    <row r="197">
      <c r="A197" s="165" t="str">
        <f>iferror(VLOOKUP(P197,'DO NOT TOUCH Imported'!$A$1:$D$800,4,False),iferror(VLOOKUP(P197,'DO NOT TOUCH Imported'!$C$1:$D$800,2,False),"OOPS FIX ME"))</f>
        <v>ddan#2489</v>
      </c>
      <c r="B197" s="165" t="s">
        <v>490</v>
      </c>
      <c r="C197" s="170" t="s">
        <v>1001</v>
      </c>
      <c r="D197" s="236" t="s">
        <v>437</v>
      </c>
      <c r="E197" s="237">
        <v>44298.0</v>
      </c>
      <c r="F197" s="170" t="s">
        <v>439</v>
      </c>
      <c r="G197" s="170">
        <v>2000.0</v>
      </c>
      <c r="H197" s="171">
        <v>200.0</v>
      </c>
      <c r="I197" s="171">
        <v>100.0</v>
      </c>
      <c r="J197" s="172">
        <f t="shared" si="2"/>
        <v>0.001596516327</v>
      </c>
      <c r="K197" s="173">
        <f t="shared" si="7"/>
        <v>1.915819593</v>
      </c>
      <c r="L197" s="174">
        <f t="shared" si="4"/>
        <v>15.13161277</v>
      </c>
      <c r="M197" s="175" t="str">
        <f t="shared" si="5"/>
        <v>ddan#2489</v>
      </c>
      <c r="N197" s="176">
        <f>IFERROR(__xludf.DUMMYFUNCTION("""COMPUTED_VALUE"""),2.0)</f>
        <v>2</v>
      </c>
      <c r="O197" s="176"/>
      <c r="P197" s="165" t="s">
        <v>46</v>
      </c>
      <c r="Q197" s="165" t="s">
        <v>490</v>
      </c>
      <c r="R197" s="176"/>
      <c r="S197" s="176"/>
      <c r="T197" s="176"/>
      <c r="U197" s="176"/>
      <c r="V197" s="176"/>
      <c r="W197" s="176"/>
      <c r="X197" s="176"/>
      <c r="Y197" s="176"/>
      <c r="Z197" s="176"/>
      <c r="AA197" s="176"/>
    </row>
    <row r="198">
      <c r="A198" s="165" t="str">
        <f>iferror(VLOOKUP(P198,'DO NOT TOUCH Imported'!$A$1:$D$800,4,False),iferror(VLOOKUP(P198,'DO NOT TOUCH Imported'!$C$1:$D$800,2,False),"OOPS FIX ME"))</f>
        <v>ddan#2489</v>
      </c>
      <c r="B198" s="165" t="s">
        <v>443</v>
      </c>
      <c r="C198" s="170" t="s">
        <v>890</v>
      </c>
      <c r="D198" s="236" t="s">
        <v>437</v>
      </c>
      <c r="E198" s="239">
        <v>44310.0</v>
      </c>
      <c r="F198" s="170" t="s">
        <v>439</v>
      </c>
      <c r="G198" s="170">
        <v>5000.0</v>
      </c>
      <c r="H198" s="171">
        <v>100.0</v>
      </c>
      <c r="I198" s="171">
        <v>100.0</v>
      </c>
      <c r="J198" s="172">
        <f t="shared" si="2"/>
        <v>0.001603678348</v>
      </c>
      <c r="K198" s="173">
        <f t="shared" si="7"/>
        <v>1.924414018</v>
      </c>
      <c r="L198" s="174">
        <f t="shared" si="4"/>
        <v>15.13161277</v>
      </c>
      <c r="M198" s="175" t="str">
        <f t="shared" si="5"/>
        <v>ddan#2489</v>
      </c>
      <c r="N198" s="176">
        <f>IFERROR(__xludf.DUMMYFUNCTION("""COMPUTED_VALUE"""),3.0)</f>
        <v>3</v>
      </c>
      <c r="O198" s="176"/>
      <c r="P198" s="165" t="s">
        <v>46</v>
      </c>
      <c r="Q198" s="165" t="s">
        <v>443</v>
      </c>
      <c r="R198" s="176"/>
      <c r="S198" s="176"/>
      <c r="T198" s="176"/>
      <c r="U198" s="176"/>
      <c r="V198" s="176"/>
      <c r="W198" s="176"/>
      <c r="X198" s="176"/>
      <c r="Y198" s="176"/>
      <c r="Z198" s="176"/>
      <c r="AA198" s="176"/>
    </row>
    <row r="199">
      <c r="A199" s="165" t="str">
        <f>iferror(VLOOKUP(P199,'DO NOT TOUCH Imported'!$A$1:$D$800,4,False),iferror(VLOOKUP(P199,'DO NOT TOUCH Imported'!$C$1:$D$800,2,False),"OOPS FIX ME"))</f>
        <v>ddan#2489</v>
      </c>
      <c r="B199" s="165" t="s">
        <v>443</v>
      </c>
      <c r="C199" s="170" t="s">
        <v>892</v>
      </c>
      <c r="D199" s="236" t="s">
        <v>437</v>
      </c>
      <c r="E199" s="237">
        <v>44310.0</v>
      </c>
      <c r="F199" s="170" t="s">
        <v>439</v>
      </c>
      <c r="G199" s="170">
        <v>1000.0</v>
      </c>
      <c r="H199" s="171">
        <v>100.0</v>
      </c>
      <c r="I199" s="171">
        <v>150.0</v>
      </c>
      <c r="J199" s="172">
        <f t="shared" si="2"/>
        <v>0.001227065436</v>
      </c>
      <c r="K199" s="173">
        <f t="shared" si="7"/>
        <v>1.472478524</v>
      </c>
      <c r="L199" s="174">
        <f t="shared" si="4"/>
        <v>15.13161277</v>
      </c>
      <c r="M199" s="175" t="str">
        <f t="shared" si="5"/>
        <v>ddan#2489</v>
      </c>
      <c r="N199" s="176">
        <f>IFERROR(__xludf.DUMMYFUNCTION("""COMPUTED_VALUE"""),4.0)</f>
        <v>4</v>
      </c>
      <c r="O199" s="176"/>
      <c r="P199" s="165" t="s">
        <v>46</v>
      </c>
      <c r="Q199" s="165" t="s">
        <v>443</v>
      </c>
      <c r="R199" s="176"/>
      <c r="S199" s="176"/>
      <c r="T199" s="176"/>
      <c r="U199" s="176"/>
      <c r="V199" s="176"/>
      <c r="W199" s="176"/>
      <c r="X199" s="176"/>
      <c r="Y199" s="176"/>
      <c r="Z199" s="176"/>
      <c r="AA199" s="176"/>
    </row>
    <row r="200">
      <c r="A200" s="165" t="str">
        <f>iferror(VLOOKUP(P200,'DO NOT TOUCH Imported'!$A$1:$D$800,4,False),iferror(VLOOKUP(P200,'DO NOT TOUCH Imported'!$C$1:$D$800,2,False),"OOPS FIX ME"))</f>
        <v>ddan#2489</v>
      </c>
      <c r="B200" s="165" t="s">
        <v>483</v>
      </c>
      <c r="C200" s="170" t="s">
        <v>893</v>
      </c>
      <c r="D200" s="236" t="s">
        <v>437</v>
      </c>
      <c r="E200" s="237">
        <v>44301.0</v>
      </c>
      <c r="F200" s="170" t="s">
        <v>439</v>
      </c>
      <c r="G200" s="170">
        <v>2000.0</v>
      </c>
      <c r="H200" s="171">
        <v>100.0</v>
      </c>
      <c r="I200" s="171">
        <v>100.0</v>
      </c>
      <c r="J200" s="172">
        <f t="shared" si="2"/>
        <v>0.001160415937</v>
      </c>
      <c r="K200" s="173">
        <f t="shared" si="7"/>
        <v>1.392499125</v>
      </c>
      <c r="L200" s="174">
        <f t="shared" si="4"/>
        <v>15.13161277</v>
      </c>
      <c r="M200" s="175" t="str">
        <f t="shared" si="5"/>
        <v>ddan#2489</v>
      </c>
      <c r="N200" s="176">
        <f>IFERROR(__xludf.DUMMYFUNCTION("""COMPUTED_VALUE"""),5.0)</f>
        <v>5</v>
      </c>
      <c r="O200" s="176"/>
      <c r="P200" s="165" t="s">
        <v>46</v>
      </c>
      <c r="Q200" s="165" t="s">
        <v>483</v>
      </c>
      <c r="R200" s="176"/>
      <c r="S200" s="176"/>
      <c r="T200" s="176"/>
      <c r="U200" s="176"/>
      <c r="V200" s="176"/>
      <c r="W200" s="176"/>
      <c r="X200" s="176"/>
      <c r="Y200" s="176"/>
      <c r="Z200" s="176"/>
      <c r="AA200" s="176"/>
    </row>
    <row r="201">
      <c r="A201" s="165" t="str">
        <f>iferror(VLOOKUP(P201,'DO NOT TOUCH Imported'!$A$1:$D$800,4,False),iferror(VLOOKUP(P201,'DO NOT TOUCH Imported'!$C$1:$D$800,2,False),"OOPS FIX ME"))</f>
        <v>ddan#2489</v>
      </c>
      <c r="B201" s="165" t="s">
        <v>782</v>
      </c>
      <c r="C201" s="170" t="s">
        <v>894</v>
      </c>
      <c r="D201" s="236" t="s">
        <v>437</v>
      </c>
      <c r="E201" s="237">
        <v>44301.0</v>
      </c>
      <c r="F201" s="170" t="s">
        <v>439</v>
      </c>
      <c r="G201" s="170">
        <v>2000.0</v>
      </c>
      <c r="H201" s="171">
        <v>100.0</v>
      </c>
      <c r="I201" s="171">
        <v>100.0</v>
      </c>
      <c r="J201" s="172">
        <f t="shared" si="2"/>
        <v>0.001160415937</v>
      </c>
      <c r="K201" s="173">
        <f t="shared" si="7"/>
        <v>1.392499125</v>
      </c>
      <c r="L201" s="174">
        <f t="shared" si="4"/>
        <v>15.13161277</v>
      </c>
      <c r="M201" s="175" t="str">
        <f t="shared" si="5"/>
        <v>ddan#2489</v>
      </c>
      <c r="N201" s="176">
        <f>IFERROR(__xludf.DUMMYFUNCTION("""COMPUTED_VALUE"""),6.0)</f>
        <v>6</v>
      </c>
      <c r="O201" s="176"/>
      <c r="P201" s="165" t="s">
        <v>46</v>
      </c>
      <c r="Q201" s="165" t="s">
        <v>782</v>
      </c>
      <c r="R201" s="176"/>
      <c r="S201" s="176"/>
      <c r="T201" s="176"/>
      <c r="U201" s="176"/>
      <c r="V201" s="176"/>
      <c r="W201" s="176"/>
      <c r="X201" s="176"/>
      <c r="Y201" s="176"/>
      <c r="Z201" s="176"/>
      <c r="AA201" s="176"/>
    </row>
    <row r="202">
      <c r="A202" s="165" t="str">
        <f>iferror(VLOOKUP(P202,'DO NOT TOUCH Imported'!$A$1:$D$800,4,False),iferror(VLOOKUP(P202,'DO NOT TOUCH Imported'!$C$1:$D$800,2,False),"OOPS FIX ME"))</f>
        <v>ddan#2489</v>
      </c>
      <c r="B202" s="165" t="s">
        <v>443</v>
      </c>
      <c r="C202" s="170" t="s">
        <v>1002</v>
      </c>
      <c r="D202" s="236" t="s">
        <v>437</v>
      </c>
      <c r="E202" s="237">
        <v>44299.0</v>
      </c>
      <c r="F202" s="170" t="s">
        <v>439</v>
      </c>
      <c r="G202" s="170">
        <v>1000.0</v>
      </c>
      <c r="H202" s="171">
        <v>100.0</v>
      </c>
      <c r="I202" s="171">
        <v>100.0</v>
      </c>
      <c r="J202" s="172">
        <f t="shared" si="2"/>
        <v>0.0010126618</v>
      </c>
      <c r="K202" s="173">
        <f t="shared" si="7"/>
        <v>1.21519416</v>
      </c>
      <c r="L202" s="174">
        <f t="shared" si="4"/>
        <v>15.13161277</v>
      </c>
      <c r="M202" s="175" t="str">
        <f t="shared" si="5"/>
        <v>ddan#2489</v>
      </c>
      <c r="N202" s="176">
        <f>IFERROR(__xludf.DUMMYFUNCTION("""COMPUTED_VALUE"""),7.0)</f>
        <v>7</v>
      </c>
      <c r="O202" s="176"/>
      <c r="P202" s="165" t="s">
        <v>46</v>
      </c>
      <c r="Q202" s="165" t="s">
        <v>443</v>
      </c>
      <c r="R202" s="176"/>
      <c r="S202" s="176"/>
      <c r="T202" s="176"/>
      <c r="U202" s="176"/>
      <c r="V202" s="176"/>
      <c r="W202" s="176"/>
      <c r="X202" s="176"/>
      <c r="Y202" s="176"/>
      <c r="Z202" s="176"/>
      <c r="AA202" s="176"/>
    </row>
    <row r="203">
      <c r="A203" s="165" t="str">
        <f>iferror(VLOOKUP(P203,'DO NOT TOUCH Imported'!$A$1:$D$800,4,False),iferror(VLOOKUP(P203,'DO NOT TOUCH Imported'!$C$1:$D$800,2,False),"OOPS FIX ME"))</f>
        <v>ddan#2489</v>
      </c>
      <c r="B203" s="165" t="s">
        <v>443</v>
      </c>
      <c r="C203" s="170" t="s">
        <v>1003</v>
      </c>
      <c r="D203" s="236" t="s">
        <v>437</v>
      </c>
      <c r="E203" s="237">
        <v>44299.0</v>
      </c>
      <c r="F203" s="170" t="s">
        <v>439</v>
      </c>
      <c r="G203" s="170">
        <v>1000.0</v>
      </c>
      <c r="H203" s="171">
        <v>100.0</v>
      </c>
      <c r="I203" s="171">
        <v>100.0</v>
      </c>
      <c r="J203" s="172">
        <f t="shared" si="2"/>
        <v>0.0010126618</v>
      </c>
      <c r="K203" s="173">
        <f t="shared" si="7"/>
        <v>1.21519416</v>
      </c>
      <c r="L203" s="174">
        <f t="shared" si="4"/>
        <v>15.13161277</v>
      </c>
      <c r="M203" s="175" t="str">
        <f t="shared" si="5"/>
        <v>ddan#2489</v>
      </c>
      <c r="N203" s="176">
        <f>IFERROR(__xludf.DUMMYFUNCTION("""COMPUTED_VALUE"""),8.0)</f>
        <v>8</v>
      </c>
      <c r="O203" s="176"/>
      <c r="P203" s="165" t="s">
        <v>46</v>
      </c>
      <c r="Q203" s="165" t="s">
        <v>443</v>
      </c>
      <c r="R203" s="176"/>
      <c r="S203" s="176"/>
      <c r="T203" s="176"/>
      <c r="U203" s="176"/>
      <c r="V203" s="176"/>
      <c r="W203" s="176"/>
      <c r="X203" s="176"/>
      <c r="Y203" s="176"/>
      <c r="Z203" s="176"/>
      <c r="AA203" s="176"/>
    </row>
    <row r="204">
      <c r="A204" s="165" t="str">
        <f>iferror(VLOOKUP(P204,'DO NOT TOUCH Imported'!$A$1:$D$800,4,False),iferror(VLOOKUP(P204,'DO NOT TOUCH Imported'!$C$1:$D$800,2,False),"OOPS FIX ME"))</f>
        <v>ddan#2489</v>
      </c>
      <c r="B204" s="165" t="s">
        <v>566</v>
      </c>
      <c r="C204" s="170" t="s">
        <v>1004</v>
      </c>
      <c r="D204" s="236" t="s">
        <v>499</v>
      </c>
      <c r="E204" s="239">
        <v>44305.0</v>
      </c>
      <c r="F204" s="170" t="s">
        <v>503</v>
      </c>
      <c r="G204" s="170">
        <v>1000.0</v>
      </c>
      <c r="H204" s="171">
        <v>100.0</v>
      </c>
      <c r="I204" s="171">
        <v>100.0</v>
      </c>
      <c r="J204" s="172">
        <f t="shared" si="2"/>
        <v>0.0010126618</v>
      </c>
      <c r="K204" s="173">
        <f t="shared" si="7"/>
        <v>1.21519416</v>
      </c>
      <c r="L204" s="174">
        <f t="shared" si="4"/>
        <v>15.13161277</v>
      </c>
      <c r="M204" s="175" t="str">
        <f t="shared" si="5"/>
        <v>ddan#2489</v>
      </c>
      <c r="N204" s="176">
        <f>IFERROR(__xludf.DUMMYFUNCTION("""COMPUTED_VALUE"""),9.0)</f>
        <v>9</v>
      </c>
      <c r="O204" s="176"/>
      <c r="P204" s="165" t="s">
        <v>46</v>
      </c>
      <c r="Q204" s="165" t="s">
        <v>566</v>
      </c>
      <c r="R204" s="176"/>
      <c r="S204" s="176"/>
      <c r="T204" s="176"/>
      <c r="U204" s="176"/>
      <c r="V204" s="176"/>
      <c r="W204" s="176"/>
      <c r="X204" s="176"/>
      <c r="Y204" s="176"/>
      <c r="Z204" s="176"/>
      <c r="AA204" s="176"/>
    </row>
    <row r="205">
      <c r="A205" s="165" t="str">
        <f>iferror(VLOOKUP(P205,'DO NOT TOUCH Imported'!$A$1:$D$800,4,False),iferror(VLOOKUP(P205,'DO NOT TOUCH Imported'!$C$1:$D$800,2,False),"OOPS FIX ME"))</f>
        <v>ddan#2489</v>
      </c>
      <c r="B205" s="165" t="s">
        <v>441</v>
      </c>
      <c r="C205" s="170" t="s">
        <v>1005</v>
      </c>
      <c r="D205" s="236" t="s">
        <v>437</v>
      </c>
      <c r="E205" s="237">
        <v>44302.0</v>
      </c>
      <c r="F205" s="170" t="s">
        <v>439</v>
      </c>
      <c r="G205" s="170">
        <v>1000.0</v>
      </c>
      <c r="H205" s="171">
        <v>40.0</v>
      </c>
      <c r="I205" s="171">
        <v>40.0</v>
      </c>
      <c r="J205" s="172">
        <f t="shared" si="2"/>
        <v>0.0004937172023</v>
      </c>
      <c r="K205" s="173">
        <f t="shared" si="7"/>
        <v>0.5924606427</v>
      </c>
      <c r="L205" s="174">
        <f t="shared" si="4"/>
        <v>15.13161277</v>
      </c>
      <c r="M205" s="175" t="str">
        <f t="shared" si="5"/>
        <v>ddan#2489</v>
      </c>
      <c r="N205" s="176">
        <f>IFERROR(__xludf.DUMMYFUNCTION("""COMPUTED_VALUE"""),10.0)</f>
        <v>10</v>
      </c>
      <c r="O205" s="176"/>
      <c r="P205" s="165" t="s">
        <v>46</v>
      </c>
      <c r="Q205" s="165" t="s">
        <v>441</v>
      </c>
      <c r="R205" s="176"/>
      <c r="S205" s="176"/>
      <c r="T205" s="176"/>
      <c r="U205" s="176"/>
      <c r="V205" s="176"/>
      <c r="W205" s="176"/>
      <c r="X205" s="176"/>
      <c r="Y205" s="176"/>
      <c r="Z205" s="176"/>
      <c r="AA205" s="176"/>
    </row>
    <row r="206">
      <c r="A206" s="165" t="str">
        <f>iferror(VLOOKUP(P206,'DO NOT TOUCH Imported'!$A$1:$D$800,4,False),iferror(VLOOKUP(P206,'DO NOT TOUCH Imported'!$C$1:$D$800,2,False),"OOPS FIX ME"))</f>
        <v>ddan#2489</v>
      </c>
      <c r="B206" s="165" t="s">
        <v>441</v>
      </c>
      <c r="C206" s="170" t="s">
        <v>1006</v>
      </c>
      <c r="D206" s="236" t="s">
        <v>499</v>
      </c>
      <c r="E206" s="237">
        <v>44302.0</v>
      </c>
      <c r="F206" s="170" t="s">
        <v>503</v>
      </c>
      <c r="G206" s="170">
        <v>500.0</v>
      </c>
      <c r="H206" s="171">
        <v>25.0</v>
      </c>
      <c r="I206" s="171">
        <v>25.0</v>
      </c>
      <c r="J206" s="172">
        <f t="shared" si="2"/>
        <v>0.0002901039843</v>
      </c>
      <c r="K206" s="173">
        <f t="shared" si="7"/>
        <v>0.3481247811</v>
      </c>
      <c r="L206" s="174">
        <f t="shared" si="4"/>
        <v>15.13161277</v>
      </c>
      <c r="M206" s="175" t="str">
        <f t="shared" si="5"/>
        <v>ddan#2489</v>
      </c>
      <c r="N206" s="176">
        <f>IFERROR(__xludf.DUMMYFUNCTION("""COMPUTED_VALUE"""),11.0)</f>
        <v>11</v>
      </c>
      <c r="O206" s="176"/>
      <c r="P206" s="165" t="s">
        <v>46</v>
      </c>
      <c r="Q206" s="165" t="s">
        <v>441</v>
      </c>
      <c r="R206" s="176"/>
      <c r="S206" s="176"/>
      <c r="T206" s="176"/>
      <c r="U206" s="176"/>
      <c r="V206" s="176"/>
      <c r="W206" s="176"/>
      <c r="X206" s="176"/>
      <c r="Y206" s="176"/>
      <c r="Z206" s="176"/>
      <c r="AA206" s="176"/>
    </row>
    <row r="207">
      <c r="A207" s="185" t="s">
        <v>44</v>
      </c>
      <c r="B207" s="196" t="s">
        <v>534</v>
      </c>
      <c r="C207" s="213" t="s">
        <v>688</v>
      </c>
      <c r="D207" s="196"/>
      <c r="E207" s="225"/>
      <c r="F207" s="196"/>
      <c r="G207" s="196"/>
      <c r="H207" s="196"/>
      <c r="I207" s="196"/>
      <c r="J207" s="191">
        <f t="shared" si="2"/>
        <v>0</v>
      </c>
      <c r="K207" s="192">
        <f>28.311*-0.5</f>
        <v>-14.1555</v>
      </c>
      <c r="L207" s="193">
        <f t="shared" si="4"/>
        <v>14.15525285</v>
      </c>
      <c r="M207" s="194" t="str">
        <f t="shared" si="5"/>
        <v>kristoferkristofer</v>
      </c>
      <c r="N207" s="187">
        <f>IFERROR(__xludf.DUMMYFUNCTION("""COMPUTED_VALUE"""),1.0)</f>
        <v>1</v>
      </c>
      <c r="O207" s="212"/>
      <c r="P207" s="196" t="s">
        <v>10</v>
      </c>
      <c r="Q207" s="196" t="s">
        <v>534</v>
      </c>
      <c r="R207" s="187">
        <v>18.802169413641863</v>
      </c>
      <c r="S207" s="212"/>
      <c r="T207" s="212"/>
      <c r="U207" s="212"/>
      <c r="V207" s="212"/>
      <c r="W207" s="212"/>
      <c r="X207" s="212"/>
      <c r="Y207" s="212"/>
      <c r="Z207" s="212"/>
      <c r="AA207" s="226"/>
    </row>
    <row r="208">
      <c r="A208" s="165" t="str">
        <f>iferror(VLOOKUP(P208,'DO NOT TOUCH Imported'!$A$1:$D$800,4,False),iferror(VLOOKUP(P208,'DO NOT TOUCH Imported'!$C$1:$D$800,2,False),"OOPS FIX ME"))</f>
        <v>kristoferkristofer</v>
      </c>
      <c r="B208" s="165" t="s">
        <v>519</v>
      </c>
      <c r="C208" s="170" t="s">
        <v>1007</v>
      </c>
      <c r="D208" s="236" t="s">
        <v>495</v>
      </c>
      <c r="E208" s="239">
        <v>44300.0</v>
      </c>
      <c r="F208" s="170" t="s">
        <v>499</v>
      </c>
      <c r="G208" s="170">
        <v>50000.0</v>
      </c>
      <c r="H208" s="171">
        <v>100.0</v>
      </c>
      <c r="I208" s="171">
        <v>200.0</v>
      </c>
      <c r="J208" s="172">
        <f t="shared" si="2"/>
        <v>0.008681421791</v>
      </c>
      <c r="K208" s="173">
        <f t="shared" ref="K208:K223" si="8">J208*$J$1</f>
        <v>10.41770615</v>
      </c>
      <c r="L208" s="174">
        <f t="shared" si="4"/>
        <v>14.15525285</v>
      </c>
      <c r="M208" s="175" t="str">
        <f t="shared" si="5"/>
        <v>kristoferkristofer</v>
      </c>
      <c r="N208" s="176">
        <f>IFERROR(__xludf.DUMMYFUNCTION("""COMPUTED_VALUE"""),2.0)</f>
        <v>2</v>
      </c>
      <c r="O208" s="176"/>
      <c r="P208" s="165" t="s">
        <v>44</v>
      </c>
      <c r="Q208" s="165" t="s">
        <v>519</v>
      </c>
      <c r="R208" s="176"/>
      <c r="S208" s="176"/>
      <c r="T208" s="176"/>
      <c r="U208" s="176"/>
      <c r="V208" s="176"/>
      <c r="W208" s="176"/>
      <c r="X208" s="176"/>
      <c r="Y208" s="176"/>
      <c r="Z208" s="176"/>
      <c r="AA208" s="176"/>
    </row>
    <row r="209">
      <c r="A209" s="165" t="str">
        <f>iferror(VLOOKUP(P209,'DO NOT TOUCH Imported'!$A$1:$D$800,4,False),iferror(VLOOKUP(P209,'DO NOT TOUCH Imported'!$C$1:$D$800,2,False),"OOPS FIX ME"))</f>
        <v>kristoferkristofer</v>
      </c>
      <c r="B209" s="165" t="s">
        <v>435</v>
      </c>
      <c r="C209" s="170" t="s">
        <v>1008</v>
      </c>
      <c r="D209" s="236" t="s">
        <v>437</v>
      </c>
      <c r="E209" s="237">
        <v>44304.0</v>
      </c>
      <c r="F209" s="170" t="s">
        <v>439</v>
      </c>
      <c r="G209" s="220">
        <v>10000.0</v>
      </c>
      <c r="H209" s="171">
        <v>100.0</v>
      </c>
      <c r="I209" s="171">
        <v>150.0</v>
      </c>
      <c r="J209" s="172">
        <f t="shared" si="2"/>
        <v>0.00255685267</v>
      </c>
      <c r="K209" s="173">
        <f t="shared" si="8"/>
        <v>3.068223204</v>
      </c>
      <c r="L209" s="174">
        <f t="shared" si="4"/>
        <v>14.15525285</v>
      </c>
      <c r="M209" s="175" t="str">
        <f t="shared" si="5"/>
        <v>kristoferkristofer</v>
      </c>
      <c r="N209" s="176">
        <f>IFERROR(__xludf.DUMMYFUNCTION("""COMPUTED_VALUE"""),3.0)</f>
        <v>3</v>
      </c>
      <c r="O209" s="176"/>
      <c r="P209" s="165" t="s">
        <v>811</v>
      </c>
      <c r="Q209" s="165" t="s">
        <v>435</v>
      </c>
      <c r="R209" s="176"/>
      <c r="S209" s="176"/>
      <c r="T209" s="176"/>
      <c r="U209" s="176"/>
      <c r="V209" s="176"/>
      <c r="W209" s="176"/>
      <c r="X209" s="176"/>
      <c r="Y209" s="176"/>
      <c r="Z209" s="176"/>
      <c r="AA209" s="176"/>
    </row>
    <row r="210">
      <c r="A210" s="165" t="str">
        <f>iferror(VLOOKUP(P210,'DO NOT TOUCH Imported'!$A$1:$D$800,4,False),iferror(VLOOKUP(P210,'DO NOT TOUCH Imported'!$C$1:$D$800,2,False),"OOPS FIX ME"))</f>
        <v>kristoferkristofer</v>
      </c>
      <c r="B210" s="165" t="s">
        <v>490</v>
      </c>
      <c r="C210" s="170" t="s">
        <v>1009</v>
      </c>
      <c r="D210" s="236" t="s">
        <v>437</v>
      </c>
      <c r="E210" s="237">
        <v>44308.0</v>
      </c>
      <c r="F210" s="170" t="s">
        <v>439</v>
      </c>
      <c r="G210" s="170">
        <v>5000.0</v>
      </c>
      <c r="H210" s="171">
        <v>150.0</v>
      </c>
      <c r="I210" s="171">
        <v>200.0</v>
      </c>
      <c r="J210" s="172">
        <f t="shared" si="2"/>
        <v>0.002250535816</v>
      </c>
      <c r="K210" s="173">
        <f t="shared" si="8"/>
        <v>2.700642979</v>
      </c>
      <c r="L210" s="174">
        <f t="shared" si="4"/>
        <v>14.15525285</v>
      </c>
      <c r="M210" s="175" t="str">
        <f t="shared" si="5"/>
        <v>kristoferkristofer</v>
      </c>
      <c r="N210" s="176">
        <f>IFERROR(__xludf.DUMMYFUNCTION("""COMPUTED_VALUE"""),4.0)</f>
        <v>4</v>
      </c>
      <c r="O210" s="176"/>
      <c r="P210" s="165" t="s">
        <v>811</v>
      </c>
      <c r="Q210" s="165" t="s">
        <v>490</v>
      </c>
      <c r="R210" s="176"/>
      <c r="S210" s="176"/>
      <c r="T210" s="176"/>
      <c r="U210" s="176"/>
      <c r="V210" s="176"/>
      <c r="W210" s="176"/>
      <c r="X210" s="176"/>
      <c r="Y210" s="176"/>
      <c r="Z210" s="176"/>
      <c r="AA210" s="176"/>
    </row>
    <row r="211">
      <c r="A211" s="165" t="str">
        <f>iferror(VLOOKUP(P211,'DO NOT TOUCH Imported'!$A$1:$D$800,4,False),iferror(VLOOKUP(P211,'DO NOT TOUCH Imported'!$C$1:$D$800,2,False),"OOPS FIX ME"))</f>
        <v>kristoferkristofer</v>
      </c>
      <c r="B211" s="165" t="s">
        <v>441</v>
      </c>
      <c r="C211" s="170" t="s">
        <v>1010</v>
      </c>
      <c r="D211" s="236" t="s">
        <v>437</v>
      </c>
      <c r="E211" s="237">
        <v>44309.0</v>
      </c>
      <c r="F211" s="170" t="s">
        <v>439</v>
      </c>
      <c r="G211" s="170">
        <v>5000.0</v>
      </c>
      <c r="H211" s="171">
        <v>100.0</v>
      </c>
      <c r="I211" s="171">
        <v>200.0</v>
      </c>
      <c r="J211" s="172">
        <f t="shared" si="2"/>
        <v>0.002032485621</v>
      </c>
      <c r="K211" s="173">
        <f t="shared" si="8"/>
        <v>2.438982745</v>
      </c>
      <c r="L211" s="174">
        <f t="shared" si="4"/>
        <v>14.15525285</v>
      </c>
      <c r="M211" s="175" t="str">
        <f t="shared" si="5"/>
        <v>kristoferkristofer</v>
      </c>
      <c r="N211" s="176">
        <f>IFERROR(__xludf.DUMMYFUNCTION("""COMPUTED_VALUE"""),5.0)</f>
        <v>5</v>
      </c>
      <c r="O211" s="176"/>
      <c r="P211" s="165" t="s">
        <v>811</v>
      </c>
      <c r="Q211" s="165" t="s">
        <v>441</v>
      </c>
      <c r="R211" s="176"/>
      <c r="S211" s="176"/>
      <c r="T211" s="176"/>
      <c r="U211" s="176"/>
      <c r="V211" s="176"/>
      <c r="W211" s="176"/>
      <c r="X211" s="176"/>
      <c r="Y211" s="176"/>
      <c r="Z211" s="176"/>
      <c r="AA211" s="176"/>
    </row>
    <row r="212">
      <c r="A212" s="165" t="str">
        <f>iferror(VLOOKUP(P212,'DO NOT TOUCH Imported'!$A$1:$D$800,4,False),iferror(VLOOKUP(P212,'DO NOT TOUCH Imported'!$C$1:$D$800,2,False),"OOPS FIX ME"))</f>
        <v>kristoferkristofer</v>
      </c>
      <c r="B212" s="165" t="s">
        <v>486</v>
      </c>
      <c r="C212" s="170" t="s">
        <v>1011</v>
      </c>
      <c r="D212" s="236" t="s">
        <v>437</v>
      </c>
      <c r="E212" s="237">
        <v>44305.0</v>
      </c>
      <c r="F212" s="170" t="s">
        <v>439</v>
      </c>
      <c r="G212" s="170">
        <v>5000.0</v>
      </c>
      <c r="H212" s="171">
        <v>100.0</v>
      </c>
      <c r="I212" s="171">
        <v>100.0</v>
      </c>
      <c r="J212" s="172">
        <f t="shared" si="2"/>
        <v>0.001603678348</v>
      </c>
      <c r="K212" s="173">
        <f t="shared" si="8"/>
        <v>1.924414018</v>
      </c>
      <c r="L212" s="174">
        <f t="shared" si="4"/>
        <v>14.15525285</v>
      </c>
      <c r="M212" s="175" t="str">
        <f t="shared" si="5"/>
        <v>kristoferkristofer</v>
      </c>
      <c r="N212" s="176">
        <f>IFERROR(__xludf.DUMMYFUNCTION("""COMPUTED_VALUE"""),6.0)</f>
        <v>6</v>
      </c>
      <c r="O212" s="176"/>
      <c r="P212" s="165" t="s">
        <v>811</v>
      </c>
      <c r="Q212" s="165" t="s">
        <v>486</v>
      </c>
      <c r="R212" s="176"/>
      <c r="S212" s="176"/>
      <c r="T212" s="176"/>
      <c r="U212" s="176"/>
      <c r="V212" s="176"/>
      <c r="W212" s="176"/>
      <c r="X212" s="176"/>
      <c r="Y212" s="176"/>
      <c r="Z212" s="176"/>
      <c r="AA212" s="176"/>
    </row>
    <row r="213">
      <c r="A213" s="165" t="str">
        <f>iferror(VLOOKUP(P213,'DO NOT TOUCH Imported'!$A$1:$D$800,4,False),iferror(VLOOKUP(P213,'DO NOT TOUCH Imported'!$C$1:$D$800,2,False),"OOPS FIX ME"))</f>
        <v>kristoferkristofer</v>
      </c>
      <c r="B213" s="165" t="s">
        <v>441</v>
      </c>
      <c r="C213" s="170" t="s">
        <v>990</v>
      </c>
      <c r="D213" s="236" t="s">
        <v>437</v>
      </c>
      <c r="E213" s="237">
        <v>44309.0</v>
      </c>
      <c r="F213" s="170" t="s">
        <v>439</v>
      </c>
      <c r="G213" s="170">
        <v>5000.0</v>
      </c>
      <c r="H213" s="171">
        <v>100.0</v>
      </c>
      <c r="I213" s="171">
        <v>100.0</v>
      </c>
      <c r="J213" s="172">
        <f t="shared" si="2"/>
        <v>0.001603678348</v>
      </c>
      <c r="K213" s="173">
        <f t="shared" si="8"/>
        <v>1.924414018</v>
      </c>
      <c r="L213" s="174">
        <f t="shared" si="4"/>
        <v>14.15525285</v>
      </c>
      <c r="M213" s="175" t="str">
        <f t="shared" si="5"/>
        <v>kristoferkristofer</v>
      </c>
      <c r="N213" s="176">
        <f>IFERROR(__xludf.DUMMYFUNCTION("""COMPUTED_VALUE"""),7.0)</f>
        <v>7</v>
      </c>
      <c r="O213" s="176"/>
      <c r="P213" s="165" t="s">
        <v>811</v>
      </c>
      <c r="Q213" s="165" t="s">
        <v>441</v>
      </c>
      <c r="R213" s="176"/>
      <c r="S213" s="176"/>
      <c r="T213" s="176"/>
      <c r="U213" s="176"/>
      <c r="V213" s="176"/>
      <c r="W213" s="176"/>
      <c r="X213" s="176"/>
      <c r="Y213" s="176"/>
      <c r="Z213" s="176"/>
      <c r="AA213" s="176"/>
    </row>
    <row r="214">
      <c r="A214" s="165" t="str">
        <f>iferror(VLOOKUP(P214,'DO NOT TOUCH Imported'!$A$1:$D$800,4,False),iferror(VLOOKUP(P214,'DO NOT TOUCH Imported'!$C$1:$D$800,2,False),"OOPS FIX ME"))</f>
        <v>kristoferkristofer</v>
      </c>
      <c r="B214" s="165" t="s">
        <v>45</v>
      </c>
      <c r="C214" s="170" t="s">
        <v>993</v>
      </c>
      <c r="D214" s="236" t="s">
        <v>499</v>
      </c>
      <c r="E214" s="237">
        <v>44308.0</v>
      </c>
      <c r="F214" s="170" t="s">
        <v>503</v>
      </c>
      <c r="G214" s="170">
        <v>2000.0</v>
      </c>
      <c r="H214" s="171">
        <v>100.0</v>
      </c>
      <c r="I214" s="171">
        <v>100.0</v>
      </c>
      <c r="J214" s="172">
        <f t="shared" si="2"/>
        <v>0.001160415937</v>
      </c>
      <c r="K214" s="173">
        <f t="shared" si="8"/>
        <v>1.392499125</v>
      </c>
      <c r="L214" s="174">
        <f t="shared" si="4"/>
        <v>14.15525285</v>
      </c>
      <c r="M214" s="175" t="str">
        <f t="shared" si="5"/>
        <v>kristoferkristofer</v>
      </c>
      <c r="N214" s="176">
        <f>IFERROR(__xludf.DUMMYFUNCTION("""COMPUTED_VALUE"""),8.0)</f>
        <v>8</v>
      </c>
      <c r="O214" s="176"/>
      <c r="P214" s="165" t="s">
        <v>811</v>
      </c>
      <c r="Q214" s="165" t="s">
        <v>45</v>
      </c>
      <c r="R214" s="176"/>
      <c r="S214" s="176"/>
      <c r="T214" s="176"/>
      <c r="U214" s="176"/>
      <c r="V214" s="176"/>
      <c r="W214" s="176"/>
      <c r="X214" s="176"/>
      <c r="Y214" s="176"/>
      <c r="Z214" s="176"/>
      <c r="AA214" s="176"/>
    </row>
    <row r="215">
      <c r="A215" s="165" t="str">
        <f>iferror(VLOOKUP(P215,'DO NOT TOUCH Imported'!$A$1:$D$800,4,False),iferror(VLOOKUP(P215,'DO NOT TOUCH Imported'!$C$1:$D$800,2,False),"OOPS FIX ME"))</f>
        <v>kristoferkristofer</v>
      </c>
      <c r="B215" s="165" t="s">
        <v>435</v>
      </c>
      <c r="C215" s="170" t="s">
        <v>1012</v>
      </c>
      <c r="D215" s="236" t="s">
        <v>499</v>
      </c>
      <c r="E215" s="237">
        <v>44305.0</v>
      </c>
      <c r="F215" s="170" t="s">
        <v>503</v>
      </c>
      <c r="G215" s="170">
        <v>1000.0</v>
      </c>
      <c r="H215" s="171">
        <v>100.0</v>
      </c>
      <c r="I215" s="171">
        <v>100.0</v>
      </c>
      <c r="J215" s="172">
        <f t="shared" si="2"/>
        <v>0.0010126618</v>
      </c>
      <c r="K215" s="173">
        <f t="shared" si="8"/>
        <v>1.21519416</v>
      </c>
      <c r="L215" s="174">
        <f t="shared" si="4"/>
        <v>14.15525285</v>
      </c>
      <c r="M215" s="175" t="str">
        <f t="shared" si="5"/>
        <v>kristoferkristofer</v>
      </c>
      <c r="N215" s="176">
        <f>IFERROR(__xludf.DUMMYFUNCTION("""COMPUTED_VALUE"""),9.0)</f>
        <v>9</v>
      </c>
      <c r="O215" s="176"/>
      <c r="P215" s="165" t="s">
        <v>811</v>
      </c>
      <c r="Q215" s="165" t="s">
        <v>435</v>
      </c>
      <c r="R215" s="176"/>
      <c r="S215" s="176"/>
      <c r="T215" s="176"/>
      <c r="U215" s="176"/>
      <c r="V215" s="176"/>
      <c r="W215" s="176"/>
      <c r="X215" s="176"/>
      <c r="Y215" s="176"/>
      <c r="Z215" s="176"/>
      <c r="AA215" s="176"/>
    </row>
    <row r="216">
      <c r="A216" s="165" t="str">
        <f>iferror(VLOOKUP(P216,'DO NOT TOUCH Imported'!$A$1:$D$800,4,False),iferror(VLOOKUP(P216,'DO NOT TOUCH Imported'!$C$1:$D$800,2,False),"OOPS FIX ME"))</f>
        <v>kristoferkristofer</v>
      </c>
      <c r="B216" s="165" t="s">
        <v>441</v>
      </c>
      <c r="C216" s="170" t="s">
        <v>1013</v>
      </c>
      <c r="D216" s="236" t="s">
        <v>437</v>
      </c>
      <c r="E216" s="239">
        <v>44309.0</v>
      </c>
      <c r="F216" s="170" t="s">
        <v>439</v>
      </c>
      <c r="G216" s="170">
        <v>1000.0</v>
      </c>
      <c r="H216" s="171">
        <v>100.0</v>
      </c>
      <c r="I216" s="171">
        <v>100.0</v>
      </c>
      <c r="J216" s="172">
        <f t="shared" si="2"/>
        <v>0.0010126618</v>
      </c>
      <c r="K216" s="173">
        <f t="shared" si="8"/>
        <v>1.21519416</v>
      </c>
      <c r="L216" s="174">
        <f t="shared" si="4"/>
        <v>14.15525285</v>
      </c>
      <c r="M216" s="175" t="str">
        <f t="shared" si="5"/>
        <v>kristoferkristofer</v>
      </c>
      <c r="N216" s="176">
        <f>IFERROR(__xludf.DUMMYFUNCTION("""COMPUTED_VALUE"""),10.0)</f>
        <v>10</v>
      </c>
      <c r="O216" s="176"/>
      <c r="P216" s="165" t="s">
        <v>811</v>
      </c>
      <c r="Q216" s="165" t="s">
        <v>441</v>
      </c>
      <c r="R216" s="176"/>
      <c r="S216" s="176"/>
      <c r="T216" s="176"/>
      <c r="U216" s="176"/>
      <c r="V216" s="176"/>
      <c r="W216" s="176"/>
      <c r="X216" s="176"/>
      <c r="Y216" s="176"/>
      <c r="Z216" s="176"/>
      <c r="AA216" s="176"/>
    </row>
    <row r="217">
      <c r="A217" s="165" t="str">
        <f>iferror(VLOOKUP(P217,'DO NOT TOUCH Imported'!$A$1:$D$800,4,False),iferror(VLOOKUP(P217,'DO NOT TOUCH Imported'!$C$1:$D$800,2,False),"OOPS FIX ME"))</f>
        <v>kristoferkristofer</v>
      </c>
      <c r="B217" s="165" t="s">
        <v>490</v>
      </c>
      <c r="C217" s="170" t="s">
        <v>980</v>
      </c>
      <c r="D217" s="236" t="s">
        <v>437</v>
      </c>
      <c r="E217" s="239">
        <v>44309.0</v>
      </c>
      <c r="F217" s="170" t="s">
        <v>439</v>
      </c>
      <c r="G217" s="170">
        <v>1000.0</v>
      </c>
      <c r="H217" s="171">
        <v>80.0</v>
      </c>
      <c r="I217" s="171">
        <v>100.0</v>
      </c>
      <c r="J217" s="172">
        <f t="shared" si="2"/>
        <v>0.0009254417219</v>
      </c>
      <c r="K217" s="173">
        <f t="shared" si="8"/>
        <v>1.110530066</v>
      </c>
      <c r="L217" s="174">
        <f t="shared" si="4"/>
        <v>14.15525285</v>
      </c>
      <c r="M217" s="175" t="str">
        <f t="shared" si="5"/>
        <v>kristoferkristofer</v>
      </c>
      <c r="N217" s="176">
        <f>IFERROR(__xludf.DUMMYFUNCTION("""COMPUTED_VALUE"""),11.0)</f>
        <v>11</v>
      </c>
      <c r="O217" s="176"/>
      <c r="P217" s="165" t="s">
        <v>811</v>
      </c>
      <c r="Q217" s="165" t="s">
        <v>490</v>
      </c>
      <c r="R217" s="176"/>
      <c r="S217" s="176"/>
      <c r="T217" s="176"/>
      <c r="U217" s="176"/>
      <c r="V217" s="176"/>
      <c r="W217" s="176"/>
      <c r="X217" s="176"/>
      <c r="Y217" s="176"/>
      <c r="Z217" s="176"/>
      <c r="AA217" s="176"/>
    </row>
    <row r="218">
      <c r="A218" s="165" t="str">
        <f>iferror(VLOOKUP(P218,'DO NOT TOUCH Imported'!$A$1:$D$800,4,False),iferror(VLOOKUP(P218,'DO NOT TOUCH Imported'!$C$1:$D$800,2,False),"OOPS FIX ME"))</f>
        <v>kristoferkristofer</v>
      </c>
      <c r="B218" s="165" t="s">
        <v>435</v>
      </c>
      <c r="C218" s="170" t="s">
        <v>910</v>
      </c>
      <c r="D218" s="236" t="s">
        <v>437</v>
      </c>
      <c r="E218" s="239">
        <v>44302.0</v>
      </c>
      <c r="F218" s="170" t="s">
        <v>911</v>
      </c>
      <c r="G218" s="170">
        <v>1000.0</v>
      </c>
      <c r="H218" s="171">
        <v>60.0</v>
      </c>
      <c r="I218" s="171">
        <v>80.0</v>
      </c>
      <c r="J218" s="172">
        <f t="shared" si="2"/>
        <v>0.0007524601894</v>
      </c>
      <c r="K218" s="173">
        <f t="shared" si="8"/>
        <v>0.9029522272</v>
      </c>
      <c r="L218" s="174">
        <f t="shared" si="4"/>
        <v>14.15525285</v>
      </c>
      <c r="M218" s="175" t="str">
        <f t="shared" si="5"/>
        <v>kristoferkristofer</v>
      </c>
      <c r="N218" s="176">
        <f>IFERROR(__xludf.DUMMYFUNCTION("""COMPUTED_VALUE"""),12.0)</f>
        <v>12</v>
      </c>
      <c r="O218" s="176"/>
      <c r="P218" s="165" t="s">
        <v>811</v>
      </c>
      <c r="Q218" s="165" t="s">
        <v>435</v>
      </c>
      <c r="R218" s="176"/>
      <c r="S218" s="176"/>
      <c r="T218" s="176"/>
      <c r="U218" s="176"/>
      <c r="V218" s="176"/>
      <c r="W218" s="176"/>
      <c r="X218" s="176"/>
      <c r="Y218" s="176"/>
      <c r="Z218" s="176"/>
      <c r="AA218" s="176"/>
    </row>
    <row r="219">
      <c r="A219" s="165" t="str">
        <f>iferror(VLOOKUP(P219,'DO NOT TOUCH Imported'!$A$1:$D$800,4,False),iferror(VLOOKUP(P219,'DO NOT TOUCH Imported'!$C$1:$D$800,2,False),"OOPS FIX ME"))</f>
        <v>shawn_westrick</v>
      </c>
      <c r="B219" s="165" t="s">
        <v>441</v>
      </c>
      <c r="C219" s="170" t="s">
        <v>1014</v>
      </c>
      <c r="D219" s="236" t="s">
        <v>437</v>
      </c>
      <c r="E219" s="239">
        <v>44309.0</v>
      </c>
      <c r="F219" s="170" t="s">
        <v>439</v>
      </c>
      <c r="G219" s="170">
        <v>5000.0</v>
      </c>
      <c r="H219" s="171">
        <v>250.0</v>
      </c>
      <c r="I219" s="171">
        <v>250.0</v>
      </c>
      <c r="J219" s="172">
        <f t="shared" si="2"/>
        <v>0.002901039843</v>
      </c>
      <c r="K219" s="173">
        <f t="shared" si="8"/>
        <v>3.481247811</v>
      </c>
      <c r="L219" s="174">
        <f t="shared" si="4"/>
        <v>13.92077269</v>
      </c>
      <c r="M219" s="175" t="str">
        <f t="shared" si="5"/>
        <v>shawn_westrick</v>
      </c>
      <c r="N219" s="176">
        <f>IFERROR(__xludf.DUMMYFUNCTION("""COMPUTED_VALUE"""),1.0)</f>
        <v>1</v>
      </c>
      <c r="O219" s="176"/>
      <c r="P219" s="165" t="s">
        <v>620</v>
      </c>
      <c r="Q219" s="165" t="s">
        <v>441</v>
      </c>
      <c r="R219" s="176"/>
      <c r="S219" s="176"/>
      <c r="T219" s="176"/>
      <c r="U219" s="176"/>
      <c r="V219" s="176"/>
      <c r="W219" s="176"/>
      <c r="X219" s="176"/>
      <c r="Y219" s="176"/>
      <c r="Z219" s="176"/>
      <c r="AA219" s="176"/>
    </row>
    <row r="220">
      <c r="A220" s="165" t="str">
        <f>iferror(VLOOKUP(P220,'DO NOT TOUCH Imported'!$A$1:$D$800,4,False),iferror(VLOOKUP(P220,'DO NOT TOUCH Imported'!$C$1:$D$800,2,False),"OOPS FIX ME"))</f>
        <v>shawn_westrick</v>
      </c>
      <c r="B220" s="165" t="s">
        <v>576</v>
      </c>
      <c r="C220" s="170" t="s">
        <v>1015</v>
      </c>
      <c r="D220" s="236" t="s">
        <v>437</v>
      </c>
      <c r="E220" s="237">
        <v>44302.0</v>
      </c>
      <c r="F220" s="170" t="s">
        <v>439</v>
      </c>
      <c r="G220" s="170">
        <v>5000.0</v>
      </c>
      <c r="H220" s="171">
        <v>250.0</v>
      </c>
      <c r="I220" s="171">
        <v>300.0</v>
      </c>
      <c r="J220" s="172">
        <f t="shared" si="2"/>
        <v>0.003115443479</v>
      </c>
      <c r="K220" s="173">
        <f t="shared" si="8"/>
        <v>3.738532175</v>
      </c>
      <c r="L220" s="174">
        <f t="shared" si="4"/>
        <v>13.92077269</v>
      </c>
      <c r="M220" s="175" t="str">
        <f t="shared" si="5"/>
        <v>shawn_westrick</v>
      </c>
      <c r="N220" s="176">
        <f>IFERROR(__xludf.DUMMYFUNCTION("""COMPUTED_VALUE"""),2.0)</f>
        <v>2</v>
      </c>
      <c r="O220" s="176"/>
      <c r="P220" s="165" t="s">
        <v>620</v>
      </c>
      <c r="Q220" s="165" t="s">
        <v>576</v>
      </c>
      <c r="R220" s="176"/>
      <c r="S220" s="176"/>
      <c r="T220" s="176"/>
      <c r="U220" s="176"/>
      <c r="V220" s="176"/>
      <c r="W220" s="176"/>
      <c r="X220" s="176"/>
      <c r="Y220" s="176"/>
      <c r="Z220" s="176"/>
      <c r="AA220" s="176"/>
    </row>
    <row r="221">
      <c r="A221" s="165" t="str">
        <f>iferror(VLOOKUP(P221,'DO NOT TOUCH Imported'!$A$1:$D$800,4,False),iferror(VLOOKUP(P221,'DO NOT TOUCH Imported'!$C$1:$D$800,2,False),"OOPS FIX ME"))</f>
        <v>shawn_westrick</v>
      </c>
      <c r="B221" s="165" t="s">
        <v>443</v>
      </c>
      <c r="C221" s="170" t="s">
        <v>890</v>
      </c>
      <c r="D221" s="236" t="s">
        <v>437</v>
      </c>
      <c r="E221" s="237">
        <v>44310.0</v>
      </c>
      <c r="F221" s="170" t="s">
        <v>439</v>
      </c>
      <c r="G221" s="170">
        <v>5000.0</v>
      </c>
      <c r="H221" s="171">
        <v>250.0</v>
      </c>
      <c r="I221" s="171">
        <v>100.0</v>
      </c>
      <c r="J221" s="172">
        <f t="shared" si="2"/>
        <v>0.002257828934</v>
      </c>
      <c r="K221" s="173">
        <f t="shared" si="8"/>
        <v>2.709394721</v>
      </c>
      <c r="L221" s="174">
        <f t="shared" si="4"/>
        <v>13.92077269</v>
      </c>
      <c r="M221" s="175" t="str">
        <f t="shared" si="5"/>
        <v>shawn_westrick</v>
      </c>
      <c r="N221" s="176">
        <f>IFERROR(__xludf.DUMMYFUNCTION("""COMPUTED_VALUE"""),3.0)</f>
        <v>3</v>
      </c>
      <c r="O221" s="176"/>
      <c r="P221" s="165" t="s">
        <v>620</v>
      </c>
      <c r="Q221" s="165" t="s">
        <v>443</v>
      </c>
      <c r="R221" s="176"/>
      <c r="S221" s="176"/>
      <c r="T221" s="176"/>
      <c r="U221" s="176"/>
      <c r="V221" s="176"/>
      <c r="W221" s="176"/>
      <c r="X221" s="176"/>
      <c r="Y221" s="176"/>
      <c r="Z221" s="176"/>
      <c r="AA221" s="176"/>
    </row>
    <row r="222">
      <c r="A222" s="165" t="str">
        <f>iferror(VLOOKUP(P222,'DO NOT TOUCH Imported'!$A$1:$D$800,4,False),iferror(VLOOKUP(P222,'DO NOT TOUCH Imported'!$C$1:$D$800,2,False),"OOPS FIX ME"))</f>
        <v>shawn_westrick</v>
      </c>
      <c r="B222" s="165" t="s">
        <v>441</v>
      </c>
      <c r="C222" s="170" t="s">
        <v>943</v>
      </c>
      <c r="D222" s="236" t="s">
        <v>437</v>
      </c>
      <c r="E222" s="239">
        <v>44309.0</v>
      </c>
      <c r="F222" s="170" t="s">
        <v>439</v>
      </c>
      <c r="G222" s="170">
        <v>1000.0</v>
      </c>
      <c r="H222" s="171">
        <v>200.0</v>
      </c>
      <c r="I222" s="171">
        <v>150.0</v>
      </c>
      <c r="J222" s="172">
        <f t="shared" si="2"/>
        <v>0.001663165827</v>
      </c>
      <c r="K222" s="173">
        <f t="shared" si="8"/>
        <v>1.995798992</v>
      </c>
      <c r="L222" s="174">
        <f t="shared" si="4"/>
        <v>13.92077269</v>
      </c>
      <c r="M222" s="175" t="str">
        <f t="shared" si="5"/>
        <v>shawn_westrick</v>
      </c>
      <c r="N222" s="176">
        <f>IFERROR(__xludf.DUMMYFUNCTION("""COMPUTED_VALUE"""),4.0)</f>
        <v>4</v>
      </c>
      <c r="O222" s="176"/>
      <c r="P222" s="165" t="s">
        <v>620</v>
      </c>
      <c r="Q222" s="165" t="s">
        <v>441</v>
      </c>
      <c r="R222" s="176"/>
      <c r="S222" s="176"/>
      <c r="T222" s="176"/>
      <c r="U222" s="176"/>
      <c r="V222" s="176"/>
      <c r="W222" s="176"/>
      <c r="X222" s="176"/>
      <c r="Y222" s="176"/>
      <c r="Z222" s="176"/>
      <c r="AA222" s="176"/>
    </row>
    <row r="223">
      <c r="A223" s="165" t="str">
        <f>iferror(VLOOKUP(P223,'DO NOT TOUCH Imported'!$A$1:$D$800,4,False),iferror(VLOOKUP(P223,'DO NOT TOUCH Imported'!$C$1:$D$800,2,False),"OOPS FIX ME"))</f>
        <v>shawn_westrick</v>
      </c>
      <c r="B223" s="165" t="s">
        <v>576</v>
      </c>
      <c r="C223" s="170" t="s">
        <v>919</v>
      </c>
      <c r="D223" s="236" t="s">
        <v>437</v>
      </c>
      <c r="E223" s="237">
        <v>44302.0</v>
      </c>
      <c r="F223" s="170" t="s">
        <v>439</v>
      </c>
      <c r="G223" s="170">
        <v>1000.0</v>
      </c>
      <c r="H223" s="171">
        <v>200.0</v>
      </c>
      <c r="I223" s="171">
        <v>150.0</v>
      </c>
      <c r="J223" s="172">
        <f t="shared" si="2"/>
        <v>0.001663165827</v>
      </c>
      <c r="K223" s="173">
        <f t="shared" si="8"/>
        <v>1.995798992</v>
      </c>
      <c r="L223" s="174">
        <f t="shared" si="4"/>
        <v>13.92077269</v>
      </c>
      <c r="M223" s="175" t="str">
        <f t="shared" si="5"/>
        <v>shawn_westrick</v>
      </c>
      <c r="N223" s="176">
        <f>IFERROR(__xludf.DUMMYFUNCTION("""COMPUTED_VALUE"""),5.0)</f>
        <v>5</v>
      </c>
      <c r="O223" s="176"/>
      <c r="P223" s="165" t="s">
        <v>620</v>
      </c>
      <c r="Q223" s="165" t="s">
        <v>576</v>
      </c>
      <c r="R223" s="176"/>
      <c r="S223" s="176"/>
      <c r="T223" s="176"/>
      <c r="U223" s="176"/>
      <c r="V223" s="176"/>
      <c r="W223" s="176"/>
      <c r="X223" s="176"/>
      <c r="Y223" s="176"/>
      <c r="Z223" s="176"/>
      <c r="AA223" s="176"/>
    </row>
    <row r="224">
      <c r="A224" s="165" t="str">
        <f>iferror(VLOOKUP(P224,'DO NOT TOUCH Imported'!$A$1:$D$800,4,False),iferror(VLOOKUP(P224,'DO NOT TOUCH Imported'!$C$1:$D$800,2,False),"OOPS FIX ME"))</f>
        <v>Laurenluz</v>
      </c>
      <c r="B224" s="185" t="s">
        <v>534</v>
      </c>
      <c r="C224" s="186" t="s">
        <v>669</v>
      </c>
      <c r="D224" s="187"/>
      <c r="E224" s="188"/>
      <c r="F224" s="189"/>
      <c r="G224" s="190"/>
      <c r="H224" s="190"/>
      <c r="I224" s="190"/>
      <c r="J224" s="191">
        <f t="shared" si="2"/>
        <v>0</v>
      </c>
      <c r="K224" s="192">
        <f>21.488*-0.5</f>
        <v>-10.744</v>
      </c>
      <c r="L224" s="193">
        <f t="shared" si="4"/>
        <v>10.74350945</v>
      </c>
      <c r="M224" s="194" t="str">
        <f t="shared" si="5"/>
        <v>Laurenluz</v>
      </c>
      <c r="N224" s="195">
        <f>IFERROR(__xludf.DUMMYFUNCTION("""COMPUTED_VALUE"""),1.0)</f>
        <v>1</v>
      </c>
      <c r="O224" s="195"/>
      <c r="P224" s="165" t="s">
        <v>23</v>
      </c>
      <c r="Q224" s="185" t="s">
        <v>534</v>
      </c>
      <c r="R224" s="195">
        <v>18.802169413641863</v>
      </c>
      <c r="S224" s="195"/>
      <c r="T224" s="195"/>
      <c r="U224" s="195"/>
      <c r="V224" s="195"/>
      <c r="W224" s="195"/>
      <c r="X224" s="195"/>
      <c r="Y224" s="195"/>
      <c r="Z224" s="195"/>
      <c r="AA224" s="176"/>
    </row>
    <row r="225">
      <c r="A225" s="165" t="str">
        <f>iferror(VLOOKUP(P225,'DO NOT TOUCH Imported'!$A$1:$D$800,4,False),iferror(VLOOKUP(P225,'DO NOT TOUCH Imported'!$C$1:$D$800,2,False),"OOPS FIX ME"))</f>
        <v>Laurenluz</v>
      </c>
      <c r="B225" s="165" t="s">
        <v>441</v>
      </c>
      <c r="C225" s="170" t="s">
        <v>928</v>
      </c>
      <c r="D225" s="236" t="s">
        <v>437</v>
      </c>
      <c r="E225" s="237">
        <v>44309.0</v>
      </c>
      <c r="F225" s="170" t="s">
        <v>439</v>
      </c>
      <c r="G225" s="170">
        <v>5000.0</v>
      </c>
      <c r="H225" s="171">
        <v>100.0</v>
      </c>
      <c r="I225" s="171">
        <v>250.0</v>
      </c>
      <c r="J225" s="172">
        <f t="shared" si="2"/>
        <v>0.002246889257</v>
      </c>
      <c r="K225" s="173">
        <f t="shared" ref="K225:K240" si="9">J225*$J$1</f>
        <v>2.696267109</v>
      </c>
      <c r="L225" s="174">
        <f t="shared" si="4"/>
        <v>10.74350945</v>
      </c>
      <c r="M225" s="175" t="str">
        <f t="shared" si="5"/>
        <v>Laurenluz</v>
      </c>
      <c r="N225" s="176">
        <f>IFERROR(__xludf.DUMMYFUNCTION("""COMPUTED_VALUE"""),2.0)</f>
        <v>2</v>
      </c>
      <c r="O225" s="176"/>
      <c r="P225" s="165" t="s">
        <v>596</v>
      </c>
      <c r="Q225" s="165" t="s">
        <v>441</v>
      </c>
      <c r="R225" s="176"/>
      <c r="S225" s="176"/>
      <c r="T225" s="176"/>
      <c r="U225" s="176"/>
      <c r="V225" s="176"/>
      <c r="W225" s="176"/>
      <c r="X225" s="176"/>
      <c r="Y225" s="176"/>
      <c r="Z225" s="176"/>
      <c r="AA225" s="176"/>
    </row>
    <row r="226">
      <c r="A226" s="165" t="str">
        <f>iferror(VLOOKUP(P226,'DO NOT TOUCH Imported'!$A$1:$D$800,4,False),iferror(VLOOKUP(P226,'DO NOT TOUCH Imported'!$C$1:$D$800,2,False),"OOPS FIX ME"))</f>
        <v>Laurenluz</v>
      </c>
      <c r="B226" s="165" t="s">
        <v>6</v>
      </c>
      <c r="C226" s="170" t="s">
        <v>929</v>
      </c>
      <c r="D226" s="236" t="s">
        <v>495</v>
      </c>
      <c r="E226" s="239">
        <v>44305.0</v>
      </c>
      <c r="F226" s="170" t="s">
        <v>496</v>
      </c>
      <c r="G226" s="170">
        <v>10000.0</v>
      </c>
      <c r="H226" s="171">
        <v>100.0</v>
      </c>
      <c r="I226" s="171">
        <v>100.0</v>
      </c>
      <c r="J226" s="172">
        <f t="shared" si="2"/>
        <v>0.002342449034</v>
      </c>
      <c r="K226" s="173">
        <f t="shared" si="9"/>
        <v>2.810938841</v>
      </c>
      <c r="L226" s="174">
        <f t="shared" si="4"/>
        <v>10.74350945</v>
      </c>
      <c r="M226" s="175" t="str">
        <f t="shared" si="5"/>
        <v>Laurenluz</v>
      </c>
      <c r="N226" s="176">
        <f>IFERROR(__xludf.DUMMYFUNCTION("""COMPUTED_VALUE"""),3.0)</f>
        <v>3</v>
      </c>
      <c r="O226" s="176"/>
      <c r="P226" s="165" t="s">
        <v>23</v>
      </c>
      <c r="Q226" s="165" t="s">
        <v>6</v>
      </c>
      <c r="R226" s="176"/>
      <c r="S226" s="176"/>
      <c r="T226" s="176"/>
      <c r="U226" s="176"/>
      <c r="V226" s="176"/>
      <c r="W226" s="176"/>
      <c r="X226" s="176"/>
      <c r="Y226" s="176"/>
      <c r="Z226" s="176"/>
      <c r="AA226" s="176"/>
    </row>
    <row r="227">
      <c r="A227" s="165" t="str">
        <f>iferror(VLOOKUP(P227,'DO NOT TOUCH Imported'!$A$1:$D$800,4,False),iferror(VLOOKUP(P227,'DO NOT TOUCH Imported'!$C$1:$D$800,2,False),"OOPS FIX ME"))</f>
        <v>Laurenluz</v>
      </c>
      <c r="B227" s="165" t="s">
        <v>441</v>
      </c>
      <c r="C227" s="170" t="s">
        <v>932</v>
      </c>
      <c r="D227" s="236" t="s">
        <v>437</v>
      </c>
      <c r="E227" s="237">
        <v>44309.0</v>
      </c>
      <c r="F227" s="170" t="s">
        <v>439</v>
      </c>
      <c r="G227" s="170">
        <v>2500.0</v>
      </c>
      <c r="H227" s="171">
        <v>100.0</v>
      </c>
      <c r="I227" s="171">
        <v>200.0</v>
      </c>
      <c r="J227" s="172">
        <f t="shared" si="2"/>
        <v>0.001663100278</v>
      </c>
      <c r="K227" s="173">
        <f t="shared" si="9"/>
        <v>1.995720334</v>
      </c>
      <c r="L227" s="174">
        <f t="shared" si="4"/>
        <v>10.74350945</v>
      </c>
      <c r="M227" s="175" t="str">
        <f t="shared" si="5"/>
        <v>Laurenluz</v>
      </c>
      <c r="N227" s="176">
        <f>IFERROR(__xludf.DUMMYFUNCTION("""COMPUTED_VALUE"""),4.0)</f>
        <v>4</v>
      </c>
      <c r="O227" s="176"/>
      <c r="P227" s="165" t="s">
        <v>596</v>
      </c>
      <c r="Q227" s="165" t="s">
        <v>441</v>
      </c>
      <c r="R227" s="176"/>
      <c r="S227" s="176"/>
      <c r="T227" s="176"/>
      <c r="U227" s="176"/>
      <c r="V227" s="176"/>
      <c r="W227" s="176"/>
      <c r="X227" s="176"/>
      <c r="Y227" s="176"/>
      <c r="Z227" s="176"/>
      <c r="AA227" s="176"/>
    </row>
    <row r="228">
      <c r="A228" s="165" t="str">
        <f>iferror(VLOOKUP(P228,'DO NOT TOUCH Imported'!$A$1:$D$800,4,False),iferror(VLOOKUP(P228,'DO NOT TOUCH Imported'!$C$1:$D$800,2,False),"OOPS FIX ME"))</f>
        <v>Laurenluz</v>
      </c>
      <c r="B228" s="165" t="s">
        <v>441</v>
      </c>
      <c r="C228" s="170" t="s">
        <v>934</v>
      </c>
      <c r="D228" s="236" t="s">
        <v>437</v>
      </c>
      <c r="E228" s="237">
        <v>44302.0</v>
      </c>
      <c r="F228" s="170" t="s">
        <v>439</v>
      </c>
      <c r="G228" s="170">
        <v>2000.0</v>
      </c>
      <c r="H228" s="171">
        <v>100.0</v>
      </c>
      <c r="I228" s="171">
        <v>200.0</v>
      </c>
      <c r="J228" s="172">
        <f t="shared" si="2"/>
        <v>0.00158922321</v>
      </c>
      <c r="K228" s="173">
        <f t="shared" si="9"/>
        <v>1.907067852</v>
      </c>
      <c r="L228" s="174">
        <f t="shared" si="4"/>
        <v>10.74350945</v>
      </c>
      <c r="M228" s="175" t="str">
        <f t="shared" si="5"/>
        <v>Laurenluz</v>
      </c>
      <c r="N228" s="176">
        <f>IFERROR(__xludf.DUMMYFUNCTION("""COMPUTED_VALUE"""),5.0)</f>
        <v>5</v>
      </c>
      <c r="O228" s="176"/>
      <c r="P228" s="165" t="s">
        <v>596</v>
      </c>
      <c r="Q228" s="165" t="s">
        <v>441</v>
      </c>
      <c r="R228" s="176"/>
      <c r="S228" s="176"/>
      <c r="T228" s="176"/>
      <c r="U228" s="176"/>
      <c r="V228" s="176"/>
      <c r="W228" s="176"/>
      <c r="X228" s="176"/>
      <c r="Y228" s="176"/>
      <c r="Z228" s="176"/>
      <c r="AA228" s="176"/>
    </row>
    <row r="229">
      <c r="A229" s="165" t="str">
        <f>iferror(VLOOKUP(P229,'DO NOT TOUCH Imported'!$A$1:$D$800,4,False),iferror(VLOOKUP(P229,'DO NOT TOUCH Imported'!$C$1:$D$800,2,False),"OOPS FIX ME"))</f>
        <v>Laurenluz</v>
      </c>
      <c r="B229" s="165" t="s">
        <v>441</v>
      </c>
      <c r="C229" s="170" t="s">
        <v>935</v>
      </c>
      <c r="D229" s="236" t="s">
        <v>437</v>
      </c>
      <c r="E229" s="239">
        <v>44302.0</v>
      </c>
      <c r="F229" s="170" t="s">
        <v>439</v>
      </c>
      <c r="G229" s="170">
        <v>2000.0</v>
      </c>
      <c r="H229" s="171">
        <v>100.0</v>
      </c>
      <c r="I229" s="171">
        <v>200.0</v>
      </c>
      <c r="J229" s="172">
        <f t="shared" si="2"/>
        <v>0.00158922321</v>
      </c>
      <c r="K229" s="173">
        <f t="shared" si="9"/>
        <v>1.907067852</v>
      </c>
      <c r="L229" s="174">
        <f t="shared" si="4"/>
        <v>10.74350945</v>
      </c>
      <c r="M229" s="175" t="str">
        <f t="shared" si="5"/>
        <v>Laurenluz</v>
      </c>
      <c r="N229" s="176">
        <f>IFERROR(__xludf.DUMMYFUNCTION("""COMPUTED_VALUE"""),6.0)</f>
        <v>6</v>
      </c>
      <c r="O229" s="176"/>
      <c r="P229" s="165" t="s">
        <v>596</v>
      </c>
      <c r="Q229" s="165" t="s">
        <v>441</v>
      </c>
      <c r="R229" s="176"/>
      <c r="S229" s="176"/>
      <c r="T229" s="176"/>
      <c r="U229" s="176"/>
      <c r="V229" s="176"/>
      <c r="W229" s="176"/>
      <c r="X229" s="176"/>
      <c r="Y229" s="176"/>
      <c r="Z229" s="176"/>
      <c r="AA229" s="176"/>
    </row>
    <row r="230">
      <c r="A230" s="165" t="str">
        <f>iferror(VLOOKUP(P230,'DO NOT TOUCH Imported'!$A$1:$D$800,4,False),iferror(VLOOKUP(P230,'DO NOT TOUCH Imported'!$C$1:$D$800,2,False),"OOPS FIX ME"))</f>
        <v>Laurenluz</v>
      </c>
      <c r="B230" s="165" t="s">
        <v>519</v>
      </c>
      <c r="C230" s="170" t="s">
        <v>1016</v>
      </c>
      <c r="D230" s="236" t="s">
        <v>495</v>
      </c>
      <c r="E230" s="237">
        <v>44300.0</v>
      </c>
      <c r="F230" s="170" t="s">
        <v>499</v>
      </c>
      <c r="G230" s="170">
        <v>5000.0</v>
      </c>
      <c r="H230" s="171">
        <v>100.0</v>
      </c>
      <c r="I230" s="171">
        <v>100.0</v>
      </c>
      <c r="J230" s="172">
        <f t="shared" si="2"/>
        <v>0.001603678348</v>
      </c>
      <c r="K230" s="173">
        <f t="shared" si="9"/>
        <v>1.924414018</v>
      </c>
      <c r="L230" s="174">
        <f t="shared" si="4"/>
        <v>10.74350945</v>
      </c>
      <c r="M230" s="175" t="str">
        <f t="shared" si="5"/>
        <v>Laurenluz</v>
      </c>
      <c r="N230" s="176">
        <f>IFERROR(__xludf.DUMMYFUNCTION("""COMPUTED_VALUE"""),7.0)</f>
        <v>7</v>
      </c>
      <c r="O230" s="176"/>
      <c r="P230" s="165" t="s">
        <v>23</v>
      </c>
      <c r="Q230" s="165" t="s">
        <v>519</v>
      </c>
      <c r="R230" s="176"/>
      <c r="S230" s="176"/>
      <c r="T230" s="176"/>
      <c r="U230" s="176"/>
      <c r="V230" s="176"/>
      <c r="W230" s="176"/>
      <c r="X230" s="176"/>
      <c r="Y230" s="176"/>
      <c r="Z230" s="176"/>
      <c r="AA230" s="176"/>
    </row>
    <row r="231">
      <c r="A231" s="165" t="str">
        <f>iferror(VLOOKUP(P231,'DO NOT TOUCH Imported'!$A$1:$D$800,4,False),iferror(VLOOKUP(P231,'DO NOT TOUCH Imported'!$C$1:$D$800,2,False),"OOPS FIX ME"))</f>
        <v>Laurenluz</v>
      </c>
      <c r="B231" s="165" t="s">
        <v>566</v>
      </c>
      <c r="C231" s="170" t="s">
        <v>1017</v>
      </c>
      <c r="D231" s="236" t="s">
        <v>499</v>
      </c>
      <c r="E231" s="239">
        <v>44301.0</v>
      </c>
      <c r="F231" s="170" t="s">
        <v>503</v>
      </c>
      <c r="G231" s="170">
        <v>1000.0</v>
      </c>
      <c r="H231" s="171">
        <v>100.0</v>
      </c>
      <c r="I231" s="171">
        <v>100.0</v>
      </c>
      <c r="J231" s="172">
        <f t="shared" si="2"/>
        <v>0.0010126618</v>
      </c>
      <c r="K231" s="173">
        <f t="shared" si="9"/>
        <v>1.21519416</v>
      </c>
      <c r="L231" s="174">
        <f t="shared" si="4"/>
        <v>10.74350945</v>
      </c>
      <c r="M231" s="175" t="str">
        <f t="shared" si="5"/>
        <v>Laurenluz</v>
      </c>
      <c r="N231" s="176">
        <f>IFERROR(__xludf.DUMMYFUNCTION("""COMPUTED_VALUE"""),8.0)</f>
        <v>8</v>
      </c>
      <c r="O231" s="176"/>
      <c r="P231" s="165" t="s">
        <v>596</v>
      </c>
      <c r="Q231" s="165" t="s">
        <v>566</v>
      </c>
      <c r="R231" s="176"/>
      <c r="S231" s="176"/>
      <c r="T231" s="176"/>
      <c r="U231" s="176"/>
      <c r="V231" s="176"/>
      <c r="W231" s="176"/>
      <c r="X231" s="176"/>
      <c r="Y231" s="176"/>
      <c r="Z231" s="176"/>
      <c r="AA231" s="176"/>
    </row>
    <row r="232">
      <c r="A232" s="165" t="str">
        <f>iferror(VLOOKUP(P232,'DO NOT TOUCH Imported'!$A$1:$D$800,4,False),iferror(VLOOKUP(P232,'DO NOT TOUCH Imported'!$C$1:$D$800,2,False),"OOPS FIX ME"))</f>
        <v>Laurenluz</v>
      </c>
      <c r="B232" s="165" t="s">
        <v>566</v>
      </c>
      <c r="C232" s="170" t="s">
        <v>1018</v>
      </c>
      <c r="D232" s="236" t="s">
        <v>499</v>
      </c>
      <c r="E232" s="239">
        <v>44305.0</v>
      </c>
      <c r="F232" s="170" t="s">
        <v>503</v>
      </c>
      <c r="G232" s="170">
        <v>1000.0</v>
      </c>
      <c r="H232" s="171">
        <v>100.0</v>
      </c>
      <c r="I232" s="171">
        <v>100.0</v>
      </c>
      <c r="J232" s="172">
        <f t="shared" si="2"/>
        <v>0.0010126618</v>
      </c>
      <c r="K232" s="173">
        <f t="shared" si="9"/>
        <v>1.21519416</v>
      </c>
      <c r="L232" s="174">
        <f t="shared" si="4"/>
        <v>10.74350945</v>
      </c>
      <c r="M232" s="175" t="str">
        <f t="shared" si="5"/>
        <v>Laurenluz</v>
      </c>
      <c r="N232" s="176">
        <f>IFERROR(__xludf.DUMMYFUNCTION("""COMPUTED_VALUE"""),9.0)</f>
        <v>9</v>
      </c>
      <c r="O232" s="176"/>
      <c r="P232" s="165" t="s">
        <v>596</v>
      </c>
      <c r="Q232" s="165" t="s">
        <v>566</v>
      </c>
      <c r="R232" s="176"/>
      <c r="S232" s="176"/>
      <c r="T232" s="176"/>
      <c r="U232" s="176"/>
      <c r="V232" s="176"/>
      <c r="W232" s="176"/>
      <c r="X232" s="176"/>
      <c r="Y232" s="176"/>
      <c r="Z232" s="176"/>
      <c r="AA232" s="176"/>
    </row>
    <row r="233">
      <c r="A233" s="165" t="str">
        <f>iferror(VLOOKUP(P233,'DO NOT TOUCH Imported'!$A$1:$D$800,4,False),iferror(VLOOKUP(P233,'DO NOT TOUCH Imported'!$C$1:$D$800,2,False),"OOPS FIX ME"))</f>
        <v>Laurenluz</v>
      </c>
      <c r="B233" s="165" t="s">
        <v>441</v>
      </c>
      <c r="C233" s="170" t="s">
        <v>1019</v>
      </c>
      <c r="D233" s="236" t="s">
        <v>437</v>
      </c>
      <c r="E233" s="239">
        <v>44309.0</v>
      </c>
      <c r="F233" s="170" t="s">
        <v>439</v>
      </c>
      <c r="G233" s="170">
        <v>1000.0</v>
      </c>
      <c r="H233" s="171">
        <v>100.0</v>
      </c>
      <c r="I233" s="171">
        <v>100.0</v>
      </c>
      <c r="J233" s="172">
        <f t="shared" si="2"/>
        <v>0.0010126618</v>
      </c>
      <c r="K233" s="173">
        <f t="shared" si="9"/>
        <v>1.21519416</v>
      </c>
      <c r="L233" s="174">
        <f t="shared" si="4"/>
        <v>10.74350945</v>
      </c>
      <c r="M233" s="175" t="str">
        <f t="shared" si="5"/>
        <v>Laurenluz</v>
      </c>
      <c r="N233" s="176">
        <f>IFERROR(__xludf.DUMMYFUNCTION("""COMPUTED_VALUE"""),10.0)</f>
        <v>10</v>
      </c>
      <c r="O233" s="176"/>
      <c r="P233" s="165" t="s">
        <v>596</v>
      </c>
      <c r="Q233" s="165" t="s">
        <v>441</v>
      </c>
      <c r="R233" s="176"/>
      <c r="S233" s="176"/>
      <c r="T233" s="176"/>
      <c r="U233" s="176"/>
      <c r="V233" s="176"/>
      <c r="W233" s="176"/>
      <c r="X233" s="176"/>
      <c r="Y233" s="176"/>
      <c r="Z233" s="176"/>
      <c r="AA233" s="176"/>
    </row>
    <row r="234">
      <c r="A234" s="165" t="str">
        <f>iferror(VLOOKUP(P234,'DO NOT TOUCH Imported'!$A$1:$D$800,4,False),iferror(VLOOKUP(P234,'DO NOT TOUCH Imported'!$C$1:$D$800,2,False),"OOPS FIX ME"))</f>
        <v>Laurenluz</v>
      </c>
      <c r="B234" s="165" t="s">
        <v>519</v>
      </c>
      <c r="C234" s="170" t="s">
        <v>668</v>
      </c>
      <c r="D234" s="236" t="s">
        <v>495</v>
      </c>
      <c r="E234" s="237">
        <v>44307.0</v>
      </c>
      <c r="F234" s="170" t="s">
        <v>521</v>
      </c>
      <c r="G234" s="170">
        <v>2500.0</v>
      </c>
      <c r="H234" s="171">
        <v>50.0</v>
      </c>
      <c r="I234" s="171">
        <v>50.0</v>
      </c>
      <c r="J234" s="172">
        <f t="shared" si="2"/>
        <v>0.0008018391742</v>
      </c>
      <c r="K234" s="173">
        <f t="shared" si="9"/>
        <v>0.9622070091</v>
      </c>
      <c r="L234" s="174">
        <f t="shared" si="4"/>
        <v>10.74350945</v>
      </c>
      <c r="M234" s="175" t="str">
        <f t="shared" si="5"/>
        <v>Laurenluz</v>
      </c>
      <c r="N234" s="176">
        <f>IFERROR(__xludf.DUMMYFUNCTION("""COMPUTED_VALUE"""),11.0)</f>
        <v>11</v>
      </c>
      <c r="O234" s="176"/>
      <c r="P234" s="165" t="s">
        <v>23</v>
      </c>
      <c r="Q234" s="165" t="s">
        <v>519</v>
      </c>
      <c r="R234" s="176"/>
      <c r="S234" s="176"/>
      <c r="T234" s="176"/>
      <c r="U234" s="176"/>
      <c r="V234" s="176"/>
      <c r="W234" s="176"/>
      <c r="X234" s="176"/>
      <c r="Y234" s="176"/>
      <c r="Z234" s="176"/>
      <c r="AA234" s="176"/>
    </row>
    <row r="235">
      <c r="A235" s="165" t="str">
        <f>iferror(VLOOKUP(P235,'DO NOT TOUCH Imported'!$A$1:$D$800,4,False),iferror(VLOOKUP(P235,'DO NOT TOUCH Imported'!$C$1:$D$800,2,False),"OOPS FIX ME"))</f>
        <v>Laurenluz</v>
      </c>
      <c r="B235" s="165" t="s">
        <v>441</v>
      </c>
      <c r="C235" s="170" t="s">
        <v>918</v>
      </c>
      <c r="D235" s="236" t="s">
        <v>437</v>
      </c>
      <c r="E235" s="239">
        <v>44302.0</v>
      </c>
      <c r="F235" s="170" t="s">
        <v>439</v>
      </c>
      <c r="G235" s="170">
        <v>1000.0</v>
      </c>
      <c r="H235" s="171">
        <v>60.0</v>
      </c>
      <c r="I235" s="171">
        <v>50.0</v>
      </c>
      <c r="J235" s="172">
        <f t="shared" si="2"/>
        <v>0.0006238180076</v>
      </c>
      <c r="K235" s="173">
        <f t="shared" si="9"/>
        <v>0.7485816091</v>
      </c>
      <c r="L235" s="174">
        <f t="shared" si="4"/>
        <v>10.74350945</v>
      </c>
      <c r="M235" s="175" t="str">
        <f t="shared" si="5"/>
        <v>Laurenluz</v>
      </c>
      <c r="N235" s="176">
        <f>IFERROR(__xludf.DUMMYFUNCTION("""COMPUTED_VALUE"""),12.0)</f>
        <v>12</v>
      </c>
      <c r="O235" s="176"/>
      <c r="P235" s="165" t="s">
        <v>596</v>
      </c>
      <c r="Q235" s="165" t="s">
        <v>441</v>
      </c>
      <c r="R235" s="176"/>
      <c r="S235" s="176"/>
      <c r="T235" s="176"/>
      <c r="U235" s="176"/>
      <c r="V235" s="176"/>
      <c r="W235" s="176"/>
      <c r="X235" s="176"/>
      <c r="Y235" s="176"/>
      <c r="Z235" s="176"/>
      <c r="AA235" s="176"/>
    </row>
    <row r="236">
      <c r="A236" s="165" t="str">
        <f>iferror(VLOOKUP(P236,'DO NOT TOUCH Imported'!$A$1:$D$800,4,False),iferror(VLOOKUP(P236,'DO NOT TOUCH Imported'!$C$1:$D$800,2,False),"OOPS FIX ME"))</f>
        <v>Laurenluz</v>
      </c>
      <c r="B236" s="165" t="s">
        <v>486</v>
      </c>
      <c r="C236" s="170" t="s">
        <v>921</v>
      </c>
      <c r="D236" s="236" t="s">
        <v>437</v>
      </c>
      <c r="E236" s="239">
        <v>44306.0</v>
      </c>
      <c r="F236" s="170" t="s">
        <v>439</v>
      </c>
      <c r="G236" s="170">
        <v>1000.0</v>
      </c>
      <c r="H236" s="171">
        <v>60.0</v>
      </c>
      <c r="I236" s="171">
        <v>50.0</v>
      </c>
      <c r="J236" s="172">
        <f t="shared" si="2"/>
        <v>0.0006238180076</v>
      </c>
      <c r="K236" s="173">
        <f t="shared" si="9"/>
        <v>0.7485816091</v>
      </c>
      <c r="L236" s="174">
        <f t="shared" si="4"/>
        <v>10.74350945</v>
      </c>
      <c r="M236" s="175" t="str">
        <f t="shared" si="5"/>
        <v>Laurenluz</v>
      </c>
      <c r="N236" s="176">
        <f>IFERROR(__xludf.DUMMYFUNCTION("""COMPUTED_VALUE"""),13.0)</f>
        <v>13</v>
      </c>
      <c r="O236" s="176"/>
      <c r="P236" s="165" t="s">
        <v>596</v>
      </c>
      <c r="Q236" s="165" t="s">
        <v>486</v>
      </c>
      <c r="R236" s="176"/>
      <c r="S236" s="176"/>
      <c r="T236" s="176"/>
      <c r="U236" s="176"/>
      <c r="V236" s="176"/>
      <c r="W236" s="176"/>
      <c r="X236" s="176"/>
      <c r="Y236" s="176"/>
      <c r="Z236" s="176"/>
      <c r="AA236" s="176"/>
    </row>
    <row r="237">
      <c r="A237" s="165" t="str">
        <f>iferror(VLOOKUP(P237,'DO NOT TOUCH Imported'!$A$1:$D$800,4,False),iferror(VLOOKUP(P237,'DO NOT TOUCH Imported'!$C$1:$D$800,2,False),"OOPS FIX ME"))</f>
        <v>Laurenluz</v>
      </c>
      <c r="B237" s="165" t="s">
        <v>441</v>
      </c>
      <c r="C237" s="170" t="s">
        <v>923</v>
      </c>
      <c r="D237" s="236" t="s">
        <v>437</v>
      </c>
      <c r="E237" s="239">
        <v>44309.0</v>
      </c>
      <c r="F237" s="170" t="s">
        <v>439</v>
      </c>
      <c r="G237" s="170">
        <v>1000.0</v>
      </c>
      <c r="H237" s="171">
        <v>60.0</v>
      </c>
      <c r="I237" s="171">
        <v>50.0</v>
      </c>
      <c r="J237" s="172">
        <f t="shared" si="2"/>
        <v>0.0006238180076</v>
      </c>
      <c r="K237" s="173">
        <f t="shared" si="9"/>
        <v>0.7485816091</v>
      </c>
      <c r="L237" s="174">
        <f t="shared" si="4"/>
        <v>10.74350945</v>
      </c>
      <c r="M237" s="175" t="str">
        <f t="shared" si="5"/>
        <v>Laurenluz</v>
      </c>
      <c r="N237" s="176">
        <f>IFERROR(__xludf.DUMMYFUNCTION("""COMPUTED_VALUE"""),14.0)</f>
        <v>14</v>
      </c>
      <c r="O237" s="176"/>
      <c r="P237" s="165" t="s">
        <v>596</v>
      </c>
      <c r="Q237" s="165" t="s">
        <v>441</v>
      </c>
      <c r="R237" s="176"/>
      <c r="S237" s="176"/>
      <c r="T237" s="176"/>
      <c r="U237" s="176"/>
      <c r="V237" s="176"/>
      <c r="W237" s="176"/>
      <c r="X237" s="176"/>
      <c r="Y237" s="176"/>
      <c r="Z237" s="176"/>
      <c r="AA237" s="176"/>
    </row>
    <row r="238">
      <c r="A238" s="165" t="str">
        <f>iferror(VLOOKUP(P238,'DO NOT TOUCH Imported'!$A$1:$D$800,4,False),iferror(VLOOKUP(P238,'DO NOT TOUCH Imported'!$C$1:$D$800,2,False),"OOPS FIX ME"))</f>
        <v>Laurenluz</v>
      </c>
      <c r="B238" s="165" t="s">
        <v>486</v>
      </c>
      <c r="C238" s="170" t="s">
        <v>924</v>
      </c>
      <c r="D238" s="236" t="s">
        <v>437</v>
      </c>
      <c r="E238" s="237">
        <v>44299.0</v>
      </c>
      <c r="F238" s="170" t="s">
        <v>439</v>
      </c>
      <c r="G238" s="170">
        <v>1000.0</v>
      </c>
      <c r="H238" s="171">
        <v>50.0</v>
      </c>
      <c r="I238" s="171">
        <v>50.0</v>
      </c>
      <c r="J238" s="172">
        <f t="shared" si="2"/>
        <v>0.0005802079686</v>
      </c>
      <c r="K238" s="173">
        <f t="shared" si="9"/>
        <v>0.6962495623</v>
      </c>
      <c r="L238" s="174">
        <f t="shared" si="4"/>
        <v>10.74350945</v>
      </c>
      <c r="M238" s="175" t="str">
        <f t="shared" si="5"/>
        <v>Laurenluz</v>
      </c>
      <c r="N238" s="176">
        <f>IFERROR(__xludf.DUMMYFUNCTION("""COMPUTED_VALUE"""),15.0)</f>
        <v>15</v>
      </c>
      <c r="O238" s="176"/>
      <c r="P238" s="165" t="s">
        <v>596</v>
      </c>
      <c r="Q238" s="165" t="s">
        <v>486</v>
      </c>
      <c r="R238" s="176"/>
      <c r="S238" s="176"/>
      <c r="T238" s="176"/>
      <c r="U238" s="176"/>
      <c r="V238" s="176"/>
      <c r="W238" s="176"/>
      <c r="X238" s="176"/>
      <c r="Y238" s="176"/>
      <c r="Z238" s="176"/>
      <c r="AA238" s="176"/>
    </row>
    <row r="239">
      <c r="A239" s="165" t="str">
        <f>iferror(VLOOKUP(P239,'DO NOT TOUCH Imported'!$A$1:$D$800,4,False),iferror(VLOOKUP(P239,'DO NOT TOUCH Imported'!$C$1:$D$800,2,False),"OOPS FIX ME"))</f>
        <v>Laurenluz</v>
      </c>
      <c r="B239" s="165" t="s">
        <v>10</v>
      </c>
      <c r="C239" s="170" t="s">
        <v>498</v>
      </c>
      <c r="D239" s="236" t="s">
        <v>495</v>
      </c>
      <c r="E239" s="237">
        <v>44302.0</v>
      </c>
      <c r="F239" s="170" t="s">
        <v>499</v>
      </c>
      <c r="G239" s="170">
        <v>500.0</v>
      </c>
      <c r="H239" s="171">
        <v>25.0</v>
      </c>
      <c r="I239" s="171">
        <v>25.0</v>
      </c>
      <c r="J239" s="172">
        <f t="shared" si="2"/>
        <v>0.0002901039843</v>
      </c>
      <c r="K239" s="173">
        <f t="shared" si="9"/>
        <v>0.3481247811</v>
      </c>
      <c r="L239" s="174">
        <f t="shared" si="4"/>
        <v>10.74350945</v>
      </c>
      <c r="M239" s="175" t="str">
        <f t="shared" si="5"/>
        <v>Laurenluz</v>
      </c>
      <c r="N239" s="176">
        <f>IFERROR(__xludf.DUMMYFUNCTION("""COMPUTED_VALUE"""),16.0)</f>
        <v>16</v>
      </c>
      <c r="O239" s="176"/>
      <c r="P239" s="165" t="s">
        <v>23</v>
      </c>
      <c r="Q239" s="165" t="s">
        <v>10</v>
      </c>
      <c r="R239" s="176"/>
      <c r="S239" s="176"/>
      <c r="T239" s="176"/>
      <c r="U239" s="176"/>
      <c r="V239" s="176"/>
      <c r="W239" s="176"/>
      <c r="X239" s="176"/>
      <c r="Y239" s="176"/>
      <c r="Z239" s="176"/>
      <c r="AA239" s="176"/>
    </row>
    <row r="240">
      <c r="A240" s="165" t="str">
        <f>iferror(VLOOKUP(P240,'DO NOT TOUCH Imported'!$A$1:$D$800,4,False),iferror(VLOOKUP(P240,'DO NOT TOUCH Imported'!$C$1:$D$800,2,False),"OOPS FIX ME"))</f>
        <v>Laurenluz</v>
      </c>
      <c r="B240" s="165" t="s">
        <v>10</v>
      </c>
      <c r="C240" s="170" t="s">
        <v>500</v>
      </c>
      <c r="D240" s="236" t="s">
        <v>495</v>
      </c>
      <c r="E240" s="237">
        <v>44309.0</v>
      </c>
      <c r="F240" s="170" t="s">
        <v>496</v>
      </c>
      <c r="G240" s="170">
        <v>500.0</v>
      </c>
      <c r="H240" s="171">
        <v>25.0</v>
      </c>
      <c r="I240" s="171">
        <v>25.0</v>
      </c>
      <c r="J240" s="172">
        <f t="shared" si="2"/>
        <v>0.0002901039843</v>
      </c>
      <c r="K240" s="173">
        <f t="shared" si="9"/>
        <v>0.3481247811</v>
      </c>
      <c r="L240" s="174">
        <f t="shared" si="4"/>
        <v>10.74350945</v>
      </c>
      <c r="M240" s="175" t="str">
        <f t="shared" si="5"/>
        <v>Laurenluz</v>
      </c>
      <c r="N240" s="176">
        <f>IFERROR(__xludf.DUMMYFUNCTION("""COMPUTED_VALUE"""),17.0)</f>
        <v>17</v>
      </c>
      <c r="O240" s="176"/>
      <c r="P240" s="165" t="s">
        <v>23</v>
      </c>
      <c r="Q240" s="165" t="s">
        <v>10</v>
      </c>
      <c r="R240" s="176"/>
      <c r="S240" s="176"/>
      <c r="T240" s="176"/>
      <c r="U240" s="176"/>
      <c r="V240" s="176"/>
      <c r="W240" s="176"/>
      <c r="X240" s="176"/>
      <c r="Y240" s="176"/>
      <c r="Z240" s="176"/>
      <c r="AA240" s="176"/>
    </row>
    <row r="241">
      <c r="A241" s="185" t="str">
        <f>iferror(VLOOKUP(P241,'DO NOT TOUCH Imported'!$A$1:$D$800,4,False),iferror(VLOOKUP(P241,'DO NOT TOUCH Imported'!$C$1:$D$800,2,False),"OOPS FIX ME"))</f>
        <v>sembrestels</v>
      </c>
      <c r="B241" s="185" t="s">
        <v>534</v>
      </c>
      <c r="C241" s="210" t="s">
        <v>646</v>
      </c>
      <c r="D241" s="187"/>
      <c r="E241" s="188"/>
      <c r="F241" s="189"/>
      <c r="G241" s="190"/>
      <c r="H241" s="190"/>
      <c r="I241" s="190"/>
      <c r="J241" s="172">
        <f>(H241/$H$2+I241/$I$2)/2</f>
        <v>0</v>
      </c>
      <c r="K241" s="192">
        <f>-0.85*70.571</f>
        <v>-59.98535</v>
      </c>
      <c r="L241" s="193">
        <f t="shared" si="4"/>
        <v>10.58577102</v>
      </c>
      <c r="M241" s="194" t="str">
        <f t="shared" si="5"/>
        <v>sembrestels</v>
      </c>
      <c r="N241" s="211">
        <f>IFERROR(__xludf.DUMMYFUNCTION("""COMPUTED_VALUE"""),1.0)</f>
        <v>1</v>
      </c>
      <c r="O241" s="195"/>
      <c r="P241" s="212" t="s">
        <v>6</v>
      </c>
      <c r="Q241" s="185" t="s">
        <v>534</v>
      </c>
      <c r="R241" s="195">
        <v>57.049855624848725</v>
      </c>
      <c r="S241" s="195"/>
      <c r="T241" s="195"/>
      <c r="U241" s="195"/>
      <c r="V241" s="195"/>
      <c r="W241" s="195"/>
      <c r="X241" s="195"/>
      <c r="Y241" s="195"/>
      <c r="Z241" s="195"/>
      <c r="AA241" s="176"/>
    </row>
    <row r="242">
      <c r="A242" s="165" t="str">
        <f>iferror(VLOOKUP(P242,'DO NOT TOUCH Imported'!$A$1:$D$800,4,False),iferror(VLOOKUP(P242,'DO NOT TOUCH Imported'!$C$1:$D$800,2,False),"OOPS FIX ME"))</f>
        <v>sembrestels</v>
      </c>
      <c r="B242" s="165" t="s">
        <v>519</v>
      </c>
      <c r="C242" s="170" t="s">
        <v>1020</v>
      </c>
      <c r="D242" s="236" t="s">
        <v>495</v>
      </c>
      <c r="E242" s="237">
        <v>44300.0</v>
      </c>
      <c r="F242" s="170" t="s">
        <v>499</v>
      </c>
      <c r="G242" s="170">
        <v>50000.0</v>
      </c>
      <c r="H242" s="171">
        <v>200.0</v>
      </c>
      <c r="I242" s="171">
        <v>150.0</v>
      </c>
      <c r="J242" s="172">
        <f t="shared" ref="J242:J279" si="10">(G242/$G$2+H242/$H$2+I242/$I$2)/3</f>
        <v>0.008903118545</v>
      </c>
      <c r="K242" s="173">
        <f t="shared" ref="K242:K272" si="11">J242*$J$1</f>
        <v>10.68374225</v>
      </c>
      <c r="L242" s="174">
        <f t="shared" si="4"/>
        <v>10.58577102</v>
      </c>
      <c r="M242" s="175" t="str">
        <f t="shared" si="5"/>
        <v>sembrestels</v>
      </c>
      <c r="N242" s="176">
        <f>IFERROR(__xludf.DUMMYFUNCTION("""COMPUTED_VALUE"""),2.0)</f>
        <v>2</v>
      </c>
      <c r="O242" s="176"/>
      <c r="P242" s="165" t="s">
        <v>6</v>
      </c>
      <c r="Q242" s="165" t="s">
        <v>519</v>
      </c>
      <c r="R242" s="176"/>
      <c r="S242" s="176"/>
      <c r="T242" s="176"/>
      <c r="U242" s="176"/>
      <c r="V242" s="176"/>
      <c r="W242" s="176"/>
      <c r="X242" s="176"/>
      <c r="Y242" s="176"/>
      <c r="Z242" s="176"/>
      <c r="AA242" s="176"/>
    </row>
    <row r="243">
      <c r="A243" s="165" t="str">
        <f>iferror(VLOOKUP(P243,'DO NOT TOUCH Imported'!$A$1:$D$800,4,False),iferror(VLOOKUP(P243,'DO NOT TOUCH Imported'!$C$1:$D$800,2,False),"OOPS FIX ME"))</f>
        <v>sembrestels</v>
      </c>
      <c r="B243" s="165" t="s">
        <v>6</v>
      </c>
      <c r="C243" s="170" t="s">
        <v>1021</v>
      </c>
      <c r="D243" s="236" t="s">
        <v>495</v>
      </c>
      <c r="E243" s="239">
        <v>44296.0</v>
      </c>
      <c r="F243" s="170" t="s">
        <v>627</v>
      </c>
      <c r="G243" s="170">
        <v>16000.0</v>
      </c>
      <c r="H243" s="171">
        <v>400.0</v>
      </c>
      <c r="I243" s="171">
        <v>500.0</v>
      </c>
      <c r="J243" s="172">
        <f t="shared" si="10"/>
        <v>0.006252504118</v>
      </c>
      <c r="K243" s="173">
        <f t="shared" si="11"/>
        <v>7.503004942</v>
      </c>
      <c r="L243" s="174">
        <f t="shared" si="4"/>
        <v>10.58577102</v>
      </c>
      <c r="M243" s="175" t="str">
        <f t="shared" si="5"/>
        <v>sembrestels</v>
      </c>
      <c r="N243" s="176">
        <f>IFERROR(__xludf.DUMMYFUNCTION("""COMPUTED_VALUE"""),3.0)</f>
        <v>3</v>
      </c>
      <c r="O243" s="176"/>
      <c r="P243" s="165" t="s">
        <v>6</v>
      </c>
      <c r="Q243" s="165" t="s">
        <v>6</v>
      </c>
      <c r="R243" s="176"/>
      <c r="S243" s="176"/>
      <c r="T243" s="176"/>
      <c r="U243" s="176"/>
      <c r="V243" s="176"/>
      <c r="W243" s="176"/>
      <c r="X243" s="176"/>
      <c r="Y243" s="176"/>
      <c r="Z243" s="176"/>
      <c r="AA243" s="176"/>
    </row>
    <row r="244">
      <c r="A244" s="165" t="str">
        <f>iferror(VLOOKUP(P244,'DO NOT TOUCH Imported'!$A$1:$D$800,4,False),iferror(VLOOKUP(P244,'DO NOT TOUCH Imported'!$C$1:$D$800,2,False),"OOPS FIX ME"))</f>
        <v>sembrestels</v>
      </c>
      <c r="B244" s="165" t="s">
        <v>6</v>
      </c>
      <c r="C244" s="170" t="s">
        <v>1022</v>
      </c>
      <c r="D244" s="236" t="s">
        <v>495</v>
      </c>
      <c r="E244" s="239">
        <v>44306.0</v>
      </c>
      <c r="F244" s="170" t="s">
        <v>627</v>
      </c>
      <c r="G244" s="170">
        <v>16000.0</v>
      </c>
      <c r="H244" s="171">
        <v>300.0</v>
      </c>
      <c r="I244" s="171">
        <v>350.0</v>
      </c>
      <c r="J244" s="172">
        <f t="shared" si="10"/>
        <v>0.005173192819</v>
      </c>
      <c r="K244" s="173">
        <f t="shared" si="11"/>
        <v>6.207831383</v>
      </c>
      <c r="L244" s="174">
        <f t="shared" si="4"/>
        <v>10.58577102</v>
      </c>
      <c r="M244" s="175" t="str">
        <f t="shared" si="5"/>
        <v>sembrestels</v>
      </c>
      <c r="N244" s="176">
        <f>IFERROR(__xludf.DUMMYFUNCTION("""COMPUTED_VALUE"""),4.0)</f>
        <v>4</v>
      </c>
      <c r="O244" s="176"/>
      <c r="P244" s="165" t="s">
        <v>6</v>
      </c>
      <c r="Q244" s="165" t="s">
        <v>6</v>
      </c>
      <c r="R244" s="176"/>
      <c r="S244" s="176"/>
      <c r="T244" s="176"/>
      <c r="U244" s="176"/>
      <c r="V244" s="176"/>
      <c r="W244" s="176"/>
      <c r="X244" s="176"/>
      <c r="Y244" s="176"/>
      <c r="Z244" s="176"/>
      <c r="AA244" s="176"/>
    </row>
    <row r="245">
      <c r="A245" s="165" t="str">
        <f>iferror(VLOOKUP(P245,'DO NOT TOUCH Imported'!$A$1:$D$800,4,False),iferror(VLOOKUP(P245,'DO NOT TOUCH Imported'!$C$1:$D$800,2,False),"OOPS FIX ME"))</f>
        <v>sembrestels</v>
      </c>
      <c r="B245" s="165" t="s">
        <v>6</v>
      </c>
      <c r="C245" s="170" t="s">
        <v>1023</v>
      </c>
      <c r="D245" s="236" t="s">
        <v>495</v>
      </c>
      <c r="E245" s="237">
        <v>44305.0</v>
      </c>
      <c r="F245" s="170" t="s">
        <v>627</v>
      </c>
      <c r="G245" s="170">
        <v>7000.0</v>
      </c>
      <c r="H245" s="171">
        <v>200.0</v>
      </c>
      <c r="I245" s="171">
        <v>250.0</v>
      </c>
      <c r="J245" s="172">
        <f t="shared" si="10"/>
        <v>0.002978497922</v>
      </c>
      <c r="K245" s="173">
        <f t="shared" si="11"/>
        <v>3.574197506</v>
      </c>
      <c r="L245" s="174">
        <f t="shared" si="4"/>
        <v>10.58577102</v>
      </c>
      <c r="M245" s="175" t="str">
        <f t="shared" si="5"/>
        <v>sembrestels</v>
      </c>
      <c r="N245" s="176">
        <f>IFERROR(__xludf.DUMMYFUNCTION("""COMPUTED_VALUE"""),5.0)</f>
        <v>5</v>
      </c>
      <c r="O245" s="176"/>
      <c r="P245" s="165" t="s">
        <v>6</v>
      </c>
      <c r="Q245" s="165" t="s">
        <v>6</v>
      </c>
      <c r="R245" s="176"/>
      <c r="S245" s="176"/>
      <c r="T245" s="176"/>
      <c r="U245" s="176"/>
      <c r="V245" s="176"/>
      <c r="W245" s="176"/>
      <c r="X245" s="176"/>
      <c r="Y245" s="176"/>
      <c r="Z245" s="176"/>
      <c r="AA245" s="176"/>
    </row>
    <row r="246">
      <c r="A246" s="165" t="str">
        <f>iferror(VLOOKUP(P246,'DO NOT TOUCH Imported'!$A$1:$D$800,4,False),iferror(VLOOKUP(P246,'DO NOT TOUCH Imported'!$C$1:$D$800,2,False),"OOPS FIX ME"))</f>
        <v>sembrestels</v>
      </c>
      <c r="B246" s="165" t="s">
        <v>6</v>
      </c>
      <c r="C246" s="170" t="s">
        <v>1024</v>
      </c>
      <c r="D246" s="236" t="s">
        <v>495</v>
      </c>
      <c r="E246" s="237">
        <v>44305.0</v>
      </c>
      <c r="F246" s="170" t="s">
        <v>627</v>
      </c>
      <c r="G246" s="170">
        <v>6000.0</v>
      </c>
      <c r="H246" s="171">
        <v>200.0</v>
      </c>
      <c r="I246" s="171">
        <v>250.0</v>
      </c>
      <c r="J246" s="172">
        <f t="shared" si="10"/>
        <v>0.002830743785</v>
      </c>
      <c r="K246" s="173">
        <f t="shared" si="11"/>
        <v>3.396892542</v>
      </c>
      <c r="L246" s="174">
        <f t="shared" si="4"/>
        <v>10.58577102</v>
      </c>
      <c r="M246" s="175" t="str">
        <f t="shared" si="5"/>
        <v>sembrestels</v>
      </c>
      <c r="N246" s="176">
        <f>IFERROR(__xludf.DUMMYFUNCTION("""COMPUTED_VALUE"""),6.0)</f>
        <v>6</v>
      </c>
      <c r="O246" s="176"/>
      <c r="P246" s="165" t="s">
        <v>6</v>
      </c>
      <c r="Q246" s="165" t="s">
        <v>6</v>
      </c>
      <c r="R246" s="176"/>
      <c r="S246" s="176"/>
      <c r="T246" s="176"/>
      <c r="U246" s="176"/>
      <c r="V246" s="176"/>
      <c r="W246" s="176"/>
      <c r="X246" s="176"/>
      <c r="Y246" s="176"/>
      <c r="Z246" s="176"/>
      <c r="AA246" s="176"/>
    </row>
    <row r="247">
      <c r="A247" s="165" t="str">
        <f>iferror(VLOOKUP(P247,'DO NOT TOUCH Imported'!$A$1:$D$800,4,False),iferror(VLOOKUP(P247,'DO NOT TOUCH Imported'!$C$1:$D$800,2,False),"OOPS FIX ME"))</f>
        <v>sembrestels</v>
      </c>
      <c r="B247" s="165" t="s">
        <v>6</v>
      </c>
      <c r="C247" s="170" t="s">
        <v>1025</v>
      </c>
      <c r="D247" s="236" t="s">
        <v>495</v>
      </c>
      <c r="E247" s="237">
        <v>44302.0</v>
      </c>
      <c r="F247" s="170" t="s">
        <v>627</v>
      </c>
      <c r="G247" s="170">
        <v>6000.0</v>
      </c>
      <c r="H247" s="171">
        <v>150.0</v>
      </c>
      <c r="I247" s="171">
        <v>200.0</v>
      </c>
      <c r="J247" s="172">
        <f t="shared" si="10"/>
        <v>0.002398289953</v>
      </c>
      <c r="K247" s="173">
        <f t="shared" si="11"/>
        <v>2.877947944</v>
      </c>
      <c r="L247" s="174">
        <f t="shared" si="4"/>
        <v>10.58577102</v>
      </c>
      <c r="M247" s="175" t="str">
        <f t="shared" si="5"/>
        <v>sembrestels</v>
      </c>
      <c r="N247" s="176">
        <f>IFERROR(__xludf.DUMMYFUNCTION("""COMPUTED_VALUE"""),7.0)</f>
        <v>7</v>
      </c>
      <c r="O247" s="176"/>
      <c r="P247" s="165" t="s">
        <v>6</v>
      </c>
      <c r="Q247" s="165" t="s">
        <v>6</v>
      </c>
      <c r="R247" s="176"/>
      <c r="S247" s="176"/>
      <c r="T247" s="176"/>
      <c r="U247" s="176"/>
      <c r="V247" s="176"/>
      <c r="W247" s="176"/>
      <c r="X247" s="176"/>
      <c r="Y247" s="176"/>
      <c r="Z247" s="176"/>
      <c r="AA247" s="176"/>
    </row>
    <row r="248">
      <c r="A248" s="165" t="str">
        <f>iferror(VLOOKUP(P248,'DO NOT TOUCH Imported'!$A$1:$D$800,4,False),iferror(VLOOKUP(P248,'DO NOT TOUCH Imported'!$C$1:$D$800,2,False),"OOPS FIX ME"))</f>
        <v>sembrestels</v>
      </c>
      <c r="B248" s="165" t="s">
        <v>441</v>
      </c>
      <c r="C248" s="170" t="s">
        <v>928</v>
      </c>
      <c r="D248" s="236" t="s">
        <v>437</v>
      </c>
      <c r="E248" s="237">
        <v>44309.0</v>
      </c>
      <c r="F248" s="170" t="s">
        <v>439</v>
      </c>
      <c r="G248" s="170">
        <v>5000.0</v>
      </c>
      <c r="H248" s="171">
        <v>100.0</v>
      </c>
      <c r="I248" s="171">
        <v>250.0</v>
      </c>
      <c r="J248" s="172">
        <f t="shared" si="10"/>
        <v>0.002246889257</v>
      </c>
      <c r="K248" s="173">
        <f t="shared" si="11"/>
        <v>2.696267109</v>
      </c>
      <c r="L248" s="174">
        <f t="shared" si="4"/>
        <v>10.58577102</v>
      </c>
      <c r="M248" s="175" t="str">
        <f t="shared" si="5"/>
        <v>sembrestels</v>
      </c>
      <c r="N248" s="176">
        <f>IFERROR(__xludf.DUMMYFUNCTION("""COMPUTED_VALUE"""),8.0)</f>
        <v>8</v>
      </c>
      <c r="O248" s="176"/>
      <c r="P248" s="165" t="s">
        <v>476</v>
      </c>
      <c r="Q248" s="165" t="s">
        <v>441</v>
      </c>
      <c r="R248" s="176"/>
      <c r="S248" s="176"/>
      <c r="T248" s="176"/>
      <c r="U248" s="176"/>
      <c r="V248" s="176"/>
      <c r="W248" s="176"/>
      <c r="X248" s="176"/>
      <c r="Y248" s="176"/>
      <c r="Z248" s="176"/>
      <c r="AA248" s="176"/>
    </row>
    <row r="249">
      <c r="A249" s="165" t="str">
        <f>iferror(VLOOKUP(P249,'DO NOT TOUCH Imported'!$A$1:$D$800,4,False),iferror(VLOOKUP(P249,'DO NOT TOUCH Imported'!$C$1:$D$800,2,False),"OOPS FIX ME"))</f>
        <v>sembrestels</v>
      </c>
      <c r="B249" s="165" t="s">
        <v>441</v>
      </c>
      <c r="C249" s="170" t="s">
        <v>931</v>
      </c>
      <c r="D249" s="236" t="s">
        <v>437</v>
      </c>
      <c r="E249" s="237">
        <v>44309.0</v>
      </c>
      <c r="F249" s="170" t="s">
        <v>439</v>
      </c>
      <c r="G249" s="170">
        <v>5000.0</v>
      </c>
      <c r="H249" s="171">
        <v>100.0</v>
      </c>
      <c r="I249" s="171">
        <v>200.0</v>
      </c>
      <c r="J249" s="172">
        <f t="shared" si="10"/>
        <v>0.002032485621</v>
      </c>
      <c r="K249" s="173">
        <f t="shared" si="11"/>
        <v>2.438982745</v>
      </c>
      <c r="L249" s="174">
        <f t="shared" si="4"/>
        <v>10.58577102</v>
      </c>
      <c r="M249" s="175" t="str">
        <f t="shared" si="5"/>
        <v>sembrestels</v>
      </c>
      <c r="N249" s="176">
        <f>IFERROR(__xludf.DUMMYFUNCTION("""COMPUTED_VALUE"""),9.0)</f>
        <v>9</v>
      </c>
      <c r="O249" s="176"/>
      <c r="P249" s="165" t="s">
        <v>476</v>
      </c>
      <c r="Q249" s="165" t="s">
        <v>441</v>
      </c>
      <c r="R249" s="176"/>
      <c r="S249" s="176"/>
      <c r="T249" s="176"/>
      <c r="U249" s="176"/>
      <c r="V249" s="176"/>
      <c r="W249" s="176"/>
      <c r="X249" s="176"/>
      <c r="Y249" s="176"/>
      <c r="Z249" s="176"/>
      <c r="AA249" s="176"/>
    </row>
    <row r="250">
      <c r="A250" s="165" t="str">
        <f>iferror(VLOOKUP(P250,'DO NOT TOUCH Imported'!$A$1:$D$800,4,False),iferror(VLOOKUP(P250,'DO NOT TOUCH Imported'!$C$1:$D$800,2,False),"OOPS FIX ME"))</f>
        <v>sembrestels</v>
      </c>
      <c r="B250" s="165" t="s">
        <v>483</v>
      </c>
      <c r="C250" s="170" t="s">
        <v>1026</v>
      </c>
      <c r="D250" s="236" t="s">
        <v>437</v>
      </c>
      <c r="E250" s="239">
        <v>44308.0</v>
      </c>
      <c r="F250" s="170" t="s">
        <v>439</v>
      </c>
      <c r="G250" s="170">
        <v>3000.0</v>
      </c>
      <c r="H250" s="171">
        <v>200.0</v>
      </c>
      <c r="I250" s="171">
        <v>150.0</v>
      </c>
      <c r="J250" s="172">
        <f t="shared" si="10"/>
        <v>0.001958674101</v>
      </c>
      <c r="K250" s="173">
        <f t="shared" si="11"/>
        <v>2.350408921</v>
      </c>
      <c r="L250" s="174">
        <f t="shared" si="4"/>
        <v>10.58577102</v>
      </c>
      <c r="M250" s="175" t="str">
        <f t="shared" si="5"/>
        <v>sembrestels</v>
      </c>
      <c r="N250" s="176">
        <f>IFERROR(__xludf.DUMMYFUNCTION("""COMPUTED_VALUE"""),10.0)</f>
        <v>10</v>
      </c>
      <c r="O250" s="176"/>
      <c r="P250" s="165" t="s">
        <v>476</v>
      </c>
      <c r="Q250" s="165" t="s">
        <v>483</v>
      </c>
      <c r="R250" s="176"/>
      <c r="S250" s="176"/>
      <c r="T250" s="176"/>
      <c r="U250" s="176"/>
      <c r="V250" s="176"/>
      <c r="W250" s="176"/>
      <c r="X250" s="176"/>
      <c r="Y250" s="176"/>
      <c r="Z250" s="176"/>
      <c r="AA250" s="176"/>
    </row>
    <row r="251">
      <c r="A251" s="165" t="str">
        <f>iferror(VLOOKUP(P251,'DO NOT TOUCH Imported'!$A$1:$D$800,4,False),iferror(VLOOKUP(P251,'DO NOT TOUCH Imported'!$C$1:$D$800,2,False),"OOPS FIX ME"))</f>
        <v>sembrestels</v>
      </c>
      <c r="B251" s="165" t="s">
        <v>483</v>
      </c>
      <c r="C251" s="170" t="s">
        <v>1027</v>
      </c>
      <c r="D251" s="236" t="s">
        <v>437</v>
      </c>
      <c r="E251" s="237">
        <v>44301.0</v>
      </c>
      <c r="F251" s="170" t="s">
        <v>439</v>
      </c>
      <c r="G251" s="170">
        <v>5000.0</v>
      </c>
      <c r="H251" s="171">
        <v>100.0</v>
      </c>
      <c r="I251" s="171">
        <v>150.0</v>
      </c>
      <c r="J251" s="172">
        <f t="shared" si="10"/>
        <v>0.001818081985</v>
      </c>
      <c r="K251" s="173">
        <f t="shared" si="11"/>
        <v>2.181698382</v>
      </c>
      <c r="L251" s="174">
        <f t="shared" si="4"/>
        <v>10.58577102</v>
      </c>
      <c r="M251" s="175" t="str">
        <f t="shared" si="5"/>
        <v>sembrestels</v>
      </c>
      <c r="N251" s="176">
        <f>IFERROR(__xludf.DUMMYFUNCTION("""COMPUTED_VALUE"""),11.0)</f>
        <v>11</v>
      </c>
      <c r="O251" s="176"/>
      <c r="P251" s="165" t="s">
        <v>476</v>
      </c>
      <c r="Q251" s="165" t="s">
        <v>483</v>
      </c>
      <c r="R251" s="176"/>
      <c r="S251" s="176"/>
      <c r="T251" s="176"/>
      <c r="U251" s="176"/>
      <c r="V251" s="176"/>
      <c r="W251" s="176"/>
      <c r="X251" s="176"/>
      <c r="Y251" s="176"/>
      <c r="Z251" s="176"/>
      <c r="AA251" s="176"/>
    </row>
    <row r="252">
      <c r="A252" s="165" t="str">
        <f>iferror(VLOOKUP(P252,'DO NOT TOUCH Imported'!$A$1:$D$800,4,False),iferror(VLOOKUP(P252,'DO NOT TOUCH Imported'!$C$1:$D$800,2,False),"OOPS FIX ME"))</f>
        <v>sembrestels</v>
      </c>
      <c r="B252" s="165" t="s">
        <v>441</v>
      </c>
      <c r="C252" s="170" t="s">
        <v>932</v>
      </c>
      <c r="D252" s="236" t="s">
        <v>437</v>
      </c>
      <c r="E252" s="237">
        <v>44309.0</v>
      </c>
      <c r="F252" s="170" t="s">
        <v>439</v>
      </c>
      <c r="G252" s="170">
        <v>2500.0</v>
      </c>
      <c r="H252" s="171">
        <v>100.0</v>
      </c>
      <c r="I252" s="171">
        <v>200.0</v>
      </c>
      <c r="J252" s="172">
        <f t="shared" si="10"/>
        <v>0.001663100278</v>
      </c>
      <c r="K252" s="173">
        <f t="shared" si="11"/>
        <v>1.995720334</v>
      </c>
      <c r="L252" s="174">
        <f t="shared" si="4"/>
        <v>10.58577102</v>
      </c>
      <c r="M252" s="175" t="str">
        <f t="shared" si="5"/>
        <v>sembrestels</v>
      </c>
      <c r="N252" s="176">
        <f>IFERROR(__xludf.DUMMYFUNCTION("""COMPUTED_VALUE"""),12.0)</f>
        <v>12</v>
      </c>
      <c r="O252" s="176"/>
      <c r="P252" s="165" t="s">
        <v>476</v>
      </c>
      <c r="Q252" s="165" t="s">
        <v>441</v>
      </c>
      <c r="R252" s="176"/>
      <c r="S252" s="176"/>
      <c r="T252" s="176"/>
      <c r="U252" s="176"/>
      <c r="V252" s="176"/>
      <c r="W252" s="176"/>
      <c r="X252" s="176"/>
      <c r="Y252" s="176"/>
      <c r="Z252" s="176"/>
      <c r="AA252" s="176"/>
    </row>
    <row r="253">
      <c r="A253" s="165" t="str">
        <f>iferror(VLOOKUP(P253,'DO NOT TOUCH Imported'!$A$1:$D$800,4,False),iferror(VLOOKUP(P253,'DO NOT TOUCH Imported'!$C$1:$D$800,2,False),"OOPS FIX ME"))</f>
        <v>sembrestels</v>
      </c>
      <c r="B253" s="165" t="s">
        <v>441</v>
      </c>
      <c r="C253" s="170" t="s">
        <v>934</v>
      </c>
      <c r="D253" s="236" t="s">
        <v>437</v>
      </c>
      <c r="E253" s="237">
        <v>44302.0</v>
      </c>
      <c r="F253" s="170" t="s">
        <v>439</v>
      </c>
      <c r="G253" s="170">
        <v>2000.0</v>
      </c>
      <c r="H253" s="171">
        <v>100.0</v>
      </c>
      <c r="I253" s="171">
        <v>200.0</v>
      </c>
      <c r="J253" s="172">
        <f t="shared" si="10"/>
        <v>0.00158922321</v>
      </c>
      <c r="K253" s="173">
        <f t="shared" si="11"/>
        <v>1.907067852</v>
      </c>
      <c r="L253" s="174">
        <f t="shared" si="4"/>
        <v>10.58577102</v>
      </c>
      <c r="M253" s="175" t="str">
        <f t="shared" si="5"/>
        <v>sembrestels</v>
      </c>
      <c r="N253" s="176">
        <f>IFERROR(__xludf.DUMMYFUNCTION("""COMPUTED_VALUE"""),13.0)</f>
        <v>13</v>
      </c>
      <c r="O253" s="176"/>
      <c r="P253" s="165" t="s">
        <v>476</v>
      </c>
      <c r="Q253" s="165" t="s">
        <v>441</v>
      </c>
      <c r="R253" s="176"/>
      <c r="S253" s="176"/>
      <c r="T253" s="176"/>
      <c r="U253" s="176"/>
      <c r="V253" s="176"/>
      <c r="W253" s="176"/>
      <c r="X253" s="176"/>
      <c r="Y253" s="176"/>
      <c r="Z253" s="176"/>
      <c r="AA253" s="176"/>
    </row>
    <row r="254">
      <c r="A254" s="165" t="str">
        <f>iferror(VLOOKUP(P254,'DO NOT TOUCH Imported'!$A$1:$D$800,4,False),iferror(VLOOKUP(P254,'DO NOT TOUCH Imported'!$C$1:$D$800,2,False),"OOPS FIX ME"))</f>
        <v>sembrestels</v>
      </c>
      <c r="B254" s="165" t="s">
        <v>441</v>
      </c>
      <c r="C254" s="170" t="s">
        <v>935</v>
      </c>
      <c r="D254" s="236" t="s">
        <v>437</v>
      </c>
      <c r="E254" s="239">
        <v>44302.0</v>
      </c>
      <c r="F254" s="170" t="s">
        <v>439</v>
      </c>
      <c r="G254" s="170">
        <v>2000.0</v>
      </c>
      <c r="H254" s="171">
        <v>100.0</v>
      </c>
      <c r="I254" s="171">
        <v>200.0</v>
      </c>
      <c r="J254" s="172">
        <f t="shared" si="10"/>
        <v>0.00158922321</v>
      </c>
      <c r="K254" s="173">
        <f t="shared" si="11"/>
        <v>1.907067852</v>
      </c>
      <c r="L254" s="174">
        <f t="shared" si="4"/>
        <v>10.58577102</v>
      </c>
      <c r="M254" s="175" t="str">
        <f t="shared" si="5"/>
        <v>sembrestels</v>
      </c>
      <c r="N254" s="176">
        <f>IFERROR(__xludf.DUMMYFUNCTION("""COMPUTED_VALUE"""),14.0)</f>
        <v>14</v>
      </c>
      <c r="O254" s="176"/>
      <c r="P254" s="165" t="s">
        <v>476</v>
      </c>
      <c r="Q254" s="165" t="s">
        <v>441</v>
      </c>
      <c r="R254" s="176"/>
      <c r="S254" s="176"/>
      <c r="T254" s="176"/>
      <c r="U254" s="176"/>
      <c r="V254" s="176"/>
      <c r="W254" s="176"/>
      <c r="X254" s="176"/>
      <c r="Y254" s="176"/>
      <c r="Z254" s="176"/>
      <c r="AA254" s="176"/>
    </row>
    <row r="255">
      <c r="A255" s="165" t="str">
        <f>iferror(VLOOKUP(P255,'DO NOT TOUCH Imported'!$A$1:$D$800,4,False),iferror(VLOOKUP(P255,'DO NOT TOUCH Imported'!$C$1:$D$800,2,False),"OOPS FIX ME"))</f>
        <v>sembrestels</v>
      </c>
      <c r="B255" s="165" t="s">
        <v>443</v>
      </c>
      <c r="C255" s="170" t="s">
        <v>890</v>
      </c>
      <c r="D255" s="236" t="s">
        <v>437</v>
      </c>
      <c r="E255" s="239">
        <v>44310.0</v>
      </c>
      <c r="F255" s="170" t="s">
        <v>439</v>
      </c>
      <c r="G255" s="170">
        <v>5000.0</v>
      </c>
      <c r="H255" s="171">
        <v>100.0</v>
      </c>
      <c r="I255" s="171">
        <v>100.0</v>
      </c>
      <c r="J255" s="172">
        <f t="shared" si="10"/>
        <v>0.001603678348</v>
      </c>
      <c r="K255" s="173">
        <f t="shared" si="11"/>
        <v>1.924414018</v>
      </c>
      <c r="L255" s="174">
        <f t="shared" si="4"/>
        <v>10.58577102</v>
      </c>
      <c r="M255" s="175" t="str">
        <f t="shared" si="5"/>
        <v>sembrestels</v>
      </c>
      <c r="N255" s="176">
        <f>IFERROR(__xludf.DUMMYFUNCTION("""COMPUTED_VALUE"""),15.0)</f>
        <v>15</v>
      </c>
      <c r="O255" s="176"/>
      <c r="P255" s="165" t="s">
        <v>476</v>
      </c>
      <c r="Q255" s="165" t="s">
        <v>443</v>
      </c>
      <c r="R255" s="176"/>
      <c r="S255" s="176"/>
      <c r="T255" s="176"/>
      <c r="U255" s="176"/>
      <c r="V255" s="176"/>
      <c r="W255" s="176"/>
      <c r="X255" s="176"/>
      <c r="Y255" s="176"/>
      <c r="Z255" s="176"/>
      <c r="AA255" s="176"/>
    </row>
    <row r="256">
      <c r="A256" s="165" t="str">
        <f>iferror(VLOOKUP(P256,'DO NOT TOUCH Imported'!$A$1:$D$800,4,False),iferror(VLOOKUP(P256,'DO NOT TOUCH Imported'!$C$1:$D$800,2,False),"OOPS FIX ME"))</f>
        <v>sembrestels</v>
      </c>
      <c r="B256" s="165" t="s">
        <v>441</v>
      </c>
      <c r="C256" s="170" t="s">
        <v>940</v>
      </c>
      <c r="D256" s="236" t="s">
        <v>437</v>
      </c>
      <c r="E256" s="237">
        <v>44309.0</v>
      </c>
      <c r="F256" s="170" t="s">
        <v>439</v>
      </c>
      <c r="G256" s="170">
        <v>1000.0</v>
      </c>
      <c r="H256" s="171">
        <v>200.0</v>
      </c>
      <c r="I256" s="171">
        <v>100.0</v>
      </c>
      <c r="J256" s="172">
        <f t="shared" si="10"/>
        <v>0.00144876219</v>
      </c>
      <c r="K256" s="173">
        <f t="shared" si="11"/>
        <v>1.738514628</v>
      </c>
      <c r="L256" s="174">
        <f t="shared" si="4"/>
        <v>10.58577102</v>
      </c>
      <c r="M256" s="175" t="str">
        <f t="shared" si="5"/>
        <v>sembrestels</v>
      </c>
      <c r="N256" s="176">
        <f>IFERROR(__xludf.DUMMYFUNCTION("""COMPUTED_VALUE"""),16.0)</f>
        <v>16</v>
      </c>
      <c r="O256" s="176"/>
      <c r="P256" s="165" t="s">
        <v>476</v>
      </c>
      <c r="Q256" s="165" t="s">
        <v>441</v>
      </c>
      <c r="R256" s="176"/>
      <c r="S256" s="176"/>
      <c r="T256" s="176"/>
      <c r="U256" s="176"/>
      <c r="V256" s="176"/>
      <c r="W256" s="176"/>
      <c r="X256" s="176"/>
      <c r="Y256" s="176"/>
      <c r="Z256" s="176"/>
      <c r="AA256" s="176"/>
    </row>
    <row r="257">
      <c r="A257" s="165" t="str">
        <f>iferror(VLOOKUP(P257,'DO NOT TOUCH Imported'!$A$1:$D$800,4,False),iferror(VLOOKUP(P257,'DO NOT TOUCH Imported'!$C$1:$D$800,2,False),"OOPS FIX ME"))</f>
        <v>sembrestels</v>
      </c>
      <c r="B257" s="165" t="s">
        <v>63</v>
      </c>
      <c r="C257" s="170" t="s">
        <v>1028</v>
      </c>
      <c r="D257" s="236" t="s">
        <v>495</v>
      </c>
      <c r="E257" s="239">
        <v>44308.0</v>
      </c>
      <c r="F257" s="170" t="s">
        <v>627</v>
      </c>
      <c r="G257" s="170">
        <v>2000.0</v>
      </c>
      <c r="H257" s="171">
        <v>100.0</v>
      </c>
      <c r="I257" s="171">
        <v>150.0</v>
      </c>
      <c r="J257" s="172">
        <f t="shared" si="10"/>
        <v>0.001374819573</v>
      </c>
      <c r="K257" s="173">
        <f t="shared" si="11"/>
        <v>1.649783488</v>
      </c>
      <c r="L257" s="174">
        <f t="shared" si="4"/>
        <v>10.58577102</v>
      </c>
      <c r="M257" s="175" t="str">
        <f t="shared" si="5"/>
        <v>sembrestels</v>
      </c>
      <c r="N257" s="176">
        <f>IFERROR(__xludf.DUMMYFUNCTION("""COMPUTED_VALUE"""),17.0)</f>
        <v>17</v>
      </c>
      <c r="O257" s="176"/>
      <c r="P257" s="165" t="s">
        <v>6</v>
      </c>
      <c r="Q257" s="165" t="s">
        <v>63</v>
      </c>
      <c r="R257" s="176"/>
      <c r="S257" s="176"/>
      <c r="T257" s="176"/>
      <c r="U257" s="176"/>
      <c r="V257" s="176"/>
      <c r="W257" s="176"/>
      <c r="X257" s="176"/>
      <c r="Y257" s="176"/>
      <c r="Z257" s="176"/>
      <c r="AA257" s="176"/>
    </row>
    <row r="258">
      <c r="A258" s="165" t="str">
        <f>iferror(VLOOKUP(P258,'DO NOT TOUCH Imported'!$A$1:$D$800,4,False),iferror(VLOOKUP(P258,'DO NOT TOUCH Imported'!$C$1:$D$800,2,False),"OOPS FIX ME"))</f>
        <v>sembrestels</v>
      </c>
      <c r="B258" s="165" t="s">
        <v>10</v>
      </c>
      <c r="C258" s="170" t="s">
        <v>936</v>
      </c>
      <c r="D258" s="236" t="s">
        <v>495</v>
      </c>
      <c r="E258" s="237">
        <v>44309.0</v>
      </c>
      <c r="F258" s="170" t="s">
        <v>496</v>
      </c>
      <c r="G258" s="170">
        <v>2000.0</v>
      </c>
      <c r="H258" s="171">
        <v>100.0</v>
      </c>
      <c r="I258" s="171">
        <v>150.0</v>
      </c>
      <c r="J258" s="172">
        <f t="shared" si="10"/>
        <v>0.001374819573</v>
      </c>
      <c r="K258" s="173">
        <f t="shared" si="11"/>
        <v>1.649783488</v>
      </c>
      <c r="L258" s="174">
        <f t="shared" si="4"/>
        <v>10.58577102</v>
      </c>
      <c r="M258" s="175" t="str">
        <f t="shared" si="5"/>
        <v>sembrestels</v>
      </c>
      <c r="N258" s="176">
        <f>IFERROR(__xludf.DUMMYFUNCTION("""COMPUTED_VALUE"""),18.0)</f>
        <v>18</v>
      </c>
      <c r="O258" s="176"/>
      <c r="P258" s="165" t="s">
        <v>6</v>
      </c>
      <c r="Q258" s="165" t="s">
        <v>10</v>
      </c>
      <c r="R258" s="176"/>
      <c r="S258" s="176"/>
      <c r="T258" s="176"/>
      <c r="U258" s="176"/>
      <c r="V258" s="176"/>
      <c r="W258" s="176"/>
      <c r="X258" s="176"/>
      <c r="Y258" s="176"/>
      <c r="Z258" s="176"/>
      <c r="AA258" s="176"/>
    </row>
    <row r="259">
      <c r="A259" s="165" t="str">
        <f>iferror(VLOOKUP(P259,'DO NOT TOUCH Imported'!$A$1:$D$800,4,False),iferror(VLOOKUP(P259,'DO NOT TOUCH Imported'!$C$1:$D$800,2,False),"OOPS FIX ME"))</f>
        <v>sembrestels</v>
      </c>
      <c r="B259" s="165" t="s">
        <v>6</v>
      </c>
      <c r="C259" s="170" t="s">
        <v>1029</v>
      </c>
      <c r="D259" s="236" t="s">
        <v>495</v>
      </c>
      <c r="E259" s="239">
        <v>44300.0</v>
      </c>
      <c r="F259" s="170" t="s">
        <v>627</v>
      </c>
      <c r="G259" s="170">
        <v>2000.0</v>
      </c>
      <c r="H259" s="171">
        <v>100.0</v>
      </c>
      <c r="I259" s="171">
        <v>100.0</v>
      </c>
      <c r="J259" s="172">
        <f t="shared" si="10"/>
        <v>0.001160415937</v>
      </c>
      <c r="K259" s="173">
        <f t="shared" si="11"/>
        <v>1.392499125</v>
      </c>
      <c r="L259" s="174">
        <f t="shared" si="4"/>
        <v>10.58577102</v>
      </c>
      <c r="M259" s="175" t="str">
        <f t="shared" si="5"/>
        <v>sembrestels</v>
      </c>
      <c r="N259" s="176">
        <f>IFERROR(__xludf.DUMMYFUNCTION("""COMPUTED_VALUE"""),19.0)</f>
        <v>19</v>
      </c>
      <c r="O259" s="176"/>
      <c r="P259" s="165" t="s">
        <v>6</v>
      </c>
      <c r="Q259" s="165" t="s">
        <v>6</v>
      </c>
      <c r="R259" s="176"/>
      <c r="S259" s="176"/>
      <c r="T259" s="176"/>
      <c r="U259" s="176"/>
      <c r="V259" s="176"/>
      <c r="W259" s="176"/>
      <c r="X259" s="176"/>
      <c r="Y259" s="176"/>
      <c r="Z259" s="176"/>
      <c r="AA259" s="176"/>
    </row>
    <row r="260">
      <c r="A260" s="165" t="str">
        <f>iferror(VLOOKUP(P260,'DO NOT TOUCH Imported'!$A$1:$D$800,4,False),iferror(VLOOKUP(P260,'DO NOT TOUCH Imported'!$C$1:$D$800,2,False),"OOPS FIX ME"))</f>
        <v>sembrestels</v>
      </c>
      <c r="B260" s="165" t="s">
        <v>25</v>
      </c>
      <c r="C260" s="170" t="s">
        <v>1030</v>
      </c>
      <c r="D260" s="236" t="s">
        <v>495</v>
      </c>
      <c r="E260" s="237">
        <v>44306.0</v>
      </c>
      <c r="F260" s="170" t="s">
        <v>627</v>
      </c>
      <c r="G260" s="170">
        <v>2000.0</v>
      </c>
      <c r="H260" s="171">
        <v>100.0</v>
      </c>
      <c r="I260" s="171">
        <v>100.0</v>
      </c>
      <c r="J260" s="172">
        <f t="shared" si="10"/>
        <v>0.001160415937</v>
      </c>
      <c r="K260" s="173">
        <f t="shared" si="11"/>
        <v>1.392499125</v>
      </c>
      <c r="L260" s="174">
        <f t="shared" si="4"/>
        <v>10.58577102</v>
      </c>
      <c r="M260" s="175" t="str">
        <f t="shared" si="5"/>
        <v>sembrestels</v>
      </c>
      <c r="N260" s="176">
        <f>IFERROR(__xludf.DUMMYFUNCTION("""COMPUTED_VALUE"""),20.0)</f>
        <v>20</v>
      </c>
      <c r="O260" s="176"/>
      <c r="P260" s="165" t="s">
        <v>6</v>
      </c>
      <c r="Q260" s="165" t="s">
        <v>25</v>
      </c>
      <c r="R260" s="176"/>
      <c r="S260" s="176"/>
      <c r="T260" s="176"/>
      <c r="U260" s="176"/>
      <c r="V260" s="176"/>
      <c r="W260" s="176"/>
      <c r="X260" s="176"/>
      <c r="Y260" s="176"/>
      <c r="Z260" s="176"/>
      <c r="AA260" s="176"/>
    </row>
    <row r="261">
      <c r="A261" s="165" t="str">
        <f>iferror(VLOOKUP(P261,'DO NOT TOUCH Imported'!$A$1:$D$800,4,False),iferror(VLOOKUP(P261,'DO NOT TOUCH Imported'!$C$1:$D$800,2,False),"OOPS FIX ME"))</f>
        <v>sembrestels</v>
      </c>
      <c r="B261" s="165" t="s">
        <v>440</v>
      </c>
      <c r="C261" s="170" t="s">
        <v>895</v>
      </c>
      <c r="D261" s="236" t="s">
        <v>437</v>
      </c>
      <c r="E261" s="237">
        <v>44306.0</v>
      </c>
      <c r="F261" s="170" t="s">
        <v>439</v>
      </c>
      <c r="G261" s="170">
        <v>2000.0</v>
      </c>
      <c r="H261" s="171">
        <v>100.0</v>
      </c>
      <c r="I261" s="171">
        <v>100.0</v>
      </c>
      <c r="J261" s="172">
        <f t="shared" si="10"/>
        <v>0.001160415937</v>
      </c>
      <c r="K261" s="173">
        <f t="shared" si="11"/>
        <v>1.392499125</v>
      </c>
      <c r="L261" s="174">
        <f t="shared" si="4"/>
        <v>10.58577102</v>
      </c>
      <c r="M261" s="175" t="str">
        <f t="shared" si="5"/>
        <v>sembrestels</v>
      </c>
      <c r="N261" s="176">
        <f>IFERROR(__xludf.DUMMYFUNCTION("""COMPUTED_VALUE"""),21.0)</f>
        <v>21</v>
      </c>
      <c r="O261" s="176"/>
      <c r="P261" s="165" t="s">
        <v>476</v>
      </c>
      <c r="Q261" s="165" t="s">
        <v>440</v>
      </c>
      <c r="R261" s="176"/>
      <c r="S261" s="176"/>
      <c r="T261" s="176"/>
      <c r="U261" s="176"/>
      <c r="V261" s="176"/>
      <c r="W261" s="176"/>
      <c r="X261" s="176"/>
      <c r="Y261" s="176"/>
      <c r="Z261" s="176"/>
      <c r="AA261" s="176"/>
    </row>
    <row r="262">
      <c r="A262" s="165" t="str">
        <f>iferror(VLOOKUP(P262,'DO NOT TOUCH Imported'!$A$1:$D$800,4,False),iferror(VLOOKUP(P262,'DO NOT TOUCH Imported'!$C$1:$D$800,2,False),"OOPS FIX ME"))</f>
        <v>sembrestels</v>
      </c>
      <c r="B262" s="165" t="s">
        <v>63</v>
      </c>
      <c r="C262" s="170" t="s">
        <v>1031</v>
      </c>
      <c r="D262" s="236" t="s">
        <v>495</v>
      </c>
      <c r="E262" s="239">
        <v>44300.0</v>
      </c>
      <c r="F262" s="170" t="s">
        <v>627</v>
      </c>
      <c r="G262" s="170">
        <v>1000.0</v>
      </c>
      <c r="H262" s="171">
        <v>100.0</v>
      </c>
      <c r="I262" s="171">
        <v>100.0</v>
      </c>
      <c r="J262" s="172">
        <f t="shared" si="10"/>
        <v>0.0010126618</v>
      </c>
      <c r="K262" s="173">
        <f t="shared" si="11"/>
        <v>1.21519416</v>
      </c>
      <c r="L262" s="174">
        <f t="shared" si="4"/>
        <v>10.58577102</v>
      </c>
      <c r="M262" s="175" t="str">
        <f t="shared" si="5"/>
        <v>sembrestels</v>
      </c>
      <c r="N262" s="176">
        <f>IFERROR(__xludf.DUMMYFUNCTION("""COMPUTED_VALUE"""),22.0)</f>
        <v>22</v>
      </c>
      <c r="O262" s="176"/>
      <c r="P262" s="165" t="s">
        <v>6</v>
      </c>
      <c r="Q262" s="165" t="s">
        <v>63</v>
      </c>
      <c r="R262" s="176"/>
      <c r="S262" s="176"/>
      <c r="T262" s="176"/>
      <c r="U262" s="176"/>
      <c r="V262" s="176"/>
      <c r="W262" s="176"/>
      <c r="X262" s="176"/>
      <c r="Y262" s="176"/>
      <c r="Z262" s="176"/>
      <c r="AA262" s="176"/>
    </row>
    <row r="263">
      <c r="A263" s="165" t="str">
        <f>iferror(VLOOKUP(P263,'DO NOT TOUCH Imported'!$A$1:$D$800,4,False),iferror(VLOOKUP(P263,'DO NOT TOUCH Imported'!$C$1:$D$800,2,False),"OOPS FIX ME"))</f>
        <v>sembrestels</v>
      </c>
      <c r="B263" s="165" t="s">
        <v>440</v>
      </c>
      <c r="C263" s="170" t="s">
        <v>1032</v>
      </c>
      <c r="D263" s="236" t="s">
        <v>437</v>
      </c>
      <c r="E263" s="237">
        <v>44301.0</v>
      </c>
      <c r="F263" s="170" t="s">
        <v>439</v>
      </c>
      <c r="G263" s="170">
        <v>1000.0</v>
      </c>
      <c r="H263" s="171">
        <v>100.0</v>
      </c>
      <c r="I263" s="171">
        <v>100.0</v>
      </c>
      <c r="J263" s="172">
        <f t="shared" si="10"/>
        <v>0.0010126618</v>
      </c>
      <c r="K263" s="173">
        <f t="shared" si="11"/>
        <v>1.21519416</v>
      </c>
      <c r="L263" s="174">
        <f t="shared" si="4"/>
        <v>10.58577102</v>
      </c>
      <c r="M263" s="175" t="str">
        <f t="shared" si="5"/>
        <v>sembrestels</v>
      </c>
      <c r="N263" s="176">
        <f>IFERROR(__xludf.DUMMYFUNCTION("""COMPUTED_VALUE"""),23.0)</f>
        <v>23</v>
      </c>
      <c r="O263" s="176"/>
      <c r="P263" s="165" t="s">
        <v>476</v>
      </c>
      <c r="Q263" s="165" t="s">
        <v>440</v>
      </c>
      <c r="R263" s="176"/>
      <c r="S263" s="176"/>
      <c r="T263" s="176"/>
      <c r="U263" s="176"/>
      <c r="V263" s="176"/>
      <c r="W263" s="176"/>
      <c r="X263" s="176"/>
      <c r="Y263" s="176"/>
      <c r="Z263" s="176"/>
      <c r="AA263" s="176"/>
    </row>
    <row r="264">
      <c r="A264" s="165" t="str">
        <f>iferror(VLOOKUP(P264,'DO NOT TOUCH Imported'!$A$1:$D$800,4,False),iferror(VLOOKUP(P264,'DO NOT TOUCH Imported'!$C$1:$D$800,2,False),"OOPS FIX ME"))</f>
        <v>sembrestels</v>
      </c>
      <c r="B264" s="165" t="s">
        <v>441</v>
      </c>
      <c r="C264" s="170" t="s">
        <v>1033</v>
      </c>
      <c r="D264" s="236" t="s">
        <v>437</v>
      </c>
      <c r="E264" s="237">
        <v>44309.0</v>
      </c>
      <c r="F264" s="170" t="s">
        <v>439</v>
      </c>
      <c r="G264" s="170">
        <v>1000.0</v>
      </c>
      <c r="H264" s="171">
        <v>100.0</v>
      </c>
      <c r="I264" s="171">
        <v>80.0</v>
      </c>
      <c r="J264" s="172">
        <f t="shared" si="10"/>
        <v>0.0009269003455</v>
      </c>
      <c r="K264" s="173">
        <f t="shared" si="11"/>
        <v>1.112280415</v>
      </c>
      <c r="L264" s="174">
        <f t="shared" si="4"/>
        <v>10.58577102</v>
      </c>
      <c r="M264" s="175" t="str">
        <f t="shared" si="5"/>
        <v>sembrestels</v>
      </c>
      <c r="N264" s="176">
        <f>IFERROR(__xludf.DUMMYFUNCTION("""COMPUTED_VALUE"""),24.0)</f>
        <v>24</v>
      </c>
      <c r="O264" s="176"/>
      <c r="P264" s="165" t="s">
        <v>476</v>
      </c>
      <c r="Q264" s="165" t="s">
        <v>441</v>
      </c>
      <c r="R264" s="176"/>
      <c r="S264" s="176"/>
      <c r="T264" s="176"/>
      <c r="U264" s="176"/>
      <c r="V264" s="176"/>
      <c r="W264" s="176"/>
      <c r="X264" s="176"/>
      <c r="Y264" s="176"/>
      <c r="Z264" s="176"/>
      <c r="AA264" s="176"/>
    </row>
    <row r="265">
      <c r="A265" s="165" t="str">
        <f>iferror(VLOOKUP(P265,'DO NOT TOUCH Imported'!$A$1:$D$800,4,False),iferror(VLOOKUP(P265,'DO NOT TOUCH Imported'!$C$1:$D$800,2,False),"OOPS FIX ME"))</f>
        <v>sembrestels</v>
      </c>
      <c r="B265" s="165" t="s">
        <v>441</v>
      </c>
      <c r="C265" s="170" t="s">
        <v>906</v>
      </c>
      <c r="D265" s="236" t="s">
        <v>437</v>
      </c>
      <c r="E265" s="239">
        <v>44309.0</v>
      </c>
      <c r="F265" s="170" t="s">
        <v>439</v>
      </c>
      <c r="G265" s="170">
        <v>1000.0</v>
      </c>
      <c r="H265" s="171">
        <v>60.0</v>
      </c>
      <c r="I265" s="171">
        <v>100.0</v>
      </c>
      <c r="J265" s="172">
        <f t="shared" si="10"/>
        <v>0.0008382216439</v>
      </c>
      <c r="K265" s="173">
        <f t="shared" si="11"/>
        <v>1.005865973</v>
      </c>
      <c r="L265" s="174">
        <f t="shared" si="4"/>
        <v>10.58577102</v>
      </c>
      <c r="M265" s="175" t="str">
        <f t="shared" si="5"/>
        <v>sembrestels</v>
      </c>
      <c r="N265" s="176">
        <f>IFERROR(__xludf.DUMMYFUNCTION("""COMPUTED_VALUE"""),25.0)</f>
        <v>25</v>
      </c>
      <c r="O265" s="176"/>
      <c r="P265" s="165" t="s">
        <v>476</v>
      </c>
      <c r="Q265" s="165" t="s">
        <v>441</v>
      </c>
      <c r="R265" s="176"/>
      <c r="S265" s="176"/>
      <c r="T265" s="176"/>
      <c r="U265" s="176"/>
      <c r="V265" s="176"/>
      <c r="W265" s="176"/>
      <c r="X265" s="176"/>
      <c r="Y265" s="176"/>
      <c r="Z265" s="176"/>
      <c r="AA265" s="176"/>
    </row>
    <row r="266">
      <c r="A266" s="165" t="str">
        <f>iferror(VLOOKUP(P266,'DO NOT TOUCH Imported'!$A$1:$D$800,4,False),iferror(VLOOKUP(P266,'DO NOT TOUCH Imported'!$C$1:$D$800,2,False),"OOPS FIX ME"))</f>
        <v>sembrestels</v>
      </c>
      <c r="B266" s="165" t="s">
        <v>519</v>
      </c>
      <c r="C266" s="170" t="s">
        <v>668</v>
      </c>
      <c r="D266" s="236" t="s">
        <v>495</v>
      </c>
      <c r="E266" s="239">
        <v>44307.0</v>
      </c>
      <c r="F266" s="170" t="s">
        <v>521</v>
      </c>
      <c r="G266" s="170">
        <v>2500.0</v>
      </c>
      <c r="H266" s="171">
        <v>50.0</v>
      </c>
      <c r="I266" s="171">
        <v>50.0</v>
      </c>
      <c r="J266" s="172">
        <f t="shared" si="10"/>
        <v>0.0008018391742</v>
      </c>
      <c r="K266" s="173">
        <f t="shared" si="11"/>
        <v>0.9622070091</v>
      </c>
      <c r="L266" s="174">
        <f t="shared" si="4"/>
        <v>10.58577102</v>
      </c>
      <c r="M266" s="175" t="str">
        <f t="shared" si="5"/>
        <v>sembrestels</v>
      </c>
      <c r="N266" s="176">
        <f>IFERROR(__xludf.DUMMYFUNCTION("""COMPUTED_VALUE"""),26.0)</f>
        <v>26</v>
      </c>
      <c r="O266" s="176"/>
      <c r="P266" s="165" t="s">
        <v>6</v>
      </c>
      <c r="Q266" s="165" t="s">
        <v>519</v>
      </c>
      <c r="R266" s="176"/>
      <c r="S266" s="176"/>
      <c r="T266" s="176"/>
      <c r="U266" s="176"/>
      <c r="V266" s="176"/>
      <c r="W266" s="176"/>
      <c r="X266" s="176"/>
      <c r="Y266" s="176"/>
      <c r="Z266" s="176"/>
      <c r="AA266" s="176"/>
    </row>
    <row r="267">
      <c r="A267" s="165" t="str">
        <f>iferror(VLOOKUP(P267,'DO NOT TOUCH Imported'!$A$1:$D$800,4,False),iferror(VLOOKUP(P267,'DO NOT TOUCH Imported'!$C$1:$D$800,2,False),"OOPS FIX ME"))</f>
        <v>sembrestels</v>
      </c>
      <c r="B267" s="165" t="s">
        <v>440</v>
      </c>
      <c r="C267" s="170" t="s">
        <v>913</v>
      </c>
      <c r="D267" s="236" t="s">
        <v>437</v>
      </c>
      <c r="E267" s="237">
        <v>44298.0</v>
      </c>
      <c r="F267" s="170" t="s">
        <v>439</v>
      </c>
      <c r="G267" s="170">
        <v>1000.0</v>
      </c>
      <c r="H267" s="171">
        <v>60.0</v>
      </c>
      <c r="I267" s="171">
        <v>50.0</v>
      </c>
      <c r="J267" s="172">
        <f t="shared" si="10"/>
        <v>0.0006238180076</v>
      </c>
      <c r="K267" s="173">
        <f t="shared" si="11"/>
        <v>0.7485816091</v>
      </c>
      <c r="L267" s="174">
        <f t="shared" si="4"/>
        <v>10.58577102</v>
      </c>
      <c r="M267" s="175" t="str">
        <f t="shared" si="5"/>
        <v>sembrestels</v>
      </c>
      <c r="N267" s="176">
        <f>IFERROR(__xludf.DUMMYFUNCTION("""COMPUTED_VALUE"""),27.0)</f>
        <v>27</v>
      </c>
      <c r="O267" s="176"/>
      <c r="P267" s="165" t="s">
        <v>476</v>
      </c>
      <c r="Q267" s="165" t="s">
        <v>440</v>
      </c>
      <c r="R267" s="176"/>
      <c r="S267" s="176"/>
      <c r="T267" s="176"/>
      <c r="U267" s="176"/>
      <c r="V267" s="176"/>
      <c r="W267" s="176"/>
      <c r="X267" s="176"/>
      <c r="Y267" s="176"/>
      <c r="Z267" s="176"/>
      <c r="AA267" s="176"/>
    </row>
    <row r="268">
      <c r="A268" s="165" t="str">
        <f>iferror(VLOOKUP(P268,'DO NOT TOUCH Imported'!$A$1:$D$800,4,False),iferror(VLOOKUP(P268,'DO NOT TOUCH Imported'!$C$1:$D$800,2,False),"OOPS FIX ME"))</f>
        <v>sembrestels</v>
      </c>
      <c r="B268" s="165" t="s">
        <v>441</v>
      </c>
      <c r="C268" s="170" t="s">
        <v>918</v>
      </c>
      <c r="D268" s="236" t="s">
        <v>437</v>
      </c>
      <c r="E268" s="237">
        <v>44302.0</v>
      </c>
      <c r="F268" s="170" t="s">
        <v>439</v>
      </c>
      <c r="G268" s="170">
        <v>1000.0</v>
      </c>
      <c r="H268" s="171">
        <v>60.0</v>
      </c>
      <c r="I268" s="171">
        <v>50.0</v>
      </c>
      <c r="J268" s="172">
        <f t="shared" si="10"/>
        <v>0.0006238180076</v>
      </c>
      <c r="K268" s="173">
        <f t="shared" si="11"/>
        <v>0.7485816091</v>
      </c>
      <c r="L268" s="174">
        <f t="shared" si="4"/>
        <v>10.58577102</v>
      </c>
      <c r="M268" s="175" t="str">
        <f t="shared" si="5"/>
        <v>sembrestels</v>
      </c>
      <c r="N268" s="176">
        <f>IFERROR(__xludf.DUMMYFUNCTION("""COMPUTED_VALUE"""),28.0)</f>
        <v>28</v>
      </c>
      <c r="O268" s="176"/>
      <c r="P268" s="165" t="s">
        <v>476</v>
      </c>
      <c r="Q268" s="165" t="s">
        <v>441</v>
      </c>
      <c r="R268" s="176"/>
      <c r="S268" s="176"/>
      <c r="T268" s="176"/>
      <c r="U268" s="176"/>
      <c r="V268" s="176"/>
      <c r="W268" s="176"/>
      <c r="X268" s="176"/>
      <c r="Y268" s="176"/>
      <c r="Z268" s="176"/>
      <c r="AA268" s="176"/>
    </row>
    <row r="269">
      <c r="A269" s="165" t="str">
        <f>iferror(VLOOKUP(P269,'DO NOT TOUCH Imported'!$A$1:$D$800,4,False),iferror(VLOOKUP(P269,'DO NOT TOUCH Imported'!$C$1:$D$800,2,False),"OOPS FIX ME"))</f>
        <v>sembrestels</v>
      </c>
      <c r="B269" s="165" t="s">
        <v>483</v>
      </c>
      <c r="C269" s="170" t="s">
        <v>920</v>
      </c>
      <c r="D269" s="236" t="s">
        <v>437</v>
      </c>
      <c r="E269" s="239">
        <v>44305.0</v>
      </c>
      <c r="F269" s="170" t="s">
        <v>439</v>
      </c>
      <c r="G269" s="170">
        <v>1000.0</v>
      </c>
      <c r="H269" s="171">
        <v>60.0</v>
      </c>
      <c r="I269" s="171">
        <v>50.0</v>
      </c>
      <c r="J269" s="172">
        <f t="shared" si="10"/>
        <v>0.0006238180076</v>
      </c>
      <c r="K269" s="173">
        <f t="shared" si="11"/>
        <v>0.7485816091</v>
      </c>
      <c r="L269" s="174">
        <f t="shared" si="4"/>
        <v>10.58577102</v>
      </c>
      <c r="M269" s="175" t="str">
        <f t="shared" si="5"/>
        <v>sembrestels</v>
      </c>
      <c r="N269" s="176">
        <f>IFERROR(__xludf.DUMMYFUNCTION("""COMPUTED_VALUE"""),29.0)</f>
        <v>29</v>
      </c>
      <c r="O269" s="176"/>
      <c r="P269" s="165" t="s">
        <v>476</v>
      </c>
      <c r="Q269" s="165" t="s">
        <v>483</v>
      </c>
      <c r="R269" s="176"/>
      <c r="S269" s="176"/>
      <c r="T269" s="176"/>
      <c r="U269" s="176"/>
      <c r="V269" s="176"/>
      <c r="W269" s="176"/>
      <c r="X269" s="176"/>
      <c r="Y269" s="176"/>
      <c r="Z269" s="176"/>
      <c r="AA269" s="176"/>
    </row>
    <row r="270">
      <c r="A270" s="165" t="str">
        <f>iferror(VLOOKUP(P270,'DO NOT TOUCH Imported'!$A$1:$D$800,4,False),iferror(VLOOKUP(P270,'DO NOT TOUCH Imported'!$C$1:$D$800,2,False),"OOPS FIX ME"))</f>
        <v>sembrestels</v>
      </c>
      <c r="B270" s="165" t="s">
        <v>441</v>
      </c>
      <c r="C270" s="170" t="s">
        <v>923</v>
      </c>
      <c r="D270" s="236" t="s">
        <v>437</v>
      </c>
      <c r="E270" s="237">
        <v>44309.0</v>
      </c>
      <c r="F270" s="170" t="s">
        <v>439</v>
      </c>
      <c r="G270" s="170">
        <v>1000.0</v>
      </c>
      <c r="H270" s="171">
        <v>60.0</v>
      </c>
      <c r="I270" s="171">
        <v>50.0</v>
      </c>
      <c r="J270" s="172">
        <f t="shared" si="10"/>
        <v>0.0006238180076</v>
      </c>
      <c r="K270" s="173">
        <f t="shared" si="11"/>
        <v>0.7485816091</v>
      </c>
      <c r="L270" s="174">
        <f t="shared" si="4"/>
        <v>10.58577102</v>
      </c>
      <c r="M270" s="175" t="str">
        <f t="shared" si="5"/>
        <v>sembrestels</v>
      </c>
      <c r="N270" s="176">
        <f>IFERROR(__xludf.DUMMYFUNCTION("""COMPUTED_VALUE"""),30.0)</f>
        <v>30</v>
      </c>
      <c r="O270" s="176"/>
      <c r="P270" s="165" t="s">
        <v>476</v>
      </c>
      <c r="Q270" s="165" t="s">
        <v>441</v>
      </c>
      <c r="R270" s="176"/>
      <c r="S270" s="176"/>
      <c r="T270" s="176"/>
      <c r="U270" s="176"/>
      <c r="V270" s="176"/>
      <c r="W270" s="176"/>
      <c r="X270" s="176"/>
      <c r="Y270" s="176"/>
      <c r="Z270" s="176"/>
      <c r="AA270" s="176"/>
    </row>
    <row r="271">
      <c r="A271" s="165" t="str">
        <f>iferror(VLOOKUP(P271,'DO NOT TOUCH Imported'!$A$1:$D$800,4,False),iferror(VLOOKUP(P271,'DO NOT TOUCH Imported'!$C$1:$D$800,2,False),"OOPS FIX ME"))</f>
        <v>sembrestels</v>
      </c>
      <c r="B271" s="165" t="s">
        <v>10</v>
      </c>
      <c r="C271" s="170" t="s">
        <v>494</v>
      </c>
      <c r="D271" s="236" t="s">
        <v>495</v>
      </c>
      <c r="E271" s="237">
        <v>44302.0</v>
      </c>
      <c r="F271" s="170" t="s">
        <v>496</v>
      </c>
      <c r="G271" s="170">
        <v>1500.0</v>
      </c>
      <c r="H271" s="171">
        <v>25.0</v>
      </c>
      <c r="I271" s="171">
        <v>40.0</v>
      </c>
      <c r="J271" s="172">
        <f t="shared" si="10"/>
        <v>0.0005021792123</v>
      </c>
      <c r="K271" s="173">
        <f t="shared" si="11"/>
        <v>0.6026150547</v>
      </c>
      <c r="L271" s="174">
        <f t="shared" si="4"/>
        <v>10.58577102</v>
      </c>
      <c r="M271" s="175" t="str">
        <f t="shared" si="5"/>
        <v>sembrestels</v>
      </c>
      <c r="N271" s="176">
        <f>IFERROR(__xludf.DUMMYFUNCTION("""COMPUTED_VALUE"""),31.0)</f>
        <v>31</v>
      </c>
      <c r="O271" s="176"/>
      <c r="P271" s="165" t="s">
        <v>6</v>
      </c>
      <c r="Q271" s="165" t="s">
        <v>10</v>
      </c>
      <c r="R271" s="176"/>
      <c r="S271" s="176"/>
      <c r="T271" s="176"/>
      <c r="U271" s="176"/>
      <c r="V271" s="176"/>
      <c r="W271" s="176"/>
      <c r="X271" s="176"/>
      <c r="Y271" s="176"/>
      <c r="Z271" s="176"/>
      <c r="AA271" s="176"/>
    </row>
    <row r="272">
      <c r="A272" s="165" t="str">
        <f>iferror(VLOOKUP(P272,'DO NOT TOUCH Imported'!$A$1:$D$800,4,False),iferror(VLOOKUP(P272,'DO NOT TOUCH Imported'!$C$1:$D$800,2,False),"OOPS FIX ME"))</f>
        <v>sembrestels</v>
      </c>
      <c r="B272" s="165" t="s">
        <v>10</v>
      </c>
      <c r="C272" s="170" t="s">
        <v>494</v>
      </c>
      <c r="D272" s="236" t="s">
        <v>495</v>
      </c>
      <c r="E272" s="237">
        <v>44309.0</v>
      </c>
      <c r="F272" s="170" t="s">
        <v>496</v>
      </c>
      <c r="G272" s="170">
        <v>1500.0</v>
      </c>
      <c r="H272" s="171">
        <v>25.0</v>
      </c>
      <c r="I272" s="171">
        <v>40.0</v>
      </c>
      <c r="J272" s="172">
        <f t="shared" si="10"/>
        <v>0.0005021792123</v>
      </c>
      <c r="K272" s="173">
        <f t="shared" si="11"/>
        <v>0.6026150547</v>
      </c>
      <c r="L272" s="174">
        <f t="shared" si="4"/>
        <v>10.58577102</v>
      </c>
      <c r="M272" s="175" t="str">
        <f t="shared" si="5"/>
        <v>sembrestels</v>
      </c>
      <c r="N272" s="176">
        <f>IFERROR(__xludf.DUMMYFUNCTION("""COMPUTED_VALUE"""),32.0)</f>
        <v>32</v>
      </c>
      <c r="O272" s="176"/>
      <c r="P272" s="165" t="s">
        <v>6</v>
      </c>
      <c r="Q272" s="165" t="s">
        <v>10</v>
      </c>
      <c r="R272" s="176"/>
      <c r="S272" s="176"/>
      <c r="T272" s="176"/>
      <c r="U272" s="176"/>
      <c r="V272" s="176"/>
      <c r="W272" s="176"/>
      <c r="X272" s="176"/>
      <c r="Y272" s="176"/>
      <c r="Z272" s="176"/>
      <c r="AA272" s="176"/>
    </row>
    <row r="273">
      <c r="A273" s="165" t="str">
        <f>iferror(VLOOKUP(P273,'DO NOT TOUCH Imported'!$A$1:$D$800,4,False),iferror(VLOOKUP(P273,'DO NOT TOUCH Imported'!$C$1:$D$800,2,False),"OOPS FIX ME"))</f>
        <v>metaverde</v>
      </c>
      <c r="B273" s="165" t="s">
        <v>486</v>
      </c>
      <c r="C273" s="170" t="s">
        <v>924</v>
      </c>
      <c r="D273" s="236" t="s">
        <v>437</v>
      </c>
      <c r="E273" s="237">
        <v>44299.0</v>
      </c>
      <c r="F273" s="170" t="s">
        <v>439</v>
      </c>
      <c r="G273" s="219"/>
      <c r="H273" s="171"/>
      <c r="I273" s="171"/>
      <c r="J273" s="172">
        <f t="shared" si="10"/>
        <v>0</v>
      </c>
      <c r="K273" s="218">
        <v>1.5075376884422111</v>
      </c>
      <c r="L273" s="174">
        <f t="shared" si="4"/>
        <v>10.55276382</v>
      </c>
      <c r="M273" s="175" t="str">
        <f t="shared" si="5"/>
        <v>metaverde</v>
      </c>
      <c r="N273" s="176">
        <f>IFERROR(__xludf.DUMMYFUNCTION("""COMPUTED_VALUE"""),1.0)</f>
        <v>1</v>
      </c>
      <c r="O273" s="176"/>
      <c r="P273" s="165" t="s">
        <v>718</v>
      </c>
      <c r="Q273" s="165" t="s">
        <v>486</v>
      </c>
      <c r="R273" s="176"/>
      <c r="S273" s="176"/>
      <c r="T273" s="176"/>
      <c r="U273" s="176"/>
      <c r="V273" s="176"/>
      <c r="W273" s="176"/>
      <c r="X273" s="176"/>
      <c r="Y273" s="176"/>
      <c r="Z273" s="176"/>
      <c r="AA273" s="176"/>
    </row>
    <row r="274">
      <c r="A274" s="165" t="str">
        <f>iferror(VLOOKUP(P274,'DO NOT TOUCH Imported'!$A$1:$D$800,4,False),iferror(VLOOKUP(P274,'DO NOT TOUCH Imported'!$C$1:$D$800,2,False),"OOPS FIX ME"))</f>
        <v>metaverde</v>
      </c>
      <c r="B274" s="165" t="s">
        <v>492</v>
      </c>
      <c r="C274" s="170" t="s">
        <v>915</v>
      </c>
      <c r="D274" s="236" t="s">
        <v>437</v>
      </c>
      <c r="E274" s="237">
        <v>44300.0</v>
      </c>
      <c r="F274" s="170" t="s">
        <v>439</v>
      </c>
      <c r="G274" s="219"/>
      <c r="H274" s="171"/>
      <c r="I274" s="171"/>
      <c r="J274" s="172">
        <f t="shared" si="10"/>
        <v>0</v>
      </c>
      <c r="K274" s="218">
        <v>1.5075376884422111</v>
      </c>
      <c r="L274" s="174">
        <f t="shared" si="4"/>
        <v>10.55276382</v>
      </c>
      <c r="M274" s="175" t="str">
        <f t="shared" si="5"/>
        <v>metaverde</v>
      </c>
      <c r="N274" s="176">
        <f>IFERROR(__xludf.DUMMYFUNCTION("""COMPUTED_VALUE"""),2.0)</f>
        <v>2</v>
      </c>
      <c r="O274" s="176"/>
      <c r="P274" s="165" t="s">
        <v>718</v>
      </c>
      <c r="Q274" s="165" t="s">
        <v>492</v>
      </c>
      <c r="R274" s="176"/>
      <c r="S274" s="176"/>
      <c r="T274" s="176"/>
      <c r="U274" s="176"/>
      <c r="V274" s="176"/>
      <c r="W274" s="176"/>
      <c r="X274" s="176"/>
      <c r="Y274" s="176"/>
      <c r="Z274" s="176"/>
      <c r="AA274" s="176"/>
    </row>
    <row r="275">
      <c r="A275" s="165" t="str">
        <f>iferror(VLOOKUP(P275,'DO NOT TOUCH Imported'!$A$1:$D$800,4,False),iferror(VLOOKUP(P275,'DO NOT TOUCH Imported'!$C$1:$D$800,2,False),"OOPS FIX ME"))</f>
        <v>metaverde</v>
      </c>
      <c r="B275" s="165" t="s">
        <v>492</v>
      </c>
      <c r="C275" s="170" t="s">
        <v>915</v>
      </c>
      <c r="D275" s="236" t="s">
        <v>437</v>
      </c>
      <c r="E275" s="239">
        <v>44300.0</v>
      </c>
      <c r="F275" s="170" t="s">
        <v>439</v>
      </c>
      <c r="G275" s="219"/>
      <c r="H275" s="171"/>
      <c r="I275" s="171"/>
      <c r="J275" s="172">
        <f t="shared" si="10"/>
        <v>0</v>
      </c>
      <c r="K275" s="218">
        <v>1.5075376884422111</v>
      </c>
      <c r="L275" s="174">
        <f t="shared" si="4"/>
        <v>10.55276382</v>
      </c>
      <c r="M275" s="175" t="str">
        <f t="shared" si="5"/>
        <v>metaverde</v>
      </c>
      <c r="N275" s="176">
        <f>IFERROR(__xludf.DUMMYFUNCTION("""COMPUTED_VALUE"""),3.0)</f>
        <v>3</v>
      </c>
      <c r="O275" s="176"/>
      <c r="P275" s="165" t="s">
        <v>718</v>
      </c>
      <c r="Q275" s="165" t="s">
        <v>492</v>
      </c>
      <c r="R275" s="176"/>
      <c r="S275" s="176"/>
      <c r="T275" s="176"/>
      <c r="U275" s="176"/>
      <c r="V275" s="176"/>
      <c r="W275" s="176"/>
      <c r="X275" s="176"/>
      <c r="Y275" s="176"/>
      <c r="Z275" s="176"/>
      <c r="AA275" s="176"/>
    </row>
    <row r="276">
      <c r="A276" s="165" t="str">
        <f>iferror(VLOOKUP(P276,'DO NOT TOUCH Imported'!$A$1:$D$800,4,False),iferror(VLOOKUP(P276,'DO NOT TOUCH Imported'!$C$1:$D$800,2,False),"OOPS FIX ME"))</f>
        <v>metaverde</v>
      </c>
      <c r="B276" s="165" t="s">
        <v>435</v>
      </c>
      <c r="C276" s="170" t="s">
        <v>910</v>
      </c>
      <c r="D276" s="236" t="s">
        <v>437</v>
      </c>
      <c r="E276" s="239">
        <v>44302.0</v>
      </c>
      <c r="F276" s="170" t="s">
        <v>911</v>
      </c>
      <c r="G276" s="219"/>
      <c r="H276" s="171"/>
      <c r="I276" s="171"/>
      <c r="J276" s="172">
        <f t="shared" si="10"/>
        <v>0</v>
      </c>
      <c r="K276" s="218">
        <v>1.5075376884422111</v>
      </c>
      <c r="L276" s="174">
        <f t="shared" si="4"/>
        <v>10.55276382</v>
      </c>
      <c r="M276" s="175" t="str">
        <f t="shared" si="5"/>
        <v>metaverde</v>
      </c>
      <c r="N276" s="176">
        <f>IFERROR(__xludf.DUMMYFUNCTION("""COMPUTED_VALUE"""),4.0)</f>
        <v>4</v>
      </c>
      <c r="O276" s="176"/>
      <c r="P276" s="165" t="s">
        <v>718</v>
      </c>
      <c r="Q276" s="165" t="s">
        <v>435</v>
      </c>
      <c r="R276" s="176"/>
      <c r="S276" s="176"/>
      <c r="T276" s="176"/>
      <c r="U276" s="176"/>
      <c r="V276" s="176"/>
      <c r="W276" s="176"/>
      <c r="X276" s="176"/>
      <c r="Y276" s="176"/>
      <c r="Z276" s="176"/>
      <c r="AA276" s="176"/>
    </row>
    <row r="277">
      <c r="A277" s="165" t="str">
        <f>iferror(VLOOKUP(P277,'DO NOT TOUCH Imported'!$A$1:$D$800,4,False),iferror(VLOOKUP(P277,'DO NOT TOUCH Imported'!$C$1:$D$800,2,False),"OOPS FIX ME"))</f>
        <v>metaverde</v>
      </c>
      <c r="B277" s="165" t="s">
        <v>566</v>
      </c>
      <c r="C277" s="170" t="s">
        <v>1034</v>
      </c>
      <c r="D277" s="236" t="s">
        <v>499</v>
      </c>
      <c r="E277" s="237">
        <v>44305.0</v>
      </c>
      <c r="F277" s="170" t="s">
        <v>503</v>
      </c>
      <c r="G277" s="219"/>
      <c r="H277" s="171"/>
      <c r="I277" s="171"/>
      <c r="J277" s="172">
        <f t="shared" si="10"/>
        <v>0</v>
      </c>
      <c r="K277" s="218">
        <v>1.5075376884422111</v>
      </c>
      <c r="L277" s="174">
        <f t="shared" si="4"/>
        <v>10.55276382</v>
      </c>
      <c r="M277" s="175" t="str">
        <f t="shared" si="5"/>
        <v>metaverde</v>
      </c>
      <c r="N277" s="176">
        <f>IFERROR(__xludf.DUMMYFUNCTION("""COMPUTED_VALUE"""),5.0)</f>
        <v>5</v>
      </c>
      <c r="O277" s="176"/>
      <c r="P277" s="165" t="s">
        <v>718</v>
      </c>
      <c r="Q277" s="165" t="s">
        <v>566</v>
      </c>
      <c r="R277" s="176"/>
      <c r="S277" s="176"/>
      <c r="T277" s="176"/>
      <c r="U277" s="176"/>
      <c r="V277" s="176"/>
      <c r="W277" s="176"/>
      <c r="X277" s="176"/>
      <c r="Y277" s="176"/>
      <c r="Z277" s="176"/>
      <c r="AA277" s="176"/>
    </row>
    <row r="278">
      <c r="A278" s="165" t="str">
        <f>iferror(VLOOKUP(P278,'DO NOT TOUCH Imported'!$A$1:$D$800,4,False),iferror(VLOOKUP(P278,'DO NOT TOUCH Imported'!$C$1:$D$800,2,False),"OOPS FIX ME"))</f>
        <v>metaverde</v>
      </c>
      <c r="B278" s="165" t="s">
        <v>486</v>
      </c>
      <c r="C278" s="170" t="s">
        <v>921</v>
      </c>
      <c r="D278" s="236" t="s">
        <v>437</v>
      </c>
      <c r="E278" s="239">
        <v>44306.0</v>
      </c>
      <c r="F278" s="170" t="s">
        <v>439</v>
      </c>
      <c r="G278" s="219"/>
      <c r="H278" s="171"/>
      <c r="I278" s="171"/>
      <c r="J278" s="172">
        <f t="shared" si="10"/>
        <v>0</v>
      </c>
      <c r="K278" s="218">
        <v>1.5075376884422111</v>
      </c>
      <c r="L278" s="174">
        <f t="shared" si="4"/>
        <v>10.55276382</v>
      </c>
      <c r="M278" s="175" t="str">
        <f t="shared" si="5"/>
        <v>metaverde</v>
      </c>
      <c r="N278" s="176">
        <f>IFERROR(__xludf.DUMMYFUNCTION("""COMPUTED_VALUE"""),6.0)</f>
        <v>6</v>
      </c>
      <c r="O278" s="176"/>
      <c r="P278" s="165" t="s">
        <v>718</v>
      </c>
      <c r="Q278" s="165" t="s">
        <v>486</v>
      </c>
      <c r="R278" s="176"/>
      <c r="S278" s="176"/>
      <c r="T278" s="176"/>
      <c r="U278" s="176"/>
      <c r="V278" s="176"/>
      <c r="W278" s="176"/>
      <c r="X278" s="176"/>
      <c r="Y278" s="176"/>
      <c r="Z278" s="176"/>
      <c r="AA278" s="176"/>
    </row>
    <row r="279">
      <c r="A279" s="165" t="str">
        <f>iferror(VLOOKUP(P279,'DO NOT TOUCH Imported'!$A$1:$D$800,4,False),iferror(VLOOKUP(P279,'DO NOT TOUCH Imported'!$C$1:$D$800,2,False),"OOPS FIX ME"))</f>
        <v>metaverde</v>
      </c>
      <c r="B279" s="165" t="s">
        <v>10</v>
      </c>
      <c r="C279" s="170" t="s">
        <v>498</v>
      </c>
      <c r="D279" s="236" t="s">
        <v>495</v>
      </c>
      <c r="E279" s="237">
        <v>44309.0</v>
      </c>
      <c r="F279" s="170" t="s">
        <v>499</v>
      </c>
      <c r="G279" s="219"/>
      <c r="H279" s="243"/>
      <c r="I279" s="243"/>
      <c r="J279" s="172">
        <f t="shared" si="10"/>
        <v>0</v>
      </c>
      <c r="K279" s="218">
        <v>1.5075376884422111</v>
      </c>
      <c r="L279" s="174">
        <f t="shared" si="4"/>
        <v>10.55276382</v>
      </c>
      <c r="M279" s="175" t="str">
        <f t="shared" si="5"/>
        <v>metaverde</v>
      </c>
      <c r="N279" s="176">
        <f>IFERROR(__xludf.DUMMYFUNCTION("""COMPUTED_VALUE"""),7.0)</f>
        <v>7</v>
      </c>
      <c r="O279" s="176"/>
      <c r="P279" s="165" t="s">
        <v>12</v>
      </c>
      <c r="Q279" s="165" t="s">
        <v>10</v>
      </c>
      <c r="R279" s="176"/>
      <c r="S279" s="176"/>
      <c r="T279" s="176"/>
      <c r="U279" s="176"/>
      <c r="V279" s="176"/>
      <c r="W279" s="176"/>
      <c r="X279" s="176"/>
      <c r="Y279" s="176"/>
      <c r="Z279" s="176"/>
      <c r="AA279" s="176"/>
    </row>
    <row r="280">
      <c r="A280" s="185" t="str">
        <f>iferror(VLOOKUP(P280,'DO NOT TOUCH Imported'!$A$1:$D$800,4,False),iferror(VLOOKUP(P280,'DO NOT TOUCH Imported'!$C$1:$D$800,2,False),"OOPS FIX ME"))</f>
        <v>GriffGreen</v>
      </c>
      <c r="B280" s="185" t="s">
        <v>534</v>
      </c>
      <c r="C280" s="213" t="s">
        <v>684</v>
      </c>
      <c r="D280" s="212"/>
      <c r="E280" s="214"/>
      <c r="F280" s="212"/>
      <c r="G280" s="196"/>
      <c r="H280" s="196"/>
      <c r="I280" s="196"/>
      <c r="J280" s="172">
        <f>(H280/$H$2+I280/$I$2)/2</f>
        <v>0</v>
      </c>
      <c r="K280" s="215">
        <f>68.172*-0.85</f>
        <v>-57.9462</v>
      </c>
      <c r="L280" s="193">
        <f t="shared" si="4"/>
        <v>10.22530884</v>
      </c>
      <c r="M280" s="194" t="str">
        <f t="shared" si="5"/>
        <v>GriffGreen</v>
      </c>
      <c r="N280" s="212">
        <f>IFERROR(__xludf.DUMMYFUNCTION("""COMPUTED_VALUE"""),1.0)</f>
        <v>1</v>
      </c>
      <c r="O280" s="212"/>
      <c r="P280" s="195" t="s">
        <v>16</v>
      </c>
      <c r="Q280" s="195" t="s">
        <v>534</v>
      </c>
      <c r="R280" s="212"/>
      <c r="S280" s="212"/>
      <c r="T280" s="212"/>
      <c r="U280" s="212"/>
      <c r="V280" s="212"/>
      <c r="W280" s="212"/>
      <c r="X280" s="212"/>
      <c r="Y280" s="212"/>
      <c r="Z280" s="212"/>
      <c r="AA280" s="176"/>
    </row>
    <row r="281">
      <c r="A281" s="165" t="str">
        <f>iferror(VLOOKUP(P281,'DO NOT TOUCH Imported'!$A$1:$D$800,4,False),iferror(VLOOKUP(P281,'DO NOT TOUCH Imported'!$C$1:$D$800,2,False),"OOPS FIX ME"))</f>
        <v>GriffGreen</v>
      </c>
      <c r="B281" s="165" t="s">
        <v>441</v>
      </c>
      <c r="C281" s="170" t="s">
        <v>1035</v>
      </c>
      <c r="D281" s="236" t="s">
        <v>437</v>
      </c>
      <c r="E281" s="239">
        <v>44302.0</v>
      </c>
      <c r="F281" s="170" t="s">
        <v>439</v>
      </c>
      <c r="G281" s="170">
        <v>10000.0</v>
      </c>
      <c r="H281" s="171">
        <v>200.0</v>
      </c>
      <c r="I281" s="171">
        <v>100.0</v>
      </c>
      <c r="J281" s="172">
        <f t="shared" ref="J281:J332" si="12">(G281/$G$2+H281/$H$2+I281/$I$2)/3</f>
        <v>0.002778549424</v>
      </c>
      <c r="K281" s="173">
        <f t="shared" ref="K281:K332" si="13">J281*$J$1</f>
        <v>3.334259309</v>
      </c>
      <c r="L281" s="174">
        <f t="shared" si="4"/>
        <v>10.22530884</v>
      </c>
      <c r="M281" s="175" t="str">
        <f t="shared" si="5"/>
        <v>GriffGreen</v>
      </c>
      <c r="N281" s="176">
        <f>IFERROR(__xludf.DUMMYFUNCTION("""COMPUTED_VALUE"""),2.0)</f>
        <v>2</v>
      </c>
      <c r="O281" s="176"/>
      <c r="P281" s="165" t="s">
        <v>450</v>
      </c>
      <c r="Q281" s="165" t="s">
        <v>441</v>
      </c>
      <c r="R281" s="176"/>
      <c r="S281" s="176"/>
      <c r="T281" s="176"/>
      <c r="U281" s="176"/>
      <c r="V281" s="176"/>
      <c r="W281" s="176"/>
      <c r="X281" s="176"/>
      <c r="Y281" s="176"/>
      <c r="Z281" s="176"/>
      <c r="AA281" s="176"/>
    </row>
    <row r="282">
      <c r="A282" s="165" t="str">
        <f>iferror(VLOOKUP(P282,'DO NOT TOUCH Imported'!$A$1:$D$800,4,False),iferror(VLOOKUP(P282,'DO NOT TOUCH Imported'!$C$1:$D$800,2,False),"OOPS FIX ME"))</f>
        <v>GriffGreen</v>
      </c>
      <c r="B282" s="165" t="s">
        <v>450</v>
      </c>
      <c r="C282" s="170" t="s">
        <v>971</v>
      </c>
      <c r="D282" s="236" t="s">
        <v>437</v>
      </c>
      <c r="E282" s="239">
        <v>44296.0</v>
      </c>
      <c r="F282" s="170" t="s">
        <v>439</v>
      </c>
      <c r="G282" s="170">
        <v>10000.0</v>
      </c>
      <c r="H282" s="171">
        <v>100.0</v>
      </c>
      <c r="I282" s="171">
        <v>200.0</v>
      </c>
      <c r="J282" s="172">
        <f t="shared" si="12"/>
        <v>0.002771256307</v>
      </c>
      <c r="K282" s="173">
        <f t="shared" si="13"/>
        <v>3.325507568</v>
      </c>
      <c r="L282" s="174">
        <f t="shared" si="4"/>
        <v>10.22530884</v>
      </c>
      <c r="M282" s="175" t="str">
        <f t="shared" si="5"/>
        <v>GriffGreen</v>
      </c>
      <c r="N282" s="176">
        <f>IFERROR(__xludf.DUMMYFUNCTION("""COMPUTED_VALUE"""),3.0)</f>
        <v>3</v>
      </c>
      <c r="O282" s="176"/>
      <c r="P282" s="165" t="s">
        <v>450</v>
      </c>
      <c r="Q282" s="165" t="s">
        <v>450</v>
      </c>
      <c r="R282" s="176"/>
      <c r="S282" s="176"/>
      <c r="T282" s="176"/>
      <c r="U282" s="176"/>
      <c r="V282" s="176"/>
      <c r="W282" s="176"/>
      <c r="X282" s="176"/>
      <c r="Y282" s="176"/>
      <c r="Z282" s="176"/>
      <c r="AA282" s="176"/>
    </row>
    <row r="283">
      <c r="A283" s="165" t="str">
        <f>iferror(VLOOKUP(P283,'DO NOT TOUCH Imported'!$A$1:$D$800,4,False),iferror(VLOOKUP(P283,'DO NOT TOUCH Imported'!$C$1:$D$800,2,False),"OOPS FIX ME"))</f>
        <v>GriffGreen</v>
      </c>
      <c r="B283" s="165" t="s">
        <v>867</v>
      </c>
      <c r="C283" s="170" t="s">
        <v>982</v>
      </c>
      <c r="D283" s="236" t="s">
        <v>495</v>
      </c>
      <c r="E283" s="239">
        <v>44296.0</v>
      </c>
      <c r="F283" s="170" t="s">
        <v>496</v>
      </c>
      <c r="G283" s="170">
        <v>3500.0</v>
      </c>
      <c r="H283" s="171">
        <v>200.0</v>
      </c>
      <c r="I283" s="171">
        <v>250.0</v>
      </c>
      <c r="J283" s="172">
        <f t="shared" si="12"/>
        <v>0.002461358442</v>
      </c>
      <c r="K283" s="173">
        <f t="shared" si="13"/>
        <v>2.95363013</v>
      </c>
      <c r="L283" s="174">
        <f t="shared" si="4"/>
        <v>10.22530884</v>
      </c>
      <c r="M283" s="175" t="str">
        <f t="shared" si="5"/>
        <v>GriffGreen</v>
      </c>
      <c r="N283" s="176">
        <f>IFERROR(__xludf.DUMMYFUNCTION("""COMPUTED_VALUE"""),4.0)</f>
        <v>4</v>
      </c>
      <c r="O283" s="176"/>
      <c r="P283" s="165" t="s">
        <v>16</v>
      </c>
      <c r="Q283" s="165" t="s">
        <v>867</v>
      </c>
      <c r="R283" s="176"/>
      <c r="S283" s="176"/>
      <c r="T283" s="176"/>
      <c r="U283" s="176"/>
      <c r="V283" s="176"/>
      <c r="W283" s="176"/>
      <c r="X283" s="176"/>
      <c r="Y283" s="176"/>
      <c r="Z283" s="176"/>
      <c r="AA283" s="176"/>
    </row>
    <row r="284">
      <c r="A284" s="165" t="str">
        <f>iferror(VLOOKUP(P284,'DO NOT TOUCH Imported'!$A$1:$D$800,4,False),iferror(VLOOKUP(P284,'DO NOT TOUCH Imported'!$C$1:$D$800,2,False),"OOPS FIX ME"))</f>
        <v>GriffGreen</v>
      </c>
      <c r="B284" s="165" t="s">
        <v>441</v>
      </c>
      <c r="C284" s="170" t="s">
        <v>928</v>
      </c>
      <c r="D284" s="236" t="s">
        <v>437</v>
      </c>
      <c r="E284" s="239">
        <v>44309.0</v>
      </c>
      <c r="F284" s="170" t="s">
        <v>439</v>
      </c>
      <c r="G284" s="170">
        <v>5000.0</v>
      </c>
      <c r="H284" s="171">
        <v>100.0</v>
      </c>
      <c r="I284" s="171">
        <v>250.0</v>
      </c>
      <c r="J284" s="172">
        <f t="shared" si="12"/>
        <v>0.002246889257</v>
      </c>
      <c r="K284" s="173">
        <f t="shared" si="13"/>
        <v>2.696267109</v>
      </c>
      <c r="L284" s="174">
        <f t="shared" si="4"/>
        <v>10.22530884</v>
      </c>
      <c r="M284" s="175" t="str">
        <f t="shared" si="5"/>
        <v>GriffGreen</v>
      </c>
      <c r="N284" s="176">
        <f>IFERROR(__xludf.DUMMYFUNCTION("""COMPUTED_VALUE"""),5.0)</f>
        <v>5</v>
      </c>
      <c r="O284" s="176"/>
      <c r="P284" s="165" t="s">
        <v>450</v>
      </c>
      <c r="Q284" s="165" t="s">
        <v>441</v>
      </c>
      <c r="R284" s="176"/>
      <c r="S284" s="176"/>
      <c r="T284" s="176"/>
      <c r="U284" s="176"/>
      <c r="V284" s="176"/>
      <c r="W284" s="176"/>
      <c r="X284" s="176"/>
      <c r="Y284" s="176"/>
      <c r="Z284" s="176"/>
      <c r="AA284" s="176"/>
    </row>
    <row r="285">
      <c r="A285" s="165" t="str">
        <f>iferror(VLOOKUP(P285,'DO NOT TOUCH Imported'!$A$1:$D$800,4,False),iferror(VLOOKUP(P285,'DO NOT TOUCH Imported'!$C$1:$D$800,2,False),"OOPS FIX ME"))</f>
        <v>GriffGreen</v>
      </c>
      <c r="B285" s="165" t="s">
        <v>443</v>
      </c>
      <c r="C285" s="170" t="s">
        <v>1036</v>
      </c>
      <c r="D285" s="236" t="s">
        <v>437</v>
      </c>
      <c r="E285" s="237">
        <v>44299.0</v>
      </c>
      <c r="F285" s="170" t="s">
        <v>439</v>
      </c>
      <c r="G285" s="170">
        <v>1000.0</v>
      </c>
      <c r="H285" s="171">
        <v>300.0</v>
      </c>
      <c r="I285" s="171">
        <v>150.0</v>
      </c>
      <c r="J285" s="172">
        <f t="shared" si="12"/>
        <v>0.002099266217</v>
      </c>
      <c r="K285" s="173">
        <f t="shared" si="13"/>
        <v>2.51911946</v>
      </c>
      <c r="L285" s="174">
        <f t="shared" si="4"/>
        <v>10.22530884</v>
      </c>
      <c r="M285" s="175" t="str">
        <f t="shared" si="5"/>
        <v>GriffGreen</v>
      </c>
      <c r="N285" s="176">
        <f>IFERROR(__xludf.DUMMYFUNCTION("""COMPUTED_VALUE"""),6.0)</f>
        <v>6</v>
      </c>
      <c r="O285" s="176"/>
      <c r="P285" s="165" t="s">
        <v>450</v>
      </c>
      <c r="Q285" s="165" t="s">
        <v>443</v>
      </c>
      <c r="R285" s="176"/>
      <c r="S285" s="176"/>
      <c r="T285" s="176"/>
      <c r="U285" s="176"/>
      <c r="V285" s="176"/>
      <c r="W285" s="176"/>
      <c r="X285" s="176"/>
      <c r="Y285" s="176"/>
      <c r="Z285" s="176"/>
      <c r="AA285" s="176"/>
    </row>
    <row r="286">
      <c r="A286" s="165" t="str">
        <f>iferror(VLOOKUP(P286,'DO NOT TOUCH Imported'!$A$1:$D$800,4,False),iferror(VLOOKUP(P286,'DO NOT TOUCH Imported'!$C$1:$D$800,2,False),"OOPS FIX ME"))</f>
        <v>GriffGreen</v>
      </c>
      <c r="B286" s="165" t="s">
        <v>441</v>
      </c>
      <c r="C286" s="170" t="s">
        <v>1037</v>
      </c>
      <c r="D286" s="236" t="s">
        <v>437</v>
      </c>
      <c r="E286" s="237">
        <v>44309.0</v>
      </c>
      <c r="F286" s="170" t="s">
        <v>439</v>
      </c>
      <c r="G286" s="170">
        <v>1000.0</v>
      </c>
      <c r="H286" s="171">
        <v>250.0</v>
      </c>
      <c r="I286" s="171">
        <v>200.0</v>
      </c>
      <c r="J286" s="172">
        <f t="shared" si="12"/>
        <v>0.002095619658</v>
      </c>
      <c r="K286" s="173">
        <f t="shared" si="13"/>
        <v>2.51474359</v>
      </c>
      <c r="L286" s="174">
        <f t="shared" si="4"/>
        <v>10.22530884</v>
      </c>
      <c r="M286" s="175" t="str">
        <f t="shared" si="5"/>
        <v>GriffGreen</v>
      </c>
      <c r="N286" s="176">
        <f>IFERROR(__xludf.DUMMYFUNCTION("""COMPUTED_VALUE"""),7.0)</f>
        <v>7</v>
      </c>
      <c r="O286" s="176"/>
      <c r="P286" s="165" t="s">
        <v>450</v>
      </c>
      <c r="Q286" s="165" t="s">
        <v>441</v>
      </c>
      <c r="R286" s="176"/>
      <c r="S286" s="176"/>
      <c r="T286" s="176"/>
      <c r="U286" s="176"/>
      <c r="V286" s="176"/>
      <c r="W286" s="176"/>
      <c r="X286" s="176"/>
      <c r="Y286" s="176"/>
      <c r="Z286" s="176"/>
      <c r="AA286" s="176"/>
    </row>
    <row r="287">
      <c r="A287" s="165" t="str">
        <f>iferror(VLOOKUP(P287,'DO NOT TOUCH Imported'!$A$1:$D$800,4,False),iferror(VLOOKUP(P287,'DO NOT TOUCH Imported'!$C$1:$D$800,2,False),"OOPS FIX ME"))</f>
        <v>GriffGreen</v>
      </c>
      <c r="B287" s="165" t="s">
        <v>443</v>
      </c>
      <c r="C287" s="170" t="s">
        <v>1038</v>
      </c>
      <c r="D287" s="236" t="s">
        <v>437</v>
      </c>
      <c r="E287" s="237">
        <v>44306.0</v>
      </c>
      <c r="F287" s="170" t="s">
        <v>439</v>
      </c>
      <c r="G287" s="170">
        <v>2000.0</v>
      </c>
      <c r="H287" s="171">
        <v>200.0</v>
      </c>
      <c r="I287" s="171">
        <v>200.0</v>
      </c>
      <c r="J287" s="172">
        <f t="shared" si="12"/>
        <v>0.0020253236</v>
      </c>
      <c r="K287" s="173">
        <f t="shared" si="13"/>
        <v>2.43038832</v>
      </c>
      <c r="L287" s="174">
        <f t="shared" si="4"/>
        <v>10.22530884</v>
      </c>
      <c r="M287" s="175" t="str">
        <f t="shared" si="5"/>
        <v>GriffGreen</v>
      </c>
      <c r="N287" s="176">
        <f>IFERROR(__xludf.DUMMYFUNCTION("""COMPUTED_VALUE"""),8.0)</f>
        <v>8</v>
      </c>
      <c r="O287" s="176"/>
      <c r="P287" s="165" t="s">
        <v>450</v>
      </c>
      <c r="Q287" s="165" t="s">
        <v>443</v>
      </c>
      <c r="R287" s="176"/>
      <c r="S287" s="176"/>
      <c r="T287" s="176"/>
      <c r="U287" s="176"/>
      <c r="V287" s="176"/>
      <c r="W287" s="176"/>
      <c r="X287" s="176"/>
      <c r="Y287" s="176"/>
      <c r="Z287" s="176"/>
      <c r="AA287" s="176"/>
    </row>
    <row r="288">
      <c r="A288" s="165" t="str">
        <f>iferror(VLOOKUP(P288,'DO NOT TOUCH Imported'!$A$1:$D$800,4,False),iferror(VLOOKUP(P288,'DO NOT TOUCH Imported'!$C$1:$D$800,2,False),"OOPS FIX ME"))</f>
        <v>GriffGreen</v>
      </c>
      <c r="B288" s="165" t="s">
        <v>441</v>
      </c>
      <c r="C288" s="170" t="s">
        <v>931</v>
      </c>
      <c r="D288" s="236" t="s">
        <v>437</v>
      </c>
      <c r="E288" s="239">
        <v>44309.0</v>
      </c>
      <c r="F288" s="170" t="s">
        <v>439</v>
      </c>
      <c r="G288" s="170">
        <v>5000.0</v>
      </c>
      <c r="H288" s="171">
        <v>100.0</v>
      </c>
      <c r="I288" s="171">
        <v>200.0</v>
      </c>
      <c r="J288" s="172">
        <f t="shared" si="12"/>
        <v>0.002032485621</v>
      </c>
      <c r="K288" s="173">
        <f t="shared" si="13"/>
        <v>2.438982745</v>
      </c>
      <c r="L288" s="174">
        <f t="shared" si="4"/>
        <v>10.22530884</v>
      </c>
      <c r="M288" s="175" t="str">
        <f t="shared" si="5"/>
        <v>GriffGreen</v>
      </c>
      <c r="N288" s="176">
        <f>IFERROR(__xludf.DUMMYFUNCTION("""COMPUTED_VALUE"""),9.0)</f>
        <v>9</v>
      </c>
      <c r="O288" s="176"/>
      <c r="P288" s="165" t="s">
        <v>450</v>
      </c>
      <c r="Q288" s="165" t="s">
        <v>441</v>
      </c>
      <c r="R288" s="176"/>
      <c r="S288" s="176"/>
      <c r="T288" s="176"/>
      <c r="U288" s="176"/>
      <c r="V288" s="176"/>
      <c r="W288" s="176"/>
      <c r="X288" s="176"/>
      <c r="Y288" s="176"/>
      <c r="Z288" s="176"/>
      <c r="AA288" s="176"/>
    </row>
    <row r="289">
      <c r="A289" s="165" t="str">
        <f>iferror(VLOOKUP(P289,'DO NOT TOUCH Imported'!$A$1:$D$800,4,False),iferror(VLOOKUP(P289,'DO NOT TOUCH Imported'!$C$1:$D$800,2,False),"OOPS FIX ME"))</f>
        <v>GriffGreen</v>
      </c>
      <c r="B289" s="165" t="s">
        <v>67</v>
      </c>
      <c r="C289" s="170" t="s">
        <v>1039</v>
      </c>
      <c r="D289" s="236" t="s">
        <v>499</v>
      </c>
      <c r="E289" s="237">
        <v>44298.0</v>
      </c>
      <c r="F289" s="170" t="s">
        <v>503</v>
      </c>
      <c r="G289" s="170">
        <v>1000.0</v>
      </c>
      <c r="H289" s="171">
        <v>200.0</v>
      </c>
      <c r="I289" s="171">
        <v>200.0</v>
      </c>
      <c r="J289" s="172">
        <f t="shared" si="12"/>
        <v>0.001877569463</v>
      </c>
      <c r="K289" s="173">
        <f t="shared" si="13"/>
        <v>2.253083355</v>
      </c>
      <c r="L289" s="174">
        <f t="shared" si="4"/>
        <v>10.22530884</v>
      </c>
      <c r="M289" s="175" t="str">
        <f t="shared" si="5"/>
        <v>GriffGreen</v>
      </c>
      <c r="N289" s="176">
        <f>IFERROR(__xludf.DUMMYFUNCTION("""COMPUTED_VALUE"""),10.0)</f>
        <v>10</v>
      </c>
      <c r="O289" s="176"/>
      <c r="P289" s="165" t="s">
        <v>450</v>
      </c>
      <c r="Q289" s="165" t="s">
        <v>67</v>
      </c>
      <c r="R289" s="176"/>
      <c r="S289" s="176"/>
      <c r="T289" s="176"/>
      <c r="U289" s="176"/>
      <c r="V289" s="176"/>
      <c r="W289" s="176"/>
      <c r="X289" s="176"/>
      <c r="Y289" s="176"/>
      <c r="Z289" s="176"/>
      <c r="AA289" s="176"/>
    </row>
    <row r="290">
      <c r="A290" s="165" t="str">
        <f>iferror(VLOOKUP(P290,'DO NOT TOUCH Imported'!$A$1:$D$800,4,False),iferror(VLOOKUP(P290,'DO NOT TOUCH Imported'!$C$1:$D$800,2,False),"OOPS FIX ME"))</f>
        <v>GriffGreen</v>
      </c>
      <c r="B290" s="165" t="s">
        <v>440</v>
      </c>
      <c r="C290" s="170" t="s">
        <v>1040</v>
      </c>
      <c r="D290" s="236" t="s">
        <v>437</v>
      </c>
      <c r="E290" s="239">
        <v>44309.0</v>
      </c>
      <c r="F290" s="170" t="s">
        <v>439</v>
      </c>
      <c r="G290" s="170">
        <v>2000.0</v>
      </c>
      <c r="H290" s="171">
        <v>200.0</v>
      </c>
      <c r="I290" s="171">
        <v>150.0</v>
      </c>
      <c r="J290" s="172">
        <f t="shared" si="12"/>
        <v>0.001810919964</v>
      </c>
      <c r="K290" s="173">
        <f t="shared" si="13"/>
        <v>2.173103956</v>
      </c>
      <c r="L290" s="174">
        <f t="shared" si="4"/>
        <v>10.22530884</v>
      </c>
      <c r="M290" s="175" t="str">
        <f t="shared" si="5"/>
        <v>GriffGreen</v>
      </c>
      <c r="N290" s="176">
        <f>IFERROR(__xludf.DUMMYFUNCTION("""COMPUTED_VALUE"""),11.0)</f>
        <v>11</v>
      </c>
      <c r="O290" s="176"/>
      <c r="P290" s="165" t="s">
        <v>450</v>
      </c>
      <c r="Q290" s="165" t="s">
        <v>440</v>
      </c>
      <c r="R290" s="176"/>
      <c r="S290" s="176"/>
      <c r="T290" s="176"/>
      <c r="U290" s="176"/>
      <c r="V290" s="176"/>
      <c r="W290" s="176"/>
      <c r="X290" s="176"/>
      <c r="Y290" s="176"/>
      <c r="Z290" s="176"/>
      <c r="AA290" s="176"/>
    </row>
    <row r="291">
      <c r="A291" s="165" t="str">
        <f>iferror(VLOOKUP(P291,'DO NOT TOUCH Imported'!$A$1:$D$800,4,False),iferror(VLOOKUP(P291,'DO NOT TOUCH Imported'!$C$1:$D$800,2,False),"OOPS FIX ME"))</f>
        <v>GriffGreen</v>
      </c>
      <c r="B291" s="165" t="s">
        <v>443</v>
      </c>
      <c r="C291" s="170" t="s">
        <v>890</v>
      </c>
      <c r="D291" s="236" t="s">
        <v>437</v>
      </c>
      <c r="E291" s="237">
        <v>44310.0</v>
      </c>
      <c r="F291" s="170" t="s">
        <v>439</v>
      </c>
      <c r="G291" s="170">
        <v>5000.0</v>
      </c>
      <c r="H291" s="171">
        <v>100.0</v>
      </c>
      <c r="I291" s="171">
        <v>100.0</v>
      </c>
      <c r="J291" s="172">
        <f t="shared" si="12"/>
        <v>0.001603678348</v>
      </c>
      <c r="K291" s="173">
        <f t="shared" si="13"/>
        <v>1.924414018</v>
      </c>
      <c r="L291" s="174">
        <f t="shared" si="4"/>
        <v>10.22530884</v>
      </c>
      <c r="M291" s="175" t="str">
        <f t="shared" si="5"/>
        <v>GriffGreen</v>
      </c>
      <c r="N291" s="176">
        <f>IFERROR(__xludf.DUMMYFUNCTION("""COMPUTED_VALUE"""),12.0)</f>
        <v>12</v>
      </c>
      <c r="O291" s="176"/>
      <c r="P291" s="165" t="s">
        <v>450</v>
      </c>
      <c r="Q291" s="165" t="s">
        <v>443</v>
      </c>
      <c r="R291" s="176"/>
      <c r="S291" s="176"/>
      <c r="T291" s="176"/>
      <c r="U291" s="176"/>
      <c r="V291" s="176"/>
      <c r="W291" s="176"/>
      <c r="X291" s="176"/>
      <c r="Y291" s="176"/>
      <c r="Z291" s="176"/>
      <c r="AA291" s="176"/>
    </row>
    <row r="292">
      <c r="A292" s="165" t="str">
        <f>iferror(VLOOKUP(P292,'DO NOT TOUCH Imported'!$A$1:$D$800,4,False),iferror(VLOOKUP(P292,'DO NOT TOUCH Imported'!$C$1:$D$800,2,False),"OOPS FIX ME"))</f>
        <v>GriffGreen</v>
      </c>
      <c r="B292" s="165" t="s">
        <v>441</v>
      </c>
      <c r="C292" s="170" t="s">
        <v>1041</v>
      </c>
      <c r="D292" s="236" t="s">
        <v>437</v>
      </c>
      <c r="E292" s="239">
        <v>44302.0</v>
      </c>
      <c r="F292" s="170" t="s">
        <v>439</v>
      </c>
      <c r="G292" s="170">
        <v>5000.0</v>
      </c>
      <c r="H292" s="171">
        <v>50.0</v>
      </c>
      <c r="I292" s="171">
        <v>150.0</v>
      </c>
      <c r="J292" s="172">
        <f t="shared" si="12"/>
        <v>0.00160003179</v>
      </c>
      <c r="K292" s="173">
        <f t="shared" si="13"/>
        <v>1.920038148</v>
      </c>
      <c r="L292" s="174">
        <f t="shared" si="4"/>
        <v>10.22530884</v>
      </c>
      <c r="M292" s="175" t="str">
        <f t="shared" si="5"/>
        <v>GriffGreen</v>
      </c>
      <c r="N292" s="176">
        <f>IFERROR(__xludf.DUMMYFUNCTION("""COMPUTED_VALUE"""),13.0)</f>
        <v>13</v>
      </c>
      <c r="O292" s="176"/>
      <c r="P292" s="165" t="s">
        <v>450</v>
      </c>
      <c r="Q292" s="165" t="s">
        <v>441</v>
      </c>
      <c r="R292" s="176"/>
      <c r="S292" s="176"/>
      <c r="T292" s="176"/>
      <c r="U292" s="176"/>
      <c r="V292" s="176"/>
      <c r="W292" s="176"/>
      <c r="X292" s="176"/>
      <c r="Y292" s="176"/>
      <c r="Z292" s="176"/>
      <c r="AA292" s="176"/>
    </row>
    <row r="293">
      <c r="A293" s="165" t="str">
        <f>iferror(VLOOKUP(P293,'DO NOT TOUCH Imported'!$A$1:$D$800,4,False),iferror(VLOOKUP(P293,'DO NOT TOUCH Imported'!$C$1:$D$800,2,False),"OOPS FIX ME"))</f>
        <v>GriffGreen</v>
      </c>
      <c r="B293" s="165" t="s">
        <v>435</v>
      </c>
      <c r="C293" s="170" t="s">
        <v>974</v>
      </c>
      <c r="D293" s="236" t="s">
        <v>499</v>
      </c>
      <c r="E293" s="237">
        <v>44305.0</v>
      </c>
      <c r="F293" s="170" t="s">
        <v>503</v>
      </c>
      <c r="G293" s="170">
        <v>1000.0</v>
      </c>
      <c r="H293" s="171">
        <v>200.0</v>
      </c>
      <c r="I293" s="171">
        <v>100.0</v>
      </c>
      <c r="J293" s="172">
        <f t="shared" si="12"/>
        <v>0.00144876219</v>
      </c>
      <c r="K293" s="173">
        <f t="shared" si="13"/>
        <v>1.738514628</v>
      </c>
      <c r="L293" s="174">
        <f t="shared" si="4"/>
        <v>10.22530884</v>
      </c>
      <c r="M293" s="175" t="str">
        <f t="shared" si="5"/>
        <v>GriffGreen</v>
      </c>
      <c r="N293" s="176">
        <f>IFERROR(__xludf.DUMMYFUNCTION("""COMPUTED_VALUE"""),14.0)</f>
        <v>14</v>
      </c>
      <c r="O293" s="176"/>
      <c r="P293" s="165" t="s">
        <v>450</v>
      </c>
      <c r="Q293" s="165" t="s">
        <v>435</v>
      </c>
      <c r="R293" s="176"/>
      <c r="S293" s="176"/>
      <c r="T293" s="176"/>
      <c r="U293" s="176"/>
      <c r="V293" s="176"/>
      <c r="W293" s="176"/>
      <c r="X293" s="176"/>
      <c r="Y293" s="176"/>
      <c r="Z293" s="176"/>
      <c r="AA293" s="176"/>
    </row>
    <row r="294">
      <c r="A294" s="165" t="str">
        <f>iferror(VLOOKUP(P294,'DO NOT TOUCH Imported'!$A$1:$D$800,4,False),iferror(VLOOKUP(P294,'DO NOT TOUCH Imported'!$C$1:$D$800,2,False),"OOPS FIX ME"))</f>
        <v>GriffGreen</v>
      </c>
      <c r="B294" s="165" t="s">
        <v>441</v>
      </c>
      <c r="C294" s="170" t="s">
        <v>1042</v>
      </c>
      <c r="D294" s="236" t="s">
        <v>437</v>
      </c>
      <c r="E294" s="239">
        <v>44309.0</v>
      </c>
      <c r="F294" s="170" t="s">
        <v>439</v>
      </c>
      <c r="G294" s="170">
        <v>1000.0</v>
      </c>
      <c r="H294" s="171">
        <v>200.0</v>
      </c>
      <c r="I294" s="171">
        <v>100.0</v>
      </c>
      <c r="J294" s="172">
        <f t="shared" si="12"/>
        <v>0.00144876219</v>
      </c>
      <c r="K294" s="173">
        <f t="shared" si="13"/>
        <v>1.738514628</v>
      </c>
      <c r="L294" s="174">
        <f t="shared" si="4"/>
        <v>10.22530884</v>
      </c>
      <c r="M294" s="175" t="str">
        <f t="shared" si="5"/>
        <v>GriffGreen</v>
      </c>
      <c r="N294" s="176">
        <f>IFERROR(__xludf.DUMMYFUNCTION("""COMPUTED_VALUE"""),15.0)</f>
        <v>15</v>
      </c>
      <c r="O294" s="176"/>
      <c r="P294" s="165" t="s">
        <v>450</v>
      </c>
      <c r="Q294" s="165" t="s">
        <v>441</v>
      </c>
      <c r="R294" s="176"/>
      <c r="S294" s="176"/>
      <c r="T294" s="176"/>
      <c r="U294" s="176"/>
      <c r="V294" s="176"/>
      <c r="W294" s="176"/>
      <c r="X294" s="176"/>
      <c r="Y294" s="176"/>
      <c r="Z294" s="176"/>
      <c r="AA294" s="176"/>
    </row>
    <row r="295">
      <c r="A295" s="165" t="str">
        <f>iferror(VLOOKUP(P295,'DO NOT TOUCH Imported'!$A$1:$D$800,4,False),iferror(VLOOKUP(P295,'DO NOT TOUCH Imported'!$C$1:$D$800,2,False),"OOPS FIX ME"))</f>
        <v>GriffGreen</v>
      </c>
      <c r="B295" s="165" t="s">
        <v>490</v>
      </c>
      <c r="C295" s="170" t="s">
        <v>1043</v>
      </c>
      <c r="D295" s="236" t="s">
        <v>437</v>
      </c>
      <c r="E295" s="239">
        <v>44309.0</v>
      </c>
      <c r="F295" s="170" t="s">
        <v>439</v>
      </c>
      <c r="G295" s="170">
        <v>1000.0</v>
      </c>
      <c r="H295" s="171">
        <v>200.0</v>
      </c>
      <c r="I295" s="171">
        <v>100.0</v>
      </c>
      <c r="J295" s="172">
        <f t="shared" si="12"/>
        <v>0.00144876219</v>
      </c>
      <c r="K295" s="173">
        <f t="shared" si="13"/>
        <v>1.738514628</v>
      </c>
      <c r="L295" s="174">
        <f t="shared" si="4"/>
        <v>10.22530884</v>
      </c>
      <c r="M295" s="175" t="str">
        <f t="shared" si="5"/>
        <v>GriffGreen</v>
      </c>
      <c r="N295" s="176">
        <f>IFERROR(__xludf.DUMMYFUNCTION("""COMPUTED_VALUE"""),16.0)</f>
        <v>16</v>
      </c>
      <c r="O295" s="176"/>
      <c r="P295" s="165" t="s">
        <v>450</v>
      </c>
      <c r="Q295" s="165" t="s">
        <v>490</v>
      </c>
      <c r="R295" s="176"/>
      <c r="S295" s="176"/>
      <c r="T295" s="176"/>
      <c r="U295" s="176"/>
      <c r="V295" s="176"/>
      <c r="W295" s="176"/>
      <c r="X295" s="176"/>
      <c r="Y295" s="176"/>
      <c r="Z295" s="176"/>
      <c r="AA295" s="176"/>
    </row>
    <row r="296">
      <c r="A296" s="165" t="str">
        <f>iferror(VLOOKUP(P296,'DO NOT TOUCH Imported'!$A$1:$D$800,4,False),iferror(VLOOKUP(P296,'DO NOT TOUCH Imported'!$C$1:$D$800,2,False),"OOPS FIX ME"))</f>
        <v>GriffGreen</v>
      </c>
      <c r="B296" s="165" t="s">
        <v>441</v>
      </c>
      <c r="C296" s="170" t="s">
        <v>966</v>
      </c>
      <c r="D296" s="236" t="s">
        <v>437</v>
      </c>
      <c r="E296" s="237">
        <v>44302.0</v>
      </c>
      <c r="F296" s="170" t="s">
        <v>439</v>
      </c>
      <c r="G296" s="170">
        <v>1000.0</v>
      </c>
      <c r="H296" s="171">
        <v>150.0</v>
      </c>
      <c r="I296" s="171">
        <v>150.0</v>
      </c>
      <c r="J296" s="172">
        <f t="shared" si="12"/>
        <v>0.001445115631</v>
      </c>
      <c r="K296" s="173">
        <f t="shared" si="13"/>
        <v>1.734138758</v>
      </c>
      <c r="L296" s="174">
        <f t="shared" si="4"/>
        <v>10.22530884</v>
      </c>
      <c r="M296" s="175" t="str">
        <f t="shared" si="5"/>
        <v>GriffGreen</v>
      </c>
      <c r="N296" s="176">
        <f>IFERROR(__xludf.DUMMYFUNCTION("""COMPUTED_VALUE"""),17.0)</f>
        <v>17</v>
      </c>
      <c r="O296" s="176"/>
      <c r="P296" s="165" t="s">
        <v>450</v>
      </c>
      <c r="Q296" s="165" t="s">
        <v>441</v>
      </c>
      <c r="R296" s="176"/>
      <c r="S296" s="176"/>
      <c r="T296" s="176"/>
      <c r="U296" s="176"/>
      <c r="V296" s="176"/>
      <c r="W296" s="176"/>
      <c r="X296" s="176"/>
      <c r="Y296" s="176"/>
      <c r="Z296" s="176"/>
      <c r="AA296" s="176"/>
    </row>
    <row r="297">
      <c r="A297" s="165" t="str">
        <f>iferror(VLOOKUP(P297,'DO NOT TOUCH Imported'!$A$1:$D$800,4,False),iferror(VLOOKUP(P297,'DO NOT TOUCH Imported'!$C$1:$D$800,2,False),"OOPS FIX ME"))</f>
        <v>GriffGreen</v>
      </c>
      <c r="B297" s="165" t="s">
        <v>10</v>
      </c>
      <c r="C297" s="170" t="s">
        <v>936</v>
      </c>
      <c r="D297" s="236" t="s">
        <v>495</v>
      </c>
      <c r="E297" s="239">
        <v>44309.0</v>
      </c>
      <c r="F297" s="170" t="s">
        <v>496</v>
      </c>
      <c r="G297" s="170">
        <v>2000.0</v>
      </c>
      <c r="H297" s="171">
        <v>100.0</v>
      </c>
      <c r="I297" s="171">
        <v>150.0</v>
      </c>
      <c r="J297" s="172">
        <f t="shared" si="12"/>
        <v>0.001374819573</v>
      </c>
      <c r="K297" s="173">
        <f t="shared" si="13"/>
        <v>1.649783488</v>
      </c>
      <c r="L297" s="174">
        <f t="shared" si="4"/>
        <v>10.22530884</v>
      </c>
      <c r="M297" s="175" t="str">
        <f t="shared" si="5"/>
        <v>GriffGreen</v>
      </c>
      <c r="N297" s="176">
        <f>IFERROR(__xludf.DUMMYFUNCTION("""COMPUTED_VALUE"""),18.0)</f>
        <v>18</v>
      </c>
      <c r="O297" s="176"/>
      <c r="P297" s="165" t="s">
        <v>16</v>
      </c>
      <c r="Q297" s="165" t="s">
        <v>10</v>
      </c>
      <c r="R297" s="176"/>
      <c r="S297" s="176"/>
      <c r="T297" s="176"/>
      <c r="U297" s="176"/>
      <c r="V297" s="176"/>
      <c r="W297" s="176"/>
      <c r="X297" s="176"/>
      <c r="Y297" s="176"/>
      <c r="Z297" s="176"/>
      <c r="AA297" s="176"/>
    </row>
    <row r="298">
      <c r="A298" s="165" t="str">
        <f>iferror(VLOOKUP(P298,'DO NOT TOUCH Imported'!$A$1:$D$800,4,False),iferror(VLOOKUP(P298,'DO NOT TOUCH Imported'!$C$1:$D$800,2,False),"OOPS FIX ME"))</f>
        <v>GriffGreen</v>
      </c>
      <c r="B298" s="165" t="s">
        <v>443</v>
      </c>
      <c r="C298" s="170" t="s">
        <v>892</v>
      </c>
      <c r="D298" s="236" t="s">
        <v>437</v>
      </c>
      <c r="E298" s="239">
        <v>44310.0</v>
      </c>
      <c r="F298" s="170" t="s">
        <v>439</v>
      </c>
      <c r="G298" s="170">
        <v>1000.0</v>
      </c>
      <c r="H298" s="171">
        <v>100.0</v>
      </c>
      <c r="I298" s="171">
        <v>150.0</v>
      </c>
      <c r="J298" s="172">
        <f t="shared" si="12"/>
        <v>0.001227065436</v>
      </c>
      <c r="K298" s="173">
        <f t="shared" si="13"/>
        <v>1.472478524</v>
      </c>
      <c r="L298" s="174">
        <f t="shared" si="4"/>
        <v>10.22530884</v>
      </c>
      <c r="M298" s="175" t="str">
        <f t="shared" si="5"/>
        <v>GriffGreen</v>
      </c>
      <c r="N298" s="176">
        <f>IFERROR(__xludf.DUMMYFUNCTION("""COMPUTED_VALUE"""),19.0)</f>
        <v>19</v>
      </c>
      <c r="O298" s="176"/>
      <c r="P298" s="165" t="s">
        <v>450</v>
      </c>
      <c r="Q298" s="165" t="s">
        <v>443</v>
      </c>
      <c r="R298" s="176"/>
      <c r="S298" s="176"/>
      <c r="T298" s="176"/>
      <c r="U298" s="176"/>
      <c r="V298" s="176"/>
      <c r="W298" s="176"/>
      <c r="X298" s="176"/>
      <c r="Y298" s="176"/>
      <c r="Z298" s="176"/>
      <c r="AA298" s="176"/>
    </row>
    <row r="299">
      <c r="A299" s="165" t="str">
        <f>iferror(VLOOKUP(P299,'DO NOT TOUCH Imported'!$A$1:$D$800,4,False),iferror(VLOOKUP(P299,'DO NOT TOUCH Imported'!$C$1:$D$800,2,False),"OOPS FIX ME"))</f>
        <v>GriffGreen</v>
      </c>
      <c r="B299" s="165" t="s">
        <v>490</v>
      </c>
      <c r="C299" s="170" t="s">
        <v>897</v>
      </c>
      <c r="D299" s="236" t="s">
        <v>437</v>
      </c>
      <c r="E299" s="237">
        <v>44309.0</v>
      </c>
      <c r="F299" s="170" t="s">
        <v>439</v>
      </c>
      <c r="G299" s="170">
        <v>1500.0</v>
      </c>
      <c r="H299" s="171">
        <v>100.0</v>
      </c>
      <c r="I299" s="171">
        <v>100.0</v>
      </c>
      <c r="J299" s="172">
        <f t="shared" si="12"/>
        <v>0.001086538869</v>
      </c>
      <c r="K299" s="173">
        <f t="shared" si="13"/>
        <v>1.303846642</v>
      </c>
      <c r="L299" s="174">
        <f t="shared" si="4"/>
        <v>10.22530884</v>
      </c>
      <c r="M299" s="175" t="str">
        <f t="shared" si="5"/>
        <v>GriffGreen</v>
      </c>
      <c r="N299" s="176">
        <f>IFERROR(__xludf.DUMMYFUNCTION("""COMPUTED_VALUE"""),20.0)</f>
        <v>20</v>
      </c>
      <c r="O299" s="176"/>
      <c r="P299" s="165" t="s">
        <v>450</v>
      </c>
      <c r="Q299" s="165" t="s">
        <v>490</v>
      </c>
      <c r="R299" s="176"/>
      <c r="S299" s="176"/>
      <c r="T299" s="176"/>
      <c r="U299" s="176"/>
      <c r="V299" s="176"/>
      <c r="W299" s="176"/>
      <c r="X299" s="176"/>
      <c r="Y299" s="176"/>
      <c r="Z299" s="176"/>
      <c r="AA299" s="176"/>
    </row>
    <row r="300">
      <c r="A300" s="165" t="str">
        <f>iferror(VLOOKUP(P300,'DO NOT TOUCH Imported'!$A$1:$D$800,4,False),iferror(VLOOKUP(P300,'DO NOT TOUCH Imported'!$C$1:$D$800,2,False),"OOPS FIX ME"))</f>
        <v>GriffGreen</v>
      </c>
      <c r="B300" s="165" t="s">
        <v>620</v>
      </c>
      <c r="C300" s="170" t="s">
        <v>1044</v>
      </c>
      <c r="D300" s="236" t="s">
        <v>437</v>
      </c>
      <c r="E300" s="239">
        <v>44301.0</v>
      </c>
      <c r="F300" s="170" t="s">
        <v>439</v>
      </c>
      <c r="G300" s="170">
        <v>1000.0</v>
      </c>
      <c r="H300" s="171">
        <v>100.0</v>
      </c>
      <c r="I300" s="171">
        <v>100.0</v>
      </c>
      <c r="J300" s="172">
        <f t="shared" si="12"/>
        <v>0.0010126618</v>
      </c>
      <c r="K300" s="173">
        <f t="shared" si="13"/>
        <v>1.21519416</v>
      </c>
      <c r="L300" s="174">
        <f t="shared" si="4"/>
        <v>10.22530884</v>
      </c>
      <c r="M300" s="175" t="str">
        <f t="shared" si="5"/>
        <v>GriffGreen</v>
      </c>
      <c r="N300" s="176">
        <f>IFERROR(__xludf.DUMMYFUNCTION("""COMPUTED_VALUE"""),21.0)</f>
        <v>21</v>
      </c>
      <c r="O300" s="176"/>
      <c r="P300" s="165" t="s">
        <v>450</v>
      </c>
      <c r="Q300" s="165" t="s">
        <v>620</v>
      </c>
      <c r="R300" s="176"/>
      <c r="S300" s="176"/>
      <c r="T300" s="176"/>
      <c r="U300" s="176"/>
      <c r="V300" s="176"/>
      <c r="W300" s="176"/>
      <c r="X300" s="176"/>
      <c r="Y300" s="176"/>
      <c r="Z300" s="176"/>
      <c r="AA300" s="176"/>
    </row>
    <row r="301">
      <c r="A301" s="165" t="str">
        <f>iferror(VLOOKUP(P301,'DO NOT TOUCH Imported'!$A$1:$D$800,4,False),iferror(VLOOKUP(P301,'DO NOT TOUCH Imported'!$C$1:$D$800,2,False),"OOPS FIX ME"))</f>
        <v>GriffGreen</v>
      </c>
      <c r="B301" s="165" t="s">
        <v>457</v>
      </c>
      <c r="C301" s="170" t="s">
        <v>1045</v>
      </c>
      <c r="D301" s="236" t="s">
        <v>437</v>
      </c>
      <c r="E301" s="237">
        <v>44305.0</v>
      </c>
      <c r="F301" s="170" t="s">
        <v>439</v>
      </c>
      <c r="G301" s="170">
        <v>1000.0</v>
      </c>
      <c r="H301" s="171">
        <v>100.0</v>
      </c>
      <c r="I301" s="171">
        <v>100.0</v>
      </c>
      <c r="J301" s="172">
        <f t="shared" si="12"/>
        <v>0.0010126618</v>
      </c>
      <c r="K301" s="173">
        <f t="shared" si="13"/>
        <v>1.21519416</v>
      </c>
      <c r="L301" s="174">
        <f t="shared" si="4"/>
        <v>10.22530884</v>
      </c>
      <c r="M301" s="175" t="str">
        <f t="shared" si="5"/>
        <v>GriffGreen</v>
      </c>
      <c r="N301" s="176">
        <f>IFERROR(__xludf.DUMMYFUNCTION("""COMPUTED_VALUE"""),22.0)</f>
        <v>22</v>
      </c>
      <c r="O301" s="176"/>
      <c r="P301" s="165" t="s">
        <v>450</v>
      </c>
      <c r="Q301" s="165" t="s">
        <v>457</v>
      </c>
      <c r="R301" s="176"/>
      <c r="S301" s="176"/>
      <c r="T301" s="176"/>
      <c r="U301" s="176"/>
      <c r="V301" s="176"/>
      <c r="W301" s="176"/>
      <c r="X301" s="176"/>
      <c r="Y301" s="176"/>
      <c r="Z301" s="176"/>
      <c r="AA301" s="176"/>
    </row>
    <row r="302">
      <c r="A302" s="165" t="str">
        <f>iferror(VLOOKUP(P302,'DO NOT TOUCH Imported'!$A$1:$D$800,4,False),iferror(VLOOKUP(P302,'DO NOT TOUCH Imported'!$C$1:$D$800,2,False),"OOPS FIX ME"))</f>
        <v>GriffGreen</v>
      </c>
      <c r="B302" s="165" t="s">
        <v>441</v>
      </c>
      <c r="C302" s="170" t="s">
        <v>902</v>
      </c>
      <c r="D302" s="236" t="s">
        <v>437</v>
      </c>
      <c r="E302" s="237">
        <v>44309.0</v>
      </c>
      <c r="F302" s="170" t="s">
        <v>439</v>
      </c>
      <c r="G302" s="170">
        <v>1000.0</v>
      </c>
      <c r="H302" s="171">
        <v>100.0</v>
      </c>
      <c r="I302" s="171">
        <v>100.0</v>
      </c>
      <c r="J302" s="172">
        <f t="shared" si="12"/>
        <v>0.0010126618</v>
      </c>
      <c r="K302" s="173">
        <f t="shared" si="13"/>
        <v>1.21519416</v>
      </c>
      <c r="L302" s="174">
        <f t="shared" si="4"/>
        <v>10.22530884</v>
      </c>
      <c r="M302" s="175" t="str">
        <f t="shared" si="5"/>
        <v>GriffGreen</v>
      </c>
      <c r="N302" s="176">
        <f>IFERROR(__xludf.DUMMYFUNCTION("""COMPUTED_VALUE"""),23.0)</f>
        <v>23</v>
      </c>
      <c r="O302" s="176"/>
      <c r="P302" s="165" t="s">
        <v>450</v>
      </c>
      <c r="Q302" s="165" t="s">
        <v>441</v>
      </c>
      <c r="R302" s="176"/>
      <c r="S302" s="176"/>
      <c r="T302" s="176"/>
      <c r="U302" s="176"/>
      <c r="V302" s="176"/>
      <c r="W302" s="176"/>
      <c r="X302" s="176"/>
      <c r="Y302" s="176"/>
      <c r="Z302" s="176"/>
      <c r="AA302" s="176"/>
    </row>
    <row r="303">
      <c r="A303" s="165" t="str">
        <f>iferror(VLOOKUP(P303,'DO NOT TOUCH Imported'!$A$1:$D$800,4,False),iferror(VLOOKUP(P303,'DO NOT TOUCH Imported'!$C$1:$D$800,2,False),"OOPS FIX ME"))</f>
        <v>GriffGreen</v>
      </c>
      <c r="B303" s="165" t="s">
        <v>450</v>
      </c>
      <c r="C303" s="170" t="s">
        <v>998</v>
      </c>
      <c r="D303" s="236" t="s">
        <v>437</v>
      </c>
      <c r="E303" s="239">
        <v>44303.0</v>
      </c>
      <c r="F303" s="170" t="s">
        <v>439</v>
      </c>
      <c r="G303" s="170">
        <v>1000.0</v>
      </c>
      <c r="H303" s="171">
        <v>100.0</v>
      </c>
      <c r="I303" s="171">
        <v>80.0</v>
      </c>
      <c r="J303" s="172">
        <f t="shared" si="12"/>
        <v>0.0009269003455</v>
      </c>
      <c r="K303" s="173">
        <f t="shared" si="13"/>
        <v>1.112280415</v>
      </c>
      <c r="L303" s="174">
        <f t="shared" si="4"/>
        <v>10.22530884</v>
      </c>
      <c r="M303" s="175" t="str">
        <f t="shared" si="5"/>
        <v>GriffGreen</v>
      </c>
      <c r="N303" s="176">
        <f>IFERROR(__xludf.DUMMYFUNCTION("""COMPUTED_VALUE"""),24.0)</f>
        <v>24</v>
      </c>
      <c r="O303" s="176"/>
      <c r="P303" s="165" t="s">
        <v>450</v>
      </c>
      <c r="Q303" s="165" t="s">
        <v>450</v>
      </c>
      <c r="R303" s="176"/>
      <c r="S303" s="176"/>
      <c r="T303" s="176"/>
      <c r="U303" s="176"/>
      <c r="V303" s="176"/>
      <c r="W303" s="176"/>
      <c r="X303" s="176"/>
      <c r="Y303" s="176"/>
      <c r="Z303" s="176"/>
      <c r="AA303" s="176"/>
    </row>
    <row r="304">
      <c r="A304" s="165" t="str">
        <f>iferror(VLOOKUP(P304,'DO NOT TOUCH Imported'!$A$1:$D$800,4,False),iferror(VLOOKUP(P304,'DO NOT TOUCH Imported'!$C$1:$D$800,2,False),"OOPS FIX ME"))</f>
        <v>GriffGreen</v>
      </c>
      <c r="B304" s="165" t="s">
        <v>20</v>
      </c>
      <c r="C304" s="170" t="s">
        <v>904</v>
      </c>
      <c r="D304" s="236" t="s">
        <v>437</v>
      </c>
      <c r="E304" s="237">
        <v>44310.0</v>
      </c>
      <c r="F304" s="170" t="s">
        <v>439</v>
      </c>
      <c r="G304" s="170">
        <v>1000.0</v>
      </c>
      <c r="H304" s="171">
        <v>100.0</v>
      </c>
      <c r="I304" s="171">
        <v>80.0</v>
      </c>
      <c r="J304" s="172">
        <f t="shared" si="12"/>
        <v>0.0009269003455</v>
      </c>
      <c r="K304" s="173">
        <f t="shared" si="13"/>
        <v>1.112280415</v>
      </c>
      <c r="L304" s="174">
        <f t="shared" si="4"/>
        <v>10.22530884</v>
      </c>
      <c r="M304" s="175" t="str">
        <f t="shared" si="5"/>
        <v>GriffGreen</v>
      </c>
      <c r="N304" s="176">
        <f>IFERROR(__xludf.DUMMYFUNCTION("""COMPUTED_VALUE"""),25.0)</f>
        <v>25</v>
      </c>
      <c r="O304" s="176"/>
      <c r="P304" s="165" t="s">
        <v>450</v>
      </c>
      <c r="Q304" s="165" t="s">
        <v>20</v>
      </c>
      <c r="R304" s="176"/>
      <c r="S304" s="176"/>
      <c r="T304" s="176"/>
      <c r="U304" s="176"/>
      <c r="V304" s="176"/>
      <c r="W304" s="176"/>
      <c r="X304" s="176"/>
      <c r="Y304" s="176"/>
      <c r="Z304" s="176"/>
      <c r="AA304" s="176"/>
    </row>
    <row r="305">
      <c r="A305" s="165" t="str">
        <f>iferror(VLOOKUP(P305,'DO NOT TOUCH Imported'!$A$1:$D$800,4,False),iferror(VLOOKUP(P305,'DO NOT TOUCH Imported'!$C$1:$D$800,2,False),"OOPS FIX ME"))</f>
        <v>GriffGreen</v>
      </c>
      <c r="B305" s="165" t="s">
        <v>441</v>
      </c>
      <c r="C305" s="170" t="s">
        <v>1046</v>
      </c>
      <c r="D305" s="236" t="s">
        <v>437</v>
      </c>
      <c r="E305" s="237">
        <v>44309.0</v>
      </c>
      <c r="F305" s="170" t="s">
        <v>439</v>
      </c>
      <c r="G305" s="170">
        <v>1000.0</v>
      </c>
      <c r="H305" s="171">
        <v>70.0</v>
      </c>
      <c r="I305" s="171">
        <v>100.0</v>
      </c>
      <c r="J305" s="172">
        <f t="shared" si="12"/>
        <v>0.0008818316829</v>
      </c>
      <c r="K305" s="173">
        <f t="shared" si="13"/>
        <v>1.058198019</v>
      </c>
      <c r="L305" s="174">
        <f t="shared" si="4"/>
        <v>10.22530884</v>
      </c>
      <c r="M305" s="175" t="str">
        <f t="shared" si="5"/>
        <v>GriffGreen</v>
      </c>
      <c r="N305" s="176">
        <f>IFERROR(__xludf.DUMMYFUNCTION("""COMPUTED_VALUE"""),26.0)</f>
        <v>26</v>
      </c>
      <c r="O305" s="176"/>
      <c r="P305" s="165" t="s">
        <v>450</v>
      </c>
      <c r="Q305" s="165" t="s">
        <v>441</v>
      </c>
      <c r="R305" s="176"/>
      <c r="S305" s="176"/>
      <c r="T305" s="176"/>
      <c r="U305" s="176"/>
      <c r="V305" s="176"/>
      <c r="W305" s="176"/>
      <c r="X305" s="176"/>
      <c r="Y305" s="176"/>
      <c r="Z305" s="176"/>
      <c r="AA305" s="176"/>
    </row>
    <row r="306">
      <c r="A306" s="165" t="str">
        <f>iferror(VLOOKUP(P306,'DO NOT TOUCH Imported'!$A$1:$D$800,4,False),iferror(VLOOKUP(P306,'DO NOT TOUCH Imported'!$C$1:$D$800,2,False),"OOPS FIX ME"))</f>
        <v>GriffGreen</v>
      </c>
      <c r="B306" s="165" t="s">
        <v>768</v>
      </c>
      <c r="C306" s="170" t="s">
        <v>1047</v>
      </c>
      <c r="D306" s="236" t="s">
        <v>499</v>
      </c>
      <c r="E306" s="237">
        <v>44306.0</v>
      </c>
      <c r="F306" s="170" t="s">
        <v>503</v>
      </c>
      <c r="G306" s="170">
        <v>500.0</v>
      </c>
      <c r="H306" s="171">
        <v>100.0</v>
      </c>
      <c r="I306" s="171">
        <v>80.0</v>
      </c>
      <c r="J306" s="172">
        <f t="shared" si="12"/>
        <v>0.0008530232769</v>
      </c>
      <c r="K306" s="173">
        <f t="shared" si="13"/>
        <v>1.023627932</v>
      </c>
      <c r="L306" s="174">
        <f t="shared" si="4"/>
        <v>10.22530884</v>
      </c>
      <c r="M306" s="175" t="str">
        <f t="shared" si="5"/>
        <v>GriffGreen</v>
      </c>
      <c r="N306" s="176">
        <f>IFERROR(__xludf.DUMMYFUNCTION("""COMPUTED_VALUE"""),27.0)</f>
        <v>27</v>
      </c>
      <c r="O306" s="176"/>
      <c r="P306" s="165" t="s">
        <v>450</v>
      </c>
      <c r="Q306" s="165" t="s">
        <v>768</v>
      </c>
      <c r="R306" s="176"/>
      <c r="S306" s="176"/>
      <c r="T306" s="176"/>
      <c r="U306" s="176"/>
      <c r="V306" s="176"/>
      <c r="W306" s="176"/>
      <c r="X306" s="176"/>
      <c r="Y306" s="176"/>
      <c r="Z306" s="176"/>
      <c r="AA306" s="176"/>
    </row>
    <row r="307">
      <c r="A307" s="165" t="str">
        <f>iferror(VLOOKUP(P307,'DO NOT TOUCH Imported'!$A$1:$D$800,4,False),iferror(VLOOKUP(P307,'DO NOT TOUCH Imported'!$C$1:$D$800,2,False),"OOPS FIX ME"))</f>
        <v>GriffGreen</v>
      </c>
      <c r="B307" s="165" t="s">
        <v>441</v>
      </c>
      <c r="C307" s="170" t="s">
        <v>905</v>
      </c>
      <c r="D307" s="236" t="s">
        <v>437</v>
      </c>
      <c r="E307" s="237">
        <v>44296.0</v>
      </c>
      <c r="F307" s="170" t="s">
        <v>439</v>
      </c>
      <c r="G307" s="170">
        <v>1000.0</v>
      </c>
      <c r="H307" s="171">
        <v>60.0</v>
      </c>
      <c r="I307" s="171">
        <v>100.0</v>
      </c>
      <c r="J307" s="172">
        <f t="shared" si="12"/>
        <v>0.0008382216439</v>
      </c>
      <c r="K307" s="173">
        <f t="shared" si="13"/>
        <v>1.005865973</v>
      </c>
      <c r="L307" s="174">
        <f t="shared" si="4"/>
        <v>10.22530884</v>
      </c>
      <c r="M307" s="175" t="str">
        <f t="shared" si="5"/>
        <v>GriffGreen</v>
      </c>
      <c r="N307" s="176">
        <f>IFERROR(__xludf.DUMMYFUNCTION("""COMPUTED_VALUE"""),28.0)</f>
        <v>28</v>
      </c>
      <c r="O307" s="176"/>
      <c r="P307" s="165" t="s">
        <v>450</v>
      </c>
      <c r="Q307" s="165" t="s">
        <v>441</v>
      </c>
      <c r="R307" s="176"/>
      <c r="S307" s="176"/>
      <c r="T307" s="176"/>
      <c r="U307" s="176"/>
      <c r="V307" s="176"/>
      <c r="W307" s="176"/>
      <c r="X307" s="176"/>
      <c r="Y307" s="176"/>
      <c r="Z307" s="176"/>
      <c r="AA307" s="176"/>
    </row>
    <row r="308">
      <c r="A308" s="165" t="str">
        <f>iferror(VLOOKUP(P308,'DO NOT TOUCH Imported'!$A$1:$D$800,4,False),iferror(VLOOKUP(P308,'DO NOT TOUCH Imported'!$C$1:$D$800,2,False),"OOPS FIX ME"))</f>
        <v>GriffGreen</v>
      </c>
      <c r="B308" s="165" t="s">
        <v>441</v>
      </c>
      <c r="C308" s="170" t="s">
        <v>906</v>
      </c>
      <c r="D308" s="236" t="s">
        <v>437</v>
      </c>
      <c r="E308" s="237">
        <v>44309.0</v>
      </c>
      <c r="F308" s="170" t="s">
        <v>439</v>
      </c>
      <c r="G308" s="170">
        <v>1000.0</v>
      </c>
      <c r="H308" s="171">
        <v>60.0</v>
      </c>
      <c r="I308" s="171">
        <v>100.0</v>
      </c>
      <c r="J308" s="172">
        <f t="shared" si="12"/>
        <v>0.0008382216439</v>
      </c>
      <c r="K308" s="173">
        <f t="shared" si="13"/>
        <v>1.005865973</v>
      </c>
      <c r="L308" s="174">
        <f t="shared" si="4"/>
        <v>10.22530884</v>
      </c>
      <c r="M308" s="175" t="str">
        <f t="shared" si="5"/>
        <v>GriffGreen</v>
      </c>
      <c r="N308" s="176">
        <f>IFERROR(__xludf.DUMMYFUNCTION("""COMPUTED_VALUE"""),29.0)</f>
        <v>29</v>
      </c>
      <c r="O308" s="176"/>
      <c r="P308" s="165" t="s">
        <v>450</v>
      </c>
      <c r="Q308" s="165" t="s">
        <v>441</v>
      </c>
      <c r="R308" s="176"/>
      <c r="S308" s="176"/>
      <c r="T308" s="176"/>
      <c r="U308" s="176"/>
      <c r="V308" s="176"/>
      <c r="W308" s="176"/>
      <c r="X308" s="176"/>
      <c r="Y308" s="176"/>
      <c r="Z308" s="176"/>
      <c r="AA308" s="176"/>
    </row>
    <row r="309">
      <c r="A309" s="165" t="str">
        <f>iferror(VLOOKUP(P309,'DO NOT TOUCH Imported'!$A$1:$D$800,4,False),iferror(VLOOKUP(P309,'DO NOT TOUCH Imported'!$C$1:$D$800,2,False),"OOPS FIX ME"))</f>
        <v>GriffGreen</v>
      </c>
      <c r="B309" s="165" t="s">
        <v>519</v>
      </c>
      <c r="C309" s="170" t="s">
        <v>668</v>
      </c>
      <c r="D309" s="236" t="s">
        <v>495</v>
      </c>
      <c r="E309" s="237">
        <v>44307.0</v>
      </c>
      <c r="F309" s="170" t="s">
        <v>521</v>
      </c>
      <c r="G309" s="170">
        <v>2500.0</v>
      </c>
      <c r="H309" s="171">
        <v>50.0</v>
      </c>
      <c r="I309" s="171">
        <v>50.0</v>
      </c>
      <c r="J309" s="172">
        <f t="shared" si="12"/>
        <v>0.0008018391742</v>
      </c>
      <c r="K309" s="173">
        <f t="shared" si="13"/>
        <v>0.9622070091</v>
      </c>
      <c r="L309" s="174">
        <f t="shared" si="4"/>
        <v>10.22530884</v>
      </c>
      <c r="M309" s="175" t="str">
        <f t="shared" si="5"/>
        <v>GriffGreen</v>
      </c>
      <c r="N309" s="176">
        <f>IFERROR(__xludf.DUMMYFUNCTION("""COMPUTED_VALUE"""),30.0)</f>
        <v>30</v>
      </c>
      <c r="O309" s="176"/>
      <c r="P309" s="165" t="s">
        <v>16</v>
      </c>
      <c r="Q309" s="165" t="s">
        <v>519</v>
      </c>
      <c r="R309" s="176"/>
      <c r="S309" s="176"/>
      <c r="T309" s="176"/>
      <c r="U309" s="176"/>
      <c r="V309" s="176"/>
      <c r="W309" s="176"/>
      <c r="X309" s="176"/>
      <c r="Y309" s="176"/>
      <c r="Z309" s="176"/>
      <c r="AA309" s="176"/>
    </row>
    <row r="310">
      <c r="A310" s="165" t="str">
        <f>iferror(VLOOKUP(P310,'DO NOT TOUCH Imported'!$A$1:$D$800,4,False),iferror(VLOOKUP(P310,'DO NOT TOUCH Imported'!$C$1:$D$800,2,False),"OOPS FIX ME"))</f>
        <v>GriffGreen</v>
      </c>
      <c r="B310" s="165" t="s">
        <v>435</v>
      </c>
      <c r="C310" s="170" t="s">
        <v>910</v>
      </c>
      <c r="D310" s="236" t="s">
        <v>437</v>
      </c>
      <c r="E310" s="239">
        <v>44302.0</v>
      </c>
      <c r="F310" s="170" t="s">
        <v>911</v>
      </c>
      <c r="G310" s="170">
        <v>1000.0</v>
      </c>
      <c r="H310" s="171">
        <v>60.0</v>
      </c>
      <c r="I310" s="171">
        <v>80.0</v>
      </c>
      <c r="J310" s="172">
        <f t="shared" si="12"/>
        <v>0.0007524601894</v>
      </c>
      <c r="K310" s="173">
        <f t="shared" si="13"/>
        <v>0.9029522272</v>
      </c>
      <c r="L310" s="174">
        <f t="shared" si="4"/>
        <v>10.22530884</v>
      </c>
      <c r="M310" s="175" t="str">
        <f t="shared" si="5"/>
        <v>GriffGreen</v>
      </c>
      <c r="N310" s="176">
        <f>IFERROR(__xludf.DUMMYFUNCTION("""COMPUTED_VALUE"""),31.0)</f>
        <v>31</v>
      </c>
      <c r="O310" s="176"/>
      <c r="P310" s="165" t="s">
        <v>450</v>
      </c>
      <c r="Q310" s="165" t="s">
        <v>435</v>
      </c>
      <c r="R310" s="176"/>
      <c r="S310" s="176"/>
      <c r="T310" s="176"/>
      <c r="U310" s="176"/>
      <c r="V310" s="176"/>
      <c r="W310" s="176"/>
      <c r="X310" s="176"/>
      <c r="Y310" s="176"/>
      <c r="Z310" s="176"/>
      <c r="AA310" s="176"/>
    </row>
    <row r="311">
      <c r="A311" s="165" t="str">
        <f>iferror(VLOOKUP(P311,'DO NOT TOUCH Imported'!$A$1:$D$800,4,False),iferror(VLOOKUP(P311,'DO NOT TOUCH Imported'!$C$1:$D$800,2,False),"OOPS FIX ME"))</f>
        <v>GriffGreen</v>
      </c>
      <c r="B311" s="165" t="s">
        <v>45</v>
      </c>
      <c r="C311" s="170" t="s">
        <v>1048</v>
      </c>
      <c r="D311" s="236" t="s">
        <v>437</v>
      </c>
      <c r="E311" s="237">
        <v>44300.0</v>
      </c>
      <c r="F311" s="170" t="s">
        <v>439</v>
      </c>
      <c r="G311" s="170">
        <v>1000.0</v>
      </c>
      <c r="H311" s="171">
        <v>50.0</v>
      </c>
      <c r="I311" s="171">
        <v>80.0</v>
      </c>
      <c r="J311" s="172">
        <f t="shared" si="12"/>
        <v>0.0007088501503</v>
      </c>
      <c r="K311" s="173">
        <f t="shared" si="13"/>
        <v>0.8506201804</v>
      </c>
      <c r="L311" s="174">
        <f t="shared" si="4"/>
        <v>10.22530884</v>
      </c>
      <c r="M311" s="175" t="str">
        <f t="shared" si="5"/>
        <v>GriffGreen</v>
      </c>
      <c r="N311" s="176">
        <f>IFERROR(__xludf.DUMMYFUNCTION("""COMPUTED_VALUE"""),32.0)</f>
        <v>32</v>
      </c>
      <c r="O311" s="176"/>
      <c r="P311" s="165" t="s">
        <v>450</v>
      </c>
      <c r="Q311" s="165" t="s">
        <v>45</v>
      </c>
      <c r="R311" s="176"/>
      <c r="S311" s="176"/>
      <c r="T311" s="176"/>
      <c r="U311" s="176"/>
      <c r="V311" s="176"/>
      <c r="W311" s="176"/>
      <c r="X311" s="176"/>
      <c r="Y311" s="176"/>
      <c r="Z311" s="176"/>
      <c r="AA311" s="176"/>
    </row>
    <row r="312">
      <c r="A312" s="165" t="str">
        <f>iferror(VLOOKUP(P312,'DO NOT TOUCH Imported'!$A$1:$D$800,4,False),iferror(VLOOKUP(P312,'DO NOT TOUCH Imported'!$C$1:$D$800,2,False),"OOPS FIX ME"))</f>
        <v>GriffGreen</v>
      </c>
      <c r="B312" s="165" t="s">
        <v>45</v>
      </c>
      <c r="C312" s="170" t="s">
        <v>1049</v>
      </c>
      <c r="D312" s="236" t="s">
        <v>437</v>
      </c>
      <c r="E312" s="237">
        <v>44300.0</v>
      </c>
      <c r="F312" s="170" t="s">
        <v>439</v>
      </c>
      <c r="G312" s="170">
        <v>1000.0</v>
      </c>
      <c r="H312" s="171">
        <v>50.0</v>
      </c>
      <c r="I312" s="171">
        <v>80.0</v>
      </c>
      <c r="J312" s="172">
        <f t="shared" si="12"/>
        <v>0.0007088501503</v>
      </c>
      <c r="K312" s="173">
        <f t="shared" si="13"/>
        <v>0.8506201804</v>
      </c>
      <c r="L312" s="174">
        <f t="shared" si="4"/>
        <v>10.22530884</v>
      </c>
      <c r="M312" s="175" t="str">
        <f t="shared" si="5"/>
        <v>GriffGreen</v>
      </c>
      <c r="N312" s="176">
        <f>IFERROR(__xludf.DUMMYFUNCTION("""COMPUTED_VALUE"""),33.0)</f>
        <v>33</v>
      </c>
      <c r="O312" s="176"/>
      <c r="P312" s="165" t="s">
        <v>450</v>
      </c>
      <c r="Q312" s="165" t="s">
        <v>45</v>
      </c>
      <c r="R312" s="176"/>
      <c r="S312" s="176"/>
      <c r="T312" s="176"/>
      <c r="U312" s="176"/>
      <c r="V312" s="176"/>
      <c r="W312" s="176"/>
      <c r="X312" s="176"/>
      <c r="Y312" s="176"/>
      <c r="Z312" s="176"/>
      <c r="AA312" s="176"/>
    </row>
    <row r="313">
      <c r="A313" s="165" t="str">
        <f>iferror(VLOOKUP(P313,'DO NOT TOUCH Imported'!$A$1:$D$800,4,False),iferror(VLOOKUP(P313,'DO NOT TOUCH Imported'!$C$1:$D$800,2,False),"OOPS FIX ME"))</f>
        <v>GriffGreen</v>
      </c>
      <c r="B313" s="165" t="s">
        <v>440</v>
      </c>
      <c r="C313" s="170" t="s">
        <v>912</v>
      </c>
      <c r="D313" s="236" t="s">
        <v>437</v>
      </c>
      <c r="E313" s="239">
        <v>44307.0</v>
      </c>
      <c r="F313" s="170" t="s">
        <v>439</v>
      </c>
      <c r="G313" s="170">
        <v>1000.0</v>
      </c>
      <c r="H313" s="171">
        <v>70.0</v>
      </c>
      <c r="I313" s="171">
        <v>50.0</v>
      </c>
      <c r="J313" s="172">
        <f t="shared" si="12"/>
        <v>0.0006674280466</v>
      </c>
      <c r="K313" s="173">
        <f t="shared" si="13"/>
        <v>0.8009136559</v>
      </c>
      <c r="L313" s="174">
        <f t="shared" si="4"/>
        <v>10.22530884</v>
      </c>
      <c r="M313" s="175" t="str">
        <f t="shared" si="5"/>
        <v>GriffGreen</v>
      </c>
      <c r="N313" s="176">
        <f>IFERROR(__xludf.DUMMYFUNCTION("""COMPUTED_VALUE"""),34.0)</f>
        <v>34</v>
      </c>
      <c r="O313" s="176"/>
      <c r="P313" s="165" t="s">
        <v>450</v>
      </c>
      <c r="Q313" s="165" t="s">
        <v>440</v>
      </c>
      <c r="R313" s="176"/>
      <c r="S313" s="176"/>
      <c r="T313" s="176"/>
      <c r="U313" s="176"/>
      <c r="V313" s="176"/>
      <c r="W313" s="176"/>
      <c r="X313" s="176"/>
      <c r="Y313" s="176"/>
      <c r="Z313" s="176"/>
      <c r="AA313" s="176"/>
    </row>
    <row r="314">
      <c r="A314" s="165" t="str">
        <f>iferror(VLOOKUP(P314,'DO NOT TOUCH Imported'!$A$1:$D$800,4,False),iferror(VLOOKUP(P314,'DO NOT TOUCH Imported'!$C$1:$D$800,2,False),"OOPS FIX ME"))</f>
        <v>GriffGreen</v>
      </c>
      <c r="B314" s="165" t="s">
        <v>441</v>
      </c>
      <c r="C314" s="170" t="s">
        <v>943</v>
      </c>
      <c r="D314" s="236" t="s">
        <v>437</v>
      </c>
      <c r="E314" s="239">
        <v>44309.0</v>
      </c>
      <c r="F314" s="170" t="s">
        <v>439</v>
      </c>
      <c r="G314" s="170">
        <v>1000.0</v>
      </c>
      <c r="H314" s="171">
        <v>70.0</v>
      </c>
      <c r="I314" s="171">
        <v>50.0</v>
      </c>
      <c r="J314" s="172">
        <f t="shared" si="12"/>
        <v>0.0006674280466</v>
      </c>
      <c r="K314" s="173">
        <f t="shared" si="13"/>
        <v>0.8009136559</v>
      </c>
      <c r="L314" s="174">
        <f t="shared" si="4"/>
        <v>10.22530884</v>
      </c>
      <c r="M314" s="175" t="str">
        <f t="shared" si="5"/>
        <v>GriffGreen</v>
      </c>
      <c r="N314" s="176">
        <f>IFERROR(__xludf.DUMMYFUNCTION("""COMPUTED_VALUE"""),35.0)</f>
        <v>35</v>
      </c>
      <c r="O314" s="176"/>
      <c r="P314" s="165" t="s">
        <v>450</v>
      </c>
      <c r="Q314" s="165" t="s">
        <v>441</v>
      </c>
      <c r="R314" s="176"/>
      <c r="S314" s="176"/>
      <c r="T314" s="176"/>
      <c r="U314" s="176"/>
      <c r="V314" s="176"/>
      <c r="W314" s="176"/>
      <c r="X314" s="176"/>
      <c r="Y314" s="176"/>
      <c r="Z314" s="176"/>
      <c r="AA314" s="176"/>
    </row>
    <row r="315">
      <c r="A315" s="165" t="str">
        <f>iferror(VLOOKUP(P315,'DO NOT TOUCH Imported'!$A$1:$D$800,4,False),iferror(VLOOKUP(P315,'DO NOT TOUCH Imported'!$C$1:$D$800,2,False),"OOPS FIX ME"))</f>
        <v>GriffGreen</v>
      </c>
      <c r="B315" s="165" t="s">
        <v>440</v>
      </c>
      <c r="C315" s="170" t="s">
        <v>913</v>
      </c>
      <c r="D315" s="236" t="s">
        <v>437</v>
      </c>
      <c r="E315" s="237">
        <v>44298.0</v>
      </c>
      <c r="F315" s="170" t="s">
        <v>439</v>
      </c>
      <c r="G315" s="170">
        <v>1000.0</v>
      </c>
      <c r="H315" s="171">
        <v>60.0</v>
      </c>
      <c r="I315" s="171">
        <v>50.0</v>
      </c>
      <c r="J315" s="172">
        <f t="shared" si="12"/>
        <v>0.0006238180076</v>
      </c>
      <c r="K315" s="173">
        <f t="shared" si="13"/>
        <v>0.7485816091</v>
      </c>
      <c r="L315" s="174">
        <f t="shared" si="4"/>
        <v>10.22530884</v>
      </c>
      <c r="M315" s="175" t="str">
        <f t="shared" si="5"/>
        <v>GriffGreen</v>
      </c>
      <c r="N315" s="176">
        <f>IFERROR(__xludf.DUMMYFUNCTION("""COMPUTED_VALUE"""),36.0)</f>
        <v>36</v>
      </c>
      <c r="O315" s="176"/>
      <c r="P315" s="165" t="s">
        <v>450</v>
      </c>
      <c r="Q315" s="165" t="s">
        <v>440</v>
      </c>
      <c r="R315" s="176"/>
      <c r="S315" s="176"/>
      <c r="T315" s="176"/>
      <c r="U315" s="176"/>
      <c r="V315" s="176"/>
      <c r="W315" s="176"/>
      <c r="X315" s="176"/>
      <c r="Y315" s="176"/>
      <c r="Z315" s="176"/>
      <c r="AA315" s="176"/>
    </row>
    <row r="316">
      <c r="A316" s="165" t="str">
        <f>iferror(VLOOKUP(P316,'DO NOT TOUCH Imported'!$A$1:$D$800,4,False),iferror(VLOOKUP(P316,'DO NOT TOUCH Imported'!$C$1:$D$800,2,False),"OOPS FIX ME"))</f>
        <v>GriffGreen</v>
      </c>
      <c r="B316" s="165" t="s">
        <v>490</v>
      </c>
      <c r="C316" s="170" t="s">
        <v>914</v>
      </c>
      <c r="D316" s="236" t="s">
        <v>437</v>
      </c>
      <c r="E316" s="239">
        <v>44299.0</v>
      </c>
      <c r="F316" s="170" t="s">
        <v>439</v>
      </c>
      <c r="G316" s="170">
        <v>1000.0</v>
      </c>
      <c r="H316" s="171">
        <v>60.0</v>
      </c>
      <c r="I316" s="171">
        <v>50.0</v>
      </c>
      <c r="J316" s="172">
        <f t="shared" si="12"/>
        <v>0.0006238180076</v>
      </c>
      <c r="K316" s="173">
        <f t="shared" si="13"/>
        <v>0.7485816091</v>
      </c>
      <c r="L316" s="174">
        <f t="shared" si="4"/>
        <v>10.22530884</v>
      </c>
      <c r="M316" s="175" t="str">
        <f t="shared" si="5"/>
        <v>GriffGreen</v>
      </c>
      <c r="N316" s="176">
        <f>IFERROR(__xludf.DUMMYFUNCTION("""COMPUTED_VALUE"""),37.0)</f>
        <v>37</v>
      </c>
      <c r="O316" s="176"/>
      <c r="P316" s="165" t="s">
        <v>450</v>
      </c>
      <c r="Q316" s="165" t="s">
        <v>490</v>
      </c>
      <c r="R316" s="176"/>
      <c r="S316" s="176"/>
      <c r="T316" s="176"/>
      <c r="U316" s="176"/>
      <c r="V316" s="176"/>
      <c r="W316" s="176"/>
      <c r="X316" s="176"/>
      <c r="Y316" s="176"/>
      <c r="Z316" s="176"/>
      <c r="AA316" s="176"/>
    </row>
    <row r="317">
      <c r="A317" s="165" t="str">
        <f>iferror(VLOOKUP(P317,'DO NOT TOUCH Imported'!$A$1:$D$800,4,False),iferror(VLOOKUP(P317,'DO NOT TOUCH Imported'!$C$1:$D$800,2,False),"OOPS FIX ME"))</f>
        <v>GriffGreen</v>
      </c>
      <c r="B317" s="165" t="s">
        <v>492</v>
      </c>
      <c r="C317" s="170" t="s">
        <v>915</v>
      </c>
      <c r="D317" s="236" t="s">
        <v>437</v>
      </c>
      <c r="E317" s="237">
        <v>44300.0</v>
      </c>
      <c r="F317" s="170" t="s">
        <v>439</v>
      </c>
      <c r="G317" s="170">
        <v>1000.0</v>
      </c>
      <c r="H317" s="171">
        <v>60.0</v>
      </c>
      <c r="I317" s="171">
        <v>50.0</v>
      </c>
      <c r="J317" s="172">
        <f t="shared" si="12"/>
        <v>0.0006238180076</v>
      </c>
      <c r="K317" s="173">
        <f t="shared" si="13"/>
        <v>0.7485816091</v>
      </c>
      <c r="L317" s="174">
        <f t="shared" si="4"/>
        <v>10.22530884</v>
      </c>
      <c r="M317" s="175" t="str">
        <f t="shared" si="5"/>
        <v>GriffGreen</v>
      </c>
      <c r="N317" s="176">
        <f>IFERROR(__xludf.DUMMYFUNCTION("""COMPUTED_VALUE"""),38.0)</f>
        <v>38</v>
      </c>
      <c r="O317" s="176"/>
      <c r="P317" s="165" t="s">
        <v>450</v>
      </c>
      <c r="Q317" s="165" t="s">
        <v>492</v>
      </c>
      <c r="R317" s="176"/>
      <c r="S317" s="176"/>
      <c r="T317" s="176"/>
      <c r="U317" s="176"/>
      <c r="V317" s="176"/>
      <c r="W317" s="176"/>
      <c r="X317" s="176"/>
      <c r="Y317" s="176"/>
      <c r="Z317" s="176"/>
      <c r="AA317" s="176"/>
    </row>
    <row r="318">
      <c r="A318" s="165" t="str">
        <f>iferror(VLOOKUP(P318,'DO NOT TOUCH Imported'!$A$1:$D$800,4,False),iferror(VLOOKUP(P318,'DO NOT TOUCH Imported'!$C$1:$D$800,2,False),"OOPS FIX ME"))</f>
        <v>GriffGreen</v>
      </c>
      <c r="B318" s="165" t="s">
        <v>440</v>
      </c>
      <c r="C318" s="170" t="s">
        <v>916</v>
      </c>
      <c r="D318" s="236" t="s">
        <v>437</v>
      </c>
      <c r="E318" s="239">
        <v>44300.0</v>
      </c>
      <c r="F318" s="170" t="s">
        <v>439</v>
      </c>
      <c r="G318" s="170">
        <v>1000.0</v>
      </c>
      <c r="H318" s="171">
        <v>60.0</v>
      </c>
      <c r="I318" s="171">
        <v>50.0</v>
      </c>
      <c r="J318" s="172">
        <f t="shared" si="12"/>
        <v>0.0006238180076</v>
      </c>
      <c r="K318" s="173">
        <f t="shared" si="13"/>
        <v>0.7485816091</v>
      </c>
      <c r="L318" s="174">
        <f t="shared" si="4"/>
        <v>10.22530884</v>
      </c>
      <c r="M318" s="175" t="str">
        <f t="shared" si="5"/>
        <v>GriffGreen</v>
      </c>
      <c r="N318" s="176">
        <f>IFERROR(__xludf.DUMMYFUNCTION("""COMPUTED_VALUE"""),39.0)</f>
        <v>39</v>
      </c>
      <c r="O318" s="176"/>
      <c r="P318" s="165" t="s">
        <v>450</v>
      </c>
      <c r="Q318" s="165" t="s">
        <v>440</v>
      </c>
      <c r="R318" s="176"/>
      <c r="S318" s="176"/>
      <c r="T318" s="176"/>
      <c r="U318" s="176"/>
      <c r="V318" s="176"/>
      <c r="W318" s="176"/>
      <c r="X318" s="176"/>
      <c r="Y318" s="176"/>
      <c r="Z318" s="176"/>
      <c r="AA318" s="176"/>
    </row>
    <row r="319">
      <c r="A319" s="165" t="str">
        <f>iferror(VLOOKUP(P319,'DO NOT TOUCH Imported'!$A$1:$D$800,4,False),iferror(VLOOKUP(P319,'DO NOT TOUCH Imported'!$C$1:$D$800,2,False),"OOPS FIX ME"))</f>
        <v>GriffGreen</v>
      </c>
      <c r="B319" s="165" t="s">
        <v>440</v>
      </c>
      <c r="C319" s="170" t="s">
        <v>917</v>
      </c>
      <c r="D319" s="236" t="s">
        <v>437</v>
      </c>
      <c r="E319" s="239">
        <v>44301.0</v>
      </c>
      <c r="F319" s="170" t="s">
        <v>439</v>
      </c>
      <c r="G319" s="170">
        <v>1000.0</v>
      </c>
      <c r="H319" s="171">
        <v>60.0</v>
      </c>
      <c r="I319" s="171">
        <v>50.0</v>
      </c>
      <c r="J319" s="172">
        <f t="shared" si="12"/>
        <v>0.0006238180076</v>
      </c>
      <c r="K319" s="173">
        <f t="shared" si="13"/>
        <v>0.7485816091</v>
      </c>
      <c r="L319" s="174">
        <f t="shared" si="4"/>
        <v>10.22530884</v>
      </c>
      <c r="M319" s="175" t="str">
        <f t="shared" si="5"/>
        <v>GriffGreen</v>
      </c>
      <c r="N319" s="176">
        <f>IFERROR(__xludf.DUMMYFUNCTION("""COMPUTED_VALUE"""),40.0)</f>
        <v>40</v>
      </c>
      <c r="O319" s="176"/>
      <c r="P319" s="165" t="s">
        <v>450</v>
      </c>
      <c r="Q319" s="165" t="s">
        <v>440</v>
      </c>
      <c r="R319" s="176"/>
      <c r="S319" s="176"/>
      <c r="T319" s="176"/>
      <c r="U319" s="176"/>
      <c r="V319" s="176"/>
      <c r="W319" s="176"/>
      <c r="X319" s="176"/>
      <c r="Y319" s="176"/>
      <c r="Z319" s="176"/>
      <c r="AA319" s="176"/>
    </row>
    <row r="320">
      <c r="A320" s="165" t="str">
        <f>iferror(VLOOKUP(P320,'DO NOT TOUCH Imported'!$A$1:$D$800,4,False),iferror(VLOOKUP(P320,'DO NOT TOUCH Imported'!$C$1:$D$800,2,False),"OOPS FIX ME"))</f>
        <v>GriffGreen</v>
      </c>
      <c r="B320" s="165" t="s">
        <v>441</v>
      </c>
      <c r="C320" s="170" t="s">
        <v>918</v>
      </c>
      <c r="D320" s="236" t="s">
        <v>437</v>
      </c>
      <c r="E320" s="237">
        <v>44302.0</v>
      </c>
      <c r="F320" s="170" t="s">
        <v>439</v>
      </c>
      <c r="G320" s="170">
        <v>1000.0</v>
      </c>
      <c r="H320" s="171">
        <v>60.0</v>
      </c>
      <c r="I320" s="171">
        <v>50.0</v>
      </c>
      <c r="J320" s="172">
        <f t="shared" si="12"/>
        <v>0.0006238180076</v>
      </c>
      <c r="K320" s="173">
        <f t="shared" si="13"/>
        <v>0.7485816091</v>
      </c>
      <c r="L320" s="174">
        <f t="shared" si="4"/>
        <v>10.22530884</v>
      </c>
      <c r="M320" s="175" t="str">
        <f t="shared" si="5"/>
        <v>GriffGreen</v>
      </c>
      <c r="N320" s="176">
        <f>IFERROR(__xludf.DUMMYFUNCTION("""COMPUTED_VALUE"""),41.0)</f>
        <v>41</v>
      </c>
      <c r="O320" s="176"/>
      <c r="P320" s="165" t="s">
        <v>450</v>
      </c>
      <c r="Q320" s="165" t="s">
        <v>441</v>
      </c>
      <c r="R320" s="176"/>
      <c r="S320" s="176"/>
      <c r="T320" s="176"/>
      <c r="U320" s="176"/>
      <c r="V320" s="176"/>
      <c r="W320" s="176"/>
      <c r="X320" s="176"/>
      <c r="Y320" s="176"/>
      <c r="Z320" s="176"/>
      <c r="AA320" s="176"/>
    </row>
    <row r="321">
      <c r="A321" s="165" t="str">
        <f>iferror(VLOOKUP(P321,'DO NOT TOUCH Imported'!$A$1:$D$800,4,False),iferror(VLOOKUP(P321,'DO NOT TOUCH Imported'!$C$1:$D$800,2,False),"OOPS FIX ME"))</f>
        <v>GriffGreen</v>
      </c>
      <c r="B321" s="165" t="s">
        <v>576</v>
      </c>
      <c r="C321" s="170" t="s">
        <v>919</v>
      </c>
      <c r="D321" s="236" t="s">
        <v>437</v>
      </c>
      <c r="E321" s="237">
        <v>44302.0</v>
      </c>
      <c r="F321" s="170" t="s">
        <v>439</v>
      </c>
      <c r="G321" s="170">
        <v>1000.0</v>
      </c>
      <c r="H321" s="171">
        <v>60.0</v>
      </c>
      <c r="I321" s="171">
        <v>50.0</v>
      </c>
      <c r="J321" s="172">
        <f t="shared" si="12"/>
        <v>0.0006238180076</v>
      </c>
      <c r="K321" s="173">
        <f t="shared" si="13"/>
        <v>0.7485816091</v>
      </c>
      <c r="L321" s="174">
        <f t="shared" si="4"/>
        <v>10.22530884</v>
      </c>
      <c r="M321" s="175" t="str">
        <f t="shared" si="5"/>
        <v>GriffGreen</v>
      </c>
      <c r="N321" s="176">
        <f>IFERROR(__xludf.DUMMYFUNCTION("""COMPUTED_VALUE"""),42.0)</f>
        <v>42</v>
      </c>
      <c r="O321" s="176"/>
      <c r="P321" s="165" t="s">
        <v>450</v>
      </c>
      <c r="Q321" s="165" t="s">
        <v>576</v>
      </c>
      <c r="R321" s="176"/>
      <c r="S321" s="176"/>
      <c r="T321" s="176"/>
      <c r="U321" s="176"/>
      <c r="V321" s="176"/>
      <c r="W321" s="176"/>
      <c r="X321" s="176"/>
      <c r="Y321" s="176"/>
      <c r="Z321" s="176"/>
      <c r="AA321" s="176"/>
    </row>
    <row r="322">
      <c r="A322" s="165" t="str">
        <f>iferror(VLOOKUP(P322,'DO NOT TOUCH Imported'!$A$1:$D$800,4,False),iferror(VLOOKUP(P322,'DO NOT TOUCH Imported'!$C$1:$D$800,2,False),"OOPS FIX ME"))</f>
        <v>GriffGreen</v>
      </c>
      <c r="B322" s="165" t="s">
        <v>483</v>
      </c>
      <c r="C322" s="170" t="s">
        <v>920</v>
      </c>
      <c r="D322" s="236" t="s">
        <v>437</v>
      </c>
      <c r="E322" s="239">
        <v>44305.0</v>
      </c>
      <c r="F322" s="170" t="s">
        <v>439</v>
      </c>
      <c r="G322" s="170">
        <v>1000.0</v>
      </c>
      <c r="H322" s="171">
        <v>60.0</v>
      </c>
      <c r="I322" s="171">
        <v>50.0</v>
      </c>
      <c r="J322" s="172">
        <f t="shared" si="12"/>
        <v>0.0006238180076</v>
      </c>
      <c r="K322" s="173">
        <f t="shared" si="13"/>
        <v>0.7485816091</v>
      </c>
      <c r="L322" s="174">
        <f t="shared" si="4"/>
        <v>10.22530884</v>
      </c>
      <c r="M322" s="175" t="str">
        <f t="shared" si="5"/>
        <v>GriffGreen</v>
      </c>
      <c r="N322" s="176">
        <f>IFERROR(__xludf.DUMMYFUNCTION("""COMPUTED_VALUE"""),43.0)</f>
        <v>43</v>
      </c>
      <c r="O322" s="176"/>
      <c r="P322" s="165" t="s">
        <v>450</v>
      </c>
      <c r="Q322" s="165" t="s">
        <v>483</v>
      </c>
      <c r="R322" s="176"/>
      <c r="S322" s="176"/>
      <c r="T322" s="176"/>
      <c r="U322" s="176"/>
      <c r="V322" s="176"/>
      <c r="W322" s="176"/>
      <c r="X322" s="176"/>
      <c r="Y322" s="176"/>
      <c r="Z322" s="176"/>
      <c r="AA322" s="176"/>
    </row>
    <row r="323">
      <c r="A323" s="165" t="str">
        <f>iferror(VLOOKUP(P323,'DO NOT TOUCH Imported'!$A$1:$D$800,4,False),iferror(VLOOKUP(P323,'DO NOT TOUCH Imported'!$C$1:$D$800,2,False),"OOPS FIX ME"))</f>
        <v>GriffGreen</v>
      </c>
      <c r="B323" s="165" t="s">
        <v>486</v>
      </c>
      <c r="C323" s="170" t="s">
        <v>921</v>
      </c>
      <c r="D323" s="236" t="s">
        <v>437</v>
      </c>
      <c r="E323" s="239">
        <v>44306.0</v>
      </c>
      <c r="F323" s="170" t="s">
        <v>439</v>
      </c>
      <c r="G323" s="170">
        <v>1000.0</v>
      </c>
      <c r="H323" s="171">
        <v>60.0</v>
      </c>
      <c r="I323" s="171">
        <v>50.0</v>
      </c>
      <c r="J323" s="172">
        <f t="shared" si="12"/>
        <v>0.0006238180076</v>
      </c>
      <c r="K323" s="173">
        <f t="shared" si="13"/>
        <v>0.7485816091</v>
      </c>
      <c r="L323" s="174">
        <f t="shared" si="4"/>
        <v>10.22530884</v>
      </c>
      <c r="M323" s="175" t="str">
        <f t="shared" si="5"/>
        <v>GriffGreen</v>
      </c>
      <c r="N323" s="176">
        <f>IFERROR(__xludf.DUMMYFUNCTION("""COMPUTED_VALUE"""),44.0)</f>
        <v>44</v>
      </c>
      <c r="O323" s="176"/>
      <c r="P323" s="165" t="s">
        <v>450</v>
      </c>
      <c r="Q323" s="165" t="s">
        <v>486</v>
      </c>
      <c r="R323" s="176"/>
      <c r="S323" s="176"/>
      <c r="T323" s="176"/>
      <c r="U323" s="176"/>
      <c r="V323" s="176"/>
      <c r="W323" s="176"/>
      <c r="X323" s="176"/>
      <c r="Y323" s="176"/>
      <c r="Z323" s="176"/>
      <c r="AA323" s="176"/>
    </row>
    <row r="324">
      <c r="A324" s="165" t="str">
        <f>iferror(VLOOKUP(P324,'DO NOT TOUCH Imported'!$A$1:$D$800,4,False),iferror(VLOOKUP(P324,'DO NOT TOUCH Imported'!$C$1:$D$800,2,False),"OOPS FIX ME"))</f>
        <v>GriffGreen</v>
      </c>
      <c r="B324" s="165" t="s">
        <v>440</v>
      </c>
      <c r="C324" s="170" t="s">
        <v>922</v>
      </c>
      <c r="D324" s="236" t="s">
        <v>437</v>
      </c>
      <c r="E324" s="237">
        <v>44307.0</v>
      </c>
      <c r="F324" s="170" t="s">
        <v>439</v>
      </c>
      <c r="G324" s="170">
        <v>1000.0</v>
      </c>
      <c r="H324" s="171">
        <v>60.0</v>
      </c>
      <c r="I324" s="171">
        <v>50.0</v>
      </c>
      <c r="J324" s="172">
        <f t="shared" si="12"/>
        <v>0.0006238180076</v>
      </c>
      <c r="K324" s="173">
        <f t="shared" si="13"/>
        <v>0.7485816091</v>
      </c>
      <c r="L324" s="174">
        <f t="shared" si="4"/>
        <v>10.22530884</v>
      </c>
      <c r="M324" s="175" t="str">
        <f t="shared" si="5"/>
        <v>GriffGreen</v>
      </c>
      <c r="N324" s="176">
        <f>IFERROR(__xludf.DUMMYFUNCTION("""COMPUTED_VALUE"""),45.0)</f>
        <v>45</v>
      </c>
      <c r="O324" s="176"/>
      <c r="P324" s="165" t="s">
        <v>450</v>
      </c>
      <c r="Q324" s="165" t="s">
        <v>440</v>
      </c>
      <c r="R324" s="176"/>
      <c r="S324" s="176"/>
      <c r="T324" s="176"/>
      <c r="U324" s="176"/>
      <c r="V324" s="176"/>
      <c r="W324" s="176"/>
      <c r="X324" s="176"/>
      <c r="Y324" s="176"/>
      <c r="Z324" s="176"/>
      <c r="AA324" s="176"/>
    </row>
    <row r="325">
      <c r="A325" s="165" t="str">
        <f>iferror(VLOOKUP(P325,'DO NOT TOUCH Imported'!$A$1:$D$800,4,False),iferror(VLOOKUP(P325,'DO NOT TOUCH Imported'!$C$1:$D$800,2,False),"OOPS FIX ME"))</f>
        <v>GriffGreen</v>
      </c>
      <c r="B325" s="165" t="s">
        <v>441</v>
      </c>
      <c r="C325" s="170" t="s">
        <v>923</v>
      </c>
      <c r="D325" s="236" t="s">
        <v>437</v>
      </c>
      <c r="E325" s="239">
        <v>44309.0</v>
      </c>
      <c r="F325" s="170" t="s">
        <v>439</v>
      </c>
      <c r="G325" s="170">
        <v>1000.0</v>
      </c>
      <c r="H325" s="171">
        <v>60.0</v>
      </c>
      <c r="I325" s="171">
        <v>50.0</v>
      </c>
      <c r="J325" s="172">
        <f t="shared" si="12"/>
        <v>0.0006238180076</v>
      </c>
      <c r="K325" s="173">
        <f t="shared" si="13"/>
        <v>0.7485816091</v>
      </c>
      <c r="L325" s="174">
        <f t="shared" si="4"/>
        <v>10.22530884</v>
      </c>
      <c r="M325" s="175" t="str">
        <f t="shared" si="5"/>
        <v>GriffGreen</v>
      </c>
      <c r="N325" s="176">
        <f>IFERROR(__xludf.DUMMYFUNCTION("""COMPUTED_VALUE"""),46.0)</f>
        <v>46</v>
      </c>
      <c r="O325" s="176"/>
      <c r="P325" s="165" t="s">
        <v>450</v>
      </c>
      <c r="Q325" s="165" t="s">
        <v>441</v>
      </c>
      <c r="R325" s="176"/>
      <c r="S325" s="176"/>
      <c r="T325" s="176"/>
      <c r="U325" s="176"/>
      <c r="V325" s="176"/>
      <c r="W325" s="176"/>
      <c r="X325" s="176"/>
      <c r="Y325" s="176"/>
      <c r="Z325" s="176"/>
      <c r="AA325" s="176"/>
    </row>
    <row r="326">
      <c r="A326" s="165" t="str">
        <f>iferror(VLOOKUP(P326,'DO NOT TOUCH Imported'!$A$1:$D$800,4,False),iferror(VLOOKUP(P326,'DO NOT TOUCH Imported'!$C$1:$D$800,2,False),"OOPS FIX ME"))</f>
        <v>GriffGreen</v>
      </c>
      <c r="B326" s="165" t="s">
        <v>486</v>
      </c>
      <c r="C326" s="170" t="s">
        <v>924</v>
      </c>
      <c r="D326" s="236" t="s">
        <v>437</v>
      </c>
      <c r="E326" s="239">
        <v>44299.0</v>
      </c>
      <c r="F326" s="170" t="s">
        <v>439</v>
      </c>
      <c r="G326" s="170">
        <v>1000.0</v>
      </c>
      <c r="H326" s="171">
        <v>50.0</v>
      </c>
      <c r="I326" s="171">
        <v>50.0</v>
      </c>
      <c r="J326" s="172">
        <f t="shared" si="12"/>
        <v>0.0005802079686</v>
      </c>
      <c r="K326" s="173">
        <f t="shared" si="13"/>
        <v>0.6962495623</v>
      </c>
      <c r="L326" s="174">
        <f t="shared" si="4"/>
        <v>10.22530884</v>
      </c>
      <c r="M326" s="175" t="str">
        <f t="shared" si="5"/>
        <v>GriffGreen</v>
      </c>
      <c r="N326" s="176">
        <f>IFERROR(__xludf.DUMMYFUNCTION("""COMPUTED_VALUE"""),47.0)</f>
        <v>47</v>
      </c>
      <c r="O326" s="176"/>
      <c r="P326" s="165" t="s">
        <v>450</v>
      </c>
      <c r="Q326" s="165" t="s">
        <v>486</v>
      </c>
      <c r="R326" s="176"/>
      <c r="S326" s="176"/>
      <c r="T326" s="176"/>
      <c r="U326" s="176"/>
      <c r="V326" s="176"/>
      <c r="W326" s="176"/>
      <c r="X326" s="176"/>
      <c r="Y326" s="176"/>
      <c r="Z326" s="176"/>
      <c r="AA326" s="176"/>
    </row>
    <row r="327">
      <c r="A327" s="165" t="str">
        <f>iferror(VLOOKUP(P327,'DO NOT TOUCH Imported'!$A$1:$D$800,4,False),iferror(VLOOKUP(P327,'DO NOT TOUCH Imported'!$C$1:$D$800,2,False),"OOPS FIX ME"))</f>
        <v>GriffGreen</v>
      </c>
      <c r="B327" s="165" t="s">
        <v>10</v>
      </c>
      <c r="C327" s="170" t="s">
        <v>494</v>
      </c>
      <c r="D327" s="236" t="s">
        <v>495</v>
      </c>
      <c r="E327" s="237">
        <v>44302.0</v>
      </c>
      <c r="F327" s="170" t="s">
        <v>496</v>
      </c>
      <c r="G327" s="170">
        <v>1500.0</v>
      </c>
      <c r="H327" s="171">
        <v>25.0</v>
      </c>
      <c r="I327" s="171">
        <v>40.0</v>
      </c>
      <c r="J327" s="172">
        <f t="shared" si="12"/>
        <v>0.0005021792123</v>
      </c>
      <c r="K327" s="173">
        <f t="shared" si="13"/>
        <v>0.6026150547</v>
      </c>
      <c r="L327" s="174">
        <f t="shared" si="4"/>
        <v>10.22530884</v>
      </c>
      <c r="M327" s="175" t="str">
        <f t="shared" si="5"/>
        <v>GriffGreen</v>
      </c>
      <c r="N327" s="176">
        <f>IFERROR(__xludf.DUMMYFUNCTION("""COMPUTED_VALUE"""),48.0)</f>
        <v>48</v>
      </c>
      <c r="O327" s="176"/>
      <c r="P327" s="165" t="s">
        <v>16</v>
      </c>
      <c r="Q327" s="165" t="s">
        <v>10</v>
      </c>
      <c r="R327" s="176"/>
      <c r="S327" s="176"/>
      <c r="T327" s="176"/>
      <c r="U327" s="176"/>
      <c r="V327" s="176"/>
      <c r="W327" s="176"/>
      <c r="X327" s="176"/>
      <c r="Y327" s="176"/>
      <c r="Z327" s="176"/>
      <c r="AA327" s="176"/>
    </row>
    <row r="328">
      <c r="A328" s="165" t="str">
        <f>iferror(VLOOKUP(P328,'DO NOT TOUCH Imported'!$A$1:$D$800,4,False),iferror(VLOOKUP(P328,'DO NOT TOUCH Imported'!$C$1:$D$800,2,False),"OOPS FIX ME"))</f>
        <v>GriffGreen</v>
      </c>
      <c r="B328" s="165" t="s">
        <v>10</v>
      </c>
      <c r="C328" s="170" t="s">
        <v>494</v>
      </c>
      <c r="D328" s="236" t="s">
        <v>495</v>
      </c>
      <c r="E328" s="237">
        <v>44309.0</v>
      </c>
      <c r="F328" s="170" t="s">
        <v>496</v>
      </c>
      <c r="G328" s="170">
        <v>1500.0</v>
      </c>
      <c r="H328" s="171">
        <v>25.0</v>
      </c>
      <c r="I328" s="171">
        <v>40.0</v>
      </c>
      <c r="J328" s="172">
        <f t="shared" si="12"/>
        <v>0.0005021792123</v>
      </c>
      <c r="K328" s="173">
        <f t="shared" si="13"/>
        <v>0.6026150547</v>
      </c>
      <c r="L328" s="174">
        <f t="shared" si="4"/>
        <v>10.22530884</v>
      </c>
      <c r="M328" s="175" t="str">
        <f t="shared" si="5"/>
        <v>GriffGreen</v>
      </c>
      <c r="N328" s="176">
        <f>IFERROR(__xludf.DUMMYFUNCTION("""COMPUTED_VALUE"""),49.0)</f>
        <v>49</v>
      </c>
      <c r="O328" s="176"/>
      <c r="P328" s="165" t="s">
        <v>16</v>
      </c>
      <c r="Q328" s="165" t="s">
        <v>10</v>
      </c>
      <c r="R328" s="176"/>
      <c r="S328" s="176"/>
      <c r="T328" s="176"/>
      <c r="U328" s="176"/>
      <c r="V328" s="176"/>
      <c r="W328" s="176"/>
      <c r="X328" s="176"/>
      <c r="Y328" s="176"/>
      <c r="Z328" s="176"/>
      <c r="AA328" s="176"/>
    </row>
    <row r="329">
      <c r="A329" s="165" t="str">
        <f>iferror(VLOOKUP(P329,'DO NOT TOUCH Imported'!$A$1:$D$800,4,False),iferror(VLOOKUP(P329,'DO NOT TOUCH Imported'!$C$1:$D$800,2,False),"OOPS FIX ME"))</f>
        <v>GriffGreen</v>
      </c>
      <c r="B329" s="165" t="s">
        <v>10</v>
      </c>
      <c r="C329" s="170" t="s">
        <v>498</v>
      </c>
      <c r="D329" s="236" t="s">
        <v>495</v>
      </c>
      <c r="E329" s="237">
        <v>44302.0</v>
      </c>
      <c r="F329" s="170" t="s">
        <v>499</v>
      </c>
      <c r="G329" s="170">
        <v>500.0</v>
      </c>
      <c r="H329" s="171">
        <v>25.0</v>
      </c>
      <c r="I329" s="171">
        <v>25.0</v>
      </c>
      <c r="J329" s="172">
        <f t="shared" si="12"/>
        <v>0.0002901039843</v>
      </c>
      <c r="K329" s="173">
        <f t="shared" si="13"/>
        <v>0.3481247811</v>
      </c>
      <c r="L329" s="174">
        <f t="shared" si="4"/>
        <v>10.22530884</v>
      </c>
      <c r="M329" s="175" t="str">
        <f t="shared" si="5"/>
        <v>GriffGreen</v>
      </c>
      <c r="N329" s="176">
        <f>IFERROR(__xludf.DUMMYFUNCTION("""COMPUTED_VALUE"""),50.0)</f>
        <v>50</v>
      </c>
      <c r="O329" s="176"/>
      <c r="P329" s="165" t="s">
        <v>16</v>
      </c>
      <c r="Q329" s="165" t="s">
        <v>10</v>
      </c>
      <c r="R329" s="176"/>
      <c r="S329" s="176"/>
      <c r="T329" s="176"/>
      <c r="U329" s="176"/>
      <c r="V329" s="176"/>
      <c r="W329" s="176"/>
      <c r="X329" s="176"/>
      <c r="Y329" s="176"/>
      <c r="Z329" s="176"/>
      <c r="AA329" s="176"/>
    </row>
    <row r="330">
      <c r="A330" s="165" t="str">
        <f>iferror(VLOOKUP(P330,'DO NOT TOUCH Imported'!$A$1:$D$800,4,False),iferror(VLOOKUP(P330,'DO NOT TOUCH Imported'!$C$1:$D$800,2,False),"OOPS FIX ME"))</f>
        <v>GriffGreen</v>
      </c>
      <c r="B330" s="165" t="s">
        <v>10</v>
      </c>
      <c r="C330" s="170" t="s">
        <v>498</v>
      </c>
      <c r="D330" s="236" t="s">
        <v>495</v>
      </c>
      <c r="E330" s="239">
        <v>44309.0</v>
      </c>
      <c r="F330" s="170" t="s">
        <v>499</v>
      </c>
      <c r="G330" s="170">
        <v>500.0</v>
      </c>
      <c r="H330" s="171">
        <v>25.0</v>
      </c>
      <c r="I330" s="171">
        <v>25.0</v>
      </c>
      <c r="J330" s="172">
        <f t="shared" si="12"/>
        <v>0.0002901039843</v>
      </c>
      <c r="K330" s="173">
        <f t="shared" si="13"/>
        <v>0.3481247811</v>
      </c>
      <c r="L330" s="174">
        <f t="shared" si="4"/>
        <v>10.22530884</v>
      </c>
      <c r="M330" s="175" t="str">
        <f t="shared" si="5"/>
        <v>GriffGreen</v>
      </c>
      <c r="N330" s="176">
        <f>IFERROR(__xludf.DUMMYFUNCTION("""COMPUTED_VALUE"""),51.0)</f>
        <v>51</v>
      </c>
      <c r="O330" s="176"/>
      <c r="P330" s="165" t="s">
        <v>16</v>
      </c>
      <c r="Q330" s="165" t="s">
        <v>10</v>
      </c>
      <c r="R330" s="176"/>
      <c r="S330" s="176"/>
      <c r="T330" s="176"/>
      <c r="U330" s="176"/>
      <c r="V330" s="176"/>
      <c r="W330" s="176"/>
      <c r="X330" s="176"/>
      <c r="Y330" s="176"/>
      <c r="Z330" s="176"/>
      <c r="AA330" s="176"/>
    </row>
    <row r="331">
      <c r="A331" s="165" t="str">
        <f>iferror(VLOOKUP(P331,'DO NOT TOUCH Imported'!$A$1:$D$800,4,False),iferror(VLOOKUP(P331,'DO NOT TOUCH Imported'!$C$1:$D$800,2,False),"OOPS FIX ME"))</f>
        <v>GriffGreen</v>
      </c>
      <c r="B331" s="165" t="s">
        <v>10</v>
      </c>
      <c r="C331" s="170" t="s">
        <v>500</v>
      </c>
      <c r="D331" s="236" t="s">
        <v>495</v>
      </c>
      <c r="E331" s="237">
        <v>44309.0</v>
      </c>
      <c r="F331" s="170" t="s">
        <v>496</v>
      </c>
      <c r="G331" s="170">
        <v>500.0</v>
      </c>
      <c r="H331" s="171">
        <v>25.0</v>
      </c>
      <c r="I331" s="171">
        <v>25.0</v>
      </c>
      <c r="J331" s="172">
        <f t="shared" si="12"/>
        <v>0.0002901039843</v>
      </c>
      <c r="K331" s="173">
        <f t="shared" si="13"/>
        <v>0.3481247811</v>
      </c>
      <c r="L331" s="174">
        <f t="shared" si="4"/>
        <v>10.22530884</v>
      </c>
      <c r="M331" s="175" t="str">
        <f t="shared" si="5"/>
        <v>GriffGreen</v>
      </c>
      <c r="N331" s="176">
        <f>IFERROR(__xludf.DUMMYFUNCTION("""COMPUTED_VALUE"""),52.0)</f>
        <v>52</v>
      </c>
      <c r="O331" s="176"/>
      <c r="P331" s="165" t="s">
        <v>16</v>
      </c>
      <c r="Q331" s="165" t="s">
        <v>10</v>
      </c>
      <c r="R331" s="176"/>
      <c r="S331" s="176"/>
      <c r="T331" s="176"/>
      <c r="U331" s="176"/>
      <c r="V331" s="176"/>
      <c r="W331" s="176"/>
      <c r="X331" s="176"/>
      <c r="Y331" s="176"/>
      <c r="Z331" s="176"/>
      <c r="AA331" s="176"/>
    </row>
    <row r="332">
      <c r="A332" s="240" t="str">
        <f>iferror(VLOOKUP(P332,'DO NOT TOUCH Imported'!$A$1:$D$800,4,False),iferror(VLOOKUP(P332,'DO NOT TOUCH Imported'!$C$1:$D$800,2,False),"OOPS FIX ME"))</f>
        <v>GriffGreen</v>
      </c>
      <c r="B332" s="240" t="s">
        <v>492</v>
      </c>
      <c r="C332" s="221" t="s">
        <v>915</v>
      </c>
      <c r="D332" s="241" t="s">
        <v>437</v>
      </c>
      <c r="E332" s="242">
        <v>44300.0</v>
      </c>
      <c r="F332" s="221" t="s">
        <v>439</v>
      </c>
      <c r="G332" s="221"/>
      <c r="H332" s="222"/>
      <c r="I332" s="222"/>
      <c r="J332" s="172">
        <f t="shared" si="12"/>
        <v>0</v>
      </c>
      <c r="K332" s="173">
        <f t="shared" si="13"/>
        <v>0</v>
      </c>
      <c r="L332" s="174">
        <f t="shared" si="4"/>
        <v>10.22530884</v>
      </c>
      <c r="M332" s="175" t="str">
        <f t="shared" si="5"/>
        <v>GriffGreen</v>
      </c>
      <c r="N332" s="209">
        <f>IFERROR(__xludf.DUMMYFUNCTION("""COMPUTED_VALUE"""),53.0)</f>
        <v>53</v>
      </c>
      <c r="O332" s="209"/>
      <c r="P332" s="240" t="s">
        <v>450</v>
      </c>
      <c r="Q332" s="240" t="s">
        <v>492</v>
      </c>
      <c r="R332" s="209"/>
      <c r="S332" s="209"/>
      <c r="T332" s="209"/>
      <c r="U332" s="209"/>
      <c r="V332" s="209"/>
      <c r="W332" s="209"/>
      <c r="X332" s="209"/>
      <c r="Y332" s="209"/>
      <c r="Z332" s="209"/>
      <c r="AA332" s="209"/>
    </row>
    <row r="333">
      <c r="A333" s="185" t="str">
        <f>iferror(VLOOKUP(P333,'DO NOT TOUCH Imported'!$A$1:$D$800,4,False),iferror(VLOOKUP(P333,'DO NOT TOUCH Imported'!$C$1:$D$800,2,False),"OOPS FIX ME"))</f>
        <v>jeffemmett</v>
      </c>
      <c r="B333" s="196" t="s">
        <v>534</v>
      </c>
      <c r="C333" s="213" t="s">
        <v>684</v>
      </c>
      <c r="D333" s="212"/>
      <c r="E333" s="214"/>
      <c r="F333" s="212"/>
      <c r="G333" s="196"/>
      <c r="H333" s="196"/>
      <c r="I333" s="196"/>
      <c r="J333" s="172">
        <f>(H333/$H$2+I333/$I$2)/2</f>
        <v>0</v>
      </c>
      <c r="K333" s="192">
        <f>13.434*-0.25</f>
        <v>-3.3585</v>
      </c>
      <c r="L333" s="193">
        <f t="shared" si="4"/>
        <v>10.07540818</v>
      </c>
      <c r="M333" s="194" t="str">
        <f t="shared" si="5"/>
        <v>jeffemmett</v>
      </c>
      <c r="N333" s="212">
        <f>IFERROR(__xludf.DUMMYFUNCTION("""COMPUTED_VALUE"""),1.0)</f>
        <v>1</v>
      </c>
      <c r="O333" s="212"/>
      <c r="P333" s="212" t="s">
        <v>29</v>
      </c>
      <c r="Q333" s="196" t="s">
        <v>534</v>
      </c>
      <c r="R333" s="212">
        <v>18.15686701513158</v>
      </c>
      <c r="S333" s="212"/>
      <c r="T333" s="212"/>
      <c r="U333" s="212"/>
      <c r="V333" s="212"/>
      <c r="W333" s="212"/>
      <c r="X333" s="212"/>
      <c r="Y333" s="212"/>
      <c r="Z333" s="212"/>
      <c r="AA333" s="176"/>
    </row>
    <row r="334">
      <c r="A334" s="165" t="str">
        <f>iferror(VLOOKUP(P334,'DO NOT TOUCH Imported'!$A$1:$D$800,4,False),iferror(VLOOKUP(P334,'DO NOT TOUCH Imported'!$C$1:$D$800,2,False),"OOPS FIX ME"))</f>
        <v>jeffemmett</v>
      </c>
      <c r="B334" s="165" t="s">
        <v>441</v>
      </c>
      <c r="C334" s="170" t="s">
        <v>1037</v>
      </c>
      <c r="D334" s="236" t="s">
        <v>437</v>
      </c>
      <c r="E334" s="237">
        <v>44309.0</v>
      </c>
      <c r="F334" s="170" t="s">
        <v>439</v>
      </c>
      <c r="G334" s="170">
        <v>1000.0</v>
      </c>
      <c r="H334" s="171">
        <v>250.0</v>
      </c>
      <c r="I334" s="171">
        <v>200.0</v>
      </c>
      <c r="J334" s="172">
        <f t="shared" ref="J334:J369" si="14">(G334/$G$2+H334/$H$2+I334/$I$2)/3</f>
        <v>0.002095619658</v>
      </c>
      <c r="K334" s="173">
        <f t="shared" ref="K334:K344" si="15">J334*$J$1</f>
        <v>2.51474359</v>
      </c>
      <c r="L334" s="174">
        <f t="shared" si="4"/>
        <v>10.07540818</v>
      </c>
      <c r="M334" s="175" t="str">
        <f t="shared" si="5"/>
        <v>jeffemmett</v>
      </c>
      <c r="N334" s="176">
        <f>IFERROR(__xludf.DUMMYFUNCTION("""COMPUTED_VALUE"""),2.0)</f>
        <v>2</v>
      </c>
      <c r="O334" s="176"/>
      <c r="P334" s="165" t="s">
        <v>564</v>
      </c>
      <c r="Q334" s="165" t="s">
        <v>441</v>
      </c>
      <c r="R334" s="176"/>
      <c r="S334" s="176"/>
      <c r="T334" s="176"/>
      <c r="U334" s="176"/>
      <c r="V334" s="176"/>
      <c r="W334" s="176"/>
      <c r="X334" s="176"/>
      <c r="Y334" s="176"/>
      <c r="Z334" s="176"/>
      <c r="AA334" s="176"/>
    </row>
    <row r="335">
      <c r="A335" s="165" t="str">
        <f>iferror(VLOOKUP(P335,'DO NOT TOUCH Imported'!$A$1:$D$800,4,False),iferror(VLOOKUP(P335,'DO NOT TOUCH Imported'!$C$1:$D$800,2,False),"OOPS FIX ME"))</f>
        <v>jeffemmett</v>
      </c>
      <c r="B335" s="165" t="s">
        <v>566</v>
      </c>
      <c r="C335" s="170" t="s">
        <v>933</v>
      </c>
      <c r="D335" s="236" t="s">
        <v>499</v>
      </c>
      <c r="E335" s="239">
        <v>44305.0</v>
      </c>
      <c r="F335" s="170" t="s">
        <v>503</v>
      </c>
      <c r="G335" s="170">
        <v>2000.0</v>
      </c>
      <c r="H335" s="171">
        <v>250.0</v>
      </c>
      <c r="I335" s="171">
        <v>100.0</v>
      </c>
      <c r="J335" s="172">
        <f t="shared" si="14"/>
        <v>0.001814566523</v>
      </c>
      <c r="K335" s="173">
        <f t="shared" si="15"/>
        <v>2.177479827</v>
      </c>
      <c r="L335" s="174">
        <f t="shared" si="4"/>
        <v>10.07540818</v>
      </c>
      <c r="M335" s="175" t="str">
        <f t="shared" si="5"/>
        <v>jeffemmett</v>
      </c>
      <c r="N335" s="176">
        <f>IFERROR(__xludf.DUMMYFUNCTION("""COMPUTED_VALUE"""),3.0)</f>
        <v>3</v>
      </c>
      <c r="O335" s="176"/>
      <c r="P335" s="165" t="s">
        <v>564</v>
      </c>
      <c r="Q335" s="165" t="s">
        <v>566</v>
      </c>
      <c r="R335" s="176"/>
      <c r="S335" s="176"/>
      <c r="T335" s="176"/>
      <c r="U335" s="176"/>
      <c r="V335" s="176"/>
      <c r="W335" s="176"/>
      <c r="X335" s="176"/>
      <c r="Y335" s="176"/>
      <c r="Z335" s="176"/>
      <c r="AA335" s="176"/>
    </row>
    <row r="336">
      <c r="A336" s="165" t="str">
        <f>iferror(VLOOKUP(P336,'DO NOT TOUCH Imported'!$A$1:$D$800,4,False),iferror(VLOOKUP(P336,'DO NOT TOUCH Imported'!$C$1:$D$800,2,False),"OOPS FIX ME"))</f>
        <v>jeffemmett</v>
      </c>
      <c r="B336" s="165" t="s">
        <v>435</v>
      </c>
      <c r="C336" s="170" t="s">
        <v>974</v>
      </c>
      <c r="D336" s="236" t="s">
        <v>499</v>
      </c>
      <c r="E336" s="237">
        <v>44305.0</v>
      </c>
      <c r="F336" s="170" t="s">
        <v>503</v>
      </c>
      <c r="G336" s="170">
        <v>1000.0</v>
      </c>
      <c r="H336" s="171">
        <v>200.0</v>
      </c>
      <c r="I336" s="171">
        <v>100.0</v>
      </c>
      <c r="J336" s="172">
        <f t="shared" si="14"/>
        <v>0.00144876219</v>
      </c>
      <c r="K336" s="173">
        <f t="shared" si="15"/>
        <v>1.738514628</v>
      </c>
      <c r="L336" s="174">
        <f t="shared" si="4"/>
        <v>10.07540818</v>
      </c>
      <c r="M336" s="175" t="str">
        <f t="shared" si="5"/>
        <v>jeffemmett</v>
      </c>
      <c r="N336" s="176">
        <f>IFERROR(__xludf.DUMMYFUNCTION("""COMPUTED_VALUE"""),4.0)</f>
        <v>4</v>
      </c>
      <c r="O336" s="176"/>
      <c r="P336" s="165" t="s">
        <v>564</v>
      </c>
      <c r="Q336" s="165" t="s">
        <v>435</v>
      </c>
      <c r="R336" s="176"/>
      <c r="S336" s="176"/>
      <c r="T336" s="176"/>
      <c r="U336" s="176"/>
      <c r="V336" s="176"/>
      <c r="W336" s="176"/>
      <c r="X336" s="176"/>
      <c r="Y336" s="176"/>
      <c r="Z336" s="176"/>
      <c r="AA336" s="176"/>
    </row>
    <row r="337">
      <c r="A337" s="165" t="str">
        <f>iferror(VLOOKUP(P337,'DO NOT TOUCH Imported'!$A$1:$D$800,4,False),iferror(VLOOKUP(P337,'DO NOT TOUCH Imported'!$C$1:$D$800,2,False),"OOPS FIX ME"))</f>
        <v>jeffemmett</v>
      </c>
      <c r="B337" s="165" t="s">
        <v>831</v>
      </c>
      <c r="C337" s="170" t="s">
        <v>1050</v>
      </c>
      <c r="D337" s="236" t="s">
        <v>499</v>
      </c>
      <c r="E337" s="239">
        <v>44296.0</v>
      </c>
      <c r="F337" s="170" t="s">
        <v>503</v>
      </c>
      <c r="G337" s="170">
        <v>2000.0</v>
      </c>
      <c r="H337" s="171">
        <v>100.0</v>
      </c>
      <c r="I337" s="171">
        <v>100.0</v>
      </c>
      <c r="J337" s="172">
        <f t="shared" si="14"/>
        <v>0.001160415937</v>
      </c>
      <c r="K337" s="173">
        <f t="shared" si="15"/>
        <v>1.392499125</v>
      </c>
      <c r="L337" s="174">
        <f t="shared" si="4"/>
        <v>10.07540818</v>
      </c>
      <c r="M337" s="175" t="str">
        <f t="shared" si="5"/>
        <v>jeffemmett</v>
      </c>
      <c r="N337" s="176">
        <f>IFERROR(__xludf.DUMMYFUNCTION("""COMPUTED_VALUE"""),5.0)</f>
        <v>5</v>
      </c>
      <c r="O337" s="176"/>
      <c r="P337" s="165" t="s">
        <v>564</v>
      </c>
      <c r="Q337" s="165" t="s">
        <v>831</v>
      </c>
      <c r="R337" s="176"/>
      <c r="S337" s="176"/>
      <c r="T337" s="176"/>
      <c r="U337" s="176"/>
      <c r="V337" s="176"/>
      <c r="W337" s="176"/>
      <c r="X337" s="176"/>
      <c r="Y337" s="176"/>
      <c r="Z337" s="176"/>
      <c r="AA337" s="176"/>
    </row>
    <row r="338">
      <c r="A338" s="165" t="str">
        <f>iferror(VLOOKUP(P338,'DO NOT TOUCH Imported'!$A$1:$D$800,4,False),iferror(VLOOKUP(P338,'DO NOT TOUCH Imported'!$C$1:$D$800,2,False),"OOPS FIX ME"))</f>
        <v>jeffemmett</v>
      </c>
      <c r="B338" s="165" t="s">
        <v>441</v>
      </c>
      <c r="C338" s="170" t="s">
        <v>1051</v>
      </c>
      <c r="D338" s="236" t="s">
        <v>437</v>
      </c>
      <c r="E338" s="239">
        <v>44302.0</v>
      </c>
      <c r="F338" s="170" t="s">
        <v>439</v>
      </c>
      <c r="G338" s="170">
        <v>1000.0</v>
      </c>
      <c r="H338" s="171">
        <v>100.0</v>
      </c>
      <c r="I338" s="171">
        <v>100.0</v>
      </c>
      <c r="J338" s="172">
        <f t="shared" si="14"/>
        <v>0.0010126618</v>
      </c>
      <c r="K338" s="173">
        <f t="shared" si="15"/>
        <v>1.21519416</v>
      </c>
      <c r="L338" s="174">
        <f t="shared" si="4"/>
        <v>10.07540818</v>
      </c>
      <c r="M338" s="175" t="str">
        <f t="shared" si="5"/>
        <v>jeffemmett</v>
      </c>
      <c r="N338" s="176">
        <f>IFERROR(__xludf.DUMMYFUNCTION("""COMPUTED_VALUE"""),6.0)</f>
        <v>6</v>
      </c>
      <c r="O338" s="176"/>
      <c r="P338" s="165" t="s">
        <v>564</v>
      </c>
      <c r="Q338" s="165" t="s">
        <v>441</v>
      </c>
      <c r="R338" s="176"/>
      <c r="S338" s="176"/>
      <c r="T338" s="176"/>
      <c r="U338" s="176"/>
      <c r="V338" s="176"/>
      <c r="W338" s="176"/>
      <c r="X338" s="176"/>
      <c r="Y338" s="176"/>
      <c r="Z338" s="176"/>
      <c r="AA338" s="176"/>
    </row>
    <row r="339">
      <c r="A339" s="165" t="str">
        <f>iferror(VLOOKUP(P339,'DO NOT TOUCH Imported'!$A$1:$D$800,4,False),iferror(VLOOKUP(P339,'DO NOT TOUCH Imported'!$C$1:$D$800,2,False),"OOPS FIX ME"))</f>
        <v>jeffemmett</v>
      </c>
      <c r="B339" s="165" t="s">
        <v>435</v>
      </c>
      <c r="C339" s="170" t="s">
        <v>900</v>
      </c>
      <c r="D339" s="236" t="s">
        <v>437</v>
      </c>
      <c r="E339" s="237">
        <v>44302.0</v>
      </c>
      <c r="F339" s="170" t="s">
        <v>439</v>
      </c>
      <c r="G339" s="170">
        <v>1000.0</v>
      </c>
      <c r="H339" s="171">
        <v>100.0</v>
      </c>
      <c r="I339" s="171">
        <v>100.0</v>
      </c>
      <c r="J339" s="172">
        <f t="shared" si="14"/>
        <v>0.0010126618</v>
      </c>
      <c r="K339" s="173">
        <f t="shared" si="15"/>
        <v>1.21519416</v>
      </c>
      <c r="L339" s="174">
        <f t="shared" si="4"/>
        <v>10.07540818</v>
      </c>
      <c r="M339" s="175" t="str">
        <f t="shared" si="5"/>
        <v>jeffemmett</v>
      </c>
      <c r="N339" s="176">
        <f>IFERROR(__xludf.DUMMYFUNCTION("""COMPUTED_VALUE"""),7.0)</f>
        <v>7</v>
      </c>
      <c r="O339" s="176"/>
      <c r="P339" s="165" t="s">
        <v>564</v>
      </c>
      <c r="Q339" s="165" t="s">
        <v>435</v>
      </c>
      <c r="R339" s="176"/>
      <c r="S339" s="176"/>
      <c r="T339" s="176"/>
      <c r="U339" s="176"/>
      <c r="V339" s="176"/>
      <c r="W339" s="176"/>
      <c r="X339" s="176"/>
      <c r="Y339" s="176"/>
      <c r="Z339" s="176"/>
      <c r="AA339" s="176"/>
    </row>
    <row r="340">
      <c r="A340" s="165" t="str">
        <f>iferror(VLOOKUP(P340,'DO NOT TOUCH Imported'!$A$1:$D$800,4,False),iferror(VLOOKUP(P340,'DO NOT TOUCH Imported'!$C$1:$D$800,2,False),"OOPS FIX ME"))</f>
        <v>jeffemmett</v>
      </c>
      <c r="B340" s="165" t="s">
        <v>441</v>
      </c>
      <c r="C340" s="170" t="s">
        <v>1052</v>
      </c>
      <c r="D340" s="236" t="s">
        <v>437</v>
      </c>
      <c r="E340" s="239">
        <v>44302.0</v>
      </c>
      <c r="F340" s="170" t="s">
        <v>439</v>
      </c>
      <c r="G340" s="170">
        <v>1000.0</v>
      </c>
      <c r="H340" s="171">
        <v>100.0</v>
      </c>
      <c r="I340" s="171">
        <v>80.0</v>
      </c>
      <c r="J340" s="172">
        <f t="shared" si="14"/>
        <v>0.0009269003455</v>
      </c>
      <c r="K340" s="173">
        <f t="shared" si="15"/>
        <v>1.112280415</v>
      </c>
      <c r="L340" s="174">
        <f t="shared" si="4"/>
        <v>10.07540818</v>
      </c>
      <c r="M340" s="175" t="str">
        <f t="shared" si="5"/>
        <v>jeffemmett</v>
      </c>
      <c r="N340" s="176">
        <f>IFERROR(__xludf.DUMMYFUNCTION("""COMPUTED_VALUE"""),8.0)</f>
        <v>8</v>
      </c>
      <c r="O340" s="176"/>
      <c r="P340" s="165" t="s">
        <v>564</v>
      </c>
      <c r="Q340" s="165" t="s">
        <v>441</v>
      </c>
      <c r="R340" s="176"/>
      <c r="S340" s="176"/>
      <c r="T340" s="176"/>
      <c r="U340" s="176"/>
      <c r="V340" s="176"/>
      <c r="W340" s="176"/>
      <c r="X340" s="176"/>
      <c r="Y340" s="176"/>
      <c r="Z340" s="176"/>
      <c r="AA340" s="176"/>
    </row>
    <row r="341">
      <c r="A341" s="165" t="str">
        <f>iferror(VLOOKUP(P341,'DO NOT TOUCH Imported'!$A$1:$D$800,4,False),iferror(VLOOKUP(P341,'DO NOT TOUCH Imported'!$C$1:$D$800,2,False),"OOPS FIX ME"))</f>
        <v>jeffemmett</v>
      </c>
      <c r="B341" s="165" t="s">
        <v>768</v>
      </c>
      <c r="C341" s="170" t="s">
        <v>1047</v>
      </c>
      <c r="D341" s="236" t="s">
        <v>499</v>
      </c>
      <c r="E341" s="237">
        <v>44306.0</v>
      </c>
      <c r="F341" s="170" t="s">
        <v>503</v>
      </c>
      <c r="G341" s="170">
        <v>500.0</v>
      </c>
      <c r="H341" s="171">
        <v>100.0</v>
      </c>
      <c r="I341" s="171">
        <v>80.0</v>
      </c>
      <c r="J341" s="172">
        <f t="shared" si="14"/>
        <v>0.0008530232769</v>
      </c>
      <c r="K341" s="173">
        <f t="shared" si="15"/>
        <v>1.023627932</v>
      </c>
      <c r="L341" s="174">
        <f t="shared" si="4"/>
        <v>10.07540818</v>
      </c>
      <c r="M341" s="175" t="str">
        <f t="shared" si="5"/>
        <v>jeffemmett</v>
      </c>
      <c r="N341" s="176">
        <f>IFERROR(__xludf.DUMMYFUNCTION("""COMPUTED_VALUE"""),9.0)</f>
        <v>9</v>
      </c>
      <c r="O341" s="176"/>
      <c r="P341" s="165" t="s">
        <v>564</v>
      </c>
      <c r="Q341" s="165" t="s">
        <v>768</v>
      </c>
      <c r="R341" s="176"/>
      <c r="S341" s="176"/>
      <c r="T341" s="176"/>
      <c r="U341" s="176"/>
      <c r="V341" s="176"/>
      <c r="W341" s="176"/>
      <c r="X341" s="176"/>
      <c r="Y341" s="176"/>
      <c r="Z341" s="176"/>
      <c r="AA341" s="176"/>
    </row>
    <row r="342">
      <c r="A342" s="165" t="str">
        <f>iferror(VLOOKUP(P342,'DO NOT TOUCH Imported'!$A$1:$D$800,4,False),iferror(VLOOKUP(P342,'DO NOT TOUCH Imported'!$C$1:$D$800,2,False),"OOPS FIX ME"))</f>
        <v>jeffemmett</v>
      </c>
      <c r="B342" s="165" t="s">
        <v>10</v>
      </c>
      <c r="C342" s="170" t="s">
        <v>498</v>
      </c>
      <c r="D342" s="236" t="s">
        <v>495</v>
      </c>
      <c r="E342" s="239">
        <v>44302.0</v>
      </c>
      <c r="F342" s="170" t="s">
        <v>499</v>
      </c>
      <c r="G342" s="170">
        <v>500.0</v>
      </c>
      <c r="H342" s="171">
        <v>25.0</v>
      </c>
      <c r="I342" s="171">
        <v>25.0</v>
      </c>
      <c r="J342" s="172">
        <f t="shared" si="14"/>
        <v>0.0002901039843</v>
      </c>
      <c r="K342" s="173">
        <f t="shared" si="15"/>
        <v>0.3481247811</v>
      </c>
      <c r="L342" s="174">
        <f t="shared" si="4"/>
        <v>10.07540818</v>
      </c>
      <c r="M342" s="175" t="str">
        <f t="shared" si="5"/>
        <v>jeffemmett</v>
      </c>
      <c r="N342" s="176">
        <f>IFERROR(__xludf.DUMMYFUNCTION("""COMPUTED_VALUE"""),10.0)</f>
        <v>10</v>
      </c>
      <c r="O342" s="176"/>
      <c r="P342" s="165" t="s">
        <v>29</v>
      </c>
      <c r="Q342" s="165" t="s">
        <v>10</v>
      </c>
      <c r="R342" s="176"/>
      <c r="S342" s="176"/>
      <c r="T342" s="176"/>
      <c r="U342" s="176"/>
      <c r="V342" s="176"/>
      <c r="W342" s="176"/>
      <c r="X342" s="176"/>
      <c r="Y342" s="176"/>
      <c r="Z342" s="176"/>
      <c r="AA342" s="176"/>
    </row>
    <row r="343">
      <c r="A343" s="165" t="str">
        <f>iferror(VLOOKUP(P343,'DO NOT TOUCH Imported'!$A$1:$D$800,4,False),iferror(VLOOKUP(P343,'DO NOT TOUCH Imported'!$C$1:$D$800,2,False),"OOPS FIX ME"))</f>
        <v>jeffemmett</v>
      </c>
      <c r="B343" s="165" t="s">
        <v>10</v>
      </c>
      <c r="C343" s="170" t="s">
        <v>500</v>
      </c>
      <c r="D343" s="236" t="s">
        <v>495</v>
      </c>
      <c r="E343" s="239">
        <v>44302.0</v>
      </c>
      <c r="F343" s="170" t="s">
        <v>496</v>
      </c>
      <c r="G343" s="170">
        <v>500.0</v>
      </c>
      <c r="H343" s="171">
        <v>25.0</v>
      </c>
      <c r="I343" s="171">
        <v>25.0</v>
      </c>
      <c r="J343" s="172">
        <f t="shared" si="14"/>
        <v>0.0002901039843</v>
      </c>
      <c r="K343" s="173">
        <f t="shared" si="15"/>
        <v>0.3481247811</v>
      </c>
      <c r="L343" s="174">
        <f t="shared" si="4"/>
        <v>10.07540818</v>
      </c>
      <c r="M343" s="175" t="str">
        <f t="shared" si="5"/>
        <v>jeffemmett</v>
      </c>
      <c r="N343" s="176">
        <f>IFERROR(__xludf.DUMMYFUNCTION("""COMPUTED_VALUE"""),11.0)</f>
        <v>11</v>
      </c>
      <c r="O343" s="176"/>
      <c r="P343" s="165" t="s">
        <v>29</v>
      </c>
      <c r="Q343" s="165" t="s">
        <v>10</v>
      </c>
      <c r="R343" s="176"/>
      <c r="S343" s="176"/>
      <c r="T343" s="176"/>
      <c r="U343" s="176"/>
      <c r="V343" s="176"/>
      <c r="W343" s="176"/>
      <c r="X343" s="176"/>
      <c r="Y343" s="176"/>
      <c r="Z343" s="176"/>
      <c r="AA343" s="176"/>
    </row>
    <row r="344">
      <c r="A344" s="165" t="str">
        <f>iferror(VLOOKUP(P344,'DO NOT TOUCH Imported'!$A$1:$D$800,4,False),iferror(VLOOKUP(P344,'DO NOT TOUCH Imported'!$C$1:$D$800,2,False),"OOPS FIX ME"))</f>
        <v>jeffemmett</v>
      </c>
      <c r="B344" s="165" t="s">
        <v>10</v>
      </c>
      <c r="C344" s="170" t="s">
        <v>498</v>
      </c>
      <c r="D344" s="236" t="s">
        <v>495</v>
      </c>
      <c r="E344" s="237">
        <v>44309.0</v>
      </c>
      <c r="F344" s="170" t="s">
        <v>499</v>
      </c>
      <c r="G344" s="170">
        <v>500.0</v>
      </c>
      <c r="H344" s="171">
        <v>25.0</v>
      </c>
      <c r="I344" s="171">
        <v>25.0</v>
      </c>
      <c r="J344" s="172">
        <f t="shared" si="14"/>
        <v>0.0002901039843</v>
      </c>
      <c r="K344" s="173">
        <f t="shared" si="15"/>
        <v>0.3481247811</v>
      </c>
      <c r="L344" s="174">
        <f t="shared" si="4"/>
        <v>10.07540818</v>
      </c>
      <c r="M344" s="175" t="str">
        <f t="shared" si="5"/>
        <v>jeffemmett</v>
      </c>
      <c r="N344" s="176">
        <f>IFERROR(__xludf.DUMMYFUNCTION("""COMPUTED_VALUE"""),12.0)</f>
        <v>12</v>
      </c>
      <c r="O344" s="176"/>
      <c r="P344" s="165" t="s">
        <v>29</v>
      </c>
      <c r="Q344" s="165" t="s">
        <v>10</v>
      </c>
      <c r="R344" s="176"/>
      <c r="S344" s="176"/>
      <c r="T344" s="176"/>
      <c r="U344" s="176"/>
      <c r="V344" s="176"/>
      <c r="W344" s="176"/>
      <c r="X344" s="176"/>
      <c r="Y344" s="176"/>
      <c r="Z344" s="176"/>
      <c r="AA344" s="176"/>
    </row>
    <row r="345">
      <c r="A345" s="165" t="str">
        <f>iferror(VLOOKUP(P345,'DO NOT TOUCH Imported'!$A$1:$D$800,4,False),iferror(VLOOKUP(P345,'DO NOT TOUCH Imported'!$C$1:$D$800,2,False),"OOPS FIX ME"))</f>
        <v>mateodaza</v>
      </c>
      <c r="B345" s="185" t="s">
        <v>534</v>
      </c>
      <c r="C345" s="186" t="s">
        <v>669</v>
      </c>
      <c r="D345" s="187"/>
      <c r="E345" s="188"/>
      <c r="F345" s="189"/>
      <c r="G345" s="190"/>
      <c r="H345" s="190"/>
      <c r="I345" s="190"/>
      <c r="J345" s="191">
        <f t="shared" si="14"/>
        <v>0</v>
      </c>
      <c r="K345" s="192">
        <f>0.5*-18.213</f>
        <v>-9.1065</v>
      </c>
      <c r="L345" s="193">
        <f t="shared" si="4"/>
        <v>9.106638651</v>
      </c>
      <c r="M345" s="194" t="str">
        <f t="shared" si="5"/>
        <v>mateodaza</v>
      </c>
      <c r="N345" s="195">
        <f>IFERROR(__xludf.DUMMYFUNCTION("""COMPUTED_VALUE"""),1.0)</f>
        <v>1</v>
      </c>
      <c r="O345" s="195"/>
      <c r="P345" s="165" t="s">
        <v>11</v>
      </c>
      <c r="Q345" s="185" t="s">
        <v>534</v>
      </c>
      <c r="R345" s="195">
        <v>18.802169413641863</v>
      </c>
      <c r="S345" s="195"/>
      <c r="T345" s="195"/>
      <c r="U345" s="195"/>
      <c r="V345" s="195"/>
      <c r="W345" s="195"/>
      <c r="X345" s="195"/>
      <c r="Y345" s="195"/>
      <c r="Z345" s="195"/>
      <c r="AA345" s="176"/>
    </row>
    <row r="346">
      <c r="A346" s="165" t="str">
        <f>iferror(VLOOKUP(P346,'DO NOT TOUCH Imported'!$A$1:$D$800,4,False),iferror(VLOOKUP(P346,'DO NOT TOUCH Imported'!$C$1:$D$800,2,False),"OOPS FIX ME"))</f>
        <v>mateodaza</v>
      </c>
      <c r="B346" s="165" t="s">
        <v>490</v>
      </c>
      <c r="C346" s="170" t="s">
        <v>938</v>
      </c>
      <c r="D346" s="236" t="s">
        <v>437</v>
      </c>
      <c r="E346" s="239">
        <v>44299.0</v>
      </c>
      <c r="F346" s="170" t="s">
        <v>439</v>
      </c>
      <c r="G346" s="170">
        <v>50000.0</v>
      </c>
      <c r="H346" s="171">
        <v>100.0</v>
      </c>
      <c r="I346" s="171">
        <v>100.0</v>
      </c>
      <c r="J346" s="172">
        <f t="shared" si="14"/>
        <v>0.008252614519</v>
      </c>
      <c r="K346" s="173">
        <f t="shared" ref="K346:K369" si="16">J346*$J$1</f>
        <v>9.903137422</v>
      </c>
      <c r="L346" s="174">
        <f t="shared" si="4"/>
        <v>9.106638651</v>
      </c>
      <c r="M346" s="175" t="str">
        <f t="shared" si="5"/>
        <v>mateodaza</v>
      </c>
      <c r="N346" s="176">
        <f>IFERROR(__xludf.DUMMYFUNCTION("""COMPUTED_VALUE"""),2.0)</f>
        <v>2</v>
      </c>
      <c r="O346" s="176"/>
      <c r="P346" s="165" t="s">
        <v>695</v>
      </c>
      <c r="Q346" s="165" t="s">
        <v>490</v>
      </c>
      <c r="R346" s="176"/>
      <c r="S346" s="176"/>
      <c r="T346" s="176"/>
      <c r="U346" s="176"/>
      <c r="V346" s="176"/>
      <c r="W346" s="176"/>
      <c r="X346" s="176"/>
      <c r="Y346" s="176"/>
      <c r="Z346" s="176"/>
      <c r="AA346" s="176"/>
    </row>
    <row r="347">
      <c r="A347" s="165" t="str">
        <f>iferror(VLOOKUP(P347,'DO NOT TOUCH Imported'!$A$1:$D$800,4,False),iferror(VLOOKUP(P347,'DO NOT TOUCH Imported'!$C$1:$D$800,2,False),"OOPS FIX ME"))</f>
        <v>mateodaza</v>
      </c>
      <c r="B347" s="165" t="s">
        <v>443</v>
      </c>
      <c r="C347" s="170" t="s">
        <v>1053</v>
      </c>
      <c r="D347" s="236" t="s">
        <v>437</v>
      </c>
      <c r="E347" s="239">
        <v>44300.0</v>
      </c>
      <c r="F347" s="170" t="s">
        <v>439</v>
      </c>
      <c r="G347" s="170">
        <v>2000.0</v>
      </c>
      <c r="H347" s="171">
        <v>150.0</v>
      </c>
      <c r="I347" s="171">
        <v>100.0</v>
      </c>
      <c r="J347" s="172">
        <f t="shared" si="14"/>
        <v>0.001378466132</v>
      </c>
      <c r="K347" s="173">
        <f t="shared" si="16"/>
        <v>1.654159359</v>
      </c>
      <c r="L347" s="174">
        <f t="shared" si="4"/>
        <v>9.106638651</v>
      </c>
      <c r="M347" s="175" t="str">
        <f t="shared" si="5"/>
        <v>mateodaza</v>
      </c>
      <c r="N347" s="176">
        <f>IFERROR(__xludf.DUMMYFUNCTION("""COMPUTED_VALUE"""),3.0)</f>
        <v>3</v>
      </c>
      <c r="O347" s="176"/>
      <c r="P347" s="165" t="s">
        <v>695</v>
      </c>
      <c r="Q347" s="165" t="s">
        <v>443</v>
      </c>
      <c r="R347" s="176"/>
      <c r="S347" s="176"/>
      <c r="T347" s="176"/>
      <c r="U347" s="176"/>
      <c r="V347" s="176"/>
      <c r="W347" s="176"/>
      <c r="X347" s="176"/>
      <c r="Y347" s="176"/>
      <c r="Z347" s="176"/>
      <c r="AA347" s="176"/>
    </row>
    <row r="348">
      <c r="A348" s="165" t="str">
        <f>iferror(VLOOKUP(P348,'DO NOT TOUCH Imported'!$A$1:$D$800,4,False),iferror(VLOOKUP(P348,'DO NOT TOUCH Imported'!$C$1:$D$800,2,False),"OOPS FIX ME"))</f>
        <v>mateodaza</v>
      </c>
      <c r="B348" s="165" t="s">
        <v>596</v>
      </c>
      <c r="C348" s="170" t="s">
        <v>937</v>
      </c>
      <c r="D348" s="236" t="s">
        <v>437</v>
      </c>
      <c r="E348" s="237">
        <v>44309.0</v>
      </c>
      <c r="F348" s="170" t="s">
        <v>439</v>
      </c>
      <c r="G348" s="170">
        <v>2000.0</v>
      </c>
      <c r="H348" s="171">
        <v>100.0</v>
      </c>
      <c r="I348" s="171">
        <v>150.0</v>
      </c>
      <c r="J348" s="172">
        <f t="shared" si="14"/>
        <v>0.001374819573</v>
      </c>
      <c r="K348" s="173">
        <f t="shared" si="16"/>
        <v>1.649783488</v>
      </c>
      <c r="L348" s="174">
        <f t="shared" si="4"/>
        <v>9.106638651</v>
      </c>
      <c r="M348" s="175" t="str">
        <f t="shared" si="5"/>
        <v>mateodaza</v>
      </c>
      <c r="N348" s="176">
        <f>IFERROR(__xludf.DUMMYFUNCTION("""COMPUTED_VALUE"""),4.0)</f>
        <v>4</v>
      </c>
      <c r="O348" s="176"/>
      <c r="P348" s="165" t="s">
        <v>695</v>
      </c>
      <c r="Q348" s="165" t="s">
        <v>596</v>
      </c>
      <c r="R348" s="176"/>
      <c r="S348" s="176"/>
      <c r="T348" s="176"/>
      <c r="U348" s="176"/>
      <c r="V348" s="176"/>
      <c r="W348" s="176"/>
      <c r="X348" s="176"/>
      <c r="Y348" s="176"/>
      <c r="Z348" s="176"/>
      <c r="AA348" s="176"/>
    </row>
    <row r="349">
      <c r="A349" s="165" t="str">
        <f>iferror(VLOOKUP(P349,'DO NOT TOUCH Imported'!$A$1:$D$800,4,False),iferror(VLOOKUP(P349,'DO NOT TOUCH Imported'!$C$1:$D$800,2,False),"OOPS FIX ME"))</f>
        <v>mateodaza</v>
      </c>
      <c r="B349" s="165" t="s">
        <v>443</v>
      </c>
      <c r="C349" s="170" t="s">
        <v>1054</v>
      </c>
      <c r="D349" s="236" t="s">
        <v>437</v>
      </c>
      <c r="E349" s="239">
        <v>44310.0</v>
      </c>
      <c r="F349" s="170" t="s">
        <v>439</v>
      </c>
      <c r="G349" s="170">
        <v>2000.0</v>
      </c>
      <c r="H349" s="171">
        <v>100.0</v>
      </c>
      <c r="I349" s="171">
        <v>150.0</v>
      </c>
      <c r="J349" s="172">
        <f t="shared" si="14"/>
        <v>0.001374819573</v>
      </c>
      <c r="K349" s="173">
        <f t="shared" si="16"/>
        <v>1.649783488</v>
      </c>
      <c r="L349" s="174">
        <f t="shared" si="4"/>
        <v>9.106638651</v>
      </c>
      <c r="M349" s="175" t="str">
        <f t="shared" si="5"/>
        <v>mateodaza</v>
      </c>
      <c r="N349" s="176">
        <f>IFERROR(__xludf.DUMMYFUNCTION("""COMPUTED_VALUE"""),5.0)</f>
        <v>5</v>
      </c>
      <c r="O349" s="176"/>
      <c r="P349" s="165" t="s">
        <v>695</v>
      </c>
      <c r="Q349" s="165" t="s">
        <v>443</v>
      </c>
      <c r="R349" s="176"/>
      <c r="S349" s="176"/>
      <c r="T349" s="176"/>
      <c r="U349" s="176"/>
      <c r="V349" s="176"/>
      <c r="W349" s="176"/>
      <c r="X349" s="176"/>
      <c r="Y349" s="176"/>
      <c r="Z349" s="176"/>
      <c r="AA349" s="176"/>
    </row>
    <row r="350">
      <c r="A350" s="165" t="str">
        <f>iferror(VLOOKUP(P350,'DO NOT TOUCH Imported'!$A$1:$D$800,4,False),iferror(VLOOKUP(P350,'DO NOT TOUCH Imported'!$C$1:$D$800,2,False),"OOPS FIX ME"))</f>
        <v>mateodaza</v>
      </c>
      <c r="B350" s="165" t="s">
        <v>441</v>
      </c>
      <c r="C350" s="170" t="s">
        <v>902</v>
      </c>
      <c r="D350" s="236" t="s">
        <v>437</v>
      </c>
      <c r="E350" s="237">
        <v>44309.0</v>
      </c>
      <c r="F350" s="170" t="s">
        <v>439</v>
      </c>
      <c r="G350" s="170">
        <v>2000.0</v>
      </c>
      <c r="H350" s="171">
        <v>100.0</v>
      </c>
      <c r="I350" s="171">
        <v>100.0</v>
      </c>
      <c r="J350" s="172">
        <f t="shared" si="14"/>
        <v>0.001160415937</v>
      </c>
      <c r="K350" s="173">
        <f t="shared" si="16"/>
        <v>1.392499125</v>
      </c>
      <c r="L350" s="174">
        <f t="shared" si="4"/>
        <v>9.106638651</v>
      </c>
      <c r="M350" s="175" t="str">
        <f t="shared" si="5"/>
        <v>mateodaza</v>
      </c>
      <c r="N350" s="176">
        <f>IFERROR(__xludf.DUMMYFUNCTION("""COMPUTED_VALUE"""),6.0)</f>
        <v>6</v>
      </c>
      <c r="O350" s="176"/>
      <c r="P350" s="165" t="s">
        <v>695</v>
      </c>
      <c r="Q350" s="165" t="s">
        <v>441</v>
      </c>
      <c r="R350" s="176"/>
      <c r="S350" s="176"/>
      <c r="T350" s="176"/>
      <c r="U350" s="176"/>
      <c r="V350" s="176"/>
      <c r="W350" s="176"/>
      <c r="X350" s="176"/>
      <c r="Y350" s="176"/>
      <c r="Z350" s="176"/>
      <c r="AA350" s="176"/>
    </row>
    <row r="351">
      <c r="A351" s="165" t="str">
        <f>iferror(VLOOKUP(P351,'DO NOT TOUCH Imported'!$A$1:$D$800,4,False),iferror(VLOOKUP(P351,'DO NOT TOUCH Imported'!$C$1:$D$800,2,False),"OOPS FIX ME"))</f>
        <v>mateodaza</v>
      </c>
      <c r="B351" s="165" t="s">
        <v>566</v>
      </c>
      <c r="C351" s="170" t="s">
        <v>1055</v>
      </c>
      <c r="D351" s="236" t="s">
        <v>499</v>
      </c>
      <c r="E351" s="237">
        <v>44305.0</v>
      </c>
      <c r="F351" s="170" t="s">
        <v>503</v>
      </c>
      <c r="G351" s="170">
        <v>1000.0</v>
      </c>
      <c r="H351" s="171">
        <v>100.0</v>
      </c>
      <c r="I351" s="171">
        <v>100.0</v>
      </c>
      <c r="J351" s="172">
        <f t="shared" si="14"/>
        <v>0.0010126618</v>
      </c>
      <c r="K351" s="173">
        <f t="shared" si="16"/>
        <v>1.21519416</v>
      </c>
      <c r="L351" s="174">
        <f t="shared" si="4"/>
        <v>9.106638651</v>
      </c>
      <c r="M351" s="175" t="str">
        <f t="shared" si="5"/>
        <v>mateodaza</v>
      </c>
      <c r="N351" s="176">
        <f>IFERROR(__xludf.DUMMYFUNCTION("""COMPUTED_VALUE"""),7.0)</f>
        <v>7</v>
      </c>
      <c r="O351" s="176"/>
      <c r="P351" s="165" t="s">
        <v>695</v>
      </c>
      <c r="Q351" s="165" t="s">
        <v>566</v>
      </c>
      <c r="R351" s="176"/>
      <c r="S351" s="176"/>
      <c r="T351" s="176"/>
      <c r="U351" s="176"/>
      <c r="V351" s="176"/>
      <c r="W351" s="176"/>
      <c r="X351" s="176"/>
      <c r="Y351" s="176"/>
      <c r="Z351" s="176"/>
      <c r="AA351" s="176"/>
    </row>
    <row r="352">
      <c r="A352" s="165" t="str">
        <f>iferror(VLOOKUP(P352,'DO NOT TOUCH Imported'!$A$1:$D$800,4,False),iferror(VLOOKUP(P352,'DO NOT TOUCH Imported'!$C$1:$D$800,2,False),"OOPS FIX ME"))</f>
        <v>mateodaza</v>
      </c>
      <c r="B352" s="165" t="s">
        <v>490</v>
      </c>
      <c r="C352" s="170" t="s">
        <v>914</v>
      </c>
      <c r="D352" s="236" t="s">
        <v>437</v>
      </c>
      <c r="E352" s="239">
        <v>44299.0</v>
      </c>
      <c r="F352" s="170" t="s">
        <v>439</v>
      </c>
      <c r="G352" s="170">
        <v>1000.0</v>
      </c>
      <c r="H352" s="171">
        <v>60.0</v>
      </c>
      <c r="I352" s="171">
        <v>50.0</v>
      </c>
      <c r="J352" s="172">
        <f t="shared" si="14"/>
        <v>0.0006238180076</v>
      </c>
      <c r="K352" s="173">
        <f t="shared" si="16"/>
        <v>0.7485816091</v>
      </c>
      <c r="L352" s="174">
        <f t="shared" si="4"/>
        <v>9.106638651</v>
      </c>
      <c r="M352" s="175" t="str">
        <f t="shared" si="5"/>
        <v>mateodaza</v>
      </c>
      <c r="N352" s="176">
        <f>IFERROR(__xludf.DUMMYFUNCTION("""COMPUTED_VALUE"""),8.0)</f>
        <v>8</v>
      </c>
      <c r="O352" s="176"/>
      <c r="P352" s="165" t="s">
        <v>695</v>
      </c>
      <c r="Q352" s="165" t="s">
        <v>490</v>
      </c>
      <c r="R352" s="176"/>
      <c r="S352" s="176"/>
      <c r="T352" s="176"/>
      <c r="U352" s="176"/>
      <c r="V352" s="176"/>
      <c r="W352" s="176"/>
      <c r="X352" s="176"/>
      <c r="Y352" s="176"/>
      <c r="Z352" s="176"/>
      <c r="AA352" s="176"/>
    </row>
    <row r="353">
      <c r="A353" s="165" t="str">
        <f>iferror(VLOOKUP(P353,'DO NOT TOUCH Imported'!$A$1:$D$800,4,False),iferror(VLOOKUP(P353,'DO NOT TOUCH Imported'!$C$1:$D$800,2,False),"OOPS FIX ME"))</f>
        <v>AnnaMarieSwan#8824</v>
      </c>
      <c r="B353" s="165" t="s">
        <v>566</v>
      </c>
      <c r="C353" s="170" t="s">
        <v>1056</v>
      </c>
      <c r="D353" s="236" t="s">
        <v>499</v>
      </c>
      <c r="E353" s="237">
        <v>44305.0</v>
      </c>
      <c r="F353" s="170" t="s">
        <v>503</v>
      </c>
      <c r="G353" s="170">
        <v>5000.0</v>
      </c>
      <c r="H353" s="171">
        <v>100.0</v>
      </c>
      <c r="I353" s="171">
        <v>100.0</v>
      </c>
      <c r="J353" s="172">
        <f t="shared" si="14"/>
        <v>0.001603678348</v>
      </c>
      <c r="K353" s="173">
        <f t="shared" si="16"/>
        <v>1.924414018</v>
      </c>
      <c r="L353" s="174">
        <f t="shared" si="4"/>
        <v>8.527564912</v>
      </c>
      <c r="M353" s="175" t="str">
        <f t="shared" si="5"/>
        <v>AnnaMarieSwan#8824</v>
      </c>
      <c r="N353" s="176">
        <f>IFERROR(__xludf.DUMMYFUNCTION("""COMPUTED_VALUE"""),1.0)</f>
        <v>1</v>
      </c>
      <c r="O353" s="176"/>
      <c r="P353" s="165" t="s">
        <v>67</v>
      </c>
      <c r="Q353" s="165" t="s">
        <v>566</v>
      </c>
      <c r="R353" s="176"/>
      <c r="S353" s="176"/>
      <c r="T353" s="176"/>
      <c r="U353" s="176"/>
      <c r="V353" s="176"/>
      <c r="W353" s="176"/>
      <c r="X353" s="176"/>
      <c r="Y353" s="176"/>
      <c r="Z353" s="176"/>
      <c r="AA353" s="176"/>
    </row>
    <row r="354">
      <c r="A354" s="165" t="str">
        <f>iferror(VLOOKUP(P354,'DO NOT TOUCH Imported'!$A$1:$D$800,4,False),iferror(VLOOKUP(P354,'DO NOT TOUCH Imported'!$C$1:$D$800,2,False),"OOPS FIX ME"))</f>
        <v>AnnaMarieSwan#8824</v>
      </c>
      <c r="B354" s="165" t="s">
        <v>441</v>
      </c>
      <c r="C354" s="170" t="s">
        <v>1057</v>
      </c>
      <c r="D354" s="236" t="s">
        <v>437</v>
      </c>
      <c r="E354" s="239">
        <v>44302.0</v>
      </c>
      <c r="F354" s="170" t="s">
        <v>439</v>
      </c>
      <c r="G354" s="170">
        <v>1000.0</v>
      </c>
      <c r="H354" s="171">
        <v>100.0</v>
      </c>
      <c r="I354" s="171">
        <v>100.0</v>
      </c>
      <c r="J354" s="172">
        <f t="shared" si="14"/>
        <v>0.0010126618</v>
      </c>
      <c r="K354" s="173">
        <f t="shared" si="16"/>
        <v>1.21519416</v>
      </c>
      <c r="L354" s="174">
        <f t="shared" si="4"/>
        <v>8.527564912</v>
      </c>
      <c r="M354" s="175" t="str">
        <f t="shared" si="5"/>
        <v>AnnaMarieSwan#8824</v>
      </c>
      <c r="N354" s="176">
        <f>IFERROR(__xludf.DUMMYFUNCTION("""COMPUTED_VALUE"""),2.0)</f>
        <v>2</v>
      </c>
      <c r="O354" s="176"/>
      <c r="P354" s="165" t="s">
        <v>67</v>
      </c>
      <c r="Q354" s="165" t="s">
        <v>441</v>
      </c>
      <c r="R354" s="176"/>
      <c r="S354" s="176"/>
      <c r="T354" s="176"/>
      <c r="U354" s="176"/>
      <c r="V354" s="176"/>
      <c r="W354" s="176"/>
      <c r="X354" s="176"/>
      <c r="Y354" s="176"/>
      <c r="Z354" s="176"/>
      <c r="AA354" s="176"/>
    </row>
    <row r="355">
      <c r="A355" s="165" t="str">
        <f>iferror(VLOOKUP(P355,'DO NOT TOUCH Imported'!$A$1:$D$800,4,False),iferror(VLOOKUP(P355,'DO NOT TOUCH Imported'!$C$1:$D$800,2,False),"OOPS FIX ME"))</f>
        <v>AnnaMarieSwan#8824</v>
      </c>
      <c r="B355" s="165" t="s">
        <v>435</v>
      </c>
      <c r="C355" s="170" t="s">
        <v>1058</v>
      </c>
      <c r="D355" s="236" t="s">
        <v>499</v>
      </c>
      <c r="E355" s="239">
        <v>44305.0</v>
      </c>
      <c r="F355" s="170" t="s">
        <v>503</v>
      </c>
      <c r="G355" s="170">
        <v>1000.0</v>
      </c>
      <c r="H355" s="171">
        <v>100.0</v>
      </c>
      <c r="I355" s="171">
        <v>100.0</v>
      </c>
      <c r="J355" s="172">
        <f t="shared" si="14"/>
        <v>0.0010126618</v>
      </c>
      <c r="K355" s="173">
        <f t="shared" si="16"/>
        <v>1.21519416</v>
      </c>
      <c r="L355" s="174">
        <f t="shared" si="4"/>
        <v>8.527564912</v>
      </c>
      <c r="M355" s="175" t="str">
        <f t="shared" si="5"/>
        <v>AnnaMarieSwan#8824</v>
      </c>
      <c r="N355" s="176">
        <f>IFERROR(__xludf.DUMMYFUNCTION("""COMPUTED_VALUE"""),3.0)</f>
        <v>3</v>
      </c>
      <c r="O355" s="176"/>
      <c r="P355" s="165" t="s">
        <v>67</v>
      </c>
      <c r="Q355" s="165" t="s">
        <v>435</v>
      </c>
      <c r="R355" s="176"/>
      <c r="S355" s="176"/>
      <c r="T355" s="176"/>
      <c r="U355" s="176"/>
      <c r="V355" s="176"/>
      <c r="W355" s="176"/>
      <c r="X355" s="176"/>
      <c r="Y355" s="176"/>
      <c r="Z355" s="176"/>
      <c r="AA355" s="176"/>
    </row>
    <row r="356">
      <c r="A356" s="165" t="str">
        <f>iferror(VLOOKUP(P356,'DO NOT TOUCH Imported'!$A$1:$D$800,4,False),iferror(VLOOKUP(P356,'DO NOT TOUCH Imported'!$C$1:$D$800,2,False),"OOPS FIX ME"))</f>
        <v>AnnaMarieSwan#8824</v>
      </c>
      <c r="B356" s="165" t="s">
        <v>490</v>
      </c>
      <c r="C356" s="170" t="s">
        <v>1059</v>
      </c>
      <c r="D356" s="236" t="s">
        <v>437</v>
      </c>
      <c r="E356" s="239">
        <v>44307.0</v>
      </c>
      <c r="F356" s="170" t="s">
        <v>439</v>
      </c>
      <c r="G356" s="170">
        <v>1000.0</v>
      </c>
      <c r="H356" s="171">
        <v>100.0</v>
      </c>
      <c r="I356" s="171">
        <v>100.0</v>
      </c>
      <c r="J356" s="172">
        <f t="shared" si="14"/>
        <v>0.0010126618</v>
      </c>
      <c r="K356" s="173">
        <f t="shared" si="16"/>
        <v>1.21519416</v>
      </c>
      <c r="L356" s="174">
        <f t="shared" si="4"/>
        <v>8.527564912</v>
      </c>
      <c r="M356" s="175" t="str">
        <f t="shared" si="5"/>
        <v>AnnaMarieSwan#8824</v>
      </c>
      <c r="N356" s="176">
        <f>IFERROR(__xludf.DUMMYFUNCTION("""COMPUTED_VALUE"""),4.0)</f>
        <v>4</v>
      </c>
      <c r="O356" s="176"/>
      <c r="P356" s="165" t="s">
        <v>67</v>
      </c>
      <c r="Q356" s="165" t="s">
        <v>490</v>
      </c>
      <c r="R356" s="176"/>
      <c r="S356" s="176"/>
      <c r="T356" s="176"/>
      <c r="U356" s="176"/>
      <c r="V356" s="176"/>
      <c r="W356" s="176"/>
      <c r="X356" s="176"/>
      <c r="Y356" s="176"/>
      <c r="Z356" s="176"/>
      <c r="AA356" s="176"/>
    </row>
    <row r="357">
      <c r="A357" s="165" t="str">
        <f>iferror(VLOOKUP(P357,'DO NOT TOUCH Imported'!$A$1:$D$800,4,False),iferror(VLOOKUP(P357,'DO NOT TOUCH Imported'!$C$1:$D$800,2,False),"OOPS FIX ME"))</f>
        <v>AnnaMarieSwan#8824</v>
      </c>
      <c r="B357" s="165" t="s">
        <v>486</v>
      </c>
      <c r="C357" s="170" t="s">
        <v>1060</v>
      </c>
      <c r="D357" s="236" t="s">
        <v>437</v>
      </c>
      <c r="E357" s="239">
        <v>44301.0</v>
      </c>
      <c r="F357" s="170" t="s">
        <v>439</v>
      </c>
      <c r="G357" s="170">
        <v>1000.0</v>
      </c>
      <c r="H357" s="171">
        <v>100.0</v>
      </c>
      <c r="I357" s="171">
        <v>80.0</v>
      </c>
      <c r="J357" s="172">
        <f t="shared" si="14"/>
        <v>0.0009269003455</v>
      </c>
      <c r="K357" s="173">
        <f t="shared" si="16"/>
        <v>1.112280415</v>
      </c>
      <c r="L357" s="174">
        <f t="shared" si="4"/>
        <v>8.527564912</v>
      </c>
      <c r="M357" s="175" t="str">
        <f t="shared" si="5"/>
        <v>AnnaMarieSwan#8824</v>
      </c>
      <c r="N357" s="176">
        <f>IFERROR(__xludf.DUMMYFUNCTION("""COMPUTED_VALUE"""),5.0)</f>
        <v>5</v>
      </c>
      <c r="O357" s="176"/>
      <c r="P357" s="165" t="s">
        <v>67</v>
      </c>
      <c r="Q357" s="165" t="s">
        <v>486</v>
      </c>
      <c r="R357" s="176"/>
      <c r="S357" s="176"/>
      <c r="T357" s="176"/>
      <c r="U357" s="176"/>
      <c r="V357" s="176"/>
      <c r="W357" s="176"/>
      <c r="X357" s="176"/>
      <c r="Y357" s="176"/>
      <c r="Z357" s="176"/>
      <c r="AA357" s="176"/>
    </row>
    <row r="358">
      <c r="A358" s="165" t="str">
        <f>iferror(VLOOKUP(P358,'DO NOT TOUCH Imported'!$A$1:$D$800,4,False),iferror(VLOOKUP(P358,'DO NOT TOUCH Imported'!$C$1:$D$800,2,False),"OOPS FIX ME"))</f>
        <v>AnnaMarieSwan#8824</v>
      </c>
      <c r="B358" s="165" t="s">
        <v>490</v>
      </c>
      <c r="C358" s="170" t="s">
        <v>914</v>
      </c>
      <c r="D358" s="236" t="s">
        <v>437</v>
      </c>
      <c r="E358" s="237">
        <v>44299.0</v>
      </c>
      <c r="F358" s="170" t="s">
        <v>439</v>
      </c>
      <c r="G358" s="170">
        <v>1000.0</v>
      </c>
      <c r="H358" s="171">
        <v>60.0</v>
      </c>
      <c r="I358" s="171">
        <v>50.0</v>
      </c>
      <c r="J358" s="172">
        <f t="shared" si="14"/>
        <v>0.0006238180076</v>
      </c>
      <c r="K358" s="173">
        <f t="shared" si="16"/>
        <v>0.7485816091</v>
      </c>
      <c r="L358" s="174">
        <f t="shared" si="4"/>
        <v>8.527564912</v>
      </c>
      <c r="M358" s="175" t="str">
        <f t="shared" si="5"/>
        <v>AnnaMarieSwan#8824</v>
      </c>
      <c r="N358" s="176">
        <f>IFERROR(__xludf.DUMMYFUNCTION("""COMPUTED_VALUE"""),6.0)</f>
        <v>6</v>
      </c>
      <c r="O358" s="176"/>
      <c r="P358" s="165" t="s">
        <v>67</v>
      </c>
      <c r="Q358" s="165" t="s">
        <v>490</v>
      </c>
      <c r="R358" s="176"/>
      <c r="S358" s="176"/>
      <c r="T358" s="176"/>
      <c r="U358" s="176"/>
      <c r="V358" s="176"/>
      <c r="W358" s="176"/>
      <c r="X358" s="176"/>
      <c r="Y358" s="176"/>
      <c r="Z358" s="176"/>
      <c r="AA358" s="176"/>
    </row>
    <row r="359">
      <c r="A359" s="165" t="str">
        <f>iferror(VLOOKUP(P359,'DO NOT TOUCH Imported'!$A$1:$D$800,4,False),iferror(VLOOKUP(P359,'DO NOT TOUCH Imported'!$C$1:$D$800,2,False),"OOPS FIX ME"))</f>
        <v>AnnaMarieSwan#8824</v>
      </c>
      <c r="B359" s="165" t="s">
        <v>441</v>
      </c>
      <c r="C359" s="170" t="s">
        <v>918</v>
      </c>
      <c r="D359" s="236" t="s">
        <v>437</v>
      </c>
      <c r="E359" s="239">
        <v>44302.0</v>
      </c>
      <c r="F359" s="170" t="s">
        <v>439</v>
      </c>
      <c r="G359" s="170">
        <v>1000.0</v>
      </c>
      <c r="H359" s="171">
        <v>60.0</v>
      </c>
      <c r="I359" s="171">
        <v>50.0</v>
      </c>
      <c r="J359" s="172">
        <f t="shared" si="14"/>
        <v>0.0006238180076</v>
      </c>
      <c r="K359" s="173">
        <f t="shared" si="16"/>
        <v>0.7485816091</v>
      </c>
      <c r="L359" s="174">
        <f t="shared" si="4"/>
        <v>8.527564912</v>
      </c>
      <c r="M359" s="175" t="str">
        <f t="shared" si="5"/>
        <v>AnnaMarieSwan#8824</v>
      </c>
      <c r="N359" s="176">
        <f>IFERROR(__xludf.DUMMYFUNCTION("""COMPUTED_VALUE"""),7.0)</f>
        <v>7</v>
      </c>
      <c r="O359" s="176"/>
      <c r="P359" s="165" t="s">
        <v>67</v>
      </c>
      <c r="Q359" s="165" t="s">
        <v>441</v>
      </c>
      <c r="R359" s="176"/>
      <c r="S359" s="176"/>
      <c r="T359" s="176"/>
      <c r="U359" s="176"/>
      <c r="V359" s="176"/>
      <c r="W359" s="176"/>
      <c r="X359" s="176"/>
      <c r="Y359" s="176"/>
      <c r="Z359" s="176"/>
      <c r="AA359" s="176"/>
    </row>
    <row r="360">
      <c r="A360" s="165" t="str">
        <f>iferror(VLOOKUP(P360,'DO NOT TOUCH Imported'!$A$1:$D$800,4,False),iferror(VLOOKUP(P360,'DO NOT TOUCH Imported'!$C$1:$D$800,2,False),"OOPS FIX ME"))</f>
        <v>AnnaMarieSwan#8824</v>
      </c>
      <c r="B360" s="165" t="s">
        <v>441</v>
      </c>
      <c r="C360" s="170" t="s">
        <v>1006</v>
      </c>
      <c r="D360" s="236" t="s">
        <v>499</v>
      </c>
      <c r="E360" s="239">
        <v>44309.0</v>
      </c>
      <c r="F360" s="170" t="s">
        <v>503</v>
      </c>
      <c r="G360" s="170">
        <v>500.0</v>
      </c>
      <c r="H360" s="171">
        <v>25.0</v>
      </c>
      <c r="I360" s="171">
        <v>25.0</v>
      </c>
      <c r="J360" s="172">
        <f t="shared" si="14"/>
        <v>0.0002901039843</v>
      </c>
      <c r="K360" s="173">
        <f t="shared" si="16"/>
        <v>0.3481247811</v>
      </c>
      <c r="L360" s="174">
        <f t="shared" si="4"/>
        <v>8.527564912</v>
      </c>
      <c r="M360" s="175" t="str">
        <f t="shared" si="5"/>
        <v>AnnaMarieSwan#8824</v>
      </c>
      <c r="N360" s="176">
        <f>IFERROR(__xludf.DUMMYFUNCTION("""COMPUTED_VALUE"""),8.0)</f>
        <v>8</v>
      </c>
      <c r="O360" s="176"/>
      <c r="P360" s="165" t="s">
        <v>67</v>
      </c>
      <c r="Q360" s="165" t="s">
        <v>441</v>
      </c>
      <c r="R360" s="176"/>
      <c r="S360" s="176"/>
      <c r="T360" s="176"/>
      <c r="U360" s="176"/>
      <c r="V360" s="176"/>
      <c r="W360" s="176"/>
      <c r="X360" s="176"/>
      <c r="Y360" s="176"/>
      <c r="Z360" s="176"/>
      <c r="AA360" s="176"/>
    </row>
    <row r="361">
      <c r="A361" s="165" t="str">
        <f>iferror(VLOOKUP(P361,'DO NOT TOUCH Imported'!$A$1:$D$800,4,False),iferror(VLOOKUP(P361,'DO NOT TOUCH Imported'!$C$1:$D$800,2,False),"OOPS FIX ME"))</f>
        <v>MerlinEgalite</v>
      </c>
      <c r="B361" s="165" t="s">
        <v>43</v>
      </c>
      <c r="C361" s="170" t="s">
        <v>1061</v>
      </c>
      <c r="D361" s="236" t="s">
        <v>495</v>
      </c>
      <c r="E361" s="239">
        <v>44299.0</v>
      </c>
      <c r="F361" s="170" t="s">
        <v>496</v>
      </c>
      <c r="G361" s="170">
        <v>20000.0</v>
      </c>
      <c r="H361" s="171">
        <v>100.0</v>
      </c>
      <c r="I361" s="171">
        <v>150.0</v>
      </c>
      <c r="J361" s="172">
        <f t="shared" si="14"/>
        <v>0.004034394041</v>
      </c>
      <c r="K361" s="173">
        <f t="shared" si="16"/>
        <v>4.84127285</v>
      </c>
      <c r="L361" s="174">
        <f t="shared" si="4"/>
        <v>8.419767569</v>
      </c>
      <c r="M361" s="175" t="str">
        <f t="shared" si="5"/>
        <v>MerlinEgalite</v>
      </c>
      <c r="N361" s="176">
        <f>IFERROR(__xludf.DUMMYFUNCTION("""COMPUTED_VALUE"""),1.0)</f>
        <v>1</v>
      </c>
      <c r="O361" s="176"/>
      <c r="P361" s="165" t="s">
        <v>27</v>
      </c>
      <c r="Q361" s="165" t="s">
        <v>43</v>
      </c>
      <c r="R361" s="176"/>
      <c r="S361" s="176"/>
      <c r="T361" s="176"/>
      <c r="U361" s="176"/>
      <c r="V361" s="176"/>
      <c r="W361" s="176"/>
      <c r="X361" s="176"/>
      <c r="Y361" s="176"/>
      <c r="Z361" s="176"/>
      <c r="AA361" s="176"/>
    </row>
    <row r="362">
      <c r="A362" s="165" t="str">
        <f>iferror(VLOOKUP(P362,'DO NOT TOUCH Imported'!$A$1:$D$800,4,False),iferror(VLOOKUP(P362,'DO NOT TOUCH Imported'!$C$1:$D$800,2,False),"OOPS FIX ME"))</f>
        <v>MerlinEgalite</v>
      </c>
      <c r="B362" s="165" t="s">
        <v>441</v>
      </c>
      <c r="C362" s="170" t="s">
        <v>1041</v>
      </c>
      <c r="D362" s="236" t="s">
        <v>437</v>
      </c>
      <c r="E362" s="237">
        <v>44302.0</v>
      </c>
      <c r="F362" s="170" t="s">
        <v>439</v>
      </c>
      <c r="G362" s="170">
        <v>5000.0</v>
      </c>
      <c r="H362" s="171">
        <v>50.0</v>
      </c>
      <c r="I362" s="171">
        <v>150.0</v>
      </c>
      <c r="J362" s="172">
        <f t="shared" si="14"/>
        <v>0.00160003179</v>
      </c>
      <c r="K362" s="173">
        <f t="shared" si="16"/>
        <v>1.920038148</v>
      </c>
      <c r="L362" s="174">
        <f t="shared" si="4"/>
        <v>8.419767569</v>
      </c>
      <c r="M362" s="175" t="str">
        <f t="shared" si="5"/>
        <v>MerlinEgalite</v>
      </c>
      <c r="N362" s="176">
        <f>IFERROR(__xludf.DUMMYFUNCTION("""COMPUTED_VALUE"""),2.0)</f>
        <v>2</v>
      </c>
      <c r="O362" s="176"/>
      <c r="P362" s="165" t="s">
        <v>1062</v>
      </c>
      <c r="Q362" s="165" t="s">
        <v>441</v>
      </c>
      <c r="R362" s="176"/>
      <c r="S362" s="176"/>
      <c r="T362" s="176"/>
      <c r="U362" s="176"/>
      <c r="V362" s="176"/>
      <c r="W362" s="176"/>
      <c r="X362" s="176"/>
      <c r="Y362" s="176"/>
      <c r="Z362" s="176"/>
      <c r="AA362" s="176"/>
    </row>
    <row r="363">
      <c r="A363" s="165" t="str">
        <f>iferror(VLOOKUP(P363,'DO NOT TOUCH Imported'!$A$1:$D$800,4,False),iferror(VLOOKUP(P363,'DO NOT TOUCH Imported'!$C$1:$D$800,2,False),"OOPS FIX ME"))</f>
        <v>MerlinEgalite</v>
      </c>
      <c r="B363" s="165" t="s">
        <v>519</v>
      </c>
      <c r="C363" s="170" t="s">
        <v>668</v>
      </c>
      <c r="D363" s="236" t="s">
        <v>495</v>
      </c>
      <c r="E363" s="239">
        <v>44307.0</v>
      </c>
      <c r="F363" s="170" t="s">
        <v>521</v>
      </c>
      <c r="G363" s="170">
        <v>2500.0</v>
      </c>
      <c r="H363" s="171">
        <v>50.0</v>
      </c>
      <c r="I363" s="171">
        <v>50.0</v>
      </c>
      <c r="J363" s="172">
        <f t="shared" si="14"/>
        <v>0.0008018391742</v>
      </c>
      <c r="K363" s="173">
        <f t="shared" si="16"/>
        <v>0.9622070091</v>
      </c>
      <c r="L363" s="174">
        <f t="shared" si="4"/>
        <v>8.419767569</v>
      </c>
      <c r="M363" s="175" t="str">
        <f t="shared" si="5"/>
        <v>MerlinEgalite</v>
      </c>
      <c r="N363" s="176">
        <f>IFERROR(__xludf.DUMMYFUNCTION("""COMPUTED_VALUE"""),3.0)</f>
        <v>3</v>
      </c>
      <c r="O363" s="176"/>
      <c r="P363" s="165" t="s">
        <v>27</v>
      </c>
      <c r="Q363" s="165" t="s">
        <v>519</v>
      </c>
      <c r="R363" s="176"/>
      <c r="S363" s="176"/>
      <c r="T363" s="176"/>
      <c r="U363" s="176"/>
      <c r="V363" s="176"/>
      <c r="W363" s="176"/>
      <c r="X363" s="176"/>
      <c r="Y363" s="176"/>
      <c r="Z363" s="176"/>
      <c r="AA363" s="176"/>
    </row>
    <row r="364">
      <c r="A364" s="165" t="str">
        <f>iferror(VLOOKUP(P364,'DO NOT TOUCH Imported'!$A$1:$D$800,4,False),iferror(VLOOKUP(P364,'DO NOT TOUCH Imported'!$C$1:$D$800,2,False),"OOPS FIX ME"))</f>
        <v>MerlinEgalite</v>
      </c>
      <c r="B364" s="165" t="s">
        <v>10</v>
      </c>
      <c r="C364" s="170" t="s">
        <v>498</v>
      </c>
      <c r="D364" s="236" t="s">
        <v>495</v>
      </c>
      <c r="E364" s="237">
        <v>44302.0</v>
      </c>
      <c r="F364" s="170" t="s">
        <v>499</v>
      </c>
      <c r="G364" s="170">
        <v>500.0</v>
      </c>
      <c r="H364" s="171">
        <v>25.0</v>
      </c>
      <c r="I364" s="171">
        <v>25.0</v>
      </c>
      <c r="J364" s="172">
        <f t="shared" si="14"/>
        <v>0.0002901039843</v>
      </c>
      <c r="K364" s="173">
        <f t="shared" si="16"/>
        <v>0.3481247811</v>
      </c>
      <c r="L364" s="174">
        <f t="shared" si="4"/>
        <v>8.419767569</v>
      </c>
      <c r="M364" s="175" t="str">
        <f t="shared" si="5"/>
        <v>MerlinEgalite</v>
      </c>
      <c r="N364" s="176">
        <f>IFERROR(__xludf.DUMMYFUNCTION("""COMPUTED_VALUE"""),4.0)</f>
        <v>4</v>
      </c>
      <c r="O364" s="176"/>
      <c r="P364" s="165" t="s">
        <v>27</v>
      </c>
      <c r="Q364" s="165" t="s">
        <v>10</v>
      </c>
      <c r="R364" s="176"/>
      <c r="S364" s="176"/>
      <c r="T364" s="176"/>
      <c r="U364" s="176"/>
      <c r="V364" s="176"/>
      <c r="W364" s="176"/>
      <c r="X364" s="176"/>
      <c r="Y364" s="176"/>
      <c r="Z364" s="176"/>
      <c r="AA364" s="176"/>
    </row>
    <row r="365">
      <c r="A365" s="165" t="str">
        <f>iferror(VLOOKUP(P365,'DO NOT TOUCH Imported'!$A$1:$D$800,4,False),iferror(VLOOKUP(P365,'DO NOT TOUCH Imported'!$C$1:$D$800,2,False),"OOPS FIX ME"))</f>
        <v>MerlinEgalite</v>
      </c>
      <c r="B365" s="165" t="s">
        <v>10</v>
      </c>
      <c r="C365" s="170" t="s">
        <v>498</v>
      </c>
      <c r="D365" s="236" t="s">
        <v>495</v>
      </c>
      <c r="E365" s="237">
        <v>44309.0</v>
      </c>
      <c r="F365" s="170" t="s">
        <v>499</v>
      </c>
      <c r="G365" s="170">
        <v>500.0</v>
      </c>
      <c r="H365" s="171">
        <v>25.0</v>
      </c>
      <c r="I365" s="171">
        <v>25.0</v>
      </c>
      <c r="J365" s="172">
        <f t="shared" si="14"/>
        <v>0.0002901039843</v>
      </c>
      <c r="K365" s="173">
        <f t="shared" si="16"/>
        <v>0.3481247811</v>
      </c>
      <c r="L365" s="174">
        <f t="shared" si="4"/>
        <v>8.419767569</v>
      </c>
      <c r="M365" s="175" t="str">
        <f t="shared" si="5"/>
        <v>MerlinEgalite</v>
      </c>
      <c r="N365" s="176">
        <f>IFERROR(__xludf.DUMMYFUNCTION("""COMPUTED_VALUE"""),5.0)</f>
        <v>5</v>
      </c>
      <c r="O365" s="176"/>
      <c r="P365" s="165" t="s">
        <v>27</v>
      </c>
      <c r="Q365" s="165" t="s">
        <v>10</v>
      </c>
      <c r="R365" s="176"/>
      <c r="S365" s="176"/>
      <c r="T365" s="176"/>
      <c r="U365" s="176"/>
      <c r="V365" s="176"/>
      <c r="W365" s="176"/>
      <c r="X365" s="176"/>
      <c r="Y365" s="176"/>
      <c r="Z365" s="176"/>
      <c r="AA365" s="176"/>
    </row>
    <row r="366">
      <c r="A366" s="165" t="str">
        <f>iferror(VLOOKUP(P366,'DO NOT TOUCH Imported'!$A$1:$D$800,4,False),iferror(VLOOKUP(P366,'DO NOT TOUCH Imported'!$C$1:$D$800,2,False),"OOPS FIX ME"))</f>
        <v>danlessa</v>
      </c>
      <c r="B366" s="165" t="s">
        <v>519</v>
      </c>
      <c r="C366" s="170" t="s">
        <v>927</v>
      </c>
      <c r="D366" s="236" t="s">
        <v>495</v>
      </c>
      <c r="E366" s="237">
        <v>44300.0</v>
      </c>
      <c r="F366" s="170" t="s">
        <v>499</v>
      </c>
      <c r="G366" s="170">
        <v>5000.0</v>
      </c>
      <c r="H366" s="171">
        <v>200.0</v>
      </c>
      <c r="I366" s="171">
        <v>250.0</v>
      </c>
      <c r="J366" s="172">
        <f t="shared" si="14"/>
        <v>0.002682989648</v>
      </c>
      <c r="K366" s="173">
        <f t="shared" si="16"/>
        <v>3.219587577</v>
      </c>
      <c r="L366" s="174">
        <f t="shared" si="4"/>
        <v>8.332217717</v>
      </c>
      <c r="M366" s="175" t="str">
        <f t="shared" si="5"/>
        <v>danlessa</v>
      </c>
      <c r="N366" s="176">
        <f>IFERROR(__xludf.DUMMYFUNCTION("""COMPUTED_VALUE"""),1.0)</f>
        <v>1</v>
      </c>
      <c r="O366" s="176"/>
      <c r="P366" s="165" t="s">
        <v>24</v>
      </c>
      <c r="Q366" s="165" t="s">
        <v>519</v>
      </c>
      <c r="R366" s="176"/>
      <c r="S366" s="176"/>
      <c r="T366" s="176"/>
      <c r="U366" s="176"/>
      <c r="V366" s="176"/>
      <c r="W366" s="176"/>
      <c r="X366" s="176"/>
      <c r="Y366" s="176"/>
      <c r="Z366" s="176"/>
      <c r="AA366" s="176"/>
    </row>
    <row r="367">
      <c r="A367" s="165" t="str">
        <f>iferror(VLOOKUP(P367,'DO NOT TOUCH Imported'!$A$1:$D$800,4,False),iferror(VLOOKUP(P367,'DO NOT TOUCH Imported'!$C$1:$D$800,2,False),"OOPS FIX ME"))</f>
        <v>danlessa</v>
      </c>
      <c r="B367" s="165" t="s">
        <v>566</v>
      </c>
      <c r="C367" s="170" t="s">
        <v>1063</v>
      </c>
      <c r="D367" s="236" t="s">
        <v>499</v>
      </c>
      <c r="E367" s="239">
        <v>44305.0</v>
      </c>
      <c r="F367" s="170" t="s">
        <v>503</v>
      </c>
      <c r="G367" s="170">
        <v>1000.0</v>
      </c>
      <c r="H367" s="171">
        <v>200.0</v>
      </c>
      <c r="I367" s="171">
        <v>100.0</v>
      </c>
      <c r="J367" s="172">
        <f t="shared" si="14"/>
        <v>0.00144876219</v>
      </c>
      <c r="K367" s="173">
        <f t="shared" si="16"/>
        <v>1.738514628</v>
      </c>
      <c r="L367" s="174">
        <f t="shared" si="4"/>
        <v>8.332217717</v>
      </c>
      <c r="M367" s="175" t="str">
        <f t="shared" si="5"/>
        <v>danlessa</v>
      </c>
      <c r="N367" s="176">
        <f>IFERROR(__xludf.DUMMYFUNCTION("""COMPUTED_VALUE"""),2.0)</f>
        <v>2</v>
      </c>
      <c r="O367" s="176"/>
      <c r="P367" s="165" t="s">
        <v>657</v>
      </c>
      <c r="Q367" s="165" t="s">
        <v>566</v>
      </c>
      <c r="R367" s="176"/>
      <c r="S367" s="176"/>
      <c r="T367" s="176"/>
      <c r="U367" s="176"/>
      <c r="V367" s="176"/>
      <c r="W367" s="176"/>
      <c r="X367" s="176"/>
      <c r="Y367" s="176"/>
      <c r="Z367" s="176"/>
      <c r="AA367" s="176"/>
    </row>
    <row r="368">
      <c r="A368" s="165" t="str">
        <f>iferror(VLOOKUP(P368,'DO NOT TOUCH Imported'!$A$1:$D$800,4,False),iferror(VLOOKUP(P368,'DO NOT TOUCH Imported'!$C$1:$D$800,2,False),"OOPS FIX ME"))</f>
        <v>danlessa</v>
      </c>
      <c r="B368" s="165" t="s">
        <v>768</v>
      </c>
      <c r="C368" s="170" t="s">
        <v>1064</v>
      </c>
      <c r="D368" s="236" t="s">
        <v>499</v>
      </c>
      <c r="E368" s="239">
        <v>44305.0</v>
      </c>
      <c r="F368" s="170" t="s">
        <v>503</v>
      </c>
      <c r="G368" s="170">
        <v>1000.0</v>
      </c>
      <c r="H368" s="171">
        <v>200.0</v>
      </c>
      <c r="I368" s="171">
        <v>100.0</v>
      </c>
      <c r="J368" s="172">
        <f t="shared" si="14"/>
        <v>0.00144876219</v>
      </c>
      <c r="K368" s="173">
        <f t="shared" si="16"/>
        <v>1.738514628</v>
      </c>
      <c r="L368" s="174">
        <f t="shared" si="4"/>
        <v>8.332217717</v>
      </c>
      <c r="M368" s="175" t="str">
        <f t="shared" si="5"/>
        <v>danlessa</v>
      </c>
      <c r="N368" s="176">
        <f>IFERROR(__xludf.DUMMYFUNCTION("""COMPUTED_VALUE"""),3.0)</f>
        <v>3</v>
      </c>
      <c r="O368" s="176"/>
      <c r="P368" s="165" t="s">
        <v>659</v>
      </c>
      <c r="Q368" s="165" t="s">
        <v>768</v>
      </c>
      <c r="R368" s="176"/>
      <c r="S368" s="176"/>
      <c r="T368" s="176"/>
      <c r="U368" s="176"/>
      <c r="V368" s="176"/>
      <c r="W368" s="176"/>
      <c r="X368" s="176"/>
      <c r="Y368" s="176"/>
      <c r="Z368" s="176"/>
      <c r="AA368" s="176"/>
    </row>
    <row r="369">
      <c r="A369" s="165" t="str">
        <f>iferror(VLOOKUP(P369,'DO NOT TOUCH Imported'!$A$1:$D$800,4,False),iferror(VLOOKUP(P369,'DO NOT TOUCH Imported'!$C$1:$D$800,2,False),"OOPS FIX ME"))</f>
        <v>danlessa</v>
      </c>
      <c r="B369" s="165" t="s">
        <v>450</v>
      </c>
      <c r="C369" s="170" t="s">
        <v>1065</v>
      </c>
      <c r="D369" s="236" t="s">
        <v>499</v>
      </c>
      <c r="E369" s="237">
        <v>44305.0</v>
      </c>
      <c r="F369" s="170" t="s">
        <v>503</v>
      </c>
      <c r="G369" s="170">
        <v>1000.0</v>
      </c>
      <c r="H369" s="171">
        <v>200.0</v>
      </c>
      <c r="I369" s="171">
        <v>80.0</v>
      </c>
      <c r="J369" s="172">
        <f t="shared" si="14"/>
        <v>0.001363000736</v>
      </c>
      <c r="K369" s="173">
        <f t="shared" si="16"/>
        <v>1.635600883</v>
      </c>
      <c r="L369" s="174">
        <f t="shared" si="4"/>
        <v>8.332217717</v>
      </c>
      <c r="M369" s="175" t="str">
        <f t="shared" si="5"/>
        <v>danlessa</v>
      </c>
      <c r="N369" s="176">
        <f>IFERROR(__xludf.DUMMYFUNCTION("""COMPUTED_VALUE"""),4.0)</f>
        <v>4</v>
      </c>
      <c r="O369" s="176"/>
      <c r="P369" s="165" t="s">
        <v>659</v>
      </c>
      <c r="Q369" s="165" t="s">
        <v>450</v>
      </c>
      <c r="R369" s="176"/>
      <c r="S369" s="176"/>
      <c r="T369" s="176"/>
      <c r="U369" s="176"/>
      <c r="V369" s="176"/>
      <c r="W369" s="176"/>
      <c r="X369" s="176"/>
      <c r="Y369" s="176"/>
      <c r="Z369" s="176"/>
      <c r="AA369" s="176"/>
    </row>
    <row r="370">
      <c r="A370" s="185" t="str">
        <f>iferror(VLOOKUP(P370,'DO NOT TOUCH Imported'!$A$1:$D$800,4,False),iferror(VLOOKUP(P370,'DO NOT TOUCH Imported'!$C$1:$D$800,2,False),"OOPS FIX ME"))</f>
        <v>Krisjones</v>
      </c>
      <c r="B370" s="185" t="s">
        <v>534</v>
      </c>
      <c r="C370" s="228" t="s">
        <v>810</v>
      </c>
      <c r="D370" s="187"/>
      <c r="E370" s="188"/>
      <c r="F370" s="189"/>
      <c r="G370" s="190"/>
      <c r="H370" s="190"/>
      <c r="I370" s="190"/>
      <c r="J370" s="172">
        <f>(H370/$H$2+I370/$I$2)/2</f>
        <v>0</v>
      </c>
      <c r="K370" s="192">
        <f>-0.5*16.621</f>
        <v>-8.3105</v>
      </c>
      <c r="L370" s="193">
        <f t="shared" si="4"/>
        <v>8.310797183</v>
      </c>
      <c r="M370" s="194" t="str">
        <f t="shared" si="5"/>
        <v>Krisjones</v>
      </c>
      <c r="N370" s="195">
        <f>IFERROR(__xludf.DUMMYFUNCTION("""COMPUTED_VALUE"""),1.0)</f>
        <v>1</v>
      </c>
      <c r="O370" s="195"/>
      <c r="P370" s="185" t="s">
        <v>59</v>
      </c>
      <c r="Q370" s="185" t="s">
        <v>534</v>
      </c>
      <c r="R370" s="195">
        <v>14.561258630642886</v>
      </c>
      <c r="S370" s="195"/>
      <c r="T370" s="195"/>
      <c r="U370" s="195"/>
      <c r="V370" s="195"/>
      <c r="W370" s="195"/>
      <c r="X370" s="195"/>
      <c r="Y370" s="195"/>
      <c r="Z370" s="195"/>
      <c r="AA370" s="176"/>
    </row>
    <row r="371">
      <c r="A371" s="165" t="str">
        <f>iferror(VLOOKUP(P371,'DO NOT TOUCH Imported'!$A$1:$D$800,4,False),iferror(VLOOKUP(P371,'DO NOT TOUCH Imported'!$C$1:$D$800,2,False),"OOPS FIX ME"))</f>
        <v>Krisjones</v>
      </c>
      <c r="B371" s="165" t="s">
        <v>443</v>
      </c>
      <c r="C371" s="170" t="s">
        <v>890</v>
      </c>
      <c r="D371" s="236" t="s">
        <v>437</v>
      </c>
      <c r="E371" s="237">
        <v>44310.0</v>
      </c>
      <c r="F371" s="170" t="s">
        <v>439</v>
      </c>
      <c r="G371" s="170">
        <v>5000.0</v>
      </c>
      <c r="H371" s="171">
        <v>100.0</v>
      </c>
      <c r="I371" s="171">
        <v>100.0</v>
      </c>
      <c r="J371" s="172">
        <f t="shared" ref="J371:J377" si="17">(G371/$G$2+H371/$H$2+I371/$I$2)/3</f>
        <v>0.001603678348</v>
      </c>
      <c r="K371" s="173">
        <f t="shared" ref="K371:K377" si="18">J371*$J$1</f>
        <v>1.924414018</v>
      </c>
      <c r="L371" s="174">
        <f t="shared" si="4"/>
        <v>8.310797183</v>
      </c>
      <c r="M371" s="175" t="str">
        <f t="shared" si="5"/>
        <v>Krisjones</v>
      </c>
      <c r="N371" s="176">
        <f>IFERROR(__xludf.DUMMYFUNCTION("""COMPUTED_VALUE"""),2.0)</f>
        <v>2</v>
      </c>
      <c r="O371" s="176"/>
      <c r="P371" s="165" t="s">
        <v>530</v>
      </c>
      <c r="Q371" s="165" t="s">
        <v>443</v>
      </c>
      <c r="R371" s="176"/>
      <c r="S371" s="176"/>
      <c r="T371" s="176"/>
      <c r="U371" s="176"/>
      <c r="V371" s="176"/>
      <c r="W371" s="176"/>
      <c r="X371" s="176"/>
      <c r="Y371" s="176"/>
      <c r="Z371" s="176"/>
      <c r="AA371" s="176"/>
    </row>
    <row r="372">
      <c r="A372" s="165" t="str">
        <f>iferror(VLOOKUP(P372,'DO NOT TOUCH Imported'!$A$1:$D$800,4,False),iferror(VLOOKUP(P372,'DO NOT TOUCH Imported'!$C$1:$D$800,2,False),"OOPS FIX ME"))</f>
        <v>Krisjones</v>
      </c>
      <c r="B372" s="165" t="s">
        <v>237</v>
      </c>
      <c r="C372" s="170" t="s">
        <v>1066</v>
      </c>
      <c r="D372" s="236" t="s">
        <v>499</v>
      </c>
      <c r="E372" s="237">
        <v>44300.0</v>
      </c>
      <c r="F372" s="170" t="s">
        <v>503</v>
      </c>
      <c r="G372" s="170">
        <v>1000.0</v>
      </c>
      <c r="H372" s="171">
        <v>100.0</v>
      </c>
      <c r="I372" s="171">
        <v>100.0</v>
      </c>
      <c r="J372" s="172">
        <f t="shared" si="17"/>
        <v>0.0010126618</v>
      </c>
      <c r="K372" s="173">
        <f t="shared" si="18"/>
        <v>1.21519416</v>
      </c>
      <c r="L372" s="174">
        <f t="shared" si="4"/>
        <v>8.310797183</v>
      </c>
      <c r="M372" s="175" t="str">
        <f t="shared" si="5"/>
        <v>Krisjones</v>
      </c>
      <c r="N372" s="176">
        <f>IFERROR(__xludf.DUMMYFUNCTION("""COMPUTED_VALUE"""),3.0)</f>
        <v>3</v>
      </c>
      <c r="O372" s="176"/>
      <c r="P372" s="165" t="s">
        <v>530</v>
      </c>
      <c r="Q372" s="165" t="s">
        <v>237</v>
      </c>
      <c r="R372" s="176"/>
      <c r="S372" s="176"/>
      <c r="T372" s="176"/>
      <c r="U372" s="176"/>
      <c r="V372" s="176"/>
      <c r="W372" s="176"/>
      <c r="X372" s="176"/>
      <c r="Y372" s="176"/>
      <c r="Z372" s="176"/>
      <c r="AA372" s="176"/>
    </row>
    <row r="373">
      <c r="A373" s="165" t="str">
        <f>iferror(VLOOKUP(P373,'DO NOT TOUCH Imported'!$A$1:$D$800,4,False),iferror(VLOOKUP(P373,'DO NOT TOUCH Imported'!$C$1:$D$800,2,False),"OOPS FIX ME"))</f>
        <v>Krisjones</v>
      </c>
      <c r="B373" s="165" t="s">
        <v>435</v>
      </c>
      <c r="C373" s="170" t="s">
        <v>974</v>
      </c>
      <c r="D373" s="236" t="s">
        <v>499</v>
      </c>
      <c r="E373" s="237">
        <v>44305.0</v>
      </c>
      <c r="F373" s="170" t="s">
        <v>503</v>
      </c>
      <c r="G373" s="170">
        <v>1000.0</v>
      </c>
      <c r="H373" s="171">
        <v>100.0</v>
      </c>
      <c r="I373" s="171">
        <v>100.0</v>
      </c>
      <c r="J373" s="172">
        <f t="shared" si="17"/>
        <v>0.0010126618</v>
      </c>
      <c r="K373" s="173">
        <f t="shared" si="18"/>
        <v>1.21519416</v>
      </c>
      <c r="L373" s="174">
        <f t="shared" si="4"/>
        <v>8.310797183</v>
      </c>
      <c r="M373" s="175" t="str">
        <f t="shared" si="5"/>
        <v>Krisjones</v>
      </c>
      <c r="N373" s="176">
        <f>IFERROR(__xludf.DUMMYFUNCTION("""COMPUTED_VALUE"""),4.0)</f>
        <v>4</v>
      </c>
      <c r="O373" s="176"/>
      <c r="P373" s="165" t="s">
        <v>530</v>
      </c>
      <c r="Q373" s="165" t="s">
        <v>435</v>
      </c>
      <c r="R373" s="176"/>
      <c r="S373" s="176"/>
      <c r="T373" s="176"/>
      <c r="U373" s="176"/>
      <c r="V373" s="176"/>
      <c r="W373" s="176"/>
      <c r="X373" s="176"/>
      <c r="Y373" s="176"/>
      <c r="Z373" s="176"/>
      <c r="AA373" s="176"/>
    </row>
    <row r="374">
      <c r="A374" s="165" t="str">
        <f>iferror(VLOOKUP(P374,'DO NOT TOUCH Imported'!$A$1:$D$800,4,False),iferror(VLOOKUP(P374,'DO NOT TOUCH Imported'!$C$1:$D$800,2,False),"OOPS FIX ME"))</f>
        <v>Krisjones</v>
      </c>
      <c r="B374" s="165" t="s">
        <v>20</v>
      </c>
      <c r="C374" s="170" t="s">
        <v>904</v>
      </c>
      <c r="D374" s="236" t="s">
        <v>437</v>
      </c>
      <c r="E374" s="237">
        <v>44310.0</v>
      </c>
      <c r="F374" s="170" t="s">
        <v>439</v>
      </c>
      <c r="G374" s="170">
        <v>1000.0</v>
      </c>
      <c r="H374" s="171">
        <v>100.0</v>
      </c>
      <c r="I374" s="171">
        <v>80.0</v>
      </c>
      <c r="J374" s="172">
        <f t="shared" si="17"/>
        <v>0.0009269003455</v>
      </c>
      <c r="K374" s="173">
        <f t="shared" si="18"/>
        <v>1.112280415</v>
      </c>
      <c r="L374" s="174">
        <f t="shared" si="4"/>
        <v>8.310797183</v>
      </c>
      <c r="M374" s="175" t="str">
        <f t="shared" si="5"/>
        <v>Krisjones</v>
      </c>
      <c r="N374" s="176">
        <f>IFERROR(__xludf.DUMMYFUNCTION("""COMPUTED_VALUE"""),5.0)</f>
        <v>5</v>
      </c>
      <c r="O374" s="176"/>
      <c r="P374" s="165" t="s">
        <v>530</v>
      </c>
      <c r="Q374" s="165" t="s">
        <v>20</v>
      </c>
      <c r="R374" s="176"/>
      <c r="S374" s="176"/>
      <c r="T374" s="176"/>
      <c r="U374" s="176"/>
      <c r="V374" s="176"/>
      <c r="W374" s="176"/>
      <c r="X374" s="176"/>
      <c r="Y374" s="176"/>
      <c r="Z374" s="176"/>
      <c r="AA374" s="176"/>
    </row>
    <row r="375">
      <c r="A375" s="165" t="str">
        <f>iferror(VLOOKUP(P375,'DO NOT TOUCH Imported'!$A$1:$D$800,4,False),iferror(VLOOKUP(P375,'DO NOT TOUCH Imported'!$C$1:$D$800,2,False),"OOPS FIX ME"))</f>
        <v>Krisjones</v>
      </c>
      <c r="B375" s="165" t="s">
        <v>768</v>
      </c>
      <c r="C375" s="170" t="s">
        <v>1047</v>
      </c>
      <c r="D375" s="236" t="s">
        <v>499</v>
      </c>
      <c r="E375" s="237">
        <v>44306.0</v>
      </c>
      <c r="F375" s="170" t="s">
        <v>503</v>
      </c>
      <c r="G375" s="170">
        <v>50000.0</v>
      </c>
      <c r="H375" s="171">
        <v>100.0</v>
      </c>
      <c r="I375" s="171">
        <v>80.0</v>
      </c>
      <c r="J375" s="172">
        <f t="shared" si="17"/>
        <v>0.008166853064</v>
      </c>
      <c r="K375" s="173">
        <f t="shared" si="18"/>
        <v>9.800223677</v>
      </c>
      <c r="L375" s="174">
        <f t="shared" si="4"/>
        <v>8.310797183</v>
      </c>
      <c r="M375" s="175" t="str">
        <f t="shared" si="5"/>
        <v>Krisjones</v>
      </c>
      <c r="N375" s="176">
        <f>IFERROR(__xludf.DUMMYFUNCTION("""COMPUTED_VALUE"""),6.0)</f>
        <v>6</v>
      </c>
      <c r="O375" s="176"/>
      <c r="P375" s="165" t="s">
        <v>530</v>
      </c>
      <c r="Q375" s="165" t="s">
        <v>768</v>
      </c>
      <c r="R375" s="176"/>
      <c r="S375" s="176"/>
      <c r="T375" s="176"/>
      <c r="U375" s="176"/>
      <c r="V375" s="176"/>
      <c r="W375" s="176"/>
      <c r="X375" s="176"/>
      <c r="Y375" s="176"/>
      <c r="Z375" s="176"/>
      <c r="AA375" s="176"/>
    </row>
    <row r="376">
      <c r="A376" s="165" t="str">
        <f>iferror(VLOOKUP(P376,'DO NOT TOUCH Imported'!$A$1:$D$800,4,False),iferror(VLOOKUP(P376,'DO NOT TOUCH Imported'!$C$1:$D$800,2,False),"OOPS FIX ME"))</f>
        <v>Krisjones</v>
      </c>
      <c r="B376" s="165" t="s">
        <v>441</v>
      </c>
      <c r="C376" s="170" t="s">
        <v>905</v>
      </c>
      <c r="D376" s="236" t="s">
        <v>437</v>
      </c>
      <c r="E376" s="237">
        <v>44296.0</v>
      </c>
      <c r="F376" s="170" t="s">
        <v>439</v>
      </c>
      <c r="G376" s="170">
        <v>1000.0</v>
      </c>
      <c r="H376" s="171">
        <v>60.0</v>
      </c>
      <c r="I376" s="171">
        <v>100.0</v>
      </c>
      <c r="J376" s="172">
        <f t="shared" si="17"/>
        <v>0.0008382216439</v>
      </c>
      <c r="K376" s="173">
        <f t="shared" si="18"/>
        <v>1.005865973</v>
      </c>
      <c r="L376" s="174">
        <f t="shared" si="4"/>
        <v>8.310797183</v>
      </c>
      <c r="M376" s="175" t="str">
        <f t="shared" si="5"/>
        <v>Krisjones</v>
      </c>
      <c r="N376" s="176">
        <f>IFERROR(__xludf.DUMMYFUNCTION("""COMPUTED_VALUE"""),7.0)</f>
        <v>7</v>
      </c>
      <c r="O376" s="176"/>
      <c r="P376" s="165" t="s">
        <v>530</v>
      </c>
      <c r="Q376" s="165" t="s">
        <v>441</v>
      </c>
      <c r="R376" s="176"/>
      <c r="S376" s="176"/>
      <c r="T376" s="176"/>
      <c r="U376" s="176"/>
      <c r="V376" s="176"/>
      <c r="W376" s="176"/>
      <c r="X376" s="176"/>
      <c r="Y376" s="176"/>
      <c r="Z376" s="176"/>
      <c r="AA376" s="176"/>
    </row>
    <row r="377">
      <c r="A377" s="165" t="str">
        <f>iferror(VLOOKUP(P377,'DO NOT TOUCH Imported'!$A$1:$D$800,4,False),iferror(VLOOKUP(P377,'DO NOT TOUCH Imported'!$C$1:$D$800,2,False),"OOPS FIX ME"))</f>
        <v>Krisjones</v>
      </c>
      <c r="B377" s="165" t="s">
        <v>10</v>
      </c>
      <c r="C377" s="170" t="s">
        <v>498</v>
      </c>
      <c r="D377" s="236" t="s">
        <v>495</v>
      </c>
      <c r="E377" s="237">
        <v>44302.0</v>
      </c>
      <c r="F377" s="170" t="s">
        <v>499</v>
      </c>
      <c r="G377" s="170">
        <v>500.0</v>
      </c>
      <c r="H377" s="171">
        <v>25.0</v>
      </c>
      <c r="I377" s="171">
        <v>25.0</v>
      </c>
      <c r="J377" s="172">
        <f t="shared" si="17"/>
        <v>0.0002901039843</v>
      </c>
      <c r="K377" s="173">
        <f t="shared" si="18"/>
        <v>0.3481247811</v>
      </c>
      <c r="L377" s="174">
        <f t="shared" si="4"/>
        <v>8.310797183</v>
      </c>
      <c r="M377" s="175" t="str">
        <f t="shared" si="5"/>
        <v>Krisjones</v>
      </c>
      <c r="N377" s="176">
        <f>IFERROR(__xludf.DUMMYFUNCTION("""COMPUTED_VALUE"""),8.0)</f>
        <v>8</v>
      </c>
      <c r="O377" s="176"/>
      <c r="P377" s="165" t="s">
        <v>59</v>
      </c>
      <c r="Q377" s="165" t="s">
        <v>10</v>
      </c>
      <c r="R377" s="176"/>
      <c r="S377" s="176"/>
      <c r="T377" s="176"/>
      <c r="U377" s="176"/>
      <c r="V377" s="176"/>
      <c r="W377" s="176"/>
      <c r="X377" s="176"/>
      <c r="Y377" s="176"/>
      <c r="Z377" s="176"/>
      <c r="AA377" s="176"/>
    </row>
    <row r="378">
      <c r="A378" s="185" t="str">
        <f>iferror(VLOOKUP(P378,'DO NOT TOUCH Imported'!$A$1:$D$800,4,False),iferror(VLOOKUP(P378,'DO NOT TOUCH Imported'!$C$1:$D$800,2,False),"OOPS FIX ME"))</f>
        <v>fabiosmendes</v>
      </c>
      <c r="B378" s="196" t="s">
        <v>534</v>
      </c>
      <c r="C378" s="216" t="s">
        <v>774</v>
      </c>
      <c r="D378" s="212"/>
      <c r="E378" s="214"/>
      <c r="F378" s="212"/>
      <c r="G378" s="196"/>
      <c r="H378" s="196"/>
      <c r="I378" s="196"/>
      <c r="J378" s="172">
        <f>(H378/$H$2+I378/$I$2)/2</f>
        <v>0</v>
      </c>
      <c r="K378" s="192">
        <f>-0.5*16.621</f>
        <v>-8.3105</v>
      </c>
      <c r="L378" s="193">
        <f t="shared" si="4"/>
        <v>8.310758354</v>
      </c>
      <c r="M378" s="194" t="str">
        <f t="shared" si="5"/>
        <v>fabiosmendes</v>
      </c>
      <c r="N378" s="217">
        <f>IFERROR(__xludf.DUMMYFUNCTION("""COMPUTED_VALUE"""),1.0)</f>
        <v>1</v>
      </c>
      <c r="O378" s="212"/>
      <c r="P378" s="196" t="s">
        <v>57</v>
      </c>
      <c r="Q378" s="196" t="s">
        <v>534</v>
      </c>
      <c r="R378" s="187">
        <v>57.049855624848725</v>
      </c>
      <c r="S378" s="212"/>
      <c r="T378" s="212"/>
      <c r="U378" s="212"/>
      <c r="V378" s="212"/>
      <c r="W378" s="212"/>
      <c r="X378" s="212"/>
      <c r="Y378" s="212"/>
      <c r="Z378" s="212"/>
      <c r="AA378" s="176"/>
    </row>
    <row r="379">
      <c r="A379" s="165" t="str">
        <f>iferror(VLOOKUP(P379,'DO NOT TOUCH Imported'!$A$1:$D$800,4,False),iferror(VLOOKUP(P379,'DO NOT TOUCH Imported'!$C$1:$D$800,2,False),"OOPS FIX ME"))</f>
        <v>fabiosmendes</v>
      </c>
      <c r="B379" s="165" t="s">
        <v>519</v>
      </c>
      <c r="C379" s="170" t="s">
        <v>1067</v>
      </c>
      <c r="D379" s="236" t="s">
        <v>495</v>
      </c>
      <c r="E379" s="237">
        <v>44300.0</v>
      </c>
      <c r="F379" s="170" t="s">
        <v>499</v>
      </c>
      <c r="G379" s="170">
        <v>5000.0</v>
      </c>
      <c r="H379" s="171">
        <v>200.0</v>
      </c>
      <c r="I379" s="171">
        <v>350.0</v>
      </c>
      <c r="J379" s="172">
        <f t="shared" ref="J379:J383" si="19">(G379/$G$2+H379/$H$2+I379/$I$2)/3</f>
        <v>0.00311179692</v>
      </c>
      <c r="K379" s="173">
        <f t="shared" ref="K379:K383" si="20">J379*$J$1</f>
        <v>3.734156304</v>
      </c>
      <c r="L379" s="174">
        <f t="shared" si="4"/>
        <v>8.310758354</v>
      </c>
      <c r="M379" s="175" t="str">
        <f t="shared" si="5"/>
        <v>fabiosmendes</v>
      </c>
      <c r="N379" s="176">
        <f>IFERROR(__xludf.DUMMYFUNCTION("""COMPUTED_VALUE"""),2.0)</f>
        <v>2</v>
      </c>
      <c r="O379" s="176"/>
      <c r="P379" s="165" t="s">
        <v>57</v>
      </c>
      <c r="Q379" s="165" t="s">
        <v>519</v>
      </c>
      <c r="R379" s="176"/>
      <c r="S379" s="176"/>
      <c r="T379" s="176"/>
      <c r="U379" s="176"/>
      <c r="V379" s="176"/>
      <c r="W379" s="176"/>
      <c r="X379" s="176"/>
      <c r="Y379" s="176"/>
      <c r="Z379" s="176"/>
      <c r="AA379" s="176"/>
    </row>
    <row r="380">
      <c r="A380" s="165" t="str">
        <f>iferror(VLOOKUP(P380,'DO NOT TOUCH Imported'!$A$1:$D$800,4,False),iferror(VLOOKUP(P380,'DO NOT TOUCH Imported'!$C$1:$D$800,2,False),"OOPS FIX ME"))</f>
        <v>fabiosmendes</v>
      </c>
      <c r="B380" s="165" t="s">
        <v>441</v>
      </c>
      <c r="C380" s="170" t="s">
        <v>1068</v>
      </c>
      <c r="D380" s="236" t="s">
        <v>437</v>
      </c>
      <c r="E380" s="237">
        <v>44309.0</v>
      </c>
      <c r="F380" s="170" t="s">
        <v>439</v>
      </c>
      <c r="G380" s="170">
        <v>5000.0</v>
      </c>
      <c r="H380" s="171">
        <v>400.0</v>
      </c>
      <c r="I380" s="171">
        <v>350.0</v>
      </c>
      <c r="J380" s="172">
        <f t="shared" si="19"/>
        <v>0.003983997701</v>
      </c>
      <c r="K380" s="173">
        <f t="shared" si="20"/>
        <v>4.780797241</v>
      </c>
      <c r="L380" s="174">
        <f t="shared" si="4"/>
        <v>8.310758354</v>
      </c>
      <c r="M380" s="175" t="str">
        <f t="shared" si="5"/>
        <v>fabiosmendes</v>
      </c>
      <c r="N380" s="176">
        <f>IFERROR(__xludf.DUMMYFUNCTION("""COMPUTED_VALUE"""),3.0)</f>
        <v>3</v>
      </c>
      <c r="O380" s="176"/>
      <c r="P380" s="165" t="s">
        <v>773</v>
      </c>
      <c r="Q380" s="165" t="s">
        <v>441</v>
      </c>
      <c r="R380" s="176"/>
      <c r="S380" s="176"/>
      <c r="T380" s="176"/>
      <c r="U380" s="176"/>
      <c r="V380" s="176"/>
      <c r="W380" s="176"/>
      <c r="X380" s="176"/>
      <c r="Y380" s="176"/>
      <c r="Z380" s="176"/>
      <c r="AA380" s="176"/>
    </row>
    <row r="381">
      <c r="A381" s="165" t="str">
        <f>iferror(VLOOKUP(P381,'DO NOT TOUCH Imported'!$A$1:$D$800,4,False),iferror(VLOOKUP(P381,'DO NOT TOUCH Imported'!$C$1:$D$800,2,False),"OOPS FIX ME"))</f>
        <v>fabiosmendes</v>
      </c>
      <c r="B381" s="165" t="s">
        <v>441</v>
      </c>
      <c r="C381" s="170" t="s">
        <v>928</v>
      </c>
      <c r="D381" s="236" t="s">
        <v>437</v>
      </c>
      <c r="E381" s="239">
        <v>44309.0</v>
      </c>
      <c r="F381" s="170" t="s">
        <v>439</v>
      </c>
      <c r="G381" s="170">
        <v>5000.0</v>
      </c>
      <c r="H381" s="171">
        <v>100.0</v>
      </c>
      <c r="I381" s="171">
        <v>250.0</v>
      </c>
      <c r="J381" s="172">
        <f t="shared" si="19"/>
        <v>0.002246889257</v>
      </c>
      <c r="K381" s="173">
        <f t="shared" si="20"/>
        <v>2.696267109</v>
      </c>
      <c r="L381" s="174">
        <f t="shared" si="4"/>
        <v>8.310758354</v>
      </c>
      <c r="M381" s="175" t="str">
        <f t="shared" si="5"/>
        <v>fabiosmendes</v>
      </c>
      <c r="N381" s="176">
        <f>IFERROR(__xludf.DUMMYFUNCTION("""COMPUTED_VALUE"""),4.0)</f>
        <v>4</v>
      </c>
      <c r="O381" s="176"/>
      <c r="P381" s="165" t="s">
        <v>773</v>
      </c>
      <c r="Q381" s="165" t="s">
        <v>441</v>
      </c>
      <c r="R381" s="176"/>
      <c r="S381" s="176"/>
      <c r="T381" s="176"/>
      <c r="U381" s="176"/>
      <c r="V381" s="176"/>
      <c r="W381" s="176"/>
      <c r="X381" s="176"/>
      <c r="Y381" s="176"/>
      <c r="Z381" s="176"/>
      <c r="AA381" s="176"/>
    </row>
    <row r="382">
      <c r="A382" s="165" t="str">
        <f>iferror(VLOOKUP(P382,'DO NOT TOUCH Imported'!$A$1:$D$800,4,False),iferror(VLOOKUP(P382,'DO NOT TOUCH Imported'!$C$1:$D$800,2,False),"OOPS FIX ME"))</f>
        <v>fabiosmendes</v>
      </c>
      <c r="B382" s="165" t="s">
        <v>441</v>
      </c>
      <c r="C382" s="170" t="s">
        <v>1069</v>
      </c>
      <c r="D382" s="236" t="s">
        <v>437</v>
      </c>
      <c r="E382" s="237">
        <v>44309.0</v>
      </c>
      <c r="F382" s="170" t="s">
        <v>439</v>
      </c>
      <c r="G382" s="170">
        <v>5000.0</v>
      </c>
      <c r="H382" s="171">
        <v>100.0</v>
      </c>
      <c r="I382" s="171">
        <v>150.0</v>
      </c>
      <c r="J382" s="172">
        <f t="shared" si="19"/>
        <v>0.001818081985</v>
      </c>
      <c r="K382" s="173">
        <f t="shared" si="20"/>
        <v>2.181698382</v>
      </c>
      <c r="L382" s="174">
        <f t="shared" si="4"/>
        <v>8.310758354</v>
      </c>
      <c r="M382" s="175" t="str">
        <f t="shared" si="5"/>
        <v>fabiosmendes</v>
      </c>
      <c r="N382" s="176">
        <f>IFERROR(__xludf.DUMMYFUNCTION("""COMPUTED_VALUE"""),5.0)</f>
        <v>5</v>
      </c>
      <c r="O382" s="176"/>
      <c r="P382" s="165" t="s">
        <v>773</v>
      </c>
      <c r="Q382" s="165" t="s">
        <v>441</v>
      </c>
      <c r="R382" s="176"/>
      <c r="S382" s="176"/>
      <c r="T382" s="176"/>
      <c r="U382" s="176"/>
      <c r="V382" s="176"/>
      <c r="W382" s="176"/>
      <c r="X382" s="176"/>
      <c r="Y382" s="176"/>
      <c r="Z382" s="176"/>
      <c r="AA382" s="176"/>
    </row>
    <row r="383">
      <c r="A383" s="165" t="str">
        <f>iferror(VLOOKUP(P383,'DO NOT TOUCH Imported'!$A$1:$D$800,4,False),iferror(VLOOKUP(P383,'DO NOT TOUCH Imported'!$C$1:$D$800,2,False),"OOPS FIX ME"))</f>
        <v>fabiosmendes</v>
      </c>
      <c r="B383" s="165" t="s">
        <v>441</v>
      </c>
      <c r="C383" s="170" t="s">
        <v>1041</v>
      </c>
      <c r="D383" s="236" t="s">
        <v>437</v>
      </c>
      <c r="E383" s="237">
        <v>44302.0</v>
      </c>
      <c r="F383" s="170" t="s">
        <v>439</v>
      </c>
      <c r="G383" s="170">
        <v>5000.0</v>
      </c>
      <c r="H383" s="171">
        <v>300.0</v>
      </c>
      <c r="I383" s="171">
        <v>150.0</v>
      </c>
      <c r="J383" s="172">
        <f t="shared" si="19"/>
        <v>0.002690282765</v>
      </c>
      <c r="K383" s="173">
        <f t="shared" si="20"/>
        <v>3.228339318</v>
      </c>
      <c r="L383" s="174">
        <f t="shared" si="4"/>
        <v>8.310758354</v>
      </c>
      <c r="M383" s="175" t="str">
        <f t="shared" si="5"/>
        <v>fabiosmendes</v>
      </c>
      <c r="N383" s="176">
        <f>IFERROR(__xludf.DUMMYFUNCTION("""COMPUTED_VALUE"""),6.0)</f>
        <v>6</v>
      </c>
      <c r="O383" s="176"/>
      <c r="P383" s="165" t="s">
        <v>773</v>
      </c>
      <c r="Q383" s="165" t="s">
        <v>441</v>
      </c>
      <c r="R383" s="176"/>
      <c r="S383" s="176"/>
      <c r="T383" s="176"/>
      <c r="U383" s="176"/>
      <c r="V383" s="176"/>
      <c r="W383" s="176"/>
      <c r="X383" s="176"/>
      <c r="Y383" s="176"/>
      <c r="Z383" s="176"/>
      <c r="AA383" s="176"/>
    </row>
    <row r="384">
      <c r="A384" s="185" t="str">
        <f>iferror(VLOOKUP(P384,'DO NOT TOUCH Imported'!$A$1:$D$800,4,False),iferror(VLOOKUP(P384,'DO NOT TOUCH Imported'!$C$1:$D$800,2,False),"OOPS FIX ME"))</f>
        <v>liviade</v>
      </c>
      <c r="B384" s="185" t="s">
        <v>534</v>
      </c>
      <c r="C384" s="186" t="s">
        <v>741</v>
      </c>
      <c r="D384" s="187"/>
      <c r="E384" s="188"/>
      <c r="F384" s="189"/>
      <c r="G384" s="190"/>
      <c r="H384" s="190"/>
      <c r="I384" s="190"/>
      <c r="J384" s="172">
        <f>(H384/$H$2+I384/$I$2)/2</f>
        <v>0</v>
      </c>
      <c r="K384" s="192">
        <f>-0.85*55.099</f>
        <v>-46.83415</v>
      </c>
      <c r="L384" s="193">
        <f t="shared" si="4"/>
        <v>8.26473812</v>
      </c>
      <c r="M384" s="194" t="str">
        <f t="shared" si="5"/>
        <v>liviade</v>
      </c>
      <c r="N384" s="195">
        <f>IFERROR(__xludf.DUMMYFUNCTION("""COMPUTED_VALUE"""),1.0)</f>
        <v>1</v>
      </c>
      <c r="O384" s="195"/>
      <c r="P384" s="196" t="s">
        <v>18</v>
      </c>
      <c r="Q384" s="185" t="s">
        <v>534</v>
      </c>
      <c r="R384" s="195"/>
      <c r="S384" s="195"/>
      <c r="T384" s="195"/>
      <c r="U384" s="195"/>
      <c r="V384" s="195"/>
      <c r="W384" s="195"/>
      <c r="X384" s="195"/>
      <c r="Y384" s="195"/>
      <c r="Z384" s="195"/>
      <c r="AA384" s="176"/>
    </row>
    <row r="385">
      <c r="A385" s="165" t="str">
        <f>iferror(VLOOKUP(P385,'DO NOT TOUCH Imported'!$A$1:$D$800,4,False),iferror(VLOOKUP(P385,'DO NOT TOUCH Imported'!$C$1:$D$800,2,False),"OOPS FIX ME"))</f>
        <v>liviade</v>
      </c>
      <c r="B385" s="165" t="s">
        <v>441</v>
      </c>
      <c r="C385" s="170" t="s">
        <v>1037</v>
      </c>
      <c r="D385" s="236" t="s">
        <v>437</v>
      </c>
      <c r="E385" s="237">
        <v>44309.0</v>
      </c>
      <c r="F385" s="170" t="s">
        <v>439</v>
      </c>
      <c r="G385" s="170">
        <v>1000.0</v>
      </c>
      <c r="H385" s="171">
        <v>250.0</v>
      </c>
      <c r="I385" s="171">
        <v>200.0</v>
      </c>
      <c r="J385" s="172">
        <f t="shared" ref="J385:J466" si="21">(G385/$G$2+H385/$H$2+I385/$I$2)/3</f>
        <v>0.002095619658</v>
      </c>
      <c r="K385" s="173">
        <f t="shared" ref="K385:K430" si="22">J385*$J$1</f>
        <v>2.51474359</v>
      </c>
      <c r="L385" s="174">
        <f t="shared" si="4"/>
        <v>8.26473812</v>
      </c>
      <c r="M385" s="175" t="str">
        <f t="shared" si="5"/>
        <v>liviade</v>
      </c>
      <c r="N385" s="176">
        <f>IFERROR(__xludf.DUMMYFUNCTION("""COMPUTED_VALUE"""),2.0)</f>
        <v>2</v>
      </c>
      <c r="O385" s="176"/>
      <c r="P385" s="165" t="s">
        <v>490</v>
      </c>
      <c r="Q385" s="165" t="s">
        <v>441</v>
      </c>
      <c r="R385" s="176"/>
      <c r="S385" s="176"/>
      <c r="T385" s="176"/>
      <c r="U385" s="176"/>
      <c r="V385" s="176"/>
      <c r="W385" s="176"/>
      <c r="X385" s="176"/>
      <c r="Y385" s="176"/>
      <c r="Z385" s="176"/>
      <c r="AA385" s="176"/>
    </row>
    <row r="386">
      <c r="A386" s="165" t="str">
        <f>iferror(VLOOKUP(P386,'DO NOT TOUCH Imported'!$A$1:$D$800,4,False),iferror(VLOOKUP(P386,'DO NOT TOUCH Imported'!$C$1:$D$800,2,False),"OOPS FIX ME"))</f>
        <v>liviade</v>
      </c>
      <c r="B386" s="165" t="s">
        <v>443</v>
      </c>
      <c r="C386" s="170" t="s">
        <v>1038</v>
      </c>
      <c r="D386" s="236" t="s">
        <v>437</v>
      </c>
      <c r="E386" s="237">
        <v>44306.0</v>
      </c>
      <c r="F386" s="170" t="s">
        <v>439</v>
      </c>
      <c r="G386" s="170">
        <v>2000.0</v>
      </c>
      <c r="H386" s="171">
        <v>200.0</v>
      </c>
      <c r="I386" s="171">
        <v>200.0</v>
      </c>
      <c r="J386" s="172">
        <f t="shared" si="21"/>
        <v>0.0020253236</v>
      </c>
      <c r="K386" s="173">
        <f t="shared" si="22"/>
        <v>2.43038832</v>
      </c>
      <c r="L386" s="174">
        <f t="shared" si="4"/>
        <v>8.26473812</v>
      </c>
      <c r="M386" s="175" t="str">
        <f t="shared" si="5"/>
        <v>liviade</v>
      </c>
      <c r="N386" s="176">
        <f>IFERROR(__xludf.DUMMYFUNCTION("""COMPUTED_VALUE"""),3.0)</f>
        <v>3</v>
      </c>
      <c r="O386" s="176"/>
      <c r="P386" s="165" t="s">
        <v>490</v>
      </c>
      <c r="Q386" s="165" t="s">
        <v>443</v>
      </c>
      <c r="R386" s="176"/>
      <c r="S386" s="176"/>
      <c r="T386" s="176"/>
      <c r="U386" s="176"/>
      <c r="V386" s="176"/>
      <c r="W386" s="176"/>
      <c r="X386" s="176"/>
      <c r="Y386" s="176"/>
      <c r="Z386" s="176"/>
      <c r="AA386" s="176"/>
    </row>
    <row r="387">
      <c r="A387" s="165" t="str">
        <f>iferror(VLOOKUP(P387,'DO NOT TOUCH Imported'!$A$1:$D$800,4,False),iferror(VLOOKUP(P387,'DO NOT TOUCH Imported'!$C$1:$D$800,2,False),"OOPS FIX ME"))</f>
        <v>liviade</v>
      </c>
      <c r="B387" s="165" t="s">
        <v>440</v>
      </c>
      <c r="C387" s="170" t="s">
        <v>1070</v>
      </c>
      <c r="D387" s="236" t="s">
        <v>437</v>
      </c>
      <c r="E387" s="239">
        <v>44301.0</v>
      </c>
      <c r="F387" s="170" t="s">
        <v>439</v>
      </c>
      <c r="G387" s="170">
        <v>5000.0</v>
      </c>
      <c r="H387" s="171">
        <v>100.0</v>
      </c>
      <c r="I387" s="171">
        <v>200.0</v>
      </c>
      <c r="J387" s="172">
        <f t="shared" si="21"/>
        <v>0.002032485621</v>
      </c>
      <c r="K387" s="173">
        <f t="shared" si="22"/>
        <v>2.438982745</v>
      </c>
      <c r="L387" s="174">
        <f t="shared" si="4"/>
        <v>8.26473812</v>
      </c>
      <c r="M387" s="175" t="str">
        <f t="shared" si="5"/>
        <v>liviade</v>
      </c>
      <c r="N387" s="176">
        <f>IFERROR(__xludf.DUMMYFUNCTION("""COMPUTED_VALUE"""),4.0)</f>
        <v>4</v>
      </c>
      <c r="O387" s="176"/>
      <c r="P387" s="165" t="s">
        <v>490</v>
      </c>
      <c r="Q387" s="165" t="s">
        <v>440</v>
      </c>
      <c r="R387" s="176"/>
      <c r="S387" s="176"/>
      <c r="T387" s="176"/>
      <c r="U387" s="176"/>
      <c r="V387" s="176"/>
      <c r="W387" s="176"/>
      <c r="X387" s="176"/>
      <c r="Y387" s="176"/>
      <c r="Z387" s="176"/>
      <c r="AA387" s="176"/>
    </row>
    <row r="388">
      <c r="A388" s="165" t="str">
        <f>iferror(VLOOKUP(P388,'DO NOT TOUCH Imported'!$A$1:$D$800,4,False),iferror(VLOOKUP(P388,'DO NOT TOUCH Imported'!$C$1:$D$800,2,False),"OOPS FIX ME"))</f>
        <v>liviade</v>
      </c>
      <c r="B388" s="165" t="s">
        <v>441</v>
      </c>
      <c r="C388" s="170" t="s">
        <v>1071</v>
      </c>
      <c r="D388" s="236" t="s">
        <v>437</v>
      </c>
      <c r="E388" s="237">
        <v>44302.0</v>
      </c>
      <c r="F388" s="170" t="s">
        <v>439</v>
      </c>
      <c r="G388" s="170">
        <v>1000.0</v>
      </c>
      <c r="H388" s="171">
        <v>200.0</v>
      </c>
      <c r="I388" s="171">
        <v>200.0</v>
      </c>
      <c r="J388" s="172">
        <f t="shared" si="21"/>
        <v>0.001877569463</v>
      </c>
      <c r="K388" s="173">
        <f t="shared" si="22"/>
        <v>2.253083355</v>
      </c>
      <c r="L388" s="174">
        <f t="shared" si="4"/>
        <v>8.26473812</v>
      </c>
      <c r="M388" s="175" t="str">
        <f t="shared" si="5"/>
        <v>liviade</v>
      </c>
      <c r="N388" s="176">
        <f>IFERROR(__xludf.DUMMYFUNCTION("""COMPUTED_VALUE"""),5.0)</f>
        <v>5</v>
      </c>
      <c r="O388" s="176"/>
      <c r="P388" s="165" t="s">
        <v>490</v>
      </c>
      <c r="Q388" s="165" t="s">
        <v>441</v>
      </c>
      <c r="R388" s="176"/>
      <c r="S388" s="176"/>
      <c r="T388" s="176"/>
      <c r="U388" s="176"/>
      <c r="V388" s="176"/>
      <c r="W388" s="176"/>
      <c r="X388" s="176"/>
      <c r="Y388" s="176"/>
      <c r="Z388" s="176"/>
      <c r="AA388" s="176"/>
    </row>
    <row r="389">
      <c r="A389" s="165" t="str">
        <f>iferror(VLOOKUP(P389,'DO NOT TOUCH Imported'!$A$1:$D$800,4,False),iferror(VLOOKUP(P389,'DO NOT TOUCH Imported'!$C$1:$D$800,2,False),"OOPS FIX ME"))</f>
        <v>liviade</v>
      </c>
      <c r="B389" s="165" t="s">
        <v>440</v>
      </c>
      <c r="C389" s="170" t="s">
        <v>1072</v>
      </c>
      <c r="D389" s="236" t="s">
        <v>437</v>
      </c>
      <c r="E389" s="239">
        <v>44307.0</v>
      </c>
      <c r="F389" s="170" t="s">
        <v>439</v>
      </c>
      <c r="G389" s="220">
        <v>5000.0</v>
      </c>
      <c r="H389" s="171">
        <v>100.0</v>
      </c>
      <c r="I389" s="171">
        <v>150.0</v>
      </c>
      <c r="J389" s="172">
        <f t="shared" si="21"/>
        <v>0.001818081985</v>
      </c>
      <c r="K389" s="173">
        <f t="shared" si="22"/>
        <v>2.181698382</v>
      </c>
      <c r="L389" s="174">
        <f t="shared" si="4"/>
        <v>8.26473812</v>
      </c>
      <c r="M389" s="175" t="str">
        <f t="shared" si="5"/>
        <v>liviade</v>
      </c>
      <c r="N389" s="176">
        <f>IFERROR(__xludf.DUMMYFUNCTION("""COMPUTED_VALUE"""),6.0)</f>
        <v>6</v>
      </c>
      <c r="O389" s="176"/>
      <c r="P389" s="165" t="s">
        <v>490</v>
      </c>
      <c r="Q389" s="165" t="s">
        <v>440</v>
      </c>
      <c r="R389" s="176"/>
      <c r="S389" s="176"/>
      <c r="T389" s="176"/>
      <c r="U389" s="176"/>
      <c r="V389" s="176"/>
      <c r="W389" s="176"/>
      <c r="X389" s="176"/>
      <c r="Y389" s="176"/>
      <c r="Z389" s="176"/>
      <c r="AA389" s="176"/>
    </row>
    <row r="390">
      <c r="A390" s="165" t="str">
        <f>iferror(VLOOKUP(P390,'DO NOT TOUCH Imported'!$A$1:$D$800,4,False),iferror(VLOOKUP(P390,'DO NOT TOUCH Imported'!$C$1:$D$800,2,False),"OOPS FIX ME"))</f>
        <v>liviade</v>
      </c>
      <c r="B390" s="165" t="s">
        <v>463</v>
      </c>
      <c r="C390" s="170" t="s">
        <v>1073</v>
      </c>
      <c r="D390" s="236" t="s">
        <v>437</v>
      </c>
      <c r="E390" s="237">
        <v>44305.0</v>
      </c>
      <c r="F390" s="170" t="s">
        <v>439</v>
      </c>
      <c r="G390" s="170">
        <v>5000.0</v>
      </c>
      <c r="H390" s="171">
        <v>100.0</v>
      </c>
      <c r="I390" s="171">
        <v>100.0</v>
      </c>
      <c r="J390" s="172">
        <f t="shared" si="21"/>
        <v>0.001603678348</v>
      </c>
      <c r="K390" s="173">
        <f t="shared" si="22"/>
        <v>1.924414018</v>
      </c>
      <c r="L390" s="174">
        <f t="shared" si="4"/>
        <v>8.26473812</v>
      </c>
      <c r="M390" s="175" t="str">
        <f t="shared" si="5"/>
        <v>liviade</v>
      </c>
      <c r="N390" s="176">
        <f>IFERROR(__xludf.DUMMYFUNCTION("""COMPUTED_VALUE"""),7.0)</f>
        <v>7</v>
      </c>
      <c r="O390" s="176"/>
      <c r="P390" s="165" t="s">
        <v>490</v>
      </c>
      <c r="Q390" s="165" t="s">
        <v>463</v>
      </c>
      <c r="R390" s="176"/>
      <c r="S390" s="176"/>
      <c r="T390" s="176"/>
      <c r="U390" s="176"/>
      <c r="V390" s="176"/>
      <c r="W390" s="176"/>
      <c r="X390" s="176"/>
      <c r="Y390" s="176"/>
      <c r="Z390" s="176"/>
      <c r="AA390" s="176"/>
    </row>
    <row r="391">
      <c r="A391" s="165" t="str">
        <f>iferror(VLOOKUP(P391,'DO NOT TOUCH Imported'!$A$1:$D$800,4,False),iferror(VLOOKUP(P391,'DO NOT TOUCH Imported'!$C$1:$D$800,2,False),"OOPS FIX ME"))</f>
        <v>liviade</v>
      </c>
      <c r="B391" s="165" t="s">
        <v>443</v>
      </c>
      <c r="C391" s="170" t="s">
        <v>890</v>
      </c>
      <c r="D391" s="236" t="s">
        <v>437</v>
      </c>
      <c r="E391" s="237">
        <v>44310.0</v>
      </c>
      <c r="F391" s="170" t="s">
        <v>439</v>
      </c>
      <c r="G391" s="170">
        <v>5000.0</v>
      </c>
      <c r="H391" s="171">
        <v>100.0</v>
      </c>
      <c r="I391" s="171">
        <v>100.0</v>
      </c>
      <c r="J391" s="172">
        <f t="shared" si="21"/>
        <v>0.001603678348</v>
      </c>
      <c r="K391" s="173">
        <f t="shared" si="22"/>
        <v>1.924414018</v>
      </c>
      <c r="L391" s="174">
        <f t="shared" si="4"/>
        <v>8.26473812</v>
      </c>
      <c r="M391" s="175" t="str">
        <f t="shared" si="5"/>
        <v>liviade</v>
      </c>
      <c r="N391" s="176">
        <f>IFERROR(__xludf.DUMMYFUNCTION("""COMPUTED_VALUE"""),8.0)</f>
        <v>8</v>
      </c>
      <c r="O391" s="176"/>
      <c r="P391" s="165" t="s">
        <v>490</v>
      </c>
      <c r="Q391" s="165" t="s">
        <v>443</v>
      </c>
      <c r="R391" s="176"/>
      <c r="S391" s="176"/>
      <c r="T391" s="176"/>
      <c r="U391" s="176"/>
      <c r="V391" s="176"/>
      <c r="W391" s="176"/>
      <c r="X391" s="176"/>
      <c r="Y391" s="176"/>
      <c r="Z391" s="176"/>
      <c r="AA391" s="176"/>
    </row>
    <row r="392">
      <c r="A392" s="165" t="str">
        <f>iferror(VLOOKUP(P392,'DO NOT TOUCH Imported'!$A$1:$D$800,4,False),iferror(VLOOKUP(P392,'DO NOT TOUCH Imported'!$C$1:$D$800,2,False),"OOPS FIX ME"))</f>
        <v>liviade</v>
      </c>
      <c r="B392" s="165" t="s">
        <v>435</v>
      </c>
      <c r="C392" s="170" t="s">
        <v>974</v>
      </c>
      <c r="D392" s="236" t="s">
        <v>499</v>
      </c>
      <c r="E392" s="237">
        <v>44305.0</v>
      </c>
      <c r="F392" s="170" t="s">
        <v>503</v>
      </c>
      <c r="G392" s="170">
        <v>1000.0</v>
      </c>
      <c r="H392" s="171">
        <v>200.0</v>
      </c>
      <c r="I392" s="171">
        <v>100.0</v>
      </c>
      <c r="J392" s="172">
        <f t="shared" si="21"/>
        <v>0.00144876219</v>
      </c>
      <c r="K392" s="173">
        <f t="shared" si="22"/>
        <v>1.738514628</v>
      </c>
      <c r="L392" s="174">
        <f t="shared" si="4"/>
        <v>8.26473812</v>
      </c>
      <c r="M392" s="175" t="str">
        <f t="shared" si="5"/>
        <v>liviade</v>
      </c>
      <c r="N392" s="176">
        <f>IFERROR(__xludf.DUMMYFUNCTION("""COMPUTED_VALUE"""),9.0)</f>
        <v>9</v>
      </c>
      <c r="O392" s="176"/>
      <c r="P392" s="165" t="s">
        <v>490</v>
      </c>
      <c r="Q392" s="165" t="s">
        <v>435</v>
      </c>
      <c r="R392" s="176"/>
      <c r="S392" s="176"/>
      <c r="T392" s="176"/>
      <c r="U392" s="176"/>
      <c r="V392" s="176"/>
      <c r="W392" s="176"/>
      <c r="X392" s="176"/>
      <c r="Y392" s="176"/>
      <c r="Z392" s="176"/>
      <c r="AA392" s="176"/>
    </row>
    <row r="393">
      <c r="A393" s="165" t="str">
        <f>iferror(VLOOKUP(P393,'DO NOT TOUCH Imported'!$A$1:$D$800,4,False),iferror(VLOOKUP(P393,'DO NOT TOUCH Imported'!$C$1:$D$800,2,False),"OOPS FIX ME"))</f>
        <v>liviade</v>
      </c>
      <c r="B393" s="165" t="s">
        <v>443</v>
      </c>
      <c r="C393" s="170" t="s">
        <v>892</v>
      </c>
      <c r="D393" s="236" t="s">
        <v>437</v>
      </c>
      <c r="E393" s="239">
        <v>44310.0</v>
      </c>
      <c r="F393" s="170" t="s">
        <v>439</v>
      </c>
      <c r="G393" s="170">
        <v>1000.0</v>
      </c>
      <c r="H393" s="171">
        <v>100.0</v>
      </c>
      <c r="I393" s="171">
        <v>150.0</v>
      </c>
      <c r="J393" s="172">
        <f t="shared" si="21"/>
        <v>0.001227065436</v>
      </c>
      <c r="K393" s="173">
        <f t="shared" si="22"/>
        <v>1.472478524</v>
      </c>
      <c r="L393" s="174">
        <f t="shared" si="4"/>
        <v>8.26473812</v>
      </c>
      <c r="M393" s="175" t="str">
        <f t="shared" si="5"/>
        <v>liviade</v>
      </c>
      <c r="N393" s="176">
        <f>IFERROR(__xludf.DUMMYFUNCTION("""COMPUTED_VALUE"""),10.0)</f>
        <v>10</v>
      </c>
      <c r="O393" s="176"/>
      <c r="P393" s="165" t="s">
        <v>490</v>
      </c>
      <c r="Q393" s="165" t="s">
        <v>443</v>
      </c>
      <c r="R393" s="176"/>
      <c r="S393" s="176"/>
      <c r="T393" s="176"/>
      <c r="U393" s="176"/>
      <c r="V393" s="176"/>
      <c r="W393" s="176"/>
      <c r="X393" s="176"/>
      <c r="Y393" s="176"/>
      <c r="Z393" s="176"/>
      <c r="AA393" s="176"/>
    </row>
    <row r="394">
      <c r="A394" s="165" t="str">
        <f>iferror(VLOOKUP(P394,'DO NOT TOUCH Imported'!$A$1:$D$800,4,False),iferror(VLOOKUP(P394,'DO NOT TOUCH Imported'!$C$1:$D$800,2,False),"OOPS FIX ME"))</f>
        <v>liviade</v>
      </c>
      <c r="B394" s="165" t="s">
        <v>441</v>
      </c>
      <c r="C394" s="170" t="s">
        <v>1074</v>
      </c>
      <c r="D394" s="236" t="s">
        <v>437</v>
      </c>
      <c r="E394" s="237">
        <v>44309.0</v>
      </c>
      <c r="F394" s="170" t="s">
        <v>439</v>
      </c>
      <c r="G394" s="170">
        <v>2500.0</v>
      </c>
      <c r="H394" s="171">
        <v>100.0</v>
      </c>
      <c r="I394" s="171">
        <v>100.0</v>
      </c>
      <c r="J394" s="172">
        <f t="shared" si="21"/>
        <v>0.001234293006</v>
      </c>
      <c r="K394" s="173">
        <f t="shared" si="22"/>
        <v>1.481151607</v>
      </c>
      <c r="L394" s="174">
        <f t="shared" si="4"/>
        <v>8.26473812</v>
      </c>
      <c r="M394" s="175" t="str">
        <f t="shared" si="5"/>
        <v>liviade</v>
      </c>
      <c r="N394" s="176">
        <f>IFERROR(__xludf.DUMMYFUNCTION("""COMPUTED_VALUE"""),11.0)</f>
        <v>11</v>
      </c>
      <c r="O394" s="176"/>
      <c r="P394" s="165" t="s">
        <v>490</v>
      </c>
      <c r="Q394" s="165" t="s">
        <v>441</v>
      </c>
      <c r="R394" s="176"/>
      <c r="S394" s="176"/>
      <c r="T394" s="176"/>
      <c r="U394" s="176"/>
      <c r="V394" s="176"/>
      <c r="W394" s="176"/>
      <c r="X394" s="176"/>
      <c r="Y394" s="176"/>
      <c r="Z394" s="176"/>
      <c r="AA394" s="176"/>
    </row>
    <row r="395">
      <c r="A395" s="165" t="str">
        <f>iferror(VLOOKUP(P395,'DO NOT TOUCH Imported'!$A$1:$D$800,4,False),iferror(VLOOKUP(P395,'DO NOT TOUCH Imported'!$C$1:$D$800,2,False),"OOPS FIX ME"))</f>
        <v>liviade</v>
      </c>
      <c r="B395" s="165" t="s">
        <v>440</v>
      </c>
      <c r="C395" s="170" t="s">
        <v>1075</v>
      </c>
      <c r="D395" s="236" t="s">
        <v>437</v>
      </c>
      <c r="E395" s="237">
        <v>44298.0</v>
      </c>
      <c r="F395" s="170" t="s">
        <v>439</v>
      </c>
      <c r="G395" s="170">
        <v>2000.0</v>
      </c>
      <c r="H395" s="171">
        <v>100.0</v>
      </c>
      <c r="I395" s="171">
        <v>100.0</v>
      </c>
      <c r="J395" s="172">
        <f t="shared" si="21"/>
        <v>0.001160415937</v>
      </c>
      <c r="K395" s="173">
        <f t="shared" si="22"/>
        <v>1.392499125</v>
      </c>
      <c r="L395" s="174">
        <f t="shared" si="4"/>
        <v>8.26473812</v>
      </c>
      <c r="M395" s="175" t="str">
        <f t="shared" si="5"/>
        <v>liviade</v>
      </c>
      <c r="N395" s="176">
        <f>IFERROR(__xludf.DUMMYFUNCTION("""COMPUTED_VALUE"""),12.0)</f>
        <v>12</v>
      </c>
      <c r="O395" s="176"/>
      <c r="P395" s="165" t="s">
        <v>490</v>
      </c>
      <c r="Q395" s="165" t="s">
        <v>440</v>
      </c>
      <c r="R395" s="176"/>
      <c r="S395" s="176"/>
      <c r="T395" s="176"/>
      <c r="U395" s="176"/>
      <c r="V395" s="176"/>
      <c r="W395" s="176"/>
      <c r="X395" s="176"/>
      <c r="Y395" s="176"/>
      <c r="Z395" s="176"/>
      <c r="AA395" s="176"/>
    </row>
    <row r="396">
      <c r="A396" s="165" t="str">
        <f>iferror(VLOOKUP(P396,'DO NOT TOUCH Imported'!$A$1:$D$800,4,False),iferror(VLOOKUP(P396,'DO NOT TOUCH Imported'!$C$1:$D$800,2,False),"OOPS FIX ME"))</f>
        <v>liviade</v>
      </c>
      <c r="B396" s="165" t="s">
        <v>483</v>
      </c>
      <c r="C396" s="170" t="s">
        <v>1076</v>
      </c>
      <c r="D396" s="236" t="s">
        <v>437</v>
      </c>
      <c r="E396" s="237">
        <v>44301.0</v>
      </c>
      <c r="F396" s="170" t="s">
        <v>439</v>
      </c>
      <c r="G396" s="170">
        <v>2000.0</v>
      </c>
      <c r="H396" s="171">
        <v>100.0</v>
      </c>
      <c r="I396" s="171">
        <v>100.0</v>
      </c>
      <c r="J396" s="172">
        <f t="shared" si="21"/>
        <v>0.001160415937</v>
      </c>
      <c r="K396" s="173">
        <f t="shared" si="22"/>
        <v>1.392499125</v>
      </c>
      <c r="L396" s="174">
        <f t="shared" si="4"/>
        <v>8.26473812</v>
      </c>
      <c r="M396" s="175" t="str">
        <f t="shared" si="5"/>
        <v>liviade</v>
      </c>
      <c r="N396" s="176">
        <f>IFERROR(__xludf.DUMMYFUNCTION("""COMPUTED_VALUE"""),13.0)</f>
        <v>13</v>
      </c>
      <c r="O396" s="176"/>
      <c r="P396" s="165" t="s">
        <v>490</v>
      </c>
      <c r="Q396" s="165" t="s">
        <v>483</v>
      </c>
      <c r="R396" s="176"/>
      <c r="S396" s="176"/>
      <c r="T396" s="176"/>
      <c r="U396" s="176"/>
      <c r="V396" s="176"/>
      <c r="W396" s="176"/>
      <c r="X396" s="176"/>
      <c r="Y396" s="176"/>
      <c r="Z396" s="176"/>
      <c r="AA396" s="176"/>
    </row>
    <row r="397">
      <c r="A397" s="165" t="str">
        <f>iferror(VLOOKUP(P397,'DO NOT TOUCH Imported'!$A$1:$D$800,4,False),iferror(VLOOKUP(P397,'DO NOT TOUCH Imported'!$C$1:$D$800,2,False),"OOPS FIX ME"))</f>
        <v>liviade</v>
      </c>
      <c r="B397" s="165" t="s">
        <v>483</v>
      </c>
      <c r="C397" s="170" t="s">
        <v>893</v>
      </c>
      <c r="D397" s="236" t="s">
        <v>437</v>
      </c>
      <c r="E397" s="237">
        <v>44301.0</v>
      </c>
      <c r="F397" s="170" t="s">
        <v>439</v>
      </c>
      <c r="G397" s="170">
        <v>2000.0</v>
      </c>
      <c r="H397" s="171">
        <v>100.0</v>
      </c>
      <c r="I397" s="171">
        <v>100.0</v>
      </c>
      <c r="J397" s="172">
        <f t="shared" si="21"/>
        <v>0.001160415937</v>
      </c>
      <c r="K397" s="173">
        <f t="shared" si="22"/>
        <v>1.392499125</v>
      </c>
      <c r="L397" s="174">
        <f t="shared" si="4"/>
        <v>8.26473812</v>
      </c>
      <c r="M397" s="175" t="str">
        <f t="shared" si="5"/>
        <v>liviade</v>
      </c>
      <c r="N397" s="176">
        <f>IFERROR(__xludf.DUMMYFUNCTION("""COMPUTED_VALUE"""),14.0)</f>
        <v>14</v>
      </c>
      <c r="O397" s="176"/>
      <c r="P397" s="165" t="s">
        <v>490</v>
      </c>
      <c r="Q397" s="165" t="s">
        <v>483</v>
      </c>
      <c r="R397" s="176"/>
      <c r="S397" s="176"/>
      <c r="T397" s="176"/>
      <c r="U397" s="176"/>
      <c r="V397" s="176"/>
      <c r="W397" s="176"/>
      <c r="X397" s="176"/>
      <c r="Y397" s="176"/>
      <c r="Z397" s="176"/>
      <c r="AA397" s="176"/>
    </row>
    <row r="398">
      <c r="A398" s="165" t="str">
        <f>iferror(VLOOKUP(P398,'DO NOT TOUCH Imported'!$A$1:$D$800,4,False),iferror(VLOOKUP(P398,'DO NOT TOUCH Imported'!$C$1:$D$800,2,False),"OOPS FIX ME"))</f>
        <v>liviade</v>
      </c>
      <c r="B398" s="165" t="s">
        <v>782</v>
      </c>
      <c r="C398" s="170" t="s">
        <v>894</v>
      </c>
      <c r="D398" s="236" t="s">
        <v>437</v>
      </c>
      <c r="E398" s="237">
        <v>44301.0</v>
      </c>
      <c r="F398" s="170" t="s">
        <v>439</v>
      </c>
      <c r="G398" s="170">
        <v>2000.0</v>
      </c>
      <c r="H398" s="171">
        <v>100.0</v>
      </c>
      <c r="I398" s="171">
        <v>100.0</v>
      </c>
      <c r="J398" s="172">
        <f t="shared" si="21"/>
        <v>0.001160415937</v>
      </c>
      <c r="K398" s="173">
        <f t="shared" si="22"/>
        <v>1.392499125</v>
      </c>
      <c r="L398" s="174">
        <f t="shared" si="4"/>
        <v>8.26473812</v>
      </c>
      <c r="M398" s="175" t="str">
        <f t="shared" si="5"/>
        <v>liviade</v>
      </c>
      <c r="N398" s="176">
        <f>IFERROR(__xludf.DUMMYFUNCTION("""COMPUTED_VALUE"""),15.0)</f>
        <v>15</v>
      </c>
      <c r="O398" s="176"/>
      <c r="P398" s="165" t="s">
        <v>490</v>
      </c>
      <c r="Q398" s="165" t="s">
        <v>782</v>
      </c>
      <c r="R398" s="176"/>
      <c r="S398" s="176"/>
      <c r="T398" s="176"/>
      <c r="U398" s="176"/>
      <c r="V398" s="176"/>
      <c r="W398" s="176"/>
      <c r="X398" s="176"/>
      <c r="Y398" s="176"/>
      <c r="Z398" s="176"/>
      <c r="AA398" s="176"/>
    </row>
    <row r="399">
      <c r="A399" s="165" t="str">
        <f>iferror(VLOOKUP(P399,'DO NOT TOUCH Imported'!$A$1:$D$800,4,False),iferror(VLOOKUP(P399,'DO NOT TOUCH Imported'!$C$1:$D$800,2,False),"OOPS FIX ME"))</f>
        <v>liviade</v>
      </c>
      <c r="B399" s="165" t="s">
        <v>441</v>
      </c>
      <c r="C399" s="170" t="s">
        <v>1077</v>
      </c>
      <c r="D399" s="236" t="s">
        <v>437</v>
      </c>
      <c r="E399" s="239">
        <v>44309.0</v>
      </c>
      <c r="F399" s="170" t="s">
        <v>439</v>
      </c>
      <c r="G399" s="170">
        <v>2000.0</v>
      </c>
      <c r="H399" s="171">
        <v>100.0</v>
      </c>
      <c r="I399" s="171">
        <v>100.0</v>
      </c>
      <c r="J399" s="172">
        <f t="shared" si="21"/>
        <v>0.001160415937</v>
      </c>
      <c r="K399" s="173">
        <f t="shared" si="22"/>
        <v>1.392499125</v>
      </c>
      <c r="L399" s="174">
        <f t="shared" si="4"/>
        <v>8.26473812</v>
      </c>
      <c r="M399" s="175" t="str">
        <f t="shared" si="5"/>
        <v>liviade</v>
      </c>
      <c r="N399" s="176">
        <f>IFERROR(__xludf.DUMMYFUNCTION("""COMPUTED_VALUE"""),16.0)</f>
        <v>16</v>
      </c>
      <c r="O399" s="176"/>
      <c r="P399" s="165" t="s">
        <v>490</v>
      </c>
      <c r="Q399" s="165" t="s">
        <v>441</v>
      </c>
      <c r="R399" s="176"/>
      <c r="S399" s="176"/>
      <c r="T399" s="176"/>
      <c r="U399" s="176"/>
      <c r="V399" s="176"/>
      <c r="W399" s="176"/>
      <c r="X399" s="176"/>
      <c r="Y399" s="176"/>
      <c r="Z399" s="176"/>
      <c r="AA399" s="176"/>
    </row>
    <row r="400">
      <c r="A400" s="165" t="str">
        <f>iferror(VLOOKUP(P400,'DO NOT TOUCH Imported'!$A$1:$D$800,4,False),iferror(VLOOKUP(P400,'DO NOT TOUCH Imported'!$C$1:$D$800,2,False),"OOPS FIX ME"))</f>
        <v>liviade</v>
      </c>
      <c r="B400" s="165" t="s">
        <v>463</v>
      </c>
      <c r="C400" s="170" t="s">
        <v>896</v>
      </c>
      <c r="D400" s="236" t="s">
        <v>437</v>
      </c>
      <c r="E400" s="237">
        <v>44305.0</v>
      </c>
      <c r="F400" s="170" t="s">
        <v>439</v>
      </c>
      <c r="G400" s="170">
        <v>5000.0</v>
      </c>
      <c r="H400" s="171">
        <v>60.0</v>
      </c>
      <c r="I400" s="171">
        <v>50.0</v>
      </c>
      <c r="J400" s="172">
        <f t="shared" si="21"/>
        <v>0.001214834556</v>
      </c>
      <c r="K400" s="173">
        <f t="shared" si="22"/>
        <v>1.457801467</v>
      </c>
      <c r="L400" s="174">
        <f t="shared" si="4"/>
        <v>8.26473812</v>
      </c>
      <c r="M400" s="175" t="str">
        <f t="shared" si="5"/>
        <v>liviade</v>
      </c>
      <c r="N400" s="176">
        <f>IFERROR(__xludf.DUMMYFUNCTION("""COMPUTED_VALUE"""),17.0)</f>
        <v>17</v>
      </c>
      <c r="O400" s="176"/>
      <c r="P400" s="165" t="s">
        <v>490</v>
      </c>
      <c r="Q400" s="165" t="s">
        <v>463</v>
      </c>
      <c r="R400" s="176"/>
      <c r="S400" s="176"/>
      <c r="T400" s="176"/>
      <c r="U400" s="176"/>
      <c r="V400" s="176"/>
      <c r="W400" s="176"/>
      <c r="X400" s="176"/>
      <c r="Y400" s="176"/>
      <c r="Z400" s="176"/>
      <c r="AA400" s="176"/>
    </row>
    <row r="401">
      <c r="A401" s="165" t="str">
        <f>iferror(VLOOKUP(P401,'DO NOT TOUCH Imported'!$A$1:$D$800,4,False),iferror(VLOOKUP(P401,'DO NOT TOUCH Imported'!$C$1:$D$800,2,False),"OOPS FIX ME"))</f>
        <v>liviade</v>
      </c>
      <c r="B401" s="165" t="s">
        <v>490</v>
      </c>
      <c r="C401" s="170" t="s">
        <v>897</v>
      </c>
      <c r="D401" s="236" t="s">
        <v>437</v>
      </c>
      <c r="E401" s="237">
        <v>44309.0</v>
      </c>
      <c r="F401" s="170" t="s">
        <v>439</v>
      </c>
      <c r="G401" s="170">
        <v>1500.0</v>
      </c>
      <c r="H401" s="171">
        <v>100.0</v>
      </c>
      <c r="I401" s="171">
        <v>100.0</v>
      </c>
      <c r="J401" s="172">
        <f t="shared" si="21"/>
        <v>0.001086538869</v>
      </c>
      <c r="K401" s="173">
        <f t="shared" si="22"/>
        <v>1.303846642</v>
      </c>
      <c r="L401" s="174">
        <f t="shared" si="4"/>
        <v>8.26473812</v>
      </c>
      <c r="M401" s="175" t="str">
        <f t="shared" si="5"/>
        <v>liviade</v>
      </c>
      <c r="N401" s="176">
        <f>IFERROR(__xludf.DUMMYFUNCTION("""COMPUTED_VALUE"""),18.0)</f>
        <v>18</v>
      </c>
      <c r="O401" s="176"/>
      <c r="P401" s="165" t="s">
        <v>490</v>
      </c>
      <c r="Q401" s="165" t="s">
        <v>490</v>
      </c>
      <c r="R401" s="176"/>
      <c r="S401" s="176"/>
      <c r="T401" s="176"/>
      <c r="U401" s="176"/>
      <c r="V401" s="176"/>
      <c r="W401" s="176"/>
      <c r="X401" s="176"/>
      <c r="Y401" s="176"/>
      <c r="Z401" s="176"/>
      <c r="AA401" s="176"/>
    </row>
    <row r="402">
      <c r="A402" s="165" t="str">
        <f>iferror(VLOOKUP(P402,'DO NOT TOUCH Imported'!$A$1:$D$800,4,False),iferror(VLOOKUP(P402,'DO NOT TOUCH Imported'!$C$1:$D$800,2,False),"OOPS FIX ME"))</f>
        <v>liviade</v>
      </c>
      <c r="B402" s="165" t="s">
        <v>443</v>
      </c>
      <c r="C402" s="170" t="s">
        <v>1003</v>
      </c>
      <c r="D402" s="236" t="s">
        <v>437</v>
      </c>
      <c r="E402" s="239">
        <v>44299.0</v>
      </c>
      <c r="F402" s="170" t="s">
        <v>439</v>
      </c>
      <c r="G402" s="170">
        <v>1000.0</v>
      </c>
      <c r="H402" s="171">
        <v>100.0</v>
      </c>
      <c r="I402" s="171">
        <v>100.0</v>
      </c>
      <c r="J402" s="172">
        <f t="shared" si="21"/>
        <v>0.0010126618</v>
      </c>
      <c r="K402" s="173">
        <f t="shared" si="22"/>
        <v>1.21519416</v>
      </c>
      <c r="L402" s="174">
        <f t="shared" si="4"/>
        <v>8.26473812</v>
      </c>
      <c r="M402" s="175" t="str">
        <f t="shared" si="5"/>
        <v>liviade</v>
      </c>
      <c r="N402" s="176">
        <f>IFERROR(__xludf.DUMMYFUNCTION("""COMPUTED_VALUE"""),19.0)</f>
        <v>19</v>
      </c>
      <c r="O402" s="176"/>
      <c r="P402" s="165" t="s">
        <v>490</v>
      </c>
      <c r="Q402" s="165" t="s">
        <v>443</v>
      </c>
      <c r="R402" s="176"/>
      <c r="S402" s="176"/>
      <c r="T402" s="176"/>
      <c r="U402" s="176"/>
      <c r="V402" s="176"/>
      <c r="W402" s="176"/>
      <c r="X402" s="176"/>
      <c r="Y402" s="176"/>
      <c r="Z402" s="176"/>
      <c r="AA402" s="176"/>
    </row>
    <row r="403">
      <c r="A403" s="165" t="str">
        <f>iferror(VLOOKUP(P403,'DO NOT TOUCH Imported'!$A$1:$D$800,4,False),iferror(VLOOKUP(P403,'DO NOT TOUCH Imported'!$C$1:$D$800,2,False),"OOPS FIX ME"))</f>
        <v>liviade</v>
      </c>
      <c r="B403" s="165" t="s">
        <v>490</v>
      </c>
      <c r="C403" s="170" t="s">
        <v>950</v>
      </c>
      <c r="D403" s="236" t="s">
        <v>437</v>
      </c>
      <c r="E403" s="239">
        <v>44299.0</v>
      </c>
      <c r="F403" s="170" t="s">
        <v>439</v>
      </c>
      <c r="G403" s="170">
        <v>1000.0</v>
      </c>
      <c r="H403" s="171">
        <v>100.0</v>
      </c>
      <c r="I403" s="171">
        <v>100.0</v>
      </c>
      <c r="J403" s="172">
        <f t="shared" si="21"/>
        <v>0.0010126618</v>
      </c>
      <c r="K403" s="173">
        <f t="shared" si="22"/>
        <v>1.21519416</v>
      </c>
      <c r="L403" s="174">
        <f t="shared" si="4"/>
        <v>8.26473812</v>
      </c>
      <c r="M403" s="175" t="str">
        <f t="shared" si="5"/>
        <v>liviade</v>
      </c>
      <c r="N403" s="176">
        <f>IFERROR(__xludf.DUMMYFUNCTION("""COMPUTED_VALUE"""),20.0)</f>
        <v>20</v>
      </c>
      <c r="O403" s="176"/>
      <c r="P403" s="165" t="s">
        <v>490</v>
      </c>
      <c r="Q403" s="165" t="s">
        <v>490</v>
      </c>
      <c r="R403" s="176"/>
      <c r="S403" s="176"/>
      <c r="T403" s="176"/>
      <c r="U403" s="176"/>
      <c r="V403" s="176"/>
      <c r="W403" s="176"/>
      <c r="X403" s="176"/>
      <c r="Y403" s="176"/>
      <c r="Z403" s="176"/>
      <c r="AA403" s="176"/>
    </row>
    <row r="404">
      <c r="A404" s="165" t="str">
        <f>iferror(VLOOKUP(P404,'DO NOT TOUCH Imported'!$A$1:$D$800,4,False),iferror(VLOOKUP(P404,'DO NOT TOUCH Imported'!$C$1:$D$800,2,False),"OOPS FIX ME"))</f>
        <v>liviade</v>
      </c>
      <c r="B404" s="165" t="s">
        <v>46</v>
      </c>
      <c r="C404" s="170" t="s">
        <v>1078</v>
      </c>
      <c r="D404" s="236" t="s">
        <v>437</v>
      </c>
      <c r="E404" s="237">
        <v>44301.0</v>
      </c>
      <c r="F404" s="170" t="s">
        <v>439</v>
      </c>
      <c r="G404" s="170">
        <v>1000.0</v>
      </c>
      <c r="H404" s="171">
        <v>100.0</v>
      </c>
      <c r="I404" s="171">
        <v>100.0</v>
      </c>
      <c r="J404" s="172">
        <f t="shared" si="21"/>
        <v>0.0010126618</v>
      </c>
      <c r="K404" s="173">
        <f t="shared" si="22"/>
        <v>1.21519416</v>
      </c>
      <c r="L404" s="174">
        <f t="shared" si="4"/>
        <v>8.26473812</v>
      </c>
      <c r="M404" s="175" t="str">
        <f t="shared" si="5"/>
        <v>liviade</v>
      </c>
      <c r="N404" s="176">
        <f>IFERROR(__xludf.DUMMYFUNCTION("""COMPUTED_VALUE"""),21.0)</f>
        <v>21</v>
      </c>
      <c r="O404" s="176"/>
      <c r="P404" s="165" t="s">
        <v>490</v>
      </c>
      <c r="Q404" s="165" t="s">
        <v>46</v>
      </c>
      <c r="R404" s="176"/>
      <c r="S404" s="176"/>
      <c r="T404" s="176"/>
      <c r="U404" s="176"/>
      <c r="V404" s="176"/>
      <c r="W404" s="176"/>
      <c r="X404" s="176"/>
      <c r="Y404" s="176"/>
      <c r="Z404" s="176"/>
      <c r="AA404" s="176"/>
    </row>
    <row r="405">
      <c r="A405" s="165" t="str">
        <f>iferror(VLOOKUP(P405,'DO NOT TOUCH Imported'!$A$1:$D$800,4,False),iferror(VLOOKUP(P405,'DO NOT TOUCH Imported'!$C$1:$D$800,2,False),"OOPS FIX ME"))</f>
        <v>liviade</v>
      </c>
      <c r="B405" s="165" t="s">
        <v>435</v>
      </c>
      <c r="C405" s="170" t="s">
        <v>900</v>
      </c>
      <c r="D405" s="236" t="s">
        <v>437</v>
      </c>
      <c r="E405" s="237">
        <v>44302.0</v>
      </c>
      <c r="F405" s="170" t="s">
        <v>439</v>
      </c>
      <c r="G405" s="170">
        <v>1000.0</v>
      </c>
      <c r="H405" s="171">
        <v>100.0</v>
      </c>
      <c r="I405" s="171">
        <v>100.0</v>
      </c>
      <c r="J405" s="172">
        <f t="shared" si="21"/>
        <v>0.0010126618</v>
      </c>
      <c r="K405" s="173">
        <f t="shared" si="22"/>
        <v>1.21519416</v>
      </c>
      <c r="L405" s="174">
        <f t="shared" si="4"/>
        <v>8.26473812</v>
      </c>
      <c r="M405" s="175" t="str">
        <f t="shared" si="5"/>
        <v>liviade</v>
      </c>
      <c r="N405" s="176">
        <f>IFERROR(__xludf.DUMMYFUNCTION("""COMPUTED_VALUE"""),22.0)</f>
        <v>22</v>
      </c>
      <c r="O405" s="176"/>
      <c r="P405" s="165" t="s">
        <v>490</v>
      </c>
      <c r="Q405" s="165" t="s">
        <v>435</v>
      </c>
      <c r="R405" s="176"/>
      <c r="S405" s="176"/>
      <c r="T405" s="176"/>
      <c r="U405" s="176"/>
      <c r="V405" s="176"/>
      <c r="W405" s="176"/>
      <c r="X405" s="176"/>
      <c r="Y405" s="176"/>
      <c r="Z405" s="176"/>
      <c r="AA405" s="176"/>
    </row>
    <row r="406">
      <c r="A406" s="165" t="str">
        <f>iferror(VLOOKUP(P406,'DO NOT TOUCH Imported'!$A$1:$D$800,4,False),iferror(VLOOKUP(P406,'DO NOT TOUCH Imported'!$C$1:$D$800,2,False),"OOPS FIX ME"))</f>
        <v>liviade</v>
      </c>
      <c r="B406" s="165" t="s">
        <v>566</v>
      </c>
      <c r="C406" s="170" t="s">
        <v>1079</v>
      </c>
      <c r="D406" s="236" t="s">
        <v>499</v>
      </c>
      <c r="E406" s="237">
        <v>44305.0</v>
      </c>
      <c r="F406" s="170" t="s">
        <v>503</v>
      </c>
      <c r="G406" s="170">
        <v>1000.0</v>
      </c>
      <c r="H406" s="171">
        <v>100.0</v>
      </c>
      <c r="I406" s="171">
        <v>100.0</v>
      </c>
      <c r="J406" s="172">
        <f t="shared" si="21"/>
        <v>0.0010126618</v>
      </c>
      <c r="K406" s="173">
        <f t="shared" si="22"/>
        <v>1.21519416</v>
      </c>
      <c r="L406" s="174">
        <f t="shared" si="4"/>
        <v>8.26473812</v>
      </c>
      <c r="M406" s="175" t="str">
        <f t="shared" si="5"/>
        <v>liviade</v>
      </c>
      <c r="N406" s="176">
        <f>IFERROR(__xludf.DUMMYFUNCTION("""COMPUTED_VALUE"""),23.0)</f>
        <v>23</v>
      </c>
      <c r="O406" s="176"/>
      <c r="P406" s="165" t="s">
        <v>490</v>
      </c>
      <c r="Q406" s="165" t="s">
        <v>566</v>
      </c>
      <c r="R406" s="176"/>
      <c r="S406" s="176"/>
      <c r="T406" s="176"/>
      <c r="U406" s="176"/>
      <c r="V406" s="176"/>
      <c r="W406" s="176"/>
      <c r="X406" s="176"/>
      <c r="Y406" s="176"/>
      <c r="Z406" s="176"/>
      <c r="AA406" s="176"/>
    </row>
    <row r="407">
      <c r="A407" s="165" t="str">
        <f>iferror(VLOOKUP(P407,'DO NOT TOUCH Imported'!$A$1:$D$800,4,False),iferror(VLOOKUP(P407,'DO NOT TOUCH Imported'!$C$1:$D$800,2,False),"OOPS FIX ME"))</f>
        <v>liviade</v>
      </c>
      <c r="B407" s="165" t="s">
        <v>20</v>
      </c>
      <c r="C407" s="170" t="s">
        <v>1080</v>
      </c>
      <c r="D407" s="236" t="s">
        <v>437</v>
      </c>
      <c r="E407" s="239">
        <v>44307.0</v>
      </c>
      <c r="F407" s="170" t="s">
        <v>439</v>
      </c>
      <c r="G407" s="170">
        <v>1000.0</v>
      </c>
      <c r="H407" s="171">
        <v>100.0</v>
      </c>
      <c r="I407" s="171">
        <v>100.0</v>
      </c>
      <c r="J407" s="172">
        <f t="shared" si="21"/>
        <v>0.0010126618</v>
      </c>
      <c r="K407" s="173">
        <f t="shared" si="22"/>
        <v>1.21519416</v>
      </c>
      <c r="L407" s="174">
        <f t="shared" si="4"/>
        <v>8.26473812</v>
      </c>
      <c r="M407" s="175" t="str">
        <f t="shared" si="5"/>
        <v>liviade</v>
      </c>
      <c r="N407" s="176">
        <f>IFERROR(__xludf.DUMMYFUNCTION("""COMPUTED_VALUE"""),24.0)</f>
        <v>24</v>
      </c>
      <c r="O407" s="176"/>
      <c r="P407" s="165" t="s">
        <v>490</v>
      </c>
      <c r="Q407" s="165" t="s">
        <v>20</v>
      </c>
      <c r="R407" s="176"/>
      <c r="S407" s="176"/>
      <c r="T407" s="176"/>
      <c r="U407" s="176"/>
      <c r="V407" s="176"/>
      <c r="W407" s="176"/>
      <c r="X407" s="176"/>
      <c r="Y407" s="176"/>
      <c r="Z407" s="176"/>
      <c r="AA407" s="176"/>
    </row>
    <row r="408">
      <c r="A408" s="165" t="str">
        <f>iferror(VLOOKUP(P408,'DO NOT TOUCH Imported'!$A$1:$D$800,4,False),iferror(VLOOKUP(P408,'DO NOT TOUCH Imported'!$C$1:$D$800,2,False),"OOPS FIX ME"))</f>
        <v>liviade</v>
      </c>
      <c r="B408" s="165" t="s">
        <v>441</v>
      </c>
      <c r="C408" s="170" t="s">
        <v>902</v>
      </c>
      <c r="D408" s="236" t="s">
        <v>437</v>
      </c>
      <c r="E408" s="237">
        <v>44309.0</v>
      </c>
      <c r="F408" s="170" t="s">
        <v>439</v>
      </c>
      <c r="G408" s="170">
        <v>1000.0</v>
      </c>
      <c r="H408" s="171">
        <v>100.0</v>
      </c>
      <c r="I408" s="171">
        <v>100.0</v>
      </c>
      <c r="J408" s="172">
        <f t="shared" si="21"/>
        <v>0.0010126618</v>
      </c>
      <c r="K408" s="173">
        <f t="shared" si="22"/>
        <v>1.21519416</v>
      </c>
      <c r="L408" s="174">
        <f t="shared" si="4"/>
        <v>8.26473812</v>
      </c>
      <c r="M408" s="175" t="str">
        <f t="shared" si="5"/>
        <v>liviade</v>
      </c>
      <c r="N408" s="176">
        <f>IFERROR(__xludf.DUMMYFUNCTION("""COMPUTED_VALUE"""),25.0)</f>
        <v>25</v>
      </c>
      <c r="O408" s="176"/>
      <c r="P408" s="165" t="s">
        <v>490</v>
      </c>
      <c r="Q408" s="165" t="s">
        <v>441</v>
      </c>
      <c r="R408" s="176"/>
      <c r="S408" s="176"/>
      <c r="T408" s="176"/>
      <c r="U408" s="176"/>
      <c r="V408" s="176"/>
      <c r="W408" s="176"/>
      <c r="X408" s="176"/>
      <c r="Y408" s="176"/>
      <c r="Z408" s="176"/>
      <c r="AA408" s="176"/>
    </row>
    <row r="409">
      <c r="A409" s="165" t="str">
        <f>iferror(VLOOKUP(P409,'DO NOT TOUCH Imported'!$A$1:$D$800,4,False),iferror(VLOOKUP(P409,'DO NOT TOUCH Imported'!$C$1:$D$800,2,False),"OOPS FIX ME"))</f>
        <v>liviade</v>
      </c>
      <c r="B409" s="165" t="s">
        <v>67</v>
      </c>
      <c r="C409" s="170" t="s">
        <v>1081</v>
      </c>
      <c r="D409" s="236" t="s">
        <v>499</v>
      </c>
      <c r="E409" s="237">
        <v>44308.0</v>
      </c>
      <c r="F409" s="170" t="s">
        <v>503</v>
      </c>
      <c r="G409" s="170">
        <v>500.0</v>
      </c>
      <c r="H409" s="171">
        <v>100.0</v>
      </c>
      <c r="I409" s="171">
        <v>100.0</v>
      </c>
      <c r="J409" s="172">
        <f t="shared" si="21"/>
        <v>0.0009387847314</v>
      </c>
      <c r="K409" s="173">
        <f t="shared" si="22"/>
        <v>1.126541678</v>
      </c>
      <c r="L409" s="174">
        <f t="shared" si="4"/>
        <v>8.26473812</v>
      </c>
      <c r="M409" s="175" t="str">
        <f t="shared" si="5"/>
        <v>liviade</v>
      </c>
      <c r="N409" s="176">
        <f>IFERROR(__xludf.DUMMYFUNCTION("""COMPUTED_VALUE"""),26.0)</f>
        <v>26</v>
      </c>
      <c r="O409" s="176"/>
      <c r="P409" s="165" t="s">
        <v>490</v>
      </c>
      <c r="Q409" s="165" t="s">
        <v>67</v>
      </c>
      <c r="R409" s="176"/>
      <c r="S409" s="176"/>
      <c r="T409" s="176"/>
      <c r="U409" s="176"/>
      <c r="V409" s="176"/>
      <c r="W409" s="176"/>
      <c r="X409" s="176"/>
      <c r="Y409" s="176"/>
      <c r="Z409" s="176"/>
      <c r="AA409" s="176"/>
    </row>
    <row r="410">
      <c r="A410" s="165" t="str">
        <f>iferror(VLOOKUP(P410,'DO NOT TOUCH Imported'!$A$1:$D$800,4,False),iferror(VLOOKUP(P410,'DO NOT TOUCH Imported'!$C$1:$D$800,2,False),"OOPS FIX ME"))</f>
        <v>liviade</v>
      </c>
      <c r="B410" s="165" t="s">
        <v>441</v>
      </c>
      <c r="C410" s="170" t="s">
        <v>1082</v>
      </c>
      <c r="D410" s="236" t="s">
        <v>437</v>
      </c>
      <c r="E410" s="239">
        <v>44302.0</v>
      </c>
      <c r="F410" s="170" t="s">
        <v>439</v>
      </c>
      <c r="G410" s="170">
        <v>1000.0</v>
      </c>
      <c r="H410" s="171">
        <v>100.0</v>
      </c>
      <c r="I410" s="171">
        <v>80.0</v>
      </c>
      <c r="J410" s="172">
        <f t="shared" si="21"/>
        <v>0.0009269003455</v>
      </c>
      <c r="K410" s="173">
        <f t="shared" si="22"/>
        <v>1.112280415</v>
      </c>
      <c r="L410" s="174">
        <f t="shared" si="4"/>
        <v>8.26473812</v>
      </c>
      <c r="M410" s="175" t="str">
        <f t="shared" si="5"/>
        <v>liviade</v>
      </c>
      <c r="N410" s="176">
        <f>IFERROR(__xludf.DUMMYFUNCTION("""COMPUTED_VALUE"""),27.0)</f>
        <v>27</v>
      </c>
      <c r="O410" s="176"/>
      <c r="P410" s="165" t="s">
        <v>490</v>
      </c>
      <c r="Q410" s="165" t="s">
        <v>441</v>
      </c>
      <c r="R410" s="176"/>
      <c r="S410" s="176"/>
      <c r="T410" s="176"/>
      <c r="U410" s="176"/>
      <c r="V410" s="176"/>
      <c r="W410" s="176"/>
      <c r="X410" s="176"/>
      <c r="Y410" s="176"/>
      <c r="Z410" s="176"/>
      <c r="AA410" s="176"/>
    </row>
    <row r="411">
      <c r="A411" s="165" t="str">
        <f>iferror(VLOOKUP(P411,'DO NOT TOUCH Imported'!$A$1:$D$800,4,False),iferror(VLOOKUP(P411,'DO NOT TOUCH Imported'!$C$1:$D$800,2,False),"OOPS FIX ME"))</f>
        <v>liviade</v>
      </c>
      <c r="B411" s="165" t="s">
        <v>768</v>
      </c>
      <c r="C411" s="170" t="s">
        <v>1047</v>
      </c>
      <c r="D411" s="236" t="s">
        <v>499</v>
      </c>
      <c r="E411" s="237">
        <v>44306.0</v>
      </c>
      <c r="F411" s="170" t="s">
        <v>503</v>
      </c>
      <c r="G411" s="170">
        <v>500.0</v>
      </c>
      <c r="H411" s="171">
        <v>100.0</v>
      </c>
      <c r="I411" s="171">
        <v>80.0</v>
      </c>
      <c r="J411" s="172">
        <f t="shared" si="21"/>
        <v>0.0008530232769</v>
      </c>
      <c r="K411" s="173">
        <f t="shared" si="22"/>
        <v>1.023627932</v>
      </c>
      <c r="L411" s="174">
        <f t="shared" si="4"/>
        <v>8.26473812</v>
      </c>
      <c r="M411" s="175" t="str">
        <f t="shared" si="5"/>
        <v>liviade</v>
      </c>
      <c r="N411" s="176">
        <f>IFERROR(__xludf.DUMMYFUNCTION("""COMPUTED_VALUE"""),28.0)</f>
        <v>28</v>
      </c>
      <c r="O411" s="176"/>
      <c r="P411" s="165" t="s">
        <v>490</v>
      </c>
      <c r="Q411" s="165" t="s">
        <v>768</v>
      </c>
      <c r="R411" s="176"/>
      <c r="S411" s="176"/>
      <c r="T411" s="176"/>
      <c r="U411" s="176"/>
      <c r="V411" s="176"/>
      <c r="W411" s="176"/>
      <c r="X411" s="176"/>
      <c r="Y411" s="176"/>
      <c r="Z411" s="176"/>
      <c r="AA411" s="176"/>
    </row>
    <row r="412">
      <c r="A412" s="165" t="str">
        <f>iferror(VLOOKUP(P412,'DO NOT TOUCH Imported'!$A$1:$D$800,4,False),iferror(VLOOKUP(P412,'DO NOT TOUCH Imported'!$C$1:$D$800,2,False),"OOPS FIX ME"))</f>
        <v>liviade</v>
      </c>
      <c r="B412" s="165" t="s">
        <v>441</v>
      </c>
      <c r="C412" s="170" t="s">
        <v>906</v>
      </c>
      <c r="D412" s="236" t="s">
        <v>437</v>
      </c>
      <c r="E412" s="237">
        <v>44309.0</v>
      </c>
      <c r="F412" s="170" t="s">
        <v>439</v>
      </c>
      <c r="G412" s="170">
        <v>1000.0</v>
      </c>
      <c r="H412" s="171">
        <v>60.0</v>
      </c>
      <c r="I412" s="171">
        <v>100.0</v>
      </c>
      <c r="J412" s="172">
        <f t="shared" si="21"/>
        <v>0.0008382216439</v>
      </c>
      <c r="K412" s="173">
        <f t="shared" si="22"/>
        <v>1.005865973</v>
      </c>
      <c r="L412" s="174">
        <f t="shared" si="4"/>
        <v>8.26473812</v>
      </c>
      <c r="M412" s="175" t="str">
        <f t="shared" si="5"/>
        <v>liviade</v>
      </c>
      <c r="N412" s="176">
        <f>IFERROR(__xludf.DUMMYFUNCTION("""COMPUTED_VALUE"""),29.0)</f>
        <v>29</v>
      </c>
      <c r="O412" s="176"/>
      <c r="P412" s="165" t="s">
        <v>490</v>
      </c>
      <c r="Q412" s="165" t="s">
        <v>441</v>
      </c>
      <c r="R412" s="176"/>
      <c r="S412" s="176"/>
      <c r="T412" s="176"/>
      <c r="U412" s="176"/>
      <c r="V412" s="176"/>
      <c r="W412" s="176"/>
      <c r="X412" s="176"/>
      <c r="Y412" s="176"/>
      <c r="Z412" s="176"/>
      <c r="AA412" s="176"/>
    </row>
    <row r="413">
      <c r="A413" s="165" t="str">
        <f>iferror(VLOOKUP(P413,'DO NOT TOUCH Imported'!$A$1:$D$800,4,False),iferror(VLOOKUP(P413,'DO NOT TOUCH Imported'!$C$1:$D$800,2,False),"OOPS FIX ME"))</f>
        <v>liviade</v>
      </c>
      <c r="B413" s="165" t="s">
        <v>435</v>
      </c>
      <c r="C413" s="170" t="s">
        <v>910</v>
      </c>
      <c r="D413" s="236" t="s">
        <v>437</v>
      </c>
      <c r="E413" s="239">
        <v>44302.0</v>
      </c>
      <c r="F413" s="170" t="s">
        <v>911</v>
      </c>
      <c r="G413" s="170">
        <v>1000.0</v>
      </c>
      <c r="H413" s="171">
        <v>60.0</v>
      </c>
      <c r="I413" s="171">
        <v>80.0</v>
      </c>
      <c r="J413" s="172">
        <f t="shared" si="21"/>
        <v>0.0007524601894</v>
      </c>
      <c r="K413" s="173">
        <f t="shared" si="22"/>
        <v>0.9029522272</v>
      </c>
      <c r="L413" s="174">
        <f t="shared" si="4"/>
        <v>8.26473812</v>
      </c>
      <c r="M413" s="175" t="str">
        <f t="shared" si="5"/>
        <v>liviade</v>
      </c>
      <c r="N413" s="176">
        <f>IFERROR(__xludf.DUMMYFUNCTION("""COMPUTED_VALUE"""),30.0)</f>
        <v>30</v>
      </c>
      <c r="O413" s="176"/>
      <c r="P413" s="165" t="s">
        <v>490</v>
      </c>
      <c r="Q413" s="165" t="s">
        <v>435</v>
      </c>
      <c r="R413" s="176"/>
      <c r="S413" s="176"/>
      <c r="T413" s="176"/>
      <c r="U413" s="176"/>
      <c r="V413" s="176"/>
      <c r="W413" s="176"/>
      <c r="X413" s="176"/>
      <c r="Y413" s="176"/>
      <c r="Z413" s="176"/>
      <c r="AA413" s="176"/>
    </row>
    <row r="414">
      <c r="A414" s="165" t="str">
        <f>iferror(VLOOKUP(P414,'DO NOT TOUCH Imported'!$A$1:$D$800,4,False),iferror(VLOOKUP(P414,'DO NOT TOUCH Imported'!$C$1:$D$800,2,False),"OOPS FIX ME"))</f>
        <v>liviade</v>
      </c>
      <c r="B414" s="165" t="s">
        <v>440</v>
      </c>
      <c r="C414" s="170" t="s">
        <v>912</v>
      </c>
      <c r="D414" s="236" t="s">
        <v>437</v>
      </c>
      <c r="E414" s="239">
        <v>44307.0</v>
      </c>
      <c r="F414" s="170" t="s">
        <v>439</v>
      </c>
      <c r="G414" s="170">
        <v>1000.0</v>
      </c>
      <c r="H414" s="171">
        <v>70.0</v>
      </c>
      <c r="I414" s="171">
        <v>50.0</v>
      </c>
      <c r="J414" s="172">
        <f t="shared" si="21"/>
        <v>0.0006674280466</v>
      </c>
      <c r="K414" s="173">
        <f t="shared" si="22"/>
        <v>0.8009136559</v>
      </c>
      <c r="L414" s="174">
        <f t="shared" si="4"/>
        <v>8.26473812</v>
      </c>
      <c r="M414" s="175" t="str">
        <f t="shared" si="5"/>
        <v>liviade</v>
      </c>
      <c r="N414" s="176">
        <f>IFERROR(__xludf.DUMMYFUNCTION("""COMPUTED_VALUE"""),31.0)</f>
        <v>31</v>
      </c>
      <c r="O414" s="176"/>
      <c r="P414" s="165" t="s">
        <v>490</v>
      </c>
      <c r="Q414" s="165" t="s">
        <v>440</v>
      </c>
      <c r="R414" s="176"/>
      <c r="S414" s="176"/>
      <c r="T414" s="176"/>
      <c r="U414" s="176"/>
      <c r="V414" s="176"/>
      <c r="W414" s="176"/>
      <c r="X414" s="176"/>
      <c r="Y414" s="176"/>
      <c r="Z414" s="176"/>
      <c r="AA414" s="176"/>
    </row>
    <row r="415">
      <c r="A415" s="165" t="str">
        <f>iferror(VLOOKUP(P415,'DO NOT TOUCH Imported'!$A$1:$D$800,4,False),iferror(VLOOKUP(P415,'DO NOT TOUCH Imported'!$C$1:$D$800,2,False),"OOPS FIX ME"))</f>
        <v>liviade</v>
      </c>
      <c r="B415" s="165" t="s">
        <v>441</v>
      </c>
      <c r="C415" s="170" t="s">
        <v>943</v>
      </c>
      <c r="D415" s="236" t="s">
        <v>437</v>
      </c>
      <c r="E415" s="237">
        <v>44309.0</v>
      </c>
      <c r="F415" s="170" t="s">
        <v>439</v>
      </c>
      <c r="G415" s="170">
        <v>1000.0</v>
      </c>
      <c r="H415" s="171">
        <v>70.0</v>
      </c>
      <c r="I415" s="171">
        <v>50.0</v>
      </c>
      <c r="J415" s="172">
        <f t="shared" si="21"/>
        <v>0.0006674280466</v>
      </c>
      <c r="K415" s="173">
        <f t="shared" si="22"/>
        <v>0.8009136559</v>
      </c>
      <c r="L415" s="174">
        <f t="shared" si="4"/>
        <v>8.26473812</v>
      </c>
      <c r="M415" s="175" t="str">
        <f t="shared" si="5"/>
        <v>liviade</v>
      </c>
      <c r="N415" s="176">
        <f>IFERROR(__xludf.DUMMYFUNCTION("""COMPUTED_VALUE"""),32.0)</f>
        <v>32</v>
      </c>
      <c r="O415" s="176"/>
      <c r="P415" s="165" t="s">
        <v>490</v>
      </c>
      <c r="Q415" s="165" t="s">
        <v>441</v>
      </c>
      <c r="R415" s="176"/>
      <c r="S415" s="176"/>
      <c r="T415" s="176"/>
      <c r="U415" s="176"/>
      <c r="V415" s="176"/>
      <c r="W415" s="176"/>
      <c r="X415" s="176"/>
      <c r="Y415" s="176"/>
      <c r="Z415" s="176"/>
      <c r="AA415" s="176"/>
    </row>
    <row r="416">
      <c r="A416" s="165" t="str">
        <f>iferror(VLOOKUP(P416,'DO NOT TOUCH Imported'!$A$1:$D$800,4,False),iferror(VLOOKUP(P416,'DO NOT TOUCH Imported'!$C$1:$D$800,2,False),"OOPS FIX ME"))</f>
        <v>liviade</v>
      </c>
      <c r="B416" s="165" t="s">
        <v>490</v>
      </c>
      <c r="C416" s="170" t="s">
        <v>914</v>
      </c>
      <c r="D416" s="236" t="s">
        <v>437</v>
      </c>
      <c r="E416" s="239">
        <v>44299.0</v>
      </c>
      <c r="F416" s="170" t="s">
        <v>439</v>
      </c>
      <c r="G416" s="170">
        <v>1000.0</v>
      </c>
      <c r="H416" s="171">
        <v>60.0</v>
      </c>
      <c r="I416" s="171">
        <v>50.0</v>
      </c>
      <c r="J416" s="172">
        <f t="shared" si="21"/>
        <v>0.0006238180076</v>
      </c>
      <c r="K416" s="173">
        <f t="shared" si="22"/>
        <v>0.7485816091</v>
      </c>
      <c r="L416" s="174">
        <f t="shared" si="4"/>
        <v>8.26473812</v>
      </c>
      <c r="M416" s="175" t="str">
        <f t="shared" si="5"/>
        <v>liviade</v>
      </c>
      <c r="N416" s="176">
        <f>IFERROR(__xludf.DUMMYFUNCTION("""COMPUTED_VALUE"""),33.0)</f>
        <v>33</v>
      </c>
      <c r="O416" s="176"/>
      <c r="P416" s="165" t="s">
        <v>490</v>
      </c>
      <c r="Q416" s="165" t="s">
        <v>490</v>
      </c>
      <c r="R416" s="176"/>
      <c r="S416" s="176"/>
      <c r="T416" s="176"/>
      <c r="U416" s="176"/>
      <c r="V416" s="176"/>
      <c r="W416" s="176"/>
      <c r="X416" s="176"/>
      <c r="Y416" s="176"/>
      <c r="Z416" s="176"/>
      <c r="AA416" s="176"/>
    </row>
    <row r="417">
      <c r="A417" s="165" t="str">
        <f>iferror(VLOOKUP(P417,'DO NOT TOUCH Imported'!$A$1:$D$800,4,False),iferror(VLOOKUP(P417,'DO NOT TOUCH Imported'!$C$1:$D$800,2,False),"OOPS FIX ME"))</f>
        <v>liviade</v>
      </c>
      <c r="B417" s="165" t="s">
        <v>492</v>
      </c>
      <c r="C417" s="170" t="s">
        <v>915</v>
      </c>
      <c r="D417" s="236" t="s">
        <v>437</v>
      </c>
      <c r="E417" s="237">
        <v>44300.0</v>
      </c>
      <c r="F417" s="170" t="s">
        <v>439</v>
      </c>
      <c r="G417" s="170">
        <v>1000.0</v>
      </c>
      <c r="H417" s="171">
        <v>60.0</v>
      </c>
      <c r="I417" s="171">
        <v>50.0</v>
      </c>
      <c r="J417" s="172">
        <f t="shared" si="21"/>
        <v>0.0006238180076</v>
      </c>
      <c r="K417" s="173">
        <f t="shared" si="22"/>
        <v>0.7485816091</v>
      </c>
      <c r="L417" s="174">
        <f t="shared" si="4"/>
        <v>8.26473812</v>
      </c>
      <c r="M417" s="175" t="str">
        <f t="shared" si="5"/>
        <v>liviade</v>
      </c>
      <c r="N417" s="176">
        <f>IFERROR(__xludf.DUMMYFUNCTION("""COMPUTED_VALUE"""),34.0)</f>
        <v>34</v>
      </c>
      <c r="O417" s="176"/>
      <c r="P417" s="165" t="s">
        <v>490</v>
      </c>
      <c r="Q417" s="165" t="s">
        <v>492</v>
      </c>
      <c r="R417" s="176"/>
      <c r="S417" s="176"/>
      <c r="T417" s="176"/>
      <c r="U417" s="176"/>
      <c r="V417" s="176"/>
      <c r="W417" s="176"/>
      <c r="X417" s="176"/>
      <c r="Y417" s="176"/>
      <c r="Z417" s="176"/>
      <c r="AA417" s="176"/>
    </row>
    <row r="418">
      <c r="A418" s="165" t="str">
        <f>iferror(VLOOKUP(P418,'DO NOT TOUCH Imported'!$A$1:$D$800,4,False),iferror(VLOOKUP(P418,'DO NOT TOUCH Imported'!$C$1:$D$800,2,False),"OOPS FIX ME"))</f>
        <v>liviade</v>
      </c>
      <c r="B418" s="165" t="s">
        <v>440</v>
      </c>
      <c r="C418" s="170" t="s">
        <v>916</v>
      </c>
      <c r="D418" s="236" t="s">
        <v>437</v>
      </c>
      <c r="E418" s="239">
        <v>44300.0</v>
      </c>
      <c r="F418" s="170" t="s">
        <v>439</v>
      </c>
      <c r="G418" s="170">
        <v>1000.0</v>
      </c>
      <c r="H418" s="171">
        <v>60.0</v>
      </c>
      <c r="I418" s="171">
        <v>50.0</v>
      </c>
      <c r="J418" s="172">
        <f t="shared" si="21"/>
        <v>0.0006238180076</v>
      </c>
      <c r="K418" s="173">
        <f t="shared" si="22"/>
        <v>0.7485816091</v>
      </c>
      <c r="L418" s="174">
        <f t="shared" si="4"/>
        <v>8.26473812</v>
      </c>
      <c r="M418" s="175" t="str">
        <f t="shared" si="5"/>
        <v>liviade</v>
      </c>
      <c r="N418" s="176">
        <f>IFERROR(__xludf.DUMMYFUNCTION("""COMPUTED_VALUE"""),35.0)</f>
        <v>35</v>
      </c>
      <c r="O418" s="176"/>
      <c r="P418" s="165" t="s">
        <v>490</v>
      </c>
      <c r="Q418" s="165" t="s">
        <v>440</v>
      </c>
      <c r="R418" s="176"/>
      <c r="S418" s="176"/>
      <c r="T418" s="176"/>
      <c r="U418" s="176"/>
      <c r="V418" s="176"/>
      <c r="W418" s="176"/>
      <c r="X418" s="176"/>
      <c r="Y418" s="176"/>
      <c r="Z418" s="176"/>
      <c r="AA418" s="176"/>
    </row>
    <row r="419">
      <c r="A419" s="165" t="str">
        <f>iferror(VLOOKUP(P419,'DO NOT TOUCH Imported'!$A$1:$D$800,4,False),iferror(VLOOKUP(P419,'DO NOT TOUCH Imported'!$C$1:$D$800,2,False),"OOPS FIX ME"))</f>
        <v>liviade</v>
      </c>
      <c r="B419" s="165" t="s">
        <v>440</v>
      </c>
      <c r="C419" s="170" t="s">
        <v>917</v>
      </c>
      <c r="D419" s="236" t="s">
        <v>437</v>
      </c>
      <c r="E419" s="239">
        <v>44301.0</v>
      </c>
      <c r="F419" s="170" t="s">
        <v>439</v>
      </c>
      <c r="G419" s="170">
        <v>1000.0</v>
      </c>
      <c r="H419" s="171">
        <v>60.0</v>
      </c>
      <c r="I419" s="171">
        <v>50.0</v>
      </c>
      <c r="J419" s="172">
        <f t="shared" si="21"/>
        <v>0.0006238180076</v>
      </c>
      <c r="K419" s="173">
        <f t="shared" si="22"/>
        <v>0.7485816091</v>
      </c>
      <c r="L419" s="174">
        <f t="shared" si="4"/>
        <v>8.26473812</v>
      </c>
      <c r="M419" s="175" t="str">
        <f t="shared" si="5"/>
        <v>liviade</v>
      </c>
      <c r="N419" s="176">
        <f>IFERROR(__xludf.DUMMYFUNCTION("""COMPUTED_VALUE"""),36.0)</f>
        <v>36</v>
      </c>
      <c r="O419" s="176"/>
      <c r="P419" s="165" t="s">
        <v>490</v>
      </c>
      <c r="Q419" s="165" t="s">
        <v>440</v>
      </c>
      <c r="R419" s="176"/>
      <c r="S419" s="176"/>
      <c r="T419" s="176"/>
      <c r="U419" s="176"/>
      <c r="V419" s="176"/>
      <c r="W419" s="176"/>
      <c r="X419" s="176"/>
      <c r="Y419" s="176"/>
      <c r="Z419" s="176"/>
      <c r="AA419" s="176"/>
    </row>
    <row r="420">
      <c r="A420" s="165" t="str">
        <f>iferror(VLOOKUP(P420,'DO NOT TOUCH Imported'!$A$1:$D$800,4,False),iferror(VLOOKUP(P420,'DO NOT TOUCH Imported'!$C$1:$D$800,2,False),"OOPS FIX ME"))</f>
        <v>liviade</v>
      </c>
      <c r="B420" s="165" t="s">
        <v>441</v>
      </c>
      <c r="C420" s="170" t="s">
        <v>918</v>
      </c>
      <c r="D420" s="236" t="s">
        <v>437</v>
      </c>
      <c r="E420" s="237">
        <v>44302.0</v>
      </c>
      <c r="F420" s="170" t="s">
        <v>439</v>
      </c>
      <c r="G420" s="170">
        <v>1000.0</v>
      </c>
      <c r="H420" s="171">
        <v>60.0</v>
      </c>
      <c r="I420" s="171">
        <v>50.0</v>
      </c>
      <c r="J420" s="172">
        <f t="shared" si="21"/>
        <v>0.0006238180076</v>
      </c>
      <c r="K420" s="173">
        <f t="shared" si="22"/>
        <v>0.7485816091</v>
      </c>
      <c r="L420" s="174">
        <f t="shared" si="4"/>
        <v>8.26473812</v>
      </c>
      <c r="M420" s="175" t="str">
        <f t="shared" si="5"/>
        <v>liviade</v>
      </c>
      <c r="N420" s="176">
        <f>IFERROR(__xludf.DUMMYFUNCTION("""COMPUTED_VALUE"""),37.0)</f>
        <v>37</v>
      </c>
      <c r="O420" s="176"/>
      <c r="P420" s="165" t="s">
        <v>490</v>
      </c>
      <c r="Q420" s="165" t="s">
        <v>441</v>
      </c>
      <c r="R420" s="176"/>
      <c r="S420" s="176"/>
      <c r="T420" s="176"/>
      <c r="U420" s="176"/>
      <c r="V420" s="176"/>
      <c r="W420" s="176"/>
      <c r="X420" s="176"/>
      <c r="Y420" s="176"/>
      <c r="Z420" s="176"/>
      <c r="AA420" s="176"/>
    </row>
    <row r="421">
      <c r="A421" s="165" t="str">
        <f>iferror(VLOOKUP(P421,'DO NOT TOUCH Imported'!$A$1:$D$800,4,False),iferror(VLOOKUP(P421,'DO NOT TOUCH Imported'!$C$1:$D$800,2,False),"OOPS FIX ME"))</f>
        <v>liviade</v>
      </c>
      <c r="B421" s="165" t="s">
        <v>576</v>
      </c>
      <c r="C421" s="170" t="s">
        <v>919</v>
      </c>
      <c r="D421" s="236" t="s">
        <v>437</v>
      </c>
      <c r="E421" s="237">
        <v>44302.0</v>
      </c>
      <c r="F421" s="170" t="s">
        <v>439</v>
      </c>
      <c r="G421" s="170">
        <v>1000.0</v>
      </c>
      <c r="H421" s="171">
        <v>60.0</v>
      </c>
      <c r="I421" s="171">
        <v>50.0</v>
      </c>
      <c r="J421" s="172">
        <f t="shared" si="21"/>
        <v>0.0006238180076</v>
      </c>
      <c r="K421" s="173">
        <f t="shared" si="22"/>
        <v>0.7485816091</v>
      </c>
      <c r="L421" s="174">
        <f t="shared" si="4"/>
        <v>8.26473812</v>
      </c>
      <c r="M421" s="175" t="str">
        <f t="shared" si="5"/>
        <v>liviade</v>
      </c>
      <c r="N421" s="176">
        <f>IFERROR(__xludf.DUMMYFUNCTION("""COMPUTED_VALUE"""),38.0)</f>
        <v>38</v>
      </c>
      <c r="O421" s="176"/>
      <c r="P421" s="165" t="s">
        <v>490</v>
      </c>
      <c r="Q421" s="165" t="s">
        <v>576</v>
      </c>
      <c r="R421" s="176"/>
      <c r="S421" s="176"/>
      <c r="T421" s="176"/>
      <c r="U421" s="176"/>
      <c r="V421" s="176"/>
      <c r="W421" s="176"/>
      <c r="X421" s="176"/>
      <c r="Y421" s="176"/>
      <c r="Z421" s="176"/>
      <c r="AA421" s="176"/>
    </row>
    <row r="422">
      <c r="A422" s="165" t="str">
        <f>iferror(VLOOKUP(P422,'DO NOT TOUCH Imported'!$A$1:$D$800,4,False),iferror(VLOOKUP(P422,'DO NOT TOUCH Imported'!$C$1:$D$800,2,False),"OOPS FIX ME"))</f>
        <v>liviade</v>
      </c>
      <c r="B422" s="165" t="s">
        <v>486</v>
      </c>
      <c r="C422" s="170" t="s">
        <v>921</v>
      </c>
      <c r="D422" s="236" t="s">
        <v>437</v>
      </c>
      <c r="E422" s="239">
        <v>44306.0</v>
      </c>
      <c r="F422" s="170" t="s">
        <v>439</v>
      </c>
      <c r="G422" s="170">
        <v>1000.0</v>
      </c>
      <c r="H422" s="171">
        <v>60.0</v>
      </c>
      <c r="I422" s="171">
        <v>50.0</v>
      </c>
      <c r="J422" s="172">
        <f t="shared" si="21"/>
        <v>0.0006238180076</v>
      </c>
      <c r="K422" s="173">
        <f t="shared" si="22"/>
        <v>0.7485816091</v>
      </c>
      <c r="L422" s="174">
        <f t="shared" si="4"/>
        <v>8.26473812</v>
      </c>
      <c r="M422" s="175" t="str">
        <f t="shared" si="5"/>
        <v>liviade</v>
      </c>
      <c r="N422" s="176">
        <f>IFERROR(__xludf.DUMMYFUNCTION("""COMPUTED_VALUE"""),39.0)</f>
        <v>39</v>
      </c>
      <c r="O422" s="176"/>
      <c r="P422" s="165" t="s">
        <v>490</v>
      </c>
      <c r="Q422" s="165" t="s">
        <v>486</v>
      </c>
      <c r="R422" s="176"/>
      <c r="S422" s="176"/>
      <c r="T422" s="176"/>
      <c r="U422" s="176"/>
      <c r="V422" s="176"/>
      <c r="W422" s="176"/>
      <c r="X422" s="176"/>
      <c r="Y422" s="176"/>
      <c r="Z422" s="176"/>
      <c r="AA422" s="176"/>
    </row>
    <row r="423">
      <c r="A423" s="165" t="str">
        <f>iferror(VLOOKUP(P423,'DO NOT TOUCH Imported'!$A$1:$D$800,4,False),iferror(VLOOKUP(P423,'DO NOT TOUCH Imported'!$C$1:$D$800,2,False),"OOPS FIX ME"))</f>
        <v>liviade</v>
      </c>
      <c r="B423" s="165" t="s">
        <v>492</v>
      </c>
      <c r="C423" s="170" t="s">
        <v>957</v>
      </c>
      <c r="D423" s="236" t="s">
        <v>437</v>
      </c>
      <c r="E423" s="237">
        <v>44307.0</v>
      </c>
      <c r="F423" s="170" t="s">
        <v>439</v>
      </c>
      <c r="G423" s="170">
        <v>1000.0</v>
      </c>
      <c r="H423" s="171">
        <v>60.0</v>
      </c>
      <c r="I423" s="171">
        <v>50.0</v>
      </c>
      <c r="J423" s="172">
        <f t="shared" si="21"/>
        <v>0.0006238180076</v>
      </c>
      <c r="K423" s="173">
        <f t="shared" si="22"/>
        <v>0.7485816091</v>
      </c>
      <c r="L423" s="174">
        <f t="shared" si="4"/>
        <v>8.26473812</v>
      </c>
      <c r="M423" s="175" t="str">
        <f t="shared" si="5"/>
        <v>liviade</v>
      </c>
      <c r="N423" s="176">
        <f>IFERROR(__xludf.DUMMYFUNCTION("""COMPUTED_VALUE"""),40.0)</f>
        <v>40</v>
      </c>
      <c r="O423" s="176"/>
      <c r="P423" s="165" t="s">
        <v>490</v>
      </c>
      <c r="Q423" s="165" t="s">
        <v>492</v>
      </c>
      <c r="R423" s="176"/>
      <c r="S423" s="176"/>
      <c r="T423" s="176"/>
      <c r="U423" s="176"/>
      <c r="V423" s="176"/>
      <c r="W423" s="176"/>
      <c r="X423" s="176"/>
      <c r="Y423" s="176"/>
      <c r="Z423" s="176"/>
      <c r="AA423" s="176"/>
    </row>
    <row r="424">
      <c r="A424" s="165" t="str">
        <f>iferror(VLOOKUP(P424,'DO NOT TOUCH Imported'!$A$1:$D$800,4,False),iferror(VLOOKUP(P424,'DO NOT TOUCH Imported'!$C$1:$D$800,2,False),"OOPS FIX ME"))</f>
        <v>liviade</v>
      </c>
      <c r="B424" s="165" t="s">
        <v>440</v>
      </c>
      <c r="C424" s="170" t="s">
        <v>922</v>
      </c>
      <c r="D424" s="236" t="s">
        <v>437</v>
      </c>
      <c r="E424" s="237">
        <v>44307.0</v>
      </c>
      <c r="F424" s="170" t="s">
        <v>439</v>
      </c>
      <c r="G424" s="170">
        <v>1000.0</v>
      </c>
      <c r="H424" s="171">
        <v>60.0</v>
      </c>
      <c r="I424" s="171">
        <v>50.0</v>
      </c>
      <c r="J424" s="172">
        <f t="shared" si="21"/>
        <v>0.0006238180076</v>
      </c>
      <c r="K424" s="173">
        <f t="shared" si="22"/>
        <v>0.7485816091</v>
      </c>
      <c r="L424" s="174">
        <f t="shared" si="4"/>
        <v>8.26473812</v>
      </c>
      <c r="M424" s="175" t="str">
        <f t="shared" si="5"/>
        <v>liviade</v>
      </c>
      <c r="N424" s="176">
        <f>IFERROR(__xludf.DUMMYFUNCTION("""COMPUTED_VALUE"""),41.0)</f>
        <v>41</v>
      </c>
      <c r="O424" s="176"/>
      <c r="P424" s="165" t="s">
        <v>490</v>
      </c>
      <c r="Q424" s="165" t="s">
        <v>440</v>
      </c>
      <c r="R424" s="176"/>
      <c r="S424" s="176"/>
      <c r="T424" s="176"/>
      <c r="U424" s="176"/>
      <c r="V424" s="176"/>
      <c r="W424" s="176"/>
      <c r="X424" s="176"/>
      <c r="Y424" s="176"/>
      <c r="Z424" s="176"/>
      <c r="AA424" s="176"/>
    </row>
    <row r="425">
      <c r="A425" s="165" t="str">
        <f>iferror(VLOOKUP(P425,'DO NOT TOUCH Imported'!$A$1:$D$800,4,False),iferror(VLOOKUP(P425,'DO NOT TOUCH Imported'!$C$1:$D$800,2,False),"OOPS FIX ME"))</f>
        <v>liviade</v>
      </c>
      <c r="B425" s="165" t="s">
        <v>441</v>
      </c>
      <c r="C425" s="170" t="s">
        <v>923</v>
      </c>
      <c r="D425" s="236" t="s">
        <v>437</v>
      </c>
      <c r="E425" s="239">
        <v>44309.0</v>
      </c>
      <c r="F425" s="170" t="s">
        <v>439</v>
      </c>
      <c r="G425" s="170">
        <v>1000.0</v>
      </c>
      <c r="H425" s="171">
        <v>60.0</v>
      </c>
      <c r="I425" s="171">
        <v>50.0</v>
      </c>
      <c r="J425" s="172">
        <f t="shared" si="21"/>
        <v>0.0006238180076</v>
      </c>
      <c r="K425" s="173">
        <f t="shared" si="22"/>
        <v>0.7485816091</v>
      </c>
      <c r="L425" s="174">
        <f t="shared" si="4"/>
        <v>8.26473812</v>
      </c>
      <c r="M425" s="175" t="str">
        <f t="shared" si="5"/>
        <v>liviade</v>
      </c>
      <c r="N425" s="176">
        <f>IFERROR(__xludf.DUMMYFUNCTION("""COMPUTED_VALUE"""),42.0)</f>
        <v>42</v>
      </c>
      <c r="O425" s="176"/>
      <c r="P425" s="165" t="s">
        <v>490</v>
      </c>
      <c r="Q425" s="165" t="s">
        <v>441</v>
      </c>
      <c r="R425" s="176"/>
      <c r="S425" s="176"/>
      <c r="T425" s="176"/>
      <c r="U425" s="176"/>
      <c r="V425" s="176"/>
      <c r="W425" s="176"/>
      <c r="X425" s="176"/>
      <c r="Y425" s="176"/>
      <c r="Z425" s="176"/>
      <c r="AA425" s="176"/>
    </row>
    <row r="426">
      <c r="A426" s="165" t="str">
        <f>iferror(VLOOKUP(P426,'DO NOT TOUCH Imported'!$A$1:$D$800,4,False),iferror(VLOOKUP(P426,'DO NOT TOUCH Imported'!$C$1:$D$800,2,False),"OOPS FIX ME"))</f>
        <v>liviade</v>
      </c>
      <c r="B426" s="165" t="s">
        <v>486</v>
      </c>
      <c r="C426" s="170" t="s">
        <v>924</v>
      </c>
      <c r="D426" s="236" t="s">
        <v>437</v>
      </c>
      <c r="E426" s="237">
        <v>44299.0</v>
      </c>
      <c r="F426" s="170" t="s">
        <v>439</v>
      </c>
      <c r="G426" s="170">
        <v>1000.0</v>
      </c>
      <c r="H426" s="171">
        <v>50.0</v>
      </c>
      <c r="I426" s="171">
        <v>50.0</v>
      </c>
      <c r="J426" s="172">
        <f t="shared" si="21"/>
        <v>0.0005802079686</v>
      </c>
      <c r="K426" s="173">
        <f t="shared" si="22"/>
        <v>0.6962495623</v>
      </c>
      <c r="L426" s="174">
        <f t="shared" si="4"/>
        <v>8.26473812</v>
      </c>
      <c r="M426" s="175" t="str">
        <f t="shared" si="5"/>
        <v>liviade</v>
      </c>
      <c r="N426" s="176">
        <f>IFERROR(__xludf.DUMMYFUNCTION("""COMPUTED_VALUE"""),43.0)</f>
        <v>43</v>
      </c>
      <c r="O426" s="176"/>
      <c r="P426" s="165" t="s">
        <v>490</v>
      </c>
      <c r="Q426" s="165" t="s">
        <v>486</v>
      </c>
      <c r="R426" s="176"/>
      <c r="S426" s="176"/>
      <c r="T426" s="176"/>
      <c r="U426" s="176"/>
      <c r="V426" s="176"/>
      <c r="W426" s="176"/>
      <c r="X426" s="176"/>
      <c r="Y426" s="176"/>
      <c r="Z426" s="176"/>
      <c r="AA426" s="176"/>
    </row>
    <row r="427">
      <c r="A427" s="165" t="str">
        <f>iferror(VLOOKUP(P427,'DO NOT TOUCH Imported'!$A$1:$D$800,4,False),iferror(VLOOKUP(P427,'DO NOT TOUCH Imported'!$C$1:$D$800,2,False),"OOPS FIX ME"))</f>
        <v>liviade</v>
      </c>
      <c r="B427" s="165" t="s">
        <v>10</v>
      </c>
      <c r="C427" s="170" t="s">
        <v>494</v>
      </c>
      <c r="D427" s="236" t="s">
        <v>495</v>
      </c>
      <c r="E427" s="237">
        <v>44302.0</v>
      </c>
      <c r="F427" s="170" t="s">
        <v>496</v>
      </c>
      <c r="G427" s="170">
        <v>1500.0</v>
      </c>
      <c r="H427" s="171">
        <v>25.0</v>
      </c>
      <c r="I427" s="171">
        <v>40.0</v>
      </c>
      <c r="J427" s="172">
        <f t="shared" si="21"/>
        <v>0.0005021792123</v>
      </c>
      <c r="K427" s="173">
        <f t="shared" si="22"/>
        <v>0.6026150547</v>
      </c>
      <c r="L427" s="174">
        <f t="shared" si="4"/>
        <v>8.26473812</v>
      </c>
      <c r="M427" s="175" t="str">
        <f t="shared" si="5"/>
        <v>liviade</v>
      </c>
      <c r="N427" s="176">
        <f>IFERROR(__xludf.DUMMYFUNCTION("""COMPUTED_VALUE"""),44.0)</f>
        <v>44</v>
      </c>
      <c r="O427" s="176"/>
      <c r="P427" s="165" t="s">
        <v>18</v>
      </c>
      <c r="Q427" s="165" t="s">
        <v>10</v>
      </c>
      <c r="R427" s="176"/>
      <c r="S427" s="176"/>
      <c r="T427" s="176"/>
      <c r="U427" s="176"/>
      <c r="V427" s="176"/>
      <c r="W427" s="176"/>
      <c r="X427" s="176"/>
      <c r="Y427" s="176"/>
      <c r="Z427" s="176"/>
      <c r="AA427" s="176"/>
    </row>
    <row r="428">
      <c r="A428" s="165" t="str">
        <f>iferror(VLOOKUP(P428,'DO NOT TOUCH Imported'!$A$1:$D$800,4,False),iferror(VLOOKUP(P428,'DO NOT TOUCH Imported'!$C$1:$D$800,2,False),"OOPS FIX ME"))</f>
        <v>liviade</v>
      </c>
      <c r="B428" s="165" t="s">
        <v>10</v>
      </c>
      <c r="C428" s="170" t="s">
        <v>494</v>
      </c>
      <c r="D428" s="236" t="s">
        <v>495</v>
      </c>
      <c r="E428" s="237">
        <v>44309.0</v>
      </c>
      <c r="F428" s="170" t="s">
        <v>496</v>
      </c>
      <c r="G428" s="170">
        <v>1500.0</v>
      </c>
      <c r="H428" s="171">
        <v>25.0</v>
      </c>
      <c r="I428" s="171">
        <v>40.0</v>
      </c>
      <c r="J428" s="172">
        <f t="shared" si="21"/>
        <v>0.0005021792123</v>
      </c>
      <c r="K428" s="173">
        <f t="shared" si="22"/>
        <v>0.6026150547</v>
      </c>
      <c r="L428" s="174">
        <f t="shared" si="4"/>
        <v>8.26473812</v>
      </c>
      <c r="M428" s="175" t="str">
        <f t="shared" si="5"/>
        <v>liviade</v>
      </c>
      <c r="N428" s="176">
        <f>IFERROR(__xludf.DUMMYFUNCTION("""COMPUTED_VALUE"""),45.0)</f>
        <v>45</v>
      </c>
      <c r="O428" s="176"/>
      <c r="P428" s="165" t="s">
        <v>18</v>
      </c>
      <c r="Q428" s="165" t="s">
        <v>10</v>
      </c>
      <c r="R428" s="176"/>
      <c r="S428" s="176"/>
      <c r="T428" s="176"/>
      <c r="U428" s="176"/>
      <c r="V428" s="176"/>
      <c r="W428" s="176"/>
      <c r="X428" s="176"/>
      <c r="Y428" s="176"/>
      <c r="Z428" s="176"/>
      <c r="AA428" s="176"/>
    </row>
    <row r="429">
      <c r="A429" s="165" t="str">
        <f>iferror(VLOOKUP(P429,'DO NOT TOUCH Imported'!$A$1:$D$800,4,False),iferror(VLOOKUP(P429,'DO NOT TOUCH Imported'!$C$1:$D$800,2,False),"OOPS FIX ME"))</f>
        <v>liviade</v>
      </c>
      <c r="B429" s="165" t="s">
        <v>10</v>
      </c>
      <c r="C429" s="170" t="s">
        <v>500</v>
      </c>
      <c r="D429" s="236" t="s">
        <v>495</v>
      </c>
      <c r="E429" s="239">
        <v>44302.0</v>
      </c>
      <c r="F429" s="170" t="s">
        <v>496</v>
      </c>
      <c r="G429" s="170">
        <v>500.0</v>
      </c>
      <c r="H429" s="171">
        <v>25.0</v>
      </c>
      <c r="I429" s="171">
        <v>25.0</v>
      </c>
      <c r="J429" s="172">
        <f t="shared" si="21"/>
        <v>0.0002901039843</v>
      </c>
      <c r="K429" s="173">
        <f t="shared" si="22"/>
        <v>0.3481247811</v>
      </c>
      <c r="L429" s="174">
        <f t="shared" si="4"/>
        <v>8.26473812</v>
      </c>
      <c r="M429" s="175" t="str">
        <f t="shared" si="5"/>
        <v>liviade</v>
      </c>
      <c r="N429" s="176">
        <f>IFERROR(__xludf.DUMMYFUNCTION("""COMPUTED_VALUE"""),46.0)</f>
        <v>46</v>
      </c>
      <c r="O429" s="176"/>
      <c r="P429" s="165" t="s">
        <v>18</v>
      </c>
      <c r="Q429" s="165" t="s">
        <v>10</v>
      </c>
      <c r="R429" s="176"/>
      <c r="S429" s="176"/>
      <c r="T429" s="176"/>
      <c r="U429" s="176"/>
      <c r="V429" s="176"/>
      <c r="W429" s="176"/>
      <c r="X429" s="176"/>
      <c r="Y429" s="176"/>
      <c r="Z429" s="176"/>
      <c r="AA429" s="176"/>
    </row>
    <row r="430">
      <c r="A430" s="240" t="str">
        <f>iferror(VLOOKUP(P430,'DO NOT TOUCH Imported'!$A$1:$D$800,4,False),iferror(VLOOKUP(P430,'DO NOT TOUCH Imported'!$C$1:$D$800,2,False),"OOPS FIX ME"))</f>
        <v>liviade</v>
      </c>
      <c r="B430" s="240" t="s">
        <v>492</v>
      </c>
      <c r="C430" s="221" t="s">
        <v>915</v>
      </c>
      <c r="D430" s="241" t="s">
        <v>437</v>
      </c>
      <c r="E430" s="242">
        <v>44300.0</v>
      </c>
      <c r="F430" s="221" t="s">
        <v>439</v>
      </c>
      <c r="G430" s="221"/>
      <c r="H430" s="222"/>
      <c r="I430" s="222"/>
      <c r="J430" s="172">
        <f t="shared" si="21"/>
        <v>0</v>
      </c>
      <c r="K430" s="173">
        <f t="shared" si="22"/>
        <v>0</v>
      </c>
      <c r="L430" s="174">
        <f t="shared" si="4"/>
        <v>8.26473812</v>
      </c>
      <c r="M430" s="175" t="str">
        <f t="shared" si="5"/>
        <v>liviade</v>
      </c>
      <c r="N430" s="209">
        <f>IFERROR(__xludf.DUMMYFUNCTION("""COMPUTED_VALUE"""),47.0)</f>
        <v>47</v>
      </c>
      <c r="O430" s="209"/>
      <c r="P430" s="240" t="s">
        <v>490</v>
      </c>
      <c r="Q430" s="240" t="s">
        <v>492</v>
      </c>
      <c r="R430" s="209"/>
      <c r="S430" s="209"/>
      <c r="T430" s="209"/>
      <c r="U430" s="209"/>
      <c r="V430" s="209"/>
      <c r="W430" s="209"/>
      <c r="X430" s="209"/>
      <c r="Y430" s="209"/>
      <c r="Z430" s="209"/>
      <c r="AA430" s="209"/>
    </row>
    <row r="431">
      <c r="A431" s="185" t="str">
        <f>iferror(VLOOKUP(P431,'DO NOT TOUCH Imported'!$A$1:$D$800,4,False),iferror(VLOOKUP(P431,'DO NOT TOUCH Imported'!$C$1:$D$800,2,False),"OOPS FIX ME"))</f>
        <v>JuankBell</v>
      </c>
      <c r="B431" s="185" t="s">
        <v>534</v>
      </c>
      <c r="C431" s="186" t="s">
        <v>684</v>
      </c>
      <c r="D431" s="187"/>
      <c r="E431" s="188"/>
      <c r="F431" s="189"/>
      <c r="G431" s="190"/>
      <c r="H431" s="190"/>
      <c r="I431" s="190"/>
      <c r="J431" s="191">
        <f t="shared" si="21"/>
        <v>0</v>
      </c>
      <c r="K431" s="192">
        <f>-0.85*51.256</f>
        <v>-43.5676</v>
      </c>
      <c r="L431" s="193">
        <f t="shared" si="4"/>
        <v>7.688681407</v>
      </c>
      <c r="M431" s="194" t="str">
        <f t="shared" si="5"/>
        <v>JuankBell</v>
      </c>
      <c r="N431" s="195">
        <f>IFERROR(__xludf.DUMMYFUNCTION("""COMPUTED_VALUE"""),1.0)</f>
        <v>1</v>
      </c>
      <c r="O431" s="195"/>
      <c r="P431" s="185" t="s">
        <v>15</v>
      </c>
      <c r="Q431" s="185" t="s">
        <v>534</v>
      </c>
      <c r="R431" s="195">
        <v>36.89669088595067</v>
      </c>
      <c r="S431" s="195"/>
      <c r="T431" s="195"/>
      <c r="U431" s="195"/>
      <c r="V431" s="195"/>
      <c r="W431" s="195"/>
      <c r="X431" s="195"/>
      <c r="Y431" s="195"/>
      <c r="Z431" s="195"/>
      <c r="AA431" s="176"/>
    </row>
    <row r="432">
      <c r="A432" s="165" t="str">
        <f>iferror(VLOOKUP(P432,'DO NOT TOUCH Imported'!$A$1:$D$800,4,False),iferror(VLOOKUP(P432,'DO NOT TOUCH Imported'!$C$1:$D$800,2,False),"OOPS FIX ME"))</f>
        <v>JuankBell</v>
      </c>
      <c r="B432" s="165" t="s">
        <v>450</v>
      </c>
      <c r="C432" s="170" t="s">
        <v>971</v>
      </c>
      <c r="D432" s="236" t="s">
        <v>437</v>
      </c>
      <c r="E432" s="239">
        <v>44296.0</v>
      </c>
      <c r="F432" s="170" t="s">
        <v>439</v>
      </c>
      <c r="G432" s="219"/>
      <c r="H432" s="171"/>
      <c r="I432" s="171"/>
      <c r="J432" s="172">
        <f t="shared" si="21"/>
        <v>0</v>
      </c>
      <c r="K432" s="218">
        <v>1.5075376884422111</v>
      </c>
      <c r="L432" s="174">
        <f t="shared" si="4"/>
        <v>7.688681407</v>
      </c>
      <c r="M432" s="175" t="str">
        <f t="shared" si="5"/>
        <v>JuankBell</v>
      </c>
      <c r="N432" s="176">
        <f>IFERROR(__xludf.DUMMYFUNCTION("""COMPUTED_VALUE"""),2.0)</f>
        <v>2</v>
      </c>
      <c r="O432" s="176"/>
      <c r="P432" s="165" t="s">
        <v>443</v>
      </c>
      <c r="Q432" s="165" t="s">
        <v>450</v>
      </c>
      <c r="R432" s="176"/>
      <c r="S432" s="176"/>
      <c r="T432" s="176"/>
      <c r="U432" s="176"/>
      <c r="V432" s="176"/>
      <c r="W432" s="176"/>
      <c r="X432" s="176"/>
      <c r="Y432" s="176"/>
      <c r="Z432" s="176"/>
      <c r="AA432" s="176"/>
    </row>
    <row r="433">
      <c r="A433" s="165" t="str">
        <f>iferror(VLOOKUP(P433,'DO NOT TOUCH Imported'!$A$1:$D$800,4,False),iferror(VLOOKUP(P433,'DO NOT TOUCH Imported'!$C$1:$D$800,2,False),"OOPS FIX ME"))</f>
        <v>JuankBell</v>
      </c>
      <c r="B433" s="165" t="s">
        <v>441</v>
      </c>
      <c r="C433" s="170" t="s">
        <v>905</v>
      </c>
      <c r="D433" s="236" t="s">
        <v>437</v>
      </c>
      <c r="E433" s="237">
        <v>44296.0</v>
      </c>
      <c r="F433" s="170" t="s">
        <v>439</v>
      </c>
      <c r="G433" s="219"/>
      <c r="H433" s="171"/>
      <c r="I433" s="171"/>
      <c r="J433" s="172">
        <f t="shared" si="21"/>
        <v>0</v>
      </c>
      <c r="K433" s="218">
        <v>1.5075376884422111</v>
      </c>
      <c r="L433" s="174">
        <f t="shared" si="4"/>
        <v>7.688681407</v>
      </c>
      <c r="M433" s="175" t="str">
        <f t="shared" si="5"/>
        <v>JuankBell</v>
      </c>
      <c r="N433" s="176">
        <f>IFERROR(__xludf.DUMMYFUNCTION("""COMPUTED_VALUE"""),3.0)</f>
        <v>3</v>
      </c>
      <c r="O433" s="176"/>
      <c r="P433" s="165" t="s">
        <v>443</v>
      </c>
      <c r="Q433" s="165" t="s">
        <v>441</v>
      </c>
      <c r="R433" s="176"/>
      <c r="S433" s="176"/>
      <c r="T433" s="176"/>
      <c r="U433" s="176"/>
      <c r="V433" s="176"/>
      <c r="W433" s="176"/>
      <c r="X433" s="176"/>
      <c r="Y433" s="176"/>
      <c r="Z433" s="176"/>
      <c r="AA433" s="176"/>
    </row>
    <row r="434">
      <c r="A434" s="165" t="str">
        <f>iferror(VLOOKUP(P434,'DO NOT TOUCH Imported'!$A$1:$D$800,4,False),iferror(VLOOKUP(P434,'DO NOT TOUCH Imported'!$C$1:$D$800,2,False),"OOPS FIX ME"))</f>
        <v>JuankBell</v>
      </c>
      <c r="B434" s="165" t="s">
        <v>450</v>
      </c>
      <c r="C434" s="170" t="s">
        <v>1083</v>
      </c>
      <c r="D434" s="236" t="s">
        <v>437</v>
      </c>
      <c r="E434" s="237">
        <v>44296.0</v>
      </c>
      <c r="F434" s="170" t="s">
        <v>960</v>
      </c>
      <c r="G434" s="219"/>
      <c r="H434" s="171"/>
      <c r="I434" s="171"/>
      <c r="J434" s="172">
        <f t="shared" si="21"/>
        <v>0</v>
      </c>
      <c r="K434" s="218">
        <v>1.5075376884422111</v>
      </c>
      <c r="L434" s="174">
        <f t="shared" si="4"/>
        <v>7.688681407</v>
      </c>
      <c r="M434" s="175" t="str">
        <f t="shared" si="5"/>
        <v>JuankBell</v>
      </c>
      <c r="N434" s="176">
        <f>IFERROR(__xludf.DUMMYFUNCTION("""COMPUTED_VALUE"""),4.0)</f>
        <v>4</v>
      </c>
      <c r="O434" s="176"/>
      <c r="P434" s="165" t="s">
        <v>443</v>
      </c>
      <c r="Q434" s="165" t="s">
        <v>450</v>
      </c>
      <c r="R434" s="176"/>
      <c r="S434" s="176"/>
      <c r="T434" s="176"/>
      <c r="U434" s="176"/>
      <c r="V434" s="176"/>
      <c r="W434" s="176"/>
      <c r="X434" s="176"/>
      <c r="Y434" s="176"/>
      <c r="Z434" s="176"/>
      <c r="AA434" s="176"/>
    </row>
    <row r="435">
      <c r="A435" s="165" t="str">
        <f>iferror(VLOOKUP(P435,'DO NOT TOUCH Imported'!$A$1:$D$800,4,False),iferror(VLOOKUP(P435,'DO NOT TOUCH Imported'!$C$1:$D$800,2,False),"OOPS FIX ME"))</f>
        <v>JuankBell</v>
      </c>
      <c r="B435" s="165" t="s">
        <v>441</v>
      </c>
      <c r="C435" s="170" t="s">
        <v>907</v>
      </c>
      <c r="D435" s="236" t="s">
        <v>437</v>
      </c>
      <c r="E435" s="237">
        <v>44298.0</v>
      </c>
      <c r="F435" s="170" t="s">
        <v>439</v>
      </c>
      <c r="G435" s="219"/>
      <c r="H435" s="171"/>
      <c r="I435" s="171"/>
      <c r="J435" s="172">
        <f t="shared" si="21"/>
        <v>0</v>
      </c>
      <c r="K435" s="218">
        <v>1.5075376884422111</v>
      </c>
      <c r="L435" s="174">
        <f t="shared" si="4"/>
        <v>7.688681407</v>
      </c>
      <c r="M435" s="175" t="str">
        <f t="shared" si="5"/>
        <v>JuankBell</v>
      </c>
      <c r="N435" s="176">
        <f>IFERROR(__xludf.DUMMYFUNCTION("""COMPUTED_VALUE"""),5.0)</f>
        <v>5</v>
      </c>
      <c r="O435" s="176"/>
      <c r="P435" s="165" t="s">
        <v>443</v>
      </c>
      <c r="Q435" s="165" t="s">
        <v>441</v>
      </c>
      <c r="R435" s="176"/>
      <c r="S435" s="176"/>
      <c r="T435" s="176"/>
      <c r="U435" s="176"/>
      <c r="V435" s="176"/>
      <c r="W435" s="176"/>
      <c r="X435" s="176"/>
      <c r="Y435" s="176"/>
      <c r="Z435" s="176"/>
      <c r="AA435" s="176"/>
    </row>
    <row r="436">
      <c r="A436" s="165" t="str">
        <f>iferror(VLOOKUP(P436,'DO NOT TOUCH Imported'!$A$1:$D$800,4,False),iferror(VLOOKUP(P436,'DO NOT TOUCH Imported'!$C$1:$D$800,2,False),"OOPS FIX ME"))</f>
        <v>JuankBell</v>
      </c>
      <c r="B436" s="165" t="s">
        <v>490</v>
      </c>
      <c r="C436" s="170" t="s">
        <v>1001</v>
      </c>
      <c r="D436" s="236" t="s">
        <v>437</v>
      </c>
      <c r="E436" s="237">
        <v>44298.0</v>
      </c>
      <c r="F436" s="170" t="s">
        <v>439</v>
      </c>
      <c r="G436" s="219"/>
      <c r="H436" s="171"/>
      <c r="I436" s="171"/>
      <c r="J436" s="172">
        <f t="shared" si="21"/>
        <v>0</v>
      </c>
      <c r="K436" s="218">
        <v>1.5075376884422111</v>
      </c>
      <c r="L436" s="174">
        <f t="shared" si="4"/>
        <v>7.688681407</v>
      </c>
      <c r="M436" s="175" t="str">
        <f t="shared" si="5"/>
        <v>JuankBell</v>
      </c>
      <c r="N436" s="176">
        <f>IFERROR(__xludf.DUMMYFUNCTION("""COMPUTED_VALUE"""),6.0)</f>
        <v>6</v>
      </c>
      <c r="O436" s="176"/>
      <c r="P436" s="165" t="s">
        <v>443</v>
      </c>
      <c r="Q436" s="165" t="s">
        <v>490</v>
      </c>
      <c r="R436" s="176"/>
      <c r="S436" s="176"/>
      <c r="T436" s="176"/>
      <c r="U436" s="176"/>
      <c r="V436" s="176"/>
      <c r="W436" s="176"/>
      <c r="X436" s="176"/>
      <c r="Y436" s="176"/>
      <c r="Z436" s="176"/>
      <c r="AA436" s="176"/>
    </row>
    <row r="437">
      <c r="A437" s="165" t="str">
        <f>iferror(VLOOKUP(P437,'DO NOT TOUCH Imported'!$A$1:$D$800,4,False),iferror(VLOOKUP(P437,'DO NOT TOUCH Imported'!$C$1:$D$800,2,False),"OOPS FIX ME"))</f>
        <v>JuankBell</v>
      </c>
      <c r="B437" s="165" t="s">
        <v>782</v>
      </c>
      <c r="C437" s="170" t="s">
        <v>1084</v>
      </c>
      <c r="D437" s="236" t="s">
        <v>437</v>
      </c>
      <c r="E437" s="237">
        <v>44299.0</v>
      </c>
      <c r="F437" s="170" t="s">
        <v>439</v>
      </c>
      <c r="G437" s="219"/>
      <c r="H437" s="171"/>
      <c r="I437" s="171"/>
      <c r="J437" s="172">
        <f t="shared" si="21"/>
        <v>0</v>
      </c>
      <c r="K437" s="218">
        <v>1.5075376884422111</v>
      </c>
      <c r="L437" s="174">
        <f t="shared" si="4"/>
        <v>7.688681407</v>
      </c>
      <c r="M437" s="175" t="str">
        <f t="shared" si="5"/>
        <v>JuankBell</v>
      </c>
      <c r="N437" s="176">
        <f>IFERROR(__xludf.DUMMYFUNCTION("""COMPUTED_VALUE"""),7.0)</f>
        <v>7</v>
      </c>
      <c r="O437" s="176"/>
      <c r="P437" s="165" t="s">
        <v>443</v>
      </c>
      <c r="Q437" s="165" t="s">
        <v>782</v>
      </c>
      <c r="R437" s="176"/>
      <c r="S437" s="176"/>
      <c r="T437" s="176"/>
      <c r="U437" s="176"/>
      <c r="V437" s="176"/>
      <c r="W437" s="176"/>
      <c r="X437" s="176"/>
      <c r="Y437" s="176"/>
      <c r="Z437" s="176"/>
      <c r="AA437" s="176"/>
    </row>
    <row r="438">
      <c r="A438" s="165" t="str">
        <f>iferror(VLOOKUP(P438,'DO NOT TOUCH Imported'!$A$1:$D$800,4,False),iferror(VLOOKUP(P438,'DO NOT TOUCH Imported'!$C$1:$D$800,2,False),"OOPS FIX ME"))</f>
        <v>JuankBell</v>
      </c>
      <c r="B438" s="165" t="s">
        <v>486</v>
      </c>
      <c r="C438" s="170" t="s">
        <v>924</v>
      </c>
      <c r="D438" s="236" t="s">
        <v>437</v>
      </c>
      <c r="E438" s="237">
        <v>44299.0</v>
      </c>
      <c r="F438" s="170" t="s">
        <v>439</v>
      </c>
      <c r="G438" s="219"/>
      <c r="H438" s="171"/>
      <c r="I438" s="171"/>
      <c r="J438" s="172">
        <f t="shared" si="21"/>
        <v>0</v>
      </c>
      <c r="K438" s="218">
        <v>1.5075376884422111</v>
      </c>
      <c r="L438" s="174">
        <f t="shared" si="4"/>
        <v>7.688681407</v>
      </c>
      <c r="M438" s="175" t="str">
        <f t="shared" si="5"/>
        <v>JuankBell</v>
      </c>
      <c r="N438" s="176">
        <f>IFERROR(__xludf.DUMMYFUNCTION("""COMPUTED_VALUE"""),8.0)</f>
        <v>8</v>
      </c>
      <c r="O438" s="176"/>
      <c r="P438" s="165" t="s">
        <v>443</v>
      </c>
      <c r="Q438" s="165" t="s">
        <v>486</v>
      </c>
      <c r="R438" s="176"/>
      <c r="S438" s="176"/>
      <c r="T438" s="176"/>
      <c r="U438" s="176"/>
      <c r="V438" s="176"/>
      <c r="W438" s="176"/>
      <c r="X438" s="176"/>
      <c r="Y438" s="176"/>
      <c r="Z438" s="176"/>
      <c r="AA438" s="176"/>
    </row>
    <row r="439">
      <c r="A439" s="165" t="str">
        <f>iferror(VLOOKUP(P439,'DO NOT TOUCH Imported'!$A$1:$D$800,4,False),iferror(VLOOKUP(P439,'DO NOT TOUCH Imported'!$C$1:$D$800,2,False),"OOPS FIX ME"))</f>
        <v>JuankBell</v>
      </c>
      <c r="B439" s="165" t="s">
        <v>490</v>
      </c>
      <c r="C439" s="170" t="s">
        <v>914</v>
      </c>
      <c r="D439" s="236" t="s">
        <v>437</v>
      </c>
      <c r="E439" s="239">
        <v>44299.0</v>
      </c>
      <c r="F439" s="170" t="s">
        <v>439</v>
      </c>
      <c r="G439" s="219"/>
      <c r="H439" s="171"/>
      <c r="I439" s="171"/>
      <c r="J439" s="172">
        <f t="shared" si="21"/>
        <v>0</v>
      </c>
      <c r="K439" s="218">
        <v>1.5075376884422111</v>
      </c>
      <c r="L439" s="174">
        <f t="shared" si="4"/>
        <v>7.688681407</v>
      </c>
      <c r="M439" s="175" t="str">
        <f t="shared" si="5"/>
        <v>JuankBell</v>
      </c>
      <c r="N439" s="176">
        <f>IFERROR(__xludf.DUMMYFUNCTION("""COMPUTED_VALUE"""),9.0)</f>
        <v>9</v>
      </c>
      <c r="O439" s="176"/>
      <c r="P439" s="165" t="s">
        <v>443</v>
      </c>
      <c r="Q439" s="165" t="s">
        <v>490</v>
      </c>
      <c r="R439" s="176"/>
      <c r="S439" s="176"/>
      <c r="T439" s="176"/>
      <c r="U439" s="176"/>
      <c r="V439" s="176"/>
      <c r="W439" s="176"/>
      <c r="X439" s="176"/>
      <c r="Y439" s="176"/>
      <c r="Z439" s="176"/>
      <c r="AA439" s="176"/>
    </row>
    <row r="440">
      <c r="A440" s="165" t="str">
        <f>iferror(VLOOKUP(P440,'DO NOT TOUCH Imported'!$A$1:$D$800,4,False),iferror(VLOOKUP(P440,'DO NOT TOUCH Imported'!$C$1:$D$800,2,False),"OOPS FIX ME"))</f>
        <v>JuankBell</v>
      </c>
      <c r="B440" s="165" t="s">
        <v>492</v>
      </c>
      <c r="C440" s="170" t="s">
        <v>915</v>
      </c>
      <c r="D440" s="236" t="s">
        <v>437</v>
      </c>
      <c r="E440" s="237">
        <v>44300.0</v>
      </c>
      <c r="F440" s="170" t="s">
        <v>439</v>
      </c>
      <c r="G440" s="219"/>
      <c r="H440" s="171"/>
      <c r="I440" s="171"/>
      <c r="J440" s="172">
        <f t="shared" si="21"/>
        <v>0</v>
      </c>
      <c r="K440" s="218">
        <v>1.5075376884422111</v>
      </c>
      <c r="L440" s="174">
        <f t="shared" si="4"/>
        <v>7.688681407</v>
      </c>
      <c r="M440" s="175" t="str">
        <f t="shared" si="5"/>
        <v>JuankBell</v>
      </c>
      <c r="N440" s="176">
        <f>IFERROR(__xludf.DUMMYFUNCTION("""COMPUTED_VALUE"""),10.0)</f>
        <v>10</v>
      </c>
      <c r="O440" s="176"/>
      <c r="P440" s="165" t="s">
        <v>443</v>
      </c>
      <c r="Q440" s="165" t="s">
        <v>492</v>
      </c>
      <c r="R440" s="176"/>
      <c r="S440" s="176"/>
      <c r="T440" s="176"/>
      <c r="U440" s="176"/>
      <c r="V440" s="176"/>
      <c r="W440" s="176"/>
      <c r="X440" s="176"/>
      <c r="Y440" s="176"/>
      <c r="Z440" s="176"/>
      <c r="AA440" s="176"/>
    </row>
    <row r="441">
      <c r="A441" s="165" t="str">
        <f>iferror(VLOOKUP(P441,'DO NOT TOUCH Imported'!$A$1:$D$800,4,False),iferror(VLOOKUP(P441,'DO NOT TOUCH Imported'!$C$1:$D$800,2,False),"OOPS FIX ME"))</f>
        <v>JuankBell</v>
      </c>
      <c r="B441" s="165" t="s">
        <v>492</v>
      </c>
      <c r="C441" s="170" t="s">
        <v>915</v>
      </c>
      <c r="D441" s="236" t="s">
        <v>437</v>
      </c>
      <c r="E441" s="237">
        <v>44300.0</v>
      </c>
      <c r="F441" s="170" t="s">
        <v>439</v>
      </c>
      <c r="G441" s="219"/>
      <c r="H441" s="171"/>
      <c r="I441" s="171"/>
      <c r="J441" s="172">
        <f t="shared" si="21"/>
        <v>0</v>
      </c>
      <c r="K441" s="218">
        <v>1.5075376884422111</v>
      </c>
      <c r="L441" s="174">
        <f t="shared" si="4"/>
        <v>7.688681407</v>
      </c>
      <c r="M441" s="175" t="str">
        <f t="shared" si="5"/>
        <v>JuankBell</v>
      </c>
      <c r="N441" s="176">
        <f>IFERROR(__xludf.DUMMYFUNCTION("""COMPUTED_VALUE"""),11.0)</f>
        <v>11</v>
      </c>
      <c r="O441" s="176"/>
      <c r="P441" s="165" t="s">
        <v>443</v>
      </c>
      <c r="Q441" s="165" t="s">
        <v>492</v>
      </c>
      <c r="R441" s="176"/>
      <c r="S441" s="176"/>
      <c r="T441" s="176"/>
      <c r="U441" s="176"/>
      <c r="V441" s="176"/>
      <c r="W441" s="176"/>
      <c r="X441" s="176"/>
      <c r="Y441" s="176"/>
      <c r="Z441" s="176"/>
      <c r="AA441" s="176"/>
    </row>
    <row r="442">
      <c r="A442" s="165" t="str">
        <f>iferror(VLOOKUP(P442,'DO NOT TOUCH Imported'!$A$1:$D$800,4,False),iferror(VLOOKUP(P442,'DO NOT TOUCH Imported'!$C$1:$D$800,2,False),"OOPS FIX ME"))</f>
        <v>JuankBell</v>
      </c>
      <c r="B442" s="165" t="s">
        <v>440</v>
      </c>
      <c r="C442" s="170" t="s">
        <v>916</v>
      </c>
      <c r="D442" s="236" t="s">
        <v>437</v>
      </c>
      <c r="E442" s="239">
        <v>44300.0</v>
      </c>
      <c r="F442" s="170" t="s">
        <v>439</v>
      </c>
      <c r="G442" s="219"/>
      <c r="H442" s="171"/>
      <c r="I442" s="171"/>
      <c r="J442" s="172">
        <f t="shared" si="21"/>
        <v>0</v>
      </c>
      <c r="K442" s="218">
        <v>1.5075376884422111</v>
      </c>
      <c r="L442" s="174">
        <f t="shared" si="4"/>
        <v>7.688681407</v>
      </c>
      <c r="M442" s="175" t="str">
        <f t="shared" si="5"/>
        <v>JuankBell</v>
      </c>
      <c r="N442" s="176">
        <f>IFERROR(__xludf.DUMMYFUNCTION("""COMPUTED_VALUE"""),12.0)</f>
        <v>12</v>
      </c>
      <c r="O442" s="176"/>
      <c r="P442" s="165" t="s">
        <v>443</v>
      </c>
      <c r="Q442" s="165" t="s">
        <v>440</v>
      </c>
      <c r="R442" s="176"/>
      <c r="S442" s="176"/>
      <c r="T442" s="176"/>
      <c r="U442" s="176"/>
      <c r="V442" s="176"/>
      <c r="W442" s="176"/>
      <c r="X442" s="176"/>
      <c r="Y442" s="176"/>
      <c r="Z442" s="176"/>
      <c r="AA442" s="176"/>
    </row>
    <row r="443">
      <c r="A443" s="165" t="str">
        <f>iferror(VLOOKUP(P443,'DO NOT TOUCH Imported'!$A$1:$D$800,4,False),iferror(VLOOKUP(P443,'DO NOT TOUCH Imported'!$C$1:$D$800,2,False),"OOPS FIX ME"))</f>
        <v>JuankBell</v>
      </c>
      <c r="B443" s="165" t="s">
        <v>440</v>
      </c>
      <c r="C443" s="170" t="s">
        <v>1085</v>
      </c>
      <c r="D443" s="236" t="s">
        <v>437</v>
      </c>
      <c r="E443" s="239">
        <v>44301.0</v>
      </c>
      <c r="F443" s="170" t="s">
        <v>439</v>
      </c>
      <c r="G443" s="219"/>
      <c r="H443" s="171"/>
      <c r="I443" s="171"/>
      <c r="J443" s="172">
        <f t="shared" si="21"/>
        <v>0</v>
      </c>
      <c r="K443" s="218">
        <v>1.5075376884422111</v>
      </c>
      <c r="L443" s="174">
        <f t="shared" si="4"/>
        <v>7.688681407</v>
      </c>
      <c r="M443" s="175" t="str">
        <f t="shared" si="5"/>
        <v>JuankBell</v>
      </c>
      <c r="N443" s="176">
        <f>IFERROR(__xludf.DUMMYFUNCTION("""COMPUTED_VALUE"""),13.0)</f>
        <v>13</v>
      </c>
      <c r="O443" s="176"/>
      <c r="P443" s="165" t="s">
        <v>443</v>
      </c>
      <c r="Q443" s="165" t="s">
        <v>440</v>
      </c>
      <c r="R443" s="176"/>
      <c r="S443" s="176"/>
      <c r="T443" s="176"/>
      <c r="U443" s="176"/>
      <c r="V443" s="176"/>
      <c r="W443" s="176"/>
      <c r="X443" s="176"/>
      <c r="Y443" s="176"/>
      <c r="Z443" s="176"/>
      <c r="AA443" s="176"/>
    </row>
    <row r="444">
      <c r="A444" s="165" t="str">
        <f>iferror(VLOOKUP(P444,'DO NOT TOUCH Imported'!$A$1:$D$800,4,False),iferror(VLOOKUP(P444,'DO NOT TOUCH Imported'!$C$1:$D$800,2,False),"OOPS FIX ME"))</f>
        <v>JuankBell</v>
      </c>
      <c r="B444" s="165" t="s">
        <v>483</v>
      </c>
      <c r="C444" s="170" t="s">
        <v>893</v>
      </c>
      <c r="D444" s="236" t="s">
        <v>437</v>
      </c>
      <c r="E444" s="237">
        <v>44301.0</v>
      </c>
      <c r="F444" s="170" t="s">
        <v>439</v>
      </c>
      <c r="G444" s="219"/>
      <c r="H444" s="171"/>
      <c r="I444" s="171"/>
      <c r="J444" s="172">
        <f t="shared" si="21"/>
        <v>0</v>
      </c>
      <c r="K444" s="218">
        <v>1.5075376884422111</v>
      </c>
      <c r="L444" s="174">
        <f t="shared" si="4"/>
        <v>7.688681407</v>
      </c>
      <c r="M444" s="175" t="str">
        <f t="shared" si="5"/>
        <v>JuankBell</v>
      </c>
      <c r="N444" s="176">
        <f>IFERROR(__xludf.DUMMYFUNCTION("""COMPUTED_VALUE"""),14.0)</f>
        <v>14</v>
      </c>
      <c r="O444" s="176"/>
      <c r="P444" s="165" t="s">
        <v>443</v>
      </c>
      <c r="Q444" s="165" t="s">
        <v>483</v>
      </c>
      <c r="R444" s="176"/>
      <c r="S444" s="176"/>
      <c r="T444" s="176"/>
      <c r="U444" s="176"/>
      <c r="V444" s="176"/>
      <c r="W444" s="176"/>
      <c r="X444" s="176"/>
      <c r="Y444" s="176"/>
      <c r="Z444" s="176"/>
      <c r="AA444" s="176"/>
    </row>
    <row r="445">
      <c r="A445" s="165" t="str">
        <f>iferror(VLOOKUP(P445,'DO NOT TOUCH Imported'!$A$1:$D$800,4,False),iferror(VLOOKUP(P445,'DO NOT TOUCH Imported'!$C$1:$D$800,2,False),"OOPS FIX ME"))</f>
        <v>JuankBell</v>
      </c>
      <c r="B445" s="165" t="s">
        <v>782</v>
      </c>
      <c r="C445" s="170" t="s">
        <v>894</v>
      </c>
      <c r="D445" s="236" t="s">
        <v>437</v>
      </c>
      <c r="E445" s="237">
        <v>44301.0</v>
      </c>
      <c r="F445" s="170" t="s">
        <v>439</v>
      </c>
      <c r="G445" s="219"/>
      <c r="H445" s="171"/>
      <c r="I445" s="171"/>
      <c r="J445" s="172">
        <f t="shared" si="21"/>
        <v>0</v>
      </c>
      <c r="K445" s="218">
        <v>1.5075376884422111</v>
      </c>
      <c r="L445" s="174">
        <f t="shared" si="4"/>
        <v>7.688681407</v>
      </c>
      <c r="M445" s="175" t="str">
        <f t="shared" si="5"/>
        <v>JuankBell</v>
      </c>
      <c r="N445" s="176">
        <f>IFERROR(__xludf.DUMMYFUNCTION("""COMPUTED_VALUE"""),15.0)</f>
        <v>15</v>
      </c>
      <c r="O445" s="176"/>
      <c r="P445" s="165" t="s">
        <v>443</v>
      </c>
      <c r="Q445" s="165" t="s">
        <v>782</v>
      </c>
      <c r="R445" s="176"/>
      <c r="S445" s="176"/>
      <c r="T445" s="176"/>
      <c r="U445" s="176"/>
      <c r="V445" s="176"/>
      <c r="W445" s="176"/>
      <c r="X445" s="176"/>
      <c r="Y445" s="176"/>
      <c r="Z445" s="176"/>
      <c r="AA445" s="176"/>
    </row>
    <row r="446">
      <c r="A446" s="165" t="str">
        <f>iferror(VLOOKUP(P446,'DO NOT TOUCH Imported'!$A$1:$D$800,4,False),iferror(VLOOKUP(P446,'DO NOT TOUCH Imported'!$C$1:$D$800,2,False),"OOPS FIX ME"))</f>
        <v>JuankBell</v>
      </c>
      <c r="B446" s="165" t="s">
        <v>440</v>
      </c>
      <c r="C446" s="170" t="s">
        <v>917</v>
      </c>
      <c r="D446" s="236" t="s">
        <v>437</v>
      </c>
      <c r="E446" s="239">
        <v>44301.0</v>
      </c>
      <c r="F446" s="170" t="s">
        <v>439</v>
      </c>
      <c r="G446" s="219"/>
      <c r="H446" s="171"/>
      <c r="I446" s="171"/>
      <c r="J446" s="172">
        <f t="shared" si="21"/>
        <v>0</v>
      </c>
      <c r="K446" s="218">
        <v>1.5075376884422111</v>
      </c>
      <c r="L446" s="174">
        <f t="shared" si="4"/>
        <v>7.688681407</v>
      </c>
      <c r="M446" s="175" t="str">
        <f t="shared" si="5"/>
        <v>JuankBell</v>
      </c>
      <c r="N446" s="176">
        <f>IFERROR(__xludf.DUMMYFUNCTION("""COMPUTED_VALUE"""),16.0)</f>
        <v>16</v>
      </c>
      <c r="O446" s="176"/>
      <c r="P446" s="165" t="s">
        <v>443</v>
      </c>
      <c r="Q446" s="165" t="s">
        <v>440</v>
      </c>
      <c r="R446" s="176"/>
      <c r="S446" s="176"/>
      <c r="T446" s="176"/>
      <c r="U446" s="176"/>
      <c r="V446" s="176"/>
      <c r="W446" s="176"/>
      <c r="X446" s="176"/>
      <c r="Y446" s="176"/>
      <c r="Z446" s="176"/>
      <c r="AA446" s="176"/>
    </row>
    <row r="447">
      <c r="A447" s="165" t="str">
        <f>iferror(VLOOKUP(P447,'DO NOT TOUCH Imported'!$A$1:$D$800,4,False),iferror(VLOOKUP(P447,'DO NOT TOUCH Imported'!$C$1:$D$800,2,False),"OOPS FIX ME"))</f>
        <v>JuankBell</v>
      </c>
      <c r="B447" s="165" t="s">
        <v>46</v>
      </c>
      <c r="C447" s="170" t="s">
        <v>1086</v>
      </c>
      <c r="D447" s="236" t="s">
        <v>437</v>
      </c>
      <c r="E447" s="237">
        <v>44301.0</v>
      </c>
      <c r="F447" s="170" t="s">
        <v>439</v>
      </c>
      <c r="G447" s="219"/>
      <c r="H447" s="171"/>
      <c r="I447" s="171"/>
      <c r="J447" s="172">
        <f t="shared" si="21"/>
        <v>0</v>
      </c>
      <c r="K447" s="218">
        <v>1.5075376884422111</v>
      </c>
      <c r="L447" s="174">
        <f t="shared" si="4"/>
        <v>7.688681407</v>
      </c>
      <c r="M447" s="175" t="str">
        <f t="shared" si="5"/>
        <v>JuankBell</v>
      </c>
      <c r="N447" s="176">
        <f>IFERROR(__xludf.DUMMYFUNCTION("""COMPUTED_VALUE"""),17.0)</f>
        <v>17</v>
      </c>
      <c r="O447" s="176"/>
      <c r="P447" s="165" t="s">
        <v>443</v>
      </c>
      <c r="Q447" s="165" t="s">
        <v>46</v>
      </c>
      <c r="R447" s="176"/>
      <c r="S447" s="176"/>
      <c r="T447" s="176"/>
      <c r="U447" s="176"/>
      <c r="V447" s="176"/>
      <c r="W447" s="176"/>
      <c r="X447" s="176"/>
      <c r="Y447" s="176"/>
      <c r="Z447" s="176"/>
      <c r="AA447" s="176"/>
    </row>
    <row r="448">
      <c r="A448" s="165" t="str">
        <f>iferror(VLOOKUP(P448,'DO NOT TOUCH Imported'!$A$1:$D$800,4,False),iferror(VLOOKUP(P448,'DO NOT TOUCH Imported'!$C$1:$D$800,2,False),"OOPS FIX ME"))</f>
        <v>JuankBell</v>
      </c>
      <c r="B448" s="165" t="s">
        <v>441</v>
      </c>
      <c r="C448" s="170" t="s">
        <v>918</v>
      </c>
      <c r="D448" s="236" t="s">
        <v>437</v>
      </c>
      <c r="E448" s="237">
        <v>44302.0</v>
      </c>
      <c r="F448" s="170" t="s">
        <v>439</v>
      </c>
      <c r="G448" s="219"/>
      <c r="H448" s="243"/>
      <c r="I448" s="243"/>
      <c r="J448" s="172">
        <f t="shared" si="21"/>
        <v>0</v>
      </c>
      <c r="K448" s="218">
        <v>1.5075376884422111</v>
      </c>
      <c r="L448" s="174">
        <f t="shared" si="4"/>
        <v>7.688681407</v>
      </c>
      <c r="M448" s="175" t="str">
        <f t="shared" si="5"/>
        <v>JuankBell</v>
      </c>
      <c r="N448" s="176">
        <f>IFERROR(__xludf.DUMMYFUNCTION("""COMPUTED_VALUE"""),18.0)</f>
        <v>18</v>
      </c>
      <c r="O448" s="176"/>
      <c r="P448" s="165" t="s">
        <v>443</v>
      </c>
      <c r="Q448" s="165" t="s">
        <v>441</v>
      </c>
      <c r="R448" s="176"/>
      <c r="S448" s="176"/>
      <c r="T448" s="176"/>
      <c r="U448" s="176"/>
      <c r="V448" s="176"/>
      <c r="W448" s="176"/>
      <c r="X448" s="176"/>
      <c r="Y448" s="176"/>
      <c r="Z448" s="176"/>
      <c r="AA448" s="176"/>
    </row>
    <row r="449">
      <c r="A449" s="165" t="str">
        <f>iferror(VLOOKUP(P449,'DO NOT TOUCH Imported'!$A$1:$D$800,4,False),iferror(VLOOKUP(P449,'DO NOT TOUCH Imported'!$C$1:$D$800,2,False),"OOPS FIX ME"))</f>
        <v>JuankBell</v>
      </c>
      <c r="B449" s="165" t="s">
        <v>435</v>
      </c>
      <c r="C449" s="170" t="s">
        <v>900</v>
      </c>
      <c r="D449" s="236" t="s">
        <v>437</v>
      </c>
      <c r="E449" s="237">
        <v>44302.0</v>
      </c>
      <c r="F449" s="170" t="s">
        <v>439</v>
      </c>
      <c r="G449" s="219"/>
      <c r="H449" s="171"/>
      <c r="I449" s="171"/>
      <c r="J449" s="172">
        <f t="shared" si="21"/>
        <v>0</v>
      </c>
      <c r="K449" s="218">
        <v>1.5075376884422111</v>
      </c>
      <c r="L449" s="174">
        <f t="shared" si="4"/>
        <v>7.688681407</v>
      </c>
      <c r="M449" s="175" t="str">
        <f t="shared" si="5"/>
        <v>JuankBell</v>
      </c>
      <c r="N449" s="176">
        <f>IFERROR(__xludf.DUMMYFUNCTION("""COMPUTED_VALUE"""),19.0)</f>
        <v>19</v>
      </c>
      <c r="O449" s="176"/>
      <c r="P449" s="165" t="s">
        <v>443</v>
      </c>
      <c r="Q449" s="165" t="s">
        <v>435</v>
      </c>
      <c r="R449" s="176"/>
      <c r="S449" s="176"/>
      <c r="T449" s="176"/>
      <c r="U449" s="176"/>
      <c r="V449" s="176"/>
      <c r="W449" s="176"/>
      <c r="X449" s="176"/>
      <c r="Y449" s="176"/>
      <c r="Z449" s="176"/>
      <c r="AA449" s="176"/>
    </row>
    <row r="450">
      <c r="A450" s="165" t="str">
        <f>iferror(VLOOKUP(P450,'DO NOT TOUCH Imported'!$A$1:$D$800,4,False),iferror(VLOOKUP(P450,'DO NOT TOUCH Imported'!$C$1:$D$800,2,False),"OOPS FIX ME"))</f>
        <v>JuankBell</v>
      </c>
      <c r="B450" s="165" t="s">
        <v>576</v>
      </c>
      <c r="C450" s="170" t="s">
        <v>919</v>
      </c>
      <c r="D450" s="236" t="s">
        <v>437</v>
      </c>
      <c r="E450" s="237">
        <v>44302.0</v>
      </c>
      <c r="F450" s="170" t="s">
        <v>439</v>
      </c>
      <c r="G450" s="219"/>
      <c r="H450" s="171"/>
      <c r="I450" s="171"/>
      <c r="J450" s="172">
        <f t="shared" si="21"/>
        <v>0</v>
      </c>
      <c r="K450" s="218">
        <v>1.5075376884422111</v>
      </c>
      <c r="L450" s="174">
        <f t="shared" si="4"/>
        <v>7.688681407</v>
      </c>
      <c r="M450" s="175" t="str">
        <f t="shared" si="5"/>
        <v>JuankBell</v>
      </c>
      <c r="N450" s="176">
        <f>IFERROR(__xludf.DUMMYFUNCTION("""COMPUTED_VALUE"""),20.0)</f>
        <v>20</v>
      </c>
      <c r="O450" s="176"/>
      <c r="P450" s="165" t="s">
        <v>443</v>
      </c>
      <c r="Q450" s="165" t="s">
        <v>576</v>
      </c>
      <c r="R450" s="176"/>
      <c r="S450" s="176"/>
      <c r="T450" s="176"/>
      <c r="U450" s="176"/>
      <c r="V450" s="176"/>
      <c r="W450" s="176"/>
      <c r="X450" s="176"/>
      <c r="Y450" s="176"/>
      <c r="Z450" s="176"/>
      <c r="AA450" s="176"/>
    </row>
    <row r="451">
      <c r="A451" s="165" t="str">
        <f>iferror(VLOOKUP(P451,'DO NOT TOUCH Imported'!$A$1:$D$800,4,False),iferror(VLOOKUP(P451,'DO NOT TOUCH Imported'!$C$1:$D$800,2,False),"OOPS FIX ME"))</f>
        <v>JuankBell</v>
      </c>
      <c r="B451" s="165" t="s">
        <v>435</v>
      </c>
      <c r="C451" s="170" t="s">
        <v>910</v>
      </c>
      <c r="D451" s="236" t="s">
        <v>437</v>
      </c>
      <c r="E451" s="239">
        <v>44302.0</v>
      </c>
      <c r="F451" s="170" t="s">
        <v>911</v>
      </c>
      <c r="G451" s="219"/>
      <c r="H451" s="171"/>
      <c r="I451" s="171"/>
      <c r="J451" s="172">
        <f t="shared" si="21"/>
        <v>0</v>
      </c>
      <c r="K451" s="218">
        <v>1.5075376884422111</v>
      </c>
      <c r="L451" s="174">
        <f t="shared" si="4"/>
        <v>7.688681407</v>
      </c>
      <c r="M451" s="175" t="str">
        <f t="shared" si="5"/>
        <v>JuankBell</v>
      </c>
      <c r="N451" s="176">
        <f>IFERROR(__xludf.DUMMYFUNCTION("""COMPUTED_VALUE"""),21.0)</f>
        <v>21</v>
      </c>
      <c r="O451" s="176"/>
      <c r="P451" s="165" t="s">
        <v>443</v>
      </c>
      <c r="Q451" s="165" t="s">
        <v>435</v>
      </c>
      <c r="R451" s="176"/>
      <c r="S451" s="176"/>
      <c r="T451" s="176"/>
      <c r="U451" s="176"/>
      <c r="V451" s="176"/>
      <c r="W451" s="176"/>
      <c r="X451" s="176"/>
      <c r="Y451" s="176"/>
      <c r="Z451" s="176"/>
      <c r="AA451" s="176"/>
    </row>
    <row r="452">
      <c r="A452" s="165" t="str">
        <f>iferror(VLOOKUP(P452,'DO NOT TOUCH Imported'!$A$1:$D$800,4,False),iferror(VLOOKUP(P452,'DO NOT TOUCH Imported'!$C$1:$D$800,2,False),"OOPS FIX ME"))</f>
        <v>JuankBell</v>
      </c>
      <c r="B452" s="165" t="s">
        <v>450</v>
      </c>
      <c r="C452" s="170" t="s">
        <v>998</v>
      </c>
      <c r="D452" s="236" t="s">
        <v>437</v>
      </c>
      <c r="E452" s="239">
        <v>44303.0</v>
      </c>
      <c r="F452" s="170" t="s">
        <v>439</v>
      </c>
      <c r="G452" s="219"/>
      <c r="H452" s="171"/>
      <c r="I452" s="171"/>
      <c r="J452" s="172">
        <f t="shared" si="21"/>
        <v>0</v>
      </c>
      <c r="K452" s="218">
        <v>1.5075376884422111</v>
      </c>
      <c r="L452" s="174">
        <f t="shared" si="4"/>
        <v>7.688681407</v>
      </c>
      <c r="M452" s="175" t="str">
        <f t="shared" si="5"/>
        <v>JuankBell</v>
      </c>
      <c r="N452" s="176">
        <f>IFERROR(__xludf.DUMMYFUNCTION("""COMPUTED_VALUE"""),22.0)</f>
        <v>22</v>
      </c>
      <c r="O452" s="176"/>
      <c r="P452" s="165" t="s">
        <v>443</v>
      </c>
      <c r="Q452" s="165" t="s">
        <v>450</v>
      </c>
      <c r="R452" s="176"/>
      <c r="S452" s="176"/>
      <c r="T452" s="176"/>
      <c r="U452" s="176"/>
      <c r="V452" s="176"/>
      <c r="W452" s="176"/>
      <c r="X452" s="176"/>
      <c r="Y452" s="176"/>
      <c r="Z452" s="176"/>
      <c r="AA452" s="176"/>
    </row>
    <row r="453">
      <c r="A453" s="165" t="str">
        <f>iferror(VLOOKUP(P453,'DO NOT TOUCH Imported'!$A$1:$D$800,4,False),iferror(VLOOKUP(P453,'DO NOT TOUCH Imported'!$C$1:$D$800,2,False),"OOPS FIX ME"))</f>
        <v>JuankBell</v>
      </c>
      <c r="B453" s="165" t="s">
        <v>463</v>
      </c>
      <c r="C453" s="170" t="s">
        <v>896</v>
      </c>
      <c r="D453" s="236" t="s">
        <v>437</v>
      </c>
      <c r="E453" s="237">
        <v>44305.0</v>
      </c>
      <c r="F453" s="170" t="s">
        <v>439</v>
      </c>
      <c r="G453" s="219"/>
      <c r="H453" s="171"/>
      <c r="I453" s="171"/>
      <c r="J453" s="172">
        <f t="shared" si="21"/>
        <v>0</v>
      </c>
      <c r="K453" s="218">
        <v>1.5075376884422111</v>
      </c>
      <c r="L453" s="174">
        <f t="shared" si="4"/>
        <v>7.688681407</v>
      </c>
      <c r="M453" s="175" t="str">
        <f t="shared" si="5"/>
        <v>JuankBell</v>
      </c>
      <c r="N453" s="176">
        <f>IFERROR(__xludf.DUMMYFUNCTION("""COMPUTED_VALUE"""),23.0)</f>
        <v>23</v>
      </c>
      <c r="O453" s="176"/>
      <c r="P453" s="165" t="s">
        <v>443</v>
      </c>
      <c r="Q453" s="165" t="s">
        <v>463</v>
      </c>
      <c r="R453" s="176"/>
      <c r="S453" s="176"/>
      <c r="T453" s="176"/>
      <c r="U453" s="176"/>
      <c r="V453" s="176"/>
      <c r="W453" s="176"/>
      <c r="X453" s="176"/>
      <c r="Y453" s="176"/>
      <c r="Z453" s="176"/>
      <c r="AA453" s="176"/>
    </row>
    <row r="454">
      <c r="A454" s="165" t="str">
        <f>iferror(VLOOKUP(P454,'DO NOT TOUCH Imported'!$A$1:$D$800,4,False),iferror(VLOOKUP(P454,'DO NOT TOUCH Imported'!$C$1:$D$800,2,False),"OOPS FIX ME"))</f>
        <v>JuankBell</v>
      </c>
      <c r="B454" s="165" t="s">
        <v>440</v>
      </c>
      <c r="C454" s="170" t="s">
        <v>922</v>
      </c>
      <c r="D454" s="236" t="s">
        <v>437</v>
      </c>
      <c r="E454" s="237">
        <v>44307.0</v>
      </c>
      <c r="F454" s="170" t="s">
        <v>439</v>
      </c>
      <c r="G454" s="219"/>
      <c r="H454" s="171"/>
      <c r="I454" s="171"/>
      <c r="J454" s="172">
        <f t="shared" si="21"/>
        <v>0</v>
      </c>
      <c r="K454" s="218">
        <v>1.5075376884422111</v>
      </c>
      <c r="L454" s="174">
        <f t="shared" si="4"/>
        <v>7.688681407</v>
      </c>
      <c r="M454" s="175" t="str">
        <f t="shared" si="5"/>
        <v>JuankBell</v>
      </c>
      <c r="N454" s="176">
        <f>IFERROR(__xludf.DUMMYFUNCTION("""COMPUTED_VALUE"""),24.0)</f>
        <v>24</v>
      </c>
      <c r="O454" s="176"/>
      <c r="P454" s="165" t="s">
        <v>443</v>
      </c>
      <c r="Q454" s="165" t="s">
        <v>440</v>
      </c>
      <c r="R454" s="176"/>
      <c r="S454" s="176"/>
      <c r="T454" s="176"/>
      <c r="U454" s="176"/>
      <c r="V454" s="176"/>
      <c r="W454" s="176"/>
      <c r="X454" s="176"/>
      <c r="Y454" s="176"/>
      <c r="Z454" s="176"/>
      <c r="AA454" s="176"/>
    </row>
    <row r="455">
      <c r="A455" s="165" t="str">
        <f>iferror(VLOOKUP(P455,'DO NOT TOUCH Imported'!$A$1:$D$800,4,False),iferror(VLOOKUP(P455,'DO NOT TOUCH Imported'!$C$1:$D$800,2,False),"OOPS FIX ME"))</f>
        <v>JuankBell</v>
      </c>
      <c r="B455" s="165" t="s">
        <v>45</v>
      </c>
      <c r="C455" s="170" t="s">
        <v>1087</v>
      </c>
      <c r="D455" s="236" t="s">
        <v>499</v>
      </c>
      <c r="E455" s="239">
        <v>44307.0</v>
      </c>
      <c r="F455" s="170" t="s">
        <v>503</v>
      </c>
      <c r="G455" s="219"/>
      <c r="H455" s="171"/>
      <c r="I455" s="171"/>
      <c r="J455" s="172">
        <f t="shared" si="21"/>
        <v>0</v>
      </c>
      <c r="K455" s="218">
        <v>1.5075376884422111</v>
      </c>
      <c r="L455" s="174">
        <f t="shared" si="4"/>
        <v>7.688681407</v>
      </c>
      <c r="M455" s="175" t="str">
        <f t="shared" si="5"/>
        <v>JuankBell</v>
      </c>
      <c r="N455" s="176">
        <f>IFERROR(__xludf.DUMMYFUNCTION("""COMPUTED_VALUE"""),25.0)</f>
        <v>25</v>
      </c>
      <c r="O455" s="176"/>
      <c r="P455" s="165" t="s">
        <v>443</v>
      </c>
      <c r="Q455" s="165" t="s">
        <v>45</v>
      </c>
      <c r="R455" s="176"/>
      <c r="S455" s="176"/>
      <c r="T455" s="176"/>
      <c r="U455" s="176"/>
      <c r="V455" s="176"/>
      <c r="W455" s="176"/>
      <c r="X455" s="176"/>
      <c r="Y455" s="176"/>
      <c r="Z455" s="176"/>
      <c r="AA455" s="176"/>
    </row>
    <row r="456">
      <c r="A456" s="165" t="str">
        <f>iferror(VLOOKUP(P456,'DO NOT TOUCH Imported'!$A$1:$D$800,4,False),iferror(VLOOKUP(P456,'DO NOT TOUCH Imported'!$C$1:$D$800,2,False),"OOPS FIX ME"))</f>
        <v>JuankBell</v>
      </c>
      <c r="B456" s="165" t="s">
        <v>441</v>
      </c>
      <c r="C456" s="170" t="s">
        <v>1088</v>
      </c>
      <c r="D456" s="236" t="s">
        <v>437</v>
      </c>
      <c r="E456" s="237">
        <v>44309.0</v>
      </c>
      <c r="F456" s="170" t="s">
        <v>439</v>
      </c>
      <c r="G456" s="219"/>
      <c r="H456" s="171"/>
      <c r="I456" s="171"/>
      <c r="J456" s="172">
        <f t="shared" si="21"/>
        <v>0</v>
      </c>
      <c r="K456" s="218">
        <v>1.5075376884422111</v>
      </c>
      <c r="L456" s="174">
        <f t="shared" si="4"/>
        <v>7.688681407</v>
      </c>
      <c r="M456" s="175" t="str">
        <f t="shared" si="5"/>
        <v>JuankBell</v>
      </c>
      <c r="N456" s="176">
        <f>IFERROR(__xludf.DUMMYFUNCTION("""COMPUTED_VALUE"""),26.0)</f>
        <v>26</v>
      </c>
      <c r="O456" s="176"/>
      <c r="P456" s="165" t="s">
        <v>443</v>
      </c>
      <c r="Q456" s="165" t="s">
        <v>441</v>
      </c>
      <c r="R456" s="176"/>
      <c r="S456" s="176"/>
      <c r="T456" s="176"/>
      <c r="U456" s="176"/>
      <c r="V456" s="176"/>
      <c r="W456" s="176"/>
      <c r="X456" s="176"/>
      <c r="Y456" s="176"/>
      <c r="Z456" s="176"/>
      <c r="AA456" s="176"/>
    </row>
    <row r="457">
      <c r="A457" s="165" t="str">
        <f>iferror(VLOOKUP(P457,'DO NOT TOUCH Imported'!$A$1:$D$800,4,False),iferror(VLOOKUP(P457,'DO NOT TOUCH Imported'!$C$1:$D$800,2,False),"OOPS FIX ME"))</f>
        <v>JuankBell</v>
      </c>
      <c r="B457" s="165" t="s">
        <v>441</v>
      </c>
      <c r="C457" s="170" t="s">
        <v>906</v>
      </c>
      <c r="D457" s="236" t="s">
        <v>437</v>
      </c>
      <c r="E457" s="237">
        <v>44309.0</v>
      </c>
      <c r="F457" s="170" t="s">
        <v>439</v>
      </c>
      <c r="G457" s="219"/>
      <c r="H457" s="171"/>
      <c r="I457" s="171"/>
      <c r="J457" s="172">
        <f t="shared" si="21"/>
        <v>0</v>
      </c>
      <c r="K457" s="218">
        <v>1.5075376884422111</v>
      </c>
      <c r="L457" s="174">
        <f t="shared" si="4"/>
        <v>7.688681407</v>
      </c>
      <c r="M457" s="175" t="str">
        <f t="shared" si="5"/>
        <v>JuankBell</v>
      </c>
      <c r="N457" s="176">
        <f>IFERROR(__xludf.DUMMYFUNCTION("""COMPUTED_VALUE"""),27.0)</f>
        <v>27</v>
      </c>
      <c r="O457" s="176"/>
      <c r="P457" s="165" t="s">
        <v>443</v>
      </c>
      <c r="Q457" s="165" t="s">
        <v>441</v>
      </c>
      <c r="R457" s="176"/>
      <c r="S457" s="176"/>
      <c r="T457" s="176"/>
      <c r="U457" s="176"/>
      <c r="V457" s="176"/>
      <c r="W457" s="176"/>
      <c r="X457" s="176"/>
      <c r="Y457" s="176"/>
      <c r="Z457" s="176"/>
      <c r="AA457" s="176"/>
    </row>
    <row r="458">
      <c r="A458" s="165" t="str">
        <f>iferror(VLOOKUP(P458,'DO NOT TOUCH Imported'!$A$1:$D$800,4,False),iferror(VLOOKUP(P458,'DO NOT TOUCH Imported'!$C$1:$D$800,2,False),"OOPS FIX ME"))</f>
        <v>JuankBell</v>
      </c>
      <c r="B458" s="165" t="s">
        <v>441</v>
      </c>
      <c r="C458" s="170" t="s">
        <v>1074</v>
      </c>
      <c r="D458" s="236" t="s">
        <v>437</v>
      </c>
      <c r="E458" s="237">
        <v>44309.0</v>
      </c>
      <c r="F458" s="170" t="s">
        <v>439</v>
      </c>
      <c r="G458" s="219"/>
      <c r="H458" s="171"/>
      <c r="I458" s="171"/>
      <c r="J458" s="172">
        <f t="shared" si="21"/>
        <v>0</v>
      </c>
      <c r="K458" s="218">
        <v>1.5075376884422111</v>
      </c>
      <c r="L458" s="174">
        <f t="shared" si="4"/>
        <v>7.688681407</v>
      </c>
      <c r="M458" s="175" t="str">
        <f t="shared" si="5"/>
        <v>JuankBell</v>
      </c>
      <c r="N458" s="176">
        <f>IFERROR(__xludf.DUMMYFUNCTION("""COMPUTED_VALUE"""),28.0)</f>
        <v>28</v>
      </c>
      <c r="O458" s="176"/>
      <c r="P458" s="165" t="s">
        <v>443</v>
      </c>
      <c r="Q458" s="165" t="s">
        <v>441</v>
      </c>
      <c r="R458" s="176"/>
      <c r="S458" s="176"/>
      <c r="T458" s="176"/>
      <c r="U458" s="176"/>
      <c r="V458" s="176"/>
      <c r="W458" s="176"/>
      <c r="X458" s="176"/>
      <c r="Y458" s="176"/>
      <c r="Z458" s="176"/>
      <c r="AA458" s="176"/>
    </row>
    <row r="459">
      <c r="A459" s="165" t="str">
        <f>iferror(VLOOKUP(P459,'DO NOT TOUCH Imported'!$A$1:$D$800,4,False),iferror(VLOOKUP(P459,'DO NOT TOUCH Imported'!$C$1:$D$800,2,False),"OOPS FIX ME"))</f>
        <v>JuankBell</v>
      </c>
      <c r="B459" s="165" t="s">
        <v>441</v>
      </c>
      <c r="C459" s="170" t="s">
        <v>909</v>
      </c>
      <c r="D459" s="236" t="s">
        <v>437</v>
      </c>
      <c r="E459" s="237">
        <v>44309.0</v>
      </c>
      <c r="F459" s="170" t="s">
        <v>439</v>
      </c>
      <c r="G459" s="219"/>
      <c r="H459" s="171"/>
      <c r="I459" s="171"/>
      <c r="J459" s="172">
        <f t="shared" si="21"/>
        <v>0</v>
      </c>
      <c r="K459" s="218">
        <v>1.5075376884422111</v>
      </c>
      <c r="L459" s="174">
        <f t="shared" si="4"/>
        <v>7.688681407</v>
      </c>
      <c r="M459" s="175" t="str">
        <f t="shared" si="5"/>
        <v>JuankBell</v>
      </c>
      <c r="N459" s="176">
        <f>IFERROR(__xludf.DUMMYFUNCTION("""COMPUTED_VALUE"""),29.0)</f>
        <v>29</v>
      </c>
      <c r="O459" s="176"/>
      <c r="P459" s="165" t="s">
        <v>443</v>
      </c>
      <c r="Q459" s="165" t="s">
        <v>441</v>
      </c>
      <c r="R459" s="176"/>
      <c r="S459" s="176"/>
      <c r="T459" s="176"/>
      <c r="U459" s="176"/>
      <c r="V459" s="176"/>
      <c r="W459" s="176"/>
      <c r="X459" s="176"/>
      <c r="Y459" s="176"/>
      <c r="Z459" s="176"/>
      <c r="AA459" s="176"/>
    </row>
    <row r="460">
      <c r="A460" s="165" t="str">
        <f>iferror(VLOOKUP(P460,'DO NOT TOUCH Imported'!$A$1:$D$800,4,False),iferror(VLOOKUP(P460,'DO NOT TOUCH Imported'!$C$1:$D$800,2,False),"OOPS FIX ME"))</f>
        <v>JuankBell</v>
      </c>
      <c r="B460" s="165" t="s">
        <v>441</v>
      </c>
      <c r="C460" s="170" t="s">
        <v>923</v>
      </c>
      <c r="D460" s="236" t="s">
        <v>437</v>
      </c>
      <c r="E460" s="239">
        <v>44309.0</v>
      </c>
      <c r="F460" s="170" t="s">
        <v>439</v>
      </c>
      <c r="G460" s="219"/>
      <c r="H460" s="171"/>
      <c r="I460" s="171"/>
      <c r="J460" s="172">
        <f t="shared" si="21"/>
        <v>0</v>
      </c>
      <c r="K460" s="218">
        <v>1.5075376884422111</v>
      </c>
      <c r="L460" s="174">
        <f t="shared" si="4"/>
        <v>7.688681407</v>
      </c>
      <c r="M460" s="175" t="str">
        <f t="shared" si="5"/>
        <v>JuankBell</v>
      </c>
      <c r="N460" s="176">
        <f>IFERROR(__xludf.DUMMYFUNCTION("""COMPUTED_VALUE"""),30.0)</f>
        <v>30</v>
      </c>
      <c r="O460" s="176"/>
      <c r="P460" s="165" t="s">
        <v>443</v>
      </c>
      <c r="Q460" s="165" t="s">
        <v>441</v>
      </c>
      <c r="R460" s="176"/>
      <c r="S460" s="176"/>
      <c r="T460" s="176"/>
      <c r="U460" s="176"/>
      <c r="V460" s="176"/>
      <c r="W460" s="176"/>
      <c r="X460" s="176"/>
      <c r="Y460" s="176"/>
      <c r="Z460" s="176"/>
      <c r="AA460" s="176"/>
    </row>
    <row r="461">
      <c r="A461" s="165" t="str">
        <f>iferror(VLOOKUP(P461,'DO NOT TOUCH Imported'!$A$1:$D$800,4,False),iferror(VLOOKUP(P461,'DO NOT TOUCH Imported'!$C$1:$D$800,2,False),"OOPS FIX ME"))</f>
        <v>JuankBell</v>
      </c>
      <c r="B461" s="165" t="s">
        <v>441</v>
      </c>
      <c r="C461" s="170" t="s">
        <v>943</v>
      </c>
      <c r="D461" s="236" t="s">
        <v>437</v>
      </c>
      <c r="E461" s="239">
        <v>44309.0</v>
      </c>
      <c r="F461" s="170" t="s">
        <v>439</v>
      </c>
      <c r="G461" s="219"/>
      <c r="H461" s="171"/>
      <c r="I461" s="171"/>
      <c r="J461" s="172">
        <f t="shared" si="21"/>
        <v>0</v>
      </c>
      <c r="K461" s="218">
        <v>1.5075376884422111</v>
      </c>
      <c r="L461" s="174">
        <f t="shared" si="4"/>
        <v>7.688681407</v>
      </c>
      <c r="M461" s="175" t="str">
        <f t="shared" si="5"/>
        <v>JuankBell</v>
      </c>
      <c r="N461" s="176">
        <f>IFERROR(__xludf.DUMMYFUNCTION("""COMPUTED_VALUE"""),31.0)</f>
        <v>31</v>
      </c>
      <c r="O461" s="176"/>
      <c r="P461" s="165" t="s">
        <v>443</v>
      </c>
      <c r="Q461" s="165" t="s">
        <v>441</v>
      </c>
      <c r="R461" s="176"/>
      <c r="S461" s="176"/>
      <c r="T461" s="176"/>
      <c r="U461" s="176"/>
      <c r="V461" s="176"/>
      <c r="W461" s="176"/>
      <c r="X461" s="176"/>
      <c r="Y461" s="176"/>
      <c r="Z461" s="176"/>
      <c r="AA461" s="176"/>
    </row>
    <row r="462">
      <c r="A462" s="165" t="str">
        <f>iferror(VLOOKUP(P462,'DO NOT TOUCH Imported'!$A$1:$D$800,4,False),iferror(VLOOKUP(P462,'DO NOT TOUCH Imported'!$C$1:$D$800,2,False),"OOPS FIX ME"))</f>
        <v>JuankBell</v>
      </c>
      <c r="B462" s="165" t="s">
        <v>20</v>
      </c>
      <c r="C462" s="170" t="s">
        <v>904</v>
      </c>
      <c r="D462" s="236" t="s">
        <v>437</v>
      </c>
      <c r="E462" s="237">
        <v>44310.0</v>
      </c>
      <c r="F462" s="170" t="s">
        <v>439</v>
      </c>
      <c r="G462" s="219"/>
      <c r="H462" s="171"/>
      <c r="I462" s="171"/>
      <c r="J462" s="172">
        <f t="shared" si="21"/>
        <v>0</v>
      </c>
      <c r="K462" s="218">
        <v>1.5075376884422111</v>
      </c>
      <c r="L462" s="174">
        <f t="shared" si="4"/>
        <v>7.688681407</v>
      </c>
      <c r="M462" s="175" t="str">
        <f t="shared" si="5"/>
        <v>JuankBell</v>
      </c>
      <c r="N462" s="176">
        <f>IFERROR(__xludf.DUMMYFUNCTION("""COMPUTED_VALUE"""),32.0)</f>
        <v>32</v>
      </c>
      <c r="O462" s="176"/>
      <c r="P462" s="165" t="s">
        <v>443</v>
      </c>
      <c r="Q462" s="165" t="s">
        <v>20</v>
      </c>
      <c r="R462" s="176"/>
      <c r="S462" s="176"/>
      <c r="T462" s="176"/>
      <c r="U462" s="176"/>
      <c r="V462" s="176"/>
      <c r="W462" s="176"/>
      <c r="X462" s="176"/>
      <c r="Y462" s="176"/>
      <c r="Z462" s="176"/>
      <c r="AA462" s="176"/>
    </row>
    <row r="463">
      <c r="A463" s="165" t="str">
        <f>iferror(VLOOKUP(P463,'DO NOT TOUCH Imported'!$A$1:$D$800,4,False),iferror(VLOOKUP(P463,'DO NOT TOUCH Imported'!$C$1:$D$800,2,False),"OOPS FIX ME"))</f>
        <v>JuankBell</v>
      </c>
      <c r="B463" s="165" t="s">
        <v>443</v>
      </c>
      <c r="C463" s="170" t="s">
        <v>1054</v>
      </c>
      <c r="D463" s="236" t="s">
        <v>437</v>
      </c>
      <c r="E463" s="239">
        <v>44310.0</v>
      </c>
      <c r="F463" s="170" t="s">
        <v>439</v>
      </c>
      <c r="G463" s="219"/>
      <c r="H463" s="171"/>
      <c r="I463" s="171"/>
      <c r="J463" s="172">
        <f t="shared" si="21"/>
        <v>0</v>
      </c>
      <c r="K463" s="218"/>
      <c r="L463" s="174">
        <f t="shared" si="4"/>
        <v>7.688681407</v>
      </c>
      <c r="M463" s="175" t="str">
        <f t="shared" si="5"/>
        <v>JuankBell</v>
      </c>
      <c r="N463" s="176">
        <f>IFERROR(__xludf.DUMMYFUNCTION("""COMPUTED_VALUE"""),33.0)</f>
        <v>33</v>
      </c>
      <c r="O463" s="176"/>
      <c r="P463" s="165" t="s">
        <v>443</v>
      </c>
      <c r="Q463" s="165" t="s">
        <v>443</v>
      </c>
      <c r="R463" s="176"/>
      <c r="S463" s="176"/>
      <c r="T463" s="176"/>
      <c r="U463" s="176"/>
      <c r="V463" s="176"/>
      <c r="W463" s="176"/>
      <c r="X463" s="176"/>
      <c r="Y463" s="176"/>
      <c r="Z463" s="176"/>
      <c r="AA463" s="176"/>
    </row>
    <row r="464">
      <c r="A464" s="165" t="str">
        <f>iferror(VLOOKUP(P464,'DO NOT TOUCH Imported'!$A$1:$D$800,4,False),iferror(VLOOKUP(P464,'DO NOT TOUCH Imported'!$C$1:$D$800,2,False),"OOPS FIX ME"))</f>
        <v>JuankBell</v>
      </c>
      <c r="B464" s="165" t="s">
        <v>440</v>
      </c>
      <c r="C464" s="170" t="s">
        <v>1089</v>
      </c>
      <c r="D464" s="236" t="s">
        <v>437</v>
      </c>
      <c r="E464" s="237">
        <v>44310.0</v>
      </c>
      <c r="F464" s="170" t="s">
        <v>439</v>
      </c>
      <c r="G464" s="219"/>
      <c r="H464" s="171"/>
      <c r="I464" s="171"/>
      <c r="J464" s="172">
        <f t="shared" si="21"/>
        <v>0</v>
      </c>
      <c r="K464" s="218">
        <v>1.5075376884422111</v>
      </c>
      <c r="L464" s="174">
        <f t="shared" si="4"/>
        <v>7.688681407</v>
      </c>
      <c r="M464" s="175" t="str">
        <f t="shared" si="5"/>
        <v>JuankBell</v>
      </c>
      <c r="N464" s="176">
        <f>IFERROR(__xludf.DUMMYFUNCTION("""COMPUTED_VALUE"""),34.0)</f>
        <v>34</v>
      </c>
      <c r="O464" s="176"/>
      <c r="P464" s="165" t="s">
        <v>443</v>
      </c>
      <c r="Q464" s="165" t="s">
        <v>440</v>
      </c>
      <c r="R464" s="176"/>
      <c r="S464" s="176"/>
      <c r="T464" s="176"/>
      <c r="U464" s="176"/>
      <c r="V464" s="176"/>
      <c r="W464" s="176"/>
      <c r="X464" s="176"/>
      <c r="Y464" s="176"/>
      <c r="Z464" s="176"/>
      <c r="AA464" s="176"/>
    </row>
    <row r="465">
      <c r="A465" s="165" t="str">
        <f>iferror(VLOOKUP(P465,'DO NOT TOUCH Imported'!$A$1:$D$800,4,False),iferror(VLOOKUP(P465,'DO NOT TOUCH Imported'!$C$1:$D$800,2,False),"OOPS FIX ME"))</f>
        <v>JuankBell</v>
      </c>
      <c r="B465" s="165" t="s">
        <v>867</v>
      </c>
      <c r="C465" s="170" t="s">
        <v>982</v>
      </c>
      <c r="D465" s="236" t="s">
        <v>495</v>
      </c>
      <c r="E465" s="239">
        <v>44296.0</v>
      </c>
      <c r="F465" s="170" t="s">
        <v>496</v>
      </c>
      <c r="G465" s="219"/>
      <c r="H465" s="171"/>
      <c r="I465" s="171"/>
      <c r="J465" s="172">
        <f t="shared" si="21"/>
        <v>0</v>
      </c>
      <c r="K465" s="218">
        <v>1.5075376884422111</v>
      </c>
      <c r="L465" s="174">
        <f t="shared" si="4"/>
        <v>7.688681407</v>
      </c>
      <c r="M465" s="175" t="str">
        <f t="shared" si="5"/>
        <v>JuankBell</v>
      </c>
      <c r="N465" s="176">
        <f>IFERROR(__xludf.DUMMYFUNCTION("""COMPUTED_VALUE"""),35.0)</f>
        <v>35</v>
      </c>
      <c r="O465" s="176"/>
      <c r="P465" s="165" t="s">
        <v>15</v>
      </c>
      <c r="Q465" s="165" t="s">
        <v>867</v>
      </c>
      <c r="R465" s="176"/>
      <c r="S465" s="176"/>
      <c r="T465" s="176"/>
      <c r="U465" s="176"/>
      <c r="V465" s="176"/>
      <c r="W465" s="176"/>
      <c r="X465" s="176"/>
      <c r="Y465" s="176"/>
      <c r="Z465" s="176"/>
      <c r="AA465" s="176"/>
    </row>
    <row r="466">
      <c r="A466" s="165" t="str">
        <f>iferror(VLOOKUP(P466,'DO NOT TOUCH Imported'!$A$1:$D$800,4,False),iferror(VLOOKUP(P466,'DO NOT TOUCH Imported'!$C$1:$D$800,2,False),"OOPS FIX ME"))</f>
        <v>JuankBell</v>
      </c>
      <c r="B466" s="165" t="s">
        <v>10</v>
      </c>
      <c r="C466" s="170" t="s">
        <v>494</v>
      </c>
      <c r="D466" s="236" t="s">
        <v>495</v>
      </c>
      <c r="E466" s="237">
        <v>44302.0</v>
      </c>
      <c r="F466" s="170" t="s">
        <v>496</v>
      </c>
      <c r="G466" s="219"/>
      <c r="H466" s="171"/>
      <c r="I466" s="171"/>
      <c r="J466" s="172">
        <f t="shared" si="21"/>
        <v>0</v>
      </c>
      <c r="K466" s="218">
        <v>1.5075376884422111</v>
      </c>
      <c r="L466" s="174">
        <f t="shared" si="4"/>
        <v>7.688681407</v>
      </c>
      <c r="M466" s="175" t="str">
        <f t="shared" si="5"/>
        <v>JuankBell</v>
      </c>
      <c r="N466" s="176">
        <f>IFERROR(__xludf.DUMMYFUNCTION("""COMPUTED_VALUE"""),36.0)</f>
        <v>36</v>
      </c>
      <c r="O466" s="176"/>
      <c r="P466" s="165" t="s">
        <v>15</v>
      </c>
      <c r="Q466" s="165" t="s">
        <v>10</v>
      </c>
      <c r="R466" s="176"/>
      <c r="S466" s="176"/>
      <c r="T466" s="176"/>
      <c r="U466" s="176"/>
      <c r="V466" s="176"/>
      <c r="W466" s="176"/>
      <c r="X466" s="176"/>
      <c r="Y466" s="176"/>
      <c r="Z466" s="176"/>
      <c r="AA466" s="176"/>
    </row>
    <row r="467">
      <c r="A467" s="185" t="str">
        <f>iferror(VLOOKUP(P467,'DO NOT TOUCH Imported'!$A$1:$D$800,4,False),iferror(VLOOKUP(P467,'DO NOT TOUCH Imported'!$C$1:$D$800,2,False),"OOPS FIX ME"))</f>
        <v>Tam2140</v>
      </c>
      <c r="B467" s="185" t="s">
        <v>534</v>
      </c>
      <c r="C467" s="186" t="s">
        <v>781</v>
      </c>
      <c r="D467" s="187"/>
      <c r="E467" s="188"/>
      <c r="F467" s="189"/>
      <c r="G467" s="223"/>
      <c r="H467" s="190"/>
      <c r="I467" s="190"/>
      <c r="J467" s="172">
        <f>(H467/$H$2+I467/$I$2)/2</f>
        <v>0</v>
      </c>
      <c r="K467" s="224">
        <f>-0.85*44.716</f>
        <v>-38.0086</v>
      </c>
      <c r="L467" s="193">
        <f t="shared" si="4"/>
        <v>7.557688821</v>
      </c>
      <c r="M467" s="194" t="str">
        <f t="shared" si="5"/>
        <v>Tam2140</v>
      </c>
      <c r="N467" s="195">
        <f>IFERROR(__xludf.DUMMYFUNCTION("""COMPUTED_VALUE"""),1.0)</f>
        <v>1</v>
      </c>
      <c r="O467" s="195"/>
      <c r="P467" s="185" t="s">
        <v>28</v>
      </c>
      <c r="Q467" s="185" t="s">
        <v>534</v>
      </c>
      <c r="R467" s="195">
        <v>27.866735844582376</v>
      </c>
      <c r="S467" s="195"/>
      <c r="T467" s="195"/>
      <c r="U467" s="195"/>
      <c r="V467" s="195"/>
      <c r="W467" s="195"/>
      <c r="X467" s="195"/>
      <c r="Y467" s="195"/>
      <c r="Z467" s="195"/>
      <c r="AA467" s="176"/>
    </row>
    <row r="468">
      <c r="A468" s="165" t="str">
        <f>iferror(VLOOKUP(P468,'DO NOT TOUCH Imported'!$A$1:$D$800,4,False),iferror(VLOOKUP(P468,'DO NOT TOUCH Imported'!$C$1:$D$800,2,False),"OOPS FIX ME"))</f>
        <v>Tam2140</v>
      </c>
      <c r="B468" s="165" t="s">
        <v>441</v>
      </c>
      <c r="C468" s="170" t="s">
        <v>1090</v>
      </c>
      <c r="D468" s="236" t="s">
        <v>437</v>
      </c>
      <c r="E468" s="237">
        <v>44309.0</v>
      </c>
      <c r="F468" s="170" t="s">
        <v>439</v>
      </c>
      <c r="G468" s="170">
        <v>5000.0</v>
      </c>
      <c r="H468" s="171">
        <v>200.0</v>
      </c>
      <c r="I468" s="171">
        <v>350.0</v>
      </c>
      <c r="J468" s="172">
        <f t="shared" ref="J468:J522" si="23">(G468/$G$2+H468/$H$2+I468/$I$2)/3</f>
        <v>0.00311179692</v>
      </c>
      <c r="K468" s="173">
        <f t="shared" ref="K468:K522" si="24">J468*$J$1</f>
        <v>3.734156304</v>
      </c>
      <c r="L468" s="174">
        <f t="shared" si="4"/>
        <v>7.557688821</v>
      </c>
      <c r="M468" s="175" t="str">
        <f t="shared" si="5"/>
        <v>Tam2140</v>
      </c>
      <c r="N468" s="176">
        <f>IFERROR(__xludf.DUMMYFUNCTION("""COMPUTED_VALUE"""),2.0)</f>
        <v>2</v>
      </c>
      <c r="O468" s="176"/>
      <c r="P468" s="165" t="s">
        <v>435</v>
      </c>
      <c r="Q468" s="165" t="s">
        <v>441</v>
      </c>
      <c r="R468" s="176"/>
      <c r="S468" s="176"/>
      <c r="T468" s="176"/>
      <c r="U468" s="176"/>
      <c r="V468" s="176"/>
      <c r="W468" s="176"/>
      <c r="X468" s="176"/>
      <c r="Y468" s="176"/>
      <c r="Z468" s="176"/>
      <c r="AA468" s="176"/>
    </row>
    <row r="469">
      <c r="A469" s="165" t="str">
        <f>iferror(VLOOKUP(P469,'DO NOT TOUCH Imported'!$A$1:$D$800,4,False),iferror(VLOOKUP(P469,'DO NOT TOUCH Imported'!$C$1:$D$800,2,False),"OOPS FIX ME"))</f>
        <v>Tam2140</v>
      </c>
      <c r="B469" s="165" t="s">
        <v>443</v>
      </c>
      <c r="C469" s="170" t="s">
        <v>1038</v>
      </c>
      <c r="D469" s="236" t="s">
        <v>437</v>
      </c>
      <c r="E469" s="239">
        <v>44306.0</v>
      </c>
      <c r="F469" s="170" t="s">
        <v>439</v>
      </c>
      <c r="G469" s="170">
        <v>2000.0</v>
      </c>
      <c r="H469" s="171">
        <v>200.0</v>
      </c>
      <c r="I469" s="171">
        <v>200.0</v>
      </c>
      <c r="J469" s="172">
        <f t="shared" si="23"/>
        <v>0.0020253236</v>
      </c>
      <c r="K469" s="173">
        <f t="shared" si="24"/>
        <v>2.43038832</v>
      </c>
      <c r="L469" s="174">
        <f t="shared" si="4"/>
        <v>7.557688821</v>
      </c>
      <c r="M469" s="175" t="str">
        <f t="shared" si="5"/>
        <v>Tam2140</v>
      </c>
      <c r="N469" s="176">
        <f>IFERROR(__xludf.DUMMYFUNCTION("""COMPUTED_VALUE"""),3.0)</f>
        <v>3</v>
      </c>
      <c r="O469" s="176"/>
      <c r="P469" s="165" t="s">
        <v>435</v>
      </c>
      <c r="Q469" s="165" t="s">
        <v>443</v>
      </c>
      <c r="R469" s="176"/>
      <c r="S469" s="176"/>
      <c r="T469" s="176"/>
      <c r="U469" s="176"/>
      <c r="V469" s="176"/>
      <c r="W469" s="176"/>
      <c r="X469" s="176"/>
      <c r="Y469" s="176"/>
      <c r="Z469" s="176"/>
      <c r="AA469" s="176"/>
    </row>
    <row r="470">
      <c r="A470" s="165" t="str">
        <f>iferror(VLOOKUP(P470,'DO NOT TOUCH Imported'!$A$1:$D$800,4,False),iferror(VLOOKUP(P470,'DO NOT TOUCH Imported'!$C$1:$D$800,2,False),"OOPS FIX ME"))</f>
        <v>Tam2140</v>
      </c>
      <c r="B470" s="165" t="s">
        <v>490</v>
      </c>
      <c r="C470" s="170" t="s">
        <v>1091</v>
      </c>
      <c r="D470" s="236" t="s">
        <v>437</v>
      </c>
      <c r="E470" s="237">
        <v>44309.0</v>
      </c>
      <c r="F470" s="170" t="s">
        <v>439</v>
      </c>
      <c r="G470" s="220">
        <v>1000.0</v>
      </c>
      <c r="H470" s="171">
        <v>200.0</v>
      </c>
      <c r="I470" s="171">
        <v>200.0</v>
      </c>
      <c r="J470" s="172">
        <f t="shared" si="23"/>
        <v>0.001877569463</v>
      </c>
      <c r="K470" s="173">
        <f t="shared" si="24"/>
        <v>2.253083355</v>
      </c>
      <c r="L470" s="174">
        <f t="shared" si="4"/>
        <v>7.557688821</v>
      </c>
      <c r="M470" s="175" t="str">
        <f t="shared" si="5"/>
        <v>Tam2140</v>
      </c>
      <c r="N470" s="176">
        <f>IFERROR(__xludf.DUMMYFUNCTION("""COMPUTED_VALUE"""),4.0)</f>
        <v>4</v>
      </c>
      <c r="O470" s="176"/>
      <c r="P470" s="165" t="s">
        <v>435</v>
      </c>
      <c r="Q470" s="165" t="s">
        <v>490</v>
      </c>
      <c r="R470" s="176"/>
      <c r="S470" s="176"/>
      <c r="T470" s="176"/>
      <c r="U470" s="176"/>
      <c r="V470" s="176"/>
      <c r="W470" s="176"/>
      <c r="X470" s="176"/>
      <c r="Y470" s="176"/>
      <c r="Z470" s="176"/>
      <c r="AA470" s="176"/>
    </row>
    <row r="471">
      <c r="A471" s="165" t="str">
        <f>iferror(VLOOKUP(P471,'DO NOT TOUCH Imported'!$A$1:$D$800,4,False),iferror(VLOOKUP(P471,'DO NOT TOUCH Imported'!$C$1:$D$800,2,False),"OOPS FIX ME"))</f>
        <v>Tam2140</v>
      </c>
      <c r="B471" s="165" t="s">
        <v>18</v>
      </c>
      <c r="C471" s="170" t="s">
        <v>1092</v>
      </c>
      <c r="D471" s="236" t="s">
        <v>495</v>
      </c>
      <c r="E471" s="239">
        <v>44300.0</v>
      </c>
      <c r="F471" s="170" t="s">
        <v>545</v>
      </c>
      <c r="G471" s="220">
        <v>5000.0</v>
      </c>
      <c r="H471" s="171">
        <v>100.0</v>
      </c>
      <c r="I471" s="171">
        <v>150.0</v>
      </c>
      <c r="J471" s="172">
        <f t="shared" si="23"/>
        <v>0.001818081985</v>
      </c>
      <c r="K471" s="173">
        <f t="shared" si="24"/>
        <v>2.181698382</v>
      </c>
      <c r="L471" s="174">
        <f t="shared" si="4"/>
        <v>7.557688821</v>
      </c>
      <c r="M471" s="175" t="str">
        <f t="shared" si="5"/>
        <v>Tam2140</v>
      </c>
      <c r="N471" s="176">
        <f>IFERROR(__xludf.DUMMYFUNCTION("""COMPUTED_VALUE"""),5.0)</f>
        <v>5</v>
      </c>
      <c r="O471" s="176"/>
      <c r="P471" s="165" t="s">
        <v>28</v>
      </c>
      <c r="Q471" s="165" t="s">
        <v>18</v>
      </c>
      <c r="R471" s="176"/>
      <c r="S471" s="176"/>
      <c r="T471" s="176"/>
      <c r="U471" s="176"/>
      <c r="V471" s="176"/>
      <c r="W471" s="176"/>
      <c r="X471" s="176"/>
      <c r="Y471" s="176"/>
      <c r="Z471" s="176"/>
      <c r="AA471" s="176"/>
    </row>
    <row r="472">
      <c r="A472" s="165" t="str">
        <f>iferror(VLOOKUP(P472,'DO NOT TOUCH Imported'!$A$1:$D$800,4,False),iferror(VLOOKUP(P472,'DO NOT TOUCH Imported'!$C$1:$D$800,2,False),"OOPS FIX ME"))</f>
        <v>Tam2140</v>
      </c>
      <c r="B472" s="165" t="s">
        <v>486</v>
      </c>
      <c r="C472" s="170" t="s">
        <v>1093</v>
      </c>
      <c r="D472" s="236" t="s">
        <v>437</v>
      </c>
      <c r="E472" s="237">
        <v>44306.0</v>
      </c>
      <c r="F472" s="170" t="s">
        <v>439</v>
      </c>
      <c r="G472" s="170">
        <v>1000.0</v>
      </c>
      <c r="H472" s="171">
        <v>200.0</v>
      </c>
      <c r="I472" s="171">
        <v>150.0</v>
      </c>
      <c r="J472" s="172">
        <f t="shared" si="23"/>
        <v>0.001663165827</v>
      </c>
      <c r="K472" s="173">
        <f t="shared" si="24"/>
        <v>1.995798992</v>
      </c>
      <c r="L472" s="174">
        <f t="shared" si="4"/>
        <v>7.557688821</v>
      </c>
      <c r="M472" s="175" t="str">
        <f t="shared" si="5"/>
        <v>Tam2140</v>
      </c>
      <c r="N472" s="176">
        <f>IFERROR(__xludf.DUMMYFUNCTION("""COMPUTED_VALUE"""),6.0)</f>
        <v>6</v>
      </c>
      <c r="O472" s="176"/>
      <c r="P472" s="165" t="s">
        <v>435</v>
      </c>
      <c r="Q472" s="165" t="s">
        <v>486</v>
      </c>
      <c r="R472" s="176"/>
      <c r="S472" s="176"/>
      <c r="T472" s="176"/>
      <c r="U472" s="176"/>
      <c r="V472" s="176"/>
      <c r="W472" s="176"/>
      <c r="X472" s="176"/>
      <c r="Y472" s="176"/>
      <c r="Z472" s="176"/>
      <c r="AA472" s="176"/>
    </row>
    <row r="473">
      <c r="A473" s="165" t="str">
        <f>iferror(VLOOKUP(P473,'DO NOT TOUCH Imported'!$A$1:$D$800,4,False),iferror(VLOOKUP(P473,'DO NOT TOUCH Imported'!$C$1:$D$800,2,False),"OOPS FIX ME"))</f>
        <v>Tam2140</v>
      </c>
      <c r="B473" s="165" t="s">
        <v>443</v>
      </c>
      <c r="C473" s="170" t="s">
        <v>890</v>
      </c>
      <c r="D473" s="236" t="s">
        <v>437</v>
      </c>
      <c r="E473" s="237">
        <v>44310.0</v>
      </c>
      <c r="F473" s="170" t="s">
        <v>439</v>
      </c>
      <c r="G473" s="170">
        <v>5000.0</v>
      </c>
      <c r="H473" s="171">
        <v>100.0</v>
      </c>
      <c r="I473" s="171">
        <v>100.0</v>
      </c>
      <c r="J473" s="172">
        <f t="shared" si="23"/>
        <v>0.001603678348</v>
      </c>
      <c r="K473" s="173">
        <f t="shared" si="24"/>
        <v>1.924414018</v>
      </c>
      <c r="L473" s="174">
        <f t="shared" si="4"/>
        <v>7.557688821</v>
      </c>
      <c r="M473" s="175" t="str">
        <f t="shared" si="5"/>
        <v>Tam2140</v>
      </c>
      <c r="N473" s="176">
        <f>IFERROR(__xludf.DUMMYFUNCTION("""COMPUTED_VALUE"""),7.0)</f>
        <v>7</v>
      </c>
      <c r="O473" s="176"/>
      <c r="P473" s="165" t="s">
        <v>435</v>
      </c>
      <c r="Q473" s="165" t="s">
        <v>443</v>
      </c>
      <c r="R473" s="176"/>
      <c r="S473" s="176"/>
      <c r="T473" s="176"/>
      <c r="U473" s="176"/>
      <c r="V473" s="176"/>
      <c r="W473" s="176"/>
      <c r="X473" s="176"/>
      <c r="Y473" s="176"/>
      <c r="Z473" s="176"/>
      <c r="AA473" s="176"/>
    </row>
    <row r="474">
      <c r="A474" s="165" t="str">
        <f>iferror(VLOOKUP(P474,'DO NOT TOUCH Imported'!$A$1:$D$800,4,False),iferror(VLOOKUP(P474,'DO NOT TOUCH Imported'!$C$1:$D$800,2,False),"OOPS FIX ME"))</f>
        <v>Tam2140</v>
      </c>
      <c r="B474" s="165" t="s">
        <v>441</v>
      </c>
      <c r="C474" s="170" t="s">
        <v>1094</v>
      </c>
      <c r="D474" s="236" t="s">
        <v>437</v>
      </c>
      <c r="E474" s="237">
        <v>44298.0</v>
      </c>
      <c r="F474" s="170" t="s">
        <v>439</v>
      </c>
      <c r="G474" s="170">
        <v>2000.0</v>
      </c>
      <c r="H474" s="171">
        <v>100.0</v>
      </c>
      <c r="I474" s="171">
        <v>100.0</v>
      </c>
      <c r="J474" s="172">
        <f t="shared" si="23"/>
        <v>0.001160415937</v>
      </c>
      <c r="K474" s="173">
        <f t="shared" si="24"/>
        <v>1.392499125</v>
      </c>
      <c r="L474" s="174">
        <f t="shared" si="4"/>
        <v>7.557688821</v>
      </c>
      <c r="M474" s="175" t="str">
        <f t="shared" si="5"/>
        <v>Tam2140</v>
      </c>
      <c r="N474" s="176">
        <f>IFERROR(__xludf.DUMMYFUNCTION("""COMPUTED_VALUE"""),8.0)</f>
        <v>8</v>
      </c>
      <c r="O474" s="176"/>
      <c r="P474" s="165" t="s">
        <v>435</v>
      </c>
      <c r="Q474" s="165" t="s">
        <v>441</v>
      </c>
      <c r="R474" s="176"/>
      <c r="S474" s="176"/>
      <c r="T474" s="176"/>
      <c r="U474" s="176"/>
      <c r="V474" s="176"/>
      <c r="W474" s="176"/>
      <c r="X474" s="176"/>
      <c r="Y474" s="176"/>
      <c r="Z474" s="176"/>
      <c r="AA474" s="176"/>
    </row>
    <row r="475">
      <c r="A475" s="165" t="str">
        <f>iferror(VLOOKUP(P475,'DO NOT TOUCH Imported'!$A$1:$D$800,4,False),iferror(VLOOKUP(P475,'DO NOT TOUCH Imported'!$C$1:$D$800,2,False),"OOPS FIX ME"))</f>
        <v>Tam2140</v>
      </c>
      <c r="B475" s="165" t="s">
        <v>450</v>
      </c>
      <c r="C475" s="170" t="s">
        <v>968</v>
      </c>
      <c r="D475" s="236" t="s">
        <v>499</v>
      </c>
      <c r="E475" s="239">
        <v>44305.0</v>
      </c>
      <c r="F475" s="170" t="s">
        <v>503</v>
      </c>
      <c r="G475" s="170">
        <v>2000.0</v>
      </c>
      <c r="H475" s="171">
        <v>100.0</v>
      </c>
      <c r="I475" s="171">
        <v>100.0</v>
      </c>
      <c r="J475" s="172">
        <f t="shared" si="23"/>
        <v>0.001160415937</v>
      </c>
      <c r="K475" s="173">
        <f t="shared" si="24"/>
        <v>1.392499125</v>
      </c>
      <c r="L475" s="174">
        <f t="shared" si="4"/>
        <v>7.557688821</v>
      </c>
      <c r="M475" s="175" t="str">
        <f t="shared" si="5"/>
        <v>Tam2140</v>
      </c>
      <c r="N475" s="176">
        <f>IFERROR(__xludf.DUMMYFUNCTION("""COMPUTED_VALUE"""),9.0)</f>
        <v>9</v>
      </c>
      <c r="O475" s="176"/>
      <c r="P475" s="165" t="s">
        <v>435</v>
      </c>
      <c r="Q475" s="165" t="s">
        <v>450</v>
      </c>
      <c r="R475" s="176"/>
      <c r="S475" s="176"/>
      <c r="T475" s="176"/>
      <c r="U475" s="176"/>
      <c r="V475" s="176"/>
      <c r="W475" s="176"/>
      <c r="X475" s="176"/>
      <c r="Y475" s="176"/>
      <c r="Z475" s="176"/>
      <c r="AA475" s="176"/>
    </row>
    <row r="476">
      <c r="A476" s="165" t="str">
        <f>iferror(VLOOKUP(P476,'DO NOT TOUCH Imported'!$A$1:$D$800,4,False),iferror(VLOOKUP(P476,'DO NOT TOUCH Imported'!$C$1:$D$800,2,False),"OOPS FIX ME"))</f>
        <v>Tam2140</v>
      </c>
      <c r="B476" s="165" t="s">
        <v>490</v>
      </c>
      <c r="C476" s="170" t="s">
        <v>897</v>
      </c>
      <c r="D476" s="236" t="s">
        <v>437</v>
      </c>
      <c r="E476" s="237">
        <v>44309.0</v>
      </c>
      <c r="F476" s="170" t="s">
        <v>439</v>
      </c>
      <c r="G476" s="170">
        <v>1500.0</v>
      </c>
      <c r="H476" s="171">
        <v>100.0</v>
      </c>
      <c r="I476" s="171">
        <v>100.0</v>
      </c>
      <c r="J476" s="172">
        <f t="shared" si="23"/>
        <v>0.001086538869</v>
      </c>
      <c r="K476" s="173">
        <f t="shared" si="24"/>
        <v>1.303846642</v>
      </c>
      <c r="L476" s="174">
        <f t="shared" si="4"/>
        <v>7.557688821</v>
      </c>
      <c r="M476" s="175" t="str">
        <f t="shared" si="5"/>
        <v>Tam2140</v>
      </c>
      <c r="N476" s="176">
        <f>IFERROR(__xludf.DUMMYFUNCTION("""COMPUTED_VALUE"""),10.0)</f>
        <v>10</v>
      </c>
      <c r="O476" s="176"/>
      <c r="P476" s="165" t="s">
        <v>435</v>
      </c>
      <c r="Q476" s="165" t="s">
        <v>490</v>
      </c>
      <c r="R476" s="176"/>
      <c r="S476" s="176"/>
      <c r="T476" s="176"/>
      <c r="U476" s="176"/>
      <c r="V476" s="176"/>
      <c r="W476" s="176"/>
      <c r="X476" s="176"/>
      <c r="Y476" s="176"/>
      <c r="Z476" s="176"/>
      <c r="AA476" s="176"/>
    </row>
    <row r="477">
      <c r="A477" s="165" t="str">
        <f>iferror(VLOOKUP(P477,'DO NOT TOUCH Imported'!$A$1:$D$800,4,False),iferror(VLOOKUP(P477,'DO NOT TOUCH Imported'!$C$1:$D$800,2,False),"OOPS FIX ME"))</f>
        <v>Tam2140</v>
      </c>
      <c r="B477" s="165" t="s">
        <v>879</v>
      </c>
      <c r="C477" s="170" t="s">
        <v>1095</v>
      </c>
      <c r="D477" s="236" t="s">
        <v>495</v>
      </c>
      <c r="E477" s="239">
        <v>44298.0</v>
      </c>
      <c r="F477" s="170" t="s">
        <v>499</v>
      </c>
      <c r="G477" s="170">
        <v>1000.0</v>
      </c>
      <c r="H477" s="171">
        <v>100.0</v>
      </c>
      <c r="I477" s="171">
        <v>100.0</v>
      </c>
      <c r="J477" s="172">
        <f t="shared" si="23"/>
        <v>0.0010126618</v>
      </c>
      <c r="K477" s="173">
        <f t="shared" si="24"/>
        <v>1.21519416</v>
      </c>
      <c r="L477" s="174">
        <f t="shared" si="4"/>
        <v>7.557688821</v>
      </c>
      <c r="M477" s="175" t="str">
        <f t="shared" si="5"/>
        <v>Tam2140</v>
      </c>
      <c r="N477" s="176">
        <f>IFERROR(__xludf.DUMMYFUNCTION("""COMPUTED_VALUE"""),11.0)</f>
        <v>11</v>
      </c>
      <c r="O477" s="176"/>
      <c r="P477" s="165" t="s">
        <v>28</v>
      </c>
      <c r="Q477" s="165" t="s">
        <v>879</v>
      </c>
      <c r="R477" s="176"/>
      <c r="S477" s="176"/>
      <c r="T477" s="176"/>
      <c r="U477" s="176"/>
      <c r="V477" s="176"/>
      <c r="W477" s="176"/>
      <c r="X477" s="176"/>
      <c r="Y477" s="176"/>
      <c r="Z477" s="176"/>
      <c r="AA477" s="176"/>
    </row>
    <row r="478">
      <c r="A478" s="165" t="str">
        <f>iferror(VLOOKUP(P478,'DO NOT TOUCH Imported'!$A$1:$D$800,4,False),iferror(VLOOKUP(P478,'DO NOT TOUCH Imported'!$C$1:$D$800,2,False),"OOPS FIX ME"))</f>
        <v>Tam2140</v>
      </c>
      <c r="B478" s="165" t="s">
        <v>20</v>
      </c>
      <c r="C478" s="170" t="s">
        <v>1096</v>
      </c>
      <c r="D478" s="236" t="s">
        <v>437</v>
      </c>
      <c r="E478" s="237">
        <v>44296.0</v>
      </c>
      <c r="F478" s="170" t="s">
        <v>439</v>
      </c>
      <c r="G478" s="170">
        <v>1000.0</v>
      </c>
      <c r="H478" s="171">
        <v>100.0</v>
      </c>
      <c r="I478" s="171">
        <v>100.0</v>
      </c>
      <c r="J478" s="172">
        <f t="shared" si="23"/>
        <v>0.0010126618</v>
      </c>
      <c r="K478" s="173">
        <f t="shared" si="24"/>
        <v>1.21519416</v>
      </c>
      <c r="L478" s="174">
        <f t="shared" si="4"/>
        <v>7.557688821</v>
      </c>
      <c r="M478" s="175" t="str">
        <f t="shared" si="5"/>
        <v>Tam2140</v>
      </c>
      <c r="N478" s="176">
        <f>IFERROR(__xludf.DUMMYFUNCTION("""COMPUTED_VALUE"""),12.0)</f>
        <v>12</v>
      </c>
      <c r="O478" s="176"/>
      <c r="P478" s="165" t="s">
        <v>435</v>
      </c>
      <c r="Q478" s="165" t="s">
        <v>20</v>
      </c>
      <c r="R478" s="176"/>
      <c r="S478" s="176"/>
      <c r="T478" s="176"/>
      <c r="U478" s="176"/>
      <c r="V478" s="176"/>
      <c r="W478" s="176"/>
      <c r="X478" s="176"/>
      <c r="Y478" s="176"/>
      <c r="Z478" s="176"/>
      <c r="AA478" s="176"/>
    </row>
    <row r="479">
      <c r="A479" s="165" t="str">
        <f>iferror(VLOOKUP(P479,'DO NOT TOUCH Imported'!$A$1:$D$800,4,False),iferror(VLOOKUP(P479,'DO NOT TOUCH Imported'!$C$1:$D$800,2,False),"OOPS FIX ME"))</f>
        <v>Tam2140</v>
      </c>
      <c r="B479" s="165" t="s">
        <v>490</v>
      </c>
      <c r="C479" s="170" t="s">
        <v>950</v>
      </c>
      <c r="D479" s="236" t="s">
        <v>437</v>
      </c>
      <c r="E479" s="239">
        <v>44299.0</v>
      </c>
      <c r="F479" s="170" t="s">
        <v>439</v>
      </c>
      <c r="G479" s="170">
        <v>1000.0</v>
      </c>
      <c r="H479" s="171">
        <v>100.0</v>
      </c>
      <c r="I479" s="171">
        <v>100.0</v>
      </c>
      <c r="J479" s="172">
        <f t="shared" si="23"/>
        <v>0.0010126618</v>
      </c>
      <c r="K479" s="173">
        <f t="shared" si="24"/>
        <v>1.21519416</v>
      </c>
      <c r="L479" s="174">
        <f t="shared" si="4"/>
        <v>7.557688821</v>
      </c>
      <c r="M479" s="175" t="str">
        <f t="shared" si="5"/>
        <v>Tam2140</v>
      </c>
      <c r="N479" s="176">
        <f>IFERROR(__xludf.DUMMYFUNCTION("""COMPUTED_VALUE"""),13.0)</f>
        <v>13</v>
      </c>
      <c r="O479" s="176"/>
      <c r="P479" s="165" t="s">
        <v>435</v>
      </c>
      <c r="Q479" s="165" t="s">
        <v>490</v>
      </c>
      <c r="R479" s="176"/>
      <c r="S479" s="176"/>
      <c r="T479" s="176"/>
      <c r="U479" s="176"/>
      <c r="V479" s="176"/>
      <c r="W479" s="176"/>
      <c r="X479" s="176"/>
      <c r="Y479" s="176"/>
      <c r="Z479" s="176"/>
      <c r="AA479" s="176"/>
    </row>
    <row r="480">
      <c r="A480" s="165" t="str">
        <f>iferror(VLOOKUP(P480,'DO NOT TOUCH Imported'!$A$1:$D$800,4,False),iferror(VLOOKUP(P480,'DO NOT TOUCH Imported'!$C$1:$D$800,2,False),"OOPS FIX ME"))</f>
        <v>Tam2140</v>
      </c>
      <c r="B480" s="165" t="s">
        <v>20</v>
      </c>
      <c r="C480" s="170" t="s">
        <v>1097</v>
      </c>
      <c r="D480" s="236" t="s">
        <v>437</v>
      </c>
      <c r="E480" s="237">
        <v>44299.0</v>
      </c>
      <c r="F480" s="170" t="s">
        <v>439</v>
      </c>
      <c r="G480" s="170">
        <v>1000.0</v>
      </c>
      <c r="H480" s="171">
        <v>100.0</v>
      </c>
      <c r="I480" s="171">
        <v>100.0</v>
      </c>
      <c r="J480" s="172">
        <f t="shared" si="23"/>
        <v>0.0010126618</v>
      </c>
      <c r="K480" s="173">
        <f t="shared" si="24"/>
        <v>1.21519416</v>
      </c>
      <c r="L480" s="174">
        <f t="shared" si="4"/>
        <v>7.557688821</v>
      </c>
      <c r="M480" s="175" t="str">
        <f t="shared" si="5"/>
        <v>Tam2140</v>
      </c>
      <c r="N480" s="176">
        <f>IFERROR(__xludf.DUMMYFUNCTION("""COMPUTED_VALUE"""),14.0)</f>
        <v>14</v>
      </c>
      <c r="O480" s="176"/>
      <c r="P480" s="165" t="s">
        <v>435</v>
      </c>
      <c r="Q480" s="165" t="s">
        <v>20</v>
      </c>
      <c r="R480" s="176"/>
      <c r="S480" s="176"/>
      <c r="T480" s="176"/>
      <c r="U480" s="176"/>
      <c r="V480" s="176"/>
      <c r="W480" s="176"/>
      <c r="X480" s="176"/>
      <c r="Y480" s="176"/>
      <c r="Z480" s="176"/>
      <c r="AA480" s="176"/>
    </row>
    <row r="481">
      <c r="A481" s="165" t="str">
        <f>iferror(VLOOKUP(P481,'DO NOT TOUCH Imported'!$A$1:$D$800,4,False),iferror(VLOOKUP(P481,'DO NOT TOUCH Imported'!$C$1:$D$800,2,False),"OOPS FIX ME"))</f>
        <v>Tam2140</v>
      </c>
      <c r="B481" s="165" t="s">
        <v>440</v>
      </c>
      <c r="C481" s="170" t="s">
        <v>1098</v>
      </c>
      <c r="D481" s="236" t="s">
        <v>437</v>
      </c>
      <c r="E481" s="239">
        <v>44300.0</v>
      </c>
      <c r="F481" s="170" t="s">
        <v>439</v>
      </c>
      <c r="G481" s="170">
        <v>1000.0</v>
      </c>
      <c r="H481" s="171">
        <v>100.0</v>
      </c>
      <c r="I481" s="171">
        <v>100.0</v>
      </c>
      <c r="J481" s="172">
        <f t="shared" si="23"/>
        <v>0.0010126618</v>
      </c>
      <c r="K481" s="173">
        <f t="shared" si="24"/>
        <v>1.21519416</v>
      </c>
      <c r="L481" s="174">
        <f t="shared" si="4"/>
        <v>7.557688821</v>
      </c>
      <c r="M481" s="175" t="str">
        <f t="shared" si="5"/>
        <v>Tam2140</v>
      </c>
      <c r="N481" s="176">
        <f>IFERROR(__xludf.DUMMYFUNCTION("""COMPUTED_VALUE"""),15.0)</f>
        <v>15</v>
      </c>
      <c r="O481" s="176"/>
      <c r="P481" s="165" t="s">
        <v>435</v>
      </c>
      <c r="Q481" s="165" t="s">
        <v>440</v>
      </c>
      <c r="R481" s="176"/>
      <c r="S481" s="176"/>
      <c r="T481" s="176"/>
      <c r="U481" s="176"/>
      <c r="V481" s="176"/>
      <c r="W481" s="176"/>
      <c r="X481" s="176"/>
      <c r="Y481" s="176"/>
      <c r="Z481" s="176"/>
      <c r="AA481" s="176"/>
    </row>
    <row r="482">
      <c r="A482" s="165" t="str">
        <f>iferror(VLOOKUP(P482,'DO NOT TOUCH Imported'!$A$1:$D$800,4,False),iferror(VLOOKUP(P482,'DO NOT TOUCH Imported'!$C$1:$D$800,2,False),"OOPS FIX ME"))</f>
        <v>Tam2140</v>
      </c>
      <c r="B482" s="165" t="s">
        <v>440</v>
      </c>
      <c r="C482" s="170" t="s">
        <v>1099</v>
      </c>
      <c r="D482" s="236" t="s">
        <v>437</v>
      </c>
      <c r="E482" s="237">
        <v>44301.0</v>
      </c>
      <c r="F482" s="170" t="s">
        <v>439</v>
      </c>
      <c r="G482" s="170">
        <v>1000.0</v>
      </c>
      <c r="H482" s="171">
        <v>100.0</v>
      </c>
      <c r="I482" s="171">
        <v>100.0</v>
      </c>
      <c r="J482" s="172">
        <f t="shared" si="23"/>
        <v>0.0010126618</v>
      </c>
      <c r="K482" s="173">
        <f t="shared" si="24"/>
        <v>1.21519416</v>
      </c>
      <c r="L482" s="174">
        <f t="shared" si="4"/>
        <v>7.557688821</v>
      </c>
      <c r="M482" s="175" t="str">
        <f t="shared" si="5"/>
        <v>Tam2140</v>
      </c>
      <c r="N482" s="176">
        <f>IFERROR(__xludf.DUMMYFUNCTION("""COMPUTED_VALUE"""),16.0)</f>
        <v>16</v>
      </c>
      <c r="O482" s="176"/>
      <c r="P482" s="165" t="s">
        <v>435</v>
      </c>
      <c r="Q482" s="165" t="s">
        <v>440</v>
      </c>
      <c r="R482" s="176"/>
      <c r="S482" s="176"/>
      <c r="T482" s="176"/>
      <c r="U482" s="176"/>
      <c r="V482" s="176"/>
      <c r="W482" s="176"/>
      <c r="X482" s="176"/>
      <c r="Y482" s="176"/>
      <c r="Z482" s="176"/>
      <c r="AA482" s="176"/>
    </row>
    <row r="483">
      <c r="A483" s="165" t="str">
        <f>iferror(VLOOKUP(P483,'DO NOT TOUCH Imported'!$A$1:$D$800,4,False),iferror(VLOOKUP(P483,'DO NOT TOUCH Imported'!$C$1:$D$800,2,False),"OOPS FIX ME"))</f>
        <v>Tam2140</v>
      </c>
      <c r="B483" s="165" t="s">
        <v>483</v>
      </c>
      <c r="C483" s="170" t="s">
        <v>1100</v>
      </c>
      <c r="D483" s="236" t="s">
        <v>437</v>
      </c>
      <c r="E483" s="237">
        <v>44301.0</v>
      </c>
      <c r="F483" s="170" t="s">
        <v>439</v>
      </c>
      <c r="G483" s="170">
        <v>1000.0</v>
      </c>
      <c r="H483" s="171">
        <v>100.0</v>
      </c>
      <c r="I483" s="171">
        <v>100.0</v>
      </c>
      <c r="J483" s="172">
        <f t="shared" si="23"/>
        <v>0.0010126618</v>
      </c>
      <c r="K483" s="173">
        <f t="shared" si="24"/>
        <v>1.21519416</v>
      </c>
      <c r="L483" s="174">
        <f t="shared" si="4"/>
        <v>7.557688821</v>
      </c>
      <c r="M483" s="175" t="str">
        <f t="shared" si="5"/>
        <v>Tam2140</v>
      </c>
      <c r="N483" s="176">
        <f>IFERROR(__xludf.DUMMYFUNCTION("""COMPUTED_VALUE"""),17.0)</f>
        <v>17</v>
      </c>
      <c r="O483" s="176"/>
      <c r="P483" s="165" t="s">
        <v>435</v>
      </c>
      <c r="Q483" s="165" t="s">
        <v>483</v>
      </c>
      <c r="R483" s="176"/>
      <c r="S483" s="176"/>
      <c r="T483" s="176"/>
      <c r="U483" s="176"/>
      <c r="V483" s="176"/>
      <c r="W483" s="176"/>
      <c r="X483" s="176"/>
      <c r="Y483" s="176"/>
      <c r="Z483" s="176"/>
      <c r="AA483" s="176"/>
    </row>
    <row r="484">
      <c r="A484" s="165" t="str">
        <f>iferror(VLOOKUP(P484,'DO NOT TOUCH Imported'!$A$1:$D$800,4,False),iferror(VLOOKUP(P484,'DO NOT TOUCH Imported'!$C$1:$D$800,2,False),"OOPS FIX ME"))</f>
        <v>Tam2140</v>
      </c>
      <c r="B484" s="165" t="s">
        <v>441</v>
      </c>
      <c r="C484" s="170" t="s">
        <v>1101</v>
      </c>
      <c r="D484" s="236" t="s">
        <v>437</v>
      </c>
      <c r="E484" s="237">
        <v>44306.0</v>
      </c>
      <c r="F484" s="170" t="s">
        <v>439</v>
      </c>
      <c r="G484" s="170">
        <v>1000.0</v>
      </c>
      <c r="H484" s="171">
        <v>100.0</v>
      </c>
      <c r="I484" s="171">
        <v>100.0</v>
      </c>
      <c r="J484" s="172">
        <f t="shared" si="23"/>
        <v>0.0010126618</v>
      </c>
      <c r="K484" s="173">
        <f t="shared" si="24"/>
        <v>1.21519416</v>
      </c>
      <c r="L484" s="174">
        <f t="shared" si="4"/>
        <v>7.557688821</v>
      </c>
      <c r="M484" s="175" t="str">
        <f t="shared" si="5"/>
        <v>Tam2140</v>
      </c>
      <c r="N484" s="176">
        <f>IFERROR(__xludf.DUMMYFUNCTION("""COMPUTED_VALUE"""),18.0)</f>
        <v>18</v>
      </c>
      <c r="O484" s="176"/>
      <c r="P484" s="165" t="s">
        <v>435</v>
      </c>
      <c r="Q484" s="165" t="s">
        <v>441</v>
      </c>
      <c r="R484" s="176"/>
      <c r="S484" s="176"/>
      <c r="T484" s="176"/>
      <c r="U484" s="176"/>
      <c r="V484" s="176"/>
      <c r="W484" s="176"/>
      <c r="X484" s="176"/>
      <c r="Y484" s="176"/>
      <c r="Z484" s="176"/>
      <c r="AA484" s="176"/>
    </row>
    <row r="485">
      <c r="A485" s="165" t="str">
        <f>iferror(VLOOKUP(P485,'DO NOT TOUCH Imported'!$A$1:$D$800,4,False),iferror(VLOOKUP(P485,'DO NOT TOUCH Imported'!$C$1:$D$800,2,False),"OOPS FIX ME"))</f>
        <v>Tam2140</v>
      </c>
      <c r="B485" s="165" t="s">
        <v>435</v>
      </c>
      <c r="C485" s="170" t="s">
        <v>951</v>
      </c>
      <c r="D485" s="236" t="s">
        <v>437</v>
      </c>
      <c r="E485" s="237">
        <v>44306.0</v>
      </c>
      <c r="F485" s="170" t="s">
        <v>439</v>
      </c>
      <c r="G485" s="170">
        <v>1000.0</v>
      </c>
      <c r="H485" s="171">
        <v>100.0</v>
      </c>
      <c r="I485" s="171">
        <v>100.0</v>
      </c>
      <c r="J485" s="172">
        <f t="shared" si="23"/>
        <v>0.0010126618</v>
      </c>
      <c r="K485" s="173">
        <f t="shared" si="24"/>
        <v>1.21519416</v>
      </c>
      <c r="L485" s="174">
        <f t="shared" si="4"/>
        <v>7.557688821</v>
      </c>
      <c r="M485" s="175" t="str">
        <f t="shared" si="5"/>
        <v>Tam2140</v>
      </c>
      <c r="N485" s="176">
        <f>IFERROR(__xludf.DUMMYFUNCTION("""COMPUTED_VALUE"""),19.0)</f>
        <v>19</v>
      </c>
      <c r="O485" s="176"/>
      <c r="P485" s="165" t="s">
        <v>435</v>
      </c>
      <c r="Q485" s="165" t="s">
        <v>435</v>
      </c>
      <c r="R485" s="176"/>
      <c r="S485" s="176"/>
      <c r="T485" s="176"/>
      <c r="U485" s="176"/>
      <c r="V485" s="176"/>
      <c r="W485" s="176"/>
      <c r="X485" s="176"/>
      <c r="Y485" s="176"/>
      <c r="Z485" s="176"/>
      <c r="AA485" s="176"/>
    </row>
    <row r="486">
      <c r="A486" s="165" t="str">
        <f>iferror(VLOOKUP(P486,'DO NOT TOUCH Imported'!$A$1:$D$800,4,False),iferror(VLOOKUP(P486,'DO NOT TOUCH Imported'!$C$1:$D$800,2,False),"OOPS FIX ME"))</f>
        <v>Tam2140</v>
      </c>
      <c r="B486" s="165" t="s">
        <v>441</v>
      </c>
      <c r="C486" s="170" t="s">
        <v>902</v>
      </c>
      <c r="D486" s="236" t="s">
        <v>437</v>
      </c>
      <c r="E486" s="239">
        <v>44309.0</v>
      </c>
      <c r="F486" s="170" t="s">
        <v>439</v>
      </c>
      <c r="G486" s="170">
        <v>1000.0</v>
      </c>
      <c r="H486" s="171">
        <v>100.0</v>
      </c>
      <c r="I486" s="171">
        <v>100.0</v>
      </c>
      <c r="J486" s="172">
        <f t="shared" si="23"/>
        <v>0.0010126618</v>
      </c>
      <c r="K486" s="173">
        <f t="shared" si="24"/>
        <v>1.21519416</v>
      </c>
      <c r="L486" s="174">
        <f t="shared" si="4"/>
        <v>7.557688821</v>
      </c>
      <c r="M486" s="175" t="str">
        <f t="shared" si="5"/>
        <v>Tam2140</v>
      </c>
      <c r="N486" s="176">
        <f>IFERROR(__xludf.DUMMYFUNCTION("""COMPUTED_VALUE"""),20.0)</f>
        <v>20</v>
      </c>
      <c r="O486" s="176"/>
      <c r="P486" s="165" t="s">
        <v>435</v>
      </c>
      <c r="Q486" s="165" t="s">
        <v>441</v>
      </c>
      <c r="R486" s="176"/>
      <c r="S486" s="176"/>
      <c r="T486" s="176"/>
      <c r="U486" s="176"/>
      <c r="V486" s="176"/>
      <c r="W486" s="176"/>
      <c r="X486" s="176"/>
      <c r="Y486" s="176"/>
      <c r="Z486" s="176"/>
      <c r="AA486" s="176"/>
    </row>
    <row r="487">
      <c r="A487" s="165" t="str">
        <f>iferror(VLOOKUP(P487,'DO NOT TOUCH Imported'!$A$1:$D$800,4,False),iferror(VLOOKUP(P487,'DO NOT TOUCH Imported'!$C$1:$D$800,2,False),"OOPS FIX ME"))</f>
        <v>Tam2140</v>
      </c>
      <c r="B487" s="165" t="s">
        <v>441</v>
      </c>
      <c r="C487" s="170" t="s">
        <v>1102</v>
      </c>
      <c r="D487" s="236" t="s">
        <v>437</v>
      </c>
      <c r="E487" s="239">
        <v>44302.0</v>
      </c>
      <c r="F487" s="170" t="s">
        <v>439</v>
      </c>
      <c r="G487" s="170">
        <v>1000.0</v>
      </c>
      <c r="H487" s="171">
        <v>100.0</v>
      </c>
      <c r="I487" s="171">
        <v>80.0</v>
      </c>
      <c r="J487" s="172">
        <f t="shared" si="23"/>
        <v>0.0009269003455</v>
      </c>
      <c r="K487" s="173">
        <f t="shared" si="24"/>
        <v>1.112280415</v>
      </c>
      <c r="L487" s="174">
        <f t="shared" si="4"/>
        <v>7.557688821</v>
      </c>
      <c r="M487" s="175" t="str">
        <f t="shared" si="5"/>
        <v>Tam2140</v>
      </c>
      <c r="N487" s="176">
        <f>IFERROR(__xludf.DUMMYFUNCTION("""COMPUTED_VALUE"""),21.0)</f>
        <v>21</v>
      </c>
      <c r="O487" s="176"/>
      <c r="P487" s="165" t="s">
        <v>435</v>
      </c>
      <c r="Q487" s="165" t="s">
        <v>441</v>
      </c>
      <c r="R487" s="176"/>
      <c r="S487" s="176"/>
      <c r="T487" s="176"/>
      <c r="U487" s="176"/>
      <c r="V487" s="176"/>
      <c r="W487" s="176"/>
      <c r="X487" s="176"/>
      <c r="Y487" s="176"/>
      <c r="Z487" s="176"/>
      <c r="AA487" s="176"/>
    </row>
    <row r="488">
      <c r="A488" s="165" t="str">
        <f>iferror(VLOOKUP(P488,'DO NOT TOUCH Imported'!$A$1:$D$800,4,False),iferror(VLOOKUP(P488,'DO NOT TOUCH Imported'!$C$1:$D$800,2,False),"OOPS FIX ME"))</f>
        <v>Tam2140</v>
      </c>
      <c r="B488" s="165" t="s">
        <v>441</v>
      </c>
      <c r="C488" s="170" t="s">
        <v>1082</v>
      </c>
      <c r="D488" s="236" t="s">
        <v>437</v>
      </c>
      <c r="E488" s="239">
        <v>44302.0</v>
      </c>
      <c r="F488" s="170" t="s">
        <v>439</v>
      </c>
      <c r="G488" s="170">
        <v>1000.0</v>
      </c>
      <c r="H488" s="171">
        <v>100.0</v>
      </c>
      <c r="I488" s="171">
        <v>80.0</v>
      </c>
      <c r="J488" s="172">
        <f t="shared" si="23"/>
        <v>0.0009269003455</v>
      </c>
      <c r="K488" s="173">
        <f t="shared" si="24"/>
        <v>1.112280415</v>
      </c>
      <c r="L488" s="174">
        <f t="shared" si="4"/>
        <v>7.557688821</v>
      </c>
      <c r="M488" s="175" t="str">
        <f t="shared" si="5"/>
        <v>Tam2140</v>
      </c>
      <c r="N488" s="176">
        <f>IFERROR(__xludf.DUMMYFUNCTION("""COMPUTED_VALUE"""),22.0)</f>
        <v>22</v>
      </c>
      <c r="O488" s="176"/>
      <c r="P488" s="165" t="s">
        <v>435</v>
      </c>
      <c r="Q488" s="165" t="s">
        <v>441</v>
      </c>
      <c r="R488" s="176"/>
      <c r="S488" s="176"/>
      <c r="T488" s="176"/>
      <c r="U488" s="176"/>
      <c r="V488" s="176"/>
      <c r="W488" s="176"/>
      <c r="X488" s="176"/>
      <c r="Y488" s="176"/>
      <c r="Z488" s="176"/>
      <c r="AA488" s="176"/>
    </row>
    <row r="489">
      <c r="A489" s="165" t="str">
        <f>iferror(VLOOKUP(P489,'DO NOT TOUCH Imported'!$A$1:$D$800,4,False),iferror(VLOOKUP(P489,'DO NOT TOUCH Imported'!$C$1:$D$800,2,False),"OOPS FIX ME"))</f>
        <v>Tam2140</v>
      </c>
      <c r="B489" s="165" t="s">
        <v>768</v>
      </c>
      <c r="C489" s="170" t="s">
        <v>1047</v>
      </c>
      <c r="D489" s="236" t="s">
        <v>499</v>
      </c>
      <c r="E489" s="239">
        <v>44306.0</v>
      </c>
      <c r="F489" s="170" t="s">
        <v>503</v>
      </c>
      <c r="G489" s="170">
        <v>500.0</v>
      </c>
      <c r="H489" s="171">
        <v>100.0</v>
      </c>
      <c r="I489" s="171">
        <v>80.0</v>
      </c>
      <c r="J489" s="172">
        <f t="shared" si="23"/>
        <v>0.0008530232769</v>
      </c>
      <c r="K489" s="173">
        <f t="shared" si="24"/>
        <v>1.023627932</v>
      </c>
      <c r="L489" s="174">
        <f t="shared" si="4"/>
        <v>7.557688821</v>
      </c>
      <c r="M489" s="175" t="str">
        <f t="shared" si="5"/>
        <v>Tam2140</v>
      </c>
      <c r="N489" s="176">
        <f>IFERROR(__xludf.DUMMYFUNCTION("""COMPUTED_VALUE"""),23.0)</f>
        <v>23</v>
      </c>
      <c r="O489" s="176"/>
      <c r="P489" s="165" t="s">
        <v>435</v>
      </c>
      <c r="Q489" s="165" t="s">
        <v>768</v>
      </c>
      <c r="R489" s="176"/>
      <c r="S489" s="176"/>
      <c r="T489" s="176"/>
      <c r="U489" s="176"/>
      <c r="V489" s="176"/>
      <c r="W489" s="176"/>
      <c r="X489" s="176"/>
      <c r="Y489" s="176"/>
      <c r="Z489" s="176"/>
      <c r="AA489" s="176"/>
    </row>
    <row r="490">
      <c r="A490" s="165" t="str">
        <f>iferror(VLOOKUP(P490,'DO NOT TOUCH Imported'!$A$1:$D$800,4,False),iferror(VLOOKUP(P490,'DO NOT TOUCH Imported'!$C$1:$D$800,2,False),"OOPS FIX ME"))</f>
        <v>Tam2140</v>
      </c>
      <c r="B490" s="165" t="s">
        <v>441</v>
      </c>
      <c r="C490" s="170" t="s">
        <v>906</v>
      </c>
      <c r="D490" s="236" t="s">
        <v>437</v>
      </c>
      <c r="E490" s="239">
        <v>44309.0</v>
      </c>
      <c r="F490" s="170" t="s">
        <v>439</v>
      </c>
      <c r="G490" s="170">
        <v>1000.0</v>
      </c>
      <c r="H490" s="171">
        <v>60.0</v>
      </c>
      <c r="I490" s="171">
        <v>100.0</v>
      </c>
      <c r="J490" s="172">
        <f t="shared" si="23"/>
        <v>0.0008382216439</v>
      </c>
      <c r="K490" s="173">
        <f t="shared" si="24"/>
        <v>1.005865973</v>
      </c>
      <c r="L490" s="174">
        <f t="shared" si="4"/>
        <v>7.557688821</v>
      </c>
      <c r="M490" s="175" t="str">
        <f t="shared" si="5"/>
        <v>Tam2140</v>
      </c>
      <c r="N490" s="176">
        <f>IFERROR(__xludf.DUMMYFUNCTION("""COMPUTED_VALUE"""),24.0)</f>
        <v>24</v>
      </c>
      <c r="O490" s="176"/>
      <c r="P490" s="165" t="s">
        <v>435</v>
      </c>
      <c r="Q490" s="165" t="s">
        <v>441</v>
      </c>
      <c r="R490" s="176"/>
      <c r="S490" s="176"/>
      <c r="T490" s="176"/>
      <c r="U490" s="176"/>
      <c r="V490" s="176"/>
      <c r="W490" s="176"/>
      <c r="X490" s="176"/>
      <c r="Y490" s="176"/>
      <c r="Z490" s="176"/>
      <c r="AA490" s="176"/>
    </row>
    <row r="491">
      <c r="A491" s="165" t="str">
        <f>iferror(VLOOKUP(P491,'DO NOT TOUCH Imported'!$A$1:$D$800,4,False),iferror(VLOOKUP(P491,'DO NOT TOUCH Imported'!$C$1:$D$800,2,False),"OOPS FIX ME"))</f>
        <v>Tam2140</v>
      </c>
      <c r="B491" s="165" t="s">
        <v>441</v>
      </c>
      <c r="C491" s="170" t="s">
        <v>956</v>
      </c>
      <c r="D491" s="236" t="s">
        <v>437</v>
      </c>
      <c r="E491" s="239">
        <v>44309.0</v>
      </c>
      <c r="F491" s="170" t="s">
        <v>439</v>
      </c>
      <c r="G491" s="170">
        <v>1000.0</v>
      </c>
      <c r="H491" s="171">
        <v>100.0</v>
      </c>
      <c r="I491" s="171">
        <v>50.0</v>
      </c>
      <c r="J491" s="172">
        <f t="shared" si="23"/>
        <v>0.0007982581637</v>
      </c>
      <c r="K491" s="173">
        <f t="shared" si="24"/>
        <v>0.9579097965</v>
      </c>
      <c r="L491" s="174">
        <f t="shared" si="4"/>
        <v>7.557688821</v>
      </c>
      <c r="M491" s="175" t="str">
        <f t="shared" si="5"/>
        <v>Tam2140</v>
      </c>
      <c r="N491" s="176">
        <f>IFERROR(__xludf.DUMMYFUNCTION("""COMPUTED_VALUE"""),25.0)</f>
        <v>25</v>
      </c>
      <c r="O491" s="176"/>
      <c r="P491" s="165" t="s">
        <v>435</v>
      </c>
      <c r="Q491" s="165" t="s">
        <v>441</v>
      </c>
      <c r="R491" s="176"/>
      <c r="S491" s="176"/>
      <c r="T491" s="176"/>
      <c r="U491" s="176"/>
      <c r="V491" s="176"/>
      <c r="W491" s="176"/>
      <c r="X491" s="176"/>
      <c r="Y491" s="176"/>
      <c r="Z491" s="176"/>
      <c r="AA491" s="176"/>
    </row>
    <row r="492">
      <c r="A492" s="165" t="str">
        <f>iferror(VLOOKUP(P492,'DO NOT TOUCH Imported'!$A$1:$D$800,4,False),iferror(VLOOKUP(P492,'DO NOT TOUCH Imported'!$C$1:$D$800,2,False),"OOPS FIX ME"))</f>
        <v>Tam2140</v>
      </c>
      <c r="B492" s="165" t="s">
        <v>435</v>
      </c>
      <c r="C492" s="170" t="s">
        <v>910</v>
      </c>
      <c r="D492" s="236" t="s">
        <v>437</v>
      </c>
      <c r="E492" s="237">
        <v>44302.0</v>
      </c>
      <c r="F492" s="170" t="s">
        <v>911</v>
      </c>
      <c r="G492" s="170">
        <v>1000.0</v>
      </c>
      <c r="H492" s="171">
        <v>60.0</v>
      </c>
      <c r="I492" s="171">
        <v>80.0</v>
      </c>
      <c r="J492" s="172">
        <f t="shared" si="23"/>
        <v>0.0007524601894</v>
      </c>
      <c r="K492" s="173">
        <f t="shared" si="24"/>
        <v>0.9029522272</v>
      </c>
      <c r="L492" s="174">
        <f t="shared" si="4"/>
        <v>7.557688821</v>
      </c>
      <c r="M492" s="175" t="str">
        <f t="shared" si="5"/>
        <v>Tam2140</v>
      </c>
      <c r="N492" s="176">
        <f>IFERROR(__xludf.DUMMYFUNCTION("""COMPUTED_VALUE"""),26.0)</f>
        <v>26</v>
      </c>
      <c r="O492" s="176"/>
      <c r="P492" s="165" t="s">
        <v>435</v>
      </c>
      <c r="Q492" s="165" t="s">
        <v>435</v>
      </c>
      <c r="R492" s="176"/>
      <c r="S492" s="176"/>
      <c r="T492" s="176"/>
      <c r="U492" s="176"/>
      <c r="V492" s="176"/>
      <c r="W492" s="176"/>
      <c r="X492" s="176"/>
      <c r="Y492" s="176"/>
      <c r="Z492" s="176"/>
      <c r="AA492" s="176"/>
    </row>
    <row r="493">
      <c r="A493" s="165" t="str">
        <f>iferror(VLOOKUP(P493,'DO NOT TOUCH Imported'!$A$1:$D$800,4,False),iferror(VLOOKUP(P493,'DO NOT TOUCH Imported'!$C$1:$D$800,2,False),"OOPS FIX ME"))</f>
        <v>Tam2140</v>
      </c>
      <c r="B493" s="165" t="s">
        <v>440</v>
      </c>
      <c r="C493" s="170" t="s">
        <v>912</v>
      </c>
      <c r="D493" s="236" t="s">
        <v>437</v>
      </c>
      <c r="E493" s="239">
        <v>44307.0</v>
      </c>
      <c r="F493" s="170" t="s">
        <v>439</v>
      </c>
      <c r="G493" s="170">
        <v>1000.0</v>
      </c>
      <c r="H493" s="171">
        <v>70.0</v>
      </c>
      <c r="I493" s="171">
        <v>50.0</v>
      </c>
      <c r="J493" s="172">
        <f t="shared" si="23"/>
        <v>0.0006674280466</v>
      </c>
      <c r="K493" s="173">
        <f t="shared" si="24"/>
        <v>0.8009136559</v>
      </c>
      <c r="L493" s="174">
        <f t="shared" si="4"/>
        <v>7.557688821</v>
      </c>
      <c r="M493" s="175" t="str">
        <f t="shared" si="5"/>
        <v>Tam2140</v>
      </c>
      <c r="N493" s="176">
        <f>IFERROR(__xludf.DUMMYFUNCTION("""COMPUTED_VALUE"""),27.0)</f>
        <v>27</v>
      </c>
      <c r="O493" s="176"/>
      <c r="P493" s="165" t="s">
        <v>435</v>
      </c>
      <c r="Q493" s="165" t="s">
        <v>440</v>
      </c>
      <c r="R493" s="176"/>
      <c r="S493" s="176"/>
      <c r="T493" s="176"/>
      <c r="U493" s="176"/>
      <c r="V493" s="176"/>
      <c r="W493" s="176"/>
      <c r="X493" s="176"/>
      <c r="Y493" s="176"/>
      <c r="Z493" s="176"/>
      <c r="AA493" s="176"/>
    </row>
    <row r="494">
      <c r="A494" s="165" t="str">
        <f>iferror(VLOOKUP(P494,'DO NOT TOUCH Imported'!$A$1:$D$800,4,False),iferror(VLOOKUP(P494,'DO NOT TOUCH Imported'!$C$1:$D$800,2,False),"OOPS FIX ME"))</f>
        <v>Tam2140</v>
      </c>
      <c r="B494" s="165" t="s">
        <v>490</v>
      </c>
      <c r="C494" s="170" t="s">
        <v>914</v>
      </c>
      <c r="D494" s="236" t="s">
        <v>437</v>
      </c>
      <c r="E494" s="239">
        <v>44299.0</v>
      </c>
      <c r="F494" s="170" t="s">
        <v>439</v>
      </c>
      <c r="G494" s="170">
        <v>1000.0</v>
      </c>
      <c r="H494" s="171">
        <v>60.0</v>
      </c>
      <c r="I494" s="171">
        <v>50.0</v>
      </c>
      <c r="J494" s="172">
        <f t="shared" si="23"/>
        <v>0.0006238180076</v>
      </c>
      <c r="K494" s="173">
        <f t="shared" si="24"/>
        <v>0.7485816091</v>
      </c>
      <c r="L494" s="174">
        <f t="shared" si="4"/>
        <v>7.557688821</v>
      </c>
      <c r="M494" s="175" t="str">
        <f t="shared" si="5"/>
        <v>Tam2140</v>
      </c>
      <c r="N494" s="176">
        <f>IFERROR(__xludf.DUMMYFUNCTION("""COMPUTED_VALUE"""),28.0)</f>
        <v>28</v>
      </c>
      <c r="O494" s="176"/>
      <c r="P494" s="165" t="s">
        <v>435</v>
      </c>
      <c r="Q494" s="165" t="s">
        <v>490</v>
      </c>
      <c r="R494" s="176"/>
      <c r="S494" s="176"/>
      <c r="T494" s="176"/>
      <c r="U494" s="176"/>
      <c r="V494" s="176"/>
      <c r="W494" s="176"/>
      <c r="X494" s="176"/>
      <c r="Y494" s="176"/>
      <c r="Z494" s="176"/>
      <c r="AA494" s="176"/>
    </row>
    <row r="495">
      <c r="A495" s="165" t="str">
        <f>iferror(VLOOKUP(P495,'DO NOT TOUCH Imported'!$A$1:$D$800,4,False),iferror(VLOOKUP(P495,'DO NOT TOUCH Imported'!$C$1:$D$800,2,False),"OOPS FIX ME"))</f>
        <v>Tam2140</v>
      </c>
      <c r="B495" s="165" t="s">
        <v>492</v>
      </c>
      <c r="C495" s="170" t="s">
        <v>915</v>
      </c>
      <c r="D495" s="236" t="s">
        <v>437</v>
      </c>
      <c r="E495" s="237">
        <v>44300.0</v>
      </c>
      <c r="F495" s="170" t="s">
        <v>439</v>
      </c>
      <c r="G495" s="170">
        <v>1000.0</v>
      </c>
      <c r="H495" s="171">
        <v>60.0</v>
      </c>
      <c r="I495" s="171">
        <v>50.0</v>
      </c>
      <c r="J495" s="172">
        <f t="shared" si="23"/>
        <v>0.0006238180076</v>
      </c>
      <c r="K495" s="173">
        <f t="shared" si="24"/>
        <v>0.7485816091</v>
      </c>
      <c r="L495" s="174">
        <f t="shared" si="4"/>
        <v>7.557688821</v>
      </c>
      <c r="M495" s="175" t="str">
        <f t="shared" si="5"/>
        <v>Tam2140</v>
      </c>
      <c r="N495" s="176">
        <f>IFERROR(__xludf.DUMMYFUNCTION("""COMPUTED_VALUE"""),29.0)</f>
        <v>29</v>
      </c>
      <c r="O495" s="176"/>
      <c r="P495" s="165" t="s">
        <v>435</v>
      </c>
      <c r="Q495" s="165" t="s">
        <v>492</v>
      </c>
      <c r="R495" s="176"/>
      <c r="S495" s="176"/>
      <c r="T495" s="176"/>
      <c r="U495" s="176"/>
      <c r="V495" s="176"/>
      <c r="W495" s="176"/>
      <c r="X495" s="176"/>
      <c r="Y495" s="176"/>
      <c r="Z495" s="176"/>
      <c r="AA495" s="176"/>
    </row>
    <row r="496">
      <c r="A496" s="165" t="str">
        <f>iferror(VLOOKUP(P496,'DO NOT TOUCH Imported'!$A$1:$D$800,4,False),iferror(VLOOKUP(P496,'DO NOT TOUCH Imported'!$C$1:$D$800,2,False),"OOPS FIX ME"))</f>
        <v>Tam2140</v>
      </c>
      <c r="B496" s="165" t="s">
        <v>440</v>
      </c>
      <c r="C496" s="170" t="s">
        <v>916</v>
      </c>
      <c r="D496" s="236" t="s">
        <v>437</v>
      </c>
      <c r="E496" s="237">
        <v>44300.0</v>
      </c>
      <c r="F496" s="170" t="s">
        <v>439</v>
      </c>
      <c r="G496" s="170">
        <v>1000.0</v>
      </c>
      <c r="H496" s="171">
        <v>60.0</v>
      </c>
      <c r="I496" s="171">
        <v>50.0</v>
      </c>
      <c r="J496" s="172">
        <f t="shared" si="23"/>
        <v>0.0006238180076</v>
      </c>
      <c r="K496" s="173">
        <f t="shared" si="24"/>
        <v>0.7485816091</v>
      </c>
      <c r="L496" s="174">
        <f t="shared" si="4"/>
        <v>7.557688821</v>
      </c>
      <c r="M496" s="175" t="str">
        <f t="shared" si="5"/>
        <v>Tam2140</v>
      </c>
      <c r="N496" s="176">
        <f>IFERROR(__xludf.DUMMYFUNCTION("""COMPUTED_VALUE"""),30.0)</f>
        <v>30</v>
      </c>
      <c r="O496" s="176"/>
      <c r="P496" s="165" t="s">
        <v>435</v>
      </c>
      <c r="Q496" s="165" t="s">
        <v>440</v>
      </c>
      <c r="R496" s="176"/>
      <c r="S496" s="176"/>
      <c r="T496" s="176"/>
      <c r="U496" s="176"/>
      <c r="V496" s="176"/>
      <c r="W496" s="176"/>
      <c r="X496" s="176"/>
      <c r="Y496" s="176"/>
      <c r="Z496" s="176"/>
      <c r="AA496" s="176"/>
    </row>
    <row r="497">
      <c r="A497" s="165" t="str">
        <f>iferror(VLOOKUP(P497,'DO NOT TOUCH Imported'!$A$1:$D$800,4,False),iferror(VLOOKUP(P497,'DO NOT TOUCH Imported'!$C$1:$D$800,2,False),"OOPS FIX ME"))</f>
        <v>Tam2140</v>
      </c>
      <c r="B497" s="165" t="s">
        <v>440</v>
      </c>
      <c r="C497" s="170" t="s">
        <v>917</v>
      </c>
      <c r="D497" s="236" t="s">
        <v>437</v>
      </c>
      <c r="E497" s="239">
        <v>44301.0</v>
      </c>
      <c r="F497" s="170" t="s">
        <v>439</v>
      </c>
      <c r="G497" s="170">
        <v>1000.0</v>
      </c>
      <c r="H497" s="171">
        <v>60.0</v>
      </c>
      <c r="I497" s="171">
        <v>50.0</v>
      </c>
      <c r="J497" s="172">
        <f t="shared" si="23"/>
        <v>0.0006238180076</v>
      </c>
      <c r="K497" s="173">
        <f t="shared" si="24"/>
        <v>0.7485816091</v>
      </c>
      <c r="L497" s="174">
        <f t="shared" si="4"/>
        <v>7.557688821</v>
      </c>
      <c r="M497" s="175" t="str">
        <f t="shared" si="5"/>
        <v>Tam2140</v>
      </c>
      <c r="N497" s="176">
        <f>IFERROR(__xludf.DUMMYFUNCTION("""COMPUTED_VALUE"""),31.0)</f>
        <v>31</v>
      </c>
      <c r="O497" s="176"/>
      <c r="P497" s="165" t="s">
        <v>435</v>
      </c>
      <c r="Q497" s="165" t="s">
        <v>440</v>
      </c>
      <c r="R497" s="176"/>
      <c r="S497" s="176"/>
      <c r="T497" s="176"/>
      <c r="U497" s="176"/>
      <c r="V497" s="176"/>
      <c r="W497" s="176"/>
      <c r="X497" s="176"/>
      <c r="Y497" s="176"/>
      <c r="Z497" s="176"/>
      <c r="AA497" s="176"/>
    </row>
    <row r="498">
      <c r="A498" s="165" t="str">
        <f>iferror(VLOOKUP(P498,'DO NOT TOUCH Imported'!$A$1:$D$800,4,False),iferror(VLOOKUP(P498,'DO NOT TOUCH Imported'!$C$1:$D$800,2,False),"OOPS FIX ME"))</f>
        <v>Tam2140</v>
      </c>
      <c r="B498" s="165" t="s">
        <v>441</v>
      </c>
      <c r="C498" s="170" t="s">
        <v>918</v>
      </c>
      <c r="D498" s="236" t="s">
        <v>437</v>
      </c>
      <c r="E498" s="237">
        <v>44302.0</v>
      </c>
      <c r="F498" s="170" t="s">
        <v>439</v>
      </c>
      <c r="G498" s="170">
        <v>1000.0</v>
      </c>
      <c r="H498" s="171">
        <v>60.0</v>
      </c>
      <c r="I498" s="171">
        <v>50.0</v>
      </c>
      <c r="J498" s="172">
        <f t="shared" si="23"/>
        <v>0.0006238180076</v>
      </c>
      <c r="K498" s="173">
        <f t="shared" si="24"/>
        <v>0.7485816091</v>
      </c>
      <c r="L498" s="174">
        <f t="shared" si="4"/>
        <v>7.557688821</v>
      </c>
      <c r="M498" s="175" t="str">
        <f t="shared" si="5"/>
        <v>Tam2140</v>
      </c>
      <c r="N498" s="176">
        <f>IFERROR(__xludf.DUMMYFUNCTION("""COMPUTED_VALUE"""),32.0)</f>
        <v>32</v>
      </c>
      <c r="O498" s="176"/>
      <c r="P498" s="165" t="s">
        <v>435</v>
      </c>
      <c r="Q498" s="165" t="s">
        <v>441</v>
      </c>
      <c r="R498" s="176"/>
      <c r="S498" s="176"/>
      <c r="T498" s="176"/>
      <c r="U498" s="176"/>
      <c r="V498" s="176"/>
      <c r="W498" s="176"/>
      <c r="X498" s="176"/>
      <c r="Y498" s="176"/>
      <c r="Z498" s="176"/>
      <c r="AA498" s="176"/>
    </row>
    <row r="499">
      <c r="A499" s="165" t="str">
        <f>iferror(VLOOKUP(P499,'DO NOT TOUCH Imported'!$A$1:$D$800,4,False),iferror(VLOOKUP(P499,'DO NOT TOUCH Imported'!$C$1:$D$800,2,False),"OOPS FIX ME"))</f>
        <v>Tam2140</v>
      </c>
      <c r="B499" s="165" t="s">
        <v>486</v>
      </c>
      <c r="C499" s="170" t="s">
        <v>921</v>
      </c>
      <c r="D499" s="236" t="s">
        <v>437</v>
      </c>
      <c r="E499" s="239">
        <v>44306.0</v>
      </c>
      <c r="F499" s="170" t="s">
        <v>439</v>
      </c>
      <c r="G499" s="170">
        <v>1000.0</v>
      </c>
      <c r="H499" s="171">
        <v>60.0</v>
      </c>
      <c r="I499" s="171">
        <v>50.0</v>
      </c>
      <c r="J499" s="172">
        <f t="shared" si="23"/>
        <v>0.0006238180076</v>
      </c>
      <c r="K499" s="173">
        <f t="shared" si="24"/>
        <v>0.7485816091</v>
      </c>
      <c r="L499" s="174">
        <f t="shared" si="4"/>
        <v>7.557688821</v>
      </c>
      <c r="M499" s="175" t="str">
        <f t="shared" si="5"/>
        <v>Tam2140</v>
      </c>
      <c r="N499" s="176">
        <f>IFERROR(__xludf.DUMMYFUNCTION("""COMPUTED_VALUE"""),33.0)</f>
        <v>33</v>
      </c>
      <c r="O499" s="176"/>
      <c r="P499" s="165" t="s">
        <v>435</v>
      </c>
      <c r="Q499" s="165" t="s">
        <v>486</v>
      </c>
      <c r="R499" s="176"/>
      <c r="S499" s="176"/>
      <c r="T499" s="176"/>
      <c r="U499" s="176"/>
      <c r="V499" s="176"/>
      <c r="W499" s="176"/>
      <c r="X499" s="176"/>
      <c r="Y499" s="176"/>
      <c r="Z499" s="176"/>
      <c r="AA499" s="176"/>
    </row>
    <row r="500">
      <c r="A500" s="165" t="str">
        <f>iferror(VLOOKUP(P500,'DO NOT TOUCH Imported'!$A$1:$D$800,4,False),iferror(VLOOKUP(P500,'DO NOT TOUCH Imported'!$C$1:$D$800,2,False),"OOPS FIX ME"))</f>
        <v>Tam2140</v>
      </c>
      <c r="B500" s="165" t="s">
        <v>440</v>
      </c>
      <c r="C500" s="170" t="s">
        <v>922</v>
      </c>
      <c r="D500" s="236" t="s">
        <v>437</v>
      </c>
      <c r="E500" s="237">
        <v>44307.0</v>
      </c>
      <c r="F500" s="170" t="s">
        <v>439</v>
      </c>
      <c r="G500" s="170">
        <v>1000.0</v>
      </c>
      <c r="H500" s="171">
        <v>60.0</v>
      </c>
      <c r="I500" s="171">
        <v>50.0</v>
      </c>
      <c r="J500" s="172">
        <f t="shared" si="23"/>
        <v>0.0006238180076</v>
      </c>
      <c r="K500" s="173">
        <f t="shared" si="24"/>
        <v>0.7485816091</v>
      </c>
      <c r="L500" s="174">
        <f t="shared" si="4"/>
        <v>7.557688821</v>
      </c>
      <c r="M500" s="175" t="str">
        <f t="shared" si="5"/>
        <v>Tam2140</v>
      </c>
      <c r="N500" s="176">
        <f>IFERROR(__xludf.DUMMYFUNCTION("""COMPUTED_VALUE"""),34.0)</f>
        <v>34</v>
      </c>
      <c r="O500" s="176"/>
      <c r="P500" s="165" t="s">
        <v>435</v>
      </c>
      <c r="Q500" s="165" t="s">
        <v>440</v>
      </c>
      <c r="R500" s="176"/>
      <c r="S500" s="176"/>
      <c r="T500" s="176"/>
      <c r="U500" s="176"/>
      <c r="V500" s="176"/>
      <c r="W500" s="176"/>
      <c r="X500" s="176"/>
      <c r="Y500" s="176"/>
      <c r="Z500" s="176"/>
      <c r="AA500" s="176"/>
    </row>
    <row r="501">
      <c r="A501" s="165" t="str">
        <f>iferror(VLOOKUP(P501,'DO NOT TOUCH Imported'!$A$1:$D$800,4,False),iferror(VLOOKUP(P501,'DO NOT TOUCH Imported'!$C$1:$D$800,2,False),"OOPS FIX ME"))</f>
        <v>Tam2140</v>
      </c>
      <c r="B501" s="165" t="s">
        <v>441</v>
      </c>
      <c r="C501" s="170" t="s">
        <v>923</v>
      </c>
      <c r="D501" s="236" t="s">
        <v>437</v>
      </c>
      <c r="E501" s="237">
        <v>44309.0</v>
      </c>
      <c r="F501" s="170" t="s">
        <v>439</v>
      </c>
      <c r="G501" s="170">
        <v>1000.0</v>
      </c>
      <c r="H501" s="171">
        <v>60.0</v>
      </c>
      <c r="I501" s="171">
        <v>50.0</v>
      </c>
      <c r="J501" s="172">
        <f t="shared" si="23"/>
        <v>0.0006238180076</v>
      </c>
      <c r="K501" s="173">
        <f t="shared" si="24"/>
        <v>0.7485816091</v>
      </c>
      <c r="L501" s="174">
        <f t="shared" si="4"/>
        <v>7.557688821</v>
      </c>
      <c r="M501" s="175" t="str">
        <f t="shared" si="5"/>
        <v>Tam2140</v>
      </c>
      <c r="N501" s="176">
        <f>IFERROR(__xludf.DUMMYFUNCTION("""COMPUTED_VALUE"""),35.0)</f>
        <v>35</v>
      </c>
      <c r="O501" s="176"/>
      <c r="P501" s="165" t="s">
        <v>435</v>
      </c>
      <c r="Q501" s="165" t="s">
        <v>441</v>
      </c>
      <c r="R501" s="176"/>
      <c r="S501" s="176"/>
      <c r="T501" s="176"/>
      <c r="U501" s="176"/>
      <c r="V501" s="176"/>
      <c r="W501" s="176"/>
      <c r="X501" s="176"/>
      <c r="Y501" s="176"/>
      <c r="Z501" s="176"/>
      <c r="AA501" s="176"/>
    </row>
    <row r="502">
      <c r="A502" s="165" t="str">
        <f>iferror(VLOOKUP(P502,'DO NOT TOUCH Imported'!$A$1:$D$800,4,False),iferror(VLOOKUP(P502,'DO NOT TOUCH Imported'!$C$1:$D$800,2,False),"OOPS FIX ME"))</f>
        <v>Tam2140</v>
      </c>
      <c r="B502" s="165" t="s">
        <v>486</v>
      </c>
      <c r="C502" s="170" t="s">
        <v>924</v>
      </c>
      <c r="D502" s="236" t="s">
        <v>437</v>
      </c>
      <c r="E502" s="237">
        <v>44299.0</v>
      </c>
      <c r="F502" s="170" t="s">
        <v>439</v>
      </c>
      <c r="G502" s="170">
        <v>1000.0</v>
      </c>
      <c r="H502" s="171">
        <v>50.0</v>
      </c>
      <c r="I502" s="171">
        <v>50.0</v>
      </c>
      <c r="J502" s="172">
        <f t="shared" si="23"/>
        <v>0.0005802079686</v>
      </c>
      <c r="K502" s="173">
        <f t="shared" si="24"/>
        <v>0.6962495623</v>
      </c>
      <c r="L502" s="174">
        <f t="shared" si="4"/>
        <v>7.557688821</v>
      </c>
      <c r="M502" s="175" t="str">
        <f t="shared" si="5"/>
        <v>Tam2140</v>
      </c>
      <c r="N502" s="176">
        <f>IFERROR(__xludf.DUMMYFUNCTION("""COMPUTED_VALUE"""),36.0)</f>
        <v>36</v>
      </c>
      <c r="O502" s="176"/>
      <c r="P502" s="165" t="s">
        <v>435</v>
      </c>
      <c r="Q502" s="165" t="s">
        <v>486</v>
      </c>
      <c r="R502" s="176"/>
      <c r="S502" s="176"/>
      <c r="T502" s="176"/>
      <c r="U502" s="176"/>
      <c r="V502" s="176"/>
      <c r="W502" s="176"/>
      <c r="X502" s="176"/>
      <c r="Y502" s="176"/>
      <c r="Z502" s="176"/>
      <c r="AA502" s="176"/>
    </row>
    <row r="503">
      <c r="A503" s="165" t="str">
        <f>iferror(VLOOKUP(P503,'DO NOT TOUCH Imported'!$A$1:$D$800,4,False),iferror(VLOOKUP(P503,'DO NOT TOUCH Imported'!$C$1:$D$800,2,False),"OOPS FIX ME"))</f>
        <v>Tam2140</v>
      </c>
      <c r="B503" s="165" t="s">
        <v>10</v>
      </c>
      <c r="C503" s="170" t="s">
        <v>494</v>
      </c>
      <c r="D503" s="236" t="s">
        <v>495</v>
      </c>
      <c r="E503" s="237">
        <v>44302.0</v>
      </c>
      <c r="F503" s="170" t="s">
        <v>496</v>
      </c>
      <c r="G503" s="170">
        <v>1500.0</v>
      </c>
      <c r="H503" s="171">
        <v>25.0</v>
      </c>
      <c r="I503" s="171">
        <v>40.0</v>
      </c>
      <c r="J503" s="172">
        <f t="shared" si="23"/>
        <v>0.0005021792123</v>
      </c>
      <c r="K503" s="173">
        <f t="shared" si="24"/>
        <v>0.6026150547</v>
      </c>
      <c r="L503" s="174">
        <f t="shared" si="4"/>
        <v>7.557688821</v>
      </c>
      <c r="M503" s="175" t="str">
        <f t="shared" si="5"/>
        <v>Tam2140</v>
      </c>
      <c r="N503" s="176">
        <f>IFERROR(__xludf.DUMMYFUNCTION("""COMPUTED_VALUE"""),37.0)</f>
        <v>37</v>
      </c>
      <c r="O503" s="176"/>
      <c r="P503" s="165" t="s">
        <v>28</v>
      </c>
      <c r="Q503" s="165" t="s">
        <v>10</v>
      </c>
      <c r="R503" s="176"/>
      <c r="S503" s="176"/>
      <c r="T503" s="176"/>
      <c r="U503" s="176"/>
      <c r="V503" s="176"/>
      <c r="W503" s="176"/>
      <c r="X503" s="176"/>
      <c r="Y503" s="176"/>
      <c r="Z503" s="176"/>
      <c r="AA503" s="176"/>
    </row>
    <row r="504">
      <c r="A504" s="165" t="str">
        <f>iferror(VLOOKUP(P504,'DO NOT TOUCH Imported'!$A$1:$D$800,4,False),iferror(VLOOKUP(P504,'DO NOT TOUCH Imported'!$C$1:$D$800,2,False),"OOPS FIX ME"))</f>
        <v>Tam2140</v>
      </c>
      <c r="B504" s="165" t="s">
        <v>10</v>
      </c>
      <c r="C504" s="170" t="s">
        <v>494</v>
      </c>
      <c r="D504" s="236" t="s">
        <v>495</v>
      </c>
      <c r="E504" s="239">
        <v>44309.0</v>
      </c>
      <c r="F504" s="170" t="s">
        <v>496</v>
      </c>
      <c r="G504" s="170">
        <v>1500.0</v>
      </c>
      <c r="H504" s="171">
        <v>25.0</v>
      </c>
      <c r="I504" s="171">
        <v>40.0</v>
      </c>
      <c r="J504" s="172">
        <f t="shared" si="23"/>
        <v>0.0005021792123</v>
      </c>
      <c r="K504" s="173">
        <f t="shared" si="24"/>
        <v>0.6026150547</v>
      </c>
      <c r="L504" s="174">
        <f t="shared" si="4"/>
        <v>7.557688821</v>
      </c>
      <c r="M504" s="175" t="str">
        <f t="shared" si="5"/>
        <v>Tam2140</v>
      </c>
      <c r="N504" s="176">
        <f>IFERROR(__xludf.DUMMYFUNCTION("""COMPUTED_VALUE"""),38.0)</f>
        <v>38</v>
      </c>
      <c r="O504" s="176"/>
      <c r="P504" s="165" t="s">
        <v>28</v>
      </c>
      <c r="Q504" s="165" t="s">
        <v>10</v>
      </c>
      <c r="R504" s="176"/>
      <c r="S504" s="176"/>
      <c r="T504" s="176"/>
      <c r="U504" s="176"/>
      <c r="V504" s="176"/>
      <c r="W504" s="176"/>
      <c r="X504" s="176"/>
      <c r="Y504" s="176"/>
      <c r="Z504" s="176"/>
      <c r="AA504" s="176"/>
    </row>
    <row r="505">
      <c r="A505" s="240" t="str">
        <f>iferror(VLOOKUP(P505,'DO NOT TOUCH Imported'!$A$1:$D$800,4,False),iferror(VLOOKUP(P505,'DO NOT TOUCH Imported'!$C$1:$D$800,2,False),"OOPS FIX ME"))</f>
        <v>Tam2140</v>
      </c>
      <c r="B505" s="240" t="s">
        <v>492</v>
      </c>
      <c r="C505" s="221" t="s">
        <v>915</v>
      </c>
      <c r="D505" s="241" t="s">
        <v>437</v>
      </c>
      <c r="E505" s="244">
        <v>44300.0</v>
      </c>
      <c r="F505" s="221" t="s">
        <v>439</v>
      </c>
      <c r="G505" s="221"/>
      <c r="H505" s="222"/>
      <c r="I505" s="222"/>
      <c r="J505" s="172">
        <f t="shared" si="23"/>
        <v>0</v>
      </c>
      <c r="K505" s="173">
        <f t="shared" si="24"/>
        <v>0</v>
      </c>
      <c r="L505" s="174">
        <f t="shared" si="4"/>
        <v>7.557688821</v>
      </c>
      <c r="M505" s="175" t="str">
        <f t="shared" si="5"/>
        <v>Tam2140</v>
      </c>
      <c r="N505" s="209">
        <f>IFERROR(__xludf.DUMMYFUNCTION("""COMPUTED_VALUE"""),39.0)</f>
        <v>39</v>
      </c>
      <c r="O505" s="209"/>
      <c r="P505" s="240" t="s">
        <v>435</v>
      </c>
      <c r="Q505" s="240" t="s">
        <v>492</v>
      </c>
      <c r="R505" s="209"/>
      <c r="S505" s="209"/>
      <c r="T505" s="209"/>
      <c r="U505" s="209"/>
      <c r="V505" s="209"/>
      <c r="W505" s="209"/>
      <c r="X505" s="209"/>
      <c r="Y505" s="209"/>
      <c r="Z505" s="209"/>
      <c r="AA505" s="209"/>
    </row>
    <row r="506">
      <c r="A506" s="165" t="str">
        <f>iferror(VLOOKUP(P506,'DO NOT TOUCH Imported'!$A$1:$D$800,4,False),iferror(VLOOKUP(P506,'DO NOT TOUCH Imported'!$C$1:$D$800,2,False),"OOPS FIX ME"))</f>
        <v>BlairV</v>
      </c>
      <c r="B506" s="165" t="s">
        <v>519</v>
      </c>
      <c r="C506" s="170" t="s">
        <v>927</v>
      </c>
      <c r="D506" s="236" t="s">
        <v>495</v>
      </c>
      <c r="E506" s="237">
        <v>44300.0</v>
      </c>
      <c r="F506" s="170" t="s">
        <v>499</v>
      </c>
      <c r="G506" s="170">
        <v>5000.0</v>
      </c>
      <c r="H506" s="171">
        <v>200.0</v>
      </c>
      <c r="I506" s="171">
        <v>200.0</v>
      </c>
      <c r="J506" s="172">
        <f t="shared" si="23"/>
        <v>0.002468586011</v>
      </c>
      <c r="K506" s="173">
        <f t="shared" si="24"/>
        <v>2.962303214</v>
      </c>
      <c r="L506" s="174">
        <f t="shared" si="4"/>
        <v>6.867279334</v>
      </c>
      <c r="M506" s="175" t="str">
        <f t="shared" si="5"/>
        <v>BlairV</v>
      </c>
      <c r="N506" s="176">
        <f>IFERROR(__xludf.DUMMYFUNCTION("""COMPUTED_VALUE"""),1.0)</f>
        <v>1</v>
      </c>
      <c r="O506" s="176"/>
      <c r="P506" s="165" t="s">
        <v>41</v>
      </c>
      <c r="Q506" s="165" t="s">
        <v>519</v>
      </c>
      <c r="R506" s="176"/>
      <c r="S506" s="176"/>
      <c r="T506" s="176"/>
      <c r="U506" s="176"/>
      <c r="V506" s="176"/>
      <c r="W506" s="176"/>
      <c r="X506" s="176"/>
      <c r="Y506" s="176"/>
      <c r="Z506" s="176"/>
      <c r="AA506" s="176"/>
    </row>
    <row r="507">
      <c r="A507" s="165" t="str">
        <f>iferror(VLOOKUP(P507,'DO NOT TOUCH Imported'!$A$1:$D$800,4,False),iferror(VLOOKUP(P507,'DO NOT TOUCH Imported'!$C$1:$D$800,2,False),"OOPS FIX ME"))</f>
        <v>BlairV</v>
      </c>
      <c r="B507" s="165" t="s">
        <v>441</v>
      </c>
      <c r="C507" s="170" t="s">
        <v>1103</v>
      </c>
      <c r="D507" s="236" t="s">
        <v>437</v>
      </c>
      <c r="E507" s="239">
        <v>44309.0</v>
      </c>
      <c r="F507" s="170" t="s">
        <v>439</v>
      </c>
      <c r="G507" s="170">
        <v>2000.0</v>
      </c>
      <c r="H507" s="171">
        <v>100.0</v>
      </c>
      <c r="I507" s="171">
        <v>200.0</v>
      </c>
      <c r="J507" s="172">
        <f t="shared" si="23"/>
        <v>0.00158922321</v>
      </c>
      <c r="K507" s="173">
        <f t="shared" si="24"/>
        <v>1.907067852</v>
      </c>
      <c r="L507" s="174">
        <f t="shared" si="4"/>
        <v>6.867279334</v>
      </c>
      <c r="M507" s="175" t="str">
        <f t="shared" si="5"/>
        <v>BlairV</v>
      </c>
      <c r="N507" s="176">
        <f>IFERROR(__xludf.DUMMYFUNCTION("""COMPUTED_VALUE"""),2.0)</f>
        <v>2</v>
      </c>
      <c r="O507" s="176"/>
      <c r="P507" s="165" t="s">
        <v>525</v>
      </c>
      <c r="Q507" s="165" t="s">
        <v>441</v>
      </c>
      <c r="R507" s="176"/>
      <c r="S507" s="176"/>
      <c r="T507" s="176"/>
      <c r="U507" s="176"/>
      <c r="V507" s="176"/>
      <c r="W507" s="176"/>
      <c r="X507" s="176"/>
      <c r="Y507" s="176"/>
      <c r="Z507" s="176"/>
      <c r="AA507" s="176"/>
    </row>
    <row r="508">
      <c r="A508" s="165" t="str">
        <f>iferror(VLOOKUP(P508,'DO NOT TOUCH Imported'!$A$1:$D$800,4,False),iferror(VLOOKUP(P508,'DO NOT TOUCH Imported'!$C$1:$D$800,2,False),"OOPS FIX ME"))</f>
        <v>BlairV</v>
      </c>
      <c r="B508" s="165" t="s">
        <v>596</v>
      </c>
      <c r="C508" s="170" t="s">
        <v>937</v>
      </c>
      <c r="D508" s="236" t="s">
        <v>437</v>
      </c>
      <c r="E508" s="239">
        <v>44309.0</v>
      </c>
      <c r="F508" s="170" t="s">
        <v>439</v>
      </c>
      <c r="G508" s="170">
        <v>2000.0</v>
      </c>
      <c r="H508" s="171">
        <v>100.0</v>
      </c>
      <c r="I508" s="171">
        <v>150.0</v>
      </c>
      <c r="J508" s="172">
        <f t="shared" si="23"/>
        <v>0.001374819573</v>
      </c>
      <c r="K508" s="173">
        <f t="shared" si="24"/>
        <v>1.649783488</v>
      </c>
      <c r="L508" s="174">
        <f t="shared" si="4"/>
        <v>6.867279334</v>
      </c>
      <c r="M508" s="175" t="str">
        <f t="shared" si="5"/>
        <v>BlairV</v>
      </c>
      <c r="N508" s="176">
        <f>IFERROR(__xludf.DUMMYFUNCTION("""COMPUTED_VALUE"""),3.0)</f>
        <v>3</v>
      </c>
      <c r="O508" s="176"/>
      <c r="P508" s="165" t="s">
        <v>525</v>
      </c>
      <c r="Q508" s="165" t="s">
        <v>596</v>
      </c>
      <c r="R508" s="176"/>
      <c r="S508" s="176"/>
      <c r="T508" s="176"/>
      <c r="U508" s="176"/>
      <c r="V508" s="176"/>
      <c r="W508" s="176"/>
      <c r="X508" s="176"/>
      <c r="Y508" s="176"/>
      <c r="Z508" s="176"/>
      <c r="AA508" s="176"/>
    </row>
    <row r="509">
      <c r="A509" s="165" t="str">
        <f>iferror(VLOOKUP(P509,'DO NOT TOUCH Imported'!$A$1:$D$800,4,False),iferror(VLOOKUP(P509,'DO NOT TOUCH Imported'!$C$1:$D$800,2,False),"OOPS FIX ME"))</f>
        <v>BlairV</v>
      </c>
      <c r="B509" s="165" t="s">
        <v>10</v>
      </c>
      <c r="C509" s="170" t="s">
        <v>500</v>
      </c>
      <c r="D509" s="236" t="s">
        <v>495</v>
      </c>
      <c r="E509" s="237">
        <v>44309.0</v>
      </c>
      <c r="F509" s="170" t="s">
        <v>496</v>
      </c>
      <c r="G509" s="170">
        <v>500.0</v>
      </c>
      <c r="H509" s="171">
        <v>25.0</v>
      </c>
      <c r="I509" s="171">
        <v>25.0</v>
      </c>
      <c r="J509" s="172">
        <f t="shared" si="23"/>
        <v>0.0002901039843</v>
      </c>
      <c r="K509" s="173">
        <f t="shared" si="24"/>
        <v>0.3481247811</v>
      </c>
      <c r="L509" s="174">
        <f t="shared" si="4"/>
        <v>6.867279334</v>
      </c>
      <c r="M509" s="175" t="str">
        <f t="shared" si="5"/>
        <v>BlairV</v>
      </c>
      <c r="N509" s="176">
        <f>IFERROR(__xludf.DUMMYFUNCTION("""COMPUTED_VALUE"""),4.0)</f>
        <v>4</v>
      </c>
      <c r="O509" s="176"/>
      <c r="P509" s="165" t="s">
        <v>41</v>
      </c>
      <c r="Q509" s="165" t="s">
        <v>10</v>
      </c>
      <c r="R509" s="176"/>
      <c r="S509" s="176"/>
      <c r="T509" s="176"/>
      <c r="U509" s="176"/>
      <c r="V509" s="176"/>
      <c r="W509" s="176"/>
      <c r="X509" s="176"/>
      <c r="Y509" s="176"/>
      <c r="Z509" s="176"/>
      <c r="AA509" s="176"/>
    </row>
    <row r="510">
      <c r="A510" s="165" t="str">
        <f>iferror(VLOOKUP(P510,'DO NOT TOUCH Imported'!$A$1:$D$800,4,False),iferror(VLOOKUP(P510,'DO NOT TOUCH Imported'!$C$1:$D$800,2,False),"OOPS FIX ME"))</f>
        <v>mzargham</v>
      </c>
      <c r="B510" s="165" t="s">
        <v>519</v>
      </c>
      <c r="C510" s="170" t="s">
        <v>1104</v>
      </c>
      <c r="D510" s="236" t="s">
        <v>495</v>
      </c>
      <c r="E510" s="237">
        <v>44300.0</v>
      </c>
      <c r="F510" s="170" t="s">
        <v>499</v>
      </c>
      <c r="G510" s="170">
        <v>5000.0</v>
      </c>
      <c r="H510" s="171">
        <v>400.0</v>
      </c>
      <c r="I510" s="171">
        <v>300.0</v>
      </c>
      <c r="J510" s="172">
        <f t="shared" si="23"/>
        <v>0.003769594065</v>
      </c>
      <c r="K510" s="173">
        <f t="shared" si="24"/>
        <v>4.523512877</v>
      </c>
      <c r="L510" s="174">
        <f t="shared" si="4"/>
        <v>6.787457251</v>
      </c>
      <c r="M510" s="175" t="str">
        <f t="shared" si="5"/>
        <v>mzargham</v>
      </c>
      <c r="N510" s="176">
        <f>IFERROR(__xludf.DUMMYFUNCTION("""COMPUTED_VALUE"""),1.0)</f>
        <v>1</v>
      </c>
      <c r="O510" s="176"/>
      <c r="P510" s="165" t="s">
        <v>19</v>
      </c>
      <c r="Q510" s="165" t="s">
        <v>519</v>
      </c>
      <c r="R510" s="176"/>
      <c r="S510" s="176"/>
      <c r="T510" s="176"/>
      <c r="U510" s="176"/>
      <c r="V510" s="176"/>
      <c r="W510" s="176"/>
      <c r="X510" s="176"/>
      <c r="Y510" s="176"/>
      <c r="Z510" s="176"/>
      <c r="AA510" s="176"/>
    </row>
    <row r="511">
      <c r="A511" s="165" t="str">
        <f>iferror(VLOOKUP(P511,'DO NOT TOUCH Imported'!$A$1:$D$800,4,False),iferror(VLOOKUP(P511,'DO NOT TOUCH Imported'!$C$1:$D$800,2,False),"OOPS FIX ME"))</f>
        <v>mzargham</v>
      </c>
      <c r="B511" s="165" t="s">
        <v>490</v>
      </c>
      <c r="C511" s="170" t="s">
        <v>1105</v>
      </c>
      <c r="D511" s="236" t="s">
        <v>499</v>
      </c>
      <c r="E511" s="237">
        <v>44305.0</v>
      </c>
      <c r="F511" s="170" t="s">
        <v>503</v>
      </c>
      <c r="G511" s="170">
        <v>2000.0</v>
      </c>
      <c r="H511" s="171">
        <v>200.0</v>
      </c>
      <c r="I511" s="171">
        <v>100.0</v>
      </c>
      <c r="J511" s="172">
        <f t="shared" si="23"/>
        <v>0.001596516327</v>
      </c>
      <c r="K511" s="173">
        <f t="shared" si="24"/>
        <v>1.915819593</v>
      </c>
      <c r="L511" s="174">
        <f t="shared" si="4"/>
        <v>6.787457251</v>
      </c>
      <c r="M511" s="175" t="str">
        <f t="shared" si="5"/>
        <v>mzargham</v>
      </c>
      <c r="N511" s="176">
        <f>IFERROR(__xludf.DUMMYFUNCTION("""COMPUTED_VALUE"""),2.0)</f>
        <v>2</v>
      </c>
      <c r="O511" s="176"/>
      <c r="P511" s="165" t="s">
        <v>1106</v>
      </c>
      <c r="Q511" s="165" t="s">
        <v>490</v>
      </c>
      <c r="R511" s="176"/>
      <c r="S511" s="176"/>
      <c r="T511" s="176"/>
      <c r="U511" s="176"/>
      <c r="V511" s="176"/>
      <c r="W511" s="176"/>
      <c r="X511" s="176"/>
      <c r="Y511" s="176"/>
      <c r="Z511" s="176"/>
      <c r="AA511" s="176"/>
    </row>
    <row r="512">
      <c r="A512" s="165" t="str">
        <f>iferror(VLOOKUP(P512,'DO NOT TOUCH Imported'!$A$1:$D$800,4,False),iferror(VLOOKUP(P512,'DO NOT TOUCH Imported'!$C$1:$D$800,2,False),"OOPS FIX ME"))</f>
        <v>mzargham</v>
      </c>
      <c r="B512" s="165" t="s">
        <v>10</v>
      </c>
      <c r="C512" s="170" t="s">
        <v>498</v>
      </c>
      <c r="D512" s="236" t="s">
        <v>495</v>
      </c>
      <c r="E512" s="237">
        <v>44302.0</v>
      </c>
      <c r="F512" s="170" t="s">
        <v>499</v>
      </c>
      <c r="G512" s="170">
        <v>500.0</v>
      </c>
      <c r="H512" s="171">
        <v>25.0</v>
      </c>
      <c r="I512" s="171">
        <v>25.0</v>
      </c>
      <c r="J512" s="172">
        <f t="shared" si="23"/>
        <v>0.0002901039843</v>
      </c>
      <c r="K512" s="173">
        <f t="shared" si="24"/>
        <v>0.3481247811</v>
      </c>
      <c r="L512" s="174">
        <f t="shared" si="4"/>
        <v>6.787457251</v>
      </c>
      <c r="M512" s="175" t="str">
        <f t="shared" si="5"/>
        <v>mzargham</v>
      </c>
      <c r="N512" s="176">
        <f>IFERROR(__xludf.DUMMYFUNCTION("""COMPUTED_VALUE"""),3.0)</f>
        <v>3</v>
      </c>
      <c r="O512" s="176"/>
      <c r="P512" s="165" t="s">
        <v>19</v>
      </c>
      <c r="Q512" s="165" t="s">
        <v>10</v>
      </c>
      <c r="R512" s="176"/>
      <c r="S512" s="176"/>
      <c r="T512" s="176"/>
      <c r="U512" s="176"/>
      <c r="V512" s="176"/>
      <c r="W512" s="176"/>
      <c r="X512" s="176"/>
      <c r="Y512" s="176"/>
      <c r="Z512" s="176"/>
      <c r="AA512" s="176"/>
    </row>
    <row r="513">
      <c r="A513" s="165" t="str">
        <f>iferror(VLOOKUP(P513,'DO NOT TOUCH Imported'!$A$1:$D$800,4,False),iferror(VLOOKUP(P513,'DO NOT TOUCH Imported'!$C$1:$D$800,2,False),"OOPS FIX ME"))</f>
        <v>Mount Manu#3530</v>
      </c>
      <c r="B513" s="165" t="s">
        <v>483</v>
      </c>
      <c r="C513" s="170" t="s">
        <v>1107</v>
      </c>
      <c r="D513" s="236" t="s">
        <v>437</v>
      </c>
      <c r="E513" s="237">
        <v>44308.0</v>
      </c>
      <c r="F513" s="170" t="s">
        <v>439</v>
      </c>
      <c r="G513" s="170">
        <v>3000.0</v>
      </c>
      <c r="H513" s="171">
        <v>200.0</v>
      </c>
      <c r="I513" s="171">
        <v>100.0</v>
      </c>
      <c r="J513" s="172">
        <f t="shared" si="23"/>
        <v>0.001744270465</v>
      </c>
      <c r="K513" s="173">
        <f t="shared" si="24"/>
        <v>2.093124557</v>
      </c>
      <c r="L513" s="174">
        <f t="shared" si="4"/>
        <v>6.705211259</v>
      </c>
      <c r="M513" s="175" t="str">
        <f t="shared" si="5"/>
        <v>Mount Manu#3530</v>
      </c>
      <c r="N513" s="176">
        <f>IFERROR(__xludf.DUMMYFUNCTION("""COMPUTED_VALUE"""),1.0)</f>
        <v>1</v>
      </c>
      <c r="O513" s="176"/>
      <c r="P513" s="165" t="s">
        <v>32</v>
      </c>
      <c r="Q513" s="165" t="s">
        <v>483</v>
      </c>
      <c r="R513" s="176"/>
      <c r="S513" s="176"/>
      <c r="T513" s="176"/>
      <c r="U513" s="176"/>
      <c r="V513" s="176"/>
      <c r="W513" s="176"/>
      <c r="X513" s="176"/>
      <c r="Y513" s="176"/>
      <c r="Z513" s="176"/>
      <c r="AA513" s="176"/>
    </row>
    <row r="514">
      <c r="A514" s="165" t="str">
        <f>iferror(VLOOKUP(P514,'DO NOT TOUCH Imported'!$A$1:$D$800,4,False),iferror(VLOOKUP(P514,'DO NOT TOUCH Imported'!$C$1:$D$800,2,False),"OOPS FIX ME"))</f>
        <v>Mount Manu#3530</v>
      </c>
      <c r="B514" s="165" t="s">
        <v>443</v>
      </c>
      <c r="C514" s="170" t="s">
        <v>890</v>
      </c>
      <c r="D514" s="236" t="s">
        <v>437</v>
      </c>
      <c r="E514" s="239">
        <v>44310.0</v>
      </c>
      <c r="F514" s="170" t="s">
        <v>439</v>
      </c>
      <c r="G514" s="170">
        <v>5000.0</v>
      </c>
      <c r="H514" s="171">
        <v>100.0</v>
      </c>
      <c r="I514" s="171">
        <v>100.0</v>
      </c>
      <c r="J514" s="172">
        <f t="shared" si="23"/>
        <v>0.001603678348</v>
      </c>
      <c r="K514" s="173">
        <f t="shared" si="24"/>
        <v>1.924414018</v>
      </c>
      <c r="L514" s="174">
        <f t="shared" si="4"/>
        <v>6.705211259</v>
      </c>
      <c r="M514" s="175" t="str">
        <f t="shared" si="5"/>
        <v>Mount Manu#3530</v>
      </c>
      <c r="N514" s="176">
        <f>IFERROR(__xludf.DUMMYFUNCTION("""COMPUTED_VALUE"""),2.0)</f>
        <v>2</v>
      </c>
      <c r="O514" s="176"/>
      <c r="P514" s="165" t="s">
        <v>32</v>
      </c>
      <c r="Q514" s="165" t="s">
        <v>443</v>
      </c>
      <c r="R514" s="176"/>
      <c r="S514" s="176"/>
      <c r="T514" s="176"/>
      <c r="U514" s="176"/>
      <c r="V514" s="176"/>
      <c r="W514" s="176"/>
      <c r="X514" s="176"/>
      <c r="Y514" s="176"/>
      <c r="Z514" s="176"/>
      <c r="AA514" s="176"/>
    </row>
    <row r="515">
      <c r="A515" s="165" t="str">
        <f>iferror(VLOOKUP(P515,'DO NOT TOUCH Imported'!$A$1:$D$800,4,False),iferror(VLOOKUP(P515,'DO NOT TOUCH Imported'!$C$1:$D$800,2,False),"OOPS FIX ME"))</f>
        <v>Mount Manu#3530</v>
      </c>
      <c r="B515" s="165" t="s">
        <v>443</v>
      </c>
      <c r="C515" s="170" t="s">
        <v>892</v>
      </c>
      <c r="D515" s="236" t="s">
        <v>437</v>
      </c>
      <c r="E515" s="237">
        <v>44310.0</v>
      </c>
      <c r="F515" s="170" t="s">
        <v>439</v>
      </c>
      <c r="G515" s="170">
        <v>1000.0</v>
      </c>
      <c r="H515" s="171">
        <v>100.0</v>
      </c>
      <c r="I515" s="171">
        <v>150.0</v>
      </c>
      <c r="J515" s="172">
        <f t="shared" si="23"/>
        <v>0.001227065436</v>
      </c>
      <c r="K515" s="173">
        <f t="shared" si="24"/>
        <v>1.472478524</v>
      </c>
      <c r="L515" s="174">
        <f t="shared" si="4"/>
        <v>6.705211259</v>
      </c>
      <c r="M515" s="175" t="str">
        <f t="shared" si="5"/>
        <v>Mount Manu#3530</v>
      </c>
      <c r="N515" s="176">
        <f>IFERROR(__xludf.DUMMYFUNCTION("""COMPUTED_VALUE"""),3.0)</f>
        <v>3</v>
      </c>
      <c r="O515" s="176"/>
      <c r="P515" s="165" t="s">
        <v>32</v>
      </c>
      <c r="Q515" s="165" t="s">
        <v>443</v>
      </c>
      <c r="R515" s="176"/>
      <c r="S515" s="176"/>
      <c r="T515" s="176"/>
      <c r="U515" s="176"/>
      <c r="V515" s="176"/>
      <c r="W515" s="176"/>
      <c r="X515" s="176"/>
      <c r="Y515" s="176"/>
      <c r="Z515" s="176"/>
      <c r="AA515" s="176"/>
    </row>
    <row r="516">
      <c r="A516" s="165" t="str">
        <f>iferror(VLOOKUP(P516,'DO NOT TOUCH Imported'!$A$1:$D$800,4,False),iferror(VLOOKUP(P516,'DO NOT TOUCH Imported'!$C$1:$D$800,2,False),"OOPS FIX ME"))</f>
        <v>Mount Manu#3530</v>
      </c>
      <c r="B516" s="165" t="s">
        <v>441</v>
      </c>
      <c r="C516" s="170" t="s">
        <v>1051</v>
      </c>
      <c r="D516" s="236" t="s">
        <v>437</v>
      </c>
      <c r="E516" s="239">
        <v>44302.0</v>
      </c>
      <c r="F516" s="170" t="s">
        <v>439</v>
      </c>
      <c r="G516" s="170">
        <v>1000.0</v>
      </c>
      <c r="H516" s="171">
        <v>100.0</v>
      </c>
      <c r="I516" s="171">
        <v>100.0</v>
      </c>
      <c r="J516" s="172">
        <f t="shared" si="23"/>
        <v>0.0010126618</v>
      </c>
      <c r="K516" s="173">
        <f t="shared" si="24"/>
        <v>1.21519416</v>
      </c>
      <c r="L516" s="174">
        <f t="shared" si="4"/>
        <v>6.705211259</v>
      </c>
      <c r="M516" s="175" t="str">
        <f t="shared" si="5"/>
        <v>Mount Manu#3530</v>
      </c>
      <c r="N516" s="176">
        <f>IFERROR(__xludf.DUMMYFUNCTION("""COMPUTED_VALUE"""),4.0)</f>
        <v>4</v>
      </c>
      <c r="O516" s="176"/>
      <c r="P516" s="165" t="s">
        <v>32</v>
      </c>
      <c r="Q516" s="165" t="s">
        <v>441</v>
      </c>
      <c r="R516" s="176"/>
      <c r="S516" s="176"/>
      <c r="T516" s="176"/>
      <c r="U516" s="176"/>
      <c r="V516" s="176"/>
      <c r="W516" s="176"/>
      <c r="X516" s="176"/>
      <c r="Y516" s="176"/>
      <c r="Z516" s="176"/>
      <c r="AA516" s="176"/>
    </row>
    <row r="517">
      <c r="A517" s="165" t="str">
        <f>iferror(VLOOKUP(P517,'DO NOT TOUCH Imported'!$A$1:$D$800,4,False),iferror(VLOOKUP(P517,'DO NOT TOUCH Imported'!$C$1:$D$800,2,False),"OOPS FIX ME"))</f>
        <v>Letty#5399</v>
      </c>
      <c r="B517" s="165" t="s">
        <v>463</v>
      </c>
      <c r="C517" s="170" t="s">
        <v>1108</v>
      </c>
      <c r="D517" s="236" t="s">
        <v>437</v>
      </c>
      <c r="E517" s="237">
        <v>44305.0</v>
      </c>
      <c r="F517" s="170" t="s">
        <v>439</v>
      </c>
      <c r="G517" s="170">
        <v>5000.0</v>
      </c>
      <c r="H517" s="171">
        <v>200.0</v>
      </c>
      <c r="I517" s="171">
        <v>100.0</v>
      </c>
      <c r="J517" s="172">
        <f t="shared" si="23"/>
        <v>0.002039778739</v>
      </c>
      <c r="K517" s="173">
        <f t="shared" si="24"/>
        <v>2.447734487</v>
      </c>
      <c r="L517" s="174">
        <f t="shared" si="4"/>
        <v>6.513229238</v>
      </c>
      <c r="M517" s="175" t="str">
        <f t="shared" si="5"/>
        <v>Letty#5399</v>
      </c>
      <c r="N517" s="176">
        <f>IFERROR(__xludf.DUMMYFUNCTION("""COMPUTED_VALUE"""),1.0)</f>
        <v>1</v>
      </c>
      <c r="O517" s="176"/>
      <c r="P517" s="165" t="s">
        <v>75</v>
      </c>
      <c r="Q517" s="165" t="s">
        <v>463</v>
      </c>
      <c r="R517" s="176"/>
      <c r="S517" s="176"/>
      <c r="T517" s="176"/>
      <c r="U517" s="176"/>
      <c r="V517" s="176"/>
      <c r="W517" s="176"/>
      <c r="X517" s="176"/>
      <c r="Y517" s="176"/>
      <c r="Z517" s="176"/>
      <c r="AA517" s="176"/>
    </row>
    <row r="518">
      <c r="A518" s="165" t="str">
        <f>iferror(VLOOKUP(P518,'DO NOT TOUCH Imported'!$A$1:$D$800,4,False),iferror(VLOOKUP(P518,'DO NOT TOUCH Imported'!$C$1:$D$800,2,False),"OOPS FIX ME"))</f>
        <v>Letty#5399</v>
      </c>
      <c r="B518" s="165" t="s">
        <v>450</v>
      </c>
      <c r="C518" s="170" t="s">
        <v>1109</v>
      </c>
      <c r="D518" s="236" t="s">
        <v>437</v>
      </c>
      <c r="E518" s="237">
        <v>44302.0</v>
      </c>
      <c r="F518" s="170" t="s">
        <v>1110</v>
      </c>
      <c r="G518" s="170">
        <v>2000.0</v>
      </c>
      <c r="H518" s="171">
        <v>100.0</v>
      </c>
      <c r="I518" s="171">
        <v>100.0</v>
      </c>
      <c r="J518" s="172">
        <f t="shared" si="23"/>
        <v>0.001160415937</v>
      </c>
      <c r="K518" s="173">
        <f t="shared" si="24"/>
        <v>1.392499125</v>
      </c>
      <c r="L518" s="174">
        <f t="shared" si="4"/>
        <v>6.513229238</v>
      </c>
      <c r="M518" s="175" t="str">
        <f t="shared" si="5"/>
        <v>Letty#5399</v>
      </c>
      <c r="N518" s="176">
        <f>IFERROR(__xludf.DUMMYFUNCTION("""COMPUTED_VALUE"""),2.0)</f>
        <v>2</v>
      </c>
      <c r="O518" s="176"/>
      <c r="P518" s="165" t="s">
        <v>75</v>
      </c>
      <c r="Q518" s="165" t="s">
        <v>450</v>
      </c>
      <c r="R518" s="176"/>
      <c r="S518" s="176"/>
      <c r="T518" s="176"/>
      <c r="U518" s="176"/>
      <c r="V518" s="176"/>
      <c r="W518" s="176"/>
      <c r="X518" s="176"/>
      <c r="Y518" s="176"/>
      <c r="Z518" s="176"/>
      <c r="AA518" s="176"/>
    </row>
    <row r="519">
      <c r="A519" s="165" t="str">
        <f>iferror(VLOOKUP(P519,'DO NOT TOUCH Imported'!$A$1:$D$800,4,False),iferror(VLOOKUP(P519,'DO NOT TOUCH Imported'!$C$1:$D$800,2,False),"OOPS FIX ME"))</f>
        <v>Letty#5399</v>
      </c>
      <c r="B519" s="165" t="s">
        <v>463</v>
      </c>
      <c r="C519" s="170" t="s">
        <v>896</v>
      </c>
      <c r="D519" s="236" t="s">
        <v>437</v>
      </c>
      <c r="E519" s="237">
        <v>44305.0</v>
      </c>
      <c r="F519" s="170" t="s">
        <v>439</v>
      </c>
      <c r="G519" s="170">
        <v>5000.0</v>
      </c>
      <c r="H519" s="171">
        <v>60.0</v>
      </c>
      <c r="I519" s="171">
        <v>50.0</v>
      </c>
      <c r="J519" s="172">
        <f t="shared" si="23"/>
        <v>0.001214834556</v>
      </c>
      <c r="K519" s="173">
        <f t="shared" si="24"/>
        <v>1.457801467</v>
      </c>
      <c r="L519" s="174">
        <f t="shared" si="4"/>
        <v>6.513229238</v>
      </c>
      <c r="M519" s="175" t="str">
        <f t="shared" si="5"/>
        <v>Letty#5399</v>
      </c>
      <c r="N519" s="176">
        <f>IFERROR(__xludf.DUMMYFUNCTION("""COMPUTED_VALUE"""),3.0)</f>
        <v>3</v>
      </c>
      <c r="O519" s="176"/>
      <c r="P519" s="165" t="s">
        <v>75</v>
      </c>
      <c r="Q519" s="165" t="s">
        <v>463</v>
      </c>
      <c r="R519" s="176"/>
      <c r="S519" s="176"/>
      <c r="T519" s="176"/>
      <c r="U519" s="176"/>
      <c r="V519" s="176"/>
      <c r="W519" s="176"/>
      <c r="X519" s="176"/>
      <c r="Y519" s="176"/>
      <c r="Z519" s="176"/>
      <c r="AA519" s="176"/>
    </row>
    <row r="520">
      <c r="A520" s="165" t="str">
        <f>iferror(VLOOKUP(P520,'DO NOT TOUCH Imported'!$A$1:$D$800,4,False),iferror(VLOOKUP(P520,'DO NOT TOUCH Imported'!$C$1:$D$800,2,False),"OOPS FIX ME"))</f>
        <v>Letty#5399</v>
      </c>
      <c r="B520" s="165" t="s">
        <v>566</v>
      </c>
      <c r="C520" s="170" t="s">
        <v>1111</v>
      </c>
      <c r="D520" s="236" t="s">
        <v>499</v>
      </c>
      <c r="E520" s="237">
        <v>44309.0</v>
      </c>
      <c r="F520" s="170" t="s">
        <v>503</v>
      </c>
      <c r="G520" s="170">
        <v>1000.0</v>
      </c>
      <c r="H520" s="171">
        <v>100.0</v>
      </c>
      <c r="I520" s="171">
        <v>100.0</v>
      </c>
      <c r="J520" s="172">
        <f t="shared" si="23"/>
        <v>0.0010126618</v>
      </c>
      <c r="K520" s="173">
        <f t="shared" si="24"/>
        <v>1.21519416</v>
      </c>
      <c r="L520" s="174">
        <f t="shared" si="4"/>
        <v>6.513229238</v>
      </c>
      <c r="M520" s="175" t="str">
        <f t="shared" si="5"/>
        <v>Letty#5399</v>
      </c>
      <c r="N520" s="176">
        <f>IFERROR(__xludf.DUMMYFUNCTION("""COMPUTED_VALUE"""),4.0)</f>
        <v>4</v>
      </c>
      <c r="O520" s="176"/>
      <c r="P520" s="165" t="s">
        <v>75</v>
      </c>
      <c r="Q520" s="165" t="s">
        <v>566</v>
      </c>
      <c r="R520" s="176"/>
      <c r="S520" s="176"/>
      <c r="T520" s="176"/>
      <c r="U520" s="176"/>
      <c r="V520" s="176"/>
      <c r="W520" s="176"/>
      <c r="X520" s="176"/>
      <c r="Y520" s="176"/>
      <c r="Z520" s="176"/>
      <c r="AA520" s="176"/>
    </row>
    <row r="521">
      <c r="A521" s="165" t="str">
        <f>iferror(VLOOKUP(P521,'DO NOT TOUCH Imported'!$A$1:$D$800,4,False),iferror(VLOOKUP(P521,'DO NOT TOUCH Imported'!$C$1:$D$800,2,False),"OOPS FIX ME"))</f>
        <v>owocki</v>
      </c>
      <c r="B521" s="165" t="s">
        <v>519</v>
      </c>
      <c r="C521" s="170" t="s">
        <v>1112</v>
      </c>
      <c r="D521" s="236" t="s">
        <v>495</v>
      </c>
      <c r="E521" s="237">
        <v>44309.0</v>
      </c>
      <c r="F521" s="170" t="s">
        <v>499</v>
      </c>
      <c r="G521" s="170">
        <v>5000.0</v>
      </c>
      <c r="H521" s="171">
        <v>400.0</v>
      </c>
      <c r="I521" s="171">
        <v>250.0</v>
      </c>
      <c r="J521" s="172">
        <f t="shared" si="23"/>
        <v>0.003555190428</v>
      </c>
      <c r="K521" s="173">
        <f t="shared" si="24"/>
        <v>4.266228514</v>
      </c>
      <c r="L521" s="174">
        <f t="shared" si="4"/>
        <v>6.43933247</v>
      </c>
      <c r="M521" s="175" t="str">
        <f t="shared" si="5"/>
        <v>owocki</v>
      </c>
      <c r="N521" s="176">
        <f>IFERROR(__xludf.DUMMYFUNCTION("""COMPUTED_VALUE"""),1.0)</f>
        <v>1</v>
      </c>
      <c r="O521" s="176"/>
      <c r="P521" s="165" t="s">
        <v>69</v>
      </c>
      <c r="Q521" s="165" t="s">
        <v>519</v>
      </c>
      <c r="R521" s="176"/>
      <c r="S521" s="176"/>
      <c r="T521" s="176"/>
      <c r="U521" s="176"/>
      <c r="V521" s="176"/>
      <c r="W521" s="176"/>
      <c r="X521" s="176"/>
      <c r="Y521" s="176"/>
      <c r="Z521" s="176"/>
      <c r="AA521" s="176"/>
    </row>
    <row r="522">
      <c r="A522" s="165" t="str">
        <f>iferror(VLOOKUP(P522,'DO NOT TOUCH Imported'!$A$1:$D$800,4,False),iferror(VLOOKUP(P522,'DO NOT TOUCH Imported'!$C$1:$D$800,2,False),"OOPS FIX ME"))</f>
        <v>owocki</v>
      </c>
      <c r="B522" s="165" t="s">
        <v>768</v>
      </c>
      <c r="C522" s="170" t="s">
        <v>1113</v>
      </c>
      <c r="D522" s="236" t="s">
        <v>499</v>
      </c>
      <c r="E522" s="239">
        <v>44298.0</v>
      </c>
      <c r="F522" s="170" t="s">
        <v>503</v>
      </c>
      <c r="G522" s="170">
        <v>2000.0</v>
      </c>
      <c r="H522" s="171">
        <v>200.0</v>
      </c>
      <c r="I522" s="171">
        <v>150.0</v>
      </c>
      <c r="J522" s="172">
        <f t="shared" si="23"/>
        <v>0.001810919964</v>
      </c>
      <c r="K522" s="173">
        <f t="shared" si="24"/>
        <v>2.173103956</v>
      </c>
      <c r="L522" s="174">
        <f t="shared" si="4"/>
        <v>6.43933247</v>
      </c>
      <c r="M522" s="175" t="str">
        <f t="shared" si="5"/>
        <v>owocki</v>
      </c>
      <c r="N522" s="176">
        <f>IFERROR(__xludf.DUMMYFUNCTION("""COMPUTED_VALUE"""),2.0)</f>
        <v>2</v>
      </c>
      <c r="O522" s="176"/>
      <c r="P522" s="165" t="s">
        <v>761</v>
      </c>
      <c r="Q522" s="165" t="s">
        <v>768</v>
      </c>
      <c r="R522" s="176"/>
      <c r="S522" s="176"/>
      <c r="T522" s="176"/>
      <c r="U522" s="176"/>
      <c r="V522" s="176"/>
      <c r="W522" s="176"/>
      <c r="X522" s="176"/>
      <c r="Y522" s="176"/>
      <c r="Z522" s="176"/>
      <c r="AA522" s="176"/>
    </row>
    <row r="523">
      <c r="A523" s="185" t="str">
        <f>iferror(VLOOKUP(P523,'DO NOT TOUCH Imported'!$A$1:$D$800,4,False),iferror(VLOOKUP(P523,'DO NOT TOUCH Imported'!$C$1:$D$800,2,False),"OOPS FIX ME"))</f>
        <v>VitorMarthendal</v>
      </c>
      <c r="B523" s="196" t="s">
        <v>534</v>
      </c>
      <c r="C523" s="216" t="s">
        <v>693</v>
      </c>
      <c r="D523" s="212"/>
      <c r="E523" s="214"/>
      <c r="F523" s="212"/>
      <c r="G523" s="196"/>
      <c r="H523" s="196"/>
      <c r="I523" s="196"/>
      <c r="J523" s="172">
        <f>(H523/$H$2+I523/$I$2)/2</f>
        <v>0</v>
      </c>
      <c r="K523" s="192">
        <f>-0.85*42.305</f>
        <v>-35.95925</v>
      </c>
      <c r="L523" s="193">
        <f t="shared" si="4"/>
        <v>6.34528457</v>
      </c>
      <c r="M523" s="194" t="str">
        <f t="shared" si="5"/>
        <v>VitorMarthendal</v>
      </c>
      <c r="N523" s="217">
        <f>IFERROR(__xludf.DUMMYFUNCTION("""COMPUTED_VALUE"""),1.0)</f>
        <v>1</v>
      </c>
      <c r="O523" s="212"/>
      <c r="P523" s="196" t="s">
        <v>35</v>
      </c>
      <c r="Q523" s="196" t="s">
        <v>534</v>
      </c>
      <c r="R523" s="187">
        <v>57.049855624848725</v>
      </c>
      <c r="S523" s="212"/>
      <c r="T523" s="212"/>
      <c r="U523" s="212"/>
      <c r="V523" s="212"/>
      <c r="W523" s="212"/>
      <c r="X523" s="212"/>
      <c r="Y523" s="212"/>
      <c r="Z523" s="212"/>
      <c r="AA523" s="176"/>
    </row>
    <row r="524">
      <c r="A524" s="165" t="str">
        <f>iferror(VLOOKUP(P524,'DO NOT TOUCH Imported'!$A$1:$D$800,4,False),iferror(VLOOKUP(P524,'DO NOT TOUCH Imported'!$C$1:$D$800,2,False),"OOPS FIX ME"))</f>
        <v>VitorMarthendal</v>
      </c>
      <c r="B524" s="165" t="s">
        <v>519</v>
      </c>
      <c r="C524" s="170" t="s">
        <v>1067</v>
      </c>
      <c r="D524" s="236" t="s">
        <v>495</v>
      </c>
      <c r="E524" s="239">
        <v>44300.0</v>
      </c>
      <c r="F524" s="170" t="s">
        <v>499</v>
      </c>
      <c r="G524" s="170">
        <v>80000.0</v>
      </c>
      <c r="H524" s="171">
        <v>200.0</v>
      </c>
      <c r="I524" s="171">
        <v>350.0</v>
      </c>
      <c r="J524" s="172">
        <f t="shared" ref="J524:J539" si="25">(G524/$G$2+H524/$H$2+I524/$I$2)/3</f>
        <v>0.0141933572</v>
      </c>
      <c r="K524" s="173">
        <f t="shared" ref="K524:K539" si="26">J524*$J$1</f>
        <v>17.03202864</v>
      </c>
      <c r="L524" s="174">
        <f t="shared" si="4"/>
        <v>6.34528457</v>
      </c>
      <c r="M524" s="175" t="str">
        <f t="shared" si="5"/>
        <v>VitorMarthendal</v>
      </c>
      <c r="N524" s="176">
        <f>IFERROR(__xludf.DUMMYFUNCTION("""COMPUTED_VALUE"""),2.0)</f>
        <v>2</v>
      </c>
      <c r="O524" s="176"/>
      <c r="P524" s="165" t="s">
        <v>35</v>
      </c>
      <c r="Q524" s="165" t="s">
        <v>519</v>
      </c>
      <c r="R524" s="176"/>
      <c r="S524" s="176"/>
      <c r="T524" s="176"/>
      <c r="U524" s="176"/>
      <c r="V524" s="176"/>
      <c r="W524" s="176"/>
      <c r="X524" s="176"/>
      <c r="Y524" s="176"/>
      <c r="Z524" s="176"/>
      <c r="AA524" s="176"/>
    </row>
    <row r="525">
      <c r="A525" s="165" t="str">
        <f>iferror(VLOOKUP(P525,'DO NOT TOUCH Imported'!$A$1:$D$800,4,False),iferror(VLOOKUP(P525,'DO NOT TOUCH Imported'!$C$1:$D$800,2,False),"OOPS FIX ME"))</f>
        <v>VitorMarthendal</v>
      </c>
      <c r="B525" s="165" t="s">
        <v>441</v>
      </c>
      <c r="C525" s="170" t="s">
        <v>1068</v>
      </c>
      <c r="D525" s="236" t="s">
        <v>437</v>
      </c>
      <c r="E525" s="237">
        <v>44309.0</v>
      </c>
      <c r="F525" s="170" t="s">
        <v>439</v>
      </c>
      <c r="G525" s="170">
        <v>5000.0</v>
      </c>
      <c r="H525" s="171">
        <v>100.0</v>
      </c>
      <c r="I525" s="171">
        <v>350.0</v>
      </c>
      <c r="J525" s="172">
        <f t="shared" si="25"/>
        <v>0.00267569653</v>
      </c>
      <c r="K525" s="173">
        <f t="shared" si="26"/>
        <v>3.210835836</v>
      </c>
      <c r="L525" s="174">
        <f t="shared" si="4"/>
        <v>6.34528457</v>
      </c>
      <c r="M525" s="175" t="str">
        <f t="shared" si="5"/>
        <v>VitorMarthendal</v>
      </c>
      <c r="N525" s="176">
        <f>IFERROR(__xludf.DUMMYFUNCTION("""COMPUTED_VALUE"""),3.0)</f>
        <v>3</v>
      </c>
      <c r="O525" s="176"/>
      <c r="P525" s="165" t="s">
        <v>690</v>
      </c>
      <c r="Q525" s="165" t="s">
        <v>441</v>
      </c>
      <c r="R525" s="176"/>
      <c r="S525" s="176"/>
      <c r="T525" s="176"/>
      <c r="U525" s="176"/>
      <c r="V525" s="176"/>
      <c r="W525" s="176"/>
      <c r="X525" s="176"/>
      <c r="Y525" s="176"/>
      <c r="Z525" s="176"/>
      <c r="AA525" s="176"/>
    </row>
    <row r="526">
      <c r="A526" s="165" t="str">
        <f>iferror(VLOOKUP(P526,'DO NOT TOUCH Imported'!$A$1:$D$800,4,False),iferror(VLOOKUP(P526,'DO NOT TOUCH Imported'!$C$1:$D$800,2,False),"OOPS FIX ME"))</f>
        <v>VitorMarthendal</v>
      </c>
      <c r="B526" s="165" t="s">
        <v>441</v>
      </c>
      <c r="C526" s="170" t="s">
        <v>928</v>
      </c>
      <c r="D526" s="236" t="s">
        <v>437</v>
      </c>
      <c r="E526" s="239">
        <v>44309.0</v>
      </c>
      <c r="F526" s="170" t="s">
        <v>439</v>
      </c>
      <c r="G526" s="170">
        <v>5000.0</v>
      </c>
      <c r="H526" s="171">
        <v>100.0</v>
      </c>
      <c r="I526" s="171">
        <v>250.0</v>
      </c>
      <c r="J526" s="172">
        <f t="shared" si="25"/>
        <v>0.002246889257</v>
      </c>
      <c r="K526" s="173">
        <f t="shared" si="26"/>
        <v>2.696267109</v>
      </c>
      <c r="L526" s="174">
        <f t="shared" si="4"/>
        <v>6.34528457</v>
      </c>
      <c r="M526" s="175" t="str">
        <f t="shared" si="5"/>
        <v>VitorMarthendal</v>
      </c>
      <c r="N526" s="176">
        <f>IFERROR(__xludf.DUMMYFUNCTION("""COMPUTED_VALUE"""),4.0)</f>
        <v>4</v>
      </c>
      <c r="O526" s="176"/>
      <c r="P526" s="165" t="s">
        <v>690</v>
      </c>
      <c r="Q526" s="165" t="s">
        <v>441</v>
      </c>
      <c r="R526" s="176"/>
      <c r="S526" s="176"/>
      <c r="T526" s="176"/>
      <c r="U526" s="176"/>
      <c r="V526" s="176"/>
      <c r="W526" s="176"/>
      <c r="X526" s="176"/>
      <c r="Y526" s="176"/>
      <c r="Z526" s="176"/>
      <c r="AA526" s="176"/>
    </row>
    <row r="527">
      <c r="A527" s="165" t="str">
        <f>iferror(VLOOKUP(P527,'DO NOT TOUCH Imported'!$A$1:$D$800,4,False),iferror(VLOOKUP(P527,'DO NOT TOUCH Imported'!$C$1:$D$800,2,False),"OOPS FIX ME"))</f>
        <v>VitorMarthendal</v>
      </c>
      <c r="B527" s="165" t="s">
        <v>6</v>
      </c>
      <c r="C527" s="170" t="s">
        <v>929</v>
      </c>
      <c r="D527" s="236" t="s">
        <v>495</v>
      </c>
      <c r="E527" s="239">
        <v>44305.0</v>
      </c>
      <c r="F527" s="170" t="s">
        <v>496</v>
      </c>
      <c r="G527" s="170">
        <v>10000.0</v>
      </c>
      <c r="H527" s="171">
        <v>100.0</v>
      </c>
      <c r="I527" s="171">
        <v>250.0</v>
      </c>
      <c r="J527" s="172">
        <f t="shared" si="25"/>
        <v>0.002985659943</v>
      </c>
      <c r="K527" s="173">
        <f t="shared" si="26"/>
        <v>3.582791931</v>
      </c>
      <c r="L527" s="174">
        <f t="shared" si="4"/>
        <v>6.34528457</v>
      </c>
      <c r="M527" s="175" t="str">
        <f t="shared" si="5"/>
        <v>VitorMarthendal</v>
      </c>
      <c r="N527" s="176">
        <f>IFERROR(__xludf.DUMMYFUNCTION("""COMPUTED_VALUE"""),5.0)</f>
        <v>5</v>
      </c>
      <c r="O527" s="176"/>
      <c r="P527" s="165" t="s">
        <v>35</v>
      </c>
      <c r="Q527" s="165" t="s">
        <v>6</v>
      </c>
      <c r="R527" s="176"/>
      <c r="S527" s="176"/>
      <c r="T527" s="176"/>
      <c r="U527" s="176"/>
      <c r="V527" s="176"/>
      <c r="W527" s="176"/>
      <c r="X527" s="176"/>
      <c r="Y527" s="176"/>
      <c r="Z527" s="176"/>
      <c r="AA527" s="176"/>
    </row>
    <row r="528">
      <c r="A528" s="165" t="str">
        <f>iferror(VLOOKUP(P528,'DO NOT TOUCH Imported'!$A$1:$D$800,4,False),iferror(VLOOKUP(P528,'DO NOT TOUCH Imported'!$C$1:$D$800,2,False),"OOPS FIX ME"))</f>
        <v>VitorMarthendal</v>
      </c>
      <c r="B528" s="165" t="s">
        <v>483</v>
      </c>
      <c r="C528" s="170" t="s">
        <v>1027</v>
      </c>
      <c r="D528" s="236" t="s">
        <v>437</v>
      </c>
      <c r="E528" s="237">
        <v>44301.0</v>
      </c>
      <c r="F528" s="170" t="s">
        <v>439</v>
      </c>
      <c r="G528" s="170">
        <v>5000.0</v>
      </c>
      <c r="H528" s="171">
        <v>100.0</v>
      </c>
      <c r="I528" s="171">
        <v>350.0</v>
      </c>
      <c r="J528" s="172">
        <f t="shared" si="25"/>
        <v>0.00267569653</v>
      </c>
      <c r="K528" s="173">
        <f t="shared" si="26"/>
        <v>3.210835836</v>
      </c>
      <c r="L528" s="174">
        <f t="shared" si="4"/>
        <v>6.34528457</v>
      </c>
      <c r="M528" s="175" t="str">
        <f t="shared" si="5"/>
        <v>VitorMarthendal</v>
      </c>
      <c r="N528" s="176">
        <f>IFERROR(__xludf.DUMMYFUNCTION("""COMPUTED_VALUE"""),6.0)</f>
        <v>6</v>
      </c>
      <c r="O528" s="176"/>
      <c r="P528" s="165" t="s">
        <v>690</v>
      </c>
      <c r="Q528" s="165" t="s">
        <v>483</v>
      </c>
      <c r="R528" s="176"/>
      <c r="S528" s="176"/>
      <c r="T528" s="176"/>
      <c r="U528" s="176"/>
      <c r="V528" s="176"/>
      <c r="W528" s="176"/>
      <c r="X528" s="176"/>
      <c r="Y528" s="176"/>
      <c r="Z528" s="176"/>
      <c r="AA528" s="176"/>
    </row>
    <row r="529">
      <c r="A529" s="165" t="str">
        <f>iferror(VLOOKUP(P529,'DO NOT TOUCH Imported'!$A$1:$D$800,4,False),iferror(VLOOKUP(P529,'DO NOT TOUCH Imported'!$C$1:$D$800,2,False),"OOPS FIX ME"))</f>
        <v>VitorMarthendal</v>
      </c>
      <c r="B529" s="165" t="s">
        <v>441</v>
      </c>
      <c r="C529" s="170" t="s">
        <v>934</v>
      </c>
      <c r="D529" s="236" t="s">
        <v>437</v>
      </c>
      <c r="E529" s="237">
        <v>44302.0</v>
      </c>
      <c r="F529" s="170" t="s">
        <v>439</v>
      </c>
      <c r="G529" s="170">
        <v>2000.0</v>
      </c>
      <c r="H529" s="171">
        <v>150.0</v>
      </c>
      <c r="I529" s="171">
        <v>350.0</v>
      </c>
      <c r="J529" s="172">
        <f t="shared" si="25"/>
        <v>0.002450484314</v>
      </c>
      <c r="K529" s="173">
        <f t="shared" si="26"/>
        <v>2.940581176</v>
      </c>
      <c r="L529" s="174">
        <f t="shared" si="4"/>
        <v>6.34528457</v>
      </c>
      <c r="M529" s="175" t="str">
        <f t="shared" si="5"/>
        <v>VitorMarthendal</v>
      </c>
      <c r="N529" s="176">
        <f>IFERROR(__xludf.DUMMYFUNCTION("""COMPUTED_VALUE"""),7.0)</f>
        <v>7</v>
      </c>
      <c r="O529" s="176"/>
      <c r="P529" s="165" t="s">
        <v>690</v>
      </c>
      <c r="Q529" s="165" t="s">
        <v>441</v>
      </c>
      <c r="R529" s="176"/>
      <c r="S529" s="176"/>
      <c r="T529" s="176"/>
      <c r="U529" s="176"/>
      <c r="V529" s="176"/>
      <c r="W529" s="176"/>
      <c r="X529" s="176"/>
      <c r="Y529" s="176"/>
      <c r="Z529" s="176"/>
      <c r="AA529" s="176"/>
    </row>
    <row r="530">
      <c r="A530" s="165" t="str">
        <f>iferror(VLOOKUP(P530,'DO NOT TOUCH Imported'!$A$1:$D$800,4,False),iferror(VLOOKUP(P530,'DO NOT TOUCH Imported'!$C$1:$D$800,2,False),"OOPS FIX ME"))</f>
        <v>VitorMarthendal</v>
      </c>
      <c r="B530" s="165" t="s">
        <v>519</v>
      </c>
      <c r="C530" s="170" t="s">
        <v>1016</v>
      </c>
      <c r="D530" s="236" t="s">
        <v>495</v>
      </c>
      <c r="E530" s="237">
        <v>44300.0</v>
      </c>
      <c r="F530" s="170" t="s">
        <v>499</v>
      </c>
      <c r="G530" s="170">
        <v>5000.0</v>
      </c>
      <c r="H530" s="171">
        <v>100.0</v>
      </c>
      <c r="I530" s="171">
        <v>150.0</v>
      </c>
      <c r="J530" s="172">
        <f t="shared" si="25"/>
        <v>0.001818081985</v>
      </c>
      <c r="K530" s="173">
        <f t="shared" si="26"/>
        <v>2.181698382</v>
      </c>
      <c r="L530" s="174">
        <f t="shared" si="4"/>
        <v>6.34528457</v>
      </c>
      <c r="M530" s="175" t="str">
        <f t="shared" si="5"/>
        <v>VitorMarthendal</v>
      </c>
      <c r="N530" s="176">
        <f>IFERROR(__xludf.DUMMYFUNCTION("""COMPUTED_VALUE"""),8.0)</f>
        <v>8</v>
      </c>
      <c r="O530" s="176"/>
      <c r="P530" s="165" t="s">
        <v>35</v>
      </c>
      <c r="Q530" s="165" t="s">
        <v>519</v>
      </c>
      <c r="R530" s="176"/>
      <c r="S530" s="176"/>
      <c r="T530" s="176"/>
      <c r="U530" s="176"/>
      <c r="V530" s="176"/>
      <c r="W530" s="176"/>
      <c r="X530" s="176"/>
      <c r="Y530" s="176"/>
      <c r="Z530" s="176"/>
      <c r="AA530" s="176"/>
    </row>
    <row r="531">
      <c r="A531" s="165" t="str">
        <f>iferror(VLOOKUP(P531,'DO NOT TOUCH Imported'!$A$1:$D$800,4,False),iferror(VLOOKUP(P531,'DO NOT TOUCH Imported'!$C$1:$D$800,2,False),"OOPS FIX ME"))</f>
        <v>VitorMarthendal</v>
      </c>
      <c r="B531" s="165" t="s">
        <v>441</v>
      </c>
      <c r="C531" s="170" t="s">
        <v>1041</v>
      </c>
      <c r="D531" s="236" t="s">
        <v>437</v>
      </c>
      <c r="E531" s="239">
        <v>44302.0</v>
      </c>
      <c r="F531" s="170" t="s">
        <v>439</v>
      </c>
      <c r="G531" s="170">
        <v>5000.0</v>
      </c>
      <c r="H531" s="171">
        <v>300.0</v>
      </c>
      <c r="I531" s="171">
        <v>150.0</v>
      </c>
      <c r="J531" s="172">
        <f t="shared" si="25"/>
        <v>0.002690282765</v>
      </c>
      <c r="K531" s="173">
        <f t="shared" si="26"/>
        <v>3.228339318</v>
      </c>
      <c r="L531" s="174">
        <f t="shared" si="4"/>
        <v>6.34528457</v>
      </c>
      <c r="M531" s="175" t="str">
        <f t="shared" si="5"/>
        <v>VitorMarthendal</v>
      </c>
      <c r="N531" s="176">
        <f>IFERROR(__xludf.DUMMYFUNCTION("""COMPUTED_VALUE"""),9.0)</f>
        <v>9</v>
      </c>
      <c r="O531" s="176"/>
      <c r="P531" s="165" t="s">
        <v>690</v>
      </c>
      <c r="Q531" s="165" t="s">
        <v>441</v>
      </c>
      <c r="R531" s="176"/>
      <c r="S531" s="176"/>
      <c r="T531" s="176"/>
      <c r="U531" s="176"/>
      <c r="V531" s="176"/>
      <c r="W531" s="176"/>
      <c r="X531" s="176"/>
      <c r="Y531" s="176"/>
      <c r="Z531" s="176"/>
      <c r="AA531" s="176"/>
    </row>
    <row r="532">
      <c r="A532" s="165" t="str">
        <f>iferror(VLOOKUP(P532,'DO NOT TOUCH Imported'!$A$1:$D$800,4,False),iferror(VLOOKUP(P532,'DO NOT TOUCH Imported'!$C$1:$D$800,2,False),"OOPS FIX ME"))</f>
        <v>VitorMarthendal</v>
      </c>
      <c r="B532" s="165" t="s">
        <v>441</v>
      </c>
      <c r="C532" s="170" t="s">
        <v>1046</v>
      </c>
      <c r="D532" s="236" t="s">
        <v>437</v>
      </c>
      <c r="E532" s="237">
        <v>44309.0</v>
      </c>
      <c r="F532" s="170" t="s">
        <v>439</v>
      </c>
      <c r="G532" s="170">
        <v>1000.0</v>
      </c>
      <c r="H532" s="171">
        <v>200.0</v>
      </c>
      <c r="I532" s="171">
        <v>200.0</v>
      </c>
      <c r="J532" s="172">
        <f t="shared" si="25"/>
        <v>0.001877569463</v>
      </c>
      <c r="K532" s="173">
        <f t="shared" si="26"/>
        <v>2.253083355</v>
      </c>
      <c r="L532" s="174">
        <f t="shared" si="4"/>
        <v>6.34528457</v>
      </c>
      <c r="M532" s="175" t="str">
        <f t="shared" si="5"/>
        <v>VitorMarthendal</v>
      </c>
      <c r="N532" s="176">
        <f>IFERROR(__xludf.DUMMYFUNCTION("""COMPUTED_VALUE"""),10.0)</f>
        <v>10</v>
      </c>
      <c r="O532" s="176"/>
      <c r="P532" s="165" t="s">
        <v>690</v>
      </c>
      <c r="Q532" s="165" t="s">
        <v>441</v>
      </c>
      <c r="R532" s="176"/>
      <c r="S532" s="176"/>
      <c r="T532" s="176"/>
      <c r="U532" s="176"/>
      <c r="V532" s="176"/>
      <c r="W532" s="176"/>
      <c r="X532" s="176"/>
      <c r="Y532" s="176"/>
      <c r="Z532" s="176"/>
      <c r="AA532" s="176"/>
    </row>
    <row r="533">
      <c r="A533" s="165" t="str">
        <f>iferror(VLOOKUP(P533,'DO NOT TOUCH Imported'!$A$1:$D$800,4,False),iferror(VLOOKUP(P533,'DO NOT TOUCH Imported'!$C$1:$D$800,2,False),"OOPS FIX ME"))</f>
        <v>VitorMarthendal</v>
      </c>
      <c r="B533" s="165" t="s">
        <v>519</v>
      </c>
      <c r="C533" s="170" t="s">
        <v>668</v>
      </c>
      <c r="D533" s="236" t="s">
        <v>495</v>
      </c>
      <c r="E533" s="237">
        <v>44307.0</v>
      </c>
      <c r="F533" s="170" t="s">
        <v>521</v>
      </c>
      <c r="G533" s="170">
        <v>2500.0</v>
      </c>
      <c r="H533" s="171">
        <v>50.0</v>
      </c>
      <c r="I533" s="171">
        <v>100.0</v>
      </c>
      <c r="J533" s="172">
        <f t="shared" si="25"/>
        <v>0.001016242811</v>
      </c>
      <c r="K533" s="173">
        <f t="shared" si="26"/>
        <v>1.219491373</v>
      </c>
      <c r="L533" s="174">
        <f t="shared" si="4"/>
        <v>6.34528457</v>
      </c>
      <c r="M533" s="175" t="str">
        <f t="shared" si="5"/>
        <v>VitorMarthendal</v>
      </c>
      <c r="N533" s="176">
        <f>IFERROR(__xludf.DUMMYFUNCTION("""COMPUTED_VALUE"""),11.0)</f>
        <v>11</v>
      </c>
      <c r="O533" s="176"/>
      <c r="P533" s="165" t="s">
        <v>35</v>
      </c>
      <c r="Q533" s="165" t="s">
        <v>519</v>
      </c>
      <c r="R533" s="176"/>
      <c r="S533" s="176"/>
      <c r="T533" s="176"/>
      <c r="U533" s="176"/>
      <c r="V533" s="176"/>
      <c r="W533" s="176"/>
      <c r="X533" s="176"/>
      <c r="Y533" s="176"/>
      <c r="Z533" s="176"/>
      <c r="AA533" s="176"/>
    </row>
    <row r="534">
      <c r="A534" s="165" t="str">
        <f>iferror(VLOOKUP(P534,'DO NOT TOUCH Imported'!$A$1:$D$800,4,False),iferror(VLOOKUP(P534,'DO NOT TOUCH Imported'!$C$1:$D$800,2,False),"OOPS FIX ME"))</f>
        <v>VitorMarthendal</v>
      </c>
      <c r="B534" s="165" t="s">
        <v>441</v>
      </c>
      <c r="C534" s="170" t="s">
        <v>923</v>
      </c>
      <c r="D534" s="236" t="s">
        <v>437</v>
      </c>
      <c r="E534" s="237">
        <v>44309.0</v>
      </c>
      <c r="F534" s="170" t="s">
        <v>439</v>
      </c>
      <c r="G534" s="170">
        <v>1000.0</v>
      </c>
      <c r="H534" s="171">
        <v>60.0</v>
      </c>
      <c r="I534" s="171">
        <v>50.0</v>
      </c>
      <c r="J534" s="172">
        <f t="shared" si="25"/>
        <v>0.0006238180076</v>
      </c>
      <c r="K534" s="173">
        <f t="shared" si="26"/>
        <v>0.7485816091</v>
      </c>
      <c r="L534" s="174">
        <f t="shared" si="4"/>
        <v>6.34528457</v>
      </c>
      <c r="M534" s="175" t="str">
        <f t="shared" si="5"/>
        <v>VitorMarthendal</v>
      </c>
      <c r="N534" s="176">
        <f>IFERROR(__xludf.DUMMYFUNCTION("""COMPUTED_VALUE"""),12.0)</f>
        <v>12</v>
      </c>
      <c r="O534" s="176"/>
      <c r="P534" s="165" t="s">
        <v>690</v>
      </c>
      <c r="Q534" s="165" t="s">
        <v>441</v>
      </c>
      <c r="R534" s="176"/>
      <c r="S534" s="176"/>
      <c r="T534" s="176"/>
      <c r="U534" s="176"/>
      <c r="V534" s="176"/>
      <c r="W534" s="176"/>
      <c r="X534" s="176"/>
      <c r="Y534" s="176"/>
      <c r="Z534" s="176"/>
      <c r="AA534" s="176"/>
    </row>
    <row r="535">
      <c r="A535" s="165" t="str">
        <f>iferror(VLOOKUP(P535,'DO NOT TOUCH Imported'!$A$1:$D$800,4,False),iferror(VLOOKUP(P535,'DO NOT TOUCH Imported'!$C$1:$D$800,2,False),"OOPS FIX ME"))</f>
        <v>solsista</v>
      </c>
      <c r="B535" s="165" t="s">
        <v>463</v>
      </c>
      <c r="C535" s="170" t="s">
        <v>896</v>
      </c>
      <c r="D535" s="236" t="s">
        <v>437</v>
      </c>
      <c r="E535" s="237">
        <v>44305.0</v>
      </c>
      <c r="F535" s="170" t="s">
        <v>439</v>
      </c>
      <c r="G535" s="170">
        <v>5000.0</v>
      </c>
      <c r="H535" s="171">
        <v>150.0</v>
      </c>
      <c r="I535" s="171">
        <v>50.0</v>
      </c>
      <c r="J535" s="172">
        <f t="shared" si="25"/>
        <v>0.001607324907</v>
      </c>
      <c r="K535" s="173">
        <f t="shared" si="26"/>
        <v>1.928789889</v>
      </c>
      <c r="L535" s="174">
        <f t="shared" si="4"/>
        <v>6.233695341</v>
      </c>
      <c r="M535" s="175" t="str">
        <f t="shared" si="5"/>
        <v>solsista</v>
      </c>
      <c r="N535" s="176">
        <f>IFERROR(__xludf.DUMMYFUNCTION("""COMPUTED_VALUE"""),1.0)</f>
        <v>1</v>
      </c>
      <c r="O535" s="176"/>
      <c r="P535" s="165" t="s">
        <v>463</v>
      </c>
      <c r="Q535" s="165" t="s">
        <v>463</v>
      </c>
      <c r="R535" s="176"/>
      <c r="S535" s="176"/>
      <c r="T535" s="176"/>
      <c r="U535" s="176"/>
      <c r="V535" s="176"/>
      <c r="W535" s="176"/>
      <c r="X535" s="176"/>
      <c r="Y535" s="176"/>
      <c r="Z535" s="176"/>
      <c r="AA535" s="176"/>
    </row>
    <row r="536">
      <c r="A536" s="165" t="str">
        <f>iferror(VLOOKUP(P536,'DO NOT TOUCH Imported'!$A$1:$D$800,4,False),iferror(VLOOKUP(P536,'DO NOT TOUCH Imported'!$C$1:$D$800,2,False),"OOPS FIX ME"))</f>
        <v>solsista</v>
      </c>
      <c r="B536" s="165" t="s">
        <v>450</v>
      </c>
      <c r="C536" s="170" t="s">
        <v>1114</v>
      </c>
      <c r="D536" s="236" t="s">
        <v>499</v>
      </c>
      <c r="E536" s="237">
        <v>44305.0</v>
      </c>
      <c r="F536" s="170" t="s">
        <v>503</v>
      </c>
      <c r="G536" s="170">
        <v>1000.0</v>
      </c>
      <c r="H536" s="171">
        <v>200.0</v>
      </c>
      <c r="I536" s="171">
        <v>100.0</v>
      </c>
      <c r="J536" s="172">
        <f t="shared" si="25"/>
        <v>0.00144876219</v>
      </c>
      <c r="K536" s="173">
        <f t="shared" si="26"/>
        <v>1.738514628</v>
      </c>
      <c r="L536" s="174">
        <f t="shared" si="4"/>
        <v>6.233695341</v>
      </c>
      <c r="M536" s="175" t="str">
        <f t="shared" si="5"/>
        <v>solsista</v>
      </c>
      <c r="N536" s="176">
        <f>IFERROR(__xludf.DUMMYFUNCTION("""COMPUTED_VALUE"""),2.0)</f>
        <v>2</v>
      </c>
      <c r="O536" s="176"/>
      <c r="P536" s="165" t="s">
        <v>463</v>
      </c>
      <c r="Q536" s="165" t="s">
        <v>450</v>
      </c>
      <c r="R536" s="176"/>
      <c r="S536" s="176"/>
      <c r="T536" s="176"/>
      <c r="U536" s="176"/>
      <c r="V536" s="176"/>
      <c r="W536" s="176"/>
      <c r="X536" s="176"/>
      <c r="Y536" s="176"/>
      <c r="Z536" s="176"/>
      <c r="AA536" s="176"/>
    </row>
    <row r="537">
      <c r="A537" s="165" t="str">
        <f>iferror(VLOOKUP(P537,'DO NOT TOUCH Imported'!$A$1:$D$800,4,False),iferror(VLOOKUP(P537,'DO NOT TOUCH Imported'!$C$1:$D$800,2,False),"OOPS FIX ME"))</f>
        <v>solsista</v>
      </c>
      <c r="B537" s="165" t="s">
        <v>441</v>
      </c>
      <c r="C537" s="170" t="s">
        <v>906</v>
      </c>
      <c r="D537" s="236" t="s">
        <v>437</v>
      </c>
      <c r="E537" s="237">
        <v>44309.0</v>
      </c>
      <c r="F537" s="170" t="s">
        <v>439</v>
      </c>
      <c r="G537" s="170">
        <v>1000.0</v>
      </c>
      <c r="H537" s="171">
        <v>100.0</v>
      </c>
      <c r="I537" s="171">
        <v>100.0</v>
      </c>
      <c r="J537" s="172">
        <f t="shared" si="25"/>
        <v>0.0010126618</v>
      </c>
      <c r="K537" s="173">
        <f t="shared" si="26"/>
        <v>1.21519416</v>
      </c>
      <c r="L537" s="174">
        <f t="shared" si="4"/>
        <v>6.233695341</v>
      </c>
      <c r="M537" s="175" t="str">
        <f t="shared" si="5"/>
        <v>solsista</v>
      </c>
      <c r="N537" s="176">
        <f>IFERROR(__xludf.DUMMYFUNCTION("""COMPUTED_VALUE"""),3.0)</f>
        <v>3</v>
      </c>
      <c r="O537" s="176"/>
      <c r="P537" s="165" t="s">
        <v>463</v>
      </c>
      <c r="Q537" s="165" t="s">
        <v>441</v>
      </c>
      <c r="R537" s="176"/>
      <c r="S537" s="176"/>
      <c r="T537" s="176"/>
      <c r="U537" s="176"/>
      <c r="V537" s="176"/>
      <c r="W537" s="176"/>
      <c r="X537" s="176"/>
      <c r="Y537" s="176"/>
      <c r="Z537" s="176"/>
      <c r="AA537" s="176"/>
    </row>
    <row r="538">
      <c r="A538" s="165" t="str">
        <f>iferror(VLOOKUP(P538,'DO NOT TOUCH Imported'!$A$1:$D$800,4,False),iferror(VLOOKUP(P538,'DO NOT TOUCH Imported'!$C$1:$D$800,2,False),"OOPS FIX ME"))</f>
        <v>solsista</v>
      </c>
      <c r="B538" s="165" t="s">
        <v>441</v>
      </c>
      <c r="C538" s="170" t="s">
        <v>923</v>
      </c>
      <c r="D538" s="236" t="s">
        <v>437</v>
      </c>
      <c r="E538" s="237">
        <v>44309.0</v>
      </c>
      <c r="F538" s="170" t="s">
        <v>439</v>
      </c>
      <c r="G538" s="170">
        <v>1000.0</v>
      </c>
      <c r="H538" s="171">
        <v>60.0</v>
      </c>
      <c r="I538" s="171">
        <v>50.0</v>
      </c>
      <c r="J538" s="172">
        <f t="shared" si="25"/>
        <v>0.0006238180076</v>
      </c>
      <c r="K538" s="173">
        <f t="shared" si="26"/>
        <v>0.7485816091</v>
      </c>
      <c r="L538" s="174">
        <f t="shared" si="4"/>
        <v>6.233695341</v>
      </c>
      <c r="M538" s="175" t="str">
        <f t="shared" si="5"/>
        <v>solsista</v>
      </c>
      <c r="N538" s="176">
        <f>IFERROR(__xludf.DUMMYFUNCTION("""COMPUTED_VALUE"""),4.0)</f>
        <v>4</v>
      </c>
      <c r="O538" s="176"/>
      <c r="P538" s="165" t="s">
        <v>463</v>
      </c>
      <c r="Q538" s="165" t="s">
        <v>441</v>
      </c>
      <c r="R538" s="176"/>
      <c r="S538" s="176"/>
      <c r="T538" s="176"/>
      <c r="U538" s="176"/>
      <c r="V538" s="176"/>
      <c r="W538" s="176"/>
      <c r="X538" s="176"/>
      <c r="Y538" s="176"/>
      <c r="Z538" s="176"/>
      <c r="AA538" s="176"/>
    </row>
    <row r="539">
      <c r="A539" s="165" t="str">
        <f>iferror(VLOOKUP(P539,'DO NOT TOUCH Imported'!$A$1:$D$800,4,False),iferror(VLOOKUP(P539,'DO NOT TOUCH Imported'!$C$1:$D$800,2,False),"OOPS FIX ME"))</f>
        <v>solsista</v>
      </c>
      <c r="B539" s="165" t="s">
        <v>10</v>
      </c>
      <c r="C539" s="170" t="s">
        <v>494</v>
      </c>
      <c r="D539" s="236" t="s">
        <v>495</v>
      </c>
      <c r="E539" s="237">
        <v>44302.0</v>
      </c>
      <c r="F539" s="170" t="s">
        <v>496</v>
      </c>
      <c r="G539" s="170">
        <v>1500.0</v>
      </c>
      <c r="H539" s="171">
        <v>25.0</v>
      </c>
      <c r="I539" s="171">
        <v>40.0</v>
      </c>
      <c r="J539" s="172">
        <f t="shared" si="25"/>
        <v>0.0005021792123</v>
      </c>
      <c r="K539" s="173">
        <f t="shared" si="26"/>
        <v>0.6026150547</v>
      </c>
      <c r="L539" s="174">
        <f t="shared" si="4"/>
        <v>6.233695341</v>
      </c>
      <c r="M539" s="175" t="str">
        <f t="shared" si="5"/>
        <v>solsista</v>
      </c>
      <c r="N539" s="176">
        <f>IFERROR(__xludf.DUMMYFUNCTION("""COMPUTED_VALUE"""),5.0)</f>
        <v>5</v>
      </c>
      <c r="O539" s="176"/>
      <c r="P539" s="165" t="s">
        <v>8</v>
      </c>
      <c r="Q539" s="165" t="s">
        <v>10</v>
      </c>
      <c r="R539" s="176"/>
      <c r="S539" s="176"/>
      <c r="T539" s="176"/>
      <c r="U539" s="176"/>
      <c r="V539" s="176"/>
      <c r="W539" s="176"/>
      <c r="X539" s="176"/>
      <c r="Y539" s="176"/>
      <c r="Z539" s="176"/>
      <c r="AA539" s="176"/>
    </row>
    <row r="540">
      <c r="A540" s="185" t="str">
        <f>iferror(VLOOKUP(P540,'DO NOT TOUCH Imported'!$A$1:$D$800,4,False),iferror(VLOOKUP(P540,'DO NOT TOUCH Imported'!$C$1:$D$800,2,False),"OOPS FIX ME"))</f>
        <v>paulo_c2d</v>
      </c>
      <c r="B540" s="185" t="s">
        <v>534</v>
      </c>
      <c r="C540" s="210" t="s">
        <v>655</v>
      </c>
      <c r="D540" s="187"/>
      <c r="E540" s="188"/>
      <c r="F540" s="189"/>
      <c r="G540" s="190"/>
      <c r="H540" s="190"/>
      <c r="I540" s="190"/>
      <c r="J540" s="172">
        <f>(H540/$H$2+I540/$I$2)/2</f>
        <v>0</v>
      </c>
      <c r="K540" s="192">
        <f>-0.85*40.897</f>
        <v>-34.76245</v>
      </c>
      <c r="L540" s="193">
        <f t="shared" si="4"/>
        <v>6.13408937</v>
      </c>
      <c r="M540" s="194" t="str">
        <f t="shared" si="5"/>
        <v>paulo_c2d</v>
      </c>
      <c r="N540" s="195">
        <f>IFERROR(__xludf.DUMMYFUNCTION("""COMPUTED_VALUE"""),1.0)</f>
        <v>1</v>
      </c>
      <c r="O540" s="195"/>
      <c r="P540" s="185" t="s">
        <v>30</v>
      </c>
      <c r="Q540" s="185" t="s">
        <v>534</v>
      </c>
      <c r="R540" s="195">
        <v>51.99833903635589</v>
      </c>
      <c r="S540" s="195"/>
      <c r="T540" s="195"/>
      <c r="U540" s="195"/>
      <c r="V540" s="195"/>
      <c r="W540" s="195"/>
      <c r="X540" s="195"/>
      <c r="Y540" s="195"/>
      <c r="Z540" s="195"/>
      <c r="AA540" s="176"/>
    </row>
    <row r="541">
      <c r="A541" s="165" t="str">
        <f>iferror(VLOOKUP(P541,'DO NOT TOUCH Imported'!$A$1:$D$800,4,False),iferror(VLOOKUP(P541,'DO NOT TOUCH Imported'!$C$1:$D$800,2,False),"OOPS FIX ME"))</f>
        <v>paulo_c2d</v>
      </c>
      <c r="B541" s="165" t="s">
        <v>519</v>
      </c>
      <c r="C541" s="170" t="s">
        <v>1020</v>
      </c>
      <c r="D541" s="236" t="s">
        <v>495</v>
      </c>
      <c r="E541" s="237">
        <v>44300.0</v>
      </c>
      <c r="F541" s="170" t="s">
        <v>499</v>
      </c>
      <c r="G541" s="170">
        <v>50000.0</v>
      </c>
      <c r="H541" s="171">
        <v>200.0</v>
      </c>
      <c r="I541" s="171">
        <v>150.0</v>
      </c>
      <c r="J541" s="172">
        <f t="shared" ref="J541:J552" si="27">(G541/$G$2+H541/$H$2+I541/$I$2)/3</f>
        <v>0.008903118545</v>
      </c>
      <c r="K541" s="173">
        <f t="shared" ref="K541:K552" si="28">J541*$J$1</f>
        <v>10.68374225</v>
      </c>
      <c r="L541" s="174">
        <f t="shared" si="4"/>
        <v>6.13408937</v>
      </c>
      <c r="M541" s="175" t="str">
        <f t="shared" si="5"/>
        <v>paulo_c2d</v>
      </c>
      <c r="N541" s="176">
        <f>IFERROR(__xludf.DUMMYFUNCTION("""COMPUTED_VALUE"""),2.0)</f>
        <v>2</v>
      </c>
      <c r="O541" s="176"/>
      <c r="P541" s="165" t="s">
        <v>30</v>
      </c>
      <c r="Q541" s="165" t="s">
        <v>519</v>
      </c>
      <c r="R541" s="176"/>
      <c r="S541" s="176"/>
      <c r="T541" s="176"/>
      <c r="U541" s="176"/>
      <c r="V541" s="176"/>
      <c r="W541" s="176"/>
      <c r="X541" s="176"/>
      <c r="Y541" s="176"/>
      <c r="Z541" s="176"/>
      <c r="AA541" s="176"/>
    </row>
    <row r="542">
      <c r="A542" s="165" t="str">
        <f>iferror(VLOOKUP(P542,'DO NOT TOUCH Imported'!$A$1:$D$800,4,False),iferror(VLOOKUP(P542,'DO NOT TOUCH Imported'!$C$1:$D$800,2,False),"OOPS FIX ME"))</f>
        <v>paulo_c2d</v>
      </c>
      <c r="B542" s="165" t="s">
        <v>6</v>
      </c>
      <c r="C542" s="170" t="s">
        <v>1115</v>
      </c>
      <c r="D542" s="236" t="s">
        <v>495</v>
      </c>
      <c r="E542" s="237">
        <v>44306.0</v>
      </c>
      <c r="F542" s="170" t="s">
        <v>627</v>
      </c>
      <c r="G542" s="170">
        <v>20000.0</v>
      </c>
      <c r="H542" s="171">
        <v>200.0</v>
      </c>
      <c r="I542" s="171">
        <v>250.0</v>
      </c>
      <c r="J542" s="172">
        <f t="shared" si="27"/>
        <v>0.004899301704</v>
      </c>
      <c r="K542" s="173">
        <f t="shared" si="28"/>
        <v>5.879162045</v>
      </c>
      <c r="L542" s="174">
        <f t="shared" si="4"/>
        <v>6.13408937</v>
      </c>
      <c r="M542" s="175" t="str">
        <f t="shared" si="5"/>
        <v>paulo_c2d</v>
      </c>
      <c r="N542" s="176">
        <f>IFERROR(__xludf.DUMMYFUNCTION("""COMPUTED_VALUE"""),3.0)</f>
        <v>3</v>
      </c>
      <c r="O542" s="176"/>
      <c r="P542" s="165" t="s">
        <v>30</v>
      </c>
      <c r="Q542" s="165" t="s">
        <v>6</v>
      </c>
      <c r="R542" s="176"/>
      <c r="S542" s="176"/>
      <c r="T542" s="176"/>
      <c r="U542" s="176"/>
      <c r="V542" s="176"/>
      <c r="W542" s="176"/>
      <c r="X542" s="176"/>
      <c r="Y542" s="176"/>
      <c r="Z542" s="176"/>
      <c r="AA542" s="176"/>
    </row>
    <row r="543">
      <c r="A543" s="165" t="str">
        <f>iferror(VLOOKUP(P543,'DO NOT TOUCH Imported'!$A$1:$D$800,4,False),iferror(VLOOKUP(P543,'DO NOT TOUCH Imported'!$C$1:$D$800,2,False),"OOPS FIX ME"))</f>
        <v>paulo_c2d</v>
      </c>
      <c r="B543" s="165" t="s">
        <v>30</v>
      </c>
      <c r="C543" s="170" t="s">
        <v>1116</v>
      </c>
      <c r="D543" s="236" t="s">
        <v>495</v>
      </c>
      <c r="E543" s="237">
        <v>44306.0</v>
      </c>
      <c r="F543" s="170" t="s">
        <v>627</v>
      </c>
      <c r="G543" s="170">
        <v>16000.0</v>
      </c>
      <c r="H543" s="171">
        <v>200.0</v>
      </c>
      <c r="I543" s="171">
        <v>350.0</v>
      </c>
      <c r="J543" s="172">
        <f t="shared" si="27"/>
        <v>0.004737092428</v>
      </c>
      <c r="K543" s="173">
        <f t="shared" si="28"/>
        <v>5.684510914</v>
      </c>
      <c r="L543" s="174">
        <f t="shared" si="4"/>
        <v>6.13408937</v>
      </c>
      <c r="M543" s="175" t="str">
        <f t="shared" si="5"/>
        <v>paulo_c2d</v>
      </c>
      <c r="N543" s="176">
        <f>IFERROR(__xludf.DUMMYFUNCTION("""COMPUTED_VALUE"""),4.0)</f>
        <v>4</v>
      </c>
      <c r="O543" s="176"/>
      <c r="P543" s="165" t="s">
        <v>30</v>
      </c>
      <c r="Q543" s="165" t="s">
        <v>30</v>
      </c>
      <c r="R543" s="176"/>
      <c r="S543" s="176"/>
      <c r="T543" s="176"/>
      <c r="U543" s="176"/>
      <c r="V543" s="176"/>
      <c r="W543" s="176"/>
      <c r="X543" s="176"/>
      <c r="Y543" s="176"/>
      <c r="Z543" s="176"/>
      <c r="AA543" s="176"/>
    </row>
    <row r="544">
      <c r="A544" s="165" t="str">
        <f>iferror(VLOOKUP(P544,'DO NOT TOUCH Imported'!$A$1:$D$800,4,False),iferror(VLOOKUP(P544,'DO NOT TOUCH Imported'!$C$1:$D$800,2,False),"OOPS FIX ME"))</f>
        <v>paulo_c2d</v>
      </c>
      <c r="B544" s="165" t="s">
        <v>30</v>
      </c>
      <c r="C544" s="170" t="s">
        <v>1117</v>
      </c>
      <c r="D544" s="236" t="s">
        <v>495</v>
      </c>
      <c r="E544" s="237">
        <v>44306.0</v>
      </c>
      <c r="F544" s="170" t="s">
        <v>627</v>
      </c>
      <c r="G544" s="170">
        <v>12000.0</v>
      </c>
      <c r="H544" s="171">
        <v>300.0</v>
      </c>
      <c r="I544" s="171">
        <v>300.0</v>
      </c>
      <c r="J544" s="172">
        <f t="shared" si="27"/>
        <v>0.004367772634</v>
      </c>
      <c r="K544" s="173">
        <f t="shared" si="28"/>
        <v>5.241327161</v>
      </c>
      <c r="L544" s="174">
        <f t="shared" si="4"/>
        <v>6.13408937</v>
      </c>
      <c r="M544" s="175" t="str">
        <f t="shared" si="5"/>
        <v>paulo_c2d</v>
      </c>
      <c r="N544" s="176">
        <f>IFERROR(__xludf.DUMMYFUNCTION("""COMPUTED_VALUE"""),5.0)</f>
        <v>5</v>
      </c>
      <c r="O544" s="176"/>
      <c r="P544" s="165" t="s">
        <v>30</v>
      </c>
      <c r="Q544" s="165" t="s">
        <v>30</v>
      </c>
      <c r="R544" s="176"/>
      <c r="S544" s="176"/>
      <c r="T544" s="176"/>
      <c r="U544" s="176"/>
      <c r="V544" s="176"/>
      <c r="W544" s="176"/>
      <c r="X544" s="176"/>
      <c r="Y544" s="176"/>
      <c r="Z544" s="176"/>
      <c r="AA544" s="176"/>
    </row>
    <row r="545">
      <c r="A545" s="165" t="str">
        <f>iferror(VLOOKUP(P545,'DO NOT TOUCH Imported'!$A$1:$D$800,4,False),iferror(VLOOKUP(P545,'DO NOT TOUCH Imported'!$C$1:$D$800,2,False),"OOPS FIX ME"))</f>
        <v>paulo_c2d</v>
      </c>
      <c r="B545" s="165" t="s">
        <v>30</v>
      </c>
      <c r="C545" s="170" t="s">
        <v>1118</v>
      </c>
      <c r="D545" s="236" t="s">
        <v>495</v>
      </c>
      <c r="E545" s="237">
        <v>44306.0</v>
      </c>
      <c r="F545" s="170" t="s">
        <v>627</v>
      </c>
      <c r="G545" s="170">
        <v>6000.0</v>
      </c>
      <c r="H545" s="171">
        <v>150.0</v>
      </c>
      <c r="I545" s="171">
        <v>200.0</v>
      </c>
      <c r="J545" s="172">
        <f t="shared" si="27"/>
        <v>0.002398289953</v>
      </c>
      <c r="K545" s="173">
        <f t="shared" si="28"/>
        <v>2.877947944</v>
      </c>
      <c r="L545" s="174">
        <f t="shared" si="4"/>
        <v>6.13408937</v>
      </c>
      <c r="M545" s="175" t="str">
        <f t="shared" si="5"/>
        <v>paulo_c2d</v>
      </c>
      <c r="N545" s="176">
        <f>IFERROR(__xludf.DUMMYFUNCTION("""COMPUTED_VALUE"""),6.0)</f>
        <v>6</v>
      </c>
      <c r="O545" s="176"/>
      <c r="P545" s="165" t="s">
        <v>30</v>
      </c>
      <c r="Q545" s="165" t="s">
        <v>30</v>
      </c>
      <c r="R545" s="176"/>
      <c r="S545" s="176"/>
      <c r="T545" s="176"/>
      <c r="U545" s="176"/>
      <c r="V545" s="176"/>
      <c r="W545" s="176"/>
      <c r="X545" s="176"/>
      <c r="Y545" s="176"/>
      <c r="Z545" s="176"/>
      <c r="AA545" s="176"/>
    </row>
    <row r="546">
      <c r="A546" s="165" t="str">
        <f>iferror(VLOOKUP(P546,'DO NOT TOUCH Imported'!$A$1:$D$800,4,False),iferror(VLOOKUP(P546,'DO NOT TOUCH Imported'!$C$1:$D$800,2,False),"OOPS FIX ME"))</f>
        <v>paulo_c2d</v>
      </c>
      <c r="B546" s="165" t="s">
        <v>30</v>
      </c>
      <c r="C546" s="170" t="s">
        <v>1119</v>
      </c>
      <c r="D546" s="236" t="s">
        <v>495</v>
      </c>
      <c r="E546" s="239">
        <v>44296.0</v>
      </c>
      <c r="F546" s="170" t="s">
        <v>627</v>
      </c>
      <c r="G546" s="170">
        <v>4000.0</v>
      </c>
      <c r="H546" s="171">
        <v>200.0</v>
      </c>
      <c r="I546" s="171">
        <v>150.0</v>
      </c>
      <c r="J546" s="172">
        <f t="shared" si="27"/>
        <v>0.002106428238</v>
      </c>
      <c r="K546" s="173">
        <f t="shared" si="28"/>
        <v>2.527713886</v>
      </c>
      <c r="L546" s="174">
        <f t="shared" si="4"/>
        <v>6.13408937</v>
      </c>
      <c r="M546" s="175" t="str">
        <f t="shared" si="5"/>
        <v>paulo_c2d</v>
      </c>
      <c r="N546" s="176">
        <f>IFERROR(__xludf.DUMMYFUNCTION("""COMPUTED_VALUE"""),7.0)</f>
        <v>7</v>
      </c>
      <c r="O546" s="176"/>
      <c r="P546" s="165" t="s">
        <v>30</v>
      </c>
      <c r="Q546" s="165" t="s">
        <v>30</v>
      </c>
      <c r="R546" s="176"/>
      <c r="S546" s="176"/>
      <c r="T546" s="176"/>
      <c r="U546" s="176"/>
      <c r="V546" s="176"/>
      <c r="W546" s="176"/>
      <c r="X546" s="176"/>
      <c r="Y546" s="176"/>
      <c r="Z546" s="176"/>
      <c r="AA546" s="176"/>
    </row>
    <row r="547">
      <c r="A547" s="165" t="str">
        <f>iferror(VLOOKUP(P547,'DO NOT TOUCH Imported'!$A$1:$D$800,4,False),iferror(VLOOKUP(P547,'DO NOT TOUCH Imported'!$C$1:$D$800,2,False),"OOPS FIX ME"))</f>
        <v>paulo_c2d</v>
      </c>
      <c r="B547" s="165" t="s">
        <v>483</v>
      </c>
      <c r="C547" s="170" t="s">
        <v>1026</v>
      </c>
      <c r="D547" s="236" t="s">
        <v>437</v>
      </c>
      <c r="E547" s="239">
        <v>44308.0</v>
      </c>
      <c r="F547" s="170" t="s">
        <v>439</v>
      </c>
      <c r="G547" s="170">
        <v>3000.0</v>
      </c>
      <c r="H547" s="171">
        <v>200.0</v>
      </c>
      <c r="I547" s="171">
        <v>150.0</v>
      </c>
      <c r="J547" s="172">
        <f t="shared" si="27"/>
        <v>0.001958674101</v>
      </c>
      <c r="K547" s="173">
        <f t="shared" si="28"/>
        <v>2.350408921</v>
      </c>
      <c r="L547" s="174">
        <f t="shared" si="4"/>
        <v>6.13408937</v>
      </c>
      <c r="M547" s="175" t="str">
        <f t="shared" si="5"/>
        <v>paulo_c2d</v>
      </c>
      <c r="N547" s="176">
        <f>IFERROR(__xludf.DUMMYFUNCTION("""COMPUTED_VALUE"""),8.0)</f>
        <v>8</v>
      </c>
      <c r="O547" s="176"/>
      <c r="P547" s="165" t="s">
        <v>651</v>
      </c>
      <c r="Q547" s="165" t="s">
        <v>483</v>
      </c>
      <c r="R547" s="176"/>
      <c r="S547" s="176"/>
      <c r="T547" s="176"/>
      <c r="U547" s="176"/>
      <c r="V547" s="176"/>
      <c r="W547" s="176"/>
      <c r="X547" s="176"/>
      <c r="Y547" s="176"/>
      <c r="Z547" s="176"/>
      <c r="AA547" s="176"/>
    </row>
    <row r="548">
      <c r="A548" s="165" t="str">
        <f>iferror(VLOOKUP(P548,'DO NOT TOUCH Imported'!$A$1:$D$800,4,False),iferror(VLOOKUP(P548,'DO NOT TOUCH Imported'!$C$1:$D$800,2,False),"OOPS FIX ME"))</f>
        <v>paulo_c2d</v>
      </c>
      <c r="B548" s="165" t="s">
        <v>10</v>
      </c>
      <c r="C548" s="170" t="s">
        <v>936</v>
      </c>
      <c r="D548" s="236" t="s">
        <v>495</v>
      </c>
      <c r="E548" s="239">
        <v>44309.0</v>
      </c>
      <c r="F548" s="170" t="s">
        <v>496</v>
      </c>
      <c r="G548" s="170">
        <v>2000.0</v>
      </c>
      <c r="H548" s="171">
        <v>100.0</v>
      </c>
      <c r="I548" s="171">
        <v>150.0</v>
      </c>
      <c r="J548" s="172">
        <f t="shared" si="27"/>
        <v>0.001374819573</v>
      </c>
      <c r="K548" s="173">
        <f t="shared" si="28"/>
        <v>1.649783488</v>
      </c>
      <c r="L548" s="174">
        <f t="shared" si="4"/>
        <v>6.13408937</v>
      </c>
      <c r="M548" s="175" t="str">
        <f t="shared" si="5"/>
        <v>paulo_c2d</v>
      </c>
      <c r="N548" s="176">
        <f>IFERROR(__xludf.DUMMYFUNCTION("""COMPUTED_VALUE"""),9.0)</f>
        <v>9</v>
      </c>
      <c r="O548" s="176"/>
      <c r="P548" s="165" t="s">
        <v>30</v>
      </c>
      <c r="Q548" s="165" t="s">
        <v>10</v>
      </c>
      <c r="R548" s="176"/>
      <c r="S548" s="176"/>
      <c r="T548" s="176"/>
      <c r="U548" s="176"/>
      <c r="V548" s="176"/>
      <c r="W548" s="176"/>
      <c r="X548" s="176"/>
      <c r="Y548" s="176"/>
      <c r="Z548" s="176"/>
      <c r="AA548" s="176"/>
    </row>
    <row r="549">
      <c r="A549" s="165" t="str">
        <f>iferror(VLOOKUP(P549,'DO NOT TOUCH Imported'!$A$1:$D$800,4,False),iferror(VLOOKUP(P549,'DO NOT TOUCH Imported'!$C$1:$D$800,2,False),"OOPS FIX ME"))</f>
        <v>paulo_c2d</v>
      </c>
      <c r="B549" s="165" t="s">
        <v>440</v>
      </c>
      <c r="C549" s="170" t="s">
        <v>895</v>
      </c>
      <c r="D549" s="236" t="s">
        <v>437</v>
      </c>
      <c r="E549" s="237">
        <v>44306.0</v>
      </c>
      <c r="F549" s="170" t="s">
        <v>439</v>
      </c>
      <c r="G549" s="170">
        <v>2000.0</v>
      </c>
      <c r="H549" s="171">
        <v>100.0</v>
      </c>
      <c r="I549" s="171">
        <v>100.0</v>
      </c>
      <c r="J549" s="172">
        <f t="shared" si="27"/>
        <v>0.001160415937</v>
      </c>
      <c r="K549" s="173">
        <f t="shared" si="28"/>
        <v>1.392499125</v>
      </c>
      <c r="L549" s="174">
        <f t="shared" si="4"/>
        <v>6.13408937</v>
      </c>
      <c r="M549" s="175" t="str">
        <f t="shared" si="5"/>
        <v>paulo_c2d</v>
      </c>
      <c r="N549" s="176">
        <f>IFERROR(__xludf.DUMMYFUNCTION("""COMPUTED_VALUE"""),10.0)</f>
        <v>10</v>
      </c>
      <c r="O549" s="176"/>
      <c r="P549" s="165" t="s">
        <v>651</v>
      </c>
      <c r="Q549" s="165" t="s">
        <v>440</v>
      </c>
      <c r="R549" s="176"/>
      <c r="S549" s="176"/>
      <c r="T549" s="176"/>
      <c r="U549" s="176"/>
      <c r="V549" s="176"/>
      <c r="W549" s="176"/>
      <c r="X549" s="176"/>
      <c r="Y549" s="176"/>
      <c r="Z549" s="176"/>
      <c r="AA549" s="176"/>
    </row>
    <row r="550">
      <c r="A550" s="165" t="str">
        <f>iferror(VLOOKUP(P550,'DO NOT TOUCH Imported'!$A$1:$D$800,4,False),iferror(VLOOKUP(P550,'DO NOT TOUCH Imported'!$C$1:$D$800,2,False),"OOPS FIX ME"))</f>
        <v>paulo_c2d</v>
      </c>
      <c r="B550" s="165" t="s">
        <v>440</v>
      </c>
      <c r="C550" s="170" t="s">
        <v>1120</v>
      </c>
      <c r="D550" s="236" t="s">
        <v>437</v>
      </c>
      <c r="E550" s="237">
        <v>44306.0</v>
      </c>
      <c r="F550" s="170" t="s">
        <v>439</v>
      </c>
      <c r="G550" s="170">
        <v>1000.0</v>
      </c>
      <c r="H550" s="171">
        <v>100.0</v>
      </c>
      <c r="I550" s="171">
        <v>80.0</v>
      </c>
      <c r="J550" s="172">
        <f t="shared" si="27"/>
        <v>0.0009269003455</v>
      </c>
      <c r="K550" s="173">
        <f t="shared" si="28"/>
        <v>1.112280415</v>
      </c>
      <c r="L550" s="174">
        <f t="shared" si="4"/>
        <v>6.13408937</v>
      </c>
      <c r="M550" s="175" t="str">
        <f t="shared" si="5"/>
        <v>paulo_c2d</v>
      </c>
      <c r="N550" s="176">
        <f>IFERROR(__xludf.DUMMYFUNCTION("""COMPUTED_VALUE"""),11.0)</f>
        <v>11</v>
      </c>
      <c r="O550" s="176"/>
      <c r="P550" s="165" t="s">
        <v>651</v>
      </c>
      <c r="Q550" s="165" t="s">
        <v>440</v>
      </c>
      <c r="R550" s="176"/>
      <c r="S550" s="176"/>
      <c r="T550" s="176"/>
      <c r="U550" s="176"/>
      <c r="V550" s="176"/>
      <c r="W550" s="176"/>
      <c r="X550" s="176"/>
      <c r="Y550" s="176"/>
      <c r="Z550" s="176"/>
      <c r="AA550" s="176"/>
    </row>
    <row r="551">
      <c r="A551" s="165" t="str">
        <f>iferror(VLOOKUP(P551,'DO NOT TOUCH Imported'!$A$1:$D$800,4,False),iferror(VLOOKUP(P551,'DO NOT TOUCH Imported'!$C$1:$D$800,2,False),"OOPS FIX ME"))</f>
        <v>paulo_c2d</v>
      </c>
      <c r="B551" s="165" t="s">
        <v>440</v>
      </c>
      <c r="C551" s="170" t="s">
        <v>913</v>
      </c>
      <c r="D551" s="236" t="s">
        <v>437</v>
      </c>
      <c r="E551" s="239">
        <v>44298.0</v>
      </c>
      <c r="F551" s="170" t="s">
        <v>439</v>
      </c>
      <c r="G551" s="170">
        <v>1000.0</v>
      </c>
      <c r="H551" s="171">
        <v>60.0</v>
      </c>
      <c r="I551" s="171">
        <v>50.0</v>
      </c>
      <c r="J551" s="172">
        <f t="shared" si="27"/>
        <v>0.0006238180076</v>
      </c>
      <c r="K551" s="173">
        <f t="shared" si="28"/>
        <v>0.7485816091</v>
      </c>
      <c r="L551" s="174">
        <f t="shared" si="4"/>
        <v>6.13408937</v>
      </c>
      <c r="M551" s="175" t="str">
        <f t="shared" si="5"/>
        <v>paulo_c2d</v>
      </c>
      <c r="N551" s="176">
        <f>IFERROR(__xludf.DUMMYFUNCTION("""COMPUTED_VALUE"""),12.0)</f>
        <v>12</v>
      </c>
      <c r="O551" s="176"/>
      <c r="P551" s="165" t="s">
        <v>651</v>
      </c>
      <c r="Q551" s="165" t="s">
        <v>440</v>
      </c>
      <c r="R551" s="176"/>
      <c r="S551" s="176"/>
      <c r="T551" s="176"/>
      <c r="U551" s="176"/>
      <c r="V551" s="176"/>
      <c r="W551" s="176"/>
      <c r="X551" s="176"/>
      <c r="Y551" s="176"/>
      <c r="Z551" s="176"/>
      <c r="AA551" s="176"/>
    </row>
    <row r="552">
      <c r="A552" s="165" t="str">
        <f>iferror(VLOOKUP(P552,'DO NOT TOUCH Imported'!$A$1:$D$800,4,False),iferror(VLOOKUP(P552,'DO NOT TOUCH Imported'!$C$1:$D$800,2,False),"OOPS FIX ME"))</f>
        <v>paulo_c2d</v>
      </c>
      <c r="B552" s="165" t="s">
        <v>483</v>
      </c>
      <c r="C552" s="170" t="s">
        <v>920</v>
      </c>
      <c r="D552" s="236" t="s">
        <v>437</v>
      </c>
      <c r="E552" s="239">
        <v>44305.0</v>
      </c>
      <c r="F552" s="170" t="s">
        <v>439</v>
      </c>
      <c r="G552" s="170">
        <v>1000.0</v>
      </c>
      <c r="H552" s="171">
        <v>60.0</v>
      </c>
      <c r="I552" s="171">
        <v>50.0</v>
      </c>
      <c r="J552" s="172">
        <f t="shared" si="27"/>
        <v>0.0006238180076</v>
      </c>
      <c r="K552" s="173">
        <f t="shared" si="28"/>
        <v>0.7485816091</v>
      </c>
      <c r="L552" s="174">
        <f t="shared" si="4"/>
        <v>6.13408937</v>
      </c>
      <c r="M552" s="175" t="str">
        <f t="shared" si="5"/>
        <v>paulo_c2d</v>
      </c>
      <c r="N552" s="176">
        <f>IFERROR(__xludf.DUMMYFUNCTION("""COMPUTED_VALUE"""),13.0)</f>
        <v>13</v>
      </c>
      <c r="O552" s="176"/>
      <c r="P552" s="165" t="s">
        <v>651</v>
      </c>
      <c r="Q552" s="165" t="s">
        <v>483</v>
      </c>
      <c r="R552" s="176"/>
      <c r="S552" s="176"/>
      <c r="T552" s="176"/>
      <c r="U552" s="176"/>
      <c r="V552" s="176"/>
      <c r="W552" s="176"/>
      <c r="X552" s="176"/>
      <c r="Y552" s="176"/>
      <c r="Z552" s="176"/>
      <c r="AA552" s="176"/>
    </row>
    <row r="553">
      <c r="A553" s="185" t="str">
        <f>iferror(VLOOKUP(P553,'DO NOT TOUCH Imported'!$A$1:$D$800,4,False),iferror(VLOOKUP(P553,'DO NOT TOUCH Imported'!$C$1:$D$800,2,False),"OOPS FIX ME"))</f>
        <v>markop</v>
      </c>
      <c r="B553" s="185" t="s">
        <v>534</v>
      </c>
      <c r="C553" s="186" t="s">
        <v>794</v>
      </c>
      <c r="D553" s="187"/>
      <c r="E553" s="188"/>
      <c r="F553" s="189"/>
      <c r="G553" s="190"/>
      <c r="H553" s="190"/>
      <c r="I553" s="190"/>
      <c r="J553" s="172">
        <f>(H553/$H$2+I553/$I$2)/2</f>
        <v>0</v>
      </c>
      <c r="K553" s="215">
        <f>-0.85*39.286</f>
        <v>-33.3931</v>
      </c>
      <c r="L553" s="193">
        <f t="shared" si="4"/>
        <v>5.893070738</v>
      </c>
      <c r="M553" s="194" t="str">
        <f t="shared" si="5"/>
        <v>markop</v>
      </c>
      <c r="N553" s="195">
        <f>IFERROR(__xludf.DUMMYFUNCTION("""COMPUTED_VALUE"""),1.0)</f>
        <v>1</v>
      </c>
      <c r="O553" s="195"/>
      <c r="P553" s="212" t="s">
        <v>43</v>
      </c>
      <c r="Q553" s="185" t="s">
        <v>534</v>
      </c>
      <c r="R553" s="195">
        <v>18.848124090566696</v>
      </c>
      <c r="S553" s="195"/>
      <c r="T553" s="195"/>
      <c r="U553" s="195"/>
      <c r="V553" s="195"/>
      <c r="W553" s="195"/>
      <c r="X553" s="195"/>
      <c r="Y553" s="195"/>
      <c r="Z553" s="195"/>
      <c r="AA553" s="176"/>
    </row>
    <row r="554">
      <c r="A554" s="165" t="str">
        <f>iferror(VLOOKUP(P554,'DO NOT TOUCH Imported'!$A$1:$D$800,4,False),iferror(VLOOKUP(P554,'DO NOT TOUCH Imported'!$C$1:$D$800,2,False),"OOPS FIX ME"))</f>
        <v>markop</v>
      </c>
      <c r="B554" s="165" t="s">
        <v>435</v>
      </c>
      <c r="C554" s="170" t="s">
        <v>1121</v>
      </c>
      <c r="D554" s="236" t="s">
        <v>437</v>
      </c>
      <c r="E554" s="239">
        <v>44307.0</v>
      </c>
      <c r="F554" s="170" t="s">
        <v>439</v>
      </c>
      <c r="G554" s="170">
        <v>2000.0</v>
      </c>
      <c r="H554" s="171">
        <v>400.0</v>
      </c>
      <c r="I554" s="171">
        <v>150.0</v>
      </c>
      <c r="J554" s="172">
        <f t="shared" ref="J554:J580" si="29">(G554/$G$2+H554/$H$2+I554/$I$2)/3</f>
        <v>0.002683120744</v>
      </c>
      <c r="K554" s="173">
        <f t="shared" ref="K554:K580" si="30">J554*$J$1</f>
        <v>3.219744893</v>
      </c>
      <c r="L554" s="174">
        <f t="shared" si="4"/>
        <v>5.893070738</v>
      </c>
      <c r="M554" s="175" t="str">
        <f t="shared" si="5"/>
        <v>markop</v>
      </c>
      <c r="N554" s="176">
        <f>IFERROR(__xludf.DUMMYFUNCTION("""COMPUTED_VALUE"""),2.0)</f>
        <v>2</v>
      </c>
      <c r="O554" s="176"/>
      <c r="P554" s="165" t="s">
        <v>486</v>
      </c>
      <c r="Q554" s="165" t="s">
        <v>435</v>
      </c>
      <c r="R554" s="176"/>
      <c r="S554" s="176"/>
      <c r="T554" s="176"/>
      <c r="U554" s="176"/>
      <c r="V554" s="176"/>
      <c r="W554" s="176"/>
      <c r="X554" s="176"/>
      <c r="Y554" s="176"/>
      <c r="Z554" s="176"/>
      <c r="AA554" s="176"/>
    </row>
    <row r="555">
      <c r="A555" s="165" t="str">
        <f>iferror(VLOOKUP(P555,'DO NOT TOUCH Imported'!$A$1:$D$800,4,False),iferror(VLOOKUP(P555,'DO NOT TOUCH Imported'!$C$1:$D$800,2,False),"OOPS FIX ME"))</f>
        <v>markop</v>
      </c>
      <c r="B555" s="165" t="s">
        <v>441</v>
      </c>
      <c r="C555" s="170" t="s">
        <v>1122</v>
      </c>
      <c r="D555" s="236" t="s">
        <v>437</v>
      </c>
      <c r="E555" s="237">
        <v>44309.0</v>
      </c>
      <c r="F555" s="170" t="s">
        <v>439</v>
      </c>
      <c r="G555" s="238">
        <v>5000.0</v>
      </c>
      <c r="H555" s="171">
        <v>100.0</v>
      </c>
      <c r="I555" s="171">
        <v>200.0</v>
      </c>
      <c r="J555" s="172">
        <f t="shared" si="29"/>
        <v>0.002032485621</v>
      </c>
      <c r="K555" s="173">
        <f t="shared" si="30"/>
        <v>2.438982745</v>
      </c>
      <c r="L555" s="174">
        <f t="shared" si="4"/>
        <v>5.893070738</v>
      </c>
      <c r="M555" s="175" t="str">
        <f t="shared" si="5"/>
        <v>markop</v>
      </c>
      <c r="N555" s="176">
        <f>IFERROR(__xludf.DUMMYFUNCTION("""COMPUTED_VALUE"""),3.0)</f>
        <v>3</v>
      </c>
      <c r="O555" s="176"/>
      <c r="P555" s="165" t="s">
        <v>486</v>
      </c>
      <c r="Q555" s="165" t="s">
        <v>441</v>
      </c>
      <c r="R555" s="176"/>
      <c r="S555" s="176"/>
      <c r="T555" s="176"/>
      <c r="U555" s="176"/>
      <c r="V555" s="176"/>
      <c r="W555" s="176"/>
      <c r="X555" s="176"/>
      <c r="Y555" s="176"/>
      <c r="Z555" s="176"/>
      <c r="AA555" s="176"/>
    </row>
    <row r="556">
      <c r="A556" s="165" t="str">
        <f>iferror(VLOOKUP(P556,'DO NOT TOUCH Imported'!$A$1:$D$800,4,False),iferror(VLOOKUP(P556,'DO NOT TOUCH Imported'!$C$1:$D$800,2,False),"OOPS FIX ME"))</f>
        <v>markop</v>
      </c>
      <c r="B556" s="165" t="s">
        <v>441</v>
      </c>
      <c r="C556" s="170" t="s">
        <v>1010</v>
      </c>
      <c r="D556" s="236" t="s">
        <v>437</v>
      </c>
      <c r="E556" s="237">
        <v>44309.0</v>
      </c>
      <c r="F556" s="170" t="s">
        <v>439</v>
      </c>
      <c r="G556" s="170">
        <v>5000.0</v>
      </c>
      <c r="H556" s="171">
        <v>100.0</v>
      </c>
      <c r="I556" s="171">
        <v>200.0</v>
      </c>
      <c r="J556" s="172">
        <f t="shared" si="29"/>
        <v>0.002032485621</v>
      </c>
      <c r="K556" s="173">
        <f t="shared" si="30"/>
        <v>2.438982745</v>
      </c>
      <c r="L556" s="174">
        <f t="shared" si="4"/>
        <v>5.893070738</v>
      </c>
      <c r="M556" s="175" t="str">
        <f t="shared" si="5"/>
        <v>markop</v>
      </c>
      <c r="N556" s="176">
        <f>IFERROR(__xludf.DUMMYFUNCTION("""COMPUTED_VALUE"""),4.0)</f>
        <v>4</v>
      </c>
      <c r="O556" s="176"/>
      <c r="P556" s="165" t="s">
        <v>486</v>
      </c>
      <c r="Q556" s="165" t="s">
        <v>441</v>
      </c>
      <c r="R556" s="176"/>
      <c r="S556" s="176"/>
      <c r="T556" s="176"/>
      <c r="U556" s="176"/>
      <c r="V556" s="176"/>
      <c r="W556" s="176"/>
      <c r="X556" s="176"/>
      <c r="Y556" s="176"/>
      <c r="Z556" s="176"/>
      <c r="AA556" s="176"/>
    </row>
    <row r="557">
      <c r="A557" s="165" t="str">
        <f>iferror(VLOOKUP(P557,'DO NOT TOUCH Imported'!$A$1:$D$800,4,False),iferror(VLOOKUP(P557,'DO NOT TOUCH Imported'!$C$1:$D$800,2,False),"OOPS FIX ME"))</f>
        <v>markop</v>
      </c>
      <c r="B557" s="165" t="s">
        <v>441</v>
      </c>
      <c r="C557" s="170" t="s">
        <v>987</v>
      </c>
      <c r="D557" s="236" t="s">
        <v>437</v>
      </c>
      <c r="E557" s="239">
        <v>44309.0</v>
      </c>
      <c r="F557" s="170" t="s">
        <v>439</v>
      </c>
      <c r="G557" s="170">
        <v>5000.0</v>
      </c>
      <c r="H557" s="171">
        <v>100.0</v>
      </c>
      <c r="I557" s="171">
        <v>200.0</v>
      </c>
      <c r="J557" s="172">
        <f t="shared" si="29"/>
        <v>0.002032485621</v>
      </c>
      <c r="K557" s="173">
        <f t="shared" si="30"/>
        <v>2.438982745</v>
      </c>
      <c r="L557" s="174">
        <f t="shared" si="4"/>
        <v>5.893070738</v>
      </c>
      <c r="M557" s="175" t="str">
        <f t="shared" si="5"/>
        <v>markop</v>
      </c>
      <c r="N557" s="176">
        <f>IFERROR(__xludf.DUMMYFUNCTION("""COMPUTED_VALUE"""),5.0)</f>
        <v>5</v>
      </c>
      <c r="O557" s="176"/>
      <c r="P557" s="165" t="s">
        <v>486</v>
      </c>
      <c r="Q557" s="165" t="s">
        <v>441</v>
      </c>
      <c r="R557" s="176"/>
      <c r="S557" s="176"/>
      <c r="T557" s="176"/>
      <c r="U557" s="176"/>
      <c r="V557" s="176"/>
      <c r="W557" s="176"/>
      <c r="X557" s="176"/>
      <c r="Y557" s="176"/>
      <c r="Z557" s="176"/>
      <c r="AA557" s="176"/>
    </row>
    <row r="558">
      <c r="A558" s="165" t="str">
        <f>iferror(VLOOKUP(P558,'DO NOT TOUCH Imported'!$A$1:$D$800,4,False),iferror(VLOOKUP(P558,'DO NOT TOUCH Imported'!$C$1:$D$800,2,False),"OOPS FIX ME"))</f>
        <v>markop</v>
      </c>
      <c r="B558" s="165" t="s">
        <v>440</v>
      </c>
      <c r="C558" s="170" t="s">
        <v>1123</v>
      </c>
      <c r="D558" s="236" t="s">
        <v>437</v>
      </c>
      <c r="E558" s="239">
        <v>44306.0</v>
      </c>
      <c r="F558" s="170" t="s">
        <v>439</v>
      </c>
      <c r="G558" s="170">
        <v>3000.0</v>
      </c>
      <c r="H558" s="171">
        <v>200.0</v>
      </c>
      <c r="I558" s="171">
        <v>150.0</v>
      </c>
      <c r="J558" s="172">
        <f t="shared" si="29"/>
        <v>0.001958674101</v>
      </c>
      <c r="K558" s="173">
        <f t="shared" si="30"/>
        <v>2.350408921</v>
      </c>
      <c r="L558" s="174">
        <f t="shared" si="4"/>
        <v>5.893070738</v>
      </c>
      <c r="M558" s="175" t="str">
        <f t="shared" si="5"/>
        <v>markop</v>
      </c>
      <c r="N558" s="176">
        <f>IFERROR(__xludf.DUMMYFUNCTION("""COMPUTED_VALUE"""),6.0)</f>
        <v>6</v>
      </c>
      <c r="O558" s="176"/>
      <c r="P558" s="165" t="s">
        <v>486</v>
      </c>
      <c r="Q558" s="165" t="s">
        <v>440</v>
      </c>
      <c r="R558" s="176"/>
      <c r="S558" s="176"/>
      <c r="T558" s="176"/>
      <c r="U558" s="176"/>
      <c r="V558" s="176"/>
      <c r="W558" s="176"/>
      <c r="X558" s="176"/>
      <c r="Y558" s="176"/>
      <c r="Z558" s="176"/>
      <c r="AA558" s="176"/>
    </row>
    <row r="559">
      <c r="A559" s="165" t="str">
        <f>iferror(VLOOKUP(P559,'DO NOT TOUCH Imported'!$A$1:$D$800,4,False),iferror(VLOOKUP(P559,'DO NOT TOUCH Imported'!$C$1:$D$800,2,False),"OOPS FIX ME"))</f>
        <v>markop</v>
      </c>
      <c r="B559" s="165" t="s">
        <v>43</v>
      </c>
      <c r="C559" s="170" t="s">
        <v>1124</v>
      </c>
      <c r="D559" s="236" t="s">
        <v>495</v>
      </c>
      <c r="E559" s="237">
        <v>44310.0</v>
      </c>
      <c r="F559" s="170" t="s">
        <v>627</v>
      </c>
      <c r="G559" s="170">
        <v>4000.0</v>
      </c>
      <c r="H559" s="171">
        <v>150.0</v>
      </c>
      <c r="I559" s="171">
        <v>100.0</v>
      </c>
      <c r="J559" s="172">
        <f t="shared" si="29"/>
        <v>0.001673974406</v>
      </c>
      <c r="K559" s="173">
        <f t="shared" si="30"/>
        <v>2.008769288</v>
      </c>
      <c r="L559" s="174">
        <f t="shared" si="4"/>
        <v>5.893070738</v>
      </c>
      <c r="M559" s="175" t="str">
        <f t="shared" si="5"/>
        <v>markop</v>
      </c>
      <c r="N559" s="176">
        <f>IFERROR(__xludf.DUMMYFUNCTION("""COMPUTED_VALUE"""),7.0)</f>
        <v>7</v>
      </c>
      <c r="O559" s="176"/>
      <c r="P559" s="165" t="s">
        <v>43</v>
      </c>
      <c r="Q559" s="165" t="s">
        <v>43</v>
      </c>
      <c r="R559" s="176"/>
      <c r="S559" s="176"/>
      <c r="T559" s="176"/>
      <c r="U559" s="176"/>
      <c r="V559" s="176"/>
      <c r="W559" s="176"/>
      <c r="X559" s="176"/>
      <c r="Y559" s="176"/>
      <c r="Z559" s="176"/>
      <c r="AA559" s="176"/>
    </row>
    <row r="560">
      <c r="A560" s="165" t="str">
        <f>iferror(VLOOKUP(P560,'DO NOT TOUCH Imported'!$A$1:$D$800,4,False),iferror(VLOOKUP(P560,'DO NOT TOUCH Imported'!$C$1:$D$800,2,False),"OOPS FIX ME"))</f>
        <v>markop</v>
      </c>
      <c r="B560" s="165" t="s">
        <v>20</v>
      </c>
      <c r="C560" s="170" t="s">
        <v>1125</v>
      </c>
      <c r="D560" s="236" t="s">
        <v>437</v>
      </c>
      <c r="E560" s="237">
        <v>44300.0</v>
      </c>
      <c r="F560" s="170" t="s">
        <v>439</v>
      </c>
      <c r="G560" s="170">
        <v>5000.0</v>
      </c>
      <c r="H560" s="171">
        <v>100.0</v>
      </c>
      <c r="I560" s="171">
        <v>100.0</v>
      </c>
      <c r="J560" s="172">
        <f t="shared" si="29"/>
        <v>0.001603678348</v>
      </c>
      <c r="K560" s="173">
        <f t="shared" si="30"/>
        <v>1.924414018</v>
      </c>
      <c r="L560" s="174">
        <f t="shared" si="4"/>
        <v>5.893070738</v>
      </c>
      <c r="M560" s="175" t="str">
        <f t="shared" si="5"/>
        <v>markop</v>
      </c>
      <c r="N560" s="176">
        <f>IFERROR(__xludf.DUMMYFUNCTION("""COMPUTED_VALUE"""),8.0)</f>
        <v>8</v>
      </c>
      <c r="O560" s="176"/>
      <c r="P560" s="165" t="s">
        <v>486</v>
      </c>
      <c r="Q560" s="165" t="s">
        <v>20</v>
      </c>
      <c r="R560" s="176"/>
      <c r="S560" s="176"/>
      <c r="T560" s="176"/>
      <c r="U560" s="176"/>
      <c r="V560" s="176"/>
      <c r="W560" s="176"/>
      <c r="X560" s="176"/>
      <c r="Y560" s="176"/>
      <c r="Z560" s="176"/>
      <c r="AA560" s="176"/>
    </row>
    <row r="561">
      <c r="A561" s="165" t="str">
        <f>iferror(VLOOKUP(P561,'DO NOT TOUCH Imported'!$A$1:$D$800,4,False),iferror(VLOOKUP(P561,'DO NOT TOUCH Imported'!$C$1:$D$800,2,False),"OOPS FIX ME"))</f>
        <v>markop</v>
      </c>
      <c r="B561" s="165" t="s">
        <v>486</v>
      </c>
      <c r="C561" s="170" t="s">
        <v>1126</v>
      </c>
      <c r="D561" s="236" t="s">
        <v>437</v>
      </c>
      <c r="E561" s="239">
        <v>44301.0</v>
      </c>
      <c r="F561" s="170" t="s">
        <v>439</v>
      </c>
      <c r="G561" s="170">
        <v>5000.0</v>
      </c>
      <c r="H561" s="171">
        <v>100.0</v>
      </c>
      <c r="I561" s="171">
        <v>100.0</v>
      </c>
      <c r="J561" s="172">
        <f t="shared" si="29"/>
        <v>0.001603678348</v>
      </c>
      <c r="K561" s="173">
        <f t="shared" si="30"/>
        <v>1.924414018</v>
      </c>
      <c r="L561" s="174">
        <f t="shared" si="4"/>
        <v>5.893070738</v>
      </c>
      <c r="M561" s="175" t="str">
        <f t="shared" si="5"/>
        <v>markop</v>
      </c>
      <c r="N561" s="176">
        <f>IFERROR(__xludf.DUMMYFUNCTION("""COMPUTED_VALUE"""),9.0)</f>
        <v>9</v>
      </c>
      <c r="O561" s="176"/>
      <c r="P561" s="165" t="s">
        <v>486</v>
      </c>
      <c r="Q561" s="165" t="s">
        <v>486</v>
      </c>
      <c r="R561" s="176"/>
      <c r="S561" s="176"/>
      <c r="T561" s="176"/>
      <c r="U561" s="176"/>
      <c r="V561" s="176"/>
      <c r="W561" s="176"/>
      <c r="X561" s="176"/>
      <c r="Y561" s="176"/>
      <c r="Z561" s="176"/>
      <c r="AA561" s="176"/>
    </row>
    <row r="562">
      <c r="A562" s="165" t="str">
        <f>iferror(VLOOKUP(P562,'DO NOT TOUCH Imported'!$A$1:$D$800,4,False),iferror(VLOOKUP(P562,'DO NOT TOUCH Imported'!$C$1:$D$800,2,False),"OOPS FIX ME"))</f>
        <v>markop</v>
      </c>
      <c r="B562" s="165" t="s">
        <v>441</v>
      </c>
      <c r="C562" s="170" t="s">
        <v>990</v>
      </c>
      <c r="D562" s="236" t="s">
        <v>437</v>
      </c>
      <c r="E562" s="237">
        <v>44309.0</v>
      </c>
      <c r="F562" s="170" t="s">
        <v>439</v>
      </c>
      <c r="G562" s="170">
        <v>5000.0</v>
      </c>
      <c r="H562" s="171">
        <v>100.0</v>
      </c>
      <c r="I562" s="171">
        <v>100.0</v>
      </c>
      <c r="J562" s="172">
        <f t="shared" si="29"/>
        <v>0.001603678348</v>
      </c>
      <c r="K562" s="173">
        <f t="shared" si="30"/>
        <v>1.924414018</v>
      </c>
      <c r="L562" s="174">
        <f t="shared" si="4"/>
        <v>5.893070738</v>
      </c>
      <c r="M562" s="175" t="str">
        <f t="shared" si="5"/>
        <v>markop</v>
      </c>
      <c r="N562" s="176">
        <f>IFERROR(__xludf.DUMMYFUNCTION("""COMPUTED_VALUE"""),10.0)</f>
        <v>10</v>
      </c>
      <c r="O562" s="176"/>
      <c r="P562" s="165" t="s">
        <v>486</v>
      </c>
      <c r="Q562" s="165" t="s">
        <v>441</v>
      </c>
      <c r="R562" s="176"/>
      <c r="S562" s="176"/>
      <c r="T562" s="176"/>
      <c r="U562" s="176"/>
      <c r="V562" s="176"/>
      <c r="W562" s="176"/>
      <c r="X562" s="176"/>
      <c r="Y562" s="176"/>
      <c r="Z562" s="176"/>
      <c r="AA562" s="176"/>
    </row>
    <row r="563">
      <c r="A563" s="165" t="str">
        <f>iferror(VLOOKUP(P563,'DO NOT TOUCH Imported'!$A$1:$D$800,4,False),iferror(VLOOKUP(P563,'DO NOT TOUCH Imported'!$C$1:$D$800,2,False),"OOPS FIX ME"))</f>
        <v>markop</v>
      </c>
      <c r="B563" s="165" t="s">
        <v>441</v>
      </c>
      <c r="C563" s="170" t="s">
        <v>1041</v>
      </c>
      <c r="D563" s="236" t="s">
        <v>437</v>
      </c>
      <c r="E563" s="237">
        <v>44302.0</v>
      </c>
      <c r="F563" s="170" t="s">
        <v>439</v>
      </c>
      <c r="G563" s="170">
        <v>5000.0</v>
      </c>
      <c r="H563" s="171">
        <v>50.0</v>
      </c>
      <c r="I563" s="171">
        <v>150.0</v>
      </c>
      <c r="J563" s="172">
        <f t="shared" si="29"/>
        <v>0.00160003179</v>
      </c>
      <c r="K563" s="173">
        <f t="shared" si="30"/>
        <v>1.920038148</v>
      </c>
      <c r="L563" s="174">
        <f t="shared" si="4"/>
        <v>5.893070738</v>
      </c>
      <c r="M563" s="175" t="str">
        <f t="shared" si="5"/>
        <v>markop</v>
      </c>
      <c r="N563" s="176">
        <f>IFERROR(__xludf.DUMMYFUNCTION("""COMPUTED_VALUE"""),11.0)</f>
        <v>11</v>
      </c>
      <c r="O563" s="176"/>
      <c r="P563" s="165" t="s">
        <v>486</v>
      </c>
      <c r="Q563" s="165" t="s">
        <v>441</v>
      </c>
      <c r="R563" s="176"/>
      <c r="S563" s="176"/>
      <c r="T563" s="176"/>
      <c r="U563" s="176"/>
      <c r="V563" s="176"/>
      <c r="W563" s="176"/>
      <c r="X563" s="176"/>
      <c r="Y563" s="176"/>
      <c r="Z563" s="176"/>
      <c r="AA563" s="176"/>
    </row>
    <row r="564">
      <c r="A564" s="165" t="str">
        <f>iferror(VLOOKUP(P564,'DO NOT TOUCH Imported'!$A$1:$D$800,4,False),iferror(VLOOKUP(P564,'DO NOT TOUCH Imported'!$C$1:$D$800,2,False),"OOPS FIX ME"))</f>
        <v>markop</v>
      </c>
      <c r="B564" s="165" t="s">
        <v>10</v>
      </c>
      <c r="C564" s="170" t="s">
        <v>936</v>
      </c>
      <c r="D564" s="236" t="s">
        <v>495</v>
      </c>
      <c r="E564" s="237">
        <v>44309.0</v>
      </c>
      <c r="F564" s="170" t="s">
        <v>496</v>
      </c>
      <c r="G564" s="170">
        <v>2000.0</v>
      </c>
      <c r="H564" s="171">
        <v>100.0</v>
      </c>
      <c r="I564" s="171">
        <v>150.0</v>
      </c>
      <c r="J564" s="172">
        <f t="shared" si="29"/>
        <v>0.001374819573</v>
      </c>
      <c r="K564" s="173">
        <f t="shared" si="30"/>
        <v>1.649783488</v>
      </c>
      <c r="L564" s="174">
        <f t="shared" si="4"/>
        <v>5.893070738</v>
      </c>
      <c r="M564" s="175" t="str">
        <f t="shared" si="5"/>
        <v>markop</v>
      </c>
      <c r="N564" s="176">
        <f>IFERROR(__xludf.DUMMYFUNCTION("""COMPUTED_VALUE"""),12.0)</f>
        <v>12</v>
      </c>
      <c r="O564" s="176"/>
      <c r="P564" s="165" t="s">
        <v>43</v>
      </c>
      <c r="Q564" s="165" t="s">
        <v>10</v>
      </c>
      <c r="R564" s="176"/>
      <c r="S564" s="176"/>
      <c r="T564" s="176"/>
      <c r="U564" s="176"/>
      <c r="V564" s="176"/>
      <c r="W564" s="176"/>
      <c r="X564" s="176"/>
      <c r="Y564" s="176"/>
      <c r="Z564" s="176"/>
      <c r="AA564" s="176"/>
    </row>
    <row r="565">
      <c r="A565" s="165" t="str">
        <f>iferror(VLOOKUP(P565,'DO NOT TOUCH Imported'!$A$1:$D$800,4,False),iferror(VLOOKUP(P565,'DO NOT TOUCH Imported'!$C$1:$D$800,2,False),"OOPS FIX ME"))</f>
        <v>markop</v>
      </c>
      <c r="B565" s="165" t="s">
        <v>45</v>
      </c>
      <c r="C565" s="170" t="s">
        <v>993</v>
      </c>
      <c r="D565" s="236" t="s">
        <v>499</v>
      </c>
      <c r="E565" s="237">
        <v>44308.0</v>
      </c>
      <c r="F565" s="170" t="s">
        <v>503</v>
      </c>
      <c r="G565" s="170">
        <v>2000.0</v>
      </c>
      <c r="H565" s="171">
        <v>100.0</v>
      </c>
      <c r="I565" s="171">
        <v>100.0</v>
      </c>
      <c r="J565" s="172">
        <f t="shared" si="29"/>
        <v>0.001160415937</v>
      </c>
      <c r="K565" s="173">
        <f t="shared" si="30"/>
        <v>1.392499125</v>
      </c>
      <c r="L565" s="174">
        <f t="shared" si="4"/>
        <v>5.893070738</v>
      </c>
      <c r="M565" s="175" t="str">
        <f t="shared" si="5"/>
        <v>markop</v>
      </c>
      <c r="N565" s="176">
        <f>IFERROR(__xludf.DUMMYFUNCTION("""COMPUTED_VALUE"""),13.0)</f>
        <v>13</v>
      </c>
      <c r="O565" s="176"/>
      <c r="P565" s="165" t="s">
        <v>486</v>
      </c>
      <c r="Q565" s="165" t="s">
        <v>45</v>
      </c>
      <c r="R565" s="176"/>
      <c r="S565" s="176"/>
      <c r="T565" s="176"/>
      <c r="U565" s="176"/>
      <c r="V565" s="176"/>
      <c r="W565" s="176"/>
      <c r="X565" s="176"/>
      <c r="Y565" s="176"/>
      <c r="Z565" s="176"/>
      <c r="AA565" s="176"/>
    </row>
    <row r="566">
      <c r="A566" s="165" t="str">
        <f>iferror(VLOOKUP(P566,'DO NOT TOUCH Imported'!$A$1:$D$800,4,False),iferror(VLOOKUP(P566,'DO NOT TOUCH Imported'!$C$1:$D$800,2,False),"OOPS FIX ME"))</f>
        <v>markop</v>
      </c>
      <c r="B566" s="165" t="s">
        <v>490</v>
      </c>
      <c r="C566" s="170" t="s">
        <v>897</v>
      </c>
      <c r="D566" s="236" t="s">
        <v>437</v>
      </c>
      <c r="E566" s="237">
        <v>44309.0</v>
      </c>
      <c r="F566" s="170" t="s">
        <v>439</v>
      </c>
      <c r="G566" s="170">
        <v>1500.0</v>
      </c>
      <c r="H566" s="171">
        <v>100.0</v>
      </c>
      <c r="I566" s="171">
        <v>100.0</v>
      </c>
      <c r="J566" s="172">
        <f t="shared" si="29"/>
        <v>0.001086538869</v>
      </c>
      <c r="K566" s="173">
        <f t="shared" si="30"/>
        <v>1.303846642</v>
      </c>
      <c r="L566" s="174">
        <f t="shared" si="4"/>
        <v>5.893070738</v>
      </c>
      <c r="M566" s="175" t="str">
        <f t="shared" si="5"/>
        <v>markop</v>
      </c>
      <c r="N566" s="176">
        <f>IFERROR(__xludf.DUMMYFUNCTION("""COMPUTED_VALUE"""),14.0)</f>
        <v>14</v>
      </c>
      <c r="O566" s="176"/>
      <c r="P566" s="165" t="s">
        <v>486</v>
      </c>
      <c r="Q566" s="165" t="s">
        <v>490</v>
      </c>
      <c r="R566" s="176"/>
      <c r="S566" s="176"/>
      <c r="T566" s="176"/>
      <c r="U566" s="176"/>
      <c r="V566" s="176"/>
      <c r="W566" s="176"/>
      <c r="X566" s="176"/>
      <c r="Y566" s="176"/>
      <c r="Z566" s="176"/>
      <c r="AA566" s="176"/>
    </row>
    <row r="567">
      <c r="A567" s="165" t="str">
        <f>iferror(VLOOKUP(P567,'DO NOT TOUCH Imported'!$A$1:$D$800,4,False),iferror(VLOOKUP(P567,'DO NOT TOUCH Imported'!$C$1:$D$800,2,False),"OOPS FIX ME"))</f>
        <v>markop</v>
      </c>
      <c r="B567" s="165" t="s">
        <v>67</v>
      </c>
      <c r="C567" s="170" t="s">
        <v>1127</v>
      </c>
      <c r="D567" s="236" t="s">
        <v>437</v>
      </c>
      <c r="E567" s="239">
        <v>44301.0</v>
      </c>
      <c r="F567" s="170" t="s">
        <v>439</v>
      </c>
      <c r="G567" s="170">
        <v>1000.0</v>
      </c>
      <c r="H567" s="171">
        <v>100.0</v>
      </c>
      <c r="I567" s="171">
        <v>100.0</v>
      </c>
      <c r="J567" s="172">
        <f t="shared" si="29"/>
        <v>0.0010126618</v>
      </c>
      <c r="K567" s="173">
        <f t="shared" si="30"/>
        <v>1.21519416</v>
      </c>
      <c r="L567" s="174">
        <f t="shared" si="4"/>
        <v>5.893070738</v>
      </c>
      <c r="M567" s="175" t="str">
        <f t="shared" si="5"/>
        <v>markop</v>
      </c>
      <c r="N567" s="176">
        <f>IFERROR(__xludf.DUMMYFUNCTION("""COMPUTED_VALUE"""),15.0)</f>
        <v>15</v>
      </c>
      <c r="O567" s="176"/>
      <c r="P567" s="165" t="s">
        <v>486</v>
      </c>
      <c r="Q567" s="165" t="s">
        <v>67</v>
      </c>
      <c r="R567" s="176"/>
      <c r="S567" s="176"/>
      <c r="T567" s="176"/>
      <c r="U567" s="176"/>
      <c r="V567" s="176"/>
      <c r="W567" s="176"/>
      <c r="X567" s="176"/>
      <c r="Y567" s="176"/>
      <c r="Z567" s="176"/>
      <c r="AA567" s="176"/>
    </row>
    <row r="568">
      <c r="A568" s="165" t="str">
        <f>iferror(VLOOKUP(P568,'DO NOT TOUCH Imported'!$A$1:$D$800,4,False),iferror(VLOOKUP(P568,'DO NOT TOUCH Imported'!$C$1:$D$800,2,False),"OOPS FIX ME"))</f>
        <v>markop</v>
      </c>
      <c r="B568" s="165" t="s">
        <v>441</v>
      </c>
      <c r="C568" s="170" t="s">
        <v>1128</v>
      </c>
      <c r="D568" s="236" t="s">
        <v>437</v>
      </c>
      <c r="E568" s="237">
        <v>44309.0</v>
      </c>
      <c r="F568" s="170" t="s">
        <v>439</v>
      </c>
      <c r="G568" s="170">
        <v>1000.0</v>
      </c>
      <c r="H568" s="171">
        <v>100.0</v>
      </c>
      <c r="I568" s="171">
        <v>100.0</v>
      </c>
      <c r="J568" s="172">
        <f t="shared" si="29"/>
        <v>0.0010126618</v>
      </c>
      <c r="K568" s="173">
        <f t="shared" si="30"/>
        <v>1.21519416</v>
      </c>
      <c r="L568" s="174">
        <f t="shared" si="4"/>
        <v>5.893070738</v>
      </c>
      <c r="M568" s="175" t="str">
        <f t="shared" si="5"/>
        <v>markop</v>
      </c>
      <c r="N568" s="176">
        <f>IFERROR(__xludf.DUMMYFUNCTION("""COMPUTED_VALUE"""),16.0)</f>
        <v>16</v>
      </c>
      <c r="O568" s="176"/>
      <c r="P568" s="165" t="s">
        <v>486</v>
      </c>
      <c r="Q568" s="165" t="s">
        <v>441</v>
      </c>
      <c r="R568" s="176"/>
      <c r="S568" s="176"/>
      <c r="T568" s="176"/>
      <c r="U568" s="176"/>
      <c r="V568" s="176"/>
      <c r="W568" s="176"/>
      <c r="X568" s="176"/>
      <c r="Y568" s="176"/>
      <c r="Z568" s="176"/>
      <c r="AA568" s="176"/>
    </row>
    <row r="569">
      <c r="A569" s="165" t="str">
        <f>iferror(VLOOKUP(P569,'DO NOT TOUCH Imported'!$A$1:$D$800,4,False),iferror(VLOOKUP(P569,'DO NOT TOUCH Imported'!$C$1:$D$800,2,False),"OOPS FIX ME"))</f>
        <v>markop</v>
      </c>
      <c r="B569" s="165" t="s">
        <v>490</v>
      </c>
      <c r="C569" s="170" t="s">
        <v>980</v>
      </c>
      <c r="D569" s="236" t="s">
        <v>437</v>
      </c>
      <c r="E569" s="239">
        <v>44309.0</v>
      </c>
      <c r="F569" s="170" t="s">
        <v>439</v>
      </c>
      <c r="G569" s="170">
        <v>1000.0</v>
      </c>
      <c r="H569" s="171">
        <v>80.0</v>
      </c>
      <c r="I569" s="171">
        <v>100.0</v>
      </c>
      <c r="J569" s="172">
        <f t="shared" si="29"/>
        <v>0.0009254417219</v>
      </c>
      <c r="K569" s="173">
        <f t="shared" si="30"/>
        <v>1.110530066</v>
      </c>
      <c r="L569" s="174">
        <f t="shared" si="4"/>
        <v>5.893070738</v>
      </c>
      <c r="M569" s="175" t="str">
        <f t="shared" si="5"/>
        <v>markop</v>
      </c>
      <c r="N569" s="176">
        <f>IFERROR(__xludf.DUMMYFUNCTION("""COMPUTED_VALUE"""),17.0)</f>
        <v>17</v>
      </c>
      <c r="O569" s="176"/>
      <c r="P569" s="165" t="s">
        <v>486</v>
      </c>
      <c r="Q569" s="165" t="s">
        <v>490</v>
      </c>
      <c r="R569" s="176"/>
      <c r="S569" s="176"/>
      <c r="T569" s="176"/>
      <c r="U569" s="176"/>
      <c r="V569" s="176"/>
      <c r="W569" s="176"/>
      <c r="X569" s="176"/>
      <c r="Y569" s="176"/>
      <c r="Z569" s="176"/>
      <c r="AA569" s="176"/>
    </row>
    <row r="570">
      <c r="A570" s="165" t="str">
        <f>iferror(VLOOKUP(P570,'DO NOT TOUCH Imported'!$A$1:$D$800,4,False),iferror(VLOOKUP(P570,'DO NOT TOUCH Imported'!$C$1:$D$800,2,False),"OOPS FIX ME"))</f>
        <v>markop</v>
      </c>
      <c r="B570" s="165" t="s">
        <v>483</v>
      </c>
      <c r="C570" s="170" t="s">
        <v>1129</v>
      </c>
      <c r="D570" s="236" t="s">
        <v>437</v>
      </c>
      <c r="E570" s="239">
        <v>44306.0</v>
      </c>
      <c r="F570" s="170" t="s">
        <v>439</v>
      </c>
      <c r="G570" s="170">
        <v>2000.0</v>
      </c>
      <c r="H570" s="171">
        <v>100.0</v>
      </c>
      <c r="I570" s="171">
        <v>50.0</v>
      </c>
      <c r="J570" s="172">
        <f t="shared" si="29"/>
        <v>0.0009460123008</v>
      </c>
      <c r="K570" s="173">
        <f t="shared" si="30"/>
        <v>1.135214761</v>
      </c>
      <c r="L570" s="174">
        <f t="shared" si="4"/>
        <v>5.893070738</v>
      </c>
      <c r="M570" s="175" t="str">
        <f t="shared" si="5"/>
        <v>markop</v>
      </c>
      <c r="N570" s="176">
        <f>IFERROR(__xludf.DUMMYFUNCTION("""COMPUTED_VALUE"""),18.0)</f>
        <v>18</v>
      </c>
      <c r="O570" s="176"/>
      <c r="P570" s="165" t="s">
        <v>486</v>
      </c>
      <c r="Q570" s="165" t="s">
        <v>483</v>
      </c>
      <c r="R570" s="176"/>
      <c r="S570" s="176"/>
      <c r="T570" s="176"/>
      <c r="U570" s="176"/>
      <c r="V570" s="176"/>
      <c r="W570" s="176"/>
      <c r="X570" s="176"/>
      <c r="Y570" s="176"/>
      <c r="Z570" s="176"/>
      <c r="AA570" s="176"/>
    </row>
    <row r="571">
      <c r="A571" s="165" t="str">
        <f>iferror(VLOOKUP(P571,'DO NOT TOUCH Imported'!$A$1:$D$800,4,False),iferror(VLOOKUP(P571,'DO NOT TOUCH Imported'!$C$1:$D$800,2,False),"OOPS FIX ME"))</f>
        <v>markop</v>
      </c>
      <c r="B571" s="165" t="s">
        <v>441</v>
      </c>
      <c r="C571" s="170" t="s">
        <v>1130</v>
      </c>
      <c r="D571" s="236" t="s">
        <v>437</v>
      </c>
      <c r="E571" s="239">
        <v>44309.0</v>
      </c>
      <c r="F571" s="170" t="s">
        <v>439</v>
      </c>
      <c r="G571" s="170">
        <v>1000.0</v>
      </c>
      <c r="H571" s="171">
        <v>70.0</v>
      </c>
      <c r="I571" s="171">
        <v>100.0</v>
      </c>
      <c r="J571" s="172">
        <f t="shared" si="29"/>
        <v>0.0008818316829</v>
      </c>
      <c r="K571" s="173">
        <f t="shared" si="30"/>
        <v>1.058198019</v>
      </c>
      <c r="L571" s="174">
        <f t="shared" si="4"/>
        <v>5.893070738</v>
      </c>
      <c r="M571" s="175" t="str">
        <f t="shared" si="5"/>
        <v>markop</v>
      </c>
      <c r="N571" s="176">
        <f>IFERROR(__xludf.DUMMYFUNCTION("""COMPUTED_VALUE"""),19.0)</f>
        <v>19</v>
      </c>
      <c r="O571" s="176"/>
      <c r="P571" s="165" t="s">
        <v>486</v>
      </c>
      <c r="Q571" s="165" t="s">
        <v>441</v>
      </c>
      <c r="R571" s="176"/>
      <c r="S571" s="176"/>
      <c r="T571" s="176"/>
      <c r="U571" s="176"/>
      <c r="V571" s="176"/>
      <c r="W571" s="176"/>
      <c r="X571" s="176"/>
      <c r="Y571" s="176"/>
      <c r="Z571" s="176"/>
      <c r="AA571" s="176"/>
    </row>
    <row r="572">
      <c r="A572" s="165" t="str">
        <f>iferror(VLOOKUP(P572,'DO NOT TOUCH Imported'!$A$1:$D$800,4,False),iferror(VLOOKUP(P572,'DO NOT TOUCH Imported'!$C$1:$D$800,2,False),"OOPS FIX ME"))</f>
        <v>markop</v>
      </c>
      <c r="B572" s="165" t="s">
        <v>441</v>
      </c>
      <c r="C572" s="170" t="s">
        <v>906</v>
      </c>
      <c r="D572" s="236" t="s">
        <v>437</v>
      </c>
      <c r="E572" s="237">
        <v>44309.0</v>
      </c>
      <c r="F572" s="170" t="s">
        <v>439</v>
      </c>
      <c r="G572" s="170">
        <v>1000.0</v>
      </c>
      <c r="H572" s="171">
        <v>60.0</v>
      </c>
      <c r="I572" s="171">
        <v>100.0</v>
      </c>
      <c r="J572" s="172">
        <f t="shared" si="29"/>
        <v>0.0008382216439</v>
      </c>
      <c r="K572" s="173">
        <f t="shared" si="30"/>
        <v>1.005865973</v>
      </c>
      <c r="L572" s="174">
        <f t="shared" si="4"/>
        <v>5.893070738</v>
      </c>
      <c r="M572" s="175" t="str">
        <f t="shared" si="5"/>
        <v>markop</v>
      </c>
      <c r="N572" s="176">
        <f>IFERROR(__xludf.DUMMYFUNCTION("""COMPUTED_VALUE"""),20.0)</f>
        <v>20</v>
      </c>
      <c r="O572" s="176"/>
      <c r="P572" s="165" t="s">
        <v>486</v>
      </c>
      <c r="Q572" s="165" t="s">
        <v>441</v>
      </c>
      <c r="R572" s="176"/>
      <c r="S572" s="176"/>
      <c r="T572" s="176"/>
      <c r="U572" s="176"/>
      <c r="V572" s="176"/>
      <c r="W572" s="176"/>
      <c r="X572" s="176"/>
      <c r="Y572" s="176"/>
      <c r="Z572" s="176"/>
      <c r="AA572" s="176"/>
    </row>
    <row r="573">
      <c r="A573" s="165" t="str">
        <f>iferror(VLOOKUP(P573,'DO NOT TOUCH Imported'!$A$1:$D$800,4,False),iferror(VLOOKUP(P573,'DO NOT TOUCH Imported'!$C$1:$D$800,2,False),"OOPS FIX ME"))</f>
        <v>markop</v>
      </c>
      <c r="B573" s="165" t="s">
        <v>486</v>
      </c>
      <c r="C573" s="170" t="s">
        <v>1131</v>
      </c>
      <c r="D573" s="236" t="s">
        <v>437</v>
      </c>
      <c r="E573" s="239">
        <v>44305.0</v>
      </c>
      <c r="F573" s="170" t="s">
        <v>439</v>
      </c>
      <c r="G573" s="170">
        <v>1000.0</v>
      </c>
      <c r="H573" s="171">
        <v>100.0</v>
      </c>
      <c r="I573" s="171">
        <v>50.0</v>
      </c>
      <c r="J573" s="172">
        <f t="shared" si="29"/>
        <v>0.0007982581637</v>
      </c>
      <c r="K573" s="173">
        <f t="shared" si="30"/>
        <v>0.9579097965</v>
      </c>
      <c r="L573" s="174">
        <f t="shared" si="4"/>
        <v>5.893070738</v>
      </c>
      <c r="M573" s="175" t="str">
        <f t="shared" si="5"/>
        <v>markop</v>
      </c>
      <c r="N573" s="176">
        <f>IFERROR(__xludf.DUMMYFUNCTION("""COMPUTED_VALUE"""),21.0)</f>
        <v>21</v>
      </c>
      <c r="O573" s="176"/>
      <c r="P573" s="165" t="s">
        <v>486</v>
      </c>
      <c r="Q573" s="165" t="s">
        <v>486</v>
      </c>
      <c r="R573" s="176"/>
      <c r="S573" s="176"/>
      <c r="T573" s="176"/>
      <c r="U573" s="176"/>
      <c r="V573" s="176"/>
      <c r="W573" s="176"/>
      <c r="X573" s="176"/>
      <c r="Y573" s="176"/>
      <c r="Z573" s="176"/>
      <c r="AA573" s="176"/>
    </row>
    <row r="574">
      <c r="A574" s="165" t="str">
        <f>iferror(VLOOKUP(P574,'DO NOT TOUCH Imported'!$A$1:$D$800,4,False),iferror(VLOOKUP(P574,'DO NOT TOUCH Imported'!$C$1:$D$800,2,False),"OOPS FIX ME"))</f>
        <v>markop</v>
      </c>
      <c r="B574" s="165" t="s">
        <v>519</v>
      </c>
      <c r="C574" s="170" t="s">
        <v>668</v>
      </c>
      <c r="D574" s="236" t="s">
        <v>495</v>
      </c>
      <c r="E574" s="237">
        <v>44307.0</v>
      </c>
      <c r="F574" s="170" t="s">
        <v>521</v>
      </c>
      <c r="G574" s="170">
        <v>2500.0</v>
      </c>
      <c r="H574" s="171">
        <v>50.0</v>
      </c>
      <c r="I574" s="171">
        <v>50.0</v>
      </c>
      <c r="J574" s="172">
        <f t="shared" si="29"/>
        <v>0.0008018391742</v>
      </c>
      <c r="K574" s="173">
        <f t="shared" si="30"/>
        <v>0.9622070091</v>
      </c>
      <c r="L574" s="174">
        <f t="shared" si="4"/>
        <v>5.893070738</v>
      </c>
      <c r="M574" s="175" t="str">
        <f t="shared" si="5"/>
        <v>markop</v>
      </c>
      <c r="N574" s="176">
        <f>IFERROR(__xludf.DUMMYFUNCTION("""COMPUTED_VALUE"""),22.0)</f>
        <v>22</v>
      </c>
      <c r="O574" s="176"/>
      <c r="P574" s="165" t="s">
        <v>43</v>
      </c>
      <c r="Q574" s="165" t="s">
        <v>519</v>
      </c>
      <c r="R574" s="176"/>
      <c r="S574" s="176"/>
      <c r="T574" s="176"/>
      <c r="U574" s="176"/>
      <c r="V574" s="176"/>
      <c r="W574" s="176"/>
      <c r="X574" s="176"/>
      <c r="Y574" s="176"/>
      <c r="Z574" s="176"/>
      <c r="AA574" s="176"/>
    </row>
    <row r="575">
      <c r="A575" s="165" t="str">
        <f>iferror(VLOOKUP(P575,'DO NOT TOUCH Imported'!$A$1:$D$800,4,False),iferror(VLOOKUP(P575,'DO NOT TOUCH Imported'!$C$1:$D$800,2,False),"OOPS FIX ME"))</f>
        <v>markop</v>
      </c>
      <c r="B575" s="165" t="s">
        <v>440</v>
      </c>
      <c r="C575" s="170" t="s">
        <v>916</v>
      </c>
      <c r="D575" s="236" t="s">
        <v>437</v>
      </c>
      <c r="E575" s="239">
        <v>44300.0</v>
      </c>
      <c r="F575" s="170" t="s">
        <v>439</v>
      </c>
      <c r="G575" s="170">
        <v>1000.0</v>
      </c>
      <c r="H575" s="171">
        <v>60.0</v>
      </c>
      <c r="I575" s="171">
        <v>50.0</v>
      </c>
      <c r="J575" s="172">
        <f t="shared" si="29"/>
        <v>0.0006238180076</v>
      </c>
      <c r="K575" s="173">
        <f t="shared" si="30"/>
        <v>0.7485816091</v>
      </c>
      <c r="L575" s="174">
        <f t="shared" si="4"/>
        <v>5.893070738</v>
      </c>
      <c r="M575" s="175" t="str">
        <f t="shared" si="5"/>
        <v>markop</v>
      </c>
      <c r="N575" s="176">
        <f>IFERROR(__xludf.DUMMYFUNCTION("""COMPUTED_VALUE"""),23.0)</f>
        <v>23</v>
      </c>
      <c r="O575" s="176"/>
      <c r="P575" s="165" t="s">
        <v>486</v>
      </c>
      <c r="Q575" s="165" t="s">
        <v>440</v>
      </c>
      <c r="R575" s="176"/>
      <c r="S575" s="176"/>
      <c r="T575" s="176"/>
      <c r="U575" s="176"/>
      <c r="V575" s="176"/>
      <c r="W575" s="176"/>
      <c r="X575" s="176"/>
      <c r="Y575" s="176"/>
      <c r="Z575" s="176"/>
      <c r="AA575" s="176"/>
    </row>
    <row r="576">
      <c r="A576" s="165" t="str">
        <f>iferror(VLOOKUP(P576,'DO NOT TOUCH Imported'!$A$1:$D$800,4,False),iferror(VLOOKUP(P576,'DO NOT TOUCH Imported'!$C$1:$D$800,2,False),"OOPS FIX ME"))</f>
        <v>markop</v>
      </c>
      <c r="B576" s="165" t="s">
        <v>440</v>
      </c>
      <c r="C576" s="170" t="s">
        <v>917</v>
      </c>
      <c r="D576" s="236" t="s">
        <v>437</v>
      </c>
      <c r="E576" s="239">
        <v>44301.0</v>
      </c>
      <c r="F576" s="170" t="s">
        <v>439</v>
      </c>
      <c r="G576" s="170">
        <v>1000.0</v>
      </c>
      <c r="H576" s="171">
        <v>60.0</v>
      </c>
      <c r="I576" s="171">
        <v>50.0</v>
      </c>
      <c r="J576" s="172">
        <f t="shared" si="29"/>
        <v>0.0006238180076</v>
      </c>
      <c r="K576" s="173">
        <f t="shared" si="30"/>
        <v>0.7485816091</v>
      </c>
      <c r="L576" s="174">
        <f t="shared" si="4"/>
        <v>5.893070738</v>
      </c>
      <c r="M576" s="175" t="str">
        <f t="shared" si="5"/>
        <v>markop</v>
      </c>
      <c r="N576" s="176">
        <f>IFERROR(__xludf.DUMMYFUNCTION("""COMPUTED_VALUE"""),24.0)</f>
        <v>24</v>
      </c>
      <c r="O576" s="176"/>
      <c r="P576" s="165" t="s">
        <v>486</v>
      </c>
      <c r="Q576" s="165" t="s">
        <v>440</v>
      </c>
      <c r="R576" s="176"/>
      <c r="S576" s="176"/>
      <c r="T576" s="176"/>
      <c r="U576" s="176"/>
      <c r="V576" s="176"/>
      <c r="W576" s="176"/>
      <c r="X576" s="176"/>
      <c r="Y576" s="176"/>
      <c r="Z576" s="176"/>
      <c r="AA576" s="176"/>
    </row>
    <row r="577">
      <c r="A577" s="165" t="str">
        <f>iferror(VLOOKUP(P577,'DO NOT TOUCH Imported'!$A$1:$D$800,4,False),iferror(VLOOKUP(P577,'DO NOT TOUCH Imported'!$C$1:$D$800,2,False),"OOPS FIX ME"))</f>
        <v>markop</v>
      </c>
      <c r="B577" s="165" t="s">
        <v>486</v>
      </c>
      <c r="C577" s="170" t="s">
        <v>921</v>
      </c>
      <c r="D577" s="236" t="s">
        <v>437</v>
      </c>
      <c r="E577" s="237">
        <v>44306.0</v>
      </c>
      <c r="F577" s="170" t="s">
        <v>439</v>
      </c>
      <c r="G577" s="170">
        <v>1000.0</v>
      </c>
      <c r="H577" s="171">
        <v>60.0</v>
      </c>
      <c r="I577" s="171">
        <v>50.0</v>
      </c>
      <c r="J577" s="172">
        <f t="shared" si="29"/>
        <v>0.0006238180076</v>
      </c>
      <c r="K577" s="173">
        <f t="shared" si="30"/>
        <v>0.7485816091</v>
      </c>
      <c r="L577" s="174">
        <f t="shared" si="4"/>
        <v>5.893070738</v>
      </c>
      <c r="M577" s="175" t="str">
        <f t="shared" si="5"/>
        <v>markop</v>
      </c>
      <c r="N577" s="176">
        <f>IFERROR(__xludf.DUMMYFUNCTION("""COMPUTED_VALUE"""),25.0)</f>
        <v>25</v>
      </c>
      <c r="O577" s="176"/>
      <c r="P577" s="165" t="s">
        <v>486</v>
      </c>
      <c r="Q577" s="165" t="s">
        <v>486</v>
      </c>
      <c r="R577" s="176"/>
      <c r="S577" s="176"/>
      <c r="T577" s="176"/>
      <c r="U577" s="176"/>
      <c r="V577" s="176"/>
      <c r="W577" s="176"/>
      <c r="X577" s="176"/>
      <c r="Y577" s="176"/>
      <c r="Z577" s="176"/>
      <c r="AA577" s="176"/>
    </row>
    <row r="578">
      <c r="A578" s="165" t="str">
        <f>iferror(VLOOKUP(P578,'DO NOT TOUCH Imported'!$A$1:$D$800,4,False),iferror(VLOOKUP(P578,'DO NOT TOUCH Imported'!$C$1:$D$800,2,False),"OOPS FIX ME"))</f>
        <v>markop</v>
      </c>
      <c r="B578" s="165" t="s">
        <v>440</v>
      </c>
      <c r="C578" s="170" t="s">
        <v>922</v>
      </c>
      <c r="D578" s="236" t="s">
        <v>437</v>
      </c>
      <c r="E578" s="237">
        <v>44307.0</v>
      </c>
      <c r="F578" s="170" t="s">
        <v>439</v>
      </c>
      <c r="G578" s="170">
        <v>1000.0</v>
      </c>
      <c r="H578" s="171">
        <v>60.0</v>
      </c>
      <c r="I578" s="171">
        <v>50.0</v>
      </c>
      <c r="J578" s="172">
        <f t="shared" si="29"/>
        <v>0.0006238180076</v>
      </c>
      <c r="K578" s="173">
        <f t="shared" si="30"/>
        <v>0.7485816091</v>
      </c>
      <c r="L578" s="174">
        <f t="shared" si="4"/>
        <v>5.893070738</v>
      </c>
      <c r="M578" s="175" t="str">
        <f t="shared" si="5"/>
        <v>markop</v>
      </c>
      <c r="N578" s="176">
        <f>IFERROR(__xludf.DUMMYFUNCTION("""COMPUTED_VALUE"""),26.0)</f>
        <v>26</v>
      </c>
      <c r="O578" s="176"/>
      <c r="P578" s="165" t="s">
        <v>486</v>
      </c>
      <c r="Q578" s="165" t="s">
        <v>440</v>
      </c>
      <c r="R578" s="176"/>
      <c r="S578" s="176"/>
      <c r="T578" s="176"/>
      <c r="U578" s="176"/>
      <c r="V578" s="176"/>
      <c r="W578" s="176"/>
      <c r="X578" s="176"/>
      <c r="Y578" s="176"/>
      <c r="Z578" s="176"/>
      <c r="AA578" s="176"/>
    </row>
    <row r="579">
      <c r="A579" s="165" t="str">
        <f>iferror(VLOOKUP(P579,'DO NOT TOUCH Imported'!$A$1:$D$800,4,False),iferror(VLOOKUP(P579,'DO NOT TOUCH Imported'!$C$1:$D$800,2,False),"OOPS FIX ME"))</f>
        <v>markop</v>
      </c>
      <c r="B579" s="165" t="s">
        <v>486</v>
      </c>
      <c r="C579" s="170" t="s">
        <v>924</v>
      </c>
      <c r="D579" s="236" t="s">
        <v>437</v>
      </c>
      <c r="E579" s="237">
        <v>44299.0</v>
      </c>
      <c r="F579" s="170" t="s">
        <v>439</v>
      </c>
      <c r="G579" s="170">
        <v>1000.0</v>
      </c>
      <c r="H579" s="171">
        <v>50.0</v>
      </c>
      <c r="I579" s="171">
        <v>50.0</v>
      </c>
      <c r="J579" s="172">
        <f t="shared" si="29"/>
        <v>0.0005802079686</v>
      </c>
      <c r="K579" s="173">
        <f t="shared" si="30"/>
        <v>0.6962495623</v>
      </c>
      <c r="L579" s="174">
        <f t="shared" si="4"/>
        <v>5.893070738</v>
      </c>
      <c r="M579" s="175" t="str">
        <f t="shared" si="5"/>
        <v>markop</v>
      </c>
      <c r="N579" s="176">
        <f>IFERROR(__xludf.DUMMYFUNCTION("""COMPUTED_VALUE"""),27.0)</f>
        <v>27</v>
      </c>
      <c r="O579" s="176"/>
      <c r="P579" s="165" t="s">
        <v>486</v>
      </c>
      <c r="Q579" s="165" t="s">
        <v>486</v>
      </c>
      <c r="R579" s="176"/>
      <c r="S579" s="176"/>
      <c r="T579" s="176"/>
      <c r="U579" s="176"/>
      <c r="V579" s="176"/>
      <c r="W579" s="176"/>
      <c r="X579" s="176"/>
      <c r="Y579" s="176"/>
      <c r="Z579" s="176"/>
      <c r="AA579" s="176"/>
    </row>
    <row r="580">
      <c r="A580" s="165" t="str">
        <f>iferror(VLOOKUP(P580,'DO NOT TOUCH Imported'!$A$1:$D$800,4,False),iferror(VLOOKUP(P580,'DO NOT TOUCH Imported'!$C$1:$D$800,2,False),"OOPS FIX ME"))</f>
        <v>ludo_lb</v>
      </c>
      <c r="B580" s="165" t="s">
        <v>43</v>
      </c>
      <c r="C580" s="170" t="s">
        <v>1132</v>
      </c>
      <c r="D580" s="236" t="s">
        <v>495</v>
      </c>
      <c r="E580" s="239">
        <v>44299.0</v>
      </c>
      <c r="F580" s="170" t="s">
        <v>496</v>
      </c>
      <c r="G580" s="170">
        <v>24000.0</v>
      </c>
      <c r="H580" s="171">
        <v>100.0</v>
      </c>
      <c r="I580" s="171">
        <v>150.0</v>
      </c>
      <c r="J580" s="172">
        <f t="shared" si="29"/>
        <v>0.00462541059</v>
      </c>
      <c r="K580" s="173">
        <f t="shared" si="30"/>
        <v>5.550492708</v>
      </c>
      <c r="L580" s="174">
        <f t="shared" si="4"/>
        <v>5.550492708</v>
      </c>
      <c r="M580" s="175" t="str">
        <f t="shared" si="5"/>
        <v>ludo_lb</v>
      </c>
      <c r="N580" s="176">
        <f>IFERROR(__xludf.DUMMYFUNCTION("""COMPUTED_VALUE"""),1.0)</f>
        <v>1</v>
      </c>
      <c r="O580" s="176"/>
      <c r="P580" s="165" t="s">
        <v>91</v>
      </c>
      <c r="Q580" s="165" t="s">
        <v>43</v>
      </c>
      <c r="R580" s="176"/>
      <c r="S580" s="176"/>
      <c r="T580" s="176"/>
      <c r="U580" s="176"/>
      <c r="V580" s="176"/>
      <c r="W580" s="176"/>
      <c r="X580" s="176"/>
      <c r="Y580" s="176"/>
      <c r="Z580" s="176"/>
      <c r="AA580" s="176"/>
    </row>
    <row r="581">
      <c r="A581" s="185" t="str">
        <f>iferror(VLOOKUP(P581,'DO NOT TOUCH Imported'!$A$1:$D$800,4,False),iferror(VLOOKUP(P581,'DO NOT TOUCH Imported'!$C$1:$D$800,2,False),"OOPS FIX ME"))</f>
        <v>knobsDAO</v>
      </c>
      <c r="B581" s="185" t="s">
        <v>534</v>
      </c>
      <c r="C581" s="186" t="s">
        <v>684</v>
      </c>
      <c r="D581" s="187"/>
      <c r="E581" s="188"/>
      <c r="F581" s="189"/>
      <c r="G581" s="190"/>
      <c r="H581" s="190"/>
      <c r="I581" s="190"/>
      <c r="J581" s="172">
        <f>(H581/$H$2+I581/$I$2)/2</f>
        <v>0</v>
      </c>
      <c r="K581" s="192">
        <f>11.028*-0.5</f>
        <v>-5.514</v>
      </c>
      <c r="L581" s="193">
        <f t="shared" si="4"/>
        <v>5.513990374</v>
      </c>
      <c r="M581" s="194" t="str">
        <f t="shared" si="5"/>
        <v>knobsDAO</v>
      </c>
      <c r="N581" s="195">
        <f>IFERROR(__xludf.DUMMYFUNCTION("""COMPUTED_VALUE"""),1.0)</f>
        <v>1</v>
      </c>
      <c r="O581" s="195"/>
      <c r="P581" s="185" t="s">
        <v>49</v>
      </c>
      <c r="Q581" s="185" t="s">
        <v>534</v>
      </c>
      <c r="R581" s="195">
        <v>15.224018051145396</v>
      </c>
      <c r="S581" s="195"/>
      <c r="T581" s="195"/>
      <c r="U581" s="195"/>
      <c r="V581" s="195"/>
      <c r="W581" s="195"/>
      <c r="X581" s="195"/>
      <c r="Y581" s="195"/>
      <c r="Z581" s="195"/>
      <c r="AA581" s="176"/>
    </row>
    <row r="582">
      <c r="A582" s="165" t="str">
        <f>iferror(VLOOKUP(P582,'DO NOT TOUCH Imported'!$A$1:$D$800,4,False),iferror(VLOOKUP(P582,'DO NOT TOUCH Imported'!$C$1:$D$800,2,False),"OOPS FIX ME"))</f>
        <v>knobsDAO</v>
      </c>
      <c r="B582" s="165" t="s">
        <v>435</v>
      </c>
      <c r="C582" s="170" t="s">
        <v>1133</v>
      </c>
      <c r="D582" s="236" t="s">
        <v>499</v>
      </c>
      <c r="E582" s="237">
        <v>44306.0</v>
      </c>
      <c r="F582" s="170" t="s">
        <v>503</v>
      </c>
      <c r="G582" s="170">
        <v>5000.0</v>
      </c>
      <c r="H582" s="171">
        <v>250.0</v>
      </c>
      <c r="I582" s="171">
        <v>200.0</v>
      </c>
      <c r="J582" s="172">
        <f t="shared" ref="J582:J594" si="31">(G582/$G$2+H582/$H$2+I582/$I$2)/3</f>
        <v>0.002686636206</v>
      </c>
      <c r="K582" s="173">
        <f t="shared" ref="K582:K594" si="32">J582*$J$1</f>
        <v>3.223963448</v>
      </c>
      <c r="L582" s="174">
        <f t="shared" si="4"/>
        <v>5.513990374</v>
      </c>
      <c r="M582" s="175" t="str">
        <f t="shared" si="5"/>
        <v>knobsDAO</v>
      </c>
      <c r="N582" s="176">
        <f>IFERROR(__xludf.DUMMYFUNCTION("""COMPUTED_VALUE"""),2.0)</f>
        <v>2</v>
      </c>
      <c r="O582" s="176"/>
      <c r="P582" s="165" t="s">
        <v>768</v>
      </c>
      <c r="Q582" s="165" t="s">
        <v>435</v>
      </c>
      <c r="R582" s="176"/>
      <c r="S582" s="176"/>
      <c r="T582" s="176"/>
      <c r="U582" s="176"/>
      <c r="V582" s="176"/>
      <c r="W582" s="176"/>
      <c r="X582" s="176"/>
      <c r="Y582" s="176"/>
      <c r="Z582" s="176"/>
      <c r="AA582" s="176"/>
    </row>
    <row r="583">
      <c r="A583" s="165" t="str">
        <f>iferror(VLOOKUP(P583,'DO NOT TOUCH Imported'!$A$1:$D$800,4,False),iferror(VLOOKUP(P583,'DO NOT TOUCH Imported'!$C$1:$D$800,2,False),"OOPS FIX ME"))</f>
        <v>knobsDAO</v>
      </c>
      <c r="B583" s="165" t="s">
        <v>566</v>
      </c>
      <c r="C583" s="170" t="s">
        <v>1134</v>
      </c>
      <c r="D583" s="236" t="s">
        <v>499</v>
      </c>
      <c r="E583" s="237">
        <v>44307.0</v>
      </c>
      <c r="F583" s="170" t="s">
        <v>503</v>
      </c>
      <c r="G583" s="170">
        <v>2500.0</v>
      </c>
      <c r="H583" s="171">
        <v>100.0</v>
      </c>
      <c r="I583" s="171">
        <v>100.0</v>
      </c>
      <c r="J583" s="172">
        <f t="shared" si="31"/>
        <v>0.001234293006</v>
      </c>
      <c r="K583" s="173">
        <f t="shared" si="32"/>
        <v>1.481151607</v>
      </c>
      <c r="L583" s="174">
        <f t="shared" si="4"/>
        <v>5.513990374</v>
      </c>
      <c r="M583" s="175" t="str">
        <f t="shared" si="5"/>
        <v>knobsDAO</v>
      </c>
      <c r="N583" s="176">
        <f>IFERROR(__xludf.DUMMYFUNCTION("""COMPUTED_VALUE"""),3.0)</f>
        <v>3</v>
      </c>
      <c r="O583" s="176"/>
      <c r="P583" s="165" t="s">
        <v>768</v>
      </c>
      <c r="Q583" s="165" t="s">
        <v>566</v>
      </c>
      <c r="R583" s="176"/>
      <c r="S583" s="176"/>
      <c r="T583" s="176"/>
      <c r="U583" s="176"/>
      <c r="V583" s="176"/>
      <c r="W583" s="176"/>
      <c r="X583" s="176"/>
      <c r="Y583" s="176"/>
      <c r="Z583" s="176"/>
      <c r="AA583" s="176"/>
    </row>
    <row r="584">
      <c r="A584" s="165" t="str">
        <f>iferror(VLOOKUP(P584,'DO NOT TOUCH Imported'!$A$1:$D$800,4,False),iferror(VLOOKUP(P584,'DO NOT TOUCH Imported'!$C$1:$D$800,2,False),"OOPS FIX ME"))</f>
        <v>knobsDAO</v>
      </c>
      <c r="B584" s="165" t="s">
        <v>435</v>
      </c>
      <c r="C584" s="170" t="s">
        <v>974</v>
      </c>
      <c r="D584" s="236" t="s">
        <v>499</v>
      </c>
      <c r="E584" s="237">
        <v>44305.0</v>
      </c>
      <c r="F584" s="170" t="s">
        <v>503</v>
      </c>
      <c r="G584" s="170">
        <v>2000.0</v>
      </c>
      <c r="H584" s="171">
        <v>100.0</v>
      </c>
      <c r="I584" s="171">
        <v>100.0</v>
      </c>
      <c r="J584" s="172">
        <f t="shared" si="31"/>
        <v>0.001160415937</v>
      </c>
      <c r="K584" s="173">
        <f t="shared" si="32"/>
        <v>1.392499125</v>
      </c>
      <c r="L584" s="174">
        <f t="shared" si="4"/>
        <v>5.513990374</v>
      </c>
      <c r="M584" s="175" t="str">
        <f t="shared" si="5"/>
        <v>knobsDAO</v>
      </c>
      <c r="N584" s="176">
        <f>IFERROR(__xludf.DUMMYFUNCTION("""COMPUTED_VALUE"""),4.0)</f>
        <v>4</v>
      </c>
      <c r="O584" s="176"/>
      <c r="P584" s="165" t="s">
        <v>768</v>
      </c>
      <c r="Q584" s="165" t="s">
        <v>435</v>
      </c>
      <c r="R584" s="176"/>
      <c r="S584" s="176"/>
      <c r="T584" s="176"/>
      <c r="U584" s="176"/>
      <c r="V584" s="176"/>
      <c r="W584" s="176"/>
      <c r="X584" s="176"/>
      <c r="Y584" s="176"/>
      <c r="Z584" s="176"/>
      <c r="AA584" s="176"/>
    </row>
    <row r="585">
      <c r="A585" s="165" t="str">
        <f>iferror(VLOOKUP(P585,'DO NOT TOUCH Imported'!$A$1:$D$800,4,False),iferror(VLOOKUP(P585,'DO NOT TOUCH Imported'!$C$1:$D$800,2,False),"OOPS FIX ME"))</f>
        <v>knobsDAO</v>
      </c>
      <c r="B585" s="165" t="s">
        <v>463</v>
      </c>
      <c r="C585" s="170" t="s">
        <v>896</v>
      </c>
      <c r="D585" s="236" t="s">
        <v>437</v>
      </c>
      <c r="E585" s="237">
        <v>44305.0</v>
      </c>
      <c r="F585" s="170" t="s">
        <v>439</v>
      </c>
      <c r="G585" s="170">
        <v>5000.0</v>
      </c>
      <c r="H585" s="171">
        <v>60.0</v>
      </c>
      <c r="I585" s="171">
        <v>50.0</v>
      </c>
      <c r="J585" s="172">
        <f t="shared" si="31"/>
        <v>0.001214834556</v>
      </c>
      <c r="K585" s="173">
        <f t="shared" si="32"/>
        <v>1.457801467</v>
      </c>
      <c r="L585" s="174">
        <f t="shared" si="4"/>
        <v>5.513990374</v>
      </c>
      <c r="M585" s="175" t="str">
        <f t="shared" si="5"/>
        <v>knobsDAO</v>
      </c>
      <c r="N585" s="176">
        <f>IFERROR(__xludf.DUMMYFUNCTION("""COMPUTED_VALUE"""),5.0)</f>
        <v>5</v>
      </c>
      <c r="O585" s="176"/>
      <c r="P585" s="165" t="s">
        <v>768</v>
      </c>
      <c r="Q585" s="165" t="s">
        <v>463</v>
      </c>
      <c r="R585" s="176"/>
      <c r="S585" s="176"/>
      <c r="T585" s="176"/>
      <c r="U585" s="176"/>
      <c r="V585" s="176"/>
      <c r="W585" s="176"/>
      <c r="X585" s="176"/>
      <c r="Y585" s="176"/>
      <c r="Z585" s="176"/>
      <c r="AA585" s="176"/>
    </row>
    <row r="586">
      <c r="A586" s="165" t="str">
        <f>iferror(VLOOKUP(P586,'DO NOT TOUCH Imported'!$A$1:$D$800,4,False),iferror(VLOOKUP(P586,'DO NOT TOUCH Imported'!$C$1:$D$800,2,False),"OOPS FIX ME"))</f>
        <v>knobsDAO</v>
      </c>
      <c r="B586" s="165" t="s">
        <v>20</v>
      </c>
      <c r="C586" s="170" t="s">
        <v>1135</v>
      </c>
      <c r="D586" s="236" t="s">
        <v>499</v>
      </c>
      <c r="E586" s="239">
        <v>44308.0</v>
      </c>
      <c r="F586" s="170" t="s">
        <v>503</v>
      </c>
      <c r="G586" s="170">
        <v>1500.0</v>
      </c>
      <c r="H586" s="171">
        <v>100.0</v>
      </c>
      <c r="I586" s="171">
        <v>100.0</v>
      </c>
      <c r="J586" s="172">
        <f t="shared" si="31"/>
        <v>0.001086538869</v>
      </c>
      <c r="K586" s="173">
        <f t="shared" si="32"/>
        <v>1.303846642</v>
      </c>
      <c r="L586" s="174">
        <f t="shared" si="4"/>
        <v>5.513990374</v>
      </c>
      <c r="M586" s="175" t="str">
        <f t="shared" si="5"/>
        <v>knobsDAO</v>
      </c>
      <c r="N586" s="176">
        <f>IFERROR(__xludf.DUMMYFUNCTION("""COMPUTED_VALUE"""),6.0)</f>
        <v>6</v>
      </c>
      <c r="O586" s="176"/>
      <c r="P586" s="165" t="s">
        <v>768</v>
      </c>
      <c r="Q586" s="165" t="s">
        <v>20</v>
      </c>
      <c r="R586" s="176"/>
      <c r="S586" s="176"/>
      <c r="T586" s="176"/>
      <c r="U586" s="176"/>
      <c r="V586" s="176"/>
      <c r="W586" s="176"/>
      <c r="X586" s="176"/>
      <c r="Y586" s="176"/>
      <c r="Z586" s="176"/>
      <c r="AA586" s="176"/>
    </row>
    <row r="587">
      <c r="A587" s="165" t="str">
        <f>iferror(VLOOKUP(P587,'DO NOT TOUCH Imported'!$A$1:$D$800,4,False),iferror(VLOOKUP(P587,'DO NOT TOUCH Imported'!$C$1:$D$800,2,False),"OOPS FIX ME"))</f>
        <v>knobsDAO</v>
      </c>
      <c r="B587" s="165" t="s">
        <v>237</v>
      </c>
      <c r="C587" s="170" t="s">
        <v>1136</v>
      </c>
      <c r="D587" s="236" t="s">
        <v>499</v>
      </c>
      <c r="E587" s="237">
        <v>44300.0</v>
      </c>
      <c r="F587" s="170" t="s">
        <v>503</v>
      </c>
      <c r="G587" s="170">
        <v>1000.0</v>
      </c>
      <c r="H587" s="171">
        <v>100.0</v>
      </c>
      <c r="I587" s="171">
        <v>150.0</v>
      </c>
      <c r="J587" s="172">
        <f t="shared" si="31"/>
        <v>0.001227065436</v>
      </c>
      <c r="K587" s="173">
        <f t="shared" si="32"/>
        <v>1.472478524</v>
      </c>
      <c r="L587" s="174">
        <f t="shared" si="4"/>
        <v>5.513990374</v>
      </c>
      <c r="M587" s="175" t="str">
        <f t="shared" si="5"/>
        <v>knobsDAO</v>
      </c>
      <c r="N587" s="176">
        <f>IFERROR(__xludf.DUMMYFUNCTION("""COMPUTED_VALUE"""),7.0)</f>
        <v>7</v>
      </c>
      <c r="O587" s="176"/>
      <c r="P587" s="165" t="s">
        <v>768</v>
      </c>
      <c r="Q587" s="165" t="s">
        <v>237</v>
      </c>
      <c r="R587" s="176"/>
      <c r="S587" s="176"/>
      <c r="T587" s="176"/>
      <c r="U587" s="176"/>
      <c r="V587" s="176"/>
      <c r="W587" s="176"/>
      <c r="X587" s="176"/>
      <c r="Y587" s="176"/>
      <c r="Z587" s="176"/>
      <c r="AA587" s="176"/>
    </row>
    <row r="588">
      <c r="A588" s="165" t="str">
        <f>iferror(VLOOKUP(P588,'DO NOT TOUCH Imported'!$A$1:$D$800,4,False),iferror(VLOOKUP(P588,'DO NOT TOUCH Imported'!$C$1:$D$800,2,False),"OOPS FIX ME"))</f>
        <v>knobsDAO</v>
      </c>
      <c r="B588" s="165" t="s">
        <v>10</v>
      </c>
      <c r="C588" s="170" t="s">
        <v>498</v>
      </c>
      <c r="D588" s="236" t="s">
        <v>495</v>
      </c>
      <c r="E588" s="237">
        <v>44302.0</v>
      </c>
      <c r="F588" s="170" t="s">
        <v>499</v>
      </c>
      <c r="G588" s="170">
        <v>500.0</v>
      </c>
      <c r="H588" s="171">
        <v>25.0</v>
      </c>
      <c r="I588" s="171">
        <v>25.0</v>
      </c>
      <c r="J588" s="172">
        <f t="shared" si="31"/>
        <v>0.0002901039843</v>
      </c>
      <c r="K588" s="173">
        <f t="shared" si="32"/>
        <v>0.3481247811</v>
      </c>
      <c r="L588" s="174">
        <f t="shared" si="4"/>
        <v>5.513990374</v>
      </c>
      <c r="M588" s="175" t="str">
        <f t="shared" si="5"/>
        <v>knobsDAO</v>
      </c>
      <c r="N588" s="176">
        <f>IFERROR(__xludf.DUMMYFUNCTION("""COMPUTED_VALUE"""),8.0)</f>
        <v>8</v>
      </c>
      <c r="O588" s="176"/>
      <c r="P588" s="165" t="s">
        <v>49</v>
      </c>
      <c r="Q588" s="165" t="s">
        <v>10</v>
      </c>
      <c r="R588" s="176"/>
      <c r="S588" s="176"/>
      <c r="T588" s="176"/>
      <c r="U588" s="176"/>
      <c r="V588" s="176"/>
      <c r="W588" s="176"/>
      <c r="X588" s="176"/>
      <c r="Y588" s="176"/>
      <c r="Z588" s="176"/>
      <c r="AA588" s="176"/>
    </row>
    <row r="589">
      <c r="A589" s="165" t="str">
        <f>iferror(VLOOKUP(P589,'DO NOT TOUCH Imported'!$A$1:$D$800,4,False),iferror(VLOOKUP(P589,'DO NOT TOUCH Imported'!$C$1:$D$800,2,False),"OOPS FIX ME"))</f>
        <v>knobsDAO</v>
      </c>
      <c r="B589" s="165" t="s">
        <v>10</v>
      </c>
      <c r="C589" s="170" t="s">
        <v>498</v>
      </c>
      <c r="D589" s="236" t="s">
        <v>495</v>
      </c>
      <c r="E589" s="237">
        <v>44309.0</v>
      </c>
      <c r="F589" s="170" t="s">
        <v>499</v>
      </c>
      <c r="G589" s="170">
        <v>500.0</v>
      </c>
      <c r="H589" s="171">
        <v>25.0</v>
      </c>
      <c r="I589" s="171">
        <v>25.0</v>
      </c>
      <c r="J589" s="172">
        <f t="shared" si="31"/>
        <v>0.0002901039843</v>
      </c>
      <c r="K589" s="173">
        <f t="shared" si="32"/>
        <v>0.3481247811</v>
      </c>
      <c r="L589" s="174">
        <f t="shared" si="4"/>
        <v>5.513990374</v>
      </c>
      <c r="M589" s="175" t="str">
        <f t="shared" si="5"/>
        <v>knobsDAO</v>
      </c>
      <c r="N589" s="176">
        <f>IFERROR(__xludf.DUMMYFUNCTION("""COMPUTED_VALUE"""),9.0)</f>
        <v>9</v>
      </c>
      <c r="O589" s="176"/>
      <c r="P589" s="165" t="s">
        <v>49</v>
      </c>
      <c r="Q589" s="165" t="s">
        <v>10</v>
      </c>
      <c r="R589" s="176"/>
      <c r="S589" s="176"/>
      <c r="T589" s="176"/>
      <c r="U589" s="176"/>
      <c r="V589" s="176"/>
      <c r="W589" s="176"/>
      <c r="X589" s="176"/>
      <c r="Y589" s="176"/>
      <c r="Z589" s="176"/>
      <c r="AA589" s="176"/>
    </row>
    <row r="590">
      <c r="A590" s="165" t="str">
        <f>iferror(VLOOKUP(P590,'DO NOT TOUCH Imported'!$A$1:$D$800,4,False),iferror(VLOOKUP(P590,'DO NOT TOUCH Imported'!$C$1:$D$800,2,False),"OOPS FIX ME"))</f>
        <v>baartch#5796</v>
      </c>
      <c r="B590" s="165" t="s">
        <v>441</v>
      </c>
      <c r="C590" s="170" t="s">
        <v>932</v>
      </c>
      <c r="D590" s="236" t="s">
        <v>437</v>
      </c>
      <c r="E590" s="237">
        <v>44309.0</v>
      </c>
      <c r="F590" s="170" t="s">
        <v>439</v>
      </c>
      <c r="G590" s="170">
        <v>2500.0</v>
      </c>
      <c r="H590" s="171">
        <v>100.0</v>
      </c>
      <c r="I590" s="171">
        <v>200.0</v>
      </c>
      <c r="J590" s="172">
        <f t="shared" si="31"/>
        <v>0.001663100278</v>
      </c>
      <c r="K590" s="173">
        <f t="shared" si="32"/>
        <v>1.995720334</v>
      </c>
      <c r="L590" s="174">
        <f t="shared" si="4"/>
        <v>5.508991368</v>
      </c>
      <c r="M590" s="175" t="str">
        <f t="shared" si="5"/>
        <v>baartch#5796</v>
      </c>
      <c r="N590" s="176">
        <f>IFERROR(__xludf.DUMMYFUNCTION("""COMPUTED_VALUE"""),1.0)</f>
        <v>1</v>
      </c>
      <c r="O590" s="176"/>
      <c r="P590" s="165" t="s">
        <v>90</v>
      </c>
      <c r="Q590" s="165" t="s">
        <v>441</v>
      </c>
      <c r="R590" s="176"/>
      <c r="S590" s="176"/>
      <c r="T590" s="176"/>
      <c r="U590" s="176"/>
      <c r="V590" s="176"/>
      <c r="W590" s="176"/>
      <c r="X590" s="176"/>
      <c r="Y590" s="176"/>
      <c r="Z590" s="176"/>
      <c r="AA590" s="176"/>
    </row>
    <row r="591">
      <c r="A591" s="165" t="str">
        <f>iferror(VLOOKUP(P591,'DO NOT TOUCH Imported'!$A$1:$D$800,4,False),iferror(VLOOKUP(P591,'DO NOT TOUCH Imported'!$C$1:$D$800,2,False),"OOPS FIX ME"))</f>
        <v>baartch#5796</v>
      </c>
      <c r="B591" s="165" t="s">
        <v>566</v>
      </c>
      <c r="C591" s="170" t="s">
        <v>1137</v>
      </c>
      <c r="D591" s="236" t="s">
        <v>499</v>
      </c>
      <c r="E591" s="237">
        <v>44305.0</v>
      </c>
      <c r="F591" s="170" t="s">
        <v>503</v>
      </c>
      <c r="G591" s="170">
        <v>1000.0</v>
      </c>
      <c r="H591" s="171">
        <v>100.0</v>
      </c>
      <c r="I591" s="171">
        <v>100.0</v>
      </c>
      <c r="J591" s="172">
        <f t="shared" si="31"/>
        <v>0.0010126618</v>
      </c>
      <c r="K591" s="173">
        <f t="shared" si="32"/>
        <v>1.21519416</v>
      </c>
      <c r="L591" s="174">
        <f t="shared" si="4"/>
        <v>5.508991368</v>
      </c>
      <c r="M591" s="175" t="str">
        <f t="shared" si="5"/>
        <v>baartch#5796</v>
      </c>
      <c r="N591" s="176">
        <f>IFERROR(__xludf.DUMMYFUNCTION("""COMPUTED_VALUE"""),2.0)</f>
        <v>2</v>
      </c>
      <c r="O591" s="176"/>
      <c r="P591" s="165" t="s">
        <v>90</v>
      </c>
      <c r="Q591" s="165" t="s">
        <v>566</v>
      </c>
      <c r="R591" s="176"/>
      <c r="S591" s="176"/>
      <c r="T591" s="176"/>
      <c r="U591" s="176"/>
      <c r="V591" s="176"/>
      <c r="W591" s="176"/>
      <c r="X591" s="176"/>
      <c r="Y591" s="176"/>
      <c r="Z591" s="176"/>
      <c r="AA591" s="176"/>
    </row>
    <row r="592">
      <c r="A592" s="165" t="str">
        <f>iferror(VLOOKUP(P592,'DO NOT TOUCH Imported'!$A$1:$D$800,4,False),iferror(VLOOKUP(P592,'DO NOT TOUCH Imported'!$C$1:$D$800,2,False),"OOPS FIX ME"))</f>
        <v>baartch#5796</v>
      </c>
      <c r="B592" s="165" t="s">
        <v>440</v>
      </c>
      <c r="C592" s="170" t="s">
        <v>912</v>
      </c>
      <c r="D592" s="236" t="s">
        <v>437</v>
      </c>
      <c r="E592" s="237">
        <v>44307.0</v>
      </c>
      <c r="F592" s="170" t="s">
        <v>439</v>
      </c>
      <c r="G592" s="170">
        <v>1000.0</v>
      </c>
      <c r="H592" s="171">
        <v>70.0</v>
      </c>
      <c r="I592" s="171">
        <v>50.0</v>
      </c>
      <c r="J592" s="172">
        <f t="shared" si="31"/>
        <v>0.0006674280466</v>
      </c>
      <c r="K592" s="173">
        <f t="shared" si="32"/>
        <v>0.8009136559</v>
      </c>
      <c r="L592" s="174">
        <f t="shared" si="4"/>
        <v>5.508991368</v>
      </c>
      <c r="M592" s="175" t="str">
        <f t="shared" si="5"/>
        <v>baartch#5796</v>
      </c>
      <c r="N592" s="176">
        <f>IFERROR(__xludf.DUMMYFUNCTION("""COMPUTED_VALUE"""),3.0)</f>
        <v>3</v>
      </c>
      <c r="O592" s="176"/>
      <c r="P592" s="165" t="s">
        <v>90</v>
      </c>
      <c r="Q592" s="165" t="s">
        <v>440</v>
      </c>
      <c r="R592" s="176"/>
      <c r="S592" s="176"/>
      <c r="T592" s="176"/>
      <c r="U592" s="176"/>
      <c r="V592" s="176"/>
      <c r="W592" s="176"/>
      <c r="X592" s="176"/>
      <c r="Y592" s="176"/>
      <c r="Z592" s="176"/>
      <c r="AA592" s="176"/>
    </row>
    <row r="593">
      <c r="A593" s="165" t="str">
        <f>iferror(VLOOKUP(P593,'DO NOT TOUCH Imported'!$A$1:$D$800,4,False),iferror(VLOOKUP(P593,'DO NOT TOUCH Imported'!$C$1:$D$800,2,False),"OOPS FIX ME"))</f>
        <v>baartch#5796</v>
      </c>
      <c r="B593" s="165" t="s">
        <v>441</v>
      </c>
      <c r="C593" s="170" t="s">
        <v>918</v>
      </c>
      <c r="D593" s="236" t="s">
        <v>437</v>
      </c>
      <c r="E593" s="237">
        <v>44302.0</v>
      </c>
      <c r="F593" s="170" t="s">
        <v>439</v>
      </c>
      <c r="G593" s="170">
        <v>1000.0</v>
      </c>
      <c r="H593" s="171">
        <v>60.0</v>
      </c>
      <c r="I593" s="171">
        <v>50.0</v>
      </c>
      <c r="J593" s="172">
        <f t="shared" si="31"/>
        <v>0.0006238180076</v>
      </c>
      <c r="K593" s="173">
        <f t="shared" si="32"/>
        <v>0.7485816091</v>
      </c>
      <c r="L593" s="174">
        <f t="shared" si="4"/>
        <v>5.508991368</v>
      </c>
      <c r="M593" s="175" t="str">
        <f t="shared" si="5"/>
        <v>baartch#5796</v>
      </c>
      <c r="N593" s="176">
        <f>IFERROR(__xludf.DUMMYFUNCTION("""COMPUTED_VALUE"""),4.0)</f>
        <v>4</v>
      </c>
      <c r="O593" s="176"/>
      <c r="P593" s="165" t="s">
        <v>90</v>
      </c>
      <c r="Q593" s="165" t="s">
        <v>441</v>
      </c>
      <c r="R593" s="176"/>
      <c r="S593" s="176"/>
      <c r="T593" s="176"/>
      <c r="U593" s="176"/>
      <c r="V593" s="176"/>
      <c r="W593" s="176"/>
      <c r="X593" s="176"/>
      <c r="Y593" s="176"/>
      <c r="Z593" s="176"/>
      <c r="AA593" s="176"/>
    </row>
    <row r="594">
      <c r="A594" s="165" t="str">
        <f>iferror(VLOOKUP(P594,'DO NOT TOUCH Imported'!$A$1:$D$800,4,False),iferror(VLOOKUP(P594,'DO NOT TOUCH Imported'!$C$1:$D$800,2,False),"OOPS FIX ME"))</f>
        <v>baartch#5796</v>
      </c>
      <c r="B594" s="165" t="s">
        <v>492</v>
      </c>
      <c r="C594" s="170" t="s">
        <v>957</v>
      </c>
      <c r="D594" s="236" t="s">
        <v>437</v>
      </c>
      <c r="E594" s="237">
        <v>44307.0</v>
      </c>
      <c r="F594" s="170" t="s">
        <v>439</v>
      </c>
      <c r="G594" s="170">
        <v>1000.0</v>
      </c>
      <c r="H594" s="171">
        <v>60.0</v>
      </c>
      <c r="I594" s="171">
        <v>50.0</v>
      </c>
      <c r="J594" s="172">
        <f t="shared" si="31"/>
        <v>0.0006238180076</v>
      </c>
      <c r="K594" s="173">
        <f t="shared" si="32"/>
        <v>0.7485816091</v>
      </c>
      <c r="L594" s="174">
        <f t="shared" si="4"/>
        <v>5.508991368</v>
      </c>
      <c r="M594" s="175" t="str">
        <f t="shared" si="5"/>
        <v>baartch#5796</v>
      </c>
      <c r="N594" s="176">
        <f>IFERROR(__xludf.DUMMYFUNCTION("""COMPUTED_VALUE"""),5.0)</f>
        <v>5</v>
      </c>
      <c r="O594" s="176"/>
      <c r="P594" s="165" t="s">
        <v>90</v>
      </c>
      <c r="Q594" s="165" t="s">
        <v>492</v>
      </c>
      <c r="R594" s="176"/>
      <c r="S594" s="176"/>
      <c r="T594" s="176"/>
      <c r="U594" s="176"/>
      <c r="V594" s="176"/>
      <c r="W594" s="176"/>
      <c r="X594" s="176"/>
      <c r="Y594" s="176"/>
      <c r="Z594" s="176"/>
      <c r="AA594" s="176"/>
    </row>
    <row r="595">
      <c r="A595" s="185" t="str">
        <f>iferror(VLOOKUP(P595,'DO NOT TOUCH Imported'!$A$1:$D$800,4,False),iferror(VLOOKUP(P595,'DO NOT TOUCH Imported'!$C$1:$D$800,2,False),"OOPS FIX ME"))</f>
        <v>chuygarcia92</v>
      </c>
      <c r="B595" s="185" t="s">
        <v>534</v>
      </c>
      <c r="C595" s="210" t="s">
        <v>717</v>
      </c>
      <c r="D595" s="187"/>
      <c r="E595" s="188"/>
      <c r="F595" s="189"/>
      <c r="G595" s="190"/>
      <c r="H595" s="190"/>
      <c r="I595" s="190"/>
      <c r="J595" s="172">
        <f>(H595/$H$2+I595/$I$2)/2</f>
        <v>0</v>
      </c>
      <c r="K595" s="192">
        <f>-0.85*36.393</f>
        <v>-30.93405</v>
      </c>
      <c r="L595" s="193">
        <f t="shared" si="4"/>
        <v>5.458612046</v>
      </c>
      <c r="M595" s="194" t="str">
        <f t="shared" si="5"/>
        <v>chuygarcia92</v>
      </c>
      <c r="N595" s="211">
        <f>IFERROR(__xludf.DUMMYFUNCTION("""COMPUTED_VALUE"""),1.0)</f>
        <v>1</v>
      </c>
      <c r="O595" s="195"/>
      <c r="P595" s="185" t="s">
        <v>63</v>
      </c>
      <c r="Q595" s="185" t="s">
        <v>534</v>
      </c>
      <c r="R595" s="195">
        <v>57.049855624848725</v>
      </c>
      <c r="S595" s="195"/>
      <c r="T595" s="195"/>
      <c r="U595" s="195"/>
      <c r="V595" s="195"/>
      <c r="W595" s="195"/>
      <c r="X595" s="195"/>
      <c r="Y595" s="195"/>
      <c r="Z595" s="195"/>
      <c r="AA595" s="176"/>
    </row>
    <row r="596">
      <c r="A596" s="165" t="str">
        <f>iferror(VLOOKUP(P596,'DO NOT TOUCH Imported'!$A$1:$D$800,4,False),iferror(VLOOKUP(P596,'DO NOT TOUCH Imported'!$C$1:$D$800,2,False),"OOPS FIX ME"))</f>
        <v>chuygarcia92</v>
      </c>
      <c r="B596" s="165" t="s">
        <v>63</v>
      </c>
      <c r="C596" s="170" t="s">
        <v>1028</v>
      </c>
      <c r="D596" s="236" t="s">
        <v>495</v>
      </c>
      <c r="E596" s="239">
        <v>44308.0</v>
      </c>
      <c r="F596" s="170" t="s">
        <v>627</v>
      </c>
      <c r="G596" s="170">
        <v>2000.0</v>
      </c>
      <c r="H596" s="171">
        <v>100.0</v>
      </c>
      <c r="I596" s="171">
        <v>150.0</v>
      </c>
      <c r="J596" s="172">
        <f t="shared" ref="J596:J637" si="33">(G596/$G$2+H596/$H$2+I596/$I$2)/3</f>
        <v>0.001374819573</v>
      </c>
      <c r="K596" s="173">
        <f t="shared" ref="K596:K637" si="34">J596*$J$1</f>
        <v>1.649783488</v>
      </c>
      <c r="L596" s="174">
        <f t="shared" si="4"/>
        <v>5.458612046</v>
      </c>
      <c r="M596" s="175" t="str">
        <f t="shared" si="5"/>
        <v>chuygarcia92</v>
      </c>
      <c r="N596" s="176">
        <f>IFERROR(__xludf.DUMMYFUNCTION("""COMPUTED_VALUE"""),2.0)</f>
        <v>2</v>
      </c>
      <c r="O596" s="176"/>
      <c r="P596" s="165" t="s">
        <v>63</v>
      </c>
      <c r="Q596" s="165" t="s">
        <v>63</v>
      </c>
      <c r="R596" s="176"/>
      <c r="S596" s="176"/>
      <c r="T596" s="176"/>
      <c r="U596" s="176"/>
      <c r="V596" s="176"/>
      <c r="W596" s="176"/>
      <c r="X596" s="176"/>
      <c r="Y596" s="176"/>
      <c r="Z596" s="176"/>
      <c r="AA596" s="176"/>
    </row>
    <row r="597">
      <c r="A597" s="165" t="str">
        <f>iferror(VLOOKUP(P597,'DO NOT TOUCH Imported'!$A$1:$D$800,4,False),iferror(VLOOKUP(P597,'DO NOT TOUCH Imported'!$C$1:$D$800,2,False),"OOPS FIX ME"))</f>
        <v>chuygarcia92</v>
      </c>
      <c r="B597" s="165" t="s">
        <v>63</v>
      </c>
      <c r="C597" s="170" t="s">
        <v>1138</v>
      </c>
      <c r="D597" s="236" t="s">
        <v>495</v>
      </c>
      <c r="E597" s="239">
        <v>44308.0</v>
      </c>
      <c r="F597" s="170" t="s">
        <v>627</v>
      </c>
      <c r="G597" s="170">
        <v>2000.0</v>
      </c>
      <c r="H597" s="171">
        <v>100.0</v>
      </c>
      <c r="I597" s="171">
        <v>150.0</v>
      </c>
      <c r="J597" s="172">
        <f t="shared" si="33"/>
        <v>0.001374819573</v>
      </c>
      <c r="K597" s="173">
        <f t="shared" si="34"/>
        <v>1.649783488</v>
      </c>
      <c r="L597" s="174">
        <f t="shared" si="4"/>
        <v>5.458612046</v>
      </c>
      <c r="M597" s="175" t="str">
        <f t="shared" si="5"/>
        <v>chuygarcia92</v>
      </c>
      <c r="N597" s="176">
        <f>IFERROR(__xludf.DUMMYFUNCTION("""COMPUTED_VALUE"""),3.0)</f>
        <v>3</v>
      </c>
      <c r="O597" s="176"/>
      <c r="P597" s="165" t="s">
        <v>63</v>
      </c>
      <c r="Q597" s="165" t="s">
        <v>63</v>
      </c>
      <c r="R597" s="176"/>
      <c r="S597" s="176"/>
      <c r="T597" s="176"/>
      <c r="U597" s="176"/>
      <c r="V597" s="176"/>
      <c r="W597" s="176"/>
      <c r="X597" s="176"/>
      <c r="Y597" s="176"/>
      <c r="Z597" s="176"/>
      <c r="AA597" s="176"/>
    </row>
    <row r="598">
      <c r="A598" s="165" t="str">
        <f>iferror(VLOOKUP(P598,'DO NOT TOUCH Imported'!$A$1:$D$800,4,False),iferror(VLOOKUP(P598,'DO NOT TOUCH Imported'!$C$1:$D$800,2,False),"OOPS FIX ME"))</f>
        <v>chuygarcia92</v>
      </c>
      <c r="B598" s="165" t="s">
        <v>10</v>
      </c>
      <c r="C598" s="170" t="s">
        <v>936</v>
      </c>
      <c r="D598" s="236" t="s">
        <v>495</v>
      </c>
      <c r="E598" s="237">
        <v>44309.0</v>
      </c>
      <c r="F598" s="170" t="s">
        <v>496</v>
      </c>
      <c r="G598" s="170">
        <v>2000.0</v>
      </c>
      <c r="H598" s="171">
        <v>100.0</v>
      </c>
      <c r="I598" s="171">
        <v>150.0</v>
      </c>
      <c r="J598" s="172">
        <f t="shared" si="33"/>
        <v>0.001374819573</v>
      </c>
      <c r="K598" s="173">
        <f t="shared" si="34"/>
        <v>1.649783488</v>
      </c>
      <c r="L598" s="174">
        <f t="shared" si="4"/>
        <v>5.458612046</v>
      </c>
      <c r="M598" s="175" t="str">
        <f t="shared" si="5"/>
        <v>chuygarcia92</v>
      </c>
      <c r="N598" s="176">
        <f>IFERROR(__xludf.DUMMYFUNCTION("""COMPUTED_VALUE"""),4.0)</f>
        <v>4</v>
      </c>
      <c r="O598" s="176"/>
      <c r="P598" s="165" t="s">
        <v>63</v>
      </c>
      <c r="Q598" s="165" t="s">
        <v>10</v>
      </c>
      <c r="R598" s="176"/>
      <c r="S598" s="176"/>
      <c r="T598" s="176"/>
      <c r="U598" s="176"/>
      <c r="V598" s="176"/>
      <c r="W598" s="176"/>
      <c r="X598" s="176"/>
      <c r="Y598" s="176"/>
      <c r="Z598" s="176"/>
      <c r="AA598" s="176"/>
    </row>
    <row r="599">
      <c r="A599" s="165" t="str">
        <f>iferror(VLOOKUP(P599,'DO NOT TOUCH Imported'!$A$1:$D$800,4,False),iferror(VLOOKUP(P599,'DO NOT TOUCH Imported'!$C$1:$D$800,2,False),"OOPS FIX ME"))</f>
        <v>chuygarcia92</v>
      </c>
      <c r="B599" s="165" t="s">
        <v>443</v>
      </c>
      <c r="C599" s="170" t="s">
        <v>892</v>
      </c>
      <c r="D599" s="236" t="s">
        <v>437</v>
      </c>
      <c r="E599" s="239">
        <v>44310.0</v>
      </c>
      <c r="F599" s="170" t="s">
        <v>439</v>
      </c>
      <c r="G599" s="170">
        <v>1000.0</v>
      </c>
      <c r="H599" s="171">
        <v>100.0</v>
      </c>
      <c r="I599" s="171">
        <v>150.0</v>
      </c>
      <c r="J599" s="172">
        <f t="shared" si="33"/>
        <v>0.001227065436</v>
      </c>
      <c r="K599" s="173">
        <f t="shared" si="34"/>
        <v>1.472478524</v>
      </c>
      <c r="L599" s="174">
        <f t="shared" si="4"/>
        <v>5.458612046</v>
      </c>
      <c r="M599" s="175" t="str">
        <f t="shared" si="5"/>
        <v>chuygarcia92</v>
      </c>
      <c r="N599" s="176">
        <f>IFERROR(__xludf.DUMMYFUNCTION("""COMPUTED_VALUE"""),5.0)</f>
        <v>5</v>
      </c>
      <c r="O599" s="176"/>
      <c r="P599" s="165" t="s">
        <v>483</v>
      </c>
      <c r="Q599" s="165" t="s">
        <v>443</v>
      </c>
      <c r="R599" s="176"/>
      <c r="S599" s="176"/>
      <c r="T599" s="176"/>
      <c r="U599" s="176"/>
      <c r="V599" s="176"/>
      <c r="W599" s="176"/>
      <c r="X599" s="176"/>
      <c r="Y599" s="176"/>
      <c r="Z599" s="176"/>
      <c r="AA599" s="176"/>
    </row>
    <row r="600">
      <c r="A600" s="165" t="str">
        <f>iferror(VLOOKUP(P600,'DO NOT TOUCH Imported'!$A$1:$D$800,4,False),iferror(VLOOKUP(P600,'DO NOT TOUCH Imported'!$C$1:$D$800,2,False),"OOPS FIX ME"))</f>
        <v>chuygarcia92</v>
      </c>
      <c r="B600" s="165" t="s">
        <v>63</v>
      </c>
      <c r="C600" s="170" t="s">
        <v>1139</v>
      </c>
      <c r="D600" s="236" t="s">
        <v>495</v>
      </c>
      <c r="E600" s="237">
        <v>44301.0</v>
      </c>
      <c r="F600" s="170" t="s">
        <v>627</v>
      </c>
      <c r="G600" s="170">
        <v>2000.0</v>
      </c>
      <c r="H600" s="171">
        <v>100.0</v>
      </c>
      <c r="I600" s="171">
        <v>100.0</v>
      </c>
      <c r="J600" s="172">
        <f t="shared" si="33"/>
        <v>0.001160415937</v>
      </c>
      <c r="K600" s="173">
        <f t="shared" si="34"/>
        <v>1.392499125</v>
      </c>
      <c r="L600" s="174">
        <f t="shared" si="4"/>
        <v>5.458612046</v>
      </c>
      <c r="M600" s="175" t="str">
        <f t="shared" si="5"/>
        <v>chuygarcia92</v>
      </c>
      <c r="N600" s="176">
        <f>IFERROR(__xludf.DUMMYFUNCTION("""COMPUTED_VALUE"""),6.0)</f>
        <v>6</v>
      </c>
      <c r="O600" s="176"/>
      <c r="P600" s="165" t="s">
        <v>63</v>
      </c>
      <c r="Q600" s="165" t="s">
        <v>63</v>
      </c>
      <c r="R600" s="176"/>
      <c r="S600" s="176"/>
      <c r="T600" s="176"/>
      <c r="U600" s="176"/>
      <c r="V600" s="176"/>
      <c r="W600" s="176"/>
      <c r="X600" s="176"/>
      <c r="Y600" s="176"/>
      <c r="Z600" s="176"/>
      <c r="AA600" s="176"/>
    </row>
    <row r="601">
      <c r="A601" s="165" t="str">
        <f>iferror(VLOOKUP(P601,'DO NOT TOUCH Imported'!$A$1:$D$800,4,False),iferror(VLOOKUP(P601,'DO NOT TOUCH Imported'!$C$1:$D$800,2,False),"OOPS FIX ME"))</f>
        <v>chuygarcia92</v>
      </c>
      <c r="B601" s="165" t="s">
        <v>63</v>
      </c>
      <c r="C601" s="170" t="s">
        <v>1140</v>
      </c>
      <c r="D601" s="236" t="s">
        <v>495</v>
      </c>
      <c r="E601" s="237">
        <v>44301.0</v>
      </c>
      <c r="F601" s="170" t="s">
        <v>627</v>
      </c>
      <c r="G601" s="170">
        <v>2000.0</v>
      </c>
      <c r="H601" s="171">
        <v>100.0</v>
      </c>
      <c r="I601" s="171">
        <v>100.0</v>
      </c>
      <c r="J601" s="172">
        <f t="shared" si="33"/>
        <v>0.001160415937</v>
      </c>
      <c r="K601" s="173">
        <f t="shared" si="34"/>
        <v>1.392499125</v>
      </c>
      <c r="L601" s="174">
        <f t="shared" si="4"/>
        <v>5.458612046</v>
      </c>
      <c r="M601" s="175" t="str">
        <f t="shared" si="5"/>
        <v>chuygarcia92</v>
      </c>
      <c r="N601" s="176">
        <f>IFERROR(__xludf.DUMMYFUNCTION("""COMPUTED_VALUE"""),7.0)</f>
        <v>7</v>
      </c>
      <c r="O601" s="176"/>
      <c r="P601" s="165" t="s">
        <v>63</v>
      </c>
      <c r="Q601" s="165" t="s">
        <v>63</v>
      </c>
      <c r="R601" s="176"/>
      <c r="S601" s="176"/>
      <c r="T601" s="176"/>
      <c r="U601" s="176"/>
      <c r="V601" s="176"/>
      <c r="W601" s="176"/>
      <c r="X601" s="176"/>
      <c r="Y601" s="176"/>
      <c r="Z601" s="176"/>
      <c r="AA601" s="176"/>
    </row>
    <row r="602">
      <c r="A602" s="165" t="str">
        <f>iferror(VLOOKUP(P602,'DO NOT TOUCH Imported'!$A$1:$D$800,4,False),iferror(VLOOKUP(P602,'DO NOT TOUCH Imported'!$C$1:$D$800,2,False),"OOPS FIX ME"))</f>
        <v>chuygarcia92</v>
      </c>
      <c r="B602" s="165" t="s">
        <v>63</v>
      </c>
      <c r="C602" s="170" t="s">
        <v>1141</v>
      </c>
      <c r="D602" s="236" t="s">
        <v>495</v>
      </c>
      <c r="E602" s="237">
        <v>44309.0</v>
      </c>
      <c r="F602" s="170" t="s">
        <v>627</v>
      </c>
      <c r="G602" s="170">
        <v>2000.0</v>
      </c>
      <c r="H602" s="171">
        <v>100.0</v>
      </c>
      <c r="I602" s="171">
        <v>100.0</v>
      </c>
      <c r="J602" s="172">
        <f t="shared" si="33"/>
        <v>0.001160415937</v>
      </c>
      <c r="K602" s="173">
        <f t="shared" si="34"/>
        <v>1.392499125</v>
      </c>
      <c r="L602" s="174">
        <f t="shared" si="4"/>
        <v>5.458612046</v>
      </c>
      <c r="M602" s="175" t="str">
        <f t="shared" si="5"/>
        <v>chuygarcia92</v>
      </c>
      <c r="N602" s="176">
        <f>IFERROR(__xludf.DUMMYFUNCTION("""COMPUTED_VALUE"""),8.0)</f>
        <v>8</v>
      </c>
      <c r="O602" s="176"/>
      <c r="P602" s="165" t="s">
        <v>63</v>
      </c>
      <c r="Q602" s="165" t="s">
        <v>63</v>
      </c>
      <c r="R602" s="176"/>
      <c r="S602" s="176"/>
      <c r="T602" s="176"/>
      <c r="U602" s="176"/>
      <c r="V602" s="176"/>
      <c r="W602" s="176"/>
      <c r="X602" s="176"/>
      <c r="Y602" s="176"/>
      <c r="Z602" s="176"/>
      <c r="AA602" s="176"/>
    </row>
    <row r="603">
      <c r="A603" s="165" t="str">
        <f>iferror(VLOOKUP(P603,'DO NOT TOUCH Imported'!$A$1:$D$800,4,False),iferror(VLOOKUP(P603,'DO NOT TOUCH Imported'!$C$1:$D$800,2,False),"OOPS FIX ME"))</f>
        <v>chuygarcia92</v>
      </c>
      <c r="B603" s="165" t="s">
        <v>486</v>
      </c>
      <c r="C603" s="170" t="s">
        <v>1142</v>
      </c>
      <c r="D603" s="236" t="s">
        <v>437</v>
      </c>
      <c r="E603" s="239">
        <v>44306.0</v>
      </c>
      <c r="F603" s="170" t="s">
        <v>439</v>
      </c>
      <c r="G603" s="170">
        <v>2000.0</v>
      </c>
      <c r="H603" s="171">
        <v>100.0</v>
      </c>
      <c r="I603" s="171">
        <v>100.0</v>
      </c>
      <c r="J603" s="172">
        <f t="shared" si="33"/>
        <v>0.001160415937</v>
      </c>
      <c r="K603" s="173">
        <f t="shared" si="34"/>
        <v>1.392499125</v>
      </c>
      <c r="L603" s="174">
        <f t="shared" si="4"/>
        <v>5.458612046</v>
      </c>
      <c r="M603" s="175" t="str">
        <f t="shared" si="5"/>
        <v>chuygarcia92</v>
      </c>
      <c r="N603" s="176">
        <f>IFERROR(__xludf.DUMMYFUNCTION("""COMPUTED_VALUE"""),9.0)</f>
        <v>9</v>
      </c>
      <c r="O603" s="176"/>
      <c r="P603" s="165" t="s">
        <v>483</v>
      </c>
      <c r="Q603" s="165" t="s">
        <v>486</v>
      </c>
      <c r="R603" s="176"/>
      <c r="S603" s="176"/>
      <c r="T603" s="176"/>
      <c r="U603" s="176"/>
      <c r="V603" s="176"/>
      <c r="W603" s="176"/>
      <c r="X603" s="176"/>
      <c r="Y603" s="176"/>
      <c r="Z603" s="176"/>
      <c r="AA603" s="176"/>
    </row>
    <row r="604">
      <c r="A604" s="165" t="str">
        <f>iferror(VLOOKUP(P604,'DO NOT TOUCH Imported'!$A$1:$D$800,4,False),iferror(VLOOKUP(P604,'DO NOT TOUCH Imported'!$C$1:$D$800,2,False),"OOPS FIX ME"))</f>
        <v>chuygarcia92</v>
      </c>
      <c r="B604" s="165" t="s">
        <v>441</v>
      </c>
      <c r="C604" s="170" t="s">
        <v>969</v>
      </c>
      <c r="D604" s="236" t="s">
        <v>437</v>
      </c>
      <c r="E604" s="237">
        <v>44309.0</v>
      </c>
      <c r="F604" s="170" t="s">
        <v>439</v>
      </c>
      <c r="G604" s="170">
        <v>2000.0</v>
      </c>
      <c r="H604" s="171">
        <v>100.0</v>
      </c>
      <c r="I604" s="171">
        <v>100.0</v>
      </c>
      <c r="J604" s="172">
        <f t="shared" si="33"/>
        <v>0.001160415937</v>
      </c>
      <c r="K604" s="173">
        <f t="shared" si="34"/>
        <v>1.392499125</v>
      </c>
      <c r="L604" s="174">
        <f t="shared" si="4"/>
        <v>5.458612046</v>
      </c>
      <c r="M604" s="175" t="str">
        <f t="shared" si="5"/>
        <v>chuygarcia92</v>
      </c>
      <c r="N604" s="176">
        <f>IFERROR(__xludf.DUMMYFUNCTION("""COMPUTED_VALUE"""),10.0)</f>
        <v>10</v>
      </c>
      <c r="O604" s="176"/>
      <c r="P604" s="165" t="s">
        <v>483</v>
      </c>
      <c r="Q604" s="165" t="s">
        <v>441</v>
      </c>
      <c r="R604" s="176"/>
      <c r="S604" s="176"/>
      <c r="T604" s="176"/>
      <c r="U604" s="176"/>
      <c r="V604" s="176"/>
      <c r="W604" s="176"/>
      <c r="X604" s="176"/>
      <c r="Y604" s="176"/>
      <c r="Z604" s="176"/>
      <c r="AA604" s="176"/>
    </row>
    <row r="605">
      <c r="A605" s="165" t="str">
        <f>iferror(VLOOKUP(P605,'DO NOT TOUCH Imported'!$A$1:$D$800,4,False),iferror(VLOOKUP(P605,'DO NOT TOUCH Imported'!$C$1:$D$800,2,False),"OOPS FIX ME"))</f>
        <v>chuygarcia92</v>
      </c>
      <c r="B605" s="165" t="s">
        <v>463</v>
      </c>
      <c r="C605" s="170" t="s">
        <v>896</v>
      </c>
      <c r="D605" s="236" t="s">
        <v>437</v>
      </c>
      <c r="E605" s="237">
        <v>44305.0</v>
      </c>
      <c r="F605" s="170" t="s">
        <v>439</v>
      </c>
      <c r="G605" s="170">
        <v>5000.0</v>
      </c>
      <c r="H605" s="171">
        <v>60.0</v>
      </c>
      <c r="I605" s="171">
        <v>50.0</v>
      </c>
      <c r="J605" s="172">
        <f t="shared" si="33"/>
        <v>0.001214834556</v>
      </c>
      <c r="K605" s="173">
        <f t="shared" si="34"/>
        <v>1.457801467</v>
      </c>
      <c r="L605" s="174">
        <f t="shared" si="4"/>
        <v>5.458612046</v>
      </c>
      <c r="M605" s="175" t="str">
        <f t="shared" si="5"/>
        <v>chuygarcia92</v>
      </c>
      <c r="N605" s="176">
        <f>IFERROR(__xludf.DUMMYFUNCTION("""COMPUTED_VALUE"""),11.0)</f>
        <v>11</v>
      </c>
      <c r="O605" s="176"/>
      <c r="P605" s="165" t="s">
        <v>483</v>
      </c>
      <c r="Q605" s="165" t="s">
        <v>463</v>
      </c>
      <c r="R605" s="176"/>
      <c r="S605" s="176"/>
      <c r="T605" s="176"/>
      <c r="U605" s="176"/>
      <c r="V605" s="176"/>
      <c r="W605" s="176"/>
      <c r="X605" s="176"/>
      <c r="Y605" s="176"/>
      <c r="Z605" s="176"/>
      <c r="AA605" s="176"/>
    </row>
    <row r="606">
      <c r="A606" s="165" t="str">
        <f>iferror(VLOOKUP(P606,'DO NOT TOUCH Imported'!$A$1:$D$800,4,False),iferror(VLOOKUP(P606,'DO NOT TOUCH Imported'!$C$1:$D$800,2,False),"OOPS FIX ME"))</f>
        <v>chuygarcia92</v>
      </c>
      <c r="B606" s="165" t="s">
        <v>528</v>
      </c>
      <c r="C606" s="170" t="s">
        <v>981</v>
      </c>
      <c r="D606" s="236" t="s">
        <v>437</v>
      </c>
      <c r="E606" s="239">
        <v>44309.0</v>
      </c>
      <c r="F606" s="170" t="s">
        <v>439</v>
      </c>
      <c r="G606" s="170">
        <v>1500.0</v>
      </c>
      <c r="H606" s="171">
        <v>100.0</v>
      </c>
      <c r="I606" s="171">
        <v>100.0</v>
      </c>
      <c r="J606" s="172">
        <f t="shared" si="33"/>
        <v>0.001086538869</v>
      </c>
      <c r="K606" s="173">
        <f t="shared" si="34"/>
        <v>1.303846642</v>
      </c>
      <c r="L606" s="174">
        <f t="shared" si="4"/>
        <v>5.458612046</v>
      </c>
      <c r="M606" s="175" t="str">
        <f t="shared" si="5"/>
        <v>chuygarcia92</v>
      </c>
      <c r="N606" s="176">
        <f>IFERROR(__xludf.DUMMYFUNCTION("""COMPUTED_VALUE"""),12.0)</f>
        <v>12</v>
      </c>
      <c r="O606" s="176"/>
      <c r="P606" s="165" t="s">
        <v>483</v>
      </c>
      <c r="Q606" s="165" t="s">
        <v>528</v>
      </c>
      <c r="R606" s="176"/>
      <c r="S606" s="176"/>
      <c r="T606" s="176"/>
      <c r="U606" s="176"/>
      <c r="V606" s="176"/>
      <c r="W606" s="176"/>
      <c r="X606" s="176"/>
      <c r="Y606" s="176"/>
      <c r="Z606" s="176"/>
      <c r="AA606" s="176"/>
    </row>
    <row r="607">
      <c r="A607" s="165" t="str">
        <f>iferror(VLOOKUP(P607,'DO NOT TOUCH Imported'!$A$1:$D$800,4,False),iferror(VLOOKUP(P607,'DO NOT TOUCH Imported'!$C$1:$D$800,2,False),"OOPS FIX ME"))</f>
        <v>chuygarcia92</v>
      </c>
      <c r="B607" s="165" t="s">
        <v>435</v>
      </c>
      <c r="C607" s="170" t="s">
        <v>1143</v>
      </c>
      <c r="D607" s="236" t="s">
        <v>437</v>
      </c>
      <c r="E607" s="237">
        <v>44307.0</v>
      </c>
      <c r="F607" s="170" t="s">
        <v>439</v>
      </c>
      <c r="G607" s="170">
        <v>2000.0</v>
      </c>
      <c r="H607" s="171">
        <v>100.0</v>
      </c>
      <c r="I607" s="171">
        <v>80.0</v>
      </c>
      <c r="J607" s="172">
        <f t="shared" si="33"/>
        <v>0.001074654483</v>
      </c>
      <c r="K607" s="173">
        <f t="shared" si="34"/>
        <v>1.289585379</v>
      </c>
      <c r="L607" s="174">
        <f t="shared" si="4"/>
        <v>5.458612046</v>
      </c>
      <c r="M607" s="175" t="str">
        <f t="shared" si="5"/>
        <v>chuygarcia92</v>
      </c>
      <c r="N607" s="176">
        <f>IFERROR(__xludf.DUMMYFUNCTION("""COMPUTED_VALUE"""),13.0)</f>
        <v>13</v>
      </c>
      <c r="O607" s="176"/>
      <c r="P607" s="165" t="s">
        <v>483</v>
      </c>
      <c r="Q607" s="165" t="s">
        <v>435</v>
      </c>
      <c r="R607" s="176"/>
      <c r="S607" s="176"/>
      <c r="T607" s="176"/>
      <c r="U607" s="176"/>
      <c r="V607" s="176"/>
      <c r="W607" s="176"/>
      <c r="X607" s="176"/>
      <c r="Y607" s="176"/>
      <c r="Z607" s="176"/>
      <c r="AA607" s="176"/>
    </row>
    <row r="608">
      <c r="A608" s="165" t="str">
        <f>iferror(VLOOKUP(P608,'DO NOT TOUCH Imported'!$A$1:$D$800,4,False),iferror(VLOOKUP(P608,'DO NOT TOUCH Imported'!$C$1:$D$800,2,False),"OOPS FIX ME"))</f>
        <v>chuygarcia92</v>
      </c>
      <c r="B608" s="165" t="s">
        <v>435</v>
      </c>
      <c r="C608" s="170" t="s">
        <v>951</v>
      </c>
      <c r="D608" s="236" t="s">
        <v>437</v>
      </c>
      <c r="E608" s="237">
        <v>44306.0</v>
      </c>
      <c r="F608" s="170" t="s">
        <v>439</v>
      </c>
      <c r="G608" s="170">
        <v>1000.0</v>
      </c>
      <c r="H608" s="171">
        <v>100.0</v>
      </c>
      <c r="I608" s="171">
        <v>100.0</v>
      </c>
      <c r="J608" s="172">
        <f t="shared" si="33"/>
        <v>0.0010126618</v>
      </c>
      <c r="K608" s="173">
        <f t="shared" si="34"/>
        <v>1.21519416</v>
      </c>
      <c r="L608" s="174">
        <f t="shared" si="4"/>
        <v>5.458612046</v>
      </c>
      <c r="M608" s="175" t="str">
        <f t="shared" si="5"/>
        <v>chuygarcia92</v>
      </c>
      <c r="N608" s="176">
        <f>IFERROR(__xludf.DUMMYFUNCTION("""COMPUTED_VALUE"""),14.0)</f>
        <v>14</v>
      </c>
      <c r="O608" s="176"/>
      <c r="P608" s="165" t="s">
        <v>483</v>
      </c>
      <c r="Q608" s="165" t="s">
        <v>435</v>
      </c>
      <c r="R608" s="176"/>
      <c r="S608" s="176"/>
      <c r="T608" s="176"/>
      <c r="U608" s="176"/>
      <c r="V608" s="176"/>
      <c r="W608" s="176"/>
      <c r="X608" s="176"/>
      <c r="Y608" s="176"/>
      <c r="Z608" s="176"/>
      <c r="AA608" s="176"/>
    </row>
    <row r="609">
      <c r="A609" s="165" t="str">
        <f>iferror(VLOOKUP(P609,'DO NOT TOUCH Imported'!$A$1:$D$800,4,False),iferror(VLOOKUP(P609,'DO NOT TOUCH Imported'!$C$1:$D$800,2,False),"OOPS FIX ME"))</f>
        <v>chuygarcia92</v>
      </c>
      <c r="B609" s="165" t="s">
        <v>441</v>
      </c>
      <c r="C609" s="170" t="s">
        <v>1128</v>
      </c>
      <c r="D609" s="236" t="s">
        <v>437</v>
      </c>
      <c r="E609" s="237">
        <v>44309.0</v>
      </c>
      <c r="F609" s="170" t="s">
        <v>439</v>
      </c>
      <c r="G609" s="170">
        <v>1000.0</v>
      </c>
      <c r="H609" s="171">
        <v>100.0</v>
      </c>
      <c r="I609" s="171">
        <v>100.0</v>
      </c>
      <c r="J609" s="172">
        <f t="shared" si="33"/>
        <v>0.0010126618</v>
      </c>
      <c r="K609" s="173">
        <f t="shared" si="34"/>
        <v>1.21519416</v>
      </c>
      <c r="L609" s="174">
        <f t="shared" si="4"/>
        <v>5.458612046</v>
      </c>
      <c r="M609" s="175" t="str">
        <f t="shared" si="5"/>
        <v>chuygarcia92</v>
      </c>
      <c r="N609" s="176">
        <f>IFERROR(__xludf.DUMMYFUNCTION("""COMPUTED_VALUE"""),15.0)</f>
        <v>15</v>
      </c>
      <c r="O609" s="176"/>
      <c r="P609" s="165" t="s">
        <v>483</v>
      </c>
      <c r="Q609" s="165" t="s">
        <v>441</v>
      </c>
      <c r="R609" s="176"/>
      <c r="S609" s="176"/>
      <c r="T609" s="176"/>
      <c r="U609" s="176"/>
      <c r="V609" s="176"/>
      <c r="W609" s="176"/>
      <c r="X609" s="176"/>
      <c r="Y609" s="176"/>
      <c r="Z609" s="176"/>
      <c r="AA609" s="176"/>
    </row>
    <row r="610">
      <c r="A610" s="165" t="str">
        <f>iferror(VLOOKUP(P610,'DO NOT TOUCH Imported'!$A$1:$D$800,4,False),iferror(VLOOKUP(P610,'DO NOT TOUCH Imported'!$C$1:$D$800,2,False),"OOPS FIX ME"))</f>
        <v>chuygarcia92</v>
      </c>
      <c r="B610" s="165" t="s">
        <v>441</v>
      </c>
      <c r="C610" s="170" t="s">
        <v>952</v>
      </c>
      <c r="D610" s="236" t="s">
        <v>437</v>
      </c>
      <c r="E610" s="239">
        <v>44309.0</v>
      </c>
      <c r="F610" s="170" t="s">
        <v>439</v>
      </c>
      <c r="G610" s="170">
        <v>1000.0</v>
      </c>
      <c r="H610" s="171">
        <v>100.0</v>
      </c>
      <c r="I610" s="171">
        <v>100.0</v>
      </c>
      <c r="J610" s="172">
        <f t="shared" si="33"/>
        <v>0.0010126618</v>
      </c>
      <c r="K610" s="173">
        <f t="shared" si="34"/>
        <v>1.21519416</v>
      </c>
      <c r="L610" s="174">
        <f t="shared" si="4"/>
        <v>5.458612046</v>
      </c>
      <c r="M610" s="175" t="str">
        <f t="shared" si="5"/>
        <v>chuygarcia92</v>
      </c>
      <c r="N610" s="176">
        <f>IFERROR(__xludf.DUMMYFUNCTION("""COMPUTED_VALUE"""),16.0)</f>
        <v>16</v>
      </c>
      <c r="O610" s="176"/>
      <c r="P610" s="165" t="s">
        <v>483</v>
      </c>
      <c r="Q610" s="165" t="s">
        <v>441</v>
      </c>
      <c r="R610" s="176"/>
      <c r="S610" s="176"/>
      <c r="T610" s="176"/>
      <c r="U610" s="176"/>
      <c r="V610" s="176"/>
      <c r="W610" s="176"/>
      <c r="X610" s="176"/>
      <c r="Y610" s="176"/>
      <c r="Z610" s="176"/>
      <c r="AA610" s="176"/>
    </row>
    <row r="611">
      <c r="A611" s="165" t="str">
        <f>iferror(VLOOKUP(P611,'DO NOT TOUCH Imported'!$A$1:$D$800,4,False),iferror(VLOOKUP(P611,'DO NOT TOUCH Imported'!$C$1:$D$800,2,False),"OOPS FIX ME"))</f>
        <v>chuygarcia92</v>
      </c>
      <c r="B611" s="165" t="s">
        <v>441</v>
      </c>
      <c r="C611" s="170" t="s">
        <v>1144</v>
      </c>
      <c r="D611" s="236" t="s">
        <v>437</v>
      </c>
      <c r="E611" s="239">
        <v>44309.0</v>
      </c>
      <c r="F611" s="170" t="s">
        <v>439</v>
      </c>
      <c r="G611" s="170">
        <v>1000.0</v>
      </c>
      <c r="H611" s="171">
        <v>100.0</v>
      </c>
      <c r="I611" s="171">
        <v>100.0</v>
      </c>
      <c r="J611" s="172">
        <f t="shared" si="33"/>
        <v>0.0010126618</v>
      </c>
      <c r="K611" s="173">
        <f t="shared" si="34"/>
        <v>1.21519416</v>
      </c>
      <c r="L611" s="174">
        <f t="shared" si="4"/>
        <v>5.458612046</v>
      </c>
      <c r="M611" s="175" t="str">
        <f t="shared" si="5"/>
        <v>chuygarcia92</v>
      </c>
      <c r="N611" s="176">
        <f>IFERROR(__xludf.DUMMYFUNCTION("""COMPUTED_VALUE"""),17.0)</f>
        <v>17</v>
      </c>
      <c r="O611" s="176"/>
      <c r="P611" s="165" t="s">
        <v>483</v>
      </c>
      <c r="Q611" s="165" t="s">
        <v>441</v>
      </c>
      <c r="R611" s="176"/>
      <c r="S611" s="176"/>
      <c r="T611" s="176"/>
      <c r="U611" s="176"/>
      <c r="V611" s="176"/>
      <c r="W611" s="176"/>
      <c r="X611" s="176"/>
      <c r="Y611" s="176"/>
      <c r="Z611" s="176"/>
      <c r="AA611" s="176"/>
    </row>
    <row r="612">
      <c r="A612" s="165" t="str">
        <f>iferror(VLOOKUP(P612,'DO NOT TOUCH Imported'!$A$1:$D$800,4,False),iferror(VLOOKUP(P612,'DO NOT TOUCH Imported'!$C$1:$D$800,2,False),"OOPS FIX ME"))</f>
        <v>chuygarcia92</v>
      </c>
      <c r="B612" s="165" t="s">
        <v>45</v>
      </c>
      <c r="C612" s="170" t="s">
        <v>1145</v>
      </c>
      <c r="D612" s="236" t="s">
        <v>437</v>
      </c>
      <c r="E612" s="237">
        <v>44300.0</v>
      </c>
      <c r="F612" s="170" t="s">
        <v>439</v>
      </c>
      <c r="G612" s="170">
        <v>1000.0</v>
      </c>
      <c r="H612" s="171">
        <v>100.0</v>
      </c>
      <c r="I612" s="171">
        <v>80.0</v>
      </c>
      <c r="J612" s="172">
        <f t="shared" si="33"/>
        <v>0.0009269003455</v>
      </c>
      <c r="K612" s="173">
        <f t="shared" si="34"/>
        <v>1.112280415</v>
      </c>
      <c r="L612" s="174">
        <f t="shared" si="4"/>
        <v>5.458612046</v>
      </c>
      <c r="M612" s="175" t="str">
        <f t="shared" si="5"/>
        <v>chuygarcia92</v>
      </c>
      <c r="N612" s="176">
        <f>IFERROR(__xludf.DUMMYFUNCTION("""COMPUTED_VALUE"""),18.0)</f>
        <v>18</v>
      </c>
      <c r="O612" s="176"/>
      <c r="P612" s="165" t="s">
        <v>483</v>
      </c>
      <c r="Q612" s="165" t="s">
        <v>45</v>
      </c>
      <c r="R612" s="176"/>
      <c r="S612" s="176"/>
      <c r="T612" s="176"/>
      <c r="U612" s="176"/>
      <c r="V612" s="176"/>
      <c r="W612" s="176"/>
      <c r="X612" s="176"/>
      <c r="Y612" s="176"/>
      <c r="Z612" s="176"/>
      <c r="AA612" s="176"/>
    </row>
    <row r="613">
      <c r="A613" s="165" t="str">
        <f>iferror(VLOOKUP(P613,'DO NOT TOUCH Imported'!$A$1:$D$800,4,False),iferror(VLOOKUP(P613,'DO NOT TOUCH Imported'!$C$1:$D$800,2,False),"OOPS FIX ME"))</f>
        <v>chuygarcia92</v>
      </c>
      <c r="B613" s="165" t="s">
        <v>441</v>
      </c>
      <c r="C613" s="170" t="s">
        <v>970</v>
      </c>
      <c r="D613" s="236" t="s">
        <v>437</v>
      </c>
      <c r="E613" s="237">
        <v>44302.0</v>
      </c>
      <c r="F613" s="170" t="s">
        <v>439</v>
      </c>
      <c r="G613" s="170">
        <v>1000.0</v>
      </c>
      <c r="H613" s="171">
        <v>100.0</v>
      </c>
      <c r="I613" s="171">
        <v>80.0</v>
      </c>
      <c r="J613" s="172">
        <f t="shared" si="33"/>
        <v>0.0009269003455</v>
      </c>
      <c r="K613" s="173">
        <f t="shared" si="34"/>
        <v>1.112280415</v>
      </c>
      <c r="L613" s="174">
        <f t="shared" si="4"/>
        <v>5.458612046</v>
      </c>
      <c r="M613" s="175" t="str">
        <f t="shared" si="5"/>
        <v>chuygarcia92</v>
      </c>
      <c r="N613" s="176">
        <f>IFERROR(__xludf.DUMMYFUNCTION("""COMPUTED_VALUE"""),19.0)</f>
        <v>19</v>
      </c>
      <c r="O613" s="176"/>
      <c r="P613" s="165" t="s">
        <v>483</v>
      </c>
      <c r="Q613" s="165" t="s">
        <v>441</v>
      </c>
      <c r="R613" s="176"/>
      <c r="S613" s="176"/>
      <c r="T613" s="176"/>
      <c r="U613" s="176"/>
      <c r="V613" s="176"/>
      <c r="W613" s="176"/>
      <c r="X613" s="176"/>
      <c r="Y613" s="176"/>
      <c r="Z613" s="176"/>
      <c r="AA613" s="176"/>
    </row>
    <row r="614">
      <c r="A614" s="165" t="str">
        <f>iferror(VLOOKUP(P614,'DO NOT TOUCH Imported'!$A$1:$D$800,4,False),iferror(VLOOKUP(P614,'DO NOT TOUCH Imported'!$C$1:$D$800,2,False),"OOPS FIX ME"))</f>
        <v>chuygarcia92</v>
      </c>
      <c r="B614" s="165" t="s">
        <v>20</v>
      </c>
      <c r="C614" s="170" t="s">
        <v>904</v>
      </c>
      <c r="D614" s="236" t="s">
        <v>437</v>
      </c>
      <c r="E614" s="239">
        <v>44310.0</v>
      </c>
      <c r="F614" s="170" t="s">
        <v>439</v>
      </c>
      <c r="G614" s="170">
        <v>1000.0</v>
      </c>
      <c r="H614" s="171">
        <v>100.0</v>
      </c>
      <c r="I614" s="171">
        <v>80.0</v>
      </c>
      <c r="J614" s="172">
        <f t="shared" si="33"/>
        <v>0.0009269003455</v>
      </c>
      <c r="K614" s="173">
        <f t="shared" si="34"/>
        <v>1.112280415</v>
      </c>
      <c r="L614" s="174">
        <f t="shared" si="4"/>
        <v>5.458612046</v>
      </c>
      <c r="M614" s="175" t="str">
        <f t="shared" si="5"/>
        <v>chuygarcia92</v>
      </c>
      <c r="N614" s="176">
        <f>IFERROR(__xludf.DUMMYFUNCTION("""COMPUTED_VALUE"""),20.0)</f>
        <v>20</v>
      </c>
      <c r="O614" s="176"/>
      <c r="P614" s="165" t="s">
        <v>483</v>
      </c>
      <c r="Q614" s="165" t="s">
        <v>20</v>
      </c>
      <c r="R614" s="176"/>
      <c r="S614" s="176"/>
      <c r="T614" s="176"/>
      <c r="U614" s="176"/>
      <c r="V614" s="176"/>
      <c r="W614" s="176"/>
      <c r="X614" s="176"/>
      <c r="Y614" s="176"/>
      <c r="Z614" s="176"/>
      <c r="AA614" s="176"/>
    </row>
    <row r="615">
      <c r="A615" s="165" t="str">
        <f>iferror(VLOOKUP(P615,'DO NOT TOUCH Imported'!$A$1:$D$800,4,False),iferror(VLOOKUP(P615,'DO NOT TOUCH Imported'!$C$1:$D$800,2,False),"OOPS FIX ME"))</f>
        <v>chuygarcia92</v>
      </c>
      <c r="B615" s="165" t="s">
        <v>490</v>
      </c>
      <c r="C615" s="170" t="s">
        <v>980</v>
      </c>
      <c r="D615" s="236" t="s">
        <v>437</v>
      </c>
      <c r="E615" s="239">
        <v>44309.0</v>
      </c>
      <c r="F615" s="170" t="s">
        <v>439</v>
      </c>
      <c r="G615" s="170">
        <v>1000.0</v>
      </c>
      <c r="H615" s="171">
        <v>80.0</v>
      </c>
      <c r="I615" s="171">
        <v>100.0</v>
      </c>
      <c r="J615" s="172">
        <f t="shared" si="33"/>
        <v>0.0009254417219</v>
      </c>
      <c r="K615" s="173">
        <f t="shared" si="34"/>
        <v>1.110530066</v>
      </c>
      <c r="L615" s="174">
        <f t="shared" si="4"/>
        <v>5.458612046</v>
      </c>
      <c r="M615" s="175" t="str">
        <f t="shared" si="5"/>
        <v>chuygarcia92</v>
      </c>
      <c r="N615" s="176">
        <f>IFERROR(__xludf.DUMMYFUNCTION("""COMPUTED_VALUE"""),21.0)</f>
        <v>21</v>
      </c>
      <c r="O615" s="176"/>
      <c r="P615" s="165" t="s">
        <v>483</v>
      </c>
      <c r="Q615" s="165" t="s">
        <v>490</v>
      </c>
      <c r="R615" s="176"/>
      <c r="S615" s="176"/>
      <c r="T615" s="176"/>
      <c r="U615" s="176"/>
      <c r="V615" s="176"/>
      <c r="W615" s="176"/>
      <c r="X615" s="176"/>
      <c r="Y615" s="176"/>
      <c r="Z615" s="176"/>
      <c r="AA615" s="176"/>
    </row>
    <row r="616">
      <c r="A616" s="165" t="str">
        <f>iferror(VLOOKUP(P616,'DO NOT TOUCH Imported'!$A$1:$D$800,4,False),iferror(VLOOKUP(P616,'DO NOT TOUCH Imported'!$C$1:$D$800,2,False),"OOPS FIX ME"))</f>
        <v>chuygarcia92</v>
      </c>
      <c r="B616" s="165" t="s">
        <v>528</v>
      </c>
      <c r="C616" s="170" t="s">
        <v>975</v>
      </c>
      <c r="D616" s="236" t="s">
        <v>437</v>
      </c>
      <c r="E616" s="239">
        <v>44305.0</v>
      </c>
      <c r="F616" s="170" t="s">
        <v>439</v>
      </c>
      <c r="G616" s="170">
        <v>1000.0</v>
      </c>
      <c r="H616" s="171">
        <v>100.0</v>
      </c>
      <c r="I616" s="171">
        <v>50.0</v>
      </c>
      <c r="J616" s="172">
        <f t="shared" si="33"/>
        <v>0.0007982581637</v>
      </c>
      <c r="K616" s="173">
        <f t="shared" si="34"/>
        <v>0.9579097965</v>
      </c>
      <c r="L616" s="174">
        <f t="shared" si="4"/>
        <v>5.458612046</v>
      </c>
      <c r="M616" s="175" t="str">
        <f t="shared" si="5"/>
        <v>chuygarcia92</v>
      </c>
      <c r="N616" s="176">
        <f>IFERROR(__xludf.DUMMYFUNCTION("""COMPUTED_VALUE"""),22.0)</f>
        <v>22</v>
      </c>
      <c r="O616" s="176"/>
      <c r="P616" s="165" t="s">
        <v>483</v>
      </c>
      <c r="Q616" s="165" t="s">
        <v>528</v>
      </c>
      <c r="R616" s="176"/>
      <c r="S616" s="176"/>
      <c r="T616" s="176"/>
      <c r="U616" s="176"/>
      <c r="V616" s="176"/>
      <c r="W616" s="176"/>
      <c r="X616" s="176"/>
      <c r="Y616" s="176"/>
      <c r="Z616" s="176"/>
      <c r="AA616" s="176"/>
    </row>
    <row r="617">
      <c r="A617" s="165" t="str">
        <f>iferror(VLOOKUP(P617,'DO NOT TOUCH Imported'!$A$1:$D$800,4,False),iferror(VLOOKUP(P617,'DO NOT TOUCH Imported'!$C$1:$D$800,2,False),"OOPS FIX ME"))</f>
        <v>chuygarcia92</v>
      </c>
      <c r="B617" s="165" t="s">
        <v>441</v>
      </c>
      <c r="C617" s="170" t="s">
        <v>943</v>
      </c>
      <c r="D617" s="236" t="s">
        <v>437</v>
      </c>
      <c r="E617" s="239">
        <v>44309.0</v>
      </c>
      <c r="F617" s="170" t="s">
        <v>439</v>
      </c>
      <c r="G617" s="170">
        <v>1000.0</v>
      </c>
      <c r="H617" s="171">
        <v>70.0</v>
      </c>
      <c r="I617" s="171">
        <v>50.0</v>
      </c>
      <c r="J617" s="172">
        <f t="shared" si="33"/>
        <v>0.0006674280466</v>
      </c>
      <c r="K617" s="173">
        <f t="shared" si="34"/>
        <v>0.8009136559</v>
      </c>
      <c r="L617" s="174">
        <f t="shared" si="4"/>
        <v>5.458612046</v>
      </c>
      <c r="M617" s="175" t="str">
        <f t="shared" si="5"/>
        <v>chuygarcia92</v>
      </c>
      <c r="N617" s="176">
        <f>IFERROR(__xludf.DUMMYFUNCTION("""COMPUTED_VALUE"""),23.0)</f>
        <v>23</v>
      </c>
      <c r="O617" s="176"/>
      <c r="P617" s="165" t="s">
        <v>483</v>
      </c>
      <c r="Q617" s="165" t="s">
        <v>441</v>
      </c>
      <c r="R617" s="176"/>
      <c r="S617" s="176"/>
      <c r="T617" s="176"/>
      <c r="U617" s="176"/>
      <c r="V617" s="176"/>
      <c r="W617" s="176"/>
      <c r="X617" s="176"/>
      <c r="Y617" s="176"/>
      <c r="Z617" s="176"/>
      <c r="AA617" s="176"/>
    </row>
    <row r="618">
      <c r="A618" s="165" t="str">
        <f>iferror(VLOOKUP(P618,'DO NOT TOUCH Imported'!$A$1:$D$800,4,False),iferror(VLOOKUP(P618,'DO NOT TOUCH Imported'!$C$1:$D$800,2,False),"OOPS FIX ME"))</f>
        <v>chuygarcia92</v>
      </c>
      <c r="B618" s="165" t="s">
        <v>440</v>
      </c>
      <c r="C618" s="170" t="s">
        <v>913</v>
      </c>
      <c r="D618" s="236" t="s">
        <v>437</v>
      </c>
      <c r="E618" s="239">
        <v>44298.0</v>
      </c>
      <c r="F618" s="170" t="s">
        <v>439</v>
      </c>
      <c r="G618" s="170">
        <v>1000.0</v>
      </c>
      <c r="H618" s="171">
        <v>60.0</v>
      </c>
      <c r="I618" s="171">
        <v>50.0</v>
      </c>
      <c r="J618" s="172">
        <f t="shared" si="33"/>
        <v>0.0006238180076</v>
      </c>
      <c r="K618" s="173">
        <f t="shared" si="34"/>
        <v>0.7485816091</v>
      </c>
      <c r="L618" s="174">
        <f t="shared" si="4"/>
        <v>5.458612046</v>
      </c>
      <c r="M618" s="175" t="str">
        <f t="shared" si="5"/>
        <v>chuygarcia92</v>
      </c>
      <c r="N618" s="176">
        <f>IFERROR(__xludf.DUMMYFUNCTION("""COMPUTED_VALUE"""),24.0)</f>
        <v>24</v>
      </c>
      <c r="O618" s="176"/>
      <c r="P618" s="165" t="s">
        <v>483</v>
      </c>
      <c r="Q618" s="165" t="s">
        <v>440</v>
      </c>
      <c r="R618" s="176"/>
      <c r="S618" s="176"/>
      <c r="T618" s="176"/>
      <c r="U618" s="176"/>
      <c r="V618" s="176"/>
      <c r="W618" s="176"/>
      <c r="X618" s="176"/>
      <c r="Y618" s="176"/>
      <c r="Z618" s="176"/>
      <c r="AA618" s="176"/>
    </row>
    <row r="619">
      <c r="A619" s="165" t="str">
        <f>iferror(VLOOKUP(P619,'DO NOT TOUCH Imported'!$A$1:$D$800,4,False),iferror(VLOOKUP(P619,'DO NOT TOUCH Imported'!$C$1:$D$800,2,False),"OOPS FIX ME"))</f>
        <v>chuygarcia92</v>
      </c>
      <c r="B619" s="165" t="s">
        <v>490</v>
      </c>
      <c r="C619" s="170" t="s">
        <v>914</v>
      </c>
      <c r="D619" s="236" t="s">
        <v>437</v>
      </c>
      <c r="E619" s="239">
        <v>44299.0</v>
      </c>
      <c r="F619" s="170" t="s">
        <v>439</v>
      </c>
      <c r="G619" s="170">
        <v>1000.0</v>
      </c>
      <c r="H619" s="171">
        <v>60.0</v>
      </c>
      <c r="I619" s="171">
        <v>50.0</v>
      </c>
      <c r="J619" s="172">
        <f t="shared" si="33"/>
        <v>0.0006238180076</v>
      </c>
      <c r="K619" s="173">
        <f t="shared" si="34"/>
        <v>0.7485816091</v>
      </c>
      <c r="L619" s="174">
        <f t="shared" si="4"/>
        <v>5.458612046</v>
      </c>
      <c r="M619" s="175" t="str">
        <f t="shared" si="5"/>
        <v>chuygarcia92</v>
      </c>
      <c r="N619" s="176">
        <f>IFERROR(__xludf.DUMMYFUNCTION("""COMPUTED_VALUE"""),25.0)</f>
        <v>25</v>
      </c>
      <c r="O619" s="176"/>
      <c r="P619" s="165" t="s">
        <v>483</v>
      </c>
      <c r="Q619" s="165" t="s">
        <v>490</v>
      </c>
      <c r="R619" s="176"/>
      <c r="S619" s="176"/>
      <c r="T619" s="176"/>
      <c r="U619" s="176"/>
      <c r="V619" s="176"/>
      <c r="W619" s="176"/>
      <c r="X619" s="176"/>
      <c r="Y619" s="176"/>
      <c r="Z619" s="176"/>
      <c r="AA619" s="176"/>
    </row>
    <row r="620">
      <c r="A620" s="165" t="str">
        <f>iferror(VLOOKUP(P620,'DO NOT TOUCH Imported'!$A$1:$D$800,4,False),iferror(VLOOKUP(P620,'DO NOT TOUCH Imported'!$C$1:$D$800,2,False),"OOPS FIX ME"))</f>
        <v>chuygarcia92</v>
      </c>
      <c r="B620" s="165" t="s">
        <v>440</v>
      </c>
      <c r="C620" s="170" t="s">
        <v>917</v>
      </c>
      <c r="D620" s="236" t="s">
        <v>437</v>
      </c>
      <c r="E620" s="239">
        <v>44301.0</v>
      </c>
      <c r="F620" s="170" t="s">
        <v>439</v>
      </c>
      <c r="G620" s="170">
        <v>1000.0</v>
      </c>
      <c r="H620" s="171">
        <v>60.0</v>
      </c>
      <c r="I620" s="171">
        <v>50.0</v>
      </c>
      <c r="J620" s="172">
        <f t="shared" si="33"/>
        <v>0.0006238180076</v>
      </c>
      <c r="K620" s="173">
        <f t="shared" si="34"/>
        <v>0.7485816091</v>
      </c>
      <c r="L620" s="174">
        <f t="shared" si="4"/>
        <v>5.458612046</v>
      </c>
      <c r="M620" s="175" t="str">
        <f t="shared" si="5"/>
        <v>chuygarcia92</v>
      </c>
      <c r="N620" s="176">
        <f>IFERROR(__xludf.DUMMYFUNCTION("""COMPUTED_VALUE"""),26.0)</f>
        <v>26</v>
      </c>
      <c r="O620" s="176"/>
      <c r="P620" s="165" t="s">
        <v>483</v>
      </c>
      <c r="Q620" s="165" t="s">
        <v>440</v>
      </c>
      <c r="R620" s="176"/>
      <c r="S620" s="176"/>
      <c r="T620" s="176"/>
      <c r="U620" s="176"/>
      <c r="V620" s="176"/>
      <c r="W620" s="176"/>
      <c r="X620" s="176"/>
      <c r="Y620" s="176"/>
      <c r="Z620" s="176"/>
      <c r="AA620" s="176"/>
    </row>
    <row r="621">
      <c r="A621" s="165" t="str">
        <f>iferror(VLOOKUP(P621,'DO NOT TOUCH Imported'!$A$1:$D$800,4,False),iferror(VLOOKUP(P621,'DO NOT TOUCH Imported'!$C$1:$D$800,2,False),"OOPS FIX ME"))</f>
        <v>chuygarcia92</v>
      </c>
      <c r="B621" s="165" t="s">
        <v>441</v>
      </c>
      <c r="C621" s="170" t="s">
        <v>918</v>
      </c>
      <c r="D621" s="236" t="s">
        <v>437</v>
      </c>
      <c r="E621" s="239">
        <v>44302.0</v>
      </c>
      <c r="F621" s="170" t="s">
        <v>439</v>
      </c>
      <c r="G621" s="170">
        <v>1000.0</v>
      </c>
      <c r="H621" s="171">
        <v>60.0</v>
      </c>
      <c r="I621" s="171">
        <v>50.0</v>
      </c>
      <c r="J621" s="172">
        <f t="shared" si="33"/>
        <v>0.0006238180076</v>
      </c>
      <c r="K621" s="173">
        <f t="shared" si="34"/>
        <v>0.7485816091</v>
      </c>
      <c r="L621" s="174">
        <f t="shared" si="4"/>
        <v>5.458612046</v>
      </c>
      <c r="M621" s="175" t="str">
        <f t="shared" si="5"/>
        <v>chuygarcia92</v>
      </c>
      <c r="N621" s="176">
        <f>IFERROR(__xludf.DUMMYFUNCTION("""COMPUTED_VALUE"""),27.0)</f>
        <v>27</v>
      </c>
      <c r="O621" s="176"/>
      <c r="P621" s="165" t="s">
        <v>483</v>
      </c>
      <c r="Q621" s="165" t="s">
        <v>441</v>
      </c>
      <c r="R621" s="176"/>
      <c r="S621" s="176"/>
      <c r="T621" s="176"/>
      <c r="U621" s="176"/>
      <c r="V621" s="176"/>
      <c r="W621" s="176"/>
      <c r="X621" s="176"/>
      <c r="Y621" s="176"/>
      <c r="Z621" s="176"/>
      <c r="AA621" s="176"/>
    </row>
    <row r="622">
      <c r="A622" s="165" t="str">
        <f>iferror(VLOOKUP(P622,'DO NOT TOUCH Imported'!$A$1:$D$800,4,False),iferror(VLOOKUP(P622,'DO NOT TOUCH Imported'!$C$1:$D$800,2,False),"OOPS FIX ME"))</f>
        <v>chuygarcia92</v>
      </c>
      <c r="B622" s="165" t="s">
        <v>483</v>
      </c>
      <c r="C622" s="170" t="s">
        <v>920</v>
      </c>
      <c r="D622" s="236" t="s">
        <v>437</v>
      </c>
      <c r="E622" s="237">
        <v>44305.0</v>
      </c>
      <c r="F622" s="170" t="s">
        <v>439</v>
      </c>
      <c r="G622" s="170">
        <v>1000.0</v>
      </c>
      <c r="H622" s="171">
        <v>60.0</v>
      </c>
      <c r="I622" s="171">
        <v>50.0</v>
      </c>
      <c r="J622" s="172">
        <f t="shared" si="33"/>
        <v>0.0006238180076</v>
      </c>
      <c r="K622" s="173">
        <f t="shared" si="34"/>
        <v>0.7485816091</v>
      </c>
      <c r="L622" s="174">
        <f t="shared" si="4"/>
        <v>5.458612046</v>
      </c>
      <c r="M622" s="175" t="str">
        <f t="shared" si="5"/>
        <v>chuygarcia92</v>
      </c>
      <c r="N622" s="176">
        <f>IFERROR(__xludf.DUMMYFUNCTION("""COMPUTED_VALUE"""),28.0)</f>
        <v>28</v>
      </c>
      <c r="O622" s="176"/>
      <c r="P622" s="165" t="s">
        <v>483</v>
      </c>
      <c r="Q622" s="165" t="s">
        <v>483</v>
      </c>
      <c r="R622" s="176"/>
      <c r="S622" s="176"/>
      <c r="T622" s="176"/>
      <c r="U622" s="176"/>
      <c r="V622" s="176"/>
      <c r="W622" s="176"/>
      <c r="X622" s="176"/>
      <c r="Y622" s="176"/>
      <c r="Z622" s="176"/>
      <c r="AA622" s="176"/>
    </row>
    <row r="623">
      <c r="A623" s="165" t="str">
        <f>iferror(VLOOKUP(P623,'DO NOT TOUCH Imported'!$A$1:$D$800,4,False),iferror(VLOOKUP(P623,'DO NOT TOUCH Imported'!$C$1:$D$800,2,False),"OOPS FIX ME"))</f>
        <v>chuygarcia92</v>
      </c>
      <c r="B623" s="165" t="s">
        <v>486</v>
      </c>
      <c r="C623" s="170" t="s">
        <v>921</v>
      </c>
      <c r="D623" s="236" t="s">
        <v>437</v>
      </c>
      <c r="E623" s="239">
        <v>44306.0</v>
      </c>
      <c r="F623" s="170" t="s">
        <v>439</v>
      </c>
      <c r="G623" s="170">
        <v>1000.0</v>
      </c>
      <c r="H623" s="171">
        <v>60.0</v>
      </c>
      <c r="I623" s="171">
        <v>50.0</v>
      </c>
      <c r="J623" s="172">
        <f t="shared" si="33"/>
        <v>0.0006238180076</v>
      </c>
      <c r="K623" s="173">
        <f t="shared" si="34"/>
        <v>0.7485816091</v>
      </c>
      <c r="L623" s="174">
        <f t="shared" si="4"/>
        <v>5.458612046</v>
      </c>
      <c r="M623" s="175" t="str">
        <f t="shared" si="5"/>
        <v>chuygarcia92</v>
      </c>
      <c r="N623" s="176">
        <f>IFERROR(__xludf.DUMMYFUNCTION("""COMPUTED_VALUE"""),29.0)</f>
        <v>29</v>
      </c>
      <c r="O623" s="176"/>
      <c r="P623" s="165" t="s">
        <v>483</v>
      </c>
      <c r="Q623" s="165" t="s">
        <v>486</v>
      </c>
      <c r="R623" s="176"/>
      <c r="S623" s="176"/>
      <c r="T623" s="176"/>
      <c r="U623" s="176"/>
      <c r="V623" s="176"/>
      <c r="W623" s="176"/>
      <c r="X623" s="176"/>
      <c r="Y623" s="176"/>
      <c r="Z623" s="176"/>
      <c r="AA623" s="176"/>
    </row>
    <row r="624">
      <c r="A624" s="165" t="str">
        <f>iferror(VLOOKUP(P624,'DO NOT TOUCH Imported'!$A$1:$D$800,4,False),iferror(VLOOKUP(P624,'DO NOT TOUCH Imported'!$C$1:$D$800,2,False),"OOPS FIX ME"))</f>
        <v>chuygarcia92</v>
      </c>
      <c r="B624" s="165" t="s">
        <v>440</v>
      </c>
      <c r="C624" s="170" t="s">
        <v>922</v>
      </c>
      <c r="D624" s="236" t="s">
        <v>437</v>
      </c>
      <c r="E624" s="237">
        <v>44307.0</v>
      </c>
      <c r="F624" s="170" t="s">
        <v>439</v>
      </c>
      <c r="G624" s="170">
        <v>1000.0</v>
      </c>
      <c r="H624" s="171">
        <v>60.0</v>
      </c>
      <c r="I624" s="171">
        <v>50.0</v>
      </c>
      <c r="J624" s="172">
        <f t="shared" si="33"/>
        <v>0.0006238180076</v>
      </c>
      <c r="K624" s="173">
        <f t="shared" si="34"/>
        <v>0.7485816091</v>
      </c>
      <c r="L624" s="174">
        <f t="shared" si="4"/>
        <v>5.458612046</v>
      </c>
      <c r="M624" s="175" t="str">
        <f t="shared" si="5"/>
        <v>chuygarcia92</v>
      </c>
      <c r="N624" s="176">
        <f>IFERROR(__xludf.DUMMYFUNCTION("""COMPUTED_VALUE"""),30.0)</f>
        <v>30</v>
      </c>
      <c r="O624" s="176"/>
      <c r="P624" s="165" t="s">
        <v>483</v>
      </c>
      <c r="Q624" s="165" t="s">
        <v>440</v>
      </c>
      <c r="R624" s="176"/>
      <c r="S624" s="176"/>
      <c r="T624" s="176"/>
      <c r="U624" s="176"/>
      <c r="V624" s="176"/>
      <c r="W624" s="176"/>
      <c r="X624" s="176"/>
      <c r="Y624" s="176"/>
      <c r="Z624" s="176"/>
      <c r="AA624" s="176"/>
    </row>
    <row r="625">
      <c r="A625" s="165" t="str">
        <f>iferror(VLOOKUP(P625,'DO NOT TOUCH Imported'!$A$1:$D$800,4,False),iferror(VLOOKUP(P625,'DO NOT TOUCH Imported'!$C$1:$D$800,2,False),"OOPS FIX ME"))</f>
        <v>chuygarcia92</v>
      </c>
      <c r="B625" s="165" t="s">
        <v>441</v>
      </c>
      <c r="C625" s="170" t="s">
        <v>923</v>
      </c>
      <c r="D625" s="236" t="s">
        <v>437</v>
      </c>
      <c r="E625" s="239">
        <v>44309.0</v>
      </c>
      <c r="F625" s="170" t="s">
        <v>439</v>
      </c>
      <c r="G625" s="170">
        <v>1000.0</v>
      </c>
      <c r="H625" s="171">
        <v>60.0</v>
      </c>
      <c r="I625" s="171">
        <v>50.0</v>
      </c>
      <c r="J625" s="172">
        <f t="shared" si="33"/>
        <v>0.0006238180076</v>
      </c>
      <c r="K625" s="173">
        <f t="shared" si="34"/>
        <v>0.7485816091</v>
      </c>
      <c r="L625" s="174">
        <f t="shared" si="4"/>
        <v>5.458612046</v>
      </c>
      <c r="M625" s="175" t="str">
        <f t="shared" si="5"/>
        <v>chuygarcia92</v>
      </c>
      <c r="N625" s="176">
        <f>IFERROR(__xludf.DUMMYFUNCTION("""COMPUTED_VALUE"""),31.0)</f>
        <v>31</v>
      </c>
      <c r="O625" s="176"/>
      <c r="P625" s="165" t="s">
        <v>483</v>
      </c>
      <c r="Q625" s="165" t="s">
        <v>441</v>
      </c>
      <c r="R625" s="176"/>
      <c r="S625" s="176"/>
      <c r="T625" s="176"/>
      <c r="U625" s="176"/>
      <c r="V625" s="176"/>
      <c r="W625" s="176"/>
      <c r="X625" s="176"/>
      <c r="Y625" s="176"/>
      <c r="Z625" s="176"/>
      <c r="AA625" s="176"/>
    </row>
    <row r="626">
      <c r="A626" s="165" t="str">
        <f>iferror(VLOOKUP(P626,'DO NOT TOUCH Imported'!$A$1:$D$800,4,False),iferror(VLOOKUP(P626,'DO NOT TOUCH Imported'!$C$1:$D$800,2,False),"OOPS FIX ME"))</f>
        <v>chuygarcia92</v>
      </c>
      <c r="B626" s="165" t="s">
        <v>486</v>
      </c>
      <c r="C626" s="170" t="s">
        <v>924</v>
      </c>
      <c r="D626" s="236" t="s">
        <v>437</v>
      </c>
      <c r="E626" s="239">
        <v>44299.0</v>
      </c>
      <c r="F626" s="170" t="s">
        <v>439</v>
      </c>
      <c r="G626" s="170">
        <v>1000.0</v>
      </c>
      <c r="H626" s="171">
        <v>50.0</v>
      </c>
      <c r="I626" s="171">
        <v>50.0</v>
      </c>
      <c r="J626" s="172">
        <f t="shared" si="33"/>
        <v>0.0005802079686</v>
      </c>
      <c r="K626" s="173">
        <f t="shared" si="34"/>
        <v>0.6962495623</v>
      </c>
      <c r="L626" s="174">
        <f t="shared" si="4"/>
        <v>5.458612046</v>
      </c>
      <c r="M626" s="175" t="str">
        <f t="shared" si="5"/>
        <v>chuygarcia92</v>
      </c>
      <c r="N626" s="176">
        <f>IFERROR(__xludf.DUMMYFUNCTION("""COMPUTED_VALUE"""),32.0)</f>
        <v>32</v>
      </c>
      <c r="O626" s="176"/>
      <c r="P626" s="165" t="s">
        <v>483</v>
      </c>
      <c r="Q626" s="165" t="s">
        <v>486</v>
      </c>
      <c r="R626" s="176"/>
      <c r="S626" s="176"/>
      <c r="T626" s="176"/>
      <c r="U626" s="176"/>
      <c r="V626" s="176"/>
      <c r="W626" s="176"/>
      <c r="X626" s="176"/>
      <c r="Y626" s="176"/>
      <c r="Z626" s="176"/>
      <c r="AA626" s="176"/>
    </row>
    <row r="627">
      <c r="A627" s="165" t="str">
        <f>iferror(VLOOKUP(P627,'DO NOT TOUCH Imported'!$A$1:$D$800,4,False),iferror(VLOOKUP(P627,'DO NOT TOUCH Imported'!$C$1:$D$800,2,False),"OOPS FIX ME"))</f>
        <v>chuygarcia92</v>
      </c>
      <c r="B627" s="165" t="s">
        <v>10</v>
      </c>
      <c r="C627" s="170" t="s">
        <v>494</v>
      </c>
      <c r="D627" s="236" t="s">
        <v>495</v>
      </c>
      <c r="E627" s="237">
        <v>44302.0</v>
      </c>
      <c r="F627" s="170" t="s">
        <v>496</v>
      </c>
      <c r="G627" s="170">
        <v>1500.0</v>
      </c>
      <c r="H627" s="171">
        <v>25.0</v>
      </c>
      <c r="I627" s="171">
        <v>40.0</v>
      </c>
      <c r="J627" s="172">
        <f t="shared" si="33"/>
        <v>0.0005021792123</v>
      </c>
      <c r="K627" s="173">
        <f t="shared" si="34"/>
        <v>0.6026150547</v>
      </c>
      <c r="L627" s="174">
        <f t="shared" si="4"/>
        <v>5.458612046</v>
      </c>
      <c r="M627" s="175" t="str">
        <f t="shared" si="5"/>
        <v>chuygarcia92</v>
      </c>
      <c r="N627" s="176">
        <f>IFERROR(__xludf.DUMMYFUNCTION("""COMPUTED_VALUE"""),33.0)</f>
        <v>33</v>
      </c>
      <c r="O627" s="176"/>
      <c r="P627" s="165" t="s">
        <v>63</v>
      </c>
      <c r="Q627" s="165" t="s">
        <v>10</v>
      </c>
      <c r="R627" s="176"/>
      <c r="S627" s="176"/>
      <c r="T627" s="176"/>
      <c r="U627" s="176"/>
      <c r="V627" s="176"/>
      <c r="W627" s="176"/>
      <c r="X627" s="176"/>
      <c r="Y627" s="176"/>
      <c r="Z627" s="176"/>
      <c r="AA627" s="176"/>
    </row>
    <row r="628">
      <c r="A628" s="165" t="str">
        <f>iferror(VLOOKUP(P628,'DO NOT TOUCH Imported'!$A$1:$D$800,4,False),iferror(VLOOKUP(P628,'DO NOT TOUCH Imported'!$C$1:$D$800,2,False),"OOPS FIX ME"))</f>
        <v>chuygarcia92</v>
      </c>
      <c r="B628" s="165" t="s">
        <v>10</v>
      </c>
      <c r="C628" s="170" t="s">
        <v>494</v>
      </c>
      <c r="D628" s="236" t="s">
        <v>495</v>
      </c>
      <c r="E628" s="239">
        <v>44309.0</v>
      </c>
      <c r="F628" s="170" t="s">
        <v>496</v>
      </c>
      <c r="G628" s="170">
        <v>1500.0</v>
      </c>
      <c r="H628" s="171">
        <v>25.0</v>
      </c>
      <c r="I628" s="171">
        <v>40.0</v>
      </c>
      <c r="J628" s="172">
        <f t="shared" si="33"/>
        <v>0.0005021792123</v>
      </c>
      <c r="K628" s="173">
        <f t="shared" si="34"/>
        <v>0.6026150547</v>
      </c>
      <c r="L628" s="174">
        <f t="shared" si="4"/>
        <v>5.458612046</v>
      </c>
      <c r="M628" s="175" t="str">
        <f t="shared" si="5"/>
        <v>chuygarcia92</v>
      </c>
      <c r="N628" s="176">
        <f>IFERROR(__xludf.DUMMYFUNCTION("""COMPUTED_VALUE"""),34.0)</f>
        <v>34</v>
      </c>
      <c r="O628" s="176"/>
      <c r="P628" s="165" t="s">
        <v>63</v>
      </c>
      <c r="Q628" s="165" t="s">
        <v>10</v>
      </c>
      <c r="R628" s="176"/>
      <c r="S628" s="176"/>
      <c r="T628" s="176"/>
      <c r="U628" s="176"/>
      <c r="V628" s="176"/>
      <c r="W628" s="176"/>
      <c r="X628" s="176"/>
      <c r="Y628" s="176"/>
      <c r="Z628" s="176"/>
      <c r="AA628" s="176"/>
    </row>
    <row r="629">
      <c r="A629" s="165" t="str">
        <f>iferror(VLOOKUP(P629,'DO NOT TOUCH Imported'!$A$1:$D$800,4,False),iferror(VLOOKUP(P629,'DO NOT TOUCH Imported'!$C$1:$D$800,2,False),"OOPS FIX ME"))</f>
        <v>danibelle</v>
      </c>
      <c r="B629" s="165" t="s">
        <v>768</v>
      </c>
      <c r="C629" s="170" t="s">
        <v>1146</v>
      </c>
      <c r="D629" s="236" t="s">
        <v>499</v>
      </c>
      <c r="E629" s="237">
        <v>44299.0</v>
      </c>
      <c r="F629" s="170" t="s">
        <v>503</v>
      </c>
      <c r="G629" s="170">
        <v>5000.0</v>
      </c>
      <c r="H629" s="171">
        <v>200.0</v>
      </c>
      <c r="I629" s="171">
        <v>100.0</v>
      </c>
      <c r="J629" s="172">
        <f t="shared" si="33"/>
        <v>0.002039778739</v>
      </c>
      <c r="K629" s="173">
        <f t="shared" si="34"/>
        <v>2.447734487</v>
      </c>
      <c r="L629" s="174">
        <f t="shared" si="4"/>
        <v>5.412146977</v>
      </c>
      <c r="M629" s="175" t="str">
        <f t="shared" si="5"/>
        <v>danibelle</v>
      </c>
      <c r="N629" s="176">
        <f>IFERROR(__xludf.DUMMYFUNCTION("""COMPUTED_VALUE"""),1.0)</f>
        <v>1</v>
      </c>
      <c r="O629" s="176"/>
      <c r="P629" s="165" t="s">
        <v>831</v>
      </c>
      <c r="Q629" s="165" t="s">
        <v>768</v>
      </c>
      <c r="R629" s="176"/>
      <c r="S629" s="176"/>
      <c r="T629" s="176"/>
      <c r="U629" s="176"/>
      <c r="V629" s="176"/>
      <c r="W629" s="176"/>
      <c r="X629" s="176"/>
      <c r="Y629" s="176"/>
      <c r="Z629" s="176"/>
      <c r="AA629" s="176"/>
    </row>
    <row r="630">
      <c r="A630" s="165" t="str">
        <f>iferror(VLOOKUP(P630,'DO NOT TOUCH Imported'!$A$1:$D$800,4,False),iferror(VLOOKUP(P630,'DO NOT TOUCH Imported'!$C$1:$D$800,2,False),"OOPS FIX ME"))</f>
        <v>danibelle</v>
      </c>
      <c r="B630" s="165" t="s">
        <v>441</v>
      </c>
      <c r="C630" s="170" t="s">
        <v>1041</v>
      </c>
      <c r="D630" s="236" t="s">
        <v>437</v>
      </c>
      <c r="E630" s="237">
        <v>44302.0</v>
      </c>
      <c r="F630" s="170" t="s">
        <v>439</v>
      </c>
      <c r="G630" s="170">
        <v>5000.0</v>
      </c>
      <c r="H630" s="171">
        <v>50.0</v>
      </c>
      <c r="I630" s="171">
        <v>150.0</v>
      </c>
      <c r="J630" s="172">
        <f t="shared" si="33"/>
        <v>0.00160003179</v>
      </c>
      <c r="K630" s="173">
        <f t="shared" si="34"/>
        <v>1.920038148</v>
      </c>
      <c r="L630" s="174">
        <f t="shared" si="4"/>
        <v>5.412146977</v>
      </c>
      <c r="M630" s="175" t="str">
        <f t="shared" si="5"/>
        <v>danibelle</v>
      </c>
      <c r="N630" s="176">
        <f>IFERROR(__xludf.DUMMYFUNCTION("""COMPUTED_VALUE"""),2.0)</f>
        <v>2</v>
      </c>
      <c r="O630" s="176"/>
      <c r="P630" s="165" t="s">
        <v>831</v>
      </c>
      <c r="Q630" s="165" t="s">
        <v>441</v>
      </c>
      <c r="R630" s="176"/>
      <c r="S630" s="176"/>
      <c r="T630" s="176"/>
      <c r="U630" s="176"/>
      <c r="V630" s="176"/>
      <c r="W630" s="176"/>
      <c r="X630" s="176"/>
      <c r="Y630" s="176"/>
      <c r="Z630" s="176"/>
      <c r="AA630" s="176"/>
    </row>
    <row r="631">
      <c r="A631" s="165" t="str">
        <f>iferror(VLOOKUP(P631,'DO NOT TOUCH Imported'!$A$1:$D$800,4,False),iferror(VLOOKUP(P631,'DO NOT TOUCH Imported'!$C$1:$D$800,2,False),"OOPS FIX ME"))</f>
        <v>danibelle</v>
      </c>
      <c r="B631" s="165" t="s">
        <v>10</v>
      </c>
      <c r="C631" s="170" t="s">
        <v>498</v>
      </c>
      <c r="D631" s="236" t="s">
        <v>495</v>
      </c>
      <c r="E631" s="239">
        <v>44302.0</v>
      </c>
      <c r="F631" s="170" t="s">
        <v>499</v>
      </c>
      <c r="G631" s="170">
        <v>500.0</v>
      </c>
      <c r="H631" s="171">
        <v>25.0</v>
      </c>
      <c r="I631" s="171">
        <v>25.0</v>
      </c>
      <c r="J631" s="172">
        <f t="shared" si="33"/>
        <v>0.0002901039843</v>
      </c>
      <c r="K631" s="173">
        <f t="shared" si="34"/>
        <v>0.3481247811</v>
      </c>
      <c r="L631" s="174">
        <f t="shared" si="4"/>
        <v>5.412146977</v>
      </c>
      <c r="M631" s="175" t="str">
        <f t="shared" si="5"/>
        <v>danibelle</v>
      </c>
      <c r="N631" s="176">
        <f>IFERROR(__xludf.DUMMYFUNCTION("""COMPUTED_VALUE"""),3.0)</f>
        <v>3</v>
      </c>
      <c r="O631" s="176"/>
      <c r="P631" s="165" t="s">
        <v>38</v>
      </c>
      <c r="Q631" s="165" t="s">
        <v>10</v>
      </c>
      <c r="R631" s="176"/>
      <c r="S631" s="176"/>
      <c r="T631" s="176"/>
      <c r="U631" s="176"/>
      <c r="V631" s="176"/>
      <c r="W631" s="176"/>
      <c r="X631" s="176"/>
      <c r="Y631" s="176"/>
      <c r="Z631" s="176"/>
      <c r="AA631" s="176"/>
    </row>
    <row r="632">
      <c r="A632" s="165" t="str">
        <f>iferror(VLOOKUP(P632,'DO NOT TOUCH Imported'!$A$1:$D$800,4,False),iferror(VLOOKUP(P632,'DO NOT TOUCH Imported'!$C$1:$D$800,2,False),"OOPS FIX ME"))</f>
        <v>danibelle</v>
      </c>
      <c r="B632" s="165" t="s">
        <v>10</v>
      </c>
      <c r="C632" s="170" t="s">
        <v>498</v>
      </c>
      <c r="D632" s="236" t="s">
        <v>495</v>
      </c>
      <c r="E632" s="237">
        <v>44302.0</v>
      </c>
      <c r="F632" s="170" t="s">
        <v>499</v>
      </c>
      <c r="G632" s="170">
        <v>500.0</v>
      </c>
      <c r="H632" s="171">
        <v>25.0</v>
      </c>
      <c r="I632" s="171">
        <v>25.0</v>
      </c>
      <c r="J632" s="172">
        <f t="shared" si="33"/>
        <v>0.0002901039843</v>
      </c>
      <c r="K632" s="173">
        <f t="shared" si="34"/>
        <v>0.3481247811</v>
      </c>
      <c r="L632" s="174">
        <f t="shared" si="4"/>
        <v>5.412146977</v>
      </c>
      <c r="M632" s="175" t="str">
        <f t="shared" si="5"/>
        <v>danibelle</v>
      </c>
      <c r="N632" s="176">
        <f>IFERROR(__xludf.DUMMYFUNCTION("""COMPUTED_VALUE"""),4.0)</f>
        <v>4</v>
      </c>
      <c r="O632" s="176"/>
      <c r="P632" s="165" t="s">
        <v>38</v>
      </c>
      <c r="Q632" s="165" t="s">
        <v>10</v>
      </c>
      <c r="R632" s="176"/>
      <c r="S632" s="176"/>
      <c r="T632" s="176"/>
      <c r="U632" s="176"/>
      <c r="V632" s="176"/>
      <c r="W632" s="176"/>
      <c r="X632" s="176"/>
      <c r="Y632" s="176"/>
      <c r="Z632" s="176"/>
      <c r="AA632" s="176"/>
    </row>
    <row r="633">
      <c r="A633" s="165" t="str">
        <f>iferror(VLOOKUP(P633,'DO NOT TOUCH Imported'!$A$1:$D$800,4,False),iferror(VLOOKUP(P633,'DO NOT TOUCH Imported'!$C$1:$D$800,2,False),"OOPS FIX ME"))</f>
        <v>danibelle</v>
      </c>
      <c r="B633" s="165" t="s">
        <v>10</v>
      </c>
      <c r="C633" s="170" t="s">
        <v>498</v>
      </c>
      <c r="D633" s="236" t="s">
        <v>495</v>
      </c>
      <c r="E633" s="237">
        <v>44309.0</v>
      </c>
      <c r="F633" s="170" t="s">
        <v>499</v>
      </c>
      <c r="G633" s="170">
        <v>500.0</v>
      </c>
      <c r="H633" s="171">
        <v>25.0</v>
      </c>
      <c r="I633" s="171">
        <v>25.0</v>
      </c>
      <c r="J633" s="172">
        <f t="shared" si="33"/>
        <v>0.0002901039843</v>
      </c>
      <c r="K633" s="173">
        <f t="shared" si="34"/>
        <v>0.3481247811</v>
      </c>
      <c r="L633" s="174">
        <f t="shared" si="4"/>
        <v>5.412146977</v>
      </c>
      <c r="M633" s="175" t="str">
        <f t="shared" si="5"/>
        <v>danibelle</v>
      </c>
      <c r="N633" s="176">
        <f>IFERROR(__xludf.DUMMYFUNCTION("""COMPUTED_VALUE"""),5.0)</f>
        <v>5</v>
      </c>
      <c r="O633" s="176"/>
      <c r="P633" s="165" t="s">
        <v>38</v>
      </c>
      <c r="Q633" s="165" t="s">
        <v>10</v>
      </c>
      <c r="R633" s="176"/>
      <c r="S633" s="176"/>
      <c r="T633" s="176"/>
      <c r="U633" s="176"/>
      <c r="V633" s="176"/>
      <c r="W633" s="176"/>
      <c r="X633" s="176"/>
      <c r="Y633" s="176"/>
      <c r="Z633" s="176"/>
      <c r="AA633" s="176"/>
    </row>
    <row r="634">
      <c r="A634" s="165" t="str">
        <f>iferror(VLOOKUP(P634,'DO NOT TOUCH Imported'!$A$1:$D$800,4,False),iferror(VLOOKUP(P634,'DO NOT TOUCH Imported'!$C$1:$D$800,2,False),"OOPS FIX ME"))</f>
        <v>T Wells#9070</v>
      </c>
      <c r="B634" s="165" t="s">
        <v>20</v>
      </c>
      <c r="C634" s="170" t="s">
        <v>1147</v>
      </c>
      <c r="D634" s="236" t="s">
        <v>437</v>
      </c>
      <c r="E634" s="237">
        <v>44299.0</v>
      </c>
      <c r="F634" s="170" t="s">
        <v>439</v>
      </c>
      <c r="G634" s="170">
        <v>5000.0</v>
      </c>
      <c r="H634" s="171">
        <v>100.0</v>
      </c>
      <c r="I634" s="171">
        <v>100.0</v>
      </c>
      <c r="J634" s="172">
        <f t="shared" si="33"/>
        <v>0.001603678348</v>
      </c>
      <c r="K634" s="173">
        <f t="shared" si="34"/>
        <v>1.924414018</v>
      </c>
      <c r="L634" s="174">
        <f t="shared" si="4"/>
        <v>5.355080131</v>
      </c>
      <c r="M634" s="175" t="str">
        <f t="shared" si="5"/>
        <v>T Wells#9070</v>
      </c>
      <c r="N634" s="176">
        <f>IFERROR(__xludf.DUMMYFUNCTION("""COMPUTED_VALUE"""),1.0)</f>
        <v>1</v>
      </c>
      <c r="O634" s="176"/>
      <c r="P634" s="165" t="s">
        <v>94</v>
      </c>
      <c r="Q634" s="165" t="s">
        <v>20</v>
      </c>
      <c r="R634" s="176"/>
      <c r="S634" s="176"/>
      <c r="T634" s="176"/>
      <c r="U634" s="176"/>
      <c r="V634" s="176"/>
      <c r="W634" s="176"/>
      <c r="X634" s="176"/>
      <c r="Y634" s="176"/>
      <c r="Z634" s="176"/>
      <c r="AA634" s="176"/>
    </row>
    <row r="635">
      <c r="A635" s="165" t="str">
        <f>iferror(VLOOKUP(P635,'DO NOT TOUCH Imported'!$A$1:$D$800,4,False),iferror(VLOOKUP(P635,'DO NOT TOUCH Imported'!$C$1:$D$800,2,False),"OOPS FIX ME"))</f>
        <v>T Wells#9070</v>
      </c>
      <c r="B635" s="165" t="s">
        <v>483</v>
      </c>
      <c r="C635" s="170" t="s">
        <v>1107</v>
      </c>
      <c r="D635" s="236" t="s">
        <v>437</v>
      </c>
      <c r="E635" s="237">
        <v>44308.0</v>
      </c>
      <c r="F635" s="170" t="s">
        <v>439</v>
      </c>
      <c r="G635" s="170">
        <v>3000.0</v>
      </c>
      <c r="H635" s="171">
        <v>100.0</v>
      </c>
      <c r="I635" s="171">
        <v>100.0</v>
      </c>
      <c r="J635" s="172">
        <f t="shared" si="33"/>
        <v>0.001308170074</v>
      </c>
      <c r="K635" s="173">
        <f t="shared" si="34"/>
        <v>1.569804089</v>
      </c>
      <c r="L635" s="174">
        <f t="shared" si="4"/>
        <v>5.355080131</v>
      </c>
      <c r="M635" s="175" t="str">
        <f t="shared" si="5"/>
        <v>T Wells#9070</v>
      </c>
      <c r="N635" s="176">
        <f>IFERROR(__xludf.DUMMYFUNCTION("""COMPUTED_VALUE"""),2.0)</f>
        <v>2</v>
      </c>
      <c r="O635" s="176"/>
      <c r="P635" s="165" t="s">
        <v>94</v>
      </c>
      <c r="Q635" s="165" t="s">
        <v>483</v>
      </c>
      <c r="R635" s="176"/>
      <c r="S635" s="176"/>
      <c r="T635" s="176"/>
      <c r="U635" s="176"/>
      <c r="V635" s="176"/>
      <c r="W635" s="176"/>
      <c r="X635" s="176"/>
      <c r="Y635" s="176"/>
      <c r="Z635" s="176"/>
      <c r="AA635" s="176"/>
    </row>
    <row r="636">
      <c r="A636" s="165" t="str">
        <f>iferror(VLOOKUP(P636,'DO NOT TOUCH Imported'!$A$1:$D$800,4,False),iferror(VLOOKUP(P636,'DO NOT TOUCH Imported'!$C$1:$D$800,2,False),"OOPS FIX ME"))</f>
        <v>T Wells#9070</v>
      </c>
      <c r="B636" s="165" t="s">
        <v>483</v>
      </c>
      <c r="C636" s="170" t="s">
        <v>1148</v>
      </c>
      <c r="D636" s="236" t="s">
        <v>437</v>
      </c>
      <c r="E636" s="237">
        <v>44301.0</v>
      </c>
      <c r="F636" s="170" t="s">
        <v>439</v>
      </c>
      <c r="G636" s="170">
        <v>1000.0</v>
      </c>
      <c r="H636" s="171">
        <v>100.0</v>
      </c>
      <c r="I636" s="171">
        <v>80.0</v>
      </c>
      <c r="J636" s="172">
        <f t="shared" si="33"/>
        <v>0.0009269003455</v>
      </c>
      <c r="K636" s="173">
        <f t="shared" si="34"/>
        <v>1.112280415</v>
      </c>
      <c r="L636" s="174">
        <f t="shared" si="4"/>
        <v>5.355080131</v>
      </c>
      <c r="M636" s="175" t="str">
        <f t="shared" si="5"/>
        <v>T Wells#9070</v>
      </c>
      <c r="N636" s="176">
        <f>IFERROR(__xludf.DUMMYFUNCTION("""COMPUTED_VALUE"""),3.0)</f>
        <v>3</v>
      </c>
      <c r="O636" s="176"/>
      <c r="P636" s="165" t="s">
        <v>94</v>
      </c>
      <c r="Q636" s="165" t="s">
        <v>483</v>
      </c>
      <c r="R636" s="176"/>
      <c r="S636" s="176"/>
      <c r="T636" s="176"/>
      <c r="U636" s="176"/>
      <c r="V636" s="176"/>
      <c r="W636" s="176"/>
      <c r="X636" s="176"/>
      <c r="Y636" s="176"/>
      <c r="Z636" s="176"/>
      <c r="AA636" s="176"/>
    </row>
    <row r="637">
      <c r="A637" s="165" t="str">
        <f>iferror(VLOOKUP(P637,'DO NOT TOUCH Imported'!$A$1:$D$800,4,False),iferror(VLOOKUP(P637,'DO NOT TOUCH Imported'!$C$1:$D$800,2,False),"OOPS FIX ME"))</f>
        <v>T Wells#9070</v>
      </c>
      <c r="B637" s="165" t="s">
        <v>486</v>
      </c>
      <c r="C637" s="170" t="s">
        <v>1149</v>
      </c>
      <c r="D637" s="236" t="s">
        <v>437</v>
      </c>
      <c r="E637" s="237">
        <v>44300.0</v>
      </c>
      <c r="F637" s="170" t="s">
        <v>439</v>
      </c>
      <c r="G637" s="170">
        <v>1000.0</v>
      </c>
      <c r="H637" s="171">
        <v>60.0</v>
      </c>
      <c r="I637" s="171">
        <v>50.0</v>
      </c>
      <c r="J637" s="172">
        <f t="shared" si="33"/>
        <v>0.0006238180076</v>
      </c>
      <c r="K637" s="173">
        <f t="shared" si="34"/>
        <v>0.7485816091</v>
      </c>
      <c r="L637" s="174">
        <f t="shared" si="4"/>
        <v>5.355080131</v>
      </c>
      <c r="M637" s="175" t="str">
        <f t="shared" si="5"/>
        <v>T Wells#9070</v>
      </c>
      <c r="N637" s="176">
        <f>IFERROR(__xludf.DUMMYFUNCTION("""COMPUTED_VALUE"""),4.0)</f>
        <v>4</v>
      </c>
      <c r="O637" s="176"/>
      <c r="P637" s="165" t="s">
        <v>94</v>
      </c>
      <c r="Q637" s="165" t="s">
        <v>486</v>
      </c>
      <c r="R637" s="176"/>
      <c r="S637" s="176"/>
      <c r="T637" s="176"/>
      <c r="U637" s="176"/>
      <c r="V637" s="176"/>
      <c r="W637" s="176"/>
      <c r="X637" s="176"/>
      <c r="Y637" s="176"/>
      <c r="Z637" s="176"/>
      <c r="AA637" s="176"/>
    </row>
    <row r="638">
      <c r="A638" s="185" t="str">
        <f>iferror(VLOOKUP(P638,'DO NOT TOUCH Imported'!$A$1:$D$800,4,False),iferror(VLOOKUP(P638,'DO NOT TOUCH Imported'!$C$1:$D$800,2,False),"OOPS FIX ME"))</f>
        <v>freedumbs00</v>
      </c>
      <c r="B638" s="212" t="s">
        <v>534</v>
      </c>
      <c r="C638" s="186" t="s">
        <v>684</v>
      </c>
      <c r="D638" s="212"/>
      <c r="E638" s="214"/>
      <c r="F638" s="212"/>
      <c r="G638" s="212"/>
      <c r="H638" s="196"/>
      <c r="I638" s="196"/>
      <c r="J638" s="172">
        <f>(H638/$H$2+I638/$I$2)/2</f>
        <v>0</v>
      </c>
      <c r="K638" s="215">
        <f>-0.85*35.534</f>
        <v>-30.2039</v>
      </c>
      <c r="L638" s="193">
        <f t="shared" si="4"/>
        <v>5.330037842</v>
      </c>
      <c r="M638" s="194" t="str">
        <f t="shared" si="5"/>
        <v>freedumbs00</v>
      </c>
      <c r="N638" s="187">
        <f>IFERROR(__xludf.DUMMYFUNCTION("""COMPUTED_VALUE"""),1.0)</f>
        <v>1</v>
      </c>
      <c r="O638" s="212"/>
      <c r="P638" s="195" t="s">
        <v>25</v>
      </c>
      <c r="Q638" s="195" t="s">
        <v>534</v>
      </c>
      <c r="R638" s="187">
        <v>36.89669088595067</v>
      </c>
      <c r="S638" s="212"/>
      <c r="T638" s="212"/>
      <c r="U638" s="212"/>
      <c r="V638" s="212"/>
      <c r="W638" s="212"/>
      <c r="X638" s="212"/>
      <c r="Y638" s="212"/>
      <c r="Z638" s="212"/>
      <c r="AA638" s="176"/>
    </row>
    <row r="639">
      <c r="A639" s="165" t="str">
        <f>iferror(VLOOKUP(P639,'DO NOT TOUCH Imported'!$A$1:$D$800,4,False),iferror(VLOOKUP(P639,'DO NOT TOUCH Imported'!$C$1:$D$800,2,False),"OOPS FIX ME"))</f>
        <v>freedumbs00</v>
      </c>
      <c r="B639" s="165" t="s">
        <v>519</v>
      </c>
      <c r="C639" s="170" t="s">
        <v>1067</v>
      </c>
      <c r="D639" s="236" t="s">
        <v>495</v>
      </c>
      <c r="E639" s="237">
        <v>44300.0</v>
      </c>
      <c r="F639" s="170" t="s">
        <v>499</v>
      </c>
      <c r="G639" s="170">
        <v>8000.0</v>
      </c>
      <c r="H639" s="171">
        <v>200.0</v>
      </c>
      <c r="I639" s="171">
        <v>250.0</v>
      </c>
      <c r="J639" s="172">
        <f t="shared" ref="J639:J664" si="35">(G639/$G$2+H639/$H$2+I639/$I$2)/3</f>
        <v>0.003126252059</v>
      </c>
      <c r="K639" s="173">
        <f t="shared" ref="K639:K664" si="36">J639*$J$1</f>
        <v>3.751502471</v>
      </c>
      <c r="L639" s="174">
        <f t="shared" si="4"/>
        <v>5.330037842</v>
      </c>
      <c r="M639" s="175" t="str">
        <f t="shared" si="5"/>
        <v>freedumbs00</v>
      </c>
      <c r="N639" s="176">
        <f>IFERROR(__xludf.DUMMYFUNCTION("""COMPUTED_VALUE"""),2.0)</f>
        <v>2</v>
      </c>
      <c r="O639" s="176"/>
      <c r="P639" s="165" t="s">
        <v>25</v>
      </c>
      <c r="Q639" s="165" t="s">
        <v>519</v>
      </c>
      <c r="R639" s="176"/>
      <c r="S639" s="176"/>
      <c r="T639" s="176"/>
      <c r="U639" s="176"/>
      <c r="V639" s="176"/>
      <c r="W639" s="176"/>
      <c r="X639" s="176"/>
      <c r="Y639" s="176"/>
      <c r="Z639" s="176"/>
      <c r="AA639" s="176"/>
    </row>
    <row r="640">
      <c r="A640" s="165" t="str">
        <f>iferror(VLOOKUP(P640,'DO NOT TOUCH Imported'!$A$1:$D$800,4,False),iferror(VLOOKUP(P640,'DO NOT TOUCH Imported'!$C$1:$D$800,2,False),"OOPS FIX ME"))</f>
        <v>freedumbs00</v>
      </c>
      <c r="B640" s="165" t="s">
        <v>519</v>
      </c>
      <c r="C640" s="170" t="s">
        <v>958</v>
      </c>
      <c r="D640" s="236" t="s">
        <v>495</v>
      </c>
      <c r="E640" s="239">
        <v>44300.0</v>
      </c>
      <c r="F640" s="170" t="s">
        <v>499</v>
      </c>
      <c r="G640" s="170">
        <v>8000.0</v>
      </c>
      <c r="H640" s="171">
        <v>100.0</v>
      </c>
      <c r="I640" s="171">
        <v>150.0</v>
      </c>
      <c r="J640" s="172">
        <f t="shared" si="35"/>
        <v>0.002261344396</v>
      </c>
      <c r="K640" s="173">
        <f t="shared" si="36"/>
        <v>2.713613275</v>
      </c>
      <c r="L640" s="174">
        <f t="shared" si="4"/>
        <v>5.330037842</v>
      </c>
      <c r="M640" s="175" t="str">
        <f t="shared" si="5"/>
        <v>freedumbs00</v>
      </c>
      <c r="N640" s="176">
        <f>IFERROR(__xludf.DUMMYFUNCTION("""COMPUTED_VALUE"""),3.0)</f>
        <v>3</v>
      </c>
      <c r="O640" s="176"/>
      <c r="P640" s="165" t="s">
        <v>25</v>
      </c>
      <c r="Q640" s="165" t="s">
        <v>519</v>
      </c>
      <c r="R640" s="176"/>
      <c r="S640" s="176"/>
      <c r="T640" s="176"/>
      <c r="U640" s="176"/>
      <c r="V640" s="176"/>
      <c r="W640" s="176"/>
      <c r="X640" s="176"/>
      <c r="Y640" s="176"/>
      <c r="Z640" s="176"/>
      <c r="AA640" s="176"/>
    </row>
    <row r="641">
      <c r="A641" s="165" t="str">
        <f>iferror(VLOOKUP(P641,'DO NOT TOUCH Imported'!$A$1:$D$800,4,False),iferror(VLOOKUP(P641,'DO NOT TOUCH Imported'!$C$1:$D$800,2,False),"OOPS FIX ME"))</f>
        <v>freedumbs00</v>
      </c>
      <c r="B641" s="165" t="s">
        <v>441</v>
      </c>
      <c r="C641" s="170" t="s">
        <v>928</v>
      </c>
      <c r="D641" s="236" t="s">
        <v>437</v>
      </c>
      <c r="E641" s="239">
        <v>44309.0</v>
      </c>
      <c r="F641" s="170" t="s">
        <v>439</v>
      </c>
      <c r="G641" s="170">
        <v>5000.0</v>
      </c>
      <c r="H641" s="171">
        <v>100.0</v>
      </c>
      <c r="I641" s="171">
        <v>250.0</v>
      </c>
      <c r="J641" s="172">
        <f t="shared" si="35"/>
        <v>0.002246889257</v>
      </c>
      <c r="K641" s="173">
        <f t="shared" si="36"/>
        <v>2.696267109</v>
      </c>
      <c r="L641" s="174">
        <f t="shared" si="4"/>
        <v>5.330037842</v>
      </c>
      <c r="M641" s="175" t="str">
        <f t="shared" si="5"/>
        <v>freedumbs00</v>
      </c>
      <c r="N641" s="176">
        <f>IFERROR(__xludf.DUMMYFUNCTION("""COMPUTED_VALUE"""),4.0)</f>
        <v>4</v>
      </c>
      <c r="O641" s="176"/>
      <c r="P641" s="165" t="s">
        <v>1150</v>
      </c>
      <c r="Q641" s="165" t="s">
        <v>441</v>
      </c>
      <c r="R641" s="176"/>
      <c r="S641" s="176"/>
      <c r="T641" s="176"/>
      <c r="U641" s="176"/>
      <c r="V641" s="176"/>
      <c r="W641" s="176"/>
      <c r="X641" s="176"/>
      <c r="Y641" s="176"/>
      <c r="Z641" s="176"/>
      <c r="AA641" s="176"/>
    </row>
    <row r="642">
      <c r="A642" s="165" t="str">
        <f>iferror(VLOOKUP(P642,'DO NOT TOUCH Imported'!$A$1:$D$800,4,False),iferror(VLOOKUP(P642,'DO NOT TOUCH Imported'!$C$1:$D$800,2,False),"OOPS FIX ME"))</f>
        <v>freedumbs00</v>
      </c>
      <c r="B642" s="165" t="s">
        <v>519</v>
      </c>
      <c r="C642" s="170" t="s">
        <v>1151</v>
      </c>
      <c r="D642" s="236" t="s">
        <v>495</v>
      </c>
      <c r="E642" s="237">
        <v>44300.0</v>
      </c>
      <c r="F642" s="170" t="s">
        <v>499</v>
      </c>
      <c r="G642" s="170">
        <v>10000.0</v>
      </c>
      <c r="H642" s="171">
        <v>100.0</v>
      </c>
      <c r="I642" s="171">
        <v>100.0</v>
      </c>
      <c r="J642" s="172">
        <f t="shared" si="35"/>
        <v>0.002342449034</v>
      </c>
      <c r="K642" s="173">
        <f t="shared" si="36"/>
        <v>2.810938841</v>
      </c>
      <c r="L642" s="174">
        <f t="shared" si="4"/>
        <v>5.330037842</v>
      </c>
      <c r="M642" s="175" t="str">
        <f t="shared" si="5"/>
        <v>freedumbs00</v>
      </c>
      <c r="N642" s="176">
        <f>IFERROR(__xludf.DUMMYFUNCTION("""COMPUTED_VALUE"""),5.0)</f>
        <v>5</v>
      </c>
      <c r="O642" s="176"/>
      <c r="P642" s="165" t="s">
        <v>25</v>
      </c>
      <c r="Q642" s="165" t="s">
        <v>519</v>
      </c>
      <c r="R642" s="176"/>
      <c r="S642" s="176"/>
      <c r="T642" s="176"/>
      <c r="U642" s="176"/>
      <c r="V642" s="176"/>
      <c r="W642" s="176"/>
      <c r="X642" s="176"/>
      <c r="Y642" s="176"/>
      <c r="Z642" s="176"/>
      <c r="AA642" s="176"/>
    </row>
    <row r="643">
      <c r="A643" s="165" t="str">
        <f>iferror(VLOOKUP(P643,'DO NOT TOUCH Imported'!$A$1:$D$800,4,False),iferror(VLOOKUP(P643,'DO NOT TOUCH Imported'!$C$1:$D$800,2,False),"OOPS FIX ME"))</f>
        <v>freedumbs00</v>
      </c>
      <c r="B643" s="165" t="s">
        <v>6</v>
      </c>
      <c r="C643" s="170" t="s">
        <v>929</v>
      </c>
      <c r="D643" s="236" t="s">
        <v>495</v>
      </c>
      <c r="E643" s="239">
        <v>44305.0</v>
      </c>
      <c r="F643" s="170" t="s">
        <v>496</v>
      </c>
      <c r="G643" s="170">
        <v>10000.0</v>
      </c>
      <c r="H643" s="171">
        <v>100.0</v>
      </c>
      <c r="I643" s="171">
        <v>100.0</v>
      </c>
      <c r="J643" s="172">
        <f t="shared" si="35"/>
        <v>0.002342449034</v>
      </c>
      <c r="K643" s="173">
        <f t="shared" si="36"/>
        <v>2.810938841</v>
      </c>
      <c r="L643" s="174">
        <f t="shared" si="4"/>
        <v>5.330037842</v>
      </c>
      <c r="M643" s="175" t="str">
        <f t="shared" si="5"/>
        <v>freedumbs00</v>
      </c>
      <c r="N643" s="176">
        <f>IFERROR(__xludf.DUMMYFUNCTION("""COMPUTED_VALUE"""),6.0)</f>
        <v>6</v>
      </c>
      <c r="O643" s="176"/>
      <c r="P643" s="165" t="s">
        <v>25</v>
      </c>
      <c r="Q643" s="165" t="s">
        <v>6</v>
      </c>
      <c r="R643" s="176"/>
      <c r="S643" s="176"/>
      <c r="T643" s="176"/>
      <c r="U643" s="176"/>
      <c r="V643" s="176"/>
      <c r="W643" s="176"/>
      <c r="X643" s="176"/>
      <c r="Y643" s="176"/>
      <c r="Z643" s="176"/>
      <c r="AA643" s="176"/>
    </row>
    <row r="644">
      <c r="A644" s="165" t="str">
        <f>iferror(VLOOKUP(P644,'DO NOT TOUCH Imported'!$A$1:$D$800,4,False),iferror(VLOOKUP(P644,'DO NOT TOUCH Imported'!$C$1:$D$800,2,False),"OOPS FIX ME"))</f>
        <v>freedumbs00</v>
      </c>
      <c r="B644" s="165" t="s">
        <v>441</v>
      </c>
      <c r="C644" s="170" t="s">
        <v>931</v>
      </c>
      <c r="D644" s="236" t="s">
        <v>437</v>
      </c>
      <c r="E644" s="237">
        <v>44309.0</v>
      </c>
      <c r="F644" s="170" t="s">
        <v>439</v>
      </c>
      <c r="G644" s="170">
        <v>5000.0</v>
      </c>
      <c r="H644" s="171">
        <v>100.0</v>
      </c>
      <c r="I644" s="171">
        <v>200.0</v>
      </c>
      <c r="J644" s="172">
        <f t="shared" si="35"/>
        <v>0.002032485621</v>
      </c>
      <c r="K644" s="173">
        <f t="shared" si="36"/>
        <v>2.438982745</v>
      </c>
      <c r="L644" s="174">
        <f t="shared" si="4"/>
        <v>5.330037842</v>
      </c>
      <c r="M644" s="175" t="str">
        <f t="shared" si="5"/>
        <v>freedumbs00</v>
      </c>
      <c r="N644" s="176">
        <f>IFERROR(__xludf.DUMMYFUNCTION("""COMPUTED_VALUE"""),7.0)</f>
        <v>7</v>
      </c>
      <c r="O644" s="176"/>
      <c r="P644" s="165" t="s">
        <v>1150</v>
      </c>
      <c r="Q644" s="165" t="s">
        <v>441</v>
      </c>
      <c r="R644" s="176"/>
      <c r="S644" s="176"/>
      <c r="T644" s="176"/>
      <c r="U644" s="176"/>
      <c r="V644" s="176"/>
      <c r="W644" s="176"/>
      <c r="X644" s="176"/>
      <c r="Y644" s="176"/>
      <c r="Z644" s="176"/>
      <c r="AA644" s="176"/>
    </row>
    <row r="645">
      <c r="A645" s="165" t="str">
        <f>iferror(VLOOKUP(P645,'DO NOT TOUCH Imported'!$A$1:$D$800,4,False),iferror(VLOOKUP(P645,'DO NOT TOUCH Imported'!$C$1:$D$800,2,False),"OOPS FIX ME"))</f>
        <v>freedumbs00</v>
      </c>
      <c r="B645" s="165" t="s">
        <v>441</v>
      </c>
      <c r="C645" s="170" t="s">
        <v>932</v>
      </c>
      <c r="D645" s="236" t="s">
        <v>437</v>
      </c>
      <c r="E645" s="237">
        <v>44309.0</v>
      </c>
      <c r="F645" s="170" t="s">
        <v>439</v>
      </c>
      <c r="G645" s="170">
        <v>2500.0</v>
      </c>
      <c r="H645" s="171">
        <v>100.0</v>
      </c>
      <c r="I645" s="171">
        <v>200.0</v>
      </c>
      <c r="J645" s="172">
        <f t="shared" si="35"/>
        <v>0.001663100278</v>
      </c>
      <c r="K645" s="173">
        <f t="shared" si="36"/>
        <v>1.995720334</v>
      </c>
      <c r="L645" s="174">
        <f t="shared" si="4"/>
        <v>5.330037842</v>
      </c>
      <c r="M645" s="175" t="str">
        <f t="shared" si="5"/>
        <v>freedumbs00</v>
      </c>
      <c r="N645" s="176">
        <f>IFERROR(__xludf.DUMMYFUNCTION("""COMPUTED_VALUE"""),8.0)</f>
        <v>8</v>
      </c>
      <c r="O645" s="176"/>
      <c r="P645" s="165" t="s">
        <v>1150</v>
      </c>
      <c r="Q645" s="165" t="s">
        <v>441</v>
      </c>
      <c r="R645" s="176"/>
      <c r="S645" s="176"/>
      <c r="T645" s="176"/>
      <c r="U645" s="176"/>
      <c r="V645" s="176"/>
      <c r="W645" s="176"/>
      <c r="X645" s="176"/>
      <c r="Y645" s="176"/>
      <c r="Z645" s="176"/>
      <c r="AA645" s="176"/>
    </row>
    <row r="646">
      <c r="A646" s="165" t="str">
        <f>iferror(VLOOKUP(P646,'DO NOT TOUCH Imported'!$A$1:$D$800,4,False),iferror(VLOOKUP(P646,'DO NOT TOUCH Imported'!$C$1:$D$800,2,False),"OOPS FIX ME"))</f>
        <v>freedumbs00</v>
      </c>
      <c r="B646" s="165" t="s">
        <v>441</v>
      </c>
      <c r="C646" s="170" t="s">
        <v>935</v>
      </c>
      <c r="D646" s="236" t="s">
        <v>437</v>
      </c>
      <c r="E646" s="237">
        <v>44302.0</v>
      </c>
      <c r="F646" s="170" t="s">
        <v>439</v>
      </c>
      <c r="G646" s="170">
        <v>2000.0</v>
      </c>
      <c r="H646" s="171">
        <v>100.0</v>
      </c>
      <c r="I646" s="171">
        <v>200.0</v>
      </c>
      <c r="J646" s="172">
        <f t="shared" si="35"/>
        <v>0.00158922321</v>
      </c>
      <c r="K646" s="173">
        <f t="shared" si="36"/>
        <v>1.907067852</v>
      </c>
      <c r="L646" s="174">
        <f t="shared" si="4"/>
        <v>5.330037842</v>
      </c>
      <c r="M646" s="175" t="str">
        <f t="shared" si="5"/>
        <v>freedumbs00</v>
      </c>
      <c r="N646" s="176">
        <f>IFERROR(__xludf.DUMMYFUNCTION("""COMPUTED_VALUE"""),9.0)</f>
        <v>9</v>
      </c>
      <c r="O646" s="176"/>
      <c r="P646" s="165" t="s">
        <v>1150</v>
      </c>
      <c r="Q646" s="165" t="s">
        <v>441</v>
      </c>
      <c r="R646" s="176"/>
      <c r="S646" s="176"/>
      <c r="T646" s="176"/>
      <c r="U646" s="176"/>
      <c r="V646" s="176"/>
      <c r="W646" s="176"/>
      <c r="X646" s="176"/>
      <c r="Y646" s="176"/>
      <c r="Z646" s="176"/>
      <c r="AA646" s="176"/>
    </row>
    <row r="647">
      <c r="A647" s="165" t="str">
        <f>iferror(VLOOKUP(P647,'DO NOT TOUCH Imported'!$A$1:$D$800,4,False),iferror(VLOOKUP(P647,'DO NOT TOUCH Imported'!$C$1:$D$800,2,False),"OOPS FIX ME"))</f>
        <v>freedumbs00</v>
      </c>
      <c r="B647" s="165" t="s">
        <v>492</v>
      </c>
      <c r="C647" s="170" t="s">
        <v>1152</v>
      </c>
      <c r="D647" s="236" t="s">
        <v>437</v>
      </c>
      <c r="E647" s="239">
        <v>44299.0</v>
      </c>
      <c r="F647" s="170" t="s">
        <v>439</v>
      </c>
      <c r="G647" s="170">
        <v>1000.0</v>
      </c>
      <c r="H647" s="171">
        <v>100.0</v>
      </c>
      <c r="I647" s="171">
        <v>100.0</v>
      </c>
      <c r="J647" s="172">
        <f t="shared" si="35"/>
        <v>0.0010126618</v>
      </c>
      <c r="K647" s="173">
        <f t="shared" si="36"/>
        <v>1.21519416</v>
      </c>
      <c r="L647" s="174">
        <f t="shared" si="4"/>
        <v>5.330037842</v>
      </c>
      <c r="M647" s="175" t="str">
        <f t="shared" si="5"/>
        <v>freedumbs00</v>
      </c>
      <c r="N647" s="176">
        <f>IFERROR(__xludf.DUMMYFUNCTION("""COMPUTED_VALUE"""),10.0)</f>
        <v>10</v>
      </c>
      <c r="O647" s="176"/>
      <c r="P647" s="165" t="s">
        <v>1150</v>
      </c>
      <c r="Q647" s="165" t="s">
        <v>492</v>
      </c>
      <c r="R647" s="176"/>
      <c r="S647" s="176"/>
      <c r="T647" s="176"/>
      <c r="U647" s="176"/>
      <c r="V647" s="176"/>
      <c r="W647" s="176"/>
      <c r="X647" s="176"/>
      <c r="Y647" s="176"/>
      <c r="Z647" s="176"/>
      <c r="AA647" s="176"/>
    </row>
    <row r="648">
      <c r="A648" s="165" t="str">
        <f>iferror(VLOOKUP(P648,'DO NOT TOUCH Imported'!$A$1:$D$800,4,False),iferror(VLOOKUP(P648,'DO NOT TOUCH Imported'!$C$1:$D$800,2,False),"OOPS FIX ME"))</f>
        <v>freedumbs00</v>
      </c>
      <c r="B648" s="165" t="s">
        <v>486</v>
      </c>
      <c r="C648" s="170" t="s">
        <v>1153</v>
      </c>
      <c r="D648" s="236" t="s">
        <v>437</v>
      </c>
      <c r="E648" s="237">
        <v>44306.0</v>
      </c>
      <c r="F648" s="170" t="s">
        <v>439</v>
      </c>
      <c r="G648" s="170">
        <v>1000.0</v>
      </c>
      <c r="H648" s="171">
        <v>100.0</v>
      </c>
      <c r="I648" s="171">
        <v>100.0</v>
      </c>
      <c r="J648" s="172">
        <f t="shared" si="35"/>
        <v>0.0010126618</v>
      </c>
      <c r="K648" s="173">
        <f t="shared" si="36"/>
        <v>1.21519416</v>
      </c>
      <c r="L648" s="174">
        <f t="shared" si="4"/>
        <v>5.330037842</v>
      </c>
      <c r="M648" s="175" t="str">
        <f t="shared" si="5"/>
        <v>freedumbs00</v>
      </c>
      <c r="N648" s="176">
        <f>IFERROR(__xludf.DUMMYFUNCTION("""COMPUTED_VALUE"""),11.0)</f>
        <v>11</v>
      </c>
      <c r="O648" s="176"/>
      <c r="P648" s="165" t="s">
        <v>1150</v>
      </c>
      <c r="Q648" s="165" t="s">
        <v>486</v>
      </c>
      <c r="R648" s="176"/>
      <c r="S648" s="176"/>
      <c r="T648" s="176"/>
      <c r="U648" s="176"/>
      <c r="V648" s="176"/>
      <c r="W648" s="176"/>
      <c r="X648" s="176"/>
      <c r="Y648" s="176"/>
      <c r="Z648" s="176"/>
      <c r="AA648" s="176"/>
    </row>
    <row r="649">
      <c r="A649" s="165" t="str">
        <f>iferror(VLOOKUP(P649,'DO NOT TOUCH Imported'!$A$1:$D$800,4,False),iferror(VLOOKUP(P649,'DO NOT TOUCH Imported'!$C$1:$D$800,2,False),"OOPS FIX ME"))</f>
        <v>freedumbs00</v>
      </c>
      <c r="B649" s="165" t="s">
        <v>441</v>
      </c>
      <c r="C649" s="170" t="s">
        <v>970</v>
      </c>
      <c r="D649" s="236" t="s">
        <v>437</v>
      </c>
      <c r="E649" s="239">
        <v>44302.0</v>
      </c>
      <c r="F649" s="170" t="s">
        <v>439</v>
      </c>
      <c r="G649" s="170">
        <v>1000.0</v>
      </c>
      <c r="H649" s="171">
        <v>100.0</v>
      </c>
      <c r="I649" s="171">
        <v>80.0</v>
      </c>
      <c r="J649" s="172">
        <f t="shared" si="35"/>
        <v>0.0009269003455</v>
      </c>
      <c r="K649" s="173">
        <f t="shared" si="36"/>
        <v>1.112280415</v>
      </c>
      <c r="L649" s="174">
        <f t="shared" si="4"/>
        <v>5.330037842</v>
      </c>
      <c r="M649" s="175" t="str">
        <f t="shared" si="5"/>
        <v>freedumbs00</v>
      </c>
      <c r="N649" s="176">
        <f>IFERROR(__xludf.DUMMYFUNCTION("""COMPUTED_VALUE"""),12.0)</f>
        <v>12</v>
      </c>
      <c r="O649" s="176"/>
      <c r="P649" s="165" t="s">
        <v>1150</v>
      </c>
      <c r="Q649" s="165" t="s">
        <v>441</v>
      </c>
      <c r="R649" s="176"/>
      <c r="S649" s="176"/>
      <c r="T649" s="176"/>
      <c r="U649" s="176"/>
      <c r="V649" s="176"/>
      <c r="W649" s="176"/>
      <c r="X649" s="176"/>
      <c r="Y649" s="176"/>
      <c r="Z649" s="176"/>
      <c r="AA649" s="176"/>
    </row>
    <row r="650">
      <c r="A650" s="165" t="str">
        <f>iferror(VLOOKUP(P650,'DO NOT TOUCH Imported'!$A$1:$D$800,4,False),iferror(VLOOKUP(P650,'DO NOT TOUCH Imported'!$C$1:$D$800,2,False),"OOPS FIX ME"))</f>
        <v>freedumbs00</v>
      </c>
      <c r="B650" s="165" t="s">
        <v>441</v>
      </c>
      <c r="C650" s="170" t="s">
        <v>1046</v>
      </c>
      <c r="D650" s="236" t="s">
        <v>437</v>
      </c>
      <c r="E650" s="237">
        <v>44309.0</v>
      </c>
      <c r="F650" s="170" t="s">
        <v>439</v>
      </c>
      <c r="G650" s="170">
        <v>1000.0</v>
      </c>
      <c r="H650" s="171">
        <v>70.0</v>
      </c>
      <c r="I650" s="171">
        <v>100.0</v>
      </c>
      <c r="J650" s="172">
        <f t="shared" si="35"/>
        <v>0.0008818316829</v>
      </c>
      <c r="K650" s="173">
        <f t="shared" si="36"/>
        <v>1.058198019</v>
      </c>
      <c r="L650" s="174">
        <f t="shared" si="4"/>
        <v>5.330037842</v>
      </c>
      <c r="M650" s="175" t="str">
        <f t="shared" si="5"/>
        <v>freedumbs00</v>
      </c>
      <c r="N650" s="176">
        <f>IFERROR(__xludf.DUMMYFUNCTION("""COMPUTED_VALUE"""),13.0)</f>
        <v>13</v>
      </c>
      <c r="O650" s="176"/>
      <c r="P650" s="165" t="s">
        <v>1150</v>
      </c>
      <c r="Q650" s="165" t="s">
        <v>441</v>
      </c>
      <c r="R650" s="176"/>
      <c r="S650" s="176"/>
      <c r="T650" s="176"/>
      <c r="U650" s="176"/>
      <c r="V650" s="176"/>
      <c r="W650" s="176"/>
      <c r="X650" s="176"/>
      <c r="Y650" s="176"/>
      <c r="Z650" s="176"/>
      <c r="AA650" s="176"/>
    </row>
    <row r="651">
      <c r="A651" s="165" t="str">
        <f>iferror(VLOOKUP(P651,'DO NOT TOUCH Imported'!$A$1:$D$800,4,False),iferror(VLOOKUP(P651,'DO NOT TOUCH Imported'!$C$1:$D$800,2,False),"OOPS FIX ME"))</f>
        <v>freedumbs00</v>
      </c>
      <c r="B651" s="165" t="s">
        <v>441</v>
      </c>
      <c r="C651" s="170" t="s">
        <v>1154</v>
      </c>
      <c r="D651" s="236" t="s">
        <v>437</v>
      </c>
      <c r="E651" s="237">
        <v>44302.0</v>
      </c>
      <c r="F651" s="170" t="s">
        <v>439</v>
      </c>
      <c r="G651" s="170">
        <v>1000.0</v>
      </c>
      <c r="H651" s="171">
        <v>100.0</v>
      </c>
      <c r="I651" s="171">
        <v>60.0</v>
      </c>
      <c r="J651" s="172">
        <f t="shared" si="35"/>
        <v>0.000841138891</v>
      </c>
      <c r="K651" s="173">
        <f t="shared" si="36"/>
        <v>1.009366669</v>
      </c>
      <c r="L651" s="174">
        <f t="shared" si="4"/>
        <v>5.330037842</v>
      </c>
      <c r="M651" s="175" t="str">
        <f t="shared" si="5"/>
        <v>freedumbs00</v>
      </c>
      <c r="N651" s="176">
        <f>IFERROR(__xludf.DUMMYFUNCTION("""COMPUTED_VALUE"""),14.0)</f>
        <v>14</v>
      </c>
      <c r="O651" s="176"/>
      <c r="P651" s="165" t="s">
        <v>1150</v>
      </c>
      <c r="Q651" s="165" t="s">
        <v>441</v>
      </c>
      <c r="R651" s="176"/>
      <c r="S651" s="176"/>
      <c r="T651" s="176"/>
      <c r="U651" s="176"/>
      <c r="V651" s="176"/>
      <c r="W651" s="176"/>
      <c r="X651" s="176"/>
      <c r="Y651" s="176"/>
      <c r="Z651" s="176"/>
      <c r="AA651" s="176"/>
    </row>
    <row r="652">
      <c r="A652" s="165" t="str">
        <f>iferror(VLOOKUP(P652,'DO NOT TOUCH Imported'!$A$1:$D$800,4,False),iferror(VLOOKUP(P652,'DO NOT TOUCH Imported'!$C$1:$D$800,2,False),"OOPS FIX ME"))</f>
        <v>freedumbs00</v>
      </c>
      <c r="B652" s="165" t="s">
        <v>441</v>
      </c>
      <c r="C652" s="170" t="s">
        <v>905</v>
      </c>
      <c r="D652" s="236" t="s">
        <v>437</v>
      </c>
      <c r="E652" s="237">
        <v>44296.0</v>
      </c>
      <c r="F652" s="170" t="s">
        <v>439</v>
      </c>
      <c r="G652" s="170">
        <v>1000.0</v>
      </c>
      <c r="H652" s="171">
        <v>60.0</v>
      </c>
      <c r="I652" s="171">
        <v>100.0</v>
      </c>
      <c r="J652" s="172">
        <f t="shared" si="35"/>
        <v>0.0008382216439</v>
      </c>
      <c r="K652" s="173">
        <f t="shared" si="36"/>
        <v>1.005865973</v>
      </c>
      <c r="L652" s="174">
        <f t="shared" si="4"/>
        <v>5.330037842</v>
      </c>
      <c r="M652" s="175" t="str">
        <f t="shared" si="5"/>
        <v>freedumbs00</v>
      </c>
      <c r="N652" s="176">
        <f>IFERROR(__xludf.DUMMYFUNCTION("""COMPUTED_VALUE"""),15.0)</f>
        <v>15</v>
      </c>
      <c r="O652" s="176"/>
      <c r="P652" s="165" t="s">
        <v>1150</v>
      </c>
      <c r="Q652" s="165" t="s">
        <v>441</v>
      </c>
      <c r="R652" s="176"/>
      <c r="S652" s="176"/>
      <c r="T652" s="176"/>
      <c r="U652" s="176"/>
      <c r="V652" s="176"/>
      <c r="W652" s="176"/>
      <c r="X652" s="176"/>
      <c r="Y652" s="176"/>
      <c r="Z652" s="176"/>
      <c r="AA652" s="176"/>
    </row>
    <row r="653">
      <c r="A653" s="165" t="str">
        <f>iferror(VLOOKUP(P653,'DO NOT TOUCH Imported'!$A$1:$D$800,4,False),iferror(VLOOKUP(P653,'DO NOT TOUCH Imported'!$C$1:$D$800,2,False),"OOPS FIX ME"))</f>
        <v>freedumbs00</v>
      </c>
      <c r="B653" s="165" t="s">
        <v>441</v>
      </c>
      <c r="C653" s="170" t="s">
        <v>906</v>
      </c>
      <c r="D653" s="236" t="s">
        <v>437</v>
      </c>
      <c r="E653" s="237">
        <v>44309.0</v>
      </c>
      <c r="F653" s="170" t="s">
        <v>439</v>
      </c>
      <c r="G653" s="170">
        <v>1000.0</v>
      </c>
      <c r="H653" s="171">
        <v>60.0</v>
      </c>
      <c r="I653" s="171">
        <v>100.0</v>
      </c>
      <c r="J653" s="172">
        <f t="shared" si="35"/>
        <v>0.0008382216439</v>
      </c>
      <c r="K653" s="173">
        <f t="shared" si="36"/>
        <v>1.005865973</v>
      </c>
      <c r="L653" s="174">
        <f t="shared" si="4"/>
        <v>5.330037842</v>
      </c>
      <c r="M653" s="175" t="str">
        <f t="shared" si="5"/>
        <v>freedumbs00</v>
      </c>
      <c r="N653" s="176">
        <f>IFERROR(__xludf.DUMMYFUNCTION("""COMPUTED_VALUE"""),16.0)</f>
        <v>16</v>
      </c>
      <c r="O653" s="176"/>
      <c r="P653" s="165" t="s">
        <v>1150</v>
      </c>
      <c r="Q653" s="165" t="s">
        <v>441</v>
      </c>
      <c r="R653" s="176"/>
      <c r="S653" s="176"/>
      <c r="T653" s="176"/>
      <c r="U653" s="176"/>
      <c r="V653" s="176"/>
      <c r="W653" s="176"/>
      <c r="X653" s="176"/>
      <c r="Y653" s="176"/>
      <c r="Z653" s="176"/>
      <c r="AA653" s="176"/>
    </row>
    <row r="654">
      <c r="A654" s="165" t="str">
        <f>iferror(VLOOKUP(P654,'DO NOT TOUCH Imported'!$A$1:$D$800,4,False),iferror(VLOOKUP(P654,'DO NOT TOUCH Imported'!$C$1:$D$800,2,False),"OOPS FIX ME"))</f>
        <v>freedumbs00</v>
      </c>
      <c r="B654" s="165" t="s">
        <v>435</v>
      </c>
      <c r="C654" s="170" t="s">
        <v>910</v>
      </c>
      <c r="D654" s="236" t="s">
        <v>437</v>
      </c>
      <c r="E654" s="239">
        <v>44302.0</v>
      </c>
      <c r="F654" s="170" t="s">
        <v>911</v>
      </c>
      <c r="G654" s="170">
        <v>1000.0</v>
      </c>
      <c r="H654" s="171">
        <v>60.0</v>
      </c>
      <c r="I654" s="171">
        <v>80.0</v>
      </c>
      <c r="J654" s="172">
        <f t="shared" si="35"/>
        <v>0.0007524601894</v>
      </c>
      <c r="K654" s="173">
        <f t="shared" si="36"/>
        <v>0.9029522272</v>
      </c>
      <c r="L654" s="174">
        <f t="shared" si="4"/>
        <v>5.330037842</v>
      </c>
      <c r="M654" s="175" t="str">
        <f t="shared" si="5"/>
        <v>freedumbs00</v>
      </c>
      <c r="N654" s="176">
        <f>IFERROR(__xludf.DUMMYFUNCTION("""COMPUTED_VALUE"""),17.0)</f>
        <v>17</v>
      </c>
      <c r="O654" s="176"/>
      <c r="P654" s="165" t="s">
        <v>1150</v>
      </c>
      <c r="Q654" s="165" t="s">
        <v>435</v>
      </c>
      <c r="R654" s="176"/>
      <c r="S654" s="176"/>
      <c r="T654" s="176"/>
      <c r="U654" s="176"/>
      <c r="V654" s="176"/>
      <c r="W654" s="176"/>
      <c r="X654" s="176"/>
      <c r="Y654" s="176"/>
      <c r="Z654" s="176"/>
      <c r="AA654" s="176"/>
    </row>
    <row r="655">
      <c r="A655" s="165" t="str">
        <f>iferror(VLOOKUP(P655,'DO NOT TOUCH Imported'!$A$1:$D$800,4,False),iferror(VLOOKUP(P655,'DO NOT TOUCH Imported'!$C$1:$D$800,2,False),"OOPS FIX ME"))</f>
        <v>freedumbs00</v>
      </c>
      <c r="B655" s="165" t="s">
        <v>490</v>
      </c>
      <c r="C655" s="170" t="s">
        <v>914</v>
      </c>
      <c r="D655" s="236" t="s">
        <v>437</v>
      </c>
      <c r="E655" s="237">
        <v>44299.0</v>
      </c>
      <c r="F655" s="170" t="s">
        <v>439</v>
      </c>
      <c r="G655" s="170">
        <v>1000.0</v>
      </c>
      <c r="H655" s="171">
        <v>60.0</v>
      </c>
      <c r="I655" s="171">
        <v>50.0</v>
      </c>
      <c r="J655" s="172">
        <f t="shared" si="35"/>
        <v>0.0006238180076</v>
      </c>
      <c r="K655" s="173">
        <f t="shared" si="36"/>
        <v>0.7485816091</v>
      </c>
      <c r="L655" s="174">
        <f t="shared" si="4"/>
        <v>5.330037842</v>
      </c>
      <c r="M655" s="175" t="str">
        <f t="shared" si="5"/>
        <v>freedumbs00</v>
      </c>
      <c r="N655" s="176">
        <f>IFERROR(__xludf.DUMMYFUNCTION("""COMPUTED_VALUE"""),18.0)</f>
        <v>18</v>
      </c>
      <c r="O655" s="176"/>
      <c r="P655" s="165" t="s">
        <v>1150</v>
      </c>
      <c r="Q655" s="165" t="s">
        <v>490</v>
      </c>
      <c r="R655" s="176"/>
      <c r="S655" s="176"/>
      <c r="T655" s="176"/>
      <c r="U655" s="176"/>
      <c r="V655" s="176"/>
      <c r="W655" s="176"/>
      <c r="X655" s="176"/>
      <c r="Y655" s="176"/>
      <c r="Z655" s="176"/>
      <c r="AA655" s="176"/>
    </row>
    <row r="656">
      <c r="A656" s="165" t="str">
        <f>iferror(VLOOKUP(P656,'DO NOT TOUCH Imported'!$A$1:$D$800,4,False),iferror(VLOOKUP(P656,'DO NOT TOUCH Imported'!$C$1:$D$800,2,False),"OOPS FIX ME"))</f>
        <v>freedumbs00</v>
      </c>
      <c r="B656" s="165" t="s">
        <v>492</v>
      </c>
      <c r="C656" s="170" t="s">
        <v>915</v>
      </c>
      <c r="D656" s="236" t="s">
        <v>437</v>
      </c>
      <c r="E656" s="237">
        <v>44300.0</v>
      </c>
      <c r="F656" s="170" t="s">
        <v>439</v>
      </c>
      <c r="G656" s="170">
        <v>1000.0</v>
      </c>
      <c r="H656" s="171">
        <v>60.0</v>
      </c>
      <c r="I656" s="171">
        <v>50.0</v>
      </c>
      <c r="J656" s="172">
        <f t="shared" si="35"/>
        <v>0.0006238180076</v>
      </c>
      <c r="K656" s="173">
        <f t="shared" si="36"/>
        <v>0.7485816091</v>
      </c>
      <c r="L656" s="174">
        <f t="shared" si="4"/>
        <v>5.330037842</v>
      </c>
      <c r="M656" s="175" t="str">
        <f t="shared" si="5"/>
        <v>freedumbs00</v>
      </c>
      <c r="N656" s="176">
        <f>IFERROR(__xludf.DUMMYFUNCTION("""COMPUTED_VALUE"""),19.0)</f>
        <v>19</v>
      </c>
      <c r="O656" s="176"/>
      <c r="P656" s="165" t="s">
        <v>1150</v>
      </c>
      <c r="Q656" s="165" t="s">
        <v>492</v>
      </c>
      <c r="R656" s="176"/>
      <c r="S656" s="176"/>
      <c r="T656" s="176"/>
      <c r="U656" s="176"/>
      <c r="V656" s="176"/>
      <c r="W656" s="176"/>
      <c r="X656" s="176"/>
      <c r="Y656" s="176"/>
      <c r="Z656" s="176"/>
      <c r="AA656" s="176"/>
    </row>
    <row r="657">
      <c r="A657" s="165" t="str">
        <f>iferror(VLOOKUP(P657,'DO NOT TOUCH Imported'!$A$1:$D$800,4,False),iferror(VLOOKUP(P657,'DO NOT TOUCH Imported'!$C$1:$D$800,2,False),"OOPS FIX ME"))</f>
        <v>freedumbs00</v>
      </c>
      <c r="B657" s="165" t="s">
        <v>440</v>
      </c>
      <c r="C657" s="170" t="s">
        <v>916</v>
      </c>
      <c r="D657" s="236" t="s">
        <v>437</v>
      </c>
      <c r="E657" s="239">
        <v>44300.0</v>
      </c>
      <c r="F657" s="170" t="s">
        <v>439</v>
      </c>
      <c r="G657" s="170">
        <v>1000.0</v>
      </c>
      <c r="H657" s="171">
        <v>60.0</v>
      </c>
      <c r="I657" s="171">
        <v>50.0</v>
      </c>
      <c r="J657" s="172">
        <f t="shared" si="35"/>
        <v>0.0006238180076</v>
      </c>
      <c r="K657" s="173">
        <f t="shared" si="36"/>
        <v>0.7485816091</v>
      </c>
      <c r="L657" s="174">
        <f t="shared" si="4"/>
        <v>5.330037842</v>
      </c>
      <c r="M657" s="175" t="str">
        <f t="shared" si="5"/>
        <v>freedumbs00</v>
      </c>
      <c r="N657" s="176">
        <f>IFERROR(__xludf.DUMMYFUNCTION("""COMPUTED_VALUE"""),20.0)</f>
        <v>20</v>
      </c>
      <c r="O657" s="176"/>
      <c r="P657" s="165" t="s">
        <v>1150</v>
      </c>
      <c r="Q657" s="165" t="s">
        <v>440</v>
      </c>
      <c r="R657" s="176"/>
      <c r="S657" s="176"/>
      <c r="T657" s="176"/>
      <c r="U657" s="176"/>
      <c r="V657" s="176"/>
      <c r="W657" s="176"/>
      <c r="X657" s="176"/>
      <c r="Y657" s="176"/>
      <c r="Z657" s="176"/>
      <c r="AA657" s="176"/>
    </row>
    <row r="658">
      <c r="A658" s="165" t="str">
        <f>iferror(VLOOKUP(P658,'DO NOT TOUCH Imported'!$A$1:$D$800,4,False),iferror(VLOOKUP(P658,'DO NOT TOUCH Imported'!$C$1:$D$800,2,False),"OOPS FIX ME"))</f>
        <v>freedumbs00</v>
      </c>
      <c r="B658" s="165" t="s">
        <v>440</v>
      </c>
      <c r="C658" s="170" t="s">
        <v>917</v>
      </c>
      <c r="D658" s="236" t="s">
        <v>437</v>
      </c>
      <c r="E658" s="239">
        <v>44301.0</v>
      </c>
      <c r="F658" s="170" t="s">
        <v>439</v>
      </c>
      <c r="G658" s="170">
        <v>1000.0</v>
      </c>
      <c r="H658" s="171">
        <v>60.0</v>
      </c>
      <c r="I658" s="171">
        <v>50.0</v>
      </c>
      <c r="J658" s="172">
        <f t="shared" si="35"/>
        <v>0.0006238180076</v>
      </c>
      <c r="K658" s="173">
        <f t="shared" si="36"/>
        <v>0.7485816091</v>
      </c>
      <c r="L658" s="174">
        <f t="shared" si="4"/>
        <v>5.330037842</v>
      </c>
      <c r="M658" s="175" t="str">
        <f t="shared" si="5"/>
        <v>freedumbs00</v>
      </c>
      <c r="N658" s="176">
        <f>IFERROR(__xludf.DUMMYFUNCTION("""COMPUTED_VALUE"""),21.0)</f>
        <v>21</v>
      </c>
      <c r="O658" s="176"/>
      <c r="P658" s="165" t="s">
        <v>1150</v>
      </c>
      <c r="Q658" s="165" t="s">
        <v>440</v>
      </c>
      <c r="R658" s="176"/>
      <c r="S658" s="176"/>
      <c r="T658" s="176"/>
      <c r="U658" s="176"/>
      <c r="V658" s="176"/>
      <c r="W658" s="176"/>
      <c r="X658" s="176"/>
      <c r="Y658" s="176"/>
      <c r="Z658" s="176"/>
      <c r="AA658" s="176"/>
    </row>
    <row r="659">
      <c r="A659" s="165" t="str">
        <f>iferror(VLOOKUP(P659,'DO NOT TOUCH Imported'!$A$1:$D$800,4,False),iferror(VLOOKUP(P659,'DO NOT TOUCH Imported'!$C$1:$D$800,2,False),"OOPS FIX ME"))</f>
        <v>freedumbs00</v>
      </c>
      <c r="B659" s="165" t="s">
        <v>441</v>
      </c>
      <c r="C659" s="170" t="s">
        <v>918</v>
      </c>
      <c r="D659" s="236" t="s">
        <v>437</v>
      </c>
      <c r="E659" s="239">
        <v>44302.0</v>
      </c>
      <c r="F659" s="170" t="s">
        <v>439</v>
      </c>
      <c r="G659" s="170">
        <v>1000.0</v>
      </c>
      <c r="H659" s="171">
        <v>60.0</v>
      </c>
      <c r="I659" s="171">
        <v>50.0</v>
      </c>
      <c r="J659" s="172">
        <f t="shared" si="35"/>
        <v>0.0006238180076</v>
      </c>
      <c r="K659" s="173">
        <f t="shared" si="36"/>
        <v>0.7485816091</v>
      </c>
      <c r="L659" s="174">
        <f t="shared" si="4"/>
        <v>5.330037842</v>
      </c>
      <c r="M659" s="175" t="str">
        <f t="shared" si="5"/>
        <v>freedumbs00</v>
      </c>
      <c r="N659" s="176">
        <f>IFERROR(__xludf.DUMMYFUNCTION("""COMPUTED_VALUE"""),22.0)</f>
        <v>22</v>
      </c>
      <c r="O659" s="176"/>
      <c r="P659" s="165" t="s">
        <v>1150</v>
      </c>
      <c r="Q659" s="165" t="s">
        <v>441</v>
      </c>
      <c r="R659" s="176"/>
      <c r="S659" s="176"/>
      <c r="T659" s="176"/>
      <c r="U659" s="176"/>
      <c r="V659" s="176"/>
      <c r="W659" s="176"/>
      <c r="X659" s="176"/>
      <c r="Y659" s="176"/>
      <c r="Z659" s="176"/>
      <c r="AA659" s="176"/>
    </row>
    <row r="660">
      <c r="A660" s="165" t="str">
        <f>iferror(VLOOKUP(P660,'DO NOT TOUCH Imported'!$A$1:$D$800,4,False),iferror(VLOOKUP(P660,'DO NOT TOUCH Imported'!$C$1:$D$800,2,False),"OOPS FIX ME"))</f>
        <v>freedumbs00</v>
      </c>
      <c r="B660" s="165" t="s">
        <v>486</v>
      </c>
      <c r="C660" s="170" t="s">
        <v>921</v>
      </c>
      <c r="D660" s="236" t="s">
        <v>437</v>
      </c>
      <c r="E660" s="239">
        <v>44306.0</v>
      </c>
      <c r="F660" s="170" t="s">
        <v>439</v>
      </c>
      <c r="G660" s="170">
        <v>1000.0</v>
      </c>
      <c r="H660" s="171">
        <v>60.0</v>
      </c>
      <c r="I660" s="171">
        <v>50.0</v>
      </c>
      <c r="J660" s="172">
        <f t="shared" si="35"/>
        <v>0.0006238180076</v>
      </c>
      <c r="K660" s="173">
        <f t="shared" si="36"/>
        <v>0.7485816091</v>
      </c>
      <c r="L660" s="174">
        <f t="shared" si="4"/>
        <v>5.330037842</v>
      </c>
      <c r="M660" s="175" t="str">
        <f t="shared" si="5"/>
        <v>freedumbs00</v>
      </c>
      <c r="N660" s="176">
        <f>IFERROR(__xludf.DUMMYFUNCTION("""COMPUTED_VALUE"""),23.0)</f>
        <v>23</v>
      </c>
      <c r="O660" s="176"/>
      <c r="P660" s="165" t="s">
        <v>1150</v>
      </c>
      <c r="Q660" s="165" t="s">
        <v>486</v>
      </c>
      <c r="R660" s="176"/>
      <c r="S660" s="176"/>
      <c r="T660" s="176"/>
      <c r="U660" s="176"/>
      <c r="V660" s="176"/>
      <c r="W660" s="176"/>
      <c r="X660" s="176"/>
      <c r="Y660" s="176"/>
      <c r="Z660" s="176"/>
      <c r="AA660" s="176"/>
    </row>
    <row r="661">
      <c r="A661" s="165" t="str">
        <f>iferror(VLOOKUP(P661,'DO NOT TOUCH Imported'!$A$1:$D$800,4,False),iferror(VLOOKUP(P661,'DO NOT TOUCH Imported'!$C$1:$D$800,2,False),"OOPS FIX ME"))</f>
        <v>freedumbs00</v>
      </c>
      <c r="B661" s="165" t="s">
        <v>486</v>
      </c>
      <c r="C661" s="170" t="s">
        <v>924</v>
      </c>
      <c r="D661" s="236" t="s">
        <v>437</v>
      </c>
      <c r="E661" s="239">
        <v>44299.0</v>
      </c>
      <c r="F661" s="170" t="s">
        <v>439</v>
      </c>
      <c r="G661" s="170">
        <v>1000.0</v>
      </c>
      <c r="H661" s="171">
        <v>50.0</v>
      </c>
      <c r="I661" s="171">
        <v>50.0</v>
      </c>
      <c r="J661" s="172">
        <f t="shared" si="35"/>
        <v>0.0005802079686</v>
      </c>
      <c r="K661" s="173">
        <f t="shared" si="36"/>
        <v>0.6962495623</v>
      </c>
      <c r="L661" s="174">
        <f t="shared" si="4"/>
        <v>5.330037842</v>
      </c>
      <c r="M661" s="175" t="str">
        <f t="shared" si="5"/>
        <v>freedumbs00</v>
      </c>
      <c r="N661" s="176">
        <f>IFERROR(__xludf.DUMMYFUNCTION("""COMPUTED_VALUE"""),24.0)</f>
        <v>24</v>
      </c>
      <c r="O661" s="176"/>
      <c r="P661" s="165" t="s">
        <v>1150</v>
      </c>
      <c r="Q661" s="165" t="s">
        <v>486</v>
      </c>
      <c r="R661" s="176"/>
      <c r="S661" s="176"/>
      <c r="T661" s="176"/>
      <c r="U661" s="176"/>
      <c r="V661" s="176"/>
      <c r="W661" s="176"/>
      <c r="X661" s="176"/>
      <c r="Y661" s="176"/>
      <c r="Z661" s="176"/>
      <c r="AA661" s="176"/>
    </row>
    <row r="662">
      <c r="A662" s="165" t="str">
        <f>iferror(VLOOKUP(P662,'DO NOT TOUCH Imported'!$A$1:$D$800,4,False),iferror(VLOOKUP(P662,'DO NOT TOUCH Imported'!$C$1:$D$800,2,False),"OOPS FIX ME"))</f>
        <v>freedumbs00</v>
      </c>
      <c r="B662" s="165" t="s">
        <v>10</v>
      </c>
      <c r="C662" s="170" t="s">
        <v>500</v>
      </c>
      <c r="D662" s="236" t="s">
        <v>495</v>
      </c>
      <c r="E662" s="239">
        <v>44302.0</v>
      </c>
      <c r="F662" s="170" t="s">
        <v>496</v>
      </c>
      <c r="G662" s="170">
        <v>500.0</v>
      </c>
      <c r="H662" s="171">
        <v>25.0</v>
      </c>
      <c r="I662" s="171">
        <v>25.0</v>
      </c>
      <c r="J662" s="172">
        <f t="shared" si="35"/>
        <v>0.0002901039843</v>
      </c>
      <c r="K662" s="173">
        <f t="shared" si="36"/>
        <v>0.3481247811</v>
      </c>
      <c r="L662" s="174">
        <f t="shared" si="4"/>
        <v>5.330037842</v>
      </c>
      <c r="M662" s="175" t="str">
        <f t="shared" si="5"/>
        <v>freedumbs00</v>
      </c>
      <c r="N662" s="176">
        <f>IFERROR(__xludf.DUMMYFUNCTION("""COMPUTED_VALUE"""),25.0)</f>
        <v>25</v>
      </c>
      <c r="O662" s="176"/>
      <c r="P662" s="165" t="s">
        <v>25</v>
      </c>
      <c r="Q662" s="165" t="s">
        <v>10</v>
      </c>
      <c r="R662" s="176"/>
      <c r="S662" s="176"/>
      <c r="T662" s="176"/>
      <c r="U662" s="176"/>
      <c r="V662" s="176"/>
      <c r="W662" s="176"/>
      <c r="X662" s="176"/>
      <c r="Y662" s="176"/>
      <c r="Z662" s="176"/>
      <c r="AA662" s="176"/>
    </row>
    <row r="663">
      <c r="A663" s="165" t="str">
        <f>iferror(VLOOKUP(P663,'DO NOT TOUCH Imported'!$A$1:$D$800,4,False),iferror(VLOOKUP(P663,'DO NOT TOUCH Imported'!$C$1:$D$800,2,False),"OOPS FIX ME"))</f>
        <v>freedumbs00</v>
      </c>
      <c r="B663" s="165" t="s">
        <v>10</v>
      </c>
      <c r="C663" s="170" t="s">
        <v>498</v>
      </c>
      <c r="D663" s="236" t="s">
        <v>495</v>
      </c>
      <c r="E663" s="237">
        <v>44309.0</v>
      </c>
      <c r="F663" s="170" t="s">
        <v>499</v>
      </c>
      <c r="G663" s="170">
        <v>500.0</v>
      </c>
      <c r="H663" s="171">
        <v>25.0</v>
      </c>
      <c r="I663" s="171">
        <v>25.0</v>
      </c>
      <c r="J663" s="172">
        <f t="shared" si="35"/>
        <v>0.0002901039843</v>
      </c>
      <c r="K663" s="173">
        <f t="shared" si="36"/>
        <v>0.3481247811</v>
      </c>
      <c r="L663" s="174">
        <f t="shared" si="4"/>
        <v>5.330037842</v>
      </c>
      <c r="M663" s="175" t="str">
        <f t="shared" si="5"/>
        <v>freedumbs00</v>
      </c>
      <c r="N663" s="176">
        <f>IFERROR(__xludf.DUMMYFUNCTION("""COMPUTED_VALUE"""),26.0)</f>
        <v>26</v>
      </c>
      <c r="O663" s="176"/>
      <c r="P663" s="165" t="s">
        <v>25</v>
      </c>
      <c r="Q663" s="165" t="s">
        <v>10</v>
      </c>
      <c r="R663" s="176"/>
      <c r="S663" s="176"/>
      <c r="T663" s="176"/>
      <c r="U663" s="176"/>
      <c r="V663" s="176"/>
      <c r="W663" s="176"/>
      <c r="X663" s="176"/>
      <c r="Y663" s="176"/>
      <c r="Z663" s="176"/>
      <c r="AA663" s="176"/>
    </row>
    <row r="664">
      <c r="A664" s="240" t="str">
        <f>iferror(VLOOKUP(P664,'DO NOT TOUCH Imported'!$A$1:$D$800,4,False),iferror(VLOOKUP(P664,'DO NOT TOUCH Imported'!$C$1:$D$800,2,False),"OOPS FIX ME"))</f>
        <v>freedumbs00</v>
      </c>
      <c r="B664" s="240" t="s">
        <v>492</v>
      </c>
      <c r="C664" s="221" t="s">
        <v>915</v>
      </c>
      <c r="D664" s="241" t="s">
        <v>437</v>
      </c>
      <c r="E664" s="244">
        <v>44300.0</v>
      </c>
      <c r="F664" s="221" t="s">
        <v>439</v>
      </c>
      <c r="G664" s="221"/>
      <c r="H664" s="222"/>
      <c r="I664" s="222"/>
      <c r="J664" s="172">
        <f t="shared" si="35"/>
        <v>0</v>
      </c>
      <c r="K664" s="173">
        <f t="shared" si="36"/>
        <v>0</v>
      </c>
      <c r="L664" s="174">
        <f t="shared" si="4"/>
        <v>5.330037842</v>
      </c>
      <c r="M664" s="175" t="str">
        <f t="shared" si="5"/>
        <v>freedumbs00</v>
      </c>
      <c r="N664" s="209">
        <f>IFERROR(__xludf.DUMMYFUNCTION("""COMPUTED_VALUE"""),27.0)</f>
        <v>27</v>
      </c>
      <c r="O664" s="209"/>
      <c r="P664" s="240" t="s">
        <v>1150</v>
      </c>
      <c r="Q664" s="240" t="s">
        <v>492</v>
      </c>
      <c r="R664" s="209"/>
      <c r="S664" s="209"/>
      <c r="T664" s="209"/>
      <c r="U664" s="209"/>
      <c r="V664" s="209"/>
      <c r="W664" s="209"/>
      <c r="X664" s="209"/>
      <c r="Y664" s="209"/>
      <c r="Z664" s="209"/>
      <c r="AA664" s="209"/>
    </row>
    <row r="665">
      <c r="A665" s="185" t="s">
        <v>22</v>
      </c>
      <c r="B665" s="185" t="s">
        <v>534</v>
      </c>
      <c r="C665" s="186" t="s">
        <v>684</v>
      </c>
      <c r="D665" s="187"/>
      <c r="E665" s="188"/>
      <c r="F665" s="186"/>
      <c r="G665" s="190"/>
      <c r="H665" s="190"/>
      <c r="I665" s="190"/>
      <c r="J665" s="172">
        <f>(H665/$H$2+I665/$I$2)/2</f>
        <v>0</v>
      </c>
      <c r="K665" s="192">
        <f>-0.85*35.058</f>
        <v>-29.7993</v>
      </c>
      <c r="L665" s="193">
        <f t="shared" si="4"/>
        <v>5.258861806</v>
      </c>
      <c r="M665" s="194" t="str">
        <f t="shared" si="5"/>
        <v>naynaysoo</v>
      </c>
      <c r="N665" s="195">
        <f>IFERROR(__xludf.DUMMYFUNCTION("""COMPUTED_VALUE"""),1.0)</f>
        <v>1</v>
      </c>
      <c r="O665" s="195"/>
      <c r="P665" s="196" t="s">
        <v>7</v>
      </c>
      <c r="Q665" s="185" t="s">
        <v>534</v>
      </c>
      <c r="R665" s="195"/>
      <c r="S665" s="195"/>
      <c r="T665" s="195"/>
      <c r="U665" s="195"/>
      <c r="V665" s="195"/>
      <c r="W665" s="195"/>
      <c r="X665" s="195"/>
      <c r="Y665" s="195"/>
      <c r="Z665" s="195"/>
      <c r="AA665" s="176"/>
    </row>
    <row r="666">
      <c r="A666" s="165" t="str">
        <f>iferror(VLOOKUP(P666,'DO NOT TOUCH Imported'!$A$1:$D$800,4,False),iferror(VLOOKUP(P666,'DO NOT TOUCH Imported'!$C$1:$D$800,2,False),"OOPS FIX ME"))</f>
        <v>naynaysoo</v>
      </c>
      <c r="B666" s="165" t="s">
        <v>441</v>
      </c>
      <c r="C666" s="170" t="s">
        <v>928</v>
      </c>
      <c r="D666" s="236" t="s">
        <v>437</v>
      </c>
      <c r="E666" s="237">
        <v>44309.0</v>
      </c>
      <c r="F666" s="170" t="s">
        <v>439</v>
      </c>
      <c r="G666" s="170">
        <v>5000.0</v>
      </c>
      <c r="H666" s="171">
        <v>100.0</v>
      </c>
      <c r="I666" s="171">
        <v>250.0</v>
      </c>
      <c r="J666" s="172">
        <f t="shared" ref="J666:J697" si="37">(G666/$G$2+H666/$H$2+I666/$I$2)/3</f>
        <v>0.002246889257</v>
      </c>
      <c r="K666" s="173">
        <f t="shared" ref="K666:K697" si="38">J666*$J$1</f>
        <v>2.696267109</v>
      </c>
      <c r="L666" s="174">
        <f t="shared" si="4"/>
        <v>5.258861806</v>
      </c>
      <c r="M666" s="175" t="str">
        <f t="shared" si="5"/>
        <v>naynaysoo</v>
      </c>
      <c r="N666" s="176">
        <f>IFERROR(__xludf.DUMMYFUNCTION("""COMPUTED_VALUE"""),2.0)</f>
        <v>2</v>
      </c>
      <c r="O666" s="176"/>
      <c r="P666" s="165" t="s">
        <v>528</v>
      </c>
      <c r="Q666" s="165" t="s">
        <v>441</v>
      </c>
      <c r="R666" s="176"/>
      <c r="S666" s="176"/>
      <c r="T666" s="176"/>
      <c r="U666" s="176"/>
      <c r="V666" s="176"/>
      <c r="W666" s="176"/>
      <c r="X666" s="176"/>
      <c r="Y666" s="176"/>
      <c r="Z666" s="176"/>
      <c r="AA666" s="176"/>
    </row>
    <row r="667">
      <c r="A667" s="165" t="str">
        <f>iferror(VLOOKUP(P667,'DO NOT TOUCH Imported'!$A$1:$D$800,4,False),iferror(VLOOKUP(P667,'DO NOT TOUCH Imported'!$C$1:$D$800,2,False),"OOPS FIX ME"))</f>
        <v>naynaysoo</v>
      </c>
      <c r="B667" s="165" t="s">
        <v>435</v>
      </c>
      <c r="C667" s="170" t="s">
        <v>1155</v>
      </c>
      <c r="D667" s="236" t="s">
        <v>437</v>
      </c>
      <c r="E667" s="237">
        <v>44307.0</v>
      </c>
      <c r="F667" s="170" t="s">
        <v>439</v>
      </c>
      <c r="G667" s="170">
        <v>2000.0</v>
      </c>
      <c r="H667" s="171">
        <v>200.0</v>
      </c>
      <c r="I667" s="171">
        <v>100.0</v>
      </c>
      <c r="J667" s="172">
        <f t="shared" si="37"/>
        <v>0.001596516327</v>
      </c>
      <c r="K667" s="173">
        <f t="shared" si="38"/>
        <v>1.915819593</v>
      </c>
      <c r="L667" s="174">
        <f t="shared" si="4"/>
        <v>5.258861806</v>
      </c>
      <c r="M667" s="175" t="str">
        <f t="shared" si="5"/>
        <v>naynaysoo</v>
      </c>
      <c r="N667" s="176">
        <f>IFERROR(__xludf.DUMMYFUNCTION("""COMPUTED_VALUE"""),3.0)</f>
        <v>3</v>
      </c>
      <c r="O667" s="176"/>
      <c r="P667" s="165" t="s">
        <v>528</v>
      </c>
      <c r="Q667" s="165" t="s">
        <v>435</v>
      </c>
      <c r="R667" s="176"/>
      <c r="S667" s="176"/>
      <c r="T667" s="176"/>
      <c r="U667" s="176"/>
      <c r="V667" s="176"/>
      <c r="W667" s="176"/>
      <c r="X667" s="176"/>
      <c r="Y667" s="176"/>
      <c r="Z667" s="176"/>
      <c r="AA667" s="176"/>
    </row>
    <row r="668">
      <c r="A668" s="165" t="str">
        <f>iferror(VLOOKUP(P668,'DO NOT TOUCH Imported'!$A$1:$D$800,4,False),iferror(VLOOKUP(P668,'DO NOT TOUCH Imported'!$C$1:$D$800,2,False),"OOPS FIX ME"))</f>
        <v>naynaysoo</v>
      </c>
      <c r="B668" s="165" t="s">
        <v>443</v>
      </c>
      <c r="C668" s="170" t="s">
        <v>890</v>
      </c>
      <c r="D668" s="236" t="s">
        <v>437</v>
      </c>
      <c r="E668" s="239">
        <v>44310.0</v>
      </c>
      <c r="F668" s="170" t="s">
        <v>439</v>
      </c>
      <c r="G668" s="170">
        <v>5000.0</v>
      </c>
      <c r="H668" s="171">
        <v>100.0</v>
      </c>
      <c r="I668" s="171">
        <v>100.0</v>
      </c>
      <c r="J668" s="172">
        <f t="shared" si="37"/>
        <v>0.001603678348</v>
      </c>
      <c r="K668" s="173">
        <f t="shared" si="38"/>
        <v>1.924414018</v>
      </c>
      <c r="L668" s="174">
        <f t="shared" si="4"/>
        <v>5.258861806</v>
      </c>
      <c r="M668" s="175" t="str">
        <f t="shared" si="5"/>
        <v>naynaysoo</v>
      </c>
      <c r="N668" s="176">
        <f>IFERROR(__xludf.DUMMYFUNCTION("""COMPUTED_VALUE"""),4.0)</f>
        <v>4</v>
      </c>
      <c r="O668" s="176"/>
      <c r="P668" s="165" t="s">
        <v>528</v>
      </c>
      <c r="Q668" s="165" t="s">
        <v>443</v>
      </c>
      <c r="R668" s="176"/>
      <c r="S668" s="176"/>
      <c r="T668" s="176"/>
      <c r="U668" s="176"/>
      <c r="V668" s="176"/>
      <c r="W668" s="176"/>
      <c r="X668" s="176"/>
      <c r="Y668" s="176"/>
      <c r="Z668" s="176"/>
      <c r="AA668" s="176"/>
    </row>
    <row r="669">
      <c r="A669" s="165" t="str">
        <f>iferror(VLOOKUP(P669,'DO NOT TOUCH Imported'!$A$1:$D$800,4,False),iferror(VLOOKUP(P669,'DO NOT TOUCH Imported'!$C$1:$D$800,2,False),"OOPS FIX ME"))</f>
        <v>naynaysoo</v>
      </c>
      <c r="B669" s="165" t="s">
        <v>443</v>
      </c>
      <c r="C669" s="170" t="s">
        <v>892</v>
      </c>
      <c r="D669" s="236" t="s">
        <v>437</v>
      </c>
      <c r="E669" s="237">
        <v>44310.0</v>
      </c>
      <c r="F669" s="170" t="s">
        <v>439</v>
      </c>
      <c r="G669" s="170">
        <v>1000.0</v>
      </c>
      <c r="H669" s="171">
        <v>100.0</v>
      </c>
      <c r="I669" s="171">
        <v>150.0</v>
      </c>
      <c r="J669" s="172">
        <f t="shared" si="37"/>
        <v>0.001227065436</v>
      </c>
      <c r="K669" s="173">
        <f t="shared" si="38"/>
        <v>1.472478524</v>
      </c>
      <c r="L669" s="174">
        <f t="shared" si="4"/>
        <v>5.258861806</v>
      </c>
      <c r="M669" s="175" t="str">
        <f t="shared" si="5"/>
        <v>naynaysoo</v>
      </c>
      <c r="N669" s="176">
        <f>IFERROR(__xludf.DUMMYFUNCTION("""COMPUTED_VALUE"""),5.0)</f>
        <v>5</v>
      </c>
      <c r="O669" s="176"/>
      <c r="P669" s="165" t="s">
        <v>528</v>
      </c>
      <c r="Q669" s="165" t="s">
        <v>443</v>
      </c>
      <c r="R669" s="176"/>
      <c r="S669" s="176"/>
      <c r="T669" s="176"/>
      <c r="U669" s="176"/>
      <c r="V669" s="176"/>
      <c r="W669" s="176"/>
      <c r="X669" s="176"/>
      <c r="Y669" s="176"/>
      <c r="Z669" s="176"/>
      <c r="AA669" s="176"/>
    </row>
    <row r="670">
      <c r="A670" s="165" t="str">
        <f>iferror(VLOOKUP(P670,'DO NOT TOUCH Imported'!$A$1:$D$800,4,False),iferror(VLOOKUP(P670,'DO NOT TOUCH Imported'!$C$1:$D$800,2,False),"OOPS FIX ME"))</f>
        <v>naynaysoo</v>
      </c>
      <c r="B670" s="165" t="s">
        <v>450</v>
      </c>
      <c r="C670" s="170" t="s">
        <v>968</v>
      </c>
      <c r="D670" s="236" t="s">
        <v>499</v>
      </c>
      <c r="E670" s="239">
        <v>44305.0</v>
      </c>
      <c r="F670" s="170" t="s">
        <v>503</v>
      </c>
      <c r="G670" s="170">
        <v>2000.0</v>
      </c>
      <c r="H670" s="171">
        <v>100.0</v>
      </c>
      <c r="I670" s="171">
        <v>100.0</v>
      </c>
      <c r="J670" s="172">
        <f t="shared" si="37"/>
        <v>0.001160415937</v>
      </c>
      <c r="K670" s="173">
        <f t="shared" si="38"/>
        <v>1.392499125</v>
      </c>
      <c r="L670" s="174">
        <f t="shared" si="4"/>
        <v>5.258861806</v>
      </c>
      <c r="M670" s="175" t="str">
        <f t="shared" si="5"/>
        <v>naynaysoo</v>
      </c>
      <c r="N670" s="176">
        <f>IFERROR(__xludf.DUMMYFUNCTION("""COMPUTED_VALUE"""),6.0)</f>
        <v>6</v>
      </c>
      <c r="O670" s="176"/>
      <c r="P670" s="165" t="s">
        <v>528</v>
      </c>
      <c r="Q670" s="165" t="s">
        <v>450</v>
      </c>
      <c r="R670" s="176"/>
      <c r="S670" s="176"/>
      <c r="T670" s="176"/>
      <c r="U670" s="176"/>
      <c r="V670" s="176"/>
      <c r="W670" s="176"/>
      <c r="X670" s="176"/>
      <c r="Y670" s="176"/>
      <c r="Z670" s="176"/>
      <c r="AA670" s="176"/>
    </row>
    <row r="671">
      <c r="A671" s="165" t="str">
        <f>iferror(VLOOKUP(P671,'DO NOT TOUCH Imported'!$A$1:$D$800,4,False),iferror(VLOOKUP(P671,'DO NOT TOUCH Imported'!$C$1:$D$800,2,False),"OOPS FIX ME"))</f>
        <v>naynaysoo</v>
      </c>
      <c r="B671" s="165" t="s">
        <v>45</v>
      </c>
      <c r="C671" s="170" t="s">
        <v>1156</v>
      </c>
      <c r="D671" s="236" t="s">
        <v>499</v>
      </c>
      <c r="E671" s="237">
        <v>44307.0</v>
      </c>
      <c r="F671" s="170" t="s">
        <v>503</v>
      </c>
      <c r="G671" s="170">
        <v>2000.0</v>
      </c>
      <c r="H671" s="171">
        <v>100.0</v>
      </c>
      <c r="I671" s="171">
        <v>100.0</v>
      </c>
      <c r="J671" s="172">
        <f t="shared" si="37"/>
        <v>0.001160415937</v>
      </c>
      <c r="K671" s="173">
        <f t="shared" si="38"/>
        <v>1.392499125</v>
      </c>
      <c r="L671" s="174">
        <f t="shared" si="4"/>
        <v>5.258861806</v>
      </c>
      <c r="M671" s="175" t="str">
        <f t="shared" si="5"/>
        <v>naynaysoo</v>
      </c>
      <c r="N671" s="176">
        <f>IFERROR(__xludf.DUMMYFUNCTION("""COMPUTED_VALUE"""),7.0)</f>
        <v>7</v>
      </c>
      <c r="O671" s="176"/>
      <c r="P671" s="165" t="s">
        <v>528</v>
      </c>
      <c r="Q671" s="165" t="s">
        <v>45</v>
      </c>
      <c r="R671" s="176"/>
      <c r="S671" s="176"/>
      <c r="T671" s="176"/>
      <c r="U671" s="176"/>
      <c r="V671" s="176"/>
      <c r="W671" s="176"/>
      <c r="X671" s="176"/>
      <c r="Y671" s="176"/>
      <c r="Z671" s="176"/>
      <c r="AA671" s="176"/>
    </row>
    <row r="672">
      <c r="A672" s="165" t="str">
        <f>iferror(VLOOKUP(P672,'DO NOT TOUCH Imported'!$A$1:$D$800,4,False),iferror(VLOOKUP(P672,'DO NOT TOUCH Imported'!$C$1:$D$800,2,False),"OOPS FIX ME"))</f>
        <v>naynaysoo</v>
      </c>
      <c r="B672" s="165" t="s">
        <v>528</v>
      </c>
      <c r="C672" s="170" t="s">
        <v>981</v>
      </c>
      <c r="D672" s="236" t="s">
        <v>437</v>
      </c>
      <c r="E672" s="239">
        <v>44309.0</v>
      </c>
      <c r="F672" s="170" t="s">
        <v>439</v>
      </c>
      <c r="G672" s="170">
        <v>1500.0</v>
      </c>
      <c r="H672" s="171">
        <v>100.0</v>
      </c>
      <c r="I672" s="171">
        <v>100.0</v>
      </c>
      <c r="J672" s="172">
        <f t="shared" si="37"/>
        <v>0.001086538869</v>
      </c>
      <c r="K672" s="173">
        <f t="shared" si="38"/>
        <v>1.303846642</v>
      </c>
      <c r="L672" s="174">
        <f t="shared" si="4"/>
        <v>5.258861806</v>
      </c>
      <c r="M672" s="175" t="str">
        <f t="shared" si="5"/>
        <v>naynaysoo</v>
      </c>
      <c r="N672" s="176">
        <f>IFERROR(__xludf.DUMMYFUNCTION("""COMPUTED_VALUE"""),8.0)</f>
        <v>8</v>
      </c>
      <c r="O672" s="176"/>
      <c r="P672" s="165" t="s">
        <v>528</v>
      </c>
      <c r="Q672" s="165" t="s">
        <v>528</v>
      </c>
      <c r="R672" s="176"/>
      <c r="S672" s="176"/>
      <c r="T672" s="176"/>
      <c r="U672" s="176"/>
      <c r="V672" s="176"/>
      <c r="W672" s="176"/>
      <c r="X672" s="176"/>
      <c r="Y672" s="176"/>
      <c r="Z672" s="176"/>
      <c r="AA672" s="176"/>
    </row>
    <row r="673">
      <c r="A673" s="165" t="str">
        <f>iferror(VLOOKUP(P673,'DO NOT TOUCH Imported'!$A$1:$D$800,4,False),iferror(VLOOKUP(P673,'DO NOT TOUCH Imported'!$C$1:$D$800,2,False),"OOPS FIX ME"))</f>
        <v>naynaysoo</v>
      </c>
      <c r="B673" s="165" t="s">
        <v>435</v>
      </c>
      <c r="C673" s="170" t="s">
        <v>1157</v>
      </c>
      <c r="D673" s="236" t="s">
        <v>437</v>
      </c>
      <c r="E673" s="239">
        <v>44300.0</v>
      </c>
      <c r="F673" s="170" t="s">
        <v>439</v>
      </c>
      <c r="G673" s="170">
        <v>1000.0</v>
      </c>
      <c r="H673" s="171">
        <v>100.0</v>
      </c>
      <c r="I673" s="171">
        <v>100.0</v>
      </c>
      <c r="J673" s="172">
        <f t="shared" si="37"/>
        <v>0.0010126618</v>
      </c>
      <c r="K673" s="173">
        <f t="shared" si="38"/>
        <v>1.21519416</v>
      </c>
      <c r="L673" s="174">
        <f t="shared" si="4"/>
        <v>5.258861806</v>
      </c>
      <c r="M673" s="175" t="str">
        <f t="shared" si="5"/>
        <v>naynaysoo</v>
      </c>
      <c r="N673" s="176">
        <f>IFERROR(__xludf.DUMMYFUNCTION("""COMPUTED_VALUE"""),9.0)</f>
        <v>9</v>
      </c>
      <c r="O673" s="176"/>
      <c r="P673" s="165" t="s">
        <v>528</v>
      </c>
      <c r="Q673" s="165" t="s">
        <v>435</v>
      </c>
      <c r="R673" s="176"/>
      <c r="S673" s="176"/>
      <c r="T673" s="176"/>
      <c r="U673" s="176"/>
      <c r="V673" s="176"/>
      <c r="W673" s="176"/>
      <c r="X673" s="176"/>
      <c r="Y673" s="176"/>
      <c r="Z673" s="176"/>
      <c r="AA673" s="176"/>
    </row>
    <row r="674">
      <c r="A674" s="165" t="str">
        <f>iferror(VLOOKUP(P674,'DO NOT TOUCH Imported'!$A$1:$D$800,4,False),iferror(VLOOKUP(P674,'DO NOT TOUCH Imported'!$C$1:$D$800,2,False),"OOPS FIX ME"))</f>
        <v>naynaysoo</v>
      </c>
      <c r="B674" s="165" t="s">
        <v>435</v>
      </c>
      <c r="C674" s="170" t="s">
        <v>900</v>
      </c>
      <c r="D674" s="236" t="s">
        <v>437</v>
      </c>
      <c r="E674" s="239">
        <v>44302.0</v>
      </c>
      <c r="F674" s="170" t="s">
        <v>439</v>
      </c>
      <c r="G674" s="170">
        <v>1000.0</v>
      </c>
      <c r="H674" s="171">
        <v>100.0</v>
      </c>
      <c r="I674" s="171">
        <v>100.0</v>
      </c>
      <c r="J674" s="172">
        <f t="shared" si="37"/>
        <v>0.0010126618</v>
      </c>
      <c r="K674" s="173">
        <f t="shared" si="38"/>
        <v>1.21519416</v>
      </c>
      <c r="L674" s="174">
        <f t="shared" si="4"/>
        <v>5.258861806</v>
      </c>
      <c r="M674" s="175" t="str">
        <f t="shared" si="5"/>
        <v>naynaysoo</v>
      </c>
      <c r="N674" s="176">
        <f>IFERROR(__xludf.DUMMYFUNCTION("""COMPUTED_VALUE"""),10.0)</f>
        <v>10</v>
      </c>
      <c r="O674" s="176"/>
      <c r="P674" s="165" t="s">
        <v>528</v>
      </c>
      <c r="Q674" s="165" t="s">
        <v>435</v>
      </c>
      <c r="R674" s="176"/>
      <c r="S674" s="176"/>
      <c r="T674" s="176"/>
      <c r="U674" s="176"/>
      <c r="V674" s="176"/>
      <c r="W674" s="176"/>
      <c r="X674" s="176"/>
      <c r="Y674" s="176"/>
      <c r="Z674" s="176"/>
      <c r="AA674" s="176"/>
    </row>
    <row r="675">
      <c r="A675" s="165" t="str">
        <f>iferror(VLOOKUP(P675,'DO NOT TOUCH Imported'!$A$1:$D$800,4,False),iferror(VLOOKUP(P675,'DO NOT TOUCH Imported'!$C$1:$D$800,2,False),"OOPS FIX ME"))</f>
        <v>naynaysoo</v>
      </c>
      <c r="B675" s="165" t="s">
        <v>457</v>
      </c>
      <c r="C675" s="170" t="s">
        <v>1045</v>
      </c>
      <c r="D675" s="236" t="s">
        <v>437</v>
      </c>
      <c r="E675" s="237">
        <v>44305.0</v>
      </c>
      <c r="F675" s="170" t="s">
        <v>439</v>
      </c>
      <c r="G675" s="170">
        <v>1000.0</v>
      </c>
      <c r="H675" s="171">
        <v>100.0</v>
      </c>
      <c r="I675" s="171">
        <v>100.0</v>
      </c>
      <c r="J675" s="172">
        <f t="shared" si="37"/>
        <v>0.0010126618</v>
      </c>
      <c r="K675" s="173">
        <f t="shared" si="38"/>
        <v>1.21519416</v>
      </c>
      <c r="L675" s="174">
        <f t="shared" si="4"/>
        <v>5.258861806</v>
      </c>
      <c r="M675" s="175" t="str">
        <f t="shared" si="5"/>
        <v>naynaysoo</v>
      </c>
      <c r="N675" s="176">
        <f>IFERROR(__xludf.DUMMYFUNCTION("""COMPUTED_VALUE"""),11.0)</f>
        <v>11</v>
      </c>
      <c r="O675" s="176"/>
      <c r="P675" s="165" t="s">
        <v>528</v>
      </c>
      <c r="Q675" s="165" t="s">
        <v>457</v>
      </c>
      <c r="R675" s="176"/>
      <c r="S675" s="176"/>
      <c r="T675" s="176"/>
      <c r="U675" s="176"/>
      <c r="V675" s="176"/>
      <c r="W675" s="176"/>
      <c r="X675" s="176"/>
      <c r="Y675" s="176"/>
      <c r="Z675" s="176"/>
      <c r="AA675" s="176"/>
    </row>
    <row r="676">
      <c r="A676" s="165" t="str">
        <f>iferror(VLOOKUP(P676,'DO NOT TOUCH Imported'!$A$1:$D$800,4,False),iferror(VLOOKUP(P676,'DO NOT TOUCH Imported'!$C$1:$D$800,2,False),"OOPS FIX ME"))</f>
        <v>naynaysoo</v>
      </c>
      <c r="B676" s="165" t="s">
        <v>441</v>
      </c>
      <c r="C676" s="170" t="s">
        <v>1128</v>
      </c>
      <c r="D676" s="236" t="s">
        <v>437</v>
      </c>
      <c r="E676" s="237">
        <v>44309.0</v>
      </c>
      <c r="F676" s="170" t="s">
        <v>439</v>
      </c>
      <c r="G676" s="170">
        <v>1000.0</v>
      </c>
      <c r="H676" s="171">
        <v>100.0</v>
      </c>
      <c r="I676" s="171">
        <v>100.0</v>
      </c>
      <c r="J676" s="172">
        <f t="shared" si="37"/>
        <v>0.0010126618</v>
      </c>
      <c r="K676" s="173">
        <f t="shared" si="38"/>
        <v>1.21519416</v>
      </c>
      <c r="L676" s="174">
        <f t="shared" si="4"/>
        <v>5.258861806</v>
      </c>
      <c r="M676" s="175" t="str">
        <f t="shared" si="5"/>
        <v>naynaysoo</v>
      </c>
      <c r="N676" s="176">
        <f>IFERROR(__xludf.DUMMYFUNCTION("""COMPUTED_VALUE"""),12.0)</f>
        <v>12</v>
      </c>
      <c r="O676" s="176"/>
      <c r="P676" s="165" t="s">
        <v>528</v>
      </c>
      <c r="Q676" s="165" t="s">
        <v>441</v>
      </c>
      <c r="R676" s="176"/>
      <c r="S676" s="176"/>
      <c r="T676" s="176"/>
      <c r="U676" s="176"/>
      <c r="V676" s="176"/>
      <c r="W676" s="176"/>
      <c r="X676" s="176"/>
      <c r="Y676" s="176"/>
      <c r="Z676" s="176"/>
      <c r="AA676" s="176"/>
    </row>
    <row r="677">
      <c r="A677" s="165" t="str">
        <f>iferror(VLOOKUP(P677,'DO NOT TOUCH Imported'!$A$1:$D$800,4,False),iferror(VLOOKUP(P677,'DO NOT TOUCH Imported'!$C$1:$D$800,2,False),"OOPS FIX ME"))</f>
        <v>naynaysoo</v>
      </c>
      <c r="B677" s="165" t="s">
        <v>441</v>
      </c>
      <c r="C677" s="170" t="s">
        <v>1158</v>
      </c>
      <c r="D677" s="236" t="s">
        <v>437</v>
      </c>
      <c r="E677" s="237">
        <v>44309.0</v>
      </c>
      <c r="F677" s="170" t="s">
        <v>439</v>
      </c>
      <c r="G677" s="170">
        <v>1000.0</v>
      </c>
      <c r="H677" s="171">
        <v>100.0</v>
      </c>
      <c r="I677" s="171">
        <v>100.0</v>
      </c>
      <c r="J677" s="172">
        <f t="shared" si="37"/>
        <v>0.0010126618</v>
      </c>
      <c r="K677" s="173">
        <f t="shared" si="38"/>
        <v>1.21519416</v>
      </c>
      <c r="L677" s="174">
        <f t="shared" si="4"/>
        <v>5.258861806</v>
      </c>
      <c r="M677" s="175" t="str">
        <f t="shared" si="5"/>
        <v>naynaysoo</v>
      </c>
      <c r="N677" s="176">
        <f>IFERROR(__xludf.DUMMYFUNCTION("""COMPUTED_VALUE"""),13.0)</f>
        <v>13</v>
      </c>
      <c r="O677" s="176"/>
      <c r="P677" s="165" t="s">
        <v>528</v>
      </c>
      <c r="Q677" s="165" t="s">
        <v>441</v>
      </c>
      <c r="R677" s="176"/>
      <c r="S677" s="176"/>
      <c r="T677" s="176"/>
      <c r="U677" s="176"/>
      <c r="V677" s="176"/>
      <c r="W677" s="176"/>
      <c r="X677" s="176"/>
      <c r="Y677" s="176"/>
      <c r="Z677" s="176"/>
      <c r="AA677" s="176"/>
    </row>
    <row r="678">
      <c r="A678" s="165" t="str">
        <f>iferror(VLOOKUP(P678,'DO NOT TOUCH Imported'!$A$1:$D$800,4,False),iferror(VLOOKUP(P678,'DO NOT TOUCH Imported'!$C$1:$D$800,2,False),"OOPS FIX ME"))</f>
        <v>naynaysoo</v>
      </c>
      <c r="B678" s="165" t="s">
        <v>441</v>
      </c>
      <c r="C678" s="170" t="s">
        <v>1052</v>
      </c>
      <c r="D678" s="236" t="s">
        <v>437</v>
      </c>
      <c r="E678" s="237">
        <v>44302.0</v>
      </c>
      <c r="F678" s="170" t="s">
        <v>439</v>
      </c>
      <c r="G678" s="170">
        <v>1000.0</v>
      </c>
      <c r="H678" s="171">
        <v>100.0</v>
      </c>
      <c r="I678" s="171">
        <v>80.0</v>
      </c>
      <c r="J678" s="172">
        <f t="shared" si="37"/>
        <v>0.0009269003455</v>
      </c>
      <c r="K678" s="173">
        <f t="shared" si="38"/>
        <v>1.112280415</v>
      </c>
      <c r="L678" s="174">
        <f t="shared" si="4"/>
        <v>5.258861806</v>
      </c>
      <c r="M678" s="175" t="str">
        <f t="shared" si="5"/>
        <v>naynaysoo</v>
      </c>
      <c r="N678" s="176">
        <f>IFERROR(__xludf.DUMMYFUNCTION("""COMPUTED_VALUE"""),14.0)</f>
        <v>14</v>
      </c>
      <c r="O678" s="176"/>
      <c r="P678" s="165" t="s">
        <v>528</v>
      </c>
      <c r="Q678" s="165" t="s">
        <v>441</v>
      </c>
      <c r="R678" s="176"/>
      <c r="S678" s="176"/>
      <c r="T678" s="176"/>
      <c r="U678" s="176"/>
      <c r="V678" s="176"/>
      <c r="W678" s="176"/>
      <c r="X678" s="176"/>
      <c r="Y678" s="176"/>
      <c r="Z678" s="176"/>
      <c r="AA678" s="176"/>
    </row>
    <row r="679">
      <c r="A679" s="165" t="str">
        <f>iferror(VLOOKUP(P679,'DO NOT TOUCH Imported'!$A$1:$D$800,4,False),iferror(VLOOKUP(P679,'DO NOT TOUCH Imported'!$C$1:$D$800,2,False),"OOPS FIX ME"))</f>
        <v>naynaysoo</v>
      </c>
      <c r="B679" s="165" t="s">
        <v>440</v>
      </c>
      <c r="C679" s="170" t="s">
        <v>903</v>
      </c>
      <c r="D679" s="236" t="s">
        <v>437</v>
      </c>
      <c r="E679" s="237">
        <v>44307.0</v>
      </c>
      <c r="F679" s="170" t="s">
        <v>439</v>
      </c>
      <c r="G679" s="170">
        <v>1000.0</v>
      </c>
      <c r="H679" s="171">
        <v>100.0</v>
      </c>
      <c r="I679" s="171">
        <v>80.0</v>
      </c>
      <c r="J679" s="172">
        <f t="shared" si="37"/>
        <v>0.0009269003455</v>
      </c>
      <c r="K679" s="173">
        <f t="shared" si="38"/>
        <v>1.112280415</v>
      </c>
      <c r="L679" s="174">
        <f t="shared" si="4"/>
        <v>5.258861806</v>
      </c>
      <c r="M679" s="175" t="str">
        <f t="shared" si="5"/>
        <v>naynaysoo</v>
      </c>
      <c r="N679" s="176">
        <f>IFERROR(__xludf.DUMMYFUNCTION("""COMPUTED_VALUE"""),15.0)</f>
        <v>15</v>
      </c>
      <c r="O679" s="176"/>
      <c r="P679" s="165" t="s">
        <v>528</v>
      </c>
      <c r="Q679" s="165" t="s">
        <v>440</v>
      </c>
      <c r="R679" s="176"/>
      <c r="S679" s="176"/>
      <c r="T679" s="176"/>
      <c r="U679" s="176"/>
      <c r="V679" s="176"/>
      <c r="W679" s="176"/>
      <c r="X679" s="176"/>
      <c r="Y679" s="176"/>
      <c r="Z679" s="176"/>
      <c r="AA679" s="176"/>
    </row>
    <row r="680">
      <c r="A680" s="165" t="str">
        <f>iferror(VLOOKUP(P680,'DO NOT TOUCH Imported'!$A$1:$D$800,4,False),iferror(VLOOKUP(P680,'DO NOT TOUCH Imported'!$C$1:$D$800,2,False),"OOPS FIX ME"))</f>
        <v>naynaysoo</v>
      </c>
      <c r="B680" s="165" t="s">
        <v>490</v>
      </c>
      <c r="C680" s="170" t="s">
        <v>980</v>
      </c>
      <c r="D680" s="236" t="s">
        <v>437</v>
      </c>
      <c r="E680" s="239">
        <v>44309.0</v>
      </c>
      <c r="F680" s="170" t="s">
        <v>439</v>
      </c>
      <c r="G680" s="170">
        <v>1000.0</v>
      </c>
      <c r="H680" s="171">
        <v>80.0</v>
      </c>
      <c r="I680" s="171">
        <v>100.0</v>
      </c>
      <c r="J680" s="172">
        <f t="shared" si="37"/>
        <v>0.0009254417219</v>
      </c>
      <c r="K680" s="173">
        <f t="shared" si="38"/>
        <v>1.110530066</v>
      </c>
      <c r="L680" s="174">
        <f t="shared" si="4"/>
        <v>5.258861806</v>
      </c>
      <c r="M680" s="175" t="str">
        <f t="shared" si="5"/>
        <v>naynaysoo</v>
      </c>
      <c r="N680" s="176">
        <f>IFERROR(__xludf.DUMMYFUNCTION("""COMPUTED_VALUE"""),16.0)</f>
        <v>16</v>
      </c>
      <c r="O680" s="176"/>
      <c r="P680" s="165" t="s">
        <v>528</v>
      </c>
      <c r="Q680" s="165" t="s">
        <v>490</v>
      </c>
      <c r="R680" s="176"/>
      <c r="S680" s="176"/>
      <c r="T680" s="176"/>
      <c r="U680" s="176"/>
      <c r="V680" s="176"/>
      <c r="W680" s="176"/>
      <c r="X680" s="176"/>
      <c r="Y680" s="176"/>
      <c r="Z680" s="176"/>
      <c r="AA680" s="176"/>
    </row>
    <row r="681">
      <c r="A681" s="165" t="str">
        <f>iferror(VLOOKUP(P681,'DO NOT TOUCH Imported'!$A$1:$D$800,4,False),iferror(VLOOKUP(P681,'DO NOT TOUCH Imported'!$C$1:$D$800,2,False),"OOPS FIX ME"))</f>
        <v>naynaysoo</v>
      </c>
      <c r="B681" s="165" t="s">
        <v>441</v>
      </c>
      <c r="C681" s="170" t="s">
        <v>1130</v>
      </c>
      <c r="D681" s="236" t="s">
        <v>437</v>
      </c>
      <c r="E681" s="239">
        <v>44309.0</v>
      </c>
      <c r="F681" s="170" t="s">
        <v>439</v>
      </c>
      <c r="G681" s="170">
        <v>1000.0</v>
      </c>
      <c r="H681" s="171">
        <v>70.0</v>
      </c>
      <c r="I681" s="171">
        <v>100.0</v>
      </c>
      <c r="J681" s="172">
        <f t="shared" si="37"/>
        <v>0.0008818316829</v>
      </c>
      <c r="K681" s="173">
        <f t="shared" si="38"/>
        <v>1.058198019</v>
      </c>
      <c r="L681" s="174">
        <f t="shared" si="4"/>
        <v>5.258861806</v>
      </c>
      <c r="M681" s="175" t="str">
        <f t="shared" si="5"/>
        <v>naynaysoo</v>
      </c>
      <c r="N681" s="176">
        <f>IFERROR(__xludf.DUMMYFUNCTION("""COMPUTED_VALUE"""),17.0)</f>
        <v>17</v>
      </c>
      <c r="O681" s="176"/>
      <c r="P681" s="165" t="s">
        <v>528</v>
      </c>
      <c r="Q681" s="165" t="s">
        <v>441</v>
      </c>
      <c r="R681" s="176"/>
      <c r="S681" s="176"/>
      <c r="T681" s="176"/>
      <c r="U681" s="176"/>
      <c r="V681" s="176"/>
      <c r="W681" s="176"/>
      <c r="X681" s="176"/>
      <c r="Y681" s="176"/>
      <c r="Z681" s="176"/>
      <c r="AA681" s="176"/>
    </row>
    <row r="682">
      <c r="A682" s="165" t="str">
        <f>iferror(VLOOKUP(P682,'DO NOT TOUCH Imported'!$A$1:$D$800,4,False),iferror(VLOOKUP(P682,'DO NOT TOUCH Imported'!$C$1:$D$800,2,False),"OOPS FIX ME"))</f>
        <v>naynaysoo</v>
      </c>
      <c r="B682" s="165" t="s">
        <v>768</v>
      </c>
      <c r="C682" s="170" t="s">
        <v>1047</v>
      </c>
      <c r="D682" s="236" t="s">
        <v>499</v>
      </c>
      <c r="E682" s="237">
        <v>44306.0</v>
      </c>
      <c r="F682" s="170" t="s">
        <v>503</v>
      </c>
      <c r="G682" s="170">
        <v>500.0</v>
      </c>
      <c r="H682" s="171">
        <v>100.0</v>
      </c>
      <c r="I682" s="171">
        <v>80.0</v>
      </c>
      <c r="J682" s="172">
        <f t="shared" si="37"/>
        <v>0.0008530232769</v>
      </c>
      <c r="K682" s="173">
        <f t="shared" si="38"/>
        <v>1.023627932</v>
      </c>
      <c r="L682" s="174">
        <f t="shared" si="4"/>
        <v>5.258861806</v>
      </c>
      <c r="M682" s="175" t="str">
        <f t="shared" si="5"/>
        <v>naynaysoo</v>
      </c>
      <c r="N682" s="176">
        <f>IFERROR(__xludf.DUMMYFUNCTION("""COMPUTED_VALUE"""),18.0)</f>
        <v>18</v>
      </c>
      <c r="O682" s="176"/>
      <c r="P682" s="165" t="s">
        <v>528</v>
      </c>
      <c r="Q682" s="165" t="s">
        <v>768</v>
      </c>
      <c r="R682" s="176"/>
      <c r="S682" s="176"/>
      <c r="T682" s="176"/>
      <c r="U682" s="176"/>
      <c r="V682" s="176"/>
      <c r="W682" s="176"/>
      <c r="X682" s="176"/>
      <c r="Y682" s="176"/>
      <c r="Z682" s="176"/>
      <c r="AA682" s="176"/>
    </row>
    <row r="683">
      <c r="A683" s="165" t="str">
        <f>iferror(VLOOKUP(P683,'DO NOT TOUCH Imported'!$A$1:$D$800,4,False),iferror(VLOOKUP(P683,'DO NOT TOUCH Imported'!$C$1:$D$800,2,False),"OOPS FIX ME"))</f>
        <v>naynaysoo</v>
      </c>
      <c r="B683" s="165" t="s">
        <v>441</v>
      </c>
      <c r="C683" s="170" t="s">
        <v>906</v>
      </c>
      <c r="D683" s="236" t="s">
        <v>437</v>
      </c>
      <c r="E683" s="237">
        <v>44309.0</v>
      </c>
      <c r="F683" s="170" t="s">
        <v>439</v>
      </c>
      <c r="G683" s="170">
        <v>1000.0</v>
      </c>
      <c r="H683" s="171">
        <v>60.0</v>
      </c>
      <c r="I683" s="171">
        <v>100.0</v>
      </c>
      <c r="J683" s="172">
        <f t="shared" si="37"/>
        <v>0.0008382216439</v>
      </c>
      <c r="K683" s="173">
        <f t="shared" si="38"/>
        <v>1.005865973</v>
      </c>
      <c r="L683" s="174">
        <f t="shared" si="4"/>
        <v>5.258861806</v>
      </c>
      <c r="M683" s="175" t="str">
        <f t="shared" si="5"/>
        <v>naynaysoo</v>
      </c>
      <c r="N683" s="176">
        <f>IFERROR(__xludf.DUMMYFUNCTION("""COMPUTED_VALUE"""),19.0)</f>
        <v>19</v>
      </c>
      <c r="O683" s="176"/>
      <c r="P683" s="165" t="s">
        <v>528</v>
      </c>
      <c r="Q683" s="165" t="s">
        <v>441</v>
      </c>
      <c r="R683" s="176"/>
      <c r="S683" s="176"/>
      <c r="T683" s="176"/>
      <c r="U683" s="176"/>
      <c r="V683" s="176"/>
      <c r="W683" s="176"/>
      <c r="X683" s="176"/>
      <c r="Y683" s="176"/>
      <c r="Z683" s="176"/>
      <c r="AA683" s="176"/>
    </row>
    <row r="684">
      <c r="A684" s="165" t="str">
        <f>iferror(VLOOKUP(P684,'DO NOT TOUCH Imported'!$A$1:$D$800,4,False),iferror(VLOOKUP(P684,'DO NOT TOUCH Imported'!$C$1:$D$800,2,False),"OOPS FIX ME"))</f>
        <v>naynaysoo</v>
      </c>
      <c r="B684" s="165" t="s">
        <v>486</v>
      </c>
      <c r="C684" s="170" t="s">
        <v>1131</v>
      </c>
      <c r="D684" s="236" t="s">
        <v>437</v>
      </c>
      <c r="E684" s="239">
        <v>44305.0</v>
      </c>
      <c r="F684" s="170" t="s">
        <v>439</v>
      </c>
      <c r="G684" s="170">
        <v>1000.0</v>
      </c>
      <c r="H684" s="171">
        <v>100.0</v>
      </c>
      <c r="I684" s="171">
        <v>50.0</v>
      </c>
      <c r="J684" s="172">
        <f t="shared" si="37"/>
        <v>0.0007982581637</v>
      </c>
      <c r="K684" s="173">
        <f t="shared" si="38"/>
        <v>0.9579097965</v>
      </c>
      <c r="L684" s="174">
        <f t="shared" si="4"/>
        <v>5.258861806</v>
      </c>
      <c r="M684" s="175" t="str">
        <f t="shared" si="5"/>
        <v>naynaysoo</v>
      </c>
      <c r="N684" s="176">
        <f>IFERROR(__xludf.DUMMYFUNCTION("""COMPUTED_VALUE"""),20.0)</f>
        <v>20</v>
      </c>
      <c r="O684" s="176"/>
      <c r="P684" s="165" t="s">
        <v>528</v>
      </c>
      <c r="Q684" s="165" t="s">
        <v>486</v>
      </c>
      <c r="R684" s="176"/>
      <c r="S684" s="176"/>
      <c r="T684" s="176"/>
      <c r="U684" s="176"/>
      <c r="V684" s="176"/>
      <c r="W684" s="176"/>
      <c r="X684" s="176"/>
      <c r="Y684" s="176"/>
      <c r="Z684" s="176"/>
      <c r="AA684" s="176"/>
    </row>
    <row r="685">
      <c r="A685" s="165" t="str">
        <f>iferror(VLOOKUP(P685,'DO NOT TOUCH Imported'!$A$1:$D$800,4,False),iferror(VLOOKUP(P685,'DO NOT TOUCH Imported'!$C$1:$D$800,2,False),"OOPS FIX ME"))</f>
        <v>naynaysoo</v>
      </c>
      <c r="B685" s="165" t="s">
        <v>528</v>
      </c>
      <c r="C685" s="170" t="s">
        <v>975</v>
      </c>
      <c r="D685" s="236" t="s">
        <v>437</v>
      </c>
      <c r="E685" s="239">
        <v>44305.0</v>
      </c>
      <c r="F685" s="170" t="s">
        <v>439</v>
      </c>
      <c r="G685" s="170">
        <v>1000.0</v>
      </c>
      <c r="H685" s="171">
        <v>100.0</v>
      </c>
      <c r="I685" s="171">
        <v>50.0</v>
      </c>
      <c r="J685" s="172">
        <f t="shared" si="37"/>
        <v>0.0007982581637</v>
      </c>
      <c r="K685" s="173">
        <f t="shared" si="38"/>
        <v>0.9579097965</v>
      </c>
      <c r="L685" s="174">
        <f t="shared" si="4"/>
        <v>5.258861806</v>
      </c>
      <c r="M685" s="175" t="str">
        <f t="shared" si="5"/>
        <v>naynaysoo</v>
      </c>
      <c r="N685" s="176">
        <f>IFERROR(__xludf.DUMMYFUNCTION("""COMPUTED_VALUE"""),21.0)</f>
        <v>21</v>
      </c>
      <c r="O685" s="176"/>
      <c r="P685" s="165" t="s">
        <v>528</v>
      </c>
      <c r="Q685" s="165" t="s">
        <v>528</v>
      </c>
      <c r="R685" s="176"/>
      <c r="S685" s="176"/>
      <c r="T685" s="176"/>
      <c r="U685" s="176"/>
      <c r="V685" s="176"/>
      <c r="W685" s="176"/>
      <c r="X685" s="176"/>
      <c r="Y685" s="176"/>
      <c r="Z685" s="176"/>
      <c r="AA685" s="176"/>
    </row>
    <row r="686">
      <c r="A686" s="165" t="str">
        <f>iferror(VLOOKUP(P686,'DO NOT TOUCH Imported'!$A$1:$D$800,4,False),iferror(VLOOKUP(P686,'DO NOT TOUCH Imported'!$C$1:$D$800,2,False),"OOPS FIX ME"))</f>
        <v>naynaysoo</v>
      </c>
      <c r="B686" s="165" t="s">
        <v>441</v>
      </c>
      <c r="C686" s="170" t="s">
        <v>909</v>
      </c>
      <c r="D686" s="236" t="s">
        <v>437</v>
      </c>
      <c r="E686" s="239">
        <v>44309.0</v>
      </c>
      <c r="F686" s="170" t="s">
        <v>439</v>
      </c>
      <c r="G686" s="170">
        <v>1000.0</v>
      </c>
      <c r="H686" s="171">
        <v>100.0</v>
      </c>
      <c r="I686" s="171">
        <v>50.0</v>
      </c>
      <c r="J686" s="172">
        <f t="shared" si="37"/>
        <v>0.0007982581637</v>
      </c>
      <c r="K686" s="173">
        <f t="shared" si="38"/>
        <v>0.9579097965</v>
      </c>
      <c r="L686" s="174">
        <f t="shared" si="4"/>
        <v>5.258861806</v>
      </c>
      <c r="M686" s="175" t="str">
        <f t="shared" si="5"/>
        <v>naynaysoo</v>
      </c>
      <c r="N686" s="176">
        <f>IFERROR(__xludf.DUMMYFUNCTION("""COMPUTED_VALUE"""),22.0)</f>
        <v>22</v>
      </c>
      <c r="O686" s="176"/>
      <c r="P686" s="165" t="s">
        <v>528</v>
      </c>
      <c r="Q686" s="165" t="s">
        <v>441</v>
      </c>
      <c r="R686" s="176"/>
      <c r="S686" s="176"/>
      <c r="T686" s="176"/>
      <c r="U686" s="176"/>
      <c r="V686" s="176"/>
      <c r="W686" s="176"/>
      <c r="X686" s="176"/>
      <c r="Y686" s="176"/>
      <c r="Z686" s="176"/>
      <c r="AA686" s="176"/>
    </row>
    <row r="687">
      <c r="A687" s="165" t="str">
        <f>iferror(VLOOKUP(P687,'DO NOT TOUCH Imported'!$A$1:$D$800,4,False),iferror(VLOOKUP(P687,'DO NOT TOUCH Imported'!$C$1:$D$800,2,False),"OOPS FIX ME"))</f>
        <v>naynaysoo</v>
      </c>
      <c r="B687" s="165" t="s">
        <v>435</v>
      </c>
      <c r="C687" s="170" t="s">
        <v>910</v>
      </c>
      <c r="D687" s="236" t="s">
        <v>437</v>
      </c>
      <c r="E687" s="239">
        <v>44302.0</v>
      </c>
      <c r="F687" s="170" t="s">
        <v>911</v>
      </c>
      <c r="G687" s="170">
        <v>1000.0</v>
      </c>
      <c r="H687" s="171">
        <v>60.0</v>
      </c>
      <c r="I687" s="171">
        <v>80.0</v>
      </c>
      <c r="J687" s="172">
        <f t="shared" si="37"/>
        <v>0.0007524601894</v>
      </c>
      <c r="K687" s="173">
        <f t="shared" si="38"/>
        <v>0.9029522272</v>
      </c>
      <c r="L687" s="174">
        <f t="shared" si="4"/>
        <v>5.258861806</v>
      </c>
      <c r="M687" s="175" t="str">
        <f t="shared" si="5"/>
        <v>naynaysoo</v>
      </c>
      <c r="N687" s="176">
        <f>IFERROR(__xludf.DUMMYFUNCTION("""COMPUTED_VALUE"""),23.0)</f>
        <v>23</v>
      </c>
      <c r="O687" s="176"/>
      <c r="P687" s="165" t="s">
        <v>528</v>
      </c>
      <c r="Q687" s="165" t="s">
        <v>435</v>
      </c>
      <c r="R687" s="176"/>
      <c r="S687" s="176"/>
      <c r="T687" s="176"/>
      <c r="U687" s="176"/>
      <c r="V687" s="176"/>
      <c r="W687" s="176"/>
      <c r="X687" s="176"/>
      <c r="Y687" s="176"/>
      <c r="Z687" s="176"/>
      <c r="AA687" s="176"/>
    </row>
    <row r="688">
      <c r="A688" s="165" t="str">
        <f>iferror(VLOOKUP(P688,'DO NOT TOUCH Imported'!$A$1:$D$800,4,False),iferror(VLOOKUP(P688,'DO NOT TOUCH Imported'!$C$1:$D$800,2,False),"OOPS FIX ME"))</f>
        <v>naynaysoo</v>
      </c>
      <c r="B688" s="165" t="s">
        <v>490</v>
      </c>
      <c r="C688" s="170" t="s">
        <v>914</v>
      </c>
      <c r="D688" s="236" t="s">
        <v>437</v>
      </c>
      <c r="E688" s="239">
        <v>44299.0</v>
      </c>
      <c r="F688" s="170" t="s">
        <v>439</v>
      </c>
      <c r="G688" s="170">
        <v>1000.0</v>
      </c>
      <c r="H688" s="171">
        <v>60.0</v>
      </c>
      <c r="I688" s="171">
        <v>50.0</v>
      </c>
      <c r="J688" s="172">
        <f t="shared" si="37"/>
        <v>0.0006238180076</v>
      </c>
      <c r="K688" s="173">
        <f t="shared" si="38"/>
        <v>0.7485816091</v>
      </c>
      <c r="L688" s="174">
        <f t="shared" si="4"/>
        <v>5.258861806</v>
      </c>
      <c r="M688" s="175" t="str">
        <f t="shared" si="5"/>
        <v>naynaysoo</v>
      </c>
      <c r="N688" s="176">
        <f>IFERROR(__xludf.DUMMYFUNCTION("""COMPUTED_VALUE"""),24.0)</f>
        <v>24</v>
      </c>
      <c r="O688" s="176"/>
      <c r="P688" s="165" t="s">
        <v>528</v>
      </c>
      <c r="Q688" s="165" t="s">
        <v>490</v>
      </c>
      <c r="R688" s="176"/>
      <c r="S688" s="176"/>
      <c r="T688" s="176"/>
      <c r="U688" s="176"/>
      <c r="V688" s="176"/>
      <c r="W688" s="176"/>
      <c r="X688" s="176"/>
      <c r="Y688" s="176"/>
      <c r="Z688" s="176"/>
      <c r="AA688" s="176"/>
    </row>
    <row r="689">
      <c r="A689" s="165" t="str">
        <f>iferror(VLOOKUP(P689,'DO NOT TOUCH Imported'!$A$1:$D$800,4,False),iferror(VLOOKUP(P689,'DO NOT TOUCH Imported'!$C$1:$D$800,2,False),"OOPS FIX ME"))</f>
        <v>naynaysoo</v>
      </c>
      <c r="B689" s="165" t="s">
        <v>492</v>
      </c>
      <c r="C689" s="170" t="s">
        <v>915</v>
      </c>
      <c r="D689" s="236" t="s">
        <v>437</v>
      </c>
      <c r="E689" s="237">
        <v>44300.0</v>
      </c>
      <c r="F689" s="170" t="s">
        <v>439</v>
      </c>
      <c r="G689" s="170">
        <v>1000.0</v>
      </c>
      <c r="H689" s="171">
        <v>60.0</v>
      </c>
      <c r="I689" s="171">
        <v>50.0</v>
      </c>
      <c r="J689" s="172">
        <f t="shared" si="37"/>
        <v>0.0006238180076</v>
      </c>
      <c r="K689" s="173">
        <f t="shared" si="38"/>
        <v>0.7485816091</v>
      </c>
      <c r="L689" s="174">
        <f t="shared" si="4"/>
        <v>5.258861806</v>
      </c>
      <c r="M689" s="175" t="str">
        <f t="shared" si="5"/>
        <v>naynaysoo</v>
      </c>
      <c r="N689" s="176">
        <f>IFERROR(__xludf.DUMMYFUNCTION("""COMPUTED_VALUE"""),25.0)</f>
        <v>25</v>
      </c>
      <c r="O689" s="176"/>
      <c r="P689" s="165" t="s">
        <v>528</v>
      </c>
      <c r="Q689" s="165" t="s">
        <v>492</v>
      </c>
      <c r="R689" s="176"/>
      <c r="S689" s="176"/>
      <c r="T689" s="176"/>
      <c r="U689" s="176"/>
      <c r="V689" s="176"/>
      <c r="W689" s="176"/>
      <c r="X689" s="176"/>
      <c r="Y689" s="176"/>
      <c r="Z689" s="176"/>
      <c r="AA689" s="176"/>
    </row>
    <row r="690">
      <c r="A690" s="165" t="str">
        <f>iferror(VLOOKUP(P690,'DO NOT TOUCH Imported'!$A$1:$D$800,4,False),iferror(VLOOKUP(P690,'DO NOT TOUCH Imported'!$C$1:$D$800,2,False),"OOPS FIX ME"))</f>
        <v>naynaysoo</v>
      </c>
      <c r="B690" s="165" t="s">
        <v>440</v>
      </c>
      <c r="C690" s="170" t="s">
        <v>916</v>
      </c>
      <c r="D690" s="236" t="s">
        <v>437</v>
      </c>
      <c r="E690" s="239">
        <v>44300.0</v>
      </c>
      <c r="F690" s="170" t="s">
        <v>439</v>
      </c>
      <c r="G690" s="170">
        <v>1000.0</v>
      </c>
      <c r="H690" s="171">
        <v>60.0</v>
      </c>
      <c r="I690" s="171">
        <v>50.0</v>
      </c>
      <c r="J690" s="172">
        <f t="shared" si="37"/>
        <v>0.0006238180076</v>
      </c>
      <c r="K690" s="173">
        <f t="shared" si="38"/>
        <v>0.7485816091</v>
      </c>
      <c r="L690" s="174">
        <f t="shared" si="4"/>
        <v>5.258861806</v>
      </c>
      <c r="M690" s="175" t="str">
        <f t="shared" si="5"/>
        <v>naynaysoo</v>
      </c>
      <c r="N690" s="176">
        <f>IFERROR(__xludf.DUMMYFUNCTION("""COMPUTED_VALUE"""),26.0)</f>
        <v>26</v>
      </c>
      <c r="O690" s="176"/>
      <c r="P690" s="165" t="s">
        <v>528</v>
      </c>
      <c r="Q690" s="165" t="s">
        <v>440</v>
      </c>
      <c r="R690" s="176"/>
      <c r="S690" s="176"/>
      <c r="T690" s="176"/>
      <c r="U690" s="176"/>
      <c r="V690" s="176"/>
      <c r="W690" s="176"/>
      <c r="X690" s="176"/>
      <c r="Y690" s="176"/>
      <c r="Z690" s="176"/>
      <c r="AA690" s="176"/>
    </row>
    <row r="691">
      <c r="A691" s="165" t="str">
        <f>iferror(VLOOKUP(P691,'DO NOT TOUCH Imported'!$A$1:$D$800,4,False),iferror(VLOOKUP(P691,'DO NOT TOUCH Imported'!$C$1:$D$800,2,False),"OOPS FIX ME"))</f>
        <v>naynaysoo</v>
      </c>
      <c r="B691" s="165" t="s">
        <v>440</v>
      </c>
      <c r="C691" s="170" t="s">
        <v>917</v>
      </c>
      <c r="D691" s="236" t="s">
        <v>437</v>
      </c>
      <c r="E691" s="239">
        <v>44301.0</v>
      </c>
      <c r="F691" s="170" t="s">
        <v>439</v>
      </c>
      <c r="G691" s="170">
        <v>1000.0</v>
      </c>
      <c r="H691" s="171">
        <v>60.0</v>
      </c>
      <c r="I691" s="171">
        <v>50.0</v>
      </c>
      <c r="J691" s="172">
        <f t="shared" si="37"/>
        <v>0.0006238180076</v>
      </c>
      <c r="K691" s="173">
        <f t="shared" si="38"/>
        <v>0.7485816091</v>
      </c>
      <c r="L691" s="174">
        <f t="shared" si="4"/>
        <v>5.258861806</v>
      </c>
      <c r="M691" s="175" t="str">
        <f t="shared" si="5"/>
        <v>naynaysoo</v>
      </c>
      <c r="N691" s="176">
        <f>IFERROR(__xludf.DUMMYFUNCTION("""COMPUTED_VALUE"""),27.0)</f>
        <v>27</v>
      </c>
      <c r="O691" s="176"/>
      <c r="P691" s="165" t="s">
        <v>528</v>
      </c>
      <c r="Q691" s="165" t="s">
        <v>440</v>
      </c>
      <c r="R691" s="176"/>
      <c r="S691" s="176"/>
      <c r="T691" s="176"/>
      <c r="U691" s="176"/>
      <c r="V691" s="176"/>
      <c r="W691" s="176"/>
      <c r="X691" s="176"/>
      <c r="Y691" s="176"/>
      <c r="Z691" s="176"/>
      <c r="AA691" s="176"/>
    </row>
    <row r="692">
      <c r="A692" s="165" t="str">
        <f>iferror(VLOOKUP(P692,'DO NOT TOUCH Imported'!$A$1:$D$800,4,False),iferror(VLOOKUP(P692,'DO NOT TOUCH Imported'!$C$1:$D$800,2,False),"OOPS FIX ME"))</f>
        <v>naynaysoo</v>
      </c>
      <c r="B692" s="165" t="s">
        <v>441</v>
      </c>
      <c r="C692" s="170" t="s">
        <v>918</v>
      </c>
      <c r="D692" s="236" t="s">
        <v>437</v>
      </c>
      <c r="E692" s="237">
        <v>44302.0</v>
      </c>
      <c r="F692" s="170" t="s">
        <v>439</v>
      </c>
      <c r="G692" s="170">
        <v>1000.0</v>
      </c>
      <c r="H692" s="171">
        <v>60.0</v>
      </c>
      <c r="I692" s="171">
        <v>50.0</v>
      </c>
      <c r="J692" s="172">
        <f t="shared" si="37"/>
        <v>0.0006238180076</v>
      </c>
      <c r="K692" s="173">
        <f t="shared" si="38"/>
        <v>0.7485816091</v>
      </c>
      <c r="L692" s="174">
        <f t="shared" si="4"/>
        <v>5.258861806</v>
      </c>
      <c r="M692" s="175" t="str">
        <f t="shared" si="5"/>
        <v>naynaysoo</v>
      </c>
      <c r="N692" s="176">
        <f>IFERROR(__xludf.DUMMYFUNCTION("""COMPUTED_VALUE"""),28.0)</f>
        <v>28</v>
      </c>
      <c r="O692" s="176"/>
      <c r="P692" s="165" t="s">
        <v>528</v>
      </c>
      <c r="Q692" s="165" t="s">
        <v>441</v>
      </c>
      <c r="R692" s="176"/>
      <c r="S692" s="176"/>
      <c r="T692" s="176"/>
      <c r="U692" s="176"/>
      <c r="V692" s="176"/>
      <c r="W692" s="176"/>
      <c r="X692" s="176"/>
      <c r="Y692" s="176"/>
      <c r="Z692" s="176"/>
      <c r="AA692" s="176"/>
    </row>
    <row r="693">
      <c r="A693" s="165" t="str">
        <f>iferror(VLOOKUP(P693,'DO NOT TOUCH Imported'!$A$1:$D$800,4,False),iferror(VLOOKUP(P693,'DO NOT TOUCH Imported'!$C$1:$D$800,2,False),"OOPS FIX ME"))</f>
        <v>naynaysoo</v>
      </c>
      <c r="B693" s="165" t="s">
        <v>486</v>
      </c>
      <c r="C693" s="170" t="s">
        <v>921</v>
      </c>
      <c r="D693" s="236" t="s">
        <v>437</v>
      </c>
      <c r="E693" s="239">
        <v>44306.0</v>
      </c>
      <c r="F693" s="170" t="s">
        <v>439</v>
      </c>
      <c r="G693" s="170">
        <v>1000.0</v>
      </c>
      <c r="H693" s="171">
        <v>60.0</v>
      </c>
      <c r="I693" s="171">
        <v>50.0</v>
      </c>
      <c r="J693" s="172">
        <f t="shared" si="37"/>
        <v>0.0006238180076</v>
      </c>
      <c r="K693" s="173">
        <f t="shared" si="38"/>
        <v>0.7485816091</v>
      </c>
      <c r="L693" s="174">
        <f t="shared" si="4"/>
        <v>5.258861806</v>
      </c>
      <c r="M693" s="175" t="str">
        <f t="shared" si="5"/>
        <v>naynaysoo</v>
      </c>
      <c r="N693" s="176">
        <f>IFERROR(__xludf.DUMMYFUNCTION("""COMPUTED_VALUE"""),29.0)</f>
        <v>29</v>
      </c>
      <c r="O693" s="176"/>
      <c r="P693" s="165" t="s">
        <v>528</v>
      </c>
      <c r="Q693" s="165" t="s">
        <v>486</v>
      </c>
      <c r="R693" s="176"/>
      <c r="S693" s="176"/>
      <c r="T693" s="176"/>
      <c r="U693" s="176"/>
      <c r="V693" s="176"/>
      <c r="W693" s="176"/>
      <c r="X693" s="176"/>
      <c r="Y693" s="176"/>
      <c r="Z693" s="176"/>
      <c r="AA693" s="176"/>
    </row>
    <row r="694">
      <c r="A694" s="165" t="str">
        <f>iferror(VLOOKUP(P694,'DO NOT TOUCH Imported'!$A$1:$D$800,4,False),iferror(VLOOKUP(P694,'DO NOT TOUCH Imported'!$C$1:$D$800,2,False),"OOPS FIX ME"))</f>
        <v>naynaysoo</v>
      </c>
      <c r="B694" s="165" t="s">
        <v>440</v>
      </c>
      <c r="C694" s="170" t="s">
        <v>922</v>
      </c>
      <c r="D694" s="236" t="s">
        <v>437</v>
      </c>
      <c r="E694" s="237">
        <v>44307.0</v>
      </c>
      <c r="F694" s="170" t="s">
        <v>439</v>
      </c>
      <c r="G694" s="170">
        <v>1000.0</v>
      </c>
      <c r="H694" s="171">
        <v>60.0</v>
      </c>
      <c r="I694" s="171">
        <v>50.0</v>
      </c>
      <c r="J694" s="172">
        <f t="shared" si="37"/>
        <v>0.0006238180076</v>
      </c>
      <c r="K694" s="173">
        <f t="shared" si="38"/>
        <v>0.7485816091</v>
      </c>
      <c r="L694" s="174">
        <f t="shared" si="4"/>
        <v>5.258861806</v>
      </c>
      <c r="M694" s="175" t="str">
        <f t="shared" si="5"/>
        <v>naynaysoo</v>
      </c>
      <c r="N694" s="176">
        <f>IFERROR(__xludf.DUMMYFUNCTION("""COMPUTED_VALUE"""),30.0)</f>
        <v>30</v>
      </c>
      <c r="O694" s="176"/>
      <c r="P694" s="165" t="s">
        <v>528</v>
      </c>
      <c r="Q694" s="165" t="s">
        <v>440</v>
      </c>
      <c r="R694" s="176"/>
      <c r="S694" s="176"/>
      <c r="T694" s="176"/>
      <c r="U694" s="176"/>
      <c r="V694" s="176"/>
      <c r="W694" s="176"/>
      <c r="X694" s="176"/>
      <c r="Y694" s="176"/>
      <c r="Z694" s="176"/>
      <c r="AA694" s="176"/>
    </row>
    <row r="695">
      <c r="A695" s="165" t="str">
        <f>iferror(VLOOKUP(P695,'DO NOT TOUCH Imported'!$A$1:$D$800,4,False),iferror(VLOOKUP(P695,'DO NOT TOUCH Imported'!$C$1:$D$800,2,False),"OOPS FIX ME"))</f>
        <v>naynaysoo</v>
      </c>
      <c r="B695" s="165" t="s">
        <v>441</v>
      </c>
      <c r="C695" s="170" t="s">
        <v>923</v>
      </c>
      <c r="D695" s="236" t="s">
        <v>437</v>
      </c>
      <c r="E695" s="239">
        <v>44309.0</v>
      </c>
      <c r="F695" s="170" t="s">
        <v>439</v>
      </c>
      <c r="G695" s="170">
        <v>1000.0</v>
      </c>
      <c r="H695" s="171">
        <v>60.0</v>
      </c>
      <c r="I695" s="171">
        <v>50.0</v>
      </c>
      <c r="J695" s="172">
        <f t="shared" si="37"/>
        <v>0.0006238180076</v>
      </c>
      <c r="K695" s="173">
        <f t="shared" si="38"/>
        <v>0.7485816091</v>
      </c>
      <c r="L695" s="174">
        <f t="shared" si="4"/>
        <v>5.258861806</v>
      </c>
      <c r="M695" s="175" t="str">
        <f t="shared" si="5"/>
        <v>naynaysoo</v>
      </c>
      <c r="N695" s="176">
        <f>IFERROR(__xludf.DUMMYFUNCTION("""COMPUTED_VALUE"""),31.0)</f>
        <v>31</v>
      </c>
      <c r="O695" s="176"/>
      <c r="P695" s="165" t="s">
        <v>528</v>
      </c>
      <c r="Q695" s="165" t="s">
        <v>441</v>
      </c>
      <c r="R695" s="176"/>
      <c r="S695" s="176"/>
      <c r="T695" s="176"/>
      <c r="U695" s="176"/>
      <c r="V695" s="176"/>
      <c r="W695" s="176"/>
      <c r="X695" s="176"/>
      <c r="Y695" s="176"/>
      <c r="Z695" s="176"/>
      <c r="AA695" s="176"/>
    </row>
    <row r="696">
      <c r="A696" s="165" t="str">
        <f>iferror(VLOOKUP(P696,'DO NOT TOUCH Imported'!$A$1:$D$800,4,False),iferror(VLOOKUP(P696,'DO NOT TOUCH Imported'!$C$1:$D$800,2,False),"OOPS FIX ME"))</f>
        <v>naynaysoo</v>
      </c>
      <c r="B696" s="165" t="s">
        <v>486</v>
      </c>
      <c r="C696" s="170" t="s">
        <v>924</v>
      </c>
      <c r="D696" s="236" t="s">
        <v>437</v>
      </c>
      <c r="E696" s="237">
        <v>44299.0</v>
      </c>
      <c r="F696" s="170" t="s">
        <v>439</v>
      </c>
      <c r="G696" s="170">
        <v>1000.0</v>
      </c>
      <c r="H696" s="171">
        <v>50.0</v>
      </c>
      <c r="I696" s="171">
        <v>50.0</v>
      </c>
      <c r="J696" s="172">
        <f t="shared" si="37"/>
        <v>0.0005802079686</v>
      </c>
      <c r="K696" s="173">
        <f t="shared" si="38"/>
        <v>0.6962495623</v>
      </c>
      <c r="L696" s="174">
        <f t="shared" si="4"/>
        <v>5.258861806</v>
      </c>
      <c r="M696" s="175" t="str">
        <f t="shared" si="5"/>
        <v>naynaysoo</v>
      </c>
      <c r="N696" s="176">
        <f>IFERROR(__xludf.DUMMYFUNCTION("""COMPUTED_VALUE"""),32.0)</f>
        <v>32</v>
      </c>
      <c r="O696" s="176"/>
      <c r="P696" s="165" t="s">
        <v>528</v>
      </c>
      <c r="Q696" s="165" t="s">
        <v>486</v>
      </c>
      <c r="R696" s="176"/>
      <c r="S696" s="176"/>
      <c r="T696" s="176"/>
      <c r="U696" s="176"/>
      <c r="V696" s="176"/>
      <c r="W696" s="176"/>
      <c r="X696" s="176"/>
      <c r="Y696" s="176"/>
      <c r="Z696" s="176"/>
      <c r="AA696" s="176"/>
    </row>
    <row r="697">
      <c r="A697" s="240" t="str">
        <f>iferror(VLOOKUP(P697,'DO NOT TOUCH Imported'!$A$1:$D$800,4,False),iferror(VLOOKUP(P697,'DO NOT TOUCH Imported'!$C$1:$D$800,2,False),"OOPS FIX ME"))</f>
        <v>naynaysoo</v>
      </c>
      <c r="B697" s="240" t="s">
        <v>492</v>
      </c>
      <c r="C697" s="221" t="s">
        <v>915</v>
      </c>
      <c r="D697" s="241" t="s">
        <v>437</v>
      </c>
      <c r="E697" s="242">
        <v>44300.0</v>
      </c>
      <c r="F697" s="221" t="s">
        <v>439</v>
      </c>
      <c r="G697" s="221"/>
      <c r="H697" s="222"/>
      <c r="I697" s="222"/>
      <c r="J697" s="172">
        <f t="shared" si="37"/>
        <v>0</v>
      </c>
      <c r="K697" s="173">
        <f t="shared" si="38"/>
        <v>0</v>
      </c>
      <c r="L697" s="174">
        <f t="shared" si="4"/>
        <v>5.258861806</v>
      </c>
      <c r="M697" s="175" t="str">
        <f t="shared" si="5"/>
        <v>naynaysoo</v>
      </c>
      <c r="N697" s="209">
        <f>IFERROR(__xludf.DUMMYFUNCTION("""COMPUTED_VALUE"""),33.0)</f>
        <v>33</v>
      </c>
      <c r="O697" s="209"/>
      <c r="P697" s="240" t="s">
        <v>528</v>
      </c>
      <c r="Q697" s="240" t="s">
        <v>492</v>
      </c>
      <c r="R697" s="209"/>
      <c r="S697" s="209"/>
      <c r="T697" s="209"/>
      <c r="U697" s="209"/>
      <c r="V697" s="209"/>
      <c r="W697" s="209"/>
      <c r="X697" s="209"/>
      <c r="Y697" s="209"/>
      <c r="Z697" s="209"/>
      <c r="AA697" s="209"/>
    </row>
    <row r="698">
      <c r="A698" s="185" t="str">
        <f>iferror(VLOOKUP(P698,'DO NOT TOUCH Imported'!$A$1:$D$800,4,False),iferror(VLOOKUP(P698,'DO NOT TOUCH Imported'!$C$1:$D$800,2,False),"OOPS FIX ME"))</f>
        <v>vegayp</v>
      </c>
      <c r="B698" s="185" t="s">
        <v>534</v>
      </c>
      <c r="C698" s="186" t="s">
        <v>810</v>
      </c>
      <c r="D698" s="187"/>
      <c r="E698" s="188"/>
      <c r="F698" s="189"/>
      <c r="G698" s="190"/>
      <c r="H698" s="190"/>
      <c r="I698" s="190"/>
      <c r="J698" s="172">
        <f>(H698/$H$2+I698/$I$2)/2</f>
        <v>0</v>
      </c>
      <c r="K698" s="192">
        <f>-0.85*31.597</f>
        <v>-26.85745</v>
      </c>
      <c r="L698" s="193">
        <f t="shared" si="4"/>
        <v>4.739761567</v>
      </c>
      <c r="M698" s="194" t="str">
        <f t="shared" si="5"/>
        <v>vegayp</v>
      </c>
      <c r="N698" s="195">
        <f>IFERROR(__xludf.DUMMYFUNCTION("""COMPUTED_VALUE"""),1.0)</f>
        <v>1</v>
      </c>
      <c r="O698" s="195"/>
      <c r="P698" s="185" t="s">
        <v>33</v>
      </c>
      <c r="Q698" s="185" t="s">
        <v>534</v>
      </c>
      <c r="R698" s="195">
        <v>18.802169413641863</v>
      </c>
      <c r="S698" s="195"/>
      <c r="T698" s="195"/>
      <c r="U698" s="195"/>
      <c r="V698" s="195"/>
      <c r="W698" s="195"/>
      <c r="X698" s="195"/>
      <c r="Y698" s="195"/>
      <c r="Z698" s="195"/>
      <c r="AA698" s="176"/>
    </row>
    <row r="699">
      <c r="A699" s="165" t="str">
        <f>iferror(VLOOKUP(P699,'DO NOT TOUCH Imported'!$A$1:$D$800,4,False),iferror(VLOOKUP(P699,'DO NOT TOUCH Imported'!$C$1:$D$800,2,False),"OOPS FIX ME"))</f>
        <v>vegayp</v>
      </c>
      <c r="B699" s="165" t="s">
        <v>519</v>
      </c>
      <c r="C699" s="170" t="s">
        <v>1151</v>
      </c>
      <c r="D699" s="236" t="s">
        <v>495</v>
      </c>
      <c r="E699" s="237">
        <v>44300.0</v>
      </c>
      <c r="F699" s="170" t="s">
        <v>499</v>
      </c>
      <c r="G699" s="170">
        <v>10000.0</v>
      </c>
      <c r="H699" s="171">
        <v>200.0</v>
      </c>
      <c r="I699" s="171">
        <v>200.0</v>
      </c>
      <c r="J699" s="172">
        <f t="shared" ref="J699:J716" si="39">(G699/$G$2+H699/$H$2+I699/$I$2)/3</f>
        <v>0.003207356697</v>
      </c>
      <c r="K699" s="173">
        <f t="shared" ref="K699:K716" si="40">J699*$J$1</f>
        <v>3.848828036</v>
      </c>
      <c r="L699" s="174">
        <f t="shared" si="4"/>
        <v>4.739761567</v>
      </c>
      <c r="M699" s="175" t="str">
        <f t="shared" si="5"/>
        <v>vegayp</v>
      </c>
      <c r="N699" s="176">
        <f>IFERROR(__xludf.DUMMYFUNCTION("""COMPUTED_VALUE"""),2.0)</f>
        <v>2</v>
      </c>
      <c r="O699" s="176"/>
      <c r="P699" s="165" t="s">
        <v>33</v>
      </c>
      <c r="Q699" s="165" t="s">
        <v>519</v>
      </c>
      <c r="R699" s="176"/>
      <c r="S699" s="176"/>
      <c r="T699" s="176"/>
      <c r="U699" s="176"/>
      <c r="V699" s="176"/>
      <c r="W699" s="176"/>
      <c r="X699" s="176"/>
      <c r="Y699" s="176"/>
      <c r="Z699" s="176"/>
      <c r="AA699" s="176"/>
    </row>
    <row r="700">
      <c r="A700" s="165" t="str">
        <f>iferror(VLOOKUP(P700,'DO NOT TOUCH Imported'!$A$1:$D$800,4,False),iferror(VLOOKUP(P700,'DO NOT TOUCH Imported'!$C$1:$D$800,2,False),"OOPS FIX ME"))</f>
        <v>vegayp</v>
      </c>
      <c r="B700" s="165" t="s">
        <v>440</v>
      </c>
      <c r="C700" s="170" t="s">
        <v>1159</v>
      </c>
      <c r="D700" s="236" t="s">
        <v>437</v>
      </c>
      <c r="E700" s="237">
        <v>44306.0</v>
      </c>
      <c r="F700" s="170" t="s">
        <v>439</v>
      </c>
      <c r="G700" s="170">
        <v>5000.0</v>
      </c>
      <c r="H700" s="171">
        <v>200.0</v>
      </c>
      <c r="I700" s="171">
        <v>200.0</v>
      </c>
      <c r="J700" s="172">
        <f t="shared" si="39"/>
        <v>0.002468586011</v>
      </c>
      <c r="K700" s="173">
        <f t="shared" si="40"/>
        <v>2.962303214</v>
      </c>
      <c r="L700" s="174">
        <f t="shared" si="4"/>
        <v>4.739761567</v>
      </c>
      <c r="M700" s="175" t="str">
        <f t="shared" si="5"/>
        <v>vegayp</v>
      </c>
      <c r="N700" s="176">
        <f>IFERROR(__xludf.DUMMYFUNCTION("""COMPUTED_VALUE"""),3.0)</f>
        <v>3</v>
      </c>
      <c r="O700" s="176"/>
      <c r="P700" s="165" t="s">
        <v>492</v>
      </c>
      <c r="Q700" s="165" t="s">
        <v>440</v>
      </c>
      <c r="R700" s="176"/>
      <c r="S700" s="176"/>
      <c r="T700" s="176"/>
      <c r="U700" s="176"/>
      <c r="V700" s="176"/>
      <c r="W700" s="176"/>
      <c r="X700" s="176"/>
      <c r="Y700" s="176"/>
      <c r="Z700" s="176"/>
      <c r="AA700" s="176"/>
    </row>
    <row r="701">
      <c r="A701" s="165" t="str">
        <f>iferror(VLOOKUP(P701,'DO NOT TOUCH Imported'!$A$1:$D$800,4,False),iferror(VLOOKUP(P701,'DO NOT TOUCH Imported'!$C$1:$D$800,2,False),"OOPS FIX ME"))</f>
        <v>vegayp</v>
      </c>
      <c r="B701" s="165" t="s">
        <v>435</v>
      </c>
      <c r="C701" s="170" t="s">
        <v>1160</v>
      </c>
      <c r="D701" s="236" t="s">
        <v>437</v>
      </c>
      <c r="E701" s="237">
        <v>44300.0</v>
      </c>
      <c r="F701" s="170" t="s">
        <v>439</v>
      </c>
      <c r="G701" s="170">
        <v>5000.0</v>
      </c>
      <c r="H701" s="171">
        <v>200.0</v>
      </c>
      <c r="I701" s="171">
        <v>200.0</v>
      </c>
      <c r="J701" s="172">
        <f t="shared" si="39"/>
        <v>0.002468586011</v>
      </c>
      <c r="K701" s="173">
        <f t="shared" si="40"/>
        <v>2.962303214</v>
      </c>
      <c r="L701" s="174">
        <f t="shared" si="4"/>
        <v>4.739761567</v>
      </c>
      <c r="M701" s="175" t="str">
        <f t="shared" si="5"/>
        <v>vegayp</v>
      </c>
      <c r="N701" s="176">
        <f>IFERROR(__xludf.DUMMYFUNCTION("""COMPUTED_VALUE"""),4.0)</f>
        <v>4</v>
      </c>
      <c r="O701" s="176"/>
      <c r="P701" s="165" t="s">
        <v>492</v>
      </c>
      <c r="Q701" s="165" t="s">
        <v>435</v>
      </c>
      <c r="R701" s="176"/>
      <c r="S701" s="176"/>
      <c r="T701" s="176"/>
      <c r="U701" s="176"/>
      <c r="V701" s="176"/>
      <c r="W701" s="176"/>
      <c r="X701" s="176"/>
      <c r="Y701" s="176"/>
      <c r="Z701" s="176"/>
      <c r="AA701" s="176"/>
    </row>
    <row r="702">
      <c r="A702" s="165" t="str">
        <f>iferror(VLOOKUP(P702,'DO NOT TOUCH Imported'!$A$1:$D$800,4,False),iferror(VLOOKUP(P702,'DO NOT TOUCH Imported'!$C$1:$D$800,2,False),"OOPS FIX ME"))</f>
        <v>vegayp</v>
      </c>
      <c r="B702" s="165" t="s">
        <v>440</v>
      </c>
      <c r="C702" s="170" t="s">
        <v>1161</v>
      </c>
      <c r="D702" s="236" t="s">
        <v>437</v>
      </c>
      <c r="E702" s="239">
        <v>44301.0</v>
      </c>
      <c r="F702" s="170" t="s">
        <v>439</v>
      </c>
      <c r="G702" s="170">
        <v>1000.0</v>
      </c>
      <c r="H702" s="171">
        <v>200.0</v>
      </c>
      <c r="I702" s="171">
        <v>200.0</v>
      </c>
      <c r="J702" s="172">
        <f t="shared" si="39"/>
        <v>0.001877569463</v>
      </c>
      <c r="K702" s="173">
        <f t="shared" si="40"/>
        <v>2.253083355</v>
      </c>
      <c r="L702" s="174">
        <f t="shared" si="4"/>
        <v>4.739761567</v>
      </c>
      <c r="M702" s="175" t="str">
        <f t="shared" si="5"/>
        <v>vegayp</v>
      </c>
      <c r="N702" s="176">
        <f>IFERROR(__xludf.DUMMYFUNCTION("""COMPUTED_VALUE"""),5.0)</f>
        <v>5</v>
      </c>
      <c r="O702" s="176"/>
      <c r="P702" s="165" t="s">
        <v>492</v>
      </c>
      <c r="Q702" s="165" t="s">
        <v>440</v>
      </c>
      <c r="R702" s="176"/>
      <c r="S702" s="176"/>
      <c r="T702" s="176"/>
      <c r="U702" s="176"/>
      <c r="V702" s="176"/>
      <c r="W702" s="176"/>
      <c r="X702" s="176"/>
      <c r="Y702" s="176"/>
      <c r="Z702" s="176"/>
      <c r="AA702" s="176"/>
    </row>
    <row r="703">
      <c r="A703" s="165" t="str">
        <f>iferror(VLOOKUP(P703,'DO NOT TOUCH Imported'!$A$1:$D$800,4,False),iferror(VLOOKUP(P703,'DO NOT TOUCH Imported'!$C$1:$D$800,2,False),"OOPS FIX ME"))</f>
        <v>vegayp</v>
      </c>
      <c r="B703" s="165" t="s">
        <v>441</v>
      </c>
      <c r="C703" s="170" t="s">
        <v>906</v>
      </c>
      <c r="D703" s="236" t="s">
        <v>437</v>
      </c>
      <c r="E703" s="237">
        <v>44309.0</v>
      </c>
      <c r="F703" s="170" t="s">
        <v>439</v>
      </c>
      <c r="G703" s="170">
        <v>1000.0</v>
      </c>
      <c r="H703" s="171">
        <v>200.0</v>
      </c>
      <c r="I703" s="171">
        <v>150.0</v>
      </c>
      <c r="J703" s="172">
        <f t="shared" si="39"/>
        <v>0.001663165827</v>
      </c>
      <c r="K703" s="173">
        <f t="shared" si="40"/>
        <v>1.995798992</v>
      </c>
      <c r="L703" s="174">
        <f t="shared" si="4"/>
        <v>4.739761567</v>
      </c>
      <c r="M703" s="175" t="str">
        <f t="shared" si="5"/>
        <v>vegayp</v>
      </c>
      <c r="N703" s="176">
        <f>IFERROR(__xludf.DUMMYFUNCTION("""COMPUTED_VALUE"""),6.0)</f>
        <v>6</v>
      </c>
      <c r="O703" s="176"/>
      <c r="P703" s="165" t="s">
        <v>492</v>
      </c>
      <c r="Q703" s="165" t="s">
        <v>441</v>
      </c>
      <c r="R703" s="176"/>
      <c r="S703" s="176"/>
      <c r="T703" s="176"/>
      <c r="U703" s="176"/>
      <c r="V703" s="176"/>
      <c r="W703" s="176"/>
      <c r="X703" s="176"/>
      <c r="Y703" s="176"/>
      <c r="Z703" s="176"/>
      <c r="AA703" s="176"/>
    </row>
    <row r="704">
      <c r="A704" s="165" t="str">
        <f>iferror(VLOOKUP(P704,'DO NOT TOUCH Imported'!$A$1:$D$800,4,False),iferror(VLOOKUP(P704,'DO NOT TOUCH Imported'!$C$1:$D$800,2,False),"OOPS FIX ME"))</f>
        <v>vegayp</v>
      </c>
      <c r="B704" s="165" t="s">
        <v>441</v>
      </c>
      <c r="C704" s="170" t="s">
        <v>1077</v>
      </c>
      <c r="D704" s="236" t="s">
        <v>437</v>
      </c>
      <c r="E704" s="239">
        <v>44309.0</v>
      </c>
      <c r="F704" s="170" t="s">
        <v>439</v>
      </c>
      <c r="G704" s="170">
        <v>2000.0</v>
      </c>
      <c r="H704" s="171">
        <v>200.0</v>
      </c>
      <c r="I704" s="171">
        <v>150.0</v>
      </c>
      <c r="J704" s="172">
        <f t="shared" si="39"/>
        <v>0.001810919964</v>
      </c>
      <c r="K704" s="173">
        <f t="shared" si="40"/>
        <v>2.173103956</v>
      </c>
      <c r="L704" s="174">
        <f t="shared" si="4"/>
        <v>4.739761567</v>
      </c>
      <c r="M704" s="175" t="str">
        <f t="shared" si="5"/>
        <v>vegayp</v>
      </c>
      <c r="N704" s="176">
        <f>IFERROR(__xludf.DUMMYFUNCTION("""COMPUTED_VALUE"""),7.0)</f>
        <v>7</v>
      </c>
      <c r="O704" s="176"/>
      <c r="P704" s="165" t="s">
        <v>492</v>
      </c>
      <c r="Q704" s="165" t="s">
        <v>441</v>
      </c>
      <c r="R704" s="176"/>
      <c r="S704" s="176"/>
      <c r="T704" s="176"/>
      <c r="U704" s="176"/>
      <c r="V704" s="176"/>
      <c r="W704" s="176"/>
      <c r="X704" s="176"/>
      <c r="Y704" s="176"/>
      <c r="Z704" s="176"/>
      <c r="AA704" s="176"/>
    </row>
    <row r="705">
      <c r="A705" s="165" t="str">
        <f>iferror(VLOOKUP(P705,'DO NOT TOUCH Imported'!$A$1:$D$800,4,False),iferror(VLOOKUP(P705,'DO NOT TOUCH Imported'!$C$1:$D$800,2,False),"OOPS FIX ME"))</f>
        <v>vegayp</v>
      </c>
      <c r="B705" s="165" t="s">
        <v>443</v>
      </c>
      <c r="C705" s="170" t="s">
        <v>1002</v>
      </c>
      <c r="D705" s="236" t="s">
        <v>437</v>
      </c>
      <c r="E705" s="237">
        <v>44299.0</v>
      </c>
      <c r="F705" s="170" t="s">
        <v>439</v>
      </c>
      <c r="G705" s="170">
        <v>1000.0</v>
      </c>
      <c r="H705" s="171">
        <v>200.0</v>
      </c>
      <c r="I705" s="171">
        <v>200.0</v>
      </c>
      <c r="J705" s="172">
        <f t="shared" si="39"/>
        <v>0.001877569463</v>
      </c>
      <c r="K705" s="173">
        <f t="shared" si="40"/>
        <v>2.253083355</v>
      </c>
      <c r="L705" s="174">
        <f t="shared" si="4"/>
        <v>4.739761567</v>
      </c>
      <c r="M705" s="175" t="str">
        <f t="shared" si="5"/>
        <v>vegayp</v>
      </c>
      <c r="N705" s="176">
        <f>IFERROR(__xludf.DUMMYFUNCTION("""COMPUTED_VALUE"""),8.0)</f>
        <v>8</v>
      </c>
      <c r="O705" s="176"/>
      <c r="P705" s="165" t="s">
        <v>492</v>
      </c>
      <c r="Q705" s="165" t="s">
        <v>443</v>
      </c>
      <c r="R705" s="176"/>
      <c r="S705" s="176"/>
      <c r="T705" s="176"/>
      <c r="U705" s="176"/>
      <c r="V705" s="176"/>
      <c r="W705" s="176"/>
      <c r="X705" s="176"/>
      <c r="Y705" s="176"/>
      <c r="Z705" s="176"/>
      <c r="AA705" s="176"/>
    </row>
    <row r="706">
      <c r="A706" s="165" t="str">
        <f>iferror(VLOOKUP(P706,'DO NOT TOUCH Imported'!$A$1:$D$800,4,False),iferror(VLOOKUP(P706,'DO NOT TOUCH Imported'!$C$1:$D$800,2,False),"OOPS FIX ME"))</f>
        <v>vegayp</v>
      </c>
      <c r="B706" s="165" t="s">
        <v>441</v>
      </c>
      <c r="C706" s="170" t="s">
        <v>1051</v>
      </c>
      <c r="D706" s="236" t="s">
        <v>437</v>
      </c>
      <c r="E706" s="239">
        <v>44302.0</v>
      </c>
      <c r="F706" s="170" t="s">
        <v>439</v>
      </c>
      <c r="G706" s="170">
        <v>1000.0</v>
      </c>
      <c r="H706" s="171">
        <v>200.0</v>
      </c>
      <c r="I706" s="171">
        <v>150.0</v>
      </c>
      <c r="J706" s="172">
        <f t="shared" si="39"/>
        <v>0.001663165827</v>
      </c>
      <c r="K706" s="173">
        <f t="shared" si="40"/>
        <v>1.995798992</v>
      </c>
      <c r="L706" s="174">
        <f t="shared" si="4"/>
        <v>4.739761567</v>
      </c>
      <c r="M706" s="175" t="str">
        <f t="shared" si="5"/>
        <v>vegayp</v>
      </c>
      <c r="N706" s="176">
        <f>IFERROR(__xludf.DUMMYFUNCTION("""COMPUTED_VALUE"""),9.0)</f>
        <v>9</v>
      </c>
      <c r="O706" s="176"/>
      <c r="P706" s="165" t="s">
        <v>492</v>
      </c>
      <c r="Q706" s="165" t="s">
        <v>441</v>
      </c>
      <c r="R706" s="176"/>
      <c r="S706" s="176"/>
      <c r="T706" s="176"/>
      <c r="U706" s="176"/>
      <c r="V706" s="176"/>
      <c r="W706" s="176"/>
      <c r="X706" s="176"/>
      <c r="Y706" s="176"/>
      <c r="Z706" s="176"/>
      <c r="AA706" s="176"/>
    </row>
    <row r="707">
      <c r="A707" s="165" t="str">
        <f>iferror(VLOOKUP(P707,'DO NOT TOUCH Imported'!$A$1:$D$800,4,False),iferror(VLOOKUP(P707,'DO NOT TOUCH Imported'!$C$1:$D$800,2,False),"OOPS FIX ME"))</f>
        <v>vegayp</v>
      </c>
      <c r="B707" s="165" t="s">
        <v>20</v>
      </c>
      <c r="C707" s="170" t="s">
        <v>1080</v>
      </c>
      <c r="D707" s="236" t="s">
        <v>437</v>
      </c>
      <c r="E707" s="239">
        <v>44307.0</v>
      </c>
      <c r="F707" s="170" t="s">
        <v>439</v>
      </c>
      <c r="G707" s="170">
        <v>1000.0</v>
      </c>
      <c r="H707" s="171">
        <v>200.0</v>
      </c>
      <c r="I707" s="171">
        <v>150.0</v>
      </c>
      <c r="J707" s="172">
        <f t="shared" si="39"/>
        <v>0.001663165827</v>
      </c>
      <c r="K707" s="173">
        <f t="shared" si="40"/>
        <v>1.995798992</v>
      </c>
      <c r="L707" s="174">
        <f t="shared" si="4"/>
        <v>4.739761567</v>
      </c>
      <c r="M707" s="175" t="str">
        <f t="shared" si="5"/>
        <v>vegayp</v>
      </c>
      <c r="N707" s="176">
        <f>IFERROR(__xludf.DUMMYFUNCTION("""COMPUTED_VALUE"""),10.0)</f>
        <v>10</v>
      </c>
      <c r="O707" s="176"/>
      <c r="P707" s="165" t="s">
        <v>492</v>
      </c>
      <c r="Q707" s="165" t="s">
        <v>20</v>
      </c>
      <c r="R707" s="176"/>
      <c r="S707" s="176"/>
      <c r="T707" s="176"/>
      <c r="U707" s="176"/>
      <c r="V707" s="176"/>
      <c r="W707" s="176"/>
      <c r="X707" s="176"/>
      <c r="Y707" s="176"/>
      <c r="Z707" s="176"/>
      <c r="AA707" s="176"/>
    </row>
    <row r="708">
      <c r="A708" s="165" t="str">
        <f>iferror(VLOOKUP(P708,'DO NOT TOUCH Imported'!$A$1:$D$800,4,False),iferror(VLOOKUP(P708,'DO NOT TOUCH Imported'!$C$1:$D$800,2,False),"OOPS FIX ME"))</f>
        <v>vegayp</v>
      </c>
      <c r="B708" s="165" t="s">
        <v>46</v>
      </c>
      <c r="C708" s="170" t="s">
        <v>1086</v>
      </c>
      <c r="D708" s="236" t="s">
        <v>437</v>
      </c>
      <c r="E708" s="237">
        <v>44301.0</v>
      </c>
      <c r="F708" s="170" t="s">
        <v>439</v>
      </c>
      <c r="G708" s="170">
        <v>1000.0</v>
      </c>
      <c r="H708" s="171">
        <v>200.0</v>
      </c>
      <c r="I708" s="171">
        <v>150.0</v>
      </c>
      <c r="J708" s="172">
        <f t="shared" si="39"/>
        <v>0.001663165827</v>
      </c>
      <c r="K708" s="173">
        <f t="shared" si="40"/>
        <v>1.995798992</v>
      </c>
      <c r="L708" s="174">
        <f t="shared" si="4"/>
        <v>4.739761567</v>
      </c>
      <c r="M708" s="175" t="str">
        <f t="shared" si="5"/>
        <v>vegayp</v>
      </c>
      <c r="N708" s="176">
        <f>IFERROR(__xludf.DUMMYFUNCTION("""COMPUTED_VALUE"""),11.0)</f>
        <v>11</v>
      </c>
      <c r="O708" s="176"/>
      <c r="P708" s="165" t="s">
        <v>492</v>
      </c>
      <c r="Q708" s="165" t="s">
        <v>46</v>
      </c>
      <c r="R708" s="176"/>
      <c r="S708" s="176"/>
      <c r="T708" s="176"/>
      <c r="U708" s="176"/>
      <c r="V708" s="176"/>
      <c r="W708" s="176"/>
      <c r="X708" s="176"/>
      <c r="Y708" s="176"/>
      <c r="Z708" s="176"/>
      <c r="AA708" s="176"/>
    </row>
    <row r="709">
      <c r="A709" s="165" t="str">
        <f>iferror(VLOOKUP(P709,'DO NOT TOUCH Imported'!$A$1:$D$800,4,False),iferror(VLOOKUP(P709,'DO NOT TOUCH Imported'!$C$1:$D$800,2,False),"OOPS FIX ME"))</f>
        <v>vegayp</v>
      </c>
      <c r="B709" s="165" t="s">
        <v>435</v>
      </c>
      <c r="C709" s="170" t="s">
        <v>910</v>
      </c>
      <c r="D709" s="236" t="s">
        <v>437</v>
      </c>
      <c r="E709" s="239">
        <v>44302.0</v>
      </c>
      <c r="F709" s="170" t="s">
        <v>911</v>
      </c>
      <c r="G709" s="170">
        <v>1000.0</v>
      </c>
      <c r="H709" s="171">
        <v>100.0</v>
      </c>
      <c r="I709" s="171">
        <v>100.0</v>
      </c>
      <c r="J709" s="172">
        <f t="shared" si="39"/>
        <v>0.0010126618</v>
      </c>
      <c r="K709" s="173">
        <f t="shared" si="40"/>
        <v>1.21519416</v>
      </c>
      <c r="L709" s="174">
        <f t="shared" si="4"/>
        <v>4.739761567</v>
      </c>
      <c r="M709" s="175" t="str">
        <f t="shared" si="5"/>
        <v>vegayp</v>
      </c>
      <c r="N709" s="176">
        <f>IFERROR(__xludf.DUMMYFUNCTION("""COMPUTED_VALUE"""),12.0)</f>
        <v>12</v>
      </c>
      <c r="O709" s="176"/>
      <c r="P709" s="165" t="s">
        <v>492</v>
      </c>
      <c r="Q709" s="165" t="s">
        <v>435</v>
      </c>
      <c r="R709" s="176"/>
      <c r="S709" s="176"/>
      <c r="T709" s="176"/>
      <c r="U709" s="176"/>
      <c r="V709" s="176"/>
      <c r="W709" s="176"/>
      <c r="X709" s="176"/>
      <c r="Y709" s="176"/>
      <c r="Z709" s="176"/>
      <c r="AA709" s="176"/>
    </row>
    <row r="710">
      <c r="A710" s="165" t="str">
        <f>iferror(VLOOKUP(P710,'DO NOT TOUCH Imported'!$A$1:$D$800,4,False),iferror(VLOOKUP(P710,'DO NOT TOUCH Imported'!$C$1:$D$800,2,False),"OOPS FIX ME"))</f>
        <v>vegayp</v>
      </c>
      <c r="B710" s="165" t="s">
        <v>440</v>
      </c>
      <c r="C710" s="170" t="s">
        <v>916</v>
      </c>
      <c r="D710" s="236" t="s">
        <v>437</v>
      </c>
      <c r="E710" s="237">
        <v>44300.0</v>
      </c>
      <c r="F710" s="170" t="s">
        <v>439</v>
      </c>
      <c r="G710" s="170">
        <v>1000.0</v>
      </c>
      <c r="H710" s="171">
        <v>100.0</v>
      </c>
      <c r="I710" s="171">
        <v>50.0</v>
      </c>
      <c r="J710" s="172">
        <f t="shared" si="39"/>
        <v>0.0007982581637</v>
      </c>
      <c r="K710" s="173">
        <f t="shared" si="40"/>
        <v>0.9579097965</v>
      </c>
      <c r="L710" s="174">
        <f t="shared" si="4"/>
        <v>4.739761567</v>
      </c>
      <c r="M710" s="175" t="str">
        <f t="shared" si="5"/>
        <v>vegayp</v>
      </c>
      <c r="N710" s="176">
        <f>IFERROR(__xludf.DUMMYFUNCTION("""COMPUTED_VALUE"""),13.0)</f>
        <v>13</v>
      </c>
      <c r="O710" s="176"/>
      <c r="P710" s="165" t="s">
        <v>492</v>
      </c>
      <c r="Q710" s="165" t="s">
        <v>440</v>
      </c>
      <c r="R710" s="176"/>
      <c r="S710" s="176"/>
      <c r="T710" s="176"/>
      <c r="U710" s="176"/>
      <c r="V710" s="176"/>
      <c r="W710" s="176"/>
      <c r="X710" s="176"/>
      <c r="Y710" s="176"/>
      <c r="Z710" s="176"/>
      <c r="AA710" s="176"/>
    </row>
    <row r="711">
      <c r="A711" s="165" t="str">
        <f>iferror(VLOOKUP(P711,'DO NOT TOUCH Imported'!$A$1:$D$800,4,False),iferror(VLOOKUP(P711,'DO NOT TOUCH Imported'!$C$1:$D$800,2,False),"OOPS FIX ME"))</f>
        <v>vegayp</v>
      </c>
      <c r="B711" s="165" t="s">
        <v>440</v>
      </c>
      <c r="C711" s="170" t="s">
        <v>917</v>
      </c>
      <c r="D711" s="236" t="s">
        <v>437</v>
      </c>
      <c r="E711" s="239">
        <v>44301.0</v>
      </c>
      <c r="F711" s="170" t="s">
        <v>439</v>
      </c>
      <c r="G711" s="170">
        <v>1000.0</v>
      </c>
      <c r="H711" s="171">
        <v>100.0</v>
      </c>
      <c r="I711" s="171">
        <v>50.0</v>
      </c>
      <c r="J711" s="172">
        <f t="shared" si="39"/>
        <v>0.0007982581637</v>
      </c>
      <c r="K711" s="173">
        <f t="shared" si="40"/>
        <v>0.9579097965</v>
      </c>
      <c r="L711" s="174">
        <f t="shared" si="4"/>
        <v>4.739761567</v>
      </c>
      <c r="M711" s="175" t="str">
        <f t="shared" si="5"/>
        <v>vegayp</v>
      </c>
      <c r="N711" s="176">
        <f>IFERROR(__xludf.DUMMYFUNCTION("""COMPUTED_VALUE"""),14.0)</f>
        <v>14</v>
      </c>
      <c r="O711" s="176"/>
      <c r="P711" s="165" t="s">
        <v>492</v>
      </c>
      <c r="Q711" s="165" t="s">
        <v>440</v>
      </c>
      <c r="R711" s="176"/>
      <c r="S711" s="176"/>
      <c r="T711" s="176"/>
      <c r="U711" s="176"/>
      <c r="V711" s="176"/>
      <c r="W711" s="176"/>
      <c r="X711" s="176"/>
      <c r="Y711" s="176"/>
      <c r="Z711" s="176"/>
      <c r="AA711" s="176"/>
    </row>
    <row r="712">
      <c r="A712" s="165" t="str">
        <f>iferror(VLOOKUP(P712,'DO NOT TOUCH Imported'!$A$1:$D$800,4,False),iferror(VLOOKUP(P712,'DO NOT TOUCH Imported'!$C$1:$D$800,2,False),"OOPS FIX ME"))</f>
        <v>vegayp</v>
      </c>
      <c r="B712" s="165" t="s">
        <v>441</v>
      </c>
      <c r="C712" s="170" t="s">
        <v>918</v>
      </c>
      <c r="D712" s="236" t="s">
        <v>437</v>
      </c>
      <c r="E712" s="237">
        <v>44302.0</v>
      </c>
      <c r="F712" s="170" t="s">
        <v>439</v>
      </c>
      <c r="G712" s="170">
        <v>1000.0</v>
      </c>
      <c r="H712" s="171">
        <v>100.0</v>
      </c>
      <c r="I712" s="171">
        <v>50.0</v>
      </c>
      <c r="J712" s="172">
        <f t="shared" si="39"/>
        <v>0.0007982581637</v>
      </c>
      <c r="K712" s="173">
        <f t="shared" si="40"/>
        <v>0.9579097965</v>
      </c>
      <c r="L712" s="174">
        <f t="shared" si="4"/>
        <v>4.739761567</v>
      </c>
      <c r="M712" s="175" t="str">
        <f t="shared" si="5"/>
        <v>vegayp</v>
      </c>
      <c r="N712" s="176">
        <f>IFERROR(__xludf.DUMMYFUNCTION("""COMPUTED_VALUE"""),15.0)</f>
        <v>15</v>
      </c>
      <c r="O712" s="176"/>
      <c r="P712" s="165" t="s">
        <v>492</v>
      </c>
      <c r="Q712" s="165" t="s">
        <v>441</v>
      </c>
      <c r="R712" s="176"/>
      <c r="S712" s="176"/>
      <c r="T712" s="176"/>
      <c r="U712" s="176"/>
      <c r="V712" s="176"/>
      <c r="W712" s="176"/>
      <c r="X712" s="176"/>
      <c r="Y712" s="176"/>
      <c r="Z712" s="176"/>
      <c r="AA712" s="176"/>
    </row>
    <row r="713">
      <c r="A713" s="165" t="str">
        <f>iferror(VLOOKUP(P713,'DO NOT TOUCH Imported'!$A$1:$D$800,4,False),iferror(VLOOKUP(P713,'DO NOT TOUCH Imported'!$C$1:$D$800,2,False),"OOPS FIX ME"))</f>
        <v>vegayp</v>
      </c>
      <c r="B713" s="165" t="s">
        <v>490</v>
      </c>
      <c r="C713" s="170" t="s">
        <v>957</v>
      </c>
      <c r="D713" s="236" t="s">
        <v>437</v>
      </c>
      <c r="E713" s="239">
        <v>44307.0</v>
      </c>
      <c r="F713" s="170" t="s">
        <v>439</v>
      </c>
      <c r="G713" s="170">
        <v>1000.0</v>
      </c>
      <c r="H713" s="171">
        <v>100.0</v>
      </c>
      <c r="I713" s="171">
        <v>50.0</v>
      </c>
      <c r="J713" s="172">
        <f t="shared" si="39"/>
        <v>0.0007982581637</v>
      </c>
      <c r="K713" s="173">
        <f t="shared" si="40"/>
        <v>0.9579097965</v>
      </c>
      <c r="L713" s="174">
        <f t="shared" si="4"/>
        <v>4.739761567</v>
      </c>
      <c r="M713" s="175" t="str">
        <f t="shared" si="5"/>
        <v>vegayp</v>
      </c>
      <c r="N713" s="176">
        <f>IFERROR(__xludf.DUMMYFUNCTION("""COMPUTED_VALUE"""),16.0)</f>
        <v>16</v>
      </c>
      <c r="O713" s="176"/>
      <c r="P713" s="165" t="s">
        <v>492</v>
      </c>
      <c r="Q713" s="165" t="s">
        <v>490</v>
      </c>
      <c r="R713" s="176"/>
      <c r="S713" s="176"/>
      <c r="T713" s="176"/>
      <c r="U713" s="176"/>
      <c r="V713" s="176"/>
      <c r="W713" s="176"/>
      <c r="X713" s="176"/>
      <c r="Y713" s="176"/>
      <c r="Z713" s="176"/>
      <c r="AA713" s="176"/>
    </row>
    <row r="714">
      <c r="A714" s="165" t="str">
        <f>iferror(VLOOKUP(P714,'DO NOT TOUCH Imported'!$A$1:$D$800,4,False),iferror(VLOOKUP(P714,'DO NOT TOUCH Imported'!$C$1:$D$800,2,False),"OOPS FIX ME"))</f>
        <v>vegayp</v>
      </c>
      <c r="B714" s="165" t="s">
        <v>486</v>
      </c>
      <c r="C714" s="170" t="s">
        <v>924</v>
      </c>
      <c r="D714" s="236" t="s">
        <v>437</v>
      </c>
      <c r="E714" s="239">
        <v>44299.0</v>
      </c>
      <c r="F714" s="170" t="s">
        <v>439</v>
      </c>
      <c r="G714" s="170">
        <v>1000.0</v>
      </c>
      <c r="H714" s="171">
        <v>50.0</v>
      </c>
      <c r="I714" s="171">
        <v>50.0</v>
      </c>
      <c r="J714" s="172">
        <f t="shared" si="39"/>
        <v>0.0005802079686</v>
      </c>
      <c r="K714" s="173">
        <f t="shared" si="40"/>
        <v>0.6962495623</v>
      </c>
      <c r="L714" s="174">
        <f t="shared" si="4"/>
        <v>4.739761567</v>
      </c>
      <c r="M714" s="175" t="str">
        <f t="shared" si="5"/>
        <v>vegayp</v>
      </c>
      <c r="N714" s="176">
        <f>IFERROR(__xludf.DUMMYFUNCTION("""COMPUTED_VALUE"""),17.0)</f>
        <v>17</v>
      </c>
      <c r="O714" s="176"/>
      <c r="P714" s="165" t="s">
        <v>492</v>
      </c>
      <c r="Q714" s="165" t="s">
        <v>486</v>
      </c>
      <c r="R714" s="176"/>
      <c r="S714" s="176"/>
      <c r="T714" s="176"/>
      <c r="U714" s="176"/>
      <c r="V714" s="176"/>
      <c r="W714" s="176"/>
      <c r="X714" s="176"/>
      <c r="Y714" s="176"/>
      <c r="Z714" s="176"/>
      <c r="AA714" s="176"/>
    </row>
    <row r="715">
      <c r="A715" s="165" t="str">
        <f>iferror(VLOOKUP(P715,'DO NOT TOUCH Imported'!$A$1:$D$800,4,False),iferror(VLOOKUP(P715,'DO NOT TOUCH Imported'!$C$1:$D$800,2,False),"OOPS FIX ME"))</f>
        <v>vegayp</v>
      </c>
      <c r="B715" s="165" t="s">
        <v>10</v>
      </c>
      <c r="C715" s="170" t="s">
        <v>494</v>
      </c>
      <c r="D715" s="236" t="s">
        <v>495</v>
      </c>
      <c r="E715" s="239">
        <v>44309.0</v>
      </c>
      <c r="F715" s="170" t="s">
        <v>496</v>
      </c>
      <c r="G715" s="170">
        <v>1500.0</v>
      </c>
      <c r="H715" s="171">
        <v>50.0</v>
      </c>
      <c r="I715" s="171">
        <v>80.0</v>
      </c>
      <c r="J715" s="172">
        <f t="shared" si="39"/>
        <v>0.0007827272189</v>
      </c>
      <c r="K715" s="173">
        <f t="shared" si="40"/>
        <v>0.9392726627</v>
      </c>
      <c r="L715" s="174">
        <f t="shared" si="4"/>
        <v>4.739761567</v>
      </c>
      <c r="M715" s="175" t="str">
        <f t="shared" si="5"/>
        <v>vegayp</v>
      </c>
      <c r="N715" s="176">
        <f>IFERROR(__xludf.DUMMYFUNCTION("""COMPUTED_VALUE"""),18.0)</f>
        <v>18</v>
      </c>
      <c r="O715" s="176"/>
      <c r="P715" s="165" t="s">
        <v>33</v>
      </c>
      <c r="Q715" s="165" t="s">
        <v>10</v>
      </c>
      <c r="R715" s="176"/>
      <c r="S715" s="176"/>
      <c r="T715" s="176"/>
      <c r="U715" s="176"/>
      <c r="V715" s="176"/>
      <c r="W715" s="176"/>
      <c r="X715" s="176"/>
      <c r="Y715" s="176"/>
      <c r="Z715" s="176"/>
      <c r="AA715" s="176"/>
    </row>
    <row r="716">
      <c r="A716" s="165" t="str">
        <f>iferror(VLOOKUP(P716,'DO NOT TOUCH Imported'!$A$1:$D$800,4,False),iferror(VLOOKUP(P716,'DO NOT TOUCH Imported'!$C$1:$D$800,2,False),"OOPS FIX ME"))</f>
        <v>vegayp</v>
      </c>
      <c r="B716" s="165" t="s">
        <v>10</v>
      </c>
      <c r="C716" s="170" t="s">
        <v>500</v>
      </c>
      <c r="D716" s="236" t="s">
        <v>495</v>
      </c>
      <c r="E716" s="239">
        <v>44302.0</v>
      </c>
      <c r="F716" s="170" t="s">
        <v>496</v>
      </c>
      <c r="G716" s="170">
        <v>500.0</v>
      </c>
      <c r="H716" s="171">
        <v>50.0</v>
      </c>
      <c r="I716" s="171">
        <v>25.0</v>
      </c>
      <c r="J716" s="172">
        <f t="shared" si="39"/>
        <v>0.0003991290819</v>
      </c>
      <c r="K716" s="173">
        <f t="shared" si="40"/>
        <v>0.4789548982</v>
      </c>
      <c r="L716" s="174">
        <f t="shared" si="4"/>
        <v>4.739761567</v>
      </c>
      <c r="M716" s="175" t="str">
        <f t="shared" si="5"/>
        <v>vegayp</v>
      </c>
      <c r="N716" s="176">
        <f>IFERROR(__xludf.DUMMYFUNCTION("""COMPUTED_VALUE"""),19.0)</f>
        <v>19</v>
      </c>
      <c r="O716" s="176"/>
      <c r="P716" s="165" t="s">
        <v>33</v>
      </c>
      <c r="Q716" s="165" t="s">
        <v>10</v>
      </c>
      <c r="R716" s="176"/>
      <c r="S716" s="176"/>
      <c r="T716" s="176"/>
      <c r="U716" s="176"/>
      <c r="V716" s="176"/>
      <c r="W716" s="176"/>
      <c r="X716" s="176"/>
      <c r="Y716" s="176"/>
      <c r="Z716" s="176"/>
      <c r="AA716" s="176"/>
    </row>
    <row r="717">
      <c r="A717" s="185" t="s">
        <v>48</v>
      </c>
      <c r="B717" s="212" t="s">
        <v>534</v>
      </c>
      <c r="C717" s="186" t="s">
        <v>816</v>
      </c>
      <c r="D717" s="212"/>
      <c r="E717" s="214"/>
      <c r="F717" s="212"/>
      <c r="G717" s="212"/>
      <c r="H717" s="196"/>
      <c r="I717" s="196"/>
      <c r="J717" s="172">
        <f>(H717/$H$2+I717/$I$2)/2</f>
        <v>0</v>
      </c>
      <c r="K717" s="192">
        <f>-0.85*30.957</f>
        <v>-26.31345</v>
      </c>
      <c r="L717" s="193">
        <f t="shared" si="4"/>
        <v>4.643275317</v>
      </c>
      <c r="M717" s="194" t="str">
        <f t="shared" si="5"/>
        <v>divine_comedian</v>
      </c>
      <c r="N717" s="187">
        <f>IFERROR(__xludf.DUMMYFUNCTION("""COMPUTED_VALUE"""),1.0)</f>
        <v>1</v>
      </c>
      <c r="O717" s="212"/>
      <c r="P717" s="227" t="s">
        <v>25</v>
      </c>
      <c r="Q717" s="227" t="s">
        <v>534</v>
      </c>
      <c r="R717" s="187">
        <v>36.89669088595067</v>
      </c>
      <c r="S717" s="212"/>
      <c r="T717" s="212"/>
      <c r="U717" s="212"/>
      <c r="V717" s="212"/>
      <c r="W717" s="212"/>
      <c r="X717" s="212"/>
      <c r="Y717" s="212"/>
      <c r="Z717" s="212"/>
      <c r="AA717" s="226"/>
    </row>
    <row r="718">
      <c r="A718" s="165" t="str">
        <f>iferror(VLOOKUP(P718,'DO NOT TOUCH Imported'!$A$1:$D$800,4,False),iferror(VLOOKUP(P718,'DO NOT TOUCH Imported'!$C$1:$D$800,2,False),"OOPS FIX ME"))</f>
        <v>divine_comedian</v>
      </c>
      <c r="B718" s="165" t="s">
        <v>435</v>
      </c>
      <c r="C718" s="170" t="s">
        <v>1162</v>
      </c>
      <c r="D718" s="236" t="s">
        <v>499</v>
      </c>
      <c r="E718" s="239">
        <v>44305.0</v>
      </c>
      <c r="F718" s="170" t="s">
        <v>503</v>
      </c>
      <c r="G718" s="170">
        <v>10000.0</v>
      </c>
      <c r="H718" s="171">
        <v>100.0</v>
      </c>
      <c r="I718" s="171">
        <v>150.0</v>
      </c>
      <c r="J718" s="172">
        <f t="shared" ref="J718:J737" si="41">(G718/$G$2+H718/$H$2+I718/$I$2)/3</f>
        <v>0.00255685267</v>
      </c>
      <c r="K718" s="173">
        <f t="shared" ref="K718:K737" si="42">J718*$J$1</f>
        <v>3.068223204</v>
      </c>
      <c r="L718" s="174">
        <f t="shared" si="4"/>
        <v>4.643275317</v>
      </c>
      <c r="M718" s="175" t="str">
        <f t="shared" si="5"/>
        <v>divine_comedian</v>
      </c>
      <c r="N718" s="176">
        <f>IFERROR(__xludf.DUMMYFUNCTION("""COMPUTED_VALUE"""),2.0)</f>
        <v>2</v>
      </c>
      <c r="O718" s="176"/>
      <c r="P718" s="165" t="s">
        <v>813</v>
      </c>
      <c r="Q718" s="165" t="s">
        <v>435</v>
      </c>
      <c r="R718" s="176"/>
      <c r="S718" s="176"/>
      <c r="T718" s="176"/>
      <c r="U718" s="176"/>
      <c r="V718" s="176"/>
      <c r="W718" s="176"/>
      <c r="X718" s="176"/>
      <c r="Y718" s="176"/>
      <c r="Z718" s="176"/>
      <c r="AA718" s="176"/>
    </row>
    <row r="719">
      <c r="A719" s="165" t="str">
        <f>iferror(VLOOKUP(P719,'DO NOT TOUCH Imported'!$A$1:$D$800,4,False),iferror(VLOOKUP(P719,'DO NOT TOUCH Imported'!$C$1:$D$800,2,False),"OOPS FIX ME"))</f>
        <v>divine_comedian</v>
      </c>
      <c r="B719" s="165" t="s">
        <v>441</v>
      </c>
      <c r="C719" s="170" t="s">
        <v>928</v>
      </c>
      <c r="D719" s="236" t="s">
        <v>437</v>
      </c>
      <c r="E719" s="237">
        <v>44309.0</v>
      </c>
      <c r="F719" s="170" t="s">
        <v>439</v>
      </c>
      <c r="G719" s="170">
        <v>5000.0</v>
      </c>
      <c r="H719" s="171">
        <v>100.0</v>
      </c>
      <c r="I719" s="171">
        <v>250.0</v>
      </c>
      <c r="J719" s="172">
        <f t="shared" si="41"/>
        <v>0.002246889257</v>
      </c>
      <c r="K719" s="173">
        <f t="shared" si="42"/>
        <v>2.696267109</v>
      </c>
      <c r="L719" s="174">
        <f t="shared" si="4"/>
        <v>4.643275317</v>
      </c>
      <c r="M719" s="175" t="str">
        <f t="shared" si="5"/>
        <v>divine_comedian</v>
      </c>
      <c r="N719" s="176">
        <f>IFERROR(__xludf.DUMMYFUNCTION("""COMPUTED_VALUE"""),3.0)</f>
        <v>3</v>
      </c>
      <c r="O719" s="176"/>
      <c r="P719" s="165" t="s">
        <v>813</v>
      </c>
      <c r="Q719" s="165" t="s">
        <v>441</v>
      </c>
      <c r="R719" s="176"/>
      <c r="S719" s="176"/>
      <c r="T719" s="176"/>
      <c r="U719" s="176"/>
      <c r="V719" s="176"/>
      <c r="W719" s="176"/>
      <c r="X719" s="176"/>
      <c r="Y719" s="176"/>
      <c r="Z719" s="176"/>
      <c r="AA719" s="176"/>
    </row>
    <row r="720">
      <c r="A720" s="165" t="str">
        <f>iferror(VLOOKUP(P720,'DO NOT TOUCH Imported'!$A$1:$D$800,4,False),iferror(VLOOKUP(P720,'DO NOT TOUCH Imported'!$C$1:$D$800,2,False),"OOPS FIX ME"))</f>
        <v>divine_comedian</v>
      </c>
      <c r="B720" s="165" t="s">
        <v>6</v>
      </c>
      <c r="C720" s="170" t="s">
        <v>929</v>
      </c>
      <c r="D720" s="236" t="s">
        <v>495</v>
      </c>
      <c r="E720" s="239">
        <v>44305.0</v>
      </c>
      <c r="F720" s="170" t="s">
        <v>496</v>
      </c>
      <c r="G720" s="170">
        <v>10000.0</v>
      </c>
      <c r="H720" s="171">
        <v>100.0</v>
      </c>
      <c r="I720" s="171">
        <v>100.0</v>
      </c>
      <c r="J720" s="172">
        <f t="shared" si="41"/>
        <v>0.002342449034</v>
      </c>
      <c r="K720" s="173">
        <f t="shared" si="42"/>
        <v>2.810938841</v>
      </c>
      <c r="L720" s="174">
        <f t="shared" si="4"/>
        <v>4.643275317</v>
      </c>
      <c r="M720" s="175" t="str">
        <f t="shared" si="5"/>
        <v>divine_comedian</v>
      </c>
      <c r="N720" s="176">
        <f>IFERROR(__xludf.DUMMYFUNCTION("""COMPUTED_VALUE"""),4.0)</f>
        <v>4</v>
      </c>
      <c r="O720" s="176"/>
      <c r="P720" s="165" t="s">
        <v>48</v>
      </c>
      <c r="Q720" s="165" t="s">
        <v>6</v>
      </c>
      <c r="R720" s="176"/>
      <c r="S720" s="176"/>
      <c r="T720" s="176"/>
      <c r="U720" s="176"/>
      <c r="V720" s="176"/>
      <c r="W720" s="176"/>
      <c r="X720" s="176"/>
      <c r="Y720" s="176"/>
      <c r="Z720" s="176"/>
      <c r="AA720" s="176"/>
    </row>
    <row r="721">
      <c r="A721" s="165" t="str">
        <f>iferror(VLOOKUP(P721,'DO NOT TOUCH Imported'!$A$1:$D$800,4,False),iferror(VLOOKUP(P721,'DO NOT TOUCH Imported'!$C$1:$D$800,2,False),"OOPS FIX ME"))</f>
        <v>divine_comedian</v>
      </c>
      <c r="B721" s="165" t="s">
        <v>441</v>
      </c>
      <c r="C721" s="170" t="s">
        <v>931</v>
      </c>
      <c r="D721" s="236" t="s">
        <v>437</v>
      </c>
      <c r="E721" s="239">
        <v>44309.0</v>
      </c>
      <c r="F721" s="170" t="s">
        <v>439</v>
      </c>
      <c r="G721" s="170">
        <v>5000.0</v>
      </c>
      <c r="H721" s="171">
        <v>100.0</v>
      </c>
      <c r="I721" s="171">
        <v>200.0</v>
      </c>
      <c r="J721" s="172">
        <f t="shared" si="41"/>
        <v>0.002032485621</v>
      </c>
      <c r="K721" s="173">
        <f t="shared" si="42"/>
        <v>2.438982745</v>
      </c>
      <c r="L721" s="174">
        <f t="shared" si="4"/>
        <v>4.643275317</v>
      </c>
      <c r="M721" s="175" t="str">
        <f t="shared" si="5"/>
        <v>divine_comedian</v>
      </c>
      <c r="N721" s="176">
        <f>IFERROR(__xludf.DUMMYFUNCTION("""COMPUTED_VALUE"""),5.0)</f>
        <v>5</v>
      </c>
      <c r="O721" s="176"/>
      <c r="P721" s="165" t="s">
        <v>813</v>
      </c>
      <c r="Q721" s="165" t="s">
        <v>441</v>
      </c>
      <c r="R721" s="176"/>
      <c r="S721" s="176"/>
      <c r="T721" s="176"/>
      <c r="U721" s="176"/>
      <c r="V721" s="176"/>
      <c r="W721" s="176"/>
      <c r="X721" s="176"/>
      <c r="Y721" s="176"/>
      <c r="Z721" s="176"/>
      <c r="AA721" s="176"/>
    </row>
    <row r="722">
      <c r="A722" s="165" t="str">
        <f>iferror(VLOOKUP(P722,'DO NOT TOUCH Imported'!$A$1:$D$800,4,False),iferror(VLOOKUP(P722,'DO NOT TOUCH Imported'!$C$1:$D$800,2,False),"OOPS FIX ME"))</f>
        <v>divine_comedian</v>
      </c>
      <c r="B722" s="165" t="s">
        <v>486</v>
      </c>
      <c r="C722" s="170" t="s">
        <v>1163</v>
      </c>
      <c r="D722" s="236" t="s">
        <v>437</v>
      </c>
      <c r="E722" s="239">
        <v>44309.0</v>
      </c>
      <c r="F722" s="170" t="s">
        <v>439</v>
      </c>
      <c r="G722" s="170">
        <v>5000.0</v>
      </c>
      <c r="H722" s="171">
        <v>100.0</v>
      </c>
      <c r="I722" s="171">
        <v>150.0</v>
      </c>
      <c r="J722" s="172">
        <f t="shared" si="41"/>
        <v>0.001818081985</v>
      </c>
      <c r="K722" s="173">
        <f t="shared" si="42"/>
        <v>2.181698382</v>
      </c>
      <c r="L722" s="174">
        <f t="shared" si="4"/>
        <v>4.643275317</v>
      </c>
      <c r="M722" s="175" t="str">
        <f t="shared" si="5"/>
        <v>divine_comedian</v>
      </c>
      <c r="N722" s="176">
        <f>IFERROR(__xludf.DUMMYFUNCTION("""COMPUTED_VALUE"""),6.0)</f>
        <v>6</v>
      </c>
      <c r="O722" s="176"/>
      <c r="P722" s="165" t="s">
        <v>813</v>
      </c>
      <c r="Q722" s="165" t="s">
        <v>486</v>
      </c>
      <c r="R722" s="176"/>
      <c r="S722" s="176"/>
      <c r="T722" s="176"/>
      <c r="U722" s="176"/>
      <c r="V722" s="176"/>
      <c r="W722" s="176"/>
      <c r="X722" s="176"/>
      <c r="Y722" s="176"/>
      <c r="Z722" s="176"/>
      <c r="AA722" s="176"/>
    </row>
    <row r="723">
      <c r="A723" s="165" t="str">
        <f>iferror(VLOOKUP(P723,'DO NOT TOUCH Imported'!$A$1:$D$800,4,False),iferror(VLOOKUP(P723,'DO NOT TOUCH Imported'!$C$1:$D$800,2,False),"OOPS FIX ME"))</f>
        <v>divine_comedian</v>
      </c>
      <c r="B723" s="165" t="s">
        <v>441</v>
      </c>
      <c r="C723" s="170" t="s">
        <v>934</v>
      </c>
      <c r="D723" s="236" t="s">
        <v>437</v>
      </c>
      <c r="E723" s="237">
        <v>44302.0</v>
      </c>
      <c r="F723" s="170" t="s">
        <v>439</v>
      </c>
      <c r="G723" s="170">
        <v>2000.0</v>
      </c>
      <c r="H723" s="171">
        <v>100.0</v>
      </c>
      <c r="I723" s="171">
        <v>200.0</v>
      </c>
      <c r="J723" s="172">
        <f t="shared" si="41"/>
        <v>0.00158922321</v>
      </c>
      <c r="K723" s="173">
        <f t="shared" si="42"/>
        <v>1.907067852</v>
      </c>
      <c r="L723" s="174">
        <f t="shared" si="4"/>
        <v>4.643275317</v>
      </c>
      <c r="M723" s="175" t="str">
        <f t="shared" si="5"/>
        <v>divine_comedian</v>
      </c>
      <c r="N723" s="176">
        <f>IFERROR(__xludf.DUMMYFUNCTION("""COMPUTED_VALUE"""),7.0)</f>
        <v>7</v>
      </c>
      <c r="O723" s="176"/>
      <c r="P723" s="165" t="s">
        <v>813</v>
      </c>
      <c r="Q723" s="165" t="s">
        <v>441</v>
      </c>
      <c r="R723" s="176"/>
      <c r="S723" s="176"/>
      <c r="T723" s="176"/>
      <c r="U723" s="176"/>
      <c r="V723" s="176"/>
      <c r="W723" s="176"/>
      <c r="X723" s="176"/>
      <c r="Y723" s="176"/>
      <c r="Z723" s="176"/>
      <c r="AA723" s="176"/>
    </row>
    <row r="724">
      <c r="A724" s="165" t="str">
        <f>iferror(VLOOKUP(P724,'DO NOT TOUCH Imported'!$A$1:$D$800,4,False),iferror(VLOOKUP(P724,'DO NOT TOUCH Imported'!$C$1:$D$800,2,False),"OOPS FIX ME"))</f>
        <v>divine_comedian</v>
      </c>
      <c r="B724" s="165" t="s">
        <v>441</v>
      </c>
      <c r="C724" s="170" t="s">
        <v>935</v>
      </c>
      <c r="D724" s="236" t="s">
        <v>437</v>
      </c>
      <c r="E724" s="237">
        <v>44302.0</v>
      </c>
      <c r="F724" s="170" t="s">
        <v>439</v>
      </c>
      <c r="G724" s="170">
        <v>2000.0</v>
      </c>
      <c r="H724" s="171">
        <v>100.0</v>
      </c>
      <c r="I724" s="171">
        <v>200.0</v>
      </c>
      <c r="J724" s="172">
        <f t="shared" si="41"/>
        <v>0.00158922321</v>
      </c>
      <c r="K724" s="173">
        <f t="shared" si="42"/>
        <v>1.907067852</v>
      </c>
      <c r="L724" s="174">
        <f t="shared" si="4"/>
        <v>4.643275317</v>
      </c>
      <c r="M724" s="175" t="str">
        <f t="shared" si="5"/>
        <v>divine_comedian</v>
      </c>
      <c r="N724" s="176">
        <f>IFERROR(__xludf.DUMMYFUNCTION("""COMPUTED_VALUE"""),8.0)</f>
        <v>8</v>
      </c>
      <c r="O724" s="176"/>
      <c r="P724" s="165" t="s">
        <v>813</v>
      </c>
      <c r="Q724" s="165" t="s">
        <v>441</v>
      </c>
      <c r="R724" s="176"/>
      <c r="S724" s="176"/>
      <c r="T724" s="176"/>
      <c r="U724" s="176"/>
      <c r="V724" s="176"/>
      <c r="W724" s="176"/>
      <c r="X724" s="176"/>
      <c r="Y724" s="176"/>
      <c r="Z724" s="176"/>
      <c r="AA724" s="176"/>
    </row>
    <row r="725">
      <c r="A725" s="165" t="str">
        <f>iferror(VLOOKUP(P725,'DO NOT TOUCH Imported'!$A$1:$D$800,4,False),iferror(VLOOKUP(P725,'DO NOT TOUCH Imported'!$C$1:$D$800,2,False),"OOPS FIX ME"))</f>
        <v>divine_comedian</v>
      </c>
      <c r="B725" s="165" t="s">
        <v>441</v>
      </c>
      <c r="C725" s="170" t="s">
        <v>1164</v>
      </c>
      <c r="D725" s="236" t="s">
        <v>437</v>
      </c>
      <c r="E725" s="237">
        <v>44302.0</v>
      </c>
      <c r="F725" s="170" t="s">
        <v>439</v>
      </c>
      <c r="G725" s="170">
        <v>1000.0</v>
      </c>
      <c r="H725" s="171">
        <v>100.0</v>
      </c>
      <c r="I725" s="171">
        <v>150.0</v>
      </c>
      <c r="J725" s="172">
        <f t="shared" si="41"/>
        <v>0.001227065436</v>
      </c>
      <c r="K725" s="173">
        <f t="shared" si="42"/>
        <v>1.472478524</v>
      </c>
      <c r="L725" s="174">
        <f t="shared" si="4"/>
        <v>4.643275317</v>
      </c>
      <c r="M725" s="175" t="str">
        <f t="shared" si="5"/>
        <v>divine_comedian</v>
      </c>
      <c r="N725" s="176">
        <f>IFERROR(__xludf.DUMMYFUNCTION("""COMPUTED_VALUE"""),9.0)</f>
        <v>9</v>
      </c>
      <c r="O725" s="176"/>
      <c r="P725" s="165" t="s">
        <v>813</v>
      </c>
      <c r="Q725" s="165" t="s">
        <v>441</v>
      </c>
      <c r="R725" s="176"/>
      <c r="S725" s="176"/>
      <c r="T725" s="176"/>
      <c r="U725" s="176"/>
      <c r="V725" s="176"/>
      <c r="W725" s="176"/>
      <c r="X725" s="176"/>
      <c r="Y725" s="176"/>
      <c r="Z725" s="176"/>
      <c r="AA725" s="176"/>
    </row>
    <row r="726">
      <c r="A726" s="165" t="str">
        <f>iferror(VLOOKUP(P726,'DO NOT TOUCH Imported'!$A$1:$D$800,4,False),iferror(VLOOKUP(P726,'DO NOT TOUCH Imported'!$C$1:$D$800,2,False),"OOPS FIX ME"))</f>
        <v>divine_comedian</v>
      </c>
      <c r="B726" s="165" t="s">
        <v>441</v>
      </c>
      <c r="C726" s="170" t="s">
        <v>1165</v>
      </c>
      <c r="D726" s="236" t="s">
        <v>437</v>
      </c>
      <c r="E726" s="237">
        <v>44298.0</v>
      </c>
      <c r="F726" s="170" t="s">
        <v>439</v>
      </c>
      <c r="G726" s="170">
        <v>1000.0</v>
      </c>
      <c r="H726" s="171">
        <v>100.0</v>
      </c>
      <c r="I726" s="171">
        <v>100.0</v>
      </c>
      <c r="J726" s="172">
        <f t="shared" si="41"/>
        <v>0.0010126618</v>
      </c>
      <c r="K726" s="173">
        <f t="shared" si="42"/>
        <v>1.21519416</v>
      </c>
      <c r="L726" s="174">
        <f t="shared" si="4"/>
        <v>4.643275317</v>
      </c>
      <c r="M726" s="175" t="str">
        <f t="shared" si="5"/>
        <v>divine_comedian</v>
      </c>
      <c r="N726" s="176">
        <f>IFERROR(__xludf.DUMMYFUNCTION("""COMPUTED_VALUE"""),10.0)</f>
        <v>10</v>
      </c>
      <c r="O726" s="176"/>
      <c r="P726" s="165" t="s">
        <v>813</v>
      </c>
      <c r="Q726" s="165" t="s">
        <v>441</v>
      </c>
      <c r="R726" s="176"/>
      <c r="S726" s="176"/>
      <c r="T726" s="176"/>
      <c r="U726" s="176"/>
      <c r="V726" s="176"/>
      <c r="W726" s="176"/>
      <c r="X726" s="176"/>
      <c r="Y726" s="176"/>
      <c r="Z726" s="176"/>
      <c r="AA726" s="176"/>
    </row>
    <row r="727">
      <c r="A727" s="165" t="str">
        <f>iferror(VLOOKUP(P727,'DO NOT TOUCH Imported'!$A$1:$D$800,4,False),iferror(VLOOKUP(P727,'DO NOT TOUCH Imported'!$C$1:$D$800,2,False),"OOPS FIX ME"))</f>
        <v>divine_comedian</v>
      </c>
      <c r="B727" s="165" t="s">
        <v>435</v>
      </c>
      <c r="C727" s="170" t="s">
        <v>900</v>
      </c>
      <c r="D727" s="236" t="s">
        <v>437</v>
      </c>
      <c r="E727" s="239">
        <v>44302.0</v>
      </c>
      <c r="F727" s="170" t="s">
        <v>439</v>
      </c>
      <c r="G727" s="170">
        <v>1000.0</v>
      </c>
      <c r="H727" s="171">
        <v>100.0</v>
      </c>
      <c r="I727" s="171">
        <v>100.0</v>
      </c>
      <c r="J727" s="172">
        <f t="shared" si="41"/>
        <v>0.0010126618</v>
      </c>
      <c r="K727" s="173">
        <f t="shared" si="42"/>
        <v>1.21519416</v>
      </c>
      <c r="L727" s="174">
        <f t="shared" si="4"/>
        <v>4.643275317</v>
      </c>
      <c r="M727" s="175" t="str">
        <f t="shared" si="5"/>
        <v>divine_comedian</v>
      </c>
      <c r="N727" s="176">
        <f>IFERROR(__xludf.DUMMYFUNCTION("""COMPUTED_VALUE"""),11.0)</f>
        <v>11</v>
      </c>
      <c r="O727" s="176"/>
      <c r="P727" s="165" t="s">
        <v>813</v>
      </c>
      <c r="Q727" s="165" t="s">
        <v>435</v>
      </c>
      <c r="R727" s="176"/>
      <c r="S727" s="176"/>
      <c r="T727" s="176"/>
      <c r="U727" s="176"/>
      <c r="V727" s="176"/>
      <c r="W727" s="176"/>
      <c r="X727" s="176"/>
      <c r="Y727" s="176"/>
      <c r="Z727" s="176"/>
      <c r="AA727" s="176"/>
    </row>
    <row r="728">
      <c r="A728" s="165" t="str">
        <f>iferror(VLOOKUP(P728,'DO NOT TOUCH Imported'!$A$1:$D$800,4,False),iferror(VLOOKUP(P728,'DO NOT TOUCH Imported'!$C$1:$D$800,2,False),"OOPS FIX ME"))</f>
        <v>divine_comedian</v>
      </c>
      <c r="B728" s="165" t="s">
        <v>441</v>
      </c>
      <c r="C728" s="170" t="s">
        <v>1128</v>
      </c>
      <c r="D728" s="236" t="s">
        <v>437</v>
      </c>
      <c r="E728" s="239">
        <v>44309.0</v>
      </c>
      <c r="F728" s="170" t="s">
        <v>439</v>
      </c>
      <c r="G728" s="170">
        <v>1000.0</v>
      </c>
      <c r="H728" s="171">
        <v>200.0</v>
      </c>
      <c r="I728" s="171">
        <v>100.0</v>
      </c>
      <c r="J728" s="172">
        <f t="shared" si="41"/>
        <v>0.00144876219</v>
      </c>
      <c r="K728" s="173">
        <f t="shared" si="42"/>
        <v>1.738514628</v>
      </c>
      <c r="L728" s="174">
        <f t="shared" si="4"/>
        <v>4.643275317</v>
      </c>
      <c r="M728" s="175" t="str">
        <f t="shared" si="5"/>
        <v>divine_comedian</v>
      </c>
      <c r="N728" s="176">
        <f>IFERROR(__xludf.DUMMYFUNCTION("""COMPUTED_VALUE"""),12.0)</f>
        <v>12</v>
      </c>
      <c r="O728" s="176"/>
      <c r="P728" s="165" t="s">
        <v>813</v>
      </c>
      <c r="Q728" s="165" t="s">
        <v>441</v>
      </c>
      <c r="R728" s="176"/>
      <c r="S728" s="176"/>
      <c r="T728" s="176"/>
      <c r="U728" s="176"/>
      <c r="V728" s="176"/>
      <c r="W728" s="176"/>
      <c r="X728" s="176"/>
      <c r="Y728" s="176"/>
      <c r="Z728" s="176"/>
      <c r="AA728" s="176"/>
    </row>
    <row r="729">
      <c r="A729" s="165" t="str">
        <f>iferror(VLOOKUP(P729,'DO NOT TOUCH Imported'!$A$1:$D$800,4,False),iferror(VLOOKUP(P729,'DO NOT TOUCH Imported'!$C$1:$D$800,2,False),"OOPS FIX ME"))</f>
        <v>divine_comedian</v>
      </c>
      <c r="B729" s="165" t="s">
        <v>441</v>
      </c>
      <c r="C729" s="170" t="s">
        <v>1158</v>
      </c>
      <c r="D729" s="236" t="s">
        <v>437</v>
      </c>
      <c r="E729" s="239">
        <v>44309.0</v>
      </c>
      <c r="F729" s="170" t="s">
        <v>439</v>
      </c>
      <c r="G729" s="170">
        <v>1000.0</v>
      </c>
      <c r="H729" s="171">
        <v>200.0</v>
      </c>
      <c r="I729" s="171">
        <v>100.0</v>
      </c>
      <c r="J729" s="172">
        <f t="shared" si="41"/>
        <v>0.00144876219</v>
      </c>
      <c r="K729" s="173">
        <f t="shared" si="42"/>
        <v>1.738514628</v>
      </c>
      <c r="L729" s="174">
        <f t="shared" si="4"/>
        <v>4.643275317</v>
      </c>
      <c r="M729" s="175" t="str">
        <f t="shared" si="5"/>
        <v>divine_comedian</v>
      </c>
      <c r="N729" s="176">
        <f>IFERROR(__xludf.DUMMYFUNCTION("""COMPUTED_VALUE"""),13.0)</f>
        <v>13</v>
      </c>
      <c r="O729" s="176"/>
      <c r="P729" s="165" t="s">
        <v>813</v>
      </c>
      <c r="Q729" s="165" t="s">
        <v>441</v>
      </c>
      <c r="R729" s="176"/>
      <c r="S729" s="176"/>
      <c r="T729" s="176"/>
      <c r="U729" s="176"/>
      <c r="V729" s="176"/>
      <c r="W729" s="176"/>
      <c r="X729" s="176"/>
      <c r="Y729" s="176"/>
      <c r="Z729" s="176"/>
      <c r="AA729" s="176"/>
    </row>
    <row r="730">
      <c r="A730" s="165" t="str">
        <f>iferror(VLOOKUP(P730,'DO NOT TOUCH Imported'!$A$1:$D$800,4,False),iferror(VLOOKUP(P730,'DO NOT TOUCH Imported'!$C$1:$D$800,2,False),"OOPS FIX ME"))</f>
        <v>divine_comedian</v>
      </c>
      <c r="B730" s="165" t="s">
        <v>490</v>
      </c>
      <c r="C730" s="170" t="s">
        <v>980</v>
      </c>
      <c r="D730" s="236" t="s">
        <v>437</v>
      </c>
      <c r="E730" s="237">
        <v>44309.0</v>
      </c>
      <c r="F730" s="170" t="s">
        <v>439</v>
      </c>
      <c r="G730" s="170">
        <v>1000.0</v>
      </c>
      <c r="H730" s="171">
        <v>80.0</v>
      </c>
      <c r="I730" s="171">
        <v>100.0</v>
      </c>
      <c r="J730" s="172">
        <f t="shared" si="41"/>
        <v>0.0009254417219</v>
      </c>
      <c r="K730" s="173">
        <f t="shared" si="42"/>
        <v>1.110530066</v>
      </c>
      <c r="L730" s="174">
        <f t="shared" si="4"/>
        <v>4.643275317</v>
      </c>
      <c r="M730" s="175" t="str">
        <f t="shared" si="5"/>
        <v>divine_comedian</v>
      </c>
      <c r="N730" s="176">
        <f>IFERROR(__xludf.DUMMYFUNCTION("""COMPUTED_VALUE"""),14.0)</f>
        <v>14</v>
      </c>
      <c r="O730" s="176"/>
      <c r="P730" s="165" t="s">
        <v>813</v>
      </c>
      <c r="Q730" s="165" t="s">
        <v>490</v>
      </c>
      <c r="R730" s="176"/>
      <c r="S730" s="176"/>
      <c r="T730" s="176"/>
      <c r="U730" s="176"/>
      <c r="V730" s="176"/>
      <c r="W730" s="176"/>
      <c r="X730" s="176"/>
      <c r="Y730" s="176"/>
      <c r="Z730" s="176"/>
      <c r="AA730" s="176"/>
    </row>
    <row r="731">
      <c r="A731" s="165" t="str">
        <f>iferror(VLOOKUP(P731,'DO NOT TOUCH Imported'!$A$1:$D$800,4,False),iferror(VLOOKUP(P731,'DO NOT TOUCH Imported'!$C$1:$D$800,2,False),"OOPS FIX ME"))</f>
        <v>divine_comedian</v>
      </c>
      <c r="B731" s="165" t="s">
        <v>441</v>
      </c>
      <c r="C731" s="170" t="s">
        <v>1130</v>
      </c>
      <c r="D731" s="236" t="s">
        <v>437</v>
      </c>
      <c r="E731" s="237">
        <v>44309.0</v>
      </c>
      <c r="F731" s="170" t="s">
        <v>439</v>
      </c>
      <c r="G731" s="170">
        <v>1000.0</v>
      </c>
      <c r="H731" s="171">
        <v>70.0</v>
      </c>
      <c r="I731" s="171">
        <v>100.0</v>
      </c>
      <c r="J731" s="172">
        <f t="shared" si="41"/>
        <v>0.0008818316829</v>
      </c>
      <c r="K731" s="173">
        <f t="shared" si="42"/>
        <v>1.058198019</v>
      </c>
      <c r="L731" s="174">
        <f t="shared" si="4"/>
        <v>4.643275317</v>
      </c>
      <c r="M731" s="175" t="str">
        <f t="shared" si="5"/>
        <v>divine_comedian</v>
      </c>
      <c r="N731" s="176">
        <f>IFERROR(__xludf.DUMMYFUNCTION("""COMPUTED_VALUE"""),15.0)</f>
        <v>15</v>
      </c>
      <c r="O731" s="176"/>
      <c r="P731" s="165" t="s">
        <v>813</v>
      </c>
      <c r="Q731" s="165" t="s">
        <v>441</v>
      </c>
      <c r="R731" s="176"/>
      <c r="S731" s="176"/>
      <c r="T731" s="176"/>
      <c r="U731" s="176"/>
      <c r="V731" s="176"/>
      <c r="W731" s="176"/>
      <c r="X731" s="176"/>
      <c r="Y731" s="176"/>
      <c r="Z731" s="176"/>
      <c r="AA731" s="176"/>
    </row>
    <row r="732">
      <c r="A732" s="165" t="str">
        <f>iferror(VLOOKUP(P732,'DO NOT TOUCH Imported'!$A$1:$D$800,4,False),iferror(VLOOKUP(P732,'DO NOT TOUCH Imported'!$C$1:$D$800,2,False),"OOPS FIX ME"))</f>
        <v>divine_comedian</v>
      </c>
      <c r="B732" s="165" t="s">
        <v>486</v>
      </c>
      <c r="C732" s="170" t="s">
        <v>1131</v>
      </c>
      <c r="D732" s="236" t="s">
        <v>437</v>
      </c>
      <c r="E732" s="239">
        <v>44305.0</v>
      </c>
      <c r="F732" s="170" t="s">
        <v>439</v>
      </c>
      <c r="G732" s="170">
        <v>1000.0</v>
      </c>
      <c r="H732" s="171">
        <v>80.0</v>
      </c>
      <c r="I732" s="171">
        <v>50.0</v>
      </c>
      <c r="J732" s="172">
        <f t="shared" si="41"/>
        <v>0.0007110380856</v>
      </c>
      <c r="K732" s="173">
        <f t="shared" si="42"/>
        <v>0.8532457028</v>
      </c>
      <c r="L732" s="174">
        <f t="shared" si="4"/>
        <v>4.643275317</v>
      </c>
      <c r="M732" s="175" t="str">
        <f t="shared" si="5"/>
        <v>divine_comedian</v>
      </c>
      <c r="N732" s="176">
        <f>IFERROR(__xludf.DUMMYFUNCTION("""COMPUTED_VALUE"""),16.0)</f>
        <v>16</v>
      </c>
      <c r="O732" s="176"/>
      <c r="P732" s="165" t="s">
        <v>813</v>
      </c>
      <c r="Q732" s="165" t="s">
        <v>486</v>
      </c>
      <c r="R732" s="176"/>
      <c r="S732" s="176"/>
      <c r="T732" s="176"/>
      <c r="U732" s="176"/>
      <c r="V732" s="176"/>
      <c r="W732" s="176"/>
      <c r="X732" s="176"/>
      <c r="Y732" s="176"/>
      <c r="Z732" s="176"/>
      <c r="AA732" s="176"/>
    </row>
    <row r="733">
      <c r="A733" s="165" t="str">
        <f>iferror(VLOOKUP(P733,'DO NOT TOUCH Imported'!$A$1:$D$800,4,False),iferror(VLOOKUP(P733,'DO NOT TOUCH Imported'!$C$1:$D$800,2,False),"OOPS FIX ME"))</f>
        <v>divine_comedian</v>
      </c>
      <c r="B733" s="165" t="s">
        <v>441</v>
      </c>
      <c r="C733" s="170" t="s">
        <v>918</v>
      </c>
      <c r="D733" s="236" t="s">
        <v>437</v>
      </c>
      <c r="E733" s="239">
        <v>44302.0</v>
      </c>
      <c r="F733" s="170" t="s">
        <v>439</v>
      </c>
      <c r="G733" s="170">
        <v>1000.0</v>
      </c>
      <c r="H733" s="171">
        <v>60.0</v>
      </c>
      <c r="I733" s="171">
        <v>50.0</v>
      </c>
      <c r="J733" s="172">
        <f t="shared" si="41"/>
        <v>0.0006238180076</v>
      </c>
      <c r="K733" s="173">
        <f t="shared" si="42"/>
        <v>0.7485816091</v>
      </c>
      <c r="L733" s="174">
        <f t="shared" si="4"/>
        <v>4.643275317</v>
      </c>
      <c r="M733" s="175" t="str">
        <f t="shared" si="5"/>
        <v>divine_comedian</v>
      </c>
      <c r="N733" s="176">
        <f>IFERROR(__xludf.DUMMYFUNCTION("""COMPUTED_VALUE"""),17.0)</f>
        <v>17</v>
      </c>
      <c r="O733" s="176"/>
      <c r="P733" s="165" t="s">
        <v>813</v>
      </c>
      <c r="Q733" s="165" t="s">
        <v>441</v>
      </c>
      <c r="R733" s="176"/>
      <c r="S733" s="176"/>
      <c r="T733" s="176"/>
      <c r="U733" s="176"/>
      <c r="V733" s="176"/>
      <c r="W733" s="176"/>
      <c r="X733" s="176"/>
      <c r="Y733" s="176"/>
      <c r="Z733" s="176"/>
      <c r="AA733" s="176"/>
    </row>
    <row r="734">
      <c r="A734" s="165" t="str">
        <f>iferror(VLOOKUP(P734,'DO NOT TOUCH Imported'!$A$1:$D$800,4,False),iferror(VLOOKUP(P734,'DO NOT TOUCH Imported'!$C$1:$D$800,2,False),"OOPS FIX ME"))</f>
        <v>divine_comedian</v>
      </c>
      <c r="B734" s="165" t="s">
        <v>486</v>
      </c>
      <c r="C734" s="170" t="s">
        <v>921</v>
      </c>
      <c r="D734" s="236" t="s">
        <v>437</v>
      </c>
      <c r="E734" s="239">
        <v>44306.0</v>
      </c>
      <c r="F734" s="170" t="s">
        <v>439</v>
      </c>
      <c r="G734" s="170">
        <v>1000.0</v>
      </c>
      <c r="H734" s="171">
        <v>60.0</v>
      </c>
      <c r="I734" s="171">
        <v>50.0</v>
      </c>
      <c r="J734" s="172">
        <f t="shared" si="41"/>
        <v>0.0006238180076</v>
      </c>
      <c r="K734" s="173">
        <f t="shared" si="42"/>
        <v>0.7485816091</v>
      </c>
      <c r="L734" s="174">
        <f t="shared" si="4"/>
        <v>4.643275317</v>
      </c>
      <c r="M734" s="175" t="str">
        <f t="shared" si="5"/>
        <v>divine_comedian</v>
      </c>
      <c r="N734" s="176">
        <f>IFERROR(__xludf.DUMMYFUNCTION("""COMPUTED_VALUE"""),18.0)</f>
        <v>18</v>
      </c>
      <c r="O734" s="176"/>
      <c r="P734" s="165" t="s">
        <v>813</v>
      </c>
      <c r="Q734" s="165" t="s">
        <v>486</v>
      </c>
      <c r="R734" s="176"/>
      <c r="S734" s="176"/>
      <c r="T734" s="176"/>
      <c r="U734" s="176"/>
      <c r="V734" s="176"/>
      <c r="W734" s="176"/>
      <c r="X734" s="176"/>
      <c r="Y734" s="176"/>
      <c r="Z734" s="176"/>
      <c r="AA734" s="176"/>
    </row>
    <row r="735">
      <c r="A735" s="165" t="str">
        <f>iferror(VLOOKUP(P735,'DO NOT TOUCH Imported'!$A$1:$D$800,4,False),iferror(VLOOKUP(P735,'DO NOT TOUCH Imported'!$C$1:$D$800,2,False),"OOPS FIX ME"))</f>
        <v>divine_comedian</v>
      </c>
      <c r="B735" s="165" t="s">
        <v>441</v>
      </c>
      <c r="C735" s="170" t="s">
        <v>923</v>
      </c>
      <c r="D735" s="236" t="s">
        <v>437</v>
      </c>
      <c r="E735" s="239">
        <v>44309.0</v>
      </c>
      <c r="F735" s="170" t="s">
        <v>439</v>
      </c>
      <c r="G735" s="170">
        <v>1000.0</v>
      </c>
      <c r="H735" s="171">
        <v>60.0</v>
      </c>
      <c r="I735" s="171">
        <v>50.0</v>
      </c>
      <c r="J735" s="172">
        <f t="shared" si="41"/>
        <v>0.0006238180076</v>
      </c>
      <c r="K735" s="173">
        <f t="shared" si="42"/>
        <v>0.7485816091</v>
      </c>
      <c r="L735" s="174">
        <f t="shared" si="4"/>
        <v>4.643275317</v>
      </c>
      <c r="M735" s="175" t="str">
        <f t="shared" si="5"/>
        <v>divine_comedian</v>
      </c>
      <c r="N735" s="176">
        <f>IFERROR(__xludf.DUMMYFUNCTION("""COMPUTED_VALUE"""),19.0)</f>
        <v>19</v>
      </c>
      <c r="O735" s="176"/>
      <c r="P735" s="165" t="s">
        <v>813</v>
      </c>
      <c r="Q735" s="165" t="s">
        <v>441</v>
      </c>
      <c r="R735" s="176"/>
      <c r="S735" s="176"/>
      <c r="T735" s="176"/>
      <c r="U735" s="176"/>
      <c r="V735" s="176"/>
      <c r="W735" s="176"/>
      <c r="X735" s="176"/>
      <c r="Y735" s="176"/>
      <c r="Z735" s="176"/>
      <c r="AA735" s="176"/>
    </row>
    <row r="736">
      <c r="A736" s="165" t="str">
        <f>iferror(VLOOKUP(P736,'DO NOT TOUCH Imported'!$A$1:$D$800,4,False),iferror(VLOOKUP(P736,'DO NOT TOUCH Imported'!$C$1:$D$800,2,False),"OOPS FIX ME"))</f>
        <v>divine_comedian</v>
      </c>
      <c r="B736" s="165" t="s">
        <v>486</v>
      </c>
      <c r="C736" s="170" t="s">
        <v>924</v>
      </c>
      <c r="D736" s="236" t="s">
        <v>437</v>
      </c>
      <c r="E736" s="239">
        <v>44299.0</v>
      </c>
      <c r="F736" s="170" t="s">
        <v>439</v>
      </c>
      <c r="G736" s="170">
        <v>1000.0</v>
      </c>
      <c r="H736" s="171">
        <v>50.0</v>
      </c>
      <c r="I736" s="171">
        <v>50.0</v>
      </c>
      <c r="J736" s="172">
        <f t="shared" si="41"/>
        <v>0.0005802079686</v>
      </c>
      <c r="K736" s="173">
        <f t="shared" si="42"/>
        <v>0.6962495623</v>
      </c>
      <c r="L736" s="174">
        <f t="shared" si="4"/>
        <v>4.643275317</v>
      </c>
      <c r="M736" s="175" t="str">
        <f t="shared" si="5"/>
        <v>divine_comedian</v>
      </c>
      <c r="N736" s="176">
        <f>IFERROR(__xludf.DUMMYFUNCTION("""COMPUTED_VALUE"""),20.0)</f>
        <v>20</v>
      </c>
      <c r="O736" s="176"/>
      <c r="P736" s="165" t="s">
        <v>813</v>
      </c>
      <c r="Q736" s="165" t="s">
        <v>486</v>
      </c>
      <c r="R736" s="176"/>
      <c r="S736" s="176"/>
      <c r="T736" s="176"/>
      <c r="U736" s="176"/>
      <c r="V736" s="176"/>
      <c r="W736" s="176"/>
      <c r="X736" s="176"/>
      <c r="Y736" s="176"/>
      <c r="Z736" s="176"/>
      <c r="AA736" s="176"/>
    </row>
    <row r="737">
      <c r="A737" s="165" t="str">
        <f>iferror(VLOOKUP(P737,'DO NOT TOUCH Imported'!$A$1:$D$800,4,False),iferror(VLOOKUP(P737,'DO NOT TOUCH Imported'!$C$1:$D$800,2,False),"OOPS FIX ME"))</f>
        <v>divine_comedian</v>
      </c>
      <c r="B737" s="165" t="s">
        <v>10</v>
      </c>
      <c r="C737" s="170" t="s">
        <v>494</v>
      </c>
      <c r="D737" s="236" t="s">
        <v>495</v>
      </c>
      <c r="E737" s="237">
        <v>44309.0</v>
      </c>
      <c r="F737" s="170" t="s">
        <v>496</v>
      </c>
      <c r="G737" s="170">
        <v>1500.0</v>
      </c>
      <c r="H737" s="171">
        <v>25.0</v>
      </c>
      <c r="I737" s="171">
        <v>40.0</v>
      </c>
      <c r="J737" s="172">
        <f t="shared" si="41"/>
        <v>0.0005021792123</v>
      </c>
      <c r="K737" s="173">
        <f t="shared" si="42"/>
        <v>0.6026150547</v>
      </c>
      <c r="L737" s="174">
        <f t="shared" si="4"/>
        <v>4.643275317</v>
      </c>
      <c r="M737" s="175" t="str">
        <f t="shared" si="5"/>
        <v>divine_comedian</v>
      </c>
      <c r="N737" s="176">
        <f>IFERROR(__xludf.DUMMYFUNCTION("""COMPUTED_VALUE"""),21.0)</f>
        <v>21</v>
      </c>
      <c r="O737" s="176"/>
      <c r="P737" s="165" t="s">
        <v>48</v>
      </c>
      <c r="Q737" s="165" t="s">
        <v>10</v>
      </c>
      <c r="R737" s="176"/>
      <c r="S737" s="176"/>
      <c r="T737" s="176"/>
      <c r="U737" s="176"/>
      <c r="V737" s="176"/>
      <c r="W737" s="176"/>
      <c r="X737" s="176"/>
      <c r="Y737" s="176"/>
      <c r="Z737" s="176"/>
      <c r="AA737" s="176"/>
    </row>
    <row r="738">
      <c r="A738" s="185" t="s">
        <v>34</v>
      </c>
      <c r="B738" s="185" t="s">
        <v>534</v>
      </c>
      <c r="C738" s="210" t="s">
        <v>646</v>
      </c>
      <c r="D738" s="187"/>
      <c r="E738" s="188"/>
      <c r="F738" s="189"/>
      <c r="G738" s="190"/>
      <c r="H738" s="190"/>
      <c r="I738" s="190"/>
      <c r="J738" s="172">
        <f>(H738/$H$2+I738/$I$2)/2</f>
        <v>0</v>
      </c>
      <c r="K738" s="215">
        <f>-0.85*28.772</f>
        <v>-24.4562</v>
      </c>
      <c r="L738" s="193">
        <f t="shared" si="4"/>
        <v>4.315707988</v>
      </c>
      <c r="M738" s="194" t="str">
        <f t="shared" si="5"/>
        <v>xgabi</v>
      </c>
      <c r="N738" s="211">
        <f>IFERROR(__xludf.DUMMYFUNCTION("""COMPUTED_VALUE"""),1.0)</f>
        <v>1</v>
      </c>
      <c r="O738" s="195"/>
      <c r="P738" s="212" t="s">
        <v>6</v>
      </c>
      <c r="Q738" s="185" t="s">
        <v>534</v>
      </c>
      <c r="R738" s="195">
        <v>57.049855624848725</v>
      </c>
      <c r="S738" s="195"/>
      <c r="T738" s="195"/>
      <c r="U738" s="195"/>
      <c r="V738" s="195"/>
      <c r="W738" s="195"/>
      <c r="X738" s="195"/>
      <c r="Y738" s="195"/>
      <c r="Z738" s="195"/>
      <c r="AA738" s="176"/>
    </row>
    <row r="739">
      <c r="A739" s="165" t="str">
        <f>iferror(VLOOKUP(P739,'DO NOT TOUCH Imported'!$A$1:$D$800,4,False),iferror(VLOOKUP(P739,'DO NOT TOUCH Imported'!$C$1:$D$800,2,False),"OOPS FIX ME"))</f>
        <v>xgabi</v>
      </c>
      <c r="B739" s="165" t="s">
        <v>519</v>
      </c>
      <c r="C739" s="170" t="s">
        <v>1020</v>
      </c>
      <c r="D739" s="236" t="s">
        <v>495</v>
      </c>
      <c r="E739" s="237">
        <v>44300.0</v>
      </c>
      <c r="F739" s="170" t="s">
        <v>499</v>
      </c>
      <c r="G739" s="170">
        <v>50000.0</v>
      </c>
      <c r="H739" s="171">
        <v>200.0</v>
      </c>
      <c r="I739" s="171">
        <v>150.0</v>
      </c>
      <c r="J739" s="172">
        <f t="shared" ref="J739:J745" si="43">(G739/$G$2+H739/$H$2+I739/$I$2)/3</f>
        <v>0.008903118545</v>
      </c>
      <c r="K739" s="173">
        <f t="shared" ref="K739:K745" si="44">J739*$J$1</f>
        <v>10.68374225</v>
      </c>
      <c r="L739" s="174">
        <f t="shared" si="4"/>
        <v>4.315707988</v>
      </c>
      <c r="M739" s="175" t="str">
        <f t="shared" si="5"/>
        <v>xgabi</v>
      </c>
      <c r="N739" s="176">
        <f>IFERROR(__xludf.DUMMYFUNCTION("""COMPUTED_VALUE"""),2.0)</f>
        <v>2</v>
      </c>
      <c r="O739" s="176"/>
      <c r="P739" s="165" t="s">
        <v>34</v>
      </c>
      <c r="Q739" s="165" t="s">
        <v>519</v>
      </c>
      <c r="R739" s="176"/>
      <c r="S739" s="176"/>
      <c r="T739" s="176"/>
      <c r="U739" s="176"/>
      <c r="V739" s="176"/>
      <c r="W739" s="176"/>
      <c r="X739" s="176"/>
      <c r="Y739" s="176"/>
      <c r="Z739" s="176"/>
      <c r="AA739" s="176"/>
    </row>
    <row r="740">
      <c r="A740" s="165" t="str">
        <f>iferror(VLOOKUP(P740,'DO NOT TOUCH Imported'!$A$1:$D$800,4,False),iferror(VLOOKUP(P740,'DO NOT TOUCH Imported'!$C$1:$D$800,2,False),"OOPS FIX ME"))</f>
        <v>xgabi</v>
      </c>
      <c r="B740" s="165" t="s">
        <v>6</v>
      </c>
      <c r="C740" s="170" t="s">
        <v>1166</v>
      </c>
      <c r="D740" s="236" t="s">
        <v>495</v>
      </c>
      <c r="E740" s="237">
        <v>44306.0</v>
      </c>
      <c r="F740" s="170" t="s">
        <v>627</v>
      </c>
      <c r="G740" s="170">
        <v>50000.0</v>
      </c>
      <c r="H740" s="171">
        <v>100.0</v>
      </c>
      <c r="I740" s="171">
        <v>200.0</v>
      </c>
      <c r="J740" s="172">
        <f t="shared" si="43"/>
        <v>0.008681421791</v>
      </c>
      <c r="K740" s="173">
        <f t="shared" si="44"/>
        <v>10.41770615</v>
      </c>
      <c r="L740" s="174">
        <f t="shared" si="4"/>
        <v>4.315707988</v>
      </c>
      <c r="M740" s="175" t="str">
        <f t="shared" si="5"/>
        <v>xgabi</v>
      </c>
      <c r="N740" s="176">
        <f>IFERROR(__xludf.DUMMYFUNCTION("""COMPUTED_VALUE"""),3.0)</f>
        <v>3</v>
      </c>
      <c r="O740" s="176"/>
      <c r="P740" s="165" t="s">
        <v>34</v>
      </c>
      <c r="Q740" s="165" t="s">
        <v>6</v>
      </c>
      <c r="R740" s="176"/>
      <c r="S740" s="176"/>
      <c r="T740" s="176"/>
      <c r="U740" s="176"/>
      <c r="V740" s="176"/>
      <c r="W740" s="176"/>
      <c r="X740" s="176"/>
      <c r="Y740" s="176"/>
      <c r="Z740" s="176"/>
      <c r="AA740" s="176"/>
    </row>
    <row r="741">
      <c r="A741" s="165" t="str">
        <f>iferror(VLOOKUP(P741,'DO NOT TOUCH Imported'!$A$1:$D$800,4,False),iferror(VLOOKUP(P741,'DO NOT TOUCH Imported'!$C$1:$D$800,2,False),"OOPS FIX ME"))</f>
        <v>xgabi</v>
      </c>
      <c r="B741" s="165" t="s">
        <v>483</v>
      </c>
      <c r="C741" s="170" t="s">
        <v>1026</v>
      </c>
      <c r="D741" s="236" t="s">
        <v>437</v>
      </c>
      <c r="E741" s="239">
        <v>44308.0</v>
      </c>
      <c r="F741" s="170" t="s">
        <v>439</v>
      </c>
      <c r="G741" s="170">
        <v>3000.0</v>
      </c>
      <c r="H741" s="171">
        <v>200.0</v>
      </c>
      <c r="I741" s="171">
        <v>150.0</v>
      </c>
      <c r="J741" s="172">
        <f t="shared" si="43"/>
        <v>0.001958674101</v>
      </c>
      <c r="K741" s="173">
        <f t="shared" si="44"/>
        <v>2.350408921</v>
      </c>
      <c r="L741" s="174">
        <f t="shared" si="4"/>
        <v>4.315707988</v>
      </c>
      <c r="M741" s="175" t="str">
        <f t="shared" si="5"/>
        <v>xgabi</v>
      </c>
      <c r="N741" s="176">
        <f>IFERROR(__xludf.DUMMYFUNCTION("""COMPUTED_VALUE"""),4.0)</f>
        <v>4</v>
      </c>
      <c r="O741" s="176"/>
      <c r="P741" s="165" t="s">
        <v>766</v>
      </c>
      <c r="Q741" s="165" t="s">
        <v>483</v>
      </c>
      <c r="R741" s="176"/>
      <c r="S741" s="176"/>
      <c r="T741" s="176"/>
      <c r="U741" s="176"/>
      <c r="V741" s="176"/>
      <c r="W741" s="176"/>
      <c r="X741" s="176"/>
      <c r="Y741" s="176"/>
      <c r="Z741" s="176"/>
      <c r="AA741" s="176"/>
    </row>
    <row r="742">
      <c r="A742" s="165" t="str">
        <f>iferror(VLOOKUP(P742,'DO NOT TOUCH Imported'!$A$1:$D$800,4,False),iferror(VLOOKUP(P742,'DO NOT TOUCH Imported'!$C$1:$D$800,2,False),"OOPS FIX ME"))</f>
        <v>xgabi</v>
      </c>
      <c r="B742" s="165" t="s">
        <v>10</v>
      </c>
      <c r="C742" s="170" t="s">
        <v>1167</v>
      </c>
      <c r="D742" s="236" t="s">
        <v>495</v>
      </c>
      <c r="E742" s="237">
        <v>44309.0</v>
      </c>
      <c r="F742" s="170" t="s">
        <v>496</v>
      </c>
      <c r="G742" s="170">
        <v>2000.0</v>
      </c>
      <c r="H742" s="171">
        <v>200.0</v>
      </c>
      <c r="I742" s="171">
        <v>150.0</v>
      </c>
      <c r="J742" s="172">
        <f t="shared" si="43"/>
        <v>0.001810919964</v>
      </c>
      <c r="K742" s="173">
        <f t="shared" si="44"/>
        <v>2.173103956</v>
      </c>
      <c r="L742" s="174">
        <f t="shared" si="4"/>
        <v>4.315707988</v>
      </c>
      <c r="M742" s="175" t="str">
        <f t="shared" si="5"/>
        <v>xgabi</v>
      </c>
      <c r="N742" s="176">
        <f>IFERROR(__xludf.DUMMYFUNCTION("""COMPUTED_VALUE"""),5.0)</f>
        <v>5</v>
      </c>
      <c r="O742" s="176"/>
      <c r="P742" s="165" t="s">
        <v>34</v>
      </c>
      <c r="Q742" s="165" t="s">
        <v>10</v>
      </c>
      <c r="R742" s="176"/>
      <c r="S742" s="176"/>
      <c r="T742" s="176"/>
      <c r="U742" s="176"/>
      <c r="V742" s="176"/>
      <c r="W742" s="176"/>
      <c r="X742" s="176"/>
      <c r="Y742" s="176"/>
      <c r="Z742" s="176"/>
      <c r="AA742" s="176"/>
    </row>
    <row r="743">
      <c r="A743" s="165" t="str">
        <f>iferror(VLOOKUP(P743,'DO NOT TOUCH Imported'!$A$1:$D$800,4,False),iferror(VLOOKUP(P743,'DO NOT TOUCH Imported'!$C$1:$D$800,2,False),"OOPS FIX ME"))</f>
        <v>xgabi</v>
      </c>
      <c r="B743" s="165" t="s">
        <v>10</v>
      </c>
      <c r="C743" s="170" t="s">
        <v>936</v>
      </c>
      <c r="D743" s="236" t="s">
        <v>495</v>
      </c>
      <c r="E743" s="237">
        <v>44309.0</v>
      </c>
      <c r="F743" s="170" t="s">
        <v>496</v>
      </c>
      <c r="G743" s="170">
        <v>2000.0</v>
      </c>
      <c r="H743" s="171">
        <v>100.0</v>
      </c>
      <c r="I743" s="171">
        <v>150.0</v>
      </c>
      <c r="J743" s="172">
        <f t="shared" si="43"/>
        <v>0.001374819573</v>
      </c>
      <c r="K743" s="173">
        <f t="shared" si="44"/>
        <v>1.649783488</v>
      </c>
      <c r="L743" s="174">
        <f t="shared" si="4"/>
        <v>4.315707988</v>
      </c>
      <c r="M743" s="175" t="str">
        <f t="shared" si="5"/>
        <v>xgabi</v>
      </c>
      <c r="N743" s="176">
        <f>IFERROR(__xludf.DUMMYFUNCTION("""COMPUTED_VALUE"""),6.0)</f>
        <v>6</v>
      </c>
      <c r="O743" s="176"/>
      <c r="P743" s="165" t="s">
        <v>34</v>
      </c>
      <c r="Q743" s="165" t="s">
        <v>10</v>
      </c>
      <c r="R743" s="176"/>
      <c r="S743" s="176"/>
      <c r="T743" s="176"/>
      <c r="U743" s="176"/>
      <c r="V743" s="176"/>
      <c r="W743" s="176"/>
      <c r="X743" s="176"/>
      <c r="Y743" s="176"/>
      <c r="Z743" s="176"/>
      <c r="AA743" s="176"/>
    </row>
    <row r="744">
      <c r="A744" s="165" t="str">
        <f>iferror(VLOOKUP(P744,'DO NOT TOUCH Imported'!$A$1:$D$800,4,False),iferror(VLOOKUP(P744,'DO NOT TOUCH Imported'!$C$1:$D$800,2,False),"OOPS FIX ME"))</f>
        <v>xgabi</v>
      </c>
      <c r="B744" s="165" t="s">
        <v>440</v>
      </c>
      <c r="C744" s="170" t="s">
        <v>913</v>
      </c>
      <c r="D744" s="236" t="s">
        <v>437</v>
      </c>
      <c r="E744" s="239">
        <v>44298.0</v>
      </c>
      <c r="F744" s="170" t="s">
        <v>439</v>
      </c>
      <c r="G744" s="170">
        <v>1000.0</v>
      </c>
      <c r="H744" s="171">
        <v>60.0</v>
      </c>
      <c r="I744" s="171">
        <v>50.0</v>
      </c>
      <c r="J744" s="172">
        <f t="shared" si="43"/>
        <v>0.0006238180076</v>
      </c>
      <c r="K744" s="173">
        <f t="shared" si="44"/>
        <v>0.7485816091</v>
      </c>
      <c r="L744" s="174">
        <f t="shared" si="4"/>
        <v>4.315707988</v>
      </c>
      <c r="M744" s="175" t="str">
        <f t="shared" si="5"/>
        <v>xgabi</v>
      </c>
      <c r="N744" s="176">
        <f>IFERROR(__xludf.DUMMYFUNCTION("""COMPUTED_VALUE"""),7.0)</f>
        <v>7</v>
      </c>
      <c r="O744" s="176"/>
      <c r="P744" s="165" t="s">
        <v>766</v>
      </c>
      <c r="Q744" s="165" t="s">
        <v>440</v>
      </c>
      <c r="R744" s="176"/>
      <c r="S744" s="176"/>
      <c r="T744" s="176"/>
      <c r="U744" s="176"/>
      <c r="V744" s="176"/>
      <c r="W744" s="176"/>
      <c r="X744" s="176"/>
      <c r="Y744" s="176"/>
      <c r="Z744" s="176"/>
      <c r="AA744" s="176"/>
    </row>
    <row r="745">
      <c r="A745" s="165" t="str">
        <f>iferror(VLOOKUP(P745,'DO NOT TOUCH Imported'!$A$1:$D$800,4,False),iferror(VLOOKUP(P745,'DO NOT TOUCH Imported'!$C$1:$D$800,2,False),"OOPS FIX ME"))</f>
        <v>xgabi</v>
      </c>
      <c r="B745" s="165" t="s">
        <v>483</v>
      </c>
      <c r="C745" s="170" t="s">
        <v>920</v>
      </c>
      <c r="D745" s="236" t="s">
        <v>437</v>
      </c>
      <c r="E745" s="237">
        <v>44305.0</v>
      </c>
      <c r="F745" s="170" t="s">
        <v>439</v>
      </c>
      <c r="G745" s="170">
        <v>1000.0</v>
      </c>
      <c r="H745" s="171">
        <v>60.0</v>
      </c>
      <c r="I745" s="171">
        <v>50.0</v>
      </c>
      <c r="J745" s="172">
        <f t="shared" si="43"/>
        <v>0.0006238180076</v>
      </c>
      <c r="K745" s="173">
        <f t="shared" si="44"/>
        <v>0.7485816091</v>
      </c>
      <c r="L745" s="174">
        <f t="shared" si="4"/>
        <v>4.315707988</v>
      </c>
      <c r="M745" s="175" t="str">
        <f t="shared" si="5"/>
        <v>xgabi</v>
      </c>
      <c r="N745" s="176">
        <f>IFERROR(__xludf.DUMMYFUNCTION("""COMPUTED_VALUE"""),8.0)</f>
        <v>8</v>
      </c>
      <c r="O745" s="176"/>
      <c r="P745" s="165" t="s">
        <v>766</v>
      </c>
      <c r="Q745" s="165" t="s">
        <v>483</v>
      </c>
      <c r="R745" s="176"/>
      <c r="S745" s="176"/>
      <c r="T745" s="176"/>
      <c r="U745" s="176"/>
      <c r="V745" s="176"/>
      <c r="W745" s="176"/>
      <c r="X745" s="176"/>
      <c r="Y745" s="176"/>
      <c r="Z745" s="176"/>
      <c r="AA745" s="176"/>
    </row>
    <row r="746">
      <c r="A746" s="185" t="str">
        <f>iferror(VLOOKUP(P746,'DO NOT TOUCH Imported'!$A$1:$D$800,4,False),iferror(VLOOKUP(P746,'DO NOT TOUCH Imported'!$C$1:$D$800,2,False),"OOPS FIX ME"))</f>
        <v>JessicaZartler</v>
      </c>
      <c r="B746" s="185" t="s">
        <v>534</v>
      </c>
      <c r="C746" s="186" t="s">
        <v>741</v>
      </c>
      <c r="D746" s="187"/>
      <c r="E746" s="188"/>
      <c r="F746" s="189"/>
      <c r="G746" s="190"/>
      <c r="H746" s="190"/>
      <c r="I746" s="190"/>
      <c r="J746" s="172">
        <f>(H746/$H$2+I746/$I$2)/2</f>
        <v>0</v>
      </c>
      <c r="K746" s="192">
        <f>28.753*-0.85</f>
        <v>-24.44005</v>
      </c>
      <c r="L746" s="193">
        <f t="shared" si="4"/>
        <v>4.313155762</v>
      </c>
      <c r="M746" s="194" t="str">
        <f t="shared" si="5"/>
        <v>JessicaZartler</v>
      </c>
      <c r="N746" s="195">
        <f>IFERROR(__xludf.DUMMYFUNCTION("""COMPUTED_VALUE"""),1.0)</f>
        <v>1</v>
      </c>
      <c r="O746" s="195"/>
      <c r="P746" s="185" t="s">
        <v>14</v>
      </c>
      <c r="Q746" s="185" t="s">
        <v>534</v>
      </c>
      <c r="R746" s="195"/>
      <c r="S746" s="195"/>
      <c r="T746" s="195"/>
      <c r="U746" s="195"/>
      <c r="V746" s="195"/>
      <c r="W746" s="195"/>
      <c r="X746" s="195"/>
      <c r="Y746" s="195"/>
      <c r="Z746" s="195"/>
      <c r="AA746" s="176"/>
    </row>
    <row r="747">
      <c r="A747" s="165" t="str">
        <f>iferror(VLOOKUP(P747,'DO NOT TOUCH Imported'!$A$1:$D$800,4,False),iferror(VLOOKUP(P747,'DO NOT TOUCH Imported'!$C$1:$D$800,2,False),"OOPS FIX ME"))</f>
        <v>JessicaZartler</v>
      </c>
      <c r="B747" s="165" t="s">
        <v>441</v>
      </c>
      <c r="C747" s="170" t="s">
        <v>1037</v>
      </c>
      <c r="D747" s="236" t="s">
        <v>437</v>
      </c>
      <c r="E747" s="237">
        <v>44309.0</v>
      </c>
      <c r="F747" s="170" t="s">
        <v>439</v>
      </c>
      <c r="G747" s="170">
        <v>1000.0</v>
      </c>
      <c r="H747" s="171">
        <v>250.0</v>
      </c>
      <c r="I747" s="171">
        <v>200.0</v>
      </c>
      <c r="J747" s="172">
        <f t="shared" ref="J747:J776" si="45">(G747/$G$2+H747/$H$2+I747/$I$2)/3</f>
        <v>0.002095619658</v>
      </c>
      <c r="K747" s="173">
        <f t="shared" ref="K747:K776" si="46">J747*$J$1</f>
        <v>2.51474359</v>
      </c>
      <c r="L747" s="174">
        <f t="shared" si="4"/>
        <v>4.313155762</v>
      </c>
      <c r="M747" s="175" t="str">
        <f t="shared" si="5"/>
        <v>JessicaZartler</v>
      </c>
      <c r="N747" s="176">
        <f>IFERROR(__xludf.DUMMYFUNCTION("""COMPUTED_VALUE"""),2.0)</f>
        <v>2</v>
      </c>
      <c r="O747" s="176"/>
      <c r="P747" s="165" t="s">
        <v>566</v>
      </c>
      <c r="Q747" s="165" t="s">
        <v>441</v>
      </c>
      <c r="R747" s="176"/>
      <c r="S747" s="176"/>
      <c r="T747" s="176"/>
      <c r="U747" s="176"/>
      <c r="V747" s="176"/>
      <c r="W747" s="176"/>
      <c r="X747" s="176"/>
      <c r="Y747" s="176"/>
      <c r="Z747" s="176"/>
      <c r="AA747" s="176"/>
    </row>
    <row r="748">
      <c r="A748" s="165" t="str">
        <f>iferror(VLOOKUP(P748,'DO NOT TOUCH Imported'!$A$1:$D$800,4,False),iferror(VLOOKUP(P748,'DO NOT TOUCH Imported'!$C$1:$D$800,2,False),"OOPS FIX ME"))</f>
        <v>JessicaZartler</v>
      </c>
      <c r="B748" s="165" t="s">
        <v>566</v>
      </c>
      <c r="C748" s="170" t="s">
        <v>933</v>
      </c>
      <c r="D748" s="236" t="s">
        <v>499</v>
      </c>
      <c r="E748" s="239">
        <v>44305.0</v>
      </c>
      <c r="F748" s="170" t="s">
        <v>503</v>
      </c>
      <c r="G748" s="170">
        <v>2000.0</v>
      </c>
      <c r="H748" s="171">
        <v>200.0</v>
      </c>
      <c r="I748" s="171">
        <v>100.0</v>
      </c>
      <c r="J748" s="172">
        <f t="shared" si="45"/>
        <v>0.001596516327</v>
      </c>
      <c r="K748" s="173">
        <f t="shared" si="46"/>
        <v>1.915819593</v>
      </c>
      <c r="L748" s="174">
        <f t="shared" si="4"/>
        <v>4.313155762</v>
      </c>
      <c r="M748" s="175" t="str">
        <f t="shared" si="5"/>
        <v>JessicaZartler</v>
      </c>
      <c r="N748" s="176">
        <f>IFERROR(__xludf.DUMMYFUNCTION("""COMPUTED_VALUE"""),3.0)</f>
        <v>3</v>
      </c>
      <c r="O748" s="176"/>
      <c r="P748" s="165" t="s">
        <v>566</v>
      </c>
      <c r="Q748" s="165" t="s">
        <v>566</v>
      </c>
      <c r="R748" s="176"/>
      <c r="S748" s="176"/>
      <c r="T748" s="176"/>
      <c r="U748" s="176"/>
      <c r="V748" s="176"/>
      <c r="W748" s="176"/>
      <c r="X748" s="176"/>
      <c r="Y748" s="176"/>
      <c r="Z748" s="176"/>
      <c r="AA748" s="176"/>
    </row>
    <row r="749">
      <c r="A749" s="165" t="str">
        <f>iferror(VLOOKUP(P749,'DO NOT TOUCH Imported'!$A$1:$D$800,4,False),iferror(VLOOKUP(P749,'DO NOT TOUCH Imported'!$C$1:$D$800,2,False),"OOPS FIX ME"))</f>
        <v>JessicaZartler</v>
      </c>
      <c r="B749" s="165" t="s">
        <v>490</v>
      </c>
      <c r="C749" s="170" t="s">
        <v>1105</v>
      </c>
      <c r="D749" s="236" t="s">
        <v>499</v>
      </c>
      <c r="E749" s="237">
        <v>44305.0</v>
      </c>
      <c r="F749" s="170" t="s">
        <v>503</v>
      </c>
      <c r="G749" s="170">
        <v>2000.0</v>
      </c>
      <c r="H749" s="171">
        <v>200.0</v>
      </c>
      <c r="I749" s="171">
        <v>100.0</v>
      </c>
      <c r="J749" s="172">
        <f t="shared" si="45"/>
        <v>0.001596516327</v>
      </c>
      <c r="K749" s="173">
        <f t="shared" si="46"/>
        <v>1.915819593</v>
      </c>
      <c r="L749" s="174">
        <f t="shared" si="4"/>
        <v>4.313155762</v>
      </c>
      <c r="M749" s="175" t="str">
        <f t="shared" si="5"/>
        <v>JessicaZartler</v>
      </c>
      <c r="N749" s="176">
        <f>IFERROR(__xludf.DUMMYFUNCTION("""COMPUTED_VALUE"""),4.0)</f>
        <v>4</v>
      </c>
      <c r="O749" s="176"/>
      <c r="P749" s="165" t="s">
        <v>566</v>
      </c>
      <c r="Q749" s="165" t="s">
        <v>490</v>
      </c>
      <c r="R749" s="176"/>
      <c r="S749" s="176"/>
      <c r="T749" s="176"/>
      <c r="U749" s="176"/>
      <c r="V749" s="176"/>
      <c r="W749" s="176"/>
      <c r="X749" s="176"/>
      <c r="Y749" s="176"/>
      <c r="Z749" s="176"/>
      <c r="AA749" s="176"/>
    </row>
    <row r="750">
      <c r="A750" s="165" t="str">
        <f>iferror(VLOOKUP(P750,'DO NOT TOUCH Imported'!$A$1:$D$800,4,False),iferror(VLOOKUP(P750,'DO NOT TOUCH Imported'!$C$1:$D$800,2,False),"OOPS FIX ME"))</f>
        <v>JessicaZartler</v>
      </c>
      <c r="B750" s="165" t="s">
        <v>443</v>
      </c>
      <c r="C750" s="170" t="s">
        <v>890</v>
      </c>
      <c r="D750" s="236" t="s">
        <v>437</v>
      </c>
      <c r="E750" s="239">
        <v>44310.0</v>
      </c>
      <c r="F750" s="170" t="s">
        <v>439</v>
      </c>
      <c r="G750" s="170">
        <v>5000.0</v>
      </c>
      <c r="H750" s="171">
        <v>100.0</v>
      </c>
      <c r="I750" s="171">
        <v>100.0</v>
      </c>
      <c r="J750" s="172">
        <f t="shared" si="45"/>
        <v>0.001603678348</v>
      </c>
      <c r="K750" s="173">
        <f t="shared" si="46"/>
        <v>1.924414018</v>
      </c>
      <c r="L750" s="174">
        <f t="shared" si="4"/>
        <v>4.313155762</v>
      </c>
      <c r="M750" s="175" t="str">
        <f t="shared" si="5"/>
        <v>JessicaZartler</v>
      </c>
      <c r="N750" s="176">
        <f>IFERROR(__xludf.DUMMYFUNCTION("""COMPUTED_VALUE"""),5.0)</f>
        <v>5</v>
      </c>
      <c r="O750" s="176"/>
      <c r="P750" s="165" t="s">
        <v>566</v>
      </c>
      <c r="Q750" s="165" t="s">
        <v>443</v>
      </c>
      <c r="R750" s="176"/>
      <c r="S750" s="176"/>
      <c r="T750" s="176"/>
      <c r="U750" s="176"/>
      <c r="V750" s="176"/>
      <c r="W750" s="176"/>
      <c r="X750" s="176"/>
      <c r="Y750" s="176"/>
      <c r="Z750" s="176"/>
      <c r="AA750" s="176"/>
    </row>
    <row r="751">
      <c r="A751" s="165" t="str">
        <f>iferror(VLOOKUP(P751,'DO NOT TOUCH Imported'!$A$1:$D$800,4,False),iferror(VLOOKUP(P751,'DO NOT TOUCH Imported'!$C$1:$D$800,2,False),"OOPS FIX ME"))</f>
        <v>JessicaZartler</v>
      </c>
      <c r="B751" s="165" t="s">
        <v>435</v>
      </c>
      <c r="C751" s="170" t="s">
        <v>974</v>
      </c>
      <c r="D751" s="236" t="s">
        <v>499</v>
      </c>
      <c r="E751" s="237">
        <v>44305.0</v>
      </c>
      <c r="F751" s="170" t="s">
        <v>503</v>
      </c>
      <c r="G751" s="170">
        <v>1000.0</v>
      </c>
      <c r="H751" s="171">
        <v>200.0</v>
      </c>
      <c r="I751" s="171">
        <v>100.0</v>
      </c>
      <c r="J751" s="172">
        <f t="shared" si="45"/>
        <v>0.00144876219</v>
      </c>
      <c r="K751" s="173">
        <f t="shared" si="46"/>
        <v>1.738514628</v>
      </c>
      <c r="L751" s="174">
        <f t="shared" si="4"/>
        <v>4.313155762</v>
      </c>
      <c r="M751" s="175" t="str">
        <f t="shared" si="5"/>
        <v>JessicaZartler</v>
      </c>
      <c r="N751" s="176">
        <f>IFERROR(__xludf.DUMMYFUNCTION("""COMPUTED_VALUE"""),6.0)</f>
        <v>6</v>
      </c>
      <c r="O751" s="176"/>
      <c r="P751" s="165" t="s">
        <v>566</v>
      </c>
      <c r="Q751" s="165" t="s">
        <v>435</v>
      </c>
      <c r="R751" s="176"/>
      <c r="S751" s="176"/>
      <c r="T751" s="176"/>
      <c r="U751" s="176"/>
      <c r="V751" s="176"/>
      <c r="W751" s="176"/>
      <c r="X751" s="176"/>
      <c r="Y751" s="176"/>
      <c r="Z751" s="176"/>
      <c r="AA751" s="176"/>
    </row>
    <row r="752">
      <c r="A752" s="165" t="str">
        <f>iferror(VLOOKUP(P752,'DO NOT TOUCH Imported'!$A$1:$D$800,4,False),iferror(VLOOKUP(P752,'DO NOT TOUCH Imported'!$C$1:$D$800,2,False),"OOPS FIX ME"))</f>
        <v>JessicaZartler</v>
      </c>
      <c r="B752" s="165" t="s">
        <v>441</v>
      </c>
      <c r="C752" s="170" t="s">
        <v>1168</v>
      </c>
      <c r="D752" s="236" t="s">
        <v>437</v>
      </c>
      <c r="E752" s="237">
        <v>44309.0</v>
      </c>
      <c r="F752" s="170" t="s">
        <v>439</v>
      </c>
      <c r="G752" s="170">
        <v>2000.0</v>
      </c>
      <c r="H752" s="171">
        <v>100.0</v>
      </c>
      <c r="I752" s="171">
        <v>100.0</v>
      </c>
      <c r="J752" s="172">
        <f t="shared" si="45"/>
        <v>0.001160415937</v>
      </c>
      <c r="K752" s="173">
        <f t="shared" si="46"/>
        <v>1.392499125</v>
      </c>
      <c r="L752" s="174">
        <f t="shared" si="4"/>
        <v>4.313155762</v>
      </c>
      <c r="M752" s="175" t="str">
        <f t="shared" si="5"/>
        <v>JessicaZartler</v>
      </c>
      <c r="N752" s="176">
        <f>IFERROR(__xludf.DUMMYFUNCTION("""COMPUTED_VALUE"""),7.0)</f>
        <v>7</v>
      </c>
      <c r="O752" s="176"/>
      <c r="P752" s="165" t="s">
        <v>566</v>
      </c>
      <c r="Q752" s="165" t="s">
        <v>441</v>
      </c>
      <c r="R752" s="176"/>
      <c r="S752" s="176"/>
      <c r="T752" s="176"/>
      <c r="U752" s="176"/>
      <c r="V752" s="176"/>
      <c r="W752" s="176"/>
      <c r="X752" s="176"/>
      <c r="Y752" s="176"/>
      <c r="Z752" s="176"/>
      <c r="AA752" s="176"/>
    </row>
    <row r="753">
      <c r="A753" s="165" t="str">
        <f>iferror(VLOOKUP(P753,'DO NOT TOUCH Imported'!$A$1:$D$800,4,False),iferror(VLOOKUP(P753,'DO NOT TOUCH Imported'!$C$1:$D$800,2,False),"OOPS FIX ME"))</f>
        <v>JessicaZartler</v>
      </c>
      <c r="B753" s="165" t="s">
        <v>435</v>
      </c>
      <c r="C753" s="170" t="s">
        <v>1169</v>
      </c>
      <c r="D753" s="236" t="s">
        <v>437</v>
      </c>
      <c r="E753" s="239">
        <v>44300.0</v>
      </c>
      <c r="F753" s="170" t="s">
        <v>439</v>
      </c>
      <c r="G753" s="170">
        <v>1000.0</v>
      </c>
      <c r="H753" s="171">
        <v>100.0</v>
      </c>
      <c r="I753" s="171">
        <v>100.0</v>
      </c>
      <c r="J753" s="172">
        <f t="shared" si="45"/>
        <v>0.0010126618</v>
      </c>
      <c r="K753" s="173">
        <f t="shared" si="46"/>
        <v>1.21519416</v>
      </c>
      <c r="L753" s="174">
        <f t="shared" si="4"/>
        <v>4.313155762</v>
      </c>
      <c r="M753" s="175" t="str">
        <f t="shared" si="5"/>
        <v>JessicaZartler</v>
      </c>
      <c r="N753" s="176">
        <f>IFERROR(__xludf.DUMMYFUNCTION("""COMPUTED_VALUE"""),8.0)</f>
        <v>8</v>
      </c>
      <c r="O753" s="176"/>
      <c r="P753" s="165" t="s">
        <v>566</v>
      </c>
      <c r="Q753" s="165" t="s">
        <v>435</v>
      </c>
      <c r="R753" s="176"/>
      <c r="S753" s="176"/>
      <c r="T753" s="176"/>
      <c r="U753" s="176"/>
      <c r="V753" s="176"/>
      <c r="W753" s="176"/>
      <c r="X753" s="176"/>
      <c r="Y753" s="176"/>
      <c r="Z753" s="176"/>
      <c r="AA753" s="176"/>
    </row>
    <row r="754">
      <c r="A754" s="165" t="str">
        <f>iferror(VLOOKUP(P754,'DO NOT TOUCH Imported'!$A$1:$D$800,4,False),iferror(VLOOKUP(P754,'DO NOT TOUCH Imported'!$C$1:$D$800,2,False),"OOPS FIX ME"))</f>
        <v>JessicaZartler</v>
      </c>
      <c r="B754" s="165" t="s">
        <v>441</v>
      </c>
      <c r="C754" s="170" t="s">
        <v>1051</v>
      </c>
      <c r="D754" s="236" t="s">
        <v>437</v>
      </c>
      <c r="E754" s="239">
        <v>44302.0</v>
      </c>
      <c r="F754" s="170" t="s">
        <v>439</v>
      </c>
      <c r="G754" s="170">
        <v>1000.0</v>
      </c>
      <c r="H754" s="171">
        <v>100.0</v>
      </c>
      <c r="I754" s="171">
        <v>100.0</v>
      </c>
      <c r="J754" s="172">
        <f t="shared" si="45"/>
        <v>0.0010126618</v>
      </c>
      <c r="K754" s="173">
        <f t="shared" si="46"/>
        <v>1.21519416</v>
      </c>
      <c r="L754" s="174">
        <f t="shared" si="4"/>
        <v>4.313155762</v>
      </c>
      <c r="M754" s="175" t="str">
        <f t="shared" si="5"/>
        <v>JessicaZartler</v>
      </c>
      <c r="N754" s="176">
        <f>IFERROR(__xludf.DUMMYFUNCTION("""COMPUTED_VALUE"""),9.0)</f>
        <v>9</v>
      </c>
      <c r="O754" s="176"/>
      <c r="P754" s="165" t="s">
        <v>566</v>
      </c>
      <c r="Q754" s="165" t="s">
        <v>441</v>
      </c>
      <c r="R754" s="176"/>
      <c r="S754" s="176"/>
      <c r="T754" s="176"/>
      <c r="U754" s="176"/>
      <c r="V754" s="176"/>
      <c r="W754" s="176"/>
      <c r="X754" s="176"/>
      <c r="Y754" s="176"/>
      <c r="Z754" s="176"/>
      <c r="AA754" s="176"/>
    </row>
    <row r="755">
      <c r="A755" s="165" t="str">
        <f>iferror(VLOOKUP(P755,'DO NOT TOUCH Imported'!$A$1:$D$800,4,False),iferror(VLOOKUP(P755,'DO NOT TOUCH Imported'!$C$1:$D$800,2,False),"OOPS FIX ME"))</f>
        <v>JessicaZartler</v>
      </c>
      <c r="B755" s="165" t="s">
        <v>435</v>
      </c>
      <c r="C755" s="170" t="s">
        <v>900</v>
      </c>
      <c r="D755" s="236" t="s">
        <v>437</v>
      </c>
      <c r="E755" s="239">
        <v>44302.0</v>
      </c>
      <c r="F755" s="170" t="s">
        <v>439</v>
      </c>
      <c r="G755" s="170">
        <v>1000.0</v>
      </c>
      <c r="H755" s="171">
        <v>100.0</v>
      </c>
      <c r="I755" s="171">
        <v>100.0</v>
      </c>
      <c r="J755" s="172">
        <f t="shared" si="45"/>
        <v>0.0010126618</v>
      </c>
      <c r="K755" s="173">
        <f t="shared" si="46"/>
        <v>1.21519416</v>
      </c>
      <c r="L755" s="174">
        <f t="shared" si="4"/>
        <v>4.313155762</v>
      </c>
      <c r="M755" s="175" t="str">
        <f t="shared" si="5"/>
        <v>JessicaZartler</v>
      </c>
      <c r="N755" s="176">
        <f>IFERROR(__xludf.DUMMYFUNCTION("""COMPUTED_VALUE"""),10.0)</f>
        <v>10</v>
      </c>
      <c r="O755" s="176"/>
      <c r="P755" s="165" t="s">
        <v>566</v>
      </c>
      <c r="Q755" s="165" t="s">
        <v>435</v>
      </c>
      <c r="R755" s="176"/>
      <c r="S755" s="176"/>
      <c r="T755" s="176"/>
      <c r="U755" s="176"/>
      <c r="V755" s="176"/>
      <c r="W755" s="176"/>
      <c r="X755" s="176"/>
      <c r="Y755" s="176"/>
      <c r="Z755" s="176"/>
      <c r="AA755" s="176"/>
    </row>
    <row r="756">
      <c r="A756" s="165" t="str">
        <f>iferror(VLOOKUP(P756,'DO NOT TOUCH Imported'!$A$1:$D$800,4,False),iferror(VLOOKUP(P756,'DO NOT TOUCH Imported'!$C$1:$D$800,2,False),"OOPS FIX ME"))</f>
        <v>JessicaZartler</v>
      </c>
      <c r="B756" s="165" t="s">
        <v>490</v>
      </c>
      <c r="C756" s="170" t="s">
        <v>1170</v>
      </c>
      <c r="D756" s="236" t="s">
        <v>499</v>
      </c>
      <c r="E756" s="237">
        <v>44305.0</v>
      </c>
      <c r="F756" s="170" t="s">
        <v>503</v>
      </c>
      <c r="G756" s="170">
        <v>1000.0</v>
      </c>
      <c r="H756" s="171">
        <v>100.0</v>
      </c>
      <c r="I756" s="171">
        <v>100.0</v>
      </c>
      <c r="J756" s="172">
        <f t="shared" si="45"/>
        <v>0.0010126618</v>
      </c>
      <c r="K756" s="173">
        <f t="shared" si="46"/>
        <v>1.21519416</v>
      </c>
      <c r="L756" s="174">
        <f t="shared" si="4"/>
        <v>4.313155762</v>
      </c>
      <c r="M756" s="175" t="str">
        <f t="shared" si="5"/>
        <v>JessicaZartler</v>
      </c>
      <c r="N756" s="176">
        <f>IFERROR(__xludf.DUMMYFUNCTION("""COMPUTED_VALUE"""),11.0)</f>
        <v>11</v>
      </c>
      <c r="O756" s="176"/>
      <c r="P756" s="165" t="s">
        <v>566</v>
      </c>
      <c r="Q756" s="165" t="s">
        <v>490</v>
      </c>
      <c r="R756" s="176"/>
      <c r="S756" s="176"/>
      <c r="T756" s="176"/>
      <c r="U756" s="176"/>
      <c r="V756" s="176"/>
      <c r="W756" s="176"/>
      <c r="X756" s="176"/>
      <c r="Y756" s="176"/>
      <c r="Z756" s="176"/>
      <c r="AA756" s="176"/>
    </row>
    <row r="757">
      <c r="A757" s="165" t="str">
        <f>iferror(VLOOKUP(P757,'DO NOT TOUCH Imported'!$A$1:$D$800,4,False),iferror(VLOOKUP(P757,'DO NOT TOUCH Imported'!$C$1:$D$800,2,False),"OOPS FIX ME"))</f>
        <v>JessicaZartler</v>
      </c>
      <c r="B757" s="165" t="s">
        <v>441</v>
      </c>
      <c r="C757" s="170" t="s">
        <v>906</v>
      </c>
      <c r="D757" s="236" t="s">
        <v>437</v>
      </c>
      <c r="E757" s="239">
        <v>44309.0</v>
      </c>
      <c r="F757" s="170" t="s">
        <v>439</v>
      </c>
      <c r="G757" s="170">
        <v>1000.0</v>
      </c>
      <c r="H757" s="171">
        <v>100.0</v>
      </c>
      <c r="I757" s="171">
        <v>100.0</v>
      </c>
      <c r="J757" s="172">
        <f t="shared" si="45"/>
        <v>0.0010126618</v>
      </c>
      <c r="K757" s="173">
        <f t="shared" si="46"/>
        <v>1.21519416</v>
      </c>
      <c r="L757" s="174">
        <f t="shared" si="4"/>
        <v>4.313155762</v>
      </c>
      <c r="M757" s="175" t="str">
        <f t="shared" si="5"/>
        <v>JessicaZartler</v>
      </c>
      <c r="N757" s="176">
        <f>IFERROR(__xludf.DUMMYFUNCTION("""COMPUTED_VALUE"""),12.0)</f>
        <v>12</v>
      </c>
      <c r="O757" s="176"/>
      <c r="P757" s="165" t="s">
        <v>566</v>
      </c>
      <c r="Q757" s="165" t="s">
        <v>441</v>
      </c>
      <c r="R757" s="176"/>
      <c r="S757" s="176"/>
      <c r="T757" s="176"/>
      <c r="U757" s="176"/>
      <c r="V757" s="176"/>
      <c r="W757" s="176"/>
      <c r="X757" s="176"/>
      <c r="Y757" s="176"/>
      <c r="Z757" s="176"/>
      <c r="AA757" s="176"/>
    </row>
    <row r="758">
      <c r="A758" s="165" t="str">
        <f>iferror(VLOOKUP(P758,'DO NOT TOUCH Imported'!$A$1:$D$800,4,False),iferror(VLOOKUP(P758,'DO NOT TOUCH Imported'!$C$1:$D$800,2,False),"OOPS FIX ME"))</f>
        <v>JessicaZartler</v>
      </c>
      <c r="B758" s="165" t="s">
        <v>441</v>
      </c>
      <c r="C758" s="170" t="s">
        <v>1128</v>
      </c>
      <c r="D758" s="236" t="s">
        <v>437</v>
      </c>
      <c r="E758" s="239">
        <v>44309.0</v>
      </c>
      <c r="F758" s="170" t="s">
        <v>439</v>
      </c>
      <c r="G758" s="170">
        <v>1000.0</v>
      </c>
      <c r="H758" s="171">
        <v>100.0</v>
      </c>
      <c r="I758" s="171">
        <v>100.0</v>
      </c>
      <c r="J758" s="172">
        <f t="shared" si="45"/>
        <v>0.0010126618</v>
      </c>
      <c r="K758" s="173">
        <f t="shared" si="46"/>
        <v>1.21519416</v>
      </c>
      <c r="L758" s="174">
        <f t="shared" si="4"/>
        <v>4.313155762</v>
      </c>
      <c r="M758" s="175" t="str">
        <f t="shared" si="5"/>
        <v>JessicaZartler</v>
      </c>
      <c r="N758" s="176">
        <f>IFERROR(__xludf.DUMMYFUNCTION("""COMPUTED_VALUE"""),13.0)</f>
        <v>13</v>
      </c>
      <c r="O758" s="176"/>
      <c r="P758" s="165" t="s">
        <v>566</v>
      </c>
      <c r="Q758" s="165" t="s">
        <v>441</v>
      </c>
      <c r="R758" s="176"/>
      <c r="S758" s="176"/>
      <c r="T758" s="176"/>
      <c r="U758" s="176"/>
      <c r="V758" s="176"/>
      <c r="W758" s="176"/>
      <c r="X758" s="176"/>
      <c r="Y758" s="176"/>
      <c r="Z758" s="176"/>
      <c r="AA758" s="176"/>
    </row>
    <row r="759">
      <c r="A759" s="165" t="str">
        <f>iferror(VLOOKUP(P759,'DO NOT TOUCH Imported'!$A$1:$D$800,4,False),iferror(VLOOKUP(P759,'DO NOT TOUCH Imported'!$C$1:$D$800,2,False),"OOPS FIX ME"))</f>
        <v>JessicaZartler</v>
      </c>
      <c r="B759" s="165" t="s">
        <v>441</v>
      </c>
      <c r="C759" s="170" t="s">
        <v>902</v>
      </c>
      <c r="D759" s="236" t="s">
        <v>437</v>
      </c>
      <c r="E759" s="237">
        <v>44309.0</v>
      </c>
      <c r="F759" s="170" t="s">
        <v>439</v>
      </c>
      <c r="G759" s="170">
        <v>1000.0</v>
      </c>
      <c r="H759" s="171">
        <v>100.0</v>
      </c>
      <c r="I759" s="171">
        <v>100.0</v>
      </c>
      <c r="J759" s="172">
        <f t="shared" si="45"/>
        <v>0.0010126618</v>
      </c>
      <c r="K759" s="173">
        <f t="shared" si="46"/>
        <v>1.21519416</v>
      </c>
      <c r="L759" s="174">
        <f t="shared" si="4"/>
        <v>4.313155762</v>
      </c>
      <c r="M759" s="175" t="str">
        <f t="shared" si="5"/>
        <v>JessicaZartler</v>
      </c>
      <c r="N759" s="176">
        <f>IFERROR(__xludf.DUMMYFUNCTION("""COMPUTED_VALUE"""),14.0)</f>
        <v>14</v>
      </c>
      <c r="O759" s="176"/>
      <c r="P759" s="165" t="s">
        <v>566</v>
      </c>
      <c r="Q759" s="165" t="s">
        <v>441</v>
      </c>
      <c r="R759" s="176"/>
      <c r="S759" s="176"/>
      <c r="T759" s="176"/>
      <c r="U759" s="176"/>
      <c r="V759" s="176"/>
      <c r="W759" s="176"/>
      <c r="X759" s="176"/>
      <c r="Y759" s="176"/>
      <c r="Z759" s="176"/>
      <c r="AA759" s="176"/>
    </row>
    <row r="760">
      <c r="A760" s="165" t="str">
        <f>iferror(VLOOKUP(P760,'DO NOT TOUCH Imported'!$A$1:$D$800,4,False),iferror(VLOOKUP(P760,'DO NOT TOUCH Imported'!$C$1:$D$800,2,False),"OOPS FIX ME"))</f>
        <v>JessicaZartler</v>
      </c>
      <c r="B760" s="165" t="s">
        <v>67</v>
      </c>
      <c r="C760" s="170" t="s">
        <v>1081</v>
      </c>
      <c r="D760" s="236" t="s">
        <v>499</v>
      </c>
      <c r="E760" s="237">
        <v>44308.0</v>
      </c>
      <c r="F760" s="170" t="s">
        <v>503</v>
      </c>
      <c r="G760" s="170">
        <v>500.0</v>
      </c>
      <c r="H760" s="171">
        <v>100.0</v>
      </c>
      <c r="I760" s="171">
        <v>100.0</v>
      </c>
      <c r="J760" s="172">
        <f t="shared" si="45"/>
        <v>0.0009387847314</v>
      </c>
      <c r="K760" s="173">
        <f t="shared" si="46"/>
        <v>1.126541678</v>
      </c>
      <c r="L760" s="174">
        <f t="shared" si="4"/>
        <v>4.313155762</v>
      </c>
      <c r="M760" s="175" t="str">
        <f t="shared" si="5"/>
        <v>JessicaZartler</v>
      </c>
      <c r="N760" s="176">
        <f>IFERROR(__xludf.DUMMYFUNCTION("""COMPUTED_VALUE"""),15.0)</f>
        <v>15</v>
      </c>
      <c r="O760" s="176"/>
      <c r="P760" s="165" t="s">
        <v>566</v>
      </c>
      <c r="Q760" s="165" t="s">
        <v>67</v>
      </c>
      <c r="R760" s="176"/>
      <c r="S760" s="176"/>
      <c r="T760" s="176"/>
      <c r="U760" s="176"/>
      <c r="V760" s="176"/>
      <c r="W760" s="176"/>
      <c r="X760" s="176"/>
      <c r="Y760" s="176"/>
      <c r="Z760" s="176"/>
      <c r="AA760" s="176"/>
    </row>
    <row r="761">
      <c r="A761" s="165" t="str">
        <f>iferror(VLOOKUP(P761,'DO NOT TOUCH Imported'!$A$1:$D$800,4,False),iferror(VLOOKUP(P761,'DO NOT TOUCH Imported'!$C$1:$D$800,2,False),"OOPS FIX ME"))</f>
        <v>JessicaZartler</v>
      </c>
      <c r="B761" s="165" t="s">
        <v>45</v>
      </c>
      <c r="C761" s="170" t="s">
        <v>1171</v>
      </c>
      <c r="D761" s="236" t="s">
        <v>437</v>
      </c>
      <c r="E761" s="237">
        <v>44300.0</v>
      </c>
      <c r="F761" s="170" t="s">
        <v>439</v>
      </c>
      <c r="G761" s="170">
        <v>1000.0</v>
      </c>
      <c r="H761" s="171">
        <v>100.0</v>
      </c>
      <c r="I761" s="171">
        <v>80.0</v>
      </c>
      <c r="J761" s="172">
        <f t="shared" si="45"/>
        <v>0.0009269003455</v>
      </c>
      <c r="K761" s="173">
        <f t="shared" si="46"/>
        <v>1.112280415</v>
      </c>
      <c r="L761" s="174">
        <f t="shared" si="4"/>
        <v>4.313155762</v>
      </c>
      <c r="M761" s="175" t="str">
        <f t="shared" si="5"/>
        <v>JessicaZartler</v>
      </c>
      <c r="N761" s="176">
        <f>IFERROR(__xludf.DUMMYFUNCTION("""COMPUTED_VALUE"""),16.0)</f>
        <v>16</v>
      </c>
      <c r="O761" s="176"/>
      <c r="P761" s="165" t="s">
        <v>566</v>
      </c>
      <c r="Q761" s="165" t="s">
        <v>45</v>
      </c>
      <c r="R761" s="176"/>
      <c r="S761" s="176"/>
      <c r="T761" s="176"/>
      <c r="U761" s="176"/>
      <c r="V761" s="176"/>
      <c r="W761" s="176"/>
      <c r="X761" s="176"/>
      <c r="Y761" s="176"/>
      <c r="Z761" s="176"/>
      <c r="AA761" s="176"/>
    </row>
    <row r="762">
      <c r="A762" s="165" t="str">
        <f>iferror(VLOOKUP(P762,'DO NOT TOUCH Imported'!$A$1:$D$800,4,False),iferror(VLOOKUP(P762,'DO NOT TOUCH Imported'!$C$1:$D$800,2,False),"OOPS FIX ME"))</f>
        <v>JessicaZartler</v>
      </c>
      <c r="B762" s="165" t="s">
        <v>441</v>
      </c>
      <c r="C762" s="170" t="s">
        <v>1052</v>
      </c>
      <c r="D762" s="236" t="s">
        <v>437</v>
      </c>
      <c r="E762" s="237">
        <v>44302.0</v>
      </c>
      <c r="F762" s="170" t="s">
        <v>439</v>
      </c>
      <c r="G762" s="170">
        <v>1000.0</v>
      </c>
      <c r="H762" s="171">
        <v>100.0</v>
      </c>
      <c r="I762" s="171">
        <v>80.0</v>
      </c>
      <c r="J762" s="172">
        <f t="shared" si="45"/>
        <v>0.0009269003455</v>
      </c>
      <c r="K762" s="173">
        <f t="shared" si="46"/>
        <v>1.112280415</v>
      </c>
      <c r="L762" s="174">
        <f t="shared" si="4"/>
        <v>4.313155762</v>
      </c>
      <c r="M762" s="175" t="str">
        <f t="shared" si="5"/>
        <v>JessicaZartler</v>
      </c>
      <c r="N762" s="176">
        <f>IFERROR(__xludf.DUMMYFUNCTION("""COMPUTED_VALUE"""),17.0)</f>
        <v>17</v>
      </c>
      <c r="O762" s="176"/>
      <c r="P762" s="165" t="s">
        <v>566</v>
      </c>
      <c r="Q762" s="165" t="s">
        <v>441</v>
      </c>
      <c r="R762" s="176"/>
      <c r="S762" s="176"/>
      <c r="T762" s="176"/>
      <c r="U762" s="176"/>
      <c r="V762" s="176"/>
      <c r="W762" s="176"/>
      <c r="X762" s="176"/>
      <c r="Y762" s="176"/>
      <c r="Z762" s="176"/>
      <c r="AA762" s="176"/>
    </row>
    <row r="763">
      <c r="A763" s="165" t="str">
        <f>iferror(VLOOKUP(P763,'DO NOT TOUCH Imported'!$A$1:$D$800,4,False),iferror(VLOOKUP(P763,'DO NOT TOUCH Imported'!$C$1:$D$800,2,False),"OOPS FIX ME"))</f>
        <v>JessicaZartler</v>
      </c>
      <c r="B763" s="165" t="s">
        <v>441</v>
      </c>
      <c r="C763" s="170" t="s">
        <v>1172</v>
      </c>
      <c r="D763" s="236" t="s">
        <v>437</v>
      </c>
      <c r="E763" s="239">
        <v>44302.0</v>
      </c>
      <c r="F763" s="170" t="s">
        <v>439</v>
      </c>
      <c r="G763" s="170">
        <v>1000.0</v>
      </c>
      <c r="H763" s="171">
        <v>100.0</v>
      </c>
      <c r="I763" s="171">
        <v>80.0</v>
      </c>
      <c r="J763" s="172">
        <f t="shared" si="45"/>
        <v>0.0009269003455</v>
      </c>
      <c r="K763" s="173">
        <f t="shared" si="46"/>
        <v>1.112280415</v>
      </c>
      <c r="L763" s="174">
        <f t="shared" si="4"/>
        <v>4.313155762</v>
      </c>
      <c r="M763" s="175" t="str">
        <f t="shared" si="5"/>
        <v>JessicaZartler</v>
      </c>
      <c r="N763" s="176">
        <f>IFERROR(__xludf.DUMMYFUNCTION("""COMPUTED_VALUE"""),18.0)</f>
        <v>18</v>
      </c>
      <c r="O763" s="176"/>
      <c r="P763" s="165" t="s">
        <v>566</v>
      </c>
      <c r="Q763" s="165" t="s">
        <v>441</v>
      </c>
      <c r="R763" s="176"/>
      <c r="S763" s="176"/>
      <c r="T763" s="176"/>
      <c r="U763" s="176"/>
      <c r="V763" s="176"/>
      <c r="W763" s="176"/>
      <c r="X763" s="176"/>
      <c r="Y763" s="176"/>
      <c r="Z763" s="176"/>
      <c r="AA763" s="176"/>
    </row>
    <row r="764">
      <c r="A764" s="165" t="str">
        <f>iferror(VLOOKUP(P764,'DO NOT TOUCH Imported'!$A$1:$D$800,4,False),iferror(VLOOKUP(P764,'DO NOT TOUCH Imported'!$C$1:$D$800,2,False),"OOPS FIX ME"))</f>
        <v>JessicaZartler</v>
      </c>
      <c r="B764" s="165" t="s">
        <v>441</v>
      </c>
      <c r="C764" s="170" t="s">
        <v>1173</v>
      </c>
      <c r="D764" s="236" t="s">
        <v>437</v>
      </c>
      <c r="E764" s="237">
        <v>44309.0</v>
      </c>
      <c r="F764" s="170" t="s">
        <v>439</v>
      </c>
      <c r="G764" s="238">
        <v>1000.0</v>
      </c>
      <c r="H764" s="171">
        <v>100.0</v>
      </c>
      <c r="I764" s="171">
        <v>80.0</v>
      </c>
      <c r="J764" s="172">
        <f t="shared" si="45"/>
        <v>0.0009269003455</v>
      </c>
      <c r="K764" s="173">
        <f t="shared" si="46"/>
        <v>1.112280415</v>
      </c>
      <c r="L764" s="174">
        <f t="shared" si="4"/>
        <v>4.313155762</v>
      </c>
      <c r="M764" s="175" t="str">
        <f t="shared" si="5"/>
        <v>JessicaZartler</v>
      </c>
      <c r="N764" s="176">
        <f>IFERROR(__xludf.DUMMYFUNCTION("""COMPUTED_VALUE"""),19.0)</f>
        <v>19</v>
      </c>
      <c r="O764" s="176"/>
      <c r="P764" s="165" t="s">
        <v>566</v>
      </c>
      <c r="Q764" s="165" t="s">
        <v>441</v>
      </c>
      <c r="R764" s="176"/>
      <c r="S764" s="176"/>
      <c r="T764" s="176"/>
      <c r="U764" s="176"/>
      <c r="V764" s="176"/>
      <c r="W764" s="176"/>
      <c r="X764" s="176"/>
      <c r="Y764" s="176"/>
      <c r="Z764" s="176"/>
      <c r="AA764" s="176"/>
    </row>
    <row r="765">
      <c r="A765" s="165" t="str">
        <f>iferror(VLOOKUP(P765,'DO NOT TOUCH Imported'!$A$1:$D$800,4,False),iferror(VLOOKUP(P765,'DO NOT TOUCH Imported'!$C$1:$D$800,2,False),"OOPS FIX ME"))</f>
        <v>JessicaZartler</v>
      </c>
      <c r="B765" s="165" t="s">
        <v>768</v>
      </c>
      <c r="C765" s="170" t="s">
        <v>1047</v>
      </c>
      <c r="D765" s="236" t="s">
        <v>499</v>
      </c>
      <c r="E765" s="239">
        <v>44306.0</v>
      </c>
      <c r="F765" s="170" t="s">
        <v>503</v>
      </c>
      <c r="G765" s="170">
        <v>500.0</v>
      </c>
      <c r="H765" s="171">
        <v>100.0</v>
      </c>
      <c r="I765" s="171">
        <v>80.0</v>
      </c>
      <c r="J765" s="172">
        <f t="shared" si="45"/>
        <v>0.0008530232769</v>
      </c>
      <c r="K765" s="173">
        <f t="shared" si="46"/>
        <v>1.023627932</v>
      </c>
      <c r="L765" s="174">
        <f t="shared" si="4"/>
        <v>4.313155762</v>
      </c>
      <c r="M765" s="175" t="str">
        <f t="shared" si="5"/>
        <v>JessicaZartler</v>
      </c>
      <c r="N765" s="176">
        <f>IFERROR(__xludf.DUMMYFUNCTION("""COMPUTED_VALUE"""),20.0)</f>
        <v>20</v>
      </c>
      <c r="O765" s="176"/>
      <c r="P765" s="165" t="s">
        <v>566</v>
      </c>
      <c r="Q765" s="165" t="s">
        <v>768</v>
      </c>
      <c r="R765" s="176"/>
      <c r="S765" s="176"/>
      <c r="T765" s="176"/>
      <c r="U765" s="176"/>
      <c r="V765" s="176"/>
      <c r="W765" s="176"/>
      <c r="X765" s="176"/>
      <c r="Y765" s="176"/>
      <c r="Z765" s="176"/>
      <c r="AA765" s="176"/>
    </row>
    <row r="766">
      <c r="A766" s="165" t="str">
        <f>iferror(VLOOKUP(P766,'DO NOT TOUCH Imported'!$A$1:$D$800,4,False),iferror(VLOOKUP(P766,'DO NOT TOUCH Imported'!$C$1:$D$800,2,False),"OOPS FIX ME"))</f>
        <v>JessicaZartler</v>
      </c>
      <c r="B766" s="165" t="s">
        <v>440</v>
      </c>
      <c r="C766" s="170" t="s">
        <v>916</v>
      </c>
      <c r="D766" s="236" t="s">
        <v>437</v>
      </c>
      <c r="E766" s="239">
        <v>44300.0</v>
      </c>
      <c r="F766" s="170" t="s">
        <v>439</v>
      </c>
      <c r="G766" s="170">
        <v>1000.0</v>
      </c>
      <c r="H766" s="171">
        <v>60.0</v>
      </c>
      <c r="I766" s="171">
        <v>50.0</v>
      </c>
      <c r="J766" s="172">
        <f t="shared" si="45"/>
        <v>0.0006238180076</v>
      </c>
      <c r="K766" s="173">
        <f t="shared" si="46"/>
        <v>0.7485816091</v>
      </c>
      <c r="L766" s="174">
        <f t="shared" si="4"/>
        <v>4.313155762</v>
      </c>
      <c r="M766" s="175" t="str">
        <f t="shared" si="5"/>
        <v>JessicaZartler</v>
      </c>
      <c r="N766" s="176">
        <f>IFERROR(__xludf.DUMMYFUNCTION("""COMPUTED_VALUE"""),21.0)</f>
        <v>21</v>
      </c>
      <c r="O766" s="176"/>
      <c r="P766" s="165" t="s">
        <v>566</v>
      </c>
      <c r="Q766" s="165" t="s">
        <v>440</v>
      </c>
      <c r="R766" s="176"/>
      <c r="S766" s="176"/>
      <c r="T766" s="176"/>
      <c r="U766" s="176"/>
      <c r="V766" s="176"/>
      <c r="W766" s="176"/>
      <c r="X766" s="176"/>
      <c r="Y766" s="176"/>
      <c r="Z766" s="176"/>
      <c r="AA766" s="176"/>
    </row>
    <row r="767">
      <c r="A767" s="165" t="str">
        <f>iferror(VLOOKUP(P767,'DO NOT TOUCH Imported'!$A$1:$D$800,4,False),iferror(VLOOKUP(P767,'DO NOT TOUCH Imported'!$C$1:$D$800,2,False),"OOPS FIX ME"))</f>
        <v>JessicaZartler</v>
      </c>
      <c r="B767" s="165" t="s">
        <v>576</v>
      </c>
      <c r="C767" s="170" t="s">
        <v>919</v>
      </c>
      <c r="D767" s="236" t="s">
        <v>437</v>
      </c>
      <c r="E767" s="237">
        <v>44302.0</v>
      </c>
      <c r="F767" s="170" t="s">
        <v>439</v>
      </c>
      <c r="G767" s="170">
        <v>1000.0</v>
      </c>
      <c r="H767" s="171">
        <v>60.0</v>
      </c>
      <c r="I767" s="171">
        <v>50.0</v>
      </c>
      <c r="J767" s="172">
        <f t="shared" si="45"/>
        <v>0.0006238180076</v>
      </c>
      <c r="K767" s="173">
        <f t="shared" si="46"/>
        <v>0.7485816091</v>
      </c>
      <c r="L767" s="174">
        <f t="shared" si="4"/>
        <v>4.313155762</v>
      </c>
      <c r="M767" s="175" t="str">
        <f t="shared" si="5"/>
        <v>JessicaZartler</v>
      </c>
      <c r="N767" s="176">
        <f>IFERROR(__xludf.DUMMYFUNCTION("""COMPUTED_VALUE"""),22.0)</f>
        <v>22</v>
      </c>
      <c r="O767" s="176"/>
      <c r="P767" s="165" t="s">
        <v>566</v>
      </c>
      <c r="Q767" s="165" t="s">
        <v>576</v>
      </c>
      <c r="R767" s="176"/>
      <c r="S767" s="176"/>
      <c r="T767" s="176"/>
      <c r="U767" s="176"/>
      <c r="V767" s="176"/>
      <c r="W767" s="176"/>
      <c r="X767" s="176"/>
      <c r="Y767" s="176"/>
      <c r="Z767" s="176"/>
      <c r="AA767" s="176"/>
    </row>
    <row r="768">
      <c r="A768" s="165" t="str">
        <f>iferror(VLOOKUP(P768,'DO NOT TOUCH Imported'!$A$1:$D$800,4,False),iferror(VLOOKUP(P768,'DO NOT TOUCH Imported'!$C$1:$D$800,2,False),"OOPS FIX ME"))</f>
        <v>JessicaZartler</v>
      </c>
      <c r="B768" s="165" t="s">
        <v>441</v>
      </c>
      <c r="C768" s="170" t="s">
        <v>923</v>
      </c>
      <c r="D768" s="236" t="s">
        <v>437</v>
      </c>
      <c r="E768" s="239">
        <v>44309.0</v>
      </c>
      <c r="F768" s="170" t="s">
        <v>439</v>
      </c>
      <c r="G768" s="170">
        <v>1000.0</v>
      </c>
      <c r="H768" s="171">
        <v>60.0</v>
      </c>
      <c r="I768" s="171">
        <v>50.0</v>
      </c>
      <c r="J768" s="172">
        <f t="shared" si="45"/>
        <v>0.0006238180076</v>
      </c>
      <c r="K768" s="173">
        <f t="shared" si="46"/>
        <v>0.7485816091</v>
      </c>
      <c r="L768" s="174">
        <f t="shared" si="4"/>
        <v>4.313155762</v>
      </c>
      <c r="M768" s="175" t="str">
        <f t="shared" si="5"/>
        <v>JessicaZartler</v>
      </c>
      <c r="N768" s="176">
        <f>IFERROR(__xludf.DUMMYFUNCTION("""COMPUTED_VALUE"""),23.0)</f>
        <v>23</v>
      </c>
      <c r="O768" s="176"/>
      <c r="P768" s="165" t="s">
        <v>566</v>
      </c>
      <c r="Q768" s="165" t="s">
        <v>441</v>
      </c>
      <c r="R768" s="176"/>
      <c r="S768" s="176"/>
      <c r="T768" s="176"/>
      <c r="U768" s="176"/>
      <c r="V768" s="176"/>
      <c r="W768" s="176"/>
      <c r="X768" s="176"/>
      <c r="Y768" s="176"/>
      <c r="Z768" s="176"/>
      <c r="AA768" s="176"/>
    </row>
    <row r="769">
      <c r="A769" s="165" t="str">
        <f>iferror(VLOOKUP(P769,'DO NOT TOUCH Imported'!$A$1:$D$800,4,False),iferror(VLOOKUP(P769,'DO NOT TOUCH Imported'!$C$1:$D$800,2,False),"OOPS FIX ME"))</f>
        <v>heater03</v>
      </c>
      <c r="B769" s="165" t="s">
        <v>441</v>
      </c>
      <c r="C769" s="170" t="s">
        <v>1103</v>
      </c>
      <c r="D769" s="236" t="s">
        <v>437</v>
      </c>
      <c r="E769" s="237">
        <v>44309.0</v>
      </c>
      <c r="F769" s="170" t="s">
        <v>439</v>
      </c>
      <c r="G769" s="170">
        <v>2000.0</v>
      </c>
      <c r="H769" s="171">
        <v>100.0</v>
      </c>
      <c r="I769" s="171">
        <v>200.0</v>
      </c>
      <c r="J769" s="172">
        <f t="shared" si="45"/>
        <v>0.00158922321</v>
      </c>
      <c r="K769" s="173">
        <f t="shared" si="46"/>
        <v>1.907067852</v>
      </c>
      <c r="L769" s="174">
        <f t="shared" si="4"/>
        <v>4.305432949</v>
      </c>
      <c r="M769" s="175" t="str">
        <f t="shared" si="5"/>
        <v>heater03</v>
      </c>
      <c r="N769" s="176">
        <f>IFERROR(__xludf.DUMMYFUNCTION("""COMPUTED_VALUE"""),1.0)</f>
        <v>1</v>
      </c>
      <c r="O769" s="176"/>
      <c r="P769" s="165" t="s">
        <v>586</v>
      </c>
      <c r="Q769" s="165" t="s">
        <v>441</v>
      </c>
      <c r="R769" s="176"/>
      <c r="S769" s="176"/>
      <c r="T769" s="176"/>
      <c r="U769" s="176"/>
      <c r="V769" s="176"/>
      <c r="W769" s="176"/>
      <c r="X769" s="176"/>
      <c r="Y769" s="176"/>
      <c r="Z769" s="176"/>
      <c r="AA769" s="176"/>
    </row>
    <row r="770">
      <c r="A770" s="165" t="str">
        <f>iferror(VLOOKUP(P770,'DO NOT TOUCH Imported'!$A$1:$D$800,4,False),iferror(VLOOKUP(P770,'DO NOT TOUCH Imported'!$C$1:$D$800,2,False),"OOPS FIX ME"))</f>
        <v>heater03</v>
      </c>
      <c r="B770" s="165" t="s">
        <v>596</v>
      </c>
      <c r="C770" s="170" t="s">
        <v>937</v>
      </c>
      <c r="D770" s="236" t="s">
        <v>437</v>
      </c>
      <c r="E770" s="237">
        <v>44309.0</v>
      </c>
      <c r="F770" s="170" t="s">
        <v>439</v>
      </c>
      <c r="G770" s="170">
        <v>2000.0</v>
      </c>
      <c r="H770" s="171">
        <v>100.0</v>
      </c>
      <c r="I770" s="171">
        <v>150.0</v>
      </c>
      <c r="J770" s="172">
        <f t="shared" si="45"/>
        <v>0.001374819573</v>
      </c>
      <c r="K770" s="173">
        <f t="shared" si="46"/>
        <v>1.649783488</v>
      </c>
      <c r="L770" s="174">
        <f t="shared" si="4"/>
        <v>4.305432949</v>
      </c>
      <c r="M770" s="175" t="str">
        <f t="shared" si="5"/>
        <v>heater03</v>
      </c>
      <c r="N770" s="176">
        <f>IFERROR(__xludf.DUMMYFUNCTION("""COMPUTED_VALUE"""),2.0)</f>
        <v>2</v>
      </c>
      <c r="O770" s="176"/>
      <c r="P770" s="165" t="s">
        <v>586</v>
      </c>
      <c r="Q770" s="165" t="s">
        <v>596</v>
      </c>
      <c r="R770" s="176"/>
      <c r="S770" s="176"/>
      <c r="T770" s="176"/>
      <c r="U770" s="176"/>
      <c r="V770" s="176"/>
      <c r="W770" s="176"/>
      <c r="X770" s="176"/>
      <c r="Y770" s="176"/>
      <c r="Z770" s="176"/>
      <c r="AA770" s="176"/>
    </row>
    <row r="771">
      <c r="A771" s="165" t="str">
        <f>iferror(VLOOKUP(P771,'DO NOT TOUCH Imported'!$A$1:$D$800,4,False),iferror(VLOOKUP(P771,'DO NOT TOUCH Imported'!$C$1:$D$800,2,False),"OOPS FIX ME"))</f>
        <v>heater03</v>
      </c>
      <c r="B771" s="165" t="s">
        <v>441</v>
      </c>
      <c r="C771" s="170" t="s">
        <v>923</v>
      </c>
      <c r="D771" s="236" t="s">
        <v>437</v>
      </c>
      <c r="E771" s="239">
        <v>44309.0</v>
      </c>
      <c r="F771" s="170" t="s">
        <v>439</v>
      </c>
      <c r="G771" s="170">
        <v>1000.0</v>
      </c>
      <c r="H771" s="171">
        <v>60.0</v>
      </c>
      <c r="I771" s="171">
        <v>50.0</v>
      </c>
      <c r="J771" s="172">
        <f t="shared" si="45"/>
        <v>0.0006238180076</v>
      </c>
      <c r="K771" s="173">
        <f t="shared" si="46"/>
        <v>0.7485816091</v>
      </c>
      <c r="L771" s="174">
        <f t="shared" si="4"/>
        <v>4.305432949</v>
      </c>
      <c r="M771" s="175" t="str">
        <f t="shared" si="5"/>
        <v>heater03</v>
      </c>
      <c r="N771" s="176">
        <f>IFERROR(__xludf.DUMMYFUNCTION("""COMPUTED_VALUE"""),3.0)</f>
        <v>3</v>
      </c>
      <c r="O771" s="176"/>
      <c r="P771" s="165" t="s">
        <v>586</v>
      </c>
      <c r="Q771" s="165" t="s">
        <v>441</v>
      </c>
      <c r="R771" s="176"/>
      <c r="S771" s="176"/>
      <c r="T771" s="176"/>
      <c r="U771" s="176"/>
      <c r="V771" s="176"/>
      <c r="W771" s="176"/>
      <c r="X771" s="176"/>
      <c r="Y771" s="176"/>
      <c r="Z771" s="176"/>
      <c r="AA771" s="176"/>
    </row>
    <row r="772">
      <c r="A772" s="165" t="str">
        <f>iferror(VLOOKUP(P772,'DO NOT TOUCH Imported'!$A$1:$D$800,4,False),iferror(VLOOKUP(P772,'DO NOT TOUCH Imported'!$C$1:$D$800,2,False),"OOPS FIX ME"))</f>
        <v>aidanbrodieo</v>
      </c>
      <c r="B772" s="165" t="s">
        <v>435</v>
      </c>
      <c r="C772" s="170" t="s">
        <v>1174</v>
      </c>
      <c r="D772" s="236" t="s">
        <v>437</v>
      </c>
      <c r="E772" s="237">
        <v>44306.0</v>
      </c>
      <c r="F772" s="170" t="s">
        <v>439</v>
      </c>
      <c r="G772" s="170">
        <v>1000.0</v>
      </c>
      <c r="H772" s="171">
        <v>150.0</v>
      </c>
      <c r="I772" s="171">
        <v>80.0</v>
      </c>
      <c r="J772" s="172">
        <f t="shared" si="45"/>
        <v>0.001144950541</v>
      </c>
      <c r="K772" s="173">
        <f t="shared" si="46"/>
        <v>1.373940649</v>
      </c>
      <c r="L772" s="174">
        <f t="shared" si="4"/>
        <v>3.981633933</v>
      </c>
      <c r="M772" s="175" t="str">
        <f t="shared" si="5"/>
        <v>aidanbrodieo</v>
      </c>
      <c r="N772" s="176">
        <f>IFERROR(__xludf.DUMMYFUNCTION("""COMPUTED_VALUE"""),1.0)</f>
        <v>1</v>
      </c>
      <c r="O772" s="176"/>
      <c r="P772" s="165" t="s">
        <v>829</v>
      </c>
      <c r="Q772" s="165" t="s">
        <v>435</v>
      </c>
      <c r="R772" s="176"/>
      <c r="S772" s="176"/>
      <c r="T772" s="176"/>
      <c r="U772" s="176"/>
      <c r="V772" s="176"/>
      <c r="W772" s="176"/>
      <c r="X772" s="176"/>
      <c r="Y772" s="176"/>
      <c r="Z772" s="176"/>
      <c r="AA772" s="176"/>
    </row>
    <row r="773">
      <c r="A773" s="165" t="str">
        <f>iferror(VLOOKUP(P773,'DO NOT TOUCH Imported'!$A$1:$D$800,4,False),iferror(VLOOKUP(P773,'DO NOT TOUCH Imported'!$C$1:$D$800,2,False),"OOPS FIX ME"))</f>
        <v>aidanbrodieo</v>
      </c>
      <c r="B773" s="165" t="s">
        <v>441</v>
      </c>
      <c r="C773" s="170" t="s">
        <v>952</v>
      </c>
      <c r="D773" s="236" t="s">
        <v>437</v>
      </c>
      <c r="E773" s="237">
        <v>44309.0</v>
      </c>
      <c r="F773" s="170" t="s">
        <v>439</v>
      </c>
      <c r="G773" s="170">
        <v>1000.0</v>
      </c>
      <c r="H773" s="171">
        <v>100.0</v>
      </c>
      <c r="I773" s="171">
        <v>100.0</v>
      </c>
      <c r="J773" s="172">
        <f t="shared" si="45"/>
        <v>0.0010126618</v>
      </c>
      <c r="K773" s="173">
        <f t="shared" si="46"/>
        <v>1.21519416</v>
      </c>
      <c r="L773" s="174">
        <f t="shared" si="4"/>
        <v>3.981633933</v>
      </c>
      <c r="M773" s="175" t="str">
        <f t="shared" si="5"/>
        <v>aidanbrodieo</v>
      </c>
      <c r="N773" s="176">
        <f>IFERROR(__xludf.DUMMYFUNCTION("""COMPUTED_VALUE"""),2.0)</f>
        <v>2</v>
      </c>
      <c r="O773" s="176"/>
      <c r="P773" s="165" t="s">
        <v>829</v>
      </c>
      <c r="Q773" s="165" t="s">
        <v>441</v>
      </c>
      <c r="R773" s="176"/>
      <c r="S773" s="176"/>
      <c r="T773" s="176"/>
      <c r="U773" s="176"/>
      <c r="V773" s="176"/>
      <c r="W773" s="176"/>
      <c r="X773" s="176"/>
      <c r="Y773" s="176"/>
      <c r="Z773" s="176"/>
      <c r="AA773" s="176"/>
    </row>
    <row r="774">
      <c r="A774" s="165" t="str">
        <f>iferror(VLOOKUP(P774,'DO NOT TOUCH Imported'!$A$1:$D$800,4,False),iferror(VLOOKUP(P774,'DO NOT TOUCH Imported'!$C$1:$D$800,2,False),"OOPS FIX ME"))</f>
        <v>aidanbrodieo</v>
      </c>
      <c r="B774" s="165" t="s">
        <v>486</v>
      </c>
      <c r="C774" s="170" t="s">
        <v>924</v>
      </c>
      <c r="D774" s="236" t="s">
        <v>437</v>
      </c>
      <c r="E774" s="237">
        <v>44299.0</v>
      </c>
      <c r="F774" s="170" t="s">
        <v>439</v>
      </c>
      <c r="G774" s="170">
        <v>1000.0</v>
      </c>
      <c r="H774" s="171">
        <v>50.0</v>
      </c>
      <c r="I774" s="171">
        <v>50.0</v>
      </c>
      <c r="J774" s="172">
        <f t="shared" si="45"/>
        <v>0.0005802079686</v>
      </c>
      <c r="K774" s="173">
        <f t="shared" si="46"/>
        <v>0.6962495623</v>
      </c>
      <c r="L774" s="174">
        <f t="shared" si="4"/>
        <v>3.981633933</v>
      </c>
      <c r="M774" s="175" t="str">
        <f t="shared" si="5"/>
        <v>aidanbrodieo</v>
      </c>
      <c r="N774" s="176">
        <f>IFERROR(__xludf.DUMMYFUNCTION("""COMPUTED_VALUE"""),3.0)</f>
        <v>3</v>
      </c>
      <c r="O774" s="176"/>
      <c r="P774" s="165" t="s">
        <v>829</v>
      </c>
      <c r="Q774" s="165" t="s">
        <v>486</v>
      </c>
      <c r="R774" s="176"/>
      <c r="S774" s="176"/>
      <c r="T774" s="176"/>
      <c r="U774" s="176"/>
      <c r="V774" s="176"/>
      <c r="W774" s="176"/>
      <c r="X774" s="176"/>
      <c r="Y774" s="176"/>
      <c r="Z774" s="176"/>
      <c r="AA774" s="176"/>
    </row>
    <row r="775">
      <c r="A775" s="165" t="str">
        <f>iferror(VLOOKUP(P775,'DO NOT TOUCH Imported'!$A$1:$D$800,4,False),iferror(VLOOKUP(P775,'DO NOT TOUCH Imported'!$C$1:$D$800,2,False),"OOPS FIX ME"))</f>
        <v>aidanbrodieo</v>
      </c>
      <c r="B775" s="165" t="s">
        <v>10</v>
      </c>
      <c r="C775" s="170" t="s">
        <v>500</v>
      </c>
      <c r="D775" s="236" t="s">
        <v>495</v>
      </c>
      <c r="E775" s="239">
        <v>44302.0</v>
      </c>
      <c r="F775" s="170" t="s">
        <v>496</v>
      </c>
      <c r="G775" s="170">
        <v>500.0</v>
      </c>
      <c r="H775" s="171">
        <v>25.0</v>
      </c>
      <c r="I775" s="171">
        <v>25.0</v>
      </c>
      <c r="J775" s="172">
        <f t="shared" si="45"/>
        <v>0.0002901039843</v>
      </c>
      <c r="K775" s="173">
        <f t="shared" si="46"/>
        <v>0.3481247811</v>
      </c>
      <c r="L775" s="174">
        <f t="shared" si="4"/>
        <v>3.981633933</v>
      </c>
      <c r="M775" s="175" t="str">
        <f t="shared" si="5"/>
        <v>aidanbrodieo</v>
      </c>
      <c r="N775" s="176">
        <f>IFERROR(__xludf.DUMMYFUNCTION("""COMPUTED_VALUE"""),4.0)</f>
        <v>4</v>
      </c>
      <c r="O775" s="176"/>
      <c r="P775" s="165" t="s">
        <v>95</v>
      </c>
      <c r="Q775" s="165" t="s">
        <v>10</v>
      </c>
      <c r="R775" s="176"/>
      <c r="S775" s="176"/>
      <c r="T775" s="176"/>
      <c r="U775" s="176"/>
      <c r="V775" s="176"/>
      <c r="W775" s="176"/>
      <c r="X775" s="176"/>
      <c r="Y775" s="176"/>
      <c r="Z775" s="176"/>
      <c r="AA775" s="176"/>
    </row>
    <row r="776">
      <c r="A776" s="165" t="str">
        <f>iferror(VLOOKUP(P776,'DO NOT TOUCH Imported'!$A$1:$D$800,4,False),iferror(VLOOKUP(P776,'DO NOT TOUCH Imported'!$C$1:$D$800,2,False),"OOPS FIX ME"))</f>
        <v>aidanbrodieo</v>
      </c>
      <c r="B776" s="165" t="s">
        <v>10</v>
      </c>
      <c r="C776" s="170" t="s">
        <v>500</v>
      </c>
      <c r="D776" s="236" t="s">
        <v>495</v>
      </c>
      <c r="E776" s="239">
        <v>44309.0</v>
      </c>
      <c r="F776" s="170" t="s">
        <v>496</v>
      </c>
      <c r="G776" s="170">
        <v>500.0</v>
      </c>
      <c r="H776" s="171">
        <v>25.0</v>
      </c>
      <c r="I776" s="171">
        <v>25.0</v>
      </c>
      <c r="J776" s="172">
        <f t="shared" si="45"/>
        <v>0.0002901039843</v>
      </c>
      <c r="K776" s="173">
        <f t="shared" si="46"/>
        <v>0.3481247811</v>
      </c>
      <c r="L776" s="174">
        <f t="shared" si="4"/>
        <v>3.981633933</v>
      </c>
      <c r="M776" s="175" t="str">
        <f t="shared" si="5"/>
        <v>aidanbrodieo</v>
      </c>
      <c r="N776" s="176">
        <f>IFERROR(__xludf.DUMMYFUNCTION("""COMPUTED_VALUE"""),5.0)</f>
        <v>5</v>
      </c>
      <c r="O776" s="176"/>
      <c r="P776" s="165" t="s">
        <v>95</v>
      </c>
      <c r="Q776" s="165" t="s">
        <v>10</v>
      </c>
      <c r="R776" s="176"/>
      <c r="S776" s="176"/>
      <c r="T776" s="176"/>
      <c r="U776" s="176"/>
      <c r="V776" s="176"/>
      <c r="W776" s="176"/>
      <c r="X776" s="176"/>
      <c r="Y776" s="176"/>
      <c r="Z776" s="176"/>
      <c r="AA776" s="176"/>
    </row>
    <row r="777">
      <c r="A777" s="185" t="str">
        <f>iferror(VLOOKUP(P777,'DO NOT TOUCH Imported'!$A$1:$D$800,4,False),iferror(VLOOKUP(P777,'DO NOT TOUCH Imported'!$C$1:$D$800,2,False),"OOPS FIX ME"))</f>
        <v>fabimol</v>
      </c>
      <c r="B777" s="185" t="s">
        <v>534</v>
      </c>
      <c r="C777" s="210" t="s">
        <v>655</v>
      </c>
      <c r="D777" s="187"/>
      <c r="E777" s="188"/>
      <c r="F777" s="189"/>
      <c r="G777" s="190"/>
      <c r="H777" s="190"/>
      <c r="I777" s="190"/>
      <c r="J777" s="172">
        <f>(H777/$H$2+I777/$I$2)/2</f>
        <v>0</v>
      </c>
      <c r="K777" s="192">
        <f>25.972*-0.85</f>
        <v>-22.0762</v>
      </c>
      <c r="L777" s="193">
        <f t="shared" si="4"/>
        <v>3.895521196</v>
      </c>
      <c r="M777" s="194" t="str">
        <f t="shared" si="5"/>
        <v>fabimol</v>
      </c>
      <c r="N777" s="195">
        <f>IFERROR(__xludf.DUMMYFUNCTION("""COMPUTED_VALUE"""),1.0)</f>
        <v>1</v>
      </c>
      <c r="O777" s="195"/>
      <c r="P777" s="211" t="s">
        <v>61</v>
      </c>
      <c r="Q777" s="185" t="s">
        <v>534</v>
      </c>
      <c r="R777" s="195">
        <v>15.387070331364484</v>
      </c>
      <c r="S777" s="195"/>
      <c r="T777" s="195"/>
      <c r="U777" s="195"/>
      <c r="V777" s="195"/>
      <c r="W777" s="195"/>
      <c r="X777" s="195"/>
      <c r="Y777" s="195"/>
      <c r="Z777" s="195"/>
      <c r="AA777" s="176"/>
    </row>
    <row r="778">
      <c r="A778" s="165" t="str">
        <f>iferror(VLOOKUP(P778,'DO NOT TOUCH Imported'!$A$1:$D$800,4,False),iferror(VLOOKUP(P778,'DO NOT TOUCH Imported'!$C$1:$D$800,2,False),"OOPS FIX ME"))</f>
        <v>fabimol</v>
      </c>
      <c r="B778" s="165" t="s">
        <v>519</v>
      </c>
      <c r="C778" s="170" t="s">
        <v>1020</v>
      </c>
      <c r="D778" s="236" t="s">
        <v>495</v>
      </c>
      <c r="E778" s="237">
        <v>44300.0</v>
      </c>
      <c r="F778" s="170" t="s">
        <v>499</v>
      </c>
      <c r="G778" s="170">
        <v>50000.0</v>
      </c>
      <c r="H778" s="171">
        <v>200.0</v>
      </c>
      <c r="I778" s="171">
        <v>150.0</v>
      </c>
      <c r="J778" s="172">
        <f t="shared" ref="J778:J804" si="47">(G778/$G$2+H778/$H$2+I778/$I$2)/3</f>
        <v>0.008903118545</v>
      </c>
      <c r="K778" s="173">
        <f t="shared" ref="K778:K804" si="48">J778*$J$1</f>
        <v>10.68374225</v>
      </c>
      <c r="L778" s="174">
        <f t="shared" si="4"/>
        <v>3.895521196</v>
      </c>
      <c r="M778" s="175" t="str">
        <f t="shared" si="5"/>
        <v>fabimol</v>
      </c>
      <c r="N778" s="176">
        <f>IFERROR(__xludf.DUMMYFUNCTION("""COMPUTED_VALUE"""),2.0)</f>
        <v>2</v>
      </c>
      <c r="O778" s="176"/>
      <c r="P778" s="165" t="s">
        <v>61</v>
      </c>
      <c r="Q778" s="165" t="s">
        <v>519</v>
      </c>
      <c r="R778" s="176"/>
      <c r="S778" s="176"/>
      <c r="T778" s="176"/>
      <c r="U778" s="176"/>
      <c r="V778" s="176"/>
      <c r="W778" s="176"/>
      <c r="X778" s="176"/>
      <c r="Y778" s="176"/>
      <c r="Z778" s="176"/>
      <c r="AA778" s="176"/>
    </row>
    <row r="779">
      <c r="A779" s="165" t="str">
        <f>iferror(VLOOKUP(P779,'DO NOT TOUCH Imported'!$A$1:$D$800,4,False),iferror(VLOOKUP(P779,'DO NOT TOUCH Imported'!$C$1:$D$800,2,False),"OOPS FIX ME"))</f>
        <v>fabimol</v>
      </c>
      <c r="B779" s="165" t="s">
        <v>1175</v>
      </c>
      <c r="C779" s="170" t="s">
        <v>1176</v>
      </c>
      <c r="D779" s="236" t="s">
        <v>495</v>
      </c>
      <c r="E779" s="237">
        <v>44300.0</v>
      </c>
      <c r="F779" s="170" t="s">
        <v>627</v>
      </c>
      <c r="G779" s="170">
        <v>12000.0</v>
      </c>
      <c r="H779" s="171">
        <v>300.0</v>
      </c>
      <c r="I779" s="171">
        <v>300.0</v>
      </c>
      <c r="J779" s="172">
        <f t="shared" si="47"/>
        <v>0.004367772634</v>
      </c>
      <c r="K779" s="173">
        <f t="shared" si="48"/>
        <v>5.241327161</v>
      </c>
      <c r="L779" s="174">
        <f t="shared" si="4"/>
        <v>3.895521196</v>
      </c>
      <c r="M779" s="175" t="str">
        <f t="shared" si="5"/>
        <v>fabimol</v>
      </c>
      <c r="N779" s="176">
        <f>IFERROR(__xludf.DUMMYFUNCTION("""COMPUTED_VALUE"""),3.0)</f>
        <v>3</v>
      </c>
      <c r="O779" s="176"/>
      <c r="P779" s="165" t="s">
        <v>61</v>
      </c>
      <c r="Q779" s="165" t="s">
        <v>1175</v>
      </c>
      <c r="R779" s="176"/>
      <c r="S779" s="176"/>
      <c r="T779" s="176"/>
      <c r="U779" s="176"/>
      <c r="V779" s="176"/>
      <c r="W779" s="176"/>
      <c r="X779" s="176"/>
      <c r="Y779" s="176"/>
      <c r="Z779" s="176"/>
      <c r="AA779" s="176"/>
    </row>
    <row r="780">
      <c r="A780" s="165" t="str">
        <f>iferror(VLOOKUP(P780,'DO NOT TOUCH Imported'!$A$1:$D$800,4,False),iferror(VLOOKUP(P780,'DO NOT TOUCH Imported'!$C$1:$D$800,2,False),"OOPS FIX ME"))</f>
        <v>fabimol</v>
      </c>
      <c r="B780" s="165" t="s">
        <v>1175</v>
      </c>
      <c r="C780" s="170" t="s">
        <v>1177</v>
      </c>
      <c r="D780" s="236" t="s">
        <v>495</v>
      </c>
      <c r="E780" s="237">
        <v>44300.0</v>
      </c>
      <c r="F780" s="170" t="s">
        <v>627</v>
      </c>
      <c r="G780" s="170">
        <v>12000.0</v>
      </c>
      <c r="H780" s="171">
        <v>200.0</v>
      </c>
      <c r="I780" s="171">
        <v>300.0</v>
      </c>
      <c r="J780" s="172">
        <f t="shared" si="47"/>
        <v>0.003931672244</v>
      </c>
      <c r="K780" s="173">
        <f t="shared" si="48"/>
        <v>4.718006692</v>
      </c>
      <c r="L780" s="174">
        <f t="shared" si="4"/>
        <v>3.895521196</v>
      </c>
      <c r="M780" s="175" t="str">
        <f t="shared" si="5"/>
        <v>fabimol</v>
      </c>
      <c r="N780" s="176">
        <f>IFERROR(__xludf.DUMMYFUNCTION("""COMPUTED_VALUE"""),4.0)</f>
        <v>4</v>
      </c>
      <c r="O780" s="176"/>
      <c r="P780" s="165" t="s">
        <v>61</v>
      </c>
      <c r="Q780" s="165" t="s">
        <v>1175</v>
      </c>
      <c r="R780" s="176"/>
      <c r="S780" s="176"/>
      <c r="T780" s="176"/>
      <c r="U780" s="176"/>
      <c r="V780" s="176"/>
      <c r="W780" s="176"/>
      <c r="X780" s="176"/>
      <c r="Y780" s="176"/>
      <c r="Z780" s="176"/>
      <c r="AA780" s="176"/>
    </row>
    <row r="781">
      <c r="A781" s="165" t="str">
        <f>iferror(VLOOKUP(P781,'DO NOT TOUCH Imported'!$A$1:$D$800,4,False),iferror(VLOOKUP(P781,'DO NOT TOUCH Imported'!$C$1:$D$800,2,False),"OOPS FIX ME"))</f>
        <v>fabimol</v>
      </c>
      <c r="B781" s="165" t="s">
        <v>483</v>
      </c>
      <c r="C781" s="170" t="s">
        <v>1027</v>
      </c>
      <c r="D781" s="236" t="s">
        <v>437</v>
      </c>
      <c r="E781" s="237">
        <v>44301.0</v>
      </c>
      <c r="F781" s="170" t="s">
        <v>439</v>
      </c>
      <c r="G781" s="170">
        <v>5000.0</v>
      </c>
      <c r="H781" s="171">
        <v>100.0</v>
      </c>
      <c r="I781" s="171">
        <v>150.0</v>
      </c>
      <c r="J781" s="172">
        <f t="shared" si="47"/>
        <v>0.001818081985</v>
      </c>
      <c r="K781" s="173">
        <f t="shared" si="48"/>
        <v>2.181698382</v>
      </c>
      <c r="L781" s="174">
        <f t="shared" si="4"/>
        <v>3.895521196</v>
      </c>
      <c r="M781" s="175" t="str">
        <f t="shared" si="5"/>
        <v>fabimol</v>
      </c>
      <c r="N781" s="176">
        <f>IFERROR(__xludf.DUMMYFUNCTION("""COMPUTED_VALUE"""),5.0)</f>
        <v>5</v>
      </c>
      <c r="O781" s="176"/>
      <c r="P781" s="165" t="s">
        <v>828</v>
      </c>
      <c r="Q781" s="165" t="s">
        <v>483</v>
      </c>
      <c r="R781" s="176"/>
      <c r="S781" s="176"/>
      <c r="T781" s="176"/>
      <c r="U781" s="176"/>
      <c r="V781" s="176"/>
      <c r="W781" s="176"/>
      <c r="X781" s="176"/>
      <c r="Y781" s="176"/>
      <c r="Z781" s="176"/>
      <c r="AA781" s="176"/>
    </row>
    <row r="782">
      <c r="A782" s="165" t="str">
        <f>iferror(VLOOKUP(P782,'DO NOT TOUCH Imported'!$A$1:$D$800,4,False),iferror(VLOOKUP(P782,'DO NOT TOUCH Imported'!$C$1:$D$800,2,False),"OOPS FIX ME"))</f>
        <v>fabimol</v>
      </c>
      <c r="B782" s="165" t="s">
        <v>10</v>
      </c>
      <c r="C782" s="170" t="s">
        <v>936</v>
      </c>
      <c r="D782" s="236" t="s">
        <v>495</v>
      </c>
      <c r="E782" s="239">
        <v>44309.0</v>
      </c>
      <c r="F782" s="170" t="s">
        <v>496</v>
      </c>
      <c r="G782" s="170">
        <v>2000.0</v>
      </c>
      <c r="H782" s="171">
        <v>100.0</v>
      </c>
      <c r="I782" s="171">
        <v>150.0</v>
      </c>
      <c r="J782" s="172">
        <f t="shared" si="47"/>
        <v>0.001374819573</v>
      </c>
      <c r="K782" s="173">
        <f t="shared" si="48"/>
        <v>1.649783488</v>
      </c>
      <c r="L782" s="174">
        <f t="shared" si="4"/>
        <v>3.895521196</v>
      </c>
      <c r="M782" s="175" t="str">
        <f t="shared" si="5"/>
        <v>fabimol</v>
      </c>
      <c r="N782" s="176">
        <f>IFERROR(__xludf.DUMMYFUNCTION("""COMPUTED_VALUE"""),6.0)</f>
        <v>6</v>
      </c>
      <c r="O782" s="176"/>
      <c r="P782" s="165" t="s">
        <v>61</v>
      </c>
      <c r="Q782" s="165" t="s">
        <v>10</v>
      </c>
      <c r="R782" s="176"/>
      <c r="S782" s="176"/>
      <c r="T782" s="176"/>
      <c r="U782" s="176"/>
      <c r="V782" s="176"/>
      <c r="W782" s="176"/>
      <c r="X782" s="176"/>
      <c r="Y782" s="176"/>
      <c r="Z782" s="176"/>
      <c r="AA782" s="176"/>
    </row>
    <row r="783">
      <c r="A783" s="165" t="str">
        <f>iferror(VLOOKUP(P783,'DO NOT TOUCH Imported'!$A$1:$D$800,4,False),iferror(VLOOKUP(P783,'DO NOT TOUCH Imported'!$C$1:$D$800,2,False),"OOPS FIX ME"))</f>
        <v>fabimol</v>
      </c>
      <c r="B783" s="165" t="s">
        <v>440</v>
      </c>
      <c r="C783" s="170" t="s">
        <v>913</v>
      </c>
      <c r="D783" s="236" t="s">
        <v>437</v>
      </c>
      <c r="E783" s="237">
        <v>44298.0</v>
      </c>
      <c r="F783" s="170" t="s">
        <v>439</v>
      </c>
      <c r="G783" s="170">
        <v>1000.0</v>
      </c>
      <c r="H783" s="171">
        <v>60.0</v>
      </c>
      <c r="I783" s="171">
        <v>50.0</v>
      </c>
      <c r="J783" s="172">
        <f t="shared" si="47"/>
        <v>0.0006238180076</v>
      </c>
      <c r="K783" s="173">
        <f t="shared" si="48"/>
        <v>0.7485816091</v>
      </c>
      <c r="L783" s="174">
        <f t="shared" si="4"/>
        <v>3.895521196</v>
      </c>
      <c r="M783" s="175" t="str">
        <f t="shared" si="5"/>
        <v>fabimol</v>
      </c>
      <c r="N783" s="176">
        <f>IFERROR(__xludf.DUMMYFUNCTION("""COMPUTED_VALUE"""),7.0)</f>
        <v>7</v>
      </c>
      <c r="O783" s="176"/>
      <c r="P783" s="165" t="s">
        <v>828</v>
      </c>
      <c r="Q783" s="165" t="s">
        <v>440</v>
      </c>
      <c r="R783" s="176"/>
      <c r="S783" s="176"/>
      <c r="T783" s="176"/>
      <c r="U783" s="176"/>
      <c r="V783" s="176"/>
      <c r="W783" s="176"/>
      <c r="X783" s="176"/>
      <c r="Y783" s="176"/>
      <c r="Z783" s="176"/>
      <c r="AA783" s="176"/>
    </row>
    <row r="784">
      <c r="A784" s="165" t="str">
        <f>iferror(VLOOKUP(P784,'DO NOT TOUCH Imported'!$A$1:$D$800,4,False),iferror(VLOOKUP(P784,'DO NOT TOUCH Imported'!$C$1:$D$800,2,False),"OOPS FIX ME"))</f>
        <v>fabimol</v>
      </c>
      <c r="B784" s="165" t="s">
        <v>483</v>
      </c>
      <c r="C784" s="170" t="s">
        <v>920</v>
      </c>
      <c r="D784" s="236" t="s">
        <v>437</v>
      </c>
      <c r="E784" s="239">
        <v>44305.0</v>
      </c>
      <c r="F784" s="170" t="s">
        <v>439</v>
      </c>
      <c r="G784" s="170">
        <v>1000.0</v>
      </c>
      <c r="H784" s="171">
        <v>60.0</v>
      </c>
      <c r="I784" s="171">
        <v>50.0</v>
      </c>
      <c r="J784" s="172">
        <f t="shared" si="47"/>
        <v>0.0006238180076</v>
      </c>
      <c r="K784" s="173">
        <f t="shared" si="48"/>
        <v>0.7485816091</v>
      </c>
      <c r="L784" s="174">
        <f t="shared" si="4"/>
        <v>3.895521196</v>
      </c>
      <c r="M784" s="175" t="str">
        <f t="shared" si="5"/>
        <v>fabimol</v>
      </c>
      <c r="N784" s="176">
        <f>IFERROR(__xludf.DUMMYFUNCTION("""COMPUTED_VALUE"""),8.0)</f>
        <v>8</v>
      </c>
      <c r="O784" s="176"/>
      <c r="P784" s="165" t="s">
        <v>828</v>
      </c>
      <c r="Q784" s="165" t="s">
        <v>483</v>
      </c>
      <c r="R784" s="176"/>
      <c r="S784" s="176"/>
      <c r="T784" s="176"/>
      <c r="U784" s="176"/>
      <c r="V784" s="176"/>
      <c r="W784" s="176"/>
      <c r="X784" s="176"/>
      <c r="Y784" s="176"/>
      <c r="Z784" s="176"/>
      <c r="AA784" s="176"/>
    </row>
    <row r="785">
      <c r="A785" s="165" t="str">
        <f>iferror(VLOOKUP(P785,'DO NOT TOUCH Imported'!$A$1:$D$800,4,False),iferror(VLOOKUP(P785,'DO NOT TOUCH Imported'!$C$1:$D$800,2,False),"OOPS FIX ME"))</f>
        <v>BenjaminScholtz</v>
      </c>
      <c r="B785" s="165" t="s">
        <v>566</v>
      </c>
      <c r="C785" s="170" t="s">
        <v>1178</v>
      </c>
      <c r="D785" s="236" t="s">
        <v>499</v>
      </c>
      <c r="E785" s="237">
        <v>44305.0</v>
      </c>
      <c r="F785" s="170" t="s">
        <v>503</v>
      </c>
      <c r="G785" s="170">
        <v>10000.0</v>
      </c>
      <c r="H785" s="171">
        <v>200.0</v>
      </c>
      <c r="I785" s="171">
        <v>200.0</v>
      </c>
      <c r="J785" s="172">
        <f t="shared" si="47"/>
        <v>0.003207356697</v>
      </c>
      <c r="K785" s="173">
        <f t="shared" si="48"/>
        <v>3.848828036</v>
      </c>
      <c r="L785" s="174">
        <f t="shared" si="4"/>
        <v>3.848828036</v>
      </c>
      <c r="M785" s="175" t="str">
        <f t="shared" si="5"/>
        <v>BenjaminScholtz</v>
      </c>
      <c r="N785" s="176">
        <f>IFERROR(__xludf.DUMMYFUNCTION("""COMPUTED_VALUE"""),1.0)</f>
        <v>1</v>
      </c>
      <c r="O785" s="176"/>
      <c r="P785" s="165" t="s">
        <v>751</v>
      </c>
      <c r="Q785" s="165" t="s">
        <v>566</v>
      </c>
      <c r="R785" s="176"/>
      <c r="S785" s="176"/>
      <c r="T785" s="176"/>
      <c r="U785" s="176"/>
      <c r="V785" s="176"/>
      <c r="W785" s="176"/>
      <c r="X785" s="176"/>
      <c r="Y785" s="176"/>
      <c r="Z785" s="176"/>
      <c r="AA785" s="176"/>
    </row>
    <row r="786">
      <c r="A786" s="165" t="str">
        <f>iferror(VLOOKUP(P786,'DO NOT TOUCH Imported'!$A$1:$D$800,4,False),iferror(VLOOKUP(P786,'DO NOT TOUCH Imported'!$C$1:$D$800,2,False),"OOPS FIX ME"))</f>
        <v>MisterBoyfriend</v>
      </c>
      <c r="B786" s="165" t="s">
        <v>566</v>
      </c>
      <c r="C786" s="170" t="s">
        <v>1179</v>
      </c>
      <c r="D786" s="236" t="s">
        <v>499</v>
      </c>
      <c r="E786" s="237">
        <v>44305.0</v>
      </c>
      <c r="F786" s="170" t="s">
        <v>503</v>
      </c>
      <c r="G786" s="170">
        <v>10000.0</v>
      </c>
      <c r="H786" s="171">
        <v>100.0</v>
      </c>
      <c r="I786" s="171">
        <v>100.0</v>
      </c>
      <c r="J786" s="172">
        <f t="shared" si="47"/>
        <v>0.002342449034</v>
      </c>
      <c r="K786" s="173">
        <f t="shared" si="48"/>
        <v>2.810938841</v>
      </c>
      <c r="L786" s="174">
        <f t="shared" si="4"/>
        <v>3.768848637</v>
      </c>
      <c r="M786" s="175" t="str">
        <f t="shared" si="5"/>
        <v>MisterBoyfriend</v>
      </c>
      <c r="N786" s="176">
        <f>IFERROR(__xludf.DUMMYFUNCTION("""COMPUTED_VALUE"""),1.0)</f>
        <v>1</v>
      </c>
      <c r="O786" s="176"/>
      <c r="P786" s="165" t="s">
        <v>1180</v>
      </c>
      <c r="Q786" s="165" t="s">
        <v>566</v>
      </c>
      <c r="R786" s="176"/>
      <c r="S786" s="176"/>
      <c r="T786" s="176"/>
      <c r="U786" s="176"/>
      <c r="V786" s="176"/>
      <c r="W786" s="176"/>
      <c r="X786" s="176"/>
      <c r="Y786" s="176"/>
      <c r="Z786" s="176"/>
      <c r="AA786" s="176"/>
    </row>
    <row r="787">
      <c r="A787" s="165" t="str">
        <f>iferror(VLOOKUP(P787,'DO NOT TOUCH Imported'!$A$1:$D$800,4,False),iferror(VLOOKUP(P787,'DO NOT TOUCH Imported'!$C$1:$D$800,2,False),"OOPS FIX ME"))</f>
        <v>MisterBoyfriend</v>
      </c>
      <c r="B787" s="165" t="s">
        <v>435</v>
      </c>
      <c r="C787" s="170" t="s">
        <v>1181</v>
      </c>
      <c r="D787" s="236" t="s">
        <v>499</v>
      </c>
      <c r="E787" s="239">
        <v>44305.0</v>
      </c>
      <c r="F787" s="170" t="s">
        <v>503</v>
      </c>
      <c r="G787" s="170">
        <v>1000.0</v>
      </c>
      <c r="H787" s="171">
        <v>100.0</v>
      </c>
      <c r="I787" s="171">
        <v>50.0</v>
      </c>
      <c r="J787" s="172">
        <f t="shared" si="47"/>
        <v>0.0007982581637</v>
      </c>
      <c r="K787" s="173">
        <f t="shared" si="48"/>
        <v>0.9579097965</v>
      </c>
      <c r="L787" s="174">
        <f t="shared" si="4"/>
        <v>3.768848637</v>
      </c>
      <c r="M787" s="175" t="str">
        <f t="shared" si="5"/>
        <v>MisterBoyfriend</v>
      </c>
      <c r="N787" s="176">
        <f>IFERROR(__xludf.DUMMYFUNCTION("""COMPUTED_VALUE"""),2.0)</f>
        <v>2</v>
      </c>
      <c r="O787" s="176"/>
      <c r="P787" s="165" t="s">
        <v>1180</v>
      </c>
      <c r="Q787" s="165" t="s">
        <v>435</v>
      </c>
      <c r="R787" s="176"/>
      <c r="S787" s="176"/>
      <c r="T787" s="176"/>
      <c r="U787" s="176"/>
      <c r="V787" s="176"/>
      <c r="W787" s="176"/>
      <c r="X787" s="176"/>
      <c r="Y787" s="176"/>
      <c r="Z787" s="176"/>
      <c r="AA787" s="176"/>
    </row>
    <row r="788">
      <c r="A788" s="165" t="str">
        <f>iferror(VLOOKUP(P788,'DO NOT TOUCH Imported'!$A$1:$D$800,4,False),iferror(VLOOKUP(P788,'DO NOT TOUCH Imported'!$C$1:$D$800,2,False),"OOPS FIX ME"))</f>
        <v>RenzoD5</v>
      </c>
      <c r="B788" s="165" t="s">
        <v>29</v>
      </c>
      <c r="C788" s="170" t="s">
        <v>1182</v>
      </c>
      <c r="D788" s="236" t="s">
        <v>495</v>
      </c>
      <c r="E788" s="239">
        <v>44308.0</v>
      </c>
      <c r="F788" s="170" t="s">
        <v>499</v>
      </c>
      <c r="G788" s="170">
        <v>10000.0</v>
      </c>
      <c r="H788" s="171">
        <v>200.0</v>
      </c>
      <c r="I788" s="171">
        <v>150.0</v>
      </c>
      <c r="J788" s="172">
        <f t="shared" si="47"/>
        <v>0.002992953061</v>
      </c>
      <c r="K788" s="173">
        <f t="shared" si="48"/>
        <v>3.591543673</v>
      </c>
      <c r="L788" s="174">
        <f t="shared" si="4"/>
        <v>3.591543673</v>
      </c>
      <c r="M788" s="175" t="str">
        <f t="shared" si="5"/>
        <v>RenzoD5</v>
      </c>
      <c r="N788" s="176">
        <f>IFERROR(__xludf.DUMMYFUNCTION("""COMPUTED_VALUE"""),1.0)</f>
        <v>1</v>
      </c>
      <c r="O788" s="176"/>
      <c r="P788" s="165" t="s">
        <v>166</v>
      </c>
      <c r="Q788" s="165" t="s">
        <v>29</v>
      </c>
      <c r="R788" s="176"/>
      <c r="S788" s="176"/>
      <c r="T788" s="176"/>
      <c r="U788" s="176"/>
      <c r="V788" s="176"/>
      <c r="W788" s="176"/>
      <c r="X788" s="176"/>
      <c r="Y788" s="176"/>
      <c r="Z788" s="176"/>
      <c r="AA788" s="176"/>
    </row>
    <row r="789">
      <c r="A789" s="165" t="str">
        <f>iferror(VLOOKUP(P789,'DO NOT TOUCH Imported'!$A$1:$D$800,4,False),iferror(VLOOKUP(P789,'DO NOT TOUCH Imported'!$C$1:$D$800,2,False),"OOPS FIX ME"))</f>
        <v>phil_h</v>
      </c>
      <c r="B789" s="165" t="s">
        <v>519</v>
      </c>
      <c r="C789" s="170" t="s">
        <v>1183</v>
      </c>
      <c r="D789" s="236" t="s">
        <v>495</v>
      </c>
      <c r="E789" s="237">
        <v>44307.0</v>
      </c>
      <c r="F789" s="170" t="s">
        <v>521</v>
      </c>
      <c r="G789" s="170">
        <v>10000.0</v>
      </c>
      <c r="H789" s="171">
        <v>100.0</v>
      </c>
      <c r="I789" s="171">
        <v>100.0</v>
      </c>
      <c r="J789" s="172">
        <f t="shared" si="47"/>
        <v>0.002342449034</v>
      </c>
      <c r="K789" s="173">
        <f t="shared" si="48"/>
        <v>2.810938841</v>
      </c>
      <c r="L789" s="174">
        <f t="shared" si="4"/>
        <v>3.507188403</v>
      </c>
      <c r="M789" s="175" t="str">
        <f t="shared" si="5"/>
        <v>phil_h</v>
      </c>
      <c r="N789" s="176">
        <f>IFERROR(__xludf.DUMMYFUNCTION("""COMPUTED_VALUE"""),1.0)</f>
        <v>1</v>
      </c>
      <c r="O789" s="176"/>
      <c r="P789" s="165" t="s">
        <v>88</v>
      </c>
      <c r="Q789" s="165" t="s">
        <v>519</v>
      </c>
      <c r="R789" s="176"/>
      <c r="S789" s="176"/>
      <c r="T789" s="176"/>
      <c r="U789" s="176"/>
      <c r="V789" s="176"/>
      <c r="W789" s="176"/>
      <c r="X789" s="176"/>
      <c r="Y789" s="176"/>
      <c r="Z789" s="176"/>
      <c r="AA789" s="176"/>
    </row>
    <row r="790">
      <c r="A790" s="165" t="str">
        <f>iferror(VLOOKUP(P790,'DO NOT TOUCH Imported'!$A$1:$D$800,4,False),iferror(VLOOKUP(P790,'DO NOT TOUCH Imported'!$C$1:$D$800,2,False),"OOPS FIX ME"))</f>
        <v>phil_h</v>
      </c>
      <c r="B790" s="165" t="s">
        <v>10</v>
      </c>
      <c r="C790" s="170" t="s">
        <v>498</v>
      </c>
      <c r="D790" s="236" t="s">
        <v>495</v>
      </c>
      <c r="E790" s="237">
        <v>44302.0</v>
      </c>
      <c r="F790" s="170" t="s">
        <v>499</v>
      </c>
      <c r="G790" s="170">
        <v>500.0</v>
      </c>
      <c r="H790" s="171">
        <v>25.0</v>
      </c>
      <c r="I790" s="171">
        <v>25.0</v>
      </c>
      <c r="J790" s="172">
        <f t="shared" si="47"/>
        <v>0.0002901039843</v>
      </c>
      <c r="K790" s="173">
        <f t="shared" si="48"/>
        <v>0.3481247811</v>
      </c>
      <c r="L790" s="174">
        <f t="shared" si="4"/>
        <v>3.507188403</v>
      </c>
      <c r="M790" s="175" t="str">
        <f t="shared" si="5"/>
        <v>phil_h</v>
      </c>
      <c r="N790" s="176">
        <f>IFERROR(__xludf.DUMMYFUNCTION("""COMPUTED_VALUE"""),2.0)</f>
        <v>2</v>
      </c>
      <c r="O790" s="176"/>
      <c r="P790" s="165" t="s">
        <v>88</v>
      </c>
      <c r="Q790" s="165" t="s">
        <v>10</v>
      </c>
      <c r="R790" s="176"/>
      <c r="S790" s="176"/>
      <c r="T790" s="176"/>
      <c r="U790" s="176"/>
      <c r="V790" s="176"/>
      <c r="W790" s="176"/>
      <c r="X790" s="176"/>
      <c r="Y790" s="176"/>
      <c r="Z790" s="176"/>
      <c r="AA790" s="176"/>
    </row>
    <row r="791">
      <c r="A791" s="165" t="str">
        <f>iferror(VLOOKUP(P791,'DO NOT TOUCH Imported'!$A$1:$D$800,4,False),iferror(VLOOKUP(P791,'DO NOT TOUCH Imported'!$C$1:$D$800,2,False),"OOPS FIX ME"))</f>
        <v>phil_h</v>
      </c>
      <c r="B791" s="165" t="s">
        <v>10</v>
      </c>
      <c r="C791" s="170" t="s">
        <v>500</v>
      </c>
      <c r="D791" s="236" t="s">
        <v>495</v>
      </c>
      <c r="E791" s="237">
        <v>44302.0</v>
      </c>
      <c r="F791" s="170" t="s">
        <v>496</v>
      </c>
      <c r="G791" s="170">
        <v>500.0</v>
      </c>
      <c r="H791" s="171">
        <v>25.0</v>
      </c>
      <c r="I791" s="171">
        <v>25.0</v>
      </c>
      <c r="J791" s="172">
        <f t="shared" si="47"/>
        <v>0.0002901039843</v>
      </c>
      <c r="K791" s="173">
        <f t="shared" si="48"/>
        <v>0.3481247811</v>
      </c>
      <c r="L791" s="174">
        <f t="shared" si="4"/>
        <v>3.507188403</v>
      </c>
      <c r="M791" s="175" t="str">
        <f t="shared" si="5"/>
        <v>phil_h</v>
      </c>
      <c r="N791" s="176">
        <f>IFERROR(__xludf.DUMMYFUNCTION("""COMPUTED_VALUE"""),3.0)</f>
        <v>3</v>
      </c>
      <c r="O791" s="176"/>
      <c r="P791" s="165" t="s">
        <v>88</v>
      </c>
      <c r="Q791" s="165" t="s">
        <v>10</v>
      </c>
      <c r="R791" s="176"/>
      <c r="S791" s="176"/>
      <c r="T791" s="176"/>
      <c r="U791" s="176"/>
      <c r="V791" s="176"/>
      <c r="W791" s="176"/>
      <c r="X791" s="176"/>
      <c r="Y791" s="176"/>
      <c r="Z791" s="176"/>
      <c r="AA791" s="176"/>
    </row>
    <row r="792">
      <c r="A792" s="165" t="str">
        <f>iferror(VLOOKUP(P792,'DO NOT TOUCH Imported'!$A$1:$D$800,4,False),iferror(VLOOKUP(P792,'DO NOT TOUCH Imported'!$C$1:$D$800,2,False),"OOPS FIX ME"))</f>
        <v>chriscyber</v>
      </c>
      <c r="B792" s="165" t="s">
        <v>564</v>
      </c>
      <c r="C792" s="170" t="s">
        <v>1184</v>
      </c>
      <c r="D792" s="236" t="s">
        <v>499</v>
      </c>
      <c r="E792" s="237">
        <v>44305.0</v>
      </c>
      <c r="F792" s="170" t="s">
        <v>503</v>
      </c>
      <c r="G792" s="170">
        <v>1000.0</v>
      </c>
      <c r="H792" s="171">
        <v>100.0</v>
      </c>
      <c r="I792" s="171">
        <v>100.0</v>
      </c>
      <c r="J792" s="172">
        <f t="shared" si="47"/>
        <v>0.0010126618</v>
      </c>
      <c r="K792" s="173">
        <f t="shared" si="48"/>
        <v>1.21519416</v>
      </c>
      <c r="L792" s="174">
        <f t="shared" si="4"/>
        <v>3.491211862</v>
      </c>
      <c r="M792" s="175" t="str">
        <f t="shared" si="5"/>
        <v>chriscyber</v>
      </c>
      <c r="N792" s="176">
        <f>IFERROR(__xludf.DUMMYFUNCTION("""COMPUTED_VALUE"""),1.0)</f>
        <v>1</v>
      </c>
      <c r="O792" s="176"/>
      <c r="P792" s="165" t="s">
        <v>1185</v>
      </c>
      <c r="Q792" s="165" t="s">
        <v>564</v>
      </c>
      <c r="R792" s="176"/>
      <c r="S792" s="176"/>
      <c r="T792" s="176"/>
      <c r="U792" s="176"/>
      <c r="V792" s="176"/>
      <c r="W792" s="176"/>
      <c r="X792" s="176"/>
      <c r="Y792" s="176"/>
      <c r="Z792" s="176"/>
      <c r="AA792" s="176"/>
    </row>
    <row r="793">
      <c r="A793" s="165" t="str">
        <f>iferror(VLOOKUP(P793,'DO NOT TOUCH Imported'!$A$1:$D$800,4,False),iferror(VLOOKUP(P793,'DO NOT TOUCH Imported'!$C$1:$D$800,2,False),"OOPS FIX ME"))</f>
        <v>chriscyber</v>
      </c>
      <c r="B793" s="165" t="s">
        <v>566</v>
      </c>
      <c r="C793" s="170" t="s">
        <v>1186</v>
      </c>
      <c r="D793" s="236" t="s">
        <v>499</v>
      </c>
      <c r="E793" s="237">
        <v>44305.0</v>
      </c>
      <c r="F793" s="170" t="s">
        <v>503</v>
      </c>
      <c r="G793" s="170">
        <v>1000.0</v>
      </c>
      <c r="H793" s="171">
        <v>100.0</v>
      </c>
      <c r="I793" s="171">
        <v>100.0</v>
      </c>
      <c r="J793" s="172">
        <f t="shared" si="47"/>
        <v>0.0010126618</v>
      </c>
      <c r="K793" s="173">
        <f t="shared" si="48"/>
        <v>1.21519416</v>
      </c>
      <c r="L793" s="174">
        <f t="shared" si="4"/>
        <v>3.491211862</v>
      </c>
      <c r="M793" s="175" t="str">
        <f t="shared" si="5"/>
        <v>chriscyber</v>
      </c>
      <c r="N793" s="176">
        <f>IFERROR(__xludf.DUMMYFUNCTION("""COMPUTED_VALUE"""),2.0)</f>
        <v>2</v>
      </c>
      <c r="O793" s="176"/>
      <c r="P793" s="165" t="s">
        <v>1185</v>
      </c>
      <c r="Q793" s="165" t="s">
        <v>566</v>
      </c>
      <c r="R793" s="176"/>
      <c r="S793" s="176"/>
      <c r="T793" s="176"/>
      <c r="U793" s="176"/>
      <c r="V793" s="176"/>
      <c r="W793" s="176"/>
      <c r="X793" s="176"/>
      <c r="Y793" s="176"/>
      <c r="Z793" s="176"/>
      <c r="AA793" s="176"/>
    </row>
    <row r="794">
      <c r="A794" s="165" t="str">
        <f>iferror(VLOOKUP(P794,'DO NOT TOUCH Imported'!$A$1:$D$800,4,False),iferror(VLOOKUP(P794,'DO NOT TOUCH Imported'!$C$1:$D$800,2,False),"OOPS FIX ME"))</f>
        <v>chriscyber</v>
      </c>
      <c r="B794" s="165" t="s">
        <v>450</v>
      </c>
      <c r="C794" s="170" t="s">
        <v>1187</v>
      </c>
      <c r="D794" s="236" t="s">
        <v>499</v>
      </c>
      <c r="E794" s="237">
        <v>44305.0</v>
      </c>
      <c r="F794" s="170" t="s">
        <v>503</v>
      </c>
      <c r="G794" s="170">
        <v>1000.0</v>
      </c>
      <c r="H794" s="171">
        <v>100.0</v>
      </c>
      <c r="I794" s="171">
        <v>70.0</v>
      </c>
      <c r="J794" s="172">
        <f t="shared" si="47"/>
        <v>0.0008840196182</v>
      </c>
      <c r="K794" s="173">
        <f t="shared" si="48"/>
        <v>1.060823542</v>
      </c>
      <c r="L794" s="174">
        <f t="shared" si="4"/>
        <v>3.491211862</v>
      </c>
      <c r="M794" s="175" t="str">
        <f t="shared" si="5"/>
        <v>chriscyber</v>
      </c>
      <c r="N794" s="176">
        <f>IFERROR(__xludf.DUMMYFUNCTION("""COMPUTED_VALUE"""),3.0)</f>
        <v>3</v>
      </c>
      <c r="O794" s="176"/>
      <c r="P794" s="165" t="s">
        <v>1185</v>
      </c>
      <c r="Q794" s="165" t="s">
        <v>450</v>
      </c>
      <c r="R794" s="176"/>
      <c r="S794" s="176"/>
      <c r="T794" s="176"/>
      <c r="U794" s="176"/>
      <c r="V794" s="176"/>
      <c r="W794" s="176"/>
      <c r="X794" s="176"/>
      <c r="Y794" s="176"/>
      <c r="Z794" s="176"/>
      <c r="AA794" s="176"/>
    </row>
    <row r="795">
      <c r="A795" s="165" t="str">
        <f>iferror(VLOOKUP(P795,'DO NOT TOUCH Imported'!$A$1:$D$800,4,False),iferror(VLOOKUP(P795,'DO NOT TOUCH Imported'!$C$1:$D$800,2,False),"OOPS FIX ME"))</f>
        <v>Lydia#2825</v>
      </c>
      <c r="B795" s="165" t="s">
        <v>463</v>
      </c>
      <c r="C795" s="170" t="s">
        <v>1188</v>
      </c>
      <c r="D795" s="236" t="s">
        <v>437</v>
      </c>
      <c r="E795" s="237">
        <v>44305.0</v>
      </c>
      <c r="F795" s="170" t="s">
        <v>439</v>
      </c>
      <c r="G795" s="170">
        <v>5000.0</v>
      </c>
      <c r="H795" s="171">
        <v>100.0</v>
      </c>
      <c r="I795" s="171">
        <v>100.0</v>
      </c>
      <c r="J795" s="172">
        <f t="shared" si="47"/>
        <v>0.001603678348</v>
      </c>
      <c r="K795" s="173">
        <f t="shared" si="48"/>
        <v>1.924414018</v>
      </c>
      <c r="L795" s="174">
        <f t="shared" si="4"/>
        <v>3.396892542</v>
      </c>
      <c r="M795" s="175" t="str">
        <f t="shared" si="5"/>
        <v>Lydia#2825</v>
      </c>
      <c r="N795" s="176">
        <f>IFERROR(__xludf.DUMMYFUNCTION("""COMPUTED_VALUE"""),1.0)</f>
        <v>1</v>
      </c>
      <c r="O795" s="176"/>
      <c r="P795" s="165" t="s">
        <v>130</v>
      </c>
      <c r="Q795" s="165" t="s">
        <v>463</v>
      </c>
      <c r="R795" s="176"/>
      <c r="S795" s="176"/>
      <c r="T795" s="176"/>
      <c r="U795" s="176"/>
      <c r="V795" s="176"/>
      <c r="W795" s="176"/>
      <c r="X795" s="176"/>
      <c r="Y795" s="176"/>
      <c r="Z795" s="176"/>
      <c r="AA795" s="176"/>
    </row>
    <row r="796">
      <c r="A796" s="165" t="str">
        <f>iferror(VLOOKUP(P796,'DO NOT TOUCH Imported'!$A$1:$D$800,4,False),iferror(VLOOKUP(P796,'DO NOT TOUCH Imported'!$C$1:$D$800,2,False),"OOPS FIX ME"))</f>
        <v>Lydia#2825</v>
      </c>
      <c r="B796" s="165" t="s">
        <v>443</v>
      </c>
      <c r="C796" s="170" t="s">
        <v>892</v>
      </c>
      <c r="D796" s="236" t="s">
        <v>437</v>
      </c>
      <c r="E796" s="239">
        <v>44310.0</v>
      </c>
      <c r="F796" s="170" t="s">
        <v>439</v>
      </c>
      <c r="G796" s="170">
        <v>1000.0</v>
      </c>
      <c r="H796" s="171">
        <v>100.0</v>
      </c>
      <c r="I796" s="171">
        <v>150.0</v>
      </c>
      <c r="J796" s="172">
        <f t="shared" si="47"/>
        <v>0.001227065436</v>
      </c>
      <c r="K796" s="173">
        <f t="shared" si="48"/>
        <v>1.472478524</v>
      </c>
      <c r="L796" s="174">
        <f t="shared" si="4"/>
        <v>3.396892542</v>
      </c>
      <c r="M796" s="175" t="str">
        <f t="shared" si="5"/>
        <v>Lydia#2825</v>
      </c>
      <c r="N796" s="176">
        <f>IFERROR(__xludf.DUMMYFUNCTION("""COMPUTED_VALUE"""),2.0)</f>
        <v>2</v>
      </c>
      <c r="O796" s="176"/>
      <c r="P796" s="165" t="s">
        <v>130</v>
      </c>
      <c r="Q796" s="165" t="s">
        <v>443</v>
      </c>
      <c r="R796" s="176"/>
      <c r="S796" s="176"/>
      <c r="T796" s="176"/>
      <c r="U796" s="176"/>
      <c r="V796" s="176"/>
      <c r="W796" s="176"/>
      <c r="X796" s="176"/>
      <c r="Y796" s="176"/>
      <c r="Z796" s="176"/>
      <c r="AA796" s="176"/>
    </row>
    <row r="797">
      <c r="A797" s="165" t="str">
        <f>iferror(VLOOKUP(P797,'DO NOT TOUCH Imported'!$A$1:$D$800,4,False),iferror(VLOOKUP(P797,'DO NOT TOUCH Imported'!$C$1:$D$800,2,False),"OOPS FIX ME"))</f>
        <v>KZ Flyer#0926</v>
      </c>
      <c r="B797" s="165" t="s">
        <v>20</v>
      </c>
      <c r="C797" s="170" t="s">
        <v>904</v>
      </c>
      <c r="D797" s="236" t="s">
        <v>437</v>
      </c>
      <c r="E797" s="237">
        <v>44310.0</v>
      </c>
      <c r="F797" s="170" t="s">
        <v>439</v>
      </c>
      <c r="G797" s="170">
        <v>1000.0</v>
      </c>
      <c r="H797" s="171">
        <v>100.0</v>
      </c>
      <c r="I797" s="171">
        <v>80.0</v>
      </c>
      <c r="J797" s="172">
        <f t="shared" si="47"/>
        <v>0.0009269003455</v>
      </c>
      <c r="K797" s="173">
        <f t="shared" si="48"/>
        <v>1.112280415</v>
      </c>
      <c r="L797" s="174">
        <f t="shared" si="4"/>
        <v>3.351730455</v>
      </c>
      <c r="M797" s="175" t="str">
        <f t="shared" si="5"/>
        <v>KZ Flyer#0926</v>
      </c>
      <c r="N797" s="176">
        <f>IFERROR(__xludf.DUMMYFUNCTION("""COMPUTED_VALUE"""),1.0)</f>
        <v>1</v>
      </c>
      <c r="O797" s="176"/>
      <c r="P797" s="165" t="s">
        <v>136</v>
      </c>
      <c r="Q797" s="165" t="s">
        <v>20</v>
      </c>
      <c r="R797" s="176"/>
      <c r="S797" s="176"/>
      <c r="T797" s="176"/>
      <c r="U797" s="176"/>
      <c r="V797" s="176"/>
      <c r="W797" s="176"/>
      <c r="X797" s="176"/>
      <c r="Y797" s="176"/>
      <c r="Z797" s="176"/>
      <c r="AA797" s="176"/>
    </row>
    <row r="798">
      <c r="A798" s="165" t="str">
        <f>iferror(VLOOKUP(P798,'DO NOT TOUCH Imported'!$A$1:$D$800,4,False),iferror(VLOOKUP(P798,'DO NOT TOUCH Imported'!$C$1:$D$800,2,False),"OOPS FIX ME"))</f>
        <v>KZ Flyer#0926</v>
      </c>
      <c r="B798" s="165" t="s">
        <v>441</v>
      </c>
      <c r="C798" s="170" t="s">
        <v>1005</v>
      </c>
      <c r="D798" s="236" t="s">
        <v>437</v>
      </c>
      <c r="E798" s="237">
        <v>44302.0</v>
      </c>
      <c r="F798" s="170" t="s">
        <v>439</v>
      </c>
      <c r="G798" s="170">
        <v>1000.0</v>
      </c>
      <c r="H798" s="171">
        <v>40.0</v>
      </c>
      <c r="I798" s="171">
        <v>40.0</v>
      </c>
      <c r="J798" s="172">
        <f t="shared" si="47"/>
        <v>0.0004937172023</v>
      </c>
      <c r="K798" s="173">
        <f t="shared" si="48"/>
        <v>0.5924606427</v>
      </c>
      <c r="L798" s="174">
        <f t="shared" si="4"/>
        <v>3.351730455</v>
      </c>
      <c r="M798" s="175" t="str">
        <f t="shared" si="5"/>
        <v>KZ Flyer#0926</v>
      </c>
      <c r="N798" s="176">
        <f>IFERROR(__xludf.DUMMYFUNCTION("""COMPUTED_VALUE"""),2.0)</f>
        <v>2</v>
      </c>
      <c r="O798" s="176"/>
      <c r="P798" s="165" t="s">
        <v>136</v>
      </c>
      <c r="Q798" s="165" t="s">
        <v>441</v>
      </c>
      <c r="R798" s="176"/>
      <c r="S798" s="176"/>
      <c r="T798" s="176"/>
      <c r="U798" s="176"/>
      <c r="V798" s="176"/>
      <c r="W798" s="176"/>
      <c r="X798" s="176"/>
      <c r="Y798" s="176"/>
      <c r="Z798" s="176"/>
      <c r="AA798" s="176"/>
    </row>
    <row r="799">
      <c r="A799" s="165" t="str">
        <f>iferror(VLOOKUP(P799,'DO NOT TOUCH Imported'!$A$1:$D$800,4,False),iferror(VLOOKUP(P799,'DO NOT TOUCH Imported'!$C$1:$D$800,2,False),"OOPS FIX ME"))</f>
        <v>KZ Flyer#0926</v>
      </c>
      <c r="B799" s="165" t="s">
        <v>10</v>
      </c>
      <c r="C799" s="170" t="s">
        <v>494</v>
      </c>
      <c r="D799" s="236" t="s">
        <v>495</v>
      </c>
      <c r="E799" s="237">
        <v>44309.0</v>
      </c>
      <c r="F799" s="170" t="s">
        <v>496</v>
      </c>
      <c r="G799" s="170">
        <v>1500.0</v>
      </c>
      <c r="H799" s="171">
        <v>25.0</v>
      </c>
      <c r="I799" s="171">
        <v>40.0</v>
      </c>
      <c r="J799" s="172">
        <f t="shared" si="47"/>
        <v>0.0005021792123</v>
      </c>
      <c r="K799" s="173">
        <f t="shared" si="48"/>
        <v>0.6026150547</v>
      </c>
      <c r="L799" s="174">
        <f t="shared" si="4"/>
        <v>3.351730455</v>
      </c>
      <c r="M799" s="175" t="str">
        <f t="shared" si="5"/>
        <v>KZ Flyer#0926</v>
      </c>
      <c r="N799" s="176">
        <f>IFERROR(__xludf.DUMMYFUNCTION("""COMPUTED_VALUE"""),3.0)</f>
        <v>3</v>
      </c>
      <c r="O799" s="176"/>
      <c r="P799" s="165" t="s">
        <v>1189</v>
      </c>
      <c r="Q799" s="165" t="s">
        <v>10</v>
      </c>
      <c r="R799" s="176"/>
      <c r="S799" s="176"/>
      <c r="T799" s="176"/>
      <c r="U799" s="176"/>
      <c r="V799" s="176"/>
      <c r="W799" s="176"/>
      <c r="X799" s="176"/>
      <c r="Y799" s="176"/>
      <c r="Z799" s="176"/>
      <c r="AA799" s="176"/>
    </row>
    <row r="800">
      <c r="A800" s="165" t="str">
        <f>iferror(VLOOKUP(P800,'DO NOT TOUCH Imported'!$A$1:$D$800,4,False),iferror(VLOOKUP(P800,'DO NOT TOUCH Imported'!$C$1:$D$800,2,False),"OOPS FIX ME"))</f>
        <v>KZ Flyer#0926</v>
      </c>
      <c r="B800" s="165" t="s">
        <v>441</v>
      </c>
      <c r="C800" s="170" t="s">
        <v>1006</v>
      </c>
      <c r="D800" s="236" t="s">
        <v>499</v>
      </c>
      <c r="E800" s="237">
        <v>44302.0</v>
      </c>
      <c r="F800" s="170" t="s">
        <v>503</v>
      </c>
      <c r="G800" s="170">
        <v>500.0</v>
      </c>
      <c r="H800" s="171">
        <v>25.0</v>
      </c>
      <c r="I800" s="171">
        <v>25.0</v>
      </c>
      <c r="J800" s="172">
        <f t="shared" si="47"/>
        <v>0.0002901039843</v>
      </c>
      <c r="K800" s="173">
        <f t="shared" si="48"/>
        <v>0.3481247811</v>
      </c>
      <c r="L800" s="174">
        <f t="shared" si="4"/>
        <v>3.351730455</v>
      </c>
      <c r="M800" s="175" t="str">
        <f t="shared" si="5"/>
        <v>KZ Flyer#0926</v>
      </c>
      <c r="N800" s="176">
        <f>IFERROR(__xludf.DUMMYFUNCTION("""COMPUTED_VALUE"""),4.0)</f>
        <v>4</v>
      </c>
      <c r="O800" s="176"/>
      <c r="P800" s="165" t="s">
        <v>136</v>
      </c>
      <c r="Q800" s="165" t="s">
        <v>441</v>
      </c>
      <c r="R800" s="176"/>
      <c r="S800" s="176"/>
      <c r="T800" s="176"/>
      <c r="U800" s="176"/>
      <c r="V800" s="176"/>
      <c r="W800" s="176"/>
      <c r="X800" s="176"/>
      <c r="Y800" s="176"/>
      <c r="Z800" s="176"/>
      <c r="AA800" s="176"/>
    </row>
    <row r="801">
      <c r="A801" s="165" t="str">
        <f>iferror(VLOOKUP(P801,'DO NOT TOUCH Imported'!$A$1:$D$800,4,False),iferror(VLOOKUP(P801,'DO NOT TOUCH Imported'!$C$1:$D$800,2,False),"OOPS FIX ME"))</f>
        <v>KZ Flyer#0926</v>
      </c>
      <c r="B801" s="165" t="s">
        <v>441</v>
      </c>
      <c r="C801" s="170" t="s">
        <v>1006</v>
      </c>
      <c r="D801" s="236" t="s">
        <v>499</v>
      </c>
      <c r="E801" s="237">
        <v>44309.0</v>
      </c>
      <c r="F801" s="170" t="s">
        <v>503</v>
      </c>
      <c r="G801" s="170">
        <v>500.0</v>
      </c>
      <c r="H801" s="171">
        <v>25.0</v>
      </c>
      <c r="I801" s="171">
        <v>25.0</v>
      </c>
      <c r="J801" s="172">
        <f t="shared" si="47"/>
        <v>0.0002901039843</v>
      </c>
      <c r="K801" s="173">
        <f t="shared" si="48"/>
        <v>0.3481247811</v>
      </c>
      <c r="L801" s="174">
        <f t="shared" si="4"/>
        <v>3.351730455</v>
      </c>
      <c r="M801" s="175" t="str">
        <f t="shared" si="5"/>
        <v>KZ Flyer#0926</v>
      </c>
      <c r="N801" s="176">
        <f>IFERROR(__xludf.DUMMYFUNCTION("""COMPUTED_VALUE"""),5.0)</f>
        <v>5</v>
      </c>
      <c r="O801" s="176"/>
      <c r="P801" s="165" t="s">
        <v>136</v>
      </c>
      <c r="Q801" s="165" t="s">
        <v>441</v>
      </c>
      <c r="R801" s="176"/>
      <c r="S801" s="176"/>
      <c r="T801" s="176"/>
      <c r="U801" s="176"/>
      <c r="V801" s="176"/>
      <c r="W801" s="176"/>
      <c r="X801" s="176"/>
      <c r="Y801" s="176"/>
      <c r="Z801" s="176"/>
      <c r="AA801" s="176"/>
    </row>
    <row r="802">
      <c r="A802" s="165" t="str">
        <f>iferror(VLOOKUP(P802,'DO NOT TOUCH Imported'!$A$1:$D$800,4,False),iferror(VLOOKUP(P802,'DO NOT TOUCH Imported'!$C$1:$D$800,2,False),"OOPS FIX ME"))</f>
        <v>KZ Flyer#0926</v>
      </c>
      <c r="B802" s="165" t="s">
        <v>441</v>
      </c>
      <c r="C802" s="170" t="s">
        <v>1190</v>
      </c>
      <c r="D802" s="236" t="s">
        <v>437</v>
      </c>
      <c r="E802" s="239">
        <v>44309.0</v>
      </c>
      <c r="F802" s="170" t="s">
        <v>439</v>
      </c>
      <c r="G802" s="170">
        <v>500.0</v>
      </c>
      <c r="H802" s="171">
        <v>25.0</v>
      </c>
      <c r="I802" s="171">
        <v>25.0</v>
      </c>
      <c r="J802" s="172">
        <f t="shared" si="47"/>
        <v>0.0002901039843</v>
      </c>
      <c r="K802" s="173">
        <f t="shared" si="48"/>
        <v>0.3481247811</v>
      </c>
      <c r="L802" s="174">
        <f t="shared" si="4"/>
        <v>3.351730455</v>
      </c>
      <c r="M802" s="175" t="str">
        <f t="shared" si="5"/>
        <v>KZ Flyer#0926</v>
      </c>
      <c r="N802" s="176">
        <f>IFERROR(__xludf.DUMMYFUNCTION("""COMPUTED_VALUE"""),6.0)</f>
        <v>6</v>
      </c>
      <c r="O802" s="176"/>
      <c r="P802" s="165" t="s">
        <v>136</v>
      </c>
      <c r="Q802" s="165" t="s">
        <v>441</v>
      </c>
      <c r="R802" s="176"/>
      <c r="S802" s="176"/>
      <c r="T802" s="176"/>
      <c r="U802" s="176"/>
      <c r="V802" s="176"/>
      <c r="W802" s="176"/>
      <c r="X802" s="176"/>
      <c r="Y802" s="176"/>
      <c r="Z802" s="176"/>
      <c r="AA802" s="176"/>
    </row>
    <row r="803">
      <c r="A803" s="165" t="str">
        <f>iferror(VLOOKUP(P803,'DO NOT TOUCH Imported'!$A$1:$D$800,4,False),iferror(VLOOKUP(P803,'DO NOT TOUCH Imported'!$C$1:$D$800,2,False),"OOPS FIX ME"))</f>
        <v>JamesSimbouras</v>
      </c>
      <c r="B803" s="165" t="s">
        <v>566</v>
      </c>
      <c r="C803" s="170" t="s">
        <v>1191</v>
      </c>
      <c r="D803" s="236" t="s">
        <v>499</v>
      </c>
      <c r="E803" s="239">
        <v>44305.0</v>
      </c>
      <c r="F803" s="170" t="s">
        <v>503</v>
      </c>
      <c r="G803" s="170">
        <v>5000.0</v>
      </c>
      <c r="H803" s="171">
        <v>100.0</v>
      </c>
      <c r="I803" s="171">
        <v>100.0</v>
      </c>
      <c r="J803" s="172">
        <f t="shared" si="47"/>
        <v>0.001603678348</v>
      </c>
      <c r="K803" s="173">
        <f t="shared" si="48"/>
        <v>1.924414018</v>
      </c>
      <c r="L803" s="174">
        <f t="shared" si="4"/>
        <v>3.316913143</v>
      </c>
      <c r="M803" s="175" t="str">
        <f t="shared" si="5"/>
        <v>JamesSimbouras</v>
      </c>
      <c r="N803" s="176">
        <f>IFERROR(__xludf.DUMMYFUNCTION("""COMPUTED_VALUE"""),1.0)</f>
        <v>1</v>
      </c>
      <c r="O803" s="176"/>
      <c r="P803" s="165" t="s">
        <v>806</v>
      </c>
      <c r="Q803" s="165" t="s">
        <v>566</v>
      </c>
      <c r="R803" s="176"/>
      <c r="S803" s="176"/>
      <c r="T803" s="176"/>
      <c r="U803" s="176"/>
      <c r="V803" s="176"/>
      <c r="W803" s="176"/>
      <c r="X803" s="176"/>
      <c r="Y803" s="176"/>
      <c r="Z803" s="176"/>
      <c r="AA803" s="176"/>
    </row>
    <row r="804">
      <c r="A804" s="165" t="str">
        <f>iferror(VLOOKUP(P804,'DO NOT TOUCH Imported'!$A$1:$D$800,4,False),iferror(VLOOKUP(P804,'DO NOT TOUCH Imported'!$C$1:$D$800,2,False),"OOPS FIX ME"))</f>
        <v>JamesSimbouras</v>
      </c>
      <c r="B804" s="165" t="s">
        <v>490</v>
      </c>
      <c r="C804" s="170" t="s">
        <v>1192</v>
      </c>
      <c r="D804" s="236" t="s">
        <v>499</v>
      </c>
      <c r="E804" s="239">
        <v>44305.0</v>
      </c>
      <c r="F804" s="170" t="s">
        <v>503</v>
      </c>
      <c r="G804" s="170">
        <v>2000.0</v>
      </c>
      <c r="H804" s="171">
        <v>100.0</v>
      </c>
      <c r="I804" s="171">
        <v>100.0</v>
      </c>
      <c r="J804" s="172">
        <f t="shared" si="47"/>
        <v>0.001160415937</v>
      </c>
      <c r="K804" s="173">
        <f t="shared" si="48"/>
        <v>1.392499125</v>
      </c>
      <c r="L804" s="174">
        <f t="shared" si="4"/>
        <v>3.316913143</v>
      </c>
      <c r="M804" s="175" t="str">
        <f t="shared" si="5"/>
        <v>JamesSimbouras</v>
      </c>
      <c r="N804" s="176">
        <f>IFERROR(__xludf.DUMMYFUNCTION("""COMPUTED_VALUE"""),2.0)</f>
        <v>2</v>
      </c>
      <c r="O804" s="176"/>
      <c r="P804" s="165" t="s">
        <v>806</v>
      </c>
      <c r="Q804" s="165" t="s">
        <v>490</v>
      </c>
      <c r="R804" s="176"/>
      <c r="S804" s="176"/>
      <c r="T804" s="176"/>
      <c r="U804" s="176"/>
      <c r="V804" s="176"/>
      <c r="W804" s="176"/>
      <c r="X804" s="176"/>
      <c r="Y804" s="176"/>
      <c r="Z804" s="176"/>
      <c r="AA804" s="176"/>
    </row>
    <row r="805">
      <c r="A805" s="185" t="s">
        <v>26</v>
      </c>
      <c r="B805" s="185" t="s">
        <v>534</v>
      </c>
      <c r="C805" s="186" t="s">
        <v>797</v>
      </c>
      <c r="D805" s="187"/>
      <c r="E805" s="188"/>
      <c r="F805" s="189"/>
      <c r="G805" s="190"/>
      <c r="H805" s="190"/>
      <c r="I805" s="190"/>
      <c r="J805" s="172">
        <f>(H805/$H$2+I805/$I$2)/2</f>
        <v>0</v>
      </c>
      <c r="K805" s="215">
        <v>0.0</v>
      </c>
      <c r="L805" s="193">
        <f t="shared" si="4"/>
        <v>3.228182002</v>
      </c>
      <c r="M805" s="194" t="str">
        <f t="shared" si="5"/>
        <v>sgonzt</v>
      </c>
      <c r="N805" s="195">
        <f>IFERROR(__xludf.DUMMYFUNCTION("""COMPUTED_VALUE"""),1.0)</f>
        <v>1</v>
      </c>
      <c r="O805" s="195"/>
      <c r="P805" s="185" t="s">
        <v>10</v>
      </c>
      <c r="Q805" s="185" t="s">
        <v>534</v>
      </c>
      <c r="R805" s="195">
        <v>18.802169413641863</v>
      </c>
      <c r="S805" s="195"/>
      <c r="T805" s="195"/>
      <c r="U805" s="195"/>
      <c r="V805" s="195"/>
      <c r="W805" s="195"/>
      <c r="X805" s="195"/>
      <c r="Y805" s="195"/>
      <c r="Z805" s="195"/>
      <c r="AA805" s="176"/>
    </row>
    <row r="806">
      <c r="A806" s="165" t="str">
        <f>iferror(VLOOKUP(P806,'DO NOT TOUCH Imported'!$A$1:$D$800,4,False),iferror(VLOOKUP(P806,'DO NOT TOUCH Imported'!$C$1:$D$800,2,False),"OOPS FIX ME"))</f>
        <v>sgonzt</v>
      </c>
      <c r="B806" s="165" t="s">
        <v>519</v>
      </c>
      <c r="C806" s="170" t="s">
        <v>1067</v>
      </c>
      <c r="D806" s="236" t="s">
        <v>495</v>
      </c>
      <c r="E806" s="237">
        <v>44300.0</v>
      </c>
      <c r="F806" s="170" t="s">
        <v>499</v>
      </c>
      <c r="G806" s="170">
        <v>8000.0</v>
      </c>
      <c r="H806" s="171">
        <v>100.0</v>
      </c>
      <c r="I806" s="171">
        <v>250.0</v>
      </c>
      <c r="J806" s="172">
        <f t="shared" ref="J806:J808" si="49">(G806/$G$2+H806/$H$2+I806/$I$2)/3</f>
        <v>0.002690151669</v>
      </c>
      <c r="K806" s="173">
        <f t="shared" ref="K806:K808" si="50">J806*$J$1</f>
        <v>3.228182002</v>
      </c>
      <c r="L806" s="174">
        <f t="shared" si="4"/>
        <v>3.228182002</v>
      </c>
      <c r="M806" s="175" t="str">
        <f t="shared" si="5"/>
        <v>sgonzt</v>
      </c>
      <c r="N806" s="176">
        <f>IFERROR(__xludf.DUMMYFUNCTION("""COMPUTED_VALUE"""),2.0)</f>
        <v>2</v>
      </c>
      <c r="O806" s="176"/>
      <c r="P806" s="165" t="s">
        <v>26</v>
      </c>
      <c r="Q806" s="165" t="s">
        <v>519</v>
      </c>
      <c r="R806" s="176"/>
      <c r="S806" s="176"/>
      <c r="T806" s="176"/>
      <c r="U806" s="176"/>
      <c r="V806" s="176"/>
      <c r="W806" s="176"/>
      <c r="X806" s="176"/>
      <c r="Y806" s="176"/>
      <c r="Z806" s="176"/>
      <c r="AA806" s="176"/>
    </row>
    <row r="807">
      <c r="A807" s="165" t="str">
        <f>iferror(VLOOKUP(P807,'DO NOT TOUCH Imported'!$A$1:$D$800,4,False),iferror(VLOOKUP(P807,'DO NOT TOUCH Imported'!$C$1:$D$800,2,False),"OOPS FIX ME"))</f>
        <v>tjayrush</v>
      </c>
      <c r="B807" s="165" t="s">
        <v>566</v>
      </c>
      <c r="C807" s="170" t="s">
        <v>1193</v>
      </c>
      <c r="D807" s="236" t="s">
        <v>499</v>
      </c>
      <c r="E807" s="237">
        <v>44305.0</v>
      </c>
      <c r="F807" s="170" t="s">
        <v>503</v>
      </c>
      <c r="G807" s="170">
        <v>5000.0</v>
      </c>
      <c r="H807" s="171">
        <v>200.0</v>
      </c>
      <c r="I807" s="171">
        <v>100.0</v>
      </c>
      <c r="J807" s="172">
        <f t="shared" si="49"/>
        <v>0.002039778739</v>
      </c>
      <c r="K807" s="173">
        <f t="shared" si="50"/>
        <v>2.447734487</v>
      </c>
      <c r="L807" s="174">
        <f t="shared" si="4"/>
        <v>3.196316096</v>
      </c>
      <c r="M807" s="175" t="str">
        <f t="shared" si="5"/>
        <v>tjayrush</v>
      </c>
      <c r="N807" s="176">
        <f>IFERROR(__xludf.DUMMYFUNCTION("""COMPUTED_VALUE"""),1.0)</f>
        <v>1</v>
      </c>
      <c r="O807" s="176"/>
      <c r="P807" s="165" t="s">
        <v>1194</v>
      </c>
      <c r="Q807" s="165" t="s">
        <v>566</v>
      </c>
      <c r="R807" s="176"/>
      <c r="S807" s="176"/>
      <c r="T807" s="176"/>
      <c r="U807" s="176"/>
      <c r="V807" s="176"/>
      <c r="W807" s="176"/>
      <c r="X807" s="176"/>
      <c r="Y807" s="176"/>
      <c r="Z807" s="176"/>
      <c r="AA807" s="176"/>
    </row>
    <row r="808">
      <c r="A808" s="165" t="str">
        <f>iferror(VLOOKUP(P808,'DO NOT TOUCH Imported'!$A$1:$D$800,4,False),iferror(VLOOKUP(P808,'DO NOT TOUCH Imported'!$C$1:$D$800,2,False),"OOPS FIX ME"))</f>
        <v>tjayrush</v>
      </c>
      <c r="B808" s="165" t="s">
        <v>441</v>
      </c>
      <c r="C808" s="170" t="s">
        <v>918</v>
      </c>
      <c r="D808" s="236" t="s">
        <v>437</v>
      </c>
      <c r="E808" s="237">
        <v>44302.0</v>
      </c>
      <c r="F808" s="170" t="s">
        <v>439</v>
      </c>
      <c r="G808" s="170">
        <v>1000.0</v>
      </c>
      <c r="H808" s="171">
        <v>60.0</v>
      </c>
      <c r="I808" s="171">
        <v>50.0</v>
      </c>
      <c r="J808" s="172">
        <f t="shared" si="49"/>
        <v>0.0006238180076</v>
      </c>
      <c r="K808" s="173">
        <f t="shared" si="50"/>
        <v>0.7485816091</v>
      </c>
      <c r="L808" s="174">
        <f t="shared" si="4"/>
        <v>3.196316096</v>
      </c>
      <c r="M808" s="175" t="str">
        <f t="shared" si="5"/>
        <v>tjayrush</v>
      </c>
      <c r="N808" s="176">
        <f>IFERROR(__xludf.DUMMYFUNCTION("""COMPUTED_VALUE"""),2.0)</f>
        <v>2</v>
      </c>
      <c r="O808" s="176"/>
      <c r="P808" s="165" t="s">
        <v>1194</v>
      </c>
      <c r="Q808" s="165" t="s">
        <v>441</v>
      </c>
      <c r="R808" s="176"/>
      <c r="S808" s="176"/>
      <c r="T808" s="176"/>
      <c r="U808" s="176"/>
      <c r="V808" s="176"/>
      <c r="W808" s="176"/>
      <c r="X808" s="176"/>
      <c r="Y808" s="176"/>
      <c r="Z808" s="176"/>
      <c r="AA808" s="176"/>
    </row>
    <row r="809">
      <c r="A809" s="185" t="str">
        <f>iferror(VLOOKUP(P809,'DO NOT TOUCH Imported'!$A$1:$D$800,4,False),iferror(VLOOKUP(P809,'DO NOT TOUCH Imported'!$C$1:$D$800,2,False),"OOPS FIX ME"))</f>
        <v>geleeroyale</v>
      </c>
      <c r="B809" s="185" t="s">
        <v>534</v>
      </c>
      <c r="C809" s="186" t="s">
        <v>688</v>
      </c>
      <c r="D809" s="187"/>
      <c r="E809" s="188"/>
      <c r="F809" s="189"/>
      <c r="G809" s="190"/>
      <c r="H809" s="190"/>
      <c r="I809" s="190"/>
      <c r="J809" s="172">
        <f>(H809/$H$2+I809/$I$2)/2</f>
        <v>0</v>
      </c>
      <c r="K809" s="215">
        <v>0.0</v>
      </c>
      <c r="L809" s="193">
        <f t="shared" si="4"/>
        <v>3.068223204</v>
      </c>
      <c r="M809" s="194" t="str">
        <f t="shared" si="5"/>
        <v>geleeroyale</v>
      </c>
      <c r="N809" s="195">
        <f>IFERROR(__xludf.DUMMYFUNCTION("""COMPUTED_VALUE"""),1.0)</f>
        <v>1</v>
      </c>
      <c r="O809" s="195"/>
      <c r="P809" s="185" t="s">
        <v>50</v>
      </c>
      <c r="Q809" s="185" t="s">
        <v>534</v>
      </c>
      <c r="R809" s="195">
        <v>18.802169413641863</v>
      </c>
      <c r="S809" s="195"/>
      <c r="T809" s="195"/>
      <c r="U809" s="195"/>
      <c r="V809" s="195"/>
      <c r="W809" s="195"/>
      <c r="X809" s="195"/>
      <c r="Y809" s="195"/>
      <c r="Z809" s="195"/>
      <c r="AA809" s="176"/>
    </row>
    <row r="810">
      <c r="A810" s="165" t="str">
        <f>iferror(VLOOKUP(P810,'DO NOT TOUCH Imported'!$A$1:$D$800,4,False),iferror(VLOOKUP(P810,'DO NOT TOUCH Imported'!$C$1:$D$800,2,False),"OOPS FIX ME"))</f>
        <v>geleeroyale</v>
      </c>
      <c r="B810" s="165" t="s">
        <v>435</v>
      </c>
      <c r="C810" s="170" t="s">
        <v>1008</v>
      </c>
      <c r="D810" s="236" t="s">
        <v>437</v>
      </c>
      <c r="E810" s="237">
        <v>44304.0</v>
      </c>
      <c r="F810" s="170" t="s">
        <v>439</v>
      </c>
      <c r="G810" s="220">
        <v>10000.0</v>
      </c>
      <c r="H810" s="171">
        <v>100.0</v>
      </c>
      <c r="I810" s="171">
        <v>150.0</v>
      </c>
      <c r="J810" s="172">
        <f t="shared" ref="J810:J834" si="51">(G810/$G$2+H810/$H$2+I810/$I$2)/3</f>
        <v>0.00255685267</v>
      </c>
      <c r="K810" s="173">
        <f t="shared" ref="K810:K834" si="52">J810*$J$1</f>
        <v>3.068223204</v>
      </c>
      <c r="L810" s="174">
        <f t="shared" si="4"/>
        <v>3.068223204</v>
      </c>
      <c r="M810" s="175" t="str">
        <f t="shared" si="5"/>
        <v>geleeroyale</v>
      </c>
      <c r="N810" s="176">
        <f>IFERROR(__xludf.DUMMYFUNCTION("""COMPUTED_VALUE"""),2.0)</f>
        <v>2</v>
      </c>
      <c r="O810" s="176"/>
      <c r="P810" s="165" t="s">
        <v>804</v>
      </c>
      <c r="Q810" s="165" t="s">
        <v>435</v>
      </c>
      <c r="R810" s="176"/>
      <c r="S810" s="176"/>
      <c r="T810" s="176"/>
      <c r="U810" s="176"/>
      <c r="V810" s="176"/>
      <c r="W810" s="176"/>
      <c r="X810" s="176"/>
      <c r="Y810" s="176"/>
      <c r="Z810" s="176"/>
      <c r="AA810" s="176"/>
    </row>
    <row r="811">
      <c r="A811" s="165" t="str">
        <f>iferror(VLOOKUP(P811,'DO NOT TOUCH Imported'!$A$1:$D$800,4,False),iferror(VLOOKUP(P811,'DO NOT TOUCH Imported'!$C$1:$D$800,2,False),"OOPS FIX ME"))</f>
        <v>magentaceiba</v>
      </c>
      <c r="B811" s="165" t="s">
        <v>566</v>
      </c>
      <c r="C811" s="170" t="s">
        <v>1195</v>
      </c>
      <c r="D811" s="236" t="s">
        <v>499</v>
      </c>
      <c r="E811" s="237">
        <v>44305.0</v>
      </c>
      <c r="F811" s="170" t="s">
        <v>503</v>
      </c>
      <c r="G811" s="170">
        <v>1000.0</v>
      </c>
      <c r="H811" s="171">
        <v>200.0</v>
      </c>
      <c r="I811" s="171">
        <v>100.0</v>
      </c>
      <c r="J811" s="172">
        <f t="shared" si="51"/>
        <v>0.00144876219</v>
      </c>
      <c r="K811" s="173">
        <f t="shared" si="52"/>
        <v>1.738514628</v>
      </c>
      <c r="L811" s="174">
        <f t="shared" si="4"/>
        <v>2.782888972</v>
      </c>
      <c r="M811" s="175" t="str">
        <f t="shared" si="5"/>
        <v>magentaceiba</v>
      </c>
      <c r="N811" s="176">
        <f>IFERROR(__xludf.DUMMYFUNCTION("""COMPUTED_VALUE"""),1.0)</f>
        <v>1</v>
      </c>
      <c r="O811" s="176"/>
      <c r="P811" s="165" t="s">
        <v>1196</v>
      </c>
      <c r="Q811" s="165" t="s">
        <v>566</v>
      </c>
      <c r="R811" s="176"/>
      <c r="S811" s="176"/>
      <c r="T811" s="176"/>
      <c r="U811" s="176"/>
      <c r="V811" s="176"/>
      <c r="W811" s="176"/>
      <c r="X811" s="176"/>
      <c r="Y811" s="176"/>
      <c r="Z811" s="176"/>
      <c r="AA811" s="176"/>
    </row>
    <row r="812">
      <c r="A812" s="165" t="str">
        <f>iferror(VLOOKUP(P812,'DO NOT TOUCH Imported'!$A$1:$D$800,4,False),iferror(VLOOKUP(P812,'DO NOT TOUCH Imported'!$C$1:$D$800,2,False),"OOPS FIX ME"))</f>
        <v>magentaceiba</v>
      </c>
      <c r="B812" s="165" t="s">
        <v>10</v>
      </c>
      <c r="C812" s="170" t="s">
        <v>500</v>
      </c>
      <c r="D812" s="236" t="s">
        <v>495</v>
      </c>
      <c r="E812" s="239">
        <v>44302.0</v>
      </c>
      <c r="F812" s="170" t="s">
        <v>496</v>
      </c>
      <c r="G812" s="170">
        <v>500.0</v>
      </c>
      <c r="H812" s="171">
        <v>25.0</v>
      </c>
      <c r="I812" s="171">
        <v>25.0</v>
      </c>
      <c r="J812" s="172">
        <f t="shared" si="51"/>
        <v>0.0002901039843</v>
      </c>
      <c r="K812" s="173">
        <f t="shared" si="52"/>
        <v>0.3481247811</v>
      </c>
      <c r="L812" s="174">
        <f t="shared" si="4"/>
        <v>2.782888972</v>
      </c>
      <c r="M812" s="175" t="str">
        <f t="shared" si="5"/>
        <v>magentaceiba</v>
      </c>
      <c r="N812" s="176">
        <f>IFERROR(__xludf.DUMMYFUNCTION("""COMPUTED_VALUE"""),2.0)</f>
        <v>2</v>
      </c>
      <c r="O812" s="176"/>
      <c r="P812" s="165" t="s">
        <v>168</v>
      </c>
      <c r="Q812" s="165" t="s">
        <v>10</v>
      </c>
      <c r="R812" s="176"/>
      <c r="S812" s="176"/>
      <c r="T812" s="176"/>
      <c r="U812" s="176"/>
      <c r="V812" s="176"/>
      <c r="W812" s="176"/>
      <c r="X812" s="176"/>
      <c r="Y812" s="176"/>
      <c r="Z812" s="176"/>
      <c r="AA812" s="176"/>
    </row>
    <row r="813">
      <c r="A813" s="165" t="str">
        <f>iferror(VLOOKUP(P813,'DO NOT TOUCH Imported'!$A$1:$D$800,4,False),iferror(VLOOKUP(P813,'DO NOT TOUCH Imported'!$C$1:$D$800,2,False),"OOPS FIX ME"))</f>
        <v>magentaceiba</v>
      </c>
      <c r="B813" s="165" t="s">
        <v>10</v>
      </c>
      <c r="C813" s="170" t="s">
        <v>1197</v>
      </c>
      <c r="D813" s="236" t="s">
        <v>495</v>
      </c>
      <c r="E813" s="237">
        <v>44302.0</v>
      </c>
      <c r="F813" s="170" t="s">
        <v>499</v>
      </c>
      <c r="G813" s="170">
        <v>500.0</v>
      </c>
      <c r="H813" s="171">
        <v>25.0</v>
      </c>
      <c r="I813" s="171">
        <v>25.0</v>
      </c>
      <c r="J813" s="172">
        <f t="shared" si="51"/>
        <v>0.0002901039843</v>
      </c>
      <c r="K813" s="173">
        <f t="shared" si="52"/>
        <v>0.3481247811</v>
      </c>
      <c r="L813" s="174">
        <f t="shared" si="4"/>
        <v>2.782888972</v>
      </c>
      <c r="M813" s="175" t="str">
        <f t="shared" si="5"/>
        <v>magentaceiba</v>
      </c>
      <c r="N813" s="176">
        <f>IFERROR(__xludf.DUMMYFUNCTION("""COMPUTED_VALUE"""),3.0)</f>
        <v>3</v>
      </c>
      <c r="O813" s="176"/>
      <c r="P813" s="165" t="s">
        <v>168</v>
      </c>
      <c r="Q813" s="165" t="s">
        <v>10</v>
      </c>
      <c r="R813" s="176"/>
      <c r="S813" s="176"/>
      <c r="T813" s="176"/>
      <c r="U813" s="176"/>
      <c r="V813" s="176"/>
      <c r="W813" s="176"/>
      <c r="X813" s="176"/>
      <c r="Y813" s="176"/>
      <c r="Z813" s="176"/>
      <c r="AA813" s="176"/>
    </row>
    <row r="814">
      <c r="A814" s="165" t="str">
        <f>iferror(VLOOKUP(P814,'DO NOT TOUCH Imported'!$A$1:$D$800,4,False),iferror(VLOOKUP(P814,'DO NOT TOUCH Imported'!$C$1:$D$800,2,False),"OOPS FIX ME"))</f>
        <v>magentaceiba</v>
      </c>
      <c r="B814" s="165" t="s">
        <v>10</v>
      </c>
      <c r="C814" s="170" t="s">
        <v>500</v>
      </c>
      <c r="D814" s="236" t="s">
        <v>495</v>
      </c>
      <c r="E814" s="237">
        <v>44309.0</v>
      </c>
      <c r="F814" s="170" t="s">
        <v>496</v>
      </c>
      <c r="G814" s="170">
        <v>500.0</v>
      </c>
      <c r="H814" s="171">
        <v>25.0</v>
      </c>
      <c r="I814" s="171">
        <v>25.0</v>
      </c>
      <c r="J814" s="172">
        <f t="shared" si="51"/>
        <v>0.0002901039843</v>
      </c>
      <c r="K814" s="173">
        <f t="shared" si="52"/>
        <v>0.3481247811</v>
      </c>
      <c r="L814" s="174">
        <f t="shared" si="4"/>
        <v>2.782888972</v>
      </c>
      <c r="M814" s="175" t="str">
        <f t="shared" si="5"/>
        <v>magentaceiba</v>
      </c>
      <c r="N814" s="176">
        <f>IFERROR(__xludf.DUMMYFUNCTION("""COMPUTED_VALUE"""),4.0)</f>
        <v>4</v>
      </c>
      <c r="O814" s="176"/>
      <c r="P814" s="165" t="s">
        <v>168</v>
      </c>
      <c r="Q814" s="165" t="s">
        <v>10</v>
      </c>
      <c r="R814" s="176"/>
      <c r="S814" s="176"/>
      <c r="T814" s="176"/>
      <c r="U814" s="176"/>
      <c r="V814" s="176"/>
      <c r="W814" s="176"/>
      <c r="X814" s="176"/>
      <c r="Y814" s="176"/>
      <c r="Z814" s="176"/>
      <c r="AA814" s="176"/>
    </row>
    <row r="815">
      <c r="A815" s="165" t="str">
        <f>iferror(VLOOKUP(P815,'DO NOT TOUCH Imported'!$A$1:$D$800,4,False),iferror(VLOOKUP(P815,'DO NOT TOUCH Imported'!$C$1:$D$800,2,False),"OOPS FIX ME"))</f>
        <v>papa_raw</v>
      </c>
      <c r="B815" s="165" t="s">
        <v>566</v>
      </c>
      <c r="C815" s="170" t="s">
        <v>1198</v>
      </c>
      <c r="D815" s="236" t="s">
        <v>499</v>
      </c>
      <c r="E815" s="237">
        <v>44305.0</v>
      </c>
      <c r="F815" s="170" t="s">
        <v>503</v>
      </c>
      <c r="G815" s="170">
        <v>2000.0</v>
      </c>
      <c r="H815" s="171">
        <v>200.0</v>
      </c>
      <c r="I815" s="171">
        <v>100.0</v>
      </c>
      <c r="J815" s="172">
        <f t="shared" si="51"/>
        <v>0.001596516327</v>
      </c>
      <c r="K815" s="173">
        <f t="shared" si="52"/>
        <v>1.915819593</v>
      </c>
      <c r="L815" s="174">
        <f t="shared" si="4"/>
        <v>2.612069155</v>
      </c>
      <c r="M815" s="175" t="str">
        <f t="shared" si="5"/>
        <v>papa_raw</v>
      </c>
      <c r="N815" s="176">
        <f>IFERROR(__xludf.DUMMYFUNCTION("""COMPUTED_VALUE"""),1.0)</f>
        <v>1</v>
      </c>
      <c r="O815" s="176"/>
      <c r="P815" s="165" t="s">
        <v>1199</v>
      </c>
      <c r="Q815" s="165" t="s">
        <v>566</v>
      </c>
      <c r="R815" s="176"/>
      <c r="S815" s="176"/>
      <c r="T815" s="176"/>
      <c r="U815" s="176"/>
      <c r="V815" s="176"/>
      <c r="W815" s="176"/>
      <c r="X815" s="176"/>
      <c r="Y815" s="176"/>
      <c r="Z815" s="176"/>
      <c r="AA815" s="176"/>
    </row>
    <row r="816">
      <c r="A816" s="165" t="str">
        <f>iferror(VLOOKUP(P816,'DO NOT TOUCH Imported'!$A$1:$D$800,4,False),iferror(VLOOKUP(P816,'DO NOT TOUCH Imported'!$C$1:$D$800,2,False),"OOPS FIX ME"))</f>
        <v>papa_raw</v>
      </c>
      <c r="B816" s="165" t="s">
        <v>10</v>
      </c>
      <c r="C816" s="170" t="s">
        <v>498</v>
      </c>
      <c r="D816" s="236" t="s">
        <v>495</v>
      </c>
      <c r="E816" s="237">
        <v>44302.0</v>
      </c>
      <c r="F816" s="170" t="s">
        <v>499</v>
      </c>
      <c r="G816" s="170">
        <v>500.0</v>
      </c>
      <c r="H816" s="171">
        <v>25.0</v>
      </c>
      <c r="I816" s="171">
        <v>25.0</v>
      </c>
      <c r="J816" s="172">
        <f t="shared" si="51"/>
        <v>0.0002901039843</v>
      </c>
      <c r="K816" s="173">
        <f t="shared" si="52"/>
        <v>0.3481247811</v>
      </c>
      <c r="L816" s="174">
        <f t="shared" si="4"/>
        <v>2.612069155</v>
      </c>
      <c r="M816" s="175" t="str">
        <f t="shared" si="5"/>
        <v>papa_raw</v>
      </c>
      <c r="N816" s="176">
        <f>IFERROR(__xludf.DUMMYFUNCTION("""COMPUTED_VALUE"""),2.0)</f>
        <v>2</v>
      </c>
      <c r="O816" s="176"/>
      <c r="P816" s="165" t="s">
        <v>107</v>
      </c>
      <c r="Q816" s="165" t="s">
        <v>10</v>
      </c>
      <c r="R816" s="176"/>
      <c r="S816" s="176"/>
      <c r="T816" s="176"/>
      <c r="U816" s="176"/>
      <c r="V816" s="176"/>
      <c r="W816" s="176"/>
      <c r="X816" s="176"/>
      <c r="Y816" s="176"/>
      <c r="Z816" s="176"/>
      <c r="AA816" s="176"/>
    </row>
    <row r="817">
      <c r="A817" s="165" t="str">
        <f>iferror(VLOOKUP(P817,'DO NOT TOUCH Imported'!$A$1:$D$800,4,False),iferror(VLOOKUP(P817,'DO NOT TOUCH Imported'!$C$1:$D$800,2,False),"OOPS FIX ME"))</f>
        <v>papa_raw</v>
      </c>
      <c r="B817" s="165" t="s">
        <v>10</v>
      </c>
      <c r="C817" s="170" t="s">
        <v>500</v>
      </c>
      <c r="D817" s="236" t="s">
        <v>495</v>
      </c>
      <c r="E817" s="239">
        <v>44302.0</v>
      </c>
      <c r="F817" s="170" t="s">
        <v>496</v>
      </c>
      <c r="G817" s="170">
        <v>500.0</v>
      </c>
      <c r="H817" s="171">
        <v>25.0</v>
      </c>
      <c r="I817" s="171">
        <v>25.0</v>
      </c>
      <c r="J817" s="172">
        <f t="shared" si="51"/>
        <v>0.0002901039843</v>
      </c>
      <c r="K817" s="173">
        <f t="shared" si="52"/>
        <v>0.3481247811</v>
      </c>
      <c r="L817" s="174">
        <f t="shared" si="4"/>
        <v>2.612069155</v>
      </c>
      <c r="M817" s="175" t="str">
        <f t="shared" si="5"/>
        <v>papa_raw</v>
      </c>
      <c r="N817" s="176">
        <f>IFERROR(__xludf.DUMMYFUNCTION("""COMPUTED_VALUE"""),3.0)</f>
        <v>3</v>
      </c>
      <c r="O817" s="176"/>
      <c r="P817" s="165" t="s">
        <v>107</v>
      </c>
      <c r="Q817" s="165" t="s">
        <v>10</v>
      </c>
      <c r="R817" s="176"/>
      <c r="S817" s="176"/>
      <c r="T817" s="176"/>
      <c r="U817" s="176"/>
      <c r="V817" s="176"/>
      <c r="W817" s="176"/>
      <c r="X817" s="176"/>
      <c r="Y817" s="176"/>
      <c r="Z817" s="176"/>
      <c r="AA817" s="176"/>
    </row>
    <row r="818">
      <c r="A818" s="165" t="str">
        <f>iferror(VLOOKUP(P818,'DO NOT TOUCH Imported'!$A$1:$D$800,4,False),iferror(VLOOKUP(P818,'DO NOT TOUCH Imported'!$C$1:$D$800,2,False),"OOPS FIX ME"))</f>
        <v>decentralizesdgs</v>
      </c>
      <c r="B818" s="165" t="s">
        <v>596</v>
      </c>
      <c r="C818" s="170" t="s">
        <v>937</v>
      </c>
      <c r="D818" s="236" t="s">
        <v>437</v>
      </c>
      <c r="E818" s="237">
        <v>44309.0</v>
      </c>
      <c r="F818" s="170" t="s">
        <v>439</v>
      </c>
      <c r="G818" s="170">
        <v>2000.0</v>
      </c>
      <c r="H818" s="171">
        <v>100.0</v>
      </c>
      <c r="I818" s="171">
        <v>150.0</v>
      </c>
      <c r="J818" s="172">
        <f t="shared" si="51"/>
        <v>0.001374819573</v>
      </c>
      <c r="K818" s="173">
        <f t="shared" si="52"/>
        <v>1.649783488</v>
      </c>
      <c r="L818" s="174">
        <f t="shared" si="4"/>
        <v>2.450697144</v>
      </c>
      <c r="M818" s="175" t="str">
        <f t="shared" si="5"/>
        <v>decentralizesdgs</v>
      </c>
      <c r="N818" s="176">
        <f>IFERROR(__xludf.DUMMYFUNCTION("""COMPUTED_VALUE"""),1.0)</f>
        <v>1</v>
      </c>
      <c r="O818" s="176"/>
      <c r="P818" s="165" t="s">
        <v>862</v>
      </c>
      <c r="Q818" s="165" t="s">
        <v>596</v>
      </c>
      <c r="R818" s="176"/>
      <c r="S818" s="176"/>
      <c r="T818" s="176"/>
      <c r="U818" s="176"/>
      <c r="V818" s="176"/>
      <c r="W818" s="176"/>
      <c r="X818" s="176"/>
      <c r="Y818" s="176"/>
      <c r="Z818" s="176"/>
      <c r="AA818" s="176"/>
    </row>
    <row r="819">
      <c r="A819" s="165" t="str">
        <f>iferror(VLOOKUP(P819,'DO NOT TOUCH Imported'!$A$1:$D$800,4,False),iferror(VLOOKUP(P819,'DO NOT TOUCH Imported'!$C$1:$D$800,2,False),"OOPS FIX ME"))</f>
        <v>decentralizesdgs</v>
      </c>
      <c r="B819" s="165" t="s">
        <v>441</v>
      </c>
      <c r="C819" s="170" t="s">
        <v>943</v>
      </c>
      <c r="D819" s="236" t="s">
        <v>437</v>
      </c>
      <c r="E819" s="239">
        <v>44309.0</v>
      </c>
      <c r="F819" s="170" t="s">
        <v>439</v>
      </c>
      <c r="G819" s="170">
        <v>1000.0</v>
      </c>
      <c r="H819" s="171">
        <v>70.0</v>
      </c>
      <c r="I819" s="171">
        <v>50.0</v>
      </c>
      <c r="J819" s="172">
        <f t="shared" si="51"/>
        <v>0.0006674280466</v>
      </c>
      <c r="K819" s="173">
        <f t="shared" si="52"/>
        <v>0.8009136559</v>
      </c>
      <c r="L819" s="174">
        <f t="shared" si="4"/>
        <v>2.450697144</v>
      </c>
      <c r="M819" s="175" t="str">
        <f t="shared" si="5"/>
        <v>decentralizesdgs</v>
      </c>
      <c r="N819" s="176">
        <f>IFERROR(__xludf.DUMMYFUNCTION("""COMPUTED_VALUE"""),2.0)</f>
        <v>2</v>
      </c>
      <c r="O819" s="176"/>
      <c r="P819" s="165" t="s">
        <v>862</v>
      </c>
      <c r="Q819" s="165" t="s">
        <v>441</v>
      </c>
      <c r="R819" s="176"/>
      <c r="S819" s="176"/>
      <c r="T819" s="176"/>
      <c r="U819" s="176"/>
      <c r="V819" s="176"/>
      <c r="W819" s="176"/>
      <c r="X819" s="176"/>
      <c r="Y819" s="176"/>
      <c r="Z819" s="176"/>
      <c r="AA819" s="176"/>
    </row>
    <row r="820">
      <c r="A820" s="165" t="str">
        <f>iferror(VLOOKUP(P820,'DO NOT TOUCH Imported'!$A$1:$D$800,4,False),iferror(VLOOKUP(P820,'DO NOT TOUCH Imported'!$C$1:$D$800,2,False),"OOPS FIX ME"))</f>
        <v>hxrts</v>
      </c>
      <c r="B820" s="165" t="s">
        <v>435</v>
      </c>
      <c r="C820" s="170" t="s">
        <v>1200</v>
      </c>
      <c r="D820" s="236" t="s">
        <v>437</v>
      </c>
      <c r="E820" s="237">
        <v>44299.0</v>
      </c>
      <c r="F820" s="170" t="s">
        <v>439</v>
      </c>
      <c r="G820" s="170">
        <v>5000.0</v>
      </c>
      <c r="H820" s="171">
        <v>200.0</v>
      </c>
      <c r="I820" s="171">
        <v>100.0</v>
      </c>
      <c r="J820" s="172">
        <f t="shared" si="51"/>
        <v>0.002039778739</v>
      </c>
      <c r="K820" s="173">
        <f t="shared" si="52"/>
        <v>2.447734487</v>
      </c>
      <c r="L820" s="174">
        <f t="shared" si="4"/>
        <v>2.447734487</v>
      </c>
      <c r="M820" s="175" t="str">
        <f t="shared" si="5"/>
        <v>hxrts</v>
      </c>
      <c r="N820" s="176">
        <f>IFERROR(__xludf.DUMMYFUNCTION("""COMPUTED_VALUE"""),1.0)</f>
        <v>1</v>
      </c>
      <c r="O820" s="176"/>
      <c r="P820" s="165" t="s">
        <v>1201</v>
      </c>
      <c r="Q820" s="165" t="s">
        <v>435</v>
      </c>
      <c r="R820" s="176"/>
      <c r="S820" s="176"/>
      <c r="T820" s="176"/>
      <c r="U820" s="176"/>
      <c r="V820" s="176"/>
      <c r="W820" s="176"/>
      <c r="X820" s="176"/>
      <c r="Y820" s="176"/>
      <c r="Z820" s="176"/>
      <c r="AA820" s="176"/>
    </row>
    <row r="821">
      <c r="A821" s="165" t="str">
        <f>iferror(VLOOKUP(P821,'DO NOT TOUCH Imported'!$A$1:$D$800,4,False),iferror(VLOOKUP(P821,'DO NOT TOUCH Imported'!$C$1:$D$800,2,False),"OOPS FIX ME"))</f>
        <v>lkngtn</v>
      </c>
      <c r="B821" s="165" t="s">
        <v>10</v>
      </c>
      <c r="C821" s="170" t="s">
        <v>1167</v>
      </c>
      <c r="D821" s="236" t="s">
        <v>495</v>
      </c>
      <c r="E821" s="237">
        <v>44309.0</v>
      </c>
      <c r="F821" s="170" t="s">
        <v>496</v>
      </c>
      <c r="G821" s="170">
        <v>2000.0</v>
      </c>
      <c r="H821" s="171">
        <v>200.0</v>
      </c>
      <c r="I821" s="171">
        <v>150.0</v>
      </c>
      <c r="J821" s="172">
        <f t="shared" si="51"/>
        <v>0.001810919964</v>
      </c>
      <c r="K821" s="173">
        <f t="shared" si="52"/>
        <v>2.173103956</v>
      </c>
      <c r="L821" s="174">
        <f t="shared" si="4"/>
        <v>2.173103956</v>
      </c>
      <c r="M821" s="175" t="str">
        <f t="shared" si="5"/>
        <v>lkngtn</v>
      </c>
      <c r="N821" s="176">
        <f>IFERROR(__xludf.DUMMYFUNCTION("""COMPUTED_VALUE"""),1.0)</f>
        <v>1</v>
      </c>
      <c r="O821" s="176"/>
      <c r="P821" s="165" t="s">
        <v>40</v>
      </c>
      <c r="Q821" s="165" t="s">
        <v>10</v>
      </c>
      <c r="R821" s="176"/>
      <c r="S821" s="176"/>
      <c r="T821" s="176"/>
      <c r="U821" s="176"/>
      <c r="V821" s="176"/>
      <c r="W821" s="176"/>
      <c r="X821" s="176"/>
      <c r="Y821" s="176"/>
      <c r="Z821" s="176"/>
      <c r="AA821" s="176"/>
    </row>
    <row r="822">
      <c r="A822" s="165" t="str">
        <f>iferror(VLOOKUP(P822,'DO NOT TOUCH Imported'!$A$1:$D$800,4,False),iferror(VLOOKUP(P822,'DO NOT TOUCH Imported'!$C$1:$D$800,2,False),"OOPS FIX ME"))</f>
        <v>JoseVicente1</v>
      </c>
      <c r="B822" s="165" t="s">
        <v>443</v>
      </c>
      <c r="C822" s="170" t="s">
        <v>1054</v>
      </c>
      <c r="D822" s="236" t="s">
        <v>437</v>
      </c>
      <c r="E822" s="239">
        <v>44310.0</v>
      </c>
      <c r="F822" s="170" t="s">
        <v>439</v>
      </c>
      <c r="G822" s="170">
        <v>2000.0</v>
      </c>
      <c r="H822" s="171">
        <v>200.0</v>
      </c>
      <c r="I822" s="171">
        <v>150.0</v>
      </c>
      <c r="J822" s="172">
        <f t="shared" si="51"/>
        <v>0.001810919964</v>
      </c>
      <c r="K822" s="173">
        <f t="shared" si="52"/>
        <v>2.173103956</v>
      </c>
      <c r="L822" s="174">
        <f t="shared" si="4"/>
        <v>2.173103956</v>
      </c>
      <c r="M822" s="175" t="str">
        <f t="shared" si="5"/>
        <v>JoseVicente1</v>
      </c>
      <c r="N822" s="176">
        <f>IFERROR(__xludf.DUMMYFUNCTION("""COMPUTED_VALUE"""),1.0)</f>
        <v>1</v>
      </c>
      <c r="O822" s="176"/>
      <c r="P822" s="165" t="s">
        <v>412</v>
      </c>
      <c r="Q822" s="165" t="s">
        <v>443</v>
      </c>
      <c r="R822" s="176"/>
      <c r="S822" s="176"/>
      <c r="T822" s="176"/>
      <c r="U822" s="176"/>
      <c r="V822" s="176"/>
      <c r="W822" s="176"/>
      <c r="X822" s="176"/>
      <c r="Y822" s="176"/>
      <c r="Z822" s="176"/>
      <c r="AA822" s="176"/>
    </row>
    <row r="823">
      <c r="A823" s="165" t="str">
        <f>iferror(VLOOKUP(P823,'DO NOT TOUCH Imported'!$A$1:$D$800,4,False),iferror(VLOOKUP(P823,'DO NOT TOUCH Imported'!$C$1:$D$800,2,False),"OOPS FIX ME"))</f>
        <v>Nuggan#5183</v>
      </c>
      <c r="B823" s="165" t="s">
        <v>450</v>
      </c>
      <c r="C823" s="170" t="s">
        <v>968</v>
      </c>
      <c r="D823" s="236" t="s">
        <v>499</v>
      </c>
      <c r="E823" s="239">
        <v>44305.0</v>
      </c>
      <c r="F823" s="170" t="s">
        <v>503</v>
      </c>
      <c r="G823" s="170">
        <v>2000.0</v>
      </c>
      <c r="H823" s="171">
        <v>100.0</v>
      </c>
      <c r="I823" s="171">
        <v>100.0</v>
      </c>
      <c r="J823" s="172">
        <f t="shared" si="51"/>
        <v>0.001160415937</v>
      </c>
      <c r="K823" s="173">
        <f t="shared" si="52"/>
        <v>1.392499125</v>
      </c>
      <c r="L823" s="174">
        <f t="shared" si="4"/>
        <v>2.141080734</v>
      </c>
      <c r="M823" s="175" t="str">
        <f t="shared" si="5"/>
        <v>Nuggan#5183</v>
      </c>
      <c r="N823" s="176">
        <f>IFERROR(__xludf.DUMMYFUNCTION("""COMPUTED_VALUE"""),1.0)</f>
        <v>1</v>
      </c>
      <c r="O823" s="176"/>
      <c r="P823" s="165" t="s">
        <v>93</v>
      </c>
      <c r="Q823" s="165" t="s">
        <v>450</v>
      </c>
      <c r="R823" s="176"/>
      <c r="S823" s="176"/>
      <c r="T823" s="176"/>
      <c r="U823" s="176"/>
      <c r="V823" s="176"/>
      <c r="W823" s="176"/>
      <c r="X823" s="176"/>
      <c r="Y823" s="176"/>
      <c r="Z823" s="176"/>
      <c r="AA823" s="176"/>
    </row>
    <row r="824">
      <c r="A824" s="165" t="str">
        <f>iferror(VLOOKUP(P824,'DO NOT TOUCH Imported'!$A$1:$D$800,4,False),iferror(VLOOKUP(P824,'DO NOT TOUCH Imported'!$C$1:$D$800,2,False),"OOPS FIX ME"))</f>
        <v>Nuggan#5183</v>
      </c>
      <c r="B824" s="165" t="s">
        <v>441</v>
      </c>
      <c r="C824" s="170" t="s">
        <v>918</v>
      </c>
      <c r="D824" s="236" t="s">
        <v>437</v>
      </c>
      <c r="E824" s="237">
        <v>44302.0</v>
      </c>
      <c r="F824" s="170" t="s">
        <v>439</v>
      </c>
      <c r="G824" s="170">
        <v>1000.0</v>
      </c>
      <c r="H824" s="171">
        <v>60.0</v>
      </c>
      <c r="I824" s="171">
        <v>50.0</v>
      </c>
      <c r="J824" s="172">
        <f t="shared" si="51"/>
        <v>0.0006238180076</v>
      </c>
      <c r="K824" s="173">
        <f t="shared" si="52"/>
        <v>0.7485816091</v>
      </c>
      <c r="L824" s="174">
        <f t="shared" si="4"/>
        <v>2.141080734</v>
      </c>
      <c r="M824" s="175" t="str">
        <f t="shared" si="5"/>
        <v>Nuggan#5183</v>
      </c>
      <c r="N824" s="176">
        <f>IFERROR(__xludf.DUMMYFUNCTION("""COMPUTED_VALUE"""),2.0)</f>
        <v>2</v>
      </c>
      <c r="O824" s="176"/>
      <c r="P824" s="165" t="s">
        <v>93</v>
      </c>
      <c r="Q824" s="165" t="s">
        <v>441</v>
      </c>
      <c r="R824" s="176"/>
      <c r="S824" s="176"/>
      <c r="T824" s="176"/>
      <c r="U824" s="176"/>
      <c r="V824" s="176"/>
      <c r="W824" s="176"/>
      <c r="X824" s="176"/>
      <c r="Y824" s="176"/>
      <c r="Z824" s="176"/>
      <c r="AA824" s="176"/>
    </row>
    <row r="825">
      <c r="A825" s="165" t="str">
        <f>iferror(VLOOKUP(P825,'DO NOT TOUCH Imported'!$A$1:$D$800,4,False),iferror(VLOOKUP(P825,'DO NOT TOUCH Imported'!$C$1:$D$800,2,False),"OOPS FIX ME"))</f>
        <v>cpt_grog</v>
      </c>
      <c r="B825" s="165" t="s">
        <v>831</v>
      </c>
      <c r="C825" s="170" t="s">
        <v>1050</v>
      </c>
      <c r="D825" s="236" t="s">
        <v>499</v>
      </c>
      <c r="E825" s="237">
        <v>44296.0</v>
      </c>
      <c r="F825" s="170" t="s">
        <v>503</v>
      </c>
      <c r="G825" s="170">
        <v>2000.0</v>
      </c>
      <c r="H825" s="171">
        <v>100.0</v>
      </c>
      <c r="I825" s="171">
        <v>100.0</v>
      </c>
      <c r="J825" s="172">
        <f t="shared" si="51"/>
        <v>0.001160415937</v>
      </c>
      <c r="K825" s="173">
        <f t="shared" si="52"/>
        <v>1.392499125</v>
      </c>
      <c r="L825" s="174">
        <f t="shared" si="4"/>
        <v>2.088748687</v>
      </c>
      <c r="M825" s="175" t="str">
        <f t="shared" si="5"/>
        <v>cpt_grog</v>
      </c>
      <c r="N825" s="176">
        <f>IFERROR(__xludf.DUMMYFUNCTION("""COMPUTED_VALUE"""),1.0)</f>
        <v>1</v>
      </c>
      <c r="O825" s="176"/>
      <c r="P825" s="165" t="s">
        <v>1202</v>
      </c>
      <c r="Q825" s="165" t="s">
        <v>831</v>
      </c>
      <c r="R825" s="176"/>
      <c r="S825" s="176"/>
      <c r="T825" s="176"/>
      <c r="U825" s="176"/>
      <c r="V825" s="176"/>
      <c r="W825" s="176"/>
      <c r="X825" s="176"/>
      <c r="Y825" s="176"/>
      <c r="Z825" s="176"/>
      <c r="AA825" s="176"/>
    </row>
    <row r="826">
      <c r="A826" s="165" t="str">
        <f>iferror(VLOOKUP(P826,'DO NOT TOUCH Imported'!$A$1:$D$800,4,False),iferror(VLOOKUP(P826,'DO NOT TOUCH Imported'!$C$1:$D$800,2,False),"OOPS FIX ME"))</f>
        <v>cpt_grog</v>
      </c>
      <c r="B826" s="165" t="s">
        <v>10</v>
      </c>
      <c r="C826" s="170" t="s">
        <v>498</v>
      </c>
      <c r="D826" s="236" t="s">
        <v>495</v>
      </c>
      <c r="E826" s="239">
        <v>44302.0</v>
      </c>
      <c r="F826" s="170" t="s">
        <v>499</v>
      </c>
      <c r="G826" s="170">
        <v>500.0</v>
      </c>
      <c r="H826" s="171">
        <v>25.0</v>
      </c>
      <c r="I826" s="171">
        <v>25.0</v>
      </c>
      <c r="J826" s="172">
        <f t="shared" si="51"/>
        <v>0.0002901039843</v>
      </c>
      <c r="K826" s="173">
        <f t="shared" si="52"/>
        <v>0.3481247811</v>
      </c>
      <c r="L826" s="174">
        <f t="shared" si="4"/>
        <v>2.088748687</v>
      </c>
      <c r="M826" s="175" t="str">
        <f t="shared" si="5"/>
        <v>cpt_grog</v>
      </c>
      <c r="N826" s="176">
        <f>IFERROR(__xludf.DUMMYFUNCTION("""COMPUTED_VALUE"""),2.0)</f>
        <v>2</v>
      </c>
      <c r="O826" s="176"/>
      <c r="P826" s="165" t="s">
        <v>144</v>
      </c>
      <c r="Q826" s="165" t="s">
        <v>10</v>
      </c>
      <c r="R826" s="176"/>
      <c r="S826" s="176"/>
      <c r="T826" s="176"/>
      <c r="U826" s="176"/>
      <c r="V826" s="176"/>
      <c r="W826" s="176"/>
      <c r="X826" s="176"/>
      <c r="Y826" s="176"/>
      <c r="Z826" s="176"/>
      <c r="AA826" s="176"/>
    </row>
    <row r="827">
      <c r="A827" s="165" t="str">
        <f>iferror(VLOOKUP(P827,'DO NOT TOUCH Imported'!$A$1:$D$800,4,False),iferror(VLOOKUP(P827,'DO NOT TOUCH Imported'!$C$1:$D$800,2,False),"OOPS FIX ME"))</f>
        <v>cpt_grog</v>
      </c>
      <c r="B827" s="165" t="s">
        <v>10</v>
      </c>
      <c r="C827" s="170" t="s">
        <v>500</v>
      </c>
      <c r="D827" s="236" t="s">
        <v>495</v>
      </c>
      <c r="E827" s="239">
        <v>44302.0</v>
      </c>
      <c r="F827" s="170" t="s">
        <v>496</v>
      </c>
      <c r="G827" s="170">
        <v>500.0</v>
      </c>
      <c r="H827" s="171">
        <v>25.0</v>
      </c>
      <c r="I827" s="171">
        <v>25.0</v>
      </c>
      <c r="J827" s="172">
        <f t="shared" si="51"/>
        <v>0.0002901039843</v>
      </c>
      <c r="K827" s="173">
        <f t="shared" si="52"/>
        <v>0.3481247811</v>
      </c>
      <c r="L827" s="174">
        <f t="shared" si="4"/>
        <v>2.088748687</v>
      </c>
      <c r="M827" s="175" t="str">
        <f t="shared" si="5"/>
        <v>cpt_grog</v>
      </c>
      <c r="N827" s="176">
        <f>IFERROR(__xludf.DUMMYFUNCTION("""COMPUTED_VALUE"""),3.0)</f>
        <v>3</v>
      </c>
      <c r="O827" s="176"/>
      <c r="P827" s="165" t="s">
        <v>144</v>
      </c>
      <c r="Q827" s="165" t="s">
        <v>10</v>
      </c>
      <c r="R827" s="176"/>
      <c r="S827" s="176"/>
      <c r="T827" s="176"/>
      <c r="U827" s="176"/>
      <c r="V827" s="176"/>
      <c r="W827" s="176"/>
      <c r="X827" s="176"/>
      <c r="Y827" s="176"/>
      <c r="Z827" s="176"/>
      <c r="AA827" s="176"/>
    </row>
    <row r="828">
      <c r="A828" s="165" t="str">
        <f>iferror(VLOOKUP(P828,'DO NOT TOUCH Imported'!$A$1:$D$800,4,False),iferror(VLOOKUP(P828,'DO NOT TOUCH Imported'!$C$1:$D$800,2,False),"OOPS FIX ME"))</f>
        <v>Tonga2020</v>
      </c>
      <c r="B828" s="165" t="s">
        <v>490</v>
      </c>
      <c r="C828" s="170" t="s">
        <v>1203</v>
      </c>
      <c r="D828" s="236" t="s">
        <v>437</v>
      </c>
      <c r="E828" s="239">
        <v>44308.0</v>
      </c>
      <c r="F828" s="170" t="s">
        <v>439</v>
      </c>
      <c r="G828" s="170">
        <v>1000.0</v>
      </c>
      <c r="H828" s="171">
        <v>200.0</v>
      </c>
      <c r="I828" s="171">
        <v>100.0</v>
      </c>
      <c r="J828" s="172">
        <f t="shared" si="51"/>
        <v>0.00144876219</v>
      </c>
      <c r="K828" s="173">
        <f t="shared" si="52"/>
        <v>1.738514628</v>
      </c>
      <c r="L828" s="174">
        <f t="shared" si="4"/>
        <v>2.08663941</v>
      </c>
      <c r="M828" s="175" t="str">
        <f t="shared" si="5"/>
        <v>Tonga2020</v>
      </c>
      <c r="N828" s="176">
        <f>IFERROR(__xludf.DUMMYFUNCTION("""COMPUTED_VALUE"""),1.0)</f>
        <v>1</v>
      </c>
      <c r="O828" s="176"/>
      <c r="P828" s="165" t="s">
        <v>1204</v>
      </c>
      <c r="Q828" s="165" t="s">
        <v>490</v>
      </c>
      <c r="R828" s="176"/>
      <c r="S828" s="176"/>
      <c r="T828" s="176"/>
      <c r="U828" s="176"/>
      <c r="V828" s="176"/>
      <c r="W828" s="176"/>
      <c r="X828" s="176"/>
      <c r="Y828" s="176"/>
      <c r="Z828" s="176"/>
      <c r="AA828" s="176"/>
    </row>
    <row r="829">
      <c r="A829" s="165" t="str">
        <f>iferror(VLOOKUP(P829,'DO NOT TOUCH Imported'!$A$1:$D$800,4,False),iferror(VLOOKUP(P829,'DO NOT TOUCH Imported'!$C$1:$D$800,2,False),"OOPS FIX ME"))</f>
        <v>Tonga2020</v>
      </c>
      <c r="B829" s="165" t="s">
        <v>10</v>
      </c>
      <c r="C829" s="170" t="s">
        <v>498</v>
      </c>
      <c r="D829" s="236" t="s">
        <v>495</v>
      </c>
      <c r="E829" s="239">
        <v>44302.0</v>
      </c>
      <c r="F829" s="170" t="s">
        <v>499</v>
      </c>
      <c r="G829" s="170">
        <v>500.0</v>
      </c>
      <c r="H829" s="171">
        <v>25.0</v>
      </c>
      <c r="I829" s="171">
        <v>25.0</v>
      </c>
      <c r="J829" s="172">
        <f t="shared" si="51"/>
        <v>0.0002901039843</v>
      </c>
      <c r="K829" s="173">
        <f t="shared" si="52"/>
        <v>0.3481247811</v>
      </c>
      <c r="L829" s="174">
        <f t="shared" si="4"/>
        <v>2.08663941</v>
      </c>
      <c r="M829" s="175" t="str">
        <f t="shared" si="5"/>
        <v>Tonga2020</v>
      </c>
      <c r="N829" s="176">
        <f>IFERROR(__xludf.DUMMYFUNCTION("""COMPUTED_VALUE"""),2.0)</f>
        <v>2</v>
      </c>
      <c r="O829" s="176"/>
      <c r="P829" s="165" t="s">
        <v>17</v>
      </c>
      <c r="Q829" s="165" t="s">
        <v>10</v>
      </c>
      <c r="R829" s="176"/>
      <c r="S829" s="176"/>
      <c r="T829" s="176"/>
      <c r="U829" s="176"/>
      <c r="V829" s="176"/>
      <c r="W829" s="176"/>
      <c r="X829" s="176"/>
      <c r="Y829" s="176"/>
      <c r="Z829" s="176"/>
      <c r="AA829" s="176"/>
    </row>
    <row r="830">
      <c r="A830" s="165" t="str">
        <f>iferror(VLOOKUP(P830,'DO NOT TOUCH Imported'!$A$1:$D$800,4,False),iferror(VLOOKUP(P830,'DO NOT TOUCH Imported'!$C$1:$D$800,2,False),"OOPS FIX ME"))</f>
        <v>positonic</v>
      </c>
      <c r="B830" s="165" t="s">
        <v>566</v>
      </c>
      <c r="C830" s="170" t="s">
        <v>1205</v>
      </c>
      <c r="D830" s="236" t="s">
        <v>499</v>
      </c>
      <c r="E830" s="239">
        <v>44305.0</v>
      </c>
      <c r="F830" s="170" t="s">
        <v>503</v>
      </c>
      <c r="G830" s="170">
        <v>5000.0</v>
      </c>
      <c r="H830" s="171">
        <v>100.0</v>
      </c>
      <c r="I830" s="171">
        <v>100.0</v>
      </c>
      <c r="J830" s="172">
        <f t="shared" si="51"/>
        <v>0.001603678348</v>
      </c>
      <c r="K830" s="173">
        <f t="shared" si="52"/>
        <v>1.924414018</v>
      </c>
      <c r="L830" s="174">
        <f t="shared" si="4"/>
        <v>1.924414018</v>
      </c>
      <c r="M830" s="175" t="str">
        <f t="shared" si="5"/>
        <v>positonic</v>
      </c>
      <c r="N830" s="176">
        <f>IFERROR(__xludf.DUMMYFUNCTION("""COMPUTED_VALUE"""),1.0)</f>
        <v>1</v>
      </c>
      <c r="O830" s="176"/>
      <c r="P830" s="165" t="s">
        <v>1206</v>
      </c>
      <c r="Q830" s="165" t="s">
        <v>566</v>
      </c>
      <c r="R830" s="176"/>
      <c r="S830" s="176"/>
      <c r="T830" s="176"/>
      <c r="U830" s="176"/>
      <c r="V830" s="176"/>
      <c r="W830" s="176"/>
      <c r="X830" s="176"/>
      <c r="Y830" s="176"/>
      <c r="Z830" s="176"/>
      <c r="AA830" s="176"/>
    </row>
    <row r="831">
      <c r="A831" s="165" t="str">
        <f>iferror(VLOOKUP(P831,'DO NOT TOUCH Imported'!$A$1:$D$800,4,False),iferror(VLOOKUP(P831,'DO NOT TOUCH Imported'!$C$1:$D$800,2,False),"OOPS FIX ME"))</f>
        <v>TannrA</v>
      </c>
      <c r="B831" s="165" t="s">
        <v>566</v>
      </c>
      <c r="C831" s="170" t="s">
        <v>933</v>
      </c>
      <c r="D831" s="236" t="s">
        <v>499</v>
      </c>
      <c r="E831" s="239">
        <v>44305.0</v>
      </c>
      <c r="F831" s="170" t="s">
        <v>503</v>
      </c>
      <c r="G831" s="170">
        <v>2000.0</v>
      </c>
      <c r="H831" s="171">
        <v>200.0</v>
      </c>
      <c r="I831" s="171">
        <v>100.0</v>
      </c>
      <c r="J831" s="172">
        <f t="shared" si="51"/>
        <v>0.001596516327</v>
      </c>
      <c r="K831" s="173">
        <f t="shared" si="52"/>
        <v>1.915819593</v>
      </c>
      <c r="L831" s="174">
        <f t="shared" si="4"/>
        <v>1.915819593</v>
      </c>
      <c r="M831" s="175" t="str">
        <f t="shared" si="5"/>
        <v>TannrA</v>
      </c>
      <c r="N831" s="176">
        <f>IFERROR(__xludf.DUMMYFUNCTION("""COMPUTED_VALUE"""),1.0)</f>
        <v>1</v>
      </c>
      <c r="O831" s="176"/>
      <c r="P831" s="165" t="s">
        <v>1207</v>
      </c>
      <c r="Q831" s="165" t="s">
        <v>566</v>
      </c>
      <c r="R831" s="176"/>
      <c r="S831" s="176"/>
      <c r="T831" s="176"/>
      <c r="U831" s="176"/>
      <c r="V831" s="176"/>
      <c r="W831" s="176"/>
      <c r="X831" s="176"/>
      <c r="Y831" s="176"/>
      <c r="Z831" s="176"/>
      <c r="AA831" s="176"/>
    </row>
    <row r="832">
      <c r="A832" s="165" t="str">
        <f>iferror(VLOOKUP(P832,'DO NOT TOUCH Imported'!$A$1:$D$800,4,False),iferror(VLOOKUP(P832,'DO NOT TOUCH Imported'!$C$1:$D$800,2,False),"OOPS FIX ME"))</f>
        <v>Mettodo#7010</v>
      </c>
      <c r="B832" s="165" t="s">
        <v>768</v>
      </c>
      <c r="C832" s="170" t="s">
        <v>1208</v>
      </c>
      <c r="D832" s="236" t="s">
        <v>499</v>
      </c>
      <c r="E832" s="237">
        <v>44299.0</v>
      </c>
      <c r="F832" s="170" t="s">
        <v>503</v>
      </c>
      <c r="G832" s="170">
        <v>1000.0</v>
      </c>
      <c r="H832" s="171">
        <v>100.0</v>
      </c>
      <c r="I832" s="171">
        <v>80.0</v>
      </c>
      <c r="J832" s="172">
        <f t="shared" si="51"/>
        <v>0.0009269003455</v>
      </c>
      <c r="K832" s="173">
        <f t="shared" si="52"/>
        <v>1.112280415</v>
      </c>
      <c r="L832" s="174">
        <f t="shared" si="4"/>
        <v>1.860862024</v>
      </c>
      <c r="M832" s="175" t="str">
        <f t="shared" si="5"/>
        <v>Mettodo#7010</v>
      </c>
      <c r="N832" s="176">
        <f>IFERROR(__xludf.DUMMYFUNCTION("""COMPUTED_VALUE"""),1.0)</f>
        <v>1</v>
      </c>
      <c r="O832" s="176"/>
      <c r="P832" s="165" t="s">
        <v>237</v>
      </c>
      <c r="Q832" s="165" t="s">
        <v>768</v>
      </c>
      <c r="R832" s="176"/>
      <c r="S832" s="176"/>
      <c r="T832" s="176"/>
      <c r="U832" s="176"/>
      <c r="V832" s="176"/>
      <c r="W832" s="176"/>
      <c r="X832" s="176"/>
      <c r="Y832" s="176"/>
      <c r="Z832" s="176"/>
      <c r="AA832" s="176"/>
    </row>
    <row r="833">
      <c r="A833" s="165" t="str">
        <f>iferror(VLOOKUP(P833,'DO NOT TOUCH Imported'!$A$1:$D$800,4,False),iferror(VLOOKUP(P833,'DO NOT TOUCH Imported'!$C$1:$D$800,2,False),"OOPS FIX ME"))</f>
        <v>Mettodo#7010</v>
      </c>
      <c r="B833" s="165" t="s">
        <v>530</v>
      </c>
      <c r="C833" s="170" t="s">
        <v>1209</v>
      </c>
      <c r="D833" s="236" t="s">
        <v>499</v>
      </c>
      <c r="E833" s="237">
        <v>44300.0</v>
      </c>
      <c r="F833" s="170" t="s">
        <v>503</v>
      </c>
      <c r="G833" s="170">
        <v>1000.0</v>
      </c>
      <c r="H833" s="171">
        <v>60.0</v>
      </c>
      <c r="I833" s="171">
        <v>50.0</v>
      </c>
      <c r="J833" s="172">
        <f t="shared" si="51"/>
        <v>0.0006238180076</v>
      </c>
      <c r="K833" s="173">
        <f t="shared" si="52"/>
        <v>0.7485816091</v>
      </c>
      <c r="L833" s="174">
        <f t="shared" si="4"/>
        <v>1.860862024</v>
      </c>
      <c r="M833" s="175" t="str">
        <f t="shared" si="5"/>
        <v>Mettodo#7010</v>
      </c>
      <c r="N833" s="176">
        <f>IFERROR(__xludf.DUMMYFUNCTION("""COMPUTED_VALUE"""),2.0)</f>
        <v>2</v>
      </c>
      <c r="O833" s="176"/>
      <c r="P833" s="165" t="s">
        <v>237</v>
      </c>
      <c r="Q833" s="165" t="s">
        <v>530</v>
      </c>
      <c r="R833" s="176"/>
      <c r="S833" s="176"/>
      <c r="T833" s="176"/>
      <c r="U833" s="176"/>
      <c r="V833" s="176"/>
      <c r="W833" s="176"/>
      <c r="X833" s="176"/>
      <c r="Y833" s="176"/>
      <c r="Z833" s="176"/>
      <c r="AA833" s="176"/>
    </row>
    <row r="834">
      <c r="A834" s="165" t="str">
        <f>iferror(VLOOKUP(P834,'DO NOT TOUCH Imported'!$A$1:$D$800,4,False),iferror(VLOOKUP(P834,'DO NOT TOUCH Imported'!$C$1:$D$800,2,False),"OOPS FIX ME"))</f>
        <v>rdfbbx#6437</v>
      </c>
      <c r="B834" s="165" t="s">
        <v>441</v>
      </c>
      <c r="C834" s="170" t="s">
        <v>992</v>
      </c>
      <c r="D834" s="236" t="s">
        <v>437</v>
      </c>
      <c r="E834" s="237">
        <v>44307.0</v>
      </c>
      <c r="F834" s="170" t="s">
        <v>439</v>
      </c>
      <c r="G834" s="170">
        <v>2500.0</v>
      </c>
      <c r="H834" s="171">
        <v>100.0</v>
      </c>
      <c r="I834" s="171">
        <v>150.0</v>
      </c>
      <c r="J834" s="172">
        <f t="shared" si="51"/>
        <v>0.001448696642</v>
      </c>
      <c r="K834" s="173">
        <f t="shared" si="52"/>
        <v>1.73843597</v>
      </c>
      <c r="L834" s="174">
        <f t="shared" si="4"/>
        <v>1.73843597</v>
      </c>
      <c r="M834" s="175" t="str">
        <f t="shared" si="5"/>
        <v>rdfbbx#6437</v>
      </c>
      <c r="N834" s="176">
        <f>IFERROR(__xludf.DUMMYFUNCTION("""COMPUTED_VALUE"""),1.0)</f>
        <v>1</v>
      </c>
      <c r="O834" s="176"/>
      <c r="P834" s="165" t="s">
        <v>51</v>
      </c>
      <c r="Q834" s="165" t="s">
        <v>441</v>
      </c>
      <c r="R834" s="176"/>
      <c r="S834" s="176"/>
      <c r="T834" s="176"/>
      <c r="U834" s="176"/>
      <c r="V834" s="176"/>
      <c r="W834" s="176"/>
      <c r="X834" s="176"/>
      <c r="Y834" s="176"/>
      <c r="Z834" s="176"/>
      <c r="AA834" s="176"/>
    </row>
    <row r="835">
      <c r="A835" s="185" t="str">
        <f>iferror(VLOOKUP(P835,'DO NOT TOUCH Imported'!$A$1:$D$800,4,False),iferror(VLOOKUP(P835,'DO NOT TOUCH Imported'!$C$1:$D$800,2,False),"OOPS FIX ME"))</f>
        <v>vivszaid</v>
      </c>
      <c r="B835" s="185" t="s">
        <v>534</v>
      </c>
      <c r="C835" s="210" t="s">
        <v>717</v>
      </c>
      <c r="D835" s="187"/>
      <c r="E835" s="188"/>
      <c r="F835" s="189"/>
      <c r="G835" s="190"/>
      <c r="H835" s="190"/>
      <c r="I835" s="190"/>
      <c r="J835" s="172">
        <f>(H835/$H$2+I835/$I$2)/2</f>
        <v>0</v>
      </c>
      <c r="K835" s="215">
        <v>0.0</v>
      </c>
      <c r="L835" s="193">
        <f t="shared" si="4"/>
        <v>1.649783488</v>
      </c>
      <c r="M835" s="194" t="str">
        <f t="shared" si="5"/>
        <v>vivszaid</v>
      </c>
      <c r="N835" s="195">
        <f>IFERROR(__xludf.DUMMYFUNCTION("""COMPUTED_VALUE"""),1.0)</f>
        <v>1</v>
      </c>
      <c r="O835" s="195"/>
      <c r="P835" s="185" t="s">
        <v>85</v>
      </c>
      <c r="Q835" s="185" t="s">
        <v>534</v>
      </c>
      <c r="R835" s="195">
        <v>14.130370493717818</v>
      </c>
      <c r="S835" s="195"/>
      <c r="T835" s="195"/>
      <c r="U835" s="195"/>
      <c r="V835" s="195"/>
      <c r="W835" s="195"/>
      <c r="X835" s="195"/>
      <c r="Y835" s="195"/>
      <c r="Z835" s="195"/>
      <c r="AA835" s="176"/>
    </row>
    <row r="836">
      <c r="A836" s="165" t="str">
        <f>iferror(VLOOKUP(P836,'DO NOT TOUCH Imported'!$A$1:$D$800,4,False),iferror(VLOOKUP(P836,'DO NOT TOUCH Imported'!$C$1:$D$800,2,False),"OOPS FIX ME"))</f>
        <v>vivszaid</v>
      </c>
      <c r="B836" s="165" t="s">
        <v>10</v>
      </c>
      <c r="C836" s="170" t="s">
        <v>936</v>
      </c>
      <c r="D836" s="236" t="s">
        <v>495</v>
      </c>
      <c r="E836" s="237">
        <v>44309.0</v>
      </c>
      <c r="F836" s="170" t="s">
        <v>496</v>
      </c>
      <c r="G836" s="170">
        <v>2000.0</v>
      </c>
      <c r="H836" s="171">
        <v>100.0</v>
      </c>
      <c r="I836" s="171">
        <v>150.0</v>
      </c>
      <c r="J836" s="172">
        <f t="shared" ref="J836:J838" si="53">(G836/$G$2+H836/$H$2+I836/$I$2)/3</f>
        <v>0.001374819573</v>
      </c>
      <c r="K836" s="173">
        <f t="shared" ref="K836:K838" si="54">J836*$J$1</f>
        <v>1.649783488</v>
      </c>
      <c r="L836" s="174">
        <f t="shared" si="4"/>
        <v>1.649783488</v>
      </c>
      <c r="M836" s="175" t="str">
        <f t="shared" si="5"/>
        <v>vivszaid</v>
      </c>
      <c r="N836" s="176">
        <f>IFERROR(__xludf.DUMMYFUNCTION("""COMPUTED_VALUE"""),2.0)</f>
        <v>2</v>
      </c>
      <c r="O836" s="176"/>
      <c r="P836" s="165" t="s">
        <v>85</v>
      </c>
      <c r="Q836" s="165" t="s">
        <v>10</v>
      </c>
      <c r="R836" s="176"/>
      <c r="S836" s="176"/>
      <c r="T836" s="176"/>
      <c r="U836" s="176"/>
      <c r="V836" s="176"/>
      <c r="W836" s="176"/>
      <c r="X836" s="176"/>
      <c r="Y836" s="176"/>
      <c r="Z836" s="176"/>
      <c r="AA836" s="176"/>
    </row>
    <row r="837">
      <c r="A837" s="165" t="str">
        <f>iferror(VLOOKUP(P837,'DO NOT TOUCH Imported'!$A$1:$D$800,4,False),iferror(VLOOKUP(P837,'DO NOT TOUCH Imported'!$C$1:$D$800,2,False),"OOPS FIX ME"))</f>
        <v>johann#1308</v>
      </c>
      <c r="B837" s="165" t="s">
        <v>596</v>
      </c>
      <c r="C837" s="170" t="s">
        <v>937</v>
      </c>
      <c r="D837" s="236" t="s">
        <v>437</v>
      </c>
      <c r="E837" s="237">
        <v>44309.0</v>
      </c>
      <c r="F837" s="170" t="s">
        <v>439</v>
      </c>
      <c r="G837" s="170">
        <v>2000.0</v>
      </c>
      <c r="H837" s="171">
        <v>100.0</v>
      </c>
      <c r="I837" s="171">
        <v>150.0</v>
      </c>
      <c r="J837" s="172">
        <f t="shared" si="53"/>
        <v>0.001374819573</v>
      </c>
      <c r="K837" s="173">
        <f t="shared" si="54"/>
        <v>1.649783488</v>
      </c>
      <c r="L837" s="174">
        <f t="shared" si="4"/>
        <v>1.649783488</v>
      </c>
      <c r="M837" s="175" t="str">
        <f t="shared" si="5"/>
        <v>johann#1308</v>
      </c>
      <c r="N837" s="176">
        <f>IFERROR(__xludf.DUMMYFUNCTION("""COMPUTED_VALUE"""),1.0)</f>
        <v>1</v>
      </c>
      <c r="O837" s="176"/>
      <c r="P837" s="165" t="s">
        <v>203</v>
      </c>
      <c r="Q837" s="165" t="s">
        <v>596</v>
      </c>
      <c r="R837" s="176"/>
      <c r="S837" s="176"/>
      <c r="T837" s="176"/>
      <c r="U837" s="176"/>
      <c r="V837" s="176"/>
      <c r="W837" s="176"/>
      <c r="X837" s="176"/>
      <c r="Y837" s="176"/>
      <c r="Z837" s="176"/>
      <c r="AA837" s="176"/>
    </row>
    <row r="838">
      <c r="A838" s="165" t="str">
        <f>iferror(VLOOKUP(P838,'DO NOT TOUCH Imported'!$A$1:$D$800,4,False),iferror(VLOOKUP(P838,'DO NOT TOUCH Imported'!$C$1:$D$800,2,False),"OOPS FIX ME"))</f>
        <v>fvigevani</v>
      </c>
      <c r="B838" s="165" t="s">
        <v>10</v>
      </c>
      <c r="C838" s="170" t="s">
        <v>936</v>
      </c>
      <c r="D838" s="236" t="s">
        <v>495</v>
      </c>
      <c r="E838" s="239">
        <v>44309.0</v>
      </c>
      <c r="F838" s="170" t="s">
        <v>496</v>
      </c>
      <c r="G838" s="170">
        <v>2000.0</v>
      </c>
      <c r="H838" s="171">
        <v>100.0</v>
      </c>
      <c r="I838" s="171">
        <v>150.0</v>
      </c>
      <c r="J838" s="172">
        <f t="shared" si="53"/>
        <v>0.001374819573</v>
      </c>
      <c r="K838" s="173">
        <f t="shared" si="54"/>
        <v>1.649783488</v>
      </c>
      <c r="L838" s="174">
        <f t="shared" si="4"/>
        <v>1.649783488</v>
      </c>
      <c r="M838" s="175" t="str">
        <f t="shared" si="5"/>
        <v>fvigevani</v>
      </c>
      <c r="N838" s="176">
        <f>IFERROR(__xludf.DUMMYFUNCTION("""COMPUTED_VALUE"""),1.0)</f>
        <v>1</v>
      </c>
      <c r="O838" s="176"/>
      <c r="P838" s="165" t="s">
        <v>74</v>
      </c>
      <c r="Q838" s="165" t="s">
        <v>10</v>
      </c>
      <c r="R838" s="176"/>
      <c r="S838" s="176"/>
      <c r="T838" s="176"/>
      <c r="U838" s="176"/>
      <c r="V838" s="176"/>
      <c r="W838" s="176"/>
      <c r="X838" s="176"/>
      <c r="Y838" s="176"/>
      <c r="Z838" s="176"/>
      <c r="AA838" s="176"/>
    </row>
    <row r="839">
      <c r="A839" s="185" t="str">
        <f>iferror(VLOOKUP(P839,'DO NOT TOUCH Imported'!$A$1:$D$800,4,False),iferror(VLOOKUP(P839,'DO NOT TOUCH Imported'!$C$1:$D$800,2,False),"OOPS FIX ME"))</f>
        <v>fiorebotta</v>
      </c>
      <c r="B839" s="185" t="s">
        <v>534</v>
      </c>
      <c r="C839" s="210" t="s">
        <v>717</v>
      </c>
      <c r="D839" s="187"/>
      <c r="E839" s="188"/>
      <c r="F839" s="189"/>
      <c r="G839" s="190"/>
      <c r="H839" s="190"/>
      <c r="I839" s="190"/>
      <c r="J839" s="172">
        <f>(H839/$H$2+I839/$I$2)/2</f>
        <v>0</v>
      </c>
      <c r="K839" s="215">
        <v>0.0</v>
      </c>
      <c r="L839" s="193">
        <f t="shared" si="4"/>
        <v>1.649783488</v>
      </c>
      <c r="M839" s="194" t="str">
        <f t="shared" si="5"/>
        <v>fiorebotta</v>
      </c>
      <c r="N839" s="195">
        <f>IFERROR(__xludf.DUMMYFUNCTION("""COMPUTED_VALUE"""),1.0)</f>
        <v>1</v>
      </c>
      <c r="O839" s="195"/>
      <c r="P839" s="211" t="s">
        <v>62</v>
      </c>
      <c r="Q839" s="185" t="s">
        <v>534</v>
      </c>
      <c r="R839" s="195">
        <v>11.125055275694283</v>
      </c>
      <c r="S839" s="195"/>
      <c r="T839" s="195"/>
      <c r="U839" s="195"/>
      <c r="V839" s="195"/>
      <c r="W839" s="195"/>
      <c r="X839" s="195"/>
      <c r="Y839" s="195"/>
      <c r="Z839" s="195"/>
      <c r="AA839" s="176"/>
    </row>
    <row r="840">
      <c r="A840" s="165" t="str">
        <f>iferror(VLOOKUP(P840,'DO NOT TOUCH Imported'!$A$1:$D$800,4,False),iferror(VLOOKUP(P840,'DO NOT TOUCH Imported'!$C$1:$D$800,2,False),"OOPS FIX ME"))</f>
        <v>fiorebotta</v>
      </c>
      <c r="B840" s="165" t="s">
        <v>10</v>
      </c>
      <c r="C840" s="170" t="s">
        <v>936</v>
      </c>
      <c r="D840" s="236" t="s">
        <v>495</v>
      </c>
      <c r="E840" s="239">
        <v>44309.0</v>
      </c>
      <c r="F840" s="170" t="s">
        <v>496</v>
      </c>
      <c r="G840" s="170">
        <v>2000.0</v>
      </c>
      <c r="H840" s="171">
        <v>100.0</v>
      </c>
      <c r="I840" s="171">
        <v>150.0</v>
      </c>
      <c r="J840" s="172">
        <f t="shared" ref="J840:J841" si="55">(G840/$G$2+H840/$H$2+I840/$I$2)/3</f>
        <v>0.001374819573</v>
      </c>
      <c r="K840" s="173">
        <f t="shared" ref="K840:K841" si="56">J840*$J$1</f>
        <v>1.649783488</v>
      </c>
      <c r="L840" s="174">
        <f t="shared" si="4"/>
        <v>1.649783488</v>
      </c>
      <c r="M840" s="175" t="str">
        <f t="shared" si="5"/>
        <v>fiorebotta</v>
      </c>
      <c r="N840" s="176">
        <f>IFERROR(__xludf.DUMMYFUNCTION("""COMPUTED_VALUE"""),2.0)</f>
        <v>2</v>
      </c>
      <c r="O840" s="176"/>
      <c r="P840" s="165" t="s">
        <v>62</v>
      </c>
      <c r="Q840" s="165" t="s">
        <v>10</v>
      </c>
      <c r="R840" s="176"/>
      <c r="S840" s="176"/>
      <c r="T840" s="176"/>
      <c r="U840" s="176"/>
      <c r="V840" s="176"/>
      <c r="W840" s="176"/>
      <c r="X840" s="176"/>
      <c r="Y840" s="176"/>
      <c r="Z840" s="176"/>
      <c r="AA840" s="176"/>
    </row>
    <row r="841">
      <c r="A841" s="165" t="str">
        <f>iferror(VLOOKUP(P841,'DO NOT TOUCH Imported'!$A$1:$D$800,4,False),iferror(VLOOKUP(P841,'DO NOT TOUCH Imported'!$C$1:$D$800,2,False),"OOPS FIX ME"))</f>
        <v>BK#7471</v>
      </c>
      <c r="B841" s="165" t="s">
        <v>596</v>
      </c>
      <c r="C841" s="170" t="s">
        <v>937</v>
      </c>
      <c r="D841" s="236" t="s">
        <v>437</v>
      </c>
      <c r="E841" s="239">
        <v>44309.0</v>
      </c>
      <c r="F841" s="170" t="s">
        <v>439</v>
      </c>
      <c r="G841" s="170">
        <v>2000.0</v>
      </c>
      <c r="H841" s="171">
        <v>100.0</v>
      </c>
      <c r="I841" s="171">
        <v>150.0</v>
      </c>
      <c r="J841" s="172">
        <f t="shared" si="55"/>
        <v>0.001374819573</v>
      </c>
      <c r="K841" s="173">
        <f t="shared" si="56"/>
        <v>1.649783488</v>
      </c>
      <c r="L841" s="174">
        <f t="shared" si="4"/>
        <v>1.649783488</v>
      </c>
      <c r="M841" s="175" t="str">
        <f t="shared" si="5"/>
        <v>BK#7471</v>
      </c>
      <c r="N841" s="176">
        <f>IFERROR(__xludf.DUMMYFUNCTION("""COMPUTED_VALUE"""),1.0)</f>
        <v>1</v>
      </c>
      <c r="O841" s="176"/>
      <c r="P841" s="165" t="s">
        <v>204</v>
      </c>
      <c r="Q841" s="165" t="s">
        <v>596</v>
      </c>
      <c r="R841" s="176"/>
      <c r="S841" s="176"/>
      <c r="T841" s="176"/>
      <c r="U841" s="176"/>
      <c r="V841" s="176"/>
      <c r="W841" s="176"/>
      <c r="X841" s="176"/>
      <c r="Y841" s="176"/>
      <c r="Z841" s="176"/>
      <c r="AA841" s="176"/>
    </row>
    <row r="842">
      <c r="A842" s="185" t="str">
        <f>iferror(VLOOKUP(P842,'DO NOT TOUCH Imported'!$A$1:$D$800,4,False),iferror(VLOOKUP(P842,'DO NOT TOUCH Imported'!$C$1:$D$800,2,False),"OOPS FIX ME"))</f>
        <v>anthonyoliai</v>
      </c>
      <c r="B842" s="185" t="s">
        <v>534</v>
      </c>
      <c r="C842" s="210" t="s">
        <v>655</v>
      </c>
      <c r="D842" s="187"/>
      <c r="E842" s="188"/>
      <c r="F842" s="189"/>
      <c r="G842" s="190"/>
      <c r="H842" s="190"/>
      <c r="I842" s="190"/>
      <c r="J842" s="172">
        <f>(H842/$H$2+I842/$I$2)/2</f>
        <v>0</v>
      </c>
      <c r="K842" s="215">
        <v>0.0</v>
      </c>
      <c r="L842" s="193">
        <f t="shared" si="4"/>
        <v>1.649783488</v>
      </c>
      <c r="M842" s="194" t="str">
        <f t="shared" si="5"/>
        <v>anthonyoliai</v>
      </c>
      <c r="N842" s="195">
        <f>IFERROR(__xludf.DUMMYFUNCTION("""COMPUTED_VALUE"""),1.0)</f>
        <v>1</v>
      </c>
      <c r="O842" s="195"/>
      <c r="P842" s="211" t="s">
        <v>122</v>
      </c>
      <c r="Q842" s="185" t="s">
        <v>534</v>
      </c>
      <c r="R842" s="195">
        <v>8.606119831199203</v>
      </c>
      <c r="S842" s="195"/>
      <c r="T842" s="195"/>
      <c r="U842" s="195"/>
      <c r="V842" s="195"/>
      <c r="W842" s="195"/>
      <c r="X842" s="195"/>
      <c r="Y842" s="195"/>
      <c r="Z842" s="195"/>
      <c r="AA842" s="176"/>
    </row>
    <row r="843">
      <c r="A843" s="165" t="str">
        <f>iferror(VLOOKUP(P843,'DO NOT TOUCH Imported'!$A$1:$D$800,4,False),iferror(VLOOKUP(P843,'DO NOT TOUCH Imported'!$C$1:$D$800,2,False),"OOPS FIX ME"))</f>
        <v>anthonyoliai</v>
      </c>
      <c r="B843" s="165" t="s">
        <v>10</v>
      </c>
      <c r="C843" s="170" t="s">
        <v>936</v>
      </c>
      <c r="D843" s="236" t="s">
        <v>495</v>
      </c>
      <c r="E843" s="237">
        <v>44309.0</v>
      </c>
      <c r="F843" s="170" t="s">
        <v>496</v>
      </c>
      <c r="G843" s="170">
        <v>2000.0</v>
      </c>
      <c r="H843" s="171">
        <v>100.0</v>
      </c>
      <c r="I843" s="171">
        <v>150.0</v>
      </c>
      <c r="J843" s="172">
        <f t="shared" ref="J843:J908" si="57">(G843/$G$2+H843/$H$2+I843/$I$2)/3</f>
        <v>0.001374819573</v>
      </c>
      <c r="K843" s="173">
        <f t="shared" ref="K843:K908" si="58">J843*$J$1</f>
        <v>1.649783488</v>
      </c>
      <c r="L843" s="174">
        <f t="shared" si="4"/>
        <v>1.649783488</v>
      </c>
      <c r="M843" s="175" t="str">
        <f t="shared" si="5"/>
        <v>anthonyoliai</v>
      </c>
      <c r="N843" s="176">
        <f>IFERROR(__xludf.DUMMYFUNCTION("""COMPUTED_VALUE"""),2.0)</f>
        <v>2</v>
      </c>
      <c r="O843" s="176"/>
      <c r="P843" s="165" t="s">
        <v>122</v>
      </c>
      <c r="Q843" s="165" t="s">
        <v>10</v>
      </c>
      <c r="R843" s="176"/>
      <c r="S843" s="176"/>
      <c r="T843" s="176"/>
      <c r="U843" s="176"/>
      <c r="V843" s="176"/>
      <c r="W843" s="176"/>
      <c r="X843" s="176"/>
      <c r="Y843" s="176"/>
      <c r="Z843" s="176"/>
      <c r="AA843" s="176"/>
    </row>
    <row r="844">
      <c r="A844" s="165" t="str">
        <f>iferror(VLOOKUP(P844,'DO NOT TOUCH Imported'!$A$1:$D$800,4,False),iferror(VLOOKUP(P844,'DO NOT TOUCH Imported'!$C$1:$D$800,2,False),"OOPS FIX ME"))</f>
        <v>jwaup</v>
      </c>
      <c r="B844" s="165" t="s">
        <v>435</v>
      </c>
      <c r="C844" s="170" t="s">
        <v>1210</v>
      </c>
      <c r="D844" s="236" t="s">
        <v>437</v>
      </c>
      <c r="E844" s="237">
        <v>44299.0</v>
      </c>
      <c r="F844" s="170" t="s">
        <v>439</v>
      </c>
      <c r="G844" s="170">
        <v>5000.0</v>
      </c>
      <c r="H844" s="171">
        <v>80.0</v>
      </c>
      <c r="I844" s="171">
        <v>50.0</v>
      </c>
      <c r="J844" s="172">
        <f t="shared" si="57"/>
        <v>0.001302054634</v>
      </c>
      <c r="K844" s="173">
        <f t="shared" si="58"/>
        <v>1.562465561</v>
      </c>
      <c r="L844" s="174">
        <f t="shared" si="4"/>
        <v>1.562465561</v>
      </c>
      <c r="M844" s="175" t="str">
        <f t="shared" si="5"/>
        <v>jwaup</v>
      </c>
      <c r="N844" s="176">
        <f>IFERROR(__xludf.DUMMYFUNCTION("""COMPUTED_VALUE"""),1.0)</f>
        <v>1</v>
      </c>
      <c r="O844" s="176"/>
      <c r="P844" s="165" t="s">
        <v>832</v>
      </c>
      <c r="Q844" s="165" t="s">
        <v>435</v>
      </c>
      <c r="R844" s="176"/>
      <c r="S844" s="176"/>
      <c r="T844" s="176"/>
      <c r="U844" s="176"/>
      <c r="V844" s="176"/>
      <c r="W844" s="176"/>
      <c r="X844" s="176"/>
      <c r="Y844" s="176"/>
      <c r="Z844" s="176"/>
      <c r="AA844" s="176"/>
    </row>
    <row r="845">
      <c r="A845" s="165" t="str">
        <f>iferror(VLOOKUP(P845,'DO NOT TOUCH Imported'!$A$1:$D$800,4,False),iferror(VLOOKUP(P845,'DO NOT TOUCH Imported'!$C$1:$D$800,2,False),"OOPS FIX ME"))</f>
        <v>🐙 octopus#5508</v>
      </c>
      <c r="B845" s="165" t="s">
        <v>492</v>
      </c>
      <c r="C845" s="170" t="s">
        <v>915</v>
      </c>
      <c r="D845" s="236" t="s">
        <v>437</v>
      </c>
      <c r="E845" s="237">
        <v>44300.0</v>
      </c>
      <c r="F845" s="170" t="s">
        <v>439</v>
      </c>
      <c r="G845" s="170">
        <v>1000.0</v>
      </c>
      <c r="H845" s="171">
        <v>60.0</v>
      </c>
      <c r="I845" s="171">
        <v>50.0</v>
      </c>
      <c r="J845" s="172">
        <f t="shared" si="57"/>
        <v>0.0006238180076</v>
      </c>
      <c r="K845" s="173">
        <f t="shared" si="58"/>
        <v>0.7485816091</v>
      </c>
      <c r="L845" s="174">
        <f t="shared" si="4"/>
        <v>1.497163218</v>
      </c>
      <c r="M845" s="175" t="str">
        <f t="shared" si="5"/>
        <v>🐙 octopus#5508</v>
      </c>
      <c r="N845" s="176">
        <f>IFERROR(__xludf.DUMMYFUNCTION("""COMPUTED_VALUE"""),1.0)</f>
        <v>1</v>
      </c>
      <c r="O845" s="176"/>
      <c r="P845" s="165" t="s">
        <v>217</v>
      </c>
      <c r="Q845" s="165" t="s">
        <v>492</v>
      </c>
      <c r="R845" s="176"/>
      <c r="S845" s="176"/>
      <c r="T845" s="176"/>
      <c r="U845" s="176"/>
      <c r="V845" s="176"/>
      <c r="W845" s="176"/>
      <c r="X845" s="176"/>
      <c r="Y845" s="176"/>
      <c r="Z845" s="176"/>
      <c r="AA845" s="176"/>
    </row>
    <row r="846">
      <c r="A846" s="165" t="str">
        <f>iferror(VLOOKUP(P846,'DO NOT TOUCH Imported'!$A$1:$D$800,4,False),iferror(VLOOKUP(P846,'DO NOT TOUCH Imported'!$C$1:$D$800,2,False),"OOPS FIX ME"))</f>
        <v>🐙 octopus#5508</v>
      </c>
      <c r="B846" s="165" t="s">
        <v>441</v>
      </c>
      <c r="C846" s="170" t="s">
        <v>918</v>
      </c>
      <c r="D846" s="236" t="s">
        <v>437</v>
      </c>
      <c r="E846" s="237">
        <v>44302.0</v>
      </c>
      <c r="F846" s="170" t="s">
        <v>439</v>
      </c>
      <c r="G846" s="170">
        <v>1000.0</v>
      </c>
      <c r="H846" s="171">
        <v>60.0</v>
      </c>
      <c r="I846" s="171">
        <v>50.0</v>
      </c>
      <c r="J846" s="172">
        <f t="shared" si="57"/>
        <v>0.0006238180076</v>
      </c>
      <c r="K846" s="173">
        <f t="shared" si="58"/>
        <v>0.7485816091</v>
      </c>
      <c r="L846" s="174">
        <f t="shared" si="4"/>
        <v>1.497163218</v>
      </c>
      <c r="M846" s="175" t="str">
        <f t="shared" si="5"/>
        <v>🐙 octopus#5508</v>
      </c>
      <c r="N846" s="176">
        <f>IFERROR(__xludf.DUMMYFUNCTION("""COMPUTED_VALUE"""),2.0)</f>
        <v>2</v>
      </c>
      <c r="O846" s="176"/>
      <c r="P846" s="165" t="s">
        <v>217</v>
      </c>
      <c r="Q846" s="165" t="s">
        <v>441</v>
      </c>
      <c r="R846" s="176"/>
      <c r="S846" s="176"/>
      <c r="T846" s="176"/>
      <c r="U846" s="176"/>
      <c r="V846" s="176"/>
      <c r="W846" s="176"/>
      <c r="X846" s="176"/>
      <c r="Y846" s="176"/>
      <c r="Z846" s="176"/>
      <c r="AA846" s="176"/>
    </row>
    <row r="847">
      <c r="A847" s="240" t="str">
        <f>iferror(VLOOKUP(P847,'DO NOT TOUCH Imported'!$A$1:$D$800,4,False),iferror(VLOOKUP(P847,'DO NOT TOUCH Imported'!$C$1:$D$800,2,False),"OOPS FIX ME"))</f>
        <v>🐙 octopus#5508</v>
      </c>
      <c r="B847" s="240" t="s">
        <v>492</v>
      </c>
      <c r="C847" s="221" t="s">
        <v>915</v>
      </c>
      <c r="D847" s="241" t="s">
        <v>437</v>
      </c>
      <c r="E847" s="244">
        <v>44300.0</v>
      </c>
      <c r="F847" s="221" t="s">
        <v>439</v>
      </c>
      <c r="G847" s="221"/>
      <c r="H847" s="222"/>
      <c r="I847" s="222"/>
      <c r="J847" s="172">
        <f t="shared" si="57"/>
        <v>0</v>
      </c>
      <c r="K847" s="173">
        <f t="shared" si="58"/>
        <v>0</v>
      </c>
      <c r="L847" s="174">
        <f t="shared" si="4"/>
        <v>1.497163218</v>
      </c>
      <c r="M847" s="175" t="str">
        <f t="shared" si="5"/>
        <v>🐙 octopus#5508</v>
      </c>
      <c r="N847" s="209">
        <f>IFERROR(__xludf.DUMMYFUNCTION("""COMPUTED_VALUE"""),3.0)</f>
        <v>3</v>
      </c>
      <c r="O847" s="209"/>
      <c r="P847" s="240" t="s">
        <v>217</v>
      </c>
      <c r="Q847" s="240" t="s">
        <v>492</v>
      </c>
      <c r="R847" s="209"/>
      <c r="S847" s="209"/>
      <c r="T847" s="209"/>
      <c r="U847" s="209"/>
      <c r="V847" s="209"/>
      <c r="W847" s="209"/>
      <c r="X847" s="209"/>
      <c r="Y847" s="209"/>
      <c r="Z847" s="209"/>
      <c r="AA847" s="209"/>
    </row>
    <row r="848">
      <c r="A848" s="165" t="str">
        <f>iferror(VLOOKUP(P848,'DO NOT TOUCH Imported'!$A$1:$D$800,4,False),iferror(VLOOKUP(P848,'DO NOT TOUCH Imported'!$C$1:$D$800,2,False),"OOPS FIX ME"))</f>
        <v>willszal#6405</v>
      </c>
      <c r="B848" s="165" t="s">
        <v>566</v>
      </c>
      <c r="C848" s="170" t="s">
        <v>1211</v>
      </c>
      <c r="D848" s="236" t="s">
        <v>499</v>
      </c>
      <c r="E848" s="237">
        <v>44307.0</v>
      </c>
      <c r="F848" s="170" t="s">
        <v>503</v>
      </c>
      <c r="G848" s="170">
        <v>2500.0</v>
      </c>
      <c r="H848" s="171">
        <v>100.0</v>
      </c>
      <c r="I848" s="171">
        <v>100.0</v>
      </c>
      <c r="J848" s="172">
        <f t="shared" si="57"/>
        <v>0.001234293006</v>
      </c>
      <c r="K848" s="173">
        <f t="shared" si="58"/>
        <v>1.481151607</v>
      </c>
      <c r="L848" s="174">
        <f t="shared" si="4"/>
        <v>1.481151607</v>
      </c>
      <c r="M848" s="175" t="str">
        <f t="shared" si="5"/>
        <v>willszal#6405</v>
      </c>
      <c r="N848" s="176">
        <f>IFERROR(__xludf.DUMMYFUNCTION("""COMPUTED_VALUE"""),1.0)</f>
        <v>1</v>
      </c>
      <c r="O848" s="176"/>
      <c r="P848" s="165" t="s">
        <v>263</v>
      </c>
      <c r="Q848" s="165" t="s">
        <v>566</v>
      </c>
      <c r="R848" s="176"/>
      <c r="S848" s="176"/>
      <c r="T848" s="176"/>
      <c r="U848" s="176"/>
      <c r="V848" s="176"/>
      <c r="W848" s="176"/>
      <c r="X848" s="176"/>
      <c r="Y848" s="176"/>
      <c r="Z848" s="176"/>
      <c r="AA848" s="176"/>
    </row>
    <row r="849">
      <c r="A849" s="165" t="str">
        <f>iferror(VLOOKUP(P849,'DO NOT TOUCH Imported'!$A$1:$D$800,4,False),iferror(VLOOKUP(P849,'DO NOT TOUCH Imported'!$C$1:$D$800,2,False),"OOPS FIX ME"))</f>
        <v>petheth</v>
      </c>
      <c r="B849" s="165" t="s">
        <v>566</v>
      </c>
      <c r="C849" s="170" t="s">
        <v>1212</v>
      </c>
      <c r="D849" s="236" t="s">
        <v>499</v>
      </c>
      <c r="E849" s="239">
        <v>44305.0</v>
      </c>
      <c r="F849" s="170" t="s">
        <v>503</v>
      </c>
      <c r="G849" s="170">
        <v>1000.0</v>
      </c>
      <c r="H849" s="171">
        <v>150.0</v>
      </c>
      <c r="I849" s="171">
        <v>100.0</v>
      </c>
      <c r="J849" s="172">
        <f t="shared" si="57"/>
        <v>0.001230711995</v>
      </c>
      <c r="K849" s="173">
        <f t="shared" si="58"/>
        <v>1.476854394</v>
      </c>
      <c r="L849" s="174">
        <f t="shared" si="4"/>
        <v>1.476854394</v>
      </c>
      <c r="M849" s="175" t="str">
        <f t="shared" si="5"/>
        <v>petheth</v>
      </c>
      <c r="N849" s="176">
        <f>IFERROR(__xludf.DUMMYFUNCTION("""COMPUTED_VALUE"""),1.0)</f>
        <v>1</v>
      </c>
      <c r="O849" s="176"/>
      <c r="P849" s="165" t="s">
        <v>1213</v>
      </c>
      <c r="Q849" s="165" t="s">
        <v>566</v>
      </c>
      <c r="R849" s="176"/>
      <c r="S849" s="176"/>
      <c r="T849" s="176"/>
      <c r="U849" s="176"/>
      <c r="V849" s="176"/>
      <c r="W849" s="176"/>
      <c r="X849" s="176"/>
      <c r="Y849" s="176"/>
      <c r="Z849" s="176"/>
      <c r="AA849" s="176"/>
    </row>
    <row r="850">
      <c r="A850" s="165" t="str">
        <f>iferror(VLOOKUP(P850,'DO NOT TOUCH Imported'!$A$1:$D$800,4,False),iferror(VLOOKUP(P850,'DO NOT TOUCH Imported'!$C$1:$D$800,2,False),"OOPS FIX ME"))</f>
        <v>rogervs#1094</v>
      </c>
      <c r="B850" s="165" t="s">
        <v>435</v>
      </c>
      <c r="C850" s="170" t="s">
        <v>1214</v>
      </c>
      <c r="D850" s="236" t="s">
        <v>437</v>
      </c>
      <c r="E850" s="239">
        <v>44299.0</v>
      </c>
      <c r="F850" s="170" t="s">
        <v>439</v>
      </c>
      <c r="G850" s="170">
        <v>5000.0</v>
      </c>
      <c r="H850" s="171">
        <v>60.0</v>
      </c>
      <c r="I850" s="171">
        <v>50.0</v>
      </c>
      <c r="J850" s="172">
        <f t="shared" si="57"/>
        <v>0.001214834556</v>
      </c>
      <c r="K850" s="173">
        <f t="shared" si="58"/>
        <v>1.457801467</v>
      </c>
      <c r="L850" s="174">
        <f t="shared" si="4"/>
        <v>1.457801467</v>
      </c>
      <c r="M850" s="175" t="str">
        <f t="shared" si="5"/>
        <v>rogervs#1094</v>
      </c>
      <c r="N850" s="176">
        <f>IFERROR(__xludf.DUMMYFUNCTION("""COMPUTED_VALUE"""),1.0)</f>
        <v>1</v>
      </c>
      <c r="O850" s="176"/>
      <c r="P850" s="165" t="s">
        <v>264</v>
      </c>
      <c r="Q850" s="165" t="s">
        <v>435</v>
      </c>
      <c r="R850" s="176"/>
      <c r="S850" s="176"/>
      <c r="T850" s="176"/>
      <c r="U850" s="176"/>
      <c r="V850" s="176"/>
      <c r="W850" s="176"/>
      <c r="X850" s="176"/>
      <c r="Y850" s="176"/>
      <c r="Z850" s="176"/>
      <c r="AA850" s="176"/>
    </row>
    <row r="851">
      <c r="A851" s="165" t="str">
        <f>iferror(VLOOKUP(P851,'DO NOT TOUCH Imported'!$A$1:$D$800,4,False),iferror(VLOOKUP(P851,'DO NOT TOUCH Imported'!$C$1:$D$800,2,False),"OOPS FIX ME"))</f>
        <v>ryanchrypto</v>
      </c>
      <c r="B851" s="165" t="s">
        <v>768</v>
      </c>
      <c r="C851" s="170" t="s">
        <v>999</v>
      </c>
      <c r="D851" s="236" t="s">
        <v>499</v>
      </c>
      <c r="E851" s="239">
        <v>44308.0</v>
      </c>
      <c r="F851" s="170" t="s">
        <v>503</v>
      </c>
      <c r="G851" s="170">
        <v>1000.0</v>
      </c>
      <c r="H851" s="171">
        <v>100.0</v>
      </c>
      <c r="I851" s="171">
        <v>50.0</v>
      </c>
      <c r="J851" s="172">
        <f t="shared" si="57"/>
        <v>0.0007982581637</v>
      </c>
      <c r="K851" s="173">
        <f t="shared" si="58"/>
        <v>0.9579097965</v>
      </c>
      <c r="L851" s="174">
        <f t="shared" si="4"/>
        <v>1.306034578</v>
      </c>
      <c r="M851" s="175" t="str">
        <f t="shared" si="5"/>
        <v>ryanchrypto</v>
      </c>
      <c r="N851" s="176">
        <f>IFERROR(__xludf.DUMMYFUNCTION("""COMPUTED_VALUE"""),1.0)</f>
        <v>1</v>
      </c>
      <c r="O851" s="176"/>
      <c r="P851" s="165" t="s">
        <v>1215</v>
      </c>
      <c r="Q851" s="165" t="s">
        <v>768</v>
      </c>
      <c r="R851" s="176"/>
      <c r="S851" s="176"/>
      <c r="T851" s="176"/>
      <c r="U851" s="176"/>
      <c r="V851" s="176"/>
      <c r="W851" s="176"/>
      <c r="X851" s="176"/>
      <c r="Y851" s="176"/>
      <c r="Z851" s="176"/>
      <c r="AA851" s="176"/>
    </row>
    <row r="852">
      <c r="A852" s="165" t="str">
        <f>iferror(VLOOKUP(P852,'DO NOT TOUCH Imported'!$A$1:$D$800,4,False),iferror(VLOOKUP(P852,'DO NOT TOUCH Imported'!$C$1:$D$800,2,False),"OOPS FIX ME"))</f>
        <v>ryanchrypto</v>
      </c>
      <c r="B852" s="165" t="s">
        <v>10</v>
      </c>
      <c r="C852" s="170" t="s">
        <v>498</v>
      </c>
      <c r="D852" s="236" t="s">
        <v>495</v>
      </c>
      <c r="E852" s="237">
        <v>44302.0</v>
      </c>
      <c r="F852" s="170" t="s">
        <v>499</v>
      </c>
      <c r="G852" s="170">
        <v>500.0</v>
      </c>
      <c r="H852" s="171">
        <v>25.0</v>
      </c>
      <c r="I852" s="171">
        <v>25.0</v>
      </c>
      <c r="J852" s="172">
        <f t="shared" si="57"/>
        <v>0.0002901039843</v>
      </c>
      <c r="K852" s="173">
        <f t="shared" si="58"/>
        <v>0.3481247811</v>
      </c>
      <c r="L852" s="174">
        <f t="shared" si="4"/>
        <v>1.306034578</v>
      </c>
      <c r="M852" s="175" t="str">
        <f t="shared" si="5"/>
        <v>ryanchrypto</v>
      </c>
      <c r="N852" s="176">
        <f>IFERROR(__xludf.DUMMYFUNCTION("""COMPUTED_VALUE"""),2.0)</f>
        <v>2</v>
      </c>
      <c r="O852" s="176"/>
      <c r="P852" s="165" t="s">
        <v>167</v>
      </c>
      <c r="Q852" s="165" t="s">
        <v>10</v>
      </c>
      <c r="R852" s="176"/>
      <c r="S852" s="176"/>
      <c r="T852" s="176"/>
      <c r="U852" s="176"/>
      <c r="V852" s="176"/>
      <c r="W852" s="176"/>
      <c r="X852" s="176"/>
      <c r="Y852" s="176"/>
      <c r="Z852" s="176"/>
      <c r="AA852" s="176"/>
    </row>
    <row r="853">
      <c r="A853" s="165" t="str">
        <f>iferror(VLOOKUP(P853,'DO NOT TOUCH Imported'!$A$1:$D$800,4,False),iferror(VLOOKUP(P853,'DO NOT TOUCH Imported'!$C$1:$D$800,2,False),"OOPS FIX ME"))</f>
        <v>francescovaub</v>
      </c>
      <c r="B853" s="165" t="s">
        <v>519</v>
      </c>
      <c r="C853" s="170" t="s">
        <v>1216</v>
      </c>
      <c r="D853" s="236" t="s">
        <v>495</v>
      </c>
      <c r="E853" s="237">
        <v>44303.0</v>
      </c>
      <c r="F853" s="170" t="s">
        <v>499</v>
      </c>
      <c r="G853" s="170">
        <v>1500.0</v>
      </c>
      <c r="H853" s="171">
        <v>100.0</v>
      </c>
      <c r="I853" s="171">
        <v>100.0</v>
      </c>
      <c r="J853" s="172">
        <f t="shared" si="57"/>
        <v>0.001086538869</v>
      </c>
      <c r="K853" s="173">
        <f t="shared" si="58"/>
        <v>1.303846642</v>
      </c>
      <c r="L853" s="174">
        <f t="shared" si="4"/>
        <v>1.303846642</v>
      </c>
      <c r="M853" s="175" t="str">
        <f t="shared" si="5"/>
        <v>francescovaub</v>
      </c>
      <c r="N853" s="176">
        <f>IFERROR(__xludf.DUMMYFUNCTION("""COMPUTED_VALUE"""),1.0)</f>
        <v>1</v>
      </c>
      <c r="O853" s="176"/>
      <c r="P853" s="165" t="s">
        <v>270</v>
      </c>
      <c r="Q853" s="165" t="s">
        <v>519</v>
      </c>
      <c r="R853" s="176"/>
      <c r="S853" s="176"/>
      <c r="T853" s="176"/>
      <c r="U853" s="176"/>
      <c r="V853" s="176"/>
      <c r="W853" s="176"/>
      <c r="X853" s="176"/>
      <c r="Y853" s="176"/>
      <c r="Z853" s="176"/>
      <c r="AA853" s="176"/>
    </row>
    <row r="854">
      <c r="A854" s="165" t="str">
        <f>iferror(VLOOKUP(P854,'DO NOT TOUCH Imported'!$A$1:$D$800,4,False),iferror(VLOOKUP(P854,'DO NOT TOUCH Imported'!$C$1:$D$800,2,False),"OOPS FIX ME"))</f>
        <v>tylerdmace</v>
      </c>
      <c r="B854" s="165" t="s">
        <v>564</v>
      </c>
      <c r="C854" s="170" t="s">
        <v>1184</v>
      </c>
      <c r="D854" s="236" t="s">
        <v>499</v>
      </c>
      <c r="E854" s="237">
        <v>44305.0</v>
      </c>
      <c r="F854" s="170" t="s">
        <v>503</v>
      </c>
      <c r="G854" s="170">
        <v>1000.0</v>
      </c>
      <c r="H854" s="171">
        <v>100.0</v>
      </c>
      <c r="I854" s="171">
        <v>100.0</v>
      </c>
      <c r="J854" s="172">
        <f t="shared" si="57"/>
        <v>0.0010126618</v>
      </c>
      <c r="K854" s="173">
        <f t="shared" si="58"/>
        <v>1.21519416</v>
      </c>
      <c r="L854" s="174">
        <f t="shared" si="4"/>
        <v>1.21519416</v>
      </c>
      <c r="M854" s="175" t="str">
        <f t="shared" si="5"/>
        <v>tylerdmace</v>
      </c>
      <c r="N854" s="176">
        <f>IFERROR(__xludf.DUMMYFUNCTION("""COMPUTED_VALUE"""),1.0)</f>
        <v>1</v>
      </c>
      <c r="O854" s="176"/>
      <c r="P854" s="165" t="s">
        <v>1217</v>
      </c>
      <c r="Q854" s="165" t="s">
        <v>564</v>
      </c>
      <c r="R854" s="176"/>
      <c r="S854" s="176"/>
      <c r="T854" s="176"/>
      <c r="U854" s="176"/>
      <c r="V854" s="176"/>
      <c r="W854" s="176"/>
      <c r="X854" s="176"/>
      <c r="Y854" s="176"/>
      <c r="Z854" s="176"/>
      <c r="AA854" s="176"/>
    </row>
    <row r="855">
      <c r="A855" s="165" t="str">
        <f>iferror(VLOOKUP(P855,'DO NOT TOUCH Imported'!$A$1:$D$800,4,False),iferror(VLOOKUP(P855,'DO NOT TOUCH Imported'!$C$1:$D$800,2,False),"OOPS FIX ME"))</f>
        <v>PaulaBerman#9915</v>
      </c>
      <c r="B855" s="165" t="s">
        <v>435</v>
      </c>
      <c r="C855" s="170" t="s">
        <v>1218</v>
      </c>
      <c r="D855" s="236" t="s">
        <v>499</v>
      </c>
      <c r="E855" s="239">
        <v>44305.0</v>
      </c>
      <c r="F855" s="170" t="s">
        <v>503</v>
      </c>
      <c r="G855" s="170">
        <v>1000.0</v>
      </c>
      <c r="H855" s="171">
        <v>100.0</v>
      </c>
      <c r="I855" s="171">
        <v>100.0</v>
      </c>
      <c r="J855" s="172">
        <f t="shared" si="57"/>
        <v>0.0010126618</v>
      </c>
      <c r="K855" s="173">
        <f t="shared" si="58"/>
        <v>1.21519416</v>
      </c>
      <c r="L855" s="174">
        <f t="shared" si="4"/>
        <v>1.21519416</v>
      </c>
      <c r="M855" s="175" t="str">
        <f t="shared" si="5"/>
        <v>PaulaBerman#9915</v>
      </c>
      <c r="N855" s="176">
        <f>IFERROR(__xludf.DUMMYFUNCTION("""COMPUTED_VALUE"""),1.0)</f>
        <v>1</v>
      </c>
      <c r="O855" s="176"/>
      <c r="P855" s="165" t="s">
        <v>141</v>
      </c>
      <c r="Q855" s="165" t="s">
        <v>435</v>
      </c>
      <c r="R855" s="176"/>
      <c r="S855" s="176"/>
      <c r="T855" s="176"/>
      <c r="U855" s="176"/>
      <c r="V855" s="176"/>
      <c r="W855" s="176"/>
      <c r="X855" s="176"/>
      <c r="Y855" s="176"/>
      <c r="Z855" s="176"/>
      <c r="AA855" s="176"/>
    </row>
    <row r="856">
      <c r="A856" s="165" t="str">
        <f>iferror(VLOOKUP(P856,'DO NOT TOUCH Imported'!$A$1:$D$800,4,False),iferror(VLOOKUP(P856,'DO NOT TOUCH Imported'!$C$1:$D$800,2,False),"OOPS FIX ME"))</f>
        <v>antoniopaglino</v>
      </c>
      <c r="B856" s="165" t="s">
        <v>566</v>
      </c>
      <c r="C856" s="170" t="s">
        <v>1219</v>
      </c>
      <c r="D856" s="236" t="s">
        <v>499</v>
      </c>
      <c r="E856" s="237">
        <v>44305.0</v>
      </c>
      <c r="F856" s="170" t="s">
        <v>503</v>
      </c>
      <c r="G856" s="170">
        <v>1000.0</v>
      </c>
      <c r="H856" s="171">
        <v>100.0</v>
      </c>
      <c r="I856" s="171">
        <v>100.0</v>
      </c>
      <c r="J856" s="172">
        <f t="shared" si="57"/>
        <v>0.0010126618</v>
      </c>
      <c r="K856" s="173">
        <f t="shared" si="58"/>
        <v>1.21519416</v>
      </c>
      <c r="L856" s="174">
        <f t="shared" si="4"/>
        <v>1.563318941</v>
      </c>
      <c r="M856" s="175" t="str">
        <f t="shared" si="5"/>
        <v>antoniopaglino</v>
      </c>
      <c r="N856" s="176">
        <f>IFERROR(__xludf.DUMMYFUNCTION("""COMPUTED_VALUE"""),1.0)</f>
        <v>1</v>
      </c>
      <c r="O856" s="176"/>
      <c r="P856" s="165" t="s">
        <v>861</v>
      </c>
      <c r="Q856" s="165" t="s">
        <v>566</v>
      </c>
      <c r="R856" s="176"/>
      <c r="S856" s="176"/>
      <c r="T856" s="176"/>
      <c r="U856" s="176"/>
      <c r="V856" s="176"/>
      <c r="W856" s="176"/>
      <c r="X856" s="176"/>
      <c r="Y856" s="176"/>
      <c r="Z856" s="176"/>
      <c r="AA856" s="176"/>
    </row>
    <row r="857">
      <c r="A857" s="165" t="str">
        <f>iferror(VLOOKUP(P857,'DO NOT TOUCH Imported'!$A$1:$D$800,4,False),iferror(VLOOKUP(P857,'DO NOT TOUCH Imported'!$C$1:$D$800,2,False),"OOPS FIX ME"))</f>
        <v>Christian_RegenNetwork#5044</v>
      </c>
      <c r="B857" s="165" t="s">
        <v>530</v>
      </c>
      <c r="C857" s="170" t="s">
        <v>1220</v>
      </c>
      <c r="D857" s="236" t="s">
        <v>499</v>
      </c>
      <c r="E857" s="237">
        <v>44307.0</v>
      </c>
      <c r="F857" s="170" t="s">
        <v>503</v>
      </c>
      <c r="G857" s="170">
        <v>2000.0</v>
      </c>
      <c r="H857" s="171">
        <v>100.0</v>
      </c>
      <c r="I857" s="171">
        <v>50.0</v>
      </c>
      <c r="J857" s="172">
        <f t="shared" si="57"/>
        <v>0.0009460123008</v>
      </c>
      <c r="K857" s="173">
        <f t="shared" si="58"/>
        <v>1.135214761</v>
      </c>
      <c r="L857" s="174">
        <f t="shared" si="4"/>
        <v>1.135214761</v>
      </c>
      <c r="M857" s="175" t="str">
        <f t="shared" si="5"/>
        <v>Christian_RegenNetwork#5044</v>
      </c>
      <c r="N857" s="176">
        <f>IFERROR(__xludf.DUMMYFUNCTION("""COMPUTED_VALUE"""),1.0)</f>
        <v>1</v>
      </c>
      <c r="O857" s="176"/>
      <c r="P857" s="165" t="s">
        <v>285</v>
      </c>
      <c r="Q857" s="165" t="s">
        <v>530</v>
      </c>
      <c r="R857" s="176"/>
      <c r="S857" s="176"/>
      <c r="T857" s="176"/>
      <c r="U857" s="176"/>
      <c r="V857" s="176"/>
      <c r="W857" s="176"/>
      <c r="X857" s="176"/>
      <c r="Y857" s="176"/>
      <c r="Z857" s="176"/>
      <c r="AA857" s="176"/>
    </row>
    <row r="858">
      <c r="A858" s="165" t="str">
        <f>iferror(VLOOKUP(P858,'DO NOT TOUCH Imported'!$A$1:$D$800,4,False),iferror(VLOOKUP(P858,'DO NOT TOUCH Imported'!$C$1:$D$800,2,False),"OOPS FIX ME"))</f>
        <v>BadJuju#1050</v>
      </c>
      <c r="B858" s="165" t="s">
        <v>530</v>
      </c>
      <c r="C858" s="170" t="s">
        <v>1220</v>
      </c>
      <c r="D858" s="236" t="s">
        <v>499</v>
      </c>
      <c r="E858" s="237">
        <v>44307.0</v>
      </c>
      <c r="F858" s="170" t="s">
        <v>503</v>
      </c>
      <c r="G858" s="238">
        <v>2000.0</v>
      </c>
      <c r="H858" s="171">
        <v>100.0</v>
      </c>
      <c r="I858" s="171">
        <v>50.0</v>
      </c>
      <c r="J858" s="172">
        <f t="shared" si="57"/>
        <v>0.0009460123008</v>
      </c>
      <c r="K858" s="173">
        <f t="shared" si="58"/>
        <v>1.135214761</v>
      </c>
      <c r="L858" s="174">
        <f t="shared" si="4"/>
        <v>1.135214761</v>
      </c>
      <c r="M858" s="175" t="str">
        <f t="shared" si="5"/>
        <v>BadJuju#1050</v>
      </c>
      <c r="N858" s="176">
        <f>IFERROR(__xludf.DUMMYFUNCTION("""COMPUTED_VALUE"""),1.0)</f>
        <v>1</v>
      </c>
      <c r="O858" s="176"/>
      <c r="P858" s="165" t="s">
        <v>286</v>
      </c>
      <c r="Q858" s="165" t="s">
        <v>530</v>
      </c>
      <c r="R858" s="176"/>
      <c r="S858" s="176"/>
      <c r="T858" s="176"/>
      <c r="U858" s="176"/>
      <c r="V858" s="176"/>
      <c r="W858" s="176"/>
      <c r="X858" s="176"/>
      <c r="Y858" s="176"/>
      <c r="Z858" s="176"/>
      <c r="AA858" s="176"/>
    </row>
    <row r="859">
      <c r="A859" s="165" t="str">
        <f>iferror(VLOOKUP(P859,'DO NOT TOUCH Imported'!$A$1:$D$800,4,False),iferror(VLOOKUP(P859,'DO NOT TOUCH Imported'!$C$1:$D$800,2,False),"OOPS FIX ME"))</f>
        <v>castall</v>
      </c>
      <c r="B859" s="165" t="s">
        <v>450</v>
      </c>
      <c r="C859" s="170" t="s">
        <v>1065</v>
      </c>
      <c r="D859" s="236" t="s">
        <v>499</v>
      </c>
      <c r="E859" s="237">
        <v>44305.0</v>
      </c>
      <c r="F859" s="170" t="s">
        <v>503</v>
      </c>
      <c r="G859" s="170">
        <v>1000.0</v>
      </c>
      <c r="H859" s="171">
        <v>100.0</v>
      </c>
      <c r="I859" s="171">
        <v>80.0</v>
      </c>
      <c r="J859" s="172">
        <f t="shared" si="57"/>
        <v>0.0009269003455</v>
      </c>
      <c r="K859" s="173">
        <f t="shared" si="58"/>
        <v>1.112280415</v>
      </c>
      <c r="L859" s="174">
        <f t="shared" si="4"/>
        <v>1.112280415</v>
      </c>
      <c r="M859" s="175" t="str">
        <f t="shared" si="5"/>
        <v>castall</v>
      </c>
      <c r="N859" s="176">
        <f>IFERROR(__xludf.DUMMYFUNCTION("""COMPUTED_VALUE"""),1.0)</f>
        <v>1</v>
      </c>
      <c r="O859" s="176"/>
      <c r="P859" s="165" t="s">
        <v>842</v>
      </c>
      <c r="Q859" s="165" t="s">
        <v>450</v>
      </c>
      <c r="R859" s="176"/>
      <c r="S859" s="176"/>
      <c r="T859" s="176"/>
      <c r="U859" s="176"/>
      <c r="V859" s="176"/>
      <c r="W859" s="176"/>
      <c r="X859" s="176"/>
      <c r="Y859" s="176"/>
      <c r="Z859" s="176"/>
      <c r="AA859" s="176"/>
    </row>
    <row r="860">
      <c r="A860" s="165" t="str">
        <f>iferror(VLOOKUP(P860,'DO NOT TOUCH Imported'!$A$1:$D$800,4,False),iferror(VLOOKUP(P860,'DO NOT TOUCH Imported'!$C$1:$D$800,2,False),"OOPS FIX ME"))</f>
        <v>Miles#9305</v>
      </c>
      <c r="B860" s="165" t="s">
        <v>441</v>
      </c>
      <c r="C860" s="170" t="s">
        <v>918</v>
      </c>
      <c r="D860" s="236" t="s">
        <v>437</v>
      </c>
      <c r="E860" s="237">
        <v>44302.0</v>
      </c>
      <c r="F860" s="170" t="s">
        <v>439</v>
      </c>
      <c r="G860" s="170">
        <v>1000.0</v>
      </c>
      <c r="H860" s="171">
        <v>60.0</v>
      </c>
      <c r="I860" s="171">
        <v>50.0</v>
      </c>
      <c r="J860" s="172">
        <f t="shared" si="57"/>
        <v>0.0006238180076</v>
      </c>
      <c r="K860" s="173">
        <f t="shared" si="58"/>
        <v>0.7485816091</v>
      </c>
      <c r="L860" s="174">
        <f t="shared" si="4"/>
        <v>1.09670639</v>
      </c>
      <c r="M860" s="175" t="str">
        <f t="shared" si="5"/>
        <v>Miles#9305</v>
      </c>
      <c r="N860" s="176">
        <f>IFERROR(__xludf.DUMMYFUNCTION("""COMPUTED_VALUE"""),1.0)</f>
        <v>1</v>
      </c>
      <c r="O860" s="176"/>
      <c r="P860" s="165" t="s">
        <v>287</v>
      </c>
      <c r="Q860" s="165" t="s">
        <v>441</v>
      </c>
      <c r="R860" s="176"/>
      <c r="S860" s="176"/>
      <c r="T860" s="176"/>
      <c r="U860" s="176"/>
      <c r="V860" s="176"/>
      <c r="W860" s="176"/>
      <c r="X860" s="176"/>
      <c r="Y860" s="176"/>
      <c r="Z860" s="176"/>
      <c r="AA860" s="176"/>
    </row>
    <row r="861">
      <c r="A861" s="165" t="str">
        <f>iferror(VLOOKUP(P861,'DO NOT TOUCH Imported'!$A$1:$D$800,4,False),iferror(VLOOKUP(P861,'DO NOT TOUCH Imported'!$C$1:$D$800,2,False),"OOPS FIX ME"))</f>
        <v>Miles#9305</v>
      </c>
      <c r="B861" s="165" t="s">
        <v>441</v>
      </c>
      <c r="C861" s="170" t="s">
        <v>1006</v>
      </c>
      <c r="D861" s="236" t="s">
        <v>499</v>
      </c>
      <c r="E861" s="237">
        <v>44302.0</v>
      </c>
      <c r="F861" s="170" t="s">
        <v>503</v>
      </c>
      <c r="G861" s="170">
        <v>500.0</v>
      </c>
      <c r="H861" s="171">
        <v>25.0</v>
      </c>
      <c r="I861" s="171">
        <v>25.0</v>
      </c>
      <c r="J861" s="172">
        <f t="shared" si="57"/>
        <v>0.0002901039843</v>
      </c>
      <c r="K861" s="173">
        <f t="shared" si="58"/>
        <v>0.3481247811</v>
      </c>
      <c r="L861" s="174">
        <f t="shared" si="4"/>
        <v>1.09670639</v>
      </c>
      <c r="M861" s="175" t="str">
        <f t="shared" si="5"/>
        <v>Miles#9305</v>
      </c>
      <c r="N861" s="176">
        <f>IFERROR(__xludf.DUMMYFUNCTION("""COMPUTED_VALUE"""),2.0)</f>
        <v>2</v>
      </c>
      <c r="O861" s="176"/>
      <c r="P861" s="165" t="s">
        <v>287</v>
      </c>
      <c r="Q861" s="165" t="s">
        <v>441</v>
      </c>
      <c r="R861" s="176"/>
      <c r="S861" s="176"/>
      <c r="T861" s="176"/>
      <c r="U861" s="176"/>
      <c r="V861" s="176"/>
      <c r="W861" s="176"/>
      <c r="X861" s="176"/>
      <c r="Y861" s="176"/>
      <c r="Z861" s="176"/>
      <c r="AA861" s="176"/>
    </row>
    <row r="862">
      <c r="A862" s="165" t="str">
        <f>iferror(VLOOKUP(P862,'DO NOT TOUCH Imported'!$A$1:$D$800,4,False),iferror(VLOOKUP(P862,'DO NOT TOUCH Imported'!$C$1:$D$800,2,False),"OOPS FIX ME"))</f>
        <v>bends#3537</v>
      </c>
      <c r="B862" s="165" t="s">
        <v>492</v>
      </c>
      <c r="C862" s="170" t="s">
        <v>1221</v>
      </c>
      <c r="D862" s="236" t="s">
        <v>437</v>
      </c>
      <c r="E862" s="239">
        <v>44301.0</v>
      </c>
      <c r="F862" s="170" t="s">
        <v>439</v>
      </c>
      <c r="G862" s="170">
        <v>1000.0</v>
      </c>
      <c r="H862" s="171">
        <v>100.0</v>
      </c>
      <c r="I862" s="171">
        <v>50.0</v>
      </c>
      <c r="J862" s="172">
        <f t="shared" si="57"/>
        <v>0.0007982581637</v>
      </c>
      <c r="K862" s="173">
        <f t="shared" si="58"/>
        <v>0.9579097965</v>
      </c>
      <c r="L862" s="174">
        <f t="shared" si="4"/>
        <v>0.9579097965</v>
      </c>
      <c r="M862" s="175" t="str">
        <f t="shared" si="5"/>
        <v>bends#3537</v>
      </c>
      <c r="N862" s="176">
        <f>IFERROR(__xludf.DUMMYFUNCTION("""COMPUTED_VALUE"""),1.0)</f>
        <v>1</v>
      </c>
      <c r="O862" s="176"/>
      <c r="P862" s="165" t="s">
        <v>182</v>
      </c>
      <c r="Q862" s="165" t="s">
        <v>492</v>
      </c>
      <c r="R862" s="176"/>
      <c r="S862" s="176"/>
      <c r="T862" s="176"/>
      <c r="U862" s="176"/>
      <c r="V862" s="176"/>
      <c r="W862" s="176"/>
      <c r="X862" s="176"/>
      <c r="Y862" s="176"/>
      <c r="Z862" s="176"/>
      <c r="AA862" s="176"/>
    </row>
    <row r="863">
      <c r="A863" s="165" t="str">
        <f>iferror(VLOOKUP(P863,'DO NOT TOUCH Imported'!$A$1:$D$800,4,False),iferror(VLOOKUP(P863,'DO NOT TOUCH Imported'!$C$1:$D$800,2,False),"OOPS FIX ME"))</f>
        <v>Elementarycomplexity</v>
      </c>
      <c r="B863" s="165" t="s">
        <v>435</v>
      </c>
      <c r="C863" s="170" t="s">
        <v>1222</v>
      </c>
      <c r="D863" s="236" t="s">
        <v>437</v>
      </c>
      <c r="E863" s="239">
        <v>44298.0</v>
      </c>
      <c r="F863" s="170" t="s">
        <v>439</v>
      </c>
      <c r="G863" s="170">
        <v>500.0</v>
      </c>
      <c r="H863" s="171">
        <v>80.0</v>
      </c>
      <c r="I863" s="171">
        <v>50.0</v>
      </c>
      <c r="J863" s="172">
        <f t="shared" si="57"/>
        <v>0.0006371610171</v>
      </c>
      <c r="K863" s="173">
        <f t="shared" si="58"/>
        <v>0.7645932205</v>
      </c>
      <c r="L863" s="174">
        <f t="shared" si="4"/>
        <v>0.7645932205</v>
      </c>
      <c r="M863" s="175" t="str">
        <f t="shared" si="5"/>
        <v>Elementarycomplexity</v>
      </c>
      <c r="N863" s="176">
        <f>IFERROR(__xludf.DUMMYFUNCTION("""COMPUTED_VALUE"""),1.0)</f>
        <v>1</v>
      </c>
      <c r="O863" s="176"/>
      <c r="P863" s="165" t="s">
        <v>1223</v>
      </c>
      <c r="Q863" s="165" t="s">
        <v>435</v>
      </c>
      <c r="R863" s="176"/>
      <c r="S863" s="176"/>
      <c r="T863" s="176"/>
      <c r="U863" s="176"/>
      <c r="V863" s="176"/>
      <c r="W863" s="176"/>
      <c r="X863" s="176"/>
      <c r="Y863" s="176"/>
      <c r="Z863" s="176"/>
      <c r="AA863" s="176"/>
    </row>
    <row r="864">
      <c r="A864" s="165" t="str">
        <f>iferror(VLOOKUP(P864,'DO NOT TOUCH Imported'!$A$1:$D$800,4,False),iferror(VLOOKUP(P864,'DO NOT TOUCH Imported'!$C$1:$D$800,2,False),"OOPS FIX ME"))</f>
        <v>sbilbao</v>
      </c>
      <c r="B864" s="165" t="s">
        <v>441</v>
      </c>
      <c r="C864" s="170" t="s">
        <v>918</v>
      </c>
      <c r="D864" s="236" t="s">
        <v>437</v>
      </c>
      <c r="E864" s="237">
        <v>44302.0</v>
      </c>
      <c r="F864" s="170" t="s">
        <v>439</v>
      </c>
      <c r="G864" s="170">
        <v>1000.0</v>
      </c>
      <c r="H864" s="171">
        <v>60.0</v>
      </c>
      <c r="I864" s="171">
        <v>50.0</v>
      </c>
      <c r="J864" s="172">
        <f t="shared" si="57"/>
        <v>0.0006238180076</v>
      </c>
      <c r="K864" s="173">
        <f t="shared" si="58"/>
        <v>0.7485816091</v>
      </c>
      <c r="L864" s="174">
        <f t="shared" si="4"/>
        <v>0.7485816091</v>
      </c>
      <c r="M864" s="175" t="str">
        <f t="shared" si="5"/>
        <v>sbilbao</v>
      </c>
      <c r="N864" s="176">
        <f>IFERROR(__xludf.DUMMYFUNCTION("""COMPUTED_VALUE"""),1.0)</f>
        <v>1</v>
      </c>
      <c r="O864" s="176"/>
      <c r="P864" s="165" t="s">
        <v>798</v>
      </c>
      <c r="Q864" s="165" t="s">
        <v>441</v>
      </c>
      <c r="R864" s="176"/>
      <c r="S864" s="176"/>
      <c r="T864" s="176"/>
      <c r="U864" s="176"/>
      <c r="V864" s="176"/>
      <c r="W864" s="176"/>
      <c r="X864" s="176"/>
      <c r="Y864" s="176"/>
      <c r="Z864" s="176"/>
      <c r="AA864" s="176"/>
    </row>
    <row r="865">
      <c r="A865" s="165" t="str">
        <f>iferror(VLOOKUP(P865,'DO NOT TOUCH Imported'!$A$1:$D$800,4,False),iferror(VLOOKUP(P865,'DO NOT TOUCH Imported'!$C$1:$D$800,2,False),"OOPS FIX ME"))</f>
        <v>rodbot2#3621</v>
      </c>
      <c r="B865" s="165" t="s">
        <v>492</v>
      </c>
      <c r="C865" s="170" t="s">
        <v>915</v>
      </c>
      <c r="D865" s="236" t="s">
        <v>437</v>
      </c>
      <c r="E865" s="237">
        <v>44300.0</v>
      </c>
      <c r="F865" s="170" t="s">
        <v>439</v>
      </c>
      <c r="G865" s="170">
        <v>1000.0</v>
      </c>
      <c r="H865" s="171">
        <v>60.0</v>
      </c>
      <c r="I865" s="171">
        <v>50.0</v>
      </c>
      <c r="J865" s="172">
        <f t="shared" si="57"/>
        <v>0.0006238180076</v>
      </c>
      <c r="K865" s="173">
        <f t="shared" si="58"/>
        <v>0.7485816091</v>
      </c>
      <c r="L865" s="174">
        <f t="shared" si="4"/>
        <v>0.7485816091</v>
      </c>
      <c r="M865" s="175" t="str">
        <f t="shared" si="5"/>
        <v>rodbot2#3621</v>
      </c>
      <c r="N865" s="176">
        <f>IFERROR(__xludf.DUMMYFUNCTION("""COMPUTED_VALUE"""),1.0)</f>
        <v>1</v>
      </c>
      <c r="O865" s="176"/>
      <c r="P865" s="165" t="s">
        <v>321</v>
      </c>
      <c r="Q865" s="165" t="s">
        <v>492</v>
      </c>
      <c r="R865" s="176"/>
      <c r="S865" s="176"/>
      <c r="T865" s="176"/>
      <c r="U865" s="176"/>
      <c r="V865" s="176"/>
      <c r="W865" s="176"/>
      <c r="X865" s="176"/>
      <c r="Y865" s="176"/>
      <c r="Z865" s="176"/>
      <c r="AA865" s="176"/>
    </row>
    <row r="866">
      <c r="A866" s="240" t="str">
        <f>iferror(VLOOKUP(P866,'DO NOT TOUCH Imported'!$A$1:$D$800,4,False),iferror(VLOOKUP(P866,'DO NOT TOUCH Imported'!$C$1:$D$800,2,False),"OOPS FIX ME"))</f>
        <v>rodbot2#3621</v>
      </c>
      <c r="B866" s="240" t="s">
        <v>492</v>
      </c>
      <c r="C866" s="221" t="s">
        <v>915</v>
      </c>
      <c r="D866" s="241" t="s">
        <v>437</v>
      </c>
      <c r="E866" s="242">
        <v>44300.0</v>
      </c>
      <c r="F866" s="221" t="s">
        <v>439</v>
      </c>
      <c r="G866" s="221"/>
      <c r="H866" s="222"/>
      <c r="I866" s="222"/>
      <c r="J866" s="172">
        <f t="shared" si="57"/>
        <v>0</v>
      </c>
      <c r="K866" s="173">
        <f t="shared" si="58"/>
        <v>0</v>
      </c>
      <c r="L866" s="174">
        <f t="shared" si="4"/>
        <v>0.7485816091</v>
      </c>
      <c r="M866" s="175" t="str">
        <f t="shared" si="5"/>
        <v>rodbot2#3621</v>
      </c>
      <c r="N866" s="209">
        <f>IFERROR(__xludf.DUMMYFUNCTION("""COMPUTED_VALUE"""),2.0)</f>
        <v>2</v>
      </c>
      <c r="O866" s="209"/>
      <c r="P866" s="240" t="s">
        <v>321</v>
      </c>
      <c r="Q866" s="240" t="s">
        <v>492</v>
      </c>
      <c r="R866" s="209"/>
      <c r="S866" s="209"/>
      <c r="T866" s="209"/>
      <c r="U866" s="209"/>
      <c r="V866" s="209"/>
      <c r="W866" s="209"/>
      <c r="X866" s="209"/>
      <c r="Y866" s="209"/>
      <c r="Z866" s="209"/>
      <c r="AA866" s="209"/>
    </row>
    <row r="867">
      <c r="A867" s="165" t="str">
        <f>iferror(VLOOKUP(P867,'DO NOT TOUCH Imported'!$A$1:$D$800,4,False),iferror(VLOOKUP(P867,'DO NOT TOUCH Imported'!$C$1:$D$800,2,False),"OOPS FIX ME"))</f>
        <v>patogit#7853</v>
      </c>
      <c r="B867" s="165" t="s">
        <v>530</v>
      </c>
      <c r="C867" s="170" t="s">
        <v>1209</v>
      </c>
      <c r="D867" s="236" t="s">
        <v>499</v>
      </c>
      <c r="E867" s="237">
        <v>44300.0</v>
      </c>
      <c r="F867" s="170" t="s">
        <v>503</v>
      </c>
      <c r="G867" s="170">
        <v>1000.0</v>
      </c>
      <c r="H867" s="171">
        <v>60.0</v>
      </c>
      <c r="I867" s="171">
        <v>50.0</v>
      </c>
      <c r="J867" s="172">
        <f t="shared" si="57"/>
        <v>0.0006238180076</v>
      </c>
      <c r="K867" s="173">
        <f t="shared" si="58"/>
        <v>0.7485816091</v>
      </c>
      <c r="L867" s="174">
        <f t="shared" si="4"/>
        <v>0.7485816091</v>
      </c>
      <c r="M867" s="175" t="str">
        <f t="shared" si="5"/>
        <v>patogit#7853</v>
      </c>
      <c r="N867" s="176">
        <f>IFERROR(__xludf.DUMMYFUNCTION("""COMPUTED_VALUE"""),1.0)</f>
        <v>1</v>
      </c>
      <c r="O867" s="176"/>
      <c r="P867" s="165" t="s">
        <v>322</v>
      </c>
      <c r="Q867" s="165" t="s">
        <v>530</v>
      </c>
      <c r="R867" s="176"/>
      <c r="S867" s="176"/>
      <c r="T867" s="176"/>
      <c r="U867" s="176"/>
      <c r="V867" s="176"/>
      <c r="W867" s="176"/>
      <c r="X867" s="176"/>
      <c r="Y867" s="176"/>
      <c r="Z867" s="176"/>
      <c r="AA867" s="176"/>
    </row>
    <row r="868">
      <c r="A868" s="165" t="str">
        <f>iferror(VLOOKUP(P868,'DO NOT TOUCH Imported'!$A$1:$D$800,4,False),iferror(VLOOKUP(P868,'DO NOT TOUCH Imported'!$C$1:$D$800,2,False),"OOPS FIX ME"))</f>
        <v>lescanore</v>
      </c>
      <c r="B868" s="165" t="s">
        <v>483</v>
      </c>
      <c r="C868" s="170" t="s">
        <v>920</v>
      </c>
      <c r="D868" s="236" t="s">
        <v>437</v>
      </c>
      <c r="E868" s="237">
        <v>44305.0</v>
      </c>
      <c r="F868" s="170" t="s">
        <v>439</v>
      </c>
      <c r="G868" s="170">
        <v>1000.0</v>
      </c>
      <c r="H868" s="171">
        <v>60.0</v>
      </c>
      <c r="I868" s="171">
        <v>50.0</v>
      </c>
      <c r="J868" s="172">
        <f t="shared" si="57"/>
        <v>0.0006238180076</v>
      </c>
      <c r="K868" s="173">
        <f t="shared" si="58"/>
        <v>0.7485816091</v>
      </c>
      <c r="L868" s="174">
        <f t="shared" si="4"/>
        <v>0.7485816091</v>
      </c>
      <c r="M868" s="175" t="str">
        <f t="shared" si="5"/>
        <v>lescanore</v>
      </c>
      <c r="N868" s="176">
        <f>IFERROR(__xludf.DUMMYFUNCTION("""COMPUTED_VALUE"""),1.0)</f>
        <v>1</v>
      </c>
      <c r="O868" s="176"/>
      <c r="P868" s="165" t="s">
        <v>847</v>
      </c>
      <c r="Q868" s="165" t="s">
        <v>483</v>
      </c>
      <c r="R868" s="176"/>
      <c r="S868" s="176"/>
      <c r="T868" s="176"/>
      <c r="U868" s="176"/>
      <c r="V868" s="176"/>
      <c r="W868" s="176"/>
      <c r="X868" s="176"/>
      <c r="Y868" s="176"/>
      <c r="Z868" s="176"/>
      <c r="AA868" s="176"/>
    </row>
    <row r="869">
      <c r="A869" s="165" t="str">
        <f>iferror(VLOOKUP(P869,'DO NOT TOUCH Imported'!$A$1:$D$800,4,False),iferror(VLOOKUP(P869,'DO NOT TOUCH Imported'!$C$1:$D$800,2,False),"OOPS FIX ME"))</f>
        <v>elihanover</v>
      </c>
      <c r="B869" s="165" t="s">
        <v>441</v>
      </c>
      <c r="C869" s="170" t="s">
        <v>923</v>
      </c>
      <c r="D869" s="236" t="s">
        <v>437</v>
      </c>
      <c r="E869" s="239">
        <v>44309.0</v>
      </c>
      <c r="F869" s="170" t="s">
        <v>439</v>
      </c>
      <c r="G869" s="170">
        <v>1000.0</v>
      </c>
      <c r="H869" s="171">
        <v>60.0</v>
      </c>
      <c r="I869" s="171">
        <v>50.0</v>
      </c>
      <c r="J869" s="172">
        <f t="shared" si="57"/>
        <v>0.0006238180076</v>
      </c>
      <c r="K869" s="173">
        <f t="shared" si="58"/>
        <v>0.7485816091</v>
      </c>
      <c r="L869" s="174">
        <f t="shared" si="4"/>
        <v>0.7485816091</v>
      </c>
      <c r="M869" s="175" t="str">
        <f t="shared" si="5"/>
        <v>elihanover</v>
      </c>
      <c r="N869" s="176">
        <f>IFERROR(__xludf.DUMMYFUNCTION("""COMPUTED_VALUE"""),1.0)</f>
        <v>1</v>
      </c>
      <c r="O869" s="176"/>
      <c r="P869" s="165" t="s">
        <v>1224</v>
      </c>
      <c r="Q869" s="165" t="s">
        <v>441</v>
      </c>
      <c r="R869" s="176"/>
      <c r="S869" s="176"/>
      <c r="T869" s="176"/>
      <c r="U869" s="176"/>
      <c r="V869" s="176"/>
      <c r="W869" s="176"/>
      <c r="X869" s="176"/>
      <c r="Y869" s="176"/>
      <c r="Z869" s="176"/>
      <c r="AA869" s="176"/>
    </row>
    <row r="870">
      <c r="A870" s="165" t="str">
        <f>iferror(VLOOKUP(P870,'DO NOT TOUCH Imported'!$A$1:$D$800,4,False),iferror(VLOOKUP(P870,'DO NOT TOUCH Imported'!$C$1:$D$800,2,False),"OOPS FIX ME"))</f>
        <v>EFRA#7972</v>
      </c>
      <c r="B870" s="165" t="s">
        <v>492</v>
      </c>
      <c r="C870" s="170" t="s">
        <v>915</v>
      </c>
      <c r="D870" s="236" t="s">
        <v>437</v>
      </c>
      <c r="E870" s="237">
        <v>44300.0</v>
      </c>
      <c r="F870" s="170" t="s">
        <v>439</v>
      </c>
      <c r="G870" s="170">
        <v>1000.0</v>
      </c>
      <c r="H870" s="171">
        <v>60.0</v>
      </c>
      <c r="I870" s="171">
        <v>50.0</v>
      </c>
      <c r="J870" s="172">
        <f t="shared" si="57"/>
        <v>0.0006238180076</v>
      </c>
      <c r="K870" s="173">
        <f t="shared" si="58"/>
        <v>0.7485816091</v>
      </c>
      <c r="L870" s="174">
        <f t="shared" si="4"/>
        <v>0.7485816091</v>
      </c>
      <c r="M870" s="175" t="str">
        <f t="shared" si="5"/>
        <v>EFRA#7972</v>
      </c>
      <c r="N870" s="176">
        <f>IFERROR(__xludf.DUMMYFUNCTION("""COMPUTED_VALUE"""),1.0)</f>
        <v>1</v>
      </c>
      <c r="O870" s="176"/>
      <c r="P870" s="165" t="s">
        <v>323</v>
      </c>
      <c r="Q870" s="165" t="s">
        <v>492</v>
      </c>
      <c r="R870" s="176"/>
      <c r="S870" s="176"/>
      <c r="T870" s="176"/>
      <c r="U870" s="176"/>
      <c r="V870" s="176"/>
      <c r="W870" s="176"/>
      <c r="X870" s="176"/>
      <c r="Y870" s="176"/>
      <c r="Z870" s="176"/>
      <c r="AA870" s="176"/>
    </row>
    <row r="871">
      <c r="A871" s="240" t="str">
        <f>iferror(VLOOKUP(P871,'DO NOT TOUCH Imported'!$A$1:$D$800,4,False),iferror(VLOOKUP(P871,'DO NOT TOUCH Imported'!$C$1:$D$800,2,False),"OOPS FIX ME"))</f>
        <v>EFRA#7972</v>
      </c>
      <c r="B871" s="240" t="s">
        <v>492</v>
      </c>
      <c r="C871" s="221" t="s">
        <v>915</v>
      </c>
      <c r="D871" s="241" t="s">
        <v>437</v>
      </c>
      <c r="E871" s="244">
        <v>44300.0</v>
      </c>
      <c r="F871" s="221" t="s">
        <v>439</v>
      </c>
      <c r="G871" s="221"/>
      <c r="H871" s="222"/>
      <c r="I871" s="222"/>
      <c r="J871" s="172">
        <f t="shared" si="57"/>
        <v>0</v>
      </c>
      <c r="K871" s="173">
        <f t="shared" si="58"/>
        <v>0</v>
      </c>
      <c r="L871" s="174">
        <f t="shared" si="4"/>
        <v>0.7485816091</v>
      </c>
      <c r="M871" s="175" t="str">
        <f t="shared" si="5"/>
        <v>EFRA#7972</v>
      </c>
      <c r="N871" s="209">
        <f>IFERROR(__xludf.DUMMYFUNCTION("""COMPUTED_VALUE"""),2.0)</f>
        <v>2</v>
      </c>
      <c r="O871" s="209"/>
      <c r="P871" s="240" t="s">
        <v>323</v>
      </c>
      <c r="Q871" s="240" t="s">
        <v>492</v>
      </c>
      <c r="R871" s="209"/>
      <c r="S871" s="209"/>
      <c r="T871" s="209"/>
      <c r="U871" s="209"/>
      <c r="V871" s="209"/>
      <c r="W871" s="209"/>
      <c r="X871" s="209"/>
      <c r="Y871" s="209"/>
      <c r="Z871" s="209"/>
      <c r="AA871" s="209"/>
    </row>
    <row r="872">
      <c r="A872" s="165" t="str">
        <f>iferror(VLOOKUP(P872,'DO NOT TOUCH Imported'!$A$1:$D$800,4,False),iferror(VLOOKUP(P872,'DO NOT TOUCH Imported'!$C$1:$D$800,2,False),"OOPS FIX ME"))</f>
        <v>unquaLe</v>
      </c>
      <c r="B872" s="165" t="s">
        <v>10</v>
      </c>
      <c r="C872" s="170" t="s">
        <v>498</v>
      </c>
      <c r="D872" s="236" t="s">
        <v>495</v>
      </c>
      <c r="E872" s="239">
        <v>44302.0</v>
      </c>
      <c r="F872" s="170" t="s">
        <v>499</v>
      </c>
      <c r="G872" s="170">
        <v>500.0</v>
      </c>
      <c r="H872" s="171">
        <v>25.0</v>
      </c>
      <c r="I872" s="171">
        <v>25.0</v>
      </c>
      <c r="J872" s="172">
        <f t="shared" si="57"/>
        <v>0.0002901039843</v>
      </c>
      <c r="K872" s="173">
        <f t="shared" si="58"/>
        <v>0.3481247811</v>
      </c>
      <c r="L872" s="174">
        <f t="shared" si="4"/>
        <v>0.6962495623</v>
      </c>
      <c r="M872" s="175" t="str">
        <f t="shared" si="5"/>
        <v>unquaLe</v>
      </c>
      <c r="N872" s="176">
        <f>IFERROR(__xludf.DUMMYFUNCTION("""COMPUTED_VALUE"""),1.0)</f>
        <v>1</v>
      </c>
      <c r="O872" s="176"/>
      <c r="P872" s="165" t="s">
        <v>131</v>
      </c>
      <c r="Q872" s="165" t="s">
        <v>10</v>
      </c>
      <c r="R872" s="176"/>
      <c r="S872" s="176"/>
      <c r="T872" s="176"/>
      <c r="U872" s="176"/>
      <c r="V872" s="176"/>
      <c r="W872" s="176"/>
      <c r="X872" s="176"/>
      <c r="Y872" s="176"/>
      <c r="Z872" s="176"/>
      <c r="AA872" s="176"/>
    </row>
    <row r="873">
      <c r="A873" s="165" t="str">
        <f>iferror(VLOOKUP(P873,'DO NOT TOUCH Imported'!$A$1:$D$800,4,False),iferror(VLOOKUP(P873,'DO NOT TOUCH Imported'!$C$1:$D$800,2,False),"OOPS FIX ME"))</f>
        <v>unquaLe</v>
      </c>
      <c r="B873" s="165" t="s">
        <v>10</v>
      </c>
      <c r="C873" s="170" t="s">
        <v>498</v>
      </c>
      <c r="D873" s="236" t="s">
        <v>495</v>
      </c>
      <c r="E873" s="239">
        <v>44309.0</v>
      </c>
      <c r="F873" s="170" t="s">
        <v>499</v>
      </c>
      <c r="G873" s="170">
        <v>500.0</v>
      </c>
      <c r="H873" s="171">
        <v>25.0</v>
      </c>
      <c r="I873" s="171">
        <v>25.0</v>
      </c>
      <c r="J873" s="172">
        <f t="shared" si="57"/>
        <v>0.0002901039843</v>
      </c>
      <c r="K873" s="173">
        <f t="shared" si="58"/>
        <v>0.3481247811</v>
      </c>
      <c r="L873" s="174">
        <f t="shared" si="4"/>
        <v>0.6962495623</v>
      </c>
      <c r="M873" s="175" t="str">
        <f t="shared" si="5"/>
        <v>unquaLe</v>
      </c>
      <c r="N873" s="176">
        <f>IFERROR(__xludf.DUMMYFUNCTION("""COMPUTED_VALUE"""),2.0)</f>
        <v>2</v>
      </c>
      <c r="O873" s="176"/>
      <c r="P873" s="165" t="s">
        <v>131</v>
      </c>
      <c r="Q873" s="165" t="s">
        <v>10</v>
      </c>
      <c r="R873" s="176"/>
      <c r="S873" s="176"/>
      <c r="T873" s="176"/>
      <c r="U873" s="176"/>
      <c r="V873" s="176"/>
      <c r="W873" s="176"/>
      <c r="X873" s="176"/>
      <c r="Y873" s="176"/>
      <c r="Z873" s="176"/>
      <c r="AA873" s="176"/>
    </row>
    <row r="874">
      <c r="A874" s="165" t="str">
        <f>iferror(VLOOKUP(P874,'DO NOT TOUCH Imported'!$A$1:$D$800,4,False),iferror(VLOOKUP(P874,'DO NOT TOUCH Imported'!$C$1:$D$800,2,False),"OOPS FIX ME"))</f>
        <v>thebeautyway</v>
      </c>
      <c r="B874" s="165" t="s">
        <v>10</v>
      </c>
      <c r="C874" s="170" t="s">
        <v>498</v>
      </c>
      <c r="D874" s="236" t="s">
        <v>495</v>
      </c>
      <c r="E874" s="237">
        <v>44309.0</v>
      </c>
      <c r="F874" s="170" t="s">
        <v>499</v>
      </c>
      <c r="G874" s="170">
        <v>500.0</v>
      </c>
      <c r="H874" s="171">
        <v>25.0</v>
      </c>
      <c r="I874" s="171">
        <v>25.0</v>
      </c>
      <c r="J874" s="172">
        <f t="shared" si="57"/>
        <v>0.0002901039843</v>
      </c>
      <c r="K874" s="173">
        <f t="shared" si="58"/>
        <v>0.3481247811</v>
      </c>
      <c r="L874" s="174">
        <f t="shared" si="4"/>
        <v>0.6962495623</v>
      </c>
      <c r="M874" s="175" t="str">
        <f t="shared" si="5"/>
        <v>thebeautyway</v>
      </c>
      <c r="N874" s="176">
        <f>IFERROR(__xludf.DUMMYFUNCTION("""COMPUTED_VALUE"""),1.0)</f>
        <v>1</v>
      </c>
      <c r="O874" s="176"/>
      <c r="P874" s="165" t="s">
        <v>149</v>
      </c>
      <c r="Q874" s="165" t="s">
        <v>10</v>
      </c>
      <c r="R874" s="176"/>
      <c r="S874" s="176"/>
      <c r="T874" s="176"/>
      <c r="U874" s="176"/>
      <c r="V874" s="176"/>
      <c r="W874" s="176"/>
      <c r="X874" s="176"/>
      <c r="Y874" s="176"/>
      <c r="Z874" s="176"/>
      <c r="AA874" s="176"/>
    </row>
    <row r="875">
      <c r="A875" s="165" t="str">
        <f>iferror(VLOOKUP(P875,'DO NOT TOUCH Imported'!$A$1:$D$800,4,False),iferror(VLOOKUP(P875,'DO NOT TOUCH Imported'!$C$1:$D$800,2,False),"OOPS FIX ME"))</f>
        <v>thebeautyway</v>
      </c>
      <c r="B875" s="165" t="s">
        <v>10</v>
      </c>
      <c r="C875" s="170" t="s">
        <v>500</v>
      </c>
      <c r="D875" s="236" t="s">
        <v>495</v>
      </c>
      <c r="E875" s="237">
        <v>44309.0</v>
      </c>
      <c r="F875" s="170" t="s">
        <v>496</v>
      </c>
      <c r="G875" s="170">
        <v>500.0</v>
      </c>
      <c r="H875" s="171">
        <v>25.0</v>
      </c>
      <c r="I875" s="171">
        <v>25.0</v>
      </c>
      <c r="J875" s="172">
        <f t="shared" si="57"/>
        <v>0.0002901039843</v>
      </c>
      <c r="K875" s="173">
        <f t="shared" si="58"/>
        <v>0.3481247811</v>
      </c>
      <c r="L875" s="174">
        <f t="shared" si="4"/>
        <v>0.6962495623</v>
      </c>
      <c r="M875" s="175" t="str">
        <f t="shared" si="5"/>
        <v>thebeautyway</v>
      </c>
      <c r="N875" s="176">
        <f>IFERROR(__xludf.DUMMYFUNCTION("""COMPUTED_VALUE"""),2.0)</f>
        <v>2</v>
      </c>
      <c r="O875" s="176"/>
      <c r="P875" s="165" t="s">
        <v>149</v>
      </c>
      <c r="Q875" s="165" t="s">
        <v>10</v>
      </c>
      <c r="R875" s="176"/>
      <c r="S875" s="176"/>
      <c r="T875" s="176"/>
      <c r="U875" s="176"/>
      <c r="V875" s="176"/>
      <c r="W875" s="176"/>
      <c r="X875" s="176"/>
      <c r="Y875" s="176"/>
      <c r="Z875" s="176"/>
      <c r="AA875" s="176"/>
    </row>
    <row r="876">
      <c r="A876" s="165" t="str">
        <f>iferror(VLOOKUP(P876,'DO NOT TOUCH Imported'!$A$1:$D$800,4,False),iferror(VLOOKUP(P876,'DO NOT TOUCH Imported'!$C$1:$D$800,2,False),"OOPS FIX ME"))</f>
        <v>pprhsk</v>
      </c>
      <c r="B876" s="165" t="s">
        <v>10</v>
      </c>
      <c r="C876" s="170" t="s">
        <v>498</v>
      </c>
      <c r="D876" s="236" t="s">
        <v>495</v>
      </c>
      <c r="E876" s="237">
        <v>44302.0</v>
      </c>
      <c r="F876" s="170" t="s">
        <v>499</v>
      </c>
      <c r="G876" s="170">
        <v>500.0</v>
      </c>
      <c r="H876" s="171">
        <v>25.0</v>
      </c>
      <c r="I876" s="171">
        <v>25.0</v>
      </c>
      <c r="J876" s="172">
        <f t="shared" si="57"/>
        <v>0.0002901039843</v>
      </c>
      <c r="K876" s="173">
        <f t="shared" si="58"/>
        <v>0.3481247811</v>
      </c>
      <c r="L876" s="174">
        <f t="shared" si="4"/>
        <v>0.6962495623</v>
      </c>
      <c r="M876" s="175" t="str">
        <f t="shared" si="5"/>
        <v>pprhsk</v>
      </c>
      <c r="N876" s="176">
        <f>IFERROR(__xludf.DUMMYFUNCTION("""COMPUTED_VALUE"""),1.0)</f>
        <v>1</v>
      </c>
      <c r="O876" s="176"/>
      <c r="P876" s="165" t="s">
        <v>221</v>
      </c>
      <c r="Q876" s="165" t="s">
        <v>10</v>
      </c>
      <c r="R876" s="176"/>
      <c r="S876" s="176"/>
      <c r="T876" s="176"/>
      <c r="U876" s="176"/>
      <c r="V876" s="176"/>
      <c r="W876" s="176"/>
      <c r="X876" s="176"/>
      <c r="Y876" s="176"/>
      <c r="Z876" s="176"/>
      <c r="AA876" s="176"/>
    </row>
    <row r="877">
      <c r="A877" s="165" t="str">
        <f>iferror(VLOOKUP(P877,'DO NOT TOUCH Imported'!$A$1:$D$800,4,False),iferror(VLOOKUP(P877,'DO NOT TOUCH Imported'!$C$1:$D$800,2,False),"OOPS FIX ME"))</f>
        <v>pprhsk</v>
      </c>
      <c r="B877" s="165" t="s">
        <v>10</v>
      </c>
      <c r="C877" s="170" t="s">
        <v>498</v>
      </c>
      <c r="D877" s="236" t="s">
        <v>495</v>
      </c>
      <c r="E877" s="237">
        <v>44309.0</v>
      </c>
      <c r="F877" s="170" t="s">
        <v>499</v>
      </c>
      <c r="G877" s="170">
        <v>500.0</v>
      </c>
      <c r="H877" s="171">
        <v>25.0</v>
      </c>
      <c r="I877" s="171">
        <v>25.0</v>
      </c>
      <c r="J877" s="172">
        <f t="shared" si="57"/>
        <v>0.0002901039843</v>
      </c>
      <c r="K877" s="173">
        <f t="shared" si="58"/>
        <v>0.3481247811</v>
      </c>
      <c r="L877" s="174">
        <f t="shared" si="4"/>
        <v>0.6962495623</v>
      </c>
      <c r="M877" s="175" t="str">
        <f t="shared" si="5"/>
        <v>pprhsk</v>
      </c>
      <c r="N877" s="176">
        <f>IFERROR(__xludf.DUMMYFUNCTION("""COMPUTED_VALUE"""),2.0)</f>
        <v>2</v>
      </c>
      <c r="O877" s="176"/>
      <c r="P877" s="165" t="s">
        <v>221</v>
      </c>
      <c r="Q877" s="165" t="s">
        <v>10</v>
      </c>
      <c r="R877" s="176"/>
      <c r="S877" s="176"/>
      <c r="T877" s="176"/>
      <c r="U877" s="176"/>
      <c r="V877" s="176"/>
      <c r="W877" s="176"/>
      <c r="X877" s="176"/>
      <c r="Y877" s="176"/>
      <c r="Z877" s="176"/>
      <c r="AA877" s="176"/>
    </row>
    <row r="878">
      <c r="A878" s="165" t="str">
        <f>iferror(VLOOKUP(P878,'DO NOT TOUCH Imported'!$A$1:$D$800,4,False),iferror(VLOOKUP(P878,'DO NOT TOUCH Imported'!$C$1:$D$800,2,False),"OOPS FIX ME"))</f>
        <v>morgangr</v>
      </c>
      <c r="B878" s="165" t="s">
        <v>10</v>
      </c>
      <c r="C878" s="170" t="s">
        <v>498</v>
      </c>
      <c r="D878" s="236" t="s">
        <v>495</v>
      </c>
      <c r="E878" s="237">
        <v>44302.0</v>
      </c>
      <c r="F878" s="170" t="s">
        <v>499</v>
      </c>
      <c r="G878" s="170">
        <v>500.0</v>
      </c>
      <c r="H878" s="171">
        <v>25.0</v>
      </c>
      <c r="I878" s="171">
        <v>25.0</v>
      </c>
      <c r="J878" s="172">
        <f t="shared" si="57"/>
        <v>0.0002901039843</v>
      </c>
      <c r="K878" s="173">
        <f t="shared" si="58"/>
        <v>0.3481247811</v>
      </c>
      <c r="L878" s="174">
        <f t="shared" si="4"/>
        <v>0.6962495623</v>
      </c>
      <c r="M878" s="175" t="str">
        <f t="shared" si="5"/>
        <v>morgangr</v>
      </c>
      <c r="N878" s="176">
        <f>IFERROR(__xludf.DUMMYFUNCTION("""COMPUTED_VALUE"""),1.0)</f>
        <v>1</v>
      </c>
      <c r="O878" s="176"/>
      <c r="P878" s="165" t="s">
        <v>154</v>
      </c>
      <c r="Q878" s="165" t="s">
        <v>10</v>
      </c>
      <c r="R878" s="176"/>
      <c r="S878" s="176"/>
      <c r="T878" s="176"/>
      <c r="U878" s="176"/>
      <c r="V878" s="176"/>
      <c r="W878" s="176"/>
      <c r="X878" s="176"/>
      <c r="Y878" s="176"/>
      <c r="Z878" s="176"/>
      <c r="AA878" s="176"/>
    </row>
    <row r="879">
      <c r="A879" s="165" t="str">
        <f>iferror(VLOOKUP(P879,'DO NOT TOUCH Imported'!$A$1:$D$800,4,False),iferror(VLOOKUP(P879,'DO NOT TOUCH Imported'!$C$1:$D$800,2,False),"OOPS FIX ME"))</f>
        <v>morgangr</v>
      </c>
      <c r="B879" s="165" t="s">
        <v>10</v>
      </c>
      <c r="C879" s="170" t="s">
        <v>498</v>
      </c>
      <c r="D879" s="236" t="s">
        <v>495</v>
      </c>
      <c r="E879" s="237">
        <v>44309.0</v>
      </c>
      <c r="F879" s="170" t="s">
        <v>499</v>
      </c>
      <c r="G879" s="170">
        <v>500.0</v>
      </c>
      <c r="H879" s="171">
        <v>25.0</v>
      </c>
      <c r="I879" s="171">
        <v>25.0</v>
      </c>
      <c r="J879" s="172">
        <f t="shared" si="57"/>
        <v>0.0002901039843</v>
      </c>
      <c r="K879" s="173">
        <f t="shared" si="58"/>
        <v>0.3481247811</v>
      </c>
      <c r="L879" s="174">
        <f t="shared" si="4"/>
        <v>0.6962495623</v>
      </c>
      <c r="M879" s="175" t="str">
        <f t="shared" si="5"/>
        <v>morgangr</v>
      </c>
      <c r="N879" s="176">
        <f>IFERROR(__xludf.DUMMYFUNCTION("""COMPUTED_VALUE"""),2.0)</f>
        <v>2</v>
      </c>
      <c r="O879" s="176"/>
      <c r="P879" s="165" t="s">
        <v>154</v>
      </c>
      <c r="Q879" s="165" t="s">
        <v>10</v>
      </c>
      <c r="R879" s="176"/>
      <c r="S879" s="176"/>
      <c r="T879" s="176"/>
      <c r="U879" s="176"/>
      <c r="V879" s="176"/>
      <c r="W879" s="176"/>
      <c r="X879" s="176"/>
      <c r="Y879" s="176"/>
      <c r="Z879" s="176"/>
      <c r="AA879" s="176"/>
    </row>
    <row r="880">
      <c r="A880" s="165" t="str">
        <f>iferror(VLOOKUP(P880,'DO NOT TOUCH Imported'!$A$1:$D$800,4,False),iferror(VLOOKUP(P880,'DO NOT TOUCH Imported'!$C$1:$D$800,2,False),"OOPS FIX ME"))</f>
        <v>Michel Bauwens#1511</v>
      </c>
      <c r="B880" s="165" t="s">
        <v>441</v>
      </c>
      <c r="C880" s="170" t="s">
        <v>1006</v>
      </c>
      <c r="D880" s="236" t="s">
        <v>499</v>
      </c>
      <c r="E880" s="237">
        <v>44302.0</v>
      </c>
      <c r="F880" s="170" t="s">
        <v>503</v>
      </c>
      <c r="G880" s="170">
        <v>500.0</v>
      </c>
      <c r="H880" s="171">
        <v>25.0</v>
      </c>
      <c r="I880" s="171">
        <v>25.0</v>
      </c>
      <c r="J880" s="172">
        <f t="shared" si="57"/>
        <v>0.0002901039843</v>
      </c>
      <c r="K880" s="173">
        <f t="shared" si="58"/>
        <v>0.3481247811</v>
      </c>
      <c r="L880" s="174">
        <f t="shared" si="4"/>
        <v>0.6962495623</v>
      </c>
      <c r="M880" s="175" t="str">
        <f t="shared" si="5"/>
        <v>Michel Bauwens#1511</v>
      </c>
      <c r="N880" s="176">
        <f>IFERROR(__xludf.DUMMYFUNCTION("""COMPUTED_VALUE"""),1.0)</f>
        <v>1</v>
      </c>
      <c r="O880" s="176"/>
      <c r="P880" s="165" t="s">
        <v>239</v>
      </c>
      <c r="Q880" s="165" t="s">
        <v>441</v>
      </c>
      <c r="R880" s="176"/>
      <c r="S880" s="176"/>
      <c r="T880" s="176"/>
      <c r="U880" s="176"/>
      <c r="V880" s="176"/>
      <c r="W880" s="176"/>
      <c r="X880" s="176"/>
      <c r="Y880" s="176"/>
      <c r="Z880" s="176"/>
      <c r="AA880" s="176"/>
    </row>
    <row r="881">
      <c r="A881" s="165" t="str">
        <f>iferror(VLOOKUP(P881,'DO NOT TOUCH Imported'!$A$1:$D$800,4,False),iferror(VLOOKUP(P881,'DO NOT TOUCH Imported'!$C$1:$D$800,2,False),"OOPS FIX ME"))</f>
        <v>Michel Bauwens#1511</v>
      </c>
      <c r="B881" s="165" t="s">
        <v>441</v>
      </c>
      <c r="C881" s="170" t="s">
        <v>1006</v>
      </c>
      <c r="D881" s="236" t="s">
        <v>499</v>
      </c>
      <c r="E881" s="237">
        <v>44309.0</v>
      </c>
      <c r="F881" s="170" t="s">
        <v>503</v>
      </c>
      <c r="G881" s="170">
        <v>500.0</v>
      </c>
      <c r="H881" s="171">
        <v>25.0</v>
      </c>
      <c r="I881" s="171">
        <v>25.0</v>
      </c>
      <c r="J881" s="172">
        <f t="shared" si="57"/>
        <v>0.0002901039843</v>
      </c>
      <c r="K881" s="173">
        <f t="shared" si="58"/>
        <v>0.3481247811</v>
      </c>
      <c r="L881" s="174">
        <f t="shared" si="4"/>
        <v>0.6962495623</v>
      </c>
      <c r="M881" s="175" t="str">
        <f t="shared" si="5"/>
        <v>Michel Bauwens#1511</v>
      </c>
      <c r="N881" s="176">
        <f>IFERROR(__xludf.DUMMYFUNCTION("""COMPUTED_VALUE"""),2.0)</f>
        <v>2</v>
      </c>
      <c r="O881" s="176"/>
      <c r="P881" s="165" t="s">
        <v>239</v>
      </c>
      <c r="Q881" s="165" t="s">
        <v>441</v>
      </c>
      <c r="R881" s="176"/>
      <c r="S881" s="176"/>
      <c r="T881" s="176"/>
      <c r="U881" s="176"/>
      <c r="V881" s="176"/>
      <c r="W881" s="176"/>
      <c r="X881" s="176"/>
      <c r="Y881" s="176"/>
      <c r="Z881" s="176"/>
      <c r="AA881" s="176"/>
    </row>
    <row r="882">
      <c r="A882" s="165" t="str">
        <f>iferror(VLOOKUP(P882,'DO NOT TOUCH Imported'!$A$1:$D$800,4,False),iferror(VLOOKUP(P882,'DO NOT TOUCH Imported'!$C$1:$D$800,2,False),"OOPS FIX ME"))</f>
        <v>gyalbo</v>
      </c>
      <c r="B882" s="165" t="s">
        <v>10</v>
      </c>
      <c r="C882" s="170" t="s">
        <v>498</v>
      </c>
      <c r="D882" s="236" t="s">
        <v>495</v>
      </c>
      <c r="E882" s="237">
        <v>44302.0</v>
      </c>
      <c r="F882" s="170" t="s">
        <v>499</v>
      </c>
      <c r="G882" s="170">
        <v>500.0</v>
      </c>
      <c r="H882" s="171">
        <v>25.0</v>
      </c>
      <c r="I882" s="171">
        <v>25.0</v>
      </c>
      <c r="J882" s="172">
        <f t="shared" si="57"/>
        <v>0.0002901039843</v>
      </c>
      <c r="K882" s="173">
        <f t="shared" si="58"/>
        <v>0.3481247811</v>
      </c>
      <c r="L882" s="174">
        <f t="shared" si="4"/>
        <v>0.6962495623</v>
      </c>
      <c r="M882" s="175" t="str">
        <f t="shared" si="5"/>
        <v>gyalbo</v>
      </c>
      <c r="N882" s="176">
        <f>IFERROR(__xludf.DUMMYFUNCTION("""COMPUTED_VALUE"""),1.0)</f>
        <v>1</v>
      </c>
      <c r="O882" s="176"/>
      <c r="P882" s="165" t="s">
        <v>108</v>
      </c>
      <c r="Q882" s="165" t="s">
        <v>10</v>
      </c>
      <c r="R882" s="176"/>
      <c r="S882" s="176"/>
      <c r="T882" s="176"/>
      <c r="U882" s="176"/>
      <c r="V882" s="176"/>
      <c r="W882" s="176"/>
      <c r="X882" s="176"/>
      <c r="Y882" s="176"/>
      <c r="Z882" s="176"/>
      <c r="AA882" s="176"/>
    </row>
    <row r="883">
      <c r="A883" s="165" t="str">
        <f>iferror(VLOOKUP(P883,'DO NOT TOUCH Imported'!$A$1:$D$800,4,False),iferror(VLOOKUP(P883,'DO NOT TOUCH Imported'!$C$1:$D$800,2,False),"OOPS FIX ME"))</f>
        <v>gyalbo</v>
      </c>
      <c r="B883" s="165" t="s">
        <v>10</v>
      </c>
      <c r="C883" s="170" t="s">
        <v>500</v>
      </c>
      <c r="D883" s="236" t="s">
        <v>495</v>
      </c>
      <c r="E883" s="239">
        <v>44302.0</v>
      </c>
      <c r="F883" s="170" t="s">
        <v>496</v>
      </c>
      <c r="G883" s="170">
        <v>500.0</v>
      </c>
      <c r="H883" s="171">
        <v>25.0</v>
      </c>
      <c r="I883" s="171">
        <v>25.0</v>
      </c>
      <c r="J883" s="172">
        <f t="shared" si="57"/>
        <v>0.0002901039843</v>
      </c>
      <c r="K883" s="173">
        <f t="shared" si="58"/>
        <v>0.3481247811</v>
      </c>
      <c r="L883" s="174">
        <f t="shared" si="4"/>
        <v>0.6962495623</v>
      </c>
      <c r="M883" s="175" t="str">
        <f t="shared" si="5"/>
        <v>gyalbo</v>
      </c>
      <c r="N883" s="176">
        <f>IFERROR(__xludf.DUMMYFUNCTION("""COMPUTED_VALUE"""),2.0)</f>
        <v>2</v>
      </c>
      <c r="O883" s="176"/>
      <c r="P883" s="165" t="s">
        <v>108</v>
      </c>
      <c r="Q883" s="165" t="s">
        <v>10</v>
      </c>
      <c r="R883" s="176"/>
      <c r="S883" s="176"/>
      <c r="T883" s="176"/>
      <c r="U883" s="176"/>
      <c r="V883" s="176"/>
      <c r="W883" s="176"/>
      <c r="X883" s="176"/>
      <c r="Y883" s="176"/>
      <c r="Z883" s="176"/>
      <c r="AA883" s="176"/>
    </row>
    <row r="884">
      <c r="A884" s="165" t="str">
        <f>iferror(VLOOKUP(P884,'DO NOT TOUCH Imported'!$A$1:$D$800,4,False),iferror(VLOOKUP(P884,'DO NOT TOUCH Imported'!$C$1:$D$800,2,False),"OOPS FIX ME"))</f>
        <v>auryn_macmillan</v>
      </c>
      <c r="B884" s="165" t="s">
        <v>10</v>
      </c>
      <c r="C884" s="170" t="s">
        <v>498</v>
      </c>
      <c r="D884" s="236" t="s">
        <v>495</v>
      </c>
      <c r="E884" s="237">
        <v>44309.0</v>
      </c>
      <c r="F884" s="170" t="s">
        <v>499</v>
      </c>
      <c r="G884" s="170">
        <v>500.0</v>
      </c>
      <c r="H884" s="171">
        <v>25.0</v>
      </c>
      <c r="I884" s="171">
        <v>25.0</v>
      </c>
      <c r="J884" s="172">
        <f t="shared" si="57"/>
        <v>0.0002901039843</v>
      </c>
      <c r="K884" s="173">
        <f t="shared" si="58"/>
        <v>0.3481247811</v>
      </c>
      <c r="L884" s="174">
        <f t="shared" si="4"/>
        <v>0.6962495623</v>
      </c>
      <c r="M884" s="175" t="str">
        <f t="shared" si="5"/>
        <v>auryn_macmillan</v>
      </c>
      <c r="N884" s="176">
        <f>IFERROR(__xludf.DUMMYFUNCTION("""COMPUTED_VALUE"""),1.0)</f>
        <v>1</v>
      </c>
      <c r="O884" s="176"/>
      <c r="P884" s="165" t="s">
        <v>126</v>
      </c>
      <c r="Q884" s="165" t="s">
        <v>10</v>
      </c>
      <c r="R884" s="176"/>
      <c r="S884" s="176"/>
      <c r="T884" s="176"/>
      <c r="U884" s="176"/>
      <c r="V884" s="176"/>
      <c r="W884" s="176"/>
      <c r="X884" s="176"/>
      <c r="Y884" s="176"/>
      <c r="Z884" s="176"/>
      <c r="AA884" s="176"/>
    </row>
    <row r="885">
      <c r="A885" s="165" t="str">
        <f>iferror(VLOOKUP(P885,'DO NOT TOUCH Imported'!$A$1:$D$800,4,False),iferror(VLOOKUP(P885,'DO NOT TOUCH Imported'!$C$1:$D$800,2,False),"OOPS FIX ME"))</f>
        <v>auryn_macmillan</v>
      </c>
      <c r="B885" s="165" t="s">
        <v>10</v>
      </c>
      <c r="C885" s="170" t="s">
        <v>500</v>
      </c>
      <c r="D885" s="236" t="s">
        <v>495</v>
      </c>
      <c r="E885" s="239">
        <v>44309.0</v>
      </c>
      <c r="F885" s="170" t="s">
        <v>496</v>
      </c>
      <c r="G885" s="170">
        <v>500.0</v>
      </c>
      <c r="H885" s="171">
        <v>25.0</v>
      </c>
      <c r="I885" s="171">
        <v>25.0</v>
      </c>
      <c r="J885" s="172">
        <f t="shared" si="57"/>
        <v>0.0002901039843</v>
      </c>
      <c r="K885" s="173">
        <f t="shared" si="58"/>
        <v>0.3481247811</v>
      </c>
      <c r="L885" s="174">
        <f t="shared" si="4"/>
        <v>0.6962495623</v>
      </c>
      <c r="M885" s="175" t="str">
        <f t="shared" si="5"/>
        <v>auryn_macmillan</v>
      </c>
      <c r="N885" s="176">
        <f>IFERROR(__xludf.DUMMYFUNCTION("""COMPUTED_VALUE"""),2.0)</f>
        <v>2</v>
      </c>
      <c r="O885" s="176"/>
      <c r="P885" s="165" t="s">
        <v>126</v>
      </c>
      <c r="Q885" s="165" t="s">
        <v>10</v>
      </c>
      <c r="R885" s="176"/>
      <c r="S885" s="176"/>
      <c r="T885" s="176"/>
      <c r="U885" s="176"/>
      <c r="V885" s="176"/>
      <c r="W885" s="176"/>
      <c r="X885" s="176"/>
      <c r="Y885" s="176"/>
      <c r="Z885" s="176"/>
      <c r="AA885" s="176"/>
    </row>
    <row r="886">
      <c r="A886" s="165" t="str">
        <f>iferror(VLOOKUP(P886,'DO NOT TOUCH Imported'!$A$1:$D$800,4,False),iferror(VLOOKUP(P886,'DO NOT TOUCH Imported'!$C$1:$D$800,2,False),"OOPS FIX ME"))</f>
        <v>Andfletcher</v>
      </c>
      <c r="B886" s="165" t="s">
        <v>10</v>
      </c>
      <c r="C886" s="170" t="s">
        <v>498</v>
      </c>
      <c r="D886" s="236" t="s">
        <v>495</v>
      </c>
      <c r="E886" s="239">
        <v>44302.0</v>
      </c>
      <c r="F886" s="170" t="s">
        <v>499</v>
      </c>
      <c r="G886" s="170">
        <v>500.0</v>
      </c>
      <c r="H886" s="171">
        <v>25.0</v>
      </c>
      <c r="I886" s="171">
        <v>25.0</v>
      </c>
      <c r="J886" s="172">
        <f t="shared" si="57"/>
        <v>0.0002901039843</v>
      </c>
      <c r="K886" s="173">
        <f t="shared" si="58"/>
        <v>0.3481247811</v>
      </c>
      <c r="L886" s="174">
        <f t="shared" si="4"/>
        <v>0.6962495623</v>
      </c>
      <c r="M886" s="175" t="str">
        <f t="shared" si="5"/>
        <v>Andfletcher</v>
      </c>
      <c r="N886" s="176">
        <f>IFERROR(__xludf.DUMMYFUNCTION("""COMPUTED_VALUE"""),1.0)</f>
        <v>1</v>
      </c>
      <c r="O886" s="176"/>
      <c r="P886" s="165" t="s">
        <v>148</v>
      </c>
      <c r="Q886" s="165" t="s">
        <v>10</v>
      </c>
      <c r="R886" s="176"/>
      <c r="S886" s="176"/>
      <c r="T886" s="176"/>
      <c r="U886" s="176"/>
      <c r="V886" s="176"/>
      <c r="W886" s="176"/>
      <c r="X886" s="176"/>
      <c r="Y886" s="176"/>
      <c r="Z886" s="176"/>
      <c r="AA886" s="176"/>
    </row>
    <row r="887">
      <c r="A887" s="165" t="str">
        <f>iferror(VLOOKUP(P887,'DO NOT TOUCH Imported'!$A$1:$D$800,4,False),iferror(VLOOKUP(P887,'DO NOT TOUCH Imported'!$C$1:$D$800,2,False),"OOPS FIX ME"))</f>
        <v>Andfletcher</v>
      </c>
      <c r="B887" s="165" t="s">
        <v>10</v>
      </c>
      <c r="C887" s="170" t="s">
        <v>498</v>
      </c>
      <c r="D887" s="236" t="s">
        <v>495</v>
      </c>
      <c r="E887" s="237">
        <v>44309.0</v>
      </c>
      <c r="F887" s="170" t="s">
        <v>499</v>
      </c>
      <c r="G887" s="170">
        <v>500.0</v>
      </c>
      <c r="H887" s="171">
        <v>25.0</v>
      </c>
      <c r="I887" s="171">
        <v>25.0</v>
      </c>
      <c r="J887" s="172">
        <f t="shared" si="57"/>
        <v>0.0002901039843</v>
      </c>
      <c r="K887" s="173">
        <f t="shared" si="58"/>
        <v>0.3481247811</v>
      </c>
      <c r="L887" s="174">
        <f t="shared" si="4"/>
        <v>0.6962495623</v>
      </c>
      <c r="M887" s="175" t="str">
        <f t="shared" si="5"/>
        <v>Andfletcher</v>
      </c>
      <c r="N887" s="176">
        <f>IFERROR(__xludf.DUMMYFUNCTION("""COMPUTED_VALUE"""),2.0)</f>
        <v>2</v>
      </c>
      <c r="O887" s="176"/>
      <c r="P887" s="165" t="s">
        <v>148</v>
      </c>
      <c r="Q887" s="165" t="s">
        <v>10</v>
      </c>
      <c r="R887" s="176"/>
      <c r="S887" s="176"/>
      <c r="T887" s="176"/>
      <c r="U887" s="176"/>
      <c r="V887" s="176"/>
      <c r="W887" s="176"/>
      <c r="X887" s="176"/>
      <c r="Y887" s="176"/>
      <c r="Z887" s="176"/>
      <c r="AA887" s="176"/>
    </row>
    <row r="888">
      <c r="A888" s="165" t="str">
        <f>iferror(VLOOKUP(P888,'DO NOT TOUCH Imported'!$A$1:$D$800,4,False),iferror(VLOOKUP(P888,'DO NOT TOUCH Imported'!$C$1:$D$800,2,False),"OOPS FIX ME"))</f>
        <v>ZoushHoang#2376</v>
      </c>
      <c r="B888" s="165" t="s">
        <v>441</v>
      </c>
      <c r="C888" s="170" t="s">
        <v>1225</v>
      </c>
      <c r="D888" s="236" t="s">
        <v>499</v>
      </c>
      <c r="E888" s="237">
        <v>44309.0</v>
      </c>
      <c r="F888" s="170" t="s">
        <v>503</v>
      </c>
      <c r="G888" s="170">
        <v>500.0</v>
      </c>
      <c r="H888" s="171">
        <v>25.0</v>
      </c>
      <c r="I888" s="171">
        <v>25.0</v>
      </c>
      <c r="J888" s="172">
        <f t="shared" si="57"/>
        <v>0.0002901039843</v>
      </c>
      <c r="K888" s="173">
        <f t="shared" si="58"/>
        <v>0.3481247811</v>
      </c>
      <c r="L888" s="174">
        <f t="shared" si="4"/>
        <v>0.3481247811</v>
      </c>
      <c r="M888" s="175" t="str">
        <f t="shared" si="5"/>
        <v>ZoushHoang#2376</v>
      </c>
      <c r="N888" s="176">
        <f>IFERROR(__xludf.DUMMYFUNCTION("""COMPUTED_VALUE"""),1.0)</f>
        <v>1</v>
      </c>
      <c r="O888" s="176"/>
      <c r="P888" s="165" t="s">
        <v>266</v>
      </c>
      <c r="Q888" s="165" t="s">
        <v>441</v>
      </c>
      <c r="R888" s="176"/>
      <c r="S888" s="176"/>
      <c r="T888" s="176"/>
      <c r="U888" s="176"/>
      <c r="V888" s="176"/>
      <c r="W888" s="176"/>
      <c r="X888" s="176"/>
      <c r="Y888" s="176"/>
      <c r="Z888" s="176"/>
      <c r="AA888" s="176"/>
    </row>
    <row r="889">
      <c r="A889" s="165" t="str">
        <f>iferror(VLOOKUP(P889,'DO NOT TOUCH Imported'!$A$1:$D$800,4,False),iferror(VLOOKUP(P889,'DO NOT TOUCH Imported'!$C$1:$D$800,2,False),"OOPS FIX ME"))</f>
        <v>WhyldWanderer#7002</v>
      </c>
      <c r="B889" s="165" t="s">
        <v>441</v>
      </c>
      <c r="C889" s="170" t="s">
        <v>1006</v>
      </c>
      <c r="D889" s="236" t="s">
        <v>499</v>
      </c>
      <c r="E889" s="237">
        <v>44302.0</v>
      </c>
      <c r="F889" s="170" t="s">
        <v>503</v>
      </c>
      <c r="G889" s="170">
        <v>500.0</v>
      </c>
      <c r="H889" s="171">
        <v>25.0</v>
      </c>
      <c r="I889" s="171">
        <v>25.0</v>
      </c>
      <c r="J889" s="172">
        <f t="shared" si="57"/>
        <v>0.0002901039843</v>
      </c>
      <c r="K889" s="173">
        <f t="shared" si="58"/>
        <v>0.3481247811</v>
      </c>
      <c r="L889" s="174">
        <f t="shared" si="4"/>
        <v>0.3481247811</v>
      </c>
      <c r="M889" s="175" t="str">
        <f t="shared" si="5"/>
        <v>WhyldWanderer#7002</v>
      </c>
      <c r="N889" s="176">
        <f>IFERROR(__xludf.DUMMYFUNCTION("""COMPUTED_VALUE"""),1.0)</f>
        <v>1</v>
      </c>
      <c r="O889" s="176"/>
      <c r="P889" s="165" t="s">
        <v>195</v>
      </c>
      <c r="Q889" s="165" t="s">
        <v>441</v>
      </c>
      <c r="R889" s="176"/>
      <c r="S889" s="176"/>
      <c r="T889" s="176"/>
      <c r="U889" s="176"/>
      <c r="V889" s="176"/>
      <c r="W889" s="176"/>
      <c r="X889" s="176"/>
      <c r="Y889" s="176"/>
      <c r="Z889" s="176"/>
      <c r="AA889" s="176"/>
    </row>
    <row r="890">
      <c r="A890" s="165" t="str">
        <f>iferror(VLOOKUP(P890,'DO NOT TOUCH Imported'!$A$1:$D$800,4,False),iferror(VLOOKUP(P890,'DO NOT TOUCH Imported'!$C$1:$D$800,2,False),"OOPS FIX ME"))</f>
        <v>uPaul</v>
      </c>
      <c r="B890" s="165" t="s">
        <v>10</v>
      </c>
      <c r="C890" s="170" t="s">
        <v>498</v>
      </c>
      <c r="D890" s="236" t="s">
        <v>495</v>
      </c>
      <c r="E890" s="237">
        <v>44302.0</v>
      </c>
      <c r="F890" s="170" t="s">
        <v>499</v>
      </c>
      <c r="G890" s="170">
        <v>500.0</v>
      </c>
      <c r="H890" s="171">
        <v>25.0</v>
      </c>
      <c r="I890" s="171">
        <v>25.0</v>
      </c>
      <c r="J890" s="172">
        <f t="shared" si="57"/>
        <v>0.0002901039843</v>
      </c>
      <c r="K890" s="173">
        <f t="shared" si="58"/>
        <v>0.3481247811</v>
      </c>
      <c r="L890" s="174">
        <f t="shared" si="4"/>
        <v>0.3481247811</v>
      </c>
      <c r="M890" s="175" t="str">
        <f t="shared" si="5"/>
        <v>uPaul</v>
      </c>
      <c r="N890" s="176">
        <f>IFERROR(__xludf.DUMMYFUNCTION("""COMPUTED_VALUE"""),1.0)</f>
        <v>1</v>
      </c>
      <c r="O890" s="176"/>
      <c r="P890" s="165" t="s">
        <v>89</v>
      </c>
      <c r="Q890" s="165" t="s">
        <v>10</v>
      </c>
      <c r="R890" s="176"/>
      <c r="S890" s="176"/>
      <c r="T890" s="176"/>
      <c r="U890" s="176"/>
      <c r="V890" s="176"/>
      <c r="W890" s="176"/>
      <c r="X890" s="176"/>
      <c r="Y890" s="176"/>
      <c r="Z890" s="176"/>
      <c r="AA890" s="176"/>
    </row>
    <row r="891">
      <c r="A891" s="165" t="str">
        <f>iferror(VLOOKUP(P891,'DO NOT TOUCH Imported'!$A$1:$D$800,4,False),iferror(VLOOKUP(P891,'DO NOT TOUCH Imported'!$C$1:$D$800,2,False),"OOPS FIX ME"))</f>
        <v>tunoncedemalis</v>
      </c>
      <c r="B891" s="165" t="s">
        <v>10</v>
      </c>
      <c r="C891" s="170" t="s">
        <v>498</v>
      </c>
      <c r="D891" s="236" t="s">
        <v>495</v>
      </c>
      <c r="E891" s="237">
        <v>44309.0</v>
      </c>
      <c r="F891" s="170" t="s">
        <v>499</v>
      </c>
      <c r="G891" s="170">
        <v>500.0</v>
      </c>
      <c r="H891" s="171">
        <v>25.0</v>
      </c>
      <c r="I891" s="171">
        <v>25.0</v>
      </c>
      <c r="J891" s="172">
        <f t="shared" si="57"/>
        <v>0.0002901039843</v>
      </c>
      <c r="K891" s="173">
        <f t="shared" si="58"/>
        <v>0.3481247811</v>
      </c>
      <c r="L891" s="174">
        <f t="shared" si="4"/>
        <v>0.3481247811</v>
      </c>
      <c r="M891" s="175" t="str">
        <f t="shared" si="5"/>
        <v>tunoncedemalis</v>
      </c>
      <c r="N891" s="176">
        <f>IFERROR(__xludf.DUMMYFUNCTION("""COMPUTED_VALUE"""),1.0)</f>
        <v>1</v>
      </c>
      <c r="O891" s="176"/>
      <c r="P891" s="165" t="s">
        <v>254</v>
      </c>
      <c r="Q891" s="165" t="s">
        <v>10</v>
      </c>
      <c r="R891" s="176"/>
      <c r="S891" s="176"/>
      <c r="T891" s="176"/>
      <c r="U891" s="176"/>
      <c r="V891" s="176"/>
      <c r="W891" s="176"/>
      <c r="X891" s="176"/>
      <c r="Y891" s="176"/>
      <c r="Z891" s="176"/>
      <c r="AA891" s="176"/>
    </row>
    <row r="892">
      <c r="A892" s="165" t="str">
        <f>iferror(VLOOKUP(P892,'DO NOT TOUCH Imported'!$A$1:$D$800,4,False),iferror(VLOOKUP(P892,'DO NOT TOUCH Imported'!$C$1:$D$800,2,False),"OOPS FIX ME"))</f>
        <v>trentmc0</v>
      </c>
      <c r="B892" s="165" t="s">
        <v>10</v>
      </c>
      <c r="C892" s="170" t="s">
        <v>498</v>
      </c>
      <c r="D892" s="236" t="s">
        <v>495</v>
      </c>
      <c r="E892" s="239">
        <v>44302.0</v>
      </c>
      <c r="F892" s="170" t="s">
        <v>499</v>
      </c>
      <c r="G892" s="170">
        <v>500.0</v>
      </c>
      <c r="H892" s="171">
        <v>25.0</v>
      </c>
      <c r="I892" s="171">
        <v>25.0</v>
      </c>
      <c r="J892" s="172">
        <f t="shared" si="57"/>
        <v>0.0002901039843</v>
      </c>
      <c r="K892" s="173">
        <f t="shared" si="58"/>
        <v>0.3481247811</v>
      </c>
      <c r="L892" s="174">
        <f t="shared" si="4"/>
        <v>0.3481247811</v>
      </c>
      <c r="M892" s="175" t="str">
        <f t="shared" si="5"/>
        <v>trentmc0</v>
      </c>
      <c r="N892" s="176">
        <f>IFERROR(__xludf.DUMMYFUNCTION("""COMPUTED_VALUE"""),1.0)</f>
        <v>1</v>
      </c>
      <c r="O892" s="176"/>
      <c r="P892" s="165" t="s">
        <v>64</v>
      </c>
      <c r="Q892" s="165" t="s">
        <v>10</v>
      </c>
      <c r="R892" s="176"/>
      <c r="S892" s="176"/>
      <c r="T892" s="176"/>
      <c r="U892" s="176"/>
      <c r="V892" s="176"/>
      <c r="W892" s="176"/>
      <c r="X892" s="176"/>
      <c r="Y892" s="176"/>
      <c r="Z892" s="176"/>
      <c r="AA892" s="176"/>
    </row>
    <row r="893">
      <c r="A893" s="165" t="str">
        <f>iferror(VLOOKUP(P893,'DO NOT TOUCH Imported'!$A$1:$D$800,4,False),iferror(VLOOKUP(P893,'DO NOT TOUCH Imported'!$C$1:$D$800,2,False),"OOPS FIX ME"))</f>
        <v>terry#6288</v>
      </c>
      <c r="B893" s="165" t="s">
        <v>441</v>
      </c>
      <c r="C893" s="170" t="s">
        <v>1006</v>
      </c>
      <c r="D893" s="236" t="s">
        <v>499</v>
      </c>
      <c r="E893" s="239">
        <v>44302.0</v>
      </c>
      <c r="F893" s="170" t="s">
        <v>503</v>
      </c>
      <c r="G893" s="170">
        <v>500.0</v>
      </c>
      <c r="H893" s="171">
        <v>25.0</v>
      </c>
      <c r="I893" s="171">
        <v>25.0</v>
      </c>
      <c r="J893" s="172">
        <f t="shared" si="57"/>
        <v>0.0002901039843</v>
      </c>
      <c r="K893" s="173">
        <f t="shared" si="58"/>
        <v>0.3481247811</v>
      </c>
      <c r="L893" s="174">
        <f t="shared" si="4"/>
        <v>0.3481247811</v>
      </c>
      <c r="M893" s="175" t="str">
        <f t="shared" si="5"/>
        <v>terry#6288</v>
      </c>
      <c r="N893" s="176">
        <f>IFERROR(__xludf.DUMMYFUNCTION("""COMPUTED_VALUE"""),1.0)</f>
        <v>1</v>
      </c>
      <c r="O893" s="176"/>
      <c r="P893" s="165" t="s">
        <v>216</v>
      </c>
      <c r="Q893" s="165" t="s">
        <v>441</v>
      </c>
      <c r="R893" s="176"/>
      <c r="S893" s="176"/>
      <c r="T893" s="176"/>
      <c r="U893" s="176"/>
      <c r="V893" s="176"/>
      <c r="W893" s="176"/>
      <c r="X893" s="176"/>
      <c r="Y893" s="176"/>
      <c r="Z893" s="176"/>
      <c r="AA893" s="176"/>
    </row>
    <row r="894">
      <c r="A894" s="165" t="str">
        <f>iferror(VLOOKUP(P894,'DO NOT TOUCH Imported'!$A$1:$D$800,4,False),iferror(VLOOKUP(P894,'DO NOT TOUCH Imported'!$C$1:$D$800,2,False),"OOPS FIX ME"))</f>
        <v>sepu85</v>
      </c>
      <c r="B894" s="165" t="s">
        <v>10</v>
      </c>
      <c r="C894" s="170" t="s">
        <v>498</v>
      </c>
      <c r="D894" s="236" t="s">
        <v>495</v>
      </c>
      <c r="E894" s="237">
        <v>44309.0</v>
      </c>
      <c r="F894" s="170" t="s">
        <v>499</v>
      </c>
      <c r="G894" s="170">
        <v>500.0</v>
      </c>
      <c r="H894" s="171">
        <v>25.0</v>
      </c>
      <c r="I894" s="171">
        <v>25.0</v>
      </c>
      <c r="J894" s="172">
        <f t="shared" si="57"/>
        <v>0.0002901039843</v>
      </c>
      <c r="K894" s="173">
        <f t="shared" si="58"/>
        <v>0.3481247811</v>
      </c>
      <c r="L894" s="174">
        <f t="shared" si="4"/>
        <v>0.3481247811</v>
      </c>
      <c r="M894" s="175" t="str">
        <f t="shared" si="5"/>
        <v>sepu85</v>
      </c>
      <c r="N894" s="176">
        <f>IFERROR(__xludf.DUMMYFUNCTION("""COMPUTED_VALUE"""),1.0)</f>
        <v>1</v>
      </c>
      <c r="O894" s="176"/>
      <c r="P894" s="165" t="s">
        <v>120</v>
      </c>
      <c r="Q894" s="165" t="s">
        <v>10</v>
      </c>
      <c r="R894" s="176"/>
      <c r="S894" s="176"/>
      <c r="T894" s="176"/>
      <c r="U894" s="176"/>
      <c r="V894" s="176"/>
      <c r="W894" s="176"/>
      <c r="X894" s="176"/>
      <c r="Y894" s="176"/>
      <c r="Z894" s="176"/>
      <c r="AA894" s="176"/>
    </row>
    <row r="895">
      <c r="A895" s="165" t="str">
        <f>iferror(VLOOKUP(P895,'DO NOT TOUCH Imported'!$A$1:$D$800,4,False),iferror(VLOOKUP(P895,'DO NOT TOUCH Imported'!$C$1:$D$800,2,False),"OOPS FIX ME"))</f>
        <v>rubenrussel7</v>
      </c>
      <c r="B895" s="165" t="s">
        <v>10</v>
      </c>
      <c r="C895" s="170" t="s">
        <v>498</v>
      </c>
      <c r="D895" s="236" t="s">
        <v>495</v>
      </c>
      <c r="E895" s="237">
        <v>44302.0</v>
      </c>
      <c r="F895" s="170" t="s">
        <v>499</v>
      </c>
      <c r="G895" s="170">
        <v>500.0</v>
      </c>
      <c r="H895" s="171">
        <v>25.0</v>
      </c>
      <c r="I895" s="171">
        <v>25.0</v>
      </c>
      <c r="J895" s="172">
        <f t="shared" si="57"/>
        <v>0.0002901039843</v>
      </c>
      <c r="K895" s="173">
        <f t="shared" si="58"/>
        <v>0.3481247811</v>
      </c>
      <c r="L895" s="174">
        <f t="shared" si="4"/>
        <v>0.3481247811</v>
      </c>
      <c r="M895" s="175" t="str">
        <f t="shared" si="5"/>
        <v>rubenrussel7</v>
      </c>
      <c r="N895" s="176">
        <f>IFERROR(__xludf.DUMMYFUNCTION("""COMPUTED_VALUE"""),1.0)</f>
        <v>1</v>
      </c>
      <c r="O895" s="176"/>
      <c r="P895" s="165" t="s">
        <v>70</v>
      </c>
      <c r="Q895" s="165" t="s">
        <v>10</v>
      </c>
      <c r="R895" s="176"/>
      <c r="S895" s="176"/>
      <c r="T895" s="176"/>
      <c r="U895" s="176"/>
      <c r="V895" s="176"/>
      <c r="W895" s="176"/>
      <c r="X895" s="176"/>
      <c r="Y895" s="176"/>
      <c r="Z895" s="176"/>
      <c r="AA895" s="176"/>
    </row>
    <row r="896">
      <c r="A896" s="165" t="str">
        <f>iferror(VLOOKUP(P896,'DO NOT TOUCH Imported'!$A$1:$D$800,4,False),iferror(VLOOKUP(P896,'DO NOT TOUCH Imported'!$C$1:$D$800,2,False),"OOPS FIX ME"))</f>
        <v>niranb</v>
      </c>
      <c r="B896" s="165" t="s">
        <v>10</v>
      </c>
      <c r="C896" s="170" t="s">
        <v>498</v>
      </c>
      <c r="D896" s="236" t="s">
        <v>495</v>
      </c>
      <c r="E896" s="237">
        <v>44302.0</v>
      </c>
      <c r="F896" s="170" t="s">
        <v>499</v>
      </c>
      <c r="G896" s="170">
        <v>500.0</v>
      </c>
      <c r="H896" s="171">
        <v>25.0</v>
      </c>
      <c r="I896" s="171">
        <v>25.0</v>
      </c>
      <c r="J896" s="172">
        <f t="shared" si="57"/>
        <v>0.0002901039843</v>
      </c>
      <c r="K896" s="173">
        <f t="shared" si="58"/>
        <v>0.3481247811</v>
      </c>
      <c r="L896" s="174">
        <f t="shared" si="4"/>
        <v>0.3481247811</v>
      </c>
      <c r="M896" s="175" t="str">
        <f t="shared" si="5"/>
        <v>niranb</v>
      </c>
      <c r="N896" s="176">
        <f>IFERROR(__xludf.DUMMYFUNCTION("""COMPUTED_VALUE"""),1.0)</f>
        <v>1</v>
      </c>
      <c r="O896" s="176"/>
      <c r="P896" s="165" t="s">
        <v>60</v>
      </c>
      <c r="Q896" s="165" t="s">
        <v>10</v>
      </c>
      <c r="R896" s="176"/>
      <c r="S896" s="176"/>
      <c r="T896" s="176"/>
      <c r="U896" s="176"/>
      <c r="V896" s="176"/>
      <c r="W896" s="176"/>
      <c r="X896" s="176"/>
      <c r="Y896" s="176"/>
      <c r="Z896" s="176"/>
      <c r="AA896" s="176"/>
    </row>
    <row r="897">
      <c r="A897" s="165" t="str">
        <f>iferror(VLOOKUP(P897,'DO NOT TOUCH Imported'!$A$1:$D$800,4,False),iferror(VLOOKUP(P897,'DO NOT TOUCH Imported'!$C$1:$D$800,2,False),"OOPS FIX ME"))</f>
        <v>michaelr10</v>
      </c>
      <c r="B897" s="165" t="s">
        <v>10</v>
      </c>
      <c r="C897" s="170" t="s">
        <v>498</v>
      </c>
      <c r="D897" s="236" t="s">
        <v>495</v>
      </c>
      <c r="E897" s="237">
        <v>44302.0</v>
      </c>
      <c r="F897" s="170" t="s">
        <v>499</v>
      </c>
      <c r="G897" s="170">
        <v>500.0</v>
      </c>
      <c r="H897" s="171">
        <v>25.0</v>
      </c>
      <c r="I897" s="171">
        <v>25.0</v>
      </c>
      <c r="J897" s="172">
        <f t="shared" si="57"/>
        <v>0.0002901039843</v>
      </c>
      <c r="K897" s="173">
        <f t="shared" si="58"/>
        <v>0.3481247811</v>
      </c>
      <c r="L897" s="174">
        <f t="shared" si="4"/>
        <v>0.3481247811</v>
      </c>
      <c r="M897" s="175" t="str">
        <f t="shared" si="5"/>
        <v>michaelr10</v>
      </c>
      <c r="N897" s="176">
        <f>IFERROR(__xludf.DUMMYFUNCTION("""COMPUTED_VALUE"""),1.0)</f>
        <v>1</v>
      </c>
      <c r="O897" s="176"/>
      <c r="P897" s="165" t="s">
        <v>229</v>
      </c>
      <c r="Q897" s="165" t="s">
        <v>10</v>
      </c>
      <c r="R897" s="176"/>
      <c r="S897" s="176"/>
      <c r="T897" s="176"/>
      <c r="U897" s="176"/>
      <c r="V897" s="176"/>
      <c r="W897" s="176"/>
      <c r="X897" s="176"/>
      <c r="Y897" s="176"/>
      <c r="Z897" s="176"/>
      <c r="AA897" s="176"/>
    </row>
    <row r="898">
      <c r="A898" s="165" t="str">
        <f>iferror(VLOOKUP(P898,'DO NOT TOUCH Imported'!$A$1:$D$800,4,False),iferror(VLOOKUP(P898,'DO NOT TOUCH Imported'!$C$1:$D$800,2,False),"OOPS FIX ME"))</f>
        <v>krrisis</v>
      </c>
      <c r="B898" s="165" t="s">
        <v>10</v>
      </c>
      <c r="C898" s="170" t="s">
        <v>498</v>
      </c>
      <c r="D898" s="236" t="s">
        <v>495</v>
      </c>
      <c r="E898" s="237">
        <v>44302.0</v>
      </c>
      <c r="F898" s="170" t="s">
        <v>499</v>
      </c>
      <c r="G898" s="170">
        <v>500.0</v>
      </c>
      <c r="H898" s="171">
        <v>25.0</v>
      </c>
      <c r="I898" s="171">
        <v>25.0</v>
      </c>
      <c r="J898" s="172">
        <f t="shared" si="57"/>
        <v>0.0002901039843</v>
      </c>
      <c r="K898" s="173">
        <f t="shared" si="58"/>
        <v>0.3481247811</v>
      </c>
      <c r="L898" s="174">
        <f t="shared" si="4"/>
        <v>0.3481247811</v>
      </c>
      <c r="M898" s="175" t="str">
        <f t="shared" si="5"/>
        <v>krrisis</v>
      </c>
      <c r="N898" s="176">
        <f>IFERROR(__xludf.DUMMYFUNCTION("""COMPUTED_VALUE"""),1.0)</f>
        <v>1</v>
      </c>
      <c r="O898" s="176"/>
      <c r="P898" s="165" t="s">
        <v>77</v>
      </c>
      <c r="Q898" s="165" t="s">
        <v>10</v>
      </c>
      <c r="R898" s="176"/>
      <c r="S898" s="176"/>
      <c r="T898" s="176"/>
      <c r="U898" s="176"/>
      <c r="V898" s="176"/>
      <c r="W898" s="176"/>
      <c r="X898" s="176"/>
      <c r="Y898" s="176"/>
      <c r="Z898" s="176"/>
      <c r="AA898" s="176"/>
    </row>
    <row r="899">
      <c r="A899" s="165" t="str">
        <f>iferror(VLOOKUP(P899,'DO NOT TOUCH Imported'!$A$1:$D$800,4,False),iferror(VLOOKUP(P899,'DO NOT TOUCH Imported'!$C$1:$D$800,2,False),"OOPS FIX ME"))</f>
        <v>kaikai520#0224</v>
      </c>
      <c r="B899" s="165" t="s">
        <v>441</v>
      </c>
      <c r="C899" s="170" t="s">
        <v>1006</v>
      </c>
      <c r="D899" s="236" t="s">
        <v>499</v>
      </c>
      <c r="E899" s="237">
        <v>44302.0</v>
      </c>
      <c r="F899" s="170" t="s">
        <v>503</v>
      </c>
      <c r="G899" s="170">
        <v>500.0</v>
      </c>
      <c r="H899" s="171">
        <v>25.0</v>
      </c>
      <c r="I899" s="171">
        <v>25.0</v>
      </c>
      <c r="J899" s="172">
        <f t="shared" si="57"/>
        <v>0.0002901039843</v>
      </c>
      <c r="K899" s="173">
        <f t="shared" si="58"/>
        <v>0.3481247811</v>
      </c>
      <c r="L899" s="174">
        <f t="shared" si="4"/>
        <v>0.3481247811</v>
      </c>
      <c r="M899" s="175" t="str">
        <f t="shared" si="5"/>
        <v>kaikai520#0224</v>
      </c>
      <c r="N899" s="176">
        <f>IFERROR(__xludf.DUMMYFUNCTION("""COMPUTED_VALUE"""),1.0)</f>
        <v>1</v>
      </c>
      <c r="O899" s="176"/>
      <c r="P899" s="165" t="s">
        <v>161</v>
      </c>
      <c r="Q899" s="165" t="s">
        <v>441</v>
      </c>
      <c r="R899" s="176"/>
      <c r="S899" s="176"/>
      <c r="T899" s="176"/>
      <c r="U899" s="176"/>
      <c r="V899" s="176"/>
      <c r="W899" s="176"/>
      <c r="X899" s="176"/>
      <c r="Y899" s="176"/>
      <c r="Z899" s="176"/>
      <c r="AA899" s="176"/>
    </row>
    <row r="900">
      <c r="A900" s="165" t="str">
        <f>iferror(VLOOKUP(P900,'DO NOT TOUCH Imported'!$A$1:$D$800,4,False),iferror(VLOOKUP(P900,'DO NOT TOUCH Imported'!$C$1:$D$800,2,False),"OOPS FIX ME"))</f>
        <v>JoeEchidna</v>
      </c>
      <c r="B900" s="165" t="s">
        <v>10</v>
      </c>
      <c r="C900" s="170" t="s">
        <v>498</v>
      </c>
      <c r="D900" s="236" t="s">
        <v>495</v>
      </c>
      <c r="E900" s="237">
        <v>44302.0</v>
      </c>
      <c r="F900" s="170" t="s">
        <v>499</v>
      </c>
      <c r="G900" s="170">
        <v>500.0</v>
      </c>
      <c r="H900" s="171">
        <v>25.0</v>
      </c>
      <c r="I900" s="171">
        <v>25.0</v>
      </c>
      <c r="J900" s="172">
        <f t="shared" si="57"/>
        <v>0.0002901039843</v>
      </c>
      <c r="K900" s="173">
        <f t="shared" si="58"/>
        <v>0.3481247811</v>
      </c>
      <c r="L900" s="174">
        <f t="shared" si="4"/>
        <v>0.3481247811</v>
      </c>
      <c r="M900" s="175" t="str">
        <f t="shared" si="5"/>
        <v>JoeEchidna</v>
      </c>
      <c r="N900" s="176">
        <f>IFERROR(__xludf.DUMMYFUNCTION("""COMPUTED_VALUE"""),1.0)</f>
        <v>1</v>
      </c>
      <c r="O900" s="176"/>
      <c r="P900" s="165" t="s">
        <v>865</v>
      </c>
      <c r="Q900" s="165" t="s">
        <v>10</v>
      </c>
      <c r="R900" s="176"/>
      <c r="S900" s="176"/>
      <c r="T900" s="176"/>
      <c r="U900" s="176"/>
      <c r="V900" s="176"/>
      <c r="W900" s="176"/>
      <c r="X900" s="176"/>
      <c r="Y900" s="176"/>
      <c r="Z900" s="176"/>
      <c r="AA900" s="176"/>
    </row>
    <row r="901">
      <c r="A901" s="165" t="str">
        <f>iferror(VLOOKUP(P901,'DO NOT TOUCH Imported'!$A$1:$D$800,4,False),iferror(VLOOKUP(P901,'DO NOT TOUCH Imported'!$C$1:$D$800,2,False),"OOPS FIX ME"))</f>
        <v>HBesso31</v>
      </c>
      <c r="B901" s="165" t="s">
        <v>10</v>
      </c>
      <c r="C901" s="170" t="s">
        <v>498</v>
      </c>
      <c r="D901" s="236" t="s">
        <v>495</v>
      </c>
      <c r="E901" s="237">
        <v>44309.0</v>
      </c>
      <c r="F901" s="170" t="s">
        <v>499</v>
      </c>
      <c r="G901" s="170">
        <v>500.0</v>
      </c>
      <c r="H901" s="171">
        <v>25.0</v>
      </c>
      <c r="I901" s="171">
        <v>25.0</v>
      </c>
      <c r="J901" s="172">
        <f t="shared" si="57"/>
        <v>0.0002901039843</v>
      </c>
      <c r="K901" s="173">
        <f t="shared" si="58"/>
        <v>0.3481247811</v>
      </c>
      <c r="L901" s="174">
        <f t="shared" si="4"/>
        <v>0.3481247811</v>
      </c>
      <c r="M901" s="175" t="str">
        <f t="shared" si="5"/>
        <v>HBesso31</v>
      </c>
      <c r="N901" s="176">
        <f>IFERROR(__xludf.DUMMYFUNCTION("""COMPUTED_VALUE"""),1.0)</f>
        <v>1</v>
      </c>
      <c r="O901" s="176"/>
      <c r="P901" s="165" t="s">
        <v>54</v>
      </c>
      <c r="Q901" s="165" t="s">
        <v>10</v>
      </c>
      <c r="R901" s="176"/>
      <c r="S901" s="176"/>
      <c r="T901" s="176"/>
      <c r="U901" s="176"/>
      <c r="V901" s="176"/>
      <c r="W901" s="176"/>
      <c r="X901" s="176"/>
      <c r="Y901" s="176"/>
      <c r="Z901" s="176"/>
      <c r="AA901" s="176"/>
    </row>
    <row r="902">
      <c r="A902" s="165" t="str">
        <f>iferror(VLOOKUP(P902,'DO NOT TOUCH Imported'!$A$1:$D$800,4,False),iferror(VLOOKUP(P902,'DO NOT TOUCH Imported'!$C$1:$D$800,2,False),"OOPS FIX ME"))</f>
        <v>felixfalafel</v>
      </c>
      <c r="B902" s="165" t="s">
        <v>10</v>
      </c>
      <c r="C902" s="170" t="s">
        <v>498</v>
      </c>
      <c r="D902" s="236" t="s">
        <v>495</v>
      </c>
      <c r="E902" s="239">
        <v>44302.0</v>
      </c>
      <c r="F902" s="170" t="s">
        <v>499</v>
      </c>
      <c r="G902" s="170">
        <v>500.0</v>
      </c>
      <c r="H902" s="171">
        <v>25.0</v>
      </c>
      <c r="I902" s="171">
        <v>25.0</v>
      </c>
      <c r="J902" s="172">
        <f t="shared" si="57"/>
        <v>0.0002901039843</v>
      </c>
      <c r="K902" s="173">
        <f t="shared" si="58"/>
        <v>0.3481247811</v>
      </c>
      <c r="L902" s="174">
        <f t="shared" si="4"/>
        <v>0.3481247811</v>
      </c>
      <c r="M902" s="175" t="str">
        <f t="shared" si="5"/>
        <v>felixfalafel</v>
      </c>
      <c r="N902" s="176">
        <f>IFERROR(__xludf.DUMMYFUNCTION("""COMPUTED_VALUE"""),1.0)</f>
        <v>1</v>
      </c>
      <c r="O902" s="176"/>
      <c r="P902" s="165" t="s">
        <v>81</v>
      </c>
      <c r="Q902" s="165" t="s">
        <v>10</v>
      </c>
      <c r="R902" s="176"/>
      <c r="S902" s="176"/>
      <c r="T902" s="176"/>
      <c r="U902" s="176"/>
      <c r="V902" s="176"/>
      <c r="W902" s="176"/>
      <c r="X902" s="176"/>
      <c r="Y902" s="176"/>
      <c r="Z902" s="176"/>
      <c r="AA902" s="176"/>
    </row>
    <row r="903">
      <c r="A903" s="165" t="str">
        <f>iferror(VLOOKUP(P903,'DO NOT TOUCH Imported'!$A$1:$D$800,4,False),iferror(VLOOKUP(P903,'DO NOT TOUCH Imported'!$C$1:$D$800,2,False),"OOPS FIX ME"))</f>
        <v>CleanApp</v>
      </c>
      <c r="B903" s="165" t="s">
        <v>10</v>
      </c>
      <c r="C903" s="170" t="s">
        <v>498</v>
      </c>
      <c r="D903" s="236" t="s">
        <v>495</v>
      </c>
      <c r="E903" s="239">
        <v>44302.0</v>
      </c>
      <c r="F903" s="170" t="s">
        <v>499</v>
      </c>
      <c r="G903" s="170">
        <v>500.0</v>
      </c>
      <c r="H903" s="171">
        <v>25.0</v>
      </c>
      <c r="I903" s="171">
        <v>25.0</v>
      </c>
      <c r="J903" s="172">
        <f t="shared" si="57"/>
        <v>0.0002901039843</v>
      </c>
      <c r="K903" s="173">
        <f t="shared" si="58"/>
        <v>0.3481247811</v>
      </c>
      <c r="L903" s="174">
        <f t="shared" si="4"/>
        <v>0.3481247811</v>
      </c>
      <c r="M903" s="175" t="str">
        <f t="shared" si="5"/>
        <v>CleanApp</v>
      </c>
      <c r="N903" s="176">
        <f>IFERROR(__xludf.DUMMYFUNCTION("""COMPUTED_VALUE"""),1.0)</f>
        <v>1</v>
      </c>
      <c r="O903" s="176"/>
      <c r="P903" s="165" t="s">
        <v>1226</v>
      </c>
      <c r="Q903" s="165" t="s">
        <v>10</v>
      </c>
      <c r="R903" s="176"/>
      <c r="S903" s="176"/>
      <c r="T903" s="176"/>
      <c r="U903" s="176"/>
      <c r="V903" s="176"/>
      <c r="W903" s="176"/>
      <c r="X903" s="176"/>
      <c r="Y903" s="176"/>
      <c r="Z903" s="176"/>
      <c r="AA903" s="176"/>
    </row>
    <row r="904">
      <c r="A904" s="165" t="str">
        <f>iferror(VLOOKUP(P904,'DO NOT TOUCH Imported'!$A$1:$D$800,4,False),iferror(VLOOKUP(P904,'DO NOT TOUCH Imported'!$C$1:$D$800,2,False),"OOPS FIX ME"))</f>
        <v>CJ_33Logic#3171</v>
      </c>
      <c r="B904" s="165" t="s">
        <v>441</v>
      </c>
      <c r="C904" s="170" t="s">
        <v>1006</v>
      </c>
      <c r="D904" s="236" t="s">
        <v>499</v>
      </c>
      <c r="E904" s="239">
        <v>44309.0</v>
      </c>
      <c r="F904" s="170" t="s">
        <v>503</v>
      </c>
      <c r="G904" s="170">
        <v>500.0</v>
      </c>
      <c r="H904" s="171">
        <v>25.0</v>
      </c>
      <c r="I904" s="171">
        <v>25.0</v>
      </c>
      <c r="J904" s="172">
        <f t="shared" si="57"/>
        <v>0.0002901039843</v>
      </c>
      <c r="K904" s="173">
        <f t="shared" si="58"/>
        <v>0.3481247811</v>
      </c>
      <c r="L904" s="174">
        <f t="shared" si="4"/>
        <v>0.3481247811</v>
      </c>
      <c r="M904" s="175" t="str">
        <f t="shared" si="5"/>
        <v>CJ_33Logic#3171</v>
      </c>
      <c r="N904" s="176">
        <f>IFERROR(__xludf.DUMMYFUNCTION("""COMPUTED_VALUE"""),1.0)</f>
        <v>1</v>
      </c>
      <c r="O904" s="176"/>
      <c r="P904" s="165" t="s">
        <v>219</v>
      </c>
      <c r="Q904" s="165" t="s">
        <v>441</v>
      </c>
      <c r="R904" s="176"/>
      <c r="S904" s="176"/>
      <c r="T904" s="176"/>
      <c r="U904" s="176"/>
      <c r="V904" s="176"/>
      <c r="W904" s="176"/>
      <c r="X904" s="176"/>
      <c r="Y904" s="176"/>
      <c r="Z904" s="176"/>
      <c r="AA904" s="176"/>
    </row>
    <row r="905">
      <c r="A905" s="165" t="str">
        <f>iferror(VLOOKUP(P905,'DO NOT TOUCH Imported'!$A$1:$D$800,4,False),iferror(VLOOKUP(P905,'DO NOT TOUCH Imported'!$C$1:$D$800,2,False),"OOPS FIX ME"))</f>
        <v>cemfd</v>
      </c>
      <c r="B905" s="165" t="s">
        <v>10</v>
      </c>
      <c r="C905" s="170" t="s">
        <v>500</v>
      </c>
      <c r="D905" s="236" t="s">
        <v>495</v>
      </c>
      <c r="E905" s="239">
        <v>44302.0</v>
      </c>
      <c r="F905" s="170" t="s">
        <v>496</v>
      </c>
      <c r="G905" s="170">
        <v>500.0</v>
      </c>
      <c r="H905" s="171">
        <v>25.0</v>
      </c>
      <c r="I905" s="171">
        <v>25.0</v>
      </c>
      <c r="J905" s="172">
        <f t="shared" si="57"/>
        <v>0.0002901039843</v>
      </c>
      <c r="K905" s="173">
        <f t="shared" si="58"/>
        <v>0.3481247811</v>
      </c>
      <c r="L905" s="174">
        <f t="shared" si="4"/>
        <v>0.3481247811</v>
      </c>
      <c r="M905" s="175" t="str">
        <f t="shared" si="5"/>
        <v>cemfd</v>
      </c>
      <c r="N905" s="176">
        <f>IFERROR(__xludf.DUMMYFUNCTION("""COMPUTED_VALUE"""),1.0)</f>
        <v>1</v>
      </c>
      <c r="O905" s="176"/>
      <c r="P905" s="165" t="s">
        <v>206</v>
      </c>
      <c r="Q905" s="165" t="s">
        <v>10</v>
      </c>
      <c r="R905" s="176"/>
      <c r="S905" s="176"/>
      <c r="T905" s="176"/>
      <c r="U905" s="176"/>
      <c r="V905" s="176"/>
      <c r="W905" s="176"/>
      <c r="X905" s="176"/>
      <c r="Y905" s="176"/>
      <c r="Z905" s="176"/>
      <c r="AA905" s="176"/>
    </row>
    <row r="906">
      <c r="A906" s="165" t="str">
        <f>iferror(VLOOKUP(P906,'DO NOT TOUCH Imported'!$A$1:$D$800,4,False),iferror(VLOOKUP(P906,'DO NOT TOUCH Imported'!$C$1:$D$800,2,False),"OOPS FIX ME"))</f>
        <v>antoniopaglino</v>
      </c>
      <c r="B906" s="165" t="s">
        <v>10</v>
      </c>
      <c r="C906" s="170" t="s">
        <v>498</v>
      </c>
      <c r="D906" s="236" t="s">
        <v>495</v>
      </c>
      <c r="E906" s="237">
        <v>44302.0</v>
      </c>
      <c r="F906" s="170" t="s">
        <v>499</v>
      </c>
      <c r="G906" s="170">
        <v>500.0</v>
      </c>
      <c r="H906" s="171">
        <v>25.0</v>
      </c>
      <c r="I906" s="171">
        <v>25.0</v>
      </c>
      <c r="J906" s="172">
        <f t="shared" si="57"/>
        <v>0.0002901039843</v>
      </c>
      <c r="K906" s="173">
        <f t="shared" si="58"/>
        <v>0.3481247811</v>
      </c>
      <c r="L906" s="174">
        <f t="shared" si="4"/>
        <v>1.563318941</v>
      </c>
      <c r="M906" s="175" t="str">
        <f t="shared" si="5"/>
        <v>antoniopaglino</v>
      </c>
      <c r="N906" s="176">
        <f>IFERROR(__xludf.DUMMYFUNCTION("""COMPUTED_VALUE"""),2.0)</f>
        <v>2</v>
      </c>
      <c r="O906" s="176"/>
      <c r="P906" s="165" t="s">
        <v>151</v>
      </c>
      <c r="Q906" s="165" t="s">
        <v>10</v>
      </c>
      <c r="R906" s="176"/>
      <c r="S906" s="176"/>
      <c r="T906" s="176"/>
      <c r="U906" s="176"/>
      <c r="V906" s="176"/>
      <c r="W906" s="176"/>
      <c r="X906" s="176"/>
      <c r="Y906" s="176"/>
      <c r="Z906" s="176"/>
      <c r="AA906" s="176"/>
    </row>
    <row r="907">
      <c r="A907" s="165" t="str">
        <f>iferror(VLOOKUP(P907,'DO NOT TOUCH Imported'!$A$1:$D$800,4,False),iferror(VLOOKUP(P907,'DO NOT TOUCH Imported'!$C$1:$D$800,2,False),"OOPS FIX ME"))</f>
        <v>andythegreenie#7463</v>
      </c>
      <c r="B907" s="165" t="s">
        <v>441</v>
      </c>
      <c r="C907" s="170" t="s">
        <v>1006</v>
      </c>
      <c r="D907" s="236" t="s">
        <v>499</v>
      </c>
      <c r="E907" s="239">
        <v>44309.0</v>
      </c>
      <c r="F907" s="170" t="s">
        <v>503</v>
      </c>
      <c r="G907" s="170">
        <v>500.0</v>
      </c>
      <c r="H907" s="171">
        <v>25.0</v>
      </c>
      <c r="I907" s="171">
        <v>25.0</v>
      </c>
      <c r="J907" s="172">
        <f t="shared" si="57"/>
        <v>0.0002901039843</v>
      </c>
      <c r="K907" s="173">
        <f t="shared" si="58"/>
        <v>0.3481247811</v>
      </c>
      <c r="L907" s="174">
        <f t="shared" si="4"/>
        <v>0.3481247811</v>
      </c>
      <c r="M907" s="175" t="str">
        <f t="shared" si="5"/>
        <v>andythegreenie#7463</v>
      </c>
      <c r="N907" s="176">
        <f>IFERROR(__xludf.DUMMYFUNCTION("""COMPUTED_VALUE"""),1.0)</f>
        <v>1</v>
      </c>
      <c r="O907" s="176"/>
      <c r="P907" s="165" t="s">
        <v>230</v>
      </c>
      <c r="Q907" s="165" t="s">
        <v>441</v>
      </c>
      <c r="R907" s="176"/>
      <c r="S907" s="176"/>
      <c r="T907" s="176"/>
      <c r="U907" s="176"/>
      <c r="V907" s="176"/>
      <c r="W907" s="176"/>
      <c r="X907" s="176"/>
      <c r="Y907" s="176"/>
      <c r="Z907" s="176"/>
      <c r="AA907" s="176"/>
    </row>
    <row r="908">
      <c r="A908" s="165" t="str">
        <f>iferror(VLOOKUP(P908,'DO NOT TOUCH Imported'!$A$1:$D$800,4,False),iferror(VLOOKUP(P908,'DO NOT TOUCH Imported'!$C$1:$D$800,2,False),"OOPS FIX ME"))</f>
        <v>adnfx2#9648</v>
      </c>
      <c r="B908" s="165" t="s">
        <v>441</v>
      </c>
      <c r="C908" s="170" t="s">
        <v>1006</v>
      </c>
      <c r="D908" s="236" t="s">
        <v>499</v>
      </c>
      <c r="E908" s="237">
        <v>44302.0</v>
      </c>
      <c r="F908" s="170" t="s">
        <v>503</v>
      </c>
      <c r="G908" s="170">
        <v>500.0</v>
      </c>
      <c r="H908" s="171">
        <v>25.0</v>
      </c>
      <c r="I908" s="171">
        <v>25.0</v>
      </c>
      <c r="J908" s="172">
        <f t="shared" si="57"/>
        <v>0.0002901039843</v>
      </c>
      <c r="K908" s="173">
        <f t="shared" si="58"/>
        <v>0.3481247811</v>
      </c>
      <c r="L908" s="174">
        <f t="shared" si="4"/>
        <v>0.3481247811</v>
      </c>
      <c r="M908" s="175" t="str">
        <f t="shared" si="5"/>
        <v>adnfx2#9648</v>
      </c>
      <c r="N908" s="176">
        <f>IFERROR(__xludf.DUMMYFUNCTION("""COMPUTED_VALUE"""),1.0)</f>
        <v>1</v>
      </c>
      <c r="O908" s="176"/>
      <c r="P908" s="165" t="s">
        <v>240</v>
      </c>
      <c r="Q908" s="165" t="s">
        <v>441</v>
      </c>
      <c r="R908" s="176"/>
      <c r="S908" s="176"/>
      <c r="T908" s="176"/>
      <c r="U908" s="176"/>
      <c r="V908" s="176"/>
      <c r="W908" s="176"/>
      <c r="X908" s="176"/>
      <c r="Y908" s="176"/>
      <c r="Z908" s="176"/>
      <c r="AA908" s="176"/>
    </row>
    <row r="909">
      <c r="A909" s="185" t="str">
        <f>iferror(VLOOKUP(P909,'DO NOT TOUCH Imported'!$A$1:$D$800,4,False),iferror(VLOOKUP(P909,'DO NOT TOUCH Imported'!$C$1:$D$800,2,False),"OOPS FIX ME"))</f>
        <v>katalenacaban</v>
      </c>
      <c r="B909" s="185" t="s">
        <v>534</v>
      </c>
      <c r="C909" s="186" t="s">
        <v>781</v>
      </c>
      <c r="D909" s="187"/>
      <c r="E909" s="188"/>
      <c r="F909" s="189"/>
      <c r="G909" s="190"/>
      <c r="H909" s="190"/>
      <c r="I909" s="190"/>
      <c r="J909" s="172">
        <f t="shared" ref="J909:J911" si="59">(H909/$H$2+I909/$I$2)/2</f>
        <v>0</v>
      </c>
      <c r="K909" s="192">
        <f>0*-0.85</f>
        <v>0</v>
      </c>
      <c r="L909" s="193">
        <f t="shared" si="4"/>
        <v>0</v>
      </c>
      <c r="M909" s="194" t="str">
        <f t="shared" si="5"/>
        <v>katalenacaban</v>
      </c>
      <c r="N909" s="195">
        <f>IFERROR(__xludf.DUMMYFUNCTION("""COMPUTED_VALUE"""),1.0)</f>
        <v>1</v>
      </c>
      <c r="O909" s="195"/>
      <c r="P909" s="185" t="s">
        <v>118</v>
      </c>
      <c r="Q909" s="185" t="s">
        <v>534</v>
      </c>
      <c r="R909" s="195">
        <v>36.89669088595067</v>
      </c>
      <c r="S909" s="195"/>
      <c r="T909" s="195"/>
      <c r="U909" s="195"/>
      <c r="V909" s="195"/>
      <c r="W909" s="195"/>
      <c r="X909" s="195"/>
      <c r="Y909" s="195"/>
      <c r="Z909" s="195"/>
      <c r="AA909" s="176"/>
    </row>
    <row r="910">
      <c r="A910" s="185" t="str">
        <f>iferror(VLOOKUP(P910,'DO NOT TOUCH Imported'!$A$1:$D$800,4,False),iferror(VLOOKUP(P910,'DO NOT TOUCH Imported'!$C$1:$D$800,2,False),"OOPS FIX ME"))</f>
        <v>atacas</v>
      </c>
      <c r="B910" s="185" t="s">
        <v>534</v>
      </c>
      <c r="C910" s="186" t="s">
        <v>688</v>
      </c>
      <c r="D910" s="187"/>
      <c r="E910" s="188"/>
      <c r="F910" s="189"/>
      <c r="G910" s="195"/>
      <c r="H910" s="190"/>
      <c r="I910" s="190"/>
      <c r="J910" s="172">
        <f t="shared" si="59"/>
        <v>0</v>
      </c>
      <c r="K910" s="215"/>
      <c r="L910" s="193">
        <f t="shared" si="4"/>
        <v>0</v>
      </c>
      <c r="M910" s="194" t="str">
        <f t="shared" si="5"/>
        <v>atacas</v>
      </c>
      <c r="N910" s="195">
        <f>IFERROR(__xludf.DUMMYFUNCTION("""COMPUTED_VALUE"""),1.0)</f>
        <v>1</v>
      </c>
      <c r="O910" s="195"/>
      <c r="P910" s="185" t="s">
        <v>55</v>
      </c>
      <c r="Q910" s="185" t="s">
        <v>534</v>
      </c>
      <c r="R910" s="195">
        <v>6.463920504925881</v>
      </c>
      <c r="S910" s="195"/>
      <c r="T910" s="195"/>
      <c r="U910" s="195"/>
      <c r="V910" s="195"/>
      <c r="W910" s="195"/>
      <c r="X910" s="195"/>
      <c r="Y910" s="195"/>
      <c r="Z910" s="195"/>
      <c r="AA910" s="176"/>
    </row>
    <row r="911">
      <c r="A911" s="185" t="str">
        <f>iferror(VLOOKUP(P911,'DO NOT TOUCH Imported'!$A$1:$D$800,4,False),iferror(VLOOKUP(P911,'DO NOT TOUCH Imported'!$C$1:$D$800,2,False),"OOPS FIX ME"))</f>
        <v>aminlatifi</v>
      </c>
      <c r="B911" s="185" t="s">
        <v>534</v>
      </c>
      <c r="C911" s="186" t="s">
        <v>839</v>
      </c>
      <c r="D911" s="187"/>
      <c r="E911" s="188"/>
      <c r="F911" s="189"/>
      <c r="G911" s="190"/>
      <c r="H911" s="190"/>
      <c r="I911" s="190"/>
      <c r="J911" s="172">
        <f t="shared" si="59"/>
        <v>0</v>
      </c>
      <c r="K911" s="218"/>
      <c r="L911" s="193">
        <f t="shared" si="4"/>
        <v>0</v>
      </c>
      <c r="M911" s="194" t="str">
        <f t="shared" si="5"/>
        <v>aminlatifi</v>
      </c>
      <c r="N911" s="195">
        <f>IFERROR(__xludf.DUMMYFUNCTION("""COMPUTED_VALUE"""),1.0)</f>
        <v>1</v>
      </c>
      <c r="O911" s="195"/>
      <c r="P911" s="185" t="s">
        <v>73</v>
      </c>
      <c r="Q911" s="185" t="s">
        <v>534</v>
      </c>
      <c r="R911" s="195">
        <v>18.802169413641863</v>
      </c>
      <c r="S911" s="195"/>
      <c r="T911" s="195"/>
      <c r="U911" s="195"/>
      <c r="V911" s="195"/>
      <c r="W911" s="195"/>
      <c r="X911" s="195"/>
      <c r="Y911" s="195"/>
      <c r="Z911" s="195"/>
      <c r="AA911" s="176"/>
    </row>
    <row r="912">
      <c r="A912" s="165"/>
      <c r="B912" s="165"/>
      <c r="C912" s="170"/>
      <c r="D912" s="236"/>
      <c r="E912" s="239"/>
      <c r="F912" s="170"/>
      <c r="G912" s="219"/>
      <c r="H912" s="171"/>
      <c r="I912" s="171"/>
      <c r="J912" s="172"/>
      <c r="K912" s="173"/>
      <c r="L912" s="174"/>
      <c r="M912" s="175"/>
      <c r="N912" s="176"/>
      <c r="O912" s="176"/>
      <c r="P912" s="165"/>
      <c r="Q912" s="165"/>
      <c r="R912" s="176"/>
      <c r="S912" s="176"/>
      <c r="T912" s="176"/>
      <c r="U912" s="176"/>
      <c r="V912" s="176"/>
      <c r="W912" s="176"/>
      <c r="X912" s="176"/>
      <c r="Y912" s="176"/>
      <c r="Z912" s="176"/>
      <c r="AA912" s="176"/>
    </row>
    <row r="913">
      <c r="A913" s="165"/>
      <c r="B913" s="165"/>
      <c r="C913" s="170"/>
      <c r="D913" s="236"/>
      <c r="E913" s="239"/>
      <c r="F913" s="170"/>
      <c r="G913" s="219"/>
      <c r="H913" s="171"/>
      <c r="I913" s="171"/>
      <c r="J913" s="172"/>
      <c r="K913" s="173"/>
      <c r="L913" s="174"/>
      <c r="M913" s="175"/>
      <c r="N913" s="176"/>
      <c r="O913" s="176"/>
      <c r="P913" s="165"/>
      <c r="Q913" s="165"/>
      <c r="R913" s="176"/>
      <c r="S913" s="176"/>
      <c r="T913" s="176"/>
      <c r="U913" s="176"/>
      <c r="V913" s="176"/>
      <c r="W913" s="176"/>
      <c r="X913" s="176"/>
      <c r="Y913" s="176"/>
      <c r="Z913" s="176"/>
      <c r="AA913" s="176"/>
    </row>
    <row r="914">
      <c r="A914" s="165"/>
      <c r="B914" s="165"/>
      <c r="C914" s="170"/>
      <c r="D914" s="236"/>
      <c r="E914" s="237"/>
      <c r="F914" s="170"/>
      <c r="G914" s="219"/>
      <c r="H914" s="171"/>
      <c r="I914" s="171"/>
      <c r="J914" s="172"/>
      <c r="K914" s="173"/>
      <c r="L914" s="174"/>
      <c r="M914" s="175"/>
      <c r="N914" s="176"/>
      <c r="O914" s="176"/>
      <c r="P914" s="165"/>
      <c r="Q914" s="165"/>
      <c r="R914" s="176"/>
      <c r="S914" s="176"/>
      <c r="T914" s="176"/>
      <c r="U914" s="176"/>
      <c r="V914" s="176"/>
      <c r="W914" s="176"/>
      <c r="X914" s="176"/>
      <c r="Y914" s="176"/>
      <c r="Z914" s="176"/>
      <c r="AA914" s="176"/>
    </row>
    <row r="915">
      <c r="A915" s="165"/>
      <c r="B915" s="165"/>
      <c r="C915" s="170"/>
      <c r="D915" s="236"/>
      <c r="E915" s="239"/>
      <c r="F915" s="170"/>
      <c r="G915" s="219"/>
      <c r="H915" s="171"/>
      <c r="I915" s="171"/>
      <c r="J915" s="172"/>
      <c r="K915" s="173"/>
      <c r="L915" s="174"/>
      <c r="M915" s="175"/>
      <c r="N915" s="176"/>
      <c r="O915" s="176"/>
      <c r="P915" s="165"/>
      <c r="Q915" s="165"/>
      <c r="R915" s="176"/>
      <c r="S915" s="176"/>
      <c r="T915" s="176"/>
      <c r="U915" s="176"/>
      <c r="V915" s="176"/>
      <c r="W915" s="176"/>
      <c r="X915" s="176"/>
      <c r="Y915" s="176"/>
      <c r="Z915" s="176"/>
      <c r="AA915" s="176"/>
    </row>
    <row r="916">
      <c r="A916" s="165"/>
      <c r="B916" s="165"/>
      <c r="C916" s="170"/>
      <c r="D916" s="236"/>
      <c r="E916" s="239"/>
      <c r="F916" s="170"/>
      <c r="G916" s="219"/>
      <c r="H916" s="171"/>
      <c r="I916" s="171"/>
      <c r="J916" s="172"/>
      <c r="K916" s="173"/>
      <c r="L916" s="174"/>
      <c r="M916" s="175"/>
      <c r="N916" s="176"/>
      <c r="O916" s="176"/>
      <c r="P916" s="165"/>
      <c r="Q916" s="165"/>
      <c r="R916" s="176"/>
      <c r="S916" s="176"/>
      <c r="T916" s="176"/>
      <c r="U916" s="176"/>
      <c r="V916" s="176"/>
      <c r="W916" s="176"/>
      <c r="X916" s="176"/>
      <c r="Y916" s="176"/>
      <c r="Z916" s="176"/>
      <c r="AA916" s="176"/>
    </row>
    <row r="917">
      <c r="A917" s="165"/>
      <c r="B917" s="165"/>
      <c r="C917" s="170"/>
      <c r="D917" s="236"/>
      <c r="E917" s="239"/>
      <c r="F917" s="170"/>
      <c r="G917" s="219"/>
      <c r="H917" s="171"/>
      <c r="I917" s="171"/>
      <c r="J917" s="172"/>
      <c r="K917" s="173"/>
      <c r="L917" s="174"/>
      <c r="M917" s="175"/>
      <c r="N917" s="176"/>
      <c r="O917" s="176"/>
      <c r="P917" s="165"/>
      <c r="Q917" s="165"/>
      <c r="R917" s="176"/>
      <c r="S917" s="176"/>
      <c r="T917" s="176"/>
      <c r="U917" s="176"/>
      <c r="V917" s="176"/>
      <c r="W917" s="176"/>
      <c r="X917" s="176"/>
      <c r="Y917" s="176"/>
      <c r="Z917" s="176"/>
      <c r="AA917" s="176"/>
    </row>
    <row r="918">
      <c r="A918" s="165"/>
      <c r="B918" s="165"/>
      <c r="C918" s="170"/>
      <c r="D918" s="236"/>
      <c r="E918" s="239"/>
      <c r="F918" s="170"/>
      <c r="G918" s="219"/>
      <c r="H918" s="171"/>
      <c r="I918" s="171"/>
      <c r="J918" s="172"/>
      <c r="K918" s="173"/>
      <c r="L918" s="174"/>
      <c r="M918" s="175"/>
      <c r="N918" s="176"/>
      <c r="O918" s="176"/>
      <c r="P918" s="165"/>
      <c r="Q918" s="165"/>
      <c r="R918" s="176"/>
      <c r="S918" s="176"/>
      <c r="T918" s="176"/>
      <c r="U918" s="176"/>
      <c r="V918" s="176"/>
      <c r="W918" s="176"/>
      <c r="X918" s="176"/>
      <c r="Y918" s="176"/>
      <c r="Z918" s="176"/>
      <c r="AA918" s="176"/>
    </row>
    <row r="919">
      <c r="A919" s="165"/>
      <c r="B919" s="165"/>
      <c r="C919" s="170"/>
      <c r="D919" s="236"/>
      <c r="E919" s="239"/>
      <c r="F919" s="170"/>
      <c r="G919" s="219"/>
      <c r="H919" s="171"/>
      <c r="I919" s="171"/>
      <c r="J919" s="172"/>
      <c r="K919" s="173"/>
      <c r="L919" s="174"/>
      <c r="M919" s="175"/>
      <c r="N919" s="176"/>
      <c r="O919" s="176"/>
      <c r="P919" s="165"/>
      <c r="Q919" s="165"/>
      <c r="R919" s="176"/>
      <c r="S919" s="176"/>
      <c r="T919" s="176"/>
      <c r="U919" s="176"/>
      <c r="V919" s="176"/>
      <c r="W919" s="176"/>
      <c r="X919" s="176"/>
      <c r="Y919" s="176"/>
      <c r="Z919" s="176"/>
      <c r="AA919" s="176"/>
    </row>
    <row r="920">
      <c r="A920" s="165"/>
      <c r="B920" s="165"/>
      <c r="C920" s="170"/>
      <c r="D920" s="236"/>
      <c r="E920" s="239"/>
      <c r="F920" s="170"/>
      <c r="G920" s="219"/>
      <c r="H920" s="171"/>
      <c r="I920" s="171"/>
      <c r="J920" s="172"/>
      <c r="K920" s="173"/>
      <c r="L920" s="174"/>
      <c r="M920" s="175"/>
      <c r="N920" s="176"/>
      <c r="O920" s="176"/>
      <c r="P920" s="165"/>
      <c r="Q920" s="165"/>
      <c r="R920" s="176"/>
      <c r="S920" s="176"/>
      <c r="T920" s="176"/>
      <c r="U920" s="176"/>
      <c r="V920" s="176"/>
      <c r="W920" s="176"/>
      <c r="X920" s="176"/>
      <c r="Y920" s="176"/>
      <c r="Z920" s="176"/>
      <c r="AA920" s="176"/>
    </row>
    <row r="921">
      <c r="A921" s="165"/>
      <c r="B921" s="165"/>
      <c r="C921" s="170"/>
      <c r="D921" s="236"/>
      <c r="E921" s="239"/>
      <c r="F921" s="170"/>
      <c r="G921" s="219"/>
      <c r="H921" s="171"/>
      <c r="I921" s="171"/>
      <c r="J921" s="172"/>
      <c r="K921" s="173"/>
      <c r="L921" s="174"/>
      <c r="M921" s="175"/>
      <c r="N921" s="176"/>
      <c r="O921" s="176"/>
      <c r="P921" s="165"/>
      <c r="Q921" s="165"/>
      <c r="R921" s="176"/>
      <c r="S921" s="176"/>
      <c r="T921" s="176"/>
      <c r="U921" s="176"/>
      <c r="V921" s="176"/>
      <c r="W921" s="176"/>
      <c r="X921" s="176"/>
      <c r="Y921" s="176"/>
      <c r="Z921" s="176"/>
      <c r="AA921" s="176"/>
    </row>
    <row r="922">
      <c r="A922" s="165"/>
      <c r="B922" s="165"/>
      <c r="C922" s="170"/>
      <c r="D922" s="236"/>
      <c r="E922" s="239"/>
      <c r="F922" s="170"/>
      <c r="G922" s="219"/>
      <c r="H922" s="171"/>
      <c r="I922" s="171"/>
      <c r="J922" s="172"/>
      <c r="K922" s="173"/>
      <c r="L922" s="174"/>
      <c r="M922" s="175"/>
      <c r="N922" s="176"/>
      <c r="O922" s="176"/>
      <c r="P922" s="165"/>
      <c r="Q922" s="165"/>
      <c r="R922" s="176"/>
      <c r="S922" s="176"/>
      <c r="T922" s="176"/>
      <c r="U922" s="176"/>
      <c r="V922" s="176"/>
      <c r="W922" s="176"/>
      <c r="X922" s="176"/>
      <c r="Y922" s="176"/>
      <c r="Z922" s="176"/>
      <c r="AA922" s="176"/>
    </row>
    <row r="923">
      <c r="A923" s="165"/>
      <c r="B923" s="165"/>
      <c r="C923" s="170"/>
      <c r="D923" s="236"/>
      <c r="E923" s="239"/>
      <c r="F923" s="170"/>
      <c r="G923" s="219"/>
      <c r="H923" s="171"/>
      <c r="I923" s="171"/>
      <c r="J923" s="172"/>
      <c r="K923" s="173"/>
      <c r="L923" s="174"/>
      <c r="M923" s="175"/>
      <c r="N923" s="176"/>
      <c r="O923" s="176"/>
      <c r="P923" s="165"/>
      <c r="Q923" s="165"/>
      <c r="R923" s="176"/>
      <c r="S923" s="176"/>
      <c r="T923" s="176"/>
      <c r="U923" s="176"/>
      <c r="V923" s="176"/>
      <c r="W923" s="176"/>
      <c r="X923" s="176"/>
      <c r="Y923" s="176"/>
      <c r="Z923" s="176"/>
      <c r="AA923" s="176"/>
    </row>
    <row r="924">
      <c r="A924" s="165"/>
      <c r="B924" s="165"/>
      <c r="C924" s="170"/>
      <c r="D924" s="236"/>
      <c r="E924" s="239"/>
      <c r="F924" s="170"/>
      <c r="G924" s="219"/>
      <c r="H924" s="171"/>
      <c r="I924" s="171"/>
      <c r="J924" s="172"/>
      <c r="K924" s="173"/>
      <c r="L924" s="174"/>
      <c r="M924" s="175"/>
      <c r="N924" s="176"/>
      <c r="O924" s="176"/>
      <c r="P924" s="165"/>
      <c r="Q924" s="165"/>
      <c r="R924" s="176"/>
      <c r="S924" s="176"/>
      <c r="T924" s="176"/>
      <c r="U924" s="176"/>
      <c r="V924" s="176"/>
      <c r="W924" s="176"/>
      <c r="X924" s="176"/>
      <c r="Y924" s="176"/>
      <c r="Z924" s="176"/>
      <c r="AA924" s="176"/>
    </row>
    <row r="925">
      <c r="A925" s="165"/>
      <c r="B925" s="165"/>
      <c r="C925" s="170"/>
      <c r="D925" s="236"/>
      <c r="E925" s="239"/>
      <c r="F925" s="170"/>
      <c r="G925" s="219"/>
      <c r="H925" s="171"/>
      <c r="I925" s="171"/>
      <c r="J925" s="172"/>
      <c r="K925" s="173"/>
      <c r="L925" s="174"/>
      <c r="M925" s="175"/>
      <c r="N925" s="176"/>
      <c r="O925" s="176"/>
      <c r="P925" s="165"/>
      <c r="Q925" s="165"/>
      <c r="R925" s="176"/>
      <c r="S925" s="176"/>
      <c r="T925" s="176"/>
      <c r="U925" s="176"/>
      <c r="V925" s="176"/>
      <c r="W925" s="176"/>
      <c r="X925" s="176"/>
      <c r="Y925" s="176"/>
      <c r="Z925" s="176"/>
      <c r="AA925" s="176"/>
    </row>
    <row r="926">
      <c r="A926" s="165"/>
      <c r="B926" s="165"/>
      <c r="C926" s="170"/>
      <c r="D926" s="236"/>
      <c r="E926" s="239"/>
      <c r="F926" s="170"/>
      <c r="G926" s="219"/>
      <c r="H926" s="171"/>
      <c r="I926" s="171"/>
      <c r="J926" s="172"/>
      <c r="K926" s="173"/>
      <c r="L926" s="174"/>
      <c r="M926" s="175"/>
      <c r="N926" s="176"/>
      <c r="O926" s="176"/>
      <c r="P926" s="165"/>
      <c r="Q926" s="165"/>
      <c r="R926" s="176"/>
      <c r="S926" s="176"/>
      <c r="T926" s="176"/>
      <c r="U926" s="176"/>
      <c r="V926" s="176"/>
      <c r="W926" s="176"/>
      <c r="X926" s="176"/>
      <c r="Y926" s="176"/>
      <c r="Z926" s="176"/>
      <c r="AA926" s="176"/>
    </row>
    <row r="927">
      <c r="A927" s="165"/>
      <c r="B927" s="165"/>
      <c r="C927" s="170"/>
      <c r="D927" s="236"/>
      <c r="E927" s="239"/>
      <c r="F927" s="170"/>
      <c r="G927" s="219"/>
      <c r="H927" s="171"/>
      <c r="I927" s="171"/>
      <c r="J927" s="172"/>
      <c r="K927" s="173"/>
      <c r="L927" s="174"/>
      <c r="M927" s="175"/>
      <c r="N927" s="176"/>
      <c r="O927" s="176"/>
      <c r="P927" s="165"/>
      <c r="Q927" s="165"/>
      <c r="R927" s="176"/>
      <c r="S927" s="176"/>
      <c r="T927" s="176"/>
      <c r="U927" s="176"/>
      <c r="V927" s="176"/>
      <c r="W927" s="176"/>
      <c r="X927" s="176"/>
      <c r="Y927" s="176"/>
      <c r="Z927" s="176"/>
      <c r="AA927" s="176"/>
    </row>
    <row r="928">
      <c r="A928" s="165"/>
      <c r="B928" s="165"/>
      <c r="C928" s="170"/>
      <c r="D928" s="236"/>
      <c r="E928" s="239"/>
      <c r="F928" s="170"/>
      <c r="G928" s="219"/>
      <c r="H928" s="171"/>
      <c r="I928" s="171"/>
      <c r="J928" s="172"/>
      <c r="K928" s="173"/>
      <c r="L928" s="174"/>
      <c r="M928" s="175"/>
      <c r="N928" s="176"/>
      <c r="O928" s="176"/>
      <c r="P928" s="165"/>
      <c r="Q928" s="165"/>
      <c r="R928" s="176"/>
      <c r="S928" s="176"/>
      <c r="T928" s="176"/>
      <c r="U928" s="176"/>
      <c r="V928" s="176"/>
      <c r="W928" s="176"/>
      <c r="X928" s="176"/>
      <c r="Y928" s="176"/>
      <c r="Z928" s="176"/>
      <c r="AA928" s="176"/>
    </row>
    <row r="929">
      <c r="A929" s="165"/>
      <c r="B929" s="165"/>
      <c r="C929" s="170"/>
      <c r="D929" s="236"/>
      <c r="E929" s="239"/>
      <c r="F929" s="170"/>
      <c r="G929" s="219"/>
      <c r="H929" s="171"/>
      <c r="I929" s="171"/>
      <c r="J929" s="172"/>
      <c r="K929" s="173"/>
      <c r="L929" s="174"/>
      <c r="M929" s="175"/>
      <c r="N929" s="176"/>
      <c r="O929" s="176"/>
      <c r="P929" s="165"/>
      <c r="Q929" s="165"/>
      <c r="R929" s="176"/>
      <c r="S929" s="176"/>
      <c r="T929" s="176"/>
      <c r="U929" s="176"/>
      <c r="V929" s="176"/>
      <c r="W929" s="176"/>
      <c r="X929" s="176"/>
      <c r="Y929" s="176"/>
      <c r="Z929" s="176"/>
      <c r="AA929" s="176"/>
    </row>
    <row r="930">
      <c r="A930" s="165"/>
      <c r="B930" s="165"/>
      <c r="C930" s="170"/>
      <c r="D930" s="236"/>
      <c r="E930" s="239"/>
      <c r="F930" s="170"/>
      <c r="G930" s="219"/>
      <c r="H930" s="171"/>
      <c r="I930" s="171"/>
      <c r="J930" s="172"/>
      <c r="K930" s="173"/>
      <c r="L930" s="174"/>
      <c r="M930" s="175"/>
      <c r="N930" s="176"/>
      <c r="O930" s="176"/>
      <c r="P930" s="165"/>
      <c r="Q930" s="165"/>
      <c r="R930" s="176"/>
      <c r="S930" s="176"/>
      <c r="T930" s="176"/>
      <c r="U930" s="176"/>
      <c r="V930" s="176"/>
      <c r="W930" s="176"/>
      <c r="X930" s="176"/>
      <c r="Y930" s="176"/>
      <c r="Z930" s="176"/>
      <c r="AA930" s="176"/>
    </row>
    <row r="931">
      <c r="A931" s="165"/>
      <c r="B931" s="165"/>
      <c r="C931" s="170"/>
      <c r="D931" s="236"/>
      <c r="E931" s="239"/>
      <c r="F931" s="170"/>
      <c r="G931" s="219"/>
      <c r="H931" s="171"/>
      <c r="I931" s="171"/>
      <c r="J931" s="172"/>
      <c r="K931" s="173"/>
      <c r="L931" s="174"/>
      <c r="M931" s="175"/>
      <c r="N931" s="176"/>
      <c r="O931" s="176"/>
      <c r="P931" s="165"/>
      <c r="Q931" s="165"/>
      <c r="R931" s="176"/>
      <c r="S931" s="176"/>
      <c r="T931" s="176"/>
      <c r="U931" s="176"/>
      <c r="V931" s="176"/>
      <c r="W931" s="176"/>
      <c r="X931" s="176"/>
      <c r="Y931" s="176"/>
      <c r="Z931" s="176"/>
      <c r="AA931" s="176"/>
    </row>
    <row r="932">
      <c r="A932" s="165"/>
      <c r="B932" s="165"/>
      <c r="C932" s="170"/>
      <c r="D932" s="236"/>
      <c r="E932" s="239"/>
      <c r="F932" s="170"/>
      <c r="G932" s="219"/>
      <c r="H932" s="171"/>
      <c r="I932" s="171"/>
      <c r="J932" s="172"/>
      <c r="K932" s="173"/>
      <c r="L932" s="174"/>
      <c r="M932" s="175"/>
      <c r="N932" s="176"/>
      <c r="O932" s="176"/>
      <c r="P932" s="165"/>
      <c r="Q932" s="165"/>
      <c r="R932" s="176"/>
      <c r="S932" s="176"/>
      <c r="T932" s="176"/>
      <c r="U932" s="176"/>
      <c r="V932" s="176"/>
      <c r="W932" s="176"/>
      <c r="X932" s="176"/>
      <c r="Y932" s="176"/>
      <c r="Z932" s="176"/>
      <c r="AA932" s="176"/>
    </row>
    <row r="933">
      <c r="A933" s="165"/>
      <c r="B933" s="165"/>
      <c r="C933" s="170"/>
      <c r="D933" s="236"/>
      <c r="E933" s="239"/>
      <c r="F933" s="170"/>
      <c r="G933" s="219"/>
      <c r="H933" s="171"/>
      <c r="I933" s="171"/>
      <c r="J933" s="172"/>
      <c r="K933" s="173"/>
      <c r="L933" s="174"/>
      <c r="M933" s="175"/>
      <c r="N933" s="176"/>
      <c r="O933" s="176"/>
      <c r="P933" s="165"/>
      <c r="Q933" s="165"/>
      <c r="R933" s="176"/>
      <c r="S933" s="176"/>
      <c r="T933" s="176"/>
      <c r="U933" s="176"/>
      <c r="V933" s="176"/>
      <c r="W933" s="176"/>
      <c r="X933" s="176"/>
      <c r="Y933" s="176"/>
      <c r="Z933" s="176"/>
      <c r="AA933" s="176"/>
    </row>
    <row r="934">
      <c r="A934" s="165"/>
      <c r="B934" s="165"/>
      <c r="C934" s="170"/>
      <c r="D934" s="236"/>
      <c r="E934" s="239"/>
      <c r="F934" s="170"/>
      <c r="G934" s="219"/>
      <c r="H934" s="171"/>
      <c r="I934" s="171"/>
      <c r="J934" s="172"/>
      <c r="K934" s="173"/>
      <c r="L934" s="174"/>
      <c r="M934" s="175"/>
      <c r="N934" s="176"/>
      <c r="O934" s="176"/>
      <c r="P934" s="165"/>
      <c r="Q934" s="165"/>
      <c r="R934" s="176"/>
      <c r="S934" s="176"/>
      <c r="T934" s="176"/>
      <c r="U934" s="176"/>
      <c r="V934" s="176"/>
      <c r="W934" s="176"/>
      <c r="X934" s="176"/>
      <c r="Y934" s="176"/>
      <c r="Z934" s="176"/>
      <c r="AA934" s="176"/>
    </row>
    <row r="935">
      <c r="A935" s="165"/>
      <c r="B935" s="165"/>
      <c r="C935" s="170"/>
      <c r="D935" s="236"/>
      <c r="E935" s="237"/>
      <c r="F935" s="170"/>
      <c r="G935" s="219"/>
      <c r="H935" s="171"/>
      <c r="I935" s="171"/>
      <c r="J935" s="172"/>
      <c r="K935" s="173"/>
      <c r="L935" s="174"/>
      <c r="M935" s="175"/>
      <c r="N935" s="176"/>
      <c r="O935" s="176"/>
      <c r="P935" s="165"/>
      <c r="Q935" s="165"/>
      <c r="R935" s="176"/>
      <c r="S935" s="176"/>
      <c r="T935" s="176"/>
      <c r="U935" s="176"/>
      <c r="V935" s="176"/>
      <c r="W935" s="176"/>
      <c r="X935" s="176"/>
      <c r="Y935" s="176"/>
      <c r="Z935" s="176"/>
      <c r="AA935" s="176"/>
    </row>
    <row r="936">
      <c r="A936" s="165"/>
      <c r="B936" s="165"/>
      <c r="C936" s="170"/>
      <c r="D936" s="236"/>
      <c r="E936" s="237"/>
      <c r="F936" s="170"/>
      <c r="G936" s="219"/>
      <c r="H936" s="171"/>
      <c r="I936" s="171"/>
      <c r="J936" s="172"/>
      <c r="K936" s="173"/>
      <c r="L936" s="174"/>
      <c r="M936" s="175"/>
      <c r="N936" s="176"/>
      <c r="O936" s="176"/>
      <c r="P936" s="165"/>
      <c r="Q936" s="165"/>
      <c r="R936" s="176"/>
      <c r="S936" s="176"/>
      <c r="T936" s="176"/>
      <c r="U936" s="176"/>
      <c r="V936" s="176"/>
      <c r="W936" s="176"/>
      <c r="X936" s="176"/>
      <c r="Y936" s="176"/>
      <c r="Z936" s="176"/>
      <c r="AA936" s="176"/>
    </row>
    <row r="937">
      <c r="A937" s="165"/>
      <c r="B937" s="165"/>
      <c r="C937" s="170"/>
      <c r="D937" s="236"/>
      <c r="E937" s="237"/>
      <c r="F937" s="170"/>
      <c r="G937" s="219"/>
      <c r="H937" s="171"/>
      <c r="I937" s="171"/>
      <c r="J937" s="172"/>
      <c r="K937" s="173"/>
      <c r="L937" s="174"/>
      <c r="M937" s="175"/>
      <c r="N937" s="176"/>
      <c r="O937" s="176"/>
      <c r="P937" s="165"/>
      <c r="Q937" s="165"/>
      <c r="R937" s="176"/>
      <c r="S937" s="176"/>
      <c r="T937" s="176"/>
      <c r="U937" s="176"/>
      <c r="V937" s="176"/>
      <c r="W937" s="176"/>
      <c r="X937" s="176"/>
      <c r="Y937" s="176"/>
      <c r="Z937" s="176"/>
      <c r="AA937" s="176"/>
    </row>
    <row r="938">
      <c r="A938" s="165"/>
      <c r="B938" s="165"/>
      <c r="C938" s="170"/>
      <c r="D938" s="236"/>
      <c r="E938" s="239"/>
      <c r="F938" s="170"/>
      <c r="G938" s="219"/>
      <c r="H938" s="171"/>
      <c r="I938" s="171"/>
      <c r="J938" s="172"/>
      <c r="K938" s="173"/>
      <c r="L938" s="174"/>
      <c r="M938" s="175"/>
      <c r="N938" s="176"/>
      <c r="O938" s="176"/>
      <c r="P938" s="165"/>
      <c r="Q938" s="165"/>
      <c r="R938" s="176"/>
      <c r="S938" s="176"/>
      <c r="T938" s="176"/>
      <c r="U938" s="176"/>
      <c r="V938" s="176"/>
      <c r="W938" s="176"/>
      <c r="X938" s="176"/>
      <c r="Y938" s="176"/>
      <c r="Z938" s="176"/>
      <c r="AA938" s="176"/>
    </row>
    <row r="939">
      <c r="A939" s="165"/>
      <c r="B939" s="165"/>
      <c r="C939" s="170"/>
      <c r="D939" s="236"/>
      <c r="E939" s="237"/>
      <c r="F939" s="170"/>
      <c r="G939" s="219"/>
      <c r="H939" s="171"/>
      <c r="I939" s="171"/>
      <c r="J939" s="172"/>
      <c r="K939" s="173"/>
      <c r="L939" s="174"/>
      <c r="M939" s="175"/>
      <c r="N939" s="176"/>
      <c r="O939" s="176"/>
      <c r="P939" s="165"/>
      <c r="Q939" s="165"/>
      <c r="R939" s="176"/>
      <c r="S939" s="176"/>
      <c r="T939" s="176"/>
      <c r="U939" s="176"/>
      <c r="V939" s="176"/>
      <c r="W939" s="176"/>
      <c r="X939" s="176"/>
      <c r="Y939" s="176"/>
      <c r="Z939" s="176"/>
      <c r="AA939" s="176"/>
    </row>
    <row r="940">
      <c r="A940" s="165"/>
      <c r="B940" s="165"/>
      <c r="C940" s="170"/>
      <c r="D940" s="236"/>
      <c r="E940" s="239"/>
      <c r="F940" s="170"/>
      <c r="G940" s="219"/>
      <c r="H940" s="171"/>
      <c r="I940" s="171"/>
      <c r="J940" s="172"/>
      <c r="K940" s="173"/>
      <c r="L940" s="174"/>
      <c r="M940" s="175"/>
      <c r="N940" s="176"/>
      <c r="O940" s="176"/>
      <c r="P940" s="165"/>
      <c r="Q940" s="165"/>
      <c r="R940" s="176"/>
      <c r="S940" s="176"/>
      <c r="T940" s="176"/>
      <c r="U940" s="176"/>
      <c r="V940" s="176"/>
      <c r="W940" s="176"/>
      <c r="X940" s="176"/>
      <c r="Y940" s="176"/>
      <c r="Z940" s="176"/>
      <c r="AA940" s="176"/>
    </row>
    <row r="941">
      <c r="A941" s="165"/>
      <c r="B941" s="165"/>
      <c r="C941" s="170"/>
      <c r="D941" s="236"/>
      <c r="E941" s="237"/>
      <c r="F941" s="170"/>
      <c r="G941" s="219"/>
      <c r="H941" s="171"/>
      <c r="I941" s="171"/>
      <c r="J941" s="172"/>
      <c r="K941" s="173"/>
      <c r="L941" s="174"/>
      <c r="M941" s="175"/>
      <c r="N941" s="176"/>
      <c r="O941" s="176"/>
      <c r="P941" s="165"/>
      <c r="Q941" s="165"/>
      <c r="R941" s="176"/>
      <c r="S941" s="176"/>
      <c r="T941" s="176"/>
      <c r="U941" s="176"/>
      <c r="V941" s="176"/>
      <c r="W941" s="176"/>
      <c r="X941" s="176"/>
      <c r="Y941" s="176"/>
      <c r="Z941" s="176"/>
      <c r="AA941" s="176"/>
    </row>
    <row r="942">
      <c r="A942" s="165"/>
      <c r="B942" s="165"/>
      <c r="C942" s="170"/>
      <c r="D942" s="236"/>
      <c r="E942" s="239"/>
      <c r="F942" s="170"/>
      <c r="G942" s="219"/>
      <c r="H942" s="171"/>
      <c r="I942" s="171"/>
      <c r="J942" s="172"/>
      <c r="K942" s="173"/>
      <c r="L942" s="174"/>
      <c r="M942" s="175"/>
      <c r="N942" s="176"/>
      <c r="O942" s="176"/>
      <c r="P942" s="165"/>
      <c r="Q942" s="165"/>
      <c r="R942" s="176"/>
      <c r="S942" s="176"/>
      <c r="T942" s="176"/>
      <c r="U942" s="176"/>
      <c r="V942" s="176"/>
      <c r="W942" s="176"/>
      <c r="X942" s="176"/>
      <c r="Y942" s="176"/>
      <c r="Z942" s="176"/>
      <c r="AA942" s="176"/>
    </row>
    <row r="943">
      <c r="A943" s="165"/>
      <c r="B943" s="165"/>
      <c r="C943" s="170"/>
      <c r="D943" s="236"/>
      <c r="E943" s="239"/>
      <c r="F943" s="170"/>
      <c r="G943" s="219"/>
      <c r="H943" s="171"/>
      <c r="I943" s="171"/>
      <c r="J943" s="172"/>
      <c r="K943" s="173"/>
      <c r="L943" s="174"/>
      <c r="M943" s="175"/>
      <c r="N943" s="176"/>
      <c r="O943" s="176"/>
      <c r="P943" s="165"/>
      <c r="Q943" s="165"/>
      <c r="R943" s="176"/>
      <c r="S943" s="176"/>
      <c r="T943" s="176"/>
      <c r="U943" s="176"/>
      <c r="V943" s="176"/>
      <c r="W943" s="176"/>
      <c r="X943" s="176"/>
      <c r="Y943" s="176"/>
      <c r="Z943" s="176"/>
      <c r="AA943" s="176"/>
    </row>
    <row r="944">
      <c r="A944" s="165"/>
      <c r="B944" s="165"/>
      <c r="C944" s="170"/>
      <c r="D944" s="236"/>
      <c r="E944" s="239"/>
      <c r="F944" s="170"/>
      <c r="G944" s="219"/>
      <c r="H944" s="171"/>
      <c r="I944" s="171"/>
      <c r="J944" s="172"/>
      <c r="K944" s="173"/>
      <c r="L944" s="174"/>
      <c r="M944" s="175"/>
      <c r="N944" s="176"/>
      <c r="O944" s="176"/>
      <c r="P944" s="165"/>
      <c r="Q944" s="165"/>
      <c r="R944" s="176"/>
      <c r="S944" s="176"/>
      <c r="T944" s="176"/>
      <c r="U944" s="176"/>
      <c r="V944" s="176"/>
      <c r="W944" s="176"/>
      <c r="X944" s="176"/>
      <c r="Y944" s="176"/>
      <c r="Z944" s="176"/>
      <c r="AA944" s="176"/>
    </row>
    <row r="945">
      <c r="A945" s="165"/>
      <c r="B945" s="165"/>
      <c r="C945" s="170"/>
      <c r="D945" s="236"/>
      <c r="E945" s="239"/>
      <c r="F945" s="170"/>
      <c r="G945" s="219"/>
      <c r="H945" s="171"/>
      <c r="I945" s="171"/>
      <c r="J945" s="172"/>
      <c r="K945" s="173"/>
      <c r="L945" s="174"/>
      <c r="M945" s="175"/>
      <c r="N945" s="176"/>
      <c r="O945" s="176"/>
      <c r="P945" s="165"/>
      <c r="Q945" s="165"/>
      <c r="R945" s="176"/>
      <c r="S945" s="176"/>
      <c r="T945" s="176"/>
      <c r="U945" s="176"/>
      <c r="V945" s="176"/>
      <c r="W945" s="176"/>
      <c r="X945" s="176"/>
      <c r="Y945" s="176"/>
      <c r="Z945" s="176"/>
      <c r="AA945" s="176"/>
    </row>
    <row r="946">
      <c r="A946" s="165"/>
      <c r="B946" s="165"/>
      <c r="C946" s="170"/>
      <c r="D946" s="236"/>
      <c r="E946" s="239"/>
      <c r="F946" s="170"/>
      <c r="G946" s="219"/>
      <c r="H946" s="171"/>
      <c r="I946" s="171"/>
      <c r="J946" s="172"/>
      <c r="K946" s="173"/>
      <c r="L946" s="174"/>
      <c r="M946" s="175"/>
      <c r="N946" s="176"/>
      <c r="O946" s="176"/>
      <c r="P946" s="165"/>
      <c r="Q946" s="165"/>
      <c r="R946" s="176"/>
      <c r="S946" s="176"/>
      <c r="T946" s="176"/>
      <c r="U946" s="176"/>
      <c r="V946" s="176"/>
      <c r="W946" s="176"/>
      <c r="X946" s="176"/>
      <c r="Y946" s="176"/>
      <c r="Z946" s="176"/>
      <c r="AA946" s="176"/>
    </row>
    <row r="947">
      <c r="A947" s="165"/>
      <c r="B947" s="165"/>
      <c r="C947" s="170"/>
      <c r="D947" s="236"/>
      <c r="E947" s="239"/>
      <c r="F947" s="170"/>
      <c r="G947" s="219"/>
      <c r="H947" s="171"/>
      <c r="I947" s="171"/>
      <c r="J947" s="172"/>
      <c r="K947" s="173"/>
      <c r="L947" s="174"/>
      <c r="M947" s="175"/>
      <c r="N947" s="176"/>
      <c r="O947" s="176"/>
      <c r="P947" s="165"/>
      <c r="Q947" s="165"/>
      <c r="R947" s="176"/>
      <c r="S947" s="176"/>
      <c r="T947" s="176"/>
      <c r="U947" s="176"/>
      <c r="V947" s="176"/>
      <c r="W947" s="176"/>
      <c r="X947" s="176"/>
      <c r="Y947" s="176"/>
      <c r="Z947" s="176"/>
      <c r="AA947" s="176"/>
    </row>
    <row r="948">
      <c r="A948" s="165"/>
      <c r="B948" s="165"/>
      <c r="C948" s="170"/>
      <c r="D948" s="236"/>
      <c r="E948" s="239"/>
      <c r="F948" s="170"/>
      <c r="G948" s="219"/>
      <c r="H948" s="171"/>
      <c r="I948" s="171"/>
      <c r="J948" s="172"/>
      <c r="K948" s="173"/>
      <c r="L948" s="174"/>
      <c r="M948" s="175"/>
      <c r="N948" s="176"/>
      <c r="O948" s="176"/>
      <c r="P948" s="165"/>
      <c r="Q948" s="165"/>
      <c r="R948" s="176"/>
      <c r="S948" s="176"/>
      <c r="T948" s="176"/>
      <c r="U948" s="176"/>
      <c r="V948" s="176"/>
      <c r="W948" s="176"/>
      <c r="X948" s="176"/>
      <c r="Y948" s="176"/>
      <c r="Z948" s="176"/>
      <c r="AA948" s="176"/>
    </row>
    <row r="949">
      <c r="A949" s="165"/>
      <c r="B949" s="165"/>
      <c r="C949" s="170"/>
      <c r="D949" s="236"/>
      <c r="E949" s="239"/>
      <c r="F949" s="170"/>
      <c r="G949" s="219"/>
      <c r="H949" s="171"/>
      <c r="I949" s="171"/>
      <c r="J949" s="172"/>
      <c r="K949" s="173"/>
      <c r="L949" s="174"/>
      <c r="M949" s="175"/>
      <c r="N949" s="176"/>
      <c r="O949" s="176"/>
      <c r="P949" s="165"/>
      <c r="Q949" s="165"/>
      <c r="R949" s="176"/>
      <c r="S949" s="176"/>
      <c r="T949" s="176"/>
      <c r="U949" s="176"/>
      <c r="V949" s="176"/>
      <c r="W949" s="176"/>
      <c r="X949" s="176"/>
      <c r="Y949" s="176"/>
      <c r="Z949" s="176"/>
      <c r="AA949" s="176"/>
    </row>
    <row r="950">
      <c r="A950" s="165"/>
      <c r="B950" s="165"/>
      <c r="C950" s="170"/>
      <c r="D950" s="236"/>
      <c r="E950" s="239"/>
      <c r="F950" s="170"/>
      <c r="G950" s="219"/>
      <c r="H950" s="171"/>
      <c r="I950" s="171"/>
      <c r="J950" s="172"/>
      <c r="K950" s="173"/>
      <c r="L950" s="174"/>
      <c r="M950" s="175"/>
      <c r="N950" s="176"/>
      <c r="O950" s="176"/>
      <c r="P950" s="165"/>
      <c r="Q950" s="165"/>
      <c r="R950" s="176"/>
      <c r="S950" s="176"/>
      <c r="T950" s="176"/>
      <c r="U950" s="176"/>
      <c r="V950" s="176"/>
      <c r="W950" s="176"/>
      <c r="X950" s="176"/>
      <c r="Y950" s="176"/>
      <c r="Z950" s="176"/>
      <c r="AA950" s="176"/>
    </row>
    <row r="951">
      <c r="A951" s="165"/>
      <c r="B951" s="165"/>
      <c r="C951" s="170"/>
      <c r="D951" s="236"/>
      <c r="E951" s="239"/>
      <c r="F951" s="170"/>
      <c r="G951" s="219"/>
      <c r="H951" s="171"/>
      <c r="I951" s="171"/>
      <c r="J951" s="172"/>
      <c r="K951" s="173"/>
      <c r="L951" s="174"/>
      <c r="M951" s="175"/>
      <c r="N951" s="176"/>
      <c r="O951" s="176"/>
      <c r="P951" s="165"/>
      <c r="Q951" s="165"/>
      <c r="R951" s="176"/>
      <c r="S951" s="176"/>
      <c r="T951" s="176"/>
      <c r="U951" s="176"/>
      <c r="V951" s="176"/>
      <c r="W951" s="176"/>
      <c r="X951" s="176"/>
      <c r="Y951" s="176"/>
      <c r="Z951" s="176"/>
      <c r="AA951" s="176"/>
    </row>
    <row r="952">
      <c r="A952" s="165"/>
      <c r="B952" s="165"/>
      <c r="C952" s="170"/>
      <c r="D952" s="236"/>
      <c r="E952" s="237"/>
      <c r="F952" s="170"/>
      <c r="G952" s="219"/>
      <c r="H952" s="171"/>
      <c r="I952" s="171"/>
      <c r="J952" s="172"/>
      <c r="K952" s="173"/>
      <c r="L952" s="174"/>
      <c r="M952" s="175"/>
      <c r="N952" s="176"/>
      <c r="O952" s="176"/>
      <c r="P952" s="165"/>
      <c r="Q952" s="165"/>
      <c r="R952" s="176"/>
      <c r="S952" s="176"/>
      <c r="T952" s="176"/>
      <c r="U952" s="176"/>
      <c r="V952" s="176"/>
      <c r="W952" s="176"/>
      <c r="X952" s="176"/>
      <c r="Y952" s="176"/>
      <c r="Z952" s="176"/>
      <c r="AA952" s="176"/>
    </row>
    <row r="953">
      <c r="A953" s="165"/>
      <c r="B953" s="165"/>
      <c r="C953" s="170"/>
      <c r="D953" s="236"/>
      <c r="E953" s="239"/>
      <c r="F953" s="170"/>
      <c r="G953" s="219"/>
      <c r="H953" s="171"/>
      <c r="I953" s="171"/>
      <c r="J953" s="172"/>
      <c r="K953" s="173"/>
      <c r="L953" s="174"/>
      <c r="M953" s="175"/>
      <c r="N953" s="176"/>
      <c r="O953" s="176"/>
      <c r="P953" s="165"/>
      <c r="Q953" s="165"/>
      <c r="R953" s="176"/>
      <c r="S953" s="176"/>
      <c r="T953" s="176"/>
      <c r="U953" s="176"/>
      <c r="V953" s="176"/>
      <c r="W953" s="176"/>
      <c r="X953" s="176"/>
      <c r="Y953" s="176"/>
      <c r="Z953" s="176"/>
      <c r="AA953" s="176"/>
    </row>
    <row r="954">
      <c r="A954" s="165"/>
      <c r="B954" s="165"/>
      <c r="C954" s="170"/>
      <c r="D954" s="236"/>
      <c r="E954" s="239"/>
      <c r="F954" s="170"/>
      <c r="G954" s="219"/>
      <c r="H954" s="171"/>
      <c r="I954" s="171"/>
      <c r="J954" s="172"/>
      <c r="K954" s="173"/>
      <c r="L954" s="174"/>
      <c r="M954" s="175"/>
      <c r="N954" s="176"/>
      <c r="O954" s="176"/>
      <c r="P954" s="165"/>
      <c r="Q954" s="165"/>
      <c r="R954" s="176"/>
      <c r="S954" s="176"/>
      <c r="T954" s="176"/>
      <c r="U954" s="176"/>
      <c r="V954" s="176"/>
      <c r="W954" s="176"/>
      <c r="X954" s="176"/>
      <c r="Y954" s="176"/>
      <c r="Z954" s="176"/>
      <c r="AA954" s="176"/>
    </row>
    <row r="955">
      <c r="A955" s="165"/>
      <c r="B955" s="165"/>
      <c r="C955" s="170"/>
      <c r="D955" s="236"/>
      <c r="E955" s="239"/>
      <c r="F955" s="170"/>
      <c r="G955" s="219"/>
      <c r="H955" s="171"/>
      <c r="I955" s="171"/>
      <c r="J955" s="172"/>
      <c r="K955" s="173"/>
      <c r="L955" s="174"/>
      <c r="M955" s="175"/>
      <c r="N955" s="176"/>
      <c r="O955" s="176"/>
      <c r="P955" s="165"/>
      <c r="Q955" s="165"/>
      <c r="R955" s="176"/>
      <c r="S955" s="176"/>
      <c r="T955" s="176"/>
      <c r="U955" s="176"/>
      <c r="V955" s="176"/>
      <c r="W955" s="176"/>
      <c r="X955" s="176"/>
      <c r="Y955" s="176"/>
      <c r="Z955" s="176"/>
      <c r="AA955" s="176"/>
    </row>
    <row r="956">
      <c r="A956" s="165"/>
      <c r="B956" s="165"/>
      <c r="C956" s="170"/>
      <c r="D956" s="236"/>
      <c r="E956" s="239"/>
      <c r="F956" s="170"/>
      <c r="G956" s="219"/>
      <c r="H956" s="171"/>
      <c r="I956" s="171"/>
      <c r="J956" s="172"/>
      <c r="K956" s="173"/>
      <c r="L956" s="174"/>
      <c r="M956" s="175"/>
      <c r="N956" s="176"/>
      <c r="O956" s="176"/>
      <c r="P956" s="165"/>
      <c r="Q956" s="165"/>
      <c r="R956" s="176"/>
      <c r="S956" s="176"/>
      <c r="T956" s="176"/>
      <c r="U956" s="176"/>
      <c r="V956" s="176"/>
      <c r="W956" s="176"/>
      <c r="X956" s="176"/>
      <c r="Y956" s="176"/>
      <c r="Z956" s="176"/>
      <c r="AA956" s="176"/>
    </row>
    <row r="957">
      <c r="A957" s="165"/>
      <c r="B957" s="165"/>
      <c r="C957" s="170"/>
      <c r="D957" s="236"/>
      <c r="E957" s="239"/>
      <c r="F957" s="170"/>
      <c r="G957" s="219"/>
      <c r="H957" s="171"/>
      <c r="I957" s="171"/>
      <c r="J957" s="172"/>
      <c r="K957" s="173"/>
      <c r="L957" s="174"/>
      <c r="M957" s="175"/>
      <c r="N957" s="176"/>
      <c r="O957" s="176"/>
      <c r="P957" s="165"/>
      <c r="Q957" s="165"/>
      <c r="R957" s="176"/>
      <c r="S957" s="176"/>
      <c r="T957" s="176"/>
      <c r="U957" s="176"/>
      <c r="V957" s="176"/>
      <c r="W957" s="176"/>
      <c r="X957" s="176"/>
      <c r="Y957" s="176"/>
      <c r="Z957" s="176"/>
      <c r="AA957" s="176"/>
    </row>
    <row r="958">
      <c r="A958" s="165"/>
      <c r="B958" s="165"/>
      <c r="C958" s="170"/>
      <c r="D958" s="236"/>
      <c r="E958" s="239"/>
      <c r="F958" s="170"/>
      <c r="G958" s="219"/>
      <c r="H958" s="171"/>
      <c r="I958" s="171"/>
      <c r="J958" s="172"/>
      <c r="K958" s="173"/>
      <c r="L958" s="174"/>
      <c r="M958" s="175"/>
      <c r="N958" s="176"/>
      <c r="O958" s="176"/>
      <c r="P958" s="165"/>
      <c r="Q958" s="165"/>
      <c r="R958" s="176"/>
      <c r="S958" s="176"/>
      <c r="T958" s="176"/>
      <c r="U958" s="176"/>
      <c r="V958" s="176"/>
      <c r="W958" s="176"/>
      <c r="X958" s="176"/>
      <c r="Y958" s="176"/>
      <c r="Z958" s="176"/>
      <c r="AA958" s="176"/>
    </row>
    <row r="959">
      <c r="A959" s="165"/>
      <c r="B959" s="165"/>
      <c r="C959" s="170"/>
      <c r="D959" s="236"/>
      <c r="E959" s="239"/>
      <c r="F959" s="170"/>
      <c r="G959" s="219"/>
      <c r="H959" s="171"/>
      <c r="I959" s="171"/>
      <c r="J959" s="172"/>
      <c r="K959" s="173"/>
      <c r="L959" s="174"/>
      <c r="M959" s="175"/>
      <c r="N959" s="176"/>
      <c r="O959" s="176"/>
      <c r="P959" s="165"/>
      <c r="Q959" s="165"/>
      <c r="R959" s="176"/>
      <c r="S959" s="176"/>
      <c r="T959" s="176"/>
      <c r="U959" s="176"/>
      <c r="V959" s="176"/>
      <c r="W959" s="176"/>
      <c r="X959" s="176"/>
      <c r="Y959" s="176"/>
      <c r="Z959" s="176"/>
      <c r="AA959" s="176"/>
    </row>
    <row r="960">
      <c r="A960" s="165"/>
      <c r="B960" s="165"/>
      <c r="C960" s="170"/>
      <c r="D960" s="236"/>
      <c r="E960" s="239"/>
      <c r="F960" s="170"/>
      <c r="G960" s="219"/>
      <c r="H960" s="171"/>
      <c r="I960" s="171"/>
      <c r="J960" s="172"/>
      <c r="K960" s="173"/>
      <c r="L960" s="174"/>
      <c r="M960" s="175"/>
      <c r="N960" s="176"/>
      <c r="O960" s="176"/>
      <c r="P960" s="165"/>
      <c r="Q960" s="165"/>
      <c r="R960" s="176"/>
      <c r="S960" s="176"/>
      <c r="T960" s="176"/>
      <c r="U960" s="176"/>
      <c r="V960" s="176"/>
      <c r="W960" s="176"/>
      <c r="X960" s="176"/>
      <c r="Y960" s="176"/>
      <c r="Z960" s="176"/>
      <c r="AA960" s="176"/>
    </row>
    <row r="961">
      <c r="A961" s="165"/>
      <c r="B961" s="165"/>
      <c r="C961" s="170"/>
      <c r="D961" s="236"/>
      <c r="E961" s="239"/>
      <c r="F961" s="170"/>
      <c r="G961" s="219"/>
      <c r="H961" s="171"/>
      <c r="I961" s="171"/>
      <c r="J961" s="172"/>
      <c r="K961" s="173"/>
      <c r="L961" s="174"/>
      <c r="M961" s="175"/>
      <c r="N961" s="176"/>
      <c r="O961" s="176"/>
      <c r="P961" s="165"/>
      <c r="Q961" s="165"/>
      <c r="R961" s="176"/>
      <c r="S961" s="176"/>
      <c r="T961" s="176"/>
      <c r="U961" s="176"/>
      <c r="V961" s="176"/>
      <c r="W961" s="176"/>
      <c r="X961" s="176"/>
      <c r="Y961" s="176"/>
      <c r="Z961" s="176"/>
      <c r="AA961" s="176"/>
    </row>
  </sheetData>
  <autoFilter ref="$A$3:$AA$961">
    <sortState ref="A3:AA961">
      <sortCondition descending="1" ref="L3:L961"/>
      <sortCondition descending="1" ref="A3:A961"/>
      <sortCondition descending="1" ref="K3:K961"/>
      <sortCondition descending="1" ref="B3:B961"/>
    </sortState>
  </autoFilter>
  <hyperlinks>
    <hyperlink r:id="rId1" ref="C1"/>
    <hyperlink r:id="rId2" ref="C2"/>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1227</v>
      </c>
      <c r="B1" s="2">
        <f>sum(B3:B900)</f>
        <v>640.4401003</v>
      </c>
    </row>
    <row r="2">
      <c r="A2" s="246" t="s">
        <v>1</v>
      </c>
      <c r="B2" s="247" t="s">
        <v>2</v>
      </c>
    </row>
    <row r="3">
      <c r="A3" s="5" t="s">
        <v>867</v>
      </c>
      <c r="B3" s="6">
        <v>43.857908811342604</v>
      </c>
    </row>
    <row r="4">
      <c r="A4" s="5" t="s">
        <v>7</v>
      </c>
      <c r="B4" s="6">
        <v>29.832292916941284</v>
      </c>
    </row>
    <row r="5">
      <c r="A5" s="5" t="s">
        <v>868</v>
      </c>
      <c r="B5" s="6">
        <v>26.790510539392628</v>
      </c>
    </row>
    <row r="6">
      <c r="A6" s="5" t="s">
        <v>45</v>
      </c>
      <c r="B6" s="6">
        <v>25.99353140782104</v>
      </c>
    </row>
    <row r="7">
      <c r="A7" s="5" t="s">
        <v>36</v>
      </c>
      <c r="B7" s="6">
        <v>24.412327261843522</v>
      </c>
    </row>
    <row r="8">
      <c r="A8" s="5" t="s">
        <v>5</v>
      </c>
      <c r="B8" s="6">
        <v>23.1258713732736</v>
      </c>
    </row>
    <row r="9">
      <c r="A9" s="5" t="s">
        <v>10</v>
      </c>
      <c r="B9" s="6">
        <v>19.597979899497496</v>
      </c>
    </row>
    <row r="10">
      <c r="A10" s="5" t="s">
        <v>13</v>
      </c>
      <c r="B10" s="6">
        <v>16.124451586711825</v>
      </c>
    </row>
    <row r="11">
      <c r="A11" s="5" t="s">
        <v>20</v>
      </c>
      <c r="B11" s="6">
        <v>15.92964449915005</v>
      </c>
    </row>
    <row r="12">
      <c r="A12" s="5" t="s">
        <v>46</v>
      </c>
      <c r="B12" s="6">
        <v>15.131612774039302</v>
      </c>
    </row>
    <row r="13">
      <c r="A13" s="5" t="s">
        <v>44</v>
      </c>
      <c r="B13" s="6">
        <v>14.155252852931682</v>
      </c>
    </row>
    <row r="14">
      <c r="A14" s="5" t="s">
        <v>21</v>
      </c>
      <c r="B14" s="6">
        <v>13.920772690752349</v>
      </c>
    </row>
    <row r="15">
      <c r="A15" s="5" t="s">
        <v>870</v>
      </c>
      <c r="B15" s="6">
        <v>10.74350944582923</v>
      </c>
    </row>
    <row r="16">
      <c r="A16" s="5" t="s">
        <v>6</v>
      </c>
      <c r="B16" s="6">
        <v>10.5857710225932</v>
      </c>
    </row>
    <row r="17">
      <c r="A17" s="5" t="s">
        <v>12</v>
      </c>
      <c r="B17" s="6">
        <v>10.552763819095478</v>
      </c>
    </row>
    <row r="18">
      <c r="A18" s="5" t="s">
        <v>519</v>
      </c>
      <c r="B18" s="6">
        <v>10.225308836220792</v>
      </c>
    </row>
    <row r="19">
      <c r="A19" s="5" t="s">
        <v>29</v>
      </c>
      <c r="B19" s="6">
        <v>10.075408179920242</v>
      </c>
    </row>
    <row r="20">
      <c r="A20" s="5" t="s">
        <v>11</v>
      </c>
      <c r="B20" s="6">
        <v>9.106638650922429</v>
      </c>
    </row>
    <row r="21">
      <c r="A21" s="5" t="s">
        <v>67</v>
      </c>
      <c r="B21" s="6">
        <v>8.527564912064765</v>
      </c>
    </row>
    <row r="22">
      <c r="A22" s="5" t="s">
        <v>873</v>
      </c>
      <c r="B22" s="6">
        <v>8.419767568633699</v>
      </c>
    </row>
    <row r="23">
      <c r="A23" s="5" t="s">
        <v>24</v>
      </c>
      <c r="B23" s="6">
        <v>8.33221771684035</v>
      </c>
    </row>
    <row r="24">
      <c r="A24" s="5" t="s">
        <v>876</v>
      </c>
      <c r="B24" s="6">
        <v>8.310797183496893</v>
      </c>
    </row>
    <row r="25">
      <c r="A25" s="5" t="s">
        <v>57</v>
      </c>
      <c r="B25" s="6">
        <v>8.31075835413533</v>
      </c>
    </row>
    <row r="26">
      <c r="A26" s="5" t="s">
        <v>18</v>
      </c>
      <c r="B26" s="6">
        <v>8.264738119516993</v>
      </c>
    </row>
    <row r="27">
      <c r="A27" s="5" t="s">
        <v>1228</v>
      </c>
      <c r="B27" s="6">
        <v>7.688681407035205</v>
      </c>
    </row>
    <row r="28">
      <c r="A28" s="5" t="s">
        <v>845</v>
      </c>
      <c r="B28" s="6">
        <v>7.5576888210658915</v>
      </c>
    </row>
    <row r="29">
      <c r="A29" s="5" t="s">
        <v>869</v>
      </c>
      <c r="B29" s="6">
        <v>6.867279334443065</v>
      </c>
    </row>
    <row r="30">
      <c r="A30" s="5" t="s">
        <v>19</v>
      </c>
      <c r="B30" s="6">
        <v>6.787457251480272</v>
      </c>
    </row>
    <row r="31">
      <c r="A31" s="5" t="s">
        <v>32</v>
      </c>
      <c r="B31" s="6">
        <v>6.705211259134419</v>
      </c>
    </row>
    <row r="32">
      <c r="A32" s="5" t="s">
        <v>75</v>
      </c>
      <c r="B32" s="6">
        <v>6.513229238317101</v>
      </c>
    </row>
    <row r="33">
      <c r="A33" s="5" t="s">
        <v>69</v>
      </c>
      <c r="B33" s="6">
        <v>6.439332470346411</v>
      </c>
    </row>
    <row r="34">
      <c r="A34" s="5" t="s">
        <v>871</v>
      </c>
      <c r="B34" s="6">
        <v>6.345284570401019</v>
      </c>
    </row>
    <row r="35">
      <c r="A35" s="5" t="s">
        <v>8</v>
      </c>
      <c r="B35" s="6">
        <v>6.233695341000879</v>
      </c>
    </row>
    <row r="36">
      <c r="A36" s="5" t="s">
        <v>30</v>
      </c>
      <c r="B36" s="6">
        <v>6.134089370450958</v>
      </c>
    </row>
    <row r="37">
      <c r="A37" s="5" t="s">
        <v>43</v>
      </c>
      <c r="B37" s="6">
        <v>5.893070738200187</v>
      </c>
    </row>
    <row r="38">
      <c r="A38" s="5" t="s">
        <v>91</v>
      </c>
      <c r="B38" s="6">
        <v>5.550492707936407</v>
      </c>
    </row>
    <row r="39">
      <c r="A39" s="5" t="s">
        <v>879</v>
      </c>
      <c r="B39" s="6">
        <v>5.513990374470039</v>
      </c>
    </row>
    <row r="40">
      <c r="A40" s="5" t="s">
        <v>90</v>
      </c>
      <c r="B40" s="6">
        <v>5.508991368038892</v>
      </c>
    </row>
    <row r="41">
      <c r="A41" s="5" t="s">
        <v>63</v>
      </c>
      <c r="B41" s="6">
        <v>5.458612046116275</v>
      </c>
    </row>
    <row r="42">
      <c r="A42" s="5" t="s">
        <v>38</v>
      </c>
      <c r="B42" s="6">
        <v>5.41214697743523</v>
      </c>
    </row>
    <row r="43">
      <c r="A43" s="5" t="s">
        <v>94</v>
      </c>
      <c r="B43" s="6">
        <v>5.355080130911138</v>
      </c>
    </row>
    <row r="44">
      <c r="A44" s="5" t="s">
        <v>25</v>
      </c>
      <c r="B44" s="6">
        <v>5.330037842217754</v>
      </c>
    </row>
    <row r="45">
      <c r="A45" s="5" t="s">
        <v>22</v>
      </c>
      <c r="B45" s="6">
        <v>5.258861806320433</v>
      </c>
    </row>
    <row r="46">
      <c r="A46" s="5" t="s">
        <v>33</v>
      </c>
      <c r="B46" s="6">
        <v>4.7397615674951945</v>
      </c>
    </row>
    <row r="47">
      <c r="A47" s="5" t="s">
        <v>48</v>
      </c>
      <c r="B47" s="6">
        <v>4.643275317367167</v>
      </c>
    </row>
    <row r="48">
      <c r="A48" s="5" t="s">
        <v>34</v>
      </c>
      <c r="B48" s="6">
        <v>4.315707987543013</v>
      </c>
    </row>
    <row r="49">
      <c r="A49" s="5" t="s">
        <v>590</v>
      </c>
      <c r="B49" s="6">
        <v>4.313155762154261</v>
      </c>
    </row>
    <row r="50">
      <c r="A50" s="5" t="s">
        <v>58</v>
      </c>
      <c r="B50" s="6">
        <v>4.305432948804211</v>
      </c>
    </row>
    <row r="51">
      <c r="A51" s="5" t="s">
        <v>95</v>
      </c>
      <c r="B51" s="6">
        <v>3.9816339332971067</v>
      </c>
    </row>
    <row r="52">
      <c r="A52" s="5" t="s">
        <v>61</v>
      </c>
      <c r="B52" s="6">
        <v>3.8955211956146742</v>
      </c>
    </row>
    <row r="53">
      <c r="A53" s="5" t="s">
        <v>872</v>
      </c>
      <c r="B53" s="6">
        <v>3.848828036304933</v>
      </c>
    </row>
    <row r="54">
      <c r="A54" s="5" t="s">
        <v>882</v>
      </c>
      <c r="B54" s="6">
        <v>3.768848637301134</v>
      </c>
    </row>
    <row r="55">
      <c r="A55" s="5" t="s">
        <v>1229</v>
      </c>
      <c r="B55" s="6">
        <v>3.5915436727621266</v>
      </c>
    </row>
    <row r="56">
      <c r="A56" s="5" t="s">
        <v>88</v>
      </c>
      <c r="B56" s="6">
        <v>3.507188403115224</v>
      </c>
    </row>
    <row r="57">
      <c r="A57" s="5" t="s">
        <v>109</v>
      </c>
      <c r="B57" s="6">
        <v>3.491211861863629</v>
      </c>
    </row>
    <row r="58">
      <c r="A58" s="5" t="s">
        <v>130</v>
      </c>
      <c r="B58" s="6">
        <v>3.3968925416917095</v>
      </c>
    </row>
    <row r="59">
      <c r="A59" s="5" t="s">
        <v>136</v>
      </c>
      <c r="B59" s="6">
        <v>3.3517304554385876</v>
      </c>
    </row>
    <row r="60">
      <c r="A60" s="5" t="s">
        <v>875</v>
      </c>
      <c r="B60" s="6">
        <v>3.3169131426879113</v>
      </c>
    </row>
    <row r="61">
      <c r="A61" s="5" t="s">
        <v>26</v>
      </c>
      <c r="B61" s="6">
        <v>3.2281820023979044</v>
      </c>
    </row>
    <row r="62">
      <c r="A62" s="5" t="s">
        <v>139</v>
      </c>
      <c r="B62" s="6">
        <v>3.1963160956291903</v>
      </c>
    </row>
    <row r="63">
      <c r="A63" s="5" t="s">
        <v>50</v>
      </c>
      <c r="B63" s="6">
        <v>3.068223204390307</v>
      </c>
    </row>
    <row r="64">
      <c r="A64" s="5" t="s">
        <v>168</v>
      </c>
      <c r="B64" s="6">
        <v>2.7828889717698404</v>
      </c>
    </row>
    <row r="65">
      <c r="A65" s="5" t="s">
        <v>107</v>
      </c>
      <c r="B65" s="6">
        <v>2.612069155174986</v>
      </c>
    </row>
    <row r="66">
      <c r="A66" s="5" t="s">
        <v>164</v>
      </c>
      <c r="B66" s="6">
        <v>2.450697144020337</v>
      </c>
    </row>
    <row r="67">
      <c r="A67" s="5" t="s">
        <v>177</v>
      </c>
      <c r="B67" s="6">
        <v>2.447734486524286</v>
      </c>
    </row>
    <row r="68">
      <c r="A68" s="5" t="s">
        <v>40</v>
      </c>
      <c r="B68" s="6">
        <v>2.1731039564500696</v>
      </c>
    </row>
    <row r="69">
      <c r="A69" s="9" t="s">
        <v>1230</v>
      </c>
      <c r="B69" s="6">
        <v>2.1731039564500696</v>
      </c>
    </row>
    <row r="70">
      <c r="A70" s="5" t="s">
        <v>93</v>
      </c>
      <c r="B70" s="6">
        <v>2.141080733640349</v>
      </c>
    </row>
    <row r="71">
      <c r="A71" s="5" t="s">
        <v>144</v>
      </c>
      <c r="B71" s="6">
        <v>2.088748686803167</v>
      </c>
    </row>
    <row r="72">
      <c r="A72" s="5" t="s">
        <v>1231</v>
      </c>
      <c r="B72" s="6">
        <v>2.0866394095021183</v>
      </c>
    </row>
    <row r="73">
      <c r="A73" s="5" t="s">
        <v>159</v>
      </c>
      <c r="B73" s="6">
        <v>1.9244140181524665</v>
      </c>
    </row>
    <row r="74">
      <c r="A74" s="5" t="s">
        <v>877</v>
      </c>
      <c r="B74" s="6">
        <v>1.9158195929072641</v>
      </c>
    </row>
    <row r="75">
      <c r="A75" s="5" t="s">
        <v>237</v>
      </c>
      <c r="B75" s="6">
        <v>1.8608620236842197</v>
      </c>
    </row>
    <row r="76">
      <c r="A76" s="5" t="s">
        <v>51</v>
      </c>
      <c r="B76" s="6">
        <v>1.7384359703477543</v>
      </c>
    </row>
    <row r="77">
      <c r="A77" s="5" t="s">
        <v>85</v>
      </c>
      <c r="B77" s="6">
        <v>1.6497834880782507</v>
      </c>
    </row>
    <row r="78">
      <c r="A78" s="5" t="s">
        <v>203</v>
      </c>
      <c r="B78" s="6">
        <v>1.6497834880782507</v>
      </c>
    </row>
    <row r="79">
      <c r="A79" s="5" t="s">
        <v>74</v>
      </c>
      <c r="B79" s="6">
        <v>1.6497834880782507</v>
      </c>
    </row>
    <row r="80">
      <c r="A80" s="5" t="s">
        <v>62</v>
      </c>
      <c r="B80" s="6">
        <v>1.6497834880782507</v>
      </c>
    </row>
    <row r="81">
      <c r="A81" s="5" t="s">
        <v>204</v>
      </c>
      <c r="B81" s="6">
        <v>1.6497834880782507</v>
      </c>
    </row>
    <row r="82">
      <c r="A82" s="5" t="s">
        <v>122</v>
      </c>
      <c r="B82" s="6">
        <v>1.6497834880782507</v>
      </c>
    </row>
    <row r="83">
      <c r="A83" s="248" t="s">
        <v>151</v>
      </c>
      <c r="B83" s="6">
        <f>1.21519415999644+0.348</f>
        <v>1.56319416</v>
      </c>
      <c r="C83" s="110" t="s">
        <v>1232</v>
      </c>
    </row>
    <row r="84">
      <c r="A84" s="5" t="s">
        <v>97</v>
      </c>
      <c r="B84" s="6">
        <v>1.5624655609352969</v>
      </c>
    </row>
    <row r="85">
      <c r="A85" s="5" t="s">
        <v>217</v>
      </c>
      <c r="B85" s="6">
        <v>1.4971632182098085</v>
      </c>
    </row>
    <row r="86">
      <c r="A86" s="5" t="s">
        <v>263</v>
      </c>
      <c r="B86" s="6">
        <v>1.4811516068049484</v>
      </c>
    </row>
    <row r="87">
      <c r="A87" s="5" t="s">
        <v>138</v>
      </c>
      <c r="B87" s="6">
        <v>1.4768543941823473</v>
      </c>
    </row>
    <row r="88">
      <c r="A88" s="5" t="s">
        <v>264</v>
      </c>
      <c r="B88" s="6">
        <v>1.457801467260933</v>
      </c>
    </row>
    <row r="89">
      <c r="A89" s="5" t="s">
        <v>167</v>
      </c>
      <c r="B89" s="6">
        <v>1.3060345775874933</v>
      </c>
    </row>
    <row r="90">
      <c r="A90" s="5" t="s">
        <v>270</v>
      </c>
      <c r="B90" s="6">
        <v>1.3038466422659412</v>
      </c>
    </row>
    <row r="91">
      <c r="A91" s="5" t="s">
        <v>68</v>
      </c>
      <c r="B91" s="6">
        <v>1.2151941599964375</v>
      </c>
    </row>
    <row r="92">
      <c r="A92" s="16" t="s">
        <v>141</v>
      </c>
      <c r="B92" s="6">
        <v>1.2151941599964375</v>
      </c>
    </row>
    <row r="93">
      <c r="A93" s="5" t="s">
        <v>285</v>
      </c>
      <c r="B93" s="6">
        <v>1.1352147609926393</v>
      </c>
    </row>
    <row r="94">
      <c r="A94" s="5" t="s">
        <v>286</v>
      </c>
      <c r="B94" s="6">
        <v>1.1352147609926393</v>
      </c>
    </row>
    <row r="95">
      <c r="A95" s="5" t="s">
        <v>147</v>
      </c>
      <c r="B95" s="6">
        <v>1.1122804145793155</v>
      </c>
    </row>
    <row r="96">
      <c r="A96" s="5" t="s">
        <v>287</v>
      </c>
      <c r="B96" s="6">
        <v>1.0967063902387655</v>
      </c>
    </row>
    <row r="97">
      <c r="A97" s="5" t="s">
        <v>182</v>
      </c>
      <c r="B97" s="6">
        <v>0.9579097964536321</v>
      </c>
    </row>
    <row r="98">
      <c r="A98" s="5" t="s">
        <v>319</v>
      </c>
      <c r="B98" s="6">
        <v>0.7645932205097646</v>
      </c>
    </row>
    <row r="99">
      <c r="A99" s="5" t="s">
        <v>133</v>
      </c>
      <c r="B99" s="6">
        <v>0.7485816091049042</v>
      </c>
    </row>
    <row r="100">
      <c r="A100" s="5" t="s">
        <v>321</v>
      </c>
      <c r="B100" s="6">
        <v>0.7485816091049042</v>
      </c>
    </row>
    <row r="101">
      <c r="A101" s="5" t="s">
        <v>322</v>
      </c>
      <c r="B101" s="6">
        <v>0.7485816091049042</v>
      </c>
    </row>
    <row r="102">
      <c r="A102" s="5" t="s">
        <v>183</v>
      </c>
      <c r="B102" s="6">
        <v>0.7485816091049042</v>
      </c>
    </row>
    <row r="103">
      <c r="A103" s="5" t="s">
        <v>82</v>
      </c>
      <c r="B103" s="6">
        <v>0.7485816091049042</v>
      </c>
    </row>
    <row r="104">
      <c r="A104" s="5" t="s">
        <v>323</v>
      </c>
      <c r="B104" s="6">
        <v>0.7485816091049042</v>
      </c>
    </row>
    <row r="105">
      <c r="A105" s="5" t="s">
        <v>885</v>
      </c>
      <c r="B105" s="6">
        <v>0.6962495622677224</v>
      </c>
    </row>
    <row r="106">
      <c r="A106" s="5" t="s">
        <v>149</v>
      </c>
      <c r="B106" s="6">
        <v>0.6962495622677224</v>
      </c>
    </row>
    <row r="107">
      <c r="A107" s="5" t="s">
        <v>221</v>
      </c>
      <c r="B107" s="6">
        <v>0.6962495622677224</v>
      </c>
    </row>
    <row r="108">
      <c r="A108" s="5" t="s">
        <v>154</v>
      </c>
      <c r="B108" s="6">
        <v>0.6962495622677224</v>
      </c>
    </row>
    <row r="109">
      <c r="A109" s="5" t="s">
        <v>239</v>
      </c>
      <c r="B109" s="6">
        <v>0.6962495622677224</v>
      </c>
    </row>
    <row r="110">
      <c r="A110" s="5" t="s">
        <v>108</v>
      </c>
      <c r="B110" s="6">
        <v>0.6962495622677224</v>
      </c>
    </row>
    <row r="111">
      <c r="A111" s="5" t="s">
        <v>126</v>
      </c>
      <c r="B111" s="6">
        <v>0.6962495622677224</v>
      </c>
    </row>
    <row r="112">
      <c r="A112" s="5" t="s">
        <v>883</v>
      </c>
      <c r="B112" s="6">
        <v>0.6962495622677224</v>
      </c>
    </row>
    <row r="113">
      <c r="A113" s="5" t="s">
        <v>266</v>
      </c>
      <c r="B113" s="6">
        <v>0.3481247811338612</v>
      </c>
    </row>
    <row r="114">
      <c r="A114" s="5" t="s">
        <v>195</v>
      </c>
      <c r="B114" s="6">
        <v>0.3481247811338612</v>
      </c>
    </row>
    <row r="115">
      <c r="A115" s="5" t="s">
        <v>881</v>
      </c>
      <c r="B115" s="6">
        <v>0.3481247811338612</v>
      </c>
    </row>
    <row r="116">
      <c r="A116" s="5" t="s">
        <v>254</v>
      </c>
      <c r="B116" s="6">
        <v>0.3481247811338612</v>
      </c>
    </row>
    <row r="117">
      <c r="A117" s="5" t="s">
        <v>64</v>
      </c>
      <c r="B117" s="6">
        <v>0.3481247811338612</v>
      </c>
    </row>
    <row r="118">
      <c r="A118" s="5" t="s">
        <v>216</v>
      </c>
      <c r="B118" s="6">
        <v>0.3481247811338612</v>
      </c>
    </row>
    <row r="119">
      <c r="A119" s="5" t="s">
        <v>120</v>
      </c>
      <c r="B119" s="6">
        <v>0.3481247811338612</v>
      </c>
    </row>
    <row r="120">
      <c r="A120" s="5" t="s">
        <v>70</v>
      </c>
      <c r="B120" s="6">
        <v>0.3481247811338612</v>
      </c>
    </row>
    <row r="121">
      <c r="A121" s="5" t="s">
        <v>60</v>
      </c>
      <c r="B121" s="6">
        <v>0.3481247811338612</v>
      </c>
    </row>
    <row r="122">
      <c r="A122" s="5" t="s">
        <v>229</v>
      </c>
      <c r="B122" s="6">
        <v>0.3481247811338612</v>
      </c>
    </row>
    <row r="123">
      <c r="A123" s="5" t="s">
        <v>77</v>
      </c>
      <c r="B123" s="6">
        <v>0.3481247811338612</v>
      </c>
    </row>
    <row r="124">
      <c r="A124" s="5" t="s">
        <v>161</v>
      </c>
      <c r="B124" s="6">
        <v>0.3481247811338612</v>
      </c>
    </row>
    <row r="125">
      <c r="A125" s="5" t="s">
        <v>277</v>
      </c>
      <c r="B125" s="6">
        <v>0.3481247811338612</v>
      </c>
    </row>
    <row r="126">
      <c r="A126" s="5" t="s">
        <v>880</v>
      </c>
      <c r="B126" s="6">
        <v>0.3481247811338612</v>
      </c>
    </row>
    <row r="127">
      <c r="A127" s="5" t="s">
        <v>81</v>
      </c>
      <c r="B127" s="6">
        <v>0.3481247811338612</v>
      </c>
    </row>
    <row r="128">
      <c r="A128" s="5" t="s">
        <v>368</v>
      </c>
      <c r="B128" s="6">
        <v>0.3481247811338612</v>
      </c>
    </row>
    <row r="129">
      <c r="A129" s="5" t="s">
        <v>219</v>
      </c>
      <c r="B129" s="6">
        <v>0.3481247811338612</v>
      </c>
    </row>
    <row r="130">
      <c r="A130" s="5" t="s">
        <v>206</v>
      </c>
      <c r="B130" s="6">
        <v>0.3481247811338612</v>
      </c>
    </row>
    <row r="131">
      <c r="A131" s="5" t="s">
        <v>230</v>
      </c>
      <c r="B131" s="6">
        <v>0.3481247811338612</v>
      </c>
    </row>
    <row r="132">
      <c r="A132" s="5" t="s">
        <v>240</v>
      </c>
      <c r="B132" s="6">
        <v>0.3481247811338612</v>
      </c>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sheetData>
  <autoFilter ref="$A$2:$U$147">
    <sortState ref="A2:U147">
      <sortCondition descending="1" ref="B2:B147"/>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6" width="10.14"/>
    <col customWidth="1" hidden="1" min="7" max="7" width="8.43"/>
    <col customWidth="1" min="8" max="8" width="9.29"/>
    <col customWidth="1" min="9" max="10" width="8.43"/>
    <col customWidth="1" min="13" max="13" width="16.0"/>
    <col customWidth="1" min="16" max="16" width="13.14"/>
    <col customWidth="1" min="17" max="17" width="11.43"/>
  </cols>
  <sheetData>
    <row r="1">
      <c r="A1" s="133"/>
      <c r="B1" s="134" t="s">
        <v>414</v>
      </c>
      <c r="C1" s="233" t="s">
        <v>415</v>
      </c>
      <c r="D1" s="136"/>
      <c r="E1" s="137"/>
      <c r="F1" s="138" t="s">
        <v>416</v>
      </c>
      <c r="G1" s="139"/>
      <c r="H1" s="139">
        <v>1100.0</v>
      </c>
      <c r="I1" s="139">
        <v>1200.0</v>
      </c>
      <c r="J1" s="140">
        <f>AVERAGE(G1:I1)</f>
        <v>1150</v>
      </c>
      <c r="K1" s="141" t="s">
        <v>417</v>
      </c>
      <c r="L1" s="142">
        <f>countif(J4:J1453, "&gt;0.000001")</f>
        <v>861</v>
      </c>
      <c r="M1" s="141" t="s">
        <v>418</v>
      </c>
      <c r="N1" s="143">
        <v>1.335656213704994</v>
      </c>
      <c r="O1" s="144" t="s">
        <v>419</v>
      </c>
      <c r="P1" s="133"/>
      <c r="Q1" s="134"/>
      <c r="R1" s="145"/>
      <c r="S1" s="145"/>
      <c r="T1" s="145"/>
      <c r="U1" s="145"/>
    </row>
    <row r="2">
      <c r="A2" s="146"/>
      <c r="B2" s="134" t="s">
        <v>420</v>
      </c>
      <c r="C2" s="234" t="s">
        <v>421</v>
      </c>
      <c r="D2" s="148"/>
      <c r="E2" s="137"/>
      <c r="F2" s="149" t="s">
        <v>422</v>
      </c>
      <c r="G2" s="139">
        <v>1.0</v>
      </c>
      <c r="H2" s="139">
        <f t="shared" ref="H2:K2" si="1">sum(H4:H966)</f>
        <v>69140</v>
      </c>
      <c r="I2" s="139">
        <f t="shared" si="1"/>
        <v>70110</v>
      </c>
      <c r="J2" s="150">
        <f t="shared" si="1"/>
        <v>1</v>
      </c>
      <c r="K2" s="151">
        <f t="shared" si="1"/>
        <v>601.2389287</v>
      </c>
      <c r="L2" s="152" t="s">
        <v>416</v>
      </c>
      <c r="M2" s="153" t="str">
        <f>'DO NOT TOUCH Imported'!A266</f>
        <v/>
      </c>
      <c r="N2" s="153" t="s">
        <v>423</v>
      </c>
      <c r="O2" s="145"/>
      <c r="P2" s="146"/>
      <c r="Q2" s="134"/>
      <c r="R2" s="145"/>
      <c r="S2" s="145"/>
      <c r="T2" s="145"/>
      <c r="U2" s="145"/>
    </row>
    <row r="3">
      <c r="A3" s="154" t="s">
        <v>424</v>
      </c>
      <c r="B3" s="154" t="s">
        <v>425</v>
      </c>
      <c r="C3" s="235" t="s">
        <v>426</v>
      </c>
      <c r="D3" s="156"/>
      <c r="E3" s="157" t="s">
        <v>427</v>
      </c>
      <c r="F3" s="158" t="s">
        <v>428</v>
      </c>
      <c r="G3" s="159" t="s">
        <v>1233</v>
      </c>
      <c r="H3" s="159" t="s">
        <v>430</v>
      </c>
      <c r="I3" s="159" t="s">
        <v>887</v>
      </c>
      <c r="J3" s="160" t="s">
        <v>432</v>
      </c>
      <c r="K3" s="161" t="s">
        <v>433</v>
      </c>
      <c r="L3" s="162" t="s">
        <v>434</v>
      </c>
      <c r="M3" s="161"/>
      <c r="N3" s="163">
        <f>IFERROR(__xludf.DUMMYFUNCTION("query(iferror(sort({row(A3:A966)-row(A3)+2-match(sort(A3:A966),sort(A3:A966),0),SORT(ROW(A3:A966)+2-row(A3)+2,A3:A966,1)},2,1),),""Select Col1"")"),1.0)</f>
        <v>1</v>
      </c>
      <c r="O3" s="163"/>
      <c r="P3" s="154" t="s">
        <v>424</v>
      </c>
      <c r="Q3" s="154" t="s">
        <v>425</v>
      </c>
      <c r="R3" s="164"/>
      <c r="S3" s="164"/>
      <c r="T3" s="164"/>
      <c r="U3" s="164"/>
      <c r="V3" s="164"/>
      <c r="W3" s="164"/>
      <c r="X3" s="164"/>
      <c r="Y3" s="164"/>
      <c r="Z3" s="164"/>
      <c r="AA3" s="164"/>
    </row>
    <row r="4">
      <c r="A4" s="165" t="str">
        <f>iferror(VLOOKUP(P4,'DO NOT TOUCH Imported'!$A$1:$D$800,4,False),iferror(VLOOKUP(P4,'DO NOT TOUCH Imported'!$C$1:$D$800,2,False),"OOPS FIX ME"))</f>
        <v>zeptimusQ</v>
      </c>
      <c r="B4" s="165" t="s">
        <v>10</v>
      </c>
      <c r="C4" s="170" t="s">
        <v>498</v>
      </c>
      <c r="D4" s="236" t="s">
        <v>495</v>
      </c>
      <c r="E4" s="239">
        <v>44282.0</v>
      </c>
      <c r="F4" s="170" t="s">
        <v>499</v>
      </c>
      <c r="G4" s="219"/>
      <c r="H4" s="171">
        <v>20.0</v>
      </c>
      <c r="I4" s="171">
        <v>15.0</v>
      </c>
      <c r="J4" s="172">
        <f t="shared" ref="J4:J100" si="2">(H4/$H$2+I4/$I$2)/2</f>
        <v>0.0002516088297</v>
      </c>
      <c r="K4" s="173">
        <f t="shared" ref="K4:K100" si="3">J4*$J$1</f>
        <v>0.2893501542</v>
      </c>
      <c r="L4" s="174">
        <f t="shared" ref="L4:L966" si="4">dsum($A$3:$K966,"IH per Praise",{$A$3;A4})</f>
        <v>51.03442555</v>
      </c>
      <c r="M4" s="175" t="str">
        <f t="shared" ref="M4:M966" si="5">A4</f>
        <v>zeptimusQ</v>
      </c>
      <c r="N4" s="176">
        <f>IFERROR(__xludf.DUMMYFUNCTION("""COMPUTED_VALUE"""),1.0)</f>
        <v>1</v>
      </c>
      <c r="O4" s="176"/>
      <c r="P4" s="165" t="s">
        <v>3</v>
      </c>
      <c r="Q4" s="165" t="s">
        <v>10</v>
      </c>
      <c r="R4" s="176"/>
      <c r="S4" s="176"/>
      <c r="T4" s="176"/>
      <c r="U4" s="176"/>
      <c r="V4" s="176"/>
      <c r="W4" s="176"/>
      <c r="X4" s="176"/>
      <c r="Y4" s="176"/>
      <c r="Z4" s="176"/>
      <c r="AA4" s="176"/>
    </row>
    <row r="5">
      <c r="A5" s="165" t="str">
        <f>iferror(VLOOKUP(P5,'DO NOT TOUCH Imported'!$A$1:$D$800,4,False),iferror(VLOOKUP(P5,'DO NOT TOUCH Imported'!$C$1:$D$800,2,False),"OOPS FIX ME"))</f>
        <v>zeptimusQ</v>
      </c>
      <c r="B5" s="165" t="s">
        <v>10</v>
      </c>
      <c r="C5" s="170" t="s">
        <v>500</v>
      </c>
      <c r="D5" s="236" t="s">
        <v>495</v>
      </c>
      <c r="E5" s="239">
        <v>44282.0</v>
      </c>
      <c r="F5" s="170" t="s">
        <v>496</v>
      </c>
      <c r="G5" s="219"/>
      <c r="H5" s="171">
        <v>20.0</v>
      </c>
      <c r="I5" s="171">
        <v>15.0</v>
      </c>
      <c r="J5" s="172">
        <f t="shared" si="2"/>
        <v>0.0002516088297</v>
      </c>
      <c r="K5" s="173">
        <f t="shared" si="3"/>
        <v>0.2893501542</v>
      </c>
      <c r="L5" s="174">
        <f t="shared" si="4"/>
        <v>51.03442555</v>
      </c>
      <c r="M5" s="175" t="str">
        <f t="shared" si="5"/>
        <v>zeptimusQ</v>
      </c>
      <c r="N5" s="176">
        <f>IFERROR(__xludf.DUMMYFUNCTION("""COMPUTED_VALUE"""),2.0)</f>
        <v>2</v>
      </c>
      <c r="O5" s="176"/>
      <c r="P5" s="165" t="s">
        <v>3</v>
      </c>
      <c r="Q5" s="165" t="s">
        <v>10</v>
      </c>
      <c r="R5" s="176"/>
      <c r="S5" s="176"/>
      <c r="T5" s="176"/>
      <c r="U5" s="176"/>
      <c r="V5" s="176"/>
      <c r="W5" s="176"/>
      <c r="X5" s="176"/>
      <c r="Y5" s="176"/>
      <c r="Z5" s="176"/>
      <c r="AA5" s="176"/>
    </row>
    <row r="6">
      <c r="A6" s="165" t="str">
        <f>iferror(VLOOKUP(P6,'DO NOT TOUCH Imported'!$A$1:$D$800,4,False),iferror(VLOOKUP(P6,'DO NOT TOUCH Imported'!$C$1:$D$800,2,False),"OOPS FIX ME"))</f>
        <v>zeptimusQ</v>
      </c>
      <c r="B6" s="165" t="s">
        <v>1228</v>
      </c>
      <c r="C6" s="170" t="s">
        <v>1234</v>
      </c>
      <c r="D6" s="236" t="s">
        <v>495</v>
      </c>
      <c r="E6" s="239">
        <v>44284.0</v>
      </c>
      <c r="F6" s="170" t="s">
        <v>496</v>
      </c>
      <c r="G6" s="219"/>
      <c r="H6" s="171">
        <v>100.0</v>
      </c>
      <c r="I6" s="171">
        <v>100.0</v>
      </c>
      <c r="J6" s="172">
        <f t="shared" si="2"/>
        <v>0.001436335405</v>
      </c>
      <c r="K6" s="173">
        <f t="shared" si="3"/>
        <v>1.651785716</v>
      </c>
      <c r="L6" s="174">
        <f t="shared" si="4"/>
        <v>51.03442555</v>
      </c>
      <c r="M6" s="175" t="str">
        <f t="shared" si="5"/>
        <v>zeptimusQ</v>
      </c>
      <c r="N6" s="176">
        <f>IFERROR(__xludf.DUMMYFUNCTION("""COMPUTED_VALUE"""),3.0)</f>
        <v>3</v>
      </c>
      <c r="O6" s="176"/>
      <c r="P6" s="165" t="s">
        <v>3</v>
      </c>
      <c r="Q6" s="165" t="s">
        <v>1228</v>
      </c>
      <c r="R6" s="176"/>
      <c r="S6" s="176"/>
      <c r="T6" s="176"/>
      <c r="U6" s="176"/>
      <c r="V6" s="176"/>
      <c r="W6" s="176"/>
      <c r="X6" s="176"/>
      <c r="Y6" s="176"/>
      <c r="Z6" s="176"/>
      <c r="AA6" s="176"/>
    </row>
    <row r="7">
      <c r="A7" s="165" t="str">
        <f>iferror(VLOOKUP(P7,'DO NOT TOUCH Imported'!$A$1:$D$800,4,False),iferror(VLOOKUP(P7,'DO NOT TOUCH Imported'!$C$1:$D$800,2,False),"OOPS FIX ME"))</f>
        <v>zeptimusQ</v>
      </c>
      <c r="B7" s="165" t="s">
        <v>10</v>
      </c>
      <c r="C7" s="170" t="s">
        <v>498</v>
      </c>
      <c r="D7" s="236" t="s">
        <v>495</v>
      </c>
      <c r="E7" s="239">
        <v>44288.0</v>
      </c>
      <c r="F7" s="170" t="s">
        <v>499</v>
      </c>
      <c r="G7" s="219"/>
      <c r="H7" s="171">
        <v>20.0</v>
      </c>
      <c r="I7" s="171">
        <v>15.0</v>
      </c>
      <c r="J7" s="172">
        <f t="shared" si="2"/>
        <v>0.0002516088297</v>
      </c>
      <c r="K7" s="173">
        <f t="shared" si="3"/>
        <v>0.2893501542</v>
      </c>
      <c r="L7" s="174">
        <f t="shared" si="4"/>
        <v>51.03442555</v>
      </c>
      <c r="M7" s="175" t="str">
        <f t="shared" si="5"/>
        <v>zeptimusQ</v>
      </c>
      <c r="N7" s="176">
        <f>IFERROR(__xludf.DUMMYFUNCTION("""COMPUTED_VALUE"""),4.0)</f>
        <v>4</v>
      </c>
      <c r="O7" s="176"/>
      <c r="P7" s="165" t="s">
        <v>3</v>
      </c>
      <c r="Q7" s="165" t="s">
        <v>10</v>
      </c>
      <c r="R7" s="176"/>
      <c r="S7" s="176"/>
      <c r="T7" s="176"/>
      <c r="U7" s="176"/>
      <c r="V7" s="176"/>
      <c r="W7" s="176"/>
      <c r="X7" s="176"/>
      <c r="Y7" s="176"/>
      <c r="Z7" s="176"/>
      <c r="AA7" s="176"/>
    </row>
    <row r="8">
      <c r="A8" s="165" t="str">
        <f>iferror(VLOOKUP(P8,'DO NOT TOUCH Imported'!$A$1:$D$800,4,False),iferror(VLOOKUP(P8,'DO NOT TOUCH Imported'!$C$1:$D$800,2,False),"OOPS FIX ME"))</f>
        <v>zeptimusQ</v>
      </c>
      <c r="B8" s="165" t="s">
        <v>10</v>
      </c>
      <c r="C8" s="170" t="s">
        <v>500</v>
      </c>
      <c r="D8" s="236" t="s">
        <v>495</v>
      </c>
      <c r="E8" s="239">
        <v>44289.0</v>
      </c>
      <c r="F8" s="170" t="s">
        <v>496</v>
      </c>
      <c r="G8" s="219"/>
      <c r="H8" s="171">
        <v>20.0</v>
      </c>
      <c r="I8" s="171">
        <v>25.0</v>
      </c>
      <c r="J8" s="172">
        <f t="shared" si="2"/>
        <v>0.0003229253324</v>
      </c>
      <c r="K8" s="173">
        <f t="shared" si="3"/>
        <v>0.3713641322</v>
      </c>
      <c r="L8" s="174">
        <f t="shared" si="4"/>
        <v>51.03442555</v>
      </c>
      <c r="M8" s="175" t="str">
        <f t="shared" si="5"/>
        <v>zeptimusQ</v>
      </c>
      <c r="N8" s="176">
        <f>IFERROR(__xludf.DUMMYFUNCTION("""COMPUTED_VALUE"""),5.0)</f>
        <v>5</v>
      </c>
      <c r="O8" s="176"/>
      <c r="P8" s="165" t="s">
        <v>3</v>
      </c>
      <c r="Q8" s="165" t="s">
        <v>10</v>
      </c>
      <c r="R8" s="176"/>
      <c r="S8" s="176"/>
      <c r="T8" s="176"/>
      <c r="U8" s="176"/>
      <c r="V8" s="176"/>
      <c r="W8" s="176"/>
      <c r="X8" s="176"/>
      <c r="Y8" s="176"/>
      <c r="Z8" s="176"/>
      <c r="AA8" s="176"/>
    </row>
    <row r="9">
      <c r="A9" s="165" t="str">
        <f>iferror(VLOOKUP(P9,'DO NOT TOUCH Imported'!$A$1:$D$800,4,False),iferror(VLOOKUP(P9,'DO NOT TOUCH Imported'!$C$1:$D$800,2,False),"OOPS FIX ME"))</f>
        <v>zeptimusQ</v>
      </c>
      <c r="B9" s="165" t="s">
        <v>10</v>
      </c>
      <c r="C9" s="170" t="s">
        <v>498</v>
      </c>
      <c r="D9" s="236" t="s">
        <v>495</v>
      </c>
      <c r="E9" s="239">
        <v>44295.0</v>
      </c>
      <c r="F9" s="170" t="s">
        <v>499</v>
      </c>
      <c r="G9" s="219"/>
      <c r="H9" s="171">
        <v>20.0</v>
      </c>
      <c r="I9" s="171">
        <v>25.0</v>
      </c>
      <c r="J9" s="172">
        <f t="shared" si="2"/>
        <v>0.0003229253324</v>
      </c>
      <c r="K9" s="173">
        <f t="shared" si="3"/>
        <v>0.3713641322</v>
      </c>
      <c r="L9" s="174">
        <f t="shared" si="4"/>
        <v>51.03442555</v>
      </c>
      <c r="M9" s="175" t="str">
        <f t="shared" si="5"/>
        <v>zeptimusQ</v>
      </c>
      <c r="N9" s="176">
        <f>IFERROR(__xludf.DUMMYFUNCTION("""COMPUTED_VALUE"""),6.0)</f>
        <v>6</v>
      </c>
      <c r="O9" s="176"/>
      <c r="P9" s="165" t="s">
        <v>3</v>
      </c>
      <c r="Q9" s="165" t="s">
        <v>10</v>
      </c>
      <c r="R9" s="176"/>
      <c r="S9" s="176"/>
      <c r="T9" s="176"/>
      <c r="U9" s="176"/>
      <c r="V9" s="176"/>
      <c r="W9" s="176"/>
      <c r="X9" s="176"/>
      <c r="Y9" s="176"/>
      <c r="Z9" s="176"/>
      <c r="AA9" s="176"/>
    </row>
    <row r="10">
      <c r="A10" s="165" t="str">
        <f>iferror(VLOOKUP(P10,'DO NOT TOUCH Imported'!$A$1:$D$800,4,False),iferror(VLOOKUP(P10,'DO NOT TOUCH Imported'!$C$1:$D$800,2,False),"OOPS FIX ME"))</f>
        <v>zeptimusQ</v>
      </c>
      <c r="B10" s="165" t="s">
        <v>10</v>
      </c>
      <c r="C10" s="170" t="s">
        <v>500</v>
      </c>
      <c r="D10" s="236" t="s">
        <v>495</v>
      </c>
      <c r="E10" s="239">
        <v>44295.0</v>
      </c>
      <c r="F10" s="170" t="s">
        <v>496</v>
      </c>
      <c r="G10" s="219"/>
      <c r="H10" s="171">
        <v>20.0</v>
      </c>
      <c r="I10" s="171">
        <v>25.0</v>
      </c>
      <c r="J10" s="172">
        <f t="shared" si="2"/>
        <v>0.0003229253324</v>
      </c>
      <c r="K10" s="173">
        <f t="shared" si="3"/>
        <v>0.3713641322</v>
      </c>
      <c r="L10" s="174">
        <f t="shared" si="4"/>
        <v>51.03442555</v>
      </c>
      <c r="M10" s="175" t="str">
        <f t="shared" si="5"/>
        <v>zeptimusQ</v>
      </c>
      <c r="N10" s="176">
        <f>IFERROR(__xludf.DUMMYFUNCTION("""COMPUTED_VALUE"""),7.0)</f>
        <v>7</v>
      </c>
      <c r="O10" s="176"/>
      <c r="P10" s="165" t="s">
        <v>3</v>
      </c>
      <c r="Q10" s="165" t="s">
        <v>10</v>
      </c>
      <c r="R10" s="176"/>
      <c r="S10" s="176"/>
      <c r="T10" s="176"/>
      <c r="U10" s="176"/>
      <c r="V10" s="176"/>
      <c r="W10" s="176"/>
      <c r="X10" s="176"/>
      <c r="Y10" s="176"/>
      <c r="Z10" s="176"/>
      <c r="AA10" s="176"/>
    </row>
    <row r="11">
      <c r="A11" s="165" t="str">
        <f>iferror(VLOOKUP(P11,'DO NOT TOUCH Imported'!$A$1:$D$800,4,False),iferror(VLOOKUP(P11,'DO NOT TOUCH Imported'!$C$1:$D$800,2,False),"OOPS FIX ME"))</f>
        <v>zeptimusQ</v>
      </c>
      <c r="B11" s="165" t="s">
        <v>441</v>
      </c>
      <c r="C11" s="170" t="s">
        <v>1235</v>
      </c>
      <c r="D11" s="236" t="s">
        <v>437</v>
      </c>
      <c r="E11" s="239">
        <v>44284.0</v>
      </c>
      <c r="F11" s="170" t="s">
        <v>439</v>
      </c>
      <c r="G11" s="219"/>
      <c r="H11" s="171">
        <v>60.0</v>
      </c>
      <c r="I11" s="171">
        <v>50.0</v>
      </c>
      <c r="J11" s="172">
        <f t="shared" si="2"/>
        <v>0.0007904847406</v>
      </c>
      <c r="K11" s="173">
        <f t="shared" si="3"/>
        <v>0.9090574516</v>
      </c>
      <c r="L11" s="174">
        <f t="shared" si="4"/>
        <v>51.03442555</v>
      </c>
      <c r="M11" s="175" t="str">
        <f t="shared" si="5"/>
        <v>zeptimusQ</v>
      </c>
      <c r="N11" s="176">
        <f>IFERROR(__xludf.DUMMYFUNCTION("""COMPUTED_VALUE"""),8.0)</f>
        <v>8</v>
      </c>
      <c r="O11" s="176"/>
      <c r="P11" s="165" t="s">
        <v>440</v>
      </c>
      <c r="Q11" s="165" t="s">
        <v>441</v>
      </c>
      <c r="R11" s="176"/>
      <c r="S11" s="176"/>
      <c r="T11" s="176"/>
      <c r="U11" s="176"/>
      <c r="V11" s="176"/>
      <c r="W11" s="176"/>
      <c r="X11" s="176"/>
      <c r="Y11" s="176"/>
      <c r="Z11" s="176"/>
      <c r="AA11" s="176"/>
    </row>
    <row r="12">
      <c r="A12" s="165" t="str">
        <f>iferror(VLOOKUP(P12,'DO NOT TOUCH Imported'!$A$1:$D$800,4,False),iferror(VLOOKUP(P12,'DO NOT TOUCH Imported'!$C$1:$D$800,2,False),"OOPS FIX ME"))</f>
        <v>zeptimusQ</v>
      </c>
      <c r="B12" s="165" t="s">
        <v>441</v>
      </c>
      <c r="C12" s="170" t="s">
        <v>1236</v>
      </c>
      <c r="D12" s="236" t="s">
        <v>437</v>
      </c>
      <c r="E12" s="239">
        <v>44284.0</v>
      </c>
      <c r="F12" s="170" t="s">
        <v>439</v>
      </c>
      <c r="G12" s="219"/>
      <c r="H12" s="171">
        <v>100.0</v>
      </c>
      <c r="I12" s="171">
        <v>100.0</v>
      </c>
      <c r="J12" s="172">
        <f t="shared" si="2"/>
        <v>0.001436335405</v>
      </c>
      <c r="K12" s="173">
        <f t="shared" si="3"/>
        <v>1.651785716</v>
      </c>
      <c r="L12" s="174">
        <f t="shared" si="4"/>
        <v>51.03442555</v>
      </c>
      <c r="M12" s="175" t="str">
        <f t="shared" si="5"/>
        <v>zeptimusQ</v>
      </c>
      <c r="N12" s="176">
        <f>IFERROR(__xludf.DUMMYFUNCTION("""COMPUTED_VALUE"""),9.0)</f>
        <v>9</v>
      </c>
      <c r="O12" s="176"/>
      <c r="P12" s="165" t="s">
        <v>440</v>
      </c>
      <c r="Q12" s="165" t="s">
        <v>441</v>
      </c>
      <c r="R12" s="176"/>
      <c r="S12" s="176"/>
      <c r="T12" s="176"/>
      <c r="U12" s="176"/>
      <c r="V12" s="176"/>
      <c r="W12" s="176"/>
      <c r="X12" s="176"/>
      <c r="Y12" s="176"/>
      <c r="Z12" s="176"/>
      <c r="AA12" s="176"/>
    </row>
    <row r="13">
      <c r="A13" s="165" t="str">
        <f>iferror(VLOOKUP(P13,'DO NOT TOUCH Imported'!$A$1:$D$800,4,False),iferror(VLOOKUP(P13,'DO NOT TOUCH Imported'!$C$1:$D$800,2,False),"OOPS FIX ME"))</f>
        <v>zeptimusQ</v>
      </c>
      <c r="B13" s="165" t="s">
        <v>486</v>
      </c>
      <c r="C13" s="170" t="s">
        <v>1237</v>
      </c>
      <c r="D13" s="236" t="s">
        <v>437</v>
      </c>
      <c r="E13" s="239">
        <v>44285.0</v>
      </c>
      <c r="F13" s="170" t="s">
        <v>439</v>
      </c>
      <c r="G13" s="219"/>
      <c r="H13" s="171">
        <v>40.0</v>
      </c>
      <c r="I13" s="171">
        <v>50.0</v>
      </c>
      <c r="J13" s="172">
        <f t="shared" si="2"/>
        <v>0.0006458506648</v>
      </c>
      <c r="K13" s="173">
        <f t="shared" si="3"/>
        <v>0.7427282645</v>
      </c>
      <c r="L13" s="174">
        <f t="shared" si="4"/>
        <v>51.03442555</v>
      </c>
      <c r="M13" s="175" t="str">
        <f t="shared" si="5"/>
        <v>zeptimusQ</v>
      </c>
      <c r="N13" s="176">
        <f>IFERROR(__xludf.DUMMYFUNCTION("""COMPUTED_VALUE"""),10.0)</f>
        <v>10</v>
      </c>
      <c r="O13" s="176"/>
      <c r="P13" s="165" t="s">
        <v>440</v>
      </c>
      <c r="Q13" s="165" t="s">
        <v>486</v>
      </c>
      <c r="R13" s="176"/>
      <c r="S13" s="176"/>
      <c r="T13" s="176"/>
      <c r="U13" s="176"/>
      <c r="V13" s="176"/>
      <c r="W13" s="176"/>
      <c r="X13" s="176"/>
      <c r="Y13" s="176"/>
      <c r="Z13" s="176"/>
      <c r="AA13" s="176"/>
    </row>
    <row r="14">
      <c r="A14" s="165" t="str">
        <f>iferror(VLOOKUP(P14,'DO NOT TOUCH Imported'!$A$1:$D$800,4,False),iferror(VLOOKUP(P14,'DO NOT TOUCH Imported'!$C$1:$D$800,2,False),"OOPS FIX ME"))</f>
        <v>zeptimusQ</v>
      </c>
      <c r="B14" s="165" t="s">
        <v>46</v>
      </c>
      <c r="C14" s="170" t="s">
        <v>1238</v>
      </c>
      <c r="D14" s="236" t="s">
        <v>437</v>
      </c>
      <c r="E14" s="239">
        <v>44285.0</v>
      </c>
      <c r="F14" s="170" t="s">
        <v>439</v>
      </c>
      <c r="G14" s="219"/>
      <c r="H14" s="171">
        <v>100.0</v>
      </c>
      <c r="I14" s="171">
        <v>150.0</v>
      </c>
      <c r="J14" s="172">
        <f t="shared" si="2"/>
        <v>0.001792917919</v>
      </c>
      <c r="K14" s="173">
        <f t="shared" si="3"/>
        <v>2.061855606</v>
      </c>
      <c r="L14" s="174">
        <f t="shared" si="4"/>
        <v>51.03442555</v>
      </c>
      <c r="M14" s="175" t="str">
        <f t="shared" si="5"/>
        <v>zeptimusQ</v>
      </c>
      <c r="N14" s="176">
        <f>IFERROR(__xludf.DUMMYFUNCTION("""COMPUTED_VALUE"""),11.0)</f>
        <v>11</v>
      </c>
      <c r="O14" s="176"/>
      <c r="P14" s="165" t="s">
        <v>440</v>
      </c>
      <c r="Q14" s="165" t="s">
        <v>46</v>
      </c>
      <c r="R14" s="176"/>
      <c r="S14" s="176"/>
      <c r="T14" s="176"/>
      <c r="U14" s="176"/>
      <c r="V14" s="176"/>
      <c r="W14" s="176"/>
      <c r="X14" s="176"/>
      <c r="Y14" s="176"/>
      <c r="Z14" s="176"/>
      <c r="AA14" s="176"/>
    </row>
    <row r="15">
      <c r="A15" s="165" t="str">
        <f>iferror(VLOOKUP(P15,'DO NOT TOUCH Imported'!$A$1:$D$800,4,False),iferror(VLOOKUP(P15,'DO NOT TOUCH Imported'!$C$1:$D$800,2,False),"OOPS FIX ME"))</f>
        <v>zeptimusQ</v>
      </c>
      <c r="B15" s="165" t="s">
        <v>463</v>
      </c>
      <c r="C15" s="170" t="s">
        <v>1239</v>
      </c>
      <c r="D15" s="236" t="s">
        <v>437</v>
      </c>
      <c r="E15" s="239">
        <v>44286.0</v>
      </c>
      <c r="F15" s="170" t="s">
        <v>439</v>
      </c>
      <c r="G15" s="219"/>
      <c r="H15" s="171">
        <v>100.0</v>
      </c>
      <c r="I15" s="171">
        <v>80.0</v>
      </c>
      <c r="J15" s="172">
        <f t="shared" si="2"/>
        <v>0.0012937024</v>
      </c>
      <c r="K15" s="173">
        <f t="shared" si="3"/>
        <v>1.48775776</v>
      </c>
      <c r="L15" s="174">
        <f t="shared" si="4"/>
        <v>51.03442555</v>
      </c>
      <c r="M15" s="175" t="str">
        <f t="shared" si="5"/>
        <v>zeptimusQ</v>
      </c>
      <c r="N15" s="176">
        <f>IFERROR(__xludf.DUMMYFUNCTION("""COMPUTED_VALUE"""),12.0)</f>
        <v>12</v>
      </c>
      <c r="O15" s="176"/>
      <c r="P15" s="165" t="s">
        <v>440</v>
      </c>
      <c r="Q15" s="165" t="s">
        <v>463</v>
      </c>
      <c r="R15" s="176"/>
      <c r="S15" s="176"/>
      <c r="T15" s="176"/>
      <c r="U15" s="176"/>
      <c r="V15" s="176"/>
      <c r="W15" s="176"/>
      <c r="X15" s="176"/>
      <c r="Y15" s="176"/>
      <c r="Z15" s="176"/>
      <c r="AA15" s="176"/>
    </row>
    <row r="16">
      <c r="A16" s="165" t="str">
        <f>iferror(VLOOKUP(P16,'DO NOT TOUCH Imported'!$A$1:$D$800,4,False),iferror(VLOOKUP(P16,'DO NOT TOUCH Imported'!$C$1:$D$800,2,False),"OOPS FIX ME"))</f>
        <v>zeptimusQ</v>
      </c>
      <c r="B16" s="165" t="s">
        <v>490</v>
      </c>
      <c r="C16" s="170" t="s">
        <v>1240</v>
      </c>
      <c r="D16" s="236" t="s">
        <v>437</v>
      </c>
      <c r="E16" s="239">
        <v>44286.0</v>
      </c>
      <c r="F16" s="170" t="s">
        <v>439</v>
      </c>
      <c r="G16" s="219"/>
      <c r="H16" s="171">
        <v>60.0</v>
      </c>
      <c r="I16" s="171">
        <v>50.0</v>
      </c>
      <c r="J16" s="172">
        <f t="shared" si="2"/>
        <v>0.0007904847406</v>
      </c>
      <c r="K16" s="173">
        <f t="shared" si="3"/>
        <v>0.9090574516</v>
      </c>
      <c r="L16" s="174">
        <f t="shared" si="4"/>
        <v>51.03442555</v>
      </c>
      <c r="M16" s="175" t="str">
        <f t="shared" si="5"/>
        <v>zeptimusQ</v>
      </c>
      <c r="N16" s="176">
        <f>IFERROR(__xludf.DUMMYFUNCTION("""COMPUTED_VALUE"""),13.0)</f>
        <v>13</v>
      </c>
      <c r="O16" s="176"/>
      <c r="P16" s="165" t="s">
        <v>440</v>
      </c>
      <c r="Q16" s="165" t="s">
        <v>490</v>
      </c>
      <c r="R16" s="176"/>
      <c r="S16" s="176"/>
      <c r="T16" s="176"/>
      <c r="U16" s="176"/>
      <c r="V16" s="176"/>
      <c r="W16" s="176"/>
      <c r="X16" s="176"/>
      <c r="Y16" s="176"/>
      <c r="Z16" s="176"/>
      <c r="AA16" s="176"/>
    </row>
    <row r="17">
      <c r="A17" s="165" t="str">
        <f>iferror(VLOOKUP(P17,'DO NOT TOUCH Imported'!$A$1:$D$800,4,False),iferror(VLOOKUP(P17,'DO NOT TOUCH Imported'!$C$1:$D$800,2,False),"OOPS FIX ME"))</f>
        <v>zeptimusQ</v>
      </c>
      <c r="B17" s="165" t="s">
        <v>490</v>
      </c>
      <c r="C17" s="170" t="s">
        <v>1241</v>
      </c>
      <c r="D17" s="236" t="s">
        <v>437</v>
      </c>
      <c r="E17" s="239">
        <v>44286.0</v>
      </c>
      <c r="F17" s="170" t="s">
        <v>439</v>
      </c>
      <c r="G17" s="219"/>
      <c r="H17" s="171">
        <v>100.0</v>
      </c>
      <c r="I17" s="171">
        <v>100.0</v>
      </c>
      <c r="J17" s="172">
        <f t="shared" si="2"/>
        <v>0.001436335405</v>
      </c>
      <c r="K17" s="173">
        <f t="shared" si="3"/>
        <v>1.651785716</v>
      </c>
      <c r="L17" s="174">
        <f t="shared" si="4"/>
        <v>51.03442555</v>
      </c>
      <c r="M17" s="175" t="str">
        <f t="shared" si="5"/>
        <v>zeptimusQ</v>
      </c>
      <c r="N17" s="176">
        <f>IFERROR(__xludf.DUMMYFUNCTION("""COMPUTED_VALUE"""),14.0)</f>
        <v>14</v>
      </c>
      <c r="O17" s="176"/>
      <c r="P17" s="165" t="s">
        <v>440</v>
      </c>
      <c r="Q17" s="165" t="s">
        <v>490</v>
      </c>
      <c r="R17" s="176"/>
      <c r="S17" s="176"/>
      <c r="T17" s="176"/>
      <c r="U17" s="176"/>
      <c r="V17" s="176"/>
      <c r="W17" s="176"/>
      <c r="X17" s="176"/>
      <c r="Y17" s="176"/>
      <c r="Z17" s="176"/>
      <c r="AA17" s="176"/>
    </row>
    <row r="18">
      <c r="A18" s="165" t="str">
        <f>iferror(VLOOKUP(P18,'DO NOT TOUCH Imported'!$A$1:$D$800,4,False),iferror(VLOOKUP(P18,'DO NOT TOUCH Imported'!$C$1:$D$800,2,False),"OOPS FIX ME"))</f>
        <v>zeptimusQ</v>
      </c>
      <c r="B18" s="165" t="s">
        <v>443</v>
      </c>
      <c r="C18" s="170" t="s">
        <v>1242</v>
      </c>
      <c r="D18" s="236" t="s">
        <v>437</v>
      </c>
      <c r="E18" s="239">
        <v>44286.0</v>
      </c>
      <c r="F18" s="170" t="s">
        <v>439</v>
      </c>
      <c r="G18" s="219"/>
      <c r="H18" s="171">
        <v>100.0</v>
      </c>
      <c r="I18" s="171">
        <v>100.0</v>
      </c>
      <c r="J18" s="172">
        <f t="shared" si="2"/>
        <v>0.001436335405</v>
      </c>
      <c r="K18" s="173">
        <f t="shared" si="3"/>
        <v>1.651785716</v>
      </c>
      <c r="L18" s="174">
        <f t="shared" si="4"/>
        <v>51.03442555</v>
      </c>
      <c r="M18" s="175" t="str">
        <f t="shared" si="5"/>
        <v>zeptimusQ</v>
      </c>
      <c r="N18" s="176">
        <f>IFERROR(__xludf.DUMMYFUNCTION("""COMPUTED_VALUE"""),15.0)</f>
        <v>15</v>
      </c>
      <c r="O18" s="176"/>
      <c r="P18" s="165" t="s">
        <v>440</v>
      </c>
      <c r="Q18" s="165" t="s">
        <v>443</v>
      </c>
      <c r="R18" s="176"/>
      <c r="S18" s="176"/>
      <c r="T18" s="176"/>
      <c r="U18" s="176"/>
      <c r="V18" s="176"/>
      <c r="W18" s="176"/>
      <c r="X18" s="176"/>
      <c r="Y18" s="176"/>
      <c r="Z18" s="176"/>
      <c r="AA18" s="176"/>
    </row>
    <row r="19">
      <c r="A19" s="165" t="str">
        <f>iferror(VLOOKUP(P19,'DO NOT TOUCH Imported'!$A$1:$D$800,4,False),iferror(VLOOKUP(P19,'DO NOT TOUCH Imported'!$C$1:$D$800,2,False),"OOPS FIX ME"))</f>
        <v>zeptimusQ</v>
      </c>
      <c r="B19" s="165" t="s">
        <v>46</v>
      </c>
      <c r="C19" s="170" t="s">
        <v>1243</v>
      </c>
      <c r="D19" s="236" t="s">
        <v>437</v>
      </c>
      <c r="E19" s="239">
        <v>44286.0</v>
      </c>
      <c r="F19" s="170" t="s">
        <v>439</v>
      </c>
      <c r="G19" s="219"/>
      <c r="H19" s="171">
        <v>100.0</v>
      </c>
      <c r="I19" s="171">
        <v>100.0</v>
      </c>
      <c r="J19" s="172">
        <f t="shared" si="2"/>
        <v>0.001436335405</v>
      </c>
      <c r="K19" s="173">
        <f t="shared" si="3"/>
        <v>1.651785716</v>
      </c>
      <c r="L19" s="174">
        <f t="shared" si="4"/>
        <v>51.03442555</v>
      </c>
      <c r="M19" s="175" t="str">
        <f t="shared" si="5"/>
        <v>zeptimusQ</v>
      </c>
      <c r="N19" s="176">
        <f>IFERROR(__xludf.DUMMYFUNCTION("""COMPUTED_VALUE"""),16.0)</f>
        <v>16</v>
      </c>
      <c r="O19" s="176"/>
      <c r="P19" s="165" t="s">
        <v>440</v>
      </c>
      <c r="Q19" s="165" t="s">
        <v>46</v>
      </c>
      <c r="R19" s="176"/>
      <c r="S19" s="176"/>
      <c r="T19" s="176"/>
      <c r="U19" s="176"/>
      <c r="V19" s="176"/>
      <c r="W19" s="176"/>
      <c r="X19" s="176"/>
      <c r="Y19" s="176"/>
      <c r="Z19" s="176"/>
      <c r="AA19" s="176"/>
    </row>
    <row r="20">
      <c r="A20" s="165" t="str">
        <f>iferror(VLOOKUP(P20,'DO NOT TOUCH Imported'!$A$1:$D$800,4,False),iferror(VLOOKUP(P20,'DO NOT TOUCH Imported'!$C$1:$D$800,2,False),"OOPS FIX ME"))</f>
        <v>zeptimusQ</v>
      </c>
      <c r="B20" s="165" t="s">
        <v>435</v>
      </c>
      <c r="C20" s="170" t="s">
        <v>1244</v>
      </c>
      <c r="D20" s="236" t="s">
        <v>437</v>
      </c>
      <c r="E20" s="239">
        <v>44287.0</v>
      </c>
      <c r="F20" s="170" t="s">
        <v>439</v>
      </c>
      <c r="G20" s="219"/>
      <c r="H20" s="171">
        <v>100.0</v>
      </c>
      <c r="I20" s="171">
        <v>150.0</v>
      </c>
      <c r="J20" s="172">
        <f t="shared" si="2"/>
        <v>0.001792917919</v>
      </c>
      <c r="K20" s="173">
        <f t="shared" si="3"/>
        <v>2.061855606</v>
      </c>
      <c r="L20" s="174">
        <f t="shared" si="4"/>
        <v>51.03442555</v>
      </c>
      <c r="M20" s="175" t="str">
        <f t="shared" si="5"/>
        <v>zeptimusQ</v>
      </c>
      <c r="N20" s="176">
        <f>IFERROR(__xludf.DUMMYFUNCTION("""COMPUTED_VALUE"""),17.0)</f>
        <v>17</v>
      </c>
      <c r="O20" s="176"/>
      <c r="P20" s="165" t="s">
        <v>440</v>
      </c>
      <c r="Q20" s="165" t="s">
        <v>435</v>
      </c>
      <c r="R20" s="176"/>
      <c r="S20" s="176"/>
      <c r="T20" s="176"/>
      <c r="U20" s="176"/>
      <c r="V20" s="176"/>
      <c r="W20" s="176"/>
      <c r="X20" s="176"/>
      <c r="Y20" s="176"/>
      <c r="Z20" s="176"/>
      <c r="AA20" s="176"/>
    </row>
    <row r="21">
      <c r="A21" s="165" t="str">
        <f>iferror(VLOOKUP(P21,'DO NOT TOUCH Imported'!$A$1:$D$800,4,False),iferror(VLOOKUP(P21,'DO NOT TOUCH Imported'!$C$1:$D$800,2,False),"OOPS FIX ME"))</f>
        <v>zeptimusQ</v>
      </c>
      <c r="B21" s="165" t="s">
        <v>443</v>
      </c>
      <c r="C21" s="170" t="s">
        <v>1245</v>
      </c>
      <c r="D21" s="236" t="s">
        <v>437</v>
      </c>
      <c r="E21" s="239">
        <v>44287.0</v>
      </c>
      <c r="F21" s="170" t="s">
        <v>439</v>
      </c>
      <c r="G21" s="219"/>
      <c r="H21" s="171">
        <v>70.0</v>
      </c>
      <c r="I21" s="171">
        <v>50.0</v>
      </c>
      <c r="J21" s="172">
        <f t="shared" si="2"/>
        <v>0.0008628017785</v>
      </c>
      <c r="K21" s="173">
        <f t="shared" si="3"/>
        <v>0.9922220452</v>
      </c>
      <c r="L21" s="174">
        <f t="shared" si="4"/>
        <v>51.03442555</v>
      </c>
      <c r="M21" s="175" t="str">
        <f t="shared" si="5"/>
        <v>zeptimusQ</v>
      </c>
      <c r="N21" s="176">
        <f>IFERROR(__xludf.DUMMYFUNCTION("""COMPUTED_VALUE"""),18.0)</f>
        <v>18</v>
      </c>
      <c r="O21" s="176"/>
      <c r="P21" s="165" t="s">
        <v>440</v>
      </c>
      <c r="Q21" s="165" t="s">
        <v>443</v>
      </c>
      <c r="R21" s="176"/>
      <c r="S21" s="176"/>
      <c r="T21" s="176"/>
      <c r="U21" s="176"/>
      <c r="V21" s="176"/>
      <c r="W21" s="176"/>
      <c r="X21" s="176"/>
      <c r="Y21" s="176"/>
      <c r="Z21" s="176"/>
      <c r="AA21" s="176"/>
    </row>
    <row r="22">
      <c r="A22" s="165" t="str">
        <f>iferror(VLOOKUP(P22,'DO NOT TOUCH Imported'!$A$1:$D$800,4,False),iferror(VLOOKUP(P22,'DO NOT TOUCH Imported'!$C$1:$D$800,2,False),"OOPS FIX ME"))</f>
        <v>zeptimusQ</v>
      </c>
      <c r="B22" s="165" t="s">
        <v>435</v>
      </c>
      <c r="C22" s="170" t="s">
        <v>1246</v>
      </c>
      <c r="D22" s="236" t="s">
        <v>437</v>
      </c>
      <c r="E22" s="239">
        <v>44287.0</v>
      </c>
      <c r="F22" s="170" t="s">
        <v>439</v>
      </c>
      <c r="G22" s="219"/>
      <c r="H22" s="171">
        <v>70.0</v>
      </c>
      <c r="I22" s="171">
        <v>50.0</v>
      </c>
      <c r="J22" s="172">
        <f t="shared" si="2"/>
        <v>0.0008628017785</v>
      </c>
      <c r="K22" s="173">
        <f t="shared" si="3"/>
        <v>0.9922220452</v>
      </c>
      <c r="L22" s="174">
        <f t="shared" si="4"/>
        <v>51.03442555</v>
      </c>
      <c r="M22" s="175" t="str">
        <f t="shared" si="5"/>
        <v>zeptimusQ</v>
      </c>
      <c r="N22" s="176">
        <f>IFERROR(__xludf.DUMMYFUNCTION("""COMPUTED_VALUE"""),19.0)</f>
        <v>19</v>
      </c>
      <c r="O22" s="176"/>
      <c r="P22" s="165" t="s">
        <v>440</v>
      </c>
      <c r="Q22" s="165" t="s">
        <v>435</v>
      </c>
      <c r="R22" s="176"/>
      <c r="S22" s="176"/>
      <c r="T22" s="176"/>
      <c r="U22" s="176"/>
      <c r="V22" s="176"/>
      <c r="W22" s="176"/>
      <c r="X22" s="176"/>
      <c r="Y22" s="176"/>
      <c r="Z22" s="176"/>
      <c r="AA22" s="176"/>
    </row>
    <row r="23">
      <c r="A23" s="165" t="str">
        <f>iferror(VLOOKUP(P23,'DO NOT TOUCH Imported'!$A$1:$D$800,4,False),iferror(VLOOKUP(P23,'DO NOT TOUCH Imported'!$C$1:$D$800,2,False),"OOPS FIX ME"))</f>
        <v>zeptimusQ</v>
      </c>
      <c r="B23" s="165" t="s">
        <v>441</v>
      </c>
      <c r="C23" s="170" t="s">
        <v>1247</v>
      </c>
      <c r="D23" s="236" t="s">
        <v>437</v>
      </c>
      <c r="E23" s="237">
        <v>44288.0</v>
      </c>
      <c r="F23" s="170" t="s">
        <v>439</v>
      </c>
      <c r="G23" s="219"/>
      <c r="H23" s="171">
        <v>100.0</v>
      </c>
      <c r="I23" s="171">
        <v>150.0</v>
      </c>
      <c r="J23" s="172">
        <f t="shared" si="2"/>
        <v>0.001792917919</v>
      </c>
      <c r="K23" s="173">
        <f t="shared" si="3"/>
        <v>2.061855606</v>
      </c>
      <c r="L23" s="174">
        <f t="shared" si="4"/>
        <v>51.03442555</v>
      </c>
      <c r="M23" s="175" t="str">
        <f t="shared" si="5"/>
        <v>zeptimusQ</v>
      </c>
      <c r="N23" s="176">
        <f>IFERROR(__xludf.DUMMYFUNCTION("""COMPUTED_VALUE"""),20.0)</f>
        <v>20</v>
      </c>
      <c r="O23" s="176"/>
      <c r="P23" s="165" t="s">
        <v>440</v>
      </c>
      <c r="Q23" s="165" t="s">
        <v>441</v>
      </c>
      <c r="R23" s="176"/>
      <c r="S23" s="176"/>
      <c r="T23" s="176"/>
      <c r="U23" s="176"/>
      <c r="V23" s="176"/>
      <c r="W23" s="176"/>
      <c r="X23" s="176"/>
      <c r="Y23" s="176"/>
      <c r="Z23" s="176"/>
      <c r="AA23" s="176"/>
    </row>
    <row r="24">
      <c r="A24" s="165" t="str">
        <f>iferror(VLOOKUP(P24,'DO NOT TOUCH Imported'!$A$1:$D$800,4,False),iferror(VLOOKUP(P24,'DO NOT TOUCH Imported'!$C$1:$D$800,2,False),"OOPS FIX ME"))</f>
        <v>zeptimusQ</v>
      </c>
      <c r="B24" s="165" t="s">
        <v>441</v>
      </c>
      <c r="C24" s="170" t="s">
        <v>1248</v>
      </c>
      <c r="D24" s="236" t="s">
        <v>437</v>
      </c>
      <c r="E24" s="237">
        <v>44288.0</v>
      </c>
      <c r="F24" s="170" t="s">
        <v>439</v>
      </c>
      <c r="G24" s="219"/>
      <c r="H24" s="171">
        <v>100.0</v>
      </c>
      <c r="I24" s="171">
        <v>100.0</v>
      </c>
      <c r="J24" s="172">
        <f t="shared" si="2"/>
        <v>0.001436335405</v>
      </c>
      <c r="K24" s="173">
        <f t="shared" si="3"/>
        <v>1.651785716</v>
      </c>
      <c r="L24" s="174">
        <f t="shared" si="4"/>
        <v>51.03442555</v>
      </c>
      <c r="M24" s="175" t="str">
        <f t="shared" si="5"/>
        <v>zeptimusQ</v>
      </c>
      <c r="N24" s="176">
        <f>IFERROR(__xludf.DUMMYFUNCTION("""COMPUTED_VALUE"""),21.0)</f>
        <v>21</v>
      </c>
      <c r="O24" s="176"/>
      <c r="P24" s="165" t="s">
        <v>440</v>
      </c>
      <c r="Q24" s="165" t="s">
        <v>441</v>
      </c>
      <c r="R24" s="176"/>
      <c r="S24" s="176"/>
      <c r="T24" s="176"/>
      <c r="U24" s="176"/>
      <c r="V24" s="176"/>
      <c r="W24" s="176"/>
      <c r="X24" s="176"/>
      <c r="Y24" s="176"/>
      <c r="Z24" s="176"/>
      <c r="AA24" s="176"/>
    </row>
    <row r="25">
      <c r="A25" s="165" t="str">
        <f>iferror(VLOOKUP(P25,'DO NOT TOUCH Imported'!$A$1:$D$800,4,False),iferror(VLOOKUP(P25,'DO NOT TOUCH Imported'!$C$1:$D$800,2,False),"OOPS FIX ME"))</f>
        <v>zeptimusQ</v>
      </c>
      <c r="B25" s="165" t="s">
        <v>441</v>
      </c>
      <c r="C25" s="170" t="s">
        <v>1249</v>
      </c>
      <c r="D25" s="236" t="s">
        <v>437</v>
      </c>
      <c r="E25" s="237">
        <v>44288.0</v>
      </c>
      <c r="F25" s="170" t="s">
        <v>439</v>
      </c>
      <c r="G25" s="219"/>
      <c r="H25" s="171">
        <v>100.0</v>
      </c>
      <c r="I25" s="171">
        <v>100.0</v>
      </c>
      <c r="J25" s="172">
        <f t="shared" si="2"/>
        <v>0.001436335405</v>
      </c>
      <c r="K25" s="173">
        <f t="shared" si="3"/>
        <v>1.651785716</v>
      </c>
      <c r="L25" s="174">
        <f t="shared" si="4"/>
        <v>51.03442555</v>
      </c>
      <c r="M25" s="175" t="str">
        <f t="shared" si="5"/>
        <v>zeptimusQ</v>
      </c>
      <c r="N25" s="176">
        <f>IFERROR(__xludf.DUMMYFUNCTION("""COMPUTED_VALUE"""),22.0)</f>
        <v>22</v>
      </c>
      <c r="O25" s="176"/>
      <c r="P25" s="165" t="s">
        <v>440</v>
      </c>
      <c r="Q25" s="165" t="s">
        <v>441</v>
      </c>
      <c r="R25" s="176"/>
      <c r="S25" s="176"/>
      <c r="T25" s="176"/>
      <c r="U25" s="176"/>
      <c r="V25" s="176"/>
      <c r="W25" s="176"/>
      <c r="X25" s="176"/>
      <c r="Y25" s="176"/>
      <c r="Z25" s="176"/>
      <c r="AA25" s="176"/>
    </row>
    <row r="26">
      <c r="A26" s="165" t="str">
        <f>iferror(VLOOKUP(P26,'DO NOT TOUCH Imported'!$A$1:$D$800,4,False),iferror(VLOOKUP(P26,'DO NOT TOUCH Imported'!$C$1:$D$800,2,False),"OOPS FIX ME"))</f>
        <v>zeptimusQ</v>
      </c>
      <c r="B26" s="165" t="s">
        <v>441</v>
      </c>
      <c r="C26" s="170" t="s">
        <v>1250</v>
      </c>
      <c r="D26" s="236" t="s">
        <v>437</v>
      </c>
      <c r="E26" s="237">
        <v>44288.0</v>
      </c>
      <c r="F26" s="170" t="s">
        <v>439</v>
      </c>
      <c r="G26" s="219"/>
      <c r="H26" s="171">
        <v>40.0</v>
      </c>
      <c r="I26" s="171">
        <v>50.0</v>
      </c>
      <c r="J26" s="172">
        <f t="shared" si="2"/>
        <v>0.0006458506648</v>
      </c>
      <c r="K26" s="173">
        <f t="shared" si="3"/>
        <v>0.7427282645</v>
      </c>
      <c r="L26" s="174">
        <f t="shared" si="4"/>
        <v>51.03442555</v>
      </c>
      <c r="M26" s="175" t="str">
        <f t="shared" si="5"/>
        <v>zeptimusQ</v>
      </c>
      <c r="N26" s="176">
        <f>IFERROR(__xludf.DUMMYFUNCTION("""COMPUTED_VALUE"""),23.0)</f>
        <v>23</v>
      </c>
      <c r="O26" s="176"/>
      <c r="P26" s="165" t="s">
        <v>440</v>
      </c>
      <c r="Q26" s="165" t="s">
        <v>441</v>
      </c>
      <c r="R26" s="176"/>
      <c r="S26" s="176"/>
      <c r="T26" s="176"/>
      <c r="U26" s="176"/>
      <c r="V26" s="176"/>
      <c r="W26" s="176"/>
      <c r="X26" s="176"/>
      <c r="Y26" s="176"/>
      <c r="Z26" s="176"/>
      <c r="AA26" s="176"/>
    </row>
    <row r="27">
      <c r="A27" s="165" t="str">
        <f>iferror(VLOOKUP(P27,'DO NOT TOUCH Imported'!$A$1:$D$800,4,False),iferror(VLOOKUP(P27,'DO NOT TOUCH Imported'!$C$1:$D$800,2,False),"OOPS FIX ME"))</f>
        <v>zeptimusQ</v>
      </c>
      <c r="B27" s="165" t="s">
        <v>441</v>
      </c>
      <c r="C27" s="170" t="s">
        <v>1251</v>
      </c>
      <c r="D27" s="236" t="s">
        <v>437</v>
      </c>
      <c r="E27" s="237">
        <v>44291.0</v>
      </c>
      <c r="F27" s="170" t="s">
        <v>439</v>
      </c>
      <c r="G27" s="219"/>
      <c r="H27" s="171">
        <v>70.0</v>
      </c>
      <c r="I27" s="171">
        <v>50.0</v>
      </c>
      <c r="J27" s="172">
        <f t="shared" si="2"/>
        <v>0.0008628017785</v>
      </c>
      <c r="K27" s="173">
        <f t="shared" si="3"/>
        <v>0.9922220452</v>
      </c>
      <c r="L27" s="174">
        <f t="shared" si="4"/>
        <v>51.03442555</v>
      </c>
      <c r="M27" s="175" t="str">
        <f t="shared" si="5"/>
        <v>zeptimusQ</v>
      </c>
      <c r="N27" s="176">
        <f>IFERROR(__xludf.DUMMYFUNCTION("""COMPUTED_VALUE"""),24.0)</f>
        <v>24</v>
      </c>
      <c r="O27" s="176"/>
      <c r="P27" s="165" t="s">
        <v>440</v>
      </c>
      <c r="Q27" s="165" t="s">
        <v>441</v>
      </c>
      <c r="R27" s="176"/>
      <c r="S27" s="176"/>
      <c r="T27" s="176"/>
      <c r="U27" s="176"/>
      <c r="V27" s="176"/>
      <c r="W27" s="176"/>
      <c r="X27" s="176"/>
      <c r="Y27" s="176"/>
      <c r="Z27" s="176"/>
      <c r="AA27" s="176"/>
    </row>
    <row r="28">
      <c r="A28" s="165" t="str">
        <f>iferror(VLOOKUP(P28,'DO NOT TOUCH Imported'!$A$1:$D$800,4,False),iferror(VLOOKUP(P28,'DO NOT TOUCH Imported'!$C$1:$D$800,2,False),"OOPS FIX ME"))</f>
        <v>zeptimusQ</v>
      </c>
      <c r="B28" s="165" t="s">
        <v>443</v>
      </c>
      <c r="C28" s="170" t="s">
        <v>1252</v>
      </c>
      <c r="D28" s="236" t="s">
        <v>437</v>
      </c>
      <c r="E28" s="237">
        <v>44291.0</v>
      </c>
      <c r="F28" s="170" t="s">
        <v>439</v>
      </c>
      <c r="G28" s="219"/>
      <c r="H28" s="171">
        <v>100.0</v>
      </c>
      <c r="I28" s="171">
        <v>80.0</v>
      </c>
      <c r="J28" s="172">
        <f t="shared" si="2"/>
        <v>0.0012937024</v>
      </c>
      <c r="K28" s="173">
        <f t="shared" si="3"/>
        <v>1.48775776</v>
      </c>
      <c r="L28" s="174">
        <f t="shared" si="4"/>
        <v>51.03442555</v>
      </c>
      <c r="M28" s="175" t="str">
        <f t="shared" si="5"/>
        <v>zeptimusQ</v>
      </c>
      <c r="N28" s="176">
        <f>IFERROR(__xludf.DUMMYFUNCTION("""COMPUTED_VALUE"""),25.0)</f>
        <v>25</v>
      </c>
      <c r="O28" s="176"/>
      <c r="P28" s="165" t="s">
        <v>440</v>
      </c>
      <c r="Q28" s="165" t="s">
        <v>443</v>
      </c>
      <c r="R28" s="176"/>
      <c r="S28" s="176"/>
      <c r="T28" s="176"/>
      <c r="U28" s="176"/>
      <c r="V28" s="176"/>
      <c r="W28" s="176"/>
      <c r="X28" s="176"/>
      <c r="Y28" s="176"/>
      <c r="Z28" s="176"/>
      <c r="AA28" s="176"/>
    </row>
    <row r="29">
      <c r="A29" s="165" t="str">
        <f>iferror(VLOOKUP(P29,'DO NOT TOUCH Imported'!$A$1:$D$800,4,False),iferror(VLOOKUP(P29,'DO NOT TOUCH Imported'!$C$1:$D$800,2,False),"OOPS FIX ME"))</f>
        <v>zeptimusQ</v>
      </c>
      <c r="B29" s="165" t="s">
        <v>440</v>
      </c>
      <c r="C29" s="170" t="s">
        <v>1253</v>
      </c>
      <c r="D29" s="236" t="s">
        <v>437</v>
      </c>
      <c r="E29" s="237">
        <v>44291.0</v>
      </c>
      <c r="F29" s="170" t="s">
        <v>439</v>
      </c>
      <c r="G29" s="219"/>
      <c r="H29" s="171">
        <v>50.0</v>
      </c>
      <c r="I29" s="171">
        <v>50.0</v>
      </c>
      <c r="J29" s="172">
        <f t="shared" si="2"/>
        <v>0.0007181677027</v>
      </c>
      <c r="K29" s="173">
        <f t="shared" si="3"/>
        <v>0.8258928581</v>
      </c>
      <c r="L29" s="174">
        <f t="shared" si="4"/>
        <v>51.03442555</v>
      </c>
      <c r="M29" s="175" t="str">
        <f t="shared" si="5"/>
        <v>zeptimusQ</v>
      </c>
      <c r="N29" s="176">
        <f>IFERROR(__xludf.DUMMYFUNCTION("""COMPUTED_VALUE"""),26.0)</f>
        <v>26</v>
      </c>
      <c r="O29" s="176"/>
      <c r="P29" s="165" t="s">
        <v>440</v>
      </c>
      <c r="Q29" s="165" t="s">
        <v>440</v>
      </c>
      <c r="R29" s="176"/>
      <c r="S29" s="176"/>
      <c r="T29" s="176"/>
      <c r="U29" s="176"/>
      <c r="V29" s="176"/>
      <c r="W29" s="176"/>
      <c r="X29" s="176"/>
      <c r="Y29" s="176"/>
      <c r="Z29" s="176"/>
      <c r="AA29" s="176"/>
    </row>
    <row r="30">
      <c r="A30" s="165" t="str">
        <f>iferror(VLOOKUP(P30,'DO NOT TOUCH Imported'!$A$1:$D$800,4,False),iferror(VLOOKUP(P30,'DO NOT TOUCH Imported'!$C$1:$D$800,2,False),"OOPS FIX ME"))</f>
        <v>zeptimusQ</v>
      </c>
      <c r="B30" s="165" t="s">
        <v>486</v>
      </c>
      <c r="C30" s="170" t="s">
        <v>1254</v>
      </c>
      <c r="D30" s="236" t="s">
        <v>437</v>
      </c>
      <c r="E30" s="237">
        <v>44292.0</v>
      </c>
      <c r="F30" s="170" t="s">
        <v>439</v>
      </c>
      <c r="G30" s="219"/>
      <c r="H30" s="171">
        <v>50.0</v>
      </c>
      <c r="I30" s="171">
        <v>50.0</v>
      </c>
      <c r="J30" s="172">
        <f t="shared" si="2"/>
        <v>0.0007181677027</v>
      </c>
      <c r="K30" s="173">
        <f t="shared" si="3"/>
        <v>0.8258928581</v>
      </c>
      <c r="L30" s="174">
        <f t="shared" si="4"/>
        <v>51.03442555</v>
      </c>
      <c r="M30" s="175" t="str">
        <f t="shared" si="5"/>
        <v>zeptimusQ</v>
      </c>
      <c r="N30" s="176">
        <f>IFERROR(__xludf.DUMMYFUNCTION("""COMPUTED_VALUE"""),27.0)</f>
        <v>27</v>
      </c>
      <c r="O30" s="176"/>
      <c r="P30" s="165" t="s">
        <v>440</v>
      </c>
      <c r="Q30" s="165" t="s">
        <v>486</v>
      </c>
      <c r="R30" s="176"/>
      <c r="S30" s="176"/>
      <c r="T30" s="176"/>
      <c r="U30" s="176"/>
      <c r="V30" s="176"/>
      <c r="W30" s="176"/>
      <c r="X30" s="176"/>
      <c r="Y30" s="176"/>
      <c r="Z30" s="176"/>
      <c r="AA30" s="176"/>
    </row>
    <row r="31">
      <c r="A31" s="165" t="str">
        <f>iferror(VLOOKUP(P31,'DO NOT TOUCH Imported'!$A$1:$D$800,4,False),iferror(VLOOKUP(P31,'DO NOT TOUCH Imported'!$C$1:$D$800,2,False),"OOPS FIX ME"))</f>
        <v>zeptimusQ</v>
      </c>
      <c r="B31" s="165" t="s">
        <v>443</v>
      </c>
      <c r="C31" s="170" t="s">
        <v>1255</v>
      </c>
      <c r="D31" s="236" t="s">
        <v>437</v>
      </c>
      <c r="E31" s="237">
        <v>44292.0</v>
      </c>
      <c r="F31" s="170" t="s">
        <v>439</v>
      </c>
      <c r="G31" s="219"/>
      <c r="H31" s="171">
        <v>80.0</v>
      </c>
      <c r="I31" s="171">
        <v>100.0</v>
      </c>
      <c r="J31" s="172">
        <f t="shared" si="2"/>
        <v>0.00129170133</v>
      </c>
      <c r="K31" s="173">
        <f t="shared" si="3"/>
        <v>1.485456529</v>
      </c>
      <c r="L31" s="174">
        <f t="shared" si="4"/>
        <v>51.03442555</v>
      </c>
      <c r="M31" s="175" t="str">
        <f t="shared" si="5"/>
        <v>zeptimusQ</v>
      </c>
      <c r="N31" s="176">
        <f>IFERROR(__xludf.DUMMYFUNCTION("""COMPUTED_VALUE"""),28.0)</f>
        <v>28</v>
      </c>
      <c r="O31" s="176"/>
      <c r="P31" s="165" t="s">
        <v>440</v>
      </c>
      <c r="Q31" s="165" t="s">
        <v>443</v>
      </c>
      <c r="R31" s="176"/>
      <c r="S31" s="176"/>
      <c r="T31" s="176"/>
      <c r="U31" s="176"/>
      <c r="V31" s="176"/>
      <c r="W31" s="176"/>
      <c r="X31" s="176"/>
      <c r="Y31" s="176"/>
      <c r="Z31" s="176"/>
      <c r="AA31" s="176"/>
    </row>
    <row r="32">
      <c r="A32" s="165" t="str">
        <f>iferror(VLOOKUP(P32,'DO NOT TOUCH Imported'!$A$1:$D$800,4,False),iferror(VLOOKUP(P32,'DO NOT TOUCH Imported'!$C$1:$D$800,2,False),"OOPS FIX ME"))</f>
        <v>zeptimusQ</v>
      </c>
      <c r="B32" s="165" t="s">
        <v>782</v>
      </c>
      <c r="C32" s="170" t="s">
        <v>1256</v>
      </c>
      <c r="D32" s="236" t="s">
        <v>437</v>
      </c>
      <c r="E32" s="237">
        <v>44292.0</v>
      </c>
      <c r="F32" s="170" t="s">
        <v>439</v>
      </c>
      <c r="G32" s="219"/>
      <c r="H32" s="171">
        <v>80.0</v>
      </c>
      <c r="I32" s="171">
        <v>100.0</v>
      </c>
      <c r="J32" s="172">
        <f t="shared" si="2"/>
        <v>0.00129170133</v>
      </c>
      <c r="K32" s="173">
        <f t="shared" si="3"/>
        <v>1.485456529</v>
      </c>
      <c r="L32" s="174">
        <f t="shared" si="4"/>
        <v>51.03442555</v>
      </c>
      <c r="M32" s="175" t="str">
        <f t="shared" si="5"/>
        <v>zeptimusQ</v>
      </c>
      <c r="N32" s="176">
        <f>IFERROR(__xludf.DUMMYFUNCTION("""COMPUTED_VALUE"""),29.0)</f>
        <v>29</v>
      </c>
      <c r="O32" s="176"/>
      <c r="P32" s="165" t="s">
        <v>440</v>
      </c>
      <c r="Q32" s="165" t="s">
        <v>782</v>
      </c>
      <c r="R32" s="176"/>
      <c r="S32" s="176"/>
      <c r="T32" s="176"/>
      <c r="U32" s="176"/>
      <c r="V32" s="176"/>
      <c r="W32" s="176"/>
      <c r="X32" s="176"/>
      <c r="Y32" s="176"/>
      <c r="Z32" s="176"/>
      <c r="AA32" s="176"/>
    </row>
    <row r="33">
      <c r="A33" s="165" t="str">
        <f>iferror(VLOOKUP(P33,'DO NOT TOUCH Imported'!$A$1:$D$800,4,False),iferror(VLOOKUP(P33,'DO NOT TOUCH Imported'!$C$1:$D$800,2,False),"OOPS FIX ME"))</f>
        <v>zeptimusQ</v>
      </c>
      <c r="B33" s="165" t="s">
        <v>440</v>
      </c>
      <c r="C33" s="170" t="s">
        <v>1257</v>
      </c>
      <c r="D33" s="236" t="s">
        <v>437</v>
      </c>
      <c r="E33" s="237">
        <v>44292.0</v>
      </c>
      <c r="F33" s="170" t="s">
        <v>439</v>
      </c>
      <c r="G33" s="219"/>
      <c r="H33" s="171">
        <v>70.0</v>
      </c>
      <c r="I33" s="171">
        <v>50.0</v>
      </c>
      <c r="J33" s="172">
        <f t="shared" si="2"/>
        <v>0.0008628017785</v>
      </c>
      <c r="K33" s="173">
        <f t="shared" si="3"/>
        <v>0.9922220452</v>
      </c>
      <c r="L33" s="174">
        <f t="shared" si="4"/>
        <v>51.03442555</v>
      </c>
      <c r="M33" s="175" t="str">
        <f t="shared" si="5"/>
        <v>zeptimusQ</v>
      </c>
      <c r="N33" s="176">
        <f>IFERROR(__xludf.DUMMYFUNCTION("""COMPUTED_VALUE"""),30.0)</f>
        <v>30</v>
      </c>
      <c r="O33" s="176"/>
      <c r="P33" s="165" t="s">
        <v>440</v>
      </c>
      <c r="Q33" s="165" t="s">
        <v>440</v>
      </c>
      <c r="R33" s="176"/>
      <c r="S33" s="176"/>
      <c r="T33" s="176"/>
      <c r="U33" s="176"/>
      <c r="V33" s="176"/>
      <c r="W33" s="176"/>
      <c r="X33" s="176"/>
      <c r="Y33" s="176"/>
      <c r="Z33" s="176"/>
      <c r="AA33" s="176"/>
    </row>
    <row r="34">
      <c r="A34" s="165" t="str">
        <f>iferror(VLOOKUP(P34,'DO NOT TOUCH Imported'!$A$1:$D$800,4,False),iferror(VLOOKUP(P34,'DO NOT TOUCH Imported'!$C$1:$D$800,2,False),"OOPS FIX ME"))</f>
        <v>zeptimusQ</v>
      </c>
      <c r="B34" s="165" t="s">
        <v>441</v>
      </c>
      <c r="C34" s="170" t="s">
        <v>1258</v>
      </c>
      <c r="D34" s="236" t="s">
        <v>437</v>
      </c>
      <c r="E34" s="237">
        <v>44293.0</v>
      </c>
      <c r="F34" s="170" t="s">
        <v>439</v>
      </c>
      <c r="G34" s="219"/>
      <c r="H34" s="171">
        <v>70.0</v>
      </c>
      <c r="I34" s="171">
        <v>50.0</v>
      </c>
      <c r="J34" s="172">
        <f t="shared" si="2"/>
        <v>0.0008628017785</v>
      </c>
      <c r="K34" s="173">
        <f t="shared" si="3"/>
        <v>0.9922220452</v>
      </c>
      <c r="L34" s="174">
        <f t="shared" si="4"/>
        <v>51.03442555</v>
      </c>
      <c r="M34" s="175" t="str">
        <f t="shared" si="5"/>
        <v>zeptimusQ</v>
      </c>
      <c r="N34" s="176">
        <f>IFERROR(__xludf.DUMMYFUNCTION("""COMPUTED_VALUE"""),31.0)</f>
        <v>31</v>
      </c>
      <c r="O34" s="176"/>
      <c r="P34" s="165" t="s">
        <v>440</v>
      </c>
      <c r="Q34" s="165" t="s">
        <v>441</v>
      </c>
      <c r="R34" s="176"/>
      <c r="S34" s="176"/>
      <c r="T34" s="176"/>
      <c r="U34" s="176"/>
      <c r="V34" s="176"/>
      <c r="W34" s="176"/>
      <c r="X34" s="176"/>
      <c r="Y34" s="176"/>
      <c r="Z34" s="176"/>
      <c r="AA34" s="176"/>
    </row>
    <row r="35">
      <c r="A35" s="165" t="str">
        <f>iferror(VLOOKUP(P35,'DO NOT TOUCH Imported'!$A$1:$D$800,4,False),iferror(VLOOKUP(P35,'DO NOT TOUCH Imported'!$C$1:$D$800,2,False),"OOPS FIX ME"))</f>
        <v>zeptimusQ</v>
      </c>
      <c r="B35" s="165" t="s">
        <v>486</v>
      </c>
      <c r="C35" s="170" t="s">
        <v>1259</v>
      </c>
      <c r="D35" s="236" t="s">
        <v>437</v>
      </c>
      <c r="E35" s="237">
        <v>44293.0</v>
      </c>
      <c r="F35" s="170" t="s">
        <v>439</v>
      </c>
      <c r="G35" s="219"/>
      <c r="H35" s="171">
        <v>100.0</v>
      </c>
      <c r="I35" s="171">
        <v>100.0</v>
      </c>
      <c r="J35" s="172">
        <f t="shared" si="2"/>
        <v>0.001436335405</v>
      </c>
      <c r="K35" s="173">
        <f t="shared" si="3"/>
        <v>1.651785716</v>
      </c>
      <c r="L35" s="174">
        <f t="shared" si="4"/>
        <v>51.03442555</v>
      </c>
      <c r="M35" s="175" t="str">
        <f t="shared" si="5"/>
        <v>zeptimusQ</v>
      </c>
      <c r="N35" s="176">
        <f>IFERROR(__xludf.DUMMYFUNCTION("""COMPUTED_VALUE"""),32.0)</f>
        <v>32</v>
      </c>
      <c r="O35" s="176"/>
      <c r="P35" s="165" t="s">
        <v>440</v>
      </c>
      <c r="Q35" s="165" t="s">
        <v>486</v>
      </c>
      <c r="R35" s="176"/>
      <c r="S35" s="176"/>
      <c r="T35" s="176"/>
      <c r="U35" s="176"/>
      <c r="V35" s="176"/>
      <c r="W35" s="176"/>
      <c r="X35" s="176"/>
      <c r="Y35" s="176"/>
      <c r="Z35" s="176"/>
      <c r="AA35" s="176"/>
    </row>
    <row r="36">
      <c r="A36" s="165" t="str">
        <f>iferror(VLOOKUP(P36,'DO NOT TOUCH Imported'!$A$1:$D$800,4,False),iferror(VLOOKUP(P36,'DO NOT TOUCH Imported'!$C$1:$D$800,2,False),"OOPS FIX ME"))</f>
        <v>zeptimusQ</v>
      </c>
      <c r="B36" s="165" t="s">
        <v>440</v>
      </c>
      <c r="C36" s="170" t="s">
        <v>1260</v>
      </c>
      <c r="D36" s="236" t="s">
        <v>437</v>
      </c>
      <c r="E36" s="237">
        <v>44293.0</v>
      </c>
      <c r="F36" s="170" t="s">
        <v>439</v>
      </c>
      <c r="G36" s="219"/>
      <c r="H36" s="171">
        <v>70.0</v>
      </c>
      <c r="I36" s="171">
        <v>50.0</v>
      </c>
      <c r="J36" s="172">
        <f t="shared" si="2"/>
        <v>0.0008628017785</v>
      </c>
      <c r="K36" s="173">
        <f t="shared" si="3"/>
        <v>0.9922220452</v>
      </c>
      <c r="L36" s="174">
        <f t="shared" si="4"/>
        <v>51.03442555</v>
      </c>
      <c r="M36" s="175" t="str">
        <f t="shared" si="5"/>
        <v>zeptimusQ</v>
      </c>
      <c r="N36" s="176">
        <f>IFERROR(__xludf.DUMMYFUNCTION("""COMPUTED_VALUE"""),33.0)</f>
        <v>33</v>
      </c>
      <c r="O36" s="176"/>
      <c r="P36" s="165" t="s">
        <v>440</v>
      </c>
      <c r="Q36" s="165" t="s">
        <v>440</v>
      </c>
      <c r="R36" s="176"/>
      <c r="S36" s="176"/>
      <c r="T36" s="176"/>
      <c r="U36" s="176"/>
      <c r="V36" s="176"/>
      <c r="W36" s="176"/>
      <c r="X36" s="176"/>
      <c r="Y36" s="176"/>
      <c r="Z36" s="176"/>
      <c r="AA36" s="176"/>
    </row>
    <row r="37">
      <c r="A37" s="165" t="str">
        <f>iferror(VLOOKUP(P37,'DO NOT TOUCH Imported'!$A$1:$D$800,4,False),iferror(VLOOKUP(P37,'DO NOT TOUCH Imported'!$C$1:$D$800,2,False),"OOPS FIX ME"))</f>
        <v>zeptimusQ</v>
      </c>
      <c r="B37" s="165" t="s">
        <v>440</v>
      </c>
      <c r="C37" s="170" t="s">
        <v>1261</v>
      </c>
      <c r="D37" s="236" t="s">
        <v>437</v>
      </c>
      <c r="E37" s="237">
        <v>44293.0</v>
      </c>
      <c r="F37" s="170" t="s">
        <v>439</v>
      </c>
      <c r="G37" s="219"/>
      <c r="H37" s="171">
        <v>70.0</v>
      </c>
      <c r="I37" s="171">
        <v>50.0</v>
      </c>
      <c r="J37" s="172">
        <f t="shared" si="2"/>
        <v>0.0008628017785</v>
      </c>
      <c r="K37" s="173">
        <f t="shared" si="3"/>
        <v>0.9922220452</v>
      </c>
      <c r="L37" s="174">
        <f t="shared" si="4"/>
        <v>51.03442555</v>
      </c>
      <c r="M37" s="175" t="str">
        <f t="shared" si="5"/>
        <v>zeptimusQ</v>
      </c>
      <c r="N37" s="176">
        <f>IFERROR(__xludf.DUMMYFUNCTION("""COMPUTED_VALUE"""),34.0)</f>
        <v>34</v>
      </c>
      <c r="O37" s="176"/>
      <c r="P37" s="165" t="s">
        <v>440</v>
      </c>
      <c r="Q37" s="165" t="s">
        <v>440</v>
      </c>
      <c r="R37" s="176"/>
      <c r="S37" s="176"/>
      <c r="T37" s="176"/>
      <c r="U37" s="176"/>
      <c r="V37" s="176"/>
      <c r="W37" s="176"/>
      <c r="X37" s="176"/>
      <c r="Y37" s="176"/>
      <c r="Z37" s="176"/>
      <c r="AA37" s="176"/>
    </row>
    <row r="38">
      <c r="A38" s="165" t="str">
        <f>iferror(VLOOKUP(P38,'DO NOT TOUCH Imported'!$A$1:$D$800,4,False),iferror(VLOOKUP(P38,'DO NOT TOUCH Imported'!$C$1:$D$800,2,False),"OOPS FIX ME"))</f>
        <v>zeptimusQ</v>
      </c>
      <c r="B38" s="165" t="s">
        <v>441</v>
      </c>
      <c r="C38" s="170" t="s">
        <v>1262</v>
      </c>
      <c r="D38" s="236" t="s">
        <v>437</v>
      </c>
      <c r="E38" s="237">
        <v>44295.0</v>
      </c>
      <c r="F38" s="170" t="s">
        <v>439</v>
      </c>
      <c r="G38" s="219"/>
      <c r="H38" s="171">
        <v>100.0</v>
      </c>
      <c r="I38" s="171">
        <v>200.0</v>
      </c>
      <c r="J38" s="172">
        <f t="shared" si="2"/>
        <v>0.002149500432</v>
      </c>
      <c r="K38" s="173">
        <f t="shared" si="3"/>
        <v>2.471925496</v>
      </c>
      <c r="L38" s="174">
        <f t="shared" si="4"/>
        <v>51.03442555</v>
      </c>
      <c r="M38" s="175" t="str">
        <f t="shared" si="5"/>
        <v>zeptimusQ</v>
      </c>
      <c r="N38" s="176">
        <f>IFERROR(__xludf.DUMMYFUNCTION("""COMPUTED_VALUE"""),35.0)</f>
        <v>35</v>
      </c>
      <c r="O38" s="176"/>
      <c r="P38" s="165" t="s">
        <v>440</v>
      </c>
      <c r="Q38" s="165" t="s">
        <v>441</v>
      </c>
      <c r="R38" s="176"/>
      <c r="S38" s="176"/>
      <c r="T38" s="176"/>
      <c r="U38" s="176"/>
      <c r="V38" s="176"/>
      <c r="W38" s="176"/>
      <c r="X38" s="176"/>
      <c r="Y38" s="176"/>
      <c r="Z38" s="176"/>
      <c r="AA38" s="176"/>
    </row>
    <row r="39">
      <c r="A39" s="165" t="str">
        <f>iferror(VLOOKUP(P39,'DO NOT TOUCH Imported'!$A$1:$D$800,4,False),iferror(VLOOKUP(P39,'DO NOT TOUCH Imported'!$C$1:$D$800,2,False),"OOPS FIX ME"))</f>
        <v>zeptimusQ</v>
      </c>
      <c r="B39" s="165" t="s">
        <v>441</v>
      </c>
      <c r="C39" s="170" t="s">
        <v>1263</v>
      </c>
      <c r="D39" s="236" t="s">
        <v>437</v>
      </c>
      <c r="E39" s="237">
        <v>44295.0</v>
      </c>
      <c r="F39" s="170" t="s">
        <v>439</v>
      </c>
      <c r="G39" s="219"/>
      <c r="H39" s="171">
        <v>100.0</v>
      </c>
      <c r="I39" s="171">
        <v>100.0</v>
      </c>
      <c r="J39" s="172">
        <f t="shared" si="2"/>
        <v>0.001436335405</v>
      </c>
      <c r="K39" s="173">
        <f t="shared" si="3"/>
        <v>1.651785716</v>
      </c>
      <c r="L39" s="174">
        <f t="shared" si="4"/>
        <v>51.03442555</v>
      </c>
      <c r="M39" s="175" t="str">
        <f t="shared" si="5"/>
        <v>zeptimusQ</v>
      </c>
      <c r="N39" s="176">
        <f>IFERROR(__xludf.DUMMYFUNCTION("""COMPUTED_VALUE"""),36.0)</f>
        <v>36</v>
      </c>
      <c r="O39" s="176"/>
      <c r="P39" s="165" t="s">
        <v>440</v>
      </c>
      <c r="Q39" s="165" t="s">
        <v>441</v>
      </c>
      <c r="R39" s="176"/>
      <c r="S39" s="176"/>
      <c r="T39" s="176"/>
      <c r="U39" s="176"/>
      <c r="V39" s="176"/>
      <c r="W39" s="176"/>
      <c r="X39" s="176"/>
      <c r="Y39" s="176"/>
      <c r="Z39" s="176"/>
      <c r="AA39" s="176"/>
    </row>
    <row r="40">
      <c r="A40" s="165" t="str">
        <f>iferror(VLOOKUP(P40,'DO NOT TOUCH Imported'!$A$1:$D$800,4,False),iferror(VLOOKUP(P40,'DO NOT TOUCH Imported'!$C$1:$D$800,2,False),"OOPS FIX ME"))</f>
        <v>zeptimusQ</v>
      </c>
      <c r="B40" s="165" t="s">
        <v>441</v>
      </c>
      <c r="C40" s="170" t="s">
        <v>1264</v>
      </c>
      <c r="D40" s="236" t="s">
        <v>437</v>
      </c>
      <c r="E40" s="237">
        <v>44295.0</v>
      </c>
      <c r="F40" s="170" t="s">
        <v>439</v>
      </c>
      <c r="G40" s="219"/>
      <c r="H40" s="171">
        <v>100.0</v>
      </c>
      <c r="I40" s="171">
        <v>80.0</v>
      </c>
      <c r="J40" s="172">
        <f t="shared" si="2"/>
        <v>0.0012937024</v>
      </c>
      <c r="K40" s="173">
        <f t="shared" si="3"/>
        <v>1.48775776</v>
      </c>
      <c r="L40" s="174">
        <f t="shared" si="4"/>
        <v>51.03442555</v>
      </c>
      <c r="M40" s="175" t="str">
        <f t="shared" si="5"/>
        <v>zeptimusQ</v>
      </c>
      <c r="N40" s="176">
        <f>IFERROR(__xludf.DUMMYFUNCTION("""COMPUTED_VALUE"""),37.0)</f>
        <v>37</v>
      </c>
      <c r="O40" s="176"/>
      <c r="P40" s="165" t="s">
        <v>440</v>
      </c>
      <c r="Q40" s="165" t="s">
        <v>441</v>
      </c>
      <c r="R40" s="176"/>
      <c r="S40" s="176"/>
      <c r="T40" s="176"/>
      <c r="U40" s="176"/>
      <c r="V40" s="176"/>
      <c r="W40" s="176"/>
      <c r="X40" s="176"/>
      <c r="Y40" s="176"/>
      <c r="Z40" s="176"/>
      <c r="AA40" s="176"/>
    </row>
    <row r="41">
      <c r="A41" s="165" t="str">
        <f>iferror(VLOOKUP(P41,'DO NOT TOUCH Imported'!$A$1:$D$800,4,False),iferror(VLOOKUP(P41,'DO NOT TOUCH Imported'!$C$1:$D$800,2,False),"OOPS FIX ME"))</f>
        <v>zeptimusQ</v>
      </c>
      <c r="B41" s="165" t="s">
        <v>441</v>
      </c>
      <c r="C41" s="170" t="s">
        <v>1265</v>
      </c>
      <c r="D41" s="236" t="s">
        <v>437</v>
      </c>
      <c r="E41" s="237">
        <v>44295.0</v>
      </c>
      <c r="F41" s="170" t="s">
        <v>439</v>
      </c>
      <c r="G41" s="219"/>
      <c r="H41" s="171">
        <v>100.0</v>
      </c>
      <c r="I41" s="171">
        <v>100.0</v>
      </c>
      <c r="J41" s="172">
        <f t="shared" si="2"/>
        <v>0.001436335405</v>
      </c>
      <c r="K41" s="173">
        <f t="shared" si="3"/>
        <v>1.651785716</v>
      </c>
      <c r="L41" s="174">
        <f t="shared" si="4"/>
        <v>51.03442555</v>
      </c>
      <c r="M41" s="175" t="str">
        <f t="shared" si="5"/>
        <v>zeptimusQ</v>
      </c>
      <c r="N41" s="176">
        <f>IFERROR(__xludf.DUMMYFUNCTION("""COMPUTED_VALUE"""),38.0)</f>
        <v>38</v>
      </c>
      <c r="O41" s="176"/>
      <c r="P41" s="165" t="s">
        <v>440</v>
      </c>
      <c r="Q41" s="165" t="s">
        <v>441</v>
      </c>
      <c r="R41" s="176"/>
      <c r="S41" s="176"/>
      <c r="T41" s="176"/>
      <c r="U41" s="176"/>
      <c r="V41" s="176"/>
      <c r="W41" s="176"/>
      <c r="X41" s="176"/>
      <c r="Y41" s="176"/>
      <c r="Z41" s="176"/>
      <c r="AA41" s="176"/>
    </row>
    <row r="42">
      <c r="A42" s="165" t="str">
        <f>iferror(VLOOKUP(P42,'DO NOT TOUCH Imported'!$A$1:$D$800,4,False),iferror(VLOOKUP(P42,'DO NOT TOUCH Imported'!$C$1:$D$800,2,False),"OOPS FIX ME"))</f>
        <v>zeptimusQ</v>
      </c>
      <c r="B42" s="165" t="s">
        <v>441</v>
      </c>
      <c r="C42" s="170" t="s">
        <v>1266</v>
      </c>
      <c r="D42" s="236" t="s">
        <v>437</v>
      </c>
      <c r="E42" s="237">
        <v>44295.0</v>
      </c>
      <c r="F42" s="170" t="s">
        <v>439</v>
      </c>
      <c r="G42" s="219"/>
      <c r="H42" s="171">
        <v>100.0</v>
      </c>
      <c r="I42" s="171">
        <v>100.0</v>
      </c>
      <c r="J42" s="172">
        <f t="shared" si="2"/>
        <v>0.001436335405</v>
      </c>
      <c r="K42" s="173">
        <f t="shared" si="3"/>
        <v>1.651785716</v>
      </c>
      <c r="L42" s="174">
        <f t="shared" si="4"/>
        <v>51.03442555</v>
      </c>
      <c r="M42" s="175" t="str">
        <f t="shared" si="5"/>
        <v>zeptimusQ</v>
      </c>
      <c r="N42" s="176">
        <f>IFERROR(__xludf.DUMMYFUNCTION("""COMPUTED_VALUE"""),39.0)</f>
        <v>39</v>
      </c>
      <c r="O42" s="176"/>
      <c r="P42" s="165" t="s">
        <v>440</v>
      </c>
      <c r="Q42" s="165" t="s">
        <v>441</v>
      </c>
      <c r="R42" s="176"/>
      <c r="S42" s="176"/>
      <c r="T42" s="176"/>
      <c r="U42" s="176"/>
      <c r="V42" s="176"/>
      <c r="W42" s="176"/>
      <c r="X42" s="176"/>
      <c r="Y42" s="176"/>
      <c r="Z42" s="176"/>
      <c r="AA42" s="176"/>
    </row>
    <row r="43">
      <c r="A43" s="165" t="str">
        <f>iferror(VLOOKUP(P43,'DO NOT TOUCH Imported'!$A$1:$D$800,4,False),iferror(VLOOKUP(P43,'DO NOT TOUCH Imported'!$C$1:$D$800,2,False),"OOPS FIX ME"))</f>
        <v>zeptimusQ</v>
      </c>
      <c r="B43" s="165" t="s">
        <v>441</v>
      </c>
      <c r="C43" s="170" t="s">
        <v>1267</v>
      </c>
      <c r="D43" s="236" t="s">
        <v>437</v>
      </c>
      <c r="E43" s="237">
        <v>44295.0</v>
      </c>
      <c r="F43" s="170" t="s">
        <v>439</v>
      </c>
      <c r="G43" s="219"/>
      <c r="H43" s="171">
        <v>50.0</v>
      </c>
      <c r="I43" s="171">
        <v>50.0</v>
      </c>
      <c r="J43" s="172">
        <f t="shared" si="2"/>
        <v>0.0007181677027</v>
      </c>
      <c r="K43" s="173">
        <f t="shared" si="3"/>
        <v>0.8258928581</v>
      </c>
      <c r="L43" s="174">
        <f t="shared" si="4"/>
        <v>51.03442555</v>
      </c>
      <c r="M43" s="175" t="str">
        <f t="shared" si="5"/>
        <v>zeptimusQ</v>
      </c>
      <c r="N43" s="176">
        <f>IFERROR(__xludf.DUMMYFUNCTION("""COMPUTED_VALUE"""),40.0)</f>
        <v>40</v>
      </c>
      <c r="O43" s="176"/>
      <c r="P43" s="165" t="s">
        <v>440</v>
      </c>
      <c r="Q43" s="165" t="s">
        <v>441</v>
      </c>
      <c r="R43" s="176"/>
      <c r="S43" s="176"/>
      <c r="T43" s="176"/>
      <c r="U43" s="176"/>
      <c r="V43" s="176"/>
      <c r="W43" s="176"/>
      <c r="X43" s="176"/>
      <c r="Y43" s="176"/>
      <c r="Z43" s="176"/>
      <c r="AA43" s="176"/>
    </row>
    <row r="44">
      <c r="A44" s="165" t="str">
        <f>iferror(VLOOKUP(P44,'DO NOT TOUCH Imported'!$A$1:$D$800,4,False),iferror(VLOOKUP(P44,'DO NOT TOUCH Imported'!$C$1:$D$800,2,False),"OOPS FIX ME"))</f>
        <v>zeptimusQ</v>
      </c>
      <c r="B44" s="165" t="s">
        <v>441</v>
      </c>
      <c r="C44" s="170" t="s">
        <v>1268</v>
      </c>
      <c r="D44" s="236" t="s">
        <v>437</v>
      </c>
      <c r="E44" s="237">
        <v>44295.0</v>
      </c>
      <c r="F44" s="170" t="s">
        <v>439</v>
      </c>
      <c r="G44" s="219"/>
      <c r="H44" s="171">
        <v>60.0</v>
      </c>
      <c r="I44" s="171">
        <v>80.0</v>
      </c>
      <c r="J44" s="172">
        <f t="shared" si="2"/>
        <v>0.001004434248</v>
      </c>
      <c r="K44" s="173">
        <f t="shared" si="3"/>
        <v>1.155099386</v>
      </c>
      <c r="L44" s="174">
        <f t="shared" si="4"/>
        <v>51.03442555</v>
      </c>
      <c r="M44" s="175" t="str">
        <f t="shared" si="5"/>
        <v>zeptimusQ</v>
      </c>
      <c r="N44" s="176">
        <f>IFERROR(__xludf.DUMMYFUNCTION("""COMPUTED_VALUE"""),41.0)</f>
        <v>41</v>
      </c>
      <c r="O44" s="176"/>
      <c r="P44" s="165" t="s">
        <v>440</v>
      </c>
      <c r="Q44" s="165" t="s">
        <v>441</v>
      </c>
      <c r="R44" s="176"/>
      <c r="S44" s="176"/>
      <c r="T44" s="176"/>
      <c r="U44" s="176"/>
      <c r="V44" s="176"/>
      <c r="W44" s="176"/>
      <c r="X44" s="176"/>
      <c r="Y44" s="176"/>
      <c r="Z44" s="176"/>
      <c r="AA44" s="176"/>
    </row>
    <row r="45">
      <c r="A45" s="165" t="str">
        <f>iferror(VLOOKUP(P45,'DO NOT TOUCH Imported'!$A$1:$D$800,4,False),iferror(VLOOKUP(P45,'DO NOT TOUCH Imported'!$C$1:$D$800,2,False),"OOPS FIX ME"))</f>
        <v>zeptimusQ</v>
      </c>
      <c r="B45" s="165" t="s">
        <v>441</v>
      </c>
      <c r="C45" s="170" t="s">
        <v>1269</v>
      </c>
      <c r="D45" s="236" t="s">
        <v>437</v>
      </c>
      <c r="E45" s="237">
        <v>44295.0</v>
      </c>
      <c r="F45" s="170" t="s">
        <v>439</v>
      </c>
      <c r="G45" s="219"/>
      <c r="H45" s="171">
        <v>60.0</v>
      </c>
      <c r="I45" s="171">
        <v>50.0</v>
      </c>
      <c r="J45" s="172">
        <f t="shared" si="2"/>
        <v>0.0007904847406</v>
      </c>
      <c r="K45" s="173">
        <f t="shared" si="3"/>
        <v>0.9090574516</v>
      </c>
      <c r="L45" s="174">
        <f t="shared" si="4"/>
        <v>51.03442555</v>
      </c>
      <c r="M45" s="175" t="str">
        <f t="shared" si="5"/>
        <v>zeptimusQ</v>
      </c>
      <c r="N45" s="176">
        <f>IFERROR(__xludf.DUMMYFUNCTION("""COMPUTED_VALUE"""),42.0)</f>
        <v>42</v>
      </c>
      <c r="O45" s="176"/>
      <c r="P45" s="165" t="s">
        <v>440</v>
      </c>
      <c r="Q45" s="165" t="s">
        <v>441</v>
      </c>
      <c r="R45" s="176"/>
      <c r="S45" s="176"/>
      <c r="T45" s="176"/>
      <c r="U45" s="176"/>
      <c r="V45" s="176"/>
      <c r="W45" s="176"/>
      <c r="X45" s="176"/>
      <c r="Y45" s="176"/>
      <c r="Z45" s="176"/>
      <c r="AA45" s="176"/>
    </row>
    <row r="46">
      <c r="A46" s="165" t="str">
        <f>iferror(VLOOKUP(P46,'DO NOT TOUCH Imported'!$A$1:$D$800,4,False),iferror(VLOOKUP(P46,'DO NOT TOUCH Imported'!$C$1:$D$800,2,False),"OOPS FIX ME"))</f>
        <v>Santigs67</v>
      </c>
      <c r="B46" s="165" t="s">
        <v>10</v>
      </c>
      <c r="C46" s="170" t="s">
        <v>498</v>
      </c>
      <c r="D46" s="236" t="s">
        <v>495</v>
      </c>
      <c r="E46" s="239">
        <v>44282.0</v>
      </c>
      <c r="F46" s="170" t="s">
        <v>499</v>
      </c>
      <c r="G46" s="219"/>
      <c r="H46" s="171">
        <v>20.0</v>
      </c>
      <c r="I46" s="171">
        <v>25.0</v>
      </c>
      <c r="J46" s="172">
        <f t="shared" si="2"/>
        <v>0.0003229253324</v>
      </c>
      <c r="K46" s="173">
        <f t="shared" si="3"/>
        <v>0.3713641322</v>
      </c>
      <c r="L46" s="174">
        <f t="shared" si="4"/>
        <v>35.90316688</v>
      </c>
      <c r="M46" s="175" t="str">
        <f t="shared" si="5"/>
        <v>Santigs67</v>
      </c>
      <c r="N46" s="176">
        <f>IFERROR(__xludf.DUMMYFUNCTION("""COMPUTED_VALUE"""),1.0)</f>
        <v>1</v>
      </c>
      <c r="O46" s="176"/>
      <c r="P46" s="165" t="s">
        <v>4</v>
      </c>
      <c r="Q46" s="165" t="s">
        <v>10</v>
      </c>
      <c r="R46" s="176"/>
      <c r="S46" s="176"/>
      <c r="T46" s="176"/>
      <c r="U46" s="176"/>
      <c r="V46" s="176"/>
      <c r="W46" s="176"/>
      <c r="X46" s="176"/>
      <c r="Y46" s="176"/>
      <c r="Z46" s="176"/>
      <c r="AA46" s="176"/>
    </row>
    <row r="47">
      <c r="A47" s="165" t="str">
        <f>iferror(VLOOKUP(P47,'DO NOT TOUCH Imported'!$A$1:$D$800,4,False),iferror(VLOOKUP(P47,'DO NOT TOUCH Imported'!$C$1:$D$800,2,False),"OOPS FIX ME"))</f>
        <v>Santigs67</v>
      </c>
      <c r="B47" s="165" t="s">
        <v>441</v>
      </c>
      <c r="C47" s="170" t="s">
        <v>1270</v>
      </c>
      <c r="D47" s="236" t="s">
        <v>437</v>
      </c>
      <c r="E47" s="239">
        <v>44282.0</v>
      </c>
      <c r="F47" s="170" t="s">
        <v>439</v>
      </c>
      <c r="G47" s="219"/>
      <c r="H47" s="171">
        <v>40.0</v>
      </c>
      <c r="I47" s="171">
        <v>40.0</v>
      </c>
      <c r="J47" s="172">
        <f t="shared" si="2"/>
        <v>0.0005745341621</v>
      </c>
      <c r="K47" s="173">
        <f t="shared" si="3"/>
        <v>0.6607142865</v>
      </c>
      <c r="L47" s="174">
        <f t="shared" si="4"/>
        <v>35.90316688</v>
      </c>
      <c r="M47" s="175" t="str">
        <f t="shared" si="5"/>
        <v>Santigs67</v>
      </c>
      <c r="N47" s="176">
        <f>IFERROR(__xludf.DUMMYFUNCTION("""COMPUTED_VALUE"""),2.0)</f>
        <v>2</v>
      </c>
      <c r="O47" s="176"/>
      <c r="P47" s="165" t="s">
        <v>576</v>
      </c>
      <c r="Q47" s="165" t="s">
        <v>441</v>
      </c>
      <c r="R47" s="176"/>
      <c r="S47" s="176"/>
      <c r="T47" s="176"/>
      <c r="U47" s="176"/>
      <c r="V47" s="176"/>
      <c r="W47" s="176"/>
      <c r="X47" s="176"/>
      <c r="Y47" s="176"/>
      <c r="Z47" s="176"/>
      <c r="AA47" s="176"/>
    </row>
    <row r="48">
      <c r="A48" s="165" t="str">
        <f>iferror(VLOOKUP(P48,'DO NOT TOUCH Imported'!$A$1:$D$800,4,False),iferror(VLOOKUP(P48,'DO NOT TOUCH Imported'!$C$1:$D$800,2,False),"OOPS FIX ME"))</f>
        <v>Santigs67</v>
      </c>
      <c r="B48" s="165" t="s">
        <v>490</v>
      </c>
      <c r="C48" s="170" t="s">
        <v>1240</v>
      </c>
      <c r="D48" s="236" t="s">
        <v>437</v>
      </c>
      <c r="E48" s="239">
        <v>44286.0</v>
      </c>
      <c r="F48" s="170" t="s">
        <v>439</v>
      </c>
      <c r="G48" s="219"/>
      <c r="H48" s="171">
        <v>60.0</v>
      </c>
      <c r="I48" s="171">
        <v>50.0</v>
      </c>
      <c r="J48" s="172">
        <f t="shared" si="2"/>
        <v>0.0007904847406</v>
      </c>
      <c r="K48" s="173">
        <f t="shared" si="3"/>
        <v>0.9090574516</v>
      </c>
      <c r="L48" s="174">
        <f t="shared" si="4"/>
        <v>35.90316688</v>
      </c>
      <c r="M48" s="175" t="str">
        <f t="shared" si="5"/>
        <v>Santigs67</v>
      </c>
      <c r="N48" s="176">
        <f>IFERROR(__xludf.DUMMYFUNCTION("""COMPUTED_VALUE"""),3.0)</f>
        <v>3</v>
      </c>
      <c r="O48" s="176"/>
      <c r="P48" s="165" t="s">
        <v>576</v>
      </c>
      <c r="Q48" s="165" t="s">
        <v>490</v>
      </c>
      <c r="R48" s="176"/>
      <c r="S48" s="176"/>
      <c r="T48" s="176"/>
      <c r="U48" s="176"/>
      <c r="V48" s="176"/>
      <c r="W48" s="176"/>
      <c r="X48" s="176"/>
      <c r="Y48" s="176"/>
      <c r="Z48" s="176"/>
      <c r="AA48" s="176"/>
    </row>
    <row r="49">
      <c r="A49" s="165" t="str">
        <f>iferror(VLOOKUP(P49,'DO NOT TOUCH Imported'!$A$1:$D$800,4,False),iferror(VLOOKUP(P49,'DO NOT TOUCH Imported'!$C$1:$D$800,2,False),"OOPS FIX ME"))</f>
        <v>Santigs67</v>
      </c>
      <c r="B49" s="165" t="s">
        <v>435</v>
      </c>
      <c r="C49" s="170" t="s">
        <v>1271</v>
      </c>
      <c r="D49" s="236" t="s">
        <v>437</v>
      </c>
      <c r="E49" s="239">
        <v>44287.0</v>
      </c>
      <c r="F49" s="170" t="s">
        <v>439</v>
      </c>
      <c r="G49" s="219"/>
      <c r="H49" s="171">
        <v>200.0</v>
      </c>
      <c r="I49" s="171">
        <v>200.0</v>
      </c>
      <c r="J49" s="172">
        <f t="shared" si="2"/>
        <v>0.002872670811</v>
      </c>
      <c r="K49" s="173">
        <f t="shared" si="3"/>
        <v>3.303571432</v>
      </c>
      <c r="L49" s="174">
        <f t="shared" si="4"/>
        <v>35.90316688</v>
      </c>
      <c r="M49" s="175" t="str">
        <f t="shared" si="5"/>
        <v>Santigs67</v>
      </c>
      <c r="N49" s="176">
        <f>IFERROR(__xludf.DUMMYFUNCTION("""COMPUTED_VALUE"""),4.0)</f>
        <v>4</v>
      </c>
      <c r="O49" s="176"/>
      <c r="P49" s="165" t="s">
        <v>576</v>
      </c>
      <c r="Q49" s="165" t="s">
        <v>435</v>
      </c>
      <c r="R49" s="176"/>
      <c r="S49" s="176"/>
      <c r="T49" s="176"/>
      <c r="U49" s="176"/>
      <c r="V49" s="176"/>
      <c r="W49" s="176"/>
      <c r="X49" s="176"/>
      <c r="Y49" s="176"/>
      <c r="Z49" s="176"/>
      <c r="AA49" s="176"/>
    </row>
    <row r="50">
      <c r="A50" s="165" t="str">
        <f>iferror(VLOOKUP(P50,'DO NOT TOUCH Imported'!$A$1:$D$800,4,False),iferror(VLOOKUP(P50,'DO NOT TOUCH Imported'!$C$1:$D$800,2,False),"OOPS FIX ME"))</f>
        <v>Santigs67</v>
      </c>
      <c r="B50" s="165" t="s">
        <v>435</v>
      </c>
      <c r="C50" s="170" t="s">
        <v>1272</v>
      </c>
      <c r="D50" s="236" t="s">
        <v>437</v>
      </c>
      <c r="E50" s="239">
        <v>44287.0</v>
      </c>
      <c r="F50" s="170" t="s">
        <v>439</v>
      </c>
      <c r="G50" s="219"/>
      <c r="H50" s="171">
        <v>150.0</v>
      </c>
      <c r="I50" s="171">
        <v>100.0</v>
      </c>
      <c r="J50" s="172">
        <f t="shared" si="2"/>
        <v>0.001797920595</v>
      </c>
      <c r="K50" s="173">
        <f t="shared" si="3"/>
        <v>2.067608684</v>
      </c>
      <c r="L50" s="174">
        <f t="shared" si="4"/>
        <v>35.90316688</v>
      </c>
      <c r="M50" s="175" t="str">
        <f t="shared" si="5"/>
        <v>Santigs67</v>
      </c>
      <c r="N50" s="176">
        <f>IFERROR(__xludf.DUMMYFUNCTION("""COMPUTED_VALUE"""),5.0)</f>
        <v>5</v>
      </c>
      <c r="O50" s="176"/>
      <c r="P50" s="165" t="s">
        <v>576</v>
      </c>
      <c r="Q50" s="165" t="s">
        <v>435</v>
      </c>
      <c r="R50" s="176"/>
      <c r="S50" s="176"/>
      <c r="T50" s="176"/>
      <c r="U50" s="176"/>
      <c r="V50" s="176"/>
      <c r="W50" s="176"/>
      <c r="X50" s="176"/>
      <c r="Y50" s="176"/>
      <c r="Z50" s="176"/>
      <c r="AA50" s="176"/>
    </row>
    <row r="51">
      <c r="A51" s="165" t="str">
        <f>iferror(VLOOKUP(P51,'DO NOT TOUCH Imported'!$A$1:$D$800,4,False),iferror(VLOOKUP(P51,'DO NOT TOUCH Imported'!$C$1:$D$800,2,False),"OOPS FIX ME"))</f>
        <v>Santigs67</v>
      </c>
      <c r="B51" s="165" t="s">
        <v>450</v>
      </c>
      <c r="C51" s="170" t="s">
        <v>1273</v>
      </c>
      <c r="D51" s="236" t="s">
        <v>437</v>
      </c>
      <c r="E51" s="239">
        <v>44287.0</v>
      </c>
      <c r="F51" s="170" t="s">
        <v>453</v>
      </c>
      <c r="G51" s="219"/>
      <c r="H51" s="171">
        <v>100.0</v>
      </c>
      <c r="I51" s="171">
        <v>150.0</v>
      </c>
      <c r="J51" s="172">
        <f t="shared" si="2"/>
        <v>0.001792917919</v>
      </c>
      <c r="K51" s="173">
        <f t="shared" si="3"/>
        <v>2.061855606</v>
      </c>
      <c r="L51" s="174">
        <f t="shared" si="4"/>
        <v>35.90316688</v>
      </c>
      <c r="M51" s="175" t="str">
        <f t="shared" si="5"/>
        <v>Santigs67</v>
      </c>
      <c r="N51" s="176">
        <f>IFERROR(__xludf.DUMMYFUNCTION("""COMPUTED_VALUE"""),6.0)</f>
        <v>6</v>
      </c>
      <c r="O51" s="176"/>
      <c r="P51" s="165" t="s">
        <v>576</v>
      </c>
      <c r="Q51" s="165" t="s">
        <v>450</v>
      </c>
      <c r="R51" s="176"/>
      <c r="S51" s="176"/>
      <c r="T51" s="176"/>
      <c r="U51" s="176"/>
      <c r="V51" s="176"/>
      <c r="W51" s="176"/>
      <c r="X51" s="176"/>
      <c r="Y51" s="176"/>
      <c r="Z51" s="176"/>
      <c r="AA51" s="176"/>
    </row>
    <row r="52">
      <c r="A52" s="165" t="str">
        <f>iferror(VLOOKUP(P52,'DO NOT TOUCH Imported'!$A$1:$D$800,4,False),iferror(VLOOKUP(P52,'DO NOT TOUCH Imported'!$C$1:$D$800,2,False),"OOPS FIX ME"))</f>
        <v>Santigs67</v>
      </c>
      <c r="B52" s="165" t="s">
        <v>443</v>
      </c>
      <c r="C52" s="170" t="s">
        <v>1245</v>
      </c>
      <c r="D52" s="236" t="s">
        <v>437</v>
      </c>
      <c r="E52" s="239">
        <v>44287.0</v>
      </c>
      <c r="F52" s="170" t="s">
        <v>439</v>
      </c>
      <c r="G52" s="219"/>
      <c r="H52" s="171">
        <v>70.0</v>
      </c>
      <c r="I52" s="171">
        <v>50.0</v>
      </c>
      <c r="J52" s="172">
        <f t="shared" si="2"/>
        <v>0.0008628017785</v>
      </c>
      <c r="K52" s="173">
        <f t="shared" si="3"/>
        <v>0.9922220452</v>
      </c>
      <c r="L52" s="174">
        <f t="shared" si="4"/>
        <v>35.90316688</v>
      </c>
      <c r="M52" s="175" t="str">
        <f t="shared" si="5"/>
        <v>Santigs67</v>
      </c>
      <c r="N52" s="176">
        <f>IFERROR(__xludf.DUMMYFUNCTION("""COMPUTED_VALUE"""),7.0)</f>
        <v>7</v>
      </c>
      <c r="O52" s="176"/>
      <c r="P52" s="165" t="s">
        <v>576</v>
      </c>
      <c r="Q52" s="165" t="s">
        <v>443</v>
      </c>
      <c r="R52" s="176"/>
      <c r="S52" s="176"/>
      <c r="T52" s="176"/>
      <c r="U52" s="176"/>
      <c r="V52" s="176"/>
      <c r="W52" s="176"/>
      <c r="X52" s="176"/>
      <c r="Y52" s="176"/>
      <c r="Z52" s="176"/>
      <c r="AA52" s="176"/>
    </row>
    <row r="53">
      <c r="A53" s="165" t="str">
        <f>iferror(VLOOKUP(P53,'DO NOT TOUCH Imported'!$A$1:$D$800,4,False),iferror(VLOOKUP(P53,'DO NOT TOUCH Imported'!$C$1:$D$800,2,False),"OOPS FIX ME"))</f>
        <v>Santigs67</v>
      </c>
      <c r="B53" s="165" t="s">
        <v>441</v>
      </c>
      <c r="C53" s="170" t="s">
        <v>1248</v>
      </c>
      <c r="D53" s="236" t="s">
        <v>437</v>
      </c>
      <c r="E53" s="237">
        <v>44288.0</v>
      </c>
      <c r="F53" s="170" t="s">
        <v>439</v>
      </c>
      <c r="G53" s="219"/>
      <c r="H53" s="171">
        <v>150.0</v>
      </c>
      <c r="I53" s="171">
        <v>100.0</v>
      </c>
      <c r="J53" s="172">
        <f t="shared" si="2"/>
        <v>0.001797920595</v>
      </c>
      <c r="K53" s="173">
        <f t="shared" si="3"/>
        <v>2.067608684</v>
      </c>
      <c r="L53" s="174">
        <f t="shared" si="4"/>
        <v>35.90316688</v>
      </c>
      <c r="M53" s="175" t="str">
        <f t="shared" si="5"/>
        <v>Santigs67</v>
      </c>
      <c r="N53" s="176">
        <f>IFERROR(__xludf.DUMMYFUNCTION("""COMPUTED_VALUE"""),8.0)</f>
        <v>8</v>
      </c>
      <c r="O53" s="176"/>
      <c r="P53" s="165" t="s">
        <v>576</v>
      </c>
      <c r="Q53" s="165" t="s">
        <v>441</v>
      </c>
      <c r="R53" s="176"/>
      <c r="S53" s="176"/>
      <c r="T53" s="176"/>
      <c r="U53" s="176"/>
      <c r="V53" s="176"/>
      <c r="W53" s="176"/>
      <c r="X53" s="176"/>
      <c r="Y53" s="176"/>
      <c r="Z53" s="176"/>
      <c r="AA53" s="176"/>
    </row>
    <row r="54">
      <c r="A54" s="165" t="str">
        <f>iferror(VLOOKUP(P54,'DO NOT TOUCH Imported'!$A$1:$D$800,4,False),iferror(VLOOKUP(P54,'DO NOT TOUCH Imported'!$C$1:$D$800,2,False),"OOPS FIX ME"))</f>
        <v>Santigs67</v>
      </c>
      <c r="B54" s="165" t="s">
        <v>441</v>
      </c>
      <c r="C54" s="170" t="s">
        <v>1274</v>
      </c>
      <c r="D54" s="236" t="s">
        <v>437</v>
      </c>
      <c r="E54" s="237">
        <v>44288.0</v>
      </c>
      <c r="F54" s="170" t="s">
        <v>439</v>
      </c>
      <c r="G54" s="219"/>
      <c r="H54" s="171">
        <v>100.0</v>
      </c>
      <c r="I54" s="171">
        <v>150.0</v>
      </c>
      <c r="J54" s="172">
        <f t="shared" si="2"/>
        <v>0.001792917919</v>
      </c>
      <c r="K54" s="173">
        <f t="shared" si="3"/>
        <v>2.061855606</v>
      </c>
      <c r="L54" s="174">
        <f t="shared" si="4"/>
        <v>35.90316688</v>
      </c>
      <c r="M54" s="175" t="str">
        <f t="shared" si="5"/>
        <v>Santigs67</v>
      </c>
      <c r="N54" s="176">
        <f>IFERROR(__xludf.DUMMYFUNCTION("""COMPUTED_VALUE"""),9.0)</f>
        <v>9</v>
      </c>
      <c r="O54" s="176"/>
      <c r="P54" s="165" t="s">
        <v>576</v>
      </c>
      <c r="Q54" s="165" t="s">
        <v>441</v>
      </c>
      <c r="R54" s="176"/>
      <c r="S54" s="176"/>
      <c r="T54" s="176"/>
      <c r="U54" s="176"/>
      <c r="V54" s="176"/>
      <c r="W54" s="176"/>
      <c r="X54" s="176"/>
      <c r="Y54" s="176"/>
      <c r="Z54" s="176"/>
      <c r="AA54" s="176"/>
    </row>
    <row r="55">
      <c r="A55" s="165" t="str">
        <f>iferror(VLOOKUP(P55,'DO NOT TOUCH Imported'!$A$1:$D$800,4,False),iferror(VLOOKUP(P55,'DO NOT TOUCH Imported'!$C$1:$D$800,2,False),"OOPS FIX ME"))</f>
        <v>Santigs67</v>
      </c>
      <c r="B55" s="165" t="s">
        <v>441</v>
      </c>
      <c r="C55" s="170" t="s">
        <v>1275</v>
      </c>
      <c r="D55" s="236" t="s">
        <v>437</v>
      </c>
      <c r="E55" s="237">
        <v>44288.0</v>
      </c>
      <c r="F55" s="170" t="s">
        <v>439</v>
      </c>
      <c r="G55" s="219"/>
      <c r="H55" s="171">
        <v>100.0</v>
      </c>
      <c r="I55" s="171">
        <v>150.0</v>
      </c>
      <c r="J55" s="172">
        <f t="shared" si="2"/>
        <v>0.001792917919</v>
      </c>
      <c r="K55" s="173">
        <f t="shared" si="3"/>
        <v>2.061855606</v>
      </c>
      <c r="L55" s="174">
        <f t="shared" si="4"/>
        <v>35.90316688</v>
      </c>
      <c r="M55" s="175" t="str">
        <f t="shared" si="5"/>
        <v>Santigs67</v>
      </c>
      <c r="N55" s="176">
        <f>IFERROR(__xludf.DUMMYFUNCTION("""COMPUTED_VALUE"""),10.0)</f>
        <v>10</v>
      </c>
      <c r="O55" s="176"/>
      <c r="P55" s="165" t="s">
        <v>576</v>
      </c>
      <c r="Q55" s="165" t="s">
        <v>441</v>
      </c>
      <c r="R55" s="176"/>
      <c r="S55" s="176"/>
      <c r="T55" s="176"/>
      <c r="U55" s="176"/>
      <c r="V55" s="176"/>
      <c r="W55" s="176"/>
      <c r="X55" s="176"/>
      <c r="Y55" s="176"/>
      <c r="Z55" s="176"/>
      <c r="AA55" s="176"/>
    </row>
    <row r="56">
      <c r="A56" s="165" t="str">
        <f>iferror(VLOOKUP(P56,'DO NOT TOUCH Imported'!$A$1:$D$800,4,False),iferror(VLOOKUP(P56,'DO NOT TOUCH Imported'!$C$1:$D$800,2,False),"OOPS FIX ME"))</f>
        <v>Santigs67</v>
      </c>
      <c r="B56" s="165" t="s">
        <v>441</v>
      </c>
      <c r="C56" s="170" t="s">
        <v>1250</v>
      </c>
      <c r="D56" s="236" t="s">
        <v>437</v>
      </c>
      <c r="E56" s="237">
        <v>44288.0</v>
      </c>
      <c r="F56" s="170" t="s">
        <v>439</v>
      </c>
      <c r="G56" s="219"/>
      <c r="H56" s="171">
        <v>40.0</v>
      </c>
      <c r="I56" s="171">
        <v>50.0</v>
      </c>
      <c r="J56" s="172">
        <f t="shared" si="2"/>
        <v>0.0006458506648</v>
      </c>
      <c r="K56" s="173">
        <f t="shared" si="3"/>
        <v>0.7427282645</v>
      </c>
      <c r="L56" s="174">
        <f t="shared" si="4"/>
        <v>35.90316688</v>
      </c>
      <c r="M56" s="175" t="str">
        <f t="shared" si="5"/>
        <v>Santigs67</v>
      </c>
      <c r="N56" s="176">
        <f>IFERROR(__xludf.DUMMYFUNCTION("""COMPUTED_VALUE"""),11.0)</f>
        <v>11</v>
      </c>
      <c r="O56" s="176"/>
      <c r="P56" s="165" t="s">
        <v>576</v>
      </c>
      <c r="Q56" s="165" t="s">
        <v>441</v>
      </c>
      <c r="R56" s="176"/>
      <c r="S56" s="176"/>
      <c r="T56" s="176"/>
      <c r="U56" s="176"/>
      <c r="V56" s="176"/>
      <c r="W56" s="176"/>
      <c r="X56" s="176"/>
      <c r="Y56" s="176"/>
      <c r="Z56" s="176"/>
      <c r="AA56" s="176"/>
    </row>
    <row r="57">
      <c r="A57" s="165" t="str">
        <f>iferror(VLOOKUP(P57,'DO NOT TOUCH Imported'!$A$1:$D$800,4,False),iferror(VLOOKUP(P57,'DO NOT TOUCH Imported'!$C$1:$D$800,2,False),"OOPS FIX ME"))</f>
        <v>Santigs67</v>
      </c>
      <c r="B57" s="165" t="s">
        <v>576</v>
      </c>
      <c r="C57" s="170" t="s">
        <v>1276</v>
      </c>
      <c r="D57" s="236" t="s">
        <v>437</v>
      </c>
      <c r="E57" s="237">
        <v>44288.0</v>
      </c>
      <c r="F57" s="170" t="s">
        <v>1110</v>
      </c>
      <c r="G57" s="219"/>
      <c r="H57" s="171">
        <v>150.0</v>
      </c>
      <c r="I57" s="171">
        <v>50.0</v>
      </c>
      <c r="J57" s="172">
        <f t="shared" si="2"/>
        <v>0.001441338082</v>
      </c>
      <c r="K57" s="173">
        <f t="shared" si="3"/>
        <v>1.657538794</v>
      </c>
      <c r="L57" s="174">
        <f t="shared" si="4"/>
        <v>35.90316688</v>
      </c>
      <c r="M57" s="175" t="str">
        <f t="shared" si="5"/>
        <v>Santigs67</v>
      </c>
      <c r="N57" s="176">
        <f>IFERROR(__xludf.DUMMYFUNCTION("""COMPUTED_VALUE"""),12.0)</f>
        <v>12</v>
      </c>
      <c r="O57" s="176"/>
      <c r="P57" s="165" t="s">
        <v>576</v>
      </c>
      <c r="Q57" s="165" t="s">
        <v>576</v>
      </c>
      <c r="R57" s="176"/>
      <c r="S57" s="176"/>
      <c r="T57" s="176"/>
      <c r="U57" s="176"/>
      <c r="V57" s="176"/>
      <c r="W57" s="176"/>
      <c r="X57" s="176"/>
      <c r="Y57" s="176"/>
      <c r="Z57" s="176"/>
      <c r="AA57" s="176"/>
    </row>
    <row r="58">
      <c r="A58" s="165" t="str">
        <f>iferror(VLOOKUP(P58,'DO NOT TOUCH Imported'!$A$1:$D$800,4,False),iferror(VLOOKUP(P58,'DO NOT TOUCH Imported'!$C$1:$D$800,2,False),"OOPS FIX ME"))</f>
        <v>Santigs67</v>
      </c>
      <c r="B58" s="165" t="s">
        <v>620</v>
      </c>
      <c r="C58" s="170" t="s">
        <v>1277</v>
      </c>
      <c r="D58" s="236" t="s">
        <v>437</v>
      </c>
      <c r="E58" s="237">
        <v>44288.0</v>
      </c>
      <c r="F58" s="170" t="s">
        <v>439</v>
      </c>
      <c r="G58" s="219"/>
      <c r="H58" s="171">
        <v>100.0</v>
      </c>
      <c r="I58" s="171">
        <v>100.0</v>
      </c>
      <c r="J58" s="172">
        <f t="shared" si="2"/>
        <v>0.001436335405</v>
      </c>
      <c r="K58" s="173">
        <f t="shared" si="3"/>
        <v>1.651785716</v>
      </c>
      <c r="L58" s="174">
        <f t="shared" si="4"/>
        <v>35.90316688</v>
      </c>
      <c r="M58" s="175" t="str">
        <f t="shared" si="5"/>
        <v>Santigs67</v>
      </c>
      <c r="N58" s="176">
        <f>IFERROR(__xludf.DUMMYFUNCTION("""COMPUTED_VALUE"""),13.0)</f>
        <v>13</v>
      </c>
      <c r="O58" s="176"/>
      <c r="P58" s="165" t="s">
        <v>576</v>
      </c>
      <c r="Q58" s="165" t="s">
        <v>620</v>
      </c>
      <c r="R58" s="176"/>
      <c r="S58" s="176"/>
      <c r="T58" s="176"/>
      <c r="U58" s="176"/>
      <c r="V58" s="176"/>
      <c r="W58" s="176"/>
      <c r="X58" s="176"/>
      <c r="Y58" s="176"/>
      <c r="Z58" s="176"/>
      <c r="AA58" s="176"/>
    </row>
    <row r="59">
      <c r="A59" s="165" t="str">
        <f>iferror(VLOOKUP(P59,'DO NOT TOUCH Imported'!$A$1:$D$800,4,False),iferror(VLOOKUP(P59,'DO NOT TOUCH Imported'!$C$1:$D$800,2,False),"OOPS FIX ME"))</f>
        <v>Santigs67</v>
      </c>
      <c r="B59" s="165" t="s">
        <v>435</v>
      </c>
      <c r="C59" s="170" t="s">
        <v>1278</v>
      </c>
      <c r="D59" s="236" t="s">
        <v>437</v>
      </c>
      <c r="E59" s="237">
        <v>44288.0</v>
      </c>
      <c r="F59" s="170" t="s">
        <v>439</v>
      </c>
      <c r="G59" s="219"/>
      <c r="H59" s="171">
        <v>70.0</v>
      </c>
      <c r="I59" s="171">
        <v>50.0</v>
      </c>
      <c r="J59" s="172">
        <f t="shared" si="2"/>
        <v>0.0008628017785</v>
      </c>
      <c r="K59" s="173">
        <f t="shared" si="3"/>
        <v>0.9922220452</v>
      </c>
      <c r="L59" s="174">
        <f t="shared" si="4"/>
        <v>35.90316688</v>
      </c>
      <c r="M59" s="175" t="str">
        <f t="shared" si="5"/>
        <v>Santigs67</v>
      </c>
      <c r="N59" s="176">
        <f>IFERROR(__xludf.DUMMYFUNCTION("""COMPUTED_VALUE"""),14.0)</f>
        <v>14</v>
      </c>
      <c r="O59" s="176"/>
      <c r="P59" s="165" t="s">
        <v>576</v>
      </c>
      <c r="Q59" s="165" t="s">
        <v>435</v>
      </c>
      <c r="R59" s="176"/>
      <c r="S59" s="176"/>
      <c r="T59" s="176"/>
      <c r="U59" s="176"/>
      <c r="V59" s="176"/>
      <c r="W59" s="176"/>
      <c r="X59" s="176"/>
      <c r="Y59" s="176"/>
      <c r="Z59" s="176"/>
      <c r="AA59" s="176"/>
    </row>
    <row r="60">
      <c r="A60" s="165" t="str">
        <f>iferror(VLOOKUP(P60,'DO NOT TOUCH Imported'!$A$1:$D$800,4,False),iferror(VLOOKUP(P60,'DO NOT TOUCH Imported'!$C$1:$D$800,2,False),"OOPS FIX ME"))</f>
        <v>Santigs67</v>
      </c>
      <c r="B60" s="165" t="s">
        <v>450</v>
      </c>
      <c r="C60" s="170" t="s">
        <v>1279</v>
      </c>
      <c r="D60" s="236" t="s">
        <v>437</v>
      </c>
      <c r="E60" s="237">
        <v>44288.0</v>
      </c>
      <c r="F60" s="170" t="s">
        <v>439</v>
      </c>
      <c r="G60" s="219"/>
      <c r="H60" s="171">
        <v>70.0</v>
      </c>
      <c r="I60" s="171">
        <v>50.0</v>
      </c>
      <c r="J60" s="172">
        <f t="shared" si="2"/>
        <v>0.0008628017785</v>
      </c>
      <c r="K60" s="173">
        <f t="shared" si="3"/>
        <v>0.9922220452</v>
      </c>
      <c r="L60" s="174">
        <f t="shared" si="4"/>
        <v>35.90316688</v>
      </c>
      <c r="M60" s="175" t="str">
        <f t="shared" si="5"/>
        <v>Santigs67</v>
      </c>
      <c r="N60" s="176">
        <f>IFERROR(__xludf.DUMMYFUNCTION("""COMPUTED_VALUE"""),15.0)</f>
        <v>15</v>
      </c>
      <c r="O60" s="176"/>
      <c r="P60" s="165" t="s">
        <v>576</v>
      </c>
      <c r="Q60" s="165" t="s">
        <v>450</v>
      </c>
      <c r="R60" s="176"/>
      <c r="S60" s="176"/>
      <c r="T60" s="176"/>
      <c r="U60" s="176"/>
      <c r="V60" s="176"/>
      <c r="W60" s="176"/>
      <c r="X60" s="176"/>
      <c r="Y60" s="176"/>
      <c r="Z60" s="176"/>
      <c r="AA60" s="176"/>
    </row>
    <row r="61">
      <c r="A61" s="165" t="str">
        <f>iferror(VLOOKUP(P61,'DO NOT TOUCH Imported'!$A$1:$D$800,4,False),iferror(VLOOKUP(P61,'DO NOT TOUCH Imported'!$C$1:$D$800,2,False),"OOPS FIX ME"))</f>
        <v>Santigs67</v>
      </c>
      <c r="B61" s="165" t="s">
        <v>441</v>
      </c>
      <c r="C61" s="170" t="s">
        <v>1005</v>
      </c>
      <c r="D61" s="236" t="s">
        <v>437</v>
      </c>
      <c r="E61" s="237">
        <v>44289.0</v>
      </c>
      <c r="F61" s="170" t="s">
        <v>439</v>
      </c>
      <c r="G61" s="219"/>
      <c r="H61" s="171">
        <v>60.0</v>
      </c>
      <c r="I61" s="171">
        <v>40.0</v>
      </c>
      <c r="J61" s="172">
        <f t="shared" si="2"/>
        <v>0.0007191682379</v>
      </c>
      <c r="K61" s="173">
        <f t="shared" si="3"/>
        <v>0.8270434736</v>
      </c>
      <c r="L61" s="174">
        <f t="shared" si="4"/>
        <v>35.90316688</v>
      </c>
      <c r="M61" s="175" t="str">
        <f t="shared" si="5"/>
        <v>Santigs67</v>
      </c>
      <c r="N61" s="176">
        <f>IFERROR(__xludf.DUMMYFUNCTION("""COMPUTED_VALUE"""),16.0)</f>
        <v>16</v>
      </c>
      <c r="O61" s="176"/>
      <c r="P61" s="165" t="s">
        <v>576</v>
      </c>
      <c r="Q61" s="165" t="s">
        <v>441</v>
      </c>
      <c r="R61" s="176"/>
      <c r="S61" s="176"/>
      <c r="T61" s="176"/>
      <c r="U61" s="176"/>
      <c r="V61" s="176"/>
      <c r="W61" s="176"/>
      <c r="X61" s="176"/>
      <c r="Y61" s="176"/>
      <c r="Z61" s="176"/>
      <c r="AA61" s="176"/>
    </row>
    <row r="62">
      <c r="A62" s="165" t="str">
        <f>iferror(VLOOKUP(P62,'DO NOT TOUCH Imported'!$A$1:$D$800,4,False),iferror(VLOOKUP(P62,'DO NOT TOUCH Imported'!$C$1:$D$800,2,False),"OOPS FIX ME"))</f>
        <v>Santigs67</v>
      </c>
      <c r="B62" s="165" t="s">
        <v>443</v>
      </c>
      <c r="C62" s="170" t="s">
        <v>1252</v>
      </c>
      <c r="D62" s="236" t="s">
        <v>437</v>
      </c>
      <c r="E62" s="237">
        <v>44291.0</v>
      </c>
      <c r="F62" s="170" t="s">
        <v>439</v>
      </c>
      <c r="G62" s="219"/>
      <c r="H62" s="171">
        <v>150.0</v>
      </c>
      <c r="I62" s="171">
        <v>80.0</v>
      </c>
      <c r="J62" s="172">
        <f t="shared" si="2"/>
        <v>0.00165528759</v>
      </c>
      <c r="K62" s="173">
        <f t="shared" si="3"/>
        <v>1.903580728</v>
      </c>
      <c r="L62" s="174">
        <f t="shared" si="4"/>
        <v>35.90316688</v>
      </c>
      <c r="M62" s="175" t="str">
        <f t="shared" si="5"/>
        <v>Santigs67</v>
      </c>
      <c r="N62" s="176">
        <f>IFERROR(__xludf.DUMMYFUNCTION("""COMPUTED_VALUE"""),17.0)</f>
        <v>17</v>
      </c>
      <c r="O62" s="176"/>
      <c r="P62" s="165" t="s">
        <v>576</v>
      </c>
      <c r="Q62" s="165" t="s">
        <v>443</v>
      </c>
      <c r="R62" s="176"/>
      <c r="S62" s="176"/>
      <c r="T62" s="176"/>
      <c r="U62" s="176"/>
      <c r="V62" s="176"/>
      <c r="W62" s="176"/>
      <c r="X62" s="176"/>
      <c r="Y62" s="176"/>
      <c r="Z62" s="176"/>
      <c r="AA62" s="176"/>
    </row>
    <row r="63">
      <c r="A63" s="165" t="str">
        <f>iferror(VLOOKUP(P63,'DO NOT TOUCH Imported'!$A$1:$D$800,4,False),iferror(VLOOKUP(P63,'DO NOT TOUCH Imported'!$C$1:$D$800,2,False),"OOPS FIX ME"))</f>
        <v>Santigs67</v>
      </c>
      <c r="B63" s="165" t="s">
        <v>486</v>
      </c>
      <c r="C63" s="170" t="s">
        <v>1254</v>
      </c>
      <c r="D63" s="236" t="s">
        <v>437</v>
      </c>
      <c r="E63" s="237">
        <v>44292.0</v>
      </c>
      <c r="F63" s="170" t="s">
        <v>439</v>
      </c>
      <c r="G63" s="219"/>
      <c r="H63" s="171">
        <v>50.0</v>
      </c>
      <c r="I63" s="171">
        <v>50.0</v>
      </c>
      <c r="J63" s="172">
        <f t="shared" si="2"/>
        <v>0.0007181677027</v>
      </c>
      <c r="K63" s="173">
        <f t="shared" si="3"/>
        <v>0.8258928581</v>
      </c>
      <c r="L63" s="174">
        <f t="shared" si="4"/>
        <v>35.90316688</v>
      </c>
      <c r="M63" s="175" t="str">
        <f t="shared" si="5"/>
        <v>Santigs67</v>
      </c>
      <c r="N63" s="176">
        <f>IFERROR(__xludf.DUMMYFUNCTION("""COMPUTED_VALUE"""),18.0)</f>
        <v>18</v>
      </c>
      <c r="O63" s="176"/>
      <c r="P63" s="165" t="s">
        <v>576</v>
      </c>
      <c r="Q63" s="165" t="s">
        <v>486</v>
      </c>
      <c r="R63" s="176"/>
      <c r="S63" s="176"/>
      <c r="T63" s="176"/>
      <c r="U63" s="176"/>
      <c r="V63" s="176"/>
      <c r="W63" s="176"/>
      <c r="X63" s="176"/>
      <c r="Y63" s="176"/>
      <c r="Z63" s="176"/>
      <c r="AA63" s="176"/>
    </row>
    <row r="64">
      <c r="A64" s="165" t="str">
        <f>iferror(VLOOKUP(P64,'DO NOT TOUCH Imported'!$A$1:$D$800,4,False),iferror(VLOOKUP(P64,'DO NOT TOUCH Imported'!$C$1:$D$800,2,False),"OOPS FIX ME"))</f>
        <v>Santigs67</v>
      </c>
      <c r="B64" s="165" t="s">
        <v>440</v>
      </c>
      <c r="C64" s="170" t="s">
        <v>1257</v>
      </c>
      <c r="D64" s="236" t="s">
        <v>437</v>
      </c>
      <c r="E64" s="237">
        <v>44292.0</v>
      </c>
      <c r="F64" s="170" t="s">
        <v>439</v>
      </c>
      <c r="G64" s="219"/>
      <c r="H64" s="171">
        <v>70.0</v>
      </c>
      <c r="I64" s="171">
        <v>50.0</v>
      </c>
      <c r="J64" s="172">
        <f t="shared" si="2"/>
        <v>0.0008628017785</v>
      </c>
      <c r="K64" s="173">
        <f t="shared" si="3"/>
        <v>0.9922220452</v>
      </c>
      <c r="L64" s="174">
        <f t="shared" si="4"/>
        <v>35.90316688</v>
      </c>
      <c r="M64" s="175" t="str">
        <f t="shared" si="5"/>
        <v>Santigs67</v>
      </c>
      <c r="N64" s="176">
        <f>IFERROR(__xludf.DUMMYFUNCTION("""COMPUTED_VALUE"""),19.0)</f>
        <v>19</v>
      </c>
      <c r="O64" s="176"/>
      <c r="P64" s="165" t="s">
        <v>576</v>
      </c>
      <c r="Q64" s="165" t="s">
        <v>440</v>
      </c>
      <c r="R64" s="176"/>
      <c r="S64" s="176"/>
      <c r="T64" s="176"/>
      <c r="U64" s="176"/>
      <c r="V64" s="176"/>
      <c r="W64" s="176"/>
      <c r="X64" s="176"/>
      <c r="Y64" s="176"/>
      <c r="Z64" s="176"/>
      <c r="AA64" s="176"/>
    </row>
    <row r="65">
      <c r="A65" s="165" t="str">
        <f>iferror(VLOOKUP(P65,'DO NOT TOUCH Imported'!$A$1:$D$800,4,False),iferror(VLOOKUP(P65,'DO NOT TOUCH Imported'!$C$1:$D$800,2,False),"OOPS FIX ME"))</f>
        <v>Santigs67</v>
      </c>
      <c r="B65" s="165" t="s">
        <v>440</v>
      </c>
      <c r="C65" s="170" t="s">
        <v>1260</v>
      </c>
      <c r="D65" s="236" t="s">
        <v>437</v>
      </c>
      <c r="E65" s="237">
        <v>44293.0</v>
      </c>
      <c r="F65" s="170" t="s">
        <v>439</v>
      </c>
      <c r="G65" s="219"/>
      <c r="H65" s="171">
        <v>70.0</v>
      </c>
      <c r="I65" s="171">
        <v>50.0</v>
      </c>
      <c r="J65" s="172">
        <f t="shared" si="2"/>
        <v>0.0008628017785</v>
      </c>
      <c r="K65" s="173">
        <f t="shared" si="3"/>
        <v>0.9922220452</v>
      </c>
      <c r="L65" s="174">
        <f t="shared" si="4"/>
        <v>35.90316688</v>
      </c>
      <c r="M65" s="175" t="str">
        <f t="shared" si="5"/>
        <v>Santigs67</v>
      </c>
      <c r="N65" s="176">
        <f>IFERROR(__xludf.DUMMYFUNCTION("""COMPUTED_VALUE"""),20.0)</f>
        <v>20</v>
      </c>
      <c r="O65" s="176"/>
      <c r="P65" s="165" t="s">
        <v>576</v>
      </c>
      <c r="Q65" s="165" t="s">
        <v>440</v>
      </c>
      <c r="R65" s="176"/>
      <c r="S65" s="176"/>
      <c r="T65" s="176"/>
      <c r="U65" s="176"/>
      <c r="V65" s="176"/>
      <c r="W65" s="176"/>
      <c r="X65" s="176"/>
      <c r="Y65" s="176"/>
      <c r="Z65" s="176"/>
      <c r="AA65" s="176"/>
    </row>
    <row r="66">
      <c r="A66" s="165" t="str">
        <f>iferror(VLOOKUP(P66,'DO NOT TOUCH Imported'!$A$1:$D$800,4,False),iferror(VLOOKUP(P66,'DO NOT TOUCH Imported'!$C$1:$D$800,2,False),"OOPS FIX ME"))</f>
        <v>Santigs67</v>
      </c>
      <c r="B66" s="165" t="s">
        <v>441</v>
      </c>
      <c r="C66" s="170" t="s">
        <v>1263</v>
      </c>
      <c r="D66" s="236" t="s">
        <v>437</v>
      </c>
      <c r="E66" s="237">
        <v>44295.0</v>
      </c>
      <c r="F66" s="170" t="s">
        <v>439</v>
      </c>
      <c r="G66" s="219"/>
      <c r="H66" s="171">
        <v>150.0</v>
      </c>
      <c r="I66" s="171">
        <v>100.0</v>
      </c>
      <c r="J66" s="172">
        <f t="shared" si="2"/>
        <v>0.001797920595</v>
      </c>
      <c r="K66" s="173">
        <f t="shared" si="3"/>
        <v>2.067608684</v>
      </c>
      <c r="L66" s="174">
        <f t="shared" si="4"/>
        <v>35.90316688</v>
      </c>
      <c r="M66" s="175" t="str">
        <f t="shared" si="5"/>
        <v>Santigs67</v>
      </c>
      <c r="N66" s="176">
        <f>IFERROR(__xludf.DUMMYFUNCTION("""COMPUTED_VALUE"""),21.0)</f>
        <v>21</v>
      </c>
      <c r="O66" s="176"/>
      <c r="P66" s="165" t="s">
        <v>576</v>
      </c>
      <c r="Q66" s="165" t="s">
        <v>441</v>
      </c>
      <c r="R66" s="176"/>
      <c r="S66" s="176"/>
      <c r="T66" s="176"/>
      <c r="U66" s="176"/>
      <c r="V66" s="176"/>
      <c r="W66" s="176"/>
      <c r="X66" s="176"/>
      <c r="Y66" s="176"/>
      <c r="Z66" s="176"/>
      <c r="AA66" s="176"/>
    </row>
    <row r="67">
      <c r="A67" s="165" t="str">
        <f>iferror(VLOOKUP(P67,'DO NOT TOUCH Imported'!$A$1:$D$800,4,False),iferror(VLOOKUP(P67,'DO NOT TOUCH Imported'!$C$1:$D$800,2,False),"OOPS FIX ME"))</f>
        <v>Santigs67</v>
      </c>
      <c r="B67" s="165" t="s">
        <v>441</v>
      </c>
      <c r="C67" s="170" t="s">
        <v>1280</v>
      </c>
      <c r="D67" s="236" t="s">
        <v>437</v>
      </c>
      <c r="E67" s="237">
        <v>44295.0</v>
      </c>
      <c r="F67" s="170" t="s">
        <v>439</v>
      </c>
      <c r="G67" s="219"/>
      <c r="H67" s="171">
        <v>150.0</v>
      </c>
      <c r="I67" s="171">
        <v>150.0</v>
      </c>
      <c r="J67" s="172">
        <f t="shared" si="2"/>
        <v>0.002154503108</v>
      </c>
      <c r="K67" s="173">
        <f t="shared" si="3"/>
        <v>2.477678574</v>
      </c>
      <c r="L67" s="174">
        <f t="shared" si="4"/>
        <v>35.90316688</v>
      </c>
      <c r="M67" s="175" t="str">
        <f t="shared" si="5"/>
        <v>Santigs67</v>
      </c>
      <c r="N67" s="176">
        <f>IFERROR(__xludf.DUMMYFUNCTION("""COMPUTED_VALUE"""),22.0)</f>
        <v>22</v>
      </c>
      <c r="O67" s="176"/>
      <c r="P67" s="165" t="s">
        <v>576</v>
      </c>
      <c r="Q67" s="165" t="s">
        <v>441</v>
      </c>
      <c r="R67" s="176"/>
      <c r="S67" s="176"/>
      <c r="T67" s="176"/>
      <c r="U67" s="176"/>
      <c r="V67" s="176"/>
      <c r="W67" s="176"/>
      <c r="X67" s="176"/>
      <c r="Y67" s="176"/>
      <c r="Z67" s="176"/>
      <c r="AA67" s="176"/>
    </row>
    <row r="68">
      <c r="A68" s="165" t="str">
        <f>iferror(VLOOKUP(P68,'DO NOT TOUCH Imported'!$A$1:$D$800,4,False),iferror(VLOOKUP(P68,'DO NOT TOUCH Imported'!$C$1:$D$800,2,False),"OOPS FIX ME"))</f>
        <v>Santigs67</v>
      </c>
      <c r="B68" s="165" t="s">
        <v>441</v>
      </c>
      <c r="C68" s="170" t="s">
        <v>1264</v>
      </c>
      <c r="D68" s="236" t="s">
        <v>437</v>
      </c>
      <c r="E68" s="237">
        <v>44295.0</v>
      </c>
      <c r="F68" s="170" t="s">
        <v>439</v>
      </c>
      <c r="G68" s="219"/>
      <c r="H68" s="171">
        <v>100.0</v>
      </c>
      <c r="I68" s="171">
        <v>80.0</v>
      </c>
      <c r="J68" s="172">
        <f t="shared" si="2"/>
        <v>0.0012937024</v>
      </c>
      <c r="K68" s="173">
        <f t="shared" si="3"/>
        <v>1.48775776</v>
      </c>
      <c r="L68" s="174">
        <f t="shared" si="4"/>
        <v>35.90316688</v>
      </c>
      <c r="M68" s="175" t="str">
        <f t="shared" si="5"/>
        <v>Santigs67</v>
      </c>
      <c r="N68" s="176">
        <f>IFERROR(__xludf.DUMMYFUNCTION("""COMPUTED_VALUE"""),23.0)</f>
        <v>23</v>
      </c>
      <c r="O68" s="176"/>
      <c r="P68" s="165" t="s">
        <v>576</v>
      </c>
      <c r="Q68" s="165" t="s">
        <v>441</v>
      </c>
      <c r="R68" s="176"/>
      <c r="S68" s="176"/>
      <c r="T68" s="176"/>
      <c r="U68" s="176"/>
      <c r="V68" s="176"/>
      <c r="W68" s="176"/>
      <c r="X68" s="176"/>
      <c r="Y68" s="176"/>
      <c r="Z68" s="176"/>
      <c r="AA68" s="176"/>
    </row>
    <row r="69">
      <c r="A69" s="165" t="str">
        <f>iferror(VLOOKUP(P69,'DO NOT TOUCH Imported'!$A$1:$D$800,4,False),iferror(VLOOKUP(P69,'DO NOT TOUCH Imported'!$C$1:$D$800,2,False),"OOPS FIX ME"))</f>
        <v>Santigs67</v>
      </c>
      <c r="B69" s="165" t="s">
        <v>441</v>
      </c>
      <c r="C69" s="170" t="s">
        <v>1267</v>
      </c>
      <c r="D69" s="236" t="s">
        <v>437</v>
      </c>
      <c r="E69" s="237">
        <v>44295.0</v>
      </c>
      <c r="F69" s="170" t="s">
        <v>439</v>
      </c>
      <c r="G69" s="219"/>
      <c r="H69" s="171">
        <v>50.0</v>
      </c>
      <c r="I69" s="171">
        <v>50.0</v>
      </c>
      <c r="J69" s="172">
        <f t="shared" si="2"/>
        <v>0.0007181677027</v>
      </c>
      <c r="K69" s="173">
        <f t="shared" si="3"/>
        <v>0.8258928581</v>
      </c>
      <c r="L69" s="174">
        <f t="shared" si="4"/>
        <v>35.90316688</v>
      </c>
      <c r="M69" s="175" t="str">
        <f t="shared" si="5"/>
        <v>Santigs67</v>
      </c>
      <c r="N69" s="176">
        <f>IFERROR(__xludf.DUMMYFUNCTION("""COMPUTED_VALUE"""),24.0)</f>
        <v>24</v>
      </c>
      <c r="O69" s="176"/>
      <c r="P69" s="165" t="s">
        <v>576</v>
      </c>
      <c r="Q69" s="165" t="s">
        <v>441</v>
      </c>
      <c r="R69" s="176"/>
      <c r="S69" s="176"/>
      <c r="T69" s="176"/>
      <c r="U69" s="176"/>
      <c r="V69" s="176"/>
      <c r="W69" s="176"/>
      <c r="X69" s="176"/>
      <c r="Y69" s="176"/>
      <c r="Z69" s="176"/>
      <c r="AA69" s="176"/>
    </row>
    <row r="70">
      <c r="A70" s="165" t="str">
        <f>iferror(VLOOKUP(P70,'DO NOT TOUCH Imported'!$A$1:$D$800,4,False),iferror(VLOOKUP(P70,'DO NOT TOUCH Imported'!$C$1:$D$800,2,False),"OOPS FIX ME"))</f>
        <v>Santigs67</v>
      </c>
      <c r="B70" s="165" t="s">
        <v>441</v>
      </c>
      <c r="C70" s="170" t="s">
        <v>1269</v>
      </c>
      <c r="D70" s="236" t="s">
        <v>437</v>
      </c>
      <c r="E70" s="237">
        <v>44295.0</v>
      </c>
      <c r="F70" s="170" t="s">
        <v>439</v>
      </c>
      <c r="G70" s="219"/>
      <c r="H70" s="171">
        <v>60.0</v>
      </c>
      <c r="I70" s="171">
        <v>50.0</v>
      </c>
      <c r="J70" s="172">
        <f t="shared" si="2"/>
        <v>0.0007904847406</v>
      </c>
      <c r="K70" s="173">
        <f t="shared" si="3"/>
        <v>0.9090574516</v>
      </c>
      <c r="L70" s="174">
        <f t="shared" si="4"/>
        <v>35.90316688</v>
      </c>
      <c r="M70" s="175" t="str">
        <f t="shared" si="5"/>
        <v>Santigs67</v>
      </c>
      <c r="N70" s="176">
        <f>IFERROR(__xludf.DUMMYFUNCTION("""COMPUTED_VALUE"""),25.0)</f>
        <v>25</v>
      </c>
      <c r="O70" s="176"/>
      <c r="P70" s="165" t="s">
        <v>576</v>
      </c>
      <c r="Q70" s="165" t="s">
        <v>441</v>
      </c>
      <c r="R70" s="176"/>
      <c r="S70" s="176"/>
      <c r="T70" s="176"/>
      <c r="U70" s="176"/>
      <c r="V70" s="176"/>
      <c r="W70" s="176"/>
      <c r="X70" s="176"/>
      <c r="Y70" s="176"/>
      <c r="Z70" s="176"/>
      <c r="AA70" s="176"/>
    </row>
    <row r="71">
      <c r="A71" s="165" t="str">
        <f>iferror(VLOOKUP(P71,'DO NOT TOUCH Imported'!$A$1:$D$800,4,False),iferror(VLOOKUP(P71,'DO NOT TOUCH Imported'!$C$1:$D$800,2,False),"OOPS FIX ME"))</f>
        <v>Vyvy-vi#5040</v>
      </c>
      <c r="B71" s="165" t="s">
        <v>486</v>
      </c>
      <c r="C71" s="170" t="s">
        <v>1281</v>
      </c>
      <c r="D71" s="236" t="s">
        <v>437</v>
      </c>
      <c r="E71" s="239">
        <v>44283.0</v>
      </c>
      <c r="F71" s="170" t="s">
        <v>439</v>
      </c>
      <c r="G71" s="219"/>
      <c r="H71" s="171">
        <v>100.0</v>
      </c>
      <c r="I71" s="171">
        <v>200.0</v>
      </c>
      <c r="J71" s="172">
        <f t="shared" si="2"/>
        <v>0.002149500432</v>
      </c>
      <c r="K71" s="173">
        <f t="shared" si="3"/>
        <v>2.471925496</v>
      </c>
      <c r="L71" s="174">
        <f t="shared" si="4"/>
        <v>31.40348907</v>
      </c>
      <c r="M71" s="175" t="str">
        <f t="shared" si="5"/>
        <v>Vyvy-vi#5040</v>
      </c>
      <c r="N71" s="176">
        <f>IFERROR(__xludf.DUMMYFUNCTION("""COMPUTED_VALUE"""),1.0)</f>
        <v>1</v>
      </c>
      <c r="O71" s="176"/>
      <c r="P71" s="165" t="s">
        <v>20</v>
      </c>
      <c r="Q71" s="165" t="s">
        <v>486</v>
      </c>
      <c r="R71" s="176"/>
      <c r="S71" s="176"/>
      <c r="T71" s="176"/>
      <c r="U71" s="176"/>
      <c r="V71" s="176"/>
      <c r="W71" s="176"/>
      <c r="X71" s="176"/>
      <c r="Y71" s="176"/>
      <c r="Z71" s="176"/>
      <c r="AA71" s="176"/>
    </row>
    <row r="72">
      <c r="A72" s="165" t="str">
        <f>iferror(VLOOKUP(P72,'DO NOT TOUCH Imported'!$A$1:$D$800,4,False),iferror(VLOOKUP(P72,'DO NOT TOUCH Imported'!$C$1:$D$800,2,False),"OOPS FIX ME"))</f>
        <v>Laurenluz</v>
      </c>
      <c r="B72" s="165" t="s">
        <v>10</v>
      </c>
      <c r="C72" s="170" t="s">
        <v>498</v>
      </c>
      <c r="D72" s="236" t="s">
        <v>495</v>
      </c>
      <c r="E72" s="239">
        <v>44282.0</v>
      </c>
      <c r="F72" s="170" t="s">
        <v>499</v>
      </c>
      <c r="G72" s="219"/>
      <c r="H72" s="171">
        <v>20.0</v>
      </c>
      <c r="I72" s="171">
        <v>25.0</v>
      </c>
      <c r="J72" s="172">
        <f t="shared" si="2"/>
        <v>0.0003229253324</v>
      </c>
      <c r="K72" s="173">
        <f t="shared" si="3"/>
        <v>0.3713641322</v>
      </c>
      <c r="L72" s="174">
        <f t="shared" si="4"/>
        <v>17.81776325</v>
      </c>
      <c r="M72" s="175" t="str">
        <f t="shared" si="5"/>
        <v>Laurenluz</v>
      </c>
      <c r="N72" s="176">
        <f>IFERROR(__xludf.DUMMYFUNCTION("""COMPUTED_VALUE"""),1.0)</f>
        <v>1</v>
      </c>
      <c r="O72" s="176"/>
      <c r="P72" s="165" t="s">
        <v>23</v>
      </c>
      <c r="Q72" s="165" t="s">
        <v>10</v>
      </c>
      <c r="R72" s="176"/>
      <c r="S72" s="176"/>
      <c r="T72" s="176"/>
      <c r="U72" s="176"/>
      <c r="V72" s="176"/>
      <c r="W72" s="176"/>
      <c r="X72" s="176"/>
      <c r="Y72" s="176"/>
      <c r="Z72" s="176"/>
      <c r="AA72" s="176"/>
    </row>
    <row r="73">
      <c r="A73" s="165" t="str">
        <f>iferror(VLOOKUP(P73,'DO NOT TOUCH Imported'!$A$1:$D$800,4,False),iferror(VLOOKUP(P73,'DO NOT TOUCH Imported'!$C$1:$D$800,2,False),"OOPS FIX ME"))</f>
        <v>Laurenluz</v>
      </c>
      <c r="B73" s="165" t="s">
        <v>10</v>
      </c>
      <c r="C73" s="170" t="s">
        <v>500</v>
      </c>
      <c r="D73" s="236" t="s">
        <v>495</v>
      </c>
      <c r="E73" s="239">
        <v>44282.0</v>
      </c>
      <c r="F73" s="170" t="s">
        <v>496</v>
      </c>
      <c r="G73" s="219"/>
      <c r="H73" s="171">
        <v>20.0</v>
      </c>
      <c r="I73" s="171">
        <v>25.0</v>
      </c>
      <c r="J73" s="172">
        <f t="shared" si="2"/>
        <v>0.0003229253324</v>
      </c>
      <c r="K73" s="173">
        <f t="shared" si="3"/>
        <v>0.3713641322</v>
      </c>
      <c r="L73" s="174">
        <f t="shared" si="4"/>
        <v>17.81776325</v>
      </c>
      <c r="M73" s="175" t="str">
        <f t="shared" si="5"/>
        <v>Laurenluz</v>
      </c>
      <c r="N73" s="176">
        <f>IFERROR(__xludf.DUMMYFUNCTION("""COMPUTED_VALUE"""),2.0)</f>
        <v>2</v>
      </c>
      <c r="O73" s="176"/>
      <c r="P73" s="165" t="s">
        <v>23</v>
      </c>
      <c r="Q73" s="165" t="s">
        <v>10</v>
      </c>
      <c r="R73" s="176"/>
      <c r="S73" s="176"/>
      <c r="T73" s="176"/>
      <c r="U73" s="176"/>
      <c r="V73" s="176"/>
      <c r="W73" s="176"/>
      <c r="X73" s="176"/>
      <c r="Y73" s="176"/>
      <c r="Z73" s="176"/>
      <c r="AA73" s="176"/>
    </row>
    <row r="74">
      <c r="A74" s="165" t="str">
        <f>iferror(VLOOKUP(P74,'DO NOT TOUCH Imported'!$A$1:$D$800,4,False),iferror(VLOOKUP(P74,'DO NOT TOUCH Imported'!$C$1:$D$800,2,False),"OOPS FIX ME"))</f>
        <v>Laurenluz</v>
      </c>
      <c r="B74" s="165" t="s">
        <v>873</v>
      </c>
      <c r="C74" s="170" t="s">
        <v>1282</v>
      </c>
      <c r="D74" s="236" t="s">
        <v>495</v>
      </c>
      <c r="E74" s="239">
        <v>44283.0</v>
      </c>
      <c r="F74" s="170" t="s">
        <v>499</v>
      </c>
      <c r="G74" s="219"/>
      <c r="H74" s="171">
        <v>100.0</v>
      </c>
      <c r="I74" s="171">
        <v>100.0</v>
      </c>
      <c r="J74" s="172">
        <f t="shared" si="2"/>
        <v>0.001436335405</v>
      </c>
      <c r="K74" s="173">
        <f t="shared" si="3"/>
        <v>1.651785716</v>
      </c>
      <c r="L74" s="174">
        <f t="shared" si="4"/>
        <v>17.81776325</v>
      </c>
      <c r="M74" s="175" t="str">
        <f t="shared" si="5"/>
        <v>Laurenluz</v>
      </c>
      <c r="N74" s="176">
        <f>IFERROR(__xludf.DUMMYFUNCTION("""COMPUTED_VALUE"""),3.0)</f>
        <v>3</v>
      </c>
      <c r="O74" s="176"/>
      <c r="P74" s="165" t="s">
        <v>23</v>
      </c>
      <c r="Q74" s="165" t="s">
        <v>873</v>
      </c>
      <c r="R74" s="176"/>
      <c r="S74" s="176"/>
      <c r="T74" s="176"/>
      <c r="U74" s="176"/>
      <c r="V74" s="176"/>
      <c r="W74" s="176"/>
      <c r="X74" s="176"/>
      <c r="Y74" s="176"/>
      <c r="Z74" s="176"/>
      <c r="AA74" s="176"/>
    </row>
    <row r="75">
      <c r="A75" s="165" t="str">
        <f>iferror(VLOOKUP(P75,'DO NOT TOUCH Imported'!$A$1:$D$800,4,False),iferror(VLOOKUP(P75,'DO NOT TOUCH Imported'!$C$1:$D$800,2,False),"OOPS FIX ME"))</f>
        <v>Laurenluz</v>
      </c>
      <c r="B75" s="165" t="s">
        <v>519</v>
      </c>
      <c r="C75" s="170" t="s">
        <v>668</v>
      </c>
      <c r="D75" s="236" t="s">
        <v>495</v>
      </c>
      <c r="E75" s="239">
        <v>44286.0</v>
      </c>
      <c r="F75" s="170" t="s">
        <v>521</v>
      </c>
      <c r="G75" s="219"/>
      <c r="H75" s="171">
        <v>50.0</v>
      </c>
      <c r="I75" s="171">
        <v>50.0</v>
      </c>
      <c r="J75" s="172">
        <f t="shared" si="2"/>
        <v>0.0007181677027</v>
      </c>
      <c r="K75" s="173">
        <f t="shared" si="3"/>
        <v>0.8258928581</v>
      </c>
      <c r="L75" s="174">
        <f t="shared" si="4"/>
        <v>17.81776325</v>
      </c>
      <c r="M75" s="175" t="str">
        <f t="shared" si="5"/>
        <v>Laurenluz</v>
      </c>
      <c r="N75" s="176">
        <f>IFERROR(__xludf.DUMMYFUNCTION("""COMPUTED_VALUE"""),4.0)</f>
        <v>4</v>
      </c>
      <c r="O75" s="176"/>
      <c r="P75" s="165" t="s">
        <v>23</v>
      </c>
      <c r="Q75" s="165" t="s">
        <v>519</v>
      </c>
      <c r="R75" s="176"/>
      <c r="S75" s="176"/>
      <c r="T75" s="176"/>
      <c r="U75" s="176"/>
      <c r="V75" s="176"/>
      <c r="W75" s="176"/>
      <c r="X75" s="176"/>
      <c r="Y75" s="176"/>
      <c r="Z75" s="176"/>
      <c r="AA75" s="176"/>
    </row>
    <row r="76">
      <c r="A76" s="165" t="str">
        <f>iferror(VLOOKUP(P76,'DO NOT TOUCH Imported'!$A$1:$D$800,4,False),iferror(VLOOKUP(P76,'DO NOT TOUCH Imported'!$C$1:$D$800,2,False),"OOPS FIX ME"))</f>
        <v>Laurenluz</v>
      </c>
      <c r="B76" s="165" t="s">
        <v>10</v>
      </c>
      <c r="C76" s="170" t="s">
        <v>498</v>
      </c>
      <c r="D76" s="236" t="s">
        <v>495</v>
      </c>
      <c r="E76" s="239">
        <v>44288.0</v>
      </c>
      <c r="F76" s="170" t="s">
        <v>499</v>
      </c>
      <c r="G76" s="219"/>
      <c r="H76" s="171">
        <v>20.0</v>
      </c>
      <c r="I76" s="171">
        <v>15.0</v>
      </c>
      <c r="J76" s="172">
        <f t="shared" si="2"/>
        <v>0.0002516088297</v>
      </c>
      <c r="K76" s="173">
        <f t="shared" si="3"/>
        <v>0.2893501542</v>
      </c>
      <c r="L76" s="174">
        <f t="shared" si="4"/>
        <v>17.81776325</v>
      </c>
      <c r="M76" s="175" t="str">
        <f t="shared" si="5"/>
        <v>Laurenluz</v>
      </c>
      <c r="N76" s="176">
        <f>IFERROR(__xludf.DUMMYFUNCTION("""COMPUTED_VALUE"""),5.0)</f>
        <v>5</v>
      </c>
      <c r="O76" s="176"/>
      <c r="P76" s="165" t="s">
        <v>23</v>
      </c>
      <c r="Q76" s="165" t="s">
        <v>10</v>
      </c>
      <c r="R76" s="176"/>
      <c r="S76" s="176"/>
      <c r="T76" s="176"/>
      <c r="U76" s="176"/>
      <c r="V76" s="176"/>
      <c r="W76" s="176"/>
      <c r="X76" s="176"/>
      <c r="Y76" s="176"/>
      <c r="Z76" s="176"/>
      <c r="AA76" s="176"/>
    </row>
    <row r="77">
      <c r="A77" s="165" t="str">
        <f>iferror(VLOOKUP(P77,'DO NOT TOUCH Imported'!$A$1:$D$800,4,False),iferror(VLOOKUP(P77,'DO NOT TOUCH Imported'!$C$1:$D$800,2,False),"OOPS FIX ME"))</f>
        <v>Laurenluz</v>
      </c>
      <c r="B77" s="165" t="s">
        <v>10</v>
      </c>
      <c r="C77" s="170" t="s">
        <v>500</v>
      </c>
      <c r="D77" s="236" t="s">
        <v>495</v>
      </c>
      <c r="E77" s="239">
        <v>44289.0</v>
      </c>
      <c r="F77" s="170" t="s">
        <v>496</v>
      </c>
      <c r="G77" s="219"/>
      <c r="H77" s="171">
        <v>20.0</v>
      </c>
      <c r="I77" s="171">
        <v>15.0</v>
      </c>
      <c r="J77" s="172">
        <f t="shared" si="2"/>
        <v>0.0002516088297</v>
      </c>
      <c r="K77" s="173">
        <f t="shared" si="3"/>
        <v>0.2893501542</v>
      </c>
      <c r="L77" s="174">
        <f t="shared" si="4"/>
        <v>17.81776325</v>
      </c>
      <c r="M77" s="175" t="str">
        <f t="shared" si="5"/>
        <v>Laurenluz</v>
      </c>
      <c r="N77" s="176">
        <f>IFERROR(__xludf.DUMMYFUNCTION("""COMPUTED_VALUE"""),6.0)</f>
        <v>6</v>
      </c>
      <c r="O77" s="176"/>
      <c r="P77" s="165" t="s">
        <v>23</v>
      </c>
      <c r="Q77" s="165" t="s">
        <v>10</v>
      </c>
      <c r="R77" s="176"/>
      <c r="S77" s="176"/>
      <c r="T77" s="176"/>
      <c r="U77" s="176"/>
      <c r="V77" s="176"/>
      <c r="W77" s="176"/>
      <c r="X77" s="176"/>
      <c r="Y77" s="176"/>
      <c r="Z77" s="176"/>
      <c r="AA77" s="176"/>
    </row>
    <row r="78">
      <c r="A78" s="165" t="str">
        <f>iferror(VLOOKUP(P78,'DO NOT TOUCH Imported'!$A$1:$D$800,4,False),iferror(VLOOKUP(P78,'DO NOT TOUCH Imported'!$C$1:$D$800,2,False),"OOPS FIX ME"))</f>
        <v>Laurenluz</v>
      </c>
      <c r="B78" s="165" t="s">
        <v>519</v>
      </c>
      <c r="C78" s="170" t="s">
        <v>668</v>
      </c>
      <c r="D78" s="236" t="s">
        <v>495</v>
      </c>
      <c r="E78" s="239">
        <v>44293.0</v>
      </c>
      <c r="F78" s="170" t="s">
        <v>521</v>
      </c>
      <c r="G78" s="219"/>
      <c r="H78" s="171">
        <v>60.0</v>
      </c>
      <c r="I78" s="171">
        <v>50.0</v>
      </c>
      <c r="J78" s="172">
        <f t="shared" si="2"/>
        <v>0.0007904847406</v>
      </c>
      <c r="K78" s="173">
        <f t="shared" si="3"/>
        <v>0.9090574516</v>
      </c>
      <c r="L78" s="174">
        <f t="shared" si="4"/>
        <v>17.81776325</v>
      </c>
      <c r="M78" s="175" t="str">
        <f t="shared" si="5"/>
        <v>Laurenluz</v>
      </c>
      <c r="N78" s="176">
        <f>IFERROR(__xludf.DUMMYFUNCTION("""COMPUTED_VALUE"""),7.0)</f>
        <v>7</v>
      </c>
      <c r="O78" s="176"/>
      <c r="P78" s="165" t="s">
        <v>23</v>
      </c>
      <c r="Q78" s="165" t="s">
        <v>519</v>
      </c>
      <c r="R78" s="176"/>
      <c r="S78" s="176"/>
      <c r="T78" s="176"/>
      <c r="U78" s="176"/>
      <c r="V78" s="176"/>
      <c r="W78" s="176"/>
      <c r="X78" s="176"/>
      <c r="Y78" s="176"/>
      <c r="Z78" s="176"/>
      <c r="AA78" s="176"/>
    </row>
    <row r="79">
      <c r="A79" s="165" t="str">
        <f>iferror(VLOOKUP(P79,'DO NOT TOUCH Imported'!$A$1:$D$800,4,False),iferror(VLOOKUP(P79,'DO NOT TOUCH Imported'!$C$1:$D$800,2,False),"OOPS FIX ME"))</f>
        <v>Laurenluz</v>
      </c>
      <c r="B79" s="165" t="s">
        <v>590</v>
      </c>
      <c r="C79" s="170" t="s">
        <v>1283</v>
      </c>
      <c r="D79" s="236" t="s">
        <v>495</v>
      </c>
      <c r="E79" s="239">
        <v>44293.0</v>
      </c>
      <c r="F79" s="170" t="s">
        <v>592</v>
      </c>
      <c r="G79" s="219"/>
      <c r="H79" s="171">
        <v>100.0</v>
      </c>
      <c r="I79" s="171">
        <v>100.0</v>
      </c>
      <c r="J79" s="172">
        <f t="shared" si="2"/>
        <v>0.001436335405</v>
      </c>
      <c r="K79" s="173">
        <f t="shared" si="3"/>
        <v>1.651785716</v>
      </c>
      <c r="L79" s="174">
        <f t="shared" si="4"/>
        <v>17.81776325</v>
      </c>
      <c r="M79" s="175" t="str">
        <f t="shared" si="5"/>
        <v>Laurenluz</v>
      </c>
      <c r="N79" s="176">
        <f>IFERROR(__xludf.DUMMYFUNCTION("""COMPUTED_VALUE"""),8.0)</f>
        <v>8</v>
      </c>
      <c r="O79" s="176"/>
      <c r="P79" s="165" t="s">
        <v>23</v>
      </c>
      <c r="Q79" s="165" t="s">
        <v>590</v>
      </c>
      <c r="R79" s="176"/>
      <c r="S79" s="176"/>
      <c r="T79" s="176"/>
      <c r="U79" s="176"/>
      <c r="V79" s="176"/>
      <c r="W79" s="176"/>
      <c r="X79" s="176"/>
      <c r="Y79" s="176"/>
      <c r="Z79" s="176"/>
      <c r="AA79" s="176"/>
    </row>
    <row r="80">
      <c r="A80" s="165" t="str">
        <f>iferror(VLOOKUP(P80,'DO NOT TOUCH Imported'!$A$1:$D$800,4,False),iferror(VLOOKUP(P80,'DO NOT TOUCH Imported'!$C$1:$D$800,2,False),"OOPS FIX ME"))</f>
        <v>Laurenluz</v>
      </c>
      <c r="B80" s="165" t="s">
        <v>10</v>
      </c>
      <c r="C80" s="170" t="s">
        <v>498</v>
      </c>
      <c r="D80" s="236" t="s">
        <v>495</v>
      </c>
      <c r="E80" s="239">
        <v>44295.0</v>
      </c>
      <c r="F80" s="170" t="s">
        <v>499</v>
      </c>
      <c r="G80" s="219"/>
      <c r="H80" s="171">
        <v>20.0</v>
      </c>
      <c r="I80" s="171">
        <v>25.0</v>
      </c>
      <c r="J80" s="172">
        <f t="shared" si="2"/>
        <v>0.0003229253324</v>
      </c>
      <c r="K80" s="173">
        <f t="shared" si="3"/>
        <v>0.3713641322</v>
      </c>
      <c r="L80" s="174">
        <f t="shared" si="4"/>
        <v>17.81776325</v>
      </c>
      <c r="M80" s="175" t="str">
        <f t="shared" si="5"/>
        <v>Laurenluz</v>
      </c>
      <c r="N80" s="176">
        <f>IFERROR(__xludf.DUMMYFUNCTION("""COMPUTED_VALUE"""),9.0)</f>
        <v>9</v>
      </c>
      <c r="O80" s="176"/>
      <c r="P80" s="165" t="s">
        <v>23</v>
      </c>
      <c r="Q80" s="165" t="s">
        <v>10</v>
      </c>
      <c r="R80" s="176"/>
      <c r="S80" s="176"/>
      <c r="T80" s="176"/>
      <c r="U80" s="176"/>
      <c r="V80" s="176"/>
      <c r="W80" s="176"/>
      <c r="X80" s="176"/>
      <c r="Y80" s="176"/>
      <c r="Z80" s="176"/>
      <c r="AA80" s="176"/>
    </row>
    <row r="81">
      <c r="A81" s="165" t="str">
        <f>iferror(VLOOKUP(P81,'DO NOT TOUCH Imported'!$A$1:$D$800,4,False),iferror(VLOOKUP(P81,'DO NOT TOUCH Imported'!$C$1:$D$800,2,False),"OOPS FIX ME"))</f>
        <v>Laurenluz</v>
      </c>
      <c r="B81" s="165" t="s">
        <v>492</v>
      </c>
      <c r="C81" s="170" t="s">
        <v>1284</v>
      </c>
      <c r="D81" s="236" t="s">
        <v>437</v>
      </c>
      <c r="E81" s="239">
        <v>44284.0</v>
      </c>
      <c r="F81" s="170" t="s">
        <v>439</v>
      </c>
      <c r="G81" s="219"/>
      <c r="H81" s="171">
        <v>100.0</v>
      </c>
      <c r="I81" s="171">
        <v>100.0</v>
      </c>
      <c r="J81" s="172">
        <f t="shared" si="2"/>
        <v>0.001436335405</v>
      </c>
      <c r="K81" s="173">
        <f t="shared" si="3"/>
        <v>1.651785716</v>
      </c>
      <c r="L81" s="174">
        <f t="shared" si="4"/>
        <v>17.81776325</v>
      </c>
      <c r="M81" s="175" t="str">
        <f t="shared" si="5"/>
        <v>Laurenluz</v>
      </c>
      <c r="N81" s="176">
        <f>IFERROR(__xludf.DUMMYFUNCTION("""COMPUTED_VALUE"""),10.0)</f>
        <v>10</v>
      </c>
      <c r="O81" s="176"/>
      <c r="P81" s="165" t="s">
        <v>596</v>
      </c>
      <c r="Q81" s="165" t="s">
        <v>492</v>
      </c>
      <c r="R81" s="176"/>
      <c r="S81" s="176"/>
      <c r="T81" s="176"/>
      <c r="U81" s="176"/>
      <c r="V81" s="176"/>
      <c r="W81" s="176"/>
      <c r="X81" s="176"/>
      <c r="Y81" s="176"/>
      <c r="Z81" s="176"/>
      <c r="AA81" s="176"/>
    </row>
    <row r="82">
      <c r="A82" s="165" t="str">
        <f>iferror(VLOOKUP(P82,'DO NOT TOUCH Imported'!$A$1:$D$800,4,False),iferror(VLOOKUP(P82,'DO NOT TOUCH Imported'!$C$1:$D$800,2,False),"OOPS FIX ME"))</f>
        <v>Laurenluz</v>
      </c>
      <c r="B82" s="165" t="s">
        <v>530</v>
      </c>
      <c r="C82" s="170" t="s">
        <v>1285</v>
      </c>
      <c r="D82" s="236" t="s">
        <v>499</v>
      </c>
      <c r="E82" s="239">
        <v>44285.0</v>
      </c>
      <c r="F82" s="170" t="s">
        <v>503</v>
      </c>
      <c r="G82" s="219"/>
      <c r="H82" s="171">
        <v>60.0</v>
      </c>
      <c r="I82" s="171">
        <v>50.0</v>
      </c>
      <c r="J82" s="172">
        <f t="shared" si="2"/>
        <v>0.0007904847406</v>
      </c>
      <c r="K82" s="173">
        <f t="shared" si="3"/>
        <v>0.9090574516</v>
      </c>
      <c r="L82" s="174">
        <f t="shared" si="4"/>
        <v>17.81776325</v>
      </c>
      <c r="M82" s="175" t="str">
        <f t="shared" si="5"/>
        <v>Laurenluz</v>
      </c>
      <c r="N82" s="176">
        <f>IFERROR(__xludf.DUMMYFUNCTION("""COMPUTED_VALUE"""),11.0)</f>
        <v>11</v>
      </c>
      <c r="O82" s="176"/>
      <c r="P82" s="165" t="s">
        <v>596</v>
      </c>
      <c r="Q82" s="165" t="s">
        <v>530</v>
      </c>
      <c r="R82" s="176"/>
      <c r="S82" s="176"/>
      <c r="T82" s="176"/>
      <c r="U82" s="176"/>
      <c r="V82" s="176"/>
      <c r="W82" s="176"/>
      <c r="X82" s="176"/>
      <c r="Y82" s="176"/>
      <c r="Z82" s="176"/>
      <c r="AA82" s="176"/>
    </row>
    <row r="83">
      <c r="A83" s="165" t="str">
        <f>iferror(VLOOKUP(P83,'DO NOT TOUCH Imported'!$A$1:$D$800,4,False),iferror(VLOOKUP(P83,'DO NOT TOUCH Imported'!$C$1:$D$800,2,False),"OOPS FIX ME"))</f>
        <v>Laurenluz</v>
      </c>
      <c r="B83" s="165" t="s">
        <v>435</v>
      </c>
      <c r="C83" s="170" t="s">
        <v>1286</v>
      </c>
      <c r="D83" s="236" t="s">
        <v>437</v>
      </c>
      <c r="E83" s="239">
        <v>44287.0</v>
      </c>
      <c r="F83" s="170" t="s">
        <v>439</v>
      </c>
      <c r="G83" s="219"/>
      <c r="H83" s="171">
        <v>100.0</v>
      </c>
      <c r="I83" s="171">
        <v>100.0</v>
      </c>
      <c r="J83" s="172">
        <f t="shared" si="2"/>
        <v>0.001436335405</v>
      </c>
      <c r="K83" s="173">
        <f t="shared" si="3"/>
        <v>1.651785716</v>
      </c>
      <c r="L83" s="174">
        <f t="shared" si="4"/>
        <v>17.81776325</v>
      </c>
      <c r="M83" s="175" t="str">
        <f t="shared" si="5"/>
        <v>Laurenluz</v>
      </c>
      <c r="N83" s="176">
        <f>IFERROR(__xludf.DUMMYFUNCTION("""COMPUTED_VALUE"""),12.0)</f>
        <v>12</v>
      </c>
      <c r="O83" s="176"/>
      <c r="P83" s="165" t="s">
        <v>596</v>
      </c>
      <c r="Q83" s="165" t="s">
        <v>435</v>
      </c>
      <c r="R83" s="176"/>
      <c r="S83" s="176"/>
      <c r="T83" s="176"/>
      <c r="U83" s="176"/>
      <c r="V83" s="176"/>
      <c r="W83" s="176"/>
      <c r="X83" s="176"/>
      <c r="Y83" s="176"/>
      <c r="Z83" s="176"/>
      <c r="AA83" s="176"/>
    </row>
    <row r="84">
      <c r="A84" s="165" t="str">
        <f>iferror(VLOOKUP(P84,'DO NOT TOUCH Imported'!$A$1:$D$800,4,False),iferror(VLOOKUP(P84,'DO NOT TOUCH Imported'!$C$1:$D$800,2,False),"OOPS FIX ME"))</f>
        <v>Laurenluz</v>
      </c>
      <c r="B84" s="165" t="s">
        <v>450</v>
      </c>
      <c r="C84" s="170" t="s">
        <v>1287</v>
      </c>
      <c r="D84" s="236" t="s">
        <v>437</v>
      </c>
      <c r="E84" s="239">
        <v>44287.0</v>
      </c>
      <c r="F84" s="170" t="s">
        <v>439</v>
      </c>
      <c r="G84" s="219"/>
      <c r="H84" s="171">
        <v>100.0</v>
      </c>
      <c r="I84" s="171">
        <v>150.0</v>
      </c>
      <c r="J84" s="172">
        <f t="shared" si="2"/>
        <v>0.001792917919</v>
      </c>
      <c r="K84" s="173">
        <f t="shared" si="3"/>
        <v>2.061855606</v>
      </c>
      <c r="L84" s="174">
        <f t="shared" si="4"/>
        <v>17.81776325</v>
      </c>
      <c r="M84" s="175" t="str">
        <f t="shared" si="5"/>
        <v>Laurenluz</v>
      </c>
      <c r="N84" s="176">
        <f>IFERROR(__xludf.DUMMYFUNCTION("""COMPUTED_VALUE"""),13.0)</f>
        <v>13</v>
      </c>
      <c r="O84" s="176"/>
      <c r="P84" s="165" t="s">
        <v>596</v>
      </c>
      <c r="Q84" s="165" t="s">
        <v>450</v>
      </c>
      <c r="R84" s="176"/>
      <c r="S84" s="176"/>
      <c r="T84" s="176"/>
      <c r="U84" s="176"/>
      <c r="V84" s="176"/>
      <c r="W84" s="176"/>
      <c r="X84" s="176"/>
      <c r="Y84" s="176"/>
      <c r="Z84" s="176"/>
      <c r="AA84" s="176"/>
    </row>
    <row r="85">
      <c r="A85" s="165" t="str">
        <f>iferror(VLOOKUP(P85,'DO NOT TOUCH Imported'!$A$1:$D$800,4,False),iferror(VLOOKUP(P85,'DO NOT TOUCH Imported'!$C$1:$D$800,2,False),"OOPS FIX ME"))</f>
        <v>Laurenluz</v>
      </c>
      <c r="B85" s="165" t="s">
        <v>564</v>
      </c>
      <c r="C85" s="170" t="s">
        <v>1288</v>
      </c>
      <c r="D85" s="236" t="s">
        <v>499</v>
      </c>
      <c r="E85" s="239">
        <v>44287.0</v>
      </c>
      <c r="F85" s="170" t="s">
        <v>503</v>
      </c>
      <c r="G85" s="219"/>
      <c r="H85" s="171">
        <v>100.0</v>
      </c>
      <c r="I85" s="171">
        <v>150.0</v>
      </c>
      <c r="J85" s="172">
        <f t="shared" si="2"/>
        <v>0.001792917919</v>
      </c>
      <c r="K85" s="173">
        <f t="shared" si="3"/>
        <v>2.061855606</v>
      </c>
      <c r="L85" s="174">
        <f t="shared" si="4"/>
        <v>17.81776325</v>
      </c>
      <c r="M85" s="175" t="str">
        <f t="shared" si="5"/>
        <v>Laurenluz</v>
      </c>
      <c r="N85" s="176">
        <f>IFERROR(__xludf.DUMMYFUNCTION("""COMPUTED_VALUE"""),14.0)</f>
        <v>14</v>
      </c>
      <c r="O85" s="176"/>
      <c r="P85" s="165" t="s">
        <v>596</v>
      </c>
      <c r="Q85" s="165" t="s">
        <v>564</v>
      </c>
      <c r="R85" s="176"/>
      <c r="S85" s="176"/>
      <c r="T85" s="176"/>
      <c r="U85" s="176"/>
      <c r="V85" s="176"/>
      <c r="W85" s="176"/>
      <c r="X85" s="176"/>
      <c r="Y85" s="176"/>
      <c r="Z85" s="176"/>
      <c r="AA85" s="176"/>
    </row>
    <row r="86">
      <c r="A86" s="165" t="str">
        <f>iferror(VLOOKUP(P86,'DO NOT TOUCH Imported'!$A$1:$D$800,4,False),iferror(VLOOKUP(P86,'DO NOT TOUCH Imported'!$C$1:$D$800,2,False),"OOPS FIX ME"))</f>
        <v>Laurenluz</v>
      </c>
      <c r="B86" s="165" t="s">
        <v>441</v>
      </c>
      <c r="C86" s="170" t="s">
        <v>1289</v>
      </c>
      <c r="D86" s="236" t="s">
        <v>437</v>
      </c>
      <c r="E86" s="237">
        <v>44288.0</v>
      </c>
      <c r="F86" s="170" t="s">
        <v>439</v>
      </c>
      <c r="G86" s="219"/>
      <c r="H86" s="171">
        <v>70.0</v>
      </c>
      <c r="I86" s="171">
        <v>100.0</v>
      </c>
      <c r="J86" s="172">
        <f t="shared" si="2"/>
        <v>0.001219384292</v>
      </c>
      <c r="K86" s="173">
        <f t="shared" si="3"/>
        <v>1.402291935</v>
      </c>
      <c r="L86" s="174">
        <f t="shared" si="4"/>
        <v>17.81776325</v>
      </c>
      <c r="M86" s="175" t="str">
        <f t="shared" si="5"/>
        <v>Laurenluz</v>
      </c>
      <c r="N86" s="176">
        <f>IFERROR(__xludf.DUMMYFUNCTION("""COMPUTED_VALUE"""),15.0)</f>
        <v>15</v>
      </c>
      <c r="O86" s="176"/>
      <c r="P86" s="165" t="s">
        <v>596</v>
      </c>
      <c r="Q86" s="165" t="s">
        <v>441</v>
      </c>
      <c r="R86" s="176"/>
      <c r="S86" s="176"/>
      <c r="T86" s="176"/>
      <c r="U86" s="176"/>
      <c r="V86" s="176"/>
      <c r="W86" s="176"/>
      <c r="X86" s="176"/>
      <c r="Y86" s="176"/>
      <c r="Z86" s="176"/>
      <c r="AA86" s="176"/>
    </row>
    <row r="87">
      <c r="A87" s="165" t="str">
        <f>iferror(VLOOKUP(P87,'DO NOT TOUCH Imported'!$A$1:$D$800,4,False),iferror(VLOOKUP(P87,'DO NOT TOUCH Imported'!$C$1:$D$800,2,False),"OOPS FIX ME"))</f>
        <v>Laurenluz</v>
      </c>
      <c r="B87" s="165" t="s">
        <v>441</v>
      </c>
      <c r="C87" s="170" t="s">
        <v>1290</v>
      </c>
      <c r="D87" s="236" t="s">
        <v>437</v>
      </c>
      <c r="E87" s="237">
        <v>44288.0</v>
      </c>
      <c r="F87" s="170" t="s">
        <v>439</v>
      </c>
      <c r="G87" s="219"/>
      <c r="H87" s="171">
        <v>100.0</v>
      </c>
      <c r="I87" s="171">
        <v>100.0</v>
      </c>
      <c r="J87" s="172">
        <f t="shared" si="2"/>
        <v>0.001436335405</v>
      </c>
      <c r="K87" s="173">
        <f t="shared" si="3"/>
        <v>1.651785716</v>
      </c>
      <c r="L87" s="174">
        <f t="shared" si="4"/>
        <v>17.81776325</v>
      </c>
      <c r="M87" s="175" t="str">
        <f t="shared" si="5"/>
        <v>Laurenluz</v>
      </c>
      <c r="N87" s="176">
        <f>IFERROR(__xludf.DUMMYFUNCTION("""COMPUTED_VALUE"""),16.0)</f>
        <v>16</v>
      </c>
      <c r="O87" s="176"/>
      <c r="P87" s="165" t="s">
        <v>596</v>
      </c>
      <c r="Q87" s="165" t="s">
        <v>441</v>
      </c>
      <c r="R87" s="176"/>
      <c r="S87" s="176"/>
      <c r="T87" s="176"/>
      <c r="U87" s="176"/>
      <c r="V87" s="176"/>
      <c r="W87" s="176"/>
      <c r="X87" s="176"/>
      <c r="Y87" s="176"/>
      <c r="Z87" s="176"/>
      <c r="AA87" s="176"/>
    </row>
    <row r="88">
      <c r="A88" s="165" t="str">
        <f>iferror(VLOOKUP(P88,'DO NOT TOUCH Imported'!$A$1:$D$800,4,False),iferror(VLOOKUP(P88,'DO NOT TOUCH Imported'!$C$1:$D$800,2,False),"OOPS FIX ME"))</f>
        <v>Laurenluz</v>
      </c>
      <c r="B88" s="165" t="s">
        <v>450</v>
      </c>
      <c r="C88" s="170" t="s">
        <v>1279</v>
      </c>
      <c r="D88" s="236" t="s">
        <v>437</v>
      </c>
      <c r="E88" s="237">
        <v>44288.0</v>
      </c>
      <c r="F88" s="170" t="s">
        <v>439</v>
      </c>
      <c r="G88" s="219"/>
      <c r="H88" s="171">
        <v>70.0</v>
      </c>
      <c r="I88" s="171">
        <v>50.0</v>
      </c>
      <c r="J88" s="172">
        <f t="shared" si="2"/>
        <v>0.0008628017785</v>
      </c>
      <c r="K88" s="173">
        <f t="shared" si="3"/>
        <v>0.9922220452</v>
      </c>
      <c r="L88" s="174">
        <f t="shared" si="4"/>
        <v>17.81776325</v>
      </c>
      <c r="M88" s="175" t="str">
        <f t="shared" si="5"/>
        <v>Laurenluz</v>
      </c>
      <c r="N88" s="176">
        <f>IFERROR(__xludf.DUMMYFUNCTION("""COMPUTED_VALUE"""),17.0)</f>
        <v>17</v>
      </c>
      <c r="O88" s="176"/>
      <c r="P88" s="165" t="s">
        <v>596</v>
      </c>
      <c r="Q88" s="165" t="s">
        <v>450</v>
      </c>
      <c r="R88" s="176"/>
      <c r="S88" s="176"/>
      <c r="T88" s="176"/>
      <c r="U88" s="176"/>
      <c r="V88" s="176"/>
      <c r="W88" s="176"/>
      <c r="X88" s="176"/>
      <c r="Y88" s="176"/>
      <c r="Z88" s="176"/>
      <c r="AA88" s="176"/>
    </row>
    <row r="89">
      <c r="A89" s="165" t="str">
        <f>iferror(VLOOKUP(P89,'DO NOT TOUCH Imported'!$A$1:$D$800,4,False),iferror(VLOOKUP(P89,'DO NOT TOUCH Imported'!$C$1:$D$800,2,False),"OOPS FIX ME"))</f>
        <v>Laurenluz</v>
      </c>
      <c r="B89" s="165" t="s">
        <v>441</v>
      </c>
      <c r="C89" s="170" t="s">
        <v>1005</v>
      </c>
      <c r="D89" s="236" t="s">
        <v>437</v>
      </c>
      <c r="E89" s="237">
        <v>44289.0</v>
      </c>
      <c r="F89" s="170" t="s">
        <v>439</v>
      </c>
      <c r="G89" s="219"/>
      <c r="H89" s="171">
        <v>60.0</v>
      </c>
      <c r="I89" s="171">
        <v>40.0</v>
      </c>
      <c r="J89" s="172">
        <f t="shared" si="2"/>
        <v>0.0007191682379</v>
      </c>
      <c r="K89" s="173">
        <f t="shared" si="3"/>
        <v>0.8270434736</v>
      </c>
      <c r="L89" s="174">
        <f t="shared" si="4"/>
        <v>17.81776325</v>
      </c>
      <c r="M89" s="175" t="str">
        <f t="shared" si="5"/>
        <v>Laurenluz</v>
      </c>
      <c r="N89" s="176">
        <f>IFERROR(__xludf.DUMMYFUNCTION("""COMPUTED_VALUE"""),18.0)</f>
        <v>18</v>
      </c>
      <c r="O89" s="176"/>
      <c r="P89" s="165" t="s">
        <v>596</v>
      </c>
      <c r="Q89" s="165" t="s">
        <v>441</v>
      </c>
      <c r="R89" s="176"/>
      <c r="S89" s="176"/>
      <c r="T89" s="176"/>
      <c r="U89" s="176"/>
      <c r="V89" s="176"/>
      <c r="W89" s="176"/>
      <c r="X89" s="176"/>
      <c r="Y89" s="176"/>
      <c r="Z89" s="176"/>
      <c r="AA89" s="176"/>
    </row>
    <row r="90">
      <c r="A90" s="165" t="str">
        <f>iferror(VLOOKUP(P90,'DO NOT TOUCH Imported'!$A$1:$D$800,4,False),iferror(VLOOKUP(P90,'DO NOT TOUCH Imported'!$C$1:$D$800,2,False),"OOPS FIX ME"))</f>
        <v>Laurenluz</v>
      </c>
      <c r="B90" s="165" t="s">
        <v>435</v>
      </c>
      <c r="C90" s="170" t="s">
        <v>1291</v>
      </c>
      <c r="D90" s="236" t="s">
        <v>499</v>
      </c>
      <c r="E90" s="237">
        <v>44289.0</v>
      </c>
      <c r="F90" s="170" t="s">
        <v>503</v>
      </c>
      <c r="G90" s="219"/>
      <c r="H90" s="171">
        <v>100.0</v>
      </c>
      <c r="I90" s="171">
        <v>100.0</v>
      </c>
      <c r="J90" s="172">
        <f t="shared" si="2"/>
        <v>0.001436335405</v>
      </c>
      <c r="K90" s="173">
        <f t="shared" si="3"/>
        <v>1.651785716</v>
      </c>
      <c r="L90" s="174">
        <f t="shared" si="4"/>
        <v>17.81776325</v>
      </c>
      <c r="M90" s="175" t="str">
        <f t="shared" si="5"/>
        <v>Laurenluz</v>
      </c>
      <c r="N90" s="176">
        <f>IFERROR(__xludf.DUMMYFUNCTION("""COMPUTED_VALUE"""),19.0)</f>
        <v>19</v>
      </c>
      <c r="O90" s="176"/>
      <c r="P90" s="165" t="s">
        <v>596</v>
      </c>
      <c r="Q90" s="165" t="s">
        <v>435</v>
      </c>
      <c r="R90" s="176"/>
      <c r="S90" s="176"/>
      <c r="T90" s="176"/>
      <c r="U90" s="176"/>
      <c r="V90" s="176"/>
      <c r="W90" s="176"/>
      <c r="X90" s="176"/>
      <c r="Y90" s="176"/>
      <c r="Z90" s="176"/>
      <c r="AA90" s="176"/>
    </row>
    <row r="91">
      <c r="A91" s="165" t="str">
        <f>iferror(VLOOKUP(P91,'DO NOT TOUCH Imported'!$A$1:$D$800,4,False),iferror(VLOOKUP(P91,'DO NOT TOUCH Imported'!$C$1:$D$800,2,False),"OOPS FIX ME"))</f>
        <v>Laurenluz</v>
      </c>
      <c r="B91" s="165" t="s">
        <v>435</v>
      </c>
      <c r="C91" s="170" t="s">
        <v>1292</v>
      </c>
      <c r="D91" s="236" t="s">
        <v>437</v>
      </c>
      <c r="E91" s="237">
        <v>44291.0</v>
      </c>
      <c r="F91" s="170" t="s">
        <v>439</v>
      </c>
      <c r="G91" s="219"/>
      <c r="H91" s="171">
        <v>100.0</v>
      </c>
      <c r="I91" s="171">
        <v>100.0</v>
      </c>
      <c r="J91" s="172">
        <f t="shared" si="2"/>
        <v>0.001436335405</v>
      </c>
      <c r="K91" s="173">
        <f t="shared" si="3"/>
        <v>1.651785716</v>
      </c>
      <c r="L91" s="174">
        <f t="shared" si="4"/>
        <v>17.81776325</v>
      </c>
      <c r="M91" s="175" t="str">
        <f t="shared" si="5"/>
        <v>Laurenluz</v>
      </c>
      <c r="N91" s="176">
        <f>IFERROR(__xludf.DUMMYFUNCTION("""COMPUTED_VALUE"""),20.0)</f>
        <v>20</v>
      </c>
      <c r="O91" s="176"/>
      <c r="P91" s="165" t="s">
        <v>596</v>
      </c>
      <c r="Q91" s="165" t="s">
        <v>435</v>
      </c>
      <c r="R91" s="176"/>
      <c r="S91" s="176"/>
      <c r="T91" s="176"/>
      <c r="U91" s="176"/>
      <c r="V91" s="176"/>
      <c r="W91" s="176"/>
      <c r="X91" s="176"/>
      <c r="Y91" s="176"/>
      <c r="Z91" s="176"/>
      <c r="AA91" s="176"/>
    </row>
    <row r="92">
      <c r="A92" s="165" t="str">
        <f>iferror(VLOOKUP(P92,'DO NOT TOUCH Imported'!$A$1:$D$800,4,False),iferror(VLOOKUP(P92,'DO NOT TOUCH Imported'!$C$1:$D$800,2,False),"OOPS FIX ME"))</f>
        <v>Laurenluz</v>
      </c>
      <c r="B92" s="165" t="s">
        <v>443</v>
      </c>
      <c r="C92" s="170" t="s">
        <v>1252</v>
      </c>
      <c r="D92" s="236" t="s">
        <v>437</v>
      </c>
      <c r="E92" s="237">
        <v>44291.0</v>
      </c>
      <c r="F92" s="170" t="s">
        <v>439</v>
      </c>
      <c r="G92" s="219"/>
      <c r="H92" s="171">
        <v>100.0</v>
      </c>
      <c r="I92" s="171">
        <v>80.0</v>
      </c>
      <c r="J92" s="172">
        <f t="shared" si="2"/>
        <v>0.0012937024</v>
      </c>
      <c r="K92" s="173">
        <f t="shared" si="3"/>
        <v>1.48775776</v>
      </c>
      <c r="L92" s="174">
        <f t="shared" si="4"/>
        <v>17.81776325</v>
      </c>
      <c r="M92" s="175" t="str">
        <f t="shared" si="5"/>
        <v>Laurenluz</v>
      </c>
      <c r="N92" s="176">
        <f>IFERROR(__xludf.DUMMYFUNCTION("""COMPUTED_VALUE"""),21.0)</f>
        <v>21</v>
      </c>
      <c r="O92" s="176"/>
      <c r="P92" s="165" t="s">
        <v>596</v>
      </c>
      <c r="Q92" s="165" t="s">
        <v>443</v>
      </c>
      <c r="R92" s="176"/>
      <c r="S92" s="176"/>
      <c r="T92" s="176"/>
      <c r="U92" s="176"/>
      <c r="V92" s="176"/>
      <c r="W92" s="176"/>
      <c r="X92" s="176"/>
      <c r="Y92" s="176"/>
      <c r="Z92" s="176"/>
      <c r="AA92" s="176"/>
    </row>
    <row r="93">
      <c r="A93" s="165" t="str">
        <f>iferror(VLOOKUP(P93,'DO NOT TOUCH Imported'!$A$1:$D$800,4,False),iferror(VLOOKUP(P93,'DO NOT TOUCH Imported'!$C$1:$D$800,2,False),"OOPS FIX ME"))</f>
        <v>Laurenluz</v>
      </c>
      <c r="B93" s="165" t="s">
        <v>530</v>
      </c>
      <c r="C93" s="170" t="s">
        <v>1293</v>
      </c>
      <c r="D93" s="236" t="s">
        <v>499</v>
      </c>
      <c r="E93" s="237">
        <v>44291.0</v>
      </c>
      <c r="F93" s="170" t="s">
        <v>503</v>
      </c>
      <c r="G93" s="219"/>
      <c r="H93" s="171">
        <v>100.0</v>
      </c>
      <c r="I93" s="171">
        <v>100.0</v>
      </c>
      <c r="J93" s="172">
        <f t="shared" si="2"/>
        <v>0.001436335405</v>
      </c>
      <c r="K93" s="173">
        <f t="shared" si="3"/>
        <v>1.651785716</v>
      </c>
      <c r="L93" s="174">
        <f t="shared" si="4"/>
        <v>17.81776325</v>
      </c>
      <c r="M93" s="175" t="str">
        <f t="shared" si="5"/>
        <v>Laurenluz</v>
      </c>
      <c r="N93" s="176">
        <f>IFERROR(__xludf.DUMMYFUNCTION("""COMPUTED_VALUE"""),22.0)</f>
        <v>22</v>
      </c>
      <c r="O93" s="176"/>
      <c r="P93" s="165" t="s">
        <v>596</v>
      </c>
      <c r="Q93" s="165" t="s">
        <v>530</v>
      </c>
      <c r="R93" s="176"/>
      <c r="S93" s="176"/>
      <c r="T93" s="176"/>
      <c r="U93" s="176"/>
      <c r="V93" s="176"/>
      <c r="W93" s="176"/>
      <c r="X93" s="176"/>
      <c r="Y93" s="176"/>
      <c r="Z93" s="176"/>
      <c r="AA93" s="176"/>
    </row>
    <row r="94">
      <c r="A94" s="165" t="str">
        <f>iferror(VLOOKUP(P94,'DO NOT TOUCH Imported'!$A$1:$D$800,4,False),iferror(VLOOKUP(P94,'DO NOT TOUCH Imported'!$C$1:$D$800,2,False),"OOPS FIX ME"))</f>
        <v>Laurenluz</v>
      </c>
      <c r="B94" s="165" t="s">
        <v>486</v>
      </c>
      <c r="C94" s="170" t="s">
        <v>1254</v>
      </c>
      <c r="D94" s="236" t="s">
        <v>437</v>
      </c>
      <c r="E94" s="237">
        <v>44292.0</v>
      </c>
      <c r="F94" s="170" t="s">
        <v>439</v>
      </c>
      <c r="G94" s="219"/>
      <c r="H94" s="171">
        <v>50.0</v>
      </c>
      <c r="I94" s="171">
        <v>50.0</v>
      </c>
      <c r="J94" s="172">
        <f t="shared" si="2"/>
        <v>0.0007181677027</v>
      </c>
      <c r="K94" s="173">
        <f t="shared" si="3"/>
        <v>0.8258928581</v>
      </c>
      <c r="L94" s="174">
        <f t="shared" si="4"/>
        <v>17.81776325</v>
      </c>
      <c r="M94" s="175" t="str">
        <f t="shared" si="5"/>
        <v>Laurenluz</v>
      </c>
      <c r="N94" s="176">
        <f>IFERROR(__xludf.DUMMYFUNCTION("""COMPUTED_VALUE"""),23.0)</f>
        <v>23</v>
      </c>
      <c r="O94" s="176"/>
      <c r="P94" s="165" t="s">
        <v>596</v>
      </c>
      <c r="Q94" s="165" t="s">
        <v>486</v>
      </c>
      <c r="R94" s="176"/>
      <c r="S94" s="176"/>
      <c r="T94" s="176"/>
      <c r="U94" s="176"/>
      <c r="V94" s="176"/>
      <c r="W94" s="176"/>
      <c r="X94" s="176"/>
      <c r="Y94" s="176"/>
      <c r="Z94" s="176"/>
      <c r="AA94" s="176"/>
    </row>
    <row r="95">
      <c r="A95" s="165" t="str">
        <f>iferror(VLOOKUP(P95,'DO NOT TOUCH Imported'!$A$1:$D$800,4,False),iferror(VLOOKUP(P95,'DO NOT TOUCH Imported'!$C$1:$D$800,2,False),"OOPS FIX ME"))</f>
        <v>Laurenluz</v>
      </c>
      <c r="B95" s="165" t="s">
        <v>440</v>
      </c>
      <c r="C95" s="170" t="s">
        <v>1257</v>
      </c>
      <c r="D95" s="236" t="s">
        <v>437</v>
      </c>
      <c r="E95" s="237">
        <v>44292.0</v>
      </c>
      <c r="F95" s="170" t="s">
        <v>439</v>
      </c>
      <c r="G95" s="219"/>
      <c r="H95" s="171">
        <v>70.0</v>
      </c>
      <c r="I95" s="171">
        <v>50.0</v>
      </c>
      <c r="J95" s="172">
        <f t="shared" si="2"/>
        <v>0.0008628017785</v>
      </c>
      <c r="K95" s="173">
        <f t="shared" si="3"/>
        <v>0.9922220452</v>
      </c>
      <c r="L95" s="174">
        <f t="shared" si="4"/>
        <v>17.81776325</v>
      </c>
      <c r="M95" s="175" t="str">
        <f t="shared" si="5"/>
        <v>Laurenluz</v>
      </c>
      <c r="N95" s="176">
        <f>IFERROR(__xludf.DUMMYFUNCTION("""COMPUTED_VALUE"""),24.0)</f>
        <v>24</v>
      </c>
      <c r="O95" s="176"/>
      <c r="P95" s="165" t="s">
        <v>596</v>
      </c>
      <c r="Q95" s="165" t="s">
        <v>440</v>
      </c>
      <c r="R95" s="176"/>
      <c r="S95" s="176"/>
      <c r="T95" s="176"/>
      <c r="U95" s="176"/>
      <c r="V95" s="176"/>
      <c r="W95" s="176"/>
      <c r="X95" s="176"/>
      <c r="Y95" s="176"/>
      <c r="Z95" s="176"/>
      <c r="AA95" s="176"/>
    </row>
    <row r="96">
      <c r="A96" s="165" t="str">
        <f>iferror(VLOOKUP(P96,'DO NOT TOUCH Imported'!$A$1:$D$800,4,False),iferror(VLOOKUP(P96,'DO NOT TOUCH Imported'!$C$1:$D$800,2,False),"OOPS FIX ME"))</f>
        <v>Laurenluz</v>
      </c>
      <c r="B96" s="165" t="s">
        <v>450</v>
      </c>
      <c r="C96" s="170" t="s">
        <v>1294</v>
      </c>
      <c r="D96" s="236" t="s">
        <v>499</v>
      </c>
      <c r="E96" s="237">
        <v>44293.0</v>
      </c>
      <c r="F96" s="170" t="s">
        <v>1295</v>
      </c>
      <c r="G96" s="219"/>
      <c r="H96" s="171">
        <v>100.0</v>
      </c>
      <c r="I96" s="171">
        <v>100.0</v>
      </c>
      <c r="J96" s="172">
        <f t="shared" si="2"/>
        <v>0.001436335405</v>
      </c>
      <c r="K96" s="173">
        <f t="shared" si="3"/>
        <v>1.651785716</v>
      </c>
      <c r="L96" s="174">
        <f t="shared" si="4"/>
        <v>17.81776325</v>
      </c>
      <c r="M96" s="175" t="str">
        <f t="shared" si="5"/>
        <v>Laurenluz</v>
      </c>
      <c r="N96" s="176">
        <f>IFERROR(__xludf.DUMMYFUNCTION("""COMPUTED_VALUE"""),25.0)</f>
        <v>25</v>
      </c>
      <c r="O96" s="176"/>
      <c r="P96" s="165" t="s">
        <v>596</v>
      </c>
      <c r="Q96" s="165" t="s">
        <v>450</v>
      </c>
      <c r="R96" s="176"/>
      <c r="S96" s="176"/>
      <c r="T96" s="176"/>
      <c r="U96" s="176"/>
      <c r="V96" s="176"/>
      <c r="W96" s="176"/>
      <c r="X96" s="176"/>
      <c r="Y96" s="176"/>
      <c r="Z96" s="176"/>
      <c r="AA96" s="176"/>
    </row>
    <row r="97">
      <c r="A97" s="165" t="str">
        <f>iferror(VLOOKUP(P97,'DO NOT TOUCH Imported'!$A$1:$D$800,4,False),iferror(VLOOKUP(P97,'DO NOT TOUCH Imported'!$C$1:$D$800,2,False),"OOPS FIX ME"))</f>
        <v>Laurenluz</v>
      </c>
      <c r="B97" s="165" t="s">
        <v>441</v>
      </c>
      <c r="C97" s="170" t="s">
        <v>1296</v>
      </c>
      <c r="D97" s="236" t="s">
        <v>437</v>
      </c>
      <c r="E97" s="237">
        <v>44295.0</v>
      </c>
      <c r="F97" s="170" t="s">
        <v>439</v>
      </c>
      <c r="G97" s="219"/>
      <c r="H97" s="171">
        <v>100.0</v>
      </c>
      <c r="I97" s="171">
        <v>100.0</v>
      </c>
      <c r="J97" s="172">
        <f t="shared" si="2"/>
        <v>0.001436335405</v>
      </c>
      <c r="K97" s="173">
        <f t="shared" si="3"/>
        <v>1.651785716</v>
      </c>
      <c r="L97" s="174">
        <f t="shared" si="4"/>
        <v>17.81776325</v>
      </c>
      <c r="M97" s="175" t="str">
        <f t="shared" si="5"/>
        <v>Laurenluz</v>
      </c>
      <c r="N97" s="176">
        <f>IFERROR(__xludf.DUMMYFUNCTION("""COMPUTED_VALUE"""),26.0)</f>
        <v>26</v>
      </c>
      <c r="O97" s="176"/>
      <c r="P97" s="165" t="s">
        <v>596</v>
      </c>
      <c r="Q97" s="165" t="s">
        <v>441</v>
      </c>
      <c r="R97" s="176"/>
      <c r="S97" s="176"/>
      <c r="T97" s="176"/>
      <c r="U97" s="176"/>
      <c r="V97" s="176"/>
      <c r="W97" s="176"/>
      <c r="X97" s="176"/>
      <c r="Y97" s="176"/>
      <c r="Z97" s="176"/>
      <c r="AA97" s="176"/>
    </row>
    <row r="98">
      <c r="A98" s="165" t="str">
        <f>iferror(VLOOKUP(P98,'DO NOT TOUCH Imported'!$A$1:$D$800,4,False),iferror(VLOOKUP(P98,'DO NOT TOUCH Imported'!$C$1:$D$800,2,False),"OOPS FIX ME"))</f>
        <v>Laurenluz</v>
      </c>
      <c r="B98" s="165" t="s">
        <v>441</v>
      </c>
      <c r="C98" s="170" t="s">
        <v>1263</v>
      </c>
      <c r="D98" s="236" t="s">
        <v>437</v>
      </c>
      <c r="E98" s="237">
        <v>44295.0</v>
      </c>
      <c r="F98" s="170" t="s">
        <v>439</v>
      </c>
      <c r="G98" s="219"/>
      <c r="H98" s="171">
        <v>100.0</v>
      </c>
      <c r="I98" s="171">
        <v>100.0</v>
      </c>
      <c r="J98" s="172">
        <f t="shared" si="2"/>
        <v>0.001436335405</v>
      </c>
      <c r="K98" s="173">
        <f t="shared" si="3"/>
        <v>1.651785716</v>
      </c>
      <c r="L98" s="174">
        <f t="shared" si="4"/>
        <v>17.81776325</v>
      </c>
      <c r="M98" s="175" t="str">
        <f t="shared" si="5"/>
        <v>Laurenluz</v>
      </c>
      <c r="N98" s="176">
        <f>IFERROR(__xludf.DUMMYFUNCTION("""COMPUTED_VALUE"""),27.0)</f>
        <v>27</v>
      </c>
      <c r="O98" s="176"/>
      <c r="P98" s="165" t="s">
        <v>596</v>
      </c>
      <c r="Q98" s="165" t="s">
        <v>441</v>
      </c>
      <c r="R98" s="176"/>
      <c r="S98" s="176"/>
      <c r="T98" s="176"/>
      <c r="U98" s="176"/>
      <c r="V98" s="176"/>
      <c r="W98" s="176"/>
      <c r="X98" s="176"/>
      <c r="Y98" s="176"/>
      <c r="Z98" s="176"/>
      <c r="AA98" s="176"/>
    </row>
    <row r="99">
      <c r="A99" s="165" t="str">
        <f>iferror(VLOOKUP(P99,'DO NOT TOUCH Imported'!$A$1:$D$800,4,False),iferror(VLOOKUP(P99,'DO NOT TOUCH Imported'!$C$1:$D$800,2,False),"OOPS FIX ME"))</f>
        <v>Laurenluz</v>
      </c>
      <c r="B99" s="165" t="s">
        <v>441</v>
      </c>
      <c r="C99" s="170" t="s">
        <v>1297</v>
      </c>
      <c r="D99" s="236" t="s">
        <v>437</v>
      </c>
      <c r="E99" s="237">
        <v>44295.0</v>
      </c>
      <c r="F99" s="170" t="s">
        <v>439</v>
      </c>
      <c r="G99" s="219"/>
      <c r="H99" s="171">
        <v>100.0</v>
      </c>
      <c r="I99" s="171">
        <v>100.0</v>
      </c>
      <c r="J99" s="172">
        <f t="shared" si="2"/>
        <v>0.001436335405</v>
      </c>
      <c r="K99" s="173">
        <f t="shared" si="3"/>
        <v>1.651785716</v>
      </c>
      <c r="L99" s="174">
        <f t="shared" si="4"/>
        <v>17.81776325</v>
      </c>
      <c r="M99" s="175" t="str">
        <f t="shared" si="5"/>
        <v>Laurenluz</v>
      </c>
      <c r="N99" s="176">
        <f>IFERROR(__xludf.DUMMYFUNCTION("""COMPUTED_VALUE"""),28.0)</f>
        <v>28</v>
      </c>
      <c r="O99" s="176"/>
      <c r="P99" s="165" t="s">
        <v>596</v>
      </c>
      <c r="Q99" s="165" t="s">
        <v>441</v>
      </c>
      <c r="R99" s="176"/>
      <c r="S99" s="176"/>
      <c r="T99" s="176"/>
      <c r="U99" s="176"/>
      <c r="V99" s="176"/>
      <c r="W99" s="176"/>
      <c r="X99" s="176"/>
      <c r="Y99" s="176"/>
      <c r="Z99" s="176"/>
      <c r="AA99" s="176"/>
    </row>
    <row r="100">
      <c r="A100" s="165" t="str">
        <f>iferror(VLOOKUP(P100,'DO NOT TOUCH Imported'!$A$1:$D$800,4,False),iferror(VLOOKUP(P100,'DO NOT TOUCH Imported'!$C$1:$D$800,2,False),"OOPS FIX ME"))</f>
        <v>Laurenluz</v>
      </c>
      <c r="B100" s="165" t="s">
        <v>441</v>
      </c>
      <c r="C100" s="170" t="s">
        <v>1267</v>
      </c>
      <c r="D100" s="236" t="s">
        <v>437</v>
      </c>
      <c r="E100" s="237">
        <v>44295.0</v>
      </c>
      <c r="F100" s="170" t="s">
        <v>439</v>
      </c>
      <c r="G100" s="219"/>
      <c r="H100" s="171">
        <v>50.0</v>
      </c>
      <c r="I100" s="171">
        <v>50.0</v>
      </c>
      <c r="J100" s="172">
        <f t="shared" si="2"/>
        <v>0.0007181677027</v>
      </c>
      <c r="K100" s="173">
        <f t="shared" si="3"/>
        <v>0.8258928581</v>
      </c>
      <c r="L100" s="174">
        <f t="shared" si="4"/>
        <v>17.81776325</v>
      </c>
      <c r="M100" s="175" t="str">
        <f t="shared" si="5"/>
        <v>Laurenluz</v>
      </c>
      <c r="N100" s="176">
        <f>IFERROR(__xludf.DUMMYFUNCTION("""COMPUTED_VALUE"""),29.0)</f>
        <v>29</v>
      </c>
      <c r="O100" s="176"/>
      <c r="P100" s="165" t="s">
        <v>596</v>
      </c>
      <c r="Q100" s="165" t="s">
        <v>441</v>
      </c>
      <c r="R100" s="176"/>
      <c r="S100" s="176"/>
      <c r="T100" s="176"/>
      <c r="U100" s="176"/>
      <c r="V100" s="176"/>
      <c r="W100" s="176"/>
      <c r="X100" s="176"/>
      <c r="Y100" s="176"/>
      <c r="Z100" s="176"/>
      <c r="AA100" s="176"/>
    </row>
    <row r="101">
      <c r="A101" s="185" t="str">
        <f>iferror(VLOOKUP(P101,'DO NOT TOUCH Imported'!$A$1:$D$800,4,False),iferror(VLOOKUP(P101,'DO NOT TOUCH Imported'!$C$1:$D$800,2,False),"OOPS FIX ME"))</f>
        <v>iviangita</v>
      </c>
      <c r="B101" s="185" t="s">
        <v>534</v>
      </c>
      <c r="C101" s="186" t="s">
        <v>535</v>
      </c>
      <c r="D101" s="187"/>
      <c r="E101" s="188"/>
      <c r="F101" s="189"/>
      <c r="G101" s="190"/>
      <c r="H101" s="190"/>
      <c r="I101" s="190"/>
      <c r="J101" s="191">
        <f>(G101/$G$2+H101/$H$2+I101/$I$2)/3</f>
        <v>0</v>
      </c>
      <c r="K101" s="192">
        <f>-0.5*42.741</f>
        <v>-21.3705</v>
      </c>
      <c r="L101" s="193">
        <f t="shared" si="4"/>
        <v>21.37049884</v>
      </c>
      <c r="M101" s="194" t="str">
        <f t="shared" si="5"/>
        <v>iviangita</v>
      </c>
      <c r="N101" s="195">
        <f>IFERROR(__xludf.DUMMYFUNCTION("""COMPUTED_VALUE"""),1.0)</f>
        <v>1</v>
      </c>
      <c r="O101" s="195"/>
      <c r="P101" s="185" t="s">
        <v>10</v>
      </c>
      <c r="Q101" s="185" t="s">
        <v>534</v>
      </c>
      <c r="R101" s="195">
        <v>18.802169413641863</v>
      </c>
      <c r="S101" s="195"/>
      <c r="T101" s="195"/>
      <c r="U101" s="195"/>
      <c r="V101" s="195"/>
      <c r="W101" s="195"/>
      <c r="X101" s="195"/>
      <c r="Y101" s="195"/>
      <c r="Z101" s="195"/>
      <c r="AA101" s="176"/>
    </row>
    <row r="102">
      <c r="A102" s="165" t="str">
        <f>iferror(VLOOKUP(P102,'DO NOT TOUCH Imported'!$A$1:$D$800,4,False),iferror(VLOOKUP(P102,'DO NOT TOUCH Imported'!$C$1:$D$800,2,False),"OOPS FIX ME"))</f>
        <v>Vyvy-vi#5040</v>
      </c>
      <c r="B102" s="165" t="s">
        <v>596</v>
      </c>
      <c r="C102" s="170" t="s">
        <v>1298</v>
      </c>
      <c r="D102" s="236" t="s">
        <v>437</v>
      </c>
      <c r="E102" s="239">
        <v>44284.0</v>
      </c>
      <c r="F102" s="170" t="s">
        <v>439</v>
      </c>
      <c r="G102" s="219"/>
      <c r="H102" s="171">
        <v>150.0</v>
      </c>
      <c r="I102" s="171">
        <v>100.0</v>
      </c>
      <c r="J102" s="172">
        <f t="shared" ref="J102:J118" si="6">(H102/$H$2+I102/$I$2)/2</f>
        <v>0.001797920595</v>
      </c>
      <c r="K102" s="173">
        <f t="shared" ref="K102:K118" si="7">J102*$J$1</f>
        <v>2.067608684</v>
      </c>
      <c r="L102" s="174">
        <f t="shared" si="4"/>
        <v>31.40348907</v>
      </c>
      <c r="M102" s="175" t="str">
        <f t="shared" si="5"/>
        <v>Vyvy-vi#5040</v>
      </c>
      <c r="N102" s="176">
        <f>IFERROR(__xludf.DUMMYFUNCTION("""COMPUTED_VALUE"""),2.0)</f>
        <v>2</v>
      </c>
      <c r="O102" s="176"/>
      <c r="P102" s="165" t="s">
        <v>20</v>
      </c>
      <c r="Q102" s="165" t="s">
        <v>596</v>
      </c>
      <c r="R102" s="176"/>
      <c r="S102" s="176"/>
      <c r="T102" s="176"/>
      <c r="U102" s="176"/>
      <c r="V102" s="176"/>
      <c r="W102" s="176"/>
      <c r="X102" s="176"/>
      <c r="Y102" s="176"/>
      <c r="Z102" s="176"/>
      <c r="AA102" s="176"/>
    </row>
    <row r="103">
      <c r="A103" s="165" t="str">
        <f>iferror(VLOOKUP(P103,'DO NOT TOUCH Imported'!$A$1:$D$800,4,False),iferror(VLOOKUP(P103,'DO NOT TOUCH Imported'!$C$1:$D$800,2,False),"OOPS FIX ME"))</f>
        <v>Vyvy-vi#5040</v>
      </c>
      <c r="B103" s="165" t="s">
        <v>435</v>
      </c>
      <c r="C103" s="170" t="s">
        <v>1299</v>
      </c>
      <c r="D103" s="236" t="s">
        <v>437</v>
      </c>
      <c r="E103" s="239">
        <v>44287.0</v>
      </c>
      <c r="F103" s="170" t="s">
        <v>439</v>
      </c>
      <c r="G103" s="219"/>
      <c r="H103" s="171">
        <v>150.0</v>
      </c>
      <c r="I103" s="171">
        <v>100.0</v>
      </c>
      <c r="J103" s="172">
        <f t="shared" si="6"/>
        <v>0.001797920595</v>
      </c>
      <c r="K103" s="173">
        <f t="shared" si="7"/>
        <v>2.067608684</v>
      </c>
      <c r="L103" s="174">
        <f t="shared" si="4"/>
        <v>31.40348907</v>
      </c>
      <c r="M103" s="175" t="str">
        <f t="shared" si="5"/>
        <v>Vyvy-vi#5040</v>
      </c>
      <c r="N103" s="176">
        <f>IFERROR(__xludf.DUMMYFUNCTION("""COMPUTED_VALUE"""),3.0)</f>
        <v>3</v>
      </c>
      <c r="O103" s="176"/>
      <c r="P103" s="165" t="s">
        <v>20</v>
      </c>
      <c r="Q103" s="165" t="s">
        <v>435</v>
      </c>
      <c r="R103" s="176"/>
      <c r="S103" s="176"/>
      <c r="T103" s="176"/>
      <c r="U103" s="176"/>
      <c r="V103" s="176"/>
      <c r="W103" s="176"/>
      <c r="X103" s="176"/>
      <c r="Y103" s="176"/>
      <c r="Z103" s="176"/>
      <c r="AA103" s="176"/>
    </row>
    <row r="104">
      <c r="A104" s="165" t="str">
        <f>iferror(VLOOKUP(P104,'DO NOT TOUCH Imported'!$A$1:$D$800,4,False),iferror(VLOOKUP(P104,'DO NOT TOUCH Imported'!$C$1:$D$800,2,False),"OOPS FIX ME"))</f>
        <v>Vyvy-vi#5040</v>
      </c>
      <c r="B104" s="165" t="s">
        <v>435</v>
      </c>
      <c r="C104" s="170" t="s">
        <v>1300</v>
      </c>
      <c r="D104" s="236" t="s">
        <v>437</v>
      </c>
      <c r="E104" s="239">
        <v>44287.0</v>
      </c>
      <c r="F104" s="170" t="s">
        <v>439</v>
      </c>
      <c r="G104" s="219"/>
      <c r="H104" s="171">
        <v>150.0</v>
      </c>
      <c r="I104" s="171">
        <v>100.0</v>
      </c>
      <c r="J104" s="172">
        <f t="shared" si="6"/>
        <v>0.001797920595</v>
      </c>
      <c r="K104" s="173">
        <f t="shared" si="7"/>
        <v>2.067608684</v>
      </c>
      <c r="L104" s="174">
        <f t="shared" si="4"/>
        <v>31.40348907</v>
      </c>
      <c r="M104" s="175" t="str">
        <f t="shared" si="5"/>
        <v>Vyvy-vi#5040</v>
      </c>
      <c r="N104" s="176">
        <f>IFERROR(__xludf.DUMMYFUNCTION("""COMPUTED_VALUE"""),4.0)</f>
        <v>4</v>
      </c>
      <c r="O104" s="176"/>
      <c r="P104" s="165" t="s">
        <v>20</v>
      </c>
      <c r="Q104" s="165" t="s">
        <v>435</v>
      </c>
      <c r="R104" s="176"/>
      <c r="S104" s="176"/>
      <c r="T104" s="176"/>
      <c r="U104" s="176"/>
      <c r="V104" s="176"/>
      <c r="W104" s="176"/>
      <c r="X104" s="176"/>
      <c r="Y104" s="176"/>
      <c r="Z104" s="176"/>
      <c r="AA104" s="176"/>
    </row>
    <row r="105">
      <c r="A105" s="165" t="str">
        <f>iferror(VLOOKUP(P105,'DO NOT TOUCH Imported'!$A$1:$D$800,4,False),iferror(VLOOKUP(P105,'DO NOT TOUCH Imported'!$C$1:$D$800,2,False),"OOPS FIX ME"))</f>
        <v>Vyvy-vi#5040</v>
      </c>
      <c r="B105" s="165" t="s">
        <v>435</v>
      </c>
      <c r="C105" s="170" t="s">
        <v>1301</v>
      </c>
      <c r="D105" s="236" t="s">
        <v>437</v>
      </c>
      <c r="E105" s="239">
        <v>44287.0</v>
      </c>
      <c r="F105" s="170" t="s">
        <v>439</v>
      </c>
      <c r="G105" s="219"/>
      <c r="H105" s="171">
        <v>150.0</v>
      </c>
      <c r="I105" s="171">
        <v>100.0</v>
      </c>
      <c r="J105" s="172">
        <f t="shared" si="6"/>
        <v>0.001797920595</v>
      </c>
      <c r="K105" s="173">
        <f t="shared" si="7"/>
        <v>2.067608684</v>
      </c>
      <c r="L105" s="174">
        <f t="shared" si="4"/>
        <v>31.40348907</v>
      </c>
      <c r="M105" s="175" t="str">
        <f t="shared" si="5"/>
        <v>Vyvy-vi#5040</v>
      </c>
      <c r="N105" s="176">
        <f>IFERROR(__xludf.DUMMYFUNCTION("""COMPUTED_VALUE"""),5.0)</f>
        <v>5</v>
      </c>
      <c r="O105" s="176"/>
      <c r="P105" s="165" t="s">
        <v>20</v>
      </c>
      <c r="Q105" s="165" t="s">
        <v>435</v>
      </c>
      <c r="R105" s="176"/>
      <c r="S105" s="176"/>
      <c r="T105" s="176"/>
      <c r="U105" s="176"/>
      <c r="V105" s="176"/>
      <c r="W105" s="176"/>
      <c r="X105" s="176"/>
      <c r="Y105" s="176"/>
      <c r="Z105" s="176"/>
      <c r="AA105" s="176"/>
    </row>
    <row r="106">
      <c r="A106" s="165" t="str">
        <f>iferror(VLOOKUP(P106,'DO NOT TOUCH Imported'!$A$1:$D$800,4,False),iferror(VLOOKUP(P106,'DO NOT TOUCH Imported'!$C$1:$D$800,2,False),"OOPS FIX ME"))</f>
        <v>Vyvy-vi#5040</v>
      </c>
      <c r="B106" s="165" t="s">
        <v>435</v>
      </c>
      <c r="C106" s="170" t="s">
        <v>1302</v>
      </c>
      <c r="D106" s="236" t="s">
        <v>437</v>
      </c>
      <c r="E106" s="239">
        <v>44287.0</v>
      </c>
      <c r="F106" s="170" t="s">
        <v>439</v>
      </c>
      <c r="G106" s="219"/>
      <c r="H106" s="171">
        <v>150.0</v>
      </c>
      <c r="I106" s="171">
        <v>100.0</v>
      </c>
      <c r="J106" s="172">
        <f t="shared" si="6"/>
        <v>0.001797920595</v>
      </c>
      <c r="K106" s="173">
        <f t="shared" si="7"/>
        <v>2.067608684</v>
      </c>
      <c r="L106" s="174">
        <f t="shared" si="4"/>
        <v>31.40348907</v>
      </c>
      <c r="M106" s="175" t="str">
        <f t="shared" si="5"/>
        <v>Vyvy-vi#5040</v>
      </c>
      <c r="N106" s="176">
        <f>IFERROR(__xludf.DUMMYFUNCTION("""COMPUTED_VALUE"""),6.0)</f>
        <v>6</v>
      </c>
      <c r="O106" s="176"/>
      <c r="P106" s="165" t="s">
        <v>20</v>
      </c>
      <c r="Q106" s="165" t="s">
        <v>435</v>
      </c>
      <c r="R106" s="176"/>
      <c r="S106" s="176"/>
      <c r="T106" s="176"/>
      <c r="U106" s="176"/>
      <c r="V106" s="176"/>
      <c r="W106" s="176"/>
      <c r="X106" s="176"/>
      <c r="Y106" s="176"/>
      <c r="Z106" s="176"/>
      <c r="AA106" s="176"/>
    </row>
    <row r="107">
      <c r="A107" s="165" t="str">
        <f>iferror(VLOOKUP(P107,'DO NOT TOUCH Imported'!$A$1:$D$800,4,False),iferror(VLOOKUP(P107,'DO NOT TOUCH Imported'!$C$1:$D$800,2,False),"OOPS FIX ME"))</f>
        <v>Vyvy-vi#5040</v>
      </c>
      <c r="B107" s="165" t="s">
        <v>441</v>
      </c>
      <c r="C107" s="170" t="s">
        <v>1303</v>
      </c>
      <c r="D107" s="236" t="s">
        <v>437</v>
      </c>
      <c r="E107" s="237">
        <v>44288.0</v>
      </c>
      <c r="F107" s="170" t="s">
        <v>439</v>
      </c>
      <c r="G107" s="219"/>
      <c r="H107" s="171">
        <v>150.0</v>
      </c>
      <c r="I107" s="171">
        <v>100.0</v>
      </c>
      <c r="J107" s="172">
        <f t="shared" si="6"/>
        <v>0.001797920595</v>
      </c>
      <c r="K107" s="173">
        <f t="shared" si="7"/>
        <v>2.067608684</v>
      </c>
      <c r="L107" s="174">
        <f t="shared" si="4"/>
        <v>31.40348907</v>
      </c>
      <c r="M107" s="175" t="str">
        <f t="shared" si="5"/>
        <v>Vyvy-vi#5040</v>
      </c>
      <c r="N107" s="176">
        <f>IFERROR(__xludf.DUMMYFUNCTION("""COMPUTED_VALUE"""),7.0)</f>
        <v>7</v>
      </c>
      <c r="O107" s="176"/>
      <c r="P107" s="165" t="s">
        <v>20</v>
      </c>
      <c r="Q107" s="165" t="s">
        <v>441</v>
      </c>
      <c r="R107" s="176"/>
      <c r="S107" s="176"/>
      <c r="T107" s="176"/>
      <c r="U107" s="176"/>
      <c r="V107" s="176"/>
      <c r="W107" s="176"/>
      <c r="X107" s="176"/>
      <c r="Y107" s="176"/>
      <c r="Z107" s="176"/>
      <c r="AA107" s="176"/>
    </row>
    <row r="108">
      <c r="A108" s="165" t="str">
        <f>iferror(VLOOKUP(P108,'DO NOT TOUCH Imported'!$A$1:$D$800,4,False),iferror(VLOOKUP(P108,'DO NOT TOUCH Imported'!$C$1:$D$800,2,False),"OOPS FIX ME"))</f>
        <v>Vyvy-vi#5040</v>
      </c>
      <c r="B108" s="165" t="s">
        <v>486</v>
      </c>
      <c r="C108" s="170" t="s">
        <v>1304</v>
      </c>
      <c r="D108" s="236" t="s">
        <v>437</v>
      </c>
      <c r="E108" s="237">
        <v>44288.0</v>
      </c>
      <c r="F108" s="170" t="s">
        <v>439</v>
      </c>
      <c r="G108" s="219"/>
      <c r="H108" s="171">
        <v>150.0</v>
      </c>
      <c r="I108" s="171">
        <v>100.0</v>
      </c>
      <c r="J108" s="172">
        <f t="shared" si="6"/>
        <v>0.001797920595</v>
      </c>
      <c r="K108" s="173">
        <f t="shared" si="7"/>
        <v>2.067608684</v>
      </c>
      <c r="L108" s="174">
        <f t="shared" si="4"/>
        <v>31.40348907</v>
      </c>
      <c r="M108" s="175" t="str">
        <f t="shared" si="5"/>
        <v>Vyvy-vi#5040</v>
      </c>
      <c r="N108" s="176">
        <f>IFERROR(__xludf.DUMMYFUNCTION("""COMPUTED_VALUE"""),8.0)</f>
        <v>8</v>
      </c>
      <c r="O108" s="176"/>
      <c r="P108" s="165" t="s">
        <v>20</v>
      </c>
      <c r="Q108" s="165" t="s">
        <v>486</v>
      </c>
      <c r="R108" s="176"/>
      <c r="S108" s="176"/>
      <c r="T108" s="176"/>
      <c r="U108" s="176"/>
      <c r="V108" s="176"/>
      <c r="W108" s="176"/>
      <c r="X108" s="176"/>
      <c r="Y108" s="176"/>
      <c r="Z108" s="176"/>
      <c r="AA108" s="176"/>
    </row>
    <row r="109">
      <c r="A109" s="165" t="str">
        <f>iferror(VLOOKUP(P109,'DO NOT TOUCH Imported'!$A$1:$D$800,4,False),iferror(VLOOKUP(P109,'DO NOT TOUCH Imported'!$C$1:$D$800,2,False),"OOPS FIX ME"))</f>
        <v>Vyvy-vi#5040</v>
      </c>
      <c r="B109" s="165" t="s">
        <v>486</v>
      </c>
      <c r="C109" s="170" t="s">
        <v>1305</v>
      </c>
      <c r="D109" s="236" t="s">
        <v>437</v>
      </c>
      <c r="E109" s="237">
        <v>44288.0</v>
      </c>
      <c r="F109" s="170" t="s">
        <v>439</v>
      </c>
      <c r="G109" s="219"/>
      <c r="H109" s="171">
        <v>150.0</v>
      </c>
      <c r="I109" s="171">
        <v>150.0</v>
      </c>
      <c r="J109" s="172">
        <f t="shared" si="6"/>
        <v>0.002154503108</v>
      </c>
      <c r="K109" s="173">
        <f t="shared" si="7"/>
        <v>2.477678574</v>
      </c>
      <c r="L109" s="174">
        <f t="shared" si="4"/>
        <v>31.40348907</v>
      </c>
      <c r="M109" s="175" t="str">
        <f t="shared" si="5"/>
        <v>Vyvy-vi#5040</v>
      </c>
      <c r="N109" s="176">
        <f>IFERROR(__xludf.DUMMYFUNCTION("""COMPUTED_VALUE"""),9.0)</f>
        <v>9</v>
      </c>
      <c r="O109" s="176"/>
      <c r="P109" s="165" t="s">
        <v>20</v>
      </c>
      <c r="Q109" s="165" t="s">
        <v>486</v>
      </c>
      <c r="R109" s="176"/>
      <c r="S109" s="176"/>
      <c r="T109" s="176"/>
      <c r="U109" s="176"/>
      <c r="V109" s="176"/>
      <c r="W109" s="176"/>
      <c r="X109" s="176"/>
      <c r="Y109" s="176"/>
      <c r="Z109" s="176"/>
      <c r="AA109" s="176"/>
    </row>
    <row r="110">
      <c r="A110" s="165" t="str">
        <f>iferror(VLOOKUP(P110,'DO NOT TOUCH Imported'!$A$1:$D$800,4,False),iferror(VLOOKUP(P110,'DO NOT TOUCH Imported'!$C$1:$D$800,2,False),"OOPS FIX ME"))</f>
        <v>Vyvy-vi#5040</v>
      </c>
      <c r="B110" s="165" t="s">
        <v>450</v>
      </c>
      <c r="C110" s="170" t="s">
        <v>1279</v>
      </c>
      <c r="D110" s="236" t="s">
        <v>437</v>
      </c>
      <c r="E110" s="237">
        <v>44288.0</v>
      </c>
      <c r="F110" s="170" t="s">
        <v>439</v>
      </c>
      <c r="G110" s="219"/>
      <c r="H110" s="171">
        <v>100.0</v>
      </c>
      <c r="I110" s="171">
        <v>50.0</v>
      </c>
      <c r="J110" s="172">
        <f t="shared" si="6"/>
        <v>0.001079752892</v>
      </c>
      <c r="K110" s="173">
        <f t="shared" si="7"/>
        <v>1.241715826</v>
      </c>
      <c r="L110" s="174">
        <f t="shared" si="4"/>
        <v>31.40348907</v>
      </c>
      <c r="M110" s="175" t="str">
        <f t="shared" si="5"/>
        <v>Vyvy-vi#5040</v>
      </c>
      <c r="N110" s="176">
        <f>IFERROR(__xludf.DUMMYFUNCTION("""COMPUTED_VALUE"""),10.0)</f>
        <v>10</v>
      </c>
      <c r="O110" s="176"/>
      <c r="P110" s="165" t="s">
        <v>20</v>
      </c>
      <c r="Q110" s="165" t="s">
        <v>450</v>
      </c>
      <c r="R110" s="176"/>
      <c r="S110" s="176"/>
      <c r="T110" s="176"/>
      <c r="U110" s="176"/>
      <c r="V110" s="176"/>
      <c r="W110" s="176"/>
      <c r="X110" s="176"/>
      <c r="Y110" s="176"/>
      <c r="Z110" s="176"/>
      <c r="AA110" s="176"/>
    </row>
    <row r="111">
      <c r="A111" s="165" t="str">
        <f>iferror(VLOOKUP(P111,'DO NOT TOUCH Imported'!$A$1:$D$800,4,False),iferror(VLOOKUP(P111,'DO NOT TOUCH Imported'!$C$1:$D$800,2,False),"OOPS FIX ME"))</f>
        <v>Vyvy-vi#5040</v>
      </c>
      <c r="B111" s="165" t="s">
        <v>435</v>
      </c>
      <c r="C111" s="170" t="s">
        <v>1292</v>
      </c>
      <c r="D111" s="236" t="s">
        <v>437</v>
      </c>
      <c r="E111" s="237">
        <v>44291.0</v>
      </c>
      <c r="F111" s="170" t="s">
        <v>439</v>
      </c>
      <c r="G111" s="219"/>
      <c r="H111" s="171">
        <v>70.0</v>
      </c>
      <c r="I111" s="171">
        <v>100.0</v>
      </c>
      <c r="J111" s="172">
        <f t="shared" si="6"/>
        <v>0.001219384292</v>
      </c>
      <c r="K111" s="173">
        <f t="shared" si="7"/>
        <v>1.402291935</v>
      </c>
      <c r="L111" s="174">
        <f t="shared" si="4"/>
        <v>31.40348907</v>
      </c>
      <c r="M111" s="175" t="str">
        <f t="shared" si="5"/>
        <v>Vyvy-vi#5040</v>
      </c>
      <c r="N111" s="176">
        <f>IFERROR(__xludf.DUMMYFUNCTION("""COMPUTED_VALUE"""),11.0)</f>
        <v>11</v>
      </c>
      <c r="O111" s="176"/>
      <c r="P111" s="165" t="s">
        <v>20</v>
      </c>
      <c r="Q111" s="165" t="s">
        <v>435</v>
      </c>
      <c r="R111" s="176"/>
      <c r="S111" s="176"/>
      <c r="T111" s="176"/>
      <c r="U111" s="176"/>
      <c r="V111" s="176"/>
      <c r="W111" s="176"/>
      <c r="X111" s="176"/>
      <c r="Y111" s="176"/>
      <c r="Z111" s="176"/>
      <c r="AA111" s="176"/>
    </row>
    <row r="112">
      <c r="A112" s="165" t="str">
        <f>iferror(VLOOKUP(P112,'DO NOT TOUCH Imported'!$A$1:$D$800,4,False),iferror(VLOOKUP(P112,'DO NOT TOUCH Imported'!$C$1:$D$800,2,False),"OOPS FIX ME"))</f>
        <v>Vyvy-vi#5040</v>
      </c>
      <c r="B112" s="165" t="s">
        <v>443</v>
      </c>
      <c r="C112" s="170" t="s">
        <v>1252</v>
      </c>
      <c r="D112" s="236" t="s">
        <v>437</v>
      </c>
      <c r="E112" s="237">
        <v>44291.0</v>
      </c>
      <c r="F112" s="170" t="s">
        <v>439</v>
      </c>
      <c r="G112" s="219"/>
      <c r="H112" s="171">
        <v>150.0</v>
      </c>
      <c r="I112" s="171">
        <v>80.0</v>
      </c>
      <c r="J112" s="172">
        <f t="shared" si="6"/>
        <v>0.00165528759</v>
      </c>
      <c r="K112" s="173">
        <f t="shared" si="7"/>
        <v>1.903580728</v>
      </c>
      <c r="L112" s="174">
        <f t="shared" si="4"/>
        <v>31.40348907</v>
      </c>
      <c r="M112" s="175" t="str">
        <f t="shared" si="5"/>
        <v>Vyvy-vi#5040</v>
      </c>
      <c r="N112" s="176">
        <f>IFERROR(__xludf.DUMMYFUNCTION("""COMPUTED_VALUE"""),12.0)</f>
        <v>12</v>
      </c>
      <c r="O112" s="176"/>
      <c r="P112" s="165" t="s">
        <v>20</v>
      </c>
      <c r="Q112" s="165" t="s">
        <v>443</v>
      </c>
      <c r="R112" s="176"/>
      <c r="S112" s="176"/>
      <c r="T112" s="176"/>
      <c r="U112" s="176"/>
      <c r="V112" s="176"/>
      <c r="W112" s="176"/>
      <c r="X112" s="176"/>
      <c r="Y112" s="176"/>
      <c r="Z112" s="176"/>
      <c r="AA112" s="176"/>
    </row>
    <row r="113">
      <c r="A113" s="165" t="str">
        <f>iferror(VLOOKUP(P113,'DO NOT TOUCH Imported'!$A$1:$D$800,4,False),iferror(VLOOKUP(P113,'DO NOT TOUCH Imported'!$C$1:$D$800,2,False),"OOPS FIX ME"))</f>
        <v>Vyvy-vi#5040</v>
      </c>
      <c r="B113" s="165" t="s">
        <v>440</v>
      </c>
      <c r="C113" s="170" t="s">
        <v>1306</v>
      </c>
      <c r="D113" s="236" t="s">
        <v>437</v>
      </c>
      <c r="E113" s="237">
        <v>44292.0</v>
      </c>
      <c r="F113" s="170" t="s">
        <v>439</v>
      </c>
      <c r="G113" s="219"/>
      <c r="H113" s="171">
        <v>100.0</v>
      </c>
      <c r="I113" s="171">
        <v>100.0</v>
      </c>
      <c r="J113" s="172">
        <f t="shared" si="6"/>
        <v>0.001436335405</v>
      </c>
      <c r="K113" s="173">
        <f t="shared" si="7"/>
        <v>1.651785716</v>
      </c>
      <c r="L113" s="174">
        <f t="shared" si="4"/>
        <v>31.40348907</v>
      </c>
      <c r="M113" s="175" t="str">
        <f t="shared" si="5"/>
        <v>Vyvy-vi#5040</v>
      </c>
      <c r="N113" s="176">
        <f>IFERROR(__xludf.DUMMYFUNCTION("""COMPUTED_VALUE"""),13.0)</f>
        <v>13</v>
      </c>
      <c r="O113" s="176"/>
      <c r="P113" s="165" t="s">
        <v>20</v>
      </c>
      <c r="Q113" s="165" t="s">
        <v>440</v>
      </c>
      <c r="R113" s="176"/>
      <c r="S113" s="176"/>
      <c r="T113" s="176"/>
      <c r="U113" s="176"/>
      <c r="V113" s="176"/>
      <c r="W113" s="176"/>
      <c r="X113" s="176"/>
      <c r="Y113" s="176"/>
      <c r="Z113" s="176"/>
      <c r="AA113" s="176"/>
    </row>
    <row r="114">
      <c r="A114" s="165" t="str">
        <f>iferror(VLOOKUP(P114,'DO NOT TOUCH Imported'!$A$1:$D$800,4,False),iferror(VLOOKUP(P114,'DO NOT TOUCH Imported'!$C$1:$D$800,2,False),"OOPS FIX ME"))</f>
        <v>Vyvy-vi#5040</v>
      </c>
      <c r="B114" s="165" t="s">
        <v>486</v>
      </c>
      <c r="C114" s="170" t="s">
        <v>1307</v>
      </c>
      <c r="D114" s="236" t="s">
        <v>437</v>
      </c>
      <c r="E114" s="237">
        <v>44294.0</v>
      </c>
      <c r="F114" s="170" t="s">
        <v>439</v>
      </c>
      <c r="G114" s="219"/>
      <c r="H114" s="171">
        <v>100.0</v>
      </c>
      <c r="I114" s="171">
        <v>100.0</v>
      </c>
      <c r="J114" s="172">
        <f t="shared" si="6"/>
        <v>0.001436335405</v>
      </c>
      <c r="K114" s="173">
        <f t="shared" si="7"/>
        <v>1.651785716</v>
      </c>
      <c r="L114" s="174">
        <f t="shared" si="4"/>
        <v>31.40348907</v>
      </c>
      <c r="M114" s="175" t="str">
        <f t="shared" si="5"/>
        <v>Vyvy-vi#5040</v>
      </c>
      <c r="N114" s="176">
        <f>IFERROR(__xludf.DUMMYFUNCTION("""COMPUTED_VALUE"""),14.0)</f>
        <v>14</v>
      </c>
      <c r="O114" s="176"/>
      <c r="P114" s="165" t="s">
        <v>20</v>
      </c>
      <c r="Q114" s="165" t="s">
        <v>486</v>
      </c>
      <c r="R114" s="176"/>
      <c r="S114" s="176"/>
      <c r="T114" s="176"/>
      <c r="U114" s="176"/>
      <c r="V114" s="176"/>
      <c r="W114" s="176"/>
      <c r="X114" s="176"/>
      <c r="Y114" s="176"/>
      <c r="Z114" s="176"/>
      <c r="AA114" s="176"/>
    </row>
    <row r="115">
      <c r="A115" s="165" t="str">
        <f>iferror(VLOOKUP(P115,'DO NOT TOUCH Imported'!$A$1:$D$800,4,False),iferror(VLOOKUP(P115,'DO NOT TOUCH Imported'!$C$1:$D$800,2,False),"OOPS FIX ME"))</f>
        <v>Vyvy-vi#5040</v>
      </c>
      <c r="B115" s="165" t="s">
        <v>441</v>
      </c>
      <c r="C115" s="170" t="s">
        <v>1308</v>
      </c>
      <c r="D115" s="236" t="s">
        <v>437</v>
      </c>
      <c r="E115" s="237">
        <v>44295.0</v>
      </c>
      <c r="F115" s="170" t="s">
        <v>439</v>
      </c>
      <c r="G115" s="219"/>
      <c r="H115" s="171">
        <v>100.0</v>
      </c>
      <c r="I115" s="171">
        <v>100.0</v>
      </c>
      <c r="J115" s="172">
        <f t="shared" si="6"/>
        <v>0.001436335405</v>
      </c>
      <c r="K115" s="173">
        <f t="shared" si="7"/>
        <v>1.651785716</v>
      </c>
      <c r="L115" s="174">
        <f t="shared" si="4"/>
        <v>31.40348907</v>
      </c>
      <c r="M115" s="175" t="str">
        <f t="shared" si="5"/>
        <v>Vyvy-vi#5040</v>
      </c>
      <c r="N115" s="176">
        <f>IFERROR(__xludf.DUMMYFUNCTION("""COMPUTED_VALUE"""),15.0)</f>
        <v>15</v>
      </c>
      <c r="O115" s="176"/>
      <c r="P115" s="165" t="s">
        <v>20</v>
      </c>
      <c r="Q115" s="165" t="s">
        <v>441</v>
      </c>
      <c r="R115" s="176"/>
      <c r="S115" s="176"/>
      <c r="T115" s="176"/>
      <c r="U115" s="176"/>
      <c r="V115" s="176"/>
      <c r="W115" s="176"/>
      <c r="X115" s="176"/>
      <c r="Y115" s="176"/>
      <c r="Z115" s="176"/>
      <c r="AA115" s="176"/>
    </row>
    <row r="116">
      <c r="A116" s="165" t="str">
        <f>iferror(VLOOKUP(P116,'DO NOT TOUCH Imported'!$A$1:$D$800,4,False),iferror(VLOOKUP(P116,'DO NOT TOUCH Imported'!$C$1:$D$800,2,False),"OOPS FIX ME"))</f>
        <v>Vyvy-vi#5040</v>
      </c>
      <c r="B116" s="165" t="s">
        <v>441</v>
      </c>
      <c r="C116" s="170" t="s">
        <v>1267</v>
      </c>
      <c r="D116" s="236" t="s">
        <v>437</v>
      </c>
      <c r="E116" s="237">
        <v>44295.0</v>
      </c>
      <c r="F116" s="170" t="s">
        <v>439</v>
      </c>
      <c r="G116" s="219"/>
      <c r="H116" s="171">
        <v>50.0</v>
      </c>
      <c r="I116" s="171">
        <v>50.0</v>
      </c>
      <c r="J116" s="172">
        <f t="shared" si="6"/>
        <v>0.0007181677027</v>
      </c>
      <c r="K116" s="173">
        <f t="shared" si="7"/>
        <v>0.8258928581</v>
      </c>
      <c r="L116" s="174">
        <f t="shared" si="4"/>
        <v>31.40348907</v>
      </c>
      <c r="M116" s="175" t="str">
        <f t="shared" si="5"/>
        <v>Vyvy-vi#5040</v>
      </c>
      <c r="N116" s="176">
        <f>IFERROR(__xludf.DUMMYFUNCTION("""COMPUTED_VALUE"""),16.0)</f>
        <v>16</v>
      </c>
      <c r="O116" s="176"/>
      <c r="P116" s="165" t="s">
        <v>20</v>
      </c>
      <c r="Q116" s="165" t="s">
        <v>441</v>
      </c>
      <c r="R116" s="176"/>
      <c r="S116" s="176"/>
      <c r="T116" s="176"/>
      <c r="U116" s="176"/>
      <c r="V116" s="176"/>
      <c r="W116" s="176"/>
      <c r="X116" s="176"/>
      <c r="Y116" s="176"/>
      <c r="Z116" s="176"/>
      <c r="AA116" s="176"/>
    </row>
    <row r="117">
      <c r="A117" s="165" t="str">
        <f>iferror(VLOOKUP(P117,'DO NOT TOUCH Imported'!$A$1:$D$800,4,False),iferror(VLOOKUP(P117,'DO NOT TOUCH Imported'!$C$1:$D$800,2,False),"OOPS FIX ME"))</f>
        <v>Vyvy-vi#5040</v>
      </c>
      <c r="B117" s="165" t="s">
        <v>486</v>
      </c>
      <c r="C117" s="170" t="s">
        <v>1309</v>
      </c>
      <c r="D117" s="236" t="s">
        <v>437</v>
      </c>
      <c r="E117" s="237">
        <v>44295.0</v>
      </c>
      <c r="F117" s="170" t="s">
        <v>439</v>
      </c>
      <c r="G117" s="219"/>
      <c r="H117" s="171">
        <v>100.0</v>
      </c>
      <c r="I117" s="171">
        <v>100.0</v>
      </c>
      <c r="J117" s="172">
        <f t="shared" si="6"/>
        <v>0.001436335405</v>
      </c>
      <c r="K117" s="173">
        <f t="shared" si="7"/>
        <v>1.651785716</v>
      </c>
      <c r="L117" s="174">
        <f t="shared" si="4"/>
        <v>31.40348907</v>
      </c>
      <c r="M117" s="175" t="str">
        <f t="shared" si="5"/>
        <v>Vyvy-vi#5040</v>
      </c>
      <c r="N117" s="176">
        <f>IFERROR(__xludf.DUMMYFUNCTION("""COMPUTED_VALUE"""),17.0)</f>
        <v>17</v>
      </c>
      <c r="O117" s="176"/>
      <c r="P117" s="165" t="s">
        <v>20</v>
      </c>
      <c r="Q117" s="165" t="s">
        <v>486</v>
      </c>
      <c r="R117" s="176"/>
      <c r="S117" s="176"/>
      <c r="T117" s="176"/>
      <c r="U117" s="176"/>
      <c r="V117" s="176"/>
      <c r="W117" s="176"/>
      <c r="X117" s="176"/>
      <c r="Y117" s="176"/>
      <c r="Z117" s="176"/>
      <c r="AA117" s="176"/>
    </row>
    <row r="118">
      <c r="A118" s="165" t="str">
        <f>iferror(VLOOKUP(P118,'DO NOT TOUCH Imported'!$A$1:$D$800,4,False),iferror(VLOOKUP(P118,'DO NOT TOUCH Imported'!$C$1:$D$800,2,False),"OOPS FIX ME"))</f>
        <v>durgadasji</v>
      </c>
      <c r="B118" s="165" t="s">
        <v>10</v>
      </c>
      <c r="C118" s="170" t="s">
        <v>500</v>
      </c>
      <c r="D118" s="236" t="s">
        <v>495</v>
      </c>
      <c r="E118" s="239">
        <v>44295.0</v>
      </c>
      <c r="F118" s="170" t="s">
        <v>496</v>
      </c>
      <c r="G118" s="219"/>
      <c r="H118" s="171">
        <v>20.0</v>
      </c>
      <c r="I118" s="171">
        <v>25.0</v>
      </c>
      <c r="J118" s="172">
        <f t="shared" si="6"/>
        <v>0.0003229253324</v>
      </c>
      <c r="K118" s="173">
        <f t="shared" si="7"/>
        <v>0.3713641322</v>
      </c>
      <c r="L118" s="174">
        <f t="shared" si="4"/>
        <v>20.03451785</v>
      </c>
      <c r="M118" s="175" t="str">
        <f t="shared" si="5"/>
        <v>durgadasji</v>
      </c>
      <c r="N118" s="176">
        <f>IFERROR(__xludf.DUMMYFUNCTION("""COMPUTED_VALUE"""),1.0)</f>
        <v>1</v>
      </c>
      <c r="O118" s="176"/>
      <c r="P118" s="165" t="s">
        <v>13</v>
      </c>
      <c r="Q118" s="165" t="s">
        <v>10</v>
      </c>
      <c r="R118" s="176"/>
      <c r="S118" s="176"/>
      <c r="T118" s="176"/>
      <c r="U118" s="176"/>
      <c r="V118" s="176"/>
      <c r="W118" s="176"/>
      <c r="X118" s="176"/>
      <c r="Y118" s="176"/>
      <c r="Z118" s="176"/>
      <c r="AA118" s="176"/>
    </row>
    <row r="119">
      <c r="A119" s="165" t="str">
        <f>iferror(VLOOKUP(P119,'DO NOT TOUCH Imported'!$A$1:$D$800,4,False),iferror(VLOOKUP(P119,'DO NOT TOUCH Imported'!$C$1:$D$800,2,False),"OOPS FIX ME"))</f>
        <v>iviangita</v>
      </c>
      <c r="B119" s="165" t="s">
        <v>10</v>
      </c>
      <c r="C119" s="170" t="s">
        <v>498</v>
      </c>
      <c r="D119" s="236" t="s">
        <v>495</v>
      </c>
      <c r="E119" s="239">
        <v>44282.0</v>
      </c>
      <c r="F119" s="170" t="s">
        <v>499</v>
      </c>
      <c r="G119" s="219"/>
      <c r="H119" s="171"/>
      <c r="I119" s="171"/>
      <c r="J119" s="172">
        <f t="shared" ref="J119:J150" si="8">(G119/$G$2+H119/$H$2+I119/$I$2)/3</f>
        <v>0</v>
      </c>
      <c r="K119" s="173">
        <f t="shared" ref="K119:K150" si="9">$N$1</f>
        <v>1.335656214</v>
      </c>
      <c r="L119" s="174">
        <f t="shared" si="4"/>
        <v>21.37049884</v>
      </c>
      <c r="M119" s="175" t="str">
        <f t="shared" si="5"/>
        <v>iviangita</v>
      </c>
      <c r="N119" s="176">
        <f>IFERROR(__xludf.DUMMYFUNCTION("""COMPUTED_VALUE"""),2.0)</f>
        <v>2</v>
      </c>
      <c r="O119" s="176"/>
      <c r="P119" s="165" t="s">
        <v>10</v>
      </c>
      <c r="Q119" s="165" t="s">
        <v>10</v>
      </c>
      <c r="R119" s="176"/>
      <c r="S119" s="176"/>
      <c r="T119" s="176"/>
      <c r="U119" s="176"/>
      <c r="V119" s="176"/>
      <c r="W119" s="176"/>
      <c r="X119" s="176"/>
      <c r="Y119" s="176"/>
      <c r="Z119" s="176"/>
      <c r="AA119" s="176"/>
    </row>
    <row r="120">
      <c r="A120" s="165" t="str">
        <f>iferror(VLOOKUP(P120,'DO NOT TOUCH Imported'!$A$1:$D$800,4,False),iferror(VLOOKUP(P120,'DO NOT TOUCH Imported'!$C$1:$D$800,2,False),"OOPS FIX ME"))</f>
        <v>iviangita</v>
      </c>
      <c r="B120" s="165" t="s">
        <v>10</v>
      </c>
      <c r="C120" s="170" t="s">
        <v>500</v>
      </c>
      <c r="D120" s="236" t="s">
        <v>495</v>
      </c>
      <c r="E120" s="239">
        <v>44282.0</v>
      </c>
      <c r="F120" s="170" t="s">
        <v>496</v>
      </c>
      <c r="G120" s="219"/>
      <c r="H120" s="171"/>
      <c r="I120" s="171"/>
      <c r="J120" s="172">
        <f t="shared" si="8"/>
        <v>0</v>
      </c>
      <c r="K120" s="173">
        <f t="shared" si="9"/>
        <v>1.335656214</v>
      </c>
      <c r="L120" s="174">
        <f t="shared" si="4"/>
        <v>21.37049884</v>
      </c>
      <c r="M120" s="175" t="str">
        <f t="shared" si="5"/>
        <v>iviangita</v>
      </c>
      <c r="N120" s="176">
        <f>IFERROR(__xludf.DUMMYFUNCTION("""COMPUTED_VALUE"""),3.0)</f>
        <v>3</v>
      </c>
      <c r="O120" s="176"/>
      <c r="P120" s="165" t="s">
        <v>10</v>
      </c>
      <c r="Q120" s="165" t="s">
        <v>10</v>
      </c>
      <c r="R120" s="176"/>
      <c r="S120" s="176"/>
      <c r="T120" s="176"/>
      <c r="U120" s="176"/>
      <c r="V120" s="176"/>
      <c r="W120" s="176"/>
      <c r="X120" s="176"/>
      <c r="Y120" s="176"/>
      <c r="Z120" s="176"/>
      <c r="AA120" s="176"/>
    </row>
    <row r="121">
      <c r="A121" s="165" t="str">
        <f>iferror(VLOOKUP(P121,'DO NOT TOUCH Imported'!$A$1:$D$800,4,False),iferror(VLOOKUP(P121,'DO NOT TOUCH Imported'!$C$1:$D$800,2,False),"OOPS FIX ME"))</f>
        <v>iviangita</v>
      </c>
      <c r="B121" s="165" t="s">
        <v>1228</v>
      </c>
      <c r="C121" s="170" t="s">
        <v>1234</v>
      </c>
      <c r="D121" s="236" t="s">
        <v>495</v>
      </c>
      <c r="E121" s="239">
        <v>44284.0</v>
      </c>
      <c r="F121" s="170" t="s">
        <v>496</v>
      </c>
      <c r="G121" s="219"/>
      <c r="H121" s="171"/>
      <c r="I121" s="171"/>
      <c r="J121" s="172">
        <f t="shared" si="8"/>
        <v>0</v>
      </c>
      <c r="K121" s="173">
        <f t="shared" si="9"/>
        <v>1.335656214</v>
      </c>
      <c r="L121" s="174">
        <f t="shared" si="4"/>
        <v>21.37049884</v>
      </c>
      <c r="M121" s="175" t="str">
        <f t="shared" si="5"/>
        <v>iviangita</v>
      </c>
      <c r="N121" s="176">
        <f>IFERROR(__xludf.DUMMYFUNCTION("""COMPUTED_VALUE"""),4.0)</f>
        <v>4</v>
      </c>
      <c r="O121" s="176"/>
      <c r="P121" s="165" t="s">
        <v>10</v>
      </c>
      <c r="Q121" s="165" t="s">
        <v>1228</v>
      </c>
      <c r="R121" s="176"/>
      <c r="S121" s="176"/>
      <c r="T121" s="176"/>
      <c r="U121" s="176"/>
      <c r="V121" s="176"/>
      <c r="W121" s="176"/>
      <c r="X121" s="176"/>
      <c r="Y121" s="176"/>
      <c r="Z121" s="176"/>
      <c r="AA121" s="176"/>
    </row>
    <row r="122">
      <c r="A122" s="165" t="str">
        <f>iferror(VLOOKUP(P122,'DO NOT TOUCH Imported'!$A$1:$D$800,4,False),iferror(VLOOKUP(P122,'DO NOT TOUCH Imported'!$C$1:$D$800,2,False),"OOPS FIX ME"))</f>
        <v>iviangita</v>
      </c>
      <c r="B122" s="165" t="s">
        <v>441</v>
      </c>
      <c r="C122" s="170" t="s">
        <v>1235</v>
      </c>
      <c r="D122" s="236" t="s">
        <v>437</v>
      </c>
      <c r="E122" s="239">
        <v>44284.0</v>
      </c>
      <c r="F122" s="170" t="s">
        <v>439</v>
      </c>
      <c r="G122" s="219"/>
      <c r="H122" s="243"/>
      <c r="I122" s="243"/>
      <c r="J122" s="172">
        <f t="shared" si="8"/>
        <v>0</v>
      </c>
      <c r="K122" s="173">
        <f t="shared" si="9"/>
        <v>1.335656214</v>
      </c>
      <c r="L122" s="174">
        <f t="shared" si="4"/>
        <v>21.37049884</v>
      </c>
      <c r="M122" s="175" t="str">
        <f t="shared" si="5"/>
        <v>iviangita</v>
      </c>
      <c r="N122" s="176">
        <f>IFERROR(__xludf.DUMMYFUNCTION("""COMPUTED_VALUE"""),5.0)</f>
        <v>5</v>
      </c>
      <c r="O122" s="176"/>
      <c r="P122" s="165" t="s">
        <v>441</v>
      </c>
      <c r="Q122" s="165" t="s">
        <v>441</v>
      </c>
      <c r="R122" s="176"/>
      <c r="S122" s="176"/>
      <c r="T122" s="176"/>
      <c r="U122" s="176"/>
      <c r="V122" s="176"/>
      <c r="W122" s="176"/>
      <c r="X122" s="176"/>
      <c r="Y122" s="176"/>
      <c r="Z122" s="176"/>
      <c r="AA122" s="176"/>
    </row>
    <row r="123">
      <c r="A123" s="165" t="str">
        <f>iferror(VLOOKUP(P123,'DO NOT TOUCH Imported'!$A$1:$D$800,4,False),iferror(VLOOKUP(P123,'DO NOT TOUCH Imported'!$C$1:$D$800,2,False),"OOPS FIX ME"))</f>
        <v>iviangita</v>
      </c>
      <c r="B123" s="165" t="s">
        <v>486</v>
      </c>
      <c r="C123" s="170" t="s">
        <v>1310</v>
      </c>
      <c r="D123" s="236" t="s">
        <v>437</v>
      </c>
      <c r="E123" s="239">
        <v>44284.0</v>
      </c>
      <c r="F123" s="170" t="s">
        <v>439</v>
      </c>
      <c r="G123" s="219"/>
      <c r="H123" s="243"/>
      <c r="I123" s="243"/>
      <c r="J123" s="172">
        <f t="shared" si="8"/>
        <v>0</v>
      </c>
      <c r="K123" s="173">
        <f t="shared" si="9"/>
        <v>1.335656214</v>
      </c>
      <c r="L123" s="174">
        <f t="shared" si="4"/>
        <v>21.37049884</v>
      </c>
      <c r="M123" s="175" t="str">
        <f t="shared" si="5"/>
        <v>iviangita</v>
      </c>
      <c r="N123" s="176">
        <f>IFERROR(__xludf.DUMMYFUNCTION("""COMPUTED_VALUE"""),6.0)</f>
        <v>6</v>
      </c>
      <c r="O123" s="176"/>
      <c r="P123" s="165" t="s">
        <v>441</v>
      </c>
      <c r="Q123" s="165" t="s">
        <v>486</v>
      </c>
      <c r="R123" s="176"/>
      <c r="S123" s="176"/>
      <c r="T123" s="176"/>
      <c r="U123" s="176"/>
      <c r="V123" s="176"/>
      <c r="W123" s="176"/>
      <c r="X123" s="176"/>
      <c r="Y123" s="176"/>
      <c r="Z123" s="176"/>
      <c r="AA123" s="176"/>
    </row>
    <row r="124">
      <c r="A124" s="165" t="str">
        <f>iferror(VLOOKUP(P124,'DO NOT TOUCH Imported'!$A$1:$D$800,4,False),iferror(VLOOKUP(P124,'DO NOT TOUCH Imported'!$C$1:$D$800,2,False),"OOPS FIX ME"))</f>
        <v>iviangita</v>
      </c>
      <c r="B124" s="165" t="s">
        <v>486</v>
      </c>
      <c r="C124" s="170" t="s">
        <v>1311</v>
      </c>
      <c r="D124" s="236" t="s">
        <v>437</v>
      </c>
      <c r="E124" s="239">
        <v>44285.0</v>
      </c>
      <c r="F124" s="170" t="s">
        <v>439</v>
      </c>
      <c r="G124" s="219"/>
      <c r="H124" s="243"/>
      <c r="I124" s="243"/>
      <c r="J124" s="172">
        <f t="shared" si="8"/>
        <v>0</v>
      </c>
      <c r="K124" s="173">
        <f t="shared" si="9"/>
        <v>1.335656214</v>
      </c>
      <c r="L124" s="174">
        <f t="shared" si="4"/>
        <v>21.37049884</v>
      </c>
      <c r="M124" s="175" t="str">
        <f t="shared" si="5"/>
        <v>iviangita</v>
      </c>
      <c r="N124" s="176">
        <f>IFERROR(__xludf.DUMMYFUNCTION("""COMPUTED_VALUE"""),7.0)</f>
        <v>7</v>
      </c>
      <c r="O124" s="176"/>
      <c r="P124" s="165" t="s">
        <v>441</v>
      </c>
      <c r="Q124" s="165" t="s">
        <v>486</v>
      </c>
      <c r="R124" s="176"/>
      <c r="S124" s="176"/>
      <c r="T124" s="176"/>
      <c r="U124" s="176"/>
      <c r="V124" s="176"/>
      <c r="W124" s="176"/>
      <c r="X124" s="176"/>
      <c r="Y124" s="176"/>
      <c r="Z124" s="176"/>
      <c r="AA124" s="176"/>
    </row>
    <row r="125">
      <c r="A125" s="165" t="str">
        <f>iferror(VLOOKUP(P125,'DO NOT TOUCH Imported'!$A$1:$D$800,4,False),iferror(VLOOKUP(P125,'DO NOT TOUCH Imported'!$C$1:$D$800,2,False),"OOPS FIX ME"))</f>
        <v>iviangita</v>
      </c>
      <c r="B125" s="165" t="s">
        <v>46</v>
      </c>
      <c r="C125" s="170" t="s">
        <v>1238</v>
      </c>
      <c r="D125" s="236" t="s">
        <v>437</v>
      </c>
      <c r="E125" s="239">
        <v>44285.0</v>
      </c>
      <c r="F125" s="170" t="s">
        <v>439</v>
      </c>
      <c r="G125" s="219"/>
      <c r="H125" s="243"/>
      <c r="I125" s="243"/>
      <c r="J125" s="172">
        <f t="shared" si="8"/>
        <v>0</v>
      </c>
      <c r="K125" s="173">
        <f t="shared" si="9"/>
        <v>1.335656214</v>
      </c>
      <c r="L125" s="174">
        <f t="shared" si="4"/>
        <v>21.37049884</v>
      </c>
      <c r="M125" s="175" t="str">
        <f t="shared" si="5"/>
        <v>iviangita</v>
      </c>
      <c r="N125" s="176">
        <f>IFERROR(__xludf.DUMMYFUNCTION("""COMPUTED_VALUE"""),8.0)</f>
        <v>8</v>
      </c>
      <c r="O125" s="176"/>
      <c r="P125" s="165" t="s">
        <v>441</v>
      </c>
      <c r="Q125" s="165" t="s">
        <v>46</v>
      </c>
      <c r="R125" s="176"/>
      <c r="S125" s="176"/>
      <c r="T125" s="176"/>
      <c r="U125" s="176"/>
      <c r="V125" s="176"/>
      <c r="W125" s="176"/>
      <c r="X125" s="176"/>
      <c r="Y125" s="176"/>
      <c r="Z125" s="176"/>
      <c r="AA125" s="176"/>
    </row>
    <row r="126">
      <c r="A126" s="165" t="str">
        <f>iferror(VLOOKUP(P126,'DO NOT TOUCH Imported'!$A$1:$D$800,4,False),iferror(VLOOKUP(P126,'DO NOT TOUCH Imported'!$C$1:$D$800,2,False),"OOPS FIX ME"))</f>
        <v>iviangita</v>
      </c>
      <c r="B126" s="165" t="s">
        <v>435</v>
      </c>
      <c r="C126" s="170" t="s">
        <v>1312</v>
      </c>
      <c r="D126" s="236" t="s">
        <v>437</v>
      </c>
      <c r="E126" s="239">
        <v>44287.0</v>
      </c>
      <c r="F126" s="170" t="s">
        <v>439</v>
      </c>
      <c r="G126" s="219"/>
      <c r="H126" s="243"/>
      <c r="I126" s="243"/>
      <c r="J126" s="172">
        <f t="shared" si="8"/>
        <v>0</v>
      </c>
      <c r="K126" s="173">
        <f t="shared" si="9"/>
        <v>1.335656214</v>
      </c>
      <c r="L126" s="174">
        <f t="shared" si="4"/>
        <v>21.37049884</v>
      </c>
      <c r="M126" s="175" t="str">
        <f t="shared" si="5"/>
        <v>iviangita</v>
      </c>
      <c r="N126" s="176">
        <f>IFERROR(__xludf.DUMMYFUNCTION("""COMPUTED_VALUE"""),9.0)</f>
        <v>9</v>
      </c>
      <c r="O126" s="176"/>
      <c r="P126" s="165" t="s">
        <v>441</v>
      </c>
      <c r="Q126" s="165" t="s">
        <v>435</v>
      </c>
      <c r="R126" s="176"/>
      <c r="S126" s="176"/>
      <c r="T126" s="176"/>
      <c r="U126" s="176"/>
      <c r="V126" s="176"/>
      <c r="W126" s="176"/>
      <c r="X126" s="176"/>
      <c r="Y126" s="176"/>
      <c r="Z126" s="176"/>
      <c r="AA126" s="176"/>
    </row>
    <row r="127">
      <c r="A127" s="165" t="str">
        <f>iferror(VLOOKUP(P127,'DO NOT TOUCH Imported'!$A$1:$D$800,4,False),iferror(VLOOKUP(P127,'DO NOT TOUCH Imported'!$C$1:$D$800,2,False),"OOPS FIX ME"))</f>
        <v>iviangita</v>
      </c>
      <c r="B127" s="165" t="s">
        <v>435</v>
      </c>
      <c r="C127" s="170" t="s">
        <v>1244</v>
      </c>
      <c r="D127" s="236" t="s">
        <v>437</v>
      </c>
      <c r="E127" s="239">
        <v>44287.0</v>
      </c>
      <c r="F127" s="170" t="s">
        <v>439</v>
      </c>
      <c r="G127" s="219"/>
      <c r="H127" s="243"/>
      <c r="I127" s="243"/>
      <c r="J127" s="172">
        <f t="shared" si="8"/>
        <v>0</v>
      </c>
      <c r="K127" s="173">
        <f t="shared" si="9"/>
        <v>1.335656214</v>
      </c>
      <c r="L127" s="174">
        <f t="shared" si="4"/>
        <v>21.37049884</v>
      </c>
      <c r="M127" s="175" t="str">
        <f t="shared" si="5"/>
        <v>iviangita</v>
      </c>
      <c r="N127" s="176">
        <f>IFERROR(__xludf.DUMMYFUNCTION("""COMPUTED_VALUE"""),10.0)</f>
        <v>10</v>
      </c>
      <c r="O127" s="176"/>
      <c r="P127" s="165" t="s">
        <v>441</v>
      </c>
      <c r="Q127" s="165" t="s">
        <v>435</v>
      </c>
      <c r="R127" s="176"/>
      <c r="S127" s="176"/>
      <c r="T127" s="176"/>
      <c r="U127" s="176"/>
      <c r="V127" s="176"/>
      <c r="W127" s="176"/>
      <c r="X127" s="176"/>
      <c r="Y127" s="176"/>
      <c r="Z127" s="176"/>
      <c r="AA127" s="176"/>
    </row>
    <row r="128">
      <c r="A128" s="165" t="str">
        <f>iferror(VLOOKUP(P128,'DO NOT TOUCH Imported'!$A$1:$D$800,4,False),iferror(VLOOKUP(P128,'DO NOT TOUCH Imported'!$C$1:$D$800,2,False),"OOPS FIX ME"))</f>
        <v>iviangita</v>
      </c>
      <c r="B128" s="165" t="s">
        <v>435</v>
      </c>
      <c r="C128" s="170" t="s">
        <v>1246</v>
      </c>
      <c r="D128" s="236" t="s">
        <v>437</v>
      </c>
      <c r="E128" s="239">
        <v>44287.0</v>
      </c>
      <c r="F128" s="170" t="s">
        <v>439</v>
      </c>
      <c r="G128" s="219"/>
      <c r="H128" s="243"/>
      <c r="I128" s="243"/>
      <c r="J128" s="172">
        <f t="shared" si="8"/>
        <v>0</v>
      </c>
      <c r="K128" s="173">
        <f t="shared" si="9"/>
        <v>1.335656214</v>
      </c>
      <c r="L128" s="174">
        <f t="shared" si="4"/>
        <v>21.37049884</v>
      </c>
      <c r="M128" s="175" t="str">
        <f t="shared" si="5"/>
        <v>iviangita</v>
      </c>
      <c r="N128" s="176">
        <f>IFERROR(__xludf.DUMMYFUNCTION("""COMPUTED_VALUE"""),11.0)</f>
        <v>11</v>
      </c>
      <c r="O128" s="176"/>
      <c r="P128" s="165" t="s">
        <v>441</v>
      </c>
      <c r="Q128" s="165" t="s">
        <v>435</v>
      </c>
      <c r="R128" s="176"/>
      <c r="S128" s="176"/>
      <c r="T128" s="176"/>
      <c r="U128" s="176"/>
      <c r="V128" s="176"/>
      <c r="W128" s="176"/>
      <c r="X128" s="176"/>
      <c r="Y128" s="176"/>
      <c r="Z128" s="176"/>
      <c r="AA128" s="176"/>
    </row>
    <row r="129">
      <c r="A129" s="165" t="str">
        <f>iferror(VLOOKUP(P129,'DO NOT TOUCH Imported'!$A$1:$D$800,4,False),iferror(VLOOKUP(P129,'DO NOT TOUCH Imported'!$C$1:$D$800,2,False),"OOPS FIX ME"))</f>
        <v>iviangita</v>
      </c>
      <c r="B129" s="165" t="s">
        <v>441</v>
      </c>
      <c r="C129" s="170" t="s">
        <v>1247</v>
      </c>
      <c r="D129" s="236" t="s">
        <v>437</v>
      </c>
      <c r="E129" s="237">
        <v>44288.0</v>
      </c>
      <c r="F129" s="170" t="s">
        <v>439</v>
      </c>
      <c r="G129" s="219"/>
      <c r="H129" s="243"/>
      <c r="I129" s="243"/>
      <c r="J129" s="172">
        <f t="shared" si="8"/>
        <v>0</v>
      </c>
      <c r="K129" s="173">
        <f t="shared" si="9"/>
        <v>1.335656214</v>
      </c>
      <c r="L129" s="174">
        <f t="shared" si="4"/>
        <v>21.37049884</v>
      </c>
      <c r="M129" s="175" t="str">
        <f t="shared" si="5"/>
        <v>iviangita</v>
      </c>
      <c r="N129" s="176">
        <f>IFERROR(__xludf.DUMMYFUNCTION("""COMPUTED_VALUE"""),12.0)</f>
        <v>12</v>
      </c>
      <c r="O129" s="176"/>
      <c r="P129" s="165" t="s">
        <v>441</v>
      </c>
      <c r="Q129" s="165" t="s">
        <v>441</v>
      </c>
      <c r="R129" s="176"/>
      <c r="S129" s="176"/>
      <c r="T129" s="176"/>
      <c r="U129" s="176"/>
      <c r="V129" s="176"/>
      <c r="W129" s="176"/>
      <c r="X129" s="176"/>
      <c r="Y129" s="176"/>
      <c r="Z129" s="176"/>
      <c r="AA129" s="176"/>
    </row>
    <row r="130">
      <c r="A130" s="165" t="str">
        <f>iferror(VLOOKUP(P130,'DO NOT TOUCH Imported'!$A$1:$D$800,4,False),iferror(VLOOKUP(P130,'DO NOT TOUCH Imported'!$C$1:$D$800,2,False),"OOPS FIX ME"))</f>
        <v>iviangita</v>
      </c>
      <c r="B130" s="165" t="s">
        <v>441</v>
      </c>
      <c r="C130" s="170" t="s">
        <v>1248</v>
      </c>
      <c r="D130" s="236" t="s">
        <v>437</v>
      </c>
      <c r="E130" s="237">
        <v>44288.0</v>
      </c>
      <c r="F130" s="170" t="s">
        <v>439</v>
      </c>
      <c r="G130" s="219"/>
      <c r="H130" s="243"/>
      <c r="I130" s="243"/>
      <c r="J130" s="172">
        <f t="shared" si="8"/>
        <v>0</v>
      </c>
      <c r="K130" s="173">
        <f t="shared" si="9"/>
        <v>1.335656214</v>
      </c>
      <c r="L130" s="174">
        <f t="shared" si="4"/>
        <v>21.37049884</v>
      </c>
      <c r="M130" s="175" t="str">
        <f t="shared" si="5"/>
        <v>iviangita</v>
      </c>
      <c r="N130" s="176">
        <f>IFERROR(__xludf.DUMMYFUNCTION("""COMPUTED_VALUE"""),13.0)</f>
        <v>13</v>
      </c>
      <c r="O130" s="176"/>
      <c r="P130" s="165" t="s">
        <v>441</v>
      </c>
      <c r="Q130" s="165" t="s">
        <v>441</v>
      </c>
      <c r="R130" s="176"/>
      <c r="S130" s="176"/>
      <c r="T130" s="176"/>
      <c r="U130" s="176"/>
      <c r="V130" s="176"/>
      <c r="W130" s="176"/>
      <c r="X130" s="176"/>
      <c r="Y130" s="176"/>
      <c r="Z130" s="176"/>
      <c r="AA130" s="176"/>
    </row>
    <row r="131">
      <c r="A131" s="165" t="str">
        <f>iferror(VLOOKUP(P131,'DO NOT TOUCH Imported'!$A$1:$D$800,4,False),iferror(VLOOKUP(P131,'DO NOT TOUCH Imported'!$C$1:$D$800,2,False),"OOPS FIX ME"))</f>
        <v>iviangita</v>
      </c>
      <c r="B131" s="165" t="s">
        <v>441</v>
      </c>
      <c r="C131" s="170" t="s">
        <v>1313</v>
      </c>
      <c r="D131" s="236" t="s">
        <v>437</v>
      </c>
      <c r="E131" s="237">
        <v>44288.0</v>
      </c>
      <c r="F131" s="170" t="s">
        <v>439</v>
      </c>
      <c r="G131" s="219"/>
      <c r="H131" s="243"/>
      <c r="I131" s="243"/>
      <c r="J131" s="172">
        <f t="shared" si="8"/>
        <v>0</v>
      </c>
      <c r="K131" s="173">
        <f t="shared" si="9"/>
        <v>1.335656214</v>
      </c>
      <c r="L131" s="174">
        <f t="shared" si="4"/>
        <v>21.37049884</v>
      </c>
      <c r="M131" s="175" t="str">
        <f t="shared" si="5"/>
        <v>iviangita</v>
      </c>
      <c r="N131" s="176">
        <f>IFERROR(__xludf.DUMMYFUNCTION("""COMPUTED_VALUE"""),14.0)</f>
        <v>14</v>
      </c>
      <c r="O131" s="176"/>
      <c r="P131" s="165" t="s">
        <v>441</v>
      </c>
      <c r="Q131" s="165" t="s">
        <v>441</v>
      </c>
      <c r="R131" s="176"/>
      <c r="S131" s="176"/>
      <c r="T131" s="176"/>
      <c r="U131" s="176"/>
      <c r="V131" s="176"/>
      <c r="W131" s="176"/>
      <c r="X131" s="176"/>
      <c r="Y131" s="176"/>
      <c r="Z131" s="176"/>
      <c r="AA131" s="176"/>
    </row>
    <row r="132">
      <c r="A132" s="165" t="str">
        <f>iferror(VLOOKUP(P132,'DO NOT TOUCH Imported'!$A$1:$D$800,4,False),iferror(VLOOKUP(P132,'DO NOT TOUCH Imported'!$C$1:$D$800,2,False),"OOPS FIX ME"))</f>
        <v>iviangita</v>
      </c>
      <c r="B132" s="165" t="s">
        <v>576</v>
      </c>
      <c r="C132" s="170" t="s">
        <v>1276</v>
      </c>
      <c r="D132" s="236" t="s">
        <v>437</v>
      </c>
      <c r="E132" s="237">
        <v>44288.0</v>
      </c>
      <c r="F132" s="170" t="s">
        <v>1110</v>
      </c>
      <c r="G132" s="219"/>
      <c r="H132" s="243"/>
      <c r="I132" s="243"/>
      <c r="J132" s="172">
        <f t="shared" si="8"/>
        <v>0</v>
      </c>
      <c r="K132" s="173">
        <f t="shared" si="9"/>
        <v>1.335656214</v>
      </c>
      <c r="L132" s="174">
        <f t="shared" si="4"/>
        <v>21.37049884</v>
      </c>
      <c r="M132" s="175" t="str">
        <f t="shared" si="5"/>
        <v>iviangita</v>
      </c>
      <c r="N132" s="176">
        <f>IFERROR(__xludf.DUMMYFUNCTION("""COMPUTED_VALUE"""),15.0)</f>
        <v>15</v>
      </c>
      <c r="O132" s="176"/>
      <c r="P132" s="165" t="s">
        <v>441</v>
      </c>
      <c r="Q132" s="165" t="s">
        <v>576</v>
      </c>
      <c r="R132" s="176"/>
      <c r="S132" s="176"/>
      <c r="T132" s="176"/>
      <c r="U132" s="176"/>
      <c r="V132" s="176"/>
      <c r="W132" s="176"/>
      <c r="X132" s="176"/>
      <c r="Y132" s="176"/>
      <c r="Z132" s="176"/>
      <c r="AA132" s="176"/>
    </row>
    <row r="133">
      <c r="A133" s="165" t="str">
        <f>iferror(VLOOKUP(P133,'DO NOT TOUCH Imported'!$A$1:$D$800,4,False),iferror(VLOOKUP(P133,'DO NOT TOUCH Imported'!$C$1:$D$800,2,False),"OOPS FIX ME"))</f>
        <v>iviangita</v>
      </c>
      <c r="B133" s="165" t="s">
        <v>435</v>
      </c>
      <c r="C133" s="170" t="s">
        <v>1278</v>
      </c>
      <c r="D133" s="236" t="s">
        <v>437</v>
      </c>
      <c r="E133" s="237">
        <v>44288.0</v>
      </c>
      <c r="F133" s="170" t="s">
        <v>439</v>
      </c>
      <c r="G133" s="219"/>
      <c r="H133" s="243"/>
      <c r="I133" s="243"/>
      <c r="J133" s="172">
        <f t="shared" si="8"/>
        <v>0</v>
      </c>
      <c r="K133" s="173">
        <f t="shared" si="9"/>
        <v>1.335656214</v>
      </c>
      <c r="L133" s="174">
        <f t="shared" si="4"/>
        <v>21.37049884</v>
      </c>
      <c r="M133" s="175" t="str">
        <f t="shared" si="5"/>
        <v>iviangita</v>
      </c>
      <c r="N133" s="176">
        <f>IFERROR(__xludf.DUMMYFUNCTION("""COMPUTED_VALUE"""),16.0)</f>
        <v>16</v>
      </c>
      <c r="O133" s="176"/>
      <c r="P133" s="165" t="s">
        <v>441</v>
      </c>
      <c r="Q133" s="165" t="s">
        <v>435</v>
      </c>
      <c r="R133" s="176"/>
      <c r="S133" s="176"/>
      <c r="T133" s="176"/>
      <c r="U133" s="176"/>
      <c r="V133" s="176"/>
      <c r="W133" s="176"/>
      <c r="X133" s="176"/>
      <c r="Y133" s="176"/>
      <c r="Z133" s="176"/>
      <c r="AA133" s="176"/>
    </row>
    <row r="134">
      <c r="A134" s="165" t="str">
        <f>iferror(VLOOKUP(P134,'DO NOT TOUCH Imported'!$A$1:$D$800,4,False),iferror(VLOOKUP(P134,'DO NOT TOUCH Imported'!$C$1:$D$800,2,False),"OOPS FIX ME"))</f>
        <v>iviangita</v>
      </c>
      <c r="B134" s="165" t="s">
        <v>440</v>
      </c>
      <c r="C134" s="170" t="s">
        <v>1314</v>
      </c>
      <c r="D134" s="236" t="s">
        <v>437</v>
      </c>
      <c r="E134" s="237">
        <v>44291.0</v>
      </c>
      <c r="F134" s="170" t="s">
        <v>439</v>
      </c>
      <c r="G134" s="219"/>
      <c r="H134" s="243"/>
      <c r="I134" s="243"/>
      <c r="J134" s="172">
        <f t="shared" si="8"/>
        <v>0</v>
      </c>
      <c r="K134" s="173">
        <f t="shared" si="9"/>
        <v>1.335656214</v>
      </c>
      <c r="L134" s="174">
        <f t="shared" si="4"/>
        <v>21.37049884</v>
      </c>
      <c r="M134" s="175" t="str">
        <f t="shared" si="5"/>
        <v>iviangita</v>
      </c>
      <c r="N134" s="176">
        <f>IFERROR(__xludf.DUMMYFUNCTION("""COMPUTED_VALUE"""),17.0)</f>
        <v>17</v>
      </c>
      <c r="O134" s="176"/>
      <c r="P134" s="165" t="s">
        <v>441</v>
      </c>
      <c r="Q134" s="165" t="s">
        <v>440</v>
      </c>
      <c r="R134" s="176"/>
      <c r="S134" s="176"/>
      <c r="T134" s="176"/>
      <c r="U134" s="176"/>
      <c r="V134" s="176"/>
      <c r="W134" s="176"/>
      <c r="X134" s="176"/>
      <c r="Y134" s="176"/>
      <c r="Z134" s="176"/>
      <c r="AA134" s="176"/>
    </row>
    <row r="135">
      <c r="A135" s="165" t="str">
        <f>iferror(VLOOKUP(P135,'DO NOT TOUCH Imported'!$A$1:$D$800,4,False),iferror(VLOOKUP(P135,'DO NOT TOUCH Imported'!$C$1:$D$800,2,False),"OOPS FIX ME"))</f>
        <v>iviangita</v>
      </c>
      <c r="B135" s="165" t="s">
        <v>441</v>
      </c>
      <c r="C135" s="170" t="s">
        <v>1251</v>
      </c>
      <c r="D135" s="236" t="s">
        <v>437</v>
      </c>
      <c r="E135" s="237">
        <v>44291.0</v>
      </c>
      <c r="F135" s="170" t="s">
        <v>439</v>
      </c>
      <c r="G135" s="219"/>
      <c r="H135" s="243"/>
      <c r="I135" s="243"/>
      <c r="J135" s="172">
        <f t="shared" si="8"/>
        <v>0</v>
      </c>
      <c r="K135" s="173">
        <f t="shared" si="9"/>
        <v>1.335656214</v>
      </c>
      <c r="L135" s="174">
        <f t="shared" si="4"/>
        <v>21.37049884</v>
      </c>
      <c r="M135" s="175" t="str">
        <f t="shared" si="5"/>
        <v>iviangita</v>
      </c>
      <c r="N135" s="176">
        <f>IFERROR(__xludf.DUMMYFUNCTION("""COMPUTED_VALUE"""),18.0)</f>
        <v>18</v>
      </c>
      <c r="O135" s="176"/>
      <c r="P135" s="165" t="s">
        <v>441</v>
      </c>
      <c r="Q135" s="165" t="s">
        <v>441</v>
      </c>
      <c r="R135" s="176"/>
      <c r="S135" s="176"/>
      <c r="T135" s="176"/>
      <c r="U135" s="176"/>
      <c r="V135" s="176"/>
      <c r="W135" s="176"/>
      <c r="X135" s="176"/>
      <c r="Y135" s="176"/>
      <c r="Z135" s="176"/>
      <c r="AA135" s="176"/>
    </row>
    <row r="136">
      <c r="A136" s="165" t="str">
        <f>iferror(VLOOKUP(P136,'DO NOT TOUCH Imported'!$A$1:$D$800,4,False),iferror(VLOOKUP(P136,'DO NOT TOUCH Imported'!$C$1:$D$800,2,False),"OOPS FIX ME"))</f>
        <v>iviangita</v>
      </c>
      <c r="B136" s="165" t="s">
        <v>443</v>
      </c>
      <c r="C136" s="170" t="s">
        <v>1252</v>
      </c>
      <c r="D136" s="236" t="s">
        <v>437</v>
      </c>
      <c r="E136" s="237">
        <v>44291.0</v>
      </c>
      <c r="F136" s="170" t="s">
        <v>439</v>
      </c>
      <c r="G136" s="219"/>
      <c r="H136" s="243"/>
      <c r="I136" s="243"/>
      <c r="J136" s="172">
        <f t="shared" si="8"/>
        <v>0</v>
      </c>
      <c r="K136" s="173">
        <f t="shared" si="9"/>
        <v>1.335656214</v>
      </c>
      <c r="L136" s="174">
        <f t="shared" si="4"/>
        <v>21.37049884</v>
      </c>
      <c r="M136" s="175" t="str">
        <f t="shared" si="5"/>
        <v>iviangita</v>
      </c>
      <c r="N136" s="176">
        <f>IFERROR(__xludf.DUMMYFUNCTION("""COMPUTED_VALUE"""),19.0)</f>
        <v>19</v>
      </c>
      <c r="O136" s="176"/>
      <c r="P136" s="165" t="s">
        <v>441</v>
      </c>
      <c r="Q136" s="165" t="s">
        <v>443</v>
      </c>
      <c r="R136" s="176"/>
      <c r="S136" s="176"/>
      <c r="T136" s="176"/>
      <c r="U136" s="176"/>
      <c r="V136" s="176"/>
      <c r="W136" s="176"/>
      <c r="X136" s="176"/>
      <c r="Y136" s="176"/>
      <c r="Z136" s="176"/>
      <c r="AA136" s="176"/>
    </row>
    <row r="137">
      <c r="A137" s="165" t="str">
        <f>iferror(VLOOKUP(P137,'DO NOT TOUCH Imported'!$A$1:$D$800,4,False),iferror(VLOOKUP(P137,'DO NOT TOUCH Imported'!$C$1:$D$800,2,False),"OOPS FIX ME"))</f>
        <v>iviangita</v>
      </c>
      <c r="B137" s="165" t="s">
        <v>768</v>
      </c>
      <c r="C137" s="170" t="s">
        <v>1315</v>
      </c>
      <c r="D137" s="236" t="s">
        <v>499</v>
      </c>
      <c r="E137" s="237">
        <v>44291.0</v>
      </c>
      <c r="F137" s="170" t="s">
        <v>503</v>
      </c>
      <c r="G137" s="219"/>
      <c r="H137" s="243"/>
      <c r="I137" s="243"/>
      <c r="J137" s="172">
        <f t="shared" si="8"/>
        <v>0</v>
      </c>
      <c r="K137" s="173">
        <f t="shared" si="9"/>
        <v>1.335656214</v>
      </c>
      <c r="L137" s="174">
        <f t="shared" si="4"/>
        <v>21.37049884</v>
      </c>
      <c r="M137" s="175" t="str">
        <f t="shared" si="5"/>
        <v>iviangita</v>
      </c>
      <c r="N137" s="176">
        <f>IFERROR(__xludf.DUMMYFUNCTION("""COMPUTED_VALUE"""),20.0)</f>
        <v>20</v>
      </c>
      <c r="O137" s="176"/>
      <c r="P137" s="165" t="s">
        <v>441</v>
      </c>
      <c r="Q137" s="165" t="s">
        <v>768</v>
      </c>
      <c r="R137" s="176"/>
      <c r="S137" s="176"/>
      <c r="T137" s="176"/>
      <c r="U137" s="176"/>
      <c r="V137" s="176"/>
      <c r="W137" s="176"/>
      <c r="X137" s="176"/>
      <c r="Y137" s="176"/>
      <c r="Z137" s="176"/>
      <c r="AA137" s="176"/>
    </row>
    <row r="138">
      <c r="A138" s="165" t="str">
        <f>iferror(VLOOKUP(P138,'DO NOT TOUCH Imported'!$A$1:$D$800,4,False),iferror(VLOOKUP(P138,'DO NOT TOUCH Imported'!$C$1:$D$800,2,False),"OOPS FIX ME"))</f>
        <v>iviangita</v>
      </c>
      <c r="B138" s="165" t="s">
        <v>528</v>
      </c>
      <c r="C138" s="170" t="s">
        <v>1316</v>
      </c>
      <c r="D138" s="236" t="s">
        <v>437</v>
      </c>
      <c r="E138" s="237">
        <v>44291.0</v>
      </c>
      <c r="F138" s="170" t="s">
        <v>439</v>
      </c>
      <c r="G138" s="219"/>
      <c r="H138" s="243"/>
      <c r="I138" s="243"/>
      <c r="J138" s="172">
        <f t="shared" si="8"/>
        <v>0</v>
      </c>
      <c r="K138" s="173">
        <f t="shared" si="9"/>
        <v>1.335656214</v>
      </c>
      <c r="L138" s="174">
        <f t="shared" si="4"/>
        <v>21.37049884</v>
      </c>
      <c r="M138" s="175" t="str">
        <f t="shared" si="5"/>
        <v>iviangita</v>
      </c>
      <c r="N138" s="176">
        <f>IFERROR(__xludf.DUMMYFUNCTION("""COMPUTED_VALUE"""),21.0)</f>
        <v>21</v>
      </c>
      <c r="O138" s="176"/>
      <c r="P138" s="165" t="s">
        <v>441</v>
      </c>
      <c r="Q138" s="165" t="s">
        <v>528</v>
      </c>
      <c r="R138" s="176"/>
      <c r="S138" s="176"/>
      <c r="T138" s="176"/>
      <c r="U138" s="176"/>
      <c r="V138" s="176"/>
      <c r="W138" s="176"/>
      <c r="X138" s="176"/>
      <c r="Y138" s="176"/>
      <c r="Z138" s="176"/>
      <c r="AA138" s="176"/>
    </row>
    <row r="139">
      <c r="A139" s="165" t="str">
        <f>iferror(VLOOKUP(P139,'DO NOT TOUCH Imported'!$A$1:$D$800,4,False),iferror(VLOOKUP(P139,'DO NOT TOUCH Imported'!$C$1:$D$800,2,False),"OOPS FIX ME"))</f>
        <v>iviangita</v>
      </c>
      <c r="B139" s="165" t="s">
        <v>440</v>
      </c>
      <c r="C139" s="170" t="s">
        <v>1317</v>
      </c>
      <c r="D139" s="236" t="s">
        <v>437</v>
      </c>
      <c r="E139" s="237">
        <v>44293.0</v>
      </c>
      <c r="F139" s="170" t="s">
        <v>439</v>
      </c>
      <c r="G139" s="219"/>
      <c r="H139" s="243"/>
      <c r="I139" s="243"/>
      <c r="J139" s="172">
        <f t="shared" si="8"/>
        <v>0</v>
      </c>
      <c r="K139" s="173">
        <f t="shared" si="9"/>
        <v>1.335656214</v>
      </c>
      <c r="L139" s="174">
        <f t="shared" si="4"/>
        <v>21.37049884</v>
      </c>
      <c r="M139" s="175" t="str">
        <f t="shared" si="5"/>
        <v>iviangita</v>
      </c>
      <c r="N139" s="176">
        <f>IFERROR(__xludf.DUMMYFUNCTION("""COMPUTED_VALUE"""),22.0)</f>
        <v>22</v>
      </c>
      <c r="O139" s="176"/>
      <c r="P139" s="165" t="s">
        <v>441</v>
      </c>
      <c r="Q139" s="165" t="s">
        <v>440</v>
      </c>
      <c r="R139" s="176"/>
      <c r="S139" s="176"/>
      <c r="T139" s="176"/>
      <c r="U139" s="176"/>
      <c r="V139" s="176"/>
      <c r="W139" s="176"/>
      <c r="X139" s="176"/>
      <c r="Y139" s="176"/>
      <c r="Z139" s="176"/>
      <c r="AA139" s="176"/>
    </row>
    <row r="140">
      <c r="A140" s="165" t="str">
        <f>iferror(VLOOKUP(P140,'DO NOT TOUCH Imported'!$A$1:$D$800,4,False),iferror(VLOOKUP(P140,'DO NOT TOUCH Imported'!$C$1:$D$800,2,False),"OOPS FIX ME"))</f>
        <v>iviangita</v>
      </c>
      <c r="B140" s="165" t="s">
        <v>440</v>
      </c>
      <c r="C140" s="170" t="s">
        <v>1318</v>
      </c>
      <c r="D140" s="236" t="s">
        <v>437</v>
      </c>
      <c r="E140" s="237">
        <v>44293.0</v>
      </c>
      <c r="F140" s="170" t="s">
        <v>439</v>
      </c>
      <c r="G140" s="219"/>
      <c r="H140" s="243"/>
      <c r="I140" s="243"/>
      <c r="J140" s="172">
        <f t="shared" si="8"/>
        <v>0</v>
      </c>
      <c r="K140" s="173">
        <f t="shared" si="9"/>
        <v>1.335656214</v>
      </c>
      <c r="L140" s="174">
        <f t="shared" si="4"/>
        <v>21.37049884</v>
      </c>
      <c r="M140" s="175" t="str">
        <f t="shared" si="5"/>
        <v>iviangita</v>
      </c>
      <c r="N140" s="176">
        <f>IFERROR(__xludf.DUMMYFUNCTION("""COMPUTED_VALUE"""),23.0)</f>
        <v>23</v>
      </c>
      <c r="O140" s="176"/>
      <c r="P140" s="165" t="s">
        <v>441</v>
      </c>
      <c r="Q140" s="165" t="s">
        <v>440</v>
      </c>
      <c r="R140" s="176"/>
      <c r="S140" s="176"/>
      <c r="T140" s="176"/>
      <c r="U140" s="176"/>
      <c r="V140" s="176"/>
      <c r="W140" s="176"/>
      <c r="X140" s="176"/>
      <c r="Y140" s="176"/>
      <c r="Z140" s="176"/>
      <c r="AA140" s="176"/>
    </row>
    <row r="141">
      <c r="A141" s="165" t="str">
        <f>iferror(VLOOKUP(P141,'DO NOT TOUCH Imported'!$A$1:$D$800,4,False),iferror(VLOOKUP(P141,'DO NOT TOUCH Imported'!$C$1:$D$800,2,False),"OOPS FIX ME"))</f>
        <v>iviangita</v>
      </c>
      <c r="B141" s="165" t="s">
        <v>440</v>
      </c>
      <c r="C141" s="170" t="s">
        <v>1319</v>
      </c>
      <c r="D141" s="236" t="s">
        <v>437</v>
      </c>
      <c r="E141" s="237">
        <v>44293.0</v>
      </c>
      <c r="F141" s="170" t="s">
        <v>439</v>
      </c>
      <c r="G141" s="219"/>
      <c r="H141" s="243"/>
      <c r="I141" s="243"/>
      <c r="J141" s="172">
        <f t="shared" si="8"/>
        <v>0</v>
      </c>
      <c r="K141" s="173">
        <f t="shared" si="9"/>
        <v>1.335656214</v>
      </c>
      <c r="L141" s="174">
        <f t="shared" si="4"/>
        <v>21.37049884</v>
      </c>
      <c r="M141" s="175" t="str">
        <f t="shared" si="5"/>
        <v>iviangita</v>
      </c>
      <c r="N141" s="176">
        <f>IFERROR(__xludf.DUMMYFUNCTION("""COMPUTED_VALUE"""),24.0)</f>
        <v>24</v>
      </c>
      <c r="O141" s="176"/>
      <c r="P141" s="165" t="s">
        <v>441</v>
      </c>
      <c r="Q141" s="165" t="s">
        <v>440</v>
      </c>
      <c r="R141" s="176"/>
      <c r="S141" s="176"/>
      <c r="T141" s="176"/>
      <c r="U141" s="176"/>
      <c r="V141" s="176"/>
      <c r="W141" s="176"/>
      <c r="X141" s="176"/>
      <c r="Y141" s="176"/>
      <c r="Z141" s="176"/>
      <c r="AA141" s="176"/>
    </row>
    <row r="142">
      <c r="A142" s="165" t="str">
        <f>iferror(VLOOKUP(P142,'DO NOT TOUCH Imported'!$A$1:$D$800,4,False),iferror(VLOOKUP(P142,'DO NOT TOUCH Imported'!$C$1:$D$800,2,False),"OOPS FIX ME"))</f>
        <v>iviangita</v>
      </c>
      <c r="B142" s="165" t="s">
        <v>440</v>
      </c>
      <c r="C142" s="170" t="s">
        <v>1260</v>
      </c>
      <c r="D142" s="236" t="s">
        <v>437</v>
      </c>
      <c r="E142" s="237">
        <v>44293.0</v>
      </c>
      <c r="F142" s="170" t="s">
        <v>439</v>
      </c>
      <c r="G142" s="219"/>
      <c r="H142" s="243"/>
      <c r="I142" s="243"/>
      <c r="J142" s="172">
        <f t="shared" si="8"/>
        <v>0</v>
      </c>
      <c r="K142" s="173">
        <f t="shared" si="9"/>
        <v>1.335656214</v>
      </c>
      <c r="L142" s="174">
        <f t="shared" si="4"/>
        <v>21.37049884</v>
      </c>
      <c r="M142" s="175" t="str">
        <f t="shared" si="5"/>
        <v>iviangita</v>
      </c>
      <c r="N142" s="176">
        <f>IFERROR(__xludf.DUMMYFUNCTION("""COMPUTED_VALUE"""),25.0)</f>
        <v>25</v>
      </c>
      <c r="O142" s="176"/>
      <c r="P142" s="165" t="s">
        <v>441</v>
      </c>
      <c r="Q142" s="165" t="s">
        <v>440</v>
      </c>
      <c r="R142" s="176"/>
      <c r="S142" s="176"/>
      <c r="T142" s="176"/>
      <c r="U142" s="176"/>
      <c r="V142" s="176"/>
      <c r="W142" s="176"/>
      <c r="X142" s="176"/>
      <c r="Y142" s="176"/>
      <c r="Z142" s="176"/>
      <c r="AA142" s="176"/>
    </row>
    <row r="143">
      <c r="A143" s="165" t="str">
        <f>iferror(VLOOKUP(P143,'DO NOT TOUCH Imported'!$A$1:$D$800,4,False),iferror(VLOOKUP(P143,'DO NOT TOUCH Imported'!$C$1:$D$800,2,False),"OOPS FIX ME"))</f>
        <v>iviangita</v>
      </c>
      <c r="B143" s="165" t="s">
        <v>440</v>
      </c>
      <c r="C143" s="170" t="s">
        <v>1261</v>
      </c>
      <c r="D143" s="236" t="s">
        <v>437</v>
      </c>
      <c r="E143" s="237">
        <v>44293.0</v>
      </c>
      <c r="F143" s="170" t="s">
        <v>439</v>
      </c>
      <c r="G143" s="219"/>
      <c r="H143" s="243"/>
      <c r="I143" s="243"/>
      <c r="J143" s="172">
        <f t="shared" si="8"/>
        <v>0</v>
      </c>
      <c r="K143" s="173">
        <f t="shared" si="9"/>
        <v>1.335656214</v>
      </c>
      <c r="L143" s="174">
        <f t="shared" si="4"/>
        <v>21.37049884</v>
      </c>
      <c r="M143" s="175" t="str">
        <f t="shared" si="5"/>
        <v>iviangita</v>
      </c>
      <c r="N143" s="176">
        <f>IFERROR(__xludf.DUMMYFUNCTION("""COMPUTED_VALUE"""),26.0)</f>
        <v>26</v>
      </c>
      <c r="O143" s="176"/>
      <c r="P143" s="165" t="s">
        <v>441</v>
      </c>
      <c r="Q143" s="165" t="s">
        <v>440</v>
      </c>
      <c r="R143" s="176"/>
      <c r="S143" s="176"/>
      <c r="T143" s="176"/>
      <c r="U143" s="176"/>
      <c r="V143" s="176"/>
      <c r="W143" s="176"/>
      <c r="X143" s="176"/>
      <c r="Y143" s="176"/>
      <c r="Z143" s="176"/>
      <c r="AA143" s="176"/>
    </row>
    <row r="144">
      <c r="A144" s="165" t="str">
        <f>iferror(VLOOKUP(P144,'DO NOT TOUCH Imported'!$A$1:$D$800,4,False),iferror(VLOOKUP(P144,'DO NOT TOUCH Imported'!$C$1:$D$800,2,False),"OOPS FIX ME"))</f>
        <v>iviangita</v>
      </c>
      <c r="B144" s="165" t="s">
        <v>441</v>
      </c>
      <c r="C144" s="170" t="s">
        <v>1265</v>
      </c>
      <c r="D144" s="236" t="s">
        <v>437</v>
      </c>
      <c r="E144" s="237">
        <v>44295.0</v>
      </c>
      <c r="F144" s="170" t="s">
        <v>439</v>
      </c>
      <c r="G144" s="219"/>
      <c r="H144" s="243"/>
      <c r="I144" s="243"/>
      <c r="J144" s="172">
        <f t="shared" si="8"/>
        <v>0</v>
      </c>
      <c r="K144" s="173">
        <f t="shared" si="9"/>
        <v>1.335656214</v>
      </c>
      <c r="L144" s="174">
        <f t="shared" si="4"/>
        <v>21.37049884</v>
      </c>
      <c r="M144" s="175" t="str">
        <f t="shared" si="5"/>
        <v>iviangita</v>
      </c>
      <c r="N144" s="176">
        <f>IFERROR(__xludf.DUMMYFUNCTION("""COMPUTED_VALUE"""),27.0)</f>
        <v>27</v>
      </c>
      <c r="O144" s="176"/>
      <c r="P144" s="165" t="s">
        <v>441</v>
      </c>
      <c r="Q144" s="165" t="s">
        <v>441</v>
      </c>
      <c r="R144" s="176"/>
      <c r="S144" s="176"/>
      <c r="T144" s="176"/>
      <c r="U144" s="176"/>
      <c r="V144" s="176"/>
      <c r="W144" s="176"/>
      <c r="X144" s="176"/>
      <c r="Y144" s="176"/>
      <c r="Z144" s="176"/>
      <c r="AA144" s="176"/>
    </row>
    <row r="145">
      <c r="A145" s="165" t="str">
        <f>iferror(VLOOKUP(P145,'DO NOT TOUCH Imported'!$A$1:$D$800,4,False),iferror(VLOOKUP(P145,'DO NOT TOUCH Imported'!$C$1:$D$800,2,False),"OOPS FIX ME"))</f>
        <v>iviangita</v>
      </c>
      <c r="B145" s="165" t="s">
        <v>441</v>
      </c>
      <c r="C145" s="170" t="s">
        <v>1320</v>
      </c>
      <c r="D145" s="236" t="s">
        <v>437</v>
      </c>
      <c r="E145" s="237">
        <v>44295.0</v>
      </c>
      <c r="F145" s="170" t="s">
        <v>439</v>
      </c>
      <c r="G145" s="219"/>
      <c r="H145" s="243"/>
      <c r="I145" s="243"/>
      <c r="J145" s="172">
        <f t="shared" si="8"/>
        <v>0</v>
      </c>
      <c r="K145" s="173">
        <f t="shared" si="9"/>
        <v>1.335656214</v>
      </c>
      <c r="L145" s="174">
        <f t="shared" si="4"/>
        <v>21.37049884</v>
      </c>
      <c r="M145" s="175" t="str">
        <f t="shared" si="5"/>
        <v>iviangita</v>
      </c>
      <c r="N145" s="176">
        <f>IFERROR(__xludf.DUMMYFUNCTION("""COMPUTED_VALUE"""),28.0)</f>
        <v>28</v>
      </c>
      <c r="O145" s="176"/>
      <c r="P145" s="165" t="s">
        <v>441</v>
      </c>
      <c r="Q145" s="165" t="s">
        <v>441</v>
      </c>
      <c r="R145" s="176"/>
      <c r="S145" s="176"/>
      <c r="T145" s="176"/>
      <c r="U145" s="176"/>
      <c r="V145" s="176"/>
      <c r="W145" s="176"/>
      <c r="X145" s="176"/>
      <c r="Y145" s="176"/>
      <c r="Z145" s="176"/>
      <c r="AA145" s="176"/>
    </row>
    <row r="146">
      <c r="A146" s="165" t="str">
        <f>iferror(VLOOKUP(P146,'DO NOT TOUCH Imported'!$A$1:$D$800,4,False),iferror(VLOOKUP(P146,'DO NOT TOUCH Imported'!$C$1:$D$800,2,False),"OOPS FIX ME"))</f>
        <v>iviangita</v>
      </c>
      <c r="B146" s="165" t="s">
        <v>441</v>
      </c>
      <c r="C146" s="170" t="s">
        <v>1266</v>
      </c>
      <c r="D146" s="236" t="s">
        <v>437</v>
      </c>
      <c r="E146" s="237">
        <v>44295.0</v>
      </c>
      <c r="F146" s="170" t="s">
        <v>439</v>
      </c>
      <c r="G146" s="219"/>
      <c r="H146" s="243"/>
      <c r="I146" s="243"/>
      <c r="J146" s="172">
        <f t="shared" si="8"/>
        <v>0</v>
      </c>
      <c r="K146" s="173">
        <f t="shared" si="9"/>
        <v>1.335656214</v>
      </c>
      <c r="L146" s="174">
        <f t="shared" si="4"/>
        <v>21.37049884</v>
      </c>
      <c r="M146" s="175" t="str">
        <f t="shared" si="5"/>
        <v>iviangita</v>
      </c>
      <c r="N146" s="176">
        <f>IFERROR(__xludf.DUMMYFUNCTION("""COMPUTED_VALUE"""),29.0)</f>
        <v>29</v>
      </c>
      <c r="O146" s="176"/>
      <c r="P146" s="165" t="s">
        <v>441</v>
      </c>
      <c r="Q146" s="165" t="s">
        <v>441</v>
      </c>
      <c r="R146" s="176"/>
      <c r="S146" s="176"/>
      <c r="T146" s="176"/>
      <c r="U146" s="176"/>
      <c r="V146" s="176"/>
      <c r="W146" s="176"/>
      <c r="X146" s="176"/>
      <c r="Y146" s="176"/>
      <c r="Z146" s="176"/>
      <c r="AA146" s="176"/>
    </row>
    <row r="147">
      <c r="A147" s="165" t="str">
        <f>iferror(VLOOKUP(P147,'DO NOT TOUCH Imported'!$A$1:$D$800,4,False),iferror(VLOOKUP(P147,'DO NOT TOUCH Imported'!$C$1:$D$800,2,False),"OOPS FIX ME"))</f>
        <v>iviangita</v>
      </c>
      <c r="B147" s="165" t="s">
        <v>435</v>
      </c>
      <c r="C147" s="170" t="s">
        <v>1321</v>
      </c>
      <c r="D147" s="236" t="s">
        <v>437</v>
      </c>
      <c r="E147" s="237">
        <v>44295.0</v>
      </c>
      <c r="F147" s="170" t="s">
        <v>439</v>
      </c>
      <c r="G147" s="219"/>
      <c r="H147" s="243"/>
      <c r="I147" s="243"/>
      <c r="J147" s="172">
        <f t="shared" si="8"/>
        <v>0</v>
      </c>
      <c r="K147" s="173">
        <f t="shared" si="9"/>
        <v>1.335656214</v>
      </c>
      <c r="L147" s="174">
        <f t="shared" si="4"/>
        <v>21.37049884</v>
      </c>
      <c r="M147" s="175" t="str">
        <f t="shared" si="5"/>
        <v>iviangita</v>
      </c>
      <c r="N147" s="176">
        <f>IFERROR(__xludf.DUMMYFUNCTION("""COMPUTED_VALUE"""),30.0)</f>
        <v>30</v>
      </c>
      <c r="O147" s="176"/>
      <c r="P147" s="165" t="s">
        <v>441</v>
      </c>
      <c r="Q147" s="165" t="s">
        <v>435</v>
      </c>
      <c r="R147" s="176"/>
      <c r="S147" s="176"/>
      <c r="T147" s="176"/>
      <c r="U147" s="176"/>
      <c r="V147" s="176"/>
      <c r="W147" s="176"/>
      <c r="X147" s="176"/>
      <c r="Y147" s="176"/>
      <c r="Z147" s="176"/>
      <c r="AA147" s="176"/>
    </row>
    <row r="148">
      <c r="A148" s="165" t="str">
        <f>iferror(VLOOKUP(P148,'DO NOT TOUCH Imported'!$A$1:$D$800,4,False),iferror(VLOOKUP(P148,'DO NOT TOUCH Imported'!$C$1:$D$800,2,False),"OOPS FIX ME"))</f>
        <v>iviangita</v>
      </c>
      <c r="B148" s="165" t="s">
        <v>441</v>
      </c>
      <c r="C148" s="170" t="s">
        <v>1268</v>
      </c>
      <c r="D148" s="236" t="s">
        <v>437</v>
      </c>
      <c r="E148" s="237">
        <v>44295.0</v>
      </c>
      <c r="F148" s="170" t="s">
        <v>439</v>
      </c>
      <c r="G148" s="219"/>
      <c r="H148" s="243"/>
      <c r="I148" s="243"/>
      <c r="J148" s="172">
        <f t="shared" si="8"/>
        <v>0</v>
      </c>
      <c r="K148" s="173">
        <f t="shared" si="9"/>
        <v>1.335656214</v>
      </c>
      <c r="L148" s="174">
        <f t="shared" si="4"/>
        <v>21.37049884</v>
      </c>
      <c r="M148" s="175" t="str">
        <f t="shared" si="5"/>
        <v>iviangita</v>
      </c>
      <c r="N148" s="176">
        <f>IFERROR(__xludf.DUMMYFUNCTION("""COMPUTED_VALUE"""),31.0)</f>
        <v>31</v>
      </c>
      <c r="O148" s="176"/>
      <c r="P148" s="165" t="s">
        <v>441</v>
      </c>
      <c r="Q148" s="165" t="s">
        <v>441</v>
      </c>
      <c r="R148" s="176"/>
      <c r="S148" s="176"/>
      <c r="T148" s="176"/>
      <c r="U148" s="176"/>
      <c r="V148" s="176"/>
      <c r="W148" s="176"/>
      <c r="X148" s="176"/>
      <c r="Y148" s="176"/>
      <c r="Z148" s="176"/>
      <c r="AA148" s="176"/>
    </row>
    <row r="149">
      <c r="A149" s="165" t="str">
        <f>iferror(VLOOKUP(P149,'DO NOT TOUCH Imported'!$A$1:$D$800,4,False),iferror(VLOOKUP(P149,'DO NOT TOUCH Imported'!$C$1:$D$800,2,False),"OOPS FIX ME"))</f>
        <v>iviangita</v>
      </c>
      <c r="B149" s="165" t="s">
        <v>435</v>
      </c>
      <c r="C149" s="170" t="s">
        <v>1322</v>
      </c>
      <c r="D149" s="236" t="s">
        <v>437</v>
      </c>
      <c r="E149" s="237">
        <v>44295.0</v>
      </c>
      <c r="F149" s="170" t="s">
        <v>439</v>
      </c>
      <c r="G149" s="219"/>
      <c r="H149" s="243"/>
      <c r="I149" s="243"/>
      <c r="J149" s="172">
        <f t="shared" si="8"/>
        <v>0</v>
      </c>
      <c r="K149" s="173">
        <f t="shared" si="9"/>
        <v>1.335656214</v>
      </c>
      <c r="L149" s="174">
        <f t="shared" si="4"/>
        <v>21.37049884</v>
      </c>
      <c r="M149" s="175" t="str">
        <f t="shared" si="5"/>
        <v>iviangita</v>
      </c>
      <c r="N149" s="176">
        <f>IFERROR(__xludf.DUMMYFUNCTION("""COMPUTED_VALUE"""),32.0)</f>
        <v>32</v>
      </c>
      <c r="O149" s="176"/>
      <c r="P149" s="165" t="s">
        <v>441</v>
      </c>
      <c r="Q149" s="165" t="s">
        <v>435</v>
      </c>
      <c r="R149" s="176"/>
      <c r="S149" s="176"/>
      <c r="T149" s="176"/>
      <c r="U149" s="176"/>
      <c r="V149" s="176"/>
      <c r="W149" s="176"/>
      <c r="X149" s="176"/>
      <c r="Y149" s="176"/>
      <c r="Z149" s="176"/>
      <c r="AA149" s="176"/>
    </row>
    <row r="150">
      <c r="A150" s="165" t="str">
        <f>iferror(VLOOKUP(P150,'DO NOT TOUCH Imported'!$A$1:$D$800,4,False),iferror(VLOOKUP(P150,'DO NOT TOUCH Imported'!$C$1:$D$800,2,False),"OOPS FIX ME"))</f>
        <v>iviangita</v>
      </c>
      <c r="B150" s="165" t="s">
        <v>441</v>
      </c>
      <c r="C150" s="170" t="s">
        <v>1269</v>
      </c>
      <c r="D150" s="236" t="s">
        <v>437</v>
      </c>
      <c r="E150" s="237">
        <v>44295.0</v>
      </c>
      <c r="F150" s="170" t="s">
        <v>439</v>
      </c>
      <c r="G150" s="219"/>
      <c r="H150" s="243"/>
      <c r="I150" s="243"/>
      <c r="J150" s="172">
        <f t="shared" si="8"/>
        <v>0</v>
      </c>
      <c r="K150" s="173">
        <f t="shared" si="9"/>
        <v>1.335656214</v>
      </c>
      <c r="L150" s="174">
        <f t="shared" si="4"/>
        <v>21.37049884</v>
      </c>
      <c r="M150" s="175" t="str">
        <f t="shared" si="5"/>
        <v>iviangita</v>
      </c>
      <c r="N150" s="176">
        <f>IFERROR(__xludf.DUMMYFUNCTION("""COMPUTED_VALUE"""),33.0)</f>
        <v>33</v>
      </c>
      <c r="O150" s="176"/>
      <c r="P150" s="165" t="s">
        <v>441</v>
      </c>
      <c r="Q150" s="165" t="s">
        <v>441</v>
      </c>
      <c r="R150" s="176"/>
      <c r="S150" s="176"/>
      <c r="T150" s="176"/>
      <c r="U150" s="176"/>
      <c r="V150" s="176"/>
      <c r="W150" s="176"/>
      <c r="X150" s="176"/>
      <c r="Y150" s="176"/>
      <c r="Z150" s="176"/>
      <c r="AA150" s="176"/>
    </row>
    <row r="151">
      <c r="A151" s="165" t="str">
        <f>iferror(VLOOKUP(P151,'DO NOT TOUCH Imported'!$A$1:$D$800,4,False),iferror(VLOOKUP(P151,'DO NOT TOUCH Imported'!$C$1:$D$800,2,False),"OOPS FIX ME"))</f>
        <v>metaverde</v>
      </c>
      <c r="B151" s="165" t="s">
        <v>10</v>
      </c>
      <c r="C151" s="170" t="s">
        <v>498</v>
      </c>
      <c r="D151" s="236" t="s">
        <v>495</v>
      </c>
      <c r="E151" s="239">
        <v>44282.0</v>
      </c>
      <c r="F151" s="170" t="s">
        <v>499</v>
      </c>
      <c r="G151" s="219"/>
      <c r="H151" s="171">
        <v>20.0</v>
      </c>
      <c r="I151" s="171">
        <v>25.0</v>
      </c>
      <c r="J151" s="172">
        <f t="shared" ref="J151:J165" si="10">(H151/$H$2+I151/$I$2)/2</f>
        <v>0.0003229253324</v>
      </c>
      <c r="K151" s="173">
        <f t="shared" ref="K151:K165" si="11">J151*$J$1</f>
        <v>0.3713641322</v>
      </c>
      <c r="L151" s="174">
        <f t="shared" si="4"/>
        <v>18.14589512</v>
      </c>
      <c r="M151" s="175" t="str">
        <f t="shared" si="5"/>
        <v>metaverde</v>
      </c>
      <c r="N151" s="176">
        <f>IFERROR(__xludf.DUMMYFUNCTION("""COMPUTED_VALUE"""),1.0)</f>
        <v>1</v>
      </c>
      <c r="O151" s="176"/>
      <c r="P151" s="165" t="s">
        <v>12</v>
      </c>
      <c r="Q151" s="165" t="s">
        <v>10</v>
      </c>
      <c r="R151" s="176"/>
      <c r="S151" s="176"/>
      <c r="T151" s="176"/>
      <c r="U151" s="176"/>
      <c r="V151" s="176"/>
      <c r="W151" s="176"/>
      <c r="X151" s="176"/>
      <c r="Y151" s="176"/>
      <c r="Z151" s="176"/>
      <c r="AA151" s="176"/>
    </row>
    <row r="152">
      <c r="A152" s="165" t="str">
        <f>iferror(VLOOKUP(P152,'DO NOT TOUCH Imported'!$A$1:$D$800,4,False),iferror(VLOOKUP(P152,'DO NOT TOUCH Imported'!$C$1:$D$800,2,False),"OOPS FIX ME"))</f>
        <v>durgadasji</v>
      </c>
      <c r="B152" s="165" t="s">
        <v>490</v>
      </c>
      <c r="C152" s="170" t="s">
        <v>1240</v>
      </c>
      <c r="D152" s="236" t="s">
        <v>437</v>
      </c>
      <c r="E152" s="239">
        <v>44286.0</v>
      </c>
      <c r="F152" s="170" t="s">
        <v>439</v>
      </c>
      <c r="G152" s="219"/>
      <c r="H152" s="171">
        <v>60.0</v>
      </c>
      <c r="I152" s="171">
        <v>50.0</v>
      </c>
      <c r="J152" s="172">
        <f t="shared" si="10"/>
        <v>0.0007904847406</v>
      </c>
      <c r="K152" s="173">
        <f t="shared" si="11"/>
        <v>0.9090574516</v>
      </c>
      <c r="L152" s="174">
        <f t="shared" si="4"/>
        <v>20.03451785</v>
      </c>
      <c r="M152" s="175" t="str">
        <f t="shared" si="5"/>
        <v>durgadasji</v>
      </c>
      <c r="N152" s="176">
        <f>IFERROR(__xludf.DUMMYFUNCTION("""COMPUTED_VALUE"""),2.0)</f>
        <v>2</v>
      </c>
      <c r="O152" s="176"/>
      <c r="P152" s="165" t="s">
        <v>782</v>
      </c>
      <c r="Q152" s="165" t="s">
        <v>490</v>
      </c>
      <c r="R152" s="176"/>
      <c r="S152" s="176"/>
      <c r="T152" s="176"/>
      <c r="U152" s="176"/>
      <c r="V152" s="176"/>
      <c r="W152" s="176"/>
      <c r="X152" s="176"/>
      <c r="Y152" s="176"/>
      <c r="Z152" s="176"/>
      <c r="AA152" s="176"/>
    </row>
    <row r="153">
      <c r="A153" s="165" t="str">
        <f>iferror(VLOOKUP(P153,'DO NOT TOUCH Imported'!$A$1:$D$800,4,False),iferror(VLOOKUP(P153,'DO NOT TOUCH Imported'!$C$1:$D$800,2,False),"OOPS FIX ME"))</f>
        <v>durgadasji</v>
      </c>
      <c r="B153" s="165" t="s">
        <v>443</v>
      </c>
      <c r="C153" s="170" t="s">
        <v>1242</v>
      </c>
      <c r="D153" s="236" t="s">
        <v>437</v>
      </c>
      <c r="E153" s="239">
        <v>44286.0</v>
      </c>
      <c r="F153" s="170" t="s">
        <v>439</v>
      </c>
      <c r="G153" s="219"/>
      <c r="H153" s="171">
        <v>100.0</v>
      </c>
      <c r="I153" s="171">
        <v>100.0</v>
      </c>
      <c r="J153" s="172">
        <f t="shared" si="10"/>
        <v>0.001436335405</v>
      </c>
      <c r="K153" s="173">
        <f t="shared" si="11"/>
        <v>1.651785716</v>
      </c>
      <c r="L153" s="174">
        <f t="shared" si="4"/>
        <v>20.03451785</v>
      </c>
      <c r="M153" s="175" t="str">
        <f t="shared" si="5"/>
        <v>durgadasji</v>
      </c>
      <c r="N153" s="176">
        <f>IFERROR(__xludf.DUMMYFUNCTION("""COMPUTED_VALUE"""),3.0)</f>
        <v>3</v>
      </c>
      <c r="O153" s="176"/>
      <c r="P153" s="165" t="s">
        <v>782</v>
      </c>
      <c r="Q153" s="165" t="s">
        <v>443</v>
      </c>
      <c r="R153" s="176"/>
      <c r="S153" s="176"/>
      <c r="T153" s="176"/>
      <c r="U153" s="176"/>
      <c r="V153" s="176"/>
      <c r="W153" s="176"/>
      <c r="X153" s="176"/>
      <c r="Y153" s="176"/>
      <c r="Z153" s="176"/>
      <c r="AA153" s="176"/>
    </row>
    <row r="154">
      <c r="A154" s="165" t="str">
        <f>iferror(VLOOKUP(P154,'DO NOT TOUCH Imported'!$A$1:$D$800,4,False),iferror(VLOOKUP(P154,'DO NOT TOUCH Imported'!$C$1:$D$800,2,False),"OOPS FIX ME"))</f>
        <v>durgadasji</v>
      </c>
      <c r="B154" s="165" t="s">
        <v>46</v>
      </c>
      <c r="C154" s="170" t="s">
        <v>1323</v>
      </c>
      <c r="D154" s="236" t="s">
        <v>437</v>
      </c>
      <c r="E154" s="239">
        <v>44286.0</v>
      </c>
      <c r="F154" s="170" t="s">
        <v>439</v>
      </c>
      <c r="G154" s="219"/>
      <c r="H154" s="171">
        <v>100.0</v>
      </c>
      <c r="I154" s="171">
        <v>100.0</v>
      </c>
      <c r="J154" s="172">
        <f t="shared" si="10"/>
        <v>0.001436335405</v>
      </c>
      <c r="K154" s="173">
        <f t="shared" si="11"/>
        <v>1.651785716</v>
      </c>
      <c r="L154" s="174">
        <f t="shared" si="4"/>
        <v>20.03451785</v>
      </c>
      <c r="M154" s="175" t="str">
        <f t="shared" si="5"/>
        <v>durgadasji</v>
      </c>
      <c r="N154" s="176">
        <f>IFERROR(__xludf.DUMMYFUNCTION("""COMPUTED_VALUE"""),4.0)</f>
        <v>4</v>
      </c>
      <c r="O154" s="176"/>
      <c r="P154" s="165" t="s">
        <v>782</v>
      </c>
      <c r="Q154" s="165" t="s">
        <v>46</v>
      </c>
      <c r="R154" s="176"/>
      <c r="S154" s="176"/>
      <c r="T154" s="176"/>
      <c r="U154" s="176"/>
      <c r="V154" s="176"/>
      <c r="W154" s="176"/>
      <c r="X154" s="176"/>
      <c r="Y154" s="176"/>
      <c r="Z154" s="176"/>
      <c r="AA154" s="176"/>
    </row>
    <row r="155">
      <c r="A155" s="165" t="str">
        <f>iferror(VLOOKUP(P155,'DO NOT TOUCH Imported'!$A$1:$D$800,4,False),iferror(VLOOKUP(P155,'DO NOT TOUCH Imported'!$C$1:$D$800,2,False),"OOPS FIX ME"))</f>
        <v>durgadasji</v>
      </c>
      <c r="B155" s="165" t="s">
        <v>443</v>
      </c>
      <c r="C155" s="170" t="s">
        <v>1245</v>
      </c>
      <c r="D155" s="236" t="s">
        <v>437</v>
      </c>
      <c r="E155" s="239">
        <v>44287.0</v>
      </c>
      <c r="F155" s="170" t="s">
        <v>439</v>
      </c>
      <c r="G155" s="219"/>
      <c r="H155" s="171">
        <v>70.0</v>
      </c>
      <c r="I155" s="171">
        <v>50.0</v>
      </c>
      <c r="J155" s="172">
        <f t="shared" si="10"/>
        <v>0.0008628017785</v>
      </c>
      <c r="K155" s="173">
        <f t="shared" si="11"/>
        <v>0.9922220452</v>
      </c>
      <c r="L155" s="174">
        <f t="shared" si="4"/>
        <v>20.03451785</v>
      </c>
      <c r="M155" s="175" t="str">
        <f t="shared" si="5"/>
        <v>durgadasji</v>
      </c>
      <c r="N155" s="176">
        <f>IFERROR(__xludf.DUMMYFUNCTION("""COMPUTED_VALUE"""),5.0)</f>
        <v>5</v>
      </c>
      <c r="O155" s="176"/>
      <c r="P155" s="165" t="s">
        <v>782</v>
      </c>
      <c r="Q155" s="165" t="s">
        <v>443</v>
      </c>
      <c r="R155" s="176"/>
      <c r="S155" s="176"/>
      <c r="T155" s="176"/>
      <c r="U155" s="176"/>
      <c r="V155" s="176"/>
      <c r="W155" s="176"/>
      <c r="X155" s="176"/>
      <c r="Y155" s="176"/>
      <c r="Z155" s="176"/>
      <c r="AA155" s="176"/>
    </row>
    <row r="156">
      <c r="A156" s="165" t="str">
        <f>iferror(VLOOKUP(P156,'DO NOT TOUCH Imported'!$A$1:$D$800,4,False),iferror(VLOOKUP(P156,'DO NOT TOUCH Imported'!$C$1:$D$800,2,False),"OOPS FIX ME"))</f>
        <v>durgadasji</v>
      </c>
      <c r="B156" s="165" t="s">
        <v>441</v>
      </c>
      <c r="C156" s="170" t="s">
        <v>1324</v>
      </c>
      <c r="D156" s="236" t="s">
        <v>437</v>
      </c>
      <c r="E156" s="237">
        <v>44288.0</v>
      </c>
      <c r="F156" s="170" t="s">
        <v>439</v>
      </c>
      <c r="G156" s="219"/>
      <c r="H156" s="171">
        <v>100.0</v>
      </c>
      <c r="I156" s="171">
        <v>100.0</v>
      </c>
      <c r="J156" s="172">
        <f t="shared" si="10"/>
        <v>0.001436335405</v>
      </c>
      <c r="K156" s="173">
        <f t="shared" si="11"/>
        <v>1.651785716</v>
      </c>
      <c r="L156" s="174">
        <f t="shared" si="4"/>
        <v>20.03451785</v>
      </c>
      <c r="M156" s="175" t="str">
        <f t="shared" si="5"/>
        <v>durgadasji</v>
      </c>
      <c r="N156" s="176">
        <f>IFERROR(__xludf.DUMMYFUNCTION("""COMPUTED_VALUE"""),6.0)</f>
        <v>6</v>
      </c>
      <c r="O156" s="176"/>
      <c r="P156" s="165" t="s">
        <v>782</v>
      </c>
      <c r="Q156" s="165" t="s">
        <v>441</v>
      </c>
      <c r="R156" s="176"/>
      <c r="S156" s="176"/>
      <c r="T156" s="176"/>
      <c r="U156" s="176"/>
      <c r="V156" s="176"/>
      <c r="W156" s="176"/>
      <c r="X156" s="176"/>
      <c r="Y156" s="176"/>
      <c r="Z156" s="176"/>
      <c r="AA156" s="176"/>
    </row>
    <row r="157">
      <c r="A157" s="165" t="str">
        <f>iferror(VLOOKUP(P157,'DO NOT TOUCH Imported'!$A$1:$D$800,4,False),iferror(VLOOKUP(P157,'DO NOT TOUCH Imported'!$C$1:$D$800,2,False),"OOPS FIX ME"))</f>
        <v>durgadasji</v>
      </c>
      <c r="B157" s="165" t="s">
        <v>441</v>
      </c>
      <c r="C157" s="170" t="s">
        <v>1325</v>
      </c>
      <c r="D157" s="236" t="s">
        <v>437</v>
      </c>
      <c r="E157" s="237">
        <v>44288.0</v>
      </c>
      <c r="F157" s="170" t="s">
        <v>439</v>
      </c>
      <c r="G157" s="219"/>
      <c r="H157" s="171">
        <v>100.0</v>
      </c>
      <c r="I157" s="171">
        <v>100.0</v>
      </c>
      <c r="J157" s="172">
        <f t="shared" si="10"/>
        <v>0.001436335405</v>
      </c>
      <c r="K157" s="173">
        <f t="shared" si="11"/>
        <v>1.651785716</v>
      </c>
      <c r="L157" s="174">
        <f t="shared" si="4"/>
        <v>20.03451785</v>
      </c>
      <c r="M157" s="175" t="str">
        <f t="shared" si="5"/>
        <v>durgadasji</v>
      </c>
      <c r="N157" s="176">
        <f>IFERROR(__xludf.DUMMYFUNCTION("""COMPUTED_VALUE"""),7.0)</f>
        <v>7</v>
      </c>
      <c r="O157" s="176"/>
      <c r="P157" s="165" t="s">
        <v>782</v>
      </c>
      <c r="Q157" s="165" t="s">
        <v>441</v>
      </c>
      <c r="R157" s="176"/>
      <c r="S157" s="176"/>
      <c r="T157" s="176"/>
      <c r="U157" s="176"/>
      <c r="V157" s="176"/>
      <c r="W157" s="176"/>
      <c r="X157" s="176"/>
      <c r="Y157" s="176"/>
      <c r="Z157" s="176"/>
      <c r="AA157" s="176"/>
    </row>
    <row r="158">
      <c r="A158" s="165" t="str">
        <f>iferror(VLOOKUP(P158,'DO NOT TOUCH Imported'!$A$1:$D$800,4,False),iferror(VLOOKUP(P158,'DO NOT TOUCH Imported'!$C$1:$D$800,2,False),"OOPS FIX ME"))</f>
        <v>durgadasji</v>
      </c>
      <c r="B158" s="165" t="s">
        <v>441</v>
      </c>
      <c r="C158" s="170" t="s">
        <v>1326</v>
      </c>
      <c r="D158" s="236" t="s">
        <v>437</v>
      </c>
      <c r="E158" s="237">
        <v>44288.0</v>
      </c>
      <c r="F158" s="170" t="s">
        <v>439</v>
      </c>
      <c r="G158" s="219"/>
      <c r="H158" s="171">
        <v>100.0</v>
      </c>
      <c r="I158" s="171">
        <v>100.0</v>
      </c>
      <c r="J158" s="172">
        <f t="shared" si="10"/>
        <v>0.001436335405</v>
      </c>
      <c r="K158" s="173">
        <f t="shared" si="11"/>
        <v>1.651785716</v>
      </c>
      <c r="L158" s="174">
        <f t="shared" si="4"/>
        <v>20.03451785</v>
      </c>
      <c r="M158" s="175" t="str">
        <f t="shared" si="5"/>
        <v>durgadasji</v>
      </c>
      <c r="N158" s="176">
        <f>IFERROR(__xludf.DUMMYFUNCTION("""COMPUTED_VALUE"""),8.0)</f>
        <v>8</v>
      </c>
      <c r="O158" s="176"/>
      <c r="P158" s="165" t="s">
        <v>782</v>
      </c>
      <c r="Q158" s="165" t="s">
        <v>441</v>
      </c>
      <c r="R158" s="176"/>
      <c r="S158" s="176"/>
      <c r="T158" s="176"/>
      <c r="U158" s="176"/>
      <c r="V158" s="176"/>
      <c r="W158" s="176"/>
      <c r="X158" s="176"/>
      <c r="Y158" s="176"/>
      <c r="Z158" s="176"/>
      <c r="AA158" s="176"/>
    </row>
    <row r="159">
      <c r="A159" s="165" t="str">
        <f>iferror(VLOOKUP(P159,'DO NOT TOUCH Imported'!$A$1:$D$800,4,False),iferror(VLOOKUP(P159,'DO NOT TOUCH Imported'!$C$1:$D$800,2,False),"OOPS FIX ME"))</f>
        <v>durgadasji</v>
      </c>
      <c r="B159" s="165" t="s">
        <v>443</v>
      </c>
      <c r="C159" s="170" t="s">
        <v>1252</v>
      </c>
      <c r="D159" s="236" t="s">
        <v>437</v>
      </c>
      <c r="E159" s="237">
        <v>44291.0</v>
      </c>
      <c r="F159" s="170" t="s">
        <v>439</v>
      </c>
      <c r="G159" s="219"/>
      <c r="H159" s="171">
        <v>100.0</v>
      </c>
      <c r="I159" s="171">
        <v>80.0</v>
      </c>
      <c r="J159" s="172">
        <f t="shared" si="10"/>
        <v>0.0012937024</v>
      </c>
      <c r="K159" s="173">
        <f t="shared" si="11"/>
        <v>1.48775776</v>
      </c>
      <c r="L159" s="174">
        <f t="shared" si="4"/>
        <v>20.03451785</v>
      </c>
      <c r="M159" s="175" t="str">
        <f t="shared" si="5"/>
        <v>durgadasji</v>
      </c>
      <c r="N159" s="176">
        <f>IFERROR(__xludf.DUMMYFUNCTION("""COMPUTED_VALUE"""),9.0)</f>
        <v>9</v>
      </c>
      <c r="O159" s="176"/>
      <c r="P159" s="165" t="s">
        <v>782</v>
      </c>
      <c r="Q159" s="165" t="s">
        <v>443</v>
      </c>
      <c r="R159" s="176"/>
      <c r="S159" s="176"/>
      <c r="T159" s="176"/>
      <c r="U159" s="176"/>
      <c r="V159" s="176"/>
      <c r="W159" s="176"/>
      <c r="X159" s="176"/>
      <c r="Y159" s="176"/>
      <c r="Z159" s="176"/>
      <c r="AA159" s="176"/>
    </row>
    <row r="160">
      <c r="A160" s="165" t="str">
        <f>iferror(VLOOKUP(P160,'DO NOT TOUCH Imported'!$A$1:$D$800,4,False),iferror(VLOOKUP(P160,'DO NOT TOUCH Imported'!$C$1:$D$800,2,False),"OOPS FIX ME"))</f>
        <v>durgadasji</v>
      </c>
      <c r="B160" s="165" t="s">
        <v>486</v>
      </c>
      <c r="C160" s="170" t="s">
        <v>1254</v>
      </c>
      <c r="D160" s="236" t="s">
        <v>437</v>
      </c>
      <c r="E160" s="237">
        <v>44292.0</v>
      </c>
      <c r="F160" s="170" t="s">
        <v>439</v>
      </c>
      <c r="G160" s="219"/>
      <c r="H160" s="171">
        <v>50.0</v>
      </c>
      <c r="I160" s="171">
        <v>50.0</v>
      </c>
      <c r="J160" s="172">
        <f t="shared" si="10"/>
        <v>0.0007181677027</v>
      </c>
      <c r="K160" s="173">
        <f t="shared" si="11"/>
        <v>0.8258928581</v>
      </c>
      <c r="L160" s="174">
        <f t="shared" si="4"/>
        <v>20.03451785</v>
      </c>
      <c r="M160" s="175" t="str">
        <f t="shared" si="5"/>
        <v>durgadasji</v>
      </c>
      <c r="N160" s="176">
        <f>IFERROR(__xludf.DUMMYFUNCTION("""COMPUTED_VALUE"""),10.0)</f>
        <v>10</v>
      </c>
      <c r="O160" s="176"/>
      <c r="P160" s="165" t="s">
        <v>782</v>
      </c>
      <c r="Q160" s="165" t="s">
        <v>486</v>
      </c>
      <c r="R160" s="176"/>
      <c r="S160" s="176"/>
      <c r="T160" s="176"/>
      <c r="U160" s="176"/>
      <c r="V160" s="176"/>
      <c r="W160" s="176"/>
      <c r="X160" s="176"/>
      <c r="Y160" s="176"/>
      <c r="Z160" s="176"/>
      <c r="AA160" s="176"/>
    </row>
    <row r="161">
      <c r="A161" s="165" t="str">
        <f>iferror(VLOOKUP(P161,'DO NOT TOUCH Imported'!$A$1:$D$800,4,False),iferror(VLOOKUP(P161,'DO NOT TOUCH Imported'!$C$1:$D$800,2,False),"OOPS FIX ME"))</f>
        <v>durgadasji</v>
      </c>
      <c r="B161" s="165" t="s">
        <v>443</v>
      </c>
      <c r="C161" s="170" t="s">
        <v>1255</v>
      </c>
      <c r="D161" s="236" t="s">
        <v>437</v>
      </c>
      <c r="E161" s="237">
        <v>44292.0</v>
      </c>
      <c r="F161" s="170" t="s">
        <v>439</v>
      </c>
      <c r="G161" s="219"/>
      <c r="H161" s="171">
        <v>80.0</v>
      </c>
      <c r="I161" s="171">
        <v>100.0</v>
      </c>
      <c r="J161" s="172">
        <f t="shared" si="10"/>
        <v>0.00129170133</v>
      </c>
      <c r="K161" s="173">
        <f t="shared" si="11"/>
        <v>1.485456529</v>
      </c>
      <c r="L161" s="174">
        <f t="shared" si="4"/>
        <v>20.03451785</v>
      </c>
      <c r="M161" s="175" t="str">
        <f t="shared" si="5"/>
        <v>durgadasji</v>
      </c>
      <c r="N161" s="176">
        <f>IFERROR(__xludf.DUMMYFUNCTION("""COMPUTED_VALUE"""),11.0)</f>
        <v>11</v>
      </c>
      <c r="O161" s="176"/>
      <c r="P161" s="165" t="s">
        <v>782</v>
      </c>
      <c r="Q161" s="165" t="s">
        <v>443</v>
      </c>
      <c r="R161" s="176"/>
      <c r="S161" s="176"/>
      <c r="T161" s="176"/>
      <c r="U161" s="176"/>
      <c r="V161" s="176"/>
      <c r="W161" s="176"/>
      <c r="X161" s="176"/>
      <c r="Y161" s="176"/>
      <c r="Z161" s="176"/>
      <c r="AA161" s="176"/>
    </row>
    <row r="162">
      <c r="A162" s="165" t="str">
        <f>iferror(VLOOKUP(P162,'DO NOT TOUCH Imported'!$A$1:$D$800,4,False),iferror(VLOOKUP(P162,'DO NOT TOUCH Imported'!$C$1:$D$800,2,False),"OOPS FIX ME"))</f>
        <v>durgadasji</v>
      </c>
      <c r="B162" s="165" t="s">
        <v>440</v>
      </c>
      <c r="C162" s="170" t="s">
        <v>1257</v>
      </c>
      <c r="D162" s="236" t="s">
        <v>437</v>
      </c>
      <c r="E162" s="237">
        <v>44292.0</v>
      </c>
      <c r="F162" s="170" t="s">
        <v>439</v>
      </c>
      <c r="G162" s="219"/>
      <c r="H162" s="171">
        <v>70.0</v>
      </c>
      <c r="I162" s="171">
        <v>50.0</v>
      </c>
      <c r="J162" s="172">
        <f t="shared" si="10"/>
        <v>0.0008628017785</v>
      </c>
      <c r="K162" s="173">
        <f t="shared" si="11"/>
        <v>0.9922220452</v>
      </c>
      <c r="L162" s="174">
        <f t="shared" si="4"/>
        <v>20.03451785</v>
      </c>
      <c r="M162" s="175" t="str">
        <f t="shared" si="5"/>
        <v>durgadasji</v>
      </c>
      <c r="N162" s="176">
        <f>IFERROR(__xludf.DUMMYFUNCTION("""COMPUTED_VALUE"""),12.0)</f>
        <v>12</v>
      </c>
      <c r="O162" s="176"/>
      <c r="P162" s="165" t="s">
        <v>782</v>
      </c>
      <c r="Q162" s="165" t="s">
        <v>440</v>
      </c>
      <c r="R162" s="176"/>
      <c r="S162" s="176"/>
      <c r="T162" s="176"/>
      <c r="U162" s="176"/>
      <c r="V162" s="176"/>
      <c r="W162" s="176"/>
      <c r="X162" s="176"/>
      <c r="Y162" s="176"/>
      <c r="Z162" s="176"/>
      <c r="AA162" s="176"/>
    </row>
    <row r="163">
      <c r="A163" s="165" t="str">
        <f>iferror(VLOOKUP(P163,'DO NOT TOUCH Imported'!$A$1:$D$800,4,False),iferror(VLOOKUP(P163,'DO NOT TOUCH Imported'!$C$1:$D$800,2,False),"OOPS FIX ME"))</f>
        <v>durgadasji</v>
      </c>
      <c r="B163" s="165" t="s">
        <v>440</v>
      </c>
      <c r="C163" s="170" t="s">
        <v>1260</v>
      </c>
      <c r="D163" s="236" t="s">
        <v>437</v>
      </c>
      <c r="E163" s="237">
        <v>44293.0</v>
      </c>
      <c r="F163" s="170" t="s">
        <v>439</v>
      </c>
      <c r="G163" s="219"/>
      <c r="H163" s="171">
        <v>70.0</v>
      </c>
      <c r="I163" s="171">
        <v>50.0</v>
      </c>
      <c r="J163" s="172">
        <f t="shared" si="10"/>
        <v>0.0008628017785</v>
      </c>
      <c r="K163" s="173">
        <f t="shared" si="11"/>
        <v>0.9922220452</v>
      </c>
      <c r="L163" s="174">
        <f t="shared" si="4"/>
        <v>20.03451785</v>
      </c>
      <c r="M163" s="175" t="str">
        <f t="shared" si="5"/>
        <v>durgadasji</v>
      </c>
      <c r="N163" s="176">
        <f>IFERROR(__xludf.DUMMYFUNCTION("""COMPUTED_VALUE"""),13.0)</f>
        <v>13</v>
      </c>
      <c r="O163" s="176"/>
      <c r="P163" s="165" t="s">
        <v>782</v>
      </c>
      <c r="Q163" s="165" t="s">
        <v>440</v>
      </c>
      <c r="R163" s="176"/>
      <c r="S163" s="176"/>
      <c r="T163" s="176"/>
      <c r="U163" s="176"/>
      <c r="V163" s="176"/>
      <c r="W163" s="176"/>
      <c r="X163" s="176"/>
      <c r="Y163" s="176"/>
      <c r="Z163" s="176"/>
      <c r="AA163" s="176"/>
    </row>
    <row r="164">
      <c r="A164" s="165" t="str">
        <f>iferror(VLOOKUP(P164,'DO NOT TOUCH Imported'!$A$1:$D$800,4,False),iferror(VLOOKUP(P164,'DO NOT TOUCH Imported'!$C$1:$D$800,2,False),"OOPS FIX ME"))</f>
        <v>durgadasji</v>
      </c>
      <c r="B164" s="165" t="s">
        <v>440</v>
      </c>
      <c r="C164" s="170" t="s">
        <v>1327</v>
      </c>
      <c r="D164" s="236" t="s">
        <v>437</v>
      </c>
      <c r="E164" s="237">
        <v>44294.0</v>
      </c>
      <c r="F164" s="170" t="s">
        <v>439</v>
      </c>
      <c r="G164" s="219"/>
      <c r="H164" s="171">
        <v>150.0</v>
      </c>
      <c r="I164" s="171">
        <v>100.0</v>
      </c>
      <c r="J164" s="172">
        <f t="shared" si="10"/>
        <v>0.001797920595</v>
      </c>
      <c r="K164" s="173">
        <f t="shared" si="11"/>
        <v>2.067608684</v>
      </c>
      <c r="L164" s="174">
        <f t="shared" si="4"/>
        <v>20.03451785</v>
      </c>
      <c r="M164" s="175" t="str">
        <f t="shared" si="5"/>
        <v>durgadasji</v>
      </c>
      <c r="N164" s="176">
        <f>IFERROR(__xludf.DUMMYFUNCTION("""COMPUTED_VALUE"""),14.0)</f>
        <v>14</v>
      </c>
      <c r="O164" s="176"/>
      <c r="P164" s="165" t="s">
        <v>782</v>
      </c>
      <c r="Q164" s="165" t="s">
        <v>440</v>
      </c>
      <c r="R164" s="176"/>
      <c r="S164" s="176"/>
      <c r="T164" s="176"/>
      <c r="U164" s="176"/>
      <c r="V164" s="176"/>
      <c r="W164" s="176"/>
      <c r="X164" s="176"/>
      <c r="Y164" s="176"/>
      <c r="Z164" s="176"/>
      <c r="AA164" s="176"/>
    </row>
    <row r="165">
      <c r="A165" s="165" t="str">
        <f>iferror(VLOOKUP(P165,'DO NOT TOUCH Imported'!$A$1:$D$800,4,False),iferror(VLOOKUP(P165,'DO NOT TOUCH Imported'!$C$1:$D$800,2,False),"OOPS FIX ME"))</f>
        <v>durgadasji</v>
      </c>
      <c r="B165" s="165" t="s">
        <v>441</v>
      </c>
      <c r="C165" s="170" t="s">
        <v>1328</v>
      </c>
      <c r="D165" s="236" t="s">
        <v>437</v>
      </c>
      <c r="E165" s="237">
        <v>44295.0</v>
      </c>
      <c r="F165" s="170" t="s">
        <v>439</v>
      </c>
      <c r="G165" s="219"/>
      <c r="H165" s="171">
        <v>100.0</v>
      </c>
      <c r="I165" s="171">
        <v>100.0</v>
      </c>
      <c r="J165" s="172">
        <f t="shared" si="10"/>
        <v>0.001436335405</v>
      </c>
      <c r="K165" s="173">
        <f t="shared" si="11"/>
        <v>1.651785716</v>
      </c>
      <c r="L165" s="174">
        <f t="shared" si="4"/>
        <v>20.03451785</v>
      </c>
      <c r="M165" s="175" t="str">
        <f t="shared" si="5"/>
        <v>durgadasji</v>
      </c>
      <c r="N165" s="176">
        <f>IFERROR(__xludf.DUMMYFUNCTION("""COMPUTED_VALUE"""),15.0)</f>
        <v>15</v>
      </c>
      <c r="O165" s="176"/>
      <c r="P165" s="165" t="s">
        <v>782</v>
      </c>
      <c r="Q165" s="165" t="s">
        <v>441</v>
      </c>
      <c r="R165" s="176"/>
      <c r="S165" s="176"/>
      <c r="T165" s="176"/>
      <c r="U165" s="176"/>
      <c r="V165" s="176"/>
      <c r="W165" s="176"/>
      <c r="X165" s="176"/>
      <c r="Y165" s="176"/>
      <c r="Z165" s="176"/>
      <c r="AA165" s="176"/>
    </row>
    <row r="166">
      <c r="A166" s="165" t="str">
        <f>iferror(VLOOKUP(P166,'DO NOT TOUCH Imported'!$A$1:$D$800,4,False),iferror(VLOOKUP(P166,'DO NOT TOUCH Imported'!$C$1:$D$800,2,False),"OOPS FIX ME"))</f>
        <v>Laurenluz</v>
      </c>
      <c r="B166" s="185" t="s">
        <v>534</v>
      </c>
      <c r="C166" s="186" t="s">
        <v>669</v>
      </c>
      <c r="D166" s="187"/>
      <c r="E166" s="188"/>
      <c r="F166" s="189"/>
      <c r="G166" s="190"/>
      <c r="H166" s="190"/>
      <c r="I166" s="190"/>
      <c r="J166" s="191">
        <f>(G166/$G$2+H166/$H$2+I166/$I$2)/3</f>
        <v>0</v>
      </c>
      <c r="K166" s="192">
        <f>35.635*-0.5</f>
        <v>-17.8175</v>
      </c>
      <c r="L166" s="193">
        <f t="shared" si="4"/>
        <v>17.81776325</v>
      </c>
      <c r="M166" s="194" t="str">
        <f t="shared" si="5"/>
        <v>Laurenluz</v>
      </c>
      <c r="N166" s="195">
        <f>IFERROR(__xludf.DUMMYFUNCTION("""COMPUTED_VALUE"""),30.0)</f>
        <v>30</v>
      </c>
      <c r="O166" s="195"/>
      <c r="P166" s="165" t="s">
        <v>23</v>
      </c>
      <c r="Q166" s="185" t="s">
        <v>534</v>
      </c>
      <c r="R166" s="195">
        <v>18.802169413641863</v>
      </c>
      <c r="S166" s="195"/>
      <c r="T166" s="195"/>
      <c r="U166" s="195"/>
      <c r="V166" s="195"/>
      <c r="W166" s="195"/>
      <c r="X166" s="195"/>
      <c r="Y166" s="195"/>
      <c r="Z166" s="195"/>
      <c r="AA166" s="176"/>
    </row>
    <row r="167">
      <c r="A167" s="165" t="str">
        <f>iferror(VLOOKUP(P167,'DO NOT TOUCH Imported'!$A$1:$D$800,4,False),iferror(VLOOKUP(P167,'DO NOT TOUCH Imported'!$C$1:$D$800,2,False),"OOPS FIX ME"))</f>
        <v>mateodaza</v>
      </c>
      <c r="B167" s="165" t="s">
        <v>10</v>
      </c>
      <c r="C167" s="170" t="s">
        <v>500</v>
      </c>
      <c r="D167" s="236" t="s">
        <v>495</v>
      </c>
      <c r="E167" s="239">
        <v>44282.0</v>
      </c>
      <c r="F167" s="170" t="s">
        <v>496</v>
      </c>
      <c r="G167" s="219"/>
      <c r="H167" s="171">
        <v>20.0</v>
      </c>
      <c r="I167" s="171">
        <v>25.0</v>
      </c>
      <c r="J167" s="172">
        <f t="shared" ref="J167:J243" si="12">(H167/$H$2+I167/$I$2)/2</f>
        <v>0.0003229253324</v>
      </c>
      <c r="K167" s="173">
        <f t="shared" ref="K167:K243" si="13">J167*$J$1</f>
        <v>0.3713641322</v>
      </c>
      <c r="L167" s="174">
        <f t="shared" si="4"/>
        <v>10.00056517</v>
      </c>
      <c r="M167" s="175" t="str">
        <f t="shared" si="5"/>
        <v>mateodaza</v>
      </c>
      <c r="N167" s="176">
        <f>IFERROR(__xludf.DUMMYFUNCTION("""COMPUTED_VALUE"""),1.0)</f>
        <v>1</v>
      </c>
      <c r="O167" s="176"/>
      <c r="P167" s="165" t="s">
        <v>11</v>
      </c>
      <c r="Q167" s="165" t="s">
        <v>10</v>
      </c>
      <c r="R167" s="176"/>
      <c r="S167" s="176"/>
      <c r="T167" s="176"/>
      <c r="U167" s="176"/>
      <c r="V167" s="176"/>
      <c r="W167" s="176"/>
      <c r="X167" s="176"/>
      <c r="Y167" s="176"/>
      <c r="Z167" s="176"/>
      <c r="AA167" s="176"/>
    </row>
    <row r="168">
      <c r="A168" s="165" t="str">
        <f>iferror(VLOOKUP(P168,'DO NOT TOUCH Imported'!$A$1:$D$800,4,False),iferror(VLOOKUP(P168,'DO NOT TOUCH Imported'!$C$1:$D$800,2,False),"OOPS FIX ME"))</f>
        <v>mateodaza</v>
      </c>
      <c r="B168" s="165" t="s">
        <v>10</v>
      </c>
      <c r="C168" s="170" t="s">
        <v>498</v>
      </c>
      <c r="D168" s="236" t="s">
        <v>495</v>
      </c>
      <c r="E168" s="239">
        <v>44295.0</v>
      </c>
      <c r="F168" s="170" t="s">
        <v>499</v>
      </c>
      <c r="G168" s="219"/>
      <c r="H168" s="171">
        <v>20.0</v>
      </c>
      <c r="I168" s="171">
        <v>25.0</v>
      </c>
      <c r="J168" s="172">
        <f t="shared" si="12"/>
        <v>0.0003229253324</v>
      </c>
      <c r="K168" s="173">
        <f t="shared" si="13"/>
        <v>0.3713641322</v>
      </c>
      <c r="L168" s="174">
        <f t="shared" si="4"/>
        <v>10.00056517</v>
      </c>
      <c r="M168" s="175" t="str">
        <f t="shared" si="5"/>
        <v>mateodaza</v>
      </c>
      <c r="N168" s="176">
        <f>IFERROR(__xludf.DUMMYFUNCTION("""COMPUTED_VALUE"""),2.0)</f>
        <v>2</v>
      </c>
      <c r="O168" s="176"/>
      <c r="P168" s="165" t="s">
        <v>11</v>
      </c>
      <c r="Q168" s="165" t="s">
        <v>10</v>
      </c>
      <c r="R168" s="176"/>
      <c r="S168" s="176"/>
      <c r="T168" s="176"/>
      <c r="U168" s="176"/>
      <c r="V168" s="176"/>
      <c r="W168" s="176"/>
      <c r="X168" s="176"/>
      <c r="Y168" s="176"/>
      <c r="Z168" s="176"/>
      <c r="AA168" s="176"/>
    </row>
    <row r="169">
      <c r="A169" s="165" t="str">
        <f>iferror(VLOOKUP(P169,'DO NOT TOUCH Imported'!$A$1:$D$800,4,False),iferror(VLOOKUP(P169,'DO NOT TOUCH Imported'!$C$1:$D$800,2,False),"OOPS FIX ME"))</f>
        <v>mateodaza</v>
      </c>
      <c r="B169" s="165" t="s">
        <v>490</v>
      </c>
      <c r="C169" s="170" t="s">
        <v>1240</v>
      </c>
      <c r="D169" s="236" t="s">
        <v>437</v>
      </c>
      <c r="E169" s="239">
        <v>44286.0</v>
      </c>
      <c r="F169" s="170" t="s">
        <v>439</v>
      </c>
      <c r="G169" s="219"/>
      <c r="H169" s="171">
        <v>60.0</v>
      </c>
      <c r="I169" s="171">
        <v>50.0</v>
      </c>
      <c r="J169" s="172">
        <f t="shared" si="12"/>
        <v>0.0007904847406</v>
      </c>
      <c r="K169" s="173">
        <f t="shared" si="13"/>
        <v>0.9090574516</v>
      </c>
      <c r="L169" s="174">
        <f t="shared" si="4"/>
        <v>10.00056517</v>
      </c>
      <c r="M169" s="175" t="str">
        <f t="shared" si="5"/>
        <v>mateodaza</v>
      </c>
      <c r="N169" s="176">
        <f>IFERROR(__xludf.DUMMYFUNCTION("""COMPUTED_VALUE"""),3.0)</f>
        <v>3</v>
      </c>
      <c r="O169" s="176"/>
      <c r="P169" s="165" t="s">
        <v>695</v>
      </c>
      <c r="Q169" s="165" t="s">
        <v>490</v>
      </c>
      <c r="R169" s="176"/>
      <c r="S169" s="176"/>
      <c r="T169" s="176"/>
      <c r="U169" s="176"/>
      <c r="V169" s="176"/>
      <c r="W169" s="176"/>
      <c r="X169" s="176"/>
      <c r="Y169" s="176"/>
      <c r="Z169" s="176"/>
      <c r="AA169" s="176"/>
    </row>
    <row r="170">
      <c r="A170" s="165" t="str">
        <f>iferror(VLOOKUP(P170,'DO NOT TOUCH Imported'!$A$1:$D$800,4,False),iferror(VLOOKUP(P170,'DO NOT TOUCH Imported'!$C$1:$D$800,2,False),"OOPS FIX ME"))</f>
        <v>mateodaza</v>
      </c>
      <c r="B170" s="165" t="s">
        <v>441</v>
      </c>
      <c r="C170" s="170" t="s">
        <v>1329</v>
      </c>
      <c r="D170" s="236" t="s">
        <v>437</v>
      </c>
      <c r="E170" s="237">
        <v>44288.0</v>
      </c>
      <c r="F170" s="170" t="s">
        <v>439</v>
      </c>
      <c r="G170" s="219"/>
      <c r="H170" s="171">
        <v>200.0</v>
      </c>
      <c r="I170" s="171">
        <v>150.0</v>
      </c>
      <c r="J170" s="172">
        <f t="shared" si="12"/>
        <v>0.002516088297</v>
      </c>
      <c r="K170" s="173">
        <f t="shared" si="13"/>
        <v>2.893501542</v>
      </c>
      <c r="L170" s="174">
        <f t="shared" si="4"/>
        <v>10.00056517</v>
      </c>
      <c r="M170" s="175" t="str">
        <f t="shared" si="5"/>
        <v>mateodaza</v>
      </c>
      <c r="N170" s="176">
        <f>IFERROR(__xludf.DUMMYFUNCTION("""COMPUTED_VALUE"""),4.0)</f>
        <v>4</v>
      </c>
      <c r="O170" s="176"/>
      <c r="P170" s="165" t="s">
        <v>695</v>
      </c>
      <c r="Q170" s="165" t="s">
        <v>441</v>
      </c>
      <c r="R170" s="176"/>
      <c r="S170" s="176"/>
      <c r="T170" s="176"/>
      <c r="U170" s="176"/>
      <c r="V170" s="176"/>
      <c r="W170" s="176"/>
      <c r="X170" s="176"/>
      <c r="Y170" s="176"/>
      <c r="Z170" s="176"/>
      <c r="AA170" s="176"/>
    </row>
    <row r="171">
      <c r="A171" s="165" t="str">
        <f>iferror(VLOOKUP(P171,'DO NOT TOUCH Imported'!$A$1:$D$800,4,False),iferror(VLOOKUP(P171,'DO NOT TOUCH Imported'!$C$1:$D$800,2,False),"OOPS FIX ME"))</f>
        <v>mateodaza</v>
      </c>
      <c r="B171" s="165" t="s">
        <v>441</v>
      </c>
      <c r="C171" s="170" t="s">
        <v>1275</v>
      </c>
      <c r="D171" s="236" t="s">
        <v>437</v>
      </c>
      <c r="E171" s="237">
        <v>44288.0</v>
      </c>
      <c r="F171" s="170" t="s">
        <v>439</v>
      </c>
      <c r="G171" s="219"/>
      <c r="H171" s="171">
        <v>150.0</v>
      </c>
      <c r="I171" s="171">
        <v>150.0</v>
      </c>
      <c r="J171" s="172">
        <f t="shared" si="12"/>
        <v>0.002154503108</v>
      </c>
      <c r="K171" s="173">
        <f t="shared" si="13"/>
        <v>2.477678574</v>
      </c>
      <c r="L171" s="174">
        <f t="shared" si="4"/>
        <v>10.00056517</v>
      </c>
      <c r="M171" s="175" t="str">
        <f t="shared" si="5"/>
        <v>mateodaza</v>
      </c>
      <c r="N171" s="176">
        <f>IFERROR(__xludf.DUMMYFUNCTION("""COMPUTED_VALUE"""),5.0)</f>
        <v>5</v>
      </c>
      <c r="O171" s="176"/>
      <c r="P171" s="165" t="s">
        <v>695</v>
      </c>
      <c r="Q171" s="165" t="s">
        <v>441</v>
      </c>
      <c r="R171" s="176"/>
      <c r="S171" s="176"/>
      <c r="T171" s="176"/>
      <c r="U171" s="176"/>
      <c r="V171" s="176"/>
      <c r="W171" s="176"/>
      <c r="X171" s="176"/>
      <c r="Y171" s="176"/>
      <c r="Z171" s="176"/>
      <c r="AA171" s="176"/>
    </row>
    <row r="172">
      <c r="A172" s="165" t="str">
        <f>iferror(VLOOKUP(P172,'DO NOT TOUCH Imported'!$A$1:$D$800,4,False),iferror(VLOOKUP(P172,'DO NOT TOUCH Imported'!$C$1:$D$800,2,False),"OOPS FIX ME"))</f>
        <v>mateodaza</v>
      </c>
      <c r="B172" s="165" t="s">
        <v>441</v>
      </c>
      <c r="C172" s="170" t="s">
        <v>1250</v>
      </c>
      <c r="D172" s="236" t="s">
        <v>437</v>
      </c>
      <c r="E172" s="237">
        <v>44288.0</v>
      </c>
      <c r="F172" s="170" t="s">
        <v>439</v>
      </c>
      <c r="G172" s="219"/>
      <c r="H172" s="171">
        <v>40.0</v>
      </c>
      <c r="I172" s="171">
        <v>50.0</v>
      </c>
      <c r="J172" s="172">
        <f t="shared" si="12"/>
        <v>0.0006458506648</v>
      </c>
      <c r="K172" s="173">
        <f t="shared" si="13"/>
        <v>0.7427282645</v>
      </c>
      <c r="L172" s="174">
        <f t="shared" si="4"/>
        <v>10.00056517</v>
      </c>
      <c r="M172" s="175" t="str">
        <f t="shared" si="5"/>
        <v>mateodaza</v>
      </c>
      <c r="N172" s="176">
        <f>IFERROR(__xludf.DUMMYFUNCTION("""COMPUTED_VALUE"""),6.0)</f>
        <v>6</v>
      </c>
      <c r="O172" s="176"/>
      <c r="P172" s="165" t="s">
        <v>695</v>
      </c>
      <c r="Q172" s="165" t="s">
        <v>441</v>
      </c>
      <c r="R172" s="176"/>
      <c r="S172" s="176"/>
      <c r="T172" s="176"/>
      <c r="U172" s="176"/>
      <c r="V172" s="176"/>
      <c r="W172" s="176"/>
      <c r="X172" s="176"/>
      <c r="Y172" s="176"/>
      <c r="Z172" s="176"/>
      <c r="AA172" s="176"/>
    </row>
    <row r="173">
      <c r="A173" s="165" t="str">
        <f>iferror(VLOOKUP(P173,'DO NOT TOUCH Imported'!$A$1:$D$800,4,False),iferror(VLOOKUP(P173,'DO NOT TOUCH Imported'!$C$1:$D$800,2,False),"OOPS FIX ME"))</f>
        <v>mateodaza</v>
      </c>
      <c r="B173" s="165" t="s">
        <v>443</v>
      </c>
      <c r="C173" s="170" t="s">
        <v>1252</v>
      </c>
      <c r="D173" s="236" t="s">
        <v>437</v>
      </c>
      <c r="E173" s="237">
        <v>44291.0</v>
      </c>
      <c r="F173" s="170" t="s">
        <v>439</v>
      </c>
      <c r="G173" s="219"/>
      <c r="H173" s="171">
        <v>150.0</v>
      </c>
      <c r="I173" s="171">
        <v>80.0</v>
      </c>
      <c r="J173" s="172">
        <f t="shared" si="12"/>
        <v>0.00165528759</v>
      </c>
      <c r="K173" s="173">
        <f t="shared" si="13"/>
        <v>1.903580728</v>
      </c>
      <c r="L173" s="174">
        <f t="shared" si="4"/>
        <v>10.00056517</v>
      </c>
      <c r="M173" s="175" t="str">
        <f t="shared" si="5"/>
        <v>mateodaza</v>
      </c>
      <c r="N173" s="176">
        <f>IFERROR(__xludf.DUMMYFUNCTION("""COMPUTED_VALUE"""),7.0)</f>
        <v>7</v>
      </c>
      <c r="O173" s="176"/>
      <c r="P173" s="165" t="s">
        <v>695</v>
      </c>
      <c r="Q173" s="165" t="s">
        <v>443</v>
      </c>
      <c r="R173" s="176"/>
      <c r="S173" s="176"/>
      <c r="T173" s="176"/>
      <c r="U173" s="176"/>
      <c r="V173" s="176"/>
      <c r="W173" s="176"/>
      <c r="X173" s="176"/>
      <c r="Y173" s="176"/>
      <c r="Z173" s="176"/>
      <c r="AA173" s="176"/>
    </row>
    <row r="174">
      <c r="A174" s="165" t="str">
        <f>iferror(VLOOKUP(P174,'DO NOT TOUCH Imported'!$A$1:$D$800,4,False),iferror(VLOOKUP(P174,'DO NOT TOUCH Imported'!$C$1:$D$800,2,False),"OOPS FIX ME"))</f>
        <v>mateodaza</v>
      </c>
      <c r="B174" s="165" t="s">
        <v>435</v>
      </c>
      <c r="C174" s="170" t="s">
        <v>1330</v>
      </c>
      <c r="D174" s="236" t="s">
        <v>499</v>
      </c>
      <c r="E174" s="237">
        <v>44291.0</v>
      </c>
      <c r="F174" s="170" t="s">
        <v>503</v>
      </c>
      <c r="G174" s="219"/>
      <c r="H174" s="171">
        <v>150.0</v>
      </c>
      <c r="I174" s="171">
        <v>150.0</v>
      </c>
      <c r="J174" s="172">
        <f t="shared" si="12"/>
        <v>0.002154503108</v>
      </c>
      <c r="K174" s="173">
        <f t="shared" si="13"/>
        <v>2.477678574</v>
      </c>
      <c r="L174" s="174">
        <f t="shared" si="4"/>
        <v>10.00056517</v>
      </c>
      <c r="M174" s="175" t="str">
        <f t="shared" si="5"/>
        <v>mateodaza</v>
      </c>
      <c r="N174" s="176">
        <f>IFERROR(__xludf.DUMMYFUNCTION("""COMPUTED_VALUE"""),8.0)</f>
        <v>8</v>
      </c>
      <c r="O174" s="176"/>
      <c r="P174" s="165" t="s">
        <v>695</v>
      </c>
      <c r="Q174" s="165" t="s">
        <v>435</v>
      </c>
      <c r="R174" s="176"/>
      <c r="S174" s="176"/>
      <c r="T174" s="176"/>
      <c r="U174" s="176"/>
      <c r="V174" s="176"/>
      <c r="W174" s="176"/>
      <c r="X174" s="176"/>
      <c r="Y174" s="176"/>
      <c r="Z174" s="176"/>
      <c r="AA174" s="176"/>
    </row>
    <row r="175">
      <c r="A175" s="165" t="str">
        <f>iferror(VLOOKUP(P175,'DO NOT TOUCH Imported'!$A$1:$D$800,4,False),iferror(VLOOKUP(P175,'DO NOT TOUCH Imported'!$C$1:$D$800,2,False),"OOPS FIX ME"))</f>
        <v>mateodaza</v>
      </c>
      <c r="B175" s="165" t="s">
        <v>441</v>
      </c>
      <c r="C175" s="170" t="s">
        <v>1296</v>
      </c>
      <c r="D175" s="236" t="s">
        <v>437</v>
      </c>
      <c r="E175" s="237">
        <v>44295.0</v>
      </c>
      <c r="F175" s="170" t="s">
        <v>439</v>
      </c>
      <c r="G175" s="219"/>
      <c r="H175" s="171">
        <v>150.0</v>
      </c>
      <c r="I175" s="171">
        <v>100.0</v>
      </c>
      <c r="J175" s="172">
        <f t="shared" si="12"/>
        <v>0.001797920595</v>
      </c>
      <c r="K175" s="173">
        <f t="shared" si="13"/>
        <v>2.067608684</v>
      </c>
      <c r="L175" s="174">
        <f t="shared" si="4"/>
        <v>10.00056517</v>
      </c>
      <c r="M175" s="175" t="str">
        <f t="shared" si="5"/>
        <v>mateodaza</v>
      </c>
      <c r="N175" s="176">
        <f>IFERROR(__xludf.DUMMYFUNCTION("""COMPUTED_VALUE"""),9.0)</f>
        <v>9</v>
      </c>
      <c r="O175" s="176"/>
      <c r="P175" s="165" t="s">
        <v>695</v>
      </c>
      <c r="Q175" s="165" t="s">
        <v>441</v>
      </c>
      <c r="R175" s="176"/>
      <c r="S175" s="176"/>
      <c r="T175" s="176"/>
      <c r="U175" s="176"/>
      <c r="V175" s="176"/>
      <c r="W175" s="176"/>
      <c r="X175" s="176"/>
      <c r="Y175" s="176"/>
      <c r="Z175" s="176"/>
      <c r="AA175" s="176"/>
    </row>
    <row r="176">
      <c r="A176" s="165" t="str">
        <f>iferror(VLOOKUP(P176,'DO NOT TOUCH Imported'!$A$1:$D$800,4,False),iferror(VLOOKUP(P176,'DO NOT TOUCH Imported'!$C$1:$D$800,2,False),"OOPS FIX ME"))</f>
        <v>mateodaza</v>
      </c>
      <c r="B176" s="165" t="s">
        <v>441</v>
      </c>
      <c r="C176" s="170" t="s">
        <v>1331</v>
      </c>
      <c r="D176" s="236" t="s">
        <v>437</v>
      </c>
      <c r="E176" s="237">
        <v>44295.0</v>
      </c>
      <c r="F176" s="170" t="s">
        <v>439</v>
      </c>
      <c r="G176" s="219"/>
      <c r="H176" s="171">
        <v>150.0</v>
      </c>
      <c r="I176" s="171">
        <v>100.0</v>
      </c>
      <c r="J176" s="172">
        <f t="shared" si="12"/>
        <v>0.001797920595</v>
      </c>
      <c r="K176" s="173">
        <f t="shared" si="13"/>
        <v>2.067608684</v>
      </c>
      <c r="L176" s="174">
        <f t="shared" si="4"/>
        <v>10.00056517</v>
      </c>
      <c r="M176" s="175" t="str">
        <f t="shared" si="5"/>
        <v>mateodaza</v>
      </c>
      <c r="N176" s="176">
        <f>IFERROR(__xludf.DUMMYFUNCTION("""COMPUTED_VALUE"""),10.0)</f>
        <v>10</v>
      </c>
      <c r="O176" s="176"/>
      <c r="P176" s="165" t="s">
        <v>695</v>
      </c>
      <c r="Q176" s="165" t="s">
        <v>441</v>
      </c>
      <c r="R176" s="176"/>
      <c r="S176" s="176"/>
      <c r="T176" s="176"/>
      <c r="U176" s="176"/>
      <c r="V176" s="176"/>
      <c r="W176" s="176"/>
      <c r="X176" s="176"/>
      <c r="Y176" s="176"/>
      <c r="Z176" s="176"/>
      <c r="AA176" s="176"/>
    </row>
    <row r="177">
      <c r="A177" s="165" t="str">
        <f>iferror(VLOOKUP(P177,'DO NOT TOUCH Imported'!$A$1:$D$800,4,False),iferror(VLOOKUP(P177,'DO NOT TOUCH Imported'!$C$1:$D$800,2,False),"OOPS FIX ME"))</f>
        <v>mateodaza</v>
      </c>
      <c r="B177" s="165" t="s">
        <v>441</v>
      </c>
      <c r="C177" s="170" t="s">
        <v>1332</v>
      </c>
      <c r="D177" s="236" t="s">
        <v>437</v>
      </c>
      <c r="E177" s="237">
        <v>44295.0</v>
      </c>
      <c r="F177" s="170" t="s">
        <v>439</v>
      </c>
      <c r="G177" s="219"/>
      <c r="H177" s="171">
        <v>200.0</v>
      </c>
      <c r="I177" s="171">
        <v>150.0</v>
      </c>
      <c r="J177" s="172">
        <f t="shared" si="12"/>
        <v>0.002516088297</v>
      </c>
      <c r="K177" s="173">
        <f t="shared" si="13"/>
        <v>2.893501542</v>
      </c>
      <c r="L177" s="174">
        <f t="shared" si="4"/>
        <v>10.00056517</v>
      </c>
      <c r="M177" s="175" t="str">
        <f t="shared" si="5"/>
        <v>mateodaza</v>
      </c>
      <c r="N177" s="176">
        <f>IFERROR(__xludf.DUMMYFUNCTION("""COMPUTED_VALUE"""),11.0)</f>
        <v>11</v>
      </c>
      <c r="O177" s="176"/>
      <c r="P177" s="165" t="s">
        <v>695</v>
      </c>
      <c r="Q177" s="165" t="s">
        <v>441</v>
      </c>
      <c r="R177" s="176"/>
      <c r="S177" s="176"/>
      <c r="T177" s="176"/>
      <c r="U177" s="176"/>
      <c r="V177" s="176"/>
      <c r="W177" s="176"/>
      <c r="X177" s="176"/>
      <c r="Y177" s="176"/>
      <c r="Z177" s="176"/>
      <c r="AA177" s="176"/>
    </row>
    <row r="178">
      <c r="A178" s="165" t="str">
        <f>iferror(VLOOKUP(P178,'DO NOT TOUCH Imported'!$A$1:$D$800,4,False),iferror(VLOOKUP(P178,'DO NOT TOUCH Imported'!$C$1:$D$800,2,False),"OOPS FIX ME"))</f>
        <v>mateodaza</v>
      </c>
      <c r="B178" s="165" t="s">
        <v>441</v>
      </c>
      <c r="C178" s="170" t="s">
        <v>1267</v>
      </c>
      <c r="D178" s="236" t="s">
        <v>437</v>
      </c>
      <c r="E178" s="237">
        <v>44295.0</v>
      </c>
      <c r="F178" s="170" t="s">
        <v>439</v>
      </c>
      <c r="G178" s="219"/>
      <c r="H178" s="171">
        <v>50.0</v>
      </c>
      <c r="I178" s="171">
        <v>50.0</v>
      </c>
      <c r="J178" s="172">
        <f t="shared" si="12"/>
        <v>0.0007181677027</v>
      </c>
      <c r="K178" s="173">
        <f t="shared" si="13"/>
        <v>0.8258928581</v>
      </c>
      <c r="L178" s="174">
        <f t="shared" si="4"/>
        <v>10.00056517</v>
      </c>
      <c r="M178" s="175" t="str">
        <f t="shared" si="5"/>
        <v>mateodaza</v>
      </c>
      <c r="N178" s="176">
        <f>IFERROR(__xludf.DUMMYFUNCTION("""COMPUTED_VALUE"""),12.0)</f>
        <v>12</v>
      </c>
      <c r="O178" s="176"/>
      <c r="P178" s="165" t="s">
        <v>695</v>
      </c>
      <c r="Q178" s="165" t="s">
        <v>441</v>
      </c>
      <c r="R178" s="176"/>
      <c r="S178" s="176"/>
      <c r="T178" s="176"/>
      <c r="U178" s="176"/>
      <c r="V178" s="176"/>
      <c r="W178" s="176"/>
      <c r="X178" s="176"/>
      <c r="Y178" s="176"/>
      <c r="Z178" s="176"/>
      <c r="AA178" s="176"/>
    </row>
    <row r="179">
      <c r="A179" s="165" t="str">
        <f>iferror(VLOOKUP(P179,'DO NOT TOUCH Imported'!$A$1:$D$800,4,False),iferror(VLOOKUP(P179,'DO NOT TOUCH Imported'!$C$1:$D$800,2,False),"OOPS FIX ME"))</f>
        <v>cranders71</v>
      </c>
      <c r="B179" s="165" t="s">
        <v>441</v>
      </c>
      <c r="C179" s="170" t="s">
        <v>498</v>
      </c>
      <c r="D179" s="236" t="s">
        <v>495</v>
      </c>
      <c r="E179" s="239">
        <v>44282.0</v>
      </c>
      <c r="F179" s="170" t="s">
        <v>499</v>
      </c>
      <c r="G179" s="170"/>
      <c r="H179" s="171">
        <v>20.0</v>
      </c>
      <c r="I179" s="171">
        <v>25.0</v>
      </c>
      <c r="J179" s="172">
        <f t="shared" si="12"/>
        <v>0.0003229253324</v>
      </c>
      <c r="K179" s="173">
        <f t="shared" si="13"/>
        <v>0.3713641322</v>
      </c>
      <c r="L179" s="174">
        <f t="shared" si="4"/>
        <v>17.62964833</v>
      </c>
      <c r="M179" s="175" t="str">
        <f t="shared" si="5"/>
        <v>cranders71</v>
      </c>
      <c r="N179" s="176">
        <f>IFERROR(__xludf.DUMMYFUNCTION("""COMPUTED_VALUE"""),1.0)</f>
        <v>1</v>
      </c>
      <c r="O179" s="176"/>
      <c r="P179" s="165" t="s">
        <v>5</v>
      </c>
      <c r="Q179" s="165" t="s">
        <v>10</v>
      </c>
      <c r="R179" s="176"/>
      <c r="S179" s="176"/>
      <c r="T179" s="176"/>
      <c r="U179" s="176"/>
      <c r="V179" s="176"/>
      <c r="W179" s="176"/>
      <c r="X179" s="176"/>
      <c r="Y179" s="176"/>
      <c r="Z179" s="176"/>
      <c r="AA179" s="176"/>
    </row>
    <row r="180">
      <c r="A180" s="165" t="str">
        <f>iferror(VLOOKUP(P180,'DO NOT TOUCH Imported'!$A$1:$D$800,4,False),iferror(VLOOKUP(P180,'DO NOT TOUCH Imported'!$C$1:$D$800,2,False),"OOPS FIX ME"))</f>
        <v>metaverde</v>
      </c>
      <c r="B180" s="165" t="s">
        <v>10</v>
      </c>
      <c r="C180" s="170" t="s">
        <v>494</v>
      </c>
      <c r="D180" s="236" t="s">
        <v>495</v>
      </c>
      <c r="E180" s="239">
        <v>44295.0</v>
      </c>
      <c r="F180" s="170" t="s">
        <v>496</v>
      </c>
      <c r="G180" s="219"/>
      <c r="H180" s="171">
        <v>40.0</v>
      </c>
      <c r="I180" s="171">
        <v>40.0</v>
      </c>
      <c r="J180" s="172">
        <f t="shared" si="12"/>
        <v>0.0005745341621</v>
      </c>
      <c r="K180" s="173">
        <f t="shared" si="13"/>
        <v>0.6607142865</v>
      </c>
      <c r="L180" s="174">
        <f t="shared" si="4"/>
        <v>18.14589512</v>
      </c>
      <c r="M180" s="175" t="str">
        <f t="shared" si="5"/>
        <v>metaverde</v>
      </c>
      <c r="N180" s="176">
        <f>IFERROR(__xludf.DUMMYFUNCTION("""COMPUTED_VALUE"""),2.0)</f>
        <v>2</v>
      </c>
      <c r="O180" s="176"/>
      <c r="P180" s="165" t="s">
        <v>12</v>
      </c>
      <c r="Q180" s="165" t="s">
        <v>10</v>
      </c>
      <c r="R180" s="176"/>
      <c r="S180" s="176"/>
      <c r="T180" s="176"/>
      <c r="U180" s="176"/>
      <c r="V180" s="176"/>
      <c r="W180" s="176"/>
      <c r="X180" s="176"/>
      <c r="Y180" s="176"/>
      <c r="Z180" s="176"/>
      <c r="AA180" s="176"/>
    </row>
    <row r="181">
      <c r="A181" s="165" t="str">
        <f>iferror(VLOOKUP(P181,'DO NOT TOUCH Imported'!$A$1:$D$800,4,False),iferror(VLOOKUP(P181,'DO NOT TOUCH Imported'!$C$1:$D$800,2,False),"OOPS FIX ME"))</f>
        <v>metaverde</v>
      </c>
      <c r="B181" s="165" t="s">
        <v>443</v>
      </c>
      <c r="C181" s="170" t="s">
        <v>1245</v>
      </c>
      <c r="D181" s="236" t="s">
        <v>437</v>
      </c>
      <c r="E181" s="239">
        <v>44287.0</v>
      </c>
      <c r="F181" s="170" t="s">
        <v>439</v>
      </c>
      <c r="G181" s="219"/>
      <c r="H181" s="171">
        <v>70.0</v>
      </c>
      <c r="I181" s="171">
        <v>50.0</v>
      </c>
      <c r="J181" s="172">
        <f t="shared" si="12"/>
        <v>0.0008628017785</v>
      </c>
      <c r="K181" s="173">
        <f t="shared" si="13"/>
        <v>0.9922220452</v>
      </c>
      <c r="L181" s="174">
        <f t="shared" si="4"/>
        <v>18.14589512</v>
      </c>
      <c r="M181" s="175" t="str">
        <f t="shared" si="5"/>
        <v>metaverde</v>
      </c>
      <c r="N181" s="176">
        <f>IFERROR(__xludf.DUMMYFUNCTION("""COMPUTED_VALUE"""),3.0)</f>
        <v>3</v>
      </c>
      <c r="O181" s="176"/>
      <c r="P181" s="165" t="s">
        <v>718</v>
      </c>
      <c r="Q181" s="165" t="s">
        <v>443</v>
      </c>
      <c r="R181" s="176"/>
      <c r="S181" s="176"/>
      <c r="T181" s="176"/>
      <c r="U181" s="176"/>
      <c r="V181" s="176"/>
      <c r="W181" s="176"/>
      <c r="X181" s="176"/>
      <c r="Y181" s="176"/>
      <c r="Z181" s="176"/>
      <c r="AA181" s="176"/>
    </row>
    <row r="182">
      <c r="A182" s="165" t="str">
        <f>iferror(VLOOKUP(P182,'DO NOT TOUCH Imported'!$A$1:$D$800,4,False),iferror(VLOOKUP(P182,'DO NOT TOUCH Imported'!$C$1:$D$800,2,False),"OOPS FIX ME"))</f>
        <v>metaverde</v>
      </c>
      <c r="B182" s="165" t="s">
        <v>435</v>
      </c>
      <c r="C182" s="170" t="s">
        <v>1246</v>
      </c>
      <c r="D182" s="236" t="s">
        <v>437</v>
      </c>
      <c r="E182" s="239">
        <v>44287.0</v>
      </c>
      <c r="F182" s="170" t="s">
        <v>439</v>
      </c>
      <c r="G182" s="219"/>
      <c r="H182" s="171">
        <v>100.0</v>
      </c>
      <c r="I182" s="171">
        <v>50.0</v>
      </c>
      <c r="J182" s="172">
        <f t="shared" si="12"/>
        <v>0.001079752892</v>
      </c>
      <c r="K182" s="173">
        <f t="shared" si="13"/>
        <v>1.241715826</v>
      </c>
      <c r="L182" s="174">
        <f t="shared" si="4"/>
        <v>18.14589512</v>
      </c>
      <c r="M182" s="175" t="str">
        <f t="shared" si="5"/>
        <v>metaverde</v>
      </c>
      <c r="N182" s="176">
        <f>IFERROR(__xludf.DUMMYFUNCTION("""COMPUTED_VALUE"""),4.0)</f>
        <v>4</v>
      </c>
      <c r="O182" s="176"/>
      <c r="P182" s="165" t="s">
        <v>718</v>
      </c>
      <c r="Q182" s="165" t="s">
        <v>435</v>
      </c>
      <c r="R182" s="176"/>
      <c r="S182" s="176"/>
      <c r="T182" s="176"/>
      <c r="U182" s="176"/>
      <c r="V182" s="176"/>
      <c r="W182" s="176"/>
      <c r="X182" s="176"/>
      <c r="Y182" s="176"/>
      <c r="Z182" s="176"/>
      <c r="AA182" s="176"/>
    </row>
    <row r="183">
      <c r="A183" s="165" t="str">
        <f>iferror(VLOOKUP(P183,'DO NOT TOUCH Imported'!$A$1:$D$800,4,False),iferror(VLOOKUP(P183,'DO NOT TOUCH Imported'!$C$1:$D$800,2,False),"OOPS FIX ME"))</f>
        <v>metaverde</v>
      </c>
      <c r="B183" s="165" t="s">
        <v>486</v>
      </c>
      <c r="C183" s="170" t="s">
        <v>1304</v>
      </c>
      <c r="D183" s="236" t="s">
        <v>437</v>
      </c>
      <c r="E183" s="237">
        <v>44288.0</v>
      </c>
      <c r="F183" s="170" t="s">
        <v>439</v>
      </c>
      <c r="G183" s="219"/>
      <c r="H183" s="171">
        <v>150.0</v>
      </c>
      <c r="I183" s="171">
        <v>100.0</v>
      </c>
      <c r="J183" s="172">
        <f t="shared" si="12"/>
        <v>0.001797920595</v>
      </c>
      <c r="K183" s="173">
        <f t="shared" si="13"/>
        <v>2.067608684</v>
      </c>
      <c r="L183" s="174">
        <f t="shared" si="4"/>
        <v>18.14589512</v>
      </c>
      <c r="M183" s="175" t="str">
        <f t="shared" si="5"/>
        <v>metaverde</v>
      </c>
      <c r="N183" s="176">
        <f>IFERROR(__xludf.DUMMYFUNCTION("""COMPUTED_VALUE"""),5.0)</f>
        <v>5</v>
      </c>
      <c r="O183" s="176"/>
      <c r="P183" s="165" t="s">
        <v>718</v>
      </c>
      <c r="Q183" s="165" t="s">
        <v>486</v>
      </c>
      <c r="R183" s="176"/>
      <c r="S183" s="176"/>
      <c r="T183" s="176"/>
      <c r="U183" s="176"/>
      <c r="V183" s="176"/>
      <c r="W183" s="176"/>
      <c r="X183" s="176"/>
      <c r="Y183" s="176"/>
      <c r="Z183" s="176"/>
      <c r="AA183" s="176"/>
    </row>
    <row r="184">
      <c r="A184" s="165" t="str">
        <f>iferror(VLOOKUP(P184,'DO NOT TOUCH Imported'!$A$1:$D$800,4,False),iferror(VLOOKUP(P184,'DO NOT TOUCH Imported'!$C$1:$D$800,2,False),"OOPS FIX ME"))</f>
        <v>metaverde</v>
      </c>
      <c r="B184" s="165" t="s">
        <v>20</v>
      </c>
      <c r="C184" s="170" t="s">
        <v>1333</v>
      </c>
      <c r="D184" s="236" t="s">
        <v>437</v>
      </c>
      <c r="E184" s="237">
        <v>44288.0</v>
      </c>
      <c r="F184" s="170" t="s">
        <v>439</v>
      </c>
      <c r="G184" s="219"/>
      <c r="H184" s="171">
        <v>100.0</v>
      </c>
      <c r="I184" s="171">
        <v>100.0</v>
      </c>
      <c r="J184" s="172">
        <f t="shared" si="12"/>
        <v>0.001436335405</v>
      </c>
      <c r="K184" s="173">
        <f t="shared" si="13"/>
        <v>1.651785716</v>
      </c>
      <c r="L184" s="174">
        <f t="shared" si="4"/>
        <v>18.14589512</v>
      </c>
      <c r="M184" s="175" t="str">
        <f t="shared" si="5"/>
        <v>metaverde</v>
      </c>
      <c r="N184" s="176">
        <f>IFERROR(__xludf.DUMMYFUNCTION("""COMPUTED_VALUE"""),6.0)</f>
        <v>6</v>
      </c>
      <c r="O184" s="176"/>
      <c r="P184" s="165" t="s">
        <v>718</v>
      </c>
      <c r="Q184" s="165" t="s">
        <v>20</v>
      </c>
      <c r="R184" s="176"/>
      <c r="S184" s="176"/>
      <c r="T184" s="176"/>
      <c r="U184" s="176"/>
      <c r="V184" s="176"/>
      <c r="W184" s="176"/>
      <c r="X184" s="176"/>
      <c r="Y184" s="176"/>
      <c r="Z184" s="176"/>
      <c r="AA184" s="176"/>
    </row>
    <row r="185">
      <c r="A185" s="165" t="str">
        <f>iferror(VLOOKUP(P185,'DO NOT TOUCH Imported'!$A$1:$D$800,4,False),iferror(VLOOKUP(P185,'DO NOT TOUCH Imported'!$C$1:$D$800,2,False),"OOPS FIX ME"))</f>
        <v>metaverde</v>
      </c>
      <c r="B185" s="165" t="s">
        <v>435</v>
      </c>
      <c r="C185" s="170" t="s">
        <v>1278</v>
      </c>
      <c r="D185" s="236" t="s">
        <v>437</v>
      </c>
      <c r="E185" s="237">
        <v>44288.0</v>
      </c>
      <c r="F185" s="170" t="s">
        <v>439</v>
      </c>
      <c r="G185" s="219"/>
      <c r="H185" s="171">
        <v>70.0</v>
      </c>
      <c r="I185" s="171">
        <v>50.0</v>
      </c>
      <c r="J185" s="172">
        <f t="shared" si="12"/>
        <v>0.0008628017785</v>
      </c>
      <c r="K185" s="173">
        <f t="shared" si="13"/>
        <v>0.9922220452</v>
      </c>
      <c r="L185" s="174">
        <f t="shared" si="4"/>
        <v>18.14589512</v>
      </c>
      <c r="M185" s="175" t="str">
        <f t="shared" si="5"/>
        <v>metaverde</v>
      </c>
      <c r="N185" s="176">
        <f>IFERROR(__xludf.DUMMYFUNCTION("""COMPUTED_VALUE"""),7.0)</f>
        <v>7</v>
      </c>
      <c r="O185" s="176"/>
      <c r="P185" s="165" t="s">
        <v>718</v>
      </c>
      <c r="Q185" s="165" t="s">
        <v>435</v>
      </c>
      <c r="R185" s="176"/>
      <c r="S185" s="176"/>
      <c r="T185" s="176"/>
      <c r="U185" s="176"/>
      <c r="V185" s="176"/>
      <c r="W185" s="176"/>
      <c r="X185" s="176"/>
      <c r="Y185" s="176"/>
      <c r="Z185" s="176"/>
      <c r="AA185" s="176"/>
    </row>
    <row r="186">
      <c r="A186" s="165" t="str">
        <f>iferror(VLOOKUP(P186,'DO NOT TOUCH Imported'!$A$1:$D$800,4,False),iferror(VLOOKUP(P186,'DO NOT TOUCH Imported'!$C$1:$D$800,2,False),"OOPS FIX ME"))</f>
        <v>metaverde</v>
      </c>
      <c r="B186" s="165" t="s">
        <v>450</v>
      </c>
      <c r="C186" s="170" t="s">
        <v>1334</v>
      </c>
      <c r="D186" s="236" t="s">
        <v>437</v>
      </c>
      <c r="E186" s="237">
        <v>44290.0</v>
      </c>
      <c r="F186" s="170" t="s">
        <v>439</v>
      </c>
      <c r="G186" s="219"/>
      <c r="H186" s="171">
        <v>150.0</v>
      </c>
      <c r="I186" s="171">
        <v>100.0</v>
      </c>
      <c r="J186" s="172">
        <f t="shared" si="12"/>
        <v>0.001797920595</v>
      </c>
      <c r="K186" s="173">
        <f t="shared" si="13"/>
        <v>2.067608684</v>
      </c>
      <c r="L186" s="174">
        <f t="shared" si="4"/>
        <v>18.14589512</v>
      </c>
      <c r="M186" s="175" t="str">
        <f t="shared" si="5"/>
        <v>metaverde</v>
      </c>
      <c r="N186" s="176">
        <f>IFERROR(__xludf.DUMMYFUNCTION("""COMPUTED_VALUE"""),8.0)</f>
        <v>8</v>
      </c>
      <c r="O186" s="176"/>
      <c r="P186" s="165" t="s">
        <v>718</v>
      </c>
      <c r="Q186" s="165" t="s">
        <v>450</v>
      </c>
      <c r="R186" s="176"/>
      <c r="S186" s="176"/>
      <c r="T186" s="176"/>
      <c r="U186" s="176"/>
      <c r="V186" s="176"/>
      <c r="W186" s="176"/>
      <c r="X186" s="176"/>
      <c r="Y186" s="176"/>
      <c r="Z186" s="176"/>
      <c r="AA186" s="176"/>
    </row>
    <row r="187">
      <c r="A187" s="165" t="str">
        <f>iferror(VLOOKUP(P187,'DO NOT TOUCH Imported'!$A$1:$D$800,4,False),iferror(VLOOKUP(P187,'DO NOT TOUCH Imported'!$C$1:$D$800,2,False),"OOPS FIX ME"))</f>
        <v>metaverde</v>
      </c>
      <c r="B187" s="165" t="s">
        <v>450</v>
      </c>
      <c r="C187" s="170" t="s">
        <v>1335</v>
      </c>
      <c r="D187" s="236" t="s">
        <v>437</v>
      </c>
      <c r="E187" s="237">
        <v>44290.0</v>
      </c>
      <c r="F187" s="170" t="s">
        <v>439</v>
      </c>
      <c r="G187" s="219"/>
      <c r="H187" s="171">
        <v>100.0</v>
      </c>
      <c r="I187" s="171">
        <v>100.0</v>
      </c>
      <c r="J187" s="172">
        <f t="shared" si="12"/>
        <v>0.001436335405</v>
      </c>
      <c r="K187" s="173">
        <f t="shared" si="13"/>
        <v>1.651785716</v>
      </c>
      <c r="L187" s="174">
        <f t="shared" si="4"/>
        <v>18.14589512</v>
      </c>
      <c r="M187" s="175" t="str">
        <f t="shared" si="5"/>
        <v>metaverde</v>
      </c>
      <c r="N187" s="176">
        <f>IFERROR(__xludf.DUMMYFUNCTION("""COMPUTED_VALUE"""),9.0)</f>
        <v>9</v>
      </c>
      <c r="O187" s="176"/>
      <c r="P187" s="165" t="s">
        <v>718</v>
      </c>
      <c r="Q187" s="165" t="s">
        <v>450</v>
      </c>
      <c r="R187" s="176"/>
      <c r="S187" s="176"/>
      <c r="T187" s="176"/>
      <c r="U187" s="176"/>
      <c r="V187" s="176"/>
      <c r="W187" s="176"/>
      <c r="X187" s="176"/>
      <c r="Y187" s="176"/>
      <c r="Z187" s="176"/>
      <c r="AA187" s="176"/>
    </row>
    <row r="188">
      <c r="A188" s="165" t="str">
        <f>iferror(VLOOKUP(P188,'DO NOT TOUCH Imported'!$A$1:$D$800,4,False),iferror(VLOOKUP(P188,'DO NOT TOUCH Imported'!$C$1:$D$800,2,False),"OOPS FIX ME"))</f>
        <v>metaverde</v>
      </c>
      <c r="B188" s="165" t="s">
        <v>443</v>
      </c>
      <c r="C188" s="170" t="s">
        <v>1336</v>
      </c>
      <c r="D188" s="236" t="s">
        <v>437</v>
      </c>
      <c r="E188" s="237">
        <v>44293.0</v>
      </c>
      <c r="F188" s="170" t="s">
        <v>439</v>
      </c>
      <c r="G188" s="219"/>
      <c r="H188" s="171">
        <v>200.0</v>
      </c>
      <c r="I188" s="171">
        <v>80.0</v>
      </c>
      <c r="J188" s="172">
        <f t="shared" si="12"/>
        <v>0.002016872779</v>
      </c>
      <c r="K188" s="173">
        <f t="shared" si="13"/>
        <v>2.319403696</v>
      </c>
      <c r="L188" s="174">
        <f t="shared" si="4"/>
        <v>18.14589512</v>
      </c>
      <c r="M188" s="175" t="str">
        <f t="shared" si="5"/>
        <v>metaverde</v>
      </c>
      <c r="N188" s="176">
        <f>IFERROR(__xludf.DUMMYFUNCTION("""COMPUTED_VALUE"""),10.0)</f>
        <v>10</v>
      </c>
      <c r="O188" s="176"/>
      <c r="P188" s="165" t="s">
        <v>718</v>
      </c>
      <c r="Q188" s="165" t="s">
        <v>443</v>
      </c>
      <c r="R188" s="176"/>
      <c r="S188" s="176"/>
      <c r="T188" s="176"/>
      <c r="U188" s="176"/>
      <c r="V188" s="176"/>
      <c r="W188" s="176"/>
      <c r="X188" s="176"/>
      <c r="Y188" s="176"/>
      <c r="Z188" s="176"/>
      <c r="AA188" s="176"/>
    </row>
    <row r="189">
      <c r="A189" s="165" t="str">
        <f>iferror(VLOOKUP(P189,'DO NOT TOUCH Imported'!$A$1:$D$800,4,False),iferror(VLOOKUP(P189,'DO NOT TOUCH Imported'!$C$1:$D$800,2,False),"OOPS FIX ME"))</f>
        <v>metaverde</v>
      </c>
      <c r="B189" s="165" t="s">
        <v>718</v>
      </c>
      <c r="C189" s="170" t="s">
        <v>1337</v>
      </c>
      <c r="D189" s="236" t="s">
        <v>437</v>
      </c>
      <c r="E189" s="237">
        <v>44293.0</v>
      </c>
      <c r="F189" s="170" t="s">
        <v>439</v>
      </c>
      <c r="G189" s="219"/>
      <c r="H189" s="171">
        <v>100.0</v>
      </c>
      <c r="I189" s="171">
        <v>100.0</v>
      </c>
      <c r="J189" s="172">
        <f t="shared" si="12"/>
        <v>0.001436335405</v>
      </c>
      <c r="K189" s="173">
        <f t="shared" si="13"/>
        <v>1.651785716</v>
      </c>
      <c r="L189" s="174">
        <f t="shared" si="4"/>
        <v>18.14589512</v>
      </c>
      <c r="M189" s="175" t="str">
        <f t="shared" si="5"/>
        <v>metaverde</v>
      </c>
      <c r="N189" s="176">
        <f>IFERROR(__xludf.DUMMYFUNCTION("""COMPUTED_VALUE"""),11.0)</f>
        <v>11</v>
      </c>
      <c r="O189" s="176"/>
      <c r="P189" s="165" t="s">
        <v>718</v>
      </c>
      <c r="Q189" s="165" t="s">
        <v>718</v>
      </c>
      <c r="R189" s="176"/>
      <c r="S189" s="176"/>
      <c r="T189" s="176"/>
      <c r="U189" s="176"/>
      <c r="V189" s="176"/>
      <c r="W189" s="176"/>
      <c r="X189" s="176"/>
      <c r="Y189" s="176"/>
      <c r="Z189" s="176"/>
      <c r="AA189" s="176"/>
    </row>
    <row r="190">
      <c r="A190" s="165" t="str">
        <f>iferror(VLOOKUP(P190,'DO NOT TOUCH Imported'!$A$1:$D$800,4,False),iferror(VLOOKUP(P190,'DO NOT TOUCH Imported'!$C$1:$D$800,2,False),"OOPS FIX ME"))</f>
        <v>metaverde</v>
      </c>
      <c r="B190" s="165" t="s">
        <v>440</v>
      </c>
      <c r="C190" s="170" t="s">
        <v>1261</v>
      </c>
      <c r="D190" s="236" t="s">
        <v>437</v>
      </c>
      <c r="E190" s="237">
        <v>44293.0</v>
      </c>
      <c r="F190" s="170" t="s">
        <v>439</v>
      </c>
      <c r="G190" s="219"/>
      <c r="H190" s="171">
        <v>70.0</v>
      </c>
      <c r="I190" s="171">
        <v>50.0</v>
      </c>
      <c r="J190" s="172">
        <f t="shared" si="12"/>
        <v>0.0008628017785</v>
      </c>
      <c r="K190" s="173">
        <f t="shared" si="13"/>
        <v>0.9922220452</v>
      </c>
      <c r="L190" s="174">
        <f t="shared" si="4"/>
        <v>18.14589512</v>
      </c>
      <c r="M190" s="175" t="str">
        <f t="shared" si="5"/>
        <v>metaverde</v>
      </c>
      <c r="N190" s="176">
        <f>IFERROR(__xludf.DUMMYFUNCTION("""COMPUTED_VALUE"""),12.0)</f>
        <v>12</v>
      </c>
      <c r="O190" s="176"/>
      <c r="P190" s="165" t="s">
        <v>718</v>
      </c>
      <c r="Q190" s="165" t="s">
        <v>440</v>
      </c>
      <c r="R190" s="176"/>
      <c r="S190" s="176"/>
      <c r="T190" s="176"/>
      <c r="U190" s="176"/>
      <c r="V190" s="176"/>
      <c r="W190" s="176"/>
      <c r="X190" s="176"/>
      <c r="Y190" s="176"/>
      <c r="Z190" s="176"/>
      <c r="AA190" s="176"/>
    </row>
    <row r="191">
      <c r="A191" s="165" t="str">
        <f>iferror(VLOOKUP(P191,'DO NOT TOUCH Imported'!$A$1:$D$800,4,False),iferror(VLOOKUP(P191,'DO NOT TOUCH Imported'!$C$1:$D$800,2,False),"OOPS FIX ME"))</f>
        <v>metaverde</v>
      </c>
      <c r="B191" s="165" t="s">
        <v>441</v>
      </c>
      <c r="C191" s="170" t="s">
        <v>1338</v>
      </c>
      <c r="D191" s="236" t="s">
        <v>437</v>
      </c>
      <c r="E191" s="237">
        <v>44295.0</v>
      </c>
      <c r="F191" s="170" t="s">
        <v>439</v>
      </c>
      <c r="G191" s="219"/>
      <c r="H191" s="171">
        <v>80.0</v>
      </c>
      <c r="I191" s="171">
        <v>100.0</v>
      </c>
      <c r="J191" s="172">
        <f t="shared" si="12"/>
        <v>0.00129170133</v>
      </c>
      <c r="K191" s="173">
        <f t="shared" si="13"/>
        <v>1.485456529</v>
      </c>
      <c r="L191" s="174">
        <f t="shared" si="4"/>
        <v>18.14589512</v>
      </c>
      <c r="M191" s="175" t="str">
        <f t="shared" si="5"/>
        <v>metaverde</v>
      </c>
      <c r="N191" s="176">
        <f>IFERROR(__xludf.DUMMYFUNCTION("""COMPUTED_VALUE"""),13.0)</f>
        <v>13</v>
      </c>
      <c r="O191" s="176"/>
      <c r="P191" s="165" t="s">
        <v>718</v>
      </c>
      <c r="Q191" s="165" t="s">
        <v>441</v>
      </c>
      <c r="R191" s="176"/>
      <c r="S191" s="176"/>
      <c r="T191" s="176"/>
      <c r="U191" s="176"/>
      <c r="V191" s="176"/>
      <c r="W191" s="176"/>
      <c r="X191" s="176"/>
      <c r="Y191" s="176"/>
      <c r="Z191" s="176"/>
      <c r="AA191" s="176"/>
    </row>
    <row r="192">
      <c r="A192" s="165" t="str">
        <f>iferror(VLOOKUP(P192,'DO NOT TOUCH Imported'!$A$1:$D$800,4,False),iferror(VLOOKUP(P192,'DO NOT TOUCH Imported'!$C$1:$D$800,2,False),"OOPS FIX ME"))</f>
        <v>kristoferkristofer</v>
      </c>
      <c r="B192" s="165" t="s">
        <v>519</v>
      </c>
      <c r="C192" s="170" t="s">
        <v>1339</v>
      </c>
      <c r="D192" s="236" t="s">
        <v>495</v>
      </c>
      <c r="E192" s="239">
        <v>44287.0</v>
      </c>
      <c r="F192" s="170" t="s">
        <v>499</v>
      </c>
      <c r="G192" s="219"/>
      <c r="H192" s="171">
        <v>100.0</v>
      </c>
      <c r="I192" s="171">
        <v>150.0</v>
      </c>
      <c r="J192" s="172">
        <f t="shared" si="12"/>
        <v>0.001792917919</v>
      </c>
      <c r="K192" s="173">
        <f t="shared" si="13"/>
        <v>2.061855606</v>
      </c>
      <c r="L192" s="174">
        <f t="shared" si="4"/>
        <v>16.01311652</v>
      </c>
      <c r="M192" s="175" t="str">
        <f t="shared" si="5"/>
        <v>kristoferkristofer</v>
      </c>
      <c r="N192" s="176">
        <f>IFERROR(__xludf.DUMMYFUNCTION("""COMPUTED_VALUE"""),1.0)</f>
        <v>1</v>
      </c>
      <c r="O192" s="176"/>
      <c r="P192" s="165" t="s">
        <v>44</v>
      </c>
      <c r="Q192" s="165" t="s">
        <v>519</v>
      </c>
      <c r="R192" s="176"/>
      <c r="S192" s="176"/>
      <c r="T192" s="176"/>
      <c r="U192" s="176"/>
      <c r="V192" s="176"/>
      <c r="W192" s="176"/>
      <c r="X192" s="176"/>
      <c r="Y192" s="176"/>
      <c r="Z192" s="176"/>
      <c r="AA192" s="176"/>
    </row>
    <row r="193">
      <c r="A193" s="165" t="str">
        <f>iferror(VLOOKUP(P193,'DO NOT TOUCH Imported'!$A$1:$D$800,4,False),iferror(VLOOKUP(P193,'DO NOT TOUCH Imported'!$C$1:$D$800,2,False),"OOPS FIX ME"))</f>
        <v>cranders71</v>
      </c>
      <c r="B193" s="165" t="s">
        <v>10</v>
      </c>
      <c r="C193" s="170" t="s">
        <v>498</v>
      </c>
      <c r="D193" s="236" t="s">
        <v>495</v>
      </c>
      <c r="E193" s="239">
        <v>44282.0</v>
      </c>
      <c r="F193" s="170" t="s">
        <v>499</v>
      </c>
      <c r="G193" s="219"/>
      <c r="H193" s="171">
        <v>20.0</v>
      </c>
      <c r="I193" s="171">
        <v>25.0</v>
      </c>
      <c r="J193" s="172">
        <f t="shared" si="12"/>
        <v>0.0003229253324</v>
      </c>
      <c r="K193" s="173">
        <f t="shared" si="13"/>
        <v>0.3713641322</v>
      </c>
      <c r="L193" s="174">
        <f t="shared" si="4"/>
        <v>17.62964833</v>
      </c>
      <c r="M193" s="175" t="str">
        <f t="shared" si="5"/>
        <v>cranders71</v>
      </c>
      <c r="N193" s="176">
        <f>IFERROR(__xludf.DUMMYFUNCTION("""COMPUTED_VALUE"""),2.0)</f>
        <v>2</v>
      </c>
      <c r="O193" s="176"/>
      <c r="P193" s="165" t="s">
        <v>5</v>
      </c>
      <c r="Q193" s="165" t="s">
        <v>10</v>
      </c>
      <c r="R193" s="176"/>
      <c r="S193" s="176"/>
      <c r="T193" s="176"/>
      <c r="U193" s="176"/>
      <c r="V193" s="176"/>
      <c r="W193" s="176"/>
      <c r="X193" s="176"/>
      <c r="Y193" s="176"/>
      <c r="Z193" s="176"/>
      <c r="AA193" s="176"/>
    </row>
    <row r="194">
      <c r="A194" s="165" t="str">
        <f>iferror(VLOOKUP(P194,'DO NOT TOUCH Imported'!$A$1:$D$800,4,False),iferror(VLOOKUP(P194,'DO NOT TOUCH Imported'!$C$1:$D$800,2,False),"OOPS FIX ME"))</f>
        <v>cranders71</v>
      </c>
      <c r="B194" s="165" t="s">
        <v>10</v>
      </c>
      <c r="C194" s="170" t="s">
        <v>500</v>
      </c>
      <c r="D194" s="236" t="s">
        <v>495</v>
      </c>
      <c r="E194" s="239">
        <v>44282.0</v>
      </c>
      <c r="F194" s="170" t="s">
        <v>496</v>
      </c>
      <c r="G194" s="219"/>
      <c r="H194" s="171">
        <v>20.0</v>
      </c>
      <c r="I194" s="171">
        <v>15.0</v>
      </c>
      <c r="J194" s="172">
        <f t="shared" si="12"/>
        <v>0.0002516088297</v>
      </c>
      <c r="K194" s="173">
        <f t="shared" si="13"/>
        <v>0.2893501542</v>
      </c>
      <c r="L194" s="174">
        <f t="shared" si="4"/>
        <v>17.62964833</v>
      </c>
      <c r="M194" s="175" t="str">
        <f t="shared" si="5"/>
        <v>cranders71</v>
      </c>
      <c r="N194" s="176">
        <f>IFERROR(__xludf.DUMMYFUNCTION("""COMPUTED_VALUE"""),3.0)</f>
        <v>3</v>
      </c>
      <c r="O194" s="176"/>
      <c r="P194" s="165" t="s">
        <v>5</v>
      </c>
      <c r="Q194" s="165" t="s">
        <v>10</v>
      </c>
      <c r="R194" s="176"/>
      <c r="S194" s="176"/>
      <c r="T194" s="176"/>
      <c r="U194" s="176"/>
      <c r="V194" s="176"/>
      <c r="W194" s="176"/>
      <c r="X194" s="176"/>
      <c r="Y194" s="176"/>
      <c r="Z194" s="176"/>
      <c r="AA194" s="176"/>
    </row>
    <row r="195">
      <c r="A195" s="165" t="str">
        <f>iferror(VLOOKUP(P195,'DO NOT TOUCH Imported'!$A$1:$D$800,4,False),iferror(VLOOKUP(P195,'DO NOT TOUCH Imported'!$C$1:$D$800,2,False),"OOPS FIX ME"))</f>
        <v>cranders71</v>
      </c>
      <c r="B195" s="165" t="s">
        <v>10</v>
      </c>
      <c r="C195" s="170" t="s">
        <v>498</v>
      </c>
      <c r="D195" s="236" t="s">
        <v>495</v>
      </c>
      <c r="E195" s="239">
        <v>44295.0</v>
      </c>
      <c r="F195" s="170" t="s">
        <v>499</v>
      </c>
      <c r="G195" s="219"/>
      <c r="H195" s="171">
        <v>20.0</v>
      </c>
      <c r="I195" s="171">
        <v>25.0</v>
      </c>
      <c r="J195" s="172">
        <f t="shared" si="12"/>
        <v>0.0003229253324</v>
      </c>
      <c r="K195" s="173">
        <f t="shared" si="13"/>
        <v>0.3713641322</v>
      </c>
      <c r="L195" s="174">
        <f t="shared" si="4"/>
        <v>17.62964833</v>
      </c>
      <c r="M195" s="175" t="str">
        <f t="shared" si="5"/>
        <v>cranders71</v>
      </c>
      <c r="N195" s="176">
        <f>IFERROR(__xludf.DUMMYFUNCTION("""COMPUTED_VALUE"""),4.0)</f>
        <v>4</v>
      </c>
      <c r="O195" s="176"/>
      <c r="P195" s="165" t="s">
        <v>5</v>
      </c>
      <c r="Q195" s="165" t="s">
        <v>10</v>
      </c>
      <c r="R195" s="176"/>
      <c r="S195" s="176"/>
      <c r="T195" s="176"/>
      <c r="U195" s="176"/>
      <c r="V195" s="176"/>
      <c r="W195" s="176"/>
      <c r="X195" s="176"/>
      <c r="Y195" s="176"/>
      <c r="Z195" s="176"/>
      <c r="AA195" s="176"/>
    </row>
    <row r="196">
      <c r="A196" s="165" t="str">
        <f>iferror(VLOOKUP(P196,'DO NOT TOUCH Imported'!$A$1:$D$800,4,False),iferror(VLOOKUP(P196,'DO NOT TOUCH Imported'!$C$1:$D$800,2,False),"OOPS FIX ME"))</f>
        <v>cranders71</v>
      </c>
      <c r="B196" s="165" t="s">
        <v>10</v>
      </c>
      <c r="C196" s="170" t="s">
        <v>500</v>
      </c>
      <c r="D196" s="236" t="s">
        <v>495</v>
      </c>
      <c r="E196" s="239">
        <v>44295.0</v>
      </c>
      <c r="F196" s="170" t="s">
        <v>496</v>
      </c>
      <c r="G196" s="219"/>
      <c r="H196" s="171">
        <v>20.0</v>
      </c>
      <c r="I196" s="171">
        <v>25.0</v>
      </c>
      <c r="J196" s="172">
        <f t="shared" si="12"/>
        <v>0.0003229253324</v>
      </c>
      <c r="K196" s="173">
        <f t="shared" si="13"/>
        <v>0.3713641322</v>
      </c>
      <c r="L196" s="174">
        <f t="shared" si="4"/>
        <v>17.62964833</v>
      </c>
      <c r="M196" s="175" t="str">
        <f t="shared" si="5"/>
        <v>cranders71</v>
      </c>
      <c r="N196" s="176">
        <f>IFERROR(__xludf.DUMMYFUNCTION("""COMPUTED_VALUE"""),5.0)</f>
        <v>5</v>
      </c>
      <c r="O196" s="176"/>
      <c r="P196" s="165" t="s">
        <v>5</v>
      </c>
      <c r="Q196" s="165" t="s">
        <v>10</v>
      </c>
      <c r="R196" s="176"/>
      <c r="S196" s="176"/>
      <c r="T196" s="176"/>
      <c r="U196" s="176"/>
      <c r="V196" s="176"/>
      <c r="W196" s="176"/>
      <c r="X196" s="176"/>
      <c r="Y196" s="176"/>
      <c r="Z196" s="176"/>
      <c r="AA196" s="176"/>
    </row>
    <row r="197">
      <c r="A197" s="165" t="str">
        <f>iferror(VLOOKUP(P197,'DO NOT TOUCH Imported'!$A$1:$D$800,4,False),iferror(VLOOKUP(P197,'DO NOT TOUCH Imported'!$C$1:$D$800,2,False),"OOPS FIX ME"))</f>
        <v>cranders71</v>
      </c>
      <c r="B197" s="165" t="s">
        <v>435</v>
      </c>
      <c r="C197" s="170" t="s">
        <v>1340</v>
      </c>
      <c r="D197" s="236" t="s">
        <v>437</v>
      </c>
      <c r="E197" s="239">
        <v>44287.0</v>
      </c>
      <c r="F197" s="170" t="s">
        <v>439</v>
      </c>
      <c r="G197" s="219"/>
      <c r="H197" s="171">
        <v>100.0</v>
      </c>
      <c r="I197" s="171">
        <v>200.0</v>
      </c>
      <c r="J197" s="172">
        <f t="shared" si="12"/>
        <v>0.002149500432</v>
      </c>
      <c r="K197" s="173">
        <f t="shared" si="13"/>
        <v>2.471925496</v>
      </c>
      <c r="L197" s="174">
        <f t="shared" si="4"/>
        <v>17.62964833</v>
      </c>
      <c r="M197" s="175" t="str">
        <f t="shared" si="5"/>
        <v>cranders71</v>
      </c>
      <c r="N197" s="176">
        <f>IFERROR(__xludf.DUMMYFUNCTION("""COMPUTED_VALUE"""),6.0)</f>
        <v>6</v>
      </c>
      <c r="O197" s="176"/>
      <c r="P197" s="165" t="s">
        <v>457</v>
      </c>
      <c r="Q197" s="165" t="s">
        <v>435</v>
      </c>
      <c r="R197" s="176"/>
      <c r="S197" s="176"/>
      <c r="T197" s="176"/>
      <c r="U197" s="176"/>
      <c r="V197" s="176"/>
      <c r="W197" s="176"/>
      <c r="X197" s="176"/>
      <c r="Y197" s="176"/>
      <c r="Z197" s="176"/>
      <c r="AA197" s="176"/>
    </row>
    <row r="198">
      <c r="A198" s="165" t="str">
        <f>iferror(VLOOKUP(P198,'DO NOT TOUCH Imported'!$A$1:$D$800,4,False),iferror(VLOOKUP(P198,'DO NOT TOUCH Imported'!$C$1:$D$800,2,False),"OOPS FIX ME"))</f>
        <v>cranders71</v>
      </c>
      <c r="B198" s="165" t="s">
        <v>441</v>
      </c>
      <c r="C198" s="170" t="s">
        <v>1248</v>
      </c>
      <c r="D198" s="236" t="s">
        <v>437</v>
      </c>
      <c r="E198" s="237">
        <v>44288.0</v>
      </c>
      <c r="F198" s="170" t="s">
        <v>439</v>
      </c>
      <c r="G198" s="219"/>
      <c r="H198" s="171">
        <v>150.0</v>
      </c>
      <c r="I198" s="171">
        <v>100.0</v>
      </c>
      <c r="J198" s="172">
        <f t="shared" si="12"/>
        <v>0.001797920595</v>
      </c>
      <c r="K198" s="173">
        <f t="shared" si="13"/>
        <v>2.067608684</v>
      </c>
      <c r="L198" s="174">
        <f t="shared" si="4"/>
        <v>17.62964833</v>
      </c>
      <c r="M198" s="175" t="str">
        <f t="shared" si="5"/>
        <v>cranders71</v>
      </c>
      <c r="N198" s="176">
        <f>IFERROR(__xludf.DUMMYFUNCTION("""COMPUTED_VALUE"""),7.0)</f>
        <v>7</v>
      </c>
      <c r="O198" s="176"/>
      <c r="P198" s="165" t="s">
        <v>457</v>
      </c>
      <c r="Q198" s="165" t="s">
        <v>441</v>
      </c>
      <c r="R198" s="176"/>
      <c r="S198" s="176"/>
      <c r="T198" s="176"/>
      <c r="U198" s="176"/>
      <c r="V198" s="176"/>
      <c r="W198" s="176"/>
      <c r="X198" s="176"/>
      <c r="Y198" s="176"/>
      <c r="Z198" s="176"/>
      <c r="AA198" s="176"/>
    </row>
    <row r="199">
      <c r="A199" s="165" t="str">
        <f>iferror(VLOOKUP(P199,'DO NOT TOUCH Imported'!$A$1:$D$800,4,False),iferror(VLOOKUP(P199,'DO NOT TOUCH Imported'!$C$1:$D$800,2,False),"OOPS FIX ME"))</f>
        <v>cranders71</v>
      </c>
      <c r="B199" s="165" t="s">
        <v>443</v>
      </c>
      <c r="C199" s="170" t="s">
        <v>1252</v>
      </c>
      <c r="D199" s="236" t="s">
        <v>437</v>
      </c>
      <c r="E199" s="237">
        <v>44291.0</v>
      </c>
      <c r="F199" s="170" t="s">
        <v>439</v>
      </c>
      <c r="G199" s="219"/>
      <c r="H199" s="171">
        <v>100.0</v>
      </c>
      <c r="I199" s="171">
        <v>80.0</v>
      </c>
      <c r="J199" s="172">
        <f t="shared" si="12"/>
        <v>0.0012937024</v>
      </c>
      <c r="K199" s="173">
        <f t="shared" si="13"/>
        <v>1.48775776</v>
      </c>
      <c r="L199" s="174">
        <f t="shared" si="4"/>
        <v>17.62964833</v>
      </c>
      <c r="M199" s="175" t="str">
        <f t="shared" si="5"/>
        <v>cranders71</v>
      </c>
      <c r="N199" s="176">
        <f>IFERROR(__xludf.DUMMYFUNCTION("""COMPUTED_VALUE"""),8.0)</f>
        <v>8</v>
      </c>
      <c r="O199" s="176"/>
      <c r="P199" s="165" t="s">
        <v>457</v>
      </c>
      <c r="Q199" s="165" t="s">
        <v>443</v>
      </c>
      <c r="R199" s="176"/>
      <c r="S199" s="176"/>
      <c r="T199" s="176"/>
      <c r="U199" s="176"/>
      <c r="V199" s="176"/>
      <c r="W199" s="176"/>
      <c r="X199" s="176"/>
      <c r="Y199" s="176"/>
      <c r="Z199" s="176"/>
      <c r="AA199" s="176"/>
    </row>
    <row r="200">
      <c r="A200" s="165" t="str">
        <f>iferror(VLOOKUP(P200,'DO NOT TOUCH Imported'!$A$1:$D$800,4,False),iferror(VLOOKUP(P200,'DO NOT TOUCH Imported'!$C$1:$D$800,2,False),"OOPS FIX ME"))</f>
        <v>cranders71</v>
      </c>
      <c r="B200" s="165" t="s">
        <v>440</v>
      </c>
      <c r="C200" s="170" t="s">
        <v>1253</v>
      </c>
      <c r="D200" s="236" t="s">
        <v>437</v>
      </c>
      <c r="E200" s="237">
        <v>44291.0</v>
      </c>
      <c r="F200" s="170" t="s">
        <v>439</v>
      </c>
      <c r="G200" s="219"/>
      <c r="H200" s="171">
        <v>50.0</v>
      </c>
      <c r="I200" s="171">
        <v>50.0</v>
      </c>
      <c r="J200" s="172">
        <f t="shared" si="12"/>
        <v>0.0007181677027</v>
      </c>
      <c r="K200" s="173">
        <f t="shared" si="13"/>
        <v>0.8258928581</v>
      </c>
      <c r="L200" s="174">
        <f t="shared" si="4"/>
        <v>17.62964833</v>
      </c>
      <c r="M200" s="175" t="str">
        <f t="shared" si="5"/>
        <v>cranders71</v>
      </c>
      <c r="N200" s="176">
        <f>IFERROR(__xludf.DUMMYFUNCTION("""COMPUTED_VALUE"""),9.0)</f>
        <v>9</v>
      </c>
      <c r="O200" s="176"/>
      <c r="P200" s="165" t="s">
        <v>457</v>
      </c>
      <c r="Q200" s="165" t="s">
        <v>440</v>
      </c>
      <c r="R200" s="176"/>
      <c r="S200" s="176"/>
      <c r="T200" s="176"/>
      <c r="U200" s="176"/>
      <c r="V200" s="176"/>
      <c r="W200" s="176"/>
      <c r="X200" s="176"/>
      <c r="Y200" s="176"/>
      <c r="Z200" s="176"/>
      <c r="AA200" s="176"/>
    </row>
    <row r="201">
      <c r="A201" s="165" t="str">
        <f>iferror(VLOOKUP(P201,'DO NOT TOUCH Imported'!$A$1:$D$800,4,False),iferror(VLOOKUP(P201,'DO NOT TOUCH Imported'!$C$1:$D$800,2,False),"OOPS FIX ME"))</f>
        <v>cranders71</v>
      </c>
      <c r="B201" s="165" t="s">
        <v>486</v>
      </c>
      <c r="C201" s="170" t="s">
        <v>1254</v>
      </c>
      <c r="D201" s="236" t="s">
        <v>437</v>
      </c>
      <c r="E201" s="237">
        <v>44292.0</v>
      </c>
      <c r="F201" s="170" t="s">
        <v>439</v>
      </c>
      <c r="G201" s="219"/>
      <c r="H201" s="171">
        <v>50.0</v>
      </c>
      <c r="I201" s="171">
        <v>50.0</v>
      </c>
      <c r="J201" s="172">
        <f t="shared" si="12"/>
        <v>0.0007181677027</v>
      </c>
      <c r="K201" s="173">
        <f t="shared" si="13"/>
        <v>0.8258928581</v>
      </c>
      <c r="L201" s="174">
        <f t="shared" si="4"/>
        <v>17.62964833</v>
      </c>
      <c r="M201" s="175" t="str">
        <f t="shared" si="5"/>
        <v>cranders71</v>
      </c>
      <c r="N201" s="176">
        <f>IFERROR(__xludf.DUMMYFUNCTION("""COMPUTED_VALUE"""),10.0)</f>
        <v>10</v>
      </c>
      <c r="O201" s="176"/>
      <c r="P201" s="165" t="s">
        <v>457</v>
      </c>
      <c r="Q201" s="165" t="s">
        <v>486</v>
      </c>
      <c r="R201" s="176"/>
      <c r="S201" s="176"/>
      <c r="T201" s="176"/>
      <c r="U201" s="176"/>
      <c r="V201" s="176"/>
      <c r="W201" s="176"/>
      <c r="X201" s="176"/>
      <c r="Y201" s="176"/>
      <c r="Z201" s="176"/>
      <c r="AA201" s="176"/>
    </row>
    <row r="202">
      <c r="A202" s="165" t="str">
        <f>iferror(VLOOKUP(P202,'DO NOT TOUCH Imported'!$A$1:$D$800,4,False),iferror(VLOOKUP(P202,'DO NOT TOUCH Imported'!$C$1:$D$800,2,False),"OOPS FIX ME"))</f>
        <v>cranders71</v>
      </c>
      <c r="B202" s="165" t="s">
        <v>440</v>
      </c>
      <c r="C202" s="170" t="s">
        <v>1319</v>
      </c>
      <c r="D202" s="236" t="s">
        <v>437</v>
      </c>
      <c r="E202" s="237">
        <v>44293.0</v>
      </c>
      <c r="F202" s="170" t="s">
        <v>439</v>
      </c>
      <c r="G202" s="219"/>
      <c r="H202" s="171">
        <v>200.0</v>
      </c>
      <c r="I202" s="171">
        <v>200.0</v>
      </c>
      <c r="J202" s="172">
        <f t="shared" si="12"/>
        <v>0.002872670811</v>
      </c>
      <c r="K202" s="173">
        <f t="shared" si="13"/>
        <v>3.303571432</v>
      </c>
      <c r="L202" s="174">
        <f t="shared" si="4"/>
        <v>17.62964833</v>
      </c>
      <c r="M202" s="175" t="str">
        <f t="shared" si="5"/>
        <v>cranders71</v>
      </c>
      <c r="N202" s="176">
        <f>IFERROR(__xludf.DUMMYFUNCTION("""COMPUTED_VALUE"""),11.0)</f>
        <v>11</v>
      </c>
      <c r="O202" s="176"/>
      <c r="P202" s="165" t="s">
        <v>457</v>
      </c>
      <c r="Q202" s="165" t="s">
        <v>440</v>
      </c>
      <c r="R202" s="176"/>
      <c r="S202" s="176"/>
      <c r="T202" s="176"/>
      <c r="U202" s="176"/>
      <c r="V202" s="176"/>
      <c r="W202" s="176"/>
      <c r="X202" s="176"/>
      <c r="Y202" s="176"/>
      <c r="Z202" s="176"/>
      <c r="AA202" s="176"/>
    </row>
    <row r="203">
      <c r="A203" s="165" t="str">
        <f>iferror(VLOOKUP(P203,'DO NOT TOUCH Imported'!$A$1:$D$800,4,False),iferror(VLOOKUP(P203,'DO NOT TOUCH Imported'!$C$1:$D$800,2,False),"OOPS FIX ME"))</f>
        <v>cranders71</v>
      </c>
      <c r="B203" s="165" t="s">
        <v>440</v>
      </c>
      <c r="C203" s="170" t="s">
        <v>1260</v>
      </c>
      <c r="D203" s="236" t="s">
        <v>437</v>
      </c>
      <c r="E203" s="237">
        <v>44293.0</v>
      </c>
      <c r="F203" s="170" t="s">
        <v>439</v>
      </c>
      <c r="G203" s="219"/>
      <c r="H203" s="171">
        <v>70.0</v>
      </c>
      <c r="I203" s="171">
        <v>50.0</v>
      </c>
      <c r="J203" s="172">
        <f t="shared" si="12"/>
        <v>0.0008628017785</v>
      </c>
      <c r="K203" s="173">
        <f t="shared" si="13"/>
        <v>0.9922220452</v>
      </c>
      <c r="L203" s="174">
        <f t="shared" si="4"/>
        <v>17.62964833</v>
      </c>
      <c r="M203" s="175" t="str">
        <f t="shared" si="5"/>
        <v>cranders71</v>
      </c>
      <c r="N203" s="176">
        <f>IFERROR(__xludf.DUMMYFUNCTION("""COMPUTED_VALUE"""),12.0)</f>
        <v>12</v>
      </c>
      <c r="O203" s="176"/>
      <c r="P203" s="165" t="s">
        <v>457</v>
      </c>
      <c r="Q203" s="165" t="s">
        <v>440</v>
      </c>
      <c r="R203" s="176"/>
      <c r="S203" s="176"/>
      <c r="T203" s="176"/>
      <c r="U203" s="176"/>
      <c r="V203" s="176"/>
      <c r="W203" s="176"/>
      <c r="X203" s="176"/>
      <c r="Y203" s="176"/>
      <c r="Z203" s="176"/>
      <c r="AA203" s="176"/>
    </row>
    <row r="204">
      <c r="A204" s="165" t="str">
        <f>iferror(VLOOKUP(P204,'DO NOT TOUCH Imported'!$A$1:$D$800,4,False),iferror(VLOOKUP(P204,'DO NOT TOUCH Imported'!$C$1:$D$800,2,False),"OOPS FIX ME"))</f>
        <v>cranders71</v>
      </c>
      <c r="B204" s="165" t="s">
        <v>440</v>
      </c>
      <c r="C204" s="170" t="s">
        <v>1261</v>
      </c>
      <c r="D204" s="236" t="s">
        <v>437</v>
      </c>
      <c r="E204" s="237">
        <v>44293.0</v>
      </c>
      <c r="F204" s="170" t="s">
        <v>439</v>
      </c>
      <c r="G204" s="219"/>
      <c r="H204" s="171">
        <v>70.0</v>
      </c>
      <c r="I204" s="171">
        <v>50.0</v>
      </c>
      <c r="J204" s="172">
        <f t="shared" si="12"/>
        <v>0.0008628017785</v>
      </c>
      <c r="K204" s="173">
        <f t="shared" si="13"/>
        <v>0.9922220452</v>
      </c>
      <c r="L204" s="174">
        <f t="shared" si="4"/>
        <v>17.62964833</v>
      </c>
      <c r="M204" s="175" t="str">
        <f t="shared" si="5"/>
        <v>cranders71</v>
      </c>
      <c r="N204" s="176">
        <f>IFERROR(__xludf.DUMMYFUNCTION("""COMPUTED_VALUE"""),13.0)</f>
        <v>13</v>
      </c>
      <c r="O204" s="176"/>
      <c r="P204" s="165" t="s">
        <v>457</v>
      </c>
      <c r="Q204" s="165" t="s">
        <v>440</v>
      </c>
      <c r="R204" s="176"/>
      <c r="S204" s="176"/>
      <c r="T204" s="176"/>
      <c r="U204" s="176"/>
      <c r="V204" s="176"/>
      <c r="W204" s="176"/>
      <c r="X204" s="176"/>
      <c r="Y204" s="176"/>
      <c r="Z204" s="176"/>
      <c r="AA204" s="176"/>
    </row>
    <row r="205">
      <c r="A205" s="165" t="str">
        <f>iferror(VLOOKUP(P205,'DO NOT TOUCH Imported'!$A$1:$D$800,4,False),iferror(VLOOKUP(P205,'DO NOT TOUCH Imported'!$C$1:$D$800,2,False),"OOPS FIX ME"))</f>
        <v>cranders71</v>
      </c>
      <c r="B205" s="165" t="s">
        <v>441</v>
      </c>
      <c r="C205" s="170" t="s">
        <v>1341</v>
      </c>
      <c r="D205" s="236" t="s">
        <v>437</v>
      </c>
      <c r="E205" s="237">
        <v>44295.0</v>
      </c>
      <c r="F205" s="170" t="s">
        <v>439</v>
      </c>
      <c r="G205" s="219"/>
      <c r="H205" s="171">
        <v>150.0</v>
      </c>
      <c r="I205" s="171">
        <v>200.0</v>
      </c>
      <c r="J205" s="172">
        <f t="shared" si="12"/>
        <v>0.002511085621</v>
      </c>
      <c r="K205" s="173">
        <f t="shared" si="13"/>
        <v>2.887748464</v>
      </c>
      <c r="L205" s="174">
        <f t="shared" si="4"/>
        <v>17.62964833</v>
      </c>
      <c r="M205" s="175" t="str">
        <f t="shared" si="5"/>
        <v>cranders71</v>
      </c>
      <c r="N205" s="176">
        <f>IFERROR(__xludf.DUMMYFUNCTION("""COMPUTED_VALUE"""),14.0)</f>
        <v>14</v>
      </c>
      <c r="O205" s="176"/>
      <c r="P205" s="165" t="s">
        <v>457</v>
      </c>
      <c r="Q205" s="165" t="s">
        <v>441</v>
      </c>
      <c r="R205" s="176"/>
      <c r="S205" s="176"/>
      <c r="T205" s="176"/>
      <c r="U205" s="176"/>
      <c r="V205" s="176"/>
      <c r="W205" s="176"/>
      <c r="X205" s="176"/>
      <c r="Y205" s="176"/>
      <c r="Z205" s="176"/>
      <c r="AA205" s="176"/>
    </row>
    <row r="206">
      <c r="A206" s="165" t="str">
        <f>iferror(VLOOKUP(P206,'DO NOT TOUCH Imported'!$A$1:$D$800,4,False),iferror(VLOOKUP(P206,'DO NOT TOUCH Imported'!$C$1:$D$800,2,False),"OOPS FIX ME"))</f>
        <v>ddan#2489</v>
      </c>
      <c r="B206" s="165" t="s">
        <v>490</v>
      </c>
      <c r="C206" s="170" t="s">
        <v>1342</v>
      </c>
      <c r="D206" s="236" t="s">
        <v>437</v>
      </c>
      <c r="E206" s="239">
        <v>44286.0</v>
      </c>
      <c r="F206" s="170" t="s">
        <v>439</v>
      </c>
      <c r="G206" s="219"/>
      <c r="H206" s="171">
        <v>60.0</v>
      </c>
      <c r="I206" s="171">
        <v>50.0</v>
      </c>
      <c r="J206" s="172">
        <f t="shared" si="12"/>
        <v>0.0007904847406</v>
      </c>
      <c r="K206" s="173">
        <f t="shared" si="13"/>
        <v>0.9090574516</v>
      </c>
      <c r="L206" s="174">
        <f t="shared" si="4"/>
        <v>15.81843712</v>
      </c>
      <c r="M206" s="175" t="str">
        <f t="shared" si="5"/>
        <v>ddan#2489</v>
      </c>
      <c r="N206" s="176">
        <f>IFERROR(__xludf.DUMMYFUNCTION("""COMPUTED_VALUE"""),1.0)</f>
        <v>1</v>
      </c>
      <c r="O206" s="176"/>
      <c r="P206" s="165" t="s">
        <v>46</v>
      </c>
      <c r="Q206" s="165" t="s">
        <v>490</v>
      </c>
      <c r="R206" s="176"/>
      <c r="S206" s="176"/>
      <c r="T206" s="176"/>
      <c r="U206" s="176"/>
      <c r="V206" s="176"/>
      <c r="W206" s="176"/>
      <c r="X206" s="176"/>
      <c r="Y206" s="176"/>
      <c r="Z206" s="176"/>
      <c r="AA206" s="176"/>
    </row>
    <row r="207">
      <c r="A207" s="165" t="str">
        <f>iferror(VLOOKUP(P207,'DO NOT TOUCH Imported'!$A$1:$D$800,4,False),iferror(VLOOKUP(P207,'DO NOT TOUCH Imported'!$C$1:$D$800,2,False),"OOPS FIX ME"))</f>
        <v>kristoferkristofer</v>
      </c>
      <c r="B207" s="165" t="s">
        <v>10</v>
      </c>
      <c r="C207" s="170" t="s">
        <v>1343</v>
      </c>
      <c r="D207" s="236" t="s">
        <v>495</v>
      </c>
      <c r="E207" s="239">
        <v>44288.0</v>
      </c>
      <c r="F207" s="170" t="s">
        <v>496</v>
      </c>
      <c r="G207" s="219"/>
      <c r="H207" s="171">
        <v>100.0</v>
      </c>
      <c r="I207" s="171">
        <v>150.0</v>
      </c>
      <c r="J207" s="172">
        <f t="shared" si="12"/>
        <v>0.001792917919</v>
      </c>
      <c r="K207" s="173">
        <f t="shared" si="13"/>
        <v>2.061855606</v>
      </c>
      <c r="L207" s="174">
        <f t="shared" si="4"/>
        <v>16.01311652</v>
      </c>
      <c r="M207" s="175" t="str">
        <f t="shared" si="5"/>
        <v>kristoferkristofer</v>
      </c>
      <c r="N207" s="176">
        <f>IFERROR(__xludf.DUMMYFUNCTION("""COMPUTED_VALUE"""),2.0)</f>
        <v>2</v>
      </c>
      <c r="O207" s="176"/>
      <c r="P207" s="165" t="s">
        <v>44</v>
      </c>
      <c r="Q207" s="165" t="s">
        <v>10</v>
      </c>
      <c r="R207" s="176"/>
      <c r="S207" s="176"/>
      <c r="T207" s="176"/>
      <c r="U207" s="176"/>
      <c r="V207" s="176"/>
      <c r="W207" s="176"/>
      <c r="X207" s="176"/>
      <c r="Y207" s="176"/>
      <c r="Z207" s="176"/>
      <c r="AA207" s="176"/>
    </row>
    <row r="208">
      <c r="A208" s="165" t="str">
        <f>iferror(VLOOKUP(P208,'DO NOT TOUCH Imported'!$A$1:$D$800,4,False),iferror(VLOOKUP(P208,'DO NOT TOUCH Imported'!$C$1:$D$800,2,False),"OOPS FIX ME"))</f>
        <v>kristoferkristofer</v>
      </c>
      <c r="B208" s="165" t="s">
        <v>590</v>
      </c>
      <c r="C208" s="170" t="s">
        <v>1344</v>
      </c>
      <c r="D208" s="236" t="s">
        <v>495</v>
      </c>
      <c r="E208" s="239">
        <v>44295.0</v>
      </c>
      <c r="F208" s="170" t="s">
        <v>496</v>
      </c>
      <c r="G208" s="219"/>
      <c r="H208" s="171">
        <v>200.0</v>
      </c>
      <c r="I208" s="171">
        <v>200.0</v>
      </c>
      <c r="J208" s="172">
        <f t="shared" si="12"/>
        <v>0.002872670811</v>
      </c>
      <c r="K208" s="173">
        <f t="shared" si="13"/>
        <v>3.303571432</v>
      </c>
      <c r="L208" s="174">
        <f t="shared" si="4"/>
        <v>16.01311652</v>
      </c>
      <c r="M208" s="175" t="str">
        <f t="shared" si="5"/>
        <v>kristoferkristofer</v>
      </c>
      <c r="N208" s="176">
        <f>IFERROR(__xludf.DUMMYFUNCTION("""COMPUTED_VALUE"""),3.0)</f>
        <v>3</v>
      </c>
      <c r="O208" s="176"/>
      <c r="P208" s="165" t="s">
        <v>44</v>
      </c>
      <c r="Q208" s="165" t="s">
        <v>590</v>
      </c>
      <c r="R208" s="176"/>
      <c r="S208" s="176"/>
      <c r="T208" s="176"/>
      <c r="U208" s="176"/>
      <c r="V208" s="176"/>
      <c r="W208" s="176"/>
      <c r="X208" s="176"/>
      <c r="Y208" s="176"/>
      <c r="Z208" s="176"/>
      <c r="AA208" s="176"/>
    </row>
    <row r="209">
      <c r="A209" s="165" t="str">
        <f>iferror(VLOOKUP(P209,'DO NOT TOUCH Imported'!$A$1:$D$800,4,False),iferror(VLOOKUP(P209,'DO NOT TOUCH Imported'!$C$1:$D$800,2,False),"OOPS FIX ME"))</f>
        <v>kristoferkristofer</v>
      </c>
      <c r="B209" s="165" t="s">
        <v>10</v>
      </c>
      <c r="C209" s="170" t="s">
        <v>498</v>
      </c>
      <c r="D209" s="236" t="s">
        <v>495</v>
      </c>
      <c r="E209" s="239">
        <v>44295.0</v>
      </c>
      <c r="F209" s="170" t="s">
        <v>499</v>
      </c>
      <c r="G209" s="219"/>
      <c r="H209" s="171">
        <v>20.0</v>
      </c>
      <c r="I209" s="171">
        <v>25.0</v>
      </c>
      <c r="J209" s="172">
        <f t="shared" si="12"/>
        <v>0.0003229253324</v>
      </c>
      <c r="K209" s="173">
        <f t="shared" si="13"/>
        <v>0.3713641322</v>
      </c>
      <c r="L209" s="174">
        <f t="shared" si="4"/>
        <v>16.01311652</v>
      </c>
      <c r="M209" s="175" t="str">
        <f t="shared" si="5"/>
        <v>kristoferkristofer</v>
      </c>
      <c r="N209" s="176">
        <f>IFERROR(__xludf.DUMMYFUNCTION("""COMPUTED_VALUE"""),4.0)</f>
        <v>4</v>
      </c>
      <c r="O209" s="176"/>
      <c r="P209" s="165" t="s">
        <v>44</v>
      </c>
      <c r="Q209" s="165" t="s">
        <v>10</v>
      </c>
      <c r="R209" s="176"/>
      <c r="S209" s="176"/>
      <c r="T209" s="176"/>
      <c r="U209" s="176"/>
      <c r="V209" s="176"/>
      <c r="W209" s="176"/>
      <c r="X209" s="176"/>
      <c r="Y209" s="176"/>
      <c r="Z209" s="176"/>
      <c r="AA209" s="176"/>
    </row>
    <row r="210">
      <c r="A210" s="165" t="str">
        <f>iferror(VLOOKUP(P210,'DO NOT TOUCH Imported'!$A$1:$D$800,4,False),iferror(VLOOKUP(P210,'DO NOT TOUCH Imported'!$C$1:$D$800,2,False),"OOPS FIX ME"))</f>
        <v>kristoferkristofer</v>
      </c>
      <c r="B210" s="165" t="s">
        <v>10</v>
      </c>
      <c r="C210" s="170" t="s">
        <v>500</v>
      </c>
      <c r="D210" s="236" t="s">
        <v>495</v>
      </c>
      <c r="E210" s="239">
        <v>44295.0</v>
      </c>
      <c r="F210" s="170" t="s">
        <v>496</v>
      </c>
      <c r="G210" s="219"/>
      <c r="H210" s="171">
        <v>20.0</v>
      </c>
      <c r="I210" s="171">
        <v>25.0</v>
      </c>
      <c r="J210" s="172">
        <f t="shared" si="12"/>
        <v>0.0003229253324</v>
      </c>
      <c r="K210" s="173">
        <f t="shared" si="13"/>
        <v>0.3713641322</v>
      </c>
      <c r="L210" s="174">
        <f t="shared" si="4"/>
        <v>16.01311652</v>
      </c>
      <c r="M210" s="175" t="str">
        <f t="shared" si="5"/>
        <v>kristoferkristofer</v>
      </c>
      <c r="N210" s="176">
        <f>IFERROR(__xludf.DUMMYFUNCTION("""COMPUTED_VALUE"""),5.0)</f>
        <v>5</v>
      </c>
      <c r="O210" s="176"/>
      <c r="P210" s="165" t="s">
        <v>44</v>
      </c>
      <c r="Q210" s="165" t="s">
        <v>10</v>
      </c>
      <c r="R210" s="176"/>
      <c r="S210" s="176"/>
      <c r="T210" s="176"/>
      <c r="U210" s="176"/>
      <c r="V210" s="176"/>
      <c r="W210" s="176"/>
      <c r="X210" s="176"/>
      <c r="Y210" s="176"/>
      <c r="Z210" s="176"/>
      <c r="AA210" s="176"/>
    </row>
    <row r="211">
      <c r="A211" s="165" t="str">
        <f>iferror(VLOOKUP(P211,'DO NOT TOUCH Imported'!$A$1:$D$800,4,False),iferror(VLOOKUP(P211,'DO NOT TOUCH Imported'!$C$1:$D$800,2,False),"OOPS FIX ME"))</f>
        <v>kristoferkristofer</v>
      </c>
      <c r="B211" s="165" t="s">
        <v>435</v>
      </c>
      <c r="C211" s="170" t="s">
        <v>1345</v>
      </c>
      <c r="D211" s="236" t="s">
        <v>437</v>
      </c>
      <c r="E211" s="239">
        <v>44287.0</v>
      </c>
      <c r="F211" s="170" t="s">
        <v>439</v>
      </c>
      <c r="G211" s="219"/>
      <c r="H211" s="171">
        <v>100.0</v>
      </c>
      <c r="I211" s="171">
        <v>100.0</v>
      </c>
      <c r="J211" s="172">
        <f t="shared" si="12"/>
        <v>0.001436335405</v>
      </c>
      <c r="K211" s="173">
        <f t="shared" si="13"/>
        <v>1.651785716</v>
      </c>
      <c r="L211" s="174">
        <f t="shared" si="4"/>
        <v>16.01311652</v>
      </c>
      <c r="M211" s="175" t="str">
        <f t="shared" si="5"/>
        <v>kristoferkristofer</v>
      </c>
      <c r="N211" s="176">
        <f>IFERROR(__xludf.DUMMYFUNCTION("""COMPUTED_VALUE"""),6.0)</f>
        <v>6</v>
      </c>
      <c r="O211" s="176"/>
      <c r="P211" s="165" t="s">
        <v>811</v>
      </c>
      <c r="Q211" s="165" t="s">
        <v>435</v>
      </c>
      <c r="R211" s="176"/>
      <c r="S211" s="176"/>
      <c r="T211" s="176"/>
      <c r="U211" s="176"/>
      <c r="V211" s="176"/>
      <c r="W211" s="176"/>
      <c r="X211" s="176"/>
      <c r="Y211" s="176"/>
      <c r="Z211" s="176"/>
      <c r="AA211" s="176"/>
    </row>
    <row r="212">
      <c r="A212" s="165" t="str">
        <f>iferror(VLOOKUP(P212,'DO NOT TOUCH Imported'!$A$1:$D$800,4,False),iferror(VLOOKUP(P212,'DO NOT TOUCH Imported'!$C$1:$D$800,2,False),"OOPS FIX ME"))</f>
        <v>kristoferkristofer</v>
      </c>
      <c r="B212" s="165" t="s">
        <v>450</v>
      </c>
      <c r="C212" s="170" t="s">
        <v>1346</v>
      </c>
      <c r="D212" s="236" t="s">
        <v>499</v>
      </c>
      <c r="E212" s="237">
        <v>44291.0</v>
      </c>
      <c r="F212" s="170" t="s">
        <v>503</v>
      </c>
      <c r="G212" s="219"/>
      <c r="H212" s="171">
        <v>100.0</v>
      </c>
      <c r="I212" s="171">
        <v>100.0</v>
      </c>
      <c r="J212" s="172">
        <f t="shared" si="12"/>
        <v>0.001436335405</v>
      </c>
      <c r="K212" s="173">
        <f t="shared" si="13"/>
        <v>1.651785716</v>
      </c>
      <c r="L212" s="174">
        <f t="shared" si="4"/>
        <v>16.01311652</v>
      </c>
      <c r="M212" s="175" t="str">
        <f t="shared" si="5"/>
        <v>kristoferkristofer</v>
      </c>
      <c r="N212" s="176">
        <f>IFERROR(__xludf.DUMMYFUNCTION("""COMPUTED_VALUE"""),7.0)</f>
        <v>7</v>
      </c>
      <c r="O212" s="176"/>
      <c r="P212" s="165" t="s">
        <v>811</v>
      </c>
      <c r="Q212" s="165" t="s">
        <v>450</v>
      </c>
      <c r="R212" s="176"/>
      <c r="S212" s="176"/>
      <c r="T212" s="176"/>
      <c r="U212" s="176"/>
      <c r="V212" s="176"/>
      <c r="W212" s="176"/>
      <c r="X212" s="176"/>
      <c r="Y212" s="176"/>
      <c r="Z212" s="176"/>
      <c r="AA212" s="176"/>
    </row>
    <row r="213">
      <c r="A213" s="165" t="str">
        <f>iferror(VLOOKUP(P213,'DO NOT TOUCH Imported'!$A$1:$D$800,4,False),iferror(VLOOKUP(P213,'DO NOT TOUCH Imported'!$C$1:$D$800,2,False),"OOPS FIX ME"))</f>
        <v>kristoferkristofer</v>
      </c>
      <c r="B213" s="165" t="s">
        <v>530</v>
      </c>
      <c r="C213" s="170" t="s">
        <v>1347</v>
      </c>
      <c r="D213" s="236" t="s">
        <v>437</v>
      </c>
      <c r="E213" s="237">
        <v>44294.0</v>
      </c>
      <c r="F213" s="170" t="s">
        <v>439</v>
      </c>
      <c r="G213" s="219"/>
      <c r="H213" s="171">
        <v>100.0</v>
      </c>
      <c r="I213" s="171">
        <v>150.0</v>
      </c>
      <c r="J213" s="172">
        <f t="shared" si="12"/>
        <v>0.001792917919</v>
      </c>
      <c r="K213" s="173">
        <f t="shared" si="13"/>
        <v>2.061855606</v>
      </c>
      <c r="L213" s="174">
        <f t="shared" si="4"/>
        <v>16.01311652</v>
      </c>
      <c r="M213" s="175" t="str">
        <f t="shared" si="5"/>
        <v>kristoferkristofer</v>
      </c>
      <c r="N213" s="176">
        <f>IFERROR(__xludf.DUMMYFUNCTION("""COMPUTED_VALUE"""),8.0)</f>
        <v>8</v>
      </c>
      <c r="O213" s="176"/>
      <c r="P213" s="165" t="s">
        <v>811</v>
      </c>
      <c r="Q213" s="165" t="s">
        <v>530</v>
      </c>
      <c r="R213" s="176"/>
      <c r="S213" s="176"/>
      <c r="T213" s="176"/>
      <c r="U213" s="176"/>
      <c r="V213" s="176"/>
      <c r="W213" s="176"/>
      <c r="X213" s="176"/>
      <c r="Y213" s="176"/>
      <c r="Z213" s="176"/>
      <c r="AA213" s="176"/>
    </row>
    <row r="214">
      <c r="A214" s="165" t="str">
        <f>iferror(VLOOKUP(P214,'DO NOT TOUCH Imported'!$A$1:$D$800,4,False),iferror(VLOOKUP(P214,'DO NOT TOUCH Imported'!$C$1:$D$800,2,False),"OOPS FIX ME"))</f>
        <v>kristoferkristofer</v>
      </c>
      <c r="B214" s="165" t="s">
        <v>441</v>
      </c>
      <c r="C214" s="170" t="s">
        <v>1348</v>
      </c>
      <c r="D214" s="236" t="s">
        <v>437</v>
      </c>
      <c r="E214" s="237">
        <v>44295.0</v>
      </c>
      <c r="F214" s="170" t="s">
        <v>439</v>
      </c>
      <c r="G214" s="219"/>
      <c r="H214" s="171">
        <v>100.0</v>
      </c>
      <c r="I214" s="171">
        <v>100.0</v>
      </c>
      <c r="J214" s="172">
        <f t="shared" si="12"/>
        <v>0.001436335405</v>
      </c>
      <c r="K214" s="173">
        <f t="shared" si="13"/>
        <v>1.651785716</v>
      </c>
      <c r="L214" s="174">
        <f t="shared" si="4"/>
        <v>16.01311652</v>
      </c>
      <c r="M214" s="175" t="str">
        <f t="shared" si="5"/>
        <v>kristoferkristofer</v>
      </c>
      <c r="N214" s="176">
        <f>IFERROR(__xludf.DUMMYFUNCTION("""COMPUTED_VALUE"""),9.0)</f>
        <v>9</v>
      </c>
      <c r="O214" s="176"/>
      <c r="P214" s="165" t="s">
        <v>811</v>
      </c>
      <c r="Q214" s="165" t="s">
        <v>441</v>
      </c>
      <c r="R214" s="176"/>
      <c r="S214" s="176"/>
      <c r="T214" s="176"/>
      <c r="U214" s="176"/>
      <c r="V214" s="176"/>
      <c r="W214" s="176"/>
      <c r="X214" s="176"/>
      <c r="Y214" s="176"/>
      <c r="Z214" s="176"/>
      <c r="AA214" s="176"/>
    </row>
    <row r="215">
      <c r="A215" s="165" t="str">
        <f>iferror(VLOOKUP(P215,'DO NOT TOUCH Imported'!$A$1:$D$800,4,False),iferror(VLOOKUP(P215,'DO NOT TOUCH Imported'!$C$1:$D$800,2,False),"OOPS FIX ME"))</f>
        <v>kristoferkristofer</v>
      </c>
      <c r="B215" s="165" t="s">
        <v>441</v>
      </c>
      <c r="C215" s="170" t="s">
        <v>1267</v>
      </c>
      <c r="D215" s="236" t="s">
        <v>437</v>
      </c>
      <c r="E215" s="237">
        <v>44295.0</v>
      </c>
      <c r="F215" s="170" t="s">
        <v>439</v>
      </c>
      <c r="G215" s="219"/>
      <c r="H215" s="171">
        <v>50.0</v>
      </c>
      <c r="I215" s="171">
        <v>50.0</v>
      </c>
      <c r="J215" s="172">
        <f t="shared" si="12"/>
        <v>0.0007181677027</v>
      </c>
      <c r="K215" s="173">
        <f t="shared" si="13"/>
        <v>0.8258928581</v>
      </c>
      <c r="L215" s="174">
        <f t="shared" si="4"/>
        <v>16.01311652</v>
      </c>
      <c r="M215" s="175" t="str">
        <f t="shared" si="5"/>
        <v>kristoferkristofer</v>
      </c>
      <c r="N215" s="176">
        <f>IFERROR(__xludf.DUMMYFUNCTION("""COMPUTED_VALUE"""),10.0)</f>
        <v>10</v>
      </c>
      <c r="O215" s="176"/>
      <c r="P215" s="165" t="s">
        <v>811</v>
      </c>
      <c r="Q215" s="165" t="s">
        <v>441</v>
      </c>
      <c r="R215" s="176"/>
      <c r="S215" s="176"/>
      <c r="T215" s="176"/>
      <c r="U215" s="176"/>
      <c r="V215" s="176"/>
      <c r="W215" s="176"/>
      <c r="X215" s="176"/>
      <c r="Y215" s="176"/>
      <c r="Z215" s="176"/>
      <c r="AA215" s="176"/>
    </row>
    <row r="216">
      <c r="A216" s="165" t="str">
        <f>iferror(VLOOKUP(P216,'DO NOT TOUCH Imported'!$A$1:$D$800,4,False),iferror(VLOOKUP(P216,'DO NOT TOUCH Imported'!$C$1:$D$800,2,False),"OOPS FIX ME"))</f>
        <v>shawn_westrick</v>
      </c>
      <c r="B216" s="165" t="s">
        <v>576</v>
      </c>
      <c r="C216" s="170" t="s">
        <v>1276</v>
      </c>
      <c r="D216" s="236" t="s">
        <v>437</v>
      </c>
      <c r="E216" s="237">
        <v>44288.0</v>
      </c>
      <c r="F216" s="170" t="s">
        <v>1110</v>
      </c>
      <c r="G216" s="219"/>
      <c r="H216" s="171">
        <v>100.0</v>
      </c>
      <c r="I216" s="171">
        <v>100.0</v>
      </c>
      <c r="J216" s="172">
        <f t="shared" si="12"/>
        <v>0.001436335405</v>
      </c>
      <c r="K216" s="173">
        <f t="shared" si="13"/>
        <v>1.651785716</v>
      </c>
      <c r="L216" s="174">
        <f t="shared" si="4"/>
        <v>12.31788505</v>
      </c>
      <c r="M216" s="175" t="str">
        <f t="shared" si="5"/>
        <v>shawn_westrick</v>
      </c>
      <c r="N216" s="176">
        <f>IFERROR(__xludf.DUMMYFUNCTION("""COMPUTED_VALUE"""),1.0)</f>
        <v>1</v>
      </c>
      <c r="O216" s="176"/>
      <c r="P216" s="165" t="s">
        <v>620</v>
      </c>
      <c r="Q216" s="165" t="s">
        <v>576</v>
      </c>
      <c r="R216" s="176"/>
      <c r="S216" s="176"/>
      <c r="T216" s="176"/>
      <c r="U216" s="176"/>
      <c r="V216" s="176"/>
      <c r="W216" s="176"/>
      <c r="X216" s="176"/>
      <c r="Y216" s="176"/>
      <c r="Z216" s="176"/>
      <c r="AA216" s="176"/>
    </row>
    <row r="217">
      <c r="A217" s="165" t="str">
        <f>iferror(VLOOKUP(P217,'DO NOT TOUCH Imported'!$A$1:$D$800,4,False),iferror(VLOOKUP(P217,'DO NOT TOUCH Imported'!$C$1:$D$800,2,False),"OOPS FIX ME"))</f>
        <v>ddan#2489</v>
      </c>
      <c r="B217" s="165" t="s">
        <v>443</v>
      </c>
      <c r="C217" s="170" t="s">
        <v>1242</v>
      </c>
      <c r="D217" s="236" t="s">
        <v>437</v>
      </c>
      <c r="E217" s="239">
        <v>44286.0</v>
      </c>
      <c r="F217" s="170" t="s">
        <v>439</v>
      </c>
      <c r="G217" s="219"/>
      <c r="H217" s="171">
        <v>100.0</v>
      </c>
      <c r="I217" s="171">
        <v>100.0</v>
      </c>
      <c r="J217" s="172">
        <f t="shared" si="12"/>
        <v>0.001436335405</v>
      </c>
      <c r="K217" s="173">
        <f t="shared" si="13"/>
        <v>1.651785716</v>
      </c>
      <c r="L217" s="174">
        <f t="shared" si="4"/>
        <v>15.81843712</v>
      </c>
      <c r="M217" s="175" t="str">
        <f t="shared" si="5"/>
        <v>ddan#2489</v>
      </c>
      <c r="N217" s="176">
        <f>IFERROR(__xludf.DUMMYFUNCTION("""COMPUTED_VALUE"""),2.0)</f>
        <v>2</v>
      </c>
      <c r="O217" s="176"/>
      <c r="P217" s="165" t="s">
        <v>46</v>
      </c>
      <c r="Q217" s="165" t="s">
        <v>443</v>
      </c>
      <c r="R217" s="176"/>
      <c r="S217" s="176"/>
      <c r="T217" s="176"/>
      <c r="U217" s="176"/>
      <c r="V217" s="176"/>
      <c r="W217" s="176"/>
      <c r="X217" s="176"/>
      <c r="Y217" s="176"/>
      <c r="Z217" s="176"/>
      <c r="AA217" s="176"/>
    </row>
    <row r="218">
      <c r="A218" s="165" t="str">
        <f>iferror(VLOOKUP(P218,'DO NOT TOUCH Imported'!$A$1:$D$800,4,False),iferror(VLOOKUP(P218,'DO NOT TOUCH Imported'!$C$1:$D$800,2,False),"OOPS FIX ME"))</f>
        <v>ddan#2489</v>
      </c>
      <c r="B218" s="165" t="s">
        <v>440</v>
      </c>
      <c r="C218" s="170" t="s">
        <v>1349</v>
      </c>
      <c r="D218" s="236" t="s">
        <v>437</v>
      </c>
      <c r="E218" s="239">
        <v>44286.0</v>
      </c>
      <c r="F218" s="170" t="s">
        <v>439</v>
      </c>
      <c r="G218" s="219"/>
      <c r="H218" s="171">
        <v>150.0</v>
      </c>
      <c r="I218" s="171">
        <v>150.0</v>
      </c>
      <c r="J218" s="172">
        <f t="shared" si="12"/>
        <v>0.002154503108</v>
      </c>
      <c r="K218" s="173">
        <f t="shared" si="13"/>
        <v>2.477678574</v>
      </c>
      <c r="L218" s="174">
        <f t="shared" si="4"/>
        <v>15.81843712</v>
      </c>
      <c r="M218" s="175" t="str">
        <f t="shared" si="5"/>
        <v>ddan#2489</v>
      </c>
      <c r="N218" s="176">
        <f>IFERROR(__xludf.DUMMYFUNCTION("""COMPUTED_VALUE"""),3.0)</f>
        <v>3</v>
      </c>
      <c r="O218" s="176"/>
      <c r="P218" s="165" t="s">
        <v>46</v>
      </c>
      <c r="Q218" s="165" t="s">
        <v>440</v>
      </c>
      <c r="R218" s="176"/>
      <c r="S218" s="176"/>
      <c r="T218" s="176"/>
      <c r="U218" s="176"/>
      <c r="V218" s="176"/>
      <c r="W218" s="176"/>
      <c r="X218" s="176"/>
      <c r="Y218" s="176"/>
      <c r="Z218" s="176"/>
      <c r="AA218" s="176"/>
    </row>
    <row r="219">
      <c r="A219" s="165" t="str">
        <f>iferror(VLOOKUP(P219,'DO NOT TOUCH Imported'!$A$1:$D$800,4,False),iferror(VLOOKUP(P219,'DO NOT TOUCH Imported'!$C$1:$D$800,2,False),"OOPS FIX ME"))</f>
        <v>ddan#2489</v>
      </c>
      <c r="B219" s="165" t="s">
        <v>443</v>
      </c>
      <c r="C219" s="170" t="s">
        <v>1245</v>
      </c>
      <c r="D219" s="236" t="s">
        <v>437</v>
      </c>
      <c r="E219" s="239">
        <v>44287.0</v>
      </c>
      <c r="F219" s="170" t="s">
        <v>439</v>
      </c>
      <c r="G219" s="219"/>
      <c r="H219" s="171">
        <v>70.0</v>
      </c>
      <c r="I219" s="171">
        <v>50.0</v>
      </c>
      <c r="J219" s="172">
        <f t="shared" si="12"/>
        <v>0.0008628017785</v>
      </c>
      <c r="K219" s="173">
        <f t="shared" si="13"/>
        <v>0.9922220452</v>
      </c>
      <c r="L219" s="174">
        <f t="shared" si="4"/>
        <v>15.81843712</v>
      </c>
      <c r="M219" s="175" t="str">
        <f t="shared" si="5"/>
        <v>ddan#2489</v>
      </c>
      <c r="N219" s="176">
        <f>IFERROR(__xludf.DUMMYFUNCTION("""COMPUTED_VALUE"""),4.0)</f>
        <v>4</v>
      </c>
      <c r="O219" s="176"/>
      <c r="P219" s="165" t="s">
        <v>46</v>
      </c>
      <c r="Q219" s="165" t="s">
        <v>443</v>
      </c>
      <c r="R219" s="176"/>
      <c r="S219" s="176"/>
      <c r="T219" s="176"/>
      <c r="U219" s="176"/>
      <c r="V219" s="176"/>
      <c r="W219" s="176"/>
      <c r="X219" s="176"/>
      <c r="Y219" s="176"/>
      <c r="Z219" s="176"/>
      <c r="AA219" s="176"/>
    </row>
    <row r="220">
      <c r="A220" s="165" t="str">
        <f>iferror(VLOOKUP(P220,'DO NOT TOUCH Imported'!$A$1:$D$800,4,False),iferror(VLOOKUP(P220,'DO NOT TOUCH Imported'!$C$1:$D$800,2,False),"OOPS FIX ME"))</f>
        <v>ddan#2489</v>
      </c>
      <c r="B220" s="165" t="s">
        <v>441</v>
      </c>
      <c r="C220" s="170" t="s">
        <v>1325</v>
      </c>
      <c r="D220" s="236" t="s">
        <v>437</v>
      </c>
      <c r="E220" s="237">
        <v>44288.0</v>
      </c>
      <c r="F220" s="170" t="s">
        <v>439</v>
      </c>
      <c r="G220" s="219"/>
      <c r="H220" s="171">
        <v>100.0</v>
      </c>
      <c r="I220" s="171">
        <v>100.0</v>
      </c>
      <c r="J220" s="172">
        <f t="shared" si="12"/>
        <v>0.001436335405</v>
      </c>
      <c r="K220" s="173">
        <f t="shared" si="13"/>
        <v>1.651785716</v>
      </c>
      <c r="L220" s="174">
        <f t="shared" si="4"/>
        <v>15.81843712</v>
      </c>
      <c r="M220" s="175" t="str">
        <f t="shared" si="5"/>
        <v>ddan#2489</v>
      </c>
      <c r="N220" s="176">
        <f>IFERROR(__xludf.DUMMYFUNCTION("""COMPUTED_VALUE"""),5.0)</f>
        <v>5</v>
      </c>
      <c r="O220" s="176"/>
      <c r="P220" s="165" t="s">
        <v>46</v>
      </c>
      <c r="Q220" s="165" t="s">
        <v>441</v>
      </c>
      <c r="R220" s="176"/>
      <c r="S220" s="176"/>
      <c r="T220" s="176"/>
      <c r="U220" s="176"/>
      <c r="V220" s="176"/>
      <c r="W220" s="176"/>
      <c r="X220" s="176"/>
      <c r="Y220" s="176"/>
      <c r="Z220" s="176"/>
      <c r="AA220" s="176"/>
    </row>
    <row r="221">
      <c r="A221" s="165" t="str">
        <f>iferror(VLOOKUP(P221,'DO NOT TOUCH Imported'!$A$1:$D$800,4,False),iferror(VLOOKUP(P221,'DO NOT TOUCH Imported'!$C$1:$D$800,2,False),"OOPS FIX ME"))</f>
        <v>ddan#2489</v>
      </c>
      <c r="B221" s="165" t="s">
        <v>441</v>
      </c>
      <c r="C221" s="170" t="s">
        <v>1350</v>
      </c>
      <c r="D221" s="236" t="s">
        <v>437</v>
      </c>
      <c r="E221" s="237">
        <v>44288.0</v>
      </c>
      <c r="F221" s="170" t="s">
        <v>439</v>
      </c>
      <c r="G221" s="219"/>
      <c r="H221" s="171">
        <v>100.0</v>
      </c>
      <c r="I221" s="171">
        <v>80.0</v>
      </c>
      <c r="J221" s="172">
        <f t="shared" si="12"/>
        <v>0.0012937024</v>
      </c>
      <c r="K221" s="173">
        <f t="shared" si="13"/>
        <v>1.48775776</v>
      </c>
      <c r="L221" s="174">
        <f t="shared" si="4"/>
        <v>15.81843712</v>
      </c>
      <c r="M221" s="175" t="str">
        <f t="shared" si="5"/>
        <v>ddan#2489</v>
      </c>
      <c r="N221" s="176">
        <f>IFERROR(__xludf.DUMMYFUNCTION("""COMPUTED_VALUE"""),6.0)</f>
        <v>6</v>
      </c>
      <c r="O221" s="176"/>
      <c r="P221" s="165" t="s">
        <v>46</v>
      </c>
      <c r="Q221" s="165" t="s">
        <v>441</v>
      </c>
      <c r="R221" s="176"/>
      <c r="S221" s="176"/>
      <c r="T221" s="176"/>
      <c r="U221" s="176"/>
      <c r="V221" s="176"/>
      <c r="W221" s="176"/>
      <c r="X221" s="176"/>
      <c r="Y221" s="176"/>
      <c r="Z221" s="176"/>
      <c r="AA221" s="176"/>
    </row>
    <row r="222">
      <c r="A222" s="165" t="str">
        <f>iferror(VLOOKUP(P222,'DO NOT TOUCH Imported'!$A$1:$D$800,4,False),iferror(VLOOKUP(P222,'DO NOT TOUCH Imported'!$C$1:$D$800,2,False),"OOPS FIX ME"))</f>
        <v>ddan#2489</v>
      </c>
      <c r="B222" s="165" t="s">
        <v>441</v>
      </c>
      <c r="C222" s="170" t="s">
        <v>1351</v>
      </c>
      <c r="D222" s="236" t="s">
        <v>437</v>
      </c>
      <c r="E222" s="237">
        <v>44288.0</v>
      </c>
      <c r="F222" s="170" t="s">
        <v>439</v>
      </c>
      <c r="G222" s="219"/>
      <c r="H222" s="171">
        <v>100.0</v>
      </c>
      <c r="I222" s="171">
        <v>100.0</v>
      </c>
      <c r="J222" s="172">
        <f t="shared" si="12"/>
        <v>0.001436335405</v>
      </c>
      <c r="K222" s="173">
        <f t="shared" si="13"/>
        <v>1.651785716</v>
      </c>
      <c r="L222" s="174">
        <f t="shared" si="4"/>
        <v>15.81843712</v>
      </c>
      <c r="M222" s="175" t="str">
        <f t="shared" si="5"/>
        <v>ddan#2489</v>
      </c>
      <c r="N222" s="176">
        <f>IFERROR(__xludf.DUMMYFUNCTION("""COMPUTED_VALUE"""),7.0)</f>
        <v>7</v>
      </c>
      <c r="O222" s="176"/>
      <c r="P222" s="165" t="s">
        <v>46</v>
      </c>
      <c r="Q222" s="165" t="s">
        <v>441</v>
      </c>
      <c r="R222" s="176"/>
      <c r="S222" s="176"/>
      <c r="T222" s="176"/>
      <c r="U222" s="176"/>
      <c r="V222" s="176"/>
      <c r="W222" s="176"/>
      <c r="X222" s="176"/>
      <c r="Y222" s="176"/>
      <c r="Z222" s="176"/>
      <c r="AA222" s="176"/>
    </row>
    <row r="223">
      <c r="A223" s="165" t="str">
        <f>iferror(VLOOKUP(P223,'DO NOT TOUCH Imported'!$A$1:$D$800,4,False),iferror(VLOOKUP(P223,'DO NOT TOUCH Imported'!$C$1:$D$800,2,False),"OOPS FIX ME"))</f>
        <v>ddan#2489</v>
      </c>
      <c r="B223" s="165" t="s">
        <v>443</v>
      </c>
      <c r="C223" s="170" t="s">
        <v>1252</v>
      </c>
      <c r="D223" s="236" t="s">
        <v>437</v>
      </c>
      <c r="E223" s="237">
        <v>44291.0</v>
      </c>
      <c r="F223" s="170" t="s">
        <v>439</v>
      </c>
      <c r="G223" s="219"/>
      <c r="H223" s="171">
        <v>100.0</v>
      </c>
      <c r="I223" s="171">
        <v>80.0</v>
      </c>
      <c r="J223" s="172">
        <f t="shared" si="12"/>
        <v>0.0012937024</v>
      </c>
      <c r="K223" s="173">
        <f t="shared" si="13"/>
        <v>1.48775776</v>
      </c>
      <c r="L223" s="174">
        <f t="shared" si="4"/>
        <v>15.81843712</v>
      </c>
      <c r="M223" s="175" t="str">
        <f t="shared" si="5"/>
        <v>ddan#2489</v>
      </c>
      <c r="N223" s="176">
        <f>IFERROR(__xludf.DUMMYFUNCTION("""COMPUTED_VALUE"""),8.0)</f>
        <v>8</v>
      </c>
      <c r="O223" s="176"/>
      <c r="P223" s="165" t="s">
        <v>46</v>
      </c>
      <c r="Q223" s="165" t="s">
        <v>443</v>
      </c>
      <c r="R223" s="176"/>
      <c r="S223" s="176"/>
      <c r="T223" s="176"/>
      <c r="U223" s="176"/>
      <c r="V223" s="176"/>
      <c r="W223" s="176"/>
      <c r="X223" s="176"/>
      <c r="Y223" s="176"/>
      <c r="Z223" s="176"/>
      <c r="AA223" s="176"/>
    </row>
    <row r="224">
      <c r="A224" s="165" t="str">
        <f>iferror(VLOOKUP(P224,'DO NOT TOUCH Imported'!$A$1:$D$800,4,False),iferror(VLOOKUP(P224,'DO NOT TOUCH Imported'!$C$1:$D$800,2,False),"OOPS FIX ME"))</f>
        <v>ddan#2489</v>
      </c>
      <c r="B224" s="165" t="s">
        <v>443</v>
      </c>
      <c r="C224" s="170" t="s">
        <v>1255</v>
      </c>
      <c r="D224" s="236" t="s">
        <v>437</v>
      </c>
      <c r="E224" s="237">
        <v>44292.0</v>
      </c>
      <c r="F224" s="170" t="s">
        <v>439</v>
      </c>
      <c r="G224" s="219"/>
      <c r="H224" s="171">
        <v>80.0</v>
      </c>
      <c r="I224" s="171">
        <v>100.0</v>
      </c>
      <c r="J224" s="172">
        <f t="shared" si="12"/>
        <v>0.00129170133</v>
      </c>
      <c r="K224" s="173">
        <f t="shared" si="13"/>
        <v>1.485456529</v>
      </c>
      <c r="L224" s="174">
        <f t="shared" si="4"/>
        <v>15.81843712</v>
      </c>
      <c r="M224" s="175" t="str">
        <f t="shared" si="5"/>
        <v>ddan#2489</v>
      </c>
      <c r="N224" s="176">
        <f>IFERROR(__xludf.DUMMYFUNCTION("""COMPUTED_VALUE"""),9.0)</f>
        <v>9</v>
      </c>
      <c r="O224" s="176"/>
      <c r="P224" s="165" t="s">
        <v>46</v>
      </c>
      <c r="Q224" s="165" t="s">
        <v>443</v>
      </c>
      <c r="R224" s="176"/>
      <c r="S224" s="176"/>
      <c r="T224" s="176"/>
      <c r="U224" s="176"/>
      <c r="V224" s="176"/>
      <c r="W224" s="176"/>
      <c r="X224" s="176"/>
      <c r="Y224" s="176"/>
      <c r="Z224" s="176"/>
      <c r="AA224" s="176"/>
    </row>
    <row r="225">
      <c r="A225" s="165" t="str">
        <f>iferror(VLOOKUP(P225,'DO NOT TOUCH Imported'!$A$1:$D$800,4,False),iferror(VLOOKUP(P225,'DO NOT TOUCH Imported'!$C$1:$D$800,2,False),"OOPS FIX ME"))</f>
        <v>ddan#2489</v>
      </c>
      <c r="B225" s="165" t="s">
        <v>441</v>
      </c>
      <c r="C225" s="170" t="s">
        <v>1331</v>
      </c>
      <c r="D225" s="236" t="s">
        <v>437</v>
      </c>
      <c r="E225" s="237">
        <v>44295.0</v>
      </c>
      <c r="F225" s="170" t="s">
        <v>439</v>
      </c>
      <c r="G225" s="219"/>
      <c r="H225" s="171">
        <v>100.0</v>
      </c>
      <c r="I225" s="171">
        <v>100.0</v>
      </c>
      <c r="J225" s="172">
        <f t="shared" si="12"/>
        <v>0.001436335405</v>
      </c>
      <c r="K225" s="173">
        <f t="shared" si="13"/>
        <v>1.651785716</v>
      </c>
      <c r="L225" s="174">
        <f t="shared" si="4"/>
        <v>15.81843712</v>
      </c>
      <c r="M225" s="175" t="str">
        <f t="shared" si="5"/>
        <v>ddan#2489</v>
      </c>
      <c r="N225" s="176">
        <f>IFERROR(__xludf.DUMMYFUNCTION("""COMPUTED_VALUE"""),10.0)</f>
        <v>10</v>
      </c>
      <c r="O225" s="176"/>
      <c r="P225" s="165" t="s">
        <v>46</v>
      </c>
      <c r="Q225" s="165" t="s">
        <v>441</v>
      </c>
      <c r="R225" s="176"/>
      <c r="S225" s="176"/>
      <c r="T225" s="176"/>
      <c r="U225" s="176"/>
      <c r="V225" s="176"/>
      <c r="W225" s="176"/>
      <c r="X225" s="176"/>
      <c r="Y225" s="176"/>
      <c r="Z225" s="176"/>
      <c r="AA225" s="176"/>
    </row>
    <row r="226">
      <c r="A226" s="165" t="str">
        <f>iferror(VLOOKUP(P226,'DO NOT TOUCH Imported'!$A$1:$D$800,4,False),iferror(VLOOKUP(P226,'DO NOT TOUCH Imported'!$C$1:$D$800,2,False),"OOPS FIX ME"))</f>
        <v>ddan#2489</v>
      </c>
      <c r="B226" s="165" t="s">
        <v>441</v>
      </c>
      <c r="C226" s="170" t="s">
        <v>1005</v>
      </c>
      <c r="D226" s="236" t="s">
        <v>437</v>
      </c>
      <c r="E226" s="237">
        <v>44295.0</v>
      </c>
      <c r="F226" s="170" t="s">
        <v>439</v>
      </c>
      <c r="G226" s="219"/>
      <c r="H226" s="171">
        <v>20.0</v>
      </c>
      <c r="I226" s="171">
        <v>25.0</v>
      </c>
      <c r="J226" s="172">
        <f t="shared" si="12"/>
        <v>0.0003229253324</v>
      </c>
      <c r="K226" s="173">
        <f t="shared" si="13"/>
        <v>0.3713641322</v>
      </c>
      <c r="L226" s="174">
        <f t="shared" si="4"/>
        <v>15.81843712</v>
      </c>
      <c r="M226" s="175" t="str">
        <f t="shared" si="5"/>
        <v>ddan#2489</v>
      </c>
      <c r="N226" s="176">
        <f>IFERROR(__xludf.DUMMYFUNCTION("""COMPUTED_VALUE"""),11.0)</f>
        <v>11</v>
      </c>
      <c r="O226" s="176"/>
      <c r="P226" s="165" t="s">
        <v>46</v>
      </c>
      <c r="Q226" s="165" t="s">
        <v>441</v>
      </c>
      <c r="R226" s="176"/>
      <c r="S226" s="176"/>
      <c r="T226" s="176"/>
      <c r="U226" s="176"/>
      <c r="V226" s="176"/>
      <c r="W226" s="176"/>
      <c r="X226" s="176"/>
      <c r="Y226" s="176"/>
      <c r="Z226" s="176"/>
      <c r="AA226" s="176"/>
    </row>
    <row r="227">
      <c r="A227" s="165" t="str">
        <f>iferror(VLOOKUP(P227,'DO NOT TOUCH Imported'!$A$1:$D$800,4,False),iferror(VLOOKUP(P227,'DO NOT TOUCH Imported'!$C$1:$D$800,2,False),"OOPS FIX ME"))</f>
        <v>MerlinEgalite</v>
      </c>
      <c r="B227" s="165" t="s">
        <v>10</v>
      </c>
      <c r="C227" s="170" t="s">
        <v>498</v>
      </c>
      <c r="D227" s="236" t="s">
        <v>495</v>
      </c>
      <c r="E227" s="239">
        <v>44282.0</v>
      </c>
      <c r="F227" s="170" t="s">
        <v>499</v>
      </c>
      <c r="G227" s="219"/>
      <c r="H227" s="171">
        <v>20.0</v>
      </c>
      <c r="I227" s="171">
        <v>25.0</v>
      </c>
      <c r="J227" s="172">
        <f t="shared" si="12"/>
        <v>0.0003229253324</v>
      </c>
      <c r="K227" s="173">
        <f t="shared" si="13"/>
        <v>0.3713641322</v>
      </c>
      <c r="L227" s="174">
        <f t="shared" si="4"/>
        <v>12.09904272</v>
      </c>
      <c r="M227" s="175" t="str">
        <f t="shared" si="5"/>
        <v>MerlinEgalite</v>
      </c>
      <c r="N227" s="176">
        <f>IFERROR(__xludf.DUMMYFUNCTION("""COMPUTED_VALUE"""),1.0)</f>
        <v>1</v>
      </c>
      <c r="O227" s="176"/>
      <c r="P227" s="165" t="s">
        <v>27</v>
      </c>
      <c r="Q227" s="165" t="s">
        <v>10</v>
      </c>
      <c r="R227" s="176"/>
      <c r="S227" s="176"/>
      <c r="T227" s="176"/>
      <c r="U227" s="176"/>
      <c r="V227" s="176"/>
      <c r="W227" s="176"/>
      <c r="X227" s="176"/>
      <c r="Y227" s="176"/>
      <c r="Z227" s="176"/>
      <c r="AA227" s="176"/>
    </row>
    <row r="228">
      <c r="A228" s="165" t="str">
        <f>iferror(VLOOKUP(P228,'DO NOT TOUCH Imported'!$A$1:$D$800,4,False),iferror(VLOOKUP(P228,'DO NOT TOUCH Imported'!$C$1:$D$800,2,False),"OOPS FIX ME"))</f>
        <v>shawn_westrick</v>
      </c>
      <c r="B228" s="165" t="s">
        <v>576</v>
      </c>
      <c r="C228" s="170" t="s">
        <v>1352</v>
      </c>
      <c r="D228" s="236" t="s">
        <v>437</v>
      </c>
      <c r="E228" s="237">
        <v>44288.0</v>
      </c>
      <c r="F228" s="170" t="s">
        <v>1110</v>
      </c>
      <c r="G228" s="219"/>
      <c r="H228" s="171">
        <v>200.0</v>
      </c>
      <c r="I228" s="171">
        <v>200.0</v>
      </c>
      <c r="J228" s="172">
        <f t="shared" si="12"/>
        <v>0.002872670811</v>
      </c>
      <c r="K228" s="173">
        <f t="shared" si="13"/>
        <v>3.303571432</v>
      </c>
      <c r="L228" s="174">
        <f t="shared" si="4"/>
        <v>12.31788505</v>
      </c>
      <c r="M228" s="175" t="str">
        <f t="shared" si="5"/>
        <v>shawn_westrick</v>
      </c>
      <c r="N228" s="176">
        <f>IFERROR(__xludf.DUMMYFUNCTION("""COMPUTED_VALUE"""),2.0)</f>
        <v>2</v>
      </c>
      <c r="O228" s="176"/>
      <c r="P228" s="165" t="s">
        <v>620</v>
      </c>
      <c r="Q228" s="165" t="s">
        <v>576</v>
      </c>
      <c r="R228" s="176"/>
      <c r="S228" s="176"/>
      <c r="T228" s="176"/>
      <c r="U228" s="176"/>
      <c r="V228" s="176"/>
      <c r="W228" s="176"/>
      <c r="X228" s="176"/>
      <c r="Y228" s="176"/>
      <c r="Z228" s="176"/>
      <c r="AA228" s="176"/>
    </row>
    <row r="229">
      <c r="A229" s="165" t="str">
        <f>iferror(VLOOKUP(P229,'DO NOT TOUCH Imported'!$A$1:$D$800,4,False),iferror(VLOOKUP(P229,'DO NOT TOUCH Imported'!$C$1:$D$800,2,False),"OOPS FIX ME"))</f>
        <v>shawn_westrick</v>
      </c>
      <c r="B229" s="165" t="s">
        <v>443</v>
      </c>
      <c r="C229" s="170" t="s">
        <v>1252</v>
      </c>
      <c r="D229" s="236" t="s">
        <v>437</v>
      </c>
      <c r="E229" s="237">
        <v>44291.0</v>
      </c>
      <c r="F229" s="170" t="s">
        <v>439</v>
      </c>
      <c r="G229" s="219"/>
      <c r="H229" s="171">
        <v>200.0</v>
      </c>
      <c r="I229" s="171">
        <v>80.0</v>
      </c>
      <c r="J229" s="172">
        <f t="shared" si="12"/>
        <v>0.002016872779</v>
      </c>
      <c r="K229" s="173">
        <f t="shared" si="13"/>
        <v>2.319403696</v>
      </c>
      <c r="L229" s="174">
        <f t="shared" si="4"/>
        <v>12.31788505</v>
      </c>
      <c r="M229" s="175" t="str">
        <f t="shared" si="5"/>
        <v>shawn_westrick</v>
      </c>
      <c r="N229" s="176">
        <f>IFERROR(__xludf.DUMMYFUNCTION("""COMPUTED_VALUE"""),3.0)</f>
        <v>3</v>
      </c>
      <c r="O229" s="176"/>
      <c r="P229" s="165" t="s">
        <v>620</v>
      </c>
      <c r="Q229" s="165" t="s">
        <v>443</v>
      </c>
      <c r="R229" s="176"/>
      <c r="S229" s="176"/>
      <c r="T229" s="176"/>
      <c r="U229" s="176"/>
      <c r="V229" s="176"/>
      <c r="W229" s="176"/>
      <c r="X229" s="176"/>
      <c r="Y229" s="176"/>
      <c r="Z229" s="176"/>
      <c r="AA229" s="176"/>
    </row>
    <row r="230">
      <c r="A230" s="165" t="str">
        <f>iferror(VLOOKUP(P230,'DO NOT TOUCH Imported'!$A$1:$D$800,4,False),iferror(VLOOKUP(P230,'DO NOT TOUCH Imported'!$C$1:$D$800,2,False),"OOPS FIX ME"))</f>
        <v>shawn_westrick</v>
      </c>
      <c r="B230" s="165" t="s">
        <v>441</v>
      </c>
      <c r="C230" s="170" t="s">
        <v>1331</v>
      </c>
      <c r="D230" s="236" t="s">
        <v>437</v>
      </c>
      <c r="E230" s="237">
        <v>44295.0</v>
      </c>
      <c r="F230" s="170" t="s">
        <v>439</v>
      </c>
      <c r="G230" s="219"/>
      <c r="H230" s="171">
        <v>150.0</v>
      </c>
      <c r="I230" s="171">
        <v>100.0</v>
      </c>
      <c r="J230" s="172">
        <f t="shared" si="12"/>
        <v>0.001797920595</v>
      </c>
      <c r="K230" s="173">
        <f t="shared" si="13"/>
        <v>2.067608684</v>
      </c>
      <c r="L230" s="174">
        <f t="shared" si="4"/>
        <v>12.31788505</v>
      </c>
      <c r="M230" s="175" t="str">
        <f t="shared" si="5"/>
        <v>shawn_westrick</v>
      </c>
      <c r="N230" s="176">
        <f>IFERROR(__xludf.DUMMYFUNCTION("""COMPUTED_VALUE"""),4.0)</f>
        <v>4</v>
      </c>
      <c r="O230" s="176"/>
      <c r="P230" s="165" t="s">
        <v>620</v>
      </c>
      <c r="Q230" s="165" t="s">
        <v>441</v>
      </c>
      <c r="R230" s="176"/>
      <c r="S230" s="176"/>
      <c r="T230" s="176"/>
      <c r="U230" s="176"/>
      <c r="V230" s="176"/>
      <c r="W230" s="176"/>
      <c r="X230" s="176"/>
      <c r="Y230" s="176"/>
      <c r="Z230" s="176"/>
      <c r="AA230" s="176"/>
    </row>
    <row r="231">
      <c r="A231" s="165" t="str">
        <f>iferror(VLOOKUP(P231,'DO NOT TOUCH Imported'!$A$1:$D$800,4,False),iferror(VLOOKUP(P231,'DO NOT TOUCH Imported'!$C$1:$D$800,2,False),"OOPS FIX ME"))</f>
        <v>shawn_westrick</v>
      </c>
      <c r="B231" s="165" t="s">
        <v>441</v>
      </c>
      <c r="C231" s="170" t="s">
        <v>1268</v>
      </c>
      <c r="D231" s="236" t="s">
        <v>437</v>
      </c>
      <c r="E231" s="237">
        <v>44295.0</v>
      </c>
      <c r="F231" s="170" t="s">
        <v>439</v>
      </c>
      <c r="G231" s="219"/>
      <c r="H231" s="171">
        <v>100.0</v>
      </c>
      <c r="I231" s="171">
        <v>80.0</v>
      </c>
      <c r="J231" s="172">
        <f t="shared" si="12"/>
        <v>0.0012937024</v>
      </c>
      <c r="K231" s="173">
        <f t="shared" si="13"/>
        <v>1.48775776</v>
      </c>
      <c r="L231" s="174">
        <f t="shared" si="4"/>
        <v>12.31788505</v>
      </c>
      <c r="M231" s="175" t="str">
        <f t="shared" si="5"/>
        <v>shawn_westrick</v>
      </c>
      <c r="N231" s="176">
        <f>IFERROR(__xludf.DUMMYFUNCTION("""COMPUTED_VALUE"""),5.0)</f>
        <v>5</v>
      </c>
      <c r="O231" s="176"/>
      <c r="P231" s="165" t="s">
        <v>620</v>
      </c>
      <c r="Q231" s="165" t="s">
        <v>441</v>
      </c>
      <c r="R231" s="176"/>
      <c r="S231" s="176"/>
      <c r="T231" s="176"/>
      <c r="U231" s="176"/>
      <c r="V231" s="176"/>
      <c r="W231" s="176"/>
      <c r="X231" s="176"/>
      <c r="Y231" s="176"/>
      <c r="Z231" s="176"/>
      <c r="AA231" s="176"/>
    </row>
    <row r="232">
      <c r="A232" s="165" t="str">
        <f>iferror(VLOOKUP(P232,'DO NOT TOUCH Imported'!$A$1:$D$800,4,False),iferror(VLOOKUP(P232,'DO NOT TOUCH Imported'!$C$1:$D$800,2,False),"OOPS FIX ME"))</f>
        <v>shawn_westrick</v>
      </c>
      <c r="B232" s="165" t="s">
        <v>441</v>
      </c>
      <c r="C232" s="170" t="s">
        <v>1269</v>
      </c>
      <c r="D232" s="236" t="s">
        <v>437</v>
      </c>
      <c r="E232" s="237">
        <v>44295.0</v>
      </c>
      <c r="F232" s="170" t="s">
        <v>439</v>
      </c>
      <c r="G232" s="219"/>
      <c r="H232" s="171">
        <v>100.0</v>
      </c>
      <c r="I232" s="171">
        <v>80.0</v>
      </c>
      <c r="J232" s="172">
        <f t="shared" si="12"/>
        <v>0.0012937024</v>
      </c>
      <c r="K232" s="173">
        <f t="shared" si="13"/>
        <v>1.48775776</v>
      </c>
      <c r="L232" s="174">
        <f t="shared" si="4"/>
        <v>12.31788505</v>
      </c>
      <c r="M232" s="175" t="str">
        <f t="shared" si="5"/>
        <v>shawn_westrick</v>
      </c>
      <c r="N232" s="176">
        <f>IFERROR(__xludf.DUMMYFUNCTION("""COMPUTED_VALUE"""),6.0)</f>
        <v>6</v>
      </c>
      <c r="O232" s="176"/>
      <c r="P232" s="165" t="s">
        <v>620</v>
      </c>
      <c r="Q232" s="165" t="s">
        <v>441</v>
      </c>
      <c r="R232" s="176"/>
      <c r="S232" s="176"/>
      <c r="T232" s="176"/>
      <c r="U232" s="176"/>
      <c r="V232" s="176"/>
      <c r="W232" s="176"/>
      <c r="X232" s="176"/>
      <c r="Y232" s="176"/>
      <c r="Z232" s="176"/>
      <c r="AA232" s="176"/>
    </row>
    <row r="233">
      <c r="A233" s="165" t="str">
        <f>iferror(VLOOKUP(P233,'DO NOT TOUCH Imported'!$A$1:$D$800,4,False),iferror(VLOOKUP(P233,'DO NOT TOUCH Imported'!$C$1:$D$800,2,False),"OOPS FIX ME"))</f>
        <v>Mount Manu#3530</v>
      </c>
      <c r="B233" s="165" t="s">
        <v>486</v>
      </c>
      <c r="C233" s="170" t="s">
        <v>1254</v>
      </c>
      <c r="D233" s="236" t="s">
        <v>437</v>
      </c>
      <c r="E233" s="237">
        <v>44292.0</v>
      </c>
      <c r="F233" s="170" t="s">
        <v>439</v>
      </c>
      <c r="G233" s="219"/>
      <c r="H233" s="171">
        <v>50.0</v>
      </c>
      <c r="I233" s="171">
        <v>50.0</v>
      </c>
      <c r="J233" s="172">
        <f t="shared" si="12"/>
        <v>0.0007181677027</v>
      </c>
      <c r="K233" s="173">
        <f t="shared" si="13"/>
        <v>0.8258928581</v>
      </c>
      <c r="L233" s="174">
        <f t="shared" si="4"/>
        <v>10.6147368</v>
      </c>
      <c r="M233" s="175" t="str">
        <f t="shared" si="5"/>
        <v>Mount Manu#3530</v>
      </c>
      <c r="N233" s="176">
        <f>IFERROR(__xludf.DUMMYFUNCTION("""COMPUTED_VALUE"""),1.0)</f>
        <v>1</v>
      </c>
      <c r="O233" s="176"/>
      <c r="P233" s="165" t="s">
        <v>32</v>
      </c>
      <c r="Q233" s="165" t="s">
        <v>486</v>
      </c>
      <c r="R233" s="176"/>
      <c r="S233" s="176"/>
      <c r="T233" s="176"/>
      <c r="U233" s="176"/>
      <c r="V233" s="176"/>
      <c r="W233" s="176"/>
      <c r="X233" s="176"/>
      <c r="Y233" s="176"/>
      <c r="Z233" s="176"/>
      <c r="AA233" s="176"/>
    </row>
    <row r="234">
      <c r="A234" s="165" t="str">
        <f>iferror(VLOOKUP(P234,'DO NOT TOUCH Imported'!$A$1:$D$800,4,False),iferror(VLOOKUP(P234,'DO NOT TOUCH Imported'!$C$1:$D$800,2,False),"OOPS FIX ME"))</f>
        <v>MerlinEgalite</v>
      </c>
      <c r="B234" s="165" t="s">
        <v>870</v>
      </c>
      <c r="C234" s="170" t="s">
        <v>1353</v>
      </c>
      <c r="D234" s="236" t="s">
        <v>495</v>
      </c>
      <c r="E234" s="239">
        <v>44284.0</v>
      </c>
      <c r="F234" s="170" t="s">
        <v>521</v>
      </c>
      <c r="G234" s="219"/>
      <c r="H234" s="171">
        <v>100.0</v>
      </c>
      <c r="I234" s="171">
        <v>80.0</v>
      </c>
      <c r="J234" s="172">
        <f t="shared" si="12"/>
        <v>0.0012937024</v>
      </c>
      <c r="K234" s="173">
        <f t="shared" si="13"/>
        <v>1.48775776</v>
      </c>
      <c r="L234" s="174">
        <f t="shared" si="4"/>
        <v>12.09904272</v>
      </c>
      <c r="M234" s="175" t="str">
        <f t="shared" si="5"/>
        <v>MerlinEgalite</v>
      </c>
      <c r="N234" s="176">
        <f>IFERROR(__xludf.DUMMYFUNCTION("""COMPUTED_VALUE"""),2.0)</f>
        <v>2</v>
      </c>
      <c r="O234" s="176"/>
      <c r="P234" s="165" t="s">
        <v>27</v>
      </c>
      <c r="Q234" s="165" t="s">
        <v>870</v>
      </c>
      <c r="R234" s="176"/>
      <c r="S234" s="176"/>
      <c r="T234" s="176"/>
      <c r="U234" s="176"/>
      <c r="V234" s="176"/>
      <c r="W234" s="176"/>
      <c r="X234" s="176"/>
      <c r="Y234" s="176"/>
      <c r="Z234" s="176"/>
      <c r="AA234" s="176"/>
    </row>
    <row r="235">
      <c r="A235" s="165" t="str">
        <f>iferror(VLOOKUP(P235,'DO NOT TOUCH Imported'!$A$1:$D$800,4,False),iferror(VLOOKUP(P235,'DO NOT TOUCH Imported'!$C$1:$D$800,2,False),"OOPS FIX ME"))</f>
        <v>MerlinEgalite</v>
      </c>
      <c r="B235" s="165" t="s">
        <v>519</v>
      </c>
      <c r="C235" s="170" t="s">
        <v>668</v>
      </c>
      <c r="D235" s="236" t="s">
        <v>495</v>
      </c>
      <c r="E235" s="239">
        <v>44286.0</v>
      </c>
      <c r="F235" s="170" t="s">
        <v>521</v>
      </c>
      <c r="G235" s="219"/>
      <c r="H235" s="171">
        <v>50.0</v>
      </c>
      <c r="I235" s="171">
        <v>50.0</v>
      </c>
      <c r="J235" s="172">
        <f t="shared" si="12"/>
        <v>0.0007181677027</v>
      </c>
      <c r="K235" s="173">
        <f t="shared" si="13"/>
        <v>0.8258928581</v>
      </c>
      <c r="L235" s="174">
        <f t="shared" si="4"/>
        <v>12.09904272</v>
      </c>
      <c r="M235" s="175" t="str">
        <f t="shared" si="5"/>
        <v>MerlinEgalite</v>
      </c>
      <c r="N235" s="176">
        <f>IFERROR(__xludf.DUMMYFUNCTION("""COMPUTED_VALUE"""),3.0)</f>
        <v>3</v>
      </c>
      <c r="O235" s="176"/>
      <c r="P235" s="165" t="s">
        <v>27</v>
      </c>
      <c r="Q235" s="165" t="s">
        <v>519</v>
      </c>
      <c r="R235" s="176"/>
      <c r="S235" s="176"/>
      <c r="T235" s="176"/>
      <c r="U235" s="176"/>
      <c r="V235" s="176"/>
      <c r="W235" s="176"/>
      <c r="X235" s="176"/>
      <c r="Y235" s="176"/>
      <c r="Z235" s="176"/>
      <c r="AA235" s="176"/>
    </row>
    <row r="236">
      <c r="A236" s="165" t="str">
        <f>iferror(VLOOKUP(P236,'DO NOT TOUCH Imported'!$A$1:$D$800,4,False),iferror(VLOOKUP(P236,'DO NOT TOUCH Imported'!$C$1:$D$800,2,False),"OOPS FIX ME"))</f>
        <v>MerlinEgalite</v>
      </c>
      <c r="B236" s="165" t="s">
        <v>519</v>
      </c>
      <c r="C236" s="170" t="s">
        <v>1339</v>
      </c>
      <c r="D236" s="236" t="s">
        <v>495</v>
      </c>
      <c r="E236" s="239">
        <v>44287.0</v>
      </c>
      <c r="F236" s="170" t="s">
        <v>499</v>
      </c>
      <c r="G236" s="219"/>
      <c r="H236" s="171">
        <v>100.0</v>
      </c>
      <c r="I236" s="171">
        <v>150.0</v>
      </c>
      <c r="J236" s="172">
        <f t="shared" si="12"/>
        <v>0.001792917919</v>
      </c>
      <c r="K236" s="173">
        <f t="shared" si="13"/>
        <v>2.061855606</v>
      </c>
      <c r="L236" s="174">
        <f t="shared" si="4"/>
        <v>12.09904272</v>
      </c>
      <c r="M236" s="175" t="str">
        <f t="shared" si="5"/>
        <v>MerlinEgalite</v>
      </c>
      <c r="N236" s="176">
        <f>IFERROR(__xludf.DUMMYFUNCTION("""COMPUTED_VALUE"""),4.0)</f>
        <v>4</v>
      </c>
      <c r="O236" s="176"/>
      <c r="P236" s="165" t="s">
        <v>27</v>
      </c>
      <c r="Q236" s="165" t="s">
        <v>519</v>
      </c>
      <c r="R236" s="176"/>
      <c r="S236" s="176"/>
      <c r="T236" s="176"/>
      <c r="U236" s="176"/>
      <c r="V236" s="176"/>
      <c r="W236" s="176"/>
      <c r="X236" s="176"/>
      <c r="Y236" s="176"/>
      <c r="Z236" s="176"/>
      <c r="AA236" s="176"/>
    </row>
    <row r="237">
      <c r="A237" s="165" t="str">
        <f>iferror(VLOOKUP(P237,'DO NOT TOUCH Imported'!$A$1:$D$800,4,False),iferror(VLOOKUP(P237,'DO NOT TOUCH Imported'!$C$1:$D$800,2,False),"OOPS FIX ME"))</f>
        <v>MerlinEgalite</v>
      </c>
      <c r="B237" s="165" t="s">
        <v>10</v>
      </c>
      <c r="C237" s="170" t="s">
        <v>1343</v>
      </c>
      <c r="D237" s="236" t="s">
        <v>495</v>
      </c>
      <c r="E237" s="239">
        <v>44288.0</v>
      </c>
      <c r="F237" s="170" t="s">
        <v>496</v>
      </c>
      <c r="G237" s="219"/>
      <c r="H237" s="171">
        <v>100.0</v>
      </c>
      <c r="I237" s="171">
        <v>100.0</v>
      </c>
      <c r="J237" s="172">
        <f t="shared" si="12"/>
        <v>0.001436335405</v>
      </c>
      <c r="K237" s="173">
        <f t="shared" si="13"/>
        <v>1.651785716</v>
      </c>
      <c r="L237" s="174">
        <f t="shared" si="4"/>
        <v>12.09904272</v>
      </c>
      <c r="M237" s="175" t="str">
        <f t="shared" si="5"/>
        <v>MerlinEgalite</v>
      </c>
      <c r="N237" s="176">
        <f>IFERROR(__xludf.DUMMYFUNCTION("""COMPUTED_VALUE"""),5.0)</f>
        <v>5</v>
      </c>
      <c r="O237" s="176"/>
      <c r="P237" s="165" t="s">
        <v>27</v>
      </c>
      <c r="Q237" s="165" t="s">
        <v>10</v>
      </c>
      <c r="R237" s="176"/>
      <c r="S237" s="176"/>
      <c r="T237" s="176"/>
      <c r="U237" s="176"/>
      <c r="V237" s="176"/>
      <c r="W237" s="176"/>
      <c r="X237" s="176"/>
      <c r="Y237" s="176"/>
      <c r="Z237" s="176"/>
      <c r="AA237" s="176"/>
    </row>
    <row r="238">
      <c r="A238" s="165" t="str">
        <f>iferror(VLOOKUP(P238,'DO NOT TOUCH Imported'!$A$1:$D$800,4,False),iferror(VLOOKUP(P238,'DO NOT TOUCH Imported'!$C$1:$D$800,2,False),"OOPS FIX ME"))</f>
        <v>MerlinEgalite</v>
      </c>
      <c r="B238" s="165" t="s">
        <v>10</v>
      </c>
      <c r="C238" s="170" t="s">
        <v>498</v>
      </c>
      <c r="D238" s="236" t="s">
        <v>495</v>
      </c>
      <c r="E238" s="239">
        <v>44288.0</v>
      </c>
      <c r="F238" s="170" t="s">
        <v>499</v>
      </c>
      <c r="G238" s="219"/>
      <c r="H238" s="171">
        <v>20.0</v>
      </c>
      <c r="I238" s="171">
        <v>15.0</v>
      </c>
      <c r="J238" s="172">
        <f t="shared" si="12"/>
        <v>0.0002516088297</v>
      </c>
      <c r="K238" s="173">
        <f t="shared" si="13"/>
        <v>0.2893501542</v>
      </c>
      <c r="L238" s="174">
        <f t="shared" si="4"/>
        <v>12.09904272</v>
      </c>
      <c r="M238" s="175" t="str">
        <f t="shared" si="5"/>
        <v>MerlinEgalite</v>
      </c>
      <c r="N238" s="176">
        <f>IFERROR(__xludf.DUMMYFUNCTION("""COMPUTED_VALUE"""),6.0)</f>
        <v>6</v>
      </c>
      <c r="O238" s="176"/>
      <c r="P238" s="165" t="s">
        <v>27</v>
      </c>
      <c r="Q238" s="165" t="s">
        <v>10</v>
      </c>
      <c r="R238" s="176"/>
      <c r="S238" s="176"/>
      <c r="T238" s="176"/>
      <c r="U238" s="176"/>
      <c r="V238" s="176"/>
      <c r="W238" s="176"/>
      <c r="X238" s="176"/>
      <c r="Y238" s="176"/>
      <c r="Z238" s="176"/>
      <c r="AA238" s="176"/>
    </row>
    <row r="239">
      <c r="A239" s="165" t="str">
        <f>iferror(VLOOKUP(P239,'DO NOT TOUCH Imported'!$A$1:$D$800,4,False),iferror(VLOOKUP(P239,'DO NOT TOUCH Imported'!$C$1:$D$800,2,False),"OOPS FIX ME"))</f>
        <v>MerlinEgalite</v>
      </c>
      <c r="B239" s="165" t="s">
        <v>519</v>
      </c>
      <c r="C239" s="170" t="s">
        <v>668</v>
      </c>
      <c r="D239" s="236" t="s">
        <v>495</v>
      </c>
      <c r="E239" s="239">
        <v>44293.0</v>
      </c>
      <c r="F239" s="170" t="s">
        <v>521</v>
      </c>
      <c r="G239" s="219"/>
      <c r="H239" s="171">
        <v>60.0</v>
      </c>
      <c r="I239" s="171">
        <v>50.0</v>
      </c>
      <c r="J239" s="172">
        <f t="shared" si="12"/>
        <v>0.0007904847406</v>
      </c>
      <c r="K239" s="173">
        <f t="shared" si="13"/>
        <v>0.9090574516</v>
      </c>
      <c r="L239" s="174">
        <f t="shared" si="4"/>
        <v>12.09904272</v>
      </c>
      <c r="M239" s="175" t="str">
        <f t="shared" si="5"/>
        <v>MerlinEgalite</v>
      </c>
      <c r="N239" s="176">
        <f>IFERROR(__xludf.DUMMYFUNCTION("""COMPUTED_VALUE"""),7.0)</f>
        <v>7</v>
      </c>
      <c r="O239" s="176"/>
      <c r="P239" s="165" t="s">
        <v>27</v>
      </c>
      <c r="Q239" s="165" t="s">
        <v>519</v>
      </c>
      <c r="R239" s="176"/>
      <c r="S239" s="176"/>
      <c r="T239" s="176"/>
      <c r="U239" s="176"/>
      <c r="V239" s="176"/>
      <c r="W239" s="176"/>
      <c r="X239" s="176"/>
      <c r="Y239" s="176"/>
      <c r="Z239" s="176"/>
      <c r="AA239" s="176"/>
    </row>
    <row r="240">
      <c r="A240" s="165" t="str">
        <f>iferror(VLOOKUP(P240,'DO NOT TOUCH Imported'!$A$1:$D$800,4,False),iferror(VLOOKUP(P240,'DO NOT TOUCH Imported'!$C$1:$D$800,2,False),"OOPS FIX ME"))</f>
        <v>MerlinEgalite</v>
      </c>
      <c r="B240" s="165" t="s">
        <v>10</v>
      </c>
      <c r="C240" s="170" t="s">
        <v>498</v>
      </c>
      <c r="D240" s="236" t="s">
        <v>495</v>
      </c>
      <c r="E240" s="239">
        <v>44295.0</v>
      </c>
      <c r="F240" s="170" t="s">
        <v>499</v>
      </c>
      <c r="G240" s="219"/>
      <c r="H240" s="171">
        <v>20.0</v>
      </c>
      <c r="I240" s="171">
        <v>25.0</v>
      </c>
      <c r="J240" s="172">
        <f t="shared" si="12"/>
        <v>0.0003229253324</v>
      </c>
      <c r="K240" s="173">
        <f t="shared" si="13"/>
        <v>0.3713641322</v>
      </c>
      <c r="L240" s="174">
        <f t="shared" si="4"/>
        <v>12.09904272</v>
      </c>
      <c r="M240" s="175" t="str">
        <f t="shared" si="5"/>
        <v>MerlinEgalite</v>
      </c>
      <c r="N240" s="176">
        <f>IFERROR(__xludf.DUMMYFUNCTION("""COMPUTED_VALUE"""),8.0)</f>
        <v>8</v>
      </c>
      <c r="O240" s="176"/>
      <c r="P240" s="165" t="s">
        <v>27</v>
      </c>
      <c r="Q240" s="165" t="s">
        <v>10</v>
      </c>
      <c r="R240" s="176"/>
      <c r="S240" s="176"/>
      <c r="T240" s="176"/>
      <c r="U240" s="176"/>
      <c r="V240" s="176"/>
      <c r="W240" s="176"/>
      <c r="X240" s="176"/>
      <c r="Y240" s="176"/>
      <c r="Z240" s="176"/>
      <c r="AA240" s="176"/>
    </row>
    <row r="241">
      <c r="A241" s="165" t="str">
        <f>iferror(VLOOKUP(P241,'DO NOT TOUCH Imported'!$A$1:$D$800,4,False),iferror(VLOOKUP(P241,'DO NOT TOUCH Imported'!$C$1:$D$800,2,False),"OOPS FIX ME"))</f>
        <v>MerlinEgalite</v>
      </c>
      <c r="B241" s="165" t="s">
        <v>441</v>
      </c>
      <c r="C241" s="170" t="s">
        <v>1005</v>
      </c>
      <c r="D241" s="236" t="s">
        <v>437</v>
      </c>
      <c r="E241" s="237">
        <v>44289.0</v>
      </c>
      <c r="F241" s="170" t="s">
        <v>439</v>
      </c>
      <c r="G241" s="219"/>
      <c r="H241" s="171">
        <v>60.0</v>
      </c>
      <c r="I241" s="171">
        <v>40.0</v>
      </c>
      <c r="J241" s="172">
        <f t="shared" si="12"/>
        <v>0.0007191682379</v>
      </c>
      <c r="K241" s="173">
        <f t="shared" si="13"/>
        <v>0.8270434736</v>
      </c>
      <c r="L241" s="174">
        <f t="shared" si="4"/>
        <v>12.09904272</v>
      </c>
      <c r="M241" s="175" t="str">
        <f t="shared" si="5"/>
        <v>MerlinEgalite</v>
      </c>
      <c r="N241" s="176">
        <f>IFERROR(__xludf.DUMMYFUNCTION("""COMPUTED_VALUE"""),9.0)</f>
        <v>9</v>
      </c>
      <c r="O241" s="176"/>
      <c r="P241" s="165" t="s">
        <v>1062</v>
      </c>
      <c r="Q241" s="165" t="s">
        <v>441</v>
      </c>
      <c r="R241" s="176"/>
      <c r="S241" s="176"/>
      <c r="T241" s="176"/>
      <c r="U241" s="176"/>
      <c r="V241" s="176"/>
      <c r="W241" s="176"/>
      <c r="X241" s="176"/>
      <c r="Y241" s="176"/>
      <c r="Z241" s="176"/>
      <c r="AA241" s="176"/>
    </row>
    <row r="242">
      <c r="A242" s="165" t="str">
        <f>iferror(VLOOKUP(P242,'DO NOT TOUCH Imported'!$A$1:$D$800,4,False),iferror(VLOOKUP(P242,'DO NOT TOUCH Imported'!$C$1:$D$800,2,False),"OOPS FIX ME"))</f>
        <v>MerlinEgalite</v>
      </c>
      <c r="B242" s="165" t="s">
        <v>435</v>
      </c>
      <c r="C242" s="170" t="s">
        <v>1291</v>
      </c>
      <c r="D242" s="236" t="s">
        <v>499</v>
      </c>
      <c r="E242" s="237">
        <v>44289.0</v>
      </c>
      <c r="F242" s="170" t="s">
        <v>503</v>
      </c>
      <c r="G242" s="219"/>
      <c r="H242" s="171">
        <v>100.0</v>
      </c>
      <c r="I242" s="171">
        <v>100.0</v>
      </c>
      <c r="J242" s="172">
        <f t="shared" si="12"/>
        <v>0.001436335405</v>
      </c>
      <c r="K242" s="173">
        <f t="shared" si="13"/>
        <v>1.651785716</v>
      </c>
      <c r="L242" s="174">
        <f t="shared" si="4"/>
        <v>12.09904272</v>
      </c>
      <c r="M242" s="175" t="str">
        <f t="shared" si="5"/>
        <v>MerlinEgalite</v>
      </c>
      <c r="N242" s="176">
        <f>IFERROR(__xludf.DUMMYFUNCTION("""COMPUTED_VALUE"""),10.0)</f>
        <v>10</v>
      </c>
      <c r="O242" s="176"/>
      <c r="P242" s="165" t="s">
        <v>1062</v>
      </c>
      <c r="Q242" s="165" t="s">
        <v>435</v>
      </c>
      <c r="R242" s="176"/>
      <c r="S242" s="176"/>
      <c r="T242" s="176"/>
      <c r="U242" s="176"/>
      <c r="V242" s="176"/>
      <c r="W242" s="176"/>
      <c r="X242" s="176"/>
      <c r="Y242" s="176"/>
      <c r="Z242" s="176"/>
      <c r="AA242" s="176"/>
    </row>
    <row r="243">
      <c r="A243" s="165" t="str">
        <f>iferror(VLOOKUP(P243,'DO NOT TOUCH Imported'!$A$1:$D$800,4,False),iferror(VLOOKUP(P243,'DO NOT TOUCH Imported'!$C$1:$D$800,2,False),"OOPS FIX ME"))</f>
        <v>MerlinEgalite</v>
      </c>
      <c r="B243" s="165" t="s">
        <v>450</v>
      </c>
      <c r="C243" s="170" t="s">
        <v>1346</v>
      </c>
      <c r="D243" s="236" t="s">
        <v>499</v>
      </c>
      <c r="E243" s="237">
        <v>44291.0</v>
      </c>
      <c r="F243" s="170" t="s">
        <v>503</v>
      </c>
      <c r="G243" s="219"/>
      <c r="H243" s="171">
        <v>100.0</v>
      </c>
      <c r="I243" s="171">
        <v>100.0</v>
      </c>
      <c r="J243" s="172">
        <f t="shared" si="12"/>
        <v>0.001436335405</v>
      </c>
      <c r="K243" s="173">
        <f t="shared" si="13"/>
        <v>1.651785716</v>
      </c>
      <c r="L243" s="174">
        <f t="shared" si="4"/>
        <v>12.09904272</v>
      </c>
      <c r="M243" s="175" t="str">
        <f t="shared" si="5"/>
        <v>MerlinEgalite</v>
      </c>
      <c r="N243" s="176">
        <f>IFERROR(__xludf.DUMMYFUNCTION("""COMPUTED_VALUE"""),11.0)</f>
        <v>11</v>
      </c>
      <c r="O243" s="176"/>
      <c r="P243" s="165" t="s">
        <v>1062</v>
      </c>
      <c r="Q243" s="165" t="s">
        <v>450</v>
      </c>
      <c r="R243" s="176"/>
      <c r="S243" s="176"/>
      <c r="T243" s="176"/>
      <c r="U243" s="176"/>
      <c r="V243" s="176"/>
      <c r="W243" s="176"/>
      <c r="X243" s="176"/>
      <c r="Y243" s="176"/>
      <c r="Z243" s="176"/>
      <c r="AA243" s="176"/>
    </row>
    <row r="244">
      <c r="A244" s="165" t="str">
        <f>iferror(VLOOKUP(P244,'DO NOT TOUCH Imported'!$A$1:$D$800,4,False),iferror(VLOOKUP(P244,'DO NOT TOUCH Imported'!$C$1:$D$800,2,False),"OOPS FIX ME"))</f>
        <v>mateodaza</v>
      </c>
      <c r="B244" s="185" t="s">
        <v>534</v>
      </c>
      <c r="C244" s="186" t="s">
        <v>669</v>
      </c>
      <c r="D244" s="187"/>
      <c r="E244" s="188"/>
      <c r="F244" s="189"/>
      <c r="G244" s="190"/>
      <c r="H244" s="190"/>
      <c r="I244" s="190"/>
      <c r="J244" s="191">
        <f>(G244/$G$2+H244/$H$2+I244/$I$2)/3</f>
        <v>0</v>
      </c>
      <c r="K244" s="192">
        <f>20.002*-0.5</f>
        <v>-10.001</v>
      </c>
      <c r="L244" s="193">
        <f t="shared" si="4"/>
        <v>10.00056517</v>
      </c>
      <c r="M244" s="194" t="str">
        <f t="shared" si="5"/>
        <v>mateodaza</v>
      </c>
      <c r="N244" s="195">
        <f>IFERROR(__xludf.DUMMYFUNCTION("""COMPUTED_VALUE"""),13.0)</f>
        <v>13</v>
      </c>
      <c r="O244" s="195"/>
      <c r="P244" s="165" t="s">
        <v>11</v>
      </c>
      <c r="Q244" s="185" t="s">
        <v>534</v>
      </c>
      <c r="R244" s="195">
        <v>18.802169413641863</v>
      </c>
      <c r="S244" s="195"/>
      <c r="T244" s="195"/>
      <c r="U244" s="195"/>
      <c r="V244" s="195"/>
      <c r="W244" s="195"/>
      <c r="X244" s="195"/>
      <c r="Y244" s="195"/>
      <c r="Z244" s="195"/>
      <c r="AA244" s="176"/>
    </row>
    <row r="245">
      <c r="A245" s="165" t="str">
        <f>iferror(VLOOKUP(P245,'DO NOT TOUCH Imported'!$A$1:$D$800,4,False),iferror(VLOOKUP(P245,'DO NOT TOUCH Imported'!$C$1:$D$800,2,False),"OOPS FIX ME"))</f>
        <v>Mount Manu#3530</v>
      </c>
      <c r="B245" s="165" t="s">
        <v>443</v>
      </c>
      <c r="C245" s="170" t="s">
        <v>1255</v>
      </c>
      <c r="D245" s="236" t="s">
        <v>437</v>
      </c>
      <c r="E245" s="237">
        <v>44292.0</v>
      </c>
      <c r="F245" s="170" t="s">
        <v>439</v>
      </c>
      <c r="G245" s="219"/>
      <c r="H245" s="171">
        <v>80.0</v>
      </c>
      <c r="I245" s="171">
        <v>100.0</v>
      </c>
      <c r="J245" s="172">
        <f t="shared" ref="J245:J413" si="14">(H245/$H$2+I245/$I$2)/2</f>
        <v>0.00129170133</v>
      </c>
      <c r="K245" s="173">
        <f t="shared" ref="K245:K252" si="15">J245*$J$1</f>
        <v>1.485456529</v>
      </c>
      <c r="L245" s="174">
        <f t="shared" si="4"/>
        <v>10.6147368</v>
      </c>
      <c r="M245" s="175" t="str">
        <f t="shared" si="5"/>
        <v>Mount Manu#3530</v>
      </c>
      <c r="N245" s="176">
        <f>IFERROR(__xludf.DUMMYFUNCTION("""COMPUTED_VALUE"""),2.0)</f>
        <v>2</v>
      </c>
      <c r="O245" s="176"/>
      <c r="P245" s="165" t="s">
        <v>32</v>
      </c>
      <c r="Q245" s="165" t="s">
        <v>443</v>
      </c>
      <c r="R245" s="176"/>
      <c r="S245" s="176"/>
      <c r="T245" s="176"/>
      <c r="U245" s="176"/>
      <c r="V245" s="176"/>
      <c r="W245" s="176"/>
      <c r="X245" s="176"/>
      <c r="Y245" s="176"/>
      <c r="Z245" s="176"/>
      <c r="AA245" s="176"/>
    </row>
    <row r="246">
      <c r="A246" s="165" t="str">
        <f>iferror(VLOOKUP(P246,'DO NOT TOUCH Imported'!$A$1:$D$800,4,False),iferror(VLOOKUP(P246,'DO NOT TOUCH Imported'!$C$1:$D$800,2,False),"OOPS FIX ME"))</f>
        <v>Mount Manu#3530</v>
      </c>
      <c r="B246" s="165" t="s">
        <v>440</v>
      </c>
      <c r="C246" s="170" t="s">
        <v>1257</v>
      </c>
      <c r="D246" s="236" t="s">
        <v>437</v>
      </c>
      <c r="E246" s="237">
        <v>44292.0</v>
      </c>
      <c r="F246" s="170" t="s">
        <v>439</v>
      </c>
      <c r="G246" s="219"/>
      <c r="H246" s="171">
        <v>70.0</v>
      </c>
      <c r="I246" s="171">
        <v>50.0</v>
      </c>
      <c r="J246" s="172">
        <f t="shared" si="14"/>
        <v>0.0008628017785</v>
      </c>
      <c r="K246" s="173">
        <f t="shared" si="15"/>
        <v>0.9922220452</v>
      </c>
      <c r="L246" s="174">
        <f t="shared" si="4"/>
        <v>10.6147368</v>
      </c>
      <c r="M246" s="175" t="str">
        <f t="shared" si="5"/>
        <v>Mount Manu#3530</v>
      </c>
      <c r="N246" s="176">
        <f>IFERROR(__xludf.DUMMYFUNCTION("""COMPUTED_VALUE"""),3.0)</f>
        <v>3</v>
      </c>
      <c r="O246" s="176"/>
      <c r="P246" s="165" t="s">
        <v>32</v>
      </c>
      <c r="Q246" s="165" t="s">
        <v>440</v>
      </c>
      <c r="R246" s="176"/>
      <c r="S246" s="176"/>
      <c r="T246" s="176"/>
      <c r="U246" s="176"/>
      <c r="V246" s="176"/>
      <c r="W246" s="176"/>
      <c r="X246" s="176"/>
      <c r="Y246" s="176"/>
      <c r="Z246" s="176"/>
      <c r="AA246" s="176"/>
    </row>
    <row r="247">
      <c r="A247" s="165" t="str">
        <f>iferror(VLOOKUP(P247,'DO NOT TOUCH Imported'!$A$1:$D$800,4,False),iferror(VLOOKUP(P247,'DO NOT TOUCH Imported'!$C$1:$D$800,2,False),"OOPS FIX ME"))</f>
        <v>Mount Manu#3530</v>
      </c>
      <c r="B247" s="165" t="s">
        <v>441</v>
      </c>
      <c r="C247" s="170" t="s">
        <v>1258</v>
      </c>
      <c r="D247" s="236" t="s">
        <v>437</v>
      </c>
      <c r="E247" s="237">
        <v>44293.0</v>
      </c>
      <c r="F247" s="170" t="s">
        <v>439</v>
      </c>
      <c r="G247" s="219"/>
      <c r="H247" s="171">
        <v>70.0</v>
      </c>
      <c r="I247" s="171">
        <v>50.0</v>
      </c>
      <c r="J247" s="172">
        <f t="shared" si="14"/>
        <v>0.0008628017785</v>
      </c>
      <c r="K247" s="173">
        <f t="shared" si="15"/>
        <v>0.9922220452</v>
      </c>
      <c r="L247" s="174">
        <f t="shared" si="4"/>
        <v>10.6147368</v>
      </c>
      <c r="M247" s="175" t="str">
        <f t="shared" si="5"/>
        <v>Mount Manu#3530</v>
      </c>
      <c r="N247" s="176">
        <f>IFERROR(__xludf.DUMMYFUNCTION("""COMPUTED_VALUE"""),4.0)</f>
        <v>4</v>
      </c>
      <c r="O247" s="176"/>
      <c r="P247" s="165" t="s">
        <v>32</v>
      </c>
      <c r="Q247" s="165" t="s">
        <v>441</v>
      </c>
      <c r="R247" s="176"/>
      <c r="S247" s="176"/>
      <c r="T247" s="176"/>
      <c r="U247" s="176"/>
      <c r="V247" s="176"/>
      <c r="W247" s="176"/>
      <c r="X247" s="176"/>
      <c r="Y247" s="176"/>
      <c r="Z247" s="176"/>
      <c r="AA247" s="176"/>
    </row>
    <row r="248">
      <c r="A248" s="165" t="str">
        <f>iferror(VLOOKUP(P248,'DO NOT TOUCH Imported'!$A$1:$D$800,4,False),iferror(VLOOKUP(P248,'DO NOT TOUCH Imported'!$C$1:$D$800,2,False),"OOPS FIX ME"))</f>
        <v>Mount Manu#3530</v>
      </c>
      <c r="B248" s="165" t="s">
        <v>67</v>
      </c>
      <c r="C248" s="170" t="s">
        <v>1354</v>
      </c>
      <c r="D248" s="236" t="s">
        <v>437</v>
      </c>
      <c r="E248" s="237">
        <v>44293.0</v>
      </c>
      <c r="F248" s="170" t="s">
        <v>439</v>
      </c>
      <c r="G248" s="219"/>
      <c r="H248" s="171">
        <v>70.0</v>
      </c>
      <c r="I248" s="171">
        <v>75.0</v>
      </c>
      <c r="J248" s="172">
        <f t="shared" si="14"/>
        <v>0.001041093035</v>
      </c>
      <c r="K248" s="173">
        <f t="shared" si="15"/>
        <v>1.19725699</v>
      </c>
      <c r="L248" s="174">
        <f t="shared" si="4"/>
        <v>10.6147368</v>
      </c>
      <c r="M248" s="175" t="str">
        <f t="shared" si="5"/>
        <v>Mount Manu#3530</v>
      </c>
      <c r="N248" s="176">
        <f>IFERROR(__xludf.DUMMYFUNCTION("""COMPUTED_VALUE"""),5.0)</f>
        <v>5</v>
      </c>
      <c r="O248" s="176"/>
      <c r="P248" s="165" t="s">
        <v>32</v>
      </c>
      <c r="Q248" s="165" t="s">
        <v>67</v>
      </c>
      <c r="R248" s="176"/>
      <c r="S248" s="176"/>
      <c r="T248" s="176"/>
      <c r="U248" s="176"/>
      <c r="V248" s="176"/>
      <c r="W248" s="176"/>
      <c r="X248" s="176"/>
      <c r="Y248" s="176"/>
      <c r="Z248" s="176"/>
      <c r="AA248" s="176"/>
    </row>
    <row r="249">
      <c r="A249" s="165" t="str">
        <f>iferror(VLOOKUP(P249,'DO NOT TOUCH Imported'!$A$1:$D$800,4,False),iferror(VLOOKUP(P249,'DO NOT TOUCH Imported'!$C$1:$D$800,2,False),"OOPS FIX ME"))</f>
        <v>Mount Manu#3530</v>
      </c>
      <c r="B249" s="165" t="s">
        <v>440</v>
      </c>
      <c r="C249" s="170" t="s">
        <v>1261</v>
      </c>
      <c r="D249" s="236" t="s">
        <v>437</v>
      </c>
      <c r="E249" s="237">
        <v>44293.0</v>
      </c>
      <c r="F249" s="170" t="s">
        <v>439</v>
      </c>
      <c r="G249" s="219"/>
      <c r="H249" s="171">
        <v>70.0</v>
      </c>
      <c r="I249" s="171">
        <v>50.0</v>
      </c>
      <c r="J249" s="172">
        <f t="shared" si="14"/>
        <v>0.0008628017785</v>
      </c>
      <c r="K249" s="173">
        <f t="shared" si="15"/>
        <v>0.9922220452</v>
      </c>
      <c r="L249" s="174">
        <f t="shared" si="4"/>
        <v>10.6147368</v>
      </c>
      <c r="M249" s="175" t="str">
        <f t="shared" si="5"/>
        <v>Mount Manu#3530</v>
      </c>
      <c r="N249" s="176">
        <f>IFERROR(__xludf.DUMMYFUNCTION("""COMPUTED_VALUE"""),6.0)</f>
        <v>6</v>
      </c>
      <c r="O249" s="176"/>
      <c r="P249" s="165" t="s">
        <v>32</v>
      </c>
      <c r="Q249" s="165" t="s">
        <v>440</v>
      </c>
      <c r="R249" s="176"/>
      <c r="S249" s="176"/>
      <c r="T249" s="176"/>
      <c r="U249" s="176"/>
      <c r="V249" s="176"/>
      <c r="W249" s="176"/>
      <c r="X249" s="176"/>
      <c r="Y249" s="176"/>
      <c r="Z249" s="176"/>
      <c r="AA249" s="176"/>
    </row>
    <row r="250">
      <c r="A250" s="165" t="str">
        <f>iferror(VLOOKUP(P250,'DO NOT TOUCH Imported'!$A$1:$D$800,4,False),iferror(VLOOKUP(P250,'DO NOT TOUCH Imported'!$C$1:$D$800,2,False),"OOPS FIX ME"))</f>
        <v>Mount Manu#3530</v>
      </c>
      <c r="B250" s="165" t="s">
        <v>441</v>
      </c>
      <c r="C250" s="170" t="s">
        <v>1355</v>
      </c>
      <c r="D250" s="236" t="s">
        <v>437</v>
      </c>
      <c r="E250" s="237">
        <v>44295.0</v>
      </c>
      <c r="F250" s="170" t="s">
        <v>439</v>
      </c>
      <c r="G250" s="219"/>
      <c r="H250" s="171">
        <v>100.0</v>
      </c>
      <c r="I250" s="171">
        <v>100.0</v>
      </c>
      <c r="J250" s="172">
        <f t="shared" si="14"/>
        <v>0.001436335405</v>
      </c>
      <c r="K250" s="173">
        <f t="shared" si="15"/>
        <v>1.651785716</v>
      </c>
      <c r="L250" s="174">
        <f t="shared" si="4"/>
        <v>10.6147368</v>
      </c>
      <c r="M250" s="175" t="str">
        <f t="shared" si="5"/>
        <v>Mount Manu#3530</v>
      </c>
      <c r="N250" s="176">
        <f>IFERROR(__xludf.DUMMYFUNCTION("""COMPUTED_VALUE"""),7.0)</f>
        <v>7</v>
      </c>
      <c r="O250" s="176"/>
      <c r="P250" s="165" t="s">
        <v>32</v>
      </c>
      <c r="Q250" s="165" t="s">
        <v>441</v>
      </c>
      <c r="R250" s="176"/>
      <c r="S250" s="176"/>
      <c r="T250" s="176"/>
      <c r="U250" s="176"/>
      <c r="V250" s="176"/>
      <c r="W250" s="176"/>
      <c r="X250" s="176"/>
      <c r="Y250" s="176"/>
      <c r="Z250" s="176"/>
      <c r="AA250" s="176"/>
    </row>
    <row r="251">
      <c r="A251" s="165" t="str">
        <f>iferror(VLOOKUP(P251,'DO NOT TOUCH Imported'!$A$1:$D$800,4,False),iferror(VLOOKUP(P251,'DO NOT TOUCH Imported'!$C$1:$D$800,2,False),"OOPS FIX ME"))</f>
        <v>Mount Manu#3530</v>
      </c>
      <c r="B251" s="165" t="s">
        <v>441</v>
      </c>
      <c r="C251" s="170" t="s">
        <v>1267</v>
      </c>
      <c r="D251" s="236" t="s">
        <v>437</v>
      </c>
      <c r="E251" s="237">
        <v>44295.0</v>
      </c>
      <c r="F251" s="170" t="s">
        <v>439</v>
      </c>
      <c r="G251" s="219"/>
      <c r="H251" s="171">
        <v>50.0</v>
      </c>
      <c r="I251" s="171">
        <v>50.0</v>
      </c>
      <c r="J251" s="172">
        <f t="shared" si="14"/>
        <v>0.0007181677027</v>
      </c>
      <c r="K251" s="173">
        <f t="shared" si="15"/>
        <v>0.8258928581</v>
      </c>
      <c r="L251" s="174">
        <f t="shared" si="4"/>
        <v>10.6147368</v>
      </c>
      <c r="M251" s="175" t="str">
        <f t="shared" si="5"/>
        <v>Mount Manu#3530</v>
      </c>
      <c r="N251" s="176">
        <f>IFERROR(__xludf.DUMMYFUNCTION("""COMPUTED_VALUE"""),8.0)</f>
        <v>8</v>
      </c>
      <c r="O251" s="176"/>
      <c r="P251" s="165" t="s">
        <v>32</v>
      </c>
      <c r="Q251" s="165" t="s">
        <v>441</v>
      </c>
      <c r="R251" s="176"/>
      <c r="S251" s="176"/>
      <c r="T251" s="176"/>
      <c r="U251" s="176"/>
      <c r="V251" s="176"/>
      <c r="W251" s="176"/>
      <c r="X251" s="176"/>
      <c r="Y251" s="176"/>
      <c r="Z251" s="176"/>
      <c r="AA251" s="176"/>
    </row>
    <row r="252">
      <c r="A252" s="165" t="str">
        <f>iferror(VLOOKUP(P252,'DO NOT TOUCH Imported'!$A$1:$D$800,4,False),iferror(VLOOKUP(P252,'DO NOT TOUCH Imported'!$C$1:$D$800,2,False),"OOPS FIX ME"))</f>
        <v>Mount Manu#3530</v>
      </c>
      <c r="B252" s="165" t="s">
        <v>435</v>
      </c>
      <c r="C252" s="170" t="s">
        <v>1356</v>
      </c>
      <c r="D252" s="236" t="s">
        <v>437</v>
      </c>
      <c r="E252" s="237">
        <v>44295.0</v>
      </c>
      <c r="F252" s="170" t="s">
        <v>439</v>
      </c>
      <c r="G252" s="219"/>
      <c r="H252" s="171">
        <v>100.0</v>
      </c>
      <c r="I252" s="171">
        <v>100.0</v>
      </c>
      <c r="J252" s="172">
        <f t="shared" si="14"/>
        <v>0.001436335405</v>
      </c>
      <c r="K252" s="173">
        <f t="shared" si="15"/>
        <v>1.651785716</v>
      </c>
      <c r="L252" s="174">
        <f t="shared" si="4"/>
        <v>10.6147368</v>
      </c>
      <c r="M252" s="175" t="str">
        <f t="shared" si="5"/>
        <v>Mount Manu#3530</v>
      </c>
      <c r="N252" s="176">
        <f>IFERROR(__xludf.DUMMYFUNCTION("""COMPUTED_VALUE"""),9.0)</f>
        <v>9</v>
      </c>
      <c r="O252" s="176"/>
      <c r="P252" s="165" t="s">
        <v>32</v>
      </c>
      <c r="Q252" s="165" t="s">
        <v>435</v>
      </c>
      <c r="R252" s="176"/>
      <c r="S252" s="176"/>
      <c r="T252" s="176"/>
      <c r="U252" s="176"/>
      <c r="V252" s="176"/>
      <c r="W252" s="176"/>
      <c r="X252" s="176"/>
      <c r="Y252" s="176"/>
      <c r="Z252" s="176"/>
      <c r="AA252" s="176"/>
    </row>
    <row r="253">
      <c r="A253" s="185" t="str">
        <f>iferror(VLOOKUP(P253,'DO NOT TOUCH Imported'!$A$1:$D$800,4,False),iferror(VLOOKUP(P253,'DO NOT TOUCH Imported'!$C$1:$D$800,2,False),"OOPS FIX ME"))</f>
        <v>GriffGreen</v>
      </c>
      <c r="B253" s="185" t="s">
        <v>534</v>
      </c>
      <c r="C253" s="213" t="s">
        <v>684</v>
      </c>
      <c r="D253" s="212"/>
      <c r="E253" s="214"/>
      <c r="F253" s="212"/>
      <c r="G253" s="196"/>
      <c r="H253" s="196"/>
      <c r="I253" s="196"/>
      <c r="J253" s="172">
        <f t="shared" si="14"/>
        <v>0</v>
      </c>
      <c r="K253" s="215">
        <f>65.226*-0.85</f>
        <v>-55.4421</v>
      </c>
      <c r="L253" s="193">
        <f t="shared" si="4"/>
        <v>9.783875323</v>
      </c>
      <c r="M253" s="194" t="str">
        <f t="shared" si="5"/>
        <v>GriffGreen</v>
      </c>
      <c r="N253" s="212">
        <f>IFERROR(__xludf.DUMMYFUNCTION("""COMPUTED_VALUE"""),1.0)</f>
        <v>1</v>
      </c>
      <c r="O253" s="212"/>
      <c r="P253" s="195" t="s">
        <v>16</v>
      </c>
      <c r="Q253" s="195" t="s">
        <v>534</v>
      </c>
      <c r="R253" s="212"/>
      <c r="S253" s="212"/>
      <c r="T253" s="212"/>
      <c r="U253" s="212"/>
      <c r="V253" s="212"/>
      <c r="W253" s="212"/>
      <c r="X253" s="212"/>
      <c r="Y253" s="212"/>
      <c r="Z253" s="212"/>
      <c r="AA253" s="176"/>
    </row>
    <row r="254">
      <c r="A254" s="165" t="str">
        <f>iferror(VLOOKUP(P254,'DO NOT TOUCH Imported'!$A$1:$D$800,4,False),iferror(VLOOKUP(P254,'DO NOT TOUCH Imported'!$C$1:$D$800,2,False),"OOPS FIX ME"))</f>
        <v>GriffGreen</v>
      </c>
      <c r="B254" s="165" t="s">
        <v>10</v>
      </c>
      <c r="C254" s="170" t="s">
        <v>498</v>
      </c>
      <c r="D254" s="236" t="s">
        <v>495</v>
      </c>
      <c r="E254" s="239">
        <v>44282.0</v>
      </c>
      <c r="F254" s="170" t="s">
        <v>499</v>
      </c>
      <c r="G254" s="219"/>
      <c r="H254" s="171">
        <v>20.0</v>
      </c>
      <c r="I254" s="171">
        <v>15.0</v>
      </c>
      <c r="J254" s="172">
        <f t="shared" si="14"/>
        <v>0.0002516088297</v>
      </c>
      <c r="K254" s="173">
        <f t="shared" ref="K254:K322" si="16">J254*$J$1</f>
        <v>0.2893501542</v>
      </c>
      <c r="L254" s="174">
        <f t="shared" si="4"/>
        <v>9.783875323</v>
      </c>
      <c r="M254" s="175" t="str">
        <f t="shared" si="5"/>
        <v>GriffGreen</v>
      </c>
      <c r="N254" s="176">
        <f>IFERROR(__xludf.DUMMYFUNCTION("""COMPUTED_VALUE"""),2.0)</f>
        <v>2</v>
      </c>
      <c r="O254" s="176"/>
      <c r="P254" s="165" t="s">
        <v>16</v>
      </c>
      <c r="Q254" s="165" t="s">
        <v>10</v>
      </c>
      <c r="R254" s="176"/>
      <c r="S254" s="176"/>
      <c r="T254" s="176"/>
      <c r="U254" s="176"/>
      <c r="V254" s="176"/>
      <c r="W254" s="176"/>
      <c r="X254" s="176"/>
      <c r="Y254" s="176"/>
      <c r="Z254" s="176"/>
      <c r="AA254" s="176"/>
    </row>
    <row r="255">
      <c r="A255" s="165" t="str">
        <f>iferror(VLOOKUP(P255,'DO NOT TOUCH Imported'!$A$1:$D$800,4,False),iferror(VLOOKUP(P255,'DO NOT TOUCH Imported'!$C$1:$D$800,2,False),"OOPS FIX ME"))</f>
        <v>GriffGreen</v>
      </c>
      <c r="B255" s="165" t="s">
        <v>519</v>
      </c>
      <c r="C255" s="170" t="s">
        <v>668</v>
      </c>
      <c r="D255" s="236" t="s">
        <v>495</v>
      </c>
      <c r="E255" s="239">
        <v>44286.0</v>
      </c>
      <c r="F255" s="170" t="s">
        <v>521</v>
      </c>
      <c r="G255" s="219"/>
      <c r="H255" s="171">
        <v>50.0</v>
      </c>
      <c r="I255" s="171">
        <v>50.0</v>
      </c>
      <c r="J255" s="172">
        <f t="shared" si="14"/>
        <v>0.0007181677027</v>
      </c>
      <c r="K255" s="173">
        <f t="shared" si="16"/>
        <v>0.8258928581</v>
      </c>
      <c r="L255" s="174">
        <f t="shared" si="4"/>
        <v>9.783875323</v>
      </c>
      <c r="M255" s="175" t="str">
        <f t="shared" si="5"/>
        <v>GriffGreen</v>
      </c>
      <c r="N255" s="176">
        <f>IFERROR(__xludf.DUMMYFUNCTION("""COMPUTED_VALUE"""),3.0)</f>
        <v>3</v>
      </c>
      <c r="O255" s="176"/>
      <c r="P255" s="165" t="s">
        <v>16</v>
      </c>
      <c r="Q255" s="165" t="s">
        <v>519</v>
      </c>
      <c r="R255" s="176"/>
      <c r="S255" s="176"/>
      <c r="T255" s="176"/>
      <c r="U255" s="176"/>
      <c r="V255" s="176"/>
      <c r="W255" s="176"/>
      <c r="X255" s="176"/>
      <c r="Y255" s="176"/>
      <c r="Z255" s="176"/>
      <c r="AA255" s="176"/>
    </row>
    <row r="256">
      <c r="A256" s="165" t="str">
        <f>iferror(VLOOKUP(P256,'DO NOT TOUCH Imported'!$A$1:$D$800,4,False),iferror(VLOOKUP(P256,'DO NOT TOUCH Imported'!$C$1:$D$800,2,False),"OOPS FIX ME"))</f>
        <v>GriffGreen</v>
      </c>
      <c r="B256" s="165" t="s">
        <v>10</v>
      </c>
      <c r="C256" s="170" t="s">
        <v>1357</v>
      </c>
      <c r="D256" s="236" t="s">
        <v>495</v>
      </c>
      <c r="E256" s="239">
        <v>44288.0</v>
      </c>
      <c r="F256" s="170" t="s">
        <v>496</v>
      </c>
      <c r="G256" s="219"/>
      <c r="H256" s="171">
        <v>60.0</v>
      </c>
      <c r="I256" s="171">
        <v>80.0</v>
      </c>
      <c r="J256" s="172">
        <f t="shared" si="14"/>
        <v>0.001004434248</v>
      </c>
      <c r="K256" s="173">
        <f t="shared" si="16"/>
        <v>1.155099386</v>
      </c>
      <c r="L256" s="174">
        <f t="shared" si="4"/>
        <v>9.783875323</v>
      </c>
      <c r="M256" s="175" t="str">
        <f t="shared" si="5"/>
        <v>GriffGreen</v>
      </c>
      <c r="N256" s="176">
        <f>IFERROR(__xludf.DUMMYFUNCTION("""COMPUTED_VALUE"""),4.0)</f>
        <v>4</v>
      </c>
      <c r="O256" s="176"/>
      <c r="P256" s="165" t="s">
        <v>16</v>
      </c>
      <c r="Q256" s="165" t="s">
        <v>10</v>
      </c>
      <c r="R256" s="176"/>
      <c r="S256" s="176"/>
      <c r="T256" s="176"/>
      <c r="U256" s="176"/>
      <c r="V256" s="176"/>
      <c r="W256" s="176"/>
      <c r="X256" s="176"/>
      <c r="Y256" s="176"/>
      <c r="Z256" s="176"/>
      <c r="AA256" s="176"/>
    </row>
    <row r="257">
      <c r="A257" s="165" t="str">
        <f>iferror(VLOOKUP(P257,'DO NOT TOUCH Imported'!$A$1:$D$800,4,False),iferror(VLOOKUP(P257,'DO NOT TOUCH Imported'!$C$1:$D$800,2,False),"OOPS FIX ME"))</f>
        <v>GriffGreen</v>
      </c>
      <c r="B257" s="165" t="s">
        <v>10</v>
      </c>
      <c r="C257" s="170" t="s">
        <v>498</v>
      </c>
      <c r="D257" s="236" t="s">
        <v>495</v>
      </c>
      <c r="E257" s="239">
        <v>44288.0</v>
      </c>
      <c r="F257" s="170" t="s">
        <v>499</v>
      </c>
      <c r="G257" s="219"/>
      <c r="H257" s="171">
        <v>20.0</v>
      </c>
      <c r="I257" s="171">
        <v>15.0</v>
      </c>
      <c r="J257" s="172">
        <f t="shared" si="14"/>
        <v>0.0002516088297</v>
      </c>
      <c r="K257" s="173">
        <f t="shared" si="16"/>
        <v>0.2893501542</v>
      </c>
      <c r="L257" s="174">
        <f t="shared" si="4"/>
        <v>9.783875323</v>
      </c>
      <c r="M257" s="175" t="str">
        <f t="shared" si="5"/>
        <v>GriffGreen</v>
      </c>
      <c r="N257" s="176">
        <f>IFERROR(__xludf.DUMMYFUNCTION("""COMPUTED_VALUE"""),5.0)</f>
        <v>5</v>
      </c>
      <c r="O257" s="176"/>
      <c r="P257" s="165" t="s">
        <v>16</v>
      </c>
      <c r="Q257" s="165" t="s">
        <v>10</v>
      </c>
      <c r="R257" s="176"/>
      <c r="S257" s="176"/>
      <c r="T257" s="176"/>
      <c r="U257" s="176"/>
      <c r="V257" s="176"/>
      <c r="W257" s="176"/>
      <c r="X257" s="176"/>
      <c r="Y257" s="176"/>
      <c r="Z257" s="176"/>
      <c r="AA257" s="176"/>
    </row>
    <row r="258">
      <c r="A258" s="165" t="str">
        <f>iferror(VLOOKUP(P258,'DO NOT TOUCH Imported'!$A$1:$D$800,4,False),iferror(VLOOKUP(P258,'DO NOT TOUCH Imported'!$C$1:$D$800,2,False),"OOPS FIX ME"))</f>
        <v>GriffGreen</v>
      </c>
      <c r="B258" s="165" t="s">
        <v>10</v>
      </c>
      <c r="C258" s="170" t="s">
        <v>500</v>
      </c>
      <c r="D258" s="236" t="s">
        <v>495</v>
      </c>
      <c r="E258" s="239">
        <v>44289.0</v>
      </c>
      <c r="F258" s="170" t="s">
        <v>496</v>
      </c>
      <c r="G258" s="219"/>
      <c r="H258" s="171">
        <v>20.0</v>
      </c>
      <c r="I258" s="171">
        <v>25.0</v>
      </c>
      <c r="J258" s="172">
        <f t="shared" si="14"/>
        <v>0.0003229253324</v>
      </c>
      <c r="K258" s="173">
        <f t="shared" si="16"/>
        <v>0.3713641322</v>
      </c>
      <c r="L258" s="174">
        <f t="shared" si="4"/>
        <v>9.783875323</v>
      </c>
      <c r="M258" s="175" t="str">
        <f t="shared" si="5"/>
        <v>GriffGreen</v>
      </c>
      <c r="N258" s="176">
        <f>IFERROR(__xludf.DUMMYFUNCTION("""COMPUTED_VALUE"""),6.0)</f>
        <v>6</v>
      </c>
      <c r="O258" s="176"/>
      <c r="P258" s="165" t="s">
        <v>16</v>
      </c>
      <c r="Q258" s="165" t="s">
        <v>10</v>
      </c>
      <c r="R258" s="176"/>
      <c r="S258" s="176"/>
      <c r="T258" s="176"/>
      <c r="U258" s="176"/>
      <c r="V258" s="176"/>
      <c r="W258" s="176"/>
      <c r="X258" s="176"/>
      <c r="Y258" s="176"/>
      <c r="Z258" s="176"/>
      <c r="AA258" s="176"/>
    </row>
    <row r="259">
      <c r="A259" s="165" t="str">
        <f>iferror(VLOOKUP(P259,'DO NOT TOUCH Imported'!$A$1:$D$800,4,False),iferror(VLOOKUP(P259,'DO NOT TOUCH Imported'!$C$1:$D$800,2,False),"OOPS FIX ME"))</f>
        <v>GriffGreen</v>
      </c>
      <c r="B259" s="165" t="s">
        <v>519</v>
      </c>
      <c r="C259" s="170" t="s">
        <v>668</v>
      </c>
      <c r="D259" s="236" t="s">
        <v>495</v>
      </c>
      <c r="E259" s="239">
        <v>44293.0</v>
      </c>
      <c r="F259" s="170" t="s">
        <v>521</v>
      </c>
      <c r="G259" s="219"/>
      <c r="H259" s="171">
        <v>60.0</v>
      </c>
      <c r="I259" s="171">
        <v>50.0</v>
      </c>
      <c r="J259" s="172">
        <f t="shared" si="14"/>
        <v>0.0007904847406</v>
      </c>
      <c r="K259" s="173">
        <f t="shared" si="16"/>
        <v>0.9090574516</v>
      </c>
      <c r="L259" s="174">
        <f t="shared" si="4"/>
        <v>9.783875323</v>
      </c>
      <c r="M259" s="175" t="str">
        <f t="shared" si="5"/>
        <v>GriffGreen</v>
      </c>
      <c r="N259" s="176">
        <f>IFERROR(__xludf.DUMMYFUNCTION("""COMPUTED_VALUE"""),7.0)</f>
        <v>7</v>
      </c>
      <c r="O259" s="176"/>
      <c r="P259" s="165" t="s">
        <v>16</v>
      </c>
      <c r="Q259" s="165" t="s">
        <v>519</v>
      </c>
      <c r="R259" s="176"/>
      <c r="S259" s="176"/>
      <c r="T259" s="176"/>
      <c r="U259" s="176"/>
      <c r="V259" s="176"/>
      <c r="W259" s="176"/>
      <c r="X259" s="176"/>
      <c r="Y259" s="176"/>
      <c r="Z259" s="176"/>
      <c r="AA259" s="176"/>
    </row>
    <row r="260">
      <c r="A260" s="165" t="str">
        <f>iferror(VLOOKUP(P260,'DO NOT TOUCH Imported'!$A$1:$D$800,4,False),iferror(VLOOKUP(P260,'DO NOT TOUCH Imported'!$C$1:$D$800,2,False),"OOPS FIX ME"))</f>
        <v>GriffGreen</v>
      </c>
      <c r="B260" s="165" t="s">
        <v>10</v>
      </c>
      <c r="C260" s="170" t="s">
        <v>1358</v>
      </c>
      <c r="D260" s="236" t="s">
        <v>495</v>
      </c>
      <c r="E260" s="239">
        <v>44295.0</v>
      </c>
      <c r="F260" s="170" t="s">
        <v>496</v>
      </c>
      <c r="G260" s="219"/>
      <c r="H260" s="171">
        <v>70.0</v>
      </c>
      <c r="I260" s="171">
        <v>75.0</v>
      </c>
      <c r="J260" s="172">
        <f t="shared" si="14"/>
        <v>0.001041093035</v>
      </c>
      <c r="K260" s="173">
        <f t="shared" si="16"/>
        <v>1.19725699</v>
      </c>
      <c r="L260" s="174">
        <f t="shared" si="4"/>
        <v>9.783875323</v>
      </c>
      <c r="M260" s="175" t="str">
        <f t="shared" si="5"/>
        <v>GriffGreen</v>
      </c>
      <c r="N260" s="176">
        <f>IFERROR(__xludf.DUMMYFUNCTION("""COMPUTED_VALUE"""),8.0)</f>
        <v>8</v>
      </c>
      <c r="O260" s="176"/>
      <c r="P260" s="165" t="s">
        <v>16</v>
      </c>
      <c r="Q260" s="165" t="s">
        <v>10</v>
      </c>
      <c r="R260" s="176"/>
      <c r="S260" s="176"/>
      <c r="T260" s="176"/>
      <c r="U260" s="176"/>
      <c r="V260" s="176"/>
      <c r="W260" s="176"/>
      <c r="X260" s="176"/>
      <c r="Y260" s="176"/>
      <c r="Z260" s="176"/>
      <c r="AA260" s="176"/>
    </row>
    <row r="261">
      <c r="A261" s="165" t="str">
        <f>iferror(VLOOKUP(P261,'DO NOT TOUCH Imported'!$A$1:$D$800,4,False),iferror(VLOOKUP(P261,'DO NOT TOUCH Imported'!$C$1:$D$800,2,False),"OOPS FIX ME"))</f>
        <v>GriffGreen</v>
      </c>
      <c r="B261" s="165" t="s">
        <v>10</v>
      </c>
      <c r="C261" s="170" t="s">
        <v>498</v>
      </c>
      <c r="D261" s="236" t="s">
        <v>495</v>
      </c>
      <c r="E261" s="239">
        <v>44295.0</v>
      </c>
      <c r="F261" s="170" t="s">
        <v>499</v>
      </c>
      <c r="G261" s="219"/>
      <c r="H261" s="171">
        <v>20.0</v>
      </c>
      <c r="I261" s="171">
        <v>25.0</v>
      </c>
      <c r="J261" s="172">
        <f t="shared" si="14"/>
        <v>0.0003229253324</v>
      </c>
      <c r="K261" s="173">
        <f t="shared" si="16"/>
        <v>0.3713641322</v>
      </c>
      <c r="L261" s="174">
        <f t="shared" si="4"/>
        <v>9.783875323</v>
      </c>
      <c r="M261" s="175" t="str">
        <f t="shared" si="5"/>
        <v>GriffGreen</v>
      </c>
      <c r="N261" s="176">
        <f>IFERROR(__xludf.DUMMYFUNCTION("""COMPUTED_VALUE"""),9.0)</f>
        <v>9</v>
      </c>
      <c r="O261" s="176"/>
      <c r="P261" s="165" t="s">
        <v>16</v>
      </c>
      <c r="Q261" s="165" t="s">
        <v>10</v>
      </c>
      <c r="R261" s="176"/>
      <c r="S261" s="176"/>
      <c r="T261" s="176"/>
      <c r="U261" s="176"/>
      <c r="V261" s="176"/>
      <c r="W261" s="176"/>
      <c r="X261" s="176"/>
      <c r="Y261" s="176"/>
      <c r="Z261" s="176"/>
      <c r="AA261" s="176"/>
    </row>
    <row r="262">
      <c r="A262" s="165" t="str">
        <f>iferror(VLOOKUP(P262,'DO NOT TOUCH Imported'!$A$1:$D$800,4,False),iferror(VLOOKUP(P262,'DO NOT TOUCH Imported'!$C$1:$D$800,2,False),"OOPS FIX ME"))</f>
        <v>GriffGreen</v>
      </c>
      <c r="B262" s="165" t="s">
        <v>10</v>
      </c>
      <c r="C262" s="170" t="s">
        <v>500</v>
      </c>
      <c r="D262" s="236" t="s">
        <v>495</v>
      </c>
      <c r="E262" s="239">
        <v>44295.0</v>
      </c>
      <c r="F262" s="170" t="s">
        <v>496</v>
      </c>
      <c r="G262" s="219"/>
      <c r="H262" s="171">
        <v>20.0</v>
      </c>
      <c r="I262" s="171">
        <v>25.0</v>
      </c>
      <c r="J262" s="172">
        <f t="shared" si="14"/>
        <v>0.0003229253324</v>
      </c>
      <c r="K262" s="173">
        <f t="shared" si="16"/>
        <v>0.3713641322</v>
      </c>
      <c r="L262" s="174">
        <f t="shared" si="4"/>
        <v>9.783875323</v>
      </c>
      <c r="M262" s="175" t="str">
        <f t="shared" si="5"/>
        <v>GriffGreen</v>
      </c>
      <c r="N262" s="176">
        <f>IFERROR(__xludf.DUMMYFUNCTION("""COMPUTED_VALUE"""),10.0)</f>
        <v>10</v>
      </c>
      <c r="O262" s="176"/>
      <c r="P262" s="165" t="s">
        <v>16</v>
      </c>
      <c r="Q262" s="165" t="s">
        <v>10</v>
      </c>
      <c r="R262" s="176"/>
      <c r="S262" s="176"/>
      <c r="T262" s="176"/>
      <c r="U262" s="176"/>
      <c r="V262" s="176"/>
      <c r="W262" s="176"/>
      <c r="X262" s="176"/>
      <c r="Y262" s="176"/>
      <c r="Z262" s="176"/>
      <c r="AA262" s="176"/>
    </row>
    <row r="263">
      <c r="A263" s="165" t="str">
        <f>iferror(VLOOKUP(P263,'DO NOT TOUCH Imported'!$A$1:$D$800,4,False),iferror(VLOOKUP(P263,'DO NOT TOUCH Imported'!$C$1:$D$800,2,False),"OOPS FIX ME"))</f>
        <v>GriffGreen</v>
      </c>
      <c r="B263" s="165" t="s">
        <v>10</v>
      </c>
      <c r="C263" s="170" t="s">
        <v>494</v>
      </c>
      <c r="D263" s="236" t="s">
        <v>495</v>
      </c>
      <c r="E263" s="239">
        <v>44295.0</v>
      </c>
      <c r="F263" s="170" t="s">
        <v>496</v>
      </c>
      <c r="G263" s="219"/>
      <c r="H263" s="171">
        <v>40.0</v>
      </c>
      <c r="I263" s="171">
        <v>40.0</v>
      </c>
      <c r="J263" s="172">
        <f t="shared" si="14"/>
        <v>0.0005745341621</v>
      </c>
      <c r="K263" s="173">
        <f t="shared" si="16"/>
        <v>0.6607142865</v>
      </c>
      <c r="L263" s="174">
        <f t="shared" si="4"/>
        <v>9.783875323</v>
      </c>
      <c r="M263" s="175" t="str">
        <f t="shared" si="5"/>
        <v>GriffGreen</v>
      </c>
      <c r="N263" s="176">
        <f>IFERROR(__xludf.DUMMYFUNCTION("""COMPUTED_VALUE"""),11.0)</f>
        <v>11</v>
      </c>
      <c r="O263" s="176"/>
      <c r="P263" s="165" t="s">
        <v>16</v>
      </c>
      <c r="Q263" s="165" t="s">
        <v>10</v>
      </c>
      <c r="R263" s="176"/>
      <c r="S263" s="176"/>
      <c r="T263" s="176"/>
      <c r="U263" s="176"/>
      <c r="V263" s="176"/>
      <c r="W263" s="176"/>
      <c r="X263" s="176"/>
      <c r="Y263" s="176"/>
      <c r="Z263" s="176"/>
      <c r="AA263" s="176"/>
    </row>
    <row r="264">
      <c r="A264" s="165" t="str">
        <f>iferror(VLOOKUP(P264,'DO NOT TOUCH Imported'!$A$1:$D$800,4,False),iferror(VLOOKUP(P264,'DO NOT TOUCH Imported'!$C$1:$D$800,2,False),"OOPS FIX ME"))</f>
        <v>GriffGreen</v>
      </c>
      <c r="B264" s="165" t="s">
        <v>450</v>
      </c>
      <c r="C264" s="170" t="s">
        <v>1359</v>
      </c>
      <c r="D264" s="236" t="s">
        <v>437</v>
      </c>
      <c r="E264" s="239">
        <v>44284.0</v>
      </c>
      <c r="F264" s="170" t="s">
        <v>439</v>
      </c>
      <c r="G264" s="219"/>
      <c r="H264" s="171">
        <v>100.0</v>
      </c>
      <c r="I264" s="171">
        <v>100.0</v>
      </c>
      <c r="J264" s="172">
        <f t="shared" si="14"/>
        <v>0.001436335405</v>
      </c>
      <c r="K264" s="173">
        <f t="shared" si="16"/>
        <v>1.651785716</v>
      </c>
      <c r="L264" s="174">
        <f t="shared" si="4"/>
        <v>9.783875323</v>
      </c>
      <c r="M264" s="175" t="str">
        <f t="shared" si="5"/>
        <v>GriffGreen</v>
      </c>
      <c r="N264" s="176">
        <f>IFERROR(__xludf.DUMMYFUNCTION("""COMPUTED_VALUE"""),12.0)</f>
        <v>12</v>
      </c>
      <c r="O264" s="176"/>
      <c r="P264" s="165" t="s">
        <v>450</v>
      </c>
      <c r="Q264" s="165" t="s">
        <v>450</v>
      </c>
      <c r="R264" s="176"/>
      <c r="S264" s="176"/>
      <c r="T264" s="176"/>
      <c r="U264" s="176"/>
      <c r="V264" s="176"/>
      <c r="W264" s="176"/>
      <c r="X264" s="176"/>
      <c r="Y264" s="176"/>
      <c r="Z264" s="176"/>
      <c r="AA264" s="176"/>
    </row>
    <row r="265">
      <c r="A265" s="165" t="str">
        <f>iferror(VLOOKUP(P265,'DO NOT TOUCH Imported'!$A$1:$D$800,4,False),iferror(VLOOKUP(P265,'DO NOT TOUCH Imported'!$C$1:$D$800,2,False),"OOPS FIX ME"))</f>
        <v>GriffGreen</v>
      </c>
      <c r="B265" s="165" t="s">
        <v>463</v>
      </c>
      <c r="C265" s="170" t="s">
        <v>1239</v>
      </c>
      <c r="D265" s="236" t="s">
        <v>437</v>
      </c>
      <c r="E265" s="239">
        <v>44286.0</v>
      </c>
      <c r="F265" s="170" t="s">
        <v>439</v>
      </c>
      <c r="G265" s="219"/>
      <c r="H265" s="171">
        <v>100.0</v>
      </c>
      <c r="I265" s="171">
        <v>80.0</v>
      </c>
      <c r="J265" s="172">
        <f t="shared" si="14"/>
        <v>0.0012937024</v>
      </c>
      <c r="K265" s="173">
        <f t="shared" si="16"/>
        <v>1.48775776</v>
      </c>
      <c r="L265" s="174">
        <f t="shared" si="4"/>
        <v>9.783875323</v>
      </c>
      <c r="M265" s="175" t="str">
        <f t="shared" si="5"/>
        <v>GriffGreen</v>
      </c>
      <c r="N265" s="176">
        <f>IFERROR(__xludf.DUMMYFUNCTION("""COMPUTED_VALUE"""),13.0)</f>
        <v>13</v>
      </c>
      <c r="O265" s="176"/>
      <c r="P265" s="165" t="s">
        <v>450</v>
      </c>
      <c r="Q265" s="165" t="s">
        <v>463</v>
      </c>
      <c r="R265" s="176"/>
      <c r="S265" s="176"/>
      <c r="T265" s="176"/>
      <c r="U265" s="176"/>
      <c r="V265" s="176"/>
      <c r="W265" s="176"/>
      <c r="X265" s="176"/>
      <c r="Y265" s="176"/>
      <c r="Z265" s="176"/>
      <c r="AA265" s="176"/>
    </row>
    <row r="266">
      <c r="A266" s="165" t="str">
        <f>iferror(VLOOKUP(P266,'DO NOT TOUCH Imported'!$A$1:$D$800,4,False),iferror(VLOOKUP(P266,'DO NOT TOUCH Imported'!$C$1:$D$800,2,False),"OOPS FIX ME"))</f>
        <v>GriffGreen</v>
      </c>
      <c r="B266" s="165" t="s">
        <v>490</v>
      </c>
      <c r="C266" s="170" t="s">
        <v>1240</v>
      </c>
      <c r="D266" s="236" t="s">
        <v>437</v>
      </c>
      <c r="E266" s="239">
        <v>44286.0</v>
      </c>
      <c r="F266" s="170" t="s">
        <v>439</v>
      </c>
      <c r="G266" s="219"/>
      <c r="H266" s="171">
        <v>60.0</v>
      </c>
      <c r="I266" s="171">
        <v>50.0</v>
      </c>
      <c r="J266" s="172">
        <f t="shared" si="14"/>
        <v>0.0007904847406</v>
      </c>
      <c r="K266" s="173">
        <f t="shared" si="16"/>
        <v>0.9090574516</v>
      </c>
      <c r="L266" s="174">
        <f t="shared" si="4"/>
        <v>9.783875323</v>
      </c>
      <c r="M266" s="175" t="str">
        <f t="shared" si="5"/>
        <v>GriffGreen</v>
      </c>
      <c r="N266" s="176">
        <f>IFERROR(__xludf.DUMMYFUNCTION("""COMPUTED_VALUE"""),14.0)</f>
        <v>14</v>
      </c>
      <c r="O266" s="176"/>
      <c r="P266" s="165" t="s">
        <v>450</v>
      </c>
      <c r="Q266" s="165" t="s">
        <v>490</v>
      </c>
      <c r="R266" s="176"/>
      <c r="S266" s="176"/>
      <c r="T266" s="176"/>
      <c r="U266" s="176"/>
      <c r="V266" s="176"/>
      <c r="W266" s="176"/>
      <c r="X266" s="176"/>
      <c r="Y266" s="176"/>
      <c r="Z266" s="176"/>
      <c r="AA266" s="176"/>
    </row>
    <row r="267">
      <c r="A267" s="165" t="str">
        <f>iferror(VLOOKUP(P267,'DO NOT TOUCH Imported'!$A$1:$D$800,4,False),iferror(VLOOKUP(P267,'DO NOT TOUCH Imported'!$C$1:$D$800,2,False),"OOPS FIX ME"))</f>
        <v>GriffGreen</v>
      </c>
      <c r="B267" s="165" t="s">
        <v>490</v>
      </c>
      <c r="C267" s="170" t="s">
        <v>1241</v>
      </c>
      <c r="D267" s="236" t="s">
        <v>437</v>
      </c>
      <c r="E267" s="239">
        <v>44286.0</v>
      </c>
      <c r="F267" s="170" t="s">
        <v>439</v>
      </c>
      <c r="G267" s="219"/>
      <c r="H267" s="171">
        <v>100.0</v>
      </c>
      <c r="I267" s="171">
        <v>100.0</v>
      </c>
      <c r="J267" s="172">
        <f t="shared" si="14"/>
        <v>0.001436335405</v>
      </c>
      <c r="K267" s="173">
        <f t="shared" si="16"/>
        <v>1.651785716</v>
      </c>
      <c r="L267" s="174">
        <f t="shared" si="4"/>
        <v>9.783875323</v>
      </c>
      <c r="M267" s="175" t="str">
        <f t="shared" si="5"/>
        <v>GriffGreen</v>
      </c>
      <c r="N267" s="176">
        <f>IFERROR(__xludf.DUMMYFUNCTION("""COMPUTED_VALUE"""),15.0)</f>
        <v>15</v>
      </c>
      <c r="O267" s="176"/>
      <c r="P267" s="165" t="s">
        <v>450</v>
      </c>
      <c r="Q267" s="165" t="s">
        <v>490</v>
      </c>
      <c r="R267" s="176"/>
      <c r="S267" s="176"/>
      <c r="T267" s="176"/>
      <c r="U267" s="176"/>
      <c r="V267" s="176"/>
      <c r="W267" s="176"/>
      <c r="X267" s="176"/>
      <c r="Y267" s="176"/>
      <c r="Z267" s="176"/>
      <c r="AA267" s="176"/>
    </row>
    <row r="268">
      <c r="A268" s="165" t="str">
        <f>iferror(VLOOKUP(P268,'DO NOT TOUCH Imported'!$A$1:$D$800,4,False),iferror(VLOOKUP(P268,'DO NOT TOUCH Imported'!$C$1:$D$800,2,False),"OOPS FIX ME"))</f>
        <v>GriffGreen</v>
      </c>
      <c r="B268" s="165" t="s">
        <v>440</v>
      </c>
      <c r="C268" s="170" t="s">
        <v>1360</v>
      </c>
      <c r="D268" s="236" t="s">
        <v>437</v>
      </c>
      <c r="E268" s="239">
        <v>44286.0</v>
      </c>
      <c r="F268" s="170" t="s">
        <v>439</v>
      </c>
      <c r="G268" s="219"/>
      <c r="H268" s="171">
        <v>100.0</v>
      </c>
      <c r="I268" s="171">
        <v>100.0</v>
      </c>
      <c r="J268" s="172">
        <f t="shared" si="14"/>
        <v>0.001436335405</v>
      </c>
      <c r="K268" s="173">
        <f t="shared" si="16"/>
        <v>1.651785716</v>
      </c>
      <c r="L268" s="174">
        <f t="shared" si="4"/>
        <v>9.783875323</v>
      </c>
      <c r="M268" s="175" t="str">
        <f t="shared" si="5"/>
        <v>GriffGreen</v>
      </c>
      <c r="N268" s="176">
        <f>IFERROR(__xludf.DUMMYFUNCTION("""COMPUTED_VALUE"""),16.0)</f>
        <v>16</v>
      </c>
      <c r="O268" s="176"/>
      <c r="P268" s="165" t="s">
        <v>450</v>
      </c>
      <c r="Q268" s="165" t="s">
        <v>440</v>
      </c>
      <c r="R268" s="176"/>
      <c r="S268" s="176"/>
      <c r="T268" s="176"/>
      <c r="U268" s="176"/>
      <c r="V268" s="176"/>
      <c r="W268" s="176"/>
      <c r="X268" s="176"/>
      <c r="Y268" s="176"/>
      <c r="Z268" s="176"/>
      <c r="AA268" s="176"/>
    </row>
    <row r="269">
      <c r="A269" s="165" t="str">
        <f>iferror(VLOOKUP(P269,'DO NOT TOUCH Imported'!$A$1:$D$800,4,False),iferror(VLOOKUP(P269,'DO NOT TOUCH Imported'!$C$1:$D$800,2,False),"OOPS FIX ME"))</f>
        <v>GriffGreen</v>
      </c>
      <c r="B269" s="165" t="s">
        <v>435</v>
      </c>
      <c r="C269" s="170" t="s">
        <v>1361</v>
      </c>
      <c r="D269" s="236" t="s">
        <v>437</v>
      </c>
      <c r="E269" s="239">
        <v>44287.0</v>
      </c>
      <c r="F269" s="170" t="s">
        <v>439</v>
      </c>
      <c r="G269" s="219"/>
      <c r="H269" s="171">
        <v>150.0</v>
      </c>
      <c r="I269" s="171">
        <v>300.0</v>
      </c>
      <c r="J269" s="172">
        <f t="shared" si="14"/>
        <v>0.003224250648</v>
      </c>
      <c r="K269" s="173">
        <f t="shared" si="16"/>
        <v>3.707888245</v>
      </c>
      <c r="L269" s="174">
        <f t="shared" si="4"/>
        <v>9.783875323</v>
      </c>
      <c r="M269" s="175" t="str">
        <f t="shared" si="5"/>
        <v>GriffGreen</v>
      </c>
      <c r="N269" s="176">
        <f>IFERROR(__xludf.DUMMYFUNCTION("""COMPUTED_VALUE"""),17.0)</f>
        <v>17</v>
      </c>
      <c r="O269" s="176"/>
      <c r="P269" s="165" t="s">
        <v>450</v>
      </c>
      <c r="Q269" s="165" t="s">
        <v>435</v>
      </c>
      <c r="R269" s="176"/>
      <c r="S269" s="176"/>
      <c r="T269" s="176"/>
      <c r="U269" s="176"/>
      <c r="V269" s="176"/>
      <c r="W269" s="176"/>
      <c r="X269" s="176"/>
      <c r="Y269" s="176"/>
      <c r="Z269" s="176"/>
      <c r="AA269" s="176"/>
    </row>
    <row r="270">
      <c r="A270" s="165" t="str">
        <f>iferror(VLOOKUP(P270,'DO NOT TOUCH Imported'!$A$1:$D$800,4,False),iferror(VLOOKUP(P270,'DO NOT TOUCH Imported'!$C$1:$D$800,2,False),"OOPS FIX ME"))</f>
        <v>GriffGreen</v>
      </c>
      <c r="B270" s="165" t="s">
        <v>443</v>
      </c>
      <c r="C270" s="170" t="s">
        <v>1245</v>
      </c>
      <c r="D270" s="236" t="s">
        <v>437</v>
      </c>
      <c r="E270" s="239">
        <v>44287.0</v>
      </c>
      <c r="F270" s="170" t="s">
        <v>439</v>
      </c>
      <c r="G270" s="219"/>
      <c r="H270" s="171">
        <v>70.0</v>
      </c>
      <c r="I270" s="171">
        <v>50.0</v>
      </c>
      <c r="J270" s="172">
        <f t="shared" si="14"/>
        <v>0.0008628017785</v>
      </c>
      <c r="K270" s="173">
        <f t="shared" si="16"/>
        <v>0.9922220452</v>
      </c>
      <c r="L270" s="174">
        <f t="shared" si="4"/>
        <v>9.783875323</v>
      </c>
      <c r="M270" s="175" t="str">
        <f t="shared" si="5"/>
        <v>GriffGreen</v>
      </c>
      <c r="N270" s="176">
        <f>IFERROR(__xludf.DUMMYFUNCTION("""COMPUTED_VALUE"""),18.0)</f>
        <v>18</v>
      </c>
      <c r="O270" s="176"/>
      <c r="P270" s="165" t="s">
        <v>450</v>
      </c>
      <c r="Q270" s="165" t="s">
        <v>443</v>
      </c>
      <c r="R270" s="176"/>
      <c r="S270" s="176"/>
      <c r="T270" s="176"/>
      <c r="U270" s="176"/>
      <c r="V270" s="176"/>
      <c r="W270" s="176"/>
      <c r="X270" s="176"/>
      <c r="Y270" s="176"/>
      <c r="Z270" s="176"/>
      <c r="AA270" s="176"/>
    </row>
    <row r="271">
      <c r="A271" s="165" t="str">
        <f>iferror(VLOOKUP(P271,'DO NOT TOUCH Imported'!$A$1:$D$800,4,False),iferror(VLOOKUP(P271,'DO NOT TOUCH Imported'!$C$1:$D$800,2,False),"OOPS FIX ME"))</f>
        <v>GriffGreen</v>
      </c>
      <c r="B271" s="165" t="s">
        <v>435</v>
      </c>
      <c r="C271" s="170" t="s">
        <v>1246</v>
      </c>
      <c r="D271" s="236" t="s">
        <v>437</v>
      </c>
      <c r="E271" s="239">
        <v>44287.0</v>
      </c>
      <c r="F271" s="170" t="s">
        <v>439</v>
      </c>
      <c r="G271" s="219"/>
      <c r="H271" s="171">
        <v>70.0</v>
      </c>
      <c r="I271" s="171">
        <v>50.0</v>
      </c>
      <c r="J271" s="172">
        <f t="shared" si="14"/>
        <v>0.0008628017785</v>
      </c>
      <c r="K271" s="173">
        <f t="shared" si="16"/>
        <v>0.9922220452</v>
      </c>
      <c r="L271" s="174">
        <f t="shared" si="4"/>
        <v>9.783875323</v>
      </c>
      <c r="M271" s="175" t="str">
        <f t="shared" si="5"/>
        <v>GriffGreen</v>
      </c>
      <c r="N271" s="176">
        <f>IFERROR(__xludf.DUMMYFUNCTION("""COMPUTED_VALUE"""),19.0)</f>
        <v>19</v>
      </c>
      <c r="O271" s="176"/>
      <c r="P271" s="165" t="s">
        <v>450</v>
      </c>
      <c r="Q271" s="165" t="s">
        <v>435</v>
      </c>
      <c r="R271" s="176"/>
      <c r="S271" s="176"/>
      <c r="T271" s="176"/>
      <c r="U271" s="176"/>
      <c r="V271" s="176"/>
      <c r="W271" s="176"/>
      <c r="X271" s="176"/>
      <c r="Y271" s="176"/>
      <c r="Z271" s="176"/>
      <c r="AA271" s="176"/>
    </row>
    <row r="272">
      <c r="A272" s="165" t="str">
        <f>iferror(VLOOKUP(P272,'DO NOT TOUCH Imported'!$A$1:$D$800,4,False),iferror(VLOOKUP(P272,'DO NOT TOUCH Imported'!$C$1:$D$800,2,False),"OOPS FIX ME"))</f>
        <v>GriffGreen</v>
      </c>
      <c r="B272" s="165" t="s">
        <v>441</v>
      </c>
      <c r="C272" s="170" t="s">
        <v>1289</v>
      </c>
      <c r="D272" s="236" t="s">
        <v>437</v>
      </c>
      <c r="E272" s="237">
        <v>44288.0</v>
      </c>
      <c r="F272" s="170" t="s">
        <v>439</v>
      </c>
      <c r="G272" s="219"/>
      <c r="H272" s="171">
        <v>70.0</v>
      </c>
      <c r="I272" s="171">
        <v>100.0</v>
      </c>
      <c r="J272" s="172">
        <f t="shared" si="14"/>
        <v>0.001219384292</v>
      </c>
      <c r="K272" s="173">
        <f t="shared" si="16"/>
        <v>1.402291935</v>
      </c>
      <c r="L272" s="174">
        <f t="shared" si="4"/>
        <v>9.783875323</v>
      </c>
      <c r="M272" s="175" t="str">
        <f t="shared" si="5"/>
        <v>GriffGreen</v>
      </c>
      <c r="N272" s="176">
        <f>IFERROR(__xludf.DUMMYFUNCTION("""COMPUTED_VALUE"""),20.0)</f>
        <v>20</v>
      </c>
      <c r="O272" s="176"/>
      <c r="P272" s="165" t="s">
        <v>450</v>
      </c>
      <c r="Q272" s="165" t="s">
        <v>441</v>
      </c>
      <c r="R272" s="176"/>
      <c r="S272" s="176"/>
      <c r="T272" s="176"/>
      <c r="U272" s="176"/>
      <c r="V272" s="176"/>
      <c r="W272" s="176"/>
      <c r="X272" s="176"/>
      <c r="Y272" s="176"/>
      <c r="Z272" s="176"/>
      <c r="AA272" s="176"/>
    </row>
    <row r="273">
      <c r="A273" s="165" t="str">
        <f>iferror(VLOOKUP(P273,'DO NOT TOUCH Imported'!$A$1:$D$800,4,False),iferror(VLOOKUP(P273,'DO NOT TOUCH Imported'!$C$1:$D$800,2,False),"OOPS FIX ME"))</f>
        <v>GriffGreen</v>
      </c>
      <c r="B273" s="165" t="s">
        <v>441</v>
      </c>
      <c r="C273" s="170" t="s">
        <v>1362</v>
      </c>
      <c r="D273" s="236" t="s">
        <v>437</v>
      </c>
      <c r="E273" s="237">
        <v>44288.0</v>
      </c>
      <c r="F273" s="170" t="s">
        <v>439</v>
      </c>
      <c r="G273" s="219"/>
      <c r="H273" s="171">
        <v>100.0</v>
      </c>
      <c r="I273" s="171">
        <v>300.0</v>
      </c>
      <c r="J273" s="172">
        <f t="shared" si="14"/>
        <v>0.002862665458</v>
      </c>
      <c r="K273" s="173">
        <f t="shared" si="16"/>
        <v>3.292065277</v>
      </c>
      <c r="L273" s="174">
        <f t="shared" si="4"/>
        <v>9.783875323</v>
      </c>
      <c r="M273" s="175" t="str">
        <f t="shared" si="5"/>
        <v>GriffGreen</v>
      </c>
      <c r="N273" s="176">
        <f>IFERROR(__xludf.DUMMYFUNCTION("""COMPUTED_VALUE"""),21.0)</f>
        <v>21</v>
      </c>
      <c r="O273" s="176"/>
      <c r="P273" s="165" t="s">
        <v>450</v>
      </c>
      <c r="Q273" s="165" t="s">
        <v>441</v>
      </c>
      <c r="R273" s="176"/>
      <c r="S273" s="176"/>
      <c r="T273" s="176"/>
      <c r="U273" s="176"/>
      <c r="V273" s="176"/>
      <c r="W273" s="176"/>
      <c r="X273" s="176"/>
      <c r="Y273" s="176"/>
      <c r="Z273" s="176"/>
      <c r="AA273" s="176"/>
    </row>
    <row r="274">
      <c r="A274" s="165" t="str">
        <f>iferror(VLOOKUP(P274,'DO NOT TOUCH Imported'!$A$1:$D$800,4,False),iferror(VLOOKUP(P274,'DO NOT TOUCH Imported'!$C$1:$D$800,2,False),"OOPS FIX ME"))</f>
        <v>GriffGreen</v>
      </c>
      <c r="B274" s="165" t="s">
        <v>441</v>
      </c>
      <c r="C274" s="170" t="s">
        <v>1363</v>
      </c>
      <c r="D274" s="236" t="s">
        <v>437</v>
      </c>
      <c r="E274" s="237">
        <v>44288.0</v>
      </c>
      <c r="F274" s="170" t="s">
        <v>439</v>
      </c>
      <c r="G274" s="219"/>
      <c r="H274" s="171">
        <v>100.0</v>
      </c>
      <c r="I274" s="171">
        <v>100.0</v>
      </c>
      <c r="J274" s="172">
        <f t="shared" si="14"/>
        <v>0.001436335405</v>
      </c>
      <c r="K274" s="173">
        <f t="shared" si="16"/>
        <v>1.651785716</v>
      </c>
      <c r="L274" s="174">
        <f t="shared" si="4"/>
        <v>9.783875323</v>
      </c>
      <c r="M274" s="175" t="str">
        <f t="shared" si="5"/>
        <v>GriffGreen</v>
      </c>
      <c r="N274" s="176">
        <f>IFERROR(__xludf.DUMMYFUNCTION("""COMPUTED_VALUE"""),22.0)</f>
        <v>22</v>
      </c>
      <c r="O274" s="176"/>
      <c r="P274" s="165" t="s">
        <v>450</v>
      </c>
      <c r="Q274" s="165" t="s">
        <v>441</v>
      </c>
      <c r="R274" s="176"/>
      <c r="S274" s="176"/>
      <c r="T274" s="176"/>
      <c r="U274" s="176"/>
      <c r="V274" s="176"/>
      <c r="W274" s="176"/>
      <c r="X274" s="176"/>
      <c r="Y274" s="176"/>
      <c r="Z274" s="176"/>
      <c r="AA274" s="176"/>
    </row>
    <row r="275">
      <c r="A275" s="165" t="str">
        <f>iferror(VLOOKUP(P275,'DO NOT TOUCH Imported'!$A$1:$D$800,4,False),iferror(VLOOKUP(P275,'DO NOT TOUCH Imported'!$C$1:$D$800,2,False),"OOPS FIX ME"))</f>
        <v>GriffGreen</v>
      </c>
      <c r="B275" s="165" t="s">
        <v>441</v>
      </c>
      <c r="C275" s="170" t="s">
        <v>1364</v>
      </c>
      <c r="D275" s="236" t="s">
        <v>437</v>
      </c>
      <c r="E275" s="237">
        <v>44288.0</v>
      </c>
      <c r="F275" s="170" t="s">
        <v>439</v>
      </c>
      <c r="G275" s="219"/>
      <c r="H275" s="171">
        <v>100.0</v>
      </c>
      <c r="I275" s="171">
        <v>100.0</v>
      </c>
      <c r="J275" s="172">
        <f t="shared" si="14"/>
        <v>0.001436335405</v>
      </c>
      <c r="K275" s="173">
        <f t="shared" si="16"/>
        <v>1.651785716</v>
      </c>
      <c r="L275" s="174">
        <f t="shared" si="4"/>
        <v>9.783875323</v>
      </c>
      <c r="M275" s="175" t="str">
        <f t="shared" si="5"/>
        <v>GriffGreen</v>
      </c>
      <c r="N275" s="176">
        <f>IFERROR(__xludf.DUMMYFUNCTION("""COMPUTED_VALUE"""),23.0)</f>
        <v>23</v>
      </c>
      <c r="O275" s="176"/>
      <c r="P275" s="165" t="s">
        <v>450</v>
      </c>
      <c r="Q275" s="165" t="s">
        <v>441</v>
      </c>
      <c r="R275" s="176"/>
      <c r="S275" s="176"/>
      <c r="T275" s="176"/>
      <c r="U275" s="176"/>
      <c r="V275" s="176"/>
      <c r="W275" s="176"/>
      <c r="X275" s="176"/>
      <c r="Y275" s="176"/>
      <c r="Z275" s="176"/>
      <c r="AA275" s="176"/>
    </row>
    <row r="276">
      <c r="A276" s="165" t="str">
        <f>iferror(VLOOKUP(P276,'DO NOT TOUCH Imported'!$A$1:$D$800,4,False),iferror(VLOOKUP(P276,'DO NOT TOUCH Imported'!$C$1:$D$800,2,False),"OOPS FIX ME"))</f>
        <v>GriffGreen</v>
      </c>
      <c r="B276" s="165" t="s">
        <v>441</v>
      </c>
      <c r="C276" s="170" t="s">
        <v>1248</v>
      </c>
      <c r="D276" s="236" t="s">
        <v>437</v>
      </c>
      <c r="E276" s="237">
        <v>44288.0</v>
      </c>
      <c r="F276" s="170" t="s">
        <v>439</v>
      </c>
      <c r="G276" s="219"/>
      <c r="H276" s="171">
        <v>100.0</v>
      </c>
      <c r="I276" s="171">
        <v>100.0</v>
      </c>
      <c r="J276" s="172">
        <f t="shared" si="14"/>
        <v>0.001436335405</v>
      </c>
      <c r="K276" s="173">
        <f t="shared" si="16"/>
        <v>1.651785716</v>
      </c>
      <c r="L276" s="174">
        <f t="shared" si="4"/>
        <v>9.783875323</v>
      </c>
      <c r="M276" s="175" t="str">
        <f t="shared" si="5"/>
        <v>GriffGreen</v>
      </c>
      <c r="N276" s="176">
        <f>IFERROR(__xludf.DUMMYFUNCTION("""COMPUTED_VALUE"""),24.0)</f>
        <v>24</v>
      </c>
      <c r="O276" s="176"/>
      <c r="P276" s="165" t="s">
        <v>450</v>
      </c>
      <c r="Q276" s="165" t="s">
        <v>441</v>
      </c>
      <c r="R276" s="176"/>
      <c r="S276" s="176"/>
      <c r="T276" s="176"/>
      <c r="U276" s="176"/>
      <c r="V276" s="176"/>
      <c r="W276" s="176"/>
      <c r="X276" s="176"/>
      <c r="Y276" s="176"/>
      <c r="Z276" s="176"/>
      <c r="AA276" s="176"/>
    </row>
    <row r="277">
      <c r="A277" s="165" t="str">
        <f>iferror(VLOOKUP(P277,'DO NOT TOUCH Imported'!$A$1:$D$800,4,False),iferror(VLOOKUP(P277,'DO NOT TOUCH Imported'!$C$1:$D$800,2,False),"OOPS FIX ME"))</f>
        <v>GriffGreen</v>
      </c>
      <c r="B277" s="165" t="s">
        <v>441</v>
      </c>
      <c r="C277" s="170" t="s">
        <v>1250</v>
      </c>
      <c r="D277" s="236" t="s">
        <v>437</v>
      </c>
      <c r="E277" s="237">
        <v>44288.0</v>
      </c>
      <c r="F277" s="170" t="s">
        <v>439</v>
      </c>
      <c r="G277" s="219"/>
      <c r="H277" s="171">
        <v>40.0</v>
      </c>
      <c r="I277" s="171">
        <v>50.0</v>
      </c>
      <c r="J277" s="172">
        <f t="shared" si="14"/>
        <v>0.0006458506648</v>
      </c>
      <c r="K277" s="173">
        <f t="shared" si="16"/>
        <v>0.7427282645</v>
      </c>
      <c r="L277" s="174">
        <f t="shared" si="4"/>
        <v>9.783875323</v>
      </c>
      <c r="M277" s="175" t="str">
        <f t="shared" si="5"/>
        <v>GriffGreen</v>
      </c>
      <c r="N277" s="176">
        <f>IFERROR(__xludf.DUMMYFUNCTION("""COMPUTED_VALUE"""),25.0)</f>
        <v>25</v>
      </c>
      <c r="O277" s="176"/>
      <c r="P277" s="165" t="s">
        <v>450</v>
      </c>
      <c r="Q277" s="165" t="s">
        <v>441</v>
      </c>
      <c r="R277" s="176"/>
      <c r="S277" s="176"/>
      <c r="T277" s="176"/>
      <c r="U277" s="176"/>
      <c r="V277" s="176"/>
      <c r="W277" s="176"/>
      <c r="X277" s="176"/>
      <c r="Y277" s="176"/>
      <c r="Z277" s="176"/>
      <c r="AA277" s="176"/>
    </row>
    <row r="278">
      <c r="A278" s="165" t="str">
        <f>iferror(VLOOKUP(P278,'DO NOT TOUCH Imported'!$A$1:$D$800,4,False),iferror(VLOOKUP(P278,'DO NOT TOUCH Imported'!$C$1:$D$800,2,False),"OOPS FIX ME"))</f>
        <v>GriffGreen</v>
      </c>
      <c r="B278" s="165" t="s">
        <v>576</v>
      </c>
      <c r="C278" s="170" t="s">
        <v>1276</v>
      </c>
      <c r="D278" s="236" t="s">
        <v>437</v>
      </c>
      <c r="E278" s="237">
        <v>44288.0</v>
      </c>
      <c r="F278" s="170" t="s">
        <v>1110</v>
      </c>
      <c r="G278" s="219"/>
      <c r="H278" s="171">
        <v>100.0</v>
      </c>
      <c r="I278" s="171">
        <v>50.0</v>
      </c>
      <c r="J278" s="172">
        <f t="shared" si="14"/>
        <v>0.001079752892</v>
      </c>
      <c r="K278" s="173">
        <f t="shared" si="16"/>
        <v>1.241715826</v>
      </c>
      <c r="L278" s="174">
        <f t="shared" si="4"/>
        <v>9.783875323</v>
      </c>
      <c r="M278" s="175" t="str">
        <f t="shared" si="5"/>
        <v>GriffGreen</v>
      </c>
      <c r="N278" s="176">
        <f>IFERROR(__xludf.DUMMYFUNCTION("""COMPUTED_VALUE"""),26.0)</f>
        <v>26</v>
      </c>
      <c r="O278" s="176"/>
      <c r="P278" s="165" t="s">
        <v>450</v>
      </c>
      <c r="Q278" s="165" t="s">
        <v>576</v>
      </c>
      <c r="R278" s="176"/>
      <c r="S278" s="176"/>
      <c r="T278" s="176"/>
      <c r="U278" s="176"/>
      <c r="V278" s="176"/>
      <c r="W278" s="176"/>
      <c r="X278" s="176"/>
      <c r="Y278" s="176"/>
      <c r="Z278" s="176"/>
      <c r="AA278" s="176"/>
    </row>
    <row r="279">
      <c r="A279" s="165" t="str">
        <f>iferror(VLOOKUP(P279,'DO NOT TOUCH Imported'!$A$1:$D$800,4,False),iferror(VLOOKUP(P279,'DO NOT TOUCH Imported'!$C$1:$D$800,2,False),"OOPS FIX ME"))</f>
        <v>GriffGreen</v>
      </c>
      <c r="B279" s="165" t="s">
        <v>620</v>
      </c>
      <c r="C279" s="170" t="s">
        <v>1277</v>
      </c>
      <c r="D279" s="236" t="s">
        <v>437</v>
      </c>
      <c r="E279" s="237">
        <v>44288.0</v>
      </c>
      <c r="F279" s="170" t="s">
        <v>439</v>
      </c>
      <c r="G279" s="219"/>
      <c r="H279" s="171">
        <v>100.0</v>
      </c>
      <c r="I279" s="171">
        <v>100.0</v>
      </c>
      <c r="J279" s="172">
        <f t="shared" si="14"/>
        <v>0.001436335405</v>
      </c>
      <c r="K279" s="173">
        <f t="shared" si="16"/>
        <v>1.651785716</v>
      </c>
      <c r="L279" s="174">
        <f t="shared" si="4"/>
        <v>9.783875323</v>
      </c>
      <c r="M279" s="175" t="str">
        <f t="shared" si="5"/>
        <v>GriffGreen</v>
      </c>
      <c r="N279" s="176">
        <f>IFERROR(__xludf.DUMMYFUNCTION("""COMPUTED_VALUE"""),27.0)</f>
        <v>27</v>
      </c>
      <c r="O279" s="176"/>
      <c r="P279" s="165" t="s">
        <v>450</v>
      </c>
      <c r="Q279" s="165" t="s">
        <v>620</v>
      </c>
      <c r="R279" s="176"/>
      <c r="S279" s="176"/>
      <c r="T279" s="176"/>
      <c r="U279" s="176"/>
      <c r="V279" s="176"/>
      <c r="W279" s="176"/>
      <c r="X279" s="176"/>
      <c r="Y279" s="176"/>
      <c r="Z279" s="176"/>
      <c r="AA279" s="176"/>
    </row>
    <row r="280">
      <c r="A280" s="165" t="str">
        <f>iferror(VLOOKUP(P280,'DO NOT TOUCH Imported'!$A$1:$D$800,4,False),iferror(VLOOKUP(P280,'DO NOT TOUCH Imported'!$C$1:$D$800,2,False),"OOPS FIX ME"))</f>
        <v>GriffGreen</v>
      </c>
      <c r="B280" s="165" t="s">
        <v>435</v>
      </c>
      <c r="C280" s="170" t="s">
        <v>1278</v>
      </c>
      <c r="D280" s="236" t="s">
        <v>437</v>
      </c>
      <c r="E280" s="237">
        <v>44288.0</v>
      </c>
      <c r="F280" s="170" t="s">
        <v>439</v>
      </c>
      <c r="G280" s="219"/>
      <c r="H280" s="171">
        <v>70.0</v>
      </c>
      <c r="I280" s="171">
        <v>50.0</v>
      </c>
      <c r="J280" s="172">
        <f t="shared" si="14"/>
        <v>0.0008628017785</v>
      </c>
      <c r="K280" s="173">
        <f t="shared" si="16"/>
        <v>0.9922220452</v>
      </c>
      <c r="L280" s="174">
        <f t="shared" si="4"/>
        <v>9.783875323</v>
      </c>
      <c r="M280" s="175" t="str">
        <f t="shared" si="5"/>
        <v>GriffGreen</v>
      </c>
      <c r="N280" s="176">
        <f>IFERROR(__xludf.DUMMYFUNCTION("""COMPUTED_VALUE"""),28.0)</f>
        <v>28</v>
      </c>
      <c r="O280" s="176"/>
      <c r="P280" s="165" t="s">
        <v>450</v>
      </c>
      <c r="Q280" s="165" t="s">
        <v>435</v>
      </c>
      <c r="R280" s="176"/>
      <c r="S280" s="176"/>
      <c r="T280" s="176"/>
      <c r="U280" s="176"/>
      <c r="V280" s="176"/>
      <c r="W280" s="176"/>
      <c r="X280" s="176"/>
      <c r="Y280" s="176"/>
      <c r="Z280" s="176"/>
      <c r="AA280" s="176"/>
    </row>
    <row r="281">
      <c r="A281" s="165" t="str">
        <f>iferror(VLOOKUP(P281,'DO NOT TOUCH Imported'!$A$1:$D$800,4,False),iferror(VLOOKUP(P281,'DO NOT TOUCH Imported'!$C$1:$D$800,2,False),"OOPS FIX ME"))</f>
        <v>GriffGreen</v>
      </c>
      <c r="B281" s="165" t="s">
        <v>450</v>
      </c>
      <c r="C281" s="170" t="s">
        <v>1279</v>
      </c>
      <c r="D281" s="236" t="s">
        <v>437</v>
      </c>
      <c r="E281" s="237">
        <v>44288.0</v>
      </c>
      <c r="F281" s="170" t="s">
        <v>439</v>
      </c>
      <c r="G281" s="219"/>
      <c r="H281" s="171">
        <v>70.0</v>
      </c>
      <c r="I281" s="171">
        <v>50.0</v>
      </c>
      <c r="J281" s="172">
        <f t="shared" si="14"/>
        <v>0.0008628017785</v>
      </c>
      <c r="K281" s="173">
        <f t="shared" si="16"/>
        <v>0.9922220452</v>
      </c>
      <c r="L281" s="174">
        <f t="shared" si="4"/>
        <v>9.783875323</v>
      </c>
      <c r="M281" s="175" t="str">
        <f t="shared" si="5"/>
        <v>GriffGreen</v>
      </c>
      <c r="N281" s="176">
        <f>IFERROR(__xludf.DUMMYFUNCTION("""COMPUTED_VALUE"""),29.0)</f>
        <v>29</v>
      </c>
      <c r="O281" s="176"/>
      <c r="P281" s="165" t="s">
        <v>450</v>
      </c>
      <c r="Q281" s="165" t="s">
        <v>450</v>
      </c>
      <c r="R281" s="176"/>
      <c r="S281" s="176"/>
      <c r="T281" s="176"/>
      <c r="U281" s="176"/>
      <c r="V281" s="176"/>
      <c r="W281" s="176"/>
      <c r="X281" s="176"/>
      <c r="Y281" s="176"/>
      <c r="Z281" s="176"/>
      <c r="AA281" s="176"/>
    </row>
    <row r="282">
      <c r="A282" s="165" t="str">
        <f>iferror(VLOOKUP(P282,'DO NOT TOUCH Imported'!$A$1:$D$800,4,False),iferror(VLOOKUP(P282,'DO NOT TOUCH Imported'!$C$1:$D$800,2,False),"OOPS FIX ME"))</f>
        <v>GriffGreen</v>
      </c>
      <c r="B282" s="165" t="s">
        <v>435</v>
      </c>
      <c r="C282" s="170" t="s">
        <v>1291</v>
      </c>
      <c r="D282" s="236" t="s">
        <v>499</v>
      </c>
      <c r="E282" s="237">
        <v>44289.0</v>
      </c>
      <c r="F282" s="170" t="s">
        <v>503</v>
      </c>
      <c r="G282" s="219"/>
      <c r="H282" s="171">
        <v>100.0</v>
      </c>
      <c r="I282" s="171">
        <v>100.0</v>
      </c>
      <c r="J282" s="172">
        <f t="shared" si="14"/>
        <v>0.001436335405</v>
      </c>
      <c r="K282" s="173">
        <f t="shared" si="16"/>
        <v>1.651785716</v>
      </c>
      <c r="L282" s="174">
        <f t="shared" si="4"/>
        <v>9.783875323</v>
      </c>
      <c r="M282" s="175" t="str">
        <f t="shared" si="5"/>
        <v>GriffGreen</v>
      </c>
      <c r="N282" s="176">
        <f>IFERROR(__xludf.DUMMYFUNCTION("""COMPUTED_VALUE"""),30.0)</f>
        <v>30</v>
      </c>
      <c r="O282" s="176"/>
      <c r="P282" s="165" t="s">
        <v>450</v>
      </c>
      <c r="Q282" s="165" t="s">
        <v>435</v>
      </c>
      <c r="R282" s="176"/>
      <c r="S282" s="176"/>
      <c r="T282" s="176"/>
      <c r="U282" s="176"/>
      <c r="V282" s="176"/>
      <c r="W282" s="176"/>
      <c r="X282" s="176"/>
      <c r="Y282" s="176"/>
      <c r="Z282" s="176"/>
      <c r="AA282" s="176"/>
    </row>
    <row r="283">
      <c r="A283" s="165" t="str">
        <f>iferror(VLOOKUP(P283,'DO NOT TOUCH Imported'!$A$1:$D$800,4,False),iferror(VLOOKUP(P283,'DO NOT TOUCH Imported'!$C$1:$D$800,2,False),"OOPS FIX ME"))</f>
        <v>GriffGreen</v>
      </c>
      <c r="B283" s="165" t="s">
        <v>443</v>
      </c>
      <c r="C283" s="170" t="s">
        <v>1252</v>
      </c>
      <c r="D283" s="236" t="s">
        <v>437</v>
      </c>
      <c r="E283" s="237">
        <v>44291.0</v>
      </c>
      <c r="F283" s="170" t="s">
        <v>439</v>
      </c>
      <c r="G283" s="219"/>
      <c r="H283" s="171">
        <v>100.0</v>
      </c>
      <c r="I283" s="171">
        <v>80.0</v>
      </c>
      <c r="J283" s="172">
        <f t="shared" si="14"/>
        <v>0.0012937024</v>
      </c>
      <c r="K283" s="173">
        <f t="shared" si="16"/>
        <v>1.48775776</v>
      </c>
      <c r="L283" s="174">
        <f t="shared" si="4"/>
        <v>9.783875323</v>
      </c>
      <c r="M283" s="175" t="str">
        <f t="shared" si="5"/>
        <v>GriffGreen</v>
      </c>
      <c r="N283" s="176">
        <f>IFERROR(__xludf.DUMMYFUNCTION("""COMPUTED_VALUE"""),31.0)</f>
        <v>31</v>
      </c>
      <c r="O283" s="176"/>
      <c r="P283" s="165" t="s">
        <v>450</v>
      </c>
      <c r="Q283" s="165" t="s">
        <v>443</v>
      </c>
      <c r="R283" s="176"/>
      <c r="S283" s="176"/>
      <c r="T283" s="176"/>
      <c r="U283" s="176"/>
      <c r="V283" s="176"/>
      <c r="W283" s="176"/>
      <c r="X283" s="176"/>
      <c r="Y283" s="176"/>
      <c r="Z283" s="176"/>
      <c r="AA283" s="176"/>
    </row>
    <row r="284">
      <c r="A284" s="165" t="str">
        <f>iferror(VLOOKUP(P284,'DO NOT TOUCH Imported'!$A$1:$D$800,4,False),iferror(VLOOKUP(P284,'DO NOT TOUCH Imported'!$C$1:$D$800,2,False),"OOPS FIX ME"))</f>
        <v>GriffGreen</v>
      </c>
      <c r="B284" s="165" t="s">
        <v>768</v>
      </c>
      <c r="C284" s="170" t="s">
        <v>1365</v>
      </c>
      <c r="D284" s="236" t="s">
        <v>499</v>
      </c>
      <c r="E284" s="237">
        <v>44291.0</v>
      </c>
      <c r="F284" s="170" t="s">
        <v>503</v>
      </c>
      <c r="G284" s="219"/>
      <c r="H284" s="171">
        <v>100.0</v>
      </c>
      <c r="I284" s="171">
        <v>100.0</v>
      </c>
      <c r="J284" s="172">
        <f t="shared" si="14"/>
        <v>0.001436335405</v>
      </c>
      <c r="K284" s="173">
        <f t="shared" si="16"/>
        <v>1.651785716</v>
      </c>
      <c r="L284" s="174">
        <f t="shared" si="4"/>
        <v>9.783875323</v>
      </c>
      <c r="M284" s="175" t="str">
        <f t="shared" si="5"/>
        <v>GriffGreen</v>
      </c>
      <c r="N284" s="176">
        <f>IFERROR(__xludf.DUMMYFUNCTION("""COMPUTED_VALUE"""),32.0)</f>
        <v>32</v>
      </c>
      <c r="O284" s="176"/>
      <c r="P284" s="165" t="s">
        <v>450</v>
      </c>
      <c r="Q284" s="165" t="s">
        <v>768</v>
      </c>
      <c r="R284" s="176"/>
      <c r="S284" s="176"/>
      <c r="T284" s="176"/>
      <c r="U284" s="176"/>
      <c r="V284" s="176"/>
      <c r="W284" s="176"/>
      <c r="X284" s="176"/>
      <c r="Y284" s="176"/>
      <c r="Z284" s="176"/>
      <c r="AA284" s="176"/>
    </row>
    <row r="285">
      <c r="A285" s="165" t="str">
        <f>iferror(VLOOKUP(P285,'DO NOT TOUCH Imported'!$A$1:$D$800,4,False),iferror(VLOOKUP(P285,'DO NOT TOUCH Imported'!$C$1:$D$800,2,False),"OOPS FIX ME"))</f>
        <v>GriffGreen</v>
      </c>
      <c r="B285" s="165" t="s">
        <v>440</v>
      </c>
      <c r="C285" s="170" t="s">
        <v>1253</v>
      </c>
      <c r="D285" s="236" t="s">
        <v>437</v>
      </c>
      <c r="E285" s="237">
        <v>44291.0</v>
      </c>
      <c r="F285" s="170" t="s">
        <v>439</v>
      </c>
      <c r="G285" s="219"/>
      <c r="H285" s="171">
        <v>50.0</v>
      </c>
      <c r="I285" s="171">
        <v>50.0</v>
      </c>
      <c r="J285" s="172">
        <f t="shared" si="14"/>
        <v>0.0007181677027</v>
      </c>
      <c r="K285" s="173">
        <f t="shared" si="16"/>
        <v>0.8258928581</v>
      </c>
      <c r="L285" s="174">
        <f t="shared" si="4"/>
        <v>9.783875323</v>
      </c>
      <c r="M285" s="175" t="str">
        <f t="shared" si="5"/>
        <v>GriffGreen</v>
      </c>
      <c r="N285" s="176">
        <f>IFERROR(__xludf.DUMMYFUNCTION("""COMPUTED_VALUE"""),33.0)</f>
        <v>33</v>
      </c>
      <c r="O285" s="176"/>
      <c r="P285" s="165" t="s">
        <v>450</v>
      </c>
      <c r="Q285" s="165" t="s">
        <v>440</v>
      </c>
      <c r="R285" s="176"/>
      <c r="S285" s="176"/>
      <c r="T285" s="176"/>
      <c r="U285" s="176"/>
      <c r="V285" s="176"/>
      <c r="W285" s="176"/>
      <c r="X285" s="176"/>
      <c r="Y285" s="176"/>
      <c r="Z285" s="176"/>
      <c r="AA285" s="176"/>
    </row>
    <row r="286">
      <c r="A286" s="165" t="str">
        <f>iferror(VLOOKUP(P286,'DO NOT TOUCH Imported'!$A$1:$D$800,4,False),iferror(VLOOKUP(P286,'DO NOT TOUCH Imported'!$C$1:$D$800,2,False),"OOPS FIX ME"))</f>
        <v>GriffGreen</v>
      </c>
      <c r="B286" s="165" t="s">
        <v>440</v>
      </c>
      <c r="C286" s="170" t="s">
        <v>1366</v>
      </c>
      <c r="D286" s="236" t="s">
        <v>437</v>
      </c>
      <c r="E286" s="237">
        <v>44292.0</v>
      </c>
      <c r="F286" s="170" t="s">
        <v>439</v>
      </c>
      <c r="G286" s="219"/>
      <c r="H286" s="171">
        <v>50.0</v>
      </c>
      <c r="I286" s="171">
        <v>50.0</v>
      </c>
      <c r="J286" s="172">
        <f t="shared" si="14"/>
        <v>0.0007181677027</v>
      </c>
      <c r="K286" s="173">
        <f t="shared" si="16"/>
        <v>0.8258928581</v>
      </c>
      <c r="L286" s="174">
        <f t="shared" si="4"/>
        <v>9.783875323</v>
      </c>
      <c r="M286" s="175" t="str">
        <f t="shared" si="5"/>
        <v>GriffGreen</v>
      </c>
      <c r="N286" s="176">
        <f>IFERROR(__xludf.DUMMYFUNCTION("""COMPUTED_VALUE"""),34.0)</f>
        <v>34</v>
      </c>
      <c r="O286" s="176"/>
      <c r="P286" s="165" t="s">
        <v>450</v>
      </c>
      <c r="Q286" s="165" t="s">
        <v>440</v>
      </c>
      <c r="R286" s="176"/>
      <c r="S286" s="176"/>
      <c r="T286" s="176"/>
      <c r="U286" s="176"/>
      <c r="V286" s="176"/>
      <c r="W286" s="176"/>
      <c r="X286" s="176"/>
      <c r="Y286" s="176"/>
      <c r="Z286" s="176"/>
      <c r="AA286" s="176"/>
    </row>
    <row r="287">
      <c r="A287" s="165" t="str">
        <f>iferror(VLOOKUP(P287,'DO NOT TOUCH Imported'!$A$1:$D$800,4,False),iferror(VLOOKUP(P287,'DO NOT TOUCH Imported'!$C$1:$D$800,2,False),"OOPS FIX ME"))</f>
        <v>GriffGreen</v>
      </c>
      <c r="B287" s="165" t="s">
        <v>440</v>
      </c>
      <c r="C287" s="170" t="s">
        <v>1257</v>
      </c>
      <c r="D287" s="236" t="s">
        <v>437</v>
      </c>
      <c r="E287" s="237">
        <v>44292.0</v>
      </c>
      <c r="F287" s="170" t="s">
        <v>439</v>
      </c>
      <c r="G287" s="219"/>
      <c r="H287" s="171">
        <v>70.0</v>
      </c>
      <c r="I287" s="171">
        <v>50.0</v>
      </c>
      <c r="J287" s="172">
        <f t="shared" si="14"/>
        <v>0.0008628017785</v>
      </c>
      <c r="K287" s="173">
        <f t="shared" si="16"/>
        <v>0.9922220452</v>
      </c>
      <c r="L287" s="174">
        <f t="shared" si="4"/>
        <v>9.783875323</v>
      </c>
      <c r="M287" s="175" t="str">
        <f t="shared" si="5"/>
        <v>GriffGreen</v>
      </c>
      <c r="N287" s="176">
        <f>IFERROR(__xludf.DUMMYFUNCTION("""COMPUTED_VALUE"""),35.0)</f>
        <v>35</v>
      </c>
      <c r="O287" s="176"/>
      <c r="P287" s="165" t="s">
        <v>450</v>
      </c>
      <c r="Q287" s="165" t="s">
        <v>440</v>
      </c>
      <c r="R287" s="176"/>
      <c r="S287" s="176"/>
      <c r="T287" s="176"/>
      <c r="U287" s="176"/>
      <c r="V287" s="176"/>
      <c r="W287" s="176"/>
      <c r="X287" s="176"/>
      <c r="Y287" s="176"/>
      <c r="Z287" s="176"/>
      <c r="AA287" s="176"/>
    </row>
    <row r="288">
      <c r="A288" s="165" t="str">
        <f>iferror(VLOOKUP(P288,'DO NOT TOUCH Imported'!$A$1:$D$800,4,False),iferror(VLOOKUP(P288,'DO NOT TOUCH Imported'!$C$1:$D$800,2,False),"OOPS FIX ME"))</f>
        <v>GriffGreen</v>
      </c>
      <c r="B288" s="165" t="s">
        <v>440</v>
      </c>
      <c r="C288" s="170" t="s">
        <v>1367</v>
      </c>
      <c r="D288" s="236" t="s">
        <v>437</v>
      </c>
      <c r="E288" s="237">
        <v>44293.0</v>
      </c>
      <c r="F288" s="170" t="s">
        <v>439</v>
      </c>
      <c r="G288" s="219"/>
      <c r="H288" s="171">
        <v>100.0</v>
      </c>
      <c r="I288" s="171">
        <v>100.0</v>
      </c>
      <c r="J288" s="172">
        <f t="shared" si="14"/>
        <v>0.001436335405</v>
      </c>
      <c r="K288" s="173">
        <f t="shared" si="16"/>
        <v>1.651785716</v>
      </c>
      <c r="L288" s="174">
        <f t="shared" si="4"/>
        <v>9.783875323</v>
      </c>
      <c r="M288" s="175" t="str">
        <f t="shared" si="5"/>
        <v>GriffGreen</v>
      </c>
      <c r="N288" s="176">
        <f>IFERROR(__xludf.DUMMYFUNCTION("""COMPUTED_VALUE"""),36.0)</f>
        <v>36</v>
      </c>
      <c r="O288" s="176"/>
      <c r="P288" s="165" t="s">
        <v>450</v>
      </c>
      <c r="Q288" s="165" t="s">
        <v>440</v>
      </c>
      <c r="R288" s="176"/>
      <c r="S288" s="176"/>
      <c r="T288" s="176"/>
      <c r="U288" s="176"/>
      <c r="V288" s="176"/>
      <c r="W288" s="176"/>
      <c r="X288" s="176"/>
      <c r="Y288" s="176"/>
      <c r="Z288" s="176"/>
      <c r="AA288" s="176"/>
    </row>
    <row r="289">
      <c r="A289" s="165" t="str">
        <f>iferror(VLOOKUP(P289,'DO NOT TOUCH Imported'!$A$1:$D$800,4,False),iferror(VLOOKUP(P289,'DO NOT TOUCH Imported'!$C$1:$D$800,2,False),"OOPS FIX ME"))</f>
        <v>GriffGreen</v>
      </c>
      <c r="B289" s="165" t="s">
        <v>440</v>
      </c>
      <c r="C289" s="170" t="s">
        <v>1260</v>
      </c>
      <c r="D289" s="236" t="s">
        <v>437</v>
      </c>
      <c r="E289" s="237">
        <v>44293.0</v>
      </c>
      <c r="F289" s="170" t="s">
        <v>439</v>
      </c>
      <c r="G289" s="219"/>
      <c r="H289" s="171">
        <v>70.0</v>
      </c>
      <c r="I289" s="171">
        <v>50.0</v>
      </c>
      <c r="J289" s="172">
        <f t="shared" si="14"/>
        <v>0.0008628017785</v>
      </c>
      <c r="K289" s="173">
        <f t="shared" si="16"/>
        <v>0.9922220452</v>
      </c>
      <c r="L289" s="174">
        <f t="shared" si="4"/>
        <v>9.783875323</v>
      </c>
      <c r="M289" s="175" t="str">
        <f t="shared" si="5"/>
        <v>GriffGreen</v>
      </c>
      <c r="N289" s="176">
        <f>IFERROR(__xludf.DUMMYFUNCTION("""COMPUTED_VALUE"""),37.0)</f>
        <v>37</v>
      </c>
      <c r="O289" s="176"/>
      <c r="P289" s="165" t="s">
        <v>450</v>
      </c>
      <c r="Q289" s="165" t="s">
        <v>440</v>
      </c>
      <c r="R289" s="176"/>
      <c r="S289" s="176"/>
      <c r="T289" s="176"/>
      <c r="U289" s="176"/>
      <c r="V289" s="176"/>
      <c r="W289" s="176"/>
      <c r="X289" s="176"/>
      <c r="Y289" s="176"/>
      <c r="Z289" s="176"/>
      <c r="AA289" s="176"/>
    </row>
    <row r="290">
      <c r="A290" s="165" t="str">
        <f>iferror(VLOOKUP(P290,'DO NOT TOUCH Imported'!$A$1:$D$800,4,False),iferror(VLOOKUP(P290,'DO NOT TOUCH Imported'!$C$1:$D$800,2,False),"OOPS FIX ME"))</f>
        <v>GriffGreen</v>
      </c>
      <c r="B290" s="165" t="s">
        <v>440</v>
      </c>
      <c r="C290" s="170" t="s">
        <v>1261</v>
      </c>
      <c r="D290" s="236" t="s">
        <v>437</v>
      </c>
      <c r="E290" s="237">
        <v>44293.0</v>
      </c>
      <c r="F290" s="170" t="s">
        <v>439</v>
      </c>
      <c r="G290" s="219"/>
      <c r="H290" s="171">
        <v>70.0</v>
      </c>
      <c r="I290" s="171">
        <v>50.0</v>
      </c>
      <c r="J290" s="172">
        <f t="shared" si="14"/>
        <v>0.0008628017785</v>
      </c>
      <c r="K290" s="173">
        <f t="shared" si="16"/>
        <v>0.9922220452</v>
      </c>
      <c r="L290" s="174">
        <f t="shared" si="4"/>
        <v>9.783875323</v>
      </c>
      <c r="M290" s="175" t="str">
        <f t="shared" si="5"/>
        <v>GriffGreen</v>
      </c>
      <c r="N290" s="176">
        <f>IFERROR(__xludf.DUMMYFUNCTION("""COMPUTED_VALUE"""),38.0)</f>
        <v>38</v>
      </c>
      <c r="O290" s="176"/>
      <c r="P290" s="165" t="s">
        <v>450</v>
      </c>
      <c r="Q290" s="165" t="s">
        <v>440</v>
      </c>
      <c r="R290" s="176"/>
      <c r="S290" s="176"/>
      <c r="T290" s="176"/>
      <c r="U290" s="176"/>
      <c r="V290" s="176"/>
      <c r="W290" s="176"/>
      <c r="X290" s="176"/>
      <c r="Y290" s="176"/>
      <c r="Z290" s="176"/>
      <c r="AA290" s="176"/>
    </row>
    <row r="291">
      <c r="A291" s="165" t="str">
        <f>iferror(VLOOKUP(P291,'DO NOT TOUCH Imported'!$A$1:$D$800,4,False),iferror(VLOOKUP(P291,'DO NOT TOUCH Imported'!$C$1:$D$800,2,False),"OOPS FIX ME"))</f>
        <v>GriffGreen</v>
      </c>
      <c r="B291" s="165" t="s">
        <v>441</v>
      </c>
      <c r="C291" s="170" t="s">
        <v>1263</v>
      </c>
      <c r="D291" s="236" t="s">
        <v>437</v>
      </c>
      <c r="E291" s="237">
        <v>44295.0</v>
      </c>
      <c r="F291" s="170" t="s">
        <v>439</v>
      </c>
      <c r="G291" s="219"/>
      <c r="H291" s="171">
        <v>100.0</v>
      </c>
      <c r="I291" s="171">
        <v>100.0</v>
      </c>
      <c r="J291" s="172">
        <f t="shared" si="14"/>
        <v>0.001436335405</v>
      </c>
      <c r="K291" s="173">
        <f t="shared" si="16"/>
        <v>1.651785716</v>
      </c>
      <c r="L291" s="174">
        <f t="shared" si="4"/>
        <v>9.783875323</v>
      </c>
      <c r="M291" s="175" t="str">
        <f t="shared" si="5"/>
        <v>GriffGreen</v>
      </c>
      <c r="N291" s="176">
        <f>IFERROR(__xludf.DUMMYFUNCTION("""COMPUTED_VALUE"""),39.0)</f>
        <v>39</v>
      </c>
      <c r="O291" s="176"/>
      <c r="P291" s="165" t="s">
        <v>450</v>
      </c>
      <c r="Q291" s="165" t="s">
        <v>441</v>
      </c>
      <c r="R291" s="176"/>
      <c r="S291" s="176"/>
      <c r="T291" s="176"/>
      <c r="U291" s="176"/>
      <c r="V291" s="176"/>
      <c r="W291" s="176"/>
      <c r="X291" s="176"/>
      <c r="Y291" s="176"/>
      <c r="Z291" s="176"/>
      <c r="AA291" s="176"/>
    </row>
    <row r="292">
      <c r="A292" s="165" t="str">
        <f>iferror(VLOOKUP(P292,'DO NOT TOUCH Imported'!$A$1:$D$800,4,False),iferror(VLOOKUP(P292,'DO NOT TOUCH Imported'!$C$1:$D$800,2,False),"OOPS FIX ME"))</f>
        <v>GriffGreen</v>
      </c>
      <c r="B292" s="165" t="s">
        <v>441</v>
      </c>
      <c r="C292" s="170" t="s">
        <v>1368</v>
      </c>
      <c r="D292" s="236" t="s">
        <v>437</v>
      </c>
      <c r="E292" s="237">
        <v>44295.0</v>
      </c>
      <c r="F292" s="170" t="s">
        <v>439</v>
      </c>
      <c r="G292" s="219"/>
      <c r="H292" s="171">
        <v>100.0</v>
      </c>
      <c r="I292" s="171">
        <v>200.0</v>
      </c>
      <c r="J292" s="172">
        <f t="shared" si="14"/>
        <v>0.002149500432</v>
      </c>
      <c r="K292" s="173">
        <f t="shared" si="16"/>
        <v>2.471925496</v>
      </c>
      <c r="L292" s="174">
        <f t="shared" si="4"/>
        <v>9.783875323</v>
      </c>
      <c r="M292" s="175" t="str">
        <f t="shared" si="5"/>
        <v>GriffGreen</v>
      </c>
      <c r="N292" s="176">
        <f>IFERROR(__xludf.DUMMYFUNCTION("""COMPUTED_VALUE"""),40.0)</f>
        <v>40</v>
      </c>
      <c r="O292" s="176"/>
      <c r="P292" s="165" t="s">
        <v>450</v>
      </c>
      <c r="Q292" s="165" t="s">
        <v>441</v>
      </c>
      <c r="R292" s="176"/>
      <c r="S292" s="176"/>
      <c r="T292" s="176"/>
      <c r="U292" s="176"/>
      <c r="V292" s="176"/>
      <c r="W292" s="176"/>
      <c r="X292" s="176"/>
      <c r="Y292" s="176"/>
      <c r="Z292" s="176"/>
      <c r="AA292" s="176"/>
    </row>
    <row r="293">
      <c r="A293" s="165" t="str">
        <f>iferror(VLOOKUP(P293,'DO NOT TOUCH Imported'!$A$1:$D$800,4,False),iferror(VLOOKUP(P293,'DO NOT TOUCH Imported'!$C$1:$D$800,2,False),"OOPS FIX ME"))</f>
        <v>GriffGreen</v>
      </c>
      <c r="B293" s="165" t="s">
        <v>441</v>
      </c>
      <c r="C293" s="170" t="s">
        <v>1331</v>
      </c>
      <c r="D293" s="236" t="s">
        <v>437</v>
      </c>
      <c r="E293" s="237">
        <v>44295.0</v>
      </c>
      <c r="F293" s="170" t="s">
        <v>439</v>
      </c>
      <c r="G293" s="219"/>
      <c r="H293" s="171">
        <v>100.0</v>
      </c>
      <c r="I293" s="171">
        <v>100.0</v>
      </c>
      <c r="J293" s="172">
        <f t="shared" si="14"/>
        <v>0.001436335405</v>
      </c>
      <c r="K293" s="173">
        <f t="shared" si="16"/>
        <v>1.651785716</v>
      </c>
      <c r="L293" s="174">
        <f t="shared" si="4"/>
        <v>9.783875323</v>
      </c>
      <c r="M293" s="175" t="str">
        <f t="shared" si="5"/>
        <v>GriffGreen</v>
      </c>
      <c r="N293" s="176">
        <f>IFERROR(__xludf.DUMMYFUNCTION("""COMPUTED_VALUE"""),41.0)</f>
        <v>41</v>
      </c>
      <c r="O293" s="176"/>
      <c r="P293" s="165" t="s">
        <v>450</v>
      </c>
      <c r="Q293" s="165" t="s">
        <v>441</v>
      </c>
      <c r="R293" s="176"/>
      <c r="S293" s="176"/>
      <c r="T293" s="176"/>
      <c r="U293" s="176"/>
      <c r="V293" s="176"/>
      <c r="W293" s="176"/>
      <c r="X293" s="176"/>
      <c r="Y293" s="176"/>
      <c r="Z293" s="176"/>
      <c r="AA293" s="176"/>
    </row>
    <row r="294">
      <c r="A294" s="165" t="str">
        <f>iferror(VLOOKUP(P294,'DO NOT TOUCH Imported'!$A$1:$D$800,4,False),iferror(VLOOKUP(P294,'DO NOT TOUCH Imported'!$C$1:$D$800,2,False),"OOPS FIX ME"))</f>
        <v>GriffGreen</v>
      </c>
      <c r="B294" s="165" t="s">
        <v>441</v>
      </c>
      <c r="C294" s="170" t="s">
        <v>1369</v>
      </c>
      <c r="D294" s="236" t="s">
        <v>437</v>
      </c>
      <c r="E294" s="237">
        <v>44295.0</v>
      </c>
      <c r="F294" s="170" t="s">
        <v>439</v>
      </c>
      <c r="G294" s="219"/>
      <c r="H294" s="171">
        <v>100.0</v>
      </c>
      <c r="I294" s="171">
        <v>100.0</v>
      </c>
      <c r="J294" s="172">
        <f t="shared" si="14"/>
        <v>0.001436335405</v>
      </c>
      <c r="K294" s="173">
        <f t="shared" si="16"/>
        <v>1.651785716</v>
      </c>
      <c r="L294" s="174">
        <f t="shared" si="4"/>
        <v>9.783875323</v>
      </c>
      <c r="M294" s="175" t="str">
        <f t="shared" si="5"/>
        <v>GriffGreen</v>
      </c>
      <c r="N294" s="176">
        <f>IFERROR(__xludf.DUMMYFUNCTION("""COMPUTED_VALUE"""),42.0)</f>
        <v>42</v>
      </c>
      <c r="O294" s="176"/>
      <c r="P294" s="165" t="s">
        <v>450</v>
      </c>
      <c r="Q294" s="165" t="s">
        <v>441</v>
      </c>
      <c r="R294" s="176"/>
      <c r="S294" s="176"/>
      <c r="T294" s="176"/>
      <c r="U294" s="176"/>
      <c r="V294" s="176"/>
      <c r="W294" s="176"/>
      <c r="X294" s="176"/>
      <c r="Y294" s="176"/>
      <c r="Z294" s="176"/>
      <c r="AA294" s="176"/>
    </row>
    <row r="295">
      <c r="A295" s="165" t="str">
        <f>iferror(VLOOKUP(P295,'DO NOT TOUCH Imported'!$A$1:$D$800,4,False),iferror(VLOOKUP(P295,'DO NOT TOUCH Imported'!$C$1:$D$800,2,False),"OOPS FIX ME"))</f>
        <v>GriffGreen</v>
      </c>
      <c r="B295" s="165" t="s">
        <v>441</v>
      </c>
      <c r="C295" s="170" t="s">
        <v>1264</v>
      </c>
      <c r="D295" s="236" t="s">
        <v>437</v>
      </c>
      <c r="E295" s="237">
        <v>44295.0</v>
      </c>
      <c r="F295" s="170" t="s">
        <v>439</v>
      </c>
      <c r="G295" s="219"/>
      <c r="H295" s="171">
        <v>100.0</v>
      </c>
      <c r="I295" s="171">
        <v>80.0</v>
      </c>
      <c r="J295" s="172">
        <f t="shared" si="14"/>
        <v>0.0012937024</v>
      </c>
      <c r="K295" s="173">
        <f t="shared" si="16"/>
        <v>1.48775776</v>
      </c>
      <c r="L295" s="174">
        <f t="shared" si="4"/>
        <v>9.783875323</v>
      </c>
      <c r="M295" s="175" t="str">
        <f t="shared" si="5"/>
        <v>GriffGreen</v>
      </c>
      <c r="N295" s="176">
        <f>IFERROR(__xludf.DUMMYFUNCTION("""COMPUTED_VALUE"""),43.0)</f>
        <v>43</v>
      </c>
      <c r="O295" s="176"/>
      <c r="P295" s="165" t="s">
        <v>450</v>
      </c>
      <c r="Q295" s="165" t="s">
        <v>441</v>
      </c>
      <c r="R295" s="176"/>
      <c r="S295" s="176"/>
      <c r="T295" s="176"/>
      <c r="U295" s="176"/>
      <c r="V295" s="176"/>
      <c r="W295" s="176"/>
      <c r="X295" s="176"/>
      <c r="Y295" s="176"/>
      <c r="Z295" s="176"/>
      <c r="AA295" s="176"/>
    </row>
    <row r="296">
      <c r="A296" s="165" t="str">
        <f>iferror(VLOOKUP(P296,'DO NOT TOUCH Imported'!$A$1:$D$800,4,False),iferror(VLOOKUP(P296,'DO NOT TOUCH Imported'!$C$1:$D$800,2,False),"OOPS FIX ME"))</f>
        <v>GriffGreen</v>
      </c>
      <c r="B296" s="165" t="s">
        <v>441</v>
      </c>
      <c r="C296" s="170" t="s">
        <v>1338</v>
      </c>
      <c r="D296" s="236" t="s">
        <v>437</v>
      </c>
      <c r="E296" s="237">
        <v>44295.0</v>
      </c>
      <c r="F296" s="170" t="s">
        <v>439</v>
      </c>
      <c r="G296" s="219"/>
      <c r="H296" s="171">
        <v>80.0</v>
      </c>
      <c r="I296" s="171">
        <v>100.0</v>
      </c>
      <c r="J296" s="172">
        <f t="shared" si="14"/>
        <v>0.00129170133</v>
      </c>
      <c r="K296" s="173">
        <f t="shared" si="16"/>
        <v>1.485456529</v>
      </c>
      <c r="L296" s="174">
        <f t="shared" si="4"/>
        <v>9.783875323</v>
      </c>
      <c r="M296" s="175" t="str">
        <f t="shared" si="5"/>
        <v>GriffGreen</v>
      </c>
      <c r="N296" s="176">
        <f>IFERROR(__xludf.DUMMYFUNCTION("""COMPUTED_VALUE"""),44.0)</f>
        <v>44</v>
      </c>
      <c r="O296" s="176"/>
      <c r="P296" s="165" t="s">
        <v>450</v>
      </c>
      <c r="Q296" s="165" t="s">
        <v>441</v>
      </c>
      <c r="R296" s="176"/>
      <c r="S296" s="176"/>
      <c r="T296" s="176"/>
      <c r="U296" s="176"/>
      <c r="V296" s="176"/>
      <c r="W296" s="176"/>
      <c r="X296" s="176"/>
      <c r="Y296" s="176"/>
      <c r="Z296" s="176"/>
      <c r="AA296" s="176"/>
    </row>
    <row r="297">
      <c r="A297" s="165" t="str">
        <f>iferror(VLOOKUP(P297,'DO NOT TOUCH Imported'!$A$1:$D$800,4,False),iferror(VLOOKUP(P297,'DO NOT TOUCH Imported'!$C$1:$D$800,2,False),"OOPS FIX ME"))</f>
        <v>GriffGreen</v>
      </c>
      <c r="B297" s="165" t="s">
        <v>441</v>
      </c>
      <c r="C297" s="170" t="s">
        <v>1370</v>
      </c>
      <c r="D297" s="236" t="s">
        <v>437</v>
      </c>
      <c r="E297" s="237">
        <v>44295.0</v>
      </c>
      <c r="F297" s="170" t="s">
        <v>439</v>
      </c>
      <c r="G297" s="219"/>
      <c r="H297" s="171">
        <v>80.0</v>
      </c>
      <c r="I297" s="171">
        <v>100.0</v>
      </c>
      <c r="J297" s="172">
        <f t="shared" si="14"/>
        <v>0.00129170133</v>
      </c>
      <c r="K297" s="173">
        <f t="shared" si="16"/>
        <v>1.485456529</v>
      </c>
      <c r="L297" s="174">
        <f t="shared" si="4"/>
        <v>9.783875323</v>
      </c>
      <c r="M297" s="175" t="str">
        <f t="shared" si="5"/>
        <v>GriffGreen</v>
      </c>
      <c r="N297" s="176">
        <f>IFERROR(__xludf.DUMMYFUNCTION("""COMPUTED_VALUE"""),45.0)</f>
        <v>45</v>
      </c>
      <c r="O297" s="176"/>
      <c r="P297" s="165" t="s">
        <v>450</v>
      </c>
      <c r="Q297" s="165" t="s">
        <v>441</v>
      </c>
      <c r="R297" s="176"/>
      <c r="S297" s="176"/>
      <c r="T297" s="176"/>
      <c r="U297" s="176"/>
      <c r="V297" s="176"/>
      <c r="W297" s="176"/>
      <c r="X297" s="176"/>
      <c r="Y297" s="176"/>
      <c r="Z297" s="176"/>
      <c r="AA297" s="176"/>
    </row>
    <row r="298">
      <c r="A298" s="165" t="str">
        <f>iferror(VLOOKUP(P298,'DO NOT TOUCH Imported'!$A$1:$D$800,4,False),iferror(VLOOKUP(P298,'DO NOT TOUCH Imported'!$C$1:$D$800,2,False),"OOPS FIX ME"))</f>
        <v>GriffGreen</v>
      </c>
      <c r="B298" s="165" t="s">
        <v>441</v>
      </c>
      <c r="C298" s="170" t="s">
        <v>1371</v>
      </c>
      <c r="D298" s="236" t="s">
        <v>437</v>
      </c>
      <c r="E298" s="237">
        <v>44295.0</v>
      </c>
      <c r="F298" s="170" t="s">
        <v>439</v>
      </c>
      <c r="G298" s="219"/>
      <c r="H298" s="171">
        <v>200.0</v>
      </c>
      <c r="I298" s="171">
        <v>200.0</v>
      </c>
      <c r="J298" s="172">
        <f t="shared" si="14"/>
        <v>0.002872670811</v>
      </c>
      <c r="K298" s="173">
        <f t="shared" si="16"/>
        <v>3.303571432</v>
      </c>
      <c r="L298" s="174">
        <f t="shared" si="4"/>
        <v>9.783875323</v>
      </c>
      <c r="M298" s="175" t="str">
        <f t="shared" si="5"/>
        <v>GriffGreen</v>
      </c>
      <c r="N298" s="176">
        <f>IFERROR(__xludf.DUMMYFUNCTION("""COMPUTED_VALUE"""),46.0)</f>
        <v>46</v>
      </c>
      <c r="O298" s="176"/>
      <c r="P298" s="165" t="s">
        <v>450</v>
      </c>
      <c r="Q298" s="165" t="s">
        <v>441</v>
      </c>
      <c r="R298" s="176"/>
      <c r="S298" s="176"/>
      <c r="T298" s="176"/>
      <c r="U298" s="176"/>
      <c r="V298" s="176"/>
      <c r="W298" s="176"/>
      <c r="X298" s="176"/>
      <c r="Y298" s="176"/>
      <c r="Z298" s="176"/>
      <c r="AA298" s="176"/>
    </row>
    <row r="299">
      <c r="A299" s="165" t="str">
        <f>iferror(VLOOKUP(P299,'DO NOT TOUCH Imported'!$A$1:$D$800,4,False),iferror(VLOOKUP(P299,'DO NOT TOUCH Imported'!$C$1:$D$800,2,False),"OOPS FIX ME"))</f>
        <v>GriffGreen</v>
      </c>
      <c r="B299" s="165" t="s">
        <v>441</v>
      </c>
      <c r="C299" s="170" t="s">
        <v>1267</v>
      </c>
      <c r="D299" s="236" t="s">
        <v>437</v>
      </c>
      <c r="E299" s="237">
        <v>44295.0</v>
      </c>
      <c r="F299" s="170" t="s">
        <v>439</v>
      </c>
      <c r="G299" s="219"/>
      <c r="H299" s="171">
        <v>50.0</v>
      </c>
      <c r="I299" s="171">
        <v>50.0</v>
      </c>
      <c r="J299" s="172">
        <f t="shared" si="14"/>
        <v>0.0007181677027</v>
      </c>
      <c r="K299" s="173">
        <f t="shared" si="16"/>
        <v>0.8258928581</v>
      </c>
      <c r="L299" s="174">
        <f t="shared" si="4"/>
        <v>9.783875323</v>
      </c>
      <c r="M299" s="175" t="str">
        <f t="shared" si="5"/>
        <v>GriffGreen</v>
      </c>
      <c r="N299" s="176">
        <f>IFERROR(__xludf.DUMMYFUNCTION("""COMPUTED_VALUE"""),47.0)</f>
        <v>47</v>
      </c>
      <c r="O299" s="176"/>
      <c r="P299" s="165" t="s">
        <v>450</v>
      </c>
      <c r="Q299" s="165" t="s">
        <v>441</v>
      </c>
      <c r="R299" s="176"/>
      <c r="S299" s="176"/>
      <c r="T299" s="176"/>
      <c r="U299" s="176"/>
      <c r="V299" s="176"/>
      <c r="W299" s="176"/>
      <c r="X299" s="176"/>
      <c r="Y299" s="176"/>
      <c r="Z299" s="176"/>
      <c r="AA299" s="176"/>
    </row>
    <row r="300">
      <c r="A300" s="165" t="str">
        <f>iferror(VLOOKUP(P300,'DO NOT TOUCH Imported'!$A$1:$D$800,4,False),iferror(VLOOKUP(P300,'DO NOT TOUCH Imported'!$C$1:$D$800,2,False),"OOPS FIX ME"))</f>
        <v>GriffGreen</v>
      </c>
      <c r="B300" s="165" t="s">
        <v>441</v>
      </c>
      <c r="C300" s="170" t="s">
        <v>1268</v>
      </c>
      <c r="D300" s="236" t="s">
        <v>437</v>
      </c>
      <c r="E300" s="237">
        <v>44295.0</v>
      </c>
      <c r="F300" s="170" t="s">
        <v>439</v>
      </c>
      <c r="G300" s="219"/>
      <c r="H300" s="171">
        <v>60.0</v>
      </c>
      <c r="I300" s="171">
        <v>80.0</v>
      </c>
      <c r="J300" s="172">
        <f t="shared" si="14"/>
        <v>0.001004434248</v>
      </c>
      <c r="K300" s="173">
        <f t="shared" si="16"/>
        <v>1.155099386</v>
      </c>
      <c r="L300" s="174">
        <f t="shared" si="4"/>
        <v>9.783875323</v>
      </c>
      <c r="M300" s="175" t="str">
        <f t="shared" si="5"/>
        <v>GriffGreen</v>
      </c>
      <c r="N300" s="176">
        <f>IFERROR(__xludf.DUMMYFUNCTION("""COMPUTED_VALUE"""),48.0)</f>
        <v>48</v>
      </c>
      <c r="O300" s="176"/>
      <c r="P300" s="165" t="s">
        <v>450</v>
      </c>
      <c r="Q300" s="165" t="s">
        <v>441</v>
      </c>
      <c r="R300" s="176"/>
      <c r="S300" s="176"/>
      <c r="T300" s="176"/>
      <c r="U300" s="176"/>
      <c r="V300" s="176"/>
      <c r="W300" s="176"/>
      <c r="X300" s="176"/>
      <c r="Y300" s="176"/>
      <c r="Z300" s="176"/>
      <c r="AA300" s="176"/>
    </row>
    <row r="301">
      <c r="A301" s="165" t="str">
        <f>iferror(VLOOKUP(P301,'DO NOT TOUCH Imported'!$A$1:$D$800,4,False),iferror(VLOOKUP(P301,'DO NOT TOUCH Imported'!$C$1:$D$800,2,False),"OOPS FIX ME"))</f>
        <v>GriffGreen</v>
      </c>
      <c r="B301" s="165" t="s">
        <v>441</v>
      </c>
      <c r="C301" s="170" t="s">
        <v>1269</v>
      </c>
      <c r="D301" s="236" t="s">
        <v>437</v>
      </c>
      <c r="E301" s="237">
        <v>44295.0</v>
      </c>
      <c r="F301" s="170" t="s">
        <v>439</v>
      </c>
      <c r="G301" s="219"/>
      <c r="H301" s="171">
        <v>60.0</v>
      </c>
      <c r="I301" s="171">
        <v>50.0</v>
      </c>
      <c r="J301" s="172">
        <f t="shared" si="14"/>
        <v>0.0007904847406</v>
      </c>
      <c r="K301" s="173">
        <f t="shared" si="16"/>
        <v>0.9090574516</v>
      </c>
      <c r="L301" s="174">
        <f t="shared" si="4"/>
        <v>9.783875323</v>
      </c>
      <c r="M301" s="175" t="str">
        <f t="shared" si="5"/>
        <v>GriffGreen</v>
      </c>
      <c r="N301" s="176">
        <f>IFERROR(__xludf.DUMMYFUNCTION("""COMPUTED_VALUE"""),49.0)</f>
        <v>49</v>
      </c>
      <c r="O301" s="176"/>
      <c r="P301" s="165" t="s">
        <v>450</v>
      </c>
      <c r="Q301" s="165" t="s">
        <v>441</v>
      </c>
      <c r="R301" s="176"/>
      <c r="S301" s="176"/>
      <c r="T301" s="176"/>
      <c r="U301" s="176"/>
      <c r="V301" s="176"/>
      <c r="W301" s="176"/>
      <c r="X301" s="176"/>
      <c r="Y301" s="176"/>
      <c r="Z301" s="176"/>
      <c r="AA301" s="176"/>
    </row>
    <row r="302">
      <c r="A302" s="165" t="str">
        <f>iferror(VLOOKUP(P302,'DO NOT TOUCH Imported'!$A$1:$D$800,4,False),iferror(VLOOKUP(P302,'DO NOT TOUCH Imported'!$C$1:$D$800,2,False),"OOPS FIX ME"))</f>
        <v>GriffGreen</v>
      </c>
      <c r="B302" s="165" t="s">
        <v>440</v>
      </c>
      <c r="C302" s="170" t="s">
        <v>1372</v>
      </c>
      <c r="D302" s="236" t="s">
        <v>437</v>
      </c>
      <c r="E302" s="237">
        <v>44295.0</v>
      </c>
      <c r="F302" s="170" t="s">
        <v>439</v>
      </c>
      <c r="G302" s="219"/>
      <c r="H302" s="171">
        <v>60.0</v>
      </c>
      <c r="I302" s="171">
        <v>100.0</v>
      </c>
      <c r="J302" s="172">
        <f t="shared" si="14"/>
        <v>0.001147067254</v>
      </c>
      <c r="K302" s="173">
        <f t="shared" si="16"/>
        <v>1.319127342</v>
      </c>
      <c r="L302" s="174">
        <f t="shared" si="4"/>
        <v>9.783875323</v>
      </c>
      <c r="M302" s="175" t="str">
        <f t="shared" si="5"/>
        <v>GriffGreen</v>
      </c>
      <c r="N302" s="176">
        <f>IFERROR(__xludf.DUMMYFUNCTION("""COMPUTED_VALUE"""),50.0)</f>
        <v>50</v>
      </c>
      <c r="O302" s="176"/>
      <c r="P302" s="165" t="s">
        <v>450</v>
      </c>
      <c r="Q302" s="165" t="s">
        <v>440</v>
      </c>
      <c r="R302" s="176"/>
      <c r="S302" s="176"/>
      <c r="T302" s="176"/>
      <c r="U302" s="176"/>
      <c r="V302" s="176"/>
      <c r="W302" s="176"/>
      <c r="X302" s="176"/>
      <c r="Y302" s="176"/>
      <c r="Z302" s="176"/>
      <c r="AA302" s="176"/>
    </row>
    <row r="303">
      <c r="A303" s="165" t="str">
        <f>iferror(VLOOKUP(P303,'DO NOT TOUCH Imported'!$A$1:$D$800,4,False),iferror(VLOOKUP(P303,'DO NOT TOUCH Imported'!$C$1:$D$800,2,False),"OOPS FIX ME"))</f>
        <v>Suga#8514</v>
      </c>
      <c r="B303" s="165" t="s">
        <v>43</v>
      </c>
      <c r="C303" s="170" t="s">
        <v>1373</v>
      </c>
      <c r="D303" s="236" t="s">
        <v>495</v>
      </c>
      <c r="E303" s="239">
        <v>44295.0</v>
      </c>
      <c r="F303" s="170" t="s">
        <v>496</v>
      </c>
      <c r="G303" s="219"/>
      <c r="H303" s="171">
        <v>20.0</v>
      </c>
      <c r="I303" s="171">
        <v>30.0</v>
      </c>
      <c r="J303" s="172">
        <f t="shared" si="14"/>
        <v>0.0003585835837</v>
      </c>
      <c r="K303" s="173">
        <f t="shared" si="16"/>
        <v>0.4123711213</v>
      </c>
      <c r="L303" s="174">
        <f t="shared" si="4"/>
        <v>9.542802011</v>
      </c>
      <c r="M303" s="175" t="str">
        <f t="shared" si="5"/>
        <v>Suga#8514</v>
      </c>
      <c r="N303" s="176">
        <f>IFERROR(__xludf.DUMMYFUNCTION("""COMPUTED_VALUE"""),1.0)</f>
        <v>1</v>
      </c>
      <c r="O303" s="176"/>
      <c r="P303" s="165" t="s">
        <v>1374</v>
      </c>
      <c r="Q303" s="165" t="s">
        <v>43</v>
      </c>
      <c r="R303" s="176"/>
      <c r="S303" s="176"/>
      <c r="T303" s="176"/>
      <c r="U303" s="176"/>
      <c r="V303" s="176"/>
      <c r="W303" s="176"/>
      <c r="X303" s="176"/>
      <c r="Y303" s="176"/>
      <c r="Z303" s="176"/>
      <c r="AA303" s="176"/>
    </row>
    <row r="304">
      <c r="A304" s="165" t="str">
        <f>iferror(VLOOKUP(P304,'DO NOT TOUCH Imported'!$A$1:$D$800,4,False),iferror(VLOOKUP(P304,'DO NOT TOUCH Imported'!$C$1:$D$800,2,False),"OOPS FIX ME"))</f>
        <v>Suga#8514</v>
      </c>
      <c r="B304" s="165" t="s">
        <v>435</v>
      </c>
      <c r="C304" s="170" t="s">
        <v>1375</v>
      </c>
      <c r="D304" s="236" t="s">
        <v>437</v>
      </c>
      <c r="E304" s="239">
        <v>44284.0</v>
      </c>
      <c r="F304" s="170" t="s">
        <v>1376</v>
      </c>
      <c r="G304" s="219"/>
      <c r="H304" s="171">
        <v>100.0</v>
      </c>
      <c r="I304" s="171">
        <v>75.0</v>
      </c>
      <c r="J304" s="172">
        <f t="shared" si="14"/>
        <v>0.001258044149</v>
      </c>
      <c r="K304" s="173">
        <f t="shared" si="16"/>
        <v>1.446750771</v>
      </c>
      <c r="L304" s="174">
        <f t="shared" si="4"/>
        <v>9.542802011</v>
      </c>
      <c r="M304" s="175" t="str">
        <f t="shared" si="5"/>
        <v>Suga#8514</v>
      </c>
      <c r="N304" s="176">
        <f>IFERROR(__xludf.DUMMYFUNCTION("""COMPUTED_VALUE"""),2.0)</f>
        <v>2</v>
      </c>
      <c r="O304" s="176"/>
      <c r="P304" s="165" t="s">
        <v>45</v>
      </c>
      <c r="Q304" s="165" t="s">
        <v>435</v>
      </c>
      <c r="R304" s="176"/>
      <c r="S304" s="176"/>
      <c r="T304" s="176"/>
      <c r="U304" s="176"/>
      <c r="V304" s="176"/>
      <c r="W304" s="176"/>
      <c r="X304" s="176"/>
      <c r="Y304" s="176"/>
      <c r="Z304" s="176"/>
      <c r="AA304" s="176"/>
    </row>
    <row r="305">
      <c r="A305" s="165" t="str">
        <f>iferror(VLOOKUP(P305,'DO NOT TOUCH Imported'!$A$1:$D$800,4,False),iferror(VLOOKUP(P305,'DO NOT TOUCH Imported'!$C$1:$D$800,2,False),"OOPS FIX ME"))</f>
        <v>Suga#8514</v>
      </c>
      <c r="B305" s="165" t="s">
        <v>490</v>
      </c>
      <c r="C305" s="170" t="s">
        <v>1240</v>
      </c>
      <c r="D305" s="236" t="s">
        <v>437</v>
      </c>
      <c r="E305" s="239">
        <v>44286.0</v>
      </c>
      <c r="F305" s="170" t="s">
        <v>439</v>
      </c>
      <c r="G305" s="219"/>
      <c r="H305" s="171">
        <v>60.0</v>
      </c>
      <c r="I305" s="171">
        <v>50.0</v>
      </c>
      <c r="J305" s="172">
        <f t="shared" si="14"/>
        <v>0.0007904847406</v>
      </c>
      <c r="K305" s="173">
        <f t="shared" si="16"/>
        <v>0.9090574516</v>
      </c>
      <c r="L305" s="174">
        <f t="shared" si="4"/>
        <v>9.542802011</v>
      </c>
      <c r="M305" s="175" t="str">
        <f t="shared" si="5"/>
        <v>Suga#8514</v>
      </c>
      <c r="N305" s="176">
        <f>IFERROR(__xludf.DUMMYFUNCTION("""COMPUTED_VALUE"""),3.0)</f>
        <v>3</v>
      </c>
      <c r="O305" s="176"/>
      <c r="P305" s="165" t="s">
        <v>45</v>
      </c>
      <c r="Q305" s="165" t="s">
        <v>490</v>
      </c>
      <c r="R305" s="176"/>
      <c r="S305" s="176"/>
      <c r="T305" s="176"/>
      <c r="U305" s="176"/>
      <c r="V305" s="176"/>
      <c r="W305" s="176"/>
      <c r="X305" s="176"/>
      <c r="Y305" s="176"/>
      <c r="Z305" s="176"/>
      <c r="AA305" s="176"/>
    </row>
    <row r="306">
      <c r="A306" s="165" t="str">
        <f>iferror(VLOOKUP(P306,'DO NOT TOUCH Imported'!$A$1:$D$800,4,False),iferror(VLOOKUP(P306,'DO NOT TOUCH Imported'!$C$1:$D$800,2,False),"OOPS FIX ME"))</f>
        <v>Suga#8514</v>
      </c>
      <c r="B306" s="165" t="s">
        <v>530</v>
      </c>
      <c r="C306" s="170" t="s">
        <v>1377</v>
      </c>
      <c r="D306" s="236" t="s">
        <v>499</v>
      </c>
      <c r="E306" s="237">
        <v>44291.0</v>
      </c>
      <c r="F306" s="170" t="s">
        <v>503</v>
      </c>
      <c r="G306" s="219"/>
      <c r="H306" s="171">
        <v>40.0</v>
      </c>
      <c r="I306" s="171">
        <v>40.0</v>
      </c>
      <c r="J306" s="172">
        <f t="shared" si="14"/>
        <v>0.0005745341621</v>
      </c>
      <c r="K306" s="173">
        <f t="shared" si="16"/>
        <v>0.6607142865</v>
      </c>
      <c r="L306" s="174">
        <f t="shared" si="4"/>
        <v>9.542802011</v>
      </c>
      <c r="M306" s="175" t="str">
        <f t="shared" si="5"/>
        <v>Suga#8514</v>
      </c>
      <c r="N306" s="176">
        <f>IFERROR(__xludf.DUMMYFUNCTION("""COMPUTED_VALUE"""),4.0)</f>
        <v>4</v>
      </c>
      <c r="O306" s="176"/>
      <c r="P306" s="165" t="s">
        <v>45</v>
      </c>
      <c r="Q306" s="165" t="s">
        <v>530</v>
      </c>
      <c r="R306" s="176"/>
      <c r="S306" s="176"/>
      <c r="T306" s="176"/>
      <c r="U306" s="176"/>
      <c r="V306" s="176"/>
      <c r="W306" s="176"/>
      <c r="X306" s="176"/>
      <c r="Y306" s="176"/>
      <c r="Z306" s="176"/>
      <c r="AA306" s="176"/>
    </row>
    <row r="307">
      <c r="A307" s="165" t="str">
        <f>iferror(VLOOKUP(P307,'DO NOT TOUCH Imported'!$A$1:$D$800,4,False),iferror(VLOOKUP(P307,'DO NOT TOUCH Imported'!$C$1:$D$800,2,False),"OOPS FIX ME"))</f>
        <v>Suga#8514</v>
      </c>
      <c r="B307" s="165" t="s">
        <v>440</v>
      </c>
      <c r="C307" s="170" t="s">
        <v>1257</v>
      </c>
      <c r="D307" s="236" t="s">
        <v>437</v>
      </c>
      <c r="E307" s="237">
        <v>44292.0</v>
      </c>
      <c r="F307" s="170" t="s">
        <v>439</v>
      </c>
      <c r="G307" s="219"/>
      <c r="H307" s="171">
        <v>70.0</v>
      </c>
      <c r="I307" s="171">
        <v>50.0</v>
      </c>
      <c r="J307" s="172">
        <f t="shared" si="14"/>
        <v>0.0008628017785</v>
      </c>
      <c r="K307" s="173">
        <f t="shared" si="16"/>
        <v>0.9922220452</v>
      </c>
      <c r="L307" s="174">
        <f t="shared" si="4"/>
        <v>9.542802011</v>
      </c>
      <c r="M307" s="175" t="str">
        <f t="shared" si="5"/>
        <v>Suga#8514</v>
      </c>
      <c r="N307" s="176">
        <f>IFERROR(__xludf.DUMMYFUNCTION("""COMPUTED_VALUE"""),5.0)</f>
        <v>5</v>
      </c>
      <c r="O307" s="176"/>
      <c r="P307" s="165" t="s">
        <v>45</v>
      </c>
      <c r="Q307" s="165" t="s">
        <v>440</v>
      </c>
      <c r="R307" s="176"/>
      <c r="S307" s="176"/>
      <c r="T307" s="176"/>
      <c r="U307" s="176"/>
      <c r="V307" s="176"/>
      <c r="W307" s="176"/>
      <c r="X307" s="176"/>
      <c r="Y307" s="176"/>
      <c r="Z307" s="176"/>
      <c r="AA307" s="176"/>
    </row>
    <row r="308">
      <c r="A308" s="165" t="str">
        <f>iferror(VLOOKUP(P308,'DO NOT TOUCH Imported'!$A$1:$D$800,4,False),iferror(VLOOKUP(P308,'DO NOT TOUCH Imported'!$C$1:$D$800,2,False),"OOPS FIX ME"))</f>
        <v>Suga#8514</v>
      </c>
      <c r="B308" s="165" t="s">
        <v>441</v>
      </c>
      <c r="C308" s="170" t="s">
        <v>1378</v>
      </c>
      <c r="D308" s="236" t="s">
        <v>437</v>
      </c>
      <c r="E308" s="237">
        <v>44295.0</v>
      </c>
      <c r="F308" s="170" t="s">
        <v>439</v>
      </c>
      <c r="G308" s="219"/>
      <c r="H308" s="171">
        <v>100.0</v>
      </c>
      <c r="I308" s="171">
        <v>100.0</v>
      </c>
      <c r="J308" s="172">
        <f t="shared" si="14"/>
        <v>0.001436335405</v>
      </c>
      <c r="K308" s="173">
        <f t="shared" si="16"/>
        <v>1.651785716</v>
      </c>
      <c r="L308" s="174">
        <f t="shared" si="4"/>
        <v>9.542802011</v>
      </c>
      <c r="M308" s="175" t="str">
        <f t="shared" si="5"/>
        <v>Suga#8514</v>
      </c>
      <c r="N308" s="176">
        <f>IFERROR(__xludf.DUMMYFUNCTION("""COMPUTED_VALUE"""),6.0)</f>
        <v>6</v>
      </c>
      <c r="O308" s="176"/>
      <c r="P308" s="165" t="s">
        <v>45</v>
      </c>
      <c r="Q308" s="165" t="s">
        <v>441</v>
      </c>
      <c r="R308" s="176"/>
      <c r="S308" s="176"/>
      <c r="T308" s="176"/>
      <c r="U308" s="176"/>
      <c r="V308" s="176"/>
      <c r="W308" s="176"/>
      <c r="X308" s="176"/>
      <c r="Y308" s="176"/>
      <c r="Z308" s="176"/>
      <c r="AA308" s="176"/>
    </row>
    <row r="309">
      <c r="A309" s="165" t="str">
        <f>iferror(VLOOKUP(P309,'DO NOT TOUCH Imported'!$A$1:$D$800,4,False),iferror(VLOOKUP(P309,'DO NOT TOUCH Imported'!$C$1:$D$800,2,False),"OOPS FIX ME"))</f>
        <v>Suga#8514</v>
      </c>
      <c r="B309" s="165" t="s">
        <v>441</v>
      </c>
      <c r="C309" s="170" t="s">
        <v>1379</v>
      </c>
      <c r="D309" s="236" t="s">
        <v>437</v>
      </c>
      <c r="E309" s="237">
        <v>44295.0</v>
      </c>
      <c r="F309" s="170" t="s">
        <v>439</v>
      </c>
      <c r="G309" s="219"/>
      <c r="H309" s="171">
        <v>70.0</v>
      </c>
      <c r="I309" s="171">
        <v>50.0</v>
      </c>
      <c r="J309" s="172">
        <f t="shared" si="14"/>
        <v>0.0008628017785</v>
      </c>
      <c r="K309" s="173">
        <f t="shared" si="16"/>
        <v>0.9922220452</v>
      </c>
      <c r="L309" s="174">
        <f t="shared" si="4"/>
        <v>9.542802011</v>
      </c>
      <c r="M309" s="175" t="str">
        <f t="shared" si="5"/>
        <v>Suga#8514</v>
      </c>
      <c r="N309" s="176">
        <f>IFERROR(__xludf.DUMMYFUNCTION("""COMPUTED_VALUE"""),7.0)</f>
        <v>7</v>
      </c>
      <c r="O309" s="176"/>
      <c r="P309" s="165" t="s">
        <v>45</v>
      </c>
      <c r="Q309" s="165" t="s">
        <v>441</v>
      </c>
      <c r="R309" s="176"/>
      <c r="S309" s="176"/>
      <c r="T309" s="176"/>
      <c r="U309" s="176"/>
      <c r="V309" s="176"/>
      <c r="W309" s="176"/>
      <c r="X309" s="176"/>
      <c r="Y309" s="176"/>
      <c r="Z309" s="176"/>
      <c r="AA309" s="176"/>
    </row>
    <row r="310">
      <c r="A310" s="165" t="str">
        <f>iferror(VLOOKUP(P310,'DO NOT TOUCH Imported'!$A$1:$D$800,4,False),iferror(VLOOKUP(P310,'DO NOT TOUCH Imported'!$C$1:$D$800,2,False),"OOPS FIX ME"))</f>
        <v>Suga#8514</v>
      </c>
      <c r="B310" s="165" t="s">
        <v>441</v>
      </c>
      <c r="C310" s="170" t="s">
        <v>1267</v>
      </c>
      <c r="D310" s="236" t="s">
        <v>437</v>
      </c>
      <c r="E310" s="237">
        <v>44295.0</v>
      </c>
      <c r="F310" s="170" t="s">
        <v>439</v>
      </c>
      <c r="G310" s="219"/>
      <c r="H310" s="171">
        <v>50.0</v>
      </c>
      <c r="I310" s="171">
        <v>50.0</v>
      </c>
      <c r="J310" s="172">
        <f t="shared" si="14"/>
        <v>0.0007181677027</v>
      </c>
      <c r="K310" s="173">
        <f t="shared" si="16"/>
        <v>0.8258928581</v>
      </c>
      <c r="L310" s="174">
        <f t="shared" si="4"/>
        <v>9.542802011</v>
      </c>
      <c r="M310" s="175" t="str">
        <f t="shared" si="5"/>
        <v>Suga#8514</v>
      </c>
      <c r="N310" s="176">
        <f>IFERROR(__xludf.DUMMYFUNCTION("""COMPUTED_VALUE"""),8.0)</f>
        <v>8</v>
      </c>
      <c r="O310" s="176"/>
      <c r="P310" s="165" t="s">
        <v>45</v>
      </c>
      <c r="Q310" s="165" t="s">
        <v>441</v>
      </c>
      <c r="R310" s="176"/>
      <c r="S310" s="176"/>
      <c r="T310" s="176"/>
      <c r="U310" s="176"/>
      <c r="V310" s="176"/>
      <c r="W310" s="176"/>
      <c r="X310" s="176"/>
      <c r="Y310" s="176"/>
      <c r="Z310" s="176"/>
      <c r="AA310" s="176"/>
    </row>
    <row r="311">
      <c r="A311" s="165" t="str">
        <f>iferror(VLOOKUP(P311,'DO NOT TOUCH Imported'!$A$1:$D$800,4,False),iferror(VLOOKUP(P311,'DO NOT TOUCH Imported'!$C$1:$D$800,2,False),"OOPS FIX ME"))</f>
        <v>Suga#8514</v>
      </c>
      <c r="B311" s="165" t="s">
        <v>530</v>
      </c>
      <c r="C311" s="170" t="s">
        <v>1380</v>
      </c>
      <c r="D311" s="236" t="s">
        <v>499</v>
      </c>
      <c r="E311" s="237">
        <v>44295.0</v>
      </c>
      <c r="F311" s="170" t="s">
        <v>503</v>
      </c>
      <c r="G311" s="219"/>
      <c r="H311" s="171">
        <v>100.0</v>
      </c>
      <c r="I311" s="171">
        <v>100.0</v>
      </c>
      <c r="J311" s="172">
        <f t="shared" si="14"/>
        <v>0.001436335405</v>
      </c>
      <c r="K311" s="173">
        <f t="shared" si="16"/>
        <v>1.651785716</v>
      </c>
      <c r="L311" s="174">
        <f t="shared" si="4"/>
        <v>9.542802011</v>
      </c>
      <c r="M311" s="175" t="str">
        <f t="shared" si="5"/>
        <v>Suga#8514</v>
      </c>
      <c r="N311" s="176">
        <f>IFERROR(__xludf.DUMMYFUNCTION("""COMPUTED_VALUE"""),9.0)</f>
        <v>9</v>
      </c>
      <c r="O311" s="176"/>
      <c r="P311" s="165" t="s">
        <v>45</v>
      </c>
      <c r="Q311" s="165" t="s">
        <v>530</v>
      </c>
      <c r="R311" s="176"/>
      <c r="S311" s="176"/>
      <c r="T311" s="176"/>
      <c r="U311" s="176"/>
      <c r="V311" s="176"/>
      <c r="W311" s="176"/>
      <c r="X311" s="176"/>
      <c r="Y311" s="176"/>
      <c r="Z311" s="176"/>
      <c r="AA311" s="176"/>
    </row>
    <row r="312">
      <c r="A312" s="165" t="str">
        <f>iferror(VLOOKUP(P312,'DO NOT TOUCH Imported'!$A$1:$D$800,4,False),iferror(VLOOKUP(P312,'DO NOT TOUCH Imported'!$C$1:$D$800,2,False),"OOPS FIX ME"))</f>
        <v>owocki</v>
      </c>
      <c r="B312" s="165" t="s">
        <v>10</v>
      </c>
      <c r="C312" s="170" t="s">
        <v>498</v>
      </c>
      <c r="D312" s="236" t="s">
        <v>495</v>
      </c>
      <c r="E312" s="239">
        <v>44282.0</v>
      </c>
      <c r="F312" s="170" t="s">
        <v>499</v>
      </c>
      <c r="G312" s="219"/>
      <c r="H312" s="171">
        <v>20.0</v>
      </c>
      <c r="I312" s="171">
        <v>25.0</v>
      </c>
      <c r="J312" s="172">
        <f t="shared" si="14"/>
        <v>0.0003229253324</v>
      </c>
      <c r="K312" s="173">
        <f t="shared" si="16"/>
        <v>0.3713641322</v>
      </c>
      <c r="L312" s="174">
        <f t="shared" si="4"/>
        <v>8.470867219</v>
      </c>
      <c r="M312" s="175" t="str">
        <f t="shared" si="5"/>
        <v>owocki</v>
      </c>
      <c r="N312" s="176">
        <f>IFERROR(__xludf.DUMMYFUNCTION("""COMPUTED_VALUE"""),1.0)</f>
        <v>1</v>
      </c>
      <c r="O312" s="176"/>
      <c r="P312" s="165" t="s">
        <v>69</v>
      </c>
      <c r="Q312" s="165" t="s">
        <v>10</v>
      </c>
      <c r="R312" s="176"/>
      <c r="S312" s="176"/>
      <c r="T312" s="176"/>
      <c r="U312" s="176"/>
      <c r="V312" s="176"/>
      <c r="W312" s="176"/>
      <c r="X312" s="176"/>
      <c r="Y312" s="176"/>
      <c r="Z312" s="176"/>
      <c r="AA312" s="176"/>
    </row>
    <row r="313">
      <c r="A313" s="165" t="str">
        <f>iferror(VLOOKUP(P313,'DO NOT TOUCH Imported'!$A$1:$D$800,4,False),iferror(VLOOKUP(P313,'DO NOT TOUCH Imported'!$C$1:$D$800,2,False),"OOPS FIX ME"))</f>
        <v>owocki</v>
      </c>
      <c r="B313" s="165" t="s">
        <v>10</v>
      </c>
      <c r="C313" s="170" t="s">
        <v>500</v>
      </c>
      <c r="D313" s="236" t="s">
        <v>495</v>
      </c>
      <c r="E313" s="239">
        <v>44289.0</v>
      </c>
      <c r="F313" s="170" t="s">
        <v>496</v>
      </c>
      <c r="G313" s="219"/>
      <c r="H313" s="171">
        <v>20.0</v>
      </c>
      <c r="I313" s="171">
        <v>15.0</v>
      </c>
      <c r="J313" s="172">
        <f t="shared" si="14"/>
        <v>0.0002516088297</v>
      </c>
      <c r="K313" s="173">
        <f t="shared" si="16"/>
        <v>0.2893501542</v>
      </c>
      <c r="L313" s="174">
        <f t="shared" si="4"/>
        <v>8.470867219</v>
      </c>
      <c r="M313" s="175" t="str">
        <f t="shared" si="5"/>
        <v>owocki</v>
      </c>
      <c r="N313" s="176">
        <f>IFERROR(__xludf.DUMMYFUNCTION("""COMPUTED_VALUE"""),2.0)</f>
        <v>2</v>
      </c>
      <c r="O313" s="176"/>
      <c r="P313" s="165" t="s">
        <v>69</v>
      </c>
      <c r="Q313" s="165" t="s">
        <v>10</v>
      </c>
      <c r="R313" s="176"/>
      <c r="S313" s="176"/>
      <c r="T313" s="176"/>
      <c r="U313" s="176"/>
      <c r="V313" s="176"/>
      <c r="W313" s="176"/>
      <c r="X313" s="176"/>
      <c r="Y313" s="176"/>
      <c r="Z313" s="176"/>
      <c r="AA313" s="176"/>
    </row>
    <row r="314">
      <c r="A314" s="165" t="str">
        <f>iferror(VLOOKUP(P314,'DO NOT TOUCH Imported'!$A$1:$D$800,4,False),iferror(VLOOKUP(P314,'DO NOT TOUCH Imported'!$C$1:$D$800,2,False),"OOPS FIX ME"))</f>
        <v>owocki</v>
      </c>
      <c r="B314" s="165" t="s">
        <v>10</v>
      </c>
      <c r="C314" s="170" t="s">
        <v>500</v>
      </c>
      <c r="D314" s="236" t="s">
        <v>495</v>
      </c>
      <c r="E314" s="239">
        <v>44295.0</v>
      </c>
      <c r="F314" s="170" t="s">
        <v>496</v>
      </c>
      <c r="G314" s="219"/>
      <c r="H314" s="171">
        <v>20.0</v>
      </c>
      <c r="I314" s="171">
        <v>25.0</v>
      </c>
      <c r="J314" s="172">
        <f t="shared" si="14"/>
        <v>0.0003229253324</v>
      </c>
      <c r="K314" s="173">
        <f t="shared" si="16"/>
        <v>0.3713641322</v>
      </c>
      <c r="L314" s="174">
        <f t="shared" si="4"/>
        <v>8.470867219</v>
      </c>
      <c r="M314" s="175" t="str">
        <f t="shared" si="5"/>
        <v>owocki</v>
      </c>
      <c r="N314" s="176">
        <f>IFERROR(__xludf.DUMMYFUNCTION("""COMPUTED_VALUE"""),3.0)</f>
        <v>3</v>
      </c>
      <c r="O314" s="176"/>
      <c r="P314" s="165" t="s">
        <v>69</v>
      </c>
      <c r="Q314" s="165" t="s">
        <v>10</v>
      </c>
      <c r="R314" s="176"/>
      <c r="S314" s="176"/>
      <c r="T314" s="176"/>
      <c r="U314" s="176"/>
      <c r="V314" s="176"/>
      <c r="W314" s="176"/>
      <c r="X314" s="176"/>
      <c r="Y314" s="176"/>
      <c r="Z314" s="176"/>
      <c r="AA314" s="176"/>
    </row>
    <row r="315">
      <c r="A315" s="165" t="str">
        <f>iferror(VLOOKUP(P315,'DO NOT TOUCH Imported'!$A$1:$D$800,4,False),iferror(VLOOKUP(P315,'DO NOT TOUCH Imported'!$C$1:$D$800,2,False),"OOPS FIX ME"))</f>
        <v>owocki</v>
      </c>
      <c r="B315" s="165" t="s">
        <v>564</v>
      </c>
      <c r="C315" s="170" t="s">
        <v>1381</v>
      </c>
      <c r="D315" s="236" t="s">
        <v>499</v>
      </c>
      <c r="E315" s="237">
        <v>44291.0</v>
      </c>
      <c r="F315" s="170" t="s">
        <v>503</v>
      </c>
      <c r="G315" s="219"/>
      <c r="H315" s="171">
        <v>400.0</v>
      </c>
      <c r="I315" s="171">
        <v>300.0</v>
      </c>
      <c r="J315" s="172">
        <f t="shared" si="14"/>
        <v>0.005032176595</v>
      </c>
      <c r="K315" s="173">
        <f t="shared" si="16"/>
        <v>5.787003084</v>
      </c>
      <c r="L315" s="174">
        <f t="shared" si="4"/>
        <v>8.470867219</v>
      </c>
      <c r="M315" s="175" t="str">
        <f t="shared" si="5"/>
        <v>owocki</v>
      </c>
      <c r="N315" s="176">
        <f>IFERROR(__xludf.DUMMYFUNCTION("""COMPUTED_VALUE"""),4.0)</f>
        <v>4</v>
      </c>
      <c r="O315" s="176"/>
      <c r="P315" s="165" t="s">
        <v>761</v>
      </c>
      <c r="Q315" s="165" t="s">
        <v>564</v>
      </c>
      <c r="R315" s="176"/>
      <c r="S315" s="176"/>
      <c r="T315" s="176"/>
      <c r="U315" s="176"/>
      <c r="V315" s="176"/>
      <c r="W315" s="176"/>
      <c r="X315" s="176"/>
      <c r="Y315" s="176"/>
      <c r="Z315" s="176"/>
      <c r="AA315" s="176"/>
    </row>
    <row r="316">
      <c r="A316" s="165" t="str">
        <f>iferror(VLOOKUP(P316,'DO NOT TOUCH Imported'!$A$1:$D$800,4,False),iferror(VLOOKUP(P316,'DO NOT TOUCH Imported'!$C$1:$D$800,2,False),"OOPS FIX ME"))</f>
        <v>owocki</v>
      </c>
      <c r="B316" s="165" t="s">
        <v>566</v>
      </c>
      <c r="C316" s="170" t="s">
        <v>1382</v>
      </c>
      <c r="D316" s="236" t="s">
        <v>499</v>
      </c>
      <c r="E316" s="237">
        <v>44291.0</v>
      </c>
      <c r="F316" s="170" t="s">
        <v>503</v>
      </c>
      <c r="G316" s="219"/>
      <c r="H316" s="171">
        <v>100.0</v>
      </c>
      <c r="I316" s="171">
        <v>100.0</v>
      </c>
      <c r="J316" s="172">
        <f t="shared" si="14"/>
        <v>0.001436335405</v>
      </c>
      <c r="K316" s="173">
        <f t="shared" si="16"/>
        <v>1.651785716</v>
      </c>
      <c r="L316" s="174">
        <f t="shared" si="4"/>
        <v>8.470867219</v>
      </c>
      <c r="M316" s="175" t="str">
        <f t="shared" si="5"/>
        <v>owocki</v>
      </c>
      <c r="N316" s="176">
        <f>IFERROR(__xludf.DUMMYFUNCTION("""COMPUTED_VALUE"""),5.0)</f>
        <v>5</v>
      </c>
      <c r="O316" s="176"/>
      <c r="P316" s="165" t="s">
        <v>761</v>
      </c>
      <c r="Q316" s="165" t="s">
        <v>566</v>
      </c>
      <c r="R316" s="176"/>
      <c r="S316" s="176"/>
      <c r="T316" s="176"/>
      <c r="U316" s="176"/>
      <c r="V316" s="176"/>
      <c r="W316" s="176"/>
      <c r="X316" s="176"/>
      <c r="Y316" s="176"/>
      <c r="Z316" s="176"/>
      <c r="AA316" s="176"/>
    </row>
    <row r="317">
      <c r="A317" s="165" t="str">
        <f>iferror(VLOOKUP(P317,'DO NOT TOUCH Imported'!$A$1:$D$800,4,False),iferror(VLOOKUP(P317,'DO NOT TOUCH Imported'!$C$1:$D$800,2,False),"OOPS FIX ME"))</f>
        <v>akrtws</v>
      </c>
      <c r="B317" s="165" t="s">
        <v>10</v>
      </c>
      <c r="C317" s="170" t="s">
        <v>498</v>
      </c>
      <c r="D317" s="236" t="s">
        <v>495</v>
      </c>
      <c r="E317" s="239">
        <v>44282.0</v>
      </c>
      <c r="F317" s="170" t="s">
        <v>499</v>
      </c>
      <c r="G317" s="219"/>
      <c r="H317" s="171">
        <v>20.0</v>
      </c>
      <c r="I317" s="171">
        <v>15.0</v>
      </c>
      <c r="J317" s="172">
        <f t="shared" si="14"/>
        <v>0.0002516088297</v>
      </c>
      <c r="K317" s="173">
        <f t="shared" si="16"/>
        <v>0.2893501542</v>
      </c>
      <c r="L317" s="174">
        <f t="shared" si="4"/>
        <v>8.229427747</v>
      </c>
      <c r="M317" s="175" t="str">
        <f t="shared" si="5"/>
        <v>akrtws</v>
      </c>
      <c r="N317" s="176">
        <f>IFERROR(__xludf.DUMMYFUNCTION("""COMPUTED_VALUE"""),1.0)</f>
        <v>1</v>
      </c>
      <c r="O317" s="176"/>
      <c r="P317" s="165" t="s">
        <v>9</v>
      </c>
      <c r="Q317" s="165" t="s">
        <v>10</v>
      </c>
      <c r="R317" s="176"/>
      <c r="S317" s="176"/>
      <c r="T317" s="176"/>
      <c r="U317" s="176"/>
      <c r="V317" s="176"/>
      <c r="W317" s="176"/>
      <c r="X317" s="176"/>
      <c r="Y317" s="176"/>
      <c r="Z317" s="176"/>
      <c r="AA317" s="176"/>
    </row>
    <row r="318">
      <c r="A318" s="165" t="str">
        <f>iferror(VLOOKUP(P318,'DO NOT TOUCH Imported'!$A$1:$D$800,4,False),iferror(VLOOKUP(P318,'DO NOT TOUCH Imported'!$C$1:$D$800,2,False),"OOPS FIX ME"))</f>
        <v>akrtws</v>
      </c>
      <c r="B318" s="165" t="s">
        <v>10</v>
      </c>
      <c r="C318" s="170" t="s">
        <v>498</v>
      </c>
      <c r="D318" s="236" t="s">
        <v>495</v>
      </c>
      <c r="E318" s="239">
        <v>44282.0</v>
      </c>
      <c r="F318" s="170" t="s">
        <v>499</v>
      </c>
      <c r="G318" s="219"/>
      <c r="H318" s="171">
        <v>20.0</v>
      </c>
      <c r="I318" s="171">
        <v>15.0</v>
      </c>
      <c r="J318" s="172">
        <f t="shared" si="14"/>
        <v>0.0002516088297</v>
      </c>
      <c r="K318" s="173">
        <f t="shared" si="16"/>
        <v>0.2893501542</v>
      </c>
      <c r="L318" s="174">
        <f t="shared" si="4"/>
        <v>8.229427747</v>
      </c>
      <c r="M318" s="175" t="str">
        <f t="shared" si="5"/>
        <v>akrtws</v>
      </c>
      <c r="N318" s="176">
        <f>IFERROR(__xludf.DUMMYFUNCTION("""COMPUTED_VALUE"""),2.0)</f>
        <v>2</v>
      </c>
      <c r="O318" s="176"/>
      <c r="P318" s="165" t="s">
        <v>9</v>
      </c>
      <c r="Q318" s="165" t="s">
        <v>10</v>
      </c>
      <c r="R318" s="176"/>
      <c r="S318" s="176"/>
      <c r="T318" s="176"/>
      <c r="U318" s="176"/>
      <c r="V318" s="176"/>
      <c r="W318" s="176"/>
      <c r="X318" s="176"/>
      <c r="Y318" s="176"/>
      <c r="Z318" s="176"/>
      <c r="AA318" s="176"/>
    </row>
    <row r="319">
      <c r="A319" s="165" t="str">
        <f>iferror(VLOOKUP(P319,'DO NOT TOUCH Imported'!$A$1:$D$800,4,False),iferror(VLOOKUP(P319,'DO NOT TOUCH Imported'!$C$1:$D$800,2,False),"OOPS FIX ME"))</f>
        <v>akrtws</v>
      </c>
      <c r="B319" s="165" t="s">
        <v>10</v>
      </c>
      <c r="C319" s="170" t="s">
        <v>500</v>
      </c>
      <c r="D319" s="236" t="s">
        <v>495</v>
      </c>
      <c r="E319" s="239">
        <v>44282.0</v>
      </c>
      <c r="F319" s="170" t="s">
        <v>496</v>
      </c>
      <c r="G319" s="219"/>
      <c r="H319" s="171">
        <v>20.0</v>
      </c>
      <c r="I319" s="171">
        <v>25.0</v>
      </c>
      <c r="J319" s="172">
        <f t="shared" si="14"/>
        <v>0.0003229253324</v>
      </c>
      <c r="K319" s="173">
        <f t="shared" si="16"/>
        <v>0.3713641322</v>
      </c>
      <c r="L319" s="174">
        <f t="shared" si="4"/>
        <v>8.229427747</v>
      </c>
      <c r="M319" s="175" t="str">
        <f t="shared" si="5"/>
        <v>akrtws</v>
      </c>
      <c r="N319" s="176">
        <f>IFERROR(__xludf.DUMMYFUNCTION("""COMPUTED_VALUE"""),3.0)</f>
        <v>3</v>
      </c>
      <c r="O319" s="176"/>
      <c r="P319" s="165" t="s">
        <v>9</v>
      </c>
      <c r="Q319" s="165" t="s">
        <v>10</v>
      </c>
      <c r="R319" s="176"/>
      <c r="S319" s="176"/>
      <c r="T319" s="176"/>
      <c r="U319" s="176"/>
      <c r="V319" s="176"/>
      <c r="W319" s="176"/>
      <c r="X319" s="176"/>
      <c r="Y319" s="176"/>
      <c r="Z319" s="176"/>
      <c r="AA319" s="176"/>
    </row>
    <row r="320">
      <c r="A320" s="165" t="str">
        <f>iferror(VLOOKUP(P320,'DO NOT TOUCH Imported'!$A$1:$D$800,4,False),iferror(VLOOKUP(P320,'DO NOT TOUCH Imported'!$C$1:$D$800,2,False),"OOPS FIX ME"))</f>
        <v>akrtws</v>
      </c>
      <c r="B320" s="165" t="s">
        <v>10</v>
      </c>
      <c r="C320" s="170" t="s">
        <v>498</v>
      </c>
      <c r="D320" s="236" t="s">
        <v>495</v>
      </c>
      <c r="E320" s="239">
        <v>44288.0</v>
      </c>
      <c r="F320" s="170" t="s">
        <v>499</v>
      </c>
      <c r="G320" s="219"/>
      <c r="H320" s="171">
        <v>20.0</v>
      </c>
      <c r="I320" s="171">
        <v>15.0</v>
      </c>
      <c r="J320" s="172">
        <f t="shared" si="14"/>
        <v>0.0002516088297</v>
      </c>
      <c r="K320" s="173">
        <f t="shared" si="16"/>
        <v>0.2893501542</v>
      </c>
      <c r="L320" s="174">
        <f t="shared" si="4"/>
        <v>8.229427747</v>
      </c>
      <c r="M320" s="175" t="str">
        <f t="shared" si="5"/>
        <v>akrtws</v>
      </c>
      <c r="N320" s="176">
        <f>IFERROR(__xludf.DUMMYFUNCTION("""COMPUTED_VALUE"""),4.0)</f>
        <v>4</v>
      </c>
      <c r="O320" s="176"/>
      <c r="P320" s="165" t="s">
        <v>9</v>
      </c>
      <c r="Q320" s="165" t="s">
        <v>10</v>
      </c>
      <c r="R320" s="176"/>
      <c r="S320" s="176"/>
      <c r="T320" s="176"/>
      <c r="U320" s="176"/>
      <c r="V320" s="176"/>
      <c r="W320" s="176"/>
      <c r="X320" s="176"/>
      <c r="Y320" s="176"/>
      <c r="Z320" s="176"/>
      <c r="AA320" s="176"/>
    </row>
    <row r="321">
      <c r="A321" s="165" t="str">
        <f>iferror(VLOOKUP(P321,'DO NOT TOUCH Imported'!$A$1:$D$800,4,False),iferror(VLOOKUP(P321,'DO NOT TOUCH Imported'!$C$1:$D$800,2,False),"OOPS FIX ME"))</f>
        <v>akrtws</v>
      </c>
      <c r="B321" s="165" t="s">
        <v>10</v>
      </c>
      <c r="C321" s="170" t="s">
        <v>500</v>
      </c>
      <c r="D321" s="236" t="s">
        <v>495</v>
      </c>
      <c r="E321" s="239">
        <v>44289.0</v>
      </c>
      <c r="F321" s="170" t="s">
        <v>496</v>
      </c>
      <c r="G321" s="219"/>
      <c r="H321" s="171">
        <v>20.0</v>
      </c>
      <c r="I321" s="171">
        <v>25.0</v>
      </c>
      <c r="J321" s="172">
        <f t="shared" si="14"/>
        <v>0.0003229253324</v>
      </c>
      <c r="K321" s="173">
        <f t="shared" si="16"/>
        <v>0.3713641322</v>
      </c>
      <c r="L321" s="174">
        <f t="shared" si="4"/>
        <v>8.229427747</v>
      </c>
      <c r="M321" s="175" t="str">
        <f t="shared" si="5"/>
        <v>akrtws</v>
      </c>
      <c r="N321" s="176">
        <f>IFERROR(__xludf.DUMMYFUNCTION("""COMPUTED_VALUE"""),5.0)</f>
        <v>5</v>
      </c>
      <c r="O321" s="176"/>
      <c r="P321" s="165" t="s">
        <v>9</v>
      </c>
      <c r="Q321" s="165" t="s">
        <v>10</v>
      </c>
      <c r="R321" s="176"/>
      <c r="S321" s="176"/>
      <c r="T321" s="176"/>
      <c r="U321" s="176"/>
      <c r="V321" s="176"/>
      <c r="W321" s="176"/>
      <c r="X321" s="176"/>
      <c r="Y321" s="176"/>
      <c r="Z321" s="176"/>
      <c r="AA321" s="176"/>
    </row>
    <row r="322">
      <c r="A322" s="165" t="str">
        <f>iferror(VLOOKUP(P322,'DO NOT TOUCH Imported'!$A$1:$D$800,4,False),iferror(VLOOKUP(P322,'DO NOT TOUCH Imported'!$C$1:$D$800,2,False),"OOPS FIX ME"))</f>
        <v>akrtws</v>
      </c>
      <c r="B322" s="165" t="s">
        <v>590</v>
      </c>
      <c r="C322" s="170" t="s">
        <v>1383</v>
      </c>
      <c r="D322" s="236" t="s">
        <v>495</v>
      </c>
      <c r="E322" s="239">
        <v>44291.0</v>
      </c>
      <c r="F322" s="170" t="s">
        <v>499</v>
      </c>
      <c r="G322" s="219"/>
      <c r="H322" s="171">
        <v>500.0</v>
      </c>
      <c r="I322" s="171">
        <v>300.0</v>
      </c>
      <c r="J322" s="172">
        <f t="shared" si="14"/>
        <v>0.005755346974</v>
      </c>
      <c r="K322" s="173">
        <f t="shared" si="16"/>
        <v>6.61864902</v>
      </c>
      <c r="L322" s="174">
        <f t="shared" si="4"/>
        <v>8.229427747</v>
      </c>
      <c r="M322" s="175" t="str">
        <f t="shared" si="5"/>
        <v>akrtws</v>
      </c>
      <c r="N322" s="176">
        <f>IFERROR(__xludf.DUMMYFUNCTION("""COMPUTED_VALUE"""),6.0)</f>
        <v>6</v>
      </c>
      <c r="O322" s="176"/>
      <c r="P322" s="165" t="s">
        <v>9</v>
      </c>
      <c r="Q322" s="165" t="s">
        <v>590</v>
      </c>
      <c r="R322" s="176"/>
      <c r="S322" s="176"/>
      <c r="T322" s="176"/>
      <c r="U322" s="176"/>
      <c r="V322" s="176"/>
      <c r="W322" s="176"/>
      <c r="X322" s="176"/>
      <c r="Y322" s="176"/>
      <c r="Z322" s="176"/>
      <c r="AA322" s="176"/>
    </row>
    <row r="323">
      <c r="A323" s="185" t="str">
        <f>iferror(VLOOKUP(P323,'DO NOT TOUCH Imported'!$A$1:$D$800,4,False),iferror(VLOOKUP(P323,'DO NOT TOUCH Imported'!$C$1:$D$800,2,False),"OOPS FIX ME"))</f>
        <v>liviade</v>
      </c>
      <c r="B323" s="185" t="s">
        <v>534</v>
      </c>
      <c r="C323" s="186" t="s">
        <v>741</v>
      </c>
      <c r="D323" s="187"/>
      <c r="E323" s="188"/>
      <c r="F323" s="189"/>
      <c r="G323" s="190"/>
      <c r="H323" s="190"/>
      <c r="I323" s="190"/>
      <c r="J323" s="172">
        <f t="shared" si="14"/>
        <v>0</v>
      </c>
      <c r="K323" s="192">
        <f>54.749*-0.85</f>
        <v>-46.53665</v>
      </c>
      <c r="L323" s="193">
        <f t="shared" si="4"/>
        <v>8.212567489</v>
      </c>
      <c r="M323" s="194" t="str">
        <f t="shared" si="5"/>
        <v>liviade</v>
      </c>
      <c r="N323" s="195">
        <f>IFERROR(__xludf.DUMMYFUNCTION("""COMPUTED_VALUE"""),1.0)</f>
        <v>1</v>
      </c>
      <c r="O323" s="195"/>
      <c r="P323" s="196" t="s">
        <v>18</v>
      </c>
      <c r="Q323" s="185" t="s">
        <v>534</v>
      </c>
      <c r="R323" s="195"/>
      <c r="S323" s="195"/>
      <c r="T323" s="195"/>
      <c r="U323" s="195"/>
      <c r="V323" s="195"/>
      <c r="W323" s="195"/>
      <c r="X323" s="195"/>
      <c r="Y323" s="195"/>
      <c r="Z323" s="195"/>
      <c r="AA323" s="176"/>
    </row>
    <row r="324">
      <c r="A324" s="165" t="str">
        <f>iferror(VLOOKUP(P324,'DO NOT TOUCH Imported'!$A$1:$D$800,4,False),iferror(VLOOKUP(P324,'DO NOT TOUCH Imported'!$C$1:$D$800,2,False),"OOPS FIX ME"))</f>
        <v>liviade</v>
      </c>
      <c r="B324" s="165" t="s">
        <v>10</v>
      </c>
      <c r="C324" s="170" t="s">
        <v>500</v>
      </c>
      <c r="D324" s="236" t="s">
        <v>495</v>
      </c>
      <c r="E324" s="239">
        <v>44282.0</v>
      </c>
      <c r="F324" s="170" t="s">
        <v>496</v>
      </c>
      <c r="G324" s="219"/>
      <c r="H324" s="171">
        <v>20.0</v>
      </c>
      <c r="I324" s="171">
        <v>15.0</v>
      </c>
      <c r="J324" s="172">
        <f t="shared" si="14"/>
        <v>0.0002516088297</v>
      </c>
      <c r="K324" s="173">
        <f t="shared" ref="K324:K360" si="17">J324*$J$1</f>
        <v>0.2893501542</v>
      </c>
      <c r="L324" s="174">
        <f t="shared" si="4"/>
        <v>8.212567489</v>
      </c>
      <c r="M324" s="175" t="str">
        <f t="shared" si="5"/>
        <v>liviade</v>
      </c>
      <c r="N324" s="176">
        <f>IFERROR(__xludf.DUMMYFUNCTION("""COMPUTED_VALUE"""),2.0)</f>
        <v>2</v>
      </c>
      <c r="O324" s="176"/>
      <c r="P324" s="165" t="s">
        <v>18</v>
      </c>
      <c r="Q324" s="165" t="s">
        <v>10</v>
      </c>
      <c r="R324" s="176"/>
      <c r="S324" s="176"/>
      <c r="T324" s="176"/>
      <c r="U324" s="176"/>
      <c r="V324" s="176"/>
      <c r="W324" s="176"/>
      <c r="X324" s="176"/>
      <c r="Y324" s="176"/>
      <c r="Z324" s="176"/>
      <c r="AA324" s="176"/>
    </row>
    <row r="325">
      <c r="A325" s="165" t="str">
        <f>iferror(VLOOKUP(P325,'DO NOT TOUCH Imported'!$A$1:$D$800,4,False),iferror(VLOOKUP(P325,'DO NOT TOUCH Imported'!$C$1:$D$800,2,False),"OOPS FIX ME"))</f>
        <v>liviade</v>
      </c>
      <c r="B325" s="165" t="s">
        <v>63</v>
      </c>
      <c r="C325" s="170" t="s">
        <v>1384</v>
      </c>
      <c r="D325" s="236" t="s">
        <v>495</v>
      </c>
      <c r="E325" s="239">
        <v>44285.0</v>
      </c>
      <c r="F325" s="170" t="s">
        <v>496</v>
      </c>
      <c r="G325" s="219"/>
      <c r="H325" s="171">
        <v>100.0</v>
      </c>
      <c r="I325" s="171">
        <v>100.0</v>
      </c>
      <c r="J325" s="172">
        <f t="shared" si="14"/>
        <v>0.001436335405</v>
      </c>
      <c r="K325" s="173">
        <f t="shared" si="17"/>
        <v>1.651785716</v>
      </c>
      <c r="L325" s="174">
        <f t="shared" si="4"/>
        <v>8.212567489</v>
      </c>
      <c r="M325" s="175" t="str">
        <f t="shared" si="5"/>
        <v>liviade</v>
      </c>
      <c r="N325" s="176">
        <f>IFERROR(__xludf.DUMMYFUNCTION("""COMPUTED_VALUE"""),3.0)</f>
        <v>3</v>
      </c>
      <c r="O325" s="176"/>
      <c r="P325" s="165" t="s">
        <v>18</v>
      </c>
      <c r="Q325" s="165" t="s">
        <v>63</v>
      </c>
      <c r="R325" s="176"/>
      <c r="S325" s="176"/>
      <c r="T325" s="176"/>
      <c r="U325" s="176"/>
      <c r="V325" s="176"/>
      <c r="W325" s="176"/>
      <c r="X325" s="176"/>
      <c r="Y325" s="176"/>
      <c r="Z325" s="176"/>
      <c r="AA325" s="176"/>
    </row>
    <row r="326">
      <c r="A326" s="165" t="str">
        <f>iferror(VLOOKUP(P326,'DO NOT TOUCH Imported'!$A$1:$D$800,4,False),iferror(VLOOKUP(P326,'DO NOT TOUCH Imported'!$C$1:$D$800,2,False),"OOPS FIX ME"))</f>
        <v>liviade</v>
      </c>
      <c r="B326" s="165" t="s">
        <v>10</v>
      </c>
      <c r="C326" s="170" t="s">
        <v>500</v>
      </c>
      <c r="D326" s="236" t="s">
        <v>495</v>
      </c>
      <c r="E326" s="239">
        <v>44295.0</v>
      </c>
      <c r="F326" s="170" t="s">
        <v>496</v>
      </c>
      <c r="G326" s="219"/>
      <c r="H326" s="171">
        <v>20.0</v>
      </c>
      <c r="I326" s="171">
        <v>25.0</v>
      </c>
      <c r="J326" s="172">
        <f t="shared" si="14"/>
        <v>0.0003229253324</v>
      </c>
      <c r="K326" s="173">
        <f t="shared" si="17"/>
        <v>0.3713641322</v>
      </c>
      <c r="L326" s="174">
        <f t="shared" si="4"/>
        <v>8.212567489</v>
      </c>
      <c r="M326" s="175" t="str">
        <f t="shared" si="5"/>
        <v>liviade</v>
      </c>
      <c r="N326" s="176">
        <f>IFERROR(__xludf.DUMMYFUNCTION("""COMPUTED_VALUE"""),4.0)</f>
        <v>4</v>
      </c>
      <c r="O326" s="176"/>
      <c r="P326" s="165" t="s">
        <v>18</v>
      </c>
      <c r="Q326" s="165" t="s">
        <v>10</v>
      </c>
      <c r="R326" s="176"/>
      <c r="S326" s="176"/>
      <c r="T326" s="176"/>
      <c r="U326" s="176"/>
      <c r="V326" s="176"/>
      <c r="W326" s="176"/>
      <c r="X326" s="176"/>
      <c r="Y326" s="176"/>
      <c r="Z326" s="176"/>
      <c r="AA326" s="176"/>
    </row>
    <row r="327">
      <c r="A327" s="165" t="str">
        <f>iferror(VLOOKUP(P327,'DO NOT TOUCH Imported'!$A$1:$D$800,4,False),iferror(VLOOKUP(P327,'DO NOT TOUCH Imported'!$C$1:$D$800,2,False),"OOPS FIX ME"))</f>
        <v>liviade</v>
      </c>
      <c r="B327" s="165" t="s">
        <v>10</v>
      </c>
      <c r="C327" s="170" t="s">
        <v>494</v>
      </c>
      <c r="D327" s="236" t="s">
        <v>495</v>
      </c>
      <c r="E327" s="239">
        <v>44295.0</v>
      </c>
      <c r="F327" s="170" t="s">
        <v>496</v>
      </c>
      <c r="G327" s="219"/>
      <c r="H327" s="171">
        <v>40.0</v>
      </c>
      <c r="I327" s="171">
        <v>40.0</v>
      </c>
      <c r="J327" s="172">
        <f t="shared" si="14"/>
        <v>0.0005745341621</v>
      </c>
      <c r="K327" s="173">
        <f t="shared" si="17"/>
        <v>0.6607142865</v>
      </c>
      <c r="L327" s="174">
        <f t="shared" si="4"/>
        <v>8.212567489</v>
      </c>
      <c r="M327" s="175" t="str">
        <f t="shared" si="5"/>
        <v>liviade</v>
      </c>
      <c r="N327" s="176">
        <f>IFERROR(__xludf.DUMMYFUNCTION("""COMPUTED_VALUE"""),5.0)</f>
        <v>5</v>
      </c>
      <c r="O327" s="176"/>
      <c r="P327" s="165" t="s">
        <v>18</v>
      </c>
      <c r="Q327" s="165" t="s">
        <v>10</v>
      </c>
      <c r="R327" s="176"/>
      <c r="S327" s="176"/>
      <c r="T327" s="176"/>
      <c r="U327" s="176"/>
      <c r="V327" s="176"/>
      <c r="W327" s="176"/>
      <c r="X327" s="176"/>
      <c r="Y327" s="176"/>
      <c r="Z327" s="176"/>
      <c r="AA327" s="176"/>
    </row>
    <row r="328">
      <c r="A328" s="165" t="str">
        <f>iferror(VLOOKUP(P328,'DO NOT TOUCH Imported'!$A$1:$D$800,4,False),iferror(VLOOKUP(P328,'DO NOT TOUCH Imported'!$C$1:$D$800,2,False),"OOPS FIX ME"))</f>
        <v>liviade</v>
      </c>
      <c r="B328" s="165" t="s">
        <v>441</v>
      </c>
      <c r="C328" s="170" t="s">
        <v>1270</v>
      </c>
      <c r="D328" s="236" t="s">
        <v>437</v>
      </c>
      <c r="E328" s="239">
        <v>44282.0</v>
      </c>
      <c r="F328" s="170" t="s">
        <v>439</v>
      </c>
      <c r="G328" s="219"/>
      <c r="H328" s="171">
        <v>40.0</v>
      </c>
      <c r="I328" s="171">
        <v>40.0</v>
      </c>
      <c r="J328" s="172">
        <f t="shared" si="14"/>
        <v>0.0005745341621</v>
      </c>
      <c r="K328" s="173">
        <f t="shared" si="17"/>
        <v>0.6607142865</v>
      </c>
      <c r="L328" s="174">
        <f t="shared" si="4"/>
        <v>8.212567489</v>
      </c>
      <c r="M328" s="175" t="str">
        <f t="shared" si="5"/>
        <v>liviade</v>
      </c>
      <c r="N328" s="176">
        <f>IFERROR(__xludf.DUMMYFUNCTION("""COMPUTED_VALUE"""),6.0)</f>
        <v>6</v>
      </c>
      <c r="O328" s="176"/>
      <c r="P328" s="165" t="s">
        <v>490</v>
      </c>
      <c r="Q328" s="165" t="s">
        <v>441</v>
      </c>
      <c r="R328" s="176"/>
      <c r="S328" s="176"/>
      <c r="T328" s="176"/>
      <c r="U328" s="176"/>
      <c r="V328" s="176"/>
      <c r="W328" s="176"/>
      <c r="X328" s="176"/>
      <c r="Y328" s="176"/>
      <c r="Z328" s="176"/>
      <c r="AA328" s="176"/>
    </row>
    <row r="329">
      <c r="A329" s="165" t="str">
        <f>iferror(VLOOKUP(P329,'DO NOT TOUCH Imported'!$A$1:$D$800,4,False),iferror(VLOOKUP(P329,'DO NOT TOUCH Imported'!$C$1:$D$800,2,False),"OOPS FIX ME"))</f>
        <v>liviade</v>
      </c>
      <c r="B329" s="165" t="s">
        <v>45</v>
      </c>
      <c r="C329" s="170" t="s">
        <v>1385</v>
      </c>
      <c r="D329" s="236" t="s">
        <v>437</v>
      </c>
      <c r="E329" s="239">
        <v>44284.0</v>
      </c>
      <c r="F329" s="170" t="s">
        <v>1376</v>
      </c>
      <c r="G329" s="219"/>
      <c r="H329" s="171">
        <v>100.0</v>
      </c>
      <c r="I329" s="171">
        <v>100.0</v>
      </c>
      <c r="J329" s="172">
        <f t="shared" si="14"/>
        <v>0.001436335405</v>
      </c>
      <c r="K329" s="173">
        <f t="shared" si="17"/>
        <v>1.651785716</v>
      </c>
      <c r="L329" s="174">
        <f t="shared" si="4"/>
        <v>8.212567489</v>
      </c>
      <c r="M329" s="175" t="str">
        <f t="shared" si="5"/>
        <v>liviade</v>
      </c>
      <c r="N329" s="176">
        <f>IFERROR(__xludf.DUMMYFUNCTION("""COMPUTED_VALUE"""),7.0)</f>
        <v>7</v>
      </c>
      <c r="O329" s="176"/>
      <c r="P329" s="165" t="s">
        <v>490</v>
      </c>
      <c r="Q329" s="165" t="s">
        <v>45</v>
      </c>
      <c r="R329" s="176"/>
      <c r="S329" s="176"/>
      <c r="T329" s="176"/>
      <c r="U329" s="176"/>
      <c r="V329" s="176"/>
      <c r="W329" s="176"/>
      <c r="X329" s="176"/>
      <c r="Y329" s="176"/>
      <c r="Z329" s="176"/>
      <c r="AA329" s="176"/>
    </row>
    <row r="330">
      <c r="A330" s="165" t="str">
        <f>iferror(VLOOKUP(P330,'DO NOT TOUCH Imported'!$A$1:$D$800,4,False),iferror(VLOOKUP(P330,'DO NOT TOUCH Imported'!$C$1:$D$800,2,False),"OOPS FIX ME"))</f>
        <v>liviade</v>
      </c>
      <c r="B330" s="165" t="s">
        <v>441</v>
      </c>
      <c r="C330" s="170" t="s">
        <v>1235</v>
      </c>
      <c r="D330" s="236" t="s">
        <v>437</v>
      </c>
      <c r="E330" s="239">
        <v>44284.0</v>
      </c>
      <c r="F330" s="170" t="s">
        <v>439</v>
      </c>
      <c r="G330" s="219"/>
      <c r="H330" s="171">
        <v>60.0</v>
      </c>
      <c r="I330" s="171">
        <v>50.0</v>
      </c>
      <c r="J330" s="172">
        <f t="shared" si="14"/>
        <v>0.0007904847406</v>
      </c>
      <c r="K330" s="173">
        <f t="shared" si="17"/>
        <v>0.9090574516</v>
      </c>
      <c r="L330" s="174">
        <f t="shared" si="4"/>
        <v>8.212567489</v>
      </c>
      <c r="M330" s="175" t="str">
        <f t="shared" si="5"/>
        <v>liviade</v>
      </c>
      <c r="N330" s="176">
        <f>IFERROR(__xludf.DUMMYFUNCTION("""COMPUTED_VALUE"""),8.0)</f>
        <v>8</v>
      </c>
      <c r="O330" s="176"/>
      <c r="P330" s="165" t="s">
        <v>490</v>
      </c>
      <c r="Q330" s="165" t="s">
        <v>441</v>
      </c>
      <c r="R330" s="176"/>
      <c r="S330" s="176"/>
      <c r="T330" s="176"/>
      <c r="U330" s="176"/>
      <c r="V330" s="176"/>
      <c r="W330" s="176"/>
      <c r="X330" s="176"/>
      <c r="Y330" s="176"/>
      <c r="Z330" s="176"/>
      <c r="AA330" s="176"/>
    </row>
    <row r="331">
      <c r="A331" s="165" t="str">
        <f>iferror(VLOOKUP(P331,'DO NOT TOUCH Imported'!$A$1:$D$800,4,False),iferror(VLOOKUP(P331,'DO NOT TOUCH Imported'!$C$1:$D$800,2,False),"OOPS FIX ME"))</f>
        <v>liviade</v>
      </c>
      <c r="B331" s="165" t="s">
        <v>486</v>
      </c>
      <c r="C331" s="170" t="s">
        <v>1237</v>
      </c>
      <c r="D331" s="236" t="s">
        <v>437</v>
      </c>
      <c r="E331" s="239">
        <v>44285.0</v>
      </c>
      <c r="F331" s="170" t="s">
        <v>439</v>
      </c>
      <c r="G331" s="219"/>
      <c r="H331" s="171">
        <v>40.0</v>
      </c>
      <c r="I331" s="171">
        <v>50.0</v>
      </c>
      <c r="J331" s="172">
        <f t="shared" si="14"/>
        <v>0.0006458506648</v>
      </c>
      <c r="K331" s="173">
        <f t="shared" si="17"/>
        <v>0.7427282645</v>
      </c>
      <c r="L331" s="174">
        <f t="shared" si="4"/>
        <v>8.212567489</v>
      </c>
      <c r="M331" s="175" t="str">
        <f t="shared" si="5"/>
        <v>liviade</v>
      </c>
      <c r="N331" s="176">
        <f>IFERROR(__xludf.DUMMYFUNCTION("""COMPUTED_VALUE"""),9.0)</f>
        <v>9</v>
      </c>
      <c r="O331" s="176"/>
      <c r="P331" s="165" t="s">
        <v>490</v>
      </c>
      <c r="Q331" s="165" t="s">
        <v>486</v>
      </c>
      <c r="R331" s="176"/>
      <c r="S331" s="176"/>
      <c r="T331" s="176"/>
      <c r="U331" s="176"/>
      <c r="V331" s="176"/>
      <c r="W331" s="176"/>
      <c r="X331" s="176"/>
      <c r="Y331" s="176"/>
      <c r="Z331" s="176"/>
      <c r="AA331" s="176"/>
    </row>
    <row r="332">
      <c r="A332" s="165" t="str">
        <f>iferror(VLOOKUP(P332,'DO NOT TOUCH Imported'!$A$1:$D$800,4,False),iferror(VLOOKUP(P332,'DO NOT TOUCH Imported'!$C$1:$D$800,2,False),"OOPS FIX ME"))</f>
        <v>liviade</v>
      </c>
      <c r="B332" s="165" t="s">
        <v>463</v>
      </c>
      <c r="C332" s="170" t="s">
        <v>1239</v>
      </c>
      <c r="D332" s="236" t="s">
        <v>437</v>
      </c>
      <c r="E332" s="239">
        <v>44286.0</v>
      </c>
      <c r="F332" s="170" t="s">
        <v>439</v>
      </c>
      <c r="G332" s="219"/>
      <c r="H332" s="171">
        <v>100.0</v>
      </c>
      <c r="I332" s="171">
        <v>80.0</v>
      </c>
      <c r="J332" s="172">
        <f t="shared" si="14"/>
        <v>0.0012937024</v>
      </c>
      <c r="K332" s="173">
        <f t="shared" si="17"/>
        <v>1.48775776</v>
      </c>
      <c r="L332" s="174">
        <f t="shared" si="4"/>
        <v>8.212567489</v>
      </c>
      <c r="M332" s="175" t="str">
        <f t="shared" si="5"/>
        <v>liviade</v>
      </c>
      <c r="N332" s="176">
        <f>IFERROR(__xludf.DUMMYFUNCTION("""COMPUTED_VALUE"""),10.0)</f>
        <v>10</v>
      </c>
      <c r="O332" s="176"/>
      <c r="P332" s="165" t="s">
        <v>490</v>
      </c>
      <c r="Q332" s="165" t="s">
        <v>463</v>
      </c>
      <c r="R332" s="176"/>
      <c r="S332" s="176"/>
      <c r="T332" s="176"/>
      <c r="U332" s="176"/>
      <c r="V332" s="176"/>
      <c r="W332" s="176"/>
      <c r="X332" s="176"/>
      <c r="Y332" s="176"/>
      <c r="Z332" s="176"/>
      <c r="AA332" s="176"/>
    </row>
    <row r="333">
      <c r="A333" s="165" t="str">
        <f>iferror(VLOOKUP(P333,'DO NOT TOUCH Imported'!$A$1:$D$800,4,False),iferror(VLOOKUP(P333,'DO NOT TOUCH Imported'!$C$1:$D$800,2,False),"OOPS FIX ME"))</f>
        <v>liviade</v>
      </c>
      <c r="B333" s="165" t="s">
        <v>463</v>
      </c>
      <c r="C333" s="170" t="s">
        <v>1386</v>
      </c>
      <c r="D333" s="236" t="s">
        <v>437</v>
      </c>
      <c r="E333" s="239">
        <v>44286.0</v>
      </c>
      <c r="F333" s="170" t="s">
        <v>439</v>
      </c>
      <c r="G333" s="219"/>
      <c r="H333" s="171">
        <v>100.0</v>
      </c>
      <c r="I333" s="171">
        <v>100.0</v>
      </c>
      <c r="J333" s="172">
        <f t="shared" si="14"/>
        <v>0.001436335405</v>
      </c>
      <c r="K333" s="173">
        <f t="shared" si="17"/>
        <v>1.651785716</v>
      </c>
      <c r="L333" s="174">
        <f t="shared" si="4"/>
        <v>8.212567489</v>
      </c>
      <c r="M333" s="175" t="str">
        <f t="shared" si="5"/>
        <v>liviade</v>
      </c>
      <c r="N333" s="176">
        <f>IFERROR(__xludf.DUMMYFUNCTION("""COMPUTED_VALUE"""),11.0)</f>
        <v>11</v>
      </c>
      <c r="O333" s="176"/>
      <c r="P333" s="165" t="s">
        <v>490</v>
      </c>
      <c r="Q333" s="165" t="s">
        <v>463</v>
      </c>
      <c r="R333" s="176"/>
      <c r="S333" s="176"/>
      <c r="T333" s="176"/>
      <c r="U333" s="176"/>
      <c r="V333" s="176"/>
      <c r="W333" s="176"/>
      <c r="X333" s="176"/>
      <c r="Y333" s="176"/>
      <c r="Z333" s="176"/>
      <c r="AA333" s="176"/>
    </row>
    <row r="334">
      <c r="A334" s="165" t="str">
        <f>iferror(VLOOKUP(P334,'DO NOT TOUCH Imported'!$A$1:$D$800,4,False),iferror(VLOOKUP(P334,'DO NOT TOUCH Imported'!$C$1:$D$800,2,False),"OOPS FIX ME"))</f>
        <v>liviade</v>
      </c>
      <c r="B334" s="165" t="s">
        <v>490</v>
      </c>
      <c r="C334" s="170" t="s">
        <v>1342</v>
      </c>
      <c r="D334" s="236" t="s">
        <v>437</v>
      </c>
      <c r="E334" s="239">
        <v>44286.0</v>
      </c>
      <c r="F334" s="170" t="s">
        <v>439</v>
      </c>
      <c r="G334" s="219"/>
      <c r="H334" s="171">
        <v>60.0</v>
      </c>
      <c r="I334" s="171">
        <v>50.0</v>
      </c>
      <c r="J334" s="172">
        <f t="shared" si="14"/>
        <v>0.0007904847406</v>
      </c>
      <c r="K334" s="173">
        <f t="shared" si="17"/>
        <v>0.9090574516</v>
      </c>
      <c r="L334" s="174">
        <f t="shared" si="4"/>
        <v>8.212567489</v>
      </c>
      <c r="M334" s="175" t="str">
        <f t="shared" si="5"/>
        <v>liviade</v>
      </c>
      <c r="N334" s="176">
        <f>IFERROR(__xludf.DUMMYFUNCTION("""COMPUTED_VALUE"""),12.0)</f>
        <v>12</v>
      </c>
      <c r="O334" s="176"/>
      <c r="P334" s="165" t="s">
        <v>490</v>
      </c>
      <c r="Q334" s="165" t="s">
        <v>490</v>
      </c>
      <c r="R334" s="176"/>
      <c r="S334" s="176"/>
      <c r="T334" s="176"/>
      <c r="U334" s="176"/>
      <c r="V334" s="176"/>
      <c r="W334" s="176"/>
      <c r="X334" s="176"/>
      <c r="Y334" s="176"/>
      <c r="Z334" s="176"/>
      <c r="AA334" s="176"/>
    </row>
    <row r="335">
      <c r="A335" s="165" t="str">
        <f>iferror(VLOOKUP(P335,'DO NOT TOUCH Imported'!$A$1:$D$800,4,False),iferror(VLOOKUP(P335,'DO NOT TOUCH Imported'!$C$1:$D$800,2,False),"OOPS FIX ME"))</f>
        <v>liviade</v>
      </c>
      <c r="B335" s="165" t="s">
        <v>440</v>
      </c>
      <c r="C335" s="170" t="s">
        <v>1387</v>
      </c>
      <c r="D335" s="236" t="s">
        <v>437</v>
      </c>
      <c r="E335" s="239">
        <v>44286.0</v>
      </c>
      <c r="F335" s="170" t="s">
        <v>439</v>
      </c>
      <c r="G335" s="219"/>
      <c r="H335" s="171">
        <v>100.0</v>
      </c>
      <c r="I335" s="171">
        <v>100.0</v>
      </c>
      <c r="J335" s="172">
        <f t="shared" si="14"/>
        <v>0.001436335405</v>
      </c>
      <c r="K335" s="173">
        <f t="shared" si="17"/>
        <v>1.651785716</v>
      </c>
      <c r="L335" s="174">
        <f t="shared" si="4"/>
        <v>8.212567489</v>
      </c>
      <c r="M335" s="175" t="str">
        <f t="shared" si="5"/>
        <v>liviade</v>
      </c>
      <c r="N335" s="176">
        <f>IFERROR(__xludf.DUMMYFUNCTION("""COMPUTED_VALUE"""),13.0)</f>
        <v>13</v>
      </c>
      <c r="O335" s="176"/>
      <c r="P335" s="165" t="s">
        <v>490</v>
      </c>
      <c r="Q335" s="165" t="s">
        <v>440</v>
      </c>
      <c r="R335" s="176"/>
      <c r="S335" s="176"/>
      <c r="T335" s="176"/>
      <c r="U335" s="176"/>
      <c r="V335" s="176"/>
      <c r="W335" s="176"/>
      <c r="X335" s="176"/>
      <c r="Y335" s="176"/>
      <c r="Z335" s="176"/>
      <c r="AA335" s="176"/>
    </row>
    <row r="336">
      <c r="A336" s="165" t="str">
        <f>iferror(VLOOKUP(P336,'DO NOT TOUCH Imported'!$A$1:$D$800,4,False),iferror(VLOOKUP(P336,'DO NOT TOUCH Imported'!$C$1:$D$800,2,False),"OOPS FIX ME"))</f>
        <v>liviade</v>
      </c>
      <c r="B336" s="165" t="s">
        <v>490</v>
      </c>
      <c r="C336" s="170" t="s">
        <v>1241</v>
      </c>
      <c r="D336" s="236" t="s">
        <v>437</v>
      </c>
      <c r="E336" s="239">
        <v>44286.0</v>
      </c>
      <c r="F336" s="170" t="s">
        <v>439</v>
      </c>
      <c r="G336" s="219"/>
      <c r="H336" s="171">
        <v>100.0</v>
      </c>
      <c r="I336" s="171">
        <v>100.0</v>
      </c>
      <c r="J336" s="172">
        <f t="shared" si="14"/>
        <v>0.001436335405</v>
      </c>
      <c r="K336" s="173">
        <f t="shared" si="17"/>
        <v>1.651785716</v>
      </c>
      <c r="L336" s="174">
        <f t="shared" si="4"/>
        <v>8.212567489</v>
      </c>
      <c r="M336" s="175" t="str">
        <f t="shared" si="5"/>
        <v>liviade</v>
      </c>
      <c r="N336" s="176">
        <f>IFERROR(__xludf.DUMMYFUNCTION("""COMPUTED_VALUE"""),14.0)</f>
        <v>14</v>
      </c>
      <c r="O336" s="176"/>
      <c r="P336" s="165" t="s">
        <v>490</v>
      </c>
      <c r="Q336" s="165" t="s">
        <v>490</v>
      </c>
      <c r="R336" s="176"/>
      <c r="S336" s="176"/>
      <c r="T336" s="176"/>
      <c r="U336" s="176"/>
      <c r="V336" s="176"/>
      <c r="W336" s="176"/>
      <c r="X336" s="176"/>
      <c r="Y336" s="176"/>
      <c r="Z336" s="176"/>
      <c r="AA336" s="176"/>
    </row>
    <row r="337">
      <c r="A337" s="165" t="str">
        <f>iferror(VLOOKUP(P337,'DO NOT TOUCH Imported'!$A$1:$D$800,4,False),iferror(VLOOKUP(P337,'DO NOT TOUCH Imported'!$C$1:$D$800,2,False),"OOPS FIX ME"))</f>
        <v>liviade</v>
      </c>
      <c r="B337" s="165" t="s">
        <v>46</v>
      </c>
      <c r="C337" s="170" t="s">
        <v>1388</v>
      </c>
      <c r="D337" s="236" t="s">
        <v>437</v>
      </c>
      <c r="E337" s="239">
        <v>44286.0</v>
      </c>
      <c r="F337" s="170" t="s">
        <v>439</v>
      </c>
      <c r="G337" s="219"/>
      <c r="H337" s="171">
        <v>60.0</v>
      </c>
      <c r="I337" s="171">
        <v>50.0</v>
      </c>
      <c r="J337" s="172">
        <f t="shared" si="14"/>
        <v>0.0007904847406</v>
      </c>
      <c r="K337" s="173">
        <f t="shared" si="17"/>
        <v>0.9090574516</v>
      </c>
      <c r="L337" s="174">
        <f t="shared" si="4"/>
        <v>8.212567489</v>
      </c>
      <c r="M337" s="175" t="str">
        <f t="shared" si="5"/>
        <v>liviade</v>
      </c>
      <c r="N337" s="176">
        <f>IFERROR(__xludf.DUMMYFUNCTION("""COMPUTED_VALUE"""),15.0)</f>
        <v>15</v>
      </c>
      <c r="O337" s="176"/>
      <c r="P337" s="165" t="s">
        <v>490</v>
      </c>
      <c r="Q337" s="165" t="s">
        <v>46</v>
      </c>
      <c r="R337" s="176"/>
      <c r="S337" s="176"/>
      <c r="T337" s="176"/>
      <c r="U337" s="176"/>
      <c r="V337" s="176"/>
      <c r="W337" s="176"/>
      <c r="X337" s="176"/>
      <c r="Y337" s="176"/>
      <c r="Z337" s="176"/>
      <c r="AA337" s="176"/>
    </row>
    <row r="338">
      <c r="A338" s="165" t="str">
        <f>iferror(VLOOKUP(P338,'DO NOT TOUCH Imported'!$A$1:$D$800,4,False),iferror(VLOOKUP(P338,'DO NOT TOUCH Imported'!$C$1:$D$800,2,False),"OOPS FIX ME"))</f>
        <v>liviade</v>
      </c>
      <c r="B338" s="165" t="s">
        <v>435</v>
      </c>
      <c r="C338" s="170" t="s">
        <v>1389</v>
      </c>
      <c r="D338" s="236" t="s">
        <v>437</v>
      </c>
      <c r="E338" s="239">
        <v>44287.0</v>
      </c>
      <c r="F338" s="170" t="s">
        <v>439</v>
      </c>
      <c r="G338" s="219"/>
      <c r="H338" s="171">
        <v>200.0</v>
      </c>
      <c r="I338" s="171">
        <v>200.0</v>
      </c>
      <c r="J338" s="172">
        <f t="shared" si="14"/>
        <v>0.002872670811</v>
      </c>
      <c r="K338" s="173">
        <f t="shared" si="17"/>
        <v>3.303571432</v>
      </c>
      <c r="L338" s="174">
        <f t="shared" si="4"/>
        <v>8.212567489</v>
      </c>
      <c r="M338" s="175" t="str">
        <f t="shared" si="5"/>
        <v>liviade</v>
      </c>
      <c r="N338" s="176">
        <f>IFERROR(__xludf.DUMMYFUNCTION("""COMPUTED_VALUE"""),16.0)</f>
        <v>16</v>
      </c>
      <c r="O338" s="176"/>
      <c r="P338" s="165" t="s">
        <v>490</v>
      </c>
      <c r="Q338" s="165" t="s">
        <v>435</v>
      </c>
      <c r="R338" s="176"/>
      <c r="S338" s="176"/>
      <c r="T338" s="176"/>
      <c r="U338" s="176"/>
      <c r="V338" s="176"/>
      <c r="W338" s="176"/>
      <c r="X338" s="176"/>
      <c r="Y338" s="176"/>
      <c r="Z338" s="176"/>
      <c r="AA338" s="176"/>
    </row>
    <row r="339">
      <c r="A339" s="165" t="str">
        <f>iferror(VLOOKUP(P339,'DO NOT TOUCH Imported'!$A$1:$D$800,4,False),iferror(VLOOKUP(P339,'DO NOT TOUCH Imported'!$C$1:$D$800,2,False),"OOPS FIX ME"))</f>
        <v>liviade</v>
      </c>
      <c r="B339" s="165" t="s">
        <v>435</v>
      </c>
      <c r="C339" s="170" t="s">
        <v>1390</v>
      </c>
      <c r="D339" s="236" t="s">
        <v>437</v>
      </c>
      <c r="E339" s="239">
        <v>44287.0</v>
      </c>
      <c r="F339" s="170" t="s">
        <v>439</v>
      </c>
      <c r="G339" s="219"/>
      <c r="H339" s="171">
        <v>200.0</v>
      </c>
      <c r="I339" s="171">
        <v>150.0</v>
      </c>
      <c r="J339" s="172">
        <f t="shared" si="14"/>
        <v>0.002516088297</v>
      </c>
      <c r="K339" s="173">
        <f t="shared" si="17"/>
        <v>2.893501542</v>
      </c>
      <c r="L339" s="174">
        <f t="shared" si="4"/>
        <v>8.212567489</v>
      </c>
      <c r="M339" s="175" t="str">
        <f t="shared" si="5"/>
        <v>liviade</v>
      </c>
      <c r="N339" s="176">
        <f>IFERROR(__xludf.DUMMYFUNCTION("""COMPUTED_VALUE"""),17.0)</f>
        <v>17</v>
      </c>
      <c r="O339" s="176"/>
      <c r="P339" s="165" t="s">
        <v>490</v>
      </c>
      <c r="Q339" s="165" t="s">
        <v>435</v>
      </c>
      <c r="R339" s="176"/>
      <c r="S339" s="176"/>
      <c r="T339" s="176"/>
      <c r="U339" s="176"/>
      <c r="V339" s="176"/>
      <c r="W339" s="176"/>
      <c r="X339" s="176"/>
      <c r="Y339" s="176"/>
      <c r="Z339" s="176"/>
      <c r="AA339" s="176"/>
    </row>
    <row r="340">
      <c r="A340" s="165" t="str">
        <f>iferror(VLOOKUP(P340,'DO NOT TOUCH Imported'!$A$1:$D$800,4,False),iferror(VLOOKUP(P340,'DO NOT TOUCH Imported'!$C$1:$D$800,2,False),"OOPS FIX ME"))</f>
        <v>liviade</v>
      </c>
      <c r="B340" s="165" t="s">
        <v>435</v>
      </c>
      <c r="C340" s="170" t="s">
        <v>1391</v>
      </c>
      <c r="D340" s="236" t="s">
        <v>437</v>
      </c>
      <c r="E340" s="239">
        <v>44287.0</v>
      </c>
      <c r="F340" s="170" t="s">
        <v>439</v>
      </c>
      <c r="G340" s="219"/>
      <c r="H340" s="171">
        <v>100.0</v>
      </c>
      <c r="I340" s="171">
        <v>100.0</v>
      </c>
      <c r="J340" s="172">
        <f t="shared" si="14"/>
        <v>0.001436335405</v>
      </c>
      <c r="K340" s="173">
        <f t="shared" si="17"/>
        <v>1.651785716</v>
      </c>
      <c r="L340" s="174">
        <f t="shared" si="4"/>
        <v>8.212567489</v>
      </c>
      <c r="M340" s="175" t="str">
        <f t="shared" si="5"/>
        <v>liviade</v>
      </c>
      <c r="N340" s="176">
        <f>IFERROR(__xludf.DUMMYFUNCTION("""COMPUTED_VALUE"""),18.0)</f>
        <v>18</v>
      </c>
      <c r="O340" s="176"/>
      <c r="P340" s="165" t="s">
        <v>490</v>
      </c>
      <c r="Q340" s="165" t="s">
        <v>435</v>
      </c>
      <c r="R340" s="176"/>
      <c r="S340" s="176"/>
      <c r="T340" s="176"/>
      <c r="U340" s="176"/>
      <c r="V340" s="176"/>
      <c r="W340" s="176"/>
      <c r="X340" s="176"/>
      <c r="Y340" s="176"/>
      <c r="Z340" s="176"/>
      <c r="AA340" s="176"/>
    </row>
    <row r="341">
      <c r="A341" s="165" t="str">
        <f>iferror(VLOOKUP(P341,'DO NOT TOUCH Imported'!$A$1:$D$800,4,False),iferror(VLOOKUP(P341,'DO NOT TOUCH Imported'!$C$1:$D$800,2,False),"OOPS FIX ME"))</f>
        <v>liviade</v>
      </c>
      <c r="B341" s="165" t="s">
        <v>450</v>
      </c>
      <c r="C341" s="170" t="s">
        <v>1273</v>
      </c>
      <c r="D341" s="236" t="s">
        <v>437</v>
      </c>
      <c r="E341" s="239">
        <v>44287.0</v>
      </c>
      <c r="F341" s="170" t="s">
        <v>453</v>
      </c>
      <c r="G341" s="219"/>
      <c r="H341" s="171">
        <v>100.0</v>
      </c>
      <c r="I341" s="171">
        <v>150.0</v>
      </c>
      <c r="J341" s="172">
        <f t="shared" si="14"/>
        <v>0.001792917919</v>
      </c>
      <c r="K341" s="173">
        <f t="shared" si="17"/>
        <v>2.061855606</v>
      </c>
      <c r="L341" s="174">
        <f t="shared" si="4"/>
        <v>8.212567489</v>
      </c>
      <c r="M341" s="175" t="str">
        <f t="shared" si="5"/>
        <v>liviade</v>
      </c>
      <c r="N341" s="176">
        <f>IFERROR(__xludf.DUMMYFUNCTION("""COMPUTED_VALUE"""),19.0)</f>
        <v>19</v>
      </c>
      <c r="O341" s="176"/>
      <c r="P341" s="165" t="s">
        <v>490</v>
      </c>
      <c r="Q341" s="165" t="s">
        <v>450</v>
      </c>
      <c r="R341" s="176"/>
      <c r="S341" s="176"/>
      <c r="T341" s="176"/>
      <c r="U341" s="176"/>
      <c r="V341" s="176"/>
      <c r="W341" s="176"/>
      <c r="X341" s="176"/>
      <c r="Y341" s="176"/>
      <c r="Z341" s="176"/>
      <c r="AA341" s="176"/>
    </row>
    <row r="342">
      <c r="A342" s="165" t="str">
        <f>iferror(VLOOKUP(P342,'DO NOT TOUCH Imported'!$A$1:$D$800,4,False),iferror(VLOOKUP(P342,'DO NOT TOUCH Imported'!$C$1:$D$800,2,False),"OOPS FIX ME"))</f>
        <v>liviade</v>
      </c>
      <c r="B342" s="165" t="s">
        <v>443</v>
      </c>
      <c r="C342" s="170" t="s">
        <v>1245</v>
      </c>
      <c r="D342" s="236" t="s">
        <v>437</v>
      </c>
      <c r="E342" s="239">
        <v>44287.0</v>
      </c>
      <c r="F342" s="170" t="s">
        <v>439</v>
      </c>
      <c r="G342" s="219"/>
      <c r="H342" s="171">
        <v>70.0</v>
      </c>
      <c r="I342" s="171">
        <v>50.0</v>
      </c>
      <c r="J342" s="172">
        <f t="shared" si="14"/>
        <v>0.0008628017785</v>
      </c>
      <c r="K342" s="173">
        <f t="shared" si="17"/>
        <v>0.9922220452</v>
      </c>
      <c r="L342" s="174">
        <f t="shared" si="4"/>
        <v>8.212567489</v>
      </c>
      <c r="M342" s="175" t="str">
        <f t="shared" si="5"/>
        <v>liviade</v>
      </c>
      <c r="N342" s="176">
        <f>IFERROR(__xludf.DUMMYFUNCTION("""COMPUTED_VALUE"""),20.0)</f>
        <v>20</v>
      </c>
      <c r="O342" s="176"/>
      <c r="P342" s="165" t="s">
        <v>490</v>
      </c>
      <c r="Q342" s="165" t="s">
        <v>443</v>
      </c>
      <c r="R342" s="176"/>
      <c r="S342" s="176"/>
      <c r="T342" s="176"/>
      <c r="U342" s="176"/>
      <c r="V342" s="176"/>
      <c r="W342" s="176"/>
      <c r="X342" s="176"/>
      <c r="Y342" s="176"/>
      <c r="Z342" s="176"/>
      <c r="AA342" s="176"/>
    </row>
    <row r="343">
      <c r="A343" s="165" t="str">
        <f>iferror(VLOOKUP(P343,'DO NOT TOUCH Imported'!$A$1:$D$800,4,False),iferror(VLOOKUP(P343,'DO NOT TOUCH Imported'!$C$1:$D$800,2,False),"OOPS FIX ME"))</f>
        <v>liviade</v>
      </c>
      <c r="B343" s="165" t="s">
        <v>435</v>
      </c>
      <c r="C343" s="170" t="s">
        <v>1246</v>
      </c>
      <c r="D343" s="236" t="s">
        <v>437</v>
      </c>
      <c r="E343" s="239">
        <v>44287.0</v>
      </c>
      <c r="F343" s="170" t="s">
        <v>439</v>
      </c>
      <c r="G343" s="219"/>
      <c r="H343" s="171">
        <v>70.0</v>
      </c>
      <c r="I343" s="171">
        <v>50.0</v>
      </c>
      <c r="J343" s="172">
        <f t="shared" si="14"/>
        <v>0.0008628017785</v>
      </c>
      <c r="K343" s="173">
        <f t="shared" si="17"/>
        <v>0.9922220452</v>
      </c>
      <c r="L343" s="174">
        <f t="shared" si="4"/>
        <v>8.212567489</v>
      </c>
      <c r="M343" s="175" t="str">
        <f t="shared" si="5"/>
        <v>liviade</v>
      </c>
      <c r="N343" s="176">
        <f>IFERROR(__xludf.DUMMYFUNCTION("""COMPUTED_VALUE"""),21.0)</f>
        <v>21</v>
      </c>
      <c r="O343" s="176"/>
      <c r="P343" s="165" t="s">
        <v>490</v>
      </c>
      <c r="Q343" s="165" t="s">
        <v>435</v>
      </c>
      <c r="R343" s="176"/>
      <c r="S343" s="176"/>
      <c r="T343" s="176"/>
      <c r="U343" s="176"/>
      <c r="V343" s="176"/>
      <c r="W343" s="176"/>
      <c r="X343" s="176"/>
      <c r="Y343" s="176"/>
      <c r="Z343" s="176"/>
      <c r="AA343" s="176"/>
    </row>
    <row r="344">
      <c r="A344" s="165" t="str">
        <f>iferror(VLOOKUP(P344,'DO NOT TOUCH Imported'!$A$1:$D$800,4,False),iferror(VLOOKUP(P344,'DO NOT TOUCH Imported'!$C$1:$D$800,2,False),"OOPS FIX ME"))</f>
        <v>liviade</v>
      </c>
      <c r="B344" s="165" t="s">
        <v>441</v>
      </c>
      <c r="C344" s="170" t="s">
        <v>1392</v>
      </c>
      <c r="D344" s="236" t="s">
        <v>437</v>
      </c>
      <c r="E344" s="237">
        <v>44288.0</v>
      </c>
      <c r="F344" s="170" t="s">
        <v>439</v>
      </c>
      <c r="G344" s="219"/>
      <c r="H344" s="171">
        <v>100.0</v>
      </c>
      <c r="I344" s="171">
        <v>200.0</v>
      </c>
      <c r="J344" s="172">
        <f t="shared" si="14"/>
        <v>0.002149500432</v>
      </c>
      <c r="K344" s="173">
        <f t="shared" si="17"/>
        <v>2.471925496</v>
      </c>
      <c r="L344" s="174">
        <f t="shared" si="4"/>
        <v>8.212567489</v>
      </c>
      <c r="M344" s="175" t="str">
        <f t="shared" si="5"/>
        <v>liviade</v>
      </c>
      <c r="N344" s="176">
        <f>IFERROR(__xludf.DUMMYFUNCTION("""COMPUTED_VALUE"""),22.0)</f>
        <v>22</v>
      </c>
      <c r="O344" s="176"/>
      <c r="P344" s="165" t="s">
        <v>490</v>
      </c>
      <c r="Q344" s="165" t="s">
        <v>441</v>
      </c>
      <c r="R344" s="176"/>
      <c r="S344" s="176"/>
      <c r="T344" s="176"/>
      <c r="U344" s="176"/>
      <c r="V344" s="176"/>
      <c r="W344" s="176"/>
      <c r="X344" s="176"/>
      <c r="Y344" s="176"/>
      <c r="Z344" s="176"/>
      <c r="AA344" s="176"/>
    </row>
    <row r="345">
      <c r="A345" s="165" t="str">
        <f>iferror(VLOOKUP(P345,'DO NOT TOUCH Imported'!$A$1:$D$800,4,False),iferror(VLOOKUP(P345,'DO NOT TOUCH Imported'!$C$1:$D$800,2,False),"OOPS FIX ME"))</f>
        <v>liviade</v>
      </c>
      <c r="B345" s="165" t="s">
        <v>441</v>
      </c>
      <c r="C345" s="170" t="s">
        <v>1393</v>
      </c>
      <c r="D345" s="236" t="s">
        <v>437</v>
      </c>
      <c r="E345" s="237">
        <v>44288.0</v>
      </c>
      <c r="F345" s="170" t="s">
        <v>439</v>
      </c>
      <c r="G345" s="219"/>
      <c r="H345" s="171">
        <v>100.0</v>
      </c>
      <c r="I345" s="171">
        <v>150.0</v>
      </c>
      <c r="J345" s="172">
        <f t="shared" si="14"/>
        <v>0.001792917919</v>
      </c>
      <c r="K345" s="173">
        <f t="shared" si="17"/>
        <v>2.061855606</v>
      </c>
      <c r="L345" s="174">
        <f t="shared" si="4"/>
        <v>8.212567489</v>
      </c>
      <c r="M345" s="175" t="str">
        <f t="shared" si="5"/>
        <v>liviade</v>
      </c>
      <c r="N345" s="176">
        <f>IFERROR(__xludf.DUMMYFUNCTION("""COMPUTED_VALUE"""),23.0)</f>
        <v>23</v>
      </c>
      <c r="O345" s="176"/>
      <c r="P345" s="165" t="s">
        <v>490</v>
      </c>
      <c r="Q345" s="165" t="s">
        <v>441</v>
      </c>
      <c r="R345" s="176"/>
      <c r="S345" s="176"/>
      <c r="T345" s="176"/>
      <c r="U345" s="176"/>
      <c r="V345" s="176"/>
      <c r="W345" s="176"/>
      <c r="X345" s="176"/>
      <c r="Y345" s="176"/>
      <c r="Z345" s="176"/>
      <c r="AA345" s="176"/>
    </row>
    <row r="346">
      <c r="A346" s="165" t="str">
        <f>iferror(VLOOKUP(P346,'DO NOT TOUCH Imported'!$A$1:$D$800,4,False),iferror(VLOOKUP(P346,'DO NOT TOUCH Imported'!$C$1:$D$800,2,False),"OOPS FIX ME"))</f>
        <v>liviade</v>
      </c>
      <c r="B346" s="165" t="s">
        <v>441</v>
      </c>
      <c r="C346" s="170" t="s">
        <v>1350</v>
      </c>
      <c r="D346" s="236" t="s">
        <v>437</v>
      </c>
      <c r="E346" s="237">
        <v>44288.0</v>
      </c>
      <c r="F346" s="170" t="s">
        <v>439</v>
      </c>
      <c r="G346" s="219"/>
      <c r="H346" s="171">
        <v>100.0</v>
      </c>
      <c r="I346" s="171">
        <v>80.0</v>
      </c>
      <c r="J346" s="172">
        <f t="shared" si="14"/>
        <v>0.0012937024</v>
      </c>
      <c r="K346" s="173">
        <f t="shared" si="17"/>
        <v>1.48775776</v>
      </c>
      <c r="L346" s="174">
        <f t="shared" si="4"/>
        <v>8.212567489</v>
      </c>
      <c r="M346" s="175" t="str">
        <f t="shared" si="5"/>
        <v>liviade</v>
      </c>
      <c r="N346" s="176">
        <f>IFERROR(__xludf.DUMMYFUNCTION("""COMPUTED_VALUE"""),24.0)</f>
        <v>24</v>
      </c>
      <c r="O346" s="176"/>
      <c r="P346" s="165" t="s">
        <v>490</v>
      </c>
      <c r="Q346" s="165" t="s">
        <v>441</v>
      </c>
      <c r="R346" s="176"/>
      <c r="S346" s="176"/>
      <c r="T346" s="176"/>
      <c r="U346" s="176"/>
      <c r="V346" s="176"/>
      <c r="W346" s="176"/>
      <c r="X346" s="176"/>
      <c r="Y346" s="176"/>
      <c r="Z346" s="176"/>
      <c r="AA346" s="176"/>
    </row>
    <row r="347">
      <c r="A347" s="165" t="str">
        <f>iferror(VLOOKUP(P347,'DO NOT TOUCH Imported'!$A$1:$D$800,4,False),iferror(VLOOKUP(P347,'DO NOT TOUCH Imported'!$C$1:$D$800,2,False),"OOPS FIX ME"))</f>
        <v>liviade</v>
      </c>
      <c r="B347" s="165" t="s">
        <v>441</v>
      </c>
      <c r="C347" s="170" t="s">
        <v>1394</v>
      </c>
      <c r="D347" s="236" t="s">
        <v>437</v>
      </c>
      <c r="E347" s="237">
        <v>44288.0</v>
      </c>
      <c r="F347" s="170" t="s">
        <v>439</v>
      </c>
      <c r="G347" s="219"/>
      <c r="H347" s="171">
        <v>100.0</v>
      </c>
      <c r="I347" s="171">
        <v>100.0</v>
      </c>
      <c r="J347" s="172">
        <f t="shared" si="14"/>
        <v>0.001436335405</v>
      </c>
      <c r="K347" s="173">
        <f t="shared" si="17"/>
        <v>1.651785716</v>
      </c>
      <c r="L347" s="174">
        <f t="shared" si="4"/>
        <v>8.212567489</v>
      </c>
      <c r="M347" s="175" t="str">
        <f t="shared" si="5"/>
        <v>liviade</v>
      </c>
      <c r="N347" s="176">
        <f>IFERROR(__xludf.DUMMYFUNCTION("""COMPUTED_VALUE"""),25.0)</f>
        <v>25</v>
      </c>
      <c r="O347" s="176"/>
      <c r="P347" s="165" t="s">
        <v>490</v>
      </c>
      <c r="Q347" s="165" t="s">
        <v>441</v>
      </c>
      <c r="R347" s="176"/>
      <c r="S347" s="176"/>
      <c r="T347" s="176"/>
      <c r="U347" s="176"/>
      <c r="V347" s="176"/>
      <c r="W347" s="176"/>
      <c r="X347" s="176"/>
      <c r="Y347" s="176"/>
      <c r="Z347" s="176"/>
      <c r="AA347" s="176"/>
    </row>
    <row r="348">
      <c r="A348" s="165" t="str">
        <f>iferror(VLOOKUP(P348,'DO NOT TOUCH Imported'!$A$1:$D$800,4,False),iferror(VLOOKUP(P348,'DO NOT TOUCH Imported'!$C$1:$D$800,2,False),"OOPS FIX ME"))</f>
        <v>liviade</v>
      </c>
      <c r="B348" s="165" t="s">
        <v>441</v>
      </c>
      <c r="C348" s="170" t="s">
        <v>1248</v>
      </c>
      <c r="D348" s="236" t="s">
        <v>437</v>
      </c>
      <c r="E348" s="237">
        <v>44288.0</v>
      </c>
      <c r="F348" s="170" t="s">
        <v>439</v>
      </c>
      <c r="G348" s="219"/>
      <c r="H348" s="171">
        <v>100.0</v>
      </c>
      <c r="I348" s="171">
        <v>100.0</v>
      </c>
      <c r="J348" s="172">
        <f t="shared" si="14"/>
        <v>0.001436335405</v>
      </c>
      <c r="K348" s="173">
        <f t="shared" si="17"/>
        <v>1.651785716</v>
      </c>
      <c r="L348" s="174">
        <f t="shared" si="4"/>
        <v>8.212567489</v>
      </c>
      <c r="M348" s="175" t="str">
        <f t="shared" si="5"/>
        <v>liviade</v>
      </c>
      <c r="N348" s="176">
        <f>IFERROR(__xludf.DUMMYFUNCTION("""COMPUTED_VALUE"""),26.0)</f>
        <v>26</v>
      </c>
      <c r="O348" s="176"/>
      <c r="P348" s="165" t="s">
        <v>490</v>
      </c>
      <c r="Q348" s="165" t="s">
        <v>441</v>
      </c>
      <c r="R348" s="176"/>
      <c r="S348" s="176"/>
      <c r="T348" s="176"/>
      <c r="U348" s="176"/>
      <c r="V348" s="176"/>
      <c r="W348" s="176"/>
      <c r="X348" s="176"/>
      <c r="Y348" s="176"/>
      <c r="Z348" s="176"/>
      <c r="AA348" s="176"/>
    </row>
    <row r="349">
      <c r="A349" s="165" t="str">
        <f>iferror(VLOOKUP(P349,'DO NOT TOUCH Imported'!$A$1:$D$800,4,False),iferror(VLOOKUP(P349,'DO NOT TOUCH Imported'!$C$1:$D$800,2,False),"OOPS FIX ME"))</f>
        <v>liviade</v>
      </c>
      <c r="B349" s="165" t="s">
        <v>441</v>
      </c>
      <c r="C349" s="170" t="s">
        <v>1250</v>
      </c>
      <c r="D349" s="236" t="s">
        <v>437</v>
      </c>
      <c r="E349" s="237">
        <v>44288.0</v>
      </c>
      <c r="F349" s="170" t="s">
        <v>439</v>
      </c>
      <c r="G349" s="219"/>
      <c r="H349" s="171">
        <v>40.0</v>
      </c>
      <c r="I349" s="171">
        <v>50.0</v>
      </c>
      <c r="J349" s="172">
        <f t="shared" si="14"/>
        <v>0.0006458506648</v>
      </c>
      <c r="K349" s="173">
        <f t="shared" si="17"/>
        <v>0.7427282645</v>
      </c>
      <c r="L349" s="174">
        <f t="shared" si="4"/>
        <v>8.212567489</v>
      </c>
      <c r="M349" s="175" t="str">
        <f t="shared" si="5"/>
        <v>liviade</v>
      </c>
      <c r="N349" s="176">
        <f>IFERROR(__xludf.DUMMYFUNCTION("""COMPUTED_VALUE"""),27.0)</f>
        <v>27</v>
      </c>
      <c r="O349" s="176"/>
      <c r="P349" s="165" t="s">
        <v>490</v>
      </c>
      <c r="Q349" s="165" t="s">
        <v>441</v>
      </c>
      <c r="R349" s="176"/>
      <c r="S349" s="176"/>
      <c r="T349" s="176"/>
      <c r="U349" s="176"/>
      <c r="V349" s="176"/>
      <c r="W349" s="176"/>
      <c r="X349" s="176"/>
      <c r="Y349" s="176"/>
      <c r="Z349" s="176"/>
      <c r="AA349" s="176"/>
    </row>
    <row r="350">
      <c r="A350" s="165" t="str">
        <f>iferror(VLOOKUP(P350,'DO NOT TOUCH Imported'!$A$1:$D$800,4,False),iferror(VLOOKUP(P350,'DO NOT TOUCH Imported'!$C$1:$D$800,2,False),"OOPS FIX ME"))</f>
        <v>liviade</v>
      </c>
      <c r="B350" s="165" t="s">
        <v>441</v>
      </c>
      <c r="C350" s="170" t="s">
        <v>1005</v>
      </c>
      <c r="D350" s="236" t="s">
        <v>437</v>
      </c>
      <c r="E350" s="237">
        <v>44289.0</v>
      </c>
      <c r="F350" s="170" t="s">
        <v>439</v>
      </c>
      <c r="G350" s="219"/>
      <c r="H350" s="171">
        <v>60.0</v>
      </c>
      <c r="I350" s="171">
        <v>40.0</v>
      </c>
      <c r="J350" s="172">
        <f t="shared" si="14"/>
        <v>0.0007191682379</v>
      </c>
      <c r="K350" s="173">
        <f t="shared" si="17"/>
        <v>0.8270434736</v>
      </c>
      <c r="L350" s="174">
        <f t="shared" si="4"/>
        <v>8.212567489</v>
      </c>
      <c r="M350" s="175" t="str">
        <f t="shared" si="5"/>
        <v>liviade</v>
      </c>
      <c r="N350" s="176">
        <f>IFERROR(__xludf.DUMMYFUNCTION("""COMPUTED_VALUE"""),28.0)</f>
        <v>28</v>
      </c>
      <c r="O350" s="176"/>
      <c r="P350" s="165" t="s">
        <v>490</v>
      </c>
      <c r="Q350" s="165" t="s">
        <v>441</v>
      </c>
      <c r="R350" s="176"/>
      <c r="S350" s="176"/>
      <c r="T350" s="176"/>
      <c r="U350" s="176"/>
      <c r="V350" s="176"/>
      <c r="W350" s="176"/>
      <c r="X350" s="176"/>
      <c r="Y350" s="176"/>
      <c r="Z350" s="176"/>
      <c r="AA350" s="176"/>
    </row>
    <row r="351">
      <c r="A351" s="165" t="str">
        <f>iferror(VLOOKUP(P351,'DO NOT TOUCH Imported'!$A$1:$D$800,4,False),iferror(VLOOKUP(P351,'DO NOT TOUCH Imported'!$C$1:$D$800,2,False),"OOPS FIX ME"))</f>
        <v>liviade</v>
      </c>
      <c r="B351" s="165" t="s">
        <v>443</v>
      </c>
      <c r="C351" s="170" t="s">
        <v>1252</v>
      </c>
      <c r="D351" s="236" t="s">
        <v>437</v>
      </c>
      <c r="E351" s="237">
        <v>44291.0</v>
      </c>
      <c r="F351" s="170" t="s">
        <v>439</v>
      </c>
      <c r="G351" s="219"/>
      <c r="H351" s="171">
        <v>100.0</v>
      </c>
      <c r="I351" s="171">
        <v>80.0</v>
      </c>
      <c r="J351" s="172">
        <f t="shared" si="14"/>
        <v>0.0012937024</v>
      </c>
      <c r="K351" s="173">
        <f t="shared" si="17"/>
        <v>1.48775776</v>
      </c>
      <c r="L351" s="174">
        <f t="shared" si="4"/>
        <v>8.212567489</v>
      </c>
      <c r="M351" s="175" t="str">
        <f t="shared" si="5"/>
        <v>liviade</v>
      </c>
      <c r="N351" s="176">
        <f>IFERROR(__xludf.DUMMYFUNCTION("""COMPUTED_VALUE"""),29.0)</f>
        <v>29</v>
      </c>
      <c r="O351" s="176"/>
      <c r="P351" s="165" t="s">
        <v>490</v>
      </c>
      <c r="Q351" s="165" t="s">
        <v>443</v>
      </c>
      <c r="R351" s="176"/>
      <c r="S351" s="176"/>
      <c r="T351" s="176"/>
      <c r="U351" s="176"/>
      <c r="V351" s="176"/>
      <c r="W351" s="176"/>
      <c r="X351" s="176"/>
      <c r="Y351" s="176"/>
      <c r="Z351" s="176"/>
      <c r="AA351" s="176"/>
    </row>
    <row r="352">
      <c r="A352" s="165" t="str">
        <f>iferror(VLOOKUP(P352,'DO NOT TOUCH Imported'!$A$1:$D$800,4,False),iferror(VLOOKUP(P352,'DO NOT TOUCH Imported'!$C$1:$D$800,2,False),"OOPS FIX ME"))</f>
        <v>liviade</v>
      </c>
      <c r="B352" s="165" t="s">
        <v>440</v>
      </c>
      <c r="C352" s="170" t="s">
        <v>1319</v>
      </c>
      <c r="D352" s="236" t="s">
        <v>437</v>
      </c>
      <c r="E352" s="237">
        <v>44293.0</v>
      </c>
      <c r="F352" s="170" t="s">
        <v>439</v>
      </c>
      <c r="G352" s="219"/>
      <c r="H352" s="171">
        <v>100.0</v>
      </c>
      <c r="I352" s="171">
        <v>200.0</v>
      </c>
      <c r="J352" s="172">
        <f t="shared" si="14"/>
        <v>0.002149500432</v>
      </c>
      <c r="K352" s="173">
        <f t="shared" si="17"/>
        <v>2.471925496</v>
      </c>
      <c r="L352" s="174">
        <f t="shared" si="4"/>
        <v>8.212567489</v>
      </c>
      <c r="M352" s="175" t="str">
        <f t="shared" si="5"/>
        <v>liviade</v>
      </c>
      <c r="N352" s="176">
        <f>IFERROR(__xludf.DUMMYFUNCTION("""COMPUTED_VALUE"""),30.0)</f>
        <v>30</v>
      </c>
      <c r="O352" s="176"/>
      <c r="P352" s="165" t="s">
        <v>490</v>
      </c>
      <c r="Q352" s="165" t="s">
        <v>440</v>
      </c>
      <c r="R352" s="176"/>
      <c r="S352" s="176"/>
      <c r="T352" s="176"/>
      <c r="U352" s="176"/>
      <c r="V352" s="176"/>
      <c r="W352" s="176"/>
      <c r="X352" s="176"/>
      <c r="Y352" s="176"/>
      <c r="Z352" s="176"/>
      <c r="AA352" s="176"/>
    </row>
    <row r="353">
      <c r="A353" s="165" t="str">
        <f>iferror(VLOOKUP(P353,'DO NOT TOUCH Imported'!$A$1:$D$800,4,False),iferror(VLOOKUP(P353,'DO NOT TOUCH Imported'!$C$1:$D$800,2,False),"OOPS FIX ME"))</f>
        <v>liviade</v>
      </c>
      <c r="B353" s="165" t="s">
        <v>435</v>
      </c>
      <c r="C353" s="170" t="s">
        <v>1395</v>
      </c>
      <c r="D353" s="236" t="s">
        <v>437</v>
      </c>
      <c r="E353" s="237">
        <v>44294.0</v>
      </c>
      <c r="F353" s="170" t="s">
        <v>439</v>
      </c>
      <c r="G353" s="219"/>
      <c r="H353" s="171">
        <v>150.0</v>
      </c>
      <c r="I353" s="171">
        <v>100.0</v>
      </c>
      <c r="J353" s="172">
        <f t="shared" si="14"/>
        <v>0.001797920595</v>
      </c>
      <c r="K353" s="173">
        <f t="shared" si="17"/>
        <v>2.067608684</v>
      </c>
      <c r="L353" s="174">
        <f t="shared" si="4"/>
        <v>8.212567489</v>
      </c>
      <c r="M353" s="175" t="str">
        <f t="shared" si="5"/>
        <v>liviade</v>
      </c>
      <c r="N353" s="176">
        <f>IFERROR(__xludf.DUMMYFUNCTION("""COMPUTED_VALUE"""),31.0)</f>
        <v>31</v>
      </c>
      <c r="O353" s="176"/>
      <c r="P353" s="165" t="s">
        <v>490</v>
      </c>
      <c r="Q353" s="165" t="s">
        <v>435</v>
      </c>
      <c r="R353" s="176"/>
      <c r="S353" s="176"/>
      <c r="T353" s="176"/>
      <c r="U353" s="176"/>
      <c r="V353" s="176"/>
      <c r="W353" s="176"/>
      <c r="X353" s="176"/>
      <c r="Y353" s="176"/>
      <c r="Z353" s="176"/>
      <c r="AA353" s="176"/>
    </row>
    <row r="354">
      <c r="A354" s="165" t="str">
        <f>iferror(VLOOKUP(P354,'DO NOT TOUCH Imported'!$A$1:$D$800,4,False),iferror(VLOOKUP(P354,'DO NOT TOUCH Imported'!$C$1:$D$800,2,False),"OOPS FIX ME"))</f>
        <v>liviade</v>
      </c>
      <c r="B354" s="165" t="s">
        <v>441</v>
      </c>
      <c r="C354" s="170" t="s">
        <v>1396</v>
      </c>
      <c r="D354" s="236" t="s">
        <v>437</v>
      </c>
      <c r="E354" s="237">
        <v>44295.0</v>
      </c>
      <c r="F354" s="170" t="s">
        <v>439</v>
      </c>
      <c r="G354" s="219"/>
      <c r="H354" s="171">
        <v>150.0</v>
      </c>
      <c r="I354" s="171">
        <v>200.0</v>
      </c>
      <c r="J354" s="172">
        <f t="shared" si="14"/>
        <v>0.002511085621</v>
      </c>
      <c r="K354" s="173">
        <f t="shared" si="17"/>
        <v>2.887748464</v>
      </c>
      <c r="L354" s="174">
        <f t="shared" si="4"/>
        <v>8.212567489</v>
      </c>
      <c r="M354" s="175" t="str">
        <f t="shared" si="5"/>
        <v>liviade</v>
      </c>
      <c r="N354" s="176">
        <f>IFERROR(__xludf.DUMMYFUNCTION("""COMPUTED_VALUE"""),32.0)</f>
        <v>32</v>
      </c>
      <c r="O354" s="176"/>
      <c r="P354" s="165" t="s">
        <v>490</v>
      </c>
      <c r="Q354" s="165" t="s">
        <v>441</v>
      </c>
      <c r="R354" s="176"/>
      <c r="S354" s="176"/>
      <c r="T354" s="176"/>
      <c r="U354" s="176"/>
      <c r="V354" s="176"/>
      <c r="W354" s="176"/>
      <c r="X354" s="176"/>
      <c r="Y354" s="176"/>
      <c r="Z354" s="176"/>
      <c r="AA354" s="176"/>
    </row>
    <row r="355">
      <c r="A355" s="165" t="str">
        <f>iferror(VLOOKUP(P355,'DO NOT TOUCH Imported'!$A$1:$D$800,4,False),iferror(VLOOKUP(P355,'DO NOT TOUCH Imported'!$C$1:$D$800,2,False),"OOPS FIX ME"))</f>
        <v>liviade</v>
      </c>
      <c r="B355" s="165" t="s">
        <v>441</v>
      </c>
      <c r="C355" s="170" t="s">
        <v>1397</v>
      </c>
      <c r="D355" s="236" t="s">
        <v>437</v>
      </c>
      <c r="E355" s="237">
        <v>44295.0</v>
      </c>
      <c r="F355" s="170" t="s">
        <v>439</v>
      </c>
      <c r="G355" s="219"/>
      <c r="H355" s="171">
        <v>100.0</v>
      </c>
      <c r="I355" s="171">
        <v>100.0</v>
      </c>
      <c r="J355" s="172">
        <f t="shared" si="14"/>
        <v>0.001436335405</v>
      </c>
      <c r="K355" s="173">
        <f t="shared" si="17"/>
        <v>1.651785716</v>
      </c>
      <c r="L355" s="174">
        <f t="shared" si="4"/>
        <v>8.212567489</v>
      </c>
      <c r="M355" s="175" t="str">
        <f t="shared" si="5"/>
        <v>liviade</v>
      </c>
      <c r="N355" s="176">
        <f>IFERROR(__xludf.DUMMYFUNCTION("""COMPUTED_VALUE"""),33.0)</f>
        <v>33</v>
      </c>
      <c r="O355" s="176"/>
      <c r="P355" s="165" t="s">
        <v>490</v>
      </c>
      <c r="Q355" s="165" t="s">
        <v>441</v>
      </c>
      <c r="R355" s="176"/>
      <c r="S355" s="176"/>
      <c r="T355" s="176"/>
      <c r="U355" s="176"/>
      <c r="V355" s="176"/>
      <c r="W355" s="176"/>
      <c r="X355" s="176"/>
      <c r="Y355" s="176"/>
      <c r="Z355" s="176"/>
      <c r="AA355" s="176"/>
    </row>
    <row r="356">
      <c r="A356" s="165" t="str">
        <f>iferror(VLOOKUP(P356,'DO NOT TOUCH Imported'!$A$1:$D$800,4,False),iferror(VLOOKUP(P356,'DO NOT TOUCH Imported'!$C$1:$D$800,2,False),"OOPS FIX ME"))</f>
        <v>liviade</v>
      </c>
      <c r="B356" s="165" t="s">
        <v>441</v>
      </c>
      <c r="C356" s="170" t="s">
        <v>1331</v>
      </c>
      <c r="D356" s="236" t="s">
        <v>437</v>
      </c>
      <c r="E356" s="237">
        <v>44295.0</v>
      </c>
      <c r="F356" s="170" t="s">
        <v>439</v>
      </c>
      <c r="G356" s="219"/>
      <c r="H356" s="171">
        <v>100.0</v>
      </c>
      <c r="I356" s="171">
        <v>100.0</v>
      </c>
      <c r="J356" s="172">
        <f t="shared" si="14"/>
        <v>0.001436335405</v>
      </c>
      <c r="K356" s="173">
        <f t="shared" si="17"/>
        <v>1.651785716</v>
      </c>
      <c r="L356" s="174">
        <f t="shared" si="4"/>
        <v>8.212567489</v>
      </c>
      <c r="M356" s="175" t="str">
        <f t="shared" si="5"/>
        <v>liviade</v>
      </c>
      <c r="N356" s="176">
        <f>IFERROR(__xludf.DUMMYFUNCTION("""COMPUTED_VALUE"""),34.0)</f>
        <v>34</v>
      </c>
      <c r="O356" s="176"/>
      <c r="P356" s="165" t="s">
        <v>490</v>
      </c>
      <c r="Q356" s="165" t="s">
        <v>441</v>
      </c>
      <c r="R356" s="176"/>
      <c r="S356" s="176"/>
      <c r="T356" s="176"/>
      <c r="U356" s="176"/>
      <c r="V356" s="176"/>
      <c r="W356" s="176"/>
      <c r="X356" s="176"/>
      <c r="Y356" s="176"/>
      <c r="Z356" s="176"/>
      <c r="AA356" s="176"/>
    </row>
    <row r="357">
      <c r="A357" s="165" t="str">
        <f>iferror(VLOOKUP(P357,'DO NOT TOUCH Imported'!$A$1:$D$800,4,False),iferror(VLOOKUP(P357,'DO NOT TOUCH Imported'!$C$1:$D$800,2,False),"OOPS FIX ME"))</f>
        <v>liviade</v>
      </c>
      <c r="B357" s="165" t="s">
        <v>441</v>
      </c>
      <c r="C357" s="170" t="s">
        <v>1267</v>
      </c>
      <c r="D357" s="236" t="s">
        <v>437</v>
      </c>
      <c r="E357" s="237">
        <v>44295.0</v>
      </c>
      <c r="F357" s="170" t="s">
        <v>439</v>
      </c>
      <c r="G357" s="219"/>
      <c r="H357" s="171">
        <v>50.0</v>
      </c>
      <c r="I357" s="171">
        <v>50.0</v>
      </c>
      <c r="J357" s="172">
        <f t="shared" si="14"/>
        <v>0.0007181677027</v>
      </c>
      <c r="K357" s="173">
        <f t="shared" si="17"/>
        <v>0.8258928581</v>
      </c>
      <c r="L357" s="174">
        <f t="shared" si="4"/>
        <v>8.212567489</v>
      </c>
      <c r="M357" s="175" t="str">
        <f t="shared" si="5"/>
        <v>liviade</v>
      </c>
      <c r="N357" s="176">
        <f>IFERROR(__xludf.DUMMYFUNCTION("""COMPUTED_VALUE"""),35.0)</f>
        <v>35</v>
      </c>
      <c r="O357" s="176"/>
      <c r="P357" s="165" t="s">
        <v>490</v>
      </c>
      <c r="Q357" s="165" t="s">
        <v>441</v>
      </c>
      <c r="R357" s="176"/>
      <c r="S357" s="176"/>
      <c r="T357" s="176"/>
      <c r="U357" s="176"/>
      <c r="V357" s="176"/>
      <c r="W357" s="176"/>
      <c r="X357" s="176"/>
      <c r="Y357" s="176"/>
      <c r="Z357" s="176"/>
      <c r="AA357" s="176"/>
    </row>
    <row r="358">
      <c r="A358" s="165" t="str">
        <f>iferror(VLOOKUP(P358,'DO NOT TOUCH Imported'!$A$1:$D$800,4,False),iferror(VLOOKUP(P358,'DO NOT TOUCH Imported'!$C$1:$D$800,2,False),"OOPS FIX ME"))</f>
        <v>liviade</v>
      </c>
      <c r="B358" s="165" t="s">
        <v>441</v>
      </c>
      <c r="C358" s="170" t="s">
        <v>1268</v>
      </c>
      <c r="D358" s="236" t="s">
        <v>437</v>
      </c>
      <c r="E358" s="237">
        <v>44295.0</v>
      </c>
      <c r="F358" s="170" t="s">
        <v>439</v>
      </c>
      <c r="G358" s="219"/>
      <c r="H358" s="171">
        <v>60.0</v>
      </c>
      <c r="I358" s="171">
        <v>80.0</v>
      </c>
      <c r="J358" s="172">
        <f t="shared" si="14"/>
        <v>0.001004434248</v>
      </c>
      <c r="K358" s="173">
        <f t="shared" si="17"/>
        <v>1.155099386</v>
      </c>
      <c r="L358" s="174">
        <f t="shared" si="4"/>
        <v>8.212567489</v>
      </c>
      <c r="M358" s="175" t="str">
        <f t="shared" si="5"/>
        <v>liviade</v>
      </c>
      <c r="N358" s="176">
        <f>IFERROR(__xludf.DUMMYFUNCTION("""COMPUTED_VALUE"""),36.0)</f>
        <v>36</v>
      </c>
      <c r="O358" s="176"/>
      <c r="P358" s="165" t="s">
        <v>490</v>
      </c>
      <c r="Q358" s="165" t="s">
        <v>441</v>
      </c>
      <c r="R358" s="176"/>
      <c r="S358" s="176"/>
      <c r="T358" s="176"/>
      <c r="U358" s="176"/>
      <c r="V358" s="176"/>
      <c r="W358" s="176"/>
      <c r="X358" s="176"/>
      <c r="Y358" s="176"/>
      <c r="Z358" s="176"/>
      <c r="AA358" s="176"/>
    </row>
    <row r="359">
      <c r="A359" s="165" t="str">
        <f>iferror(VLOOKUP(P359,'DO NOT TOUCH Imported'!$A$1:$D$800,4,False),iferror(VLOOKUP(P359,'DO NOT TOUCH Imported'!$C$1:$D$800,2,False),"OOPS FIX ME"))</f>
        <v>liviade</v>
      </c>
      <c r="B359" s="165" t="s">
        <v>441</v>
      </c>
      <c r="C359" s="170" t="s">
        <v>1269</v>
      </c>
      <c r="D359" s="236" t="s">
        <v>437</v>
      </c>
      <c r="E359" s="237">
        <v>44295.0</v>
      </c>
      <c r="F359" s="170" t="s">
        <v>439</v>
      </c>
      <c r="G359" s="219"/>
      <c r="H359" s="171">
        <v>60.0</v>
      </c>
      <c r="I359" s="171">
        <v>50.0</v>
      </c>
      <c r="J359" s="172">
        <f t="shared" si="14"/>
        <v>0.0007904847406</v>
      </c>
      <c r="K359" s="173">
        <f t="shared" si="17"/>
        <v>0.9090574516</v>
      </c>
      <c r="L359" s="174">
        <f t="shared" si="4"/>
        <v>8.212567489</v>
      </c>
      <c r="M359" s="175" t="str">
        <f t="shared" si="5"/>
        <v>liviade</v>
      </c>
      <c r="N359" s="176">
        <f>IFERROR(__xludf.DUMMYFUNCTION("""COMPUTED_VALUE"""),37.0)</f>
        <v>37</v>
      </c>
      <c r="O359" s="176"/>
      <c r="P359" s="165" t="s">
        <v>490</v>
      </c>
      <c r="Q359" s="165" t="s">
        <v>441</v>
      </c>
      <c r="R359" s="176"/>
      <c r="S359" s="176"/>
      <c r="T359" s="176"/>
      <c r="U359" s="176"/>
      <c r="V359" s="176"/>
      <c r="W359" s="176"/>
      <c r="X359" s="176"/>
      <c r="Y359" s="176"/>
      <c r="Z359" s="176"/>
      <c r="AA359" s="176"/>
    </row>
    <row r="360">
      <c r="A360" s="165" t="str">
        <f>iferror(VLOOKUP(P360,'DO NOT TOUCH Imported'!$A$1:$D$800,4,False),iferror(VLOOKUP(P360,'DO NOT TOUCH Imported'!$C$1:$D$800,2,False),"OOPS FIX ME"))</f>
        <v>liviade</v>
      </c>
      <c r="B360" s="165" t="s">
        <v>620</v>
      </c>
      <c r="C360" s="170" t="s">
        <v>1398</v>
      </c>
      <c r="D360" s="236" t="s">
        <v>437</v>
      </c>
      <c r="E360" s="237">
        <v>44295.0</v>
      </c>
      <c r="F360" s="170" t="s">
        <v>439</v>
      </c>
      <c r="G360" s="219"/>
      <c r="H360" s="171">
        <v>100.0</v>
      </c>
      <c r="I360" s="171">
        <v>100.0</v>
      </c>
      <c r="J360" s="172">
        <f t="shared" si="14"/>
        <v>0.001436335405</v>
      </c>
      <c r="K360" s="173">
        <f t="shared" si="17"/>
        <v>1.651785716</v>
      </c>
      <c r="L360" s="174">
        <f t="shared" si="4"/>
        <v>8.212567489</v>
      </c>
      <c r="M360" s="175" t="str">
        <f t="shared" si="5"/>
        <v>liviade</v>
      </c>
      <c r="N360" s="176">
        <f>IFERROR(__xludf.DUMMYFUNCTION("""COMPUTED_VALUE"""),38.0)</f>
        <v>38</v>
      </c>
      <c r="O360" s="176"/>
      <c r="P360" s="165" t="s">
        <v>490</v>
      </c>
      <c r="Q360" s="165" t="s">
        <v>620</v>
      </c>
      <c r="R360" s="176"/>
      <c r="S360" s="176"/>
      <c r="T360" s="176"/>
      <c r="U360" s="176"/>
      <c r="V360" s="176"/>
      <c r="W360" s="176"/>
      <c r="X360" s="176"/>
      <c r="Y360" s="176"/>
      <c r="Z360" s="176"/>
      <c r="AA360" s="176"/>
    </row>
    <row r="361">
      <c r="A361" s="185" t="str">
        <f>iferror(VLOOKUP(P361,'DO NOT TOUCH Imported'!$A$1:$D$800,4,False),iferror(VLOOKUP(P361,'DO NOT TOUCH Imported'!$C$1:$D$800,2,False),"OOPS FIX ME"))</f>
        <v>sembrestels</v>
      </c>
      <c r="B361" s="185" t="s">
        <v>534</v>
      </c>
      <c r="C361" s="210" t="s">
        <v>646</v>
      </c>
      <c r="D361" s="187"/>
      <c r="E361" s="188"/>
      <c r="F361" s="189"/>
      <c r="G361" s="190"/>
      <c r="H361" s="190"/>
      <c r="I361" s="190"/>
      <c r="J361" s="172">
        <f t="shared" si="14"/>
        <v>0</v>
      </c>
      <c r="K361" s="192">
        <f>54.708*-0.85</f>
        <v>-46.5018</v>
      </c>
      <c r="L361" s="193">
        <f t="shared" si="4"/>
        <v>8.205995329</v>
      </c>
      <c r="M361" s="194" t="str">
        <f t="shared" si="5"/>
        <v>sembrestels</v>
      </c>
      <c r="N361" s="211">
        <f>IFERROR(__xludf.DUMMYFUNCTION("""COMPUTED_VALUE"""),1.0)</f>
        <v>1</v>
      </c>
      <c r="O361" s="195"/>
      <c r="P361" s="212" t="s">
        <v>6</v>
      </c>
      <c r="Q361" s="185" t="s">
        <v>534</v>
      </c>
      <c r="R361" s="195">
        <v>57.049855624848725</v>
      </c>
      <c r="S361" s="195"/>
      <c r="T361" s="195"/>
      <c r="U361" s="195"/>
      <c r="V361" s="195"/>
      <c r="W361" s="195"/>
      <c r="X361" s="195"/>
      <c r="Y361" s="195"/>
      <c r="Z361" s="195"/>
      <c r="AA361" s="176"/>
    </row>
    <row r="362">
      <c r="A362" s="165" t="str">
        <f>iferror(VLOOKUP(P362,'DO NOT TOUCH Imported'!$A$1:$D$800,4,False),iferror(VLOOKUP(P362,'DO NOT TOUCH Imported'!$C$1:$D$800,2,False),"OOPS FIX ME"))</f>
        <v>sembrestels</v>
      </c>
      <c r="B362" s="165" t="s">
        <v>10</v>
      </c>
      <c r="C362" s="170" t="s">
        <v>1357</v>
      </c>
      <c r="D362" s="236" t="s">
        <v>495</v>
      </c>
      <c r="E362" s="239">
        <v>44288.0</v>
      </c>
      <c r="F362" s="170" t="s">
        <v>496</v>
      </c>
      <c r="G362" s="219"/>
      <c r="H362" s="171">
        <v>60.0</v>
      </c>
      <c r="I362" s="171">
        <v>80.0</v>
      </c>
      <c r="J362" s="172">
        <f t="shared" si="14"/>
        <v>0.001004434248</v>
      </c>
      <c r="K362" s="173">
        <f t="shared" ref="K362:K402" si="18">J362*$J$1</f>
        <v>1.155099386</v>
      </c>
      <c r="L362" s="174">
        <f t="shared" si="4"/>
        <v>8.205995329</v>
      </c>
      <c r="M362" s="175" t="str">
        <f t="shared" si="5"/>
        <v>sembrestels</v>
      </c>
      <c r="N362" s="176">
        <f>IFERROR(__xludf.DUMMYFUNCTION("""COMPUTED_VALUE"""),2.0)</f>
        <v>2</v>
      </c>
      <c r="O362" s="176"/>
      <c r="P362" s="165" t="s">
        <v>6</v>
      </c>
      <c r="Q362" s="165" t="s">
        <v>10</v>
      </c>
      <c r="R362" s="176"/>
      <c r="S362" s="176"/>
      <c r="T362" s="176"/>
      <c r="U362" s="176"/>
      <c r="V362" s="176"/>
      <c r="W362" s="176"/>
      <c r="X362" s="176"/>
      <c r="Y362" s="176"/>
      <c r="Z362" s="176"/>
      <c r="AA362" s="176"/>
    </row>
    <row r="363">
      <c r="A363" s="165" t="str">
        <f>iferror(VLOOKUP(P363,'DO NOT TOUCH Imported'!$A$1:$D$800,4,False),iferror(VLOOKUP(P363,'DO NOT TOUCH Imported'!$C$1:$D$800,2,False),"OOPS FIX ME"))</f>
        <v>sembrestels</v>
      </c>
      <c r="B363" s="165" t="s">
        <v>6</v>
      </c>
      <c r="C363" s="170" t="s">
        <v>1399</v>
      </c>
      <c r="D363" s="236" t="s">
        <v>495</v>
      </c>
      <c r="E363" s="239">
        <v>44288.0</v>
      </c>
      <c r="F363" s="170" t="s">
        <v>627</v>
      </c>
      <c r="G363" s="219"/>
      <c r="H363" s="171">
        <v>300.0</v>
      </c>
      <c r="I363" s="171">
        <v>500.0</v>
      </c>
      <c r="J363" s="172">
        <f t="shared" si="14"/>
        <v>0.005735336269</v>
      </c>
      <c r="K363" s="173">
        <f t="shared" si="18"/>
        <v>6.595636709</v>
      </c>
      <c r="L363" s="174">
        <f t="shared" si="4"/>
        <v>8.205995329</v>
      </c>
      <c r="M363" s="175" t="str">
        <f t="shared" si="5"/>
        <v>sembrestels</v>
      </c>
      <c r="N363" s="176">
        <f>IFERROR(__xludf.DUMMYFUNCTION("""COMPUTED_VALUE"""),3.0)</f>
        <v>3</v>
      </c>
      <c r="O363" s="176"/>
      <c r="P363" s="165" t="s">
        <v>6</v>
      </c>
      <c r="Q363" s="165" t="s">
        <v>6</v>
      </c>
      <c r="R363" s="176"/>
      <c r="S363" s="176"/>
      <c r="T363" s="176"/>
      <c r="U363" s="176"/>
      <c r="V363" s="176"/>
      <c r="W363" s="176"/>
      <c r="X363" s="176"/>
      <c r="Y363" s="176"/>
      <c r="Z363" s="176"/>
      <c r="AA363" s="176"/>
    </row>
    <row r="364">
      <c r="A364" s="165" t="str">
        <f>iferror(VLOOKUP(P364,'DO NOT TOUCH Imported'!$A$1:$D$800,4,False),iferror(VLOOKUP(P364,'DO NOT TOUCH Imported'!$C$1:$D$800,2,False),"OOPS FIX ME"))</f>
        <v>sembrestels</v>
      </c>
      <c r="B364" s="165" t="s">
        <v>6</v>
      </c>
      <c r="C364" s="170" t="s">
        <v>1400</v>
      </c>
      <c r="D364" s="236" t="s">
        <v>495</v>
      </c>
      <c r="E364" s="239">
        <v>44288.0</v>
      </c>
      <c r="F364" s="170" t="s">
        <v>627</v>
      </c>
      <c r="G364" s="219"/>
      <c r="H364" s="171">
        <v>100.0</v>
      </c>
      <c r="I364" s="171">
        <v>200.0</v>
      </c>
      <c r="J364" s="172">
        <f t="shared" si="14"/>
        <v>0.002149500432</v>
      </c>
      <c r="K364" s="173">
        <f t="shared" si="18"/>
        <v>2.471925496</v>
      </c>
      <c r="L364" s="174">
        <f t="shared" si="4"/>
        <v>8.205995329</v>
      </c>
      <c r="M364" s="175" t="str">
        <f t="shared" si="5"/>
        <v>sembrestels</v>
      </c>
      <c r="N364" s="176">
        <f>IFERROR(__xludf.DUMMYFUNCTION("""COMPUTED_VALUE"""),4.0)</f>
        <v>4</v>
      </c>
      <c r="O364" s="176"/>
      <c r="P364" s="165" t="s">
        <v>6</v>
      </c>
      <c r="Q364" s="165" t="s">
        <v>6</v>
      </c>
      <c r="R364" s="176"/>
      <c r="S364" s="176"/>
      <c r="T364" s="176"/>
      <c r="U364" s="176"/>
      <c r="V364" s="176"/>
      <c r="W364" s="176"/>
      <c r="X364" s="176"/>
      <c r="Y364" s="176"/>
      <c r="Z364" s="176"/>
      <c r="AA364" s="176"/>
    </row>
    <row r="365">
      <c r="A365" s="165" t="str">
        <f>iferror(VLOOKUP(P365,'DO NOT TOUCH Imported'!$A$1:$D$800,4,False),iferror(VLOOKUP(P365,'DO NOT TOUCH Imported'!$C$1:$D$800,2,False),"OOPS FIX ME"))</f>
        <v>sembrestels</v>
      </c>
      <c r="B365" s="165" t="s">
        <v>6</v>
      </c>
      <c r="C365" s="170" t="s">
        <v>1401</v>
      </c>
      <c r="D365" s="236" t="s">
        <v>495</v>
      </c>
      <c r="E365" s="239">
        <v>44292.0</v>
      </c>
      <c r="F365" s="170" t="s">
        <v>627</v>
      </c>
      <c r="G365" s="219"/>
      <c r="H365" s="171">
        <v>300.0</v>
      </c>
      <c r="I365" s="171">
        <v>300.0</v>
      </c>
      <c r="J365" s="172">
        <f t="shared" si="14"/>
        <v>0.004309006216</v>
      </c>
      <c r="K365" s="173">
        <f t="shared" si="18"/>
        <v>4.955357148</v>
      </c>
      <c r="L365" s="174">
        <f t="shared" si="4"/>
        <v>8.205995329</v>
      </c>
      <c r="M365" s="175" t="str">
        <f t="shared" si="5"/>
        <v>sembrestels</v>
      </c>
      <c r="N365" s="176">
        <f>IFERROR(__xludf.DUMMYFUNCTION("""COMPUTED_VALUE"""),5.0)</f>
        <v>5</v>
      </c>
      <c r="O365" s="176"/>
      <c r="P365" s="165" t="s">
        <v>6</v>
      </c>
      <c r="Q365" s="165" t="s">
        <v>6</v>
      </c>
      <c r="R365" s="176"/>
      <c r="S365" s="176"/>
      <c r="T365" s="176"/>
      <c r="U365" s="176"/>
      <c r="V365" s="176"/>
      <c r="W365" s="176"/>
      <c r="X365" s="176"/>
      <c r="Y365" s="176"/>
      <c r="Z365" s="176"/>
      <c r="AA365" s="176"/>
    </row>
    <row r="366">
      <c r="A366" s="165" t="str">
        <f>iferror(VLOOKUP(P366,'DO NOT TOUCH Imported'!$A$1:$D$800,4,False),iferror(VLOOKUP(P366,'DO NOT TOUCH Imported'!$C$1:$D$800,2,False),"OOPS FIX ME"))</f>
        <v>sembrestels</v>
      </c>
      <c r="B366" s="165" t="s">
        <v>519</v>
      </c>
      <c r="C366" s="170" t="s">
        <v>1402</v>
      </c>
      <c r="D366" s="236" t="s">
        <v>495</v>
      </c>
      <c r="E366" s="239">
        <v>44292.0</v>
      </c>
      <c r="F366" s="170" t="s">
        <v>627</v>
      </c>
      <c r="G366" s="219"/>
      <c r="H366" s="171">
        <v>100.0</v>
      </c>
      <c r="I366" s="171">
        <v>100.0</v>
      </c>
      <c r="J366" s="172">
        <f t="shared" si="14"/>
        <v>0.001436335405</v>
      </c>
      <c r="K366" s="173">
        <f t="shared" si="18"/>
        <v>1.651785716</v>
      </c>
      <c r="L366" s="174">
        <f t="shared" si="4"/>
        <v>8.205995329</v>
      </c>
      <c r="M366" s="175" t="str">
        <f t="shared" si="5"/>
        <v>sembrestels</v>
      </c>
      <c r="N366" s="176">
        <f>IFERROR(__xludf.DUMMYFUNCTION("""COMPUTED_VALUE"""),6.0)</f>
        <v>6</v>
      </c>
      <c r="O366" s="176"/>
      <c r="P366" s="165" t="s">
        <v>6</v>
      </c>
      <c r="Q366" s="165" t="s">
        <v>519</v>
      </c>
      <c r="R366" s="176"/>
      <c r="S366" s="176"/>
      <c r="T366" s="176"/>
      <c r="U366" s="176"/>
      <c r="V366" s="176"/>
      <c r="W366" s="176"/>
      <c r="X366" s="176"/>
      <c r="Y366" s="176"/>
      <c r="Z366" s="176"/>
      <c r="AA366" s="176"/>
    </row>
    <row r="367">
      <c r="A367" s="165" t="str">
        <f>iferror(VLOOKUP(P367,'DO NOT TOUCH Imported'!$A$1:$D$800,4,False),iferror(VLOOKUP(P367,'DO NOT TOUCH Imported'!$C$1:$D$800,2,False),"OOPS FIX ME"))</f>
        <v>sembrestels</v>
      </c>
      <c r="B367" s="165" t="s">
        <v>6</v>
      </c>
      <c r="C367" s="170" t="s">
        <v>1403</v>
      </c>
      <c r="D367" s="236" t="s">
        <v>495</v>
      </c>
      <c r="E367" s="239">
        <v>44295.0</v>
      </c>
      <c r="F367" s="170" t="s">
        <v>627</v>
      </c>
      <c r="G367" s="219"/>
      <c r="H367" s="171">
        <v>300.0</v>
      </c>
      <c r="I367" s="171">
        <v>400.0</v>
      </c>
      <c r="J367" s="172">
        <f t="shared" si="14"/>
        <v>0.005022171242</v>
      </c>
      <c r="K367" s="173">
        <f t="shared" si="18"/>
        <v>5.775496929</v>
      </c>
      <c r="L367" s="174">
        <f t="shared" si="4"/>
        <v>8.205995329</v>
      </c>
      <c r="M367" s="175" t="str">
        <f t="shared" si="5"/>
        <v>sembrestels</v>
      </c>
      <c r="N367" s="176">
        <f>IFERROR(__xludf.DUMMYFUNCTION("""COMPUTED_VALUE"""),7.0)</f>
        <v>7</v>
      </c>
      <c r="O367" s="176"/>
      <c r="P367" s="165" t="s">
        <v>6</v>
      </c>
      <c r="Q367" s="165" t="s">
        <v>6</v>
      </c>
      <c r="R367" s="176"/>
      <c r="S367" s="176"/>
      <c r="T367" s="176"/>
      <c r="U367" s="176"/>
      <c r="V367" s="176"/>
      <c r="W367" s="176"/>
      <c r="X367" s="176"/>
      <c r="Y367" s="176"/>
      <c r="Z367" s="176"/>
      <c r="AA367" s="176"/>
    </row>
    <row r="368">
      <c r="A368" s="165" t="str">
        <f>iferror(VLOOKUP(P368,'DO NOT TOUCH Imported'!$A$1:$D$800,4,False),iferror(VLOOKUP(P368,'DO NOT TOUCH Imported'!$C$1:$D$800,2,False),"OOPS FIX ME"))</f>
        <v>sembrestels</v>
      </c>
      <c r="B368" s="165" t="s">
        <v>867</v>
      </c>
      <c r="C368" s="170" t="s">
        <v>1404</v>
      </c>
      <c r="D368" s="236" t="s">
        <v>495</v>
      </c>
      <c r="E368" s="239">
        <v>44295.0</v>
      </c>
      <c r="F368" s="170" t="s">
        <v>496</v>
      </c>
      <c r="G368" s="219"/>
      <c r="H368" s="171">
        <v>100.0</v>
      </c>
      <c r="I368" s="171">
        <v>150.0</v>
      </c>
      <c r="J368" s="172">
        <f t="shared" si="14"/>
        <v>0.001792917919</v>
      </c>
      <c r="K368" s="173">
        <f t="shared" si="18"/>
        <v>2.061855606</v>
      </c>
      <c r="L368" s="174">
        <f t="shared" si="4"/>
        <v>8.205995329</v>
      </c>
      <c r="M368" s="175" t="str">
        <f t="shared" si="5"/>
        <v>sembrestels</v>
      </c>
      <c r="N368" s="176">
        <f>IFERROR(__xludf.DUMMYFUNCTION("""COMPUTED_VALUE"""),8.0)</f>
        <v>8</v>
      </c>
      <c r="O368" s="176"/>
      <c r="P368" s="165" t="s">
        <v>6</v>
      </c>
      <c r="Q368" s="165" t="s">
        <v>867</v>
      </c>
      <c r="R368" s="176"/>
      <c r="S368" s="176"/>
      <c r="T368" s="176"/>
      <c r="U368" s="176"/>
      <c r="V368" s="176"/>
      <c r="W368" s="176"/>
      <c r="X368" s="176"/>
      <c r="Y368" s="176"/>
      <c r="Z368" s="176"/>
      <c r="AA368" s="176"/>
    </row>
    <row r="369">
      <c r="A369" s="165" t="str">
        <f>iferror(VLOOKUP(P369,'DO NOT TOUCH Imported'!$A$1:$D$800,4,False),iferror(VLOOKUP(P369,'DO NOT TOUCH Imported'!$C$1:$D$800,2,False),"OOPS FIX ME"))</f>
        <v>sembrestels</v>
      </c>
      <c r="B369" s="165" t="s">
        <v>10</v>
      </c>
      <c r="C369" s="170" t="s">
        <v>1358</v>
      </c>
      <c r="D369" s="236" t="s">
        <v>495</v>
      </c>
      <c r="E369" s="239">
        <v>44295.0</v>
      </c>
      <c r="F369" s="170" t="s">
        <v>496</v>
      </c>
      <c r="G369" s="219"/>
      <c r="H369" s="171">
        <v>70.0</v>
      </c>
      <c r="I369" s="171">
        <v>75.0</v>
      </c>
      <c r="J369" s="172">
        <f t="shared" si="14"/>
        <v>0.001041093035</v>
      </c>
      <c r="K369" s="173">
        <f t="shared" si="18"/>
        <v>1.19725699</v>
      </c>
      <c r="L369" s="174">
        <f t="shared" si="4"/>
        <v>8.205995329</v>
      </c>
      <c r="M369" s="175" t="str">
        <f t="shared" si="5"/>
        <v>sembrestels</v>
      </c>
      <c r="N369" s="176">
        <f>IFERROR(__xludf.DUMMYFUNCTION("""COMPUTED_VALUE"""),9.0)</f>
        <v>9</v>
      </c>
      <c r="O369" s="176"/>
      <c r="P369" s="165" t="s">
        <v>6</v>
      </c>
      <c r="Q369" s="165" t="s">
        <v>10</v>
      </c>
      <c r="R369" s="176"/>
      <c r="S369" s="176"/>
      <c r="T369" s="176"/>
      <c r="U369" s="176"/>
      <c r="V369" s="176"/>
      <c r="W369" s="176"/>
      <c r="X369" s="176"/>
      <c r="Y369" s="176"/>
      <c r="Z369" s="176"/>
      <c r="AA369" s="176"/>
    </row>
    <row r="370">
      <c r="A370" s="165" t="str">
        <f>iferror(VLOOKUP(P370,'DO NOT TOUCH Imported'!$A$1:$D$800,4,False),iferror(VLOOKUP(P370,'DO NOT TOUCH Imported'!$C$1:$D$800,2,False),"OOPS FIX ME"))</f>
        <v>sembrestels</v>
      </c>
      <c r="B370" s="165" t="s">
        <v>10</v>
      </c>
      <c r="C370" s="170" t="s">
        <v>494</v>
      </c>
      <c r="D370" s="236" t="s">
        <v>495</v>
      </c>
      <c r="E370" s="239">
        <v>44295.0</v>
      </c>
      <c r="F370" s="170" t="s">
        <v>496</v>
      </c>
      <c r="G370" s="219"/>
      <c r="H370" s="171">
        <v>40.0</v>
      </c>
      <c r="I370" s="171">
        <v>40.0</v>
      </c>
      <c r="J370" s="172">
        <f t="shared" si="14"/>
        <v>0.0005745341621</v>
      </c>
      <c r="K370" s="173">
        <f t="shared" si="18"/>
        <v>0.6607142865</v>
      </c>
      <c r="L370" s="174">
        <f t="shared" si="4"/>
        <v>8.205995329</v>
      </c>
      <c r="M370" s="175" t="str">
        <f t="shared" si="5"/>
        <v>sembrestels</v>
      </c>
      <c r="N370" s="176">
        <f>IFERROR(__xludf.DUMMYFUNCTION("""COMPUTED_VALUE"""),10.0)</f>
        <v>10</v>
      </c>
      <c r="O370" s="176"/>
      <c r="P370" s="165" t="s">
        <v>6</v>
      </c>
      <c r="Q370" s="165" t="s">
        <v>10</v>
      </c>
      <c r="R370" s="176"/>
      <c r="S370" s="176"/>
      <c r="T370" s="176"/>
      <c r="U370" s="176"/>
      <c r="V370" s="176"/>
      <c r="W370" s="176"/>
      <c r="X370" s="176"/>
      <c r="Y370" s="176"/>
      <c r="Z370" s="176"/>
      <c r="AA370" s="176"/>
    </row>
    <row r="371">
      <c r="A371" s="165" t="str">
        <f>iferror(VLOOKUP(P371,'DO NOT TOUCH Imported'!$A$1:$D$800,4,False),iferror(VLOOKUP(P371,'DO NOT TOUCH Imported'!$C$1:$D$800,2,False),"OOPS FIX ME"))</f>
        <v>sembrestels</v>
      </c>
      <c r="B371" s="165" t="s">
        <v>435</v>
      </c>
      <c r="C371" s="170" t="s">
        <v>1405</v>
      </c>
      <c r="D371" s="236" t="s">
        <v>437</v>
      </c>
      <c r="E371" s="239">
        <v>44287.0</v>
      </c>
      <c r="F371" s="170" t="s">
        <v>439</v>
      </c>
      <c r="G371" s="219"/>
      <c r="H371" s="171">
        <v>100.0</v>
      </c>
      <c r="I371" s="171">
        <v>150.0</v>
      </c>
      <c r="J371" s="172">
        <f t="shared" si="14"/>
        <v>0.001792917919</v>
      </c>
      <c r="K371" s="173">
        <f t="shared" si="18"/>
        <v>2.061855606</v>
      </c>
      <c r="L371" s="174">
        <f t="shared" si="4"/>
        <v>8.205995329</v>
      </c>
      <c r="M371" s="175" t="str">
        <f t="shared" si="5"/>
        <v>sembrestels</v>
      </c>
      <c r="N371" s="176">
        <f>IFERROR(__xludf.DUMMYFUNCTION("""COMPUTED_VALUE"""),11.0)</f>
        <v>11</v>
      </c>
      <c r="O371" s="176"/>
      <c r="P371" s="165" t="s">
        <v>476</v>
      </c>
      <c r="Q371" s="165" t="s">
        <v>435</v>
      </c>
      <c r="R371" s="176"/>
      <c r="S371" s="176"/>
      <c r="T371" s="176"/>
      <c r="U371" s="176"/>
      <c r="V371" s="176"/>
      <c r="W371" s="176"/>
      <c r="X371" s="176"/>
      <c r="Y371" s="176"/>
      <c r="Z371" s="176"/>
      <c r="AA371" s="176"/>
    </row>
    <row r="372">
      <c r="A372" s="165" t="str">
        <f>iferror(VLOOKUP(P372,'DO NOT TOUCH Imported'!$A$1:$D$800,4,False),iferror(VLOOKUP(P372,'DO NOT TOUCH Imported'!$C$1:$D$800,2,False),"OOPS FIX ME"))</f>
        <v>sembrestels</v>
      </c>
      <c r="B372" s="165" t="s">
        <v>441</v>
      </c>
      <c r="C372" s="170" t="s">
        <v>1406</v>
      </c>
      <c r="D372" s="236" t="s">
        <v>437</v>
      </c>
      <c r="E372" s="239">
        <v>44288.0</v>
      </c>
      <c r="F372" s="170" t="s">
        <v>439</v>
      </c>
      <c r="G372" s="219"/>
      <c r="H372" s="171">
        <v>100.0</v>
      </c>
      <c r="I372" s="171">
        <v>150.0</v>
      </c>
      <c r="J372" s="172">
        <f t="shared" si="14"/>
        <v>0.001792917919</v>
      </c>
      <c r="K372" s="173">
        <f t="shared" si="18"/>
        <v>2.061855606</v>
      </c>
      <c r="L372" s="174">
        <f t="shared" si="4"/>
        <v>8.205995329</v>
      </c>
      <c r="M372" s="175" t="str">
        <f t="shared" si="5"/>
        <v>sembrestels</v>
      </c>
      <c r="N372" s="176">
        <f>IFERROR(__xludf.DUMMYFUNCTION("""COMPUTED_VALUE"""),12.0)</f>
        <v>12</v>
      </c>
      <c r="O372" s="176"/>
      <c r="P372" s="165" t="s">
        <v>476</v>
      </c>
      <c r="Q372" s="165" t="s">
        <v>441</v>
      </c>
      <c r="R372" s="176"/>
      <c r="S372" s="176"/>
      <c r="T372" s="176"/>
      <c r="U372" s="176"/>
      <c r="V372" s="176"/>
      <c r="W372" s="176"/>
      <c r="X372" s="176"/>
      <c r="Y372" s="176"/>
      <c r="Z372" s="176"/>
      <c r="AA372" s="176"/>
    </row>
    <row r="373">
      <c r="A373" s="165" t="str">
        <f>iferror(VLOOKUP(P373,'DO NOT TOUCH Imported'!$A$1:$D$800,4,False),iferror(VLOOKUP(P373,'DO NOT TOUCH Imported'!$C$1:$D$800,2,False),"OOPS FIX ME"))</f>
        <v>sembrestels</v>
      </c>
      <c r="B373" s="165" t="s">
        <v>441</v>
      </c>
      <c r="C373" s="170" t="s">
        <v>1289</v>
      </c>
      <c r="D373" s="236" t="s">
        <v>437</v>
      </c>
      <c r="E373" s="237">
        <v>44288.0</v>
      </c>
      <c r="F373" s="170" t="s">
        <v>439</v>
      </c>
      <c r="G373" s="219"/>
      <c r="H373" s="171">
        <v>70.0</v>
      </c>
      <c r="I373" s="171">
        <v>100.0</v>
      </c>
      <c r="J373" s="172">
        <f t="shared" si="14"/>
        <v>0.001219384292</v>
      </c>
      <c r="K373" s="173">
        <f t="shared" si="18"/>
        <v>1.402291935</v>
      </c>
      <c r="L373" s="174">
        <f t="shared" si="4"/>
        <v>8.205995329</v>
      </c>
      <c r="M373" s="175" t="str">
        <f t="shared" si="5"/>
        <v>sembrestels</v>
      </c>
      <c r="N373" s="176">
        <f>IFERROR(__xludf.DUMMYFUNCTION("""COMPUTED_VALUE"""),13.0)</f>
        <v>13</v>
      </c>
      <c r="O373" s="176"/>
      <c r="P373" s="165" t="s">
        <v>476</v>
      </c>
      <c r="Q373" s="165" t="s">
        <v>441</v>
      </c>
      <c r="R373" s="176"/>
      <c r="S373" s="176"/>
      <c r="T373" s="176"/>
      <c r="U373" s="176"/>
      <c r="V373" s="176"/>
      <c r="W373" s="176"/>
      <c r="X373" s="176"/>
      <c r="Y373" s="176"/>
      <c r="Z373" s="176"/>
      <c r="AA373" s="176"/>
    </row>
    <row r="374">
      <c r="A374" s="165" t="str">
        <f>iferror(VLOOKUP(P374,'DO NOT TOUCH Imported'!$A$1:$D$800,4,False),iferror(VLOOKUP(P374,'DO NOT TOUCH Imported'!$C$1:$D$800,2,False),"OOPS FIX ME"))</f>
        <v>sembrestels</v>
      </c>
      <c r="B374" s="165" t="s">
        <v>441</v>
      </c>
      <c r="C374" s="170" t="s">
        <v>1407</v>
      </c>
      <c r="D374" s="236" t="s">
        <v>437</v>
      </c>
      <c r="E374" s="237">
        <v>44288.0</v>
      </c>
      <c r="F374" s="170" t="s">
        <v>439</v>
      </c>
      <c r="G374" s="219"/>
      <c r="H374" s="171">
        <v>100.0</v>
      </c>
      <c r="I374" s="171">
        <v>150.0</v>
      </c>
      <c r="J374" s="172">
        <f t="shared" si="14"/>
        <v>0.001792917919</v>
      </c>
      <c r="K374" s="173">
        <f t="shared" si="18"/>
        <v>2.061855606</v>
      </c>
      <c r="L374" s="174">
        <f t="shared" si="4"/>
        <v>8.205995329</v>
      </c>
      <c r="M374" s="175" t="str">
        <f t="shared" si="5"/>
        <v>sembrestels</v>
      </c>
      <c r="N374" s="176">
        <f>IFERROR(__xludf.DUMMYFUNCTION("""COMPUTED_VALUE"""),14.0)</f>
        <v>14</v>
      </c>
      <c r="O374" s="176"/>
      <c r="P374" s="165" t="s">
        <v>476</v>
      </c>
      <c r="Q374" s="165" t="s">
        <v>441</v>
      </c>
      <c r="R374" s="176"/>
      <c r="S374" s="176"/>
      <c r="T374" s="176"/>
      <c r="U374" s="176"/>
      <c r="V374" s="176"/>
      <c r="W374" s="176"/>
      <c r="X374" s="176"/>
      <c r="Y374" s="176"/>
      <c r="Z374" s="176"/>
      <c r="AA374" s="176"/>
    </row>
    <row r="375">
      <c r="A375" s="165" t="str">
        <f>iferror(VLOOKUP(P375,'DO NOT TOUCH Imported'!$A$1:$D$800,4,False),iferror(VLOOKUP(P375,'DO NOT TOUCH Imported'!$C$1:$D$800,2,False),"OOPS FIX ME"))</f>
        <v>sembrestels</v>
      </c>
      <c r="B375" s="165" t="s">
        <v>441</v>
      </c>
      <c r="C375" s="170" t="s">
        <v>1248</v>
      </c>
      <c r="D375" s="236" t="s">
        <v>437</v>
      </c>
      <c r="E375" s="237">
        <v>44288.0</v>
      </c>
      <c r="F375" s="170" t="s">
        <v>439</v>
      </c>
      <c r="G375" s="219"/>
      <c r="H375" s="171">
        <v>100.0</v>
      </c>
      <c r="I375" s="171">
        <v>100.0</v>
      </c>
      <c r="J375" s="172">
        <f t="shared" si="14"/>
        <v>0.001436335405</v>
      </c>
      <c r="K375" s="173">
        <f t="shared" si="18"/>
        <v>1.651785716</v>
      </c>
      <c r="L375" s="174">
        <f t="shared" si="4"/>
        <v>8.205995329</v>
      </c>
      <c r="M375" s="175" t="str">
        <f t="shared" si="5"/>
        <v>sembrestels</v>
      </c>
      <c r="N375" s="176">
        <f>IFERROR(__xludf.DUMMYFUNCTION("""COMPUTED_VALUE"""),15.0)</f>
        <v>15</v>
      </c>
      <c r="O375" s="176"/>
      <c r="P375" s="165" t="s">
        <v>476</v>
      </c>
      <c r="Q375" s="165" t="s">
        <v>441</v>
      </c>
      <c r="R375" s="176"/>
      <c r="S375" s="176"/>
      <c r="T375" s="176"/>
      <c r="U375" s="176"/>
      <c r="V375" s="176"/>
      <c r="W375" s="176"/>
      <c r="X375" s="176"/>
      <c r="Y375" s="176"/>
      <c r="Z375" s="176"/>
      <c r="AA375" s="176"/>
    </row>
    <row r="376">
      <c r="A376" s="165" t="str">
        <f>iferror(VLOOKUP(P376,'DO NOT TOUCH Imported'!$A$1:$D$800,4,False),iferror(VLOOKUP(P376,'DO NOT TOUCH Imported'!$C$1:$D$800,2,False),"OOPS FIX ME"))</f>
        <v>sembrestels</v>
      </c>
      <c r="B376" s="165" t="s">
        <v>441</v>
      </c>
      <c r="C376" s="170" t="s">
        <v>1408</v>
      </c>
      <c r="D376" s="236" t="s">
        <v>437</v>
      </c>
      <c r="E376" s="237">
        <v>44288.0</v>
      </c>
      <c r="F376" s="170" t="s">
        <v>439</v>
      </c>
      <c r="G376" s="219"/>
      <c r="H376" s="171">
        <v>100.0</v>
      </c>
      <c r="I376" s="171">
        <v>150.0</v>
      </c>
      <c r="J376" s="172">
        <f t="shared" si="14"/>
        <v>0.001792917919</v>
      </c>
      <c r="K376" s="173">
        <f t="shared" si="18"/>
        <v>2.061855606</v>
      </c>
      <c r="L376" s="174">
        <f t="shared" si="4"/>
        <v>8.205995329</v>
      </c>
      <c r="M376" s="175" t="str">
        <f t="shared" si="5"/>
        <v>sembrestels</v>
      </c>
      <c r="N376" s="176">
        <f>IFERROR(__xludf.DUMMYFUNCTION("""COMPUTED_VALUE"""),16.0)</f>
        <v>16</v>
      </c>
      <c r="O376" s="176"/>
      <c r="P376" s="165" t="s">
        <v>476</v>
      </c>
      <c r="Q376" s="165" t="s">
        <v>441</v>
      </c>
      <c r="R376" s="176"/>
      <c r="S376" s="176"/>
      <c r="T376" s="176"/>
      <c r="U376" s="176"/>
      <c r="V376" s="176"/>
      <c r="W376" s="176"/>
      <c r="X376" s="176"/>
      <c r="Y376" s="176"/>
      <c r="Z376" s="176"/>
      <c r="AA376" s="176"/>
    </row>
    <row r="377">
      <c r="A377" s="165" t="str">
        <f>iferror(VLOOKUP(P377,'DO NOT TOUCH Imported'!$A$1:$D$800,4,False),iferror(VLOOKUP(P377,'DO NOT TOUCH Imported'!$C$1:$D$800,2,False),"OOPS FIX ME"))</f>
        <v>sembrestels</v>
      </c>
      <c r="B377" s="165" t="s">
        <v>441</v>
      </c>
      <c r="C377" s="170" t="s">
        <v>1409</v>
      </c>
      <c r="D377" s="236" t="s">
        <v>437</v>
      </c>
      <c r="E377" s="237">
        <v>44288.0</v>
      </c>
      <c r="F377" s="170" t="s">
        <v>439</v>
      </c>
      <c r="G377" s="219"/>
      <c r="H377" s="171">
        <v>70.0</v>
      </c>
      <c r="I377" s="171">
        <v>75.0</v>
      </c>
      <c r="J377" s="172">
        <f t="shared" si="14"/>
        <v>0.001041093035</v>
      </c>
      <c r="K377" s="173">
        <f t="shared" si="18"/>
        <v>1.19725699</v>
      </c>
      <c r="L377" s="174">
        <f t="shared" si="4"/>
        <v>8.205995329</v>
      </c>
      <c r="M377" s="175" t="str">
        <f t="shared" si="5"/>
        <v>sembrestels</v>
      </c>
      <c r="N377" s="176">
        <f>IFERROR(__xludf.DUMMYFUNCTION("""COMPUTED_VALUE"""),17.0)</f>
        <v>17</v>
      </c>
      <c r="O377" s="176"/>
      <c r="P377" s="165" t="s">
        <v>476</v>
      </c>
      <c r="Q377" s="165" t="s">
        <v>441</v>
      </c>
      <c r="R377" s="176"/>
      <c r="S377" s="176"/>
      <c r="T377" s="176"/>
      <c r="U377" s="176"/>
      <c r="V377" s="176"/>
      <c r="W377" s="176"/>
      <c r="X377" s="176"/>
      <c r="Y377" s="176"/>
      <c r="Z377" s="176"/>
      <c r="AA377" s="176"/>
    </row>
    <row r="378">
      <c r="A378" s="165" t="str">
        <f>iferror(VLOOKUP(P378,'DO NOT TOUCH Imported'!$A$1:$D$800,4,False),iferror(VLOOKUP(P378,'DO NOT TOUCH Imported'!$C$1:$D$800,2,False),"OOPS FIX ME"))</f>
        <v>sembrestels</v>
      </c>
      <c r="B378" s="165" t="s">
        <v>441</v>
      </c>
      <c r="C378" s="170" t="s">
        <v>1250</v>
      </c>
      <c r="D378" s="236" t="s">
        <v>437</v>
      </c>
      <c r="E378" s="237">
        <v>44288.0</v>
      </c>
      <c r="F378" s="170" t="s">
        <v>439</v>
      </c>
      <c r="G378" s="219"/>
      <c r="H378" s="171">
        <v>40.0</v>
      </c>
      <c r="I378" s="171">
        <v>50.0</v>
      </c>
      <c r="J378" s="172">
        <f t="shared" si="14"/>
        <v>0.0006458506648</v>
      </c>
      <c r="K378" s="173">
        <f t="shared" si="18"/>
        <v>0.7427282645</v>
      </c>
      <c r="L378" s="174">
        <f t="shared" si="4"/>
        <v>8.205995329</v>
      </c>
      <c r="M378" s="175" t="str">
        <f t="shared" si="5"/>
        <v>sembrestels</v>
      </c>
      <c r="N378" s="176">
        <f>IFERROR(__xludf.DUMMYFUNCTION("""COMPUTED_VALUE"""),18.0)</f>
        <v>18</v>
      </c>
      <c r="O378" s="176"/>
      <c r="P378" s="165" t="s">
        <v>476</v>
      </c>
      <c r="Q378" s="165" t="s">
        <v>441</v>
      </c>
      <c r="R378" s="176"/>
      <c r="S378" s="176"/>
      <c r="T378" s="176"/>
      <c r="U378" s="176"/>
      <c r="V378" s="176"/>
      <c r="W378" s="176"/>
      <c r="X378" s="176"/>
      <c r="Y378" s="176"/>
      <c r="Z378" s="176"/>
      <c r="AA378" s="176"/>
    </row>
    <row r="379">
      <c r="A379" s="165" t="str">
        <f>iferror(VLOOKUP(P379,'DO NOT TOUCH Imported'!$A$1:$D$800,4,False),iferror(VLOOKUP(P379,'DO NOT TOUCH Imported'!$C$1:$D$800,2,False),"OOPS FIX ME"))</f>
        <v>sembrestels</v>
      </c>
      <c r="B379" s="165" t="s">
        <v>483</v>
      </c>
      <c r="C379" s="170" t="s">
        <v>1410</v>
      </c>
      <c r="D379" s="236" t="s">
        <v>437</v>
      </c>
      <c r="E379" s="237">
        <v>44288.0</v>
      </c>
      <c r="F379" s="170" t="s">
        <v>439</v>
      </c>
      <c r="G379" s="219"/>
      <c r="H379" s="171">
        <v>100.0</v>
      </c>
      <c r="I379" s="171">
        <v>200.0</v>
      </c>
      <c r="J379" s="172">
        <f t="shared" si="14"/>
        <v>0.002149500432</v>
      </c>
      <c r="K379" s="173">
        <f t="shared" si="18"/>
        <v>2.471925496</v>
      </c>
      <c r="L379" s="174">
        <f t="shared" si="4"/>
        <v>8.205995329</v>
      </c>
      <c r="M379" s="175" t="str">
        <f t="shared" si="5"/>
        <v>sembrestels</v>
      </c>
      <c r="N379" s="176">
        <f>IFERROR(__xludf.DUMMYFUNCTION("""COMPUTED_VALUE"""),19.0)</f>
        <v>19</v>
      </c>
      <c r="O379" s="176"/>
      <c r="P379" s="165" t="s">
        <v>476</v>
      </c>
      <c r="Q379" s="165" t="s">
        <v>483</v>
      </c>
      <c r="R379" s="176"/>
      <c r="S379" s="176"/>
      <c r="T379" s="176"/>
      <c r="U379" s="176"/>
      <c r="V379" s="176"/>
      <c r="W379" s="176"/>
      <c r="X379" s="176"/>
      <c r="Y379" s="176"/>
      <c r="Z379" s="176"/>
      <c r="AA379" s="176"/>
    </row>
    <row r="380">
      <c r="A380" s="165" t="str">
        <f>iferror(VLOOKUP(P380,'DO NOT TOUCH Imported'!$A$1:$D$800,4,False),iferror(VLOOKUP(P380,'DO NOT TOUCH Imported'!$C$1:$D$800,2,False),"OOPS FIX ME"))</f>
        <v>sembrestels</v>
      </c>
      <c r="B380" s="165" t="s">
        <v>441</v>
      </c>
      <c r="C380" s="170" t="s">
        <v>1005</v>
      </c>
      <c r="D380" s="236" t="s">
        <v>437</v>
      </c>
      <c r="E380" s="237">
        <v>44289.0</v>
      </c>
      <c r="F380" s="170" t="s">
        <v>439</v>
      </c>
      <c r="G380" s="219"/>
      <c r="H380" s="171">
        <v>60.0</v>
      </c>
      <c r="I380" s="171">
        <v>40.0</v>
      </c>
      <c r="J380" s="172">
        <f t="shared" si="14"/>
        <v>0.0007191682379</v>
      </c>
      <c r="K380" s="173">
        <f t="shared" si="18"/>
        <v>0.8270434736</v>
      </c>
      <c r="L380" s="174">
        <f t="shared" si="4"/>
        <v>8.205995329</v>
      </c>
      <c r="M380" s="175" t="str">
        <f t="shared" si="5"/>
        <v>sembrestels</v>
      </c>
      <c r="N380" s="176">
        <f>IFERROR(__xludf.DUMMYFUNCTION("""COMPUTED_VALUE"""),20.0)</f>
        <v>20</v>
      </c>
      <c r="O380" s="176"/>
      <c r="P380" s="165" t="s">
        <v>476</v>
      </c>
      <c r="Q380" s="165" t="s">
        <v>441</v>
      </c>
      <c r="R380" s="176"/>
      <c r="S380" s="176"/>
      <c r="T380" s="176"/>
      <c r="U380" s="176"/>
      <c r="V380" s="176"/>
      <c r="W380" s="176"/>
      <c r="X380" s="176"/>
      <c r="Y380" s="176"/>
      <c r="Z380" s="176"/>
      <c r="AA380" s="176"/>
    </row>
    <row r="381">
      <c r="A381" s="165" t="str">
        <f>iferror(VLOOKUP(P381,'DO NOT TOUCH Imported'!$A$1:$D$800,4,False),iferror(VLOOKUP(P381,'DO NOT TOUCH Imported'!$C$1:$D$800,2,False),"OOPS FIX ME"))</f>
        <v>sembrestels</v>
      </c>
      <c r="B381" s="165" t="s">
        <v>443</v>
      </c>
      <c r="C381" s="170" t="s">
        <v>1252</v>
      </c>
      <c r="D381" s="236" t="s">
        <v>437</v>
      </c>
      <c r="E381" s="237">
        <v>44291.0</v>
      </c>
      <c r="F381" s="170" t="s">
        <v>439</v>
      </c>
      <c r="G381" s="219"/>
      <c r="H381" s="171">
        <v>100.0</v>
      </c>
      <c r="I381" s="171">
        <v>80.0</v>
      </c>
      <c r="J381" s="172">
        <f t="shared" si="14"/>
        <v>0.0012937024</v>
      </c>
      <c r="K381" s="173">
        <f t="shared" si="18"/>
        <v>1.48775776</v>
      </c>
      <c r="L381" s="174">
        <f t="shared" si="4"/>
        <v>8.205995329</v>
      </c>
      <c r="M381" s="175" t="str">
        <f t="shared" si="5"/>
        <v>sembrestels</v>
      </c>
      <c r="N381" s="176">
        <f>IFERROR(__xludf.DUMMYFUNCTION("""COMPUTED_VALUE"""),21.0)</f>
        <v>21</v>
      </c>
      <c r="O381" s="176"/>
      <c r="P381" s="165" t="s">
        <v>476</v>
      </c>
      <c r="Q381" s="165" t="s">
        <v>443</v>
      </c>
      <c r="R381" s="176"/>
      <c r="S381" s="176"/>
      <c r="T381" s="176"/>
      <c r="U381" s="176"/>
      <c r="V381" s="176"/>
      <c r="W381" s="176"/>
      <c r="X381" s="176"/>
      <c r="Y381" s="176"/>
      <c r="Z381" s="176"/>
      <c r="AA381" s="176"/>
    </row>
    <row r="382">
      <c r="A382" s="165" t="str">
        <f>iferror(VLOOKUP(P382,'DO NOT TOUCH Imported'!$A$1:$D$800,4,False),iferror(VLOOKUP(P382,'DO NOT TOUCH Imported'!$C$1:$D$800,2,False),"OOPS FIX ME"))</f>
        <v>sembrestels</v>
      </c>
      <c r="B382" s="165" t="s">
        <v>440</v>
      </c>
      <c r="C382" s="170" t="s">
        <v>1253</v>
      </c>
      <c r="D382" s="236" t="s">
        <v>437</v>
      </c>
      <c r="E382" s="237">
        <v>44291.0</v>
      </c>
      <c r="F382" s="170" t="s">
        <v>439</v>
      </c>
      <c r="G382" s="219"/>
      <c r="H382" s="171">
        <v>50.0</v>
      </c>
      <c r="I382" s="171">
        <v>50.0</v>
      </c>
      <c r="J382" s="172">
        <f t="shared" si="14"/>
        <v>0.0007181677027</v>
      </c>
      <c r="K382" s="173">
        <f t="shared" si="18"/>
        <v>0.8258928581</v>
      </c>
      <c r="L382" s="174">
        <f t="shared" si="4"/>
        <v>8.205995329</v>
      </c>
      <c r="M382" s="175" t="str">
        <f t="shared" si="5"/>
        <v>sembrestels</v>
      </c>
      <c r="N382" s="176">
        <f>IFERROR(__xludf.DUMMYFUNCTION("""COMPUTED_VALUE"""),22.0)</f>
        <v>22</v>
      </c>
      <c r="O382" s="176"/>
      <c r="P382" s="165" t="s">
        <v>476</v>
      </c>
      <c r="Q382" s="165" t="s">
        <v>440</v>
      </c>
      <c r="R382" s="176"/>
      <c r="S382" s="176"/>
      <c r="T382" s="176"/>
      <c r="U382" s="176"/>
      <c r="V382" s="176"/>
      <c r="W382" s="176"/>
      <c r="X382" s="176"/>
      <c r="Y382" s="176"/>
      <c r="Z382" s="176"/>
      <c r="AA382" s="176"/>
    </row>
    <row r="383">
      <c r="A383" s="165" t="str">
        <f>iferror(VLOOKUP(P383,'DO NOT TOUCH Imported'!$A$1:$D$800,4,False),iferror(VLOOKUP(P383,'DO NOT TOUCH Imported'!$C$1:$D$800,2,False),"OOPS FIX ME"))</f>
        <v>sembrestels</v>
      </c>
      <c r="B383" s="165" t="s">
        <v>441</v>
      </c>
      <c r="C383" s="170" t="s">
        <v>1411</v>
      </c>
      <c r="D383" s="236" t="s">
        <v>437</v>
      </c>
      <c r="E383" s="237">
        <v>44295.0</v>
      </c>
      <c r="F383" s="170" t="s">
        <v>439</v>
      </c>
      <c r="G383" s="219"/>
      <c r="H383" s="171">
        <v>100.0</v>
      </c>
      <c r="I383" s="171">
        <v>100.0</v>
      </c>
      <c r="J383" s="172">
        <f t="shared" si="14"/>
        <v>0.001436335405</v>
      </c>
      <c r="K383" s="173">
        <f t="shared" si="18"/>
        <v>1.651785716</v>
      </c>
      <c r="L383" s="174">
        <f t="shared" si="4"/>
        <v>8.205995329</v>
      </c>
      <c r="M383" s="175" t="str">
        <f t="shared" si="5"/>
        <v>sembrestels</v>
      </c>
      <c r="N383" s="176">
        <f>IFERROR(__xludf.DUMMYFUNCTION("""COMPUTED_VALUE"""),23.0)</f>
        <v>23</v>
      </c>
      <c r="O383" s="176"/>
      <c r="P383" s="165" t="s">
        <v>476</v>
      </c>
      <c r="Q383" s="165" t="s">
        <v>441</v>
      </c>
      <c r="R383" s="176"/>
      <c r="S383" s="176"/>
      <c r="T383" s="176"/>
      <c r="U383" s="176"/>
      <c r="V383" s="176"/>
      <c r="W383" s="176"/>
      <c r="X383" s="176"/>
      <c r="Y383" s="176"/>
      <c r="Z383" s="176"/>
      <c r="AA383" s="176"/>
    </row>
    <row r="384">
      <c r="A384" s="165" t="str">
        <f>iferror(VLOOKUP(P384,'DO NOT TOUCH Imported'!$A$1:$D$800,4,False),iferror(VLOOKUP(P384,'DO NOT TOUCH Imported'!$C$1:$D$800,2,False),"OOPS FIX ME"))</f>
        <v>sembrestels</v>
      </c>
      <c r="B384" s="165" t="s">
        <v>441</v>
      </c>
      <c r="C384" s="170" t="s">
        <v>1412</v>
      </c>
      <c r="D384" s="236" t="s">
        <v>437</v>
      </c>
      <c r="E384" s="237">
        <v>44295.0</v>
      </c>
      <c r="F384" s="170" t="s">
        <v>439</v>
      </c>
      <c r="G384" s="219"/>
      <c r="H384" s="171">
        <v>100.0</v>
      </c>
      <c r="I384" s="171">
        <v>100.0</v>
      </c>
      <c r="J384" s="172">
        <f t="shared" si="14"/>
        <v>0.001436335405</v>
      </c>
      <c r="K384" s="173">
        <f t="shared" si="18"/>
        <v>1.651785716</v>
      </c>
      <c r="L384" s="174">
        <f t="shared" si="4"/>
        <v>8.205995329</v>
      </c>
      <c r="M384" s="175" t="str">
        <f t="shared" si="5"/>
        <v>sembrestels</v>
      </c>
      <c r="N384" s="176">
        <f>IFERROR(__xludf.DUMMYFUNCTION("""COMPUTED_VALUE"""),24.0)</f>
        <v>24</v>
      </c>
      <c r="O384" s="176"/>
      <c r="P384" s="165" t="s">
        <v>476</v>
      </c>
      <c r="Q384" s="165" t="s">
        <v>441</v>
      </c>
      <c r="R384" s="176"/>
      <c r="S384" s="176"/>
      <c r="T384" s="176"/>
      <c r="U384" s="176"/>
      <c r="V384" s="176"/>
      <c r="W384" s="176"/>
      <c r="X384" s="176"/>
      <c r="Y384" s="176"/>
      <c r="Z384" s="176"/>
      <c r="AA384" s="176"/>
    </row>
    <row r="385">
      <c r="A385" s="165" t="str">
        <f>iferror(VLOOKUP(P385,'DO NOT TOUCH Imported'!$A$1:$D$800,4,False),iferror(VLOOKUP(P385,'DO NOT TOUCH Imported'!$C$1:$D$800,2,False),"OOPS FIX ME"))</f>
        <v>sembrestels</v>
      </c>
      <c r="B385" s="165" t="s">
        <v>441</v>
      </c>
      <c r="C385" s="170" t="s">
        <v>1413</v>
      </c>
      <c r="D385" s="236" t="s">
        <v>437</v>
      </c>
      <c r="E385" s="237">
        <v>44295.0</v>
      </c>
      <c r="F385" s="170" t="s">
        <v>439</v>
      </c>
      <c r="G385" s="219"/>
      <c r="H385" s="171">
        <v>100.0</v>
      </c>
      <c r="I385" s="171">
        <v>150.0</v>
      </c>
      <c r="J385" s="172">
        <f t="shared" si="14"/>
        <v>0.001792917919</v>
      </c>
      <c r="K385" s="173">
        <f t="shared" si="18"/>
        <v>2.061855606</v>
      </c>
      <c r="L385" s="174">
        <f t="shared" si="4"/>
        <v>8.205995329</v>
      </c>
      <c r="M385" s="175" t="str">
        <f t="shared" si="5"/>
        <v>sembrestels</v>
      </c>
      <c r="N385" s="176">
        <f>IFERROR(__xludf.DUMMYFUNCTION("""COMPUTED_VALUE"""),25.0)</f>
        <v>25</v>
      </c>
      <c r="O385" s="176"/>
      <c r="P385" s="165" t="s">
        <v>476</v>
      </c>
      <c r="Q385" s="165" t="s">
        <v>441</v>
      </c>
      <c r="R385" s="176"/>
      <c r="S385" s="176"/>
      <c r="T385" s="176"/>
      <c r="U385" s="176"/>
      <c r="V385" s="176"/>
      <c r="W385" s="176"/>
      <c r="X385" s="176"/>
      <c r="Y385" s="176"/>
      <c r="Z385" s="176"/>
      <c r="AA385" s="176"/>
    </row>
    <row r="386">
      <c r="A386" s="165" t="str">
        <f>iferror(VLOOKUP(P386,'DO NOT TOUCH Imported'!$A$1:$D$800,4,False),iferror(VLOOKUP(P386,'DO NOT TOUCH Imported'!$C$1:$D$800,2,False),"OOPS FIX ME"))</f>
        <v>sembrestels</v>
      </c>
      <c r="B386" s="165" t="s">
        <v>441</v>
      </c>
      <c r="C386" s="170" t="s">
        <v>1414</v>
      </c>
      <c r="D386" s="236" t="s">
        <v>437</v>
      </c>
      <c r="E386" s="237">
        <v>44295.0</v>
      </c>
      <c r="F386" s="170" t="s">
        <v>439</v>
      </c>
      <c r="G386" s="219"/>
      <c r="H386" s="171">
        <v>100.0</v>
      </c>
      <c r="I386" s="171">
        <v>100.0</v>
      </c>
      <c r="J386" s="172">
        <f t="shared" si="14"/>
        <v>0.001436335405</v>
      </c>
      <c r="K386" s="173">
        <f t="shared" si="18"/>
        <v>1.651785716</v>
      </c>
      <c r="L386" s="174">
        <f t="shared" si="4"/>
        <v>8.205995329</v>
      </c>
      <c r="M386" s="175" t="str">
        <f t="shared" si="5"/>
        <v>sembrestels</v>
      </c>
      <c r="N386" s="176">
        <f>IFERROR(__xludf.DUMMYFUNCTION("""COMPUTED_VALUE"""),26.0)</f>
        <v>26</v>
      </c>
      <c r="O386" s="176"/>
      <c r="P386" s="165" t="s">
        <v>476</v>
      </c>
      <c r="Q386" s="165" t="s">
        <v>441</v>
      </c>
      <c r="R386" s="176"/>
      <c r="S386" s="176"/>
      <c r="T386" s="176"/>
      <c r="U386" s="176"/>
      <c r="V386" s="176"/>
      <c r="W386" s="176"/>
      <c r="X386" s="176"/>
      <c r="Y386" s="176"/>
      <c r="Z386" s="176"/>
      <c r="AA386" s="176"/>
    </row>
    <row r="387">
      <c r="A387" s="165" t="str">
        <f>iferror(VLOOKUP(P387,'DO NOT TOUCH Imported'!$A$1:$D$800,4,False),iferror(VLOOKUP(P387,'DO NOT TOUCH Imported'!$C$1:$D$800,2,False),"OOPS FIX ME"))</f>
        <v>sembrestels</v>
      </c>
      <c r="B387" s="165" t="s">
        <v>441</v>
      </c>
      <c r="C387" s="170" t="s">
        <v>1370</v>
      </c>
      <c r="D387" s="236" t="s">
        <v>437</v>
      </c>
      <c r="E387" s="237">
        <v>44295.0</v>
      </c>
      <c r="F387" s="170" t="s">
        <v>439</v>
      </c>
      <c r="G387" s="219"/>
      <c r="H387" s="171">
        <v>80.0</v>
      </c>
      <c r="I387" s="171">
        <v>100.0</v>
      </c>
      <c r="J387" s="172">
        <f t="shared" si="14"/>
        <v>0.00129170133</v>
      </c>
      <c r="K387" s="173">
        <f t="shared" si="18"/>
        <v>1.485456529</v>
      </c>
      <c r="L387" s="174">
        <f t="shared" si="4"/>
        <v>8.205995329</v>
      </c>
      <c r="M387" s="175" t="str">
        <f t="shared" si="5"/>
        <v>sembrestels</v>
      </c>
      <c r="N387" s="176">
        <f>IFERROR(__xludf.DUMMYFUNCTION("""COMPUTED_VALUE"""),27.0)</f>
        <v>27</v>
      </c>
      <c r="O387" s="176"/>
      <c r="P387" s="165" t="s">
        <v>476</v>
      </c>
      <c r="Q387" s="165" t="s">
        <v>441</v>
      </c>
      <c r="R387" s="176"/>
      <c r="S387" s="176"/>
      <c r="T387" s="176"/>
      <c r="U387" s="176"/>
      <c r="V387" s="176"/>
      <c r="W387" s="176"/>
      <c r="X387" s="176"/>
      <c r="Y387" s="176"/>
      <c r="Z387" s="176"/>
      <c r="AA387" s="176"/>
    </row>
    <row r="388">
      <c r="A388" s="165" t="str">
        <f>iferror(VLOOKUP(P388,'DO NOT TOUCH Imported'!$A$1:$D$800,4,False),iferror(VLOOKUP(P388,'DO NOT TOUCH Imported'!$C$1:$D$800,2,False),"OOPS FIX ME"))</f>
        <v>sembrestels</v>
      </c>
      <c r="B388" s="165" t="s">
        <v>441</v>
      </c>
      <c r="C388" s="170" t="s">
        <v>1267</v>
      </c>
      <c r="D388" s="236" t="s">
        <v>437</v>
      </c>
      <c r="E388" s="237">
        <v>44295.0</v>
      </c>
      <c r="F388" s="170" t="s">
        <v>439</v>
      </c>
      <c r="G388" s="219"/>
      <c r="H388" s="171">
        <v>50.0</v>
      </c>
      <c r="I388" s="171">
        <v>50.0</v>
      </c>
      <c r="J388" s="172">
        <f t="shared" si="14"/>
        <v>0.0007181677027</v>
      </c>
      <c r="K388" s="173">
        <f t="shared" si="18"/>
        <v>0.8258928581</v>
      </c>
      <c r="L388" s="174">
        <f t="shared" si="4"/>
        <v>8.205995329</v>
      </c>
      <c r="M388" s="175" t="str">
        <f t="shared" si="5"/>
        <v>sembrestels</v>
      </c>
      <c r="N388" s="176">
        <f>IFERROR(__xludf.DUMMYFUNCTION("""COMPUTED_VALUE"""),28.0)</f>
        <v>28</v>
      </c>
      <c r="O388" s="176"/>
      <c r="P388" s="165" t="s">
        <v>476</v>
      </c>
      <c r="Q388" s="165" t="s">
        <v>441</v>
      </c>
      <c r="R388" s="176"/>
      <c r="S388" s="176"/>
      <c r="T388" s="176"/>
      <c r="U388" s="176"/>
      <c r="V388" s="176"/>
      <c r="W388" s="176"/>
      <c r="X388" s="176"/>
      <c r="Y388" s="176"/>
      <c r="Z388" s="176"/>
      <c r="AA388" s="176"/>
    </row>
    <row r="389">
      <c r="A389" s="165" t="str">
        <f>iferror(VLOOKUP(P389,'DO NOT TOUCH Imported'!$A$1:$D$800,4,False),iferror(VLOOKUP(P389,'DO NOT TOUCH Imported'!$C$1:$D$800,2,False),"OOPS FIX ME"))</f>
        <v>ygganderson</v>
      </c>
      <c r="B389" s="165" t="s">
        <v>10</v>
      </c>
      <c r="C389" s="170" t="s">
        <v>498</v>
      </c>
      <c r="D389" s="236" t="s">
        <v>495</v>
      </c>
      <c r="E389" s="239">
        <v>44282.0</v>
      </c>
      <c r="F389" s="170" t="s">
        <v>499</v>
      </c>
      <c r="G389" s="219"/>
      <c r="H389" s="171">
        <v>20.0</v>
      </c>
      <c r="I389" s="171">
        <v>15.0</v>
      </c>
      <c r="J389" s="172">
        <f t="shared" si="14"/>
        <v>0.0002516088297</v>
      </c>
      <c r="K389" s="173">
        <f t="shared" si="18"/>
        <v>0.2893501542</v>
      </c>
      <c r="L389" s="174">
        <f t="shared" si="4"/>
        <v>8.056194867</v>
      </c>
      <c r="M389" s="175" t="str">
        <f t="shared" si="5"/>
        <v>ygganderson</v>
      </c>
      <c r="N389" s="176">
        <f>IFERROR(__xludf.DUMMYFUNCTION("""COMPUTED_VALUE"""),1.0)</f>
        <v>1</v>
      </c>
      <c r="O389" s="176"/>
      <c r="P389" s="165" t="s">
        <v>7</v>
      </c>
      <c r="Q389" s="165" t="s">
        <v>10</v>
      </c>
      <c r="R389" s="176"/>
      <c r="S389" s="176"/>
      <c r="T389" s="176"/>
      <c r="U389" s="176"/>
      <c r="V389" s="176"/>
      <c r="W389" s="176"/>
      <c r="X389" s="176"/>
      <c r="Y389" s="176"/>
      <c r="Z389" s="176"/>
      <c r="AA389" s="176"/>
    </row>
    <row r="390">
      <c r="A390" s="165" t="str">
        <f>iferror(VLOOKUP(P390,'DO NOT TOUCH Imported'!$A$1:$D$800,4,False),iferror(VLOOKUP(P390,'DO NOT TOUCH Imported'!$C$1:$D$800,2,False),"OOPS FIX ME"))</f>
        <v>ygganderson</v>
      </c>
      <c r="B390" s="165" t="s">
        <v>10</v>
      </c>
      <c r="C390" s="170" t="s">
        <v>500</v>
      </c>
      <c r="D390" s="236" t="s">
        <v>495</v>
      </c>
      <c r="E390" s="239">
        <v>44282.0</v>
      </c>
      <c r="F390" s="170" t="s">
        <v>496</v>
      </c>
      <c r="G390" s="219"/>
      <c r="H390" s="171">
        <v>20.0</v>
      </c>
      <c r="I390" s="171">
        <v>15.0</v>
      </c>
      <c r="J390" s="172">
        <f t="shared" si="14"/>
        <v>0.0002516088297</v>
      </c>
      <c r="K390" s="173">
        <f t="shared" si="18"/>
        <v>0.2893501542</v>
      </c>
      <c r="L390" s="174">
        <f t="shared" si="4"/>
        <v>8.056194867</v>
      </c>
      <c r="M390" s="175" t="str">
        <f t="shared" si="5"/>
        <v>ygganderson</v>
      </c>
      <c r="N390" s="176">
        <f>IFERROR(__xludf.DUMMYFUNCTION("""COMPUTED_VALUE"""),2.0)</f>
        <v>2</v>
      </c>
      <c r="O390" s="176"/>
      <c r="P390" s="165" t="s">
        <v>7</v>
      </c>
      <c r="Q390" s="165" t="s">
        <v>10</v>
      </c>
      <c r="R390" s="176"/>
      <c r="S390" s="176"/>
      <c r="T390" s="176"/>
      <c r="U390" s="176"/>
      <c r="V390" s="176"/>
      <c r="W390" s="176"/>
      <c r="X390" s="176"/>
      <c r="Y390" s="176"/>
      <c r="Z390" s="176"/>
      <c r="AA390" s="176"/>
    </row>
    <row r="391">
      <c r="A391" s="165" t="str">
        <f>iferror(VLOOKUP(P391,'DO NOT TOUCH Imported'!$A$1:$D$800,4,False),iferror(VLOOKUP(P391,'DO NOT TOUCH Imported'!$C$1:$D$800,2,False),"OOPS FIX ME"))</f>
        <v>ygganderson</v>
      </c>
      <c r="B391" s="165" t="s">
        <v>10</v>
      </c>
      <c r="C391" s="170" t="s">
        <v>1357</v>
      </c>
      <c r="D391" s="236" t="s">
        <v>495</v>
      </c>
      <c r="E391" s="239">
        <v>44288.0</v>
      </c>
      <c r="F391" s="170" t="s">
        <v>496</v>
      </c>
      <c r="G391" s="219"/>
      <c r="H391" s="171">
        <v>60.0</v>
      </c>
      <c r="I391" s="171">
        <v>80.0</v>
      </c>
      <c r="J391" s="172">
        <f t="shared" si="14"/>
        <v>0.001004434248</v>
      </c>
      <c r="K391" s="173">
        <f t="shared" si="18"/>
        <v>1.155099386</v>
      </c>
      <c r="L391" s="174">
        <f t="shared" si="4"/>
        <v>8.056194867</v>
      </c>
      <c r="M391" s="175" t="str">
        <f t="shared" si="5"/>
        <v>ygganderson</v>
      </c>
      <c r="N391" s="176">
        <f>IFERROR(__xludf.DUMMYFUNCTION("""COMPUTED_VALUE"""),3.0)</f>
        <v>3</v>
      </c>
      <c r="O391" s="176"/>
      <c r="P391" s="165" t="s">
        <v>7</v>
      </c>
      <c r="Q391" s="165" t="s">
        <v>10</v>
      </c>
      <c r="R391" s="176"/>
      <c r="S391" s="176"/>
      <c r="T391" s="176"/>
      <c r="U391" s="176"/>
      <c r="V391" s="176"/>
      <c r="W391" s="176"/>
      <c r="X391" s="176"/>
      <c r="Y391" s="176"/>
      <c r="Z391" s="176"/>
      <c r="AA391" s="176"/>
    </row>
    <row r="392">
      <c r="A392" s="165" t="str">
        <f>iferror(VLOOKUP(P392,'DO NOT TOUCH Imported'!$A$1:$D$800,4,False),iferror(VLOOKUP(P392,'DO NOT TOUCH Imported'!$C$1:$D$800,2,False),"OOPS FIX ME"))</f>
        <v>ygganderson</v>
      </c>
      <c r="B392" s="165" t="s">
        <v>10</v>
      </c>
      <c r="C392" s="170" t="s">
        <v>500</v>
      </c>
      <c r="D392" s="236" t="s">
        <v>495</v>
      </c>
      <c r="E392" s="239">
        <v>44289.0</v>
      </c>
      <c r="F392" s="170" t="s">
        <v>496</v>
      </c>
      <c r="G392" s="219"/>
      <c r="H392" s="171">
        <v>20.0</v>
      </c>
      <c r="I392" s="171">
        <v>25.0</v>
      </c>
      <c r="J392" s="172">
        <f t="shared" si="14"/>
        <v>0.0003229253324</v>
      </c>
      <c r="K392" s="173">
        <f t="shared" si="18"/>
        <v>0.3713641322</v>
      </c>
      <c r="L392" s="174">
        <f t="shared" si="4"/>
        <v>8.056194867</v>
      </c>
      <c r="M392" s="175" t="str">
        <f t="shared" si="5"/>
        <v>ygganderson</v>
      </c>
      <c r="N392" s="176">
        <f>IFERROR(__xludf.DUMMYFUNCTION("""COMPUTED_VALUE"""),4.0)</f>
        <v>4</v>
      </c>
      <c r="O392" s="176"/>
      <c r="P392" s="165" t="s">
        <v>7</v>
      </c>
      <c r="Q392" s="165" t="s">
        <v>10</v>
      </c>
      <c r="R392" s="176"/>
      <c r="S392" s="176"/>
      <c r="T392" s="176"/>
      <c r="U392" s="176"/>
      <c r="V392" s="176"/>
      <c r="W392" s="176"/>
      <c r="X392" s="176"/>
      <c r="Y392" s="176"/>
      <c r="Z392" s="176"/>
      <c r="AA392" s="176"/>
    </row>
    <row r="393">
      <c r="A393" s="165" t="str">
        <f>iferror(VLOOKUP(P393,'DO NOT TOUCH Imported'!$A$1:$D$800,4,False),iferror(VLOOKUP(P393,'DO NOT TOUCH Imported'!$C$1:$D$800,2,False),"OOPS FIX ME"))</f>
        <v>ygganderson</v>
      </c>
      <c r="B393" s="165" t="s">
        <v>10</v>
      </c>
      <c r="C393" s="170" t="s">
        <v>1358</v>
      </c>
      <c r="D393" s="236" t="s">
        <v>495</v>
      </c>
      <c r="E393" s="239">
        <v>44295.0</v>
      </c>
      <c r="F393" s="170" t="s">
        <v>496</v>
      </c>
      <c r="G393" s="219"/>
      <c r="H393" s="171">
        <v>70.0</v>
      </c>
      <c r="I393" s="171">
        <v>75.0</v>
      </c>
      <c r="J393" s="172">
        <f t="shared" si="14"/>
        <v>0.001041093035</v>
      </c>
      <c r="K393" s="173">
        <f t="shared" si="18"/>
        <v>1.19725699</v>
      </c>
      <c r="L393" s="174">
        <f t="shared" si="4"/>
        <v>8.056194867</v>
      </c>
      <c r="M393" s="175" t="str">
        <f t="shared" si="5"/>
        <v>ygganderson</v>
      </c>
      <c r="N393" s="176">
        <f>IFERROR(__xludf.DUMMYFUNCTION("""COMPUTED_VALUE"""),5.0)</f>
        <v>5</v>
      </c>
      <c r="O393" s="176"/>
      <c r="P393" s="165" t="s">
        <v>7</v>
      </c>
      <c r="Q393" s="165" t="s">
        <v>10</v>
      </c>
      <c r="R393" s="176"/>
      <c r="S393" s="176"/>
      <c r="T393" s="176"/>
      <c r="U393" s="176"/>
      <c r="V393" s="176"/>
      <c r="W393" s="176"/>
      <c r="X393" s="176"/>
      <c r="Y393" s="176"/>
      <c r="Z393" s="176"/>
      <c r="AA393" s="176"/>
    </row>
    <row r="394">
      <c r="A394" s="165" t="str">
        <f>iferror(VLOOKUP(P394,'DO NOT TOUCH Imported'!$A$1:$D$800,4,False),iferror(VLOOKUP(P394,'DO NOT TOUCH Imported'!$C$1:$D$800,2,False),"OOPS FIX ME"))</f>
        <v>ygganderson</v>
      </c>
      <c r="B394" s="165" t="s">
        <v>10</v>
      </c>
      <c r="C394" s="170" t="s">
        <v>500</v>
      </c>
      <c r="D394" s="236" t="s">
        <v>495</v>
      </c>
      <c r="E394" s="239">
        <v>44295.0</v>
      </c>
      <c r="F394" s="170" t="s">
        <v>496</v>
      </c>
      <c r="G394" s="219"/>
      <c r="H394" s="171">
        <v>20.0</v>
      </c>
      <c r="I394" s="171">
        <v>25.0</v>
      </c>
      <c r="J394" s="172">
        <f t="shared" si="14"/>
        <v>0.0003229253324</v>
      </c>
      <c r="K394" s="173">
        <f t="shared" si="18"/>
        <v>0.3713641322</v>
      </c>
      <c r="L394" s="174">
        <f t="shared" si="4"/>
        <v>8.056194867</v>
      </c>
      <c r="M394" s="175" t="str">
        <f t="shared" si="5"/>
        <v>ygganderson</v>
      </c>
      <c r="N394" s="176">
        <f>IFERROR(__xludf.DUMMYFUNCTION("""COMPUTED_VALUE"""),6.0)</f>
        <v>6</v>
      </c>
      <c r="O394" s="176"/>
      <c r="P394" s="165" t="s">
        <v>7</v>
      </c>
      <c r="Q394" s="165" t="s">
        <v>10</v>
      </c>
      <c r="R394" s="176"/>
      <c r="S394" s="176"/>
      <c r="T394" s="176"/>
      <c r="U394" s="176"/>
      <c r="V394" s="176"/>
      <c r="W394" s="176"/>
      <c r="X394" s="176"/>
      <c r="Y394" s="176"/>
      <c r="Z394" s="176"/>
      <c r="AA394" s="176"/>
    </row>
    <row r="395">
      <c r="A395" s="165" t="str">
        <f>iferror(VLOOKUP(P395,'DO NOT TOUCH Imported'!$A$1:$D$800,4,False),iferror(VLOOKUP(P395,'DO NOT TOUCH Imported'!$C$1:$D$800,2,False),"OOPS FIX ME"))</f>
        <v>ygganderson</v>
      </c>
      <c r="B395" s="165" t="s">
        <v>46</v>
      </c>
      <c r="C395" s="170" t="s">
        <v>1238</v>
      </c>
      <c r="D395" s="236" t="s">
        <v>437</v>
      </c>
      <c r="E395" s="239">
        <v>44285.0</v>
      </c>
      <c r="F395" s="170" t="s">
        <v>439</v>
      </c>
      <c r="G395" s="219"/>
      <c r="H395" s="171">
        <v>150.0</v>
      </c>
      <c r="I395" s="171">
        <v>80.0</v>
      </c>
      <c r="J395" s="172">
        <f t="shared" si="14"/>
        <v>0.00165528759</v>
      </c>
      <c r="K395" s="173">
        <f t="shared" si="18"/>
        <v>1.903580728</v>
      </c>
      <c r="L395" s="174">
        <f t="shared" si="4"/>
        <v>8.056194867</v>
      </c>
      <c r="M395" s="175" t="str">
        <f t="shared" si="5"/>
        <v>ygganderson</v>
      </c>
      <c r="N395" s="176">
        <f>IFERROR(__xludf.DUMMYFUNCTION("""COMPUTED_VALUE"""),7.0)</f>
        <v>7</v>
      </c>
      <c r="O395" s="176"/>
      <c r="P395" s="165" t="s">
        <v>512</v>
      </c>
      <c r="Q395" s="165" t="s">
        <v>46</v>
      </c>
      <c r="R395" s="176"/>
      <c r="S395" s="176"/>
      <c r="T395" s="176"/>
      <c r="U395" s="176"/>
      <c r="V395" s="176"/>
      <c r="W395" s="176"/>
      <c r="X395" s="176"/>
      <c r="Y395" s="176"/>
      <c r="Z395" s="176"/>
      <c r="AA395" s="176"/>
    </row>
    <row r="396">
      <c r="A396" s="165" t="str">
        <f>iferror(VLOOKUP(P396,'DO NOT TOUCH Imported'!$A$1:$D$800,4,False),iferror(VLOOKUP(P396,'DO NOT TOUCH Imported'!$C$1:$D$800,2,False),"OOPS FIX ME"))</f>
        <v>ygganderson</v>
      </c>
      <c r="B396" s="165" t="s">
        <v>441</v>
      </c>
      <c r="C396" s="170" t="s">
        <v>1005</v>
      </c>
      <c r="D396" s="236" t="s">
        <v>437</v>
      </c>
      <c r="E396" s="237">
        <v>44289.0</v>
      </c>
      <c r="F396" s="170" t="s">
        <v>439</v>
      </c>
      <c r="G396" s="219"/>
      <c r="H396" s="171">
        <v>60.0</v>
      </c>
      <c r="I396" s="171">
        <v>40.0</v>
      </c>
      <c r="J396" s="172">
        <f t="shared" si="14"/>
        <v>0.0007191682379</v>
      </c>
      <c r="K396" s="173">
        <f t="shared" si="18"/>
        <v>0.8270434736</v>
      </c>
      <c r="L396" s="174">
        <f t="shared" si="4"/>
        <v>8.056194867</v>
      </c>
      <c r="M396" s="175" t="str">
        <f t="shared" si="5"/>
        <v>ygganderson</v>
      </c>
      <c r="N396" s="176">
        <f>IFERROR(__xludf.DUMMYFUNCTION("""COMPUTED_VALUE"""),8.0)</f>
        <v>8</v>
      </c>
      <c r="O396" s="176"/>
      <c r="P396" s="165" t="s">
        <v>512</v>
      </c>
      <c r="Q396" s="165" t="s">
        <v>441</v>
      </c>
      <c r="R396" s="176"/>
      <c r="S396" s="176"/>
      <c r="T396" s="176"/>
      <c r="U396" s="176"/>
      <c r="V396" s="176"/>
      <c r="W396" s="176"/>
      <c r="X396" s="176"/>
      <c r="Y396" s="176"/>
      <c r="Z396" s="176"/>
      <c r="AA396" s="176"/>
    </row>
    <row r="397">
      <c r="A397" s="165" t="str">
        <f>iferror(VLOOKUP(P397,'DO NOT TOUCH Imported'!$A$1:$D$800,4,False),iferror(VLOOKUP(P397,'DO NOT TOUCH Imported'!$C$1:$D$800,2,False),"OOPS FIX ME"))</f>
        <v>ygganderson</v>
      </c>
      <c r="B397" s="165" t="s">
        <v>566</v>
      </c>
      <c r="C397" s="170" t="s">
        <v>1415</v>
      </c>
      <c r="D397" s="236" t="s">
        <v>499</v>
      </c>
      <c r="E397" s="237">
        <v>44291.0</v>
      </c>
      <c r="F397" s="170" t="s">
        <v>503</v>
      </c>
      <c r="G397" s="219"/>
      <c r="H397" s="171">
        <v>100.0</v>
      </c>
      <c r="I397" s="171">
        <v>100.0</v>
      </c>
      <c r="J397" s="172">
        <f t="shared" si="14"/>
        <v>0.001436335405</v>
      </c>
      <c r="K397" s="173">
        <f t="shared" si="18"/>
        <v>1.651785716</v>
      </c>
      <c r="L397" s="174">
        <f t="shared" si="4"/>
        <v>8.056194867</v>
      </c>
      <c r="M397" s="175" t="str">
        <f t="shared" si="5"/>
        <v>ygganderson</v>
      </c>
      <c r="N397" s="176">
        <f>IFERROR(__xludf.DUMMYFUNCTION("""COMPUTED_VALUE"""),9.0)</f>
        <v>9</v>
      </c>
      <c r="O397" s="176"/>
      <c r="P397" s="165" t="s">
        <v>512</v>
      </c>
      <c r="Q397" s="165" t="s">
        <v>566</v>
      </c>
      <c r="R397" s="176"/>
      <c r="S397" s="176"/>
      <c r="T397" s="176"/>
      <c r="U397" s="176"/>
      <c r="V397" s="176"/>
      <c r="W397" s="176"/>
      <c r="X397" s="176"/>
      <c r="Y397" s="176"/>
      <c r="Z397" s="176"/>
      <c r="AA397" s="176"/>
    </row>
    <row r="398">
      <c r="A398" s="165" t="str">
        <f>iferror(VLOOKUP(P398,'DO NOT TOUCH Imported'!$A$1:$D$800,4,False),iferror(VLOOKUP(P398,'DO NOT TOUCH Imported'!$C$1:$D$800,2,False),"OOPS FIX ME"))</f>
        <v>solsista</v>
      </c>
      <c r="B398" s="165" t="s">
        <v>10</v>
      </c>
      <c r="C398" s="170" t="s">
        <v>500</v>
      </c>
      <c r="D398" s="236" t="s">
        <v>495</v>
      </c>
      <c r="E398" s="239">
        <v>44282.0</v>
      </c>
      <c r="F398" s="170" t="s">
        <v>496</v>
      </c>
      <c r="G398" s="219"/>
      <c r="H398" s="171">
        <v>20.0</v>
      </c>
      <c r="I398" s="171">
        <v>25.0</v>
      </c>
      <c r="J398" s="172">
        <f t="shared" si="14"/>
        <v>0.0003229253324</v>
      </c>
      <c r="K398" s="173">
        <f t="shared" si="18"/>
        <v>0.3713641322</v>
      </c>
      <c r="L398" s="174">
        <f t="shared" si="4"/>
        <v>8.056194867</v>
      </c>
      <c r="M398" s="175" t="str">
        <f t="shared" si="5"/>
        <v>solsista</v>
      </c>
      <c r="N398" s="176">
        <f>IFERROR(__xludf.DUMMYFUNCTION("""COMPUTED_VALUE"""),1.0)</f>
        <v>1</v>
      </c>
      <c r="O398" s="176"/>
      <c r="P398" s="165" t="s">
        <v>8</v>
      </c>
      <c r="Q398" s="165" t="s">
        <v>10</v>
      </c>
      <c r="R398" s="176"/>
      <c r="S398" s="176"/>
      <c r="T398" s="176"/>
      <c r="U398" s="176"/>
      <c r="V398" s="176"/>
      <c r="W398" s="176"/>
      <c r="X398" s="176"/>
      <c r="Y398" s="176"/>
      <c r="Z398" s="176"/>
      <c r="AA398" s="176"/>
    </row>
    <row r="399">
      <c r="A399" s="165" t="str">
        <f>iferror(VLOOKUP(P399,'DO NOT TOUCH Imported'!$A$1:$D$800,4,False),iferror(VLOOKUP(P399,'DO NOT TOUCH Imported'!$C$1:$D$800,2,False),"OOPS FIX ME"))</f>
        <v>solsista</v>
      </c>
      <c r="B399" s="165" t="s">
        <v>435</v>
      </c>
      <c r="C399" s="170" t="s">
        <v>1416</v>
      </c>
      <c r="D399" s="236" t="s">
        <v>437</v>
      </c>
      <c r="E399" s="239">
        <v>44287.0</v>
      </c>
      <c r="F399" s="170" t="s">
        <v>439</v>
      </c>
      <c r="G399" s="219"/>
      <c r="H399" s="171">
        <v>200.0</v>
      </c>
      <c r="I399" s="171">
        <v>150.0</v>
      </c>
      <c r="J399" s="172">
        <f t="shared" si="14"/>
        <v>0.002516088297</v>
      </c>
      <c r="K399" s="173">
        <f t="shared" si="18"/>
        <v>2.893501542</v>
      </c>
      <c r="L399" s="174">
        <f t="shared" si="4"/>
        <v>8.056194867</v>
      </c>
      <c r="M399" s="175" t="str">
        <f t="shared" si="5"/>
        <v>solsista</v>
      </c>
      <c r="N399" s="176">
        <f>IFERROR(__xludf.DUMMYFUNCTION("""COMPUTED_VALUE"""),2.0)</f>
        <v>2</v>
      </c>
      <c r="O399" s="176"/>
      <c r="P399" s="165" t="s">
        <v>463</v>
      </c>
      <c r="Q399" s="165" t="s">
        <v>435</v>
      </c>
      <c r="R399" s="176"/>
      <c r="S399" s="176"/>
      <c r="T399" s="176"/>
      <c r="U399" s="176"/>
      <c r="V399" s="176"/>
      <c r="W399" s="176"/>
      <c r="X399" s="176"/>
      <c r="Y399" s="176"/>
      <c r="Z399" s="176"/>
      <c r="AA399" s="176"/>
    </row>
    <row r="400">
      <c r="A400" s="165" t="str">
        <f>iferror(VLOOKUP(P400,'DO NOT TOUCH Imported'!$A$1:$D$800,4,False),iferror(VLOOKUP(P400,'DO NOT TOUCH Imported'!$C$1:$D$800,2,False),"OOPS FIX ME"))</f>
        <v>solsista</v>
      </c>
      <c r="B400" s="165" t="s">
        <v>441</v>
      </c>
      <c r="C400" s="170" t="s">
        <v>1248</v>
      </c>
      <c r="D400" s="236" t="s">
        <v>437</v>
      </c>
      <c r="E400" s="237">
        <v>44288.0</v>
      </c>
      <c r="F400" s="170" t="s">
        <v>439</v>
      </c>
      <c r="G400" s="219"/>
      <c r="H400" s="171">
        <v>100.0</v>
      </c>
      <c r="I400" s="171">
        <v>100.0</v>
      </c>
      <c r="J400" s="172">
        <f t="shared" si="14"/>
        <v>0.001436335405</v>
      </c>
      <c r="K400" s="173">
        <f t="shared" si="18"/>
        <v>1.651785716</v>
      </c>
      <c r="L400" s="174">
        <f t="shared" si="4"/>
        <v>8.056194867</v>
      </c>
      <c r="M400" s="175" t="str">
        <f t="shared" si="5"/>
        <v>solsista</v>
      </c>
      <c r="N400" s="176">
        <f>IFERROR(__xludf.DUMMYFUNCTION("""COMPUTED_VALUE"""),3.0)</f>
        <v>3</v>
      </c>
      <c r="O400" s="176"/>
      <c r="P400" s="165" t="s">
        <v>463</v>
      </c>
      <c r="Q400" s="165" t="s">
        <v>441</v>
      </c>
      <c r="R400" s="176"/>
      <c r="S400" s="176"/>
      <c r="T400" s="176"/>
      <c r="U400" s="176"/>
      <c r="V400" s="176"/>
      <c r="W400" s="176"/>
      <c r="X400" s="176"/>
      <c r="Y400" s="176"/>
      <c r="Z400" s="176"/>
      <c r="AA400" s="176"/>
    </row>
    <row r="401">
      <c r="A401" s="165" t="str">
        <f>iferror(VLOOKUP(P401,'DO NOT TOUCH Imported'!$A$1:$D$800,4,False),iferror(VLOOKUP(P401,'DO NOT TOUCH Imported'!$C$1:$D$800,2,False),"OOPS FIX ME"))</f>
        <v>solsista</v>
      </c>
      <c r="B401" s="165" t="s">
        <v>441</v>
      </c>
      <c r="C401" s="170" t="s">
        <v>1417</v>
      </c>
      <c r="D401" s="236" t="s">
        <v>437</v>
      </c>
      <c r="E401" s="237">
        <v>44288.0</v>
      </c>
      <c r="F401" s="170" t="s">
        <v>439</v>
      </c>
      <c r="G401" s="219"/>
      <c r="H401" s="171">
        <v>100.0</v>
      </c>
      <c r="I401" s="171">
        <v>100.0</v>
      </c>
      <c r="J401" s="172">
        <f t="shared" si="14"/>
        <v>0.001436335405</v>
      </c>
      <c r="K401" s="173">
        <f t="shared" si="18"/>
        <v>1.651785716</v>
      </c>
      <c r="L401" s="174">
        <f t="shared" si="4"/>
        <v>8.056194867</v>
      </c>
      <c r="M401" s="175" t="str">
        <f t="shared" si="5"/>
        <v>solsista</v>
      </c>
      <c r="N401" s="176">
        <f>IFERROR(__xludf.DUMMYFUNCTION("""COMPUTED_VALUE"""),4.0)</f>
        <v>4</v>
      </c>
      <c r="O401" s="176"/>
      <c r="P401" s="165" t="s">
        <v>463</v>
      </c>
      <c r="Q401" s="165" t="s">
        <v>441</v>
      </c>
      <c r="R401" s="176"/>
      <c r="S401" s="176"/>
      <c r="T401" s="176"/>
      <c r="U401" s="176"/>
      <c r="V401" s="176"/>
      <c r="W401" s="176"/>
      <c r="X401" s="176"/>
      <c r="Y401" s="176"/>
      <c r="Z401" s="176"/>
      <c r="AA401" s="176"/>
    </row>
    <row r="402">
      <c r="A402" s="165" t="str">
        <f>iferror(VLOOKUP(P402,'DO NOT TOUCH Imported'!$A$1:$D$800,4,False),iferror(VLOOKUP(P402,'DO NOT TOUCH Imported'!$C$1:$D$800,2,False),"OOPS FIX ME"))</f>
        <v>solsista</v>
      </c>
      <c r="B402" s="165" t="s">
        <v>443</v>
      </c>
      <c r="C402" s="170" t="s">
        <v>1252</v>
      </c>
      <c r="D402" s="236" t="s">
        <v>437</v>
      </c>
      <c r="E402" s="237">
        <v>44291.0</v>
      </c>
      <c r="F402" s="170" t="s">
        <v>439</v>
      </c>
      <c r="G402" s="219"/>
      <c r="H402" s="171">
        <v>100.0</v>
      </c>
      <c r="I402" s="171">
        <v>80.0</v>
      </c>
      <c r="J402" s="172">
        <f t="shared" si="14"/>
        <v>0.0012937024</v>
      </c>
      <c r="K402" s="173">
        <f t="shared" si="18"/>
        <v>1.48775776</v>
      </c>
      <c r="L402" s="174">
        <f t="shared" si="4"/>
        <v>8.056194867</v>
      </c>
      <c r="M402" s="175" t="str">
        <f t="shared" si="5"/>
        <v>solsista</v>
      </c>
      <c r="N402" s="176">
        <f>IFERROR(__xludf.DUMMYFUNCTION("""COMPUTED_VALUE"""),5.0)</f>
        <v>5</v>
      </c>
      <c r="O402" s="176"/>
      <c r="P402" s="165" t="s">
        <v>463</v>
      </c>
      <c r="Q402" s="165" t="s">
        <v>443</v>
      </c>
      <c r="R402" s="176"/>
      <c r="S402" s="176"/>
      <c r="T402" s="176"/>
      <c r="U402" s="176"/>
      <c r="V402" s="176"/>
      <c r="W402" s="176"/>
      <c r="X402" s="176"/>
      <c r="Y402" s="176"/>
      <c r="Z402" s="176"/>
      <c r="AA402" s="176"/>
    </row>
    <row r="403">
      <c r="A403" s="185" t="s">
        <v>34</v>
      </c>
      <c r="B403" s="185" t="s">
        <v>534</v>
      </c>
      <c r="C403" s="210" t="s">
        <v>646</v>
      </c>
      <c r="D403" s="187"/>
      <c r="E403" s="188"/>
      <c r="F403" s="189"/>
      <c r="G403" s="190"/>
      <c r="H403" s="190"/>
      <c r="I403" s="190"/>
      <c r="J403" s="172">
        <f t="shared" si="14"/>
        <v>0</v>
      </c>
      <c r="K403" s="215">
        <v>0.0</v>
      </c>
      <c r="L403" s="193">
        <f t="shared" si="4"/>
        <v>7.967277195</v>
      </c>
      <c r="M403" s="194" t="str">
        <f t="shared" si="5"/>
        <v>xgabi</v>
      </c>
      <c r="N403" s="211">
        <f>IFERROR(__xludf.DUMMYFUNCTION("""COMPUTED_VALUE"""),1.0)</f>
        <v>1</v>
      </c>
      <c r="O403" s="195"/>
      <c r="P403" s="212" t="s">
        <v>6</v>
      </c>
      <c r="Q403" s="185" t="s">
        <v>534</v>
      </c>
      <c r="R403" s="195">
        <v>57.049855624848725</v>
      </c>
      <c r="S403" s="195"/>
      <c r="T403" s="195"/>
      <c r="U403" s="195"/>
      <c r="V403" s="195"/>
      <c r="W403" s="195"/>
      <c r="X403" s="195"/>
      <c r="Y403" s="195"/>
      <c r="Z403" s="195"/>
      <c r="AA403" s="176"/>
    </row>
    <row r="404">
      <c r="A404" s="165" t="str">
        <f>iferror(VLOOKUP(P404,'DO NOT TOUCH Imported'!$A$1:$D$800,4,False),iferror(VLOOKUP(P404,'DO NOT TOUCH Imported'!$C$1:$D$800,2,False),"OOPS FIX ME"))</f>
        <v>xgabi</v>
      </c>
      <c r="B404" s="165" t="s">
        <v>10</v>
      </c>
      <c r="C404" s="170" t="s">
        <v>1357</v>
      </c>
      <c r="D404" s="236" t="s">
        <v>495</v>
      </c>
      <c r="E404" s="239">
        <v>44288.0</v>
      </c>
      <c r="F404" s="170" t="s">
        <v>496</v>
      </c>
      <c r="G404" s="219"/>
      <c r="H404" s="171">
        <v>60.0</v>
      </c>
      <c r="I404" s="171">
        <v>80.0</v>
      </c>
      <c r="J404" s="172">
        <f t="shared" si="14"/>
        <v>0.001004434248</v>
      </c>
      <c r="K404" s="173">
        <f t="shared" ref="K404:K413" si="19">J404*$J$1</f>
        <v>1.155099386</v>
      </c>
      <c r="L404" s="174">
        <f t="shared" si="4"/>
        <v>7.967277195</v>
      </c>
      <c r="M404" s="175" t="str">
        <f t="shared" si="5"/>
        <v>xgabi</v>
      </c>
      <c r="N404" s="176">
        <f>IFERROR(__xludf.DUMMYFUNCTION("""COMPUTED_VALUE"""),2.0)</f>
        <v>2</v>
      </c>
      <c r="O404" s="176"/>
      <c r="P404" s="165" t="s">
        <v>34</v>
      </c>
      <c r="Q404" s="165" t="s">
        <v>10</v>
      </c>
      <c r="R404" s="176"/>
      <c r="S404" s="176"/>
      <c r="T404" s="176"/>
      <c r="U404" s="176"/>
      <c r="V404" s="176"/>
      <c r="W404" s="176"/>
      <c r="X404" s="176"/>
      <c r="Y404" s="176"/>
      <c r="Z404" s="176"/>
      <c r="AA404" s="176"/>
    </row>
    <row r="405">
      <c r="A405" s="165" t="str">
        <f>iferror(VLOOKUP(P405,'DO NOT TOUCH Imported'!$A$1:$D$800,4,False),iferror(VLOOKUP(P405,'DO NOT TOUCH Imported'!$C$1:$D$800,2,False),"OOPS FIX ME"))</f>
        <v>xgabi</v>
      </c>
      <c r="B405" s="165" t="s">
        <v>10</v>
      </c>
      <c r="C405" s="170" t="s">
        <v>1358</v>
      </c>
      <c r="D405" s="236" t="s">
        <v>495</v>
      </c>
      <c r="E405" s="239">
        <v>44295.0</v>
      </c>
      <c r="F405" s="170" t="s">
        <v>496</v>
      </c>
      <c r="G405" s="219"/>
      <c r="H405" s="171">
        <v>70.0</v>
      </c>
      <c r="I405" s="171">
        <v>75.0</v>
      </c>
      <c r="J405" s="172">
        <f t="shared" si="14"/>
        <v>0.001041093035</v>
      </c>
      <c r="K405" s="173">
        <f t="shared" si="19"/>
        <v>1.19725699</v>
      </c>
      <c r="L405" s="174">
        <f t="shared" si="4"/>
        <v>7.967277195</v>
      </c>
      <c r="M405" s="175" t="str">
        <f t="shared" si="5"/>
        <v>xgabi</v>
      </c>
      <c r="N405" s="176">
        <f>IFERROR(__xludf.DUMMYFUNCTION("""COMPUTED_VALUE"""),3.0)</f>
        <v>3</v>
      </c>
      <c r="O405" s="176"/>
      <c r="P405" s="165" t="s">
        <v>34</v>
      </c>
      <c r="Q405" s="165" t="s">
        <v>10</v>
      </c>
      <c r="R405" s="176"/>
      <c r="S405" s="176"/>
      <c r="T405" s="176"/>
      <c r="U405" s="176"/>
      <c r="V405" s="176"/>
      <c r="W405" s="176"/>
      <c r="X405" s="176"/>
      <c r="Y405" s="176"/>
      <c r="Z405" s="176"/>
      <c r="AA405" s="176"/>
    </row>
    <row r="406">
      <c r="A406" s="165" t="str">
        <f>iferror(VLOOKUP(P406,'DO NOT TOUCH Imported'!$A$1:$D$800,4,False),iferror(VLOOKUP(P406,'DO NOT TOUCH Imported'!$C$1:$D$800,2,False),"OOPS FIX ME"))</f>
        <v>xgabi</v>
      </c>
      <c r="B406" s="165" t="s">
        <v>441</v>
      </c>
      <c r="C406" s="170" t="s">
        <v>1418</v>
      </c>
      <c r="D406" s="236" t="s">
        <v>437</v>
      </c>
      <c r="E406" s="237">
        <v>44288.0</v>
      </c>
      <c r="F406" s="170" t="s">
        <v>439</v>
      </c>
      <c r="G406" s="219"/>
      <c r="H406" s="171">
        <v>100.0</v>
      </c>
      <c r="I406" s="171">
        <v>100.0</v>
      </c>
      <c r="J406" s="172">
        <f t="shared" si="14"/>
        <v>0.001436335405</v>
      </c>
      <c r="K406" s="173">
        <f t="shared" si="19"/>
        <v>1.651785716</v>
      </c>
      <c r="L406" s="174">
        <f t="shared" si="4"/>
        <v>7.967277195</v>
      </c>
      <c r="M406" s="175" t="str">
        <f t="shared" si="5"/>
        <v>xgabi</v>
      </c>
      <c r="N406" s="176">
        <f>IFERROR(__xludf.DUMMYFUNCTION("""COMPUTED_VALUE"""),4.0)</f>
        <v>4</v>
      </c>
      <c r="O406" s="176"/>
      <c r="P406" s="165" t="s">
        <v>766</v>
      </c>
      <c r="Q406" s="165" t="s">
        <v>441</v>
      </c>
      <c r="R406" s="176"/>
      <c r="S406" s="176"/>
      <c r="T406" s="176"/>
      <c r="U406" s="176"/>
      <c r="V406" s="176"/>
      <c r="W406" s="176"/>
      <c r="X406" s="176"/>
      <c r="Y406" s="176"/>
      <c r="Z406" s="176"/>
      <c r="AA406" s="176"/>
    </row>
    <row r="407">
      <c r="A407" s="165" t="str">
        <f>iferror(VLOOKUP(P407,'DO NOT TOUCH Imported'!$A$1:$D$800,4,False),iferror(VLOOKUP(P407,'DO NOT TOUCH Imported'!$C$1:$D$800,2,False),"OOPS FIX ME"))</f>
        <v>xgabi</v>
      </c>
      <c r="B407" s="165" t="s">
        <v>440</v>
      </c>
      <c r="C407" s="170" t="s">
        <v>1253</v>
      </c>
      <c r="D407" s="236" t="s">
        <v>437</v>
      </c>
      <c r="E407" s="237">
        <v>44291.0</v>
      </c>
      <c r="F407" s="170" t="s">
        <v>439</v>
      </c>
      <c r="G407" s="219"/>
      <c r="H407" s="171">
        <v>50.0</v>
      </c>
      <c r="I407" s="171">
        <v>50.0</v>
      </c>
      <c r="J407" s="172">
        <f t="shared" si="14"/>
        <v>0.0007181677027</v>
      </c>
      <c r="K407" s="173">
        <f t="shared" si="19"/>
        <v>0.8258928581</v>
      </c>
      <c r="L407" s="174">
        <f t="shared" si="4"/>
        <v>7.967277195</v>
      </c>
      <c r="M407" s="175" t="str">
        <f t="shared" si="5"/>
        <v>xgabi</v>
      </c>
      <c r="N407" s="176">
        <f>IFERROR(__xludf.DUMMYFUNCTION("""COMPUTED_VALUE"""),5.0)</f>
        <v>5</v>
      </c>
      <c r="O407" s="176"/>
      <c r="P407" s="165" t="s">
        <v>766</v>
      </c>
      <c r="Q407" s="165" t="s">
        <v>440</v>
      </c>
      <c r="R407" s="176"/>
      <c r="S407" s="176"/>
      <c r="T407" s="176"/>
      <c r="U407" s="176"/>
      <c r="V407" s="176"/>
      <c r="W407" s="176"/>
      <c r="X407" s="176"/>
      <c r="Y407" s="176"/>
      <c r="Z407" s="176"/>
      <c r="AA407" s="176"/>
    </row>
    <row r="408">
      <c r="A408" s="165" t="str">
        <f>iferror(VLOOKUP(P408,'DO NOT TOUCH Imported'!$A$1:$D$800,4,False),iferror(VLOOKUP(P408,'DO NOT TOUCH Imported'!$C$1:$D$800,2,False),"OOPS FIX ME"))</f>
        <v>xgabi</v>
      </c>
      <c r="B408" s="165" t="s">
        <v>441</v>
      </c>
      <c r="C408" s="170" t="s">
        <v>1411</v>
      </c>
      <c r="D408" s="236" t="s">
        <v>437</v>
      </c>
      <c r="E408" s="237">
        <v>44295.0</v>
      </c>
      <c r="F408" s="170" t="s">
        <v>439</v>
      </c>
      <c r="G408" s="219"/>
      <c r="H408" s="171">
        <v>100.0</v>
      </c>
      <c r="I408" s="171">
        <v>100.0</v>
      </c>
      <c r="J408" s="172">
        <f t="shared" si="14"/>
        <v>0.001436335405</v>
      </c>
      <c r="K408" s="173">
        <f t="shared" si="19"/>
        <v>1.651785716</v>
      </c>
      <c r="L408" s="174">
        <f t="shared" si="4"/>
        <v>7.967277195</v>
      </c>
      <c r="M408" s="175" t="str">
        <f t="shared" si="5"/>
        <v>xgabi</v>
      </c>
      <c r="N408" s="176">
        <f>IFERROR(__xludf.DUMMYFUNCTION("""COMPUTED_VALUE"""),6.0)</f>
        <v>6</v>
      </c>
      <c r="O408" s="176"/>
      <c r="P408" s="165" t="s">
        <v>766</v>
      </c>
      <c r="Q408" s="165" t="s">
        <v>441</v>
      </c>
      <c r="R408" s="176"/>
      <c r="S408" s="176"/>
      <c r="T408" s="176"/>
      <c r="U408" s="176"/>
      <c r="V408" s="176"/>
      <c r="W408" s="176"/>
      <c r="X408" s="176"/>
      <c r="Y408" s="176"/>
      <c r="Z408" s="176"/>
      <c r="AA408" s="176"/>
    </row>
    <row r="409">
      <c r="A409" s="165" t="str">
        <f>iferror(VLOOKUP(P409,'DO NOT TOUCH Imported'!$A$1:$D$800,4,False),iferror(VLOOKUP(P409,'DO NOT TOUCH Imported'!$C$1:$D$800,2,False),"OOPS FIX ME"))</f>
        <v>xgabi</v>
      </c>
      <c r="B409" s="165" t="s">
        <v>441</v>
      </c>
      <c r="C409" s="170" t="s">
        <v>1370</v>
      </c>
      <c r="D409" s="236" t="s">
        <v>437</v>
      </c>
      <c r="E409" s="237">
        <v>44295.0</v>
      </c>
      <c r="F409" s="170" t="s">
        <v>439</v>
      </c>
      <c r="G409" s="219"/>
      <c r="H409" s="171">
        <v>80.0</v>
      </c>
      <c r="I409" s="171">
        <v>100.0</v>
      </c>
      <c r="J409" s="172">
        <f t="shared" si="14"/>
        <v>0.00129170133</v>
      </c>
      <c r="K409" s="173">
        <f t="shared" si="19"/>
        <v>1.485456529</v>
      </c>
      <c r="L409" s="174">
        <f t="shared" si="4"/>
        <v>7.967277195</v>
      </c>
      <c r="M409" s="175" t="str">
        <f t="shared" si="5"/>
        <v>xgabi</v>
      </c>
      <c r="N409" s="176">
        <f>IFERROR(__xludf.DUMMYFUNCTION("""COMPUTED_VALUE"""),7.0)</f>
        <v>7</v>
      </c>
      <c r="O409" s="176"/>
      <c r="P409" s="165" t="s">
        <v>766</v>
      </c>
      <c r="Q409" s="165" t="s">
        <v>441</v>
      </c>
      <c r="R409" s="176"/>
      <c r="S409" s="176"/>
      <c r="T409" s="176"/>
      <c r="U409" s="176"/>
      <c r="V409" s="176"/>
      <c r="W409" s="176"/>
      <c r="X409" s="176"/>
      <c r="Y409" s="176"/>
      <c r="Z409" s="176"/>
      <c r="AA409" s="176"/>
    </row>
    <row r="410">
      <c r="A410" s="165" t="str">
        <f>iferror(VLOOKUP(P410,'DO NOT TOUCH Imported'!$A$1:$D$800,4,False),iferror(VLOOKUP(P410,'DO NOT TOUCH Imported'!$C$1:$D$800,2,False),"OOPS FIX ME"))</f>
        <v>BlairV</v>
      </c>
      <c r="B410" s="165" t="s">
        <v>590</v>
      </c>
      <c r="C410" s="170" t="s">
        <v>1419</v>
      </c>
      <c r="D410" s="236" t="s">
        <v>495</v>
      </c>
      <c r="E410" s="239">
        <v>44291.0</v>
      </c>
      <c r="F410" s="170" t="s">
        <v>496</v>
      </c>
      <c r="G410" s="219"/>
      <c r="H410" s="171">
        <v>100.0</v>
      </c>
      <c r="I410" s="171">
        <v>200.0</v>
      </c>
      <c r="J410" s="172">
        <f t="shared" si="14"/>
        <v>0.002149500432</v>
      </c>
      <c r="K410" s="173">
        <f t="shared" si="19"/>
        <v>2.471925496</v>
      </c>
      <c r="L410" s="174">
        <f t="shared" si="4"/>
        <v>7.787140622</v>
      </c>
      <c r="M410" s="175" t="str">
        <f t="shared" si="5"/>
        <v>BlairV</v>
      </c>
      <c r="N410" s="176">
        <f>IFERROR(__xludf.DUMMYFUNCTION("""COMPUTED_VALUE"""),1.0)</f>
        <v>1</v>
      </c>
      <c r="O410" s="176"/>
      <c r="P410" s="165" t="s">
        <v>41</v>
      </c>
      <c r="Q410" s="165" t="s">
        <v>590</v>
      </c>
      <c r="R410" s="176"/>
      <c r="S410" s="176"/>
      <c r="T410" s="176"/>
      <c r="U410" s="176"/>
      <c r="V410" s="176"/>
      <c r="W410" s="176"/>
      <c r="X410" s="176"/>
      <c r="Y410" s="176"/>
      <c r="Z410" s="176"/>
      <c r="AA410" s="176"/>
    </row>
    <row r="411">
      <c r="A411" s="165" t="str">
        <f>iferror(VLOOKUP(P411,'DO NOT TOUCH Imported'!$A$1:$D$800,4,False),iferror(VLOOKUP(P411,'DO NOT TOUCH Imported'!$C$1:$D$800,2,False),"OOPS FIX ME"))</f>
        <v>BlairV</v>
      </c>
      <c r="B411" s="165" t="s">
        <v>566</v>
      </c>
      <c r="C411" s="170" t="s">
        <v>1420</v>
      </c>
      <c r="D411" s="236" t="s">
        <v>499</v>
      </c>
      <c r="E411" s="237">
        <v>44291.0</v>
      </c>
      <c r="F411" s="170" t="s">
        <v>503</v>
      </c>
      <c r="G411" s="219"/>
      <c r="H411" s="171">
        <v>100.0</v>
      </c>
      <c r="I411" s="171">
        <v>200.0</v>
      </c>
      <c r="J411" s="172">
        <f t="shared" si="14"/>
        <v>0.002149500432</v>
      </c>
      <c r="K411" s="173">
        <f t="shared" si="19"/>
        <v>2.471925496</v>
      </c>
      <c r="L411" s="174">
        <f t="shared" si="4"/>
        <v>7.787140622</v>
      </c>
      <c r="M411" s="175" t="str">
        <f t="shared" si="5"/>
        <v>BlairV</v>
      </c>
      <c r="N411" s="176">
        <f>IFERROR(__xludf.DUMMYFUNCTION("""COMPUTED_VALUE"""),2.0)</f>
        <v>2</v>
      </c>
      <c r="O411" s="176"/>
      <c r="P411" s="165" t="s">
        <v>525</v>
      </c>
      <c r="Q411" s="165" t="s">
        <v>566</v>
      </c>
      <c r="R411" s="176"/>
      <c r="S411" s="176"/>
      <c r="T411" s="176"/>
      <c r="U411" s="176"/>
      <c r="V411" s="176"/>
      <c r="W411" s="176"/>
      <c r="X411" s="176"/>
      <c r="Y411" s="176"/>
      <c r="Z411" s="176"/>
      <c r="AA411" s="176"/>
    </row>
    <row r="412">
      <c r="A412" s="165" t="str">
        <f>iferror(VLOOKUP(P412,'DO NOT TOUCH Imported'!$A$1:$D$800,4,False),iferror(VLOOKUP(P412,'DO NOT TOUCH Imported'!$C$1:$D$800,2,False),"OOPS FIX ME"))</f>
        <v>BlairV</v>
      </c>
      <c r="B412" s="165" t="s">
        <v>441</v>
      </c>
      <c r="C412" s="170" t="s">
        <v>1421</v>
      </c>
      <c r="D412" s="236" t="s">
        <v>437</v>
      </c>
      <c r="E412" s="237">
        <v>44295.0</v>
      </c>
      <c r="F412" s="170" t="s">
        <v>439</v>
      </c>
      <c r="G412" s="219"/>
      <c r="H412" s="171">
        <v>100.0</v>
      </c>
      <c r="I412" s="171">
        <v>200.0</v>
      </c>
      <c r="J412" s="172">
        <f t="shared" si="14"/>
        <v>0.002149500432</v>
      </c>
      <c r="K412" s="173">
        <f t="shared" si="19"/>
        <v>2.471925496</v>
      </c>
      <c r="L412" s="174">
        <f t="shared" si="4"/>
        <v>7.787140622</v>
      </c>
      <c r="M412" s="175" t="str">
        <f t="shared" si="5"/>
        <v>BlairV</v>
      </c>
      <c r="N412" s="176">
        <f>IFERROR(__xludf.DUMMYFUNCTION("""COMPUTED_VALUE"""),3.0)</f>
        <v>3</v>
      </c>
      <c r="O412" s="176"/>
      <c r="P412" s="165" t="s">
        <v>525</v>
      </c>
      <c r="Q412" s="165" t="s">
        <v>441</v>
      </c>
      <c r="R412" s="176"/>
      <c r="S412" s="176"/>
      <c r="T412" s="176"/>
      <c r="U412" s="176"/>
      <c r="V412" s="176"/>
      <c r="W412" s="176"/>
      <c r="X412" s="176"/>
      <c r="Y412" s="176"/>
      <c r="Z412" s="176"/>
      <c r="AA412" s="176"/>
    </row>
    <row r="413">
      <c r="A413" s="165" t="str">
        <f>iferror(VLOOKUP(P413,'DO NOT TOUCH Imported'!$A$1:$D$800,4,False),iferror(VLOOKUP(P413,'DO NOT TOUCH Imported'!$C$1:$D$800,2,False),"OOPS FIX ME"))</f>
        <v>BlairV</v>
      </c>
      <c r="B413" s="165" t="s">
        <v>441</v>
      </c>
      <c r="C413" s="170" t="s">
        <v>1422</v>
      </c>
      <c r="D413" s="236" t="s">
        <v>499</v>
      </c>
      <c r="E413" s="237">
        <v>44295.0</v>
      </c>
      <c r="F413" s="170" t="s">
        <v>503</v>
      </c>
      <c r="G413" s="219"/>
      <c r="H413" s="171">
        <v>20.0</v>
      </c>
      <c r="I413" s="171">
        <v>25.0</v>
      </c>
      <c r="J413" s="172">
        <f t="shared" si="14"/>
        <v>0.0003229253324</v>
      </c>
      <c r="K413" s="173">
        <f t="shared" si="19"/>
        <v>0.3713641322</v>
      </c>
      <c r="L413" s="174">
        <f t="shared" si="4"/>
        <v>7.787140622</v>
      </c>
      <c r="M413" s="175" t="str">
        <f t="shared" si="5"/>
        <v>BlairV</v>
      </c>
      <c r="N413" s="176">
        <f>IFERROR(__xludf.DUMMYFUNCTION("""COMPUTED_VALUE"""),4.0)</f>
        <v>4</v>
      </c>
      <c r="O413" s="176"/>
      <c r="P413" s="165" t="s">
        <v>525</v>
      </c>
      <c r="Q413" s="165" t="s">
        <v>441</v>
      </c>
      <c r="R413" s="176"/>
      <c r="S413" s="176"/>
      <c r="T413" s="176"/>
      <c r="U413" s="176"/>
      <c r="V413" s="176"/>
      <c r="W413" s="176"/>
      <c r="X413" s="176"/>
      <c r="Y413" s="176"/>
      <c r="Z413" s="176"/>
      <c r="AA413" s="176"/>
    </row>
    <row r="414">
      <c r="A414" s="185" t="str">
        <f>iferror(VLOOKUP(P414,'DO NOT TOUCH Imported'!$A$1:$D$800,4,False),iferror(VLOOKUP(P414,'DO NOT TOUCH Imported'!$C$1:$D$800,2,False),"OOPS FIX ME"))</f>
        <v>JuankBell</v>
      </c>
      <c r="B414" s="185" t="s">
        <v>534</v>
      </c>
      <c r="C414" s="186" t="s">
        <v>684</v>
      </c>
      <c r="D414" s="187"/>
      <c r="E414" s="188"/>
      <c r="F414" s="189"/>
      <c r="G414" s="190"/>
      <c r="H414" s="190"/>
      <c r="I414" s="190"/>
      <c r="J414" s="191">
        <f t="shared" ref="J414:J453" si="20">(G414/$G$2+H414/$H$2+I414/$I$2)/3</f>
        <v>0</v>
      </c>
      <c r="K414" s="192">
        <f>49.419*-0.85</f>
        <v>-42.00615</v>
      </c>
      <c r="L414" s="193">
        <f t="shared" si="4"/>
        <v>7.413129907</v>
      </c>
      <c r="M414" s="194" t="str">
        <f t="shared" si="5"/>
        <v>JuankBell</v>
      </c>
      <c r="N414" s="195">
        <f>IFERROR(__xludf.DUMMYFUNCTION("""COMPUTED_VALUE"""),1.0)</f>
        <v>1</v>
      </c>
      <c r="O414" s="195"/>
      <c r="P414" s="185" t="s">
        <v>15</v>
      </c>
      <c r="Q414" s="185" t="s">
        <v>534</v>
      </c>
      <c r="R414" s="195">
        <v>36.89669088595067</v>
      </c>
      <c r="S414" s="195"/>
      <c r="T414" s="195"/>
      <c r="U414" s="195"/>
      <c r="V414" s="195"/>
      <c r="W414" s="195"/>
      <c r="X414" s="195"/>
      <c r="Y414" s="195"/>
      <c r="Z414" s="195"/>
      <c r="AA414" s="176"/>
    </row>
    <row r="415">
      <c r="A415" s="165" t="str">
        <f>iferror(VLOOKUP(P415,'DO NOT TOUCH Imported'!$A$1:$D$800,4,False),iferror(VLOOKUP(P415,'DO NOT TOUCH Imported'!$C$1:$D$800,2,False),"OOPS FIX ME"))</f>
        <v>JuankBell</v>
      </c>
      <c r="B415" s="165" t="s">
        <v>10</v>
      </c>
      <c r="C415" s="170" t="s">
        <v>500</v>
      </c>
      <c r="D415" s="236" t="s">
        <v>495</v>
      </c>
      <c r="E415" s="239">
        <v>44282.0</v>
      </c>
      <c r="F415" s="170" t="s">
        <v>496</v>
      </c>
      <c r="G415" s="219"/>
      <c r="H415" s="243"/>
      <c r="I415" s="243"/>
      <c r="J415" s="172">
        <f t="shared" si="20"/>
        <v>0</v>
      </c>
      <c r="K415" s="173">
        <f t="shared" ref="K415:K427" si="21">$N$1</f>
        <v>1.335656214</v>
      </c>
      <c r="L415" s="174">
        <f t="shared" si="4"/>
        <v>7.413129907</v>
      </c>
      <c r="M415" s="175" t="str">
        <f t="shared" si="5"/>
        <v>JuankBell</v>
      </c>
      <c r="N415" s="176">
        <f>IFERROR(__xludf.DUMMYFUNCTION("""COMPUTED_VALUE"""),2.0)</f>
        <v>2</v>
      </c>
      <c r="O415" s="176"/>
      <c r="P415" s="165" t="s">
        <v>15</v>
      </c>
      <c r="Q415" s="165" t="s">
        <v>10</v>
      </c>
      <c r="R415" s="176"/>
      <c r="S415" s="176"/>
      <c r="T415" s="176"/>
      <c r="U415" s="176"/>
      <c r="V415" s="176"/>
      <c r="W415" s="176"/>
      <c r="X415" s="176"/>
      <c r="Y415" s="176"/>
      <c r="Z415" s="176"/>
      <c r="AA415" s="176"/>
    </row>
    <row r="416">
      <c r="A416" s="165" t="str">
        <f>iferror(VLOOKUP(P416,'DO NOT TOUCH Imported'!$A$1:$D$800,4,False),iferror(VLOOKUP(P416,'DO NOT TOUCH Imported'!$C$1:$D$800,2,False),"OOPS FIX ME"))</f>
        <v>JuankBell</v>
      </c>
      <c r="B416" s="165" t="s">
        <v>10</v>
      </c>
      <c r="C416" s="170" t="s">
        <v>498</v>
      </c>
      <c r="D416" s="236" t="s">
        <v>495</v>
      </c>
      <c r="E416" s="239">
        <v>44295.0</v>
      </c>
      <c r="F416" s="170" t="s">
        <v>499</v>
      </c>
      <c r="G416" s="219"/>
      <c r="H416" s="243"/>
      <c r="I416" s="243"/>
      <c r="J416" s="172">
        <f t="shared" si="20"/>
        <v>0</v>
      </c>
      <c r="K416" s="173">
        <f t="shared" si="21"/>
        <v>1.335656214</v>
      </c>
      <c r="L416" s="174">
        <f t="shared" si="4"/>
        <v>7.413129907</v>
      </c>
      <c r="M416" s="175" t="str">
        <f t="shared" si="5"/>
        <v>JuankBell</v>
      </c>
      <c r="N416" s="176">
        <f>IFERROR(__xludf.DUMMYFUNCTION("""COMPUTED_VALUE"""),3.0)</f>
        <v>3</v>
      </c>
      <c r="O416" s="176"/>
      <c r="P416" s="165" t="s">
        <v>15</v>
      </c>
      <c r="Q416" s="165" t="s">
        <v>10</v>
      </c>
      <c r="R416" s="176"/>
      <c r="S416" s="176"/>
      <c r="T416" s="176"/>
      <c r="U416" s="176"/>
      <c r="V416" s="176"/>
      <c r="W416" s="176"/>
      <c r="X416" s="176"/>
      <c r="Y416" s="176"/>
      <c r="Z416" s="176"/>
      <c r="AA416" s="176"/>
    </row>
    <row r="417">
      <c r="A417" s="165" t="str">
        <f>iferror(VLOOKUP(P417,'DO NOT TOUCH Imported'!$A$1:$D$800,4,False),iferror(VLOOKUP(P417,'DO NOT TOUCH Imported'!$C$1:$D$800,2,False),"OOPS FIX ME"))</f>
        <v>JuankBell</v>
      </c>
      <c r="B417" s="165" t="s">
        <v>10</v>
      </c>
      <c r="C417" s="170" t="s">
        <v>494</v>
      </c>
      <c r="D417" s="236" t="s">
        <v>495</v>
      </c>
      <c r="E417" s="239">
        <v>44295.0</v>
      </c>
      <c r="F417" s="170" t="s">
        <v>496</v>
      </c>
      <c r="G417" s="219"/>
      <c r="H417" s="243"/>
      <c r="I417" s="243"/>
      <c r="J417" s="172">
        <f t="shared" si="20"/>
        <v>0</v>
      </c>
      <c r="K417" s="173">
        <f t="shared" si="21"/>
        <v>1.335656214</v>
      </c>
      <c r="L417" s="174">
        <f t="shared" si="4"/>
        <v>7.413129907</v>
      </c>
      <c r="M417" s="175" t="str">
        <f t="shared" si="5"/>
        <v>JuankBell</v>
      </c>
      <c r="N417" s="176">
        <f>IFERROR(__xludf.DUMMYFUNCTION("""COMPUTED_VALUE"""),4.0)</f>
        <v>4</v>
      </c>
      <c r="O417" s="176"/>
      <c r="P417" s="165" t="s">
        <v>15</v>
      </c>
      <c r="Q417" s="165" t="s">
        <v>10</v>
      </c>
      <c r="R417" s="176"/>
      <c r="S417" s="176"/>
      <c r="T417" s="176"/>
      <c r="U417" s="176"/>
      <c r="V417" s="176"/>
      <c r="W417" s="176"/>
      <c r="X417" s="176"/>
      <c r="Y417" s="176"/>
      <c r="Z417" s="176"/>
      <c r="AA417" s="176"/>
    </row>
    <row r="418">
      <c r="A418" s="165" t="str">
        <f>iferror(VLOOKUP(P418,'DO NOT TOUCH Imported'!$A$1:$D$800,4,False),iferror(VLOOKUP(P418,'DO NOT TOUCH Imported'!$C$1:$D$800,2,False),"OOPS FIX ME"))</f>
        <v>JuankBell</v>
      </c>
      <c r="B418" s="165" t="s">
        <v>441</v>
      </c>
      <c r="C418" s="170" t="s">
        <v>1270</v>
      </c>
      <c r="D418" s="236" t="s">
        <v>437</v>
      </c>
      <c r="E418" s="239">
        <v>44282.0</v>
      </c>
      <c r="F418" s="170" t="s">
        <v>439</v>
      </c>
      <c r="G418" s="219"/>
      <c r="H418" s="243"/>
      <c r="I418" s="243"/>
      <c r="J418" s="172">
        <f t="shared" si="20"/>
        <v>0</v>
      </c>
      <c r="K418" s="173">
        <f t="shared" si="21"/>
        <v>1.335656214</v>
      </c>
      <c r="L418" s="174">
        <f t="shared" si="4"/>
        <v>7.413129907</v>
      </c>
      <c r="M418" s="175" t="str">
        <f t="shared" si="5"/>
        <v>JuankBell</v>
      </c>
      <c r="N418" s="176">
        <f>IFERROR(__xludf.DUMMYFUNCTION("""COMPUTED_VALUE"""),5.0)</f>
        <v>5</v>
      </c>
      <c r="O418" s="176"/>
      <c r="P418" s="165" t="s">
        <v>443</v>
      </c>
      <c r="Q418" s="165" t="s">
        <v>441</v>
      </c>
      <c r="R418" s="176"/>
      <c r="S418" s="176"/>
      <c r="T418" s="176"/>
      <c r="U418" s="176"/>
      <c r="V418" s="176"/>
      <c r="W418" s="176"/>
      <c r="X418" s="176"/>
      <c r="Y418" s="176"/>
      <c r="Z418" s="176"/>
      <c r="AA418" s="176"/>
    </row>
    <row r="419">
      <c r="A419" s="165" t="str">
        <f>iferror(VLOOKUP(P419,'DO NOT TOUCH Imported'!$A$1:$D$800,4,False),iferror(VLOOKUP(P419,'DO NOT TOUCH Imported'!$C$1:$D$800,2,False),"OOPS FIX ME"))</f>
        <v>JuankBell</v>
      </c>
      <c r="B419" s="165" t="s">
        <v>441</v>
      </c>
      <c r="C419" s="170" t="s">
        <v>1236</v>
      </c>
      <c r="D419" s="236" t="s">
        <v>437</v>
      </c>
      <c r="E419" s="239">
        <v>44284.0</v>
      </c>
      <c r="F419" s="170" t="s">
        <v>439</v>
      </c>
      <c r="G419" s="219"/>
      <c r="H419" s="243"/>
      <c r="I419" s="243"/>
      <c r="J419" s="172">
        <f t="shared" si="20"/>
        <v>0</v>
      </c>
      <c r="K419" s="173">
        <f t="shared" si="21"/>
        <v>1.335656214</v>
      </c>
      <c r="L419" s="174">
        <f t="shared" si="4"/>
        <v>7.413129907</v>
      </c>
      <c r="M419" s="175" t="str">
        <f t="shared" si="5"/>
        <v>JuankBell</v>
      </c>
      <c r="N419" s="176">
        <f>IFERROR(__xludf.DUMMYFUNCTION("""COMPUTED_VALUE"""),6.0)</f>
        <v>6</v>
      </c>
      <c r="O419" s="176"/>
      <c r="P419" s="165" t="s">
        <v>443</v>
      </c>
      <c r="Q419" s="165" t="s">
        <v>441</v>
      </c>
      <c r="R419" s="176"/>
      <c r="S419" s="176"/>
      <c r="T419" s="176"/>
      <c r="U419" s="176"/>
      <c r="V419" s="176"/>
      <c r="W419" s="176"/>
      <c r="X419" s="176"/>
      <c r="Y419" s="176"/>
      <c r="Z419" s="176"/>
      <c r="AA419" s="176"/>
    </row>
    <row r="420">
      <c r="A420" s="165" t="str">
        <f>iferror(VLOOKUP(P420,'DO NOT TOUCH Imported'!$A$1:$D$800,4,False),iferror(VLOOKUP(P420,'DO NOT TOUCH Imported'!$C$1:$D$800,2,False),"OOPS FIX ME"))</f>
        <v>JuankBell</v>
      </c>
      <c r="B420" s="165" t="s">
        <v>492</v>
      </c>
      <c r="C420" s="170" t="s">
        <v>1284</v>
      </c>
      <c r="D420" s="236" t="s">
        <v>437</v>
      </c>
      <c r="E420" s="239">
        <v>44284.0</v>
      </c>
      <c r="F420" s="170" t="s">
        <v>439</v>
      </c>
      <c r="G420" s="219"/>
      <c r="H420" s="243"/>
      <c r="I420" s="243"/>
      <c r="J420" s="172">
        <f t="shared" si="20"/>
        <v>0</v>
      </c>
      <c r="K420" s="173">
        <f t="shared" si="21"/>
        <v>1.335656214</v>
      </c>
      <c r="L420" s="174">
        <f t="shared" si="4"/>
        <v>7.413129907</v>
      </c>
      <c r="M420" s="175" t="str">
        <f t="shared" si="5"/>
        <v>JuankBell</v>
      </c>
      <c r="N420" s="176">
        <f>IFERROR(__xludf.DUMMYFUNCTION("""COMPUTED_VALUE"""),7.0)</f>
        <v>7</v>
      </c>
      <c r="O420" s="176"/>
      <c r="P420" s="165" t="s">
        <v>443</v>
      </c>
      <c r="Q420" s="165" t="s">
        <v>492</v>
      </c>
      <c r="R420" s="176"/>
      <c r="S420" s="176"/>
      <c r="T420" s="176"/>
      <c r="U420" s="176"/>
      <c r="V420" s="176"/>
      <c r="W420" s="176"/>
      <c r="X420" s="176"/>
      <c r="Y420" s="176"/>
      <c r="Z420" s="176"/>
      <c r="AA420" s="176"/>
    </row>
    <row r="421">
      <c r="A421" s="165" t="str">
        <f>iferror(VLOOKUP(P421,'DO NOT TOUCH Imported'!$A$1:$D$800,4,False),iferror(VLOOKUP(P421,'DO NOT TOUCH Imported'!$C$1:$D$800,2,False),"OOPS FIX ME"))</f>
        <v>JuankBell</v>
      </c>
      <c r="B421" s="165" t="s">
        <v>596</v>
      </c>
      <c r="C421" s="170" t="s">
        <v>1423</v>
      </c>
      <c r="D421" s="236" t="s">
        <v>437</v>
      </c>
      <c r="E421" s="239">
        <v>44284.0</v>
      </c>
      <c r="F421" s="170" t="s">
        <v>439</v>
      </c>
      <c r="G421" s="219"/>
      <c r="H421" s="243"/>
      <c r="I421" s="243"/>
      <c r="J421" s="172">
        <f t="shared" si="20"/>
        <v>0</v>
      </c>
      <c r="K421" s="173">
        <f t="shared" si="21"/>
        <v>1.335656214</v>
      </c>
      <c r="L421" s="174">
        <f t="shared" si="4"/>
        <v>7.413129907</v>
      </c>
      <c r="M421" s="175" t="str">
        <f t="shared" si="5"/>
        <v>JuankBell</v>
      </c>
      <c r="N421" s="176">
        <f>IFERROR(__xludf.DUMMYFUNCTION("""COMPUTED_VALUE"""),8.0)</f>
        <v>8</v>
      </c>
      <c r="O421" s="176"/>
      <c r="P421" s="165" t="s">
        <v>443</v>
      </c>
      <c r="Q421" s="165" t="s">
        <v>596</v>
      </c>
      <c r="R421" s="176"/>
      <c r="S421" s="176"/>
      <c r="T421" s="176"/>
      <c r="U421" s="176"/>
      <c r="V421" s="176"/>
      <c r="W421" s="176"/>
      <c r="X421" s="176"/>
      <c r="Y421" s="176"/>
      <c r="Z421" s="176"/>
      <c r="AA421" s="176"/>
    </row>
    <row r="422">
      <c r="A422" s="165" t="str">
        <f>iferror(VLOOKUP(P422,'DO NOT TOUCH Imported'!$A$1:$D$800,4,False),iferror(VLOOKUP(P422,'DO NOT TOUCH Imported'!$C$1:$D$800,2,False),"OOPS FIX ME"))</f>
        <v>JuankBell</v>
      </c>
      <c r="B422" s="165" t="s">
        <v>46</v>
      </c>
      <c r="C422" s="170" t="s">
        <v>1424</v>
      </c>
      <c r="D422" s="236" t="s">
        <v>437</v>
      </c>
      <c r="E422" s="239">
        <v>44285.0</v>
      </c>
      <c r="F422" s="170" t="s">
        <v>439</v>
      </c>
      <c r="G422" s="219"/>
      <c r="H422" s="243"/>
      <c r="I422" s="243"/>
      <c r="J422" s="172">
        <f t="shared" si="20"/>
        <v>0</v>
      </c>
      <c r="K422" s="173">
        <f t="shared" si="21"/>
        <v>1.335656214</v>
      </c>
      <c r="L422" s="174">
        <f t="shared" si="4"/>
        <v>7.413129907</v>
      </c>
      <c r="M422" s="175" t="str">
        <f t="shared" si="5"/>
        <v>JuankBell</v>
      </c>
      <c r="N422" s="176">
        <f>IFERROR(__xludf.DUMMYFUNCTION("""COMPUTED_VALUE"""),9.0)</f>
        <v>9</v>
      </c>
      <c r="O422" s="176"/>
      <c r="P422" s="165" t="s">
        <v>443</v>
      </c>
      <c r="Q422" s="165" t="s">
        <v>46</v>
      </c>
      <c r="R422" s="176"/>
      <c r="S422" s="176"/>
      <c r="T422" s="176"/>
      <c r="U422" s="176"/>
      <c r="V422" s="176"/>
      <c r="W422" s="176"/>
      <c r="X422" s="176"/>
      <c r="Y422" s="176"/>
      <c r="Z422" s="176"/>
      <c r="AA422" s="176"/>
    </row>
    <row r="423">
      <c r="A423" s="165" t="str">
        <f>iferror(VLOOKUP(P423,'DO NOT TOUCH Imported'!$A$1:$D$800,4,False),iferror(VLOOKUP(P423,'DO NOT TOUCH Imported'!$C$1:$D$800,2,False),"OOPS FIX ME"))</f>
        <v>JuankBell</v>
      </c>
      <c r="B423" s="165" t="s">
        <v>463</v>
      </c>
      <c r="C423" s="170" t="s">
        <v>1239</v>
      </c>
      <c r="D423" s="236" t="s">
        <v>437</v>
      </c>
      <c r="E423" s="239">
        <v>44286.0</v>
      </c>
      <c r="F423" s="170" t="s">
        <v>439</v>
      </c>
      <c r="G423" s="219"/>
      <c r="H423" s="243"/>
      <c r="I423" s="243"/>
      <c r="J423" s="172">
        <f t="shared" si="20"/>
        <v>0</v>
      </c>
      <c r="K423" s="173">
        <f t="shared" si="21"/>
        <v>1.335656214</v>
      </c>
      <c r="L423" s="174">
        <f t="shared" si="4"/>
        <v>7.413129907</v>
      </c>
      <c r="M423" s="175" t="str">
        <f t="shared" si="5"/>
        <v>JuankBell</v>
      </c>
      <c r="N423" s="176">
        <f>IFERROR(__xludf.DUMMYFUNCTION("""COMPUTED_VALUE"""),10.0)</f>
        <v>10</v>
      </c>
      <c r="O423" s="176"/>
      <c r="P423" s="165" t="s">
        <v>443</v>
      </c>
      <c r="Q423" s="165" t="s">
        <v>463</v>
      </c>
      <c r="R423" s="176"/>
      <c r="S423" s="176"/>
      <c r="T423" s="176"/>
      <c r="U423" s="176"/>
      <c r="V423" s="176"/>
      <c r="W423" s="176"/>
      <c r="X423" s="176"/>
      <c r="Y423" s="176"/>
      <c r="Z423" s="176"/>
      <c r="AA423" s="176"/>
    </row>
    <row r="424">
      <c r="A424" s="165" t="str">
        <f>iferror(VLOOKUP(P424,'DO NOT TOUCH Imported'!$A$1:$D$800,4,False),iferror(VLOOKUP(P424,'DO NOT TOUCH Imported'!$C$1:$D$800,2,False),"OOPS FIX ME"))</f>
        <v>JuankBell</v>
      </c>
      <c r="B424" s="165" t="s">
        <v>490</v>
      </c>
      <c r="C424" s="170" t="s">
        <v>1240</v>
      </c>
      <c r="D424" s="236" t="s">
        <v>437</v>
      </c>
      <c r="E424" s="239">
        <v>44286.0</v>
      </c>
      <c r="F424" s="170" t="s">
        <v>439</v>
      </c>
      <c r="G424" s="219"/>
      <c r="H424" s="243"/>
      <c r="I424" s="243"/>
      <c r="J424" s="172">
        <f t="shared" si="20"/>
        <v>0</v>
      </c>
      <c r="K424" s="173">
        <f t="shared" si="21"/>
        <v>1.335656214</v>
      </c>
      <c r="L424" s="174">
        <f t="shared" si="4"/>
        <v>7.413129907</v>
      </c>
      <c r="M424" s="175" t="str">
        <f t="shared" si="5"/>
        <v>JuankBell</v>
      </c>
      <c r="N424" s="176">
        <f>IFERROR(__xludf.DUMMYFUNCTION("""COMPUTED_VALUE"""),11.0)</f>
        <v>11</v>
      </c>
      <c r="O424" s="176"/>
      <c r="P424" s="165" t="s">
        <v>443</v>
      </c>
      <c r="Q424" s="165" t="s">
        <v>490</v>
      </c>
      <c r="R424" s="176"/>
      <c r="S424" s="176"/>
      <c r="T424" s="176"/>
      <c r="U424" s="176"/>
      <c r="V424" s="176"/>
      <c r="W424" s="176"/>
      <c r="X424" s="176"/>
      <c r="Y424" s="176"/>
      <c r="Z424" s="176"/>
      <c r="AA424" s="176"/>
    </row>
    <row r="425">
      <c r="A425" s="165" t="str">
        <f>iferror(VLOOKUP(P425,'DO NOT TOUCH Imported'!$A$1:$D$800,4,False),iferror(VLOOKUP(P425,'DO NOT TOUCH Imported'!$C$1:$D$800,2,False),"OOPS FIX ME"))</f>
        <v>JuankBell</v>
      </c>
      <c r="B425" s="165" t="s">
        <v>440</v>
      </c>
      <c r="C425" s="170" t="s">
        <v>1242</v>
      </c>
      <c r="D425" s="236" t="s">
        <v>437</v>
      </c>
      <c r="E425" s="239">
        <v>44286.0</v>
      </c>
      <c r="F425" s="170" t="s">
        <v>439</v>
      </c>
      <c r="G425" s="219"/>
      <c r="H425" s="243"/>
      <c r="I425" s="243"/>
      <c r="J425" s="172">
        <f t="shared" si="20"/>
        <v>0</v>
      </c>
      <c r="K425" s="173">
        <f t="shared" si="21"/>
        <v>1.335656214</v>
      </c>
      <c r="L425" s="174">
        <f t="shared" si="4"/>
        <v>7.413129907</v>
      </c>
      <c r="M425" s="175" t="str">
        <f t="shared" si="5"/>
        <v>JuankBell</v>
      </c>
      <c r="N425" s="176">
        <f>IFERROR(__xludf.DUMMYFUNCTION("""COMPUTED_VALUE"""),12.0)</f>
        <v>12</v>
      </c>
      <c r="O425" s="176"/>
      <c r="P425" s="165" t="s">
        <v>443</v>
      </c>
      <c r="Q425" s="165" t="s">
        <v>440</v>
      </c>
      <c r="R425" s="176"/>
      <c r="S425" s="176"/>
      <c r="T425" s="176"/>
      <c r="U425" s="176"/>
      <c r="V425" s="176"/>
      <c r="W425" s="176"/>
      <c r="X425" s="176"/>
      <c r="Y425" s="176"/>
      <c r="Z425" s="176"/>
      <c r="AA425" s="176"/>
    </row>
    <row r="426">
      <c r="A426" s="165" t="str">
        <f>iferror(VLOOKUP(P426,'DO NOT TOUCH Imported'!$A$1:$D$800,4,False),iferror(VLOOKUP(P426,'DO NOT TOUCH Imported'!$C$1:$D$800,2,False),"OOPS FIX ME"))</f>
        <v>JuankBell</v>
      </c>
      <c r="B426" s="165" t="s">
        <v>46</v>
      </c>
      <c r="C426" s="170" t="s">
        <v>1243</v>
      </c>
      <c r="D426" s="236" t="s">
        <v>437</v>
      </c>
      <c r="E426" s="239">
        <v>44286.0</v>
      </c>
      <c r="F426" s="170" t="s">
        <v>439</v>
      </c>
      <c r="G426" s="219"/>
      <c r="H426" s="243"/>
      <c r="I426" s="243"/>
      <c r="J426" s="172">
        <f t="shared" si="20"/>
        <v>0</v>
      </c>
      <c r="K426" s="173">
        <f t="shared" si="21"/>
        <v>1.335656214</v>
      </c>
      <c r="L426" s="174">
        <f t="shared" si="4"/>
        <v>7.413129907</v>
      </c>
      <c r="M426" s="175" t="str">
        <f t="shared" si="5"/>
        <v>JuankBell</v>
      </c>
      <c r="N426" s="176">
        <f>IFERROR(__xludf.DUMMYFUNCTION("""COMPUTED_VALUE"""),13.0)</f>
        <v>13</v>
      </c>
      <c r="O426" s="176"/>
      <c r="P426" s="165" t="s">
        <v>443</v>
      </c>
      <c r="Q426" s="165" t="s">
        <v>46</v>
      </c>
      <c r="R426" s="176"/>
      <c r="S426" s="176"/>
      <c r="T426" s="176"/>
      <c r="U426" s="176"/>
      <c r="V426" s="176"/>
      <c r="W426" s="176"/>
      <c r="X426" s="176"/>
      <c r="Y426" s="176"/>
      <c r="Z426" s="176"/>
      <c r="AA426" s="176"/>
    </row>
    <row r="427">
      <c r="A427" s="165" t="str">
        <f>iferror(VLOOKUP(P427,'DO NOT TOUCH Imported'!$A$1:$D$800,4,False),iferror(VLOOKUP(P427,'DO NOT TOUCH Imported'!$C$1:$D$800,2,False),"OOPS FIX ME"))</f>
        <v>JuankBell</v>
      </c>
      <c r="B427" s="165" t="s">
        <v>435</v>
      </c>
      <c r="C427" s="170" t="s">
        <v>1425</v>
      </c>
      <c r="D427" s="236" t="s">
        <v>437</v>
      </c>
      <c r="E427" s="239">
        <v>44287.0</v>
      </c>
      <c r="F427" s="170" t="s">
        <v>439</v>
      </c>
      <c r="G427" s="219"/>
      <c r="H427" s="243"/>
      <c r="I427" s="243"/>
      <c r="J427" s="172">
        <f t="shared" si="20"/>
        <v>0</v>
      </c>
      <c r="K427" s="173">
        <f t="shared" si="21"/>
        <v>1.335656214</v>
      </c>
      <c r="L427" s="174">
        <f t="shared" si="4"/>
        <v>7.413129907</v>
      </c>
      <c r="M427" s="175" t="str">
        <f t="shared" si="5"/>
        <v>JuankBell</v>
      </c>
      <c r="N427" s="176">
        <f>IFERROR(__xludf.DUMMYFUNCTION("""COMPUTED_VALUE"""),14.0)</f>
        <v>14</v>
      </c>
      <c r="O427" s="176"/>
      <c r="P427" s="165" t="s">
        <v>443</v>
      </c>
      <c r="Q427" s="165" t="s">
        <v>435</v>
      </c>
      <c r="R427" s="176"/>
      <c r="S427" s="176"/>
      <c r="T427" s="176"/>
      <c r="U427" s="176"/>
      <c r="V427" s="176"/>
      <c r="W427" s="176"/>
      <c r="X427" s="176"/>
      <c r="Y427" s="176"/>
      <c r="Z427" s="176"/>
      <c r="AA427" s="176"/>
    </row>
    <row r="428">
      <c r="A428" s="165" t="str">
        <f>iferror(VLOOKUP(P428,'DO NOT TOUCH Imported'!$A$1:$D$800,4,False),iferror(VLOOKUP(P428,'DO NOT TOUCH Imported'!$C$1:$D$800,2,False),"OOPS FIX ME"))</f>
        <v>JuankBell</v>
      </c>
      <c r="B428" s="165" t="s">
        <v>443</v>
      </c>
      <c r="C428" s="170" t="s">
        <v>1245</v>
      </c>
      <c r="D428" s="236" t="s">
        <v>437</v>
      </c>
      <c r="E428" s="239">
        <v>44287.0</v>
      </c>
      <c r="F428" s="170" t="s">
        <v>439</v>
      </c>
      <c r="G428" s="219"/>
      <c r="H428" s="243"/>
      <c r="I428" s="243"/>
      <c r="J428" s="172">
        <f t="shared" si="20"/>
        <v>0</v>
      </c>
      <c r="K428" s="218">
        <v>0.0</v>
      </c>
      <c r="L428" s="174">
        <f t="shared" si="4"/>
        <v>7.413129907</v>
      </c>
      <c r="M428" s="175" t="str">
        <f t="shared" si="5"/>
        <v>JuankBell</v>
      </c>
      <c r="N428" s="176">
        <f>IFERROR(__xludf.DUMMYFUNCTION("""COMPUTED_VALUE"""),15.0)</f>
        <v>15</v>
      </c>
      <c r="O428" s="176"/>
      <c r="P428" s="165" t="s">
        <v>443</v>
      </c>
      <c r="Q428" s="165" t="s">
        <v>443</v>
      </c>
      <c r="R428" s="176"/>
      <c r="S428" s="176"/>
      <c r="T428" s="176"/>
      <c r="U428" s="176"/>
      <c r="V428" s="176"/>
      <c r="W428" s="176"/>
      <c r="X428" s="176"/>
      <c r="Y428" s="176"/>
      <c r="Z428" s="176"/>
      <c r="AA428" s="176"/>
    </row>
    <row r="429">
      <c r="A429" s="165" t="str">
        <f>iferror(VLOOKUP(P429,'DO NOT TOUCH Imported'!$A$1:$D$800,4,False),iferror(VLOOKUP(P429,'DO NOT TOUCH Imported'!$C$1:$D$800,2,False),"OOPS FIX ME"))</f>
        <v>JuankBell</v>
      </c>
      <c r="B429" s="165" t="s">
        <v>435</v>
      </c>
      <c r="C429" s="170" t="s">
        <v>1246</v>
      </c>
      <c r="D429" s="236" t="s">
        <v>437</v>
      </c>
      <c r="E429" s="239">
        <v>44287.0</v>
      </c>
      <c r="F429" s="170" t="s">
        <v>439</v>
      </c>
      <c r="G429" s="219"/>
      <c r="H429" s="243"/>
      <c r="I429" s="243"/>
      <c r="J429" s="172">
        <f t="shared" si="20"/>
        <v>0</v>
      </c>
      <c r="K429" s="173">
        <f t="shared" ref="K429:K441" si="22">$N$1</f>
        <v>1.335656214</v>
      </c>
      <c r="L429" s="174">
        <f t="shared" si="4"/>
        <v>7.413129907</v>
      </c>
      <c r="M429" s="175" t="str">
        <f t="shared" si="5"/>
        <v>JuankBell</v>
      </c>
      <c r="N429" s="176">
        <f>IFERROR(__xludf.DUMMYFUNCTION("""COMPUTED_VALUE"""),16.0)</f>
        <v>16</v>
      </c>
      <c r="O429" s="176"/>
      <c r="P429" s="165" t="s">
        <v>443</v>
      </c>
      <c r="Q429" s="165" t="s">
        <v>435</v>
      </c>
      <c r="R429" s="176"/>
      <c r="S429" s="176"/>
      <c r="T429" s="176"/>
      <c r="U429" s="176"/>
      <c r="V429" s="176"/>
      <c r="W429" s="176"/>
      <c r="X429" s="176"/>
      <c r="Y429" s="176"/>
      <c r="Z429" s="176"/>
      <c r="AA429" s="176"/>
    </row>
    <row r="430">
      <c r="A430" s="165" t="str">
        <f>iferror(VLOOKUP(P430,'DO NOT TOUCH Imported'!$A$1:$D$800,4,False),iferror(VLOOKUP(P430,'DO NOT TOUCH Imported'!$C$1:$D$800,2,False),"OOPS FIX ME"))</f>
        <v>JuankBell</v>
      </c>
      <c r="B430" s="165" t="s">
        <v>441</v>
      </c>
      <c r="C430" s="170" t="s">
        <v>1325</v>
      </c>
      <c r="D430" s="236" t="s">
        <v>437</v>
      </c>
      <c r="E430" s="237">
        <v>44288.0</v>
      </c>
      <c r="F430" s="170" t="s">
        <v>439</v>
      </c>
      <c r="G430" s="219"/>
      <c r="H430" s="243"/>
      <c r="I430" s="243"/>
      <c r="J430" s="172">
        <f t="shared" si="20"/>
        <v>0</v>
      </c>
      <c r="K430" s="173">
        <f t="shared" si="22"/>
        <v>1.335656214</v>
      </c>
      <c r="L430" s="174">
        <f t="shared" si="4"/>
        <v>7.413129907</v>
      </c>
      <c r="M430" s="175" t="str">
        <f t="shared" si="5"/>
        <v>JuankBell</v>
      </c>
      <c r="N430" s="176">
        <f>IFERROR(__xludf.DUMMYFUNCTION("""COMPUTED_VALUE"""),17.0)</f>
        <v>17</v>
      </c>
      <c r="O430" s="176"/>
      <c r="P430" s="165" t="s">
        <v>443</v>
      </c>
      <c r="Q430" s="165" t="s">
        <v>441</v>
      </c>
      <c r="R430" s="176"/>
      <c r="S430" s="176"/>
      <c r="T430" s="176"/>
      <c r="U430" s="176"/>
      <c r="V430" s="176"/>
      <c r="W430" s="176"/>
      <c r="X430" s="176"/>
      <c r="Y430" s="176"/>
      <c r="Z430" s="176"/>
      <c r="AA430" s="176"/>
    </row>
    <row r="431">
      <c r="A431" s="165" t="str">
        <f>iferror(VLOOKUP(P431,'DO NOT TOUCH Imported'!$A$1:$D$800,4,False),iferror(VLOOKUP(P431,'DO NOT TOUCH Imported'!$C$1:$D$800,2,False),"OOPS FIX ME"))</f>
        <v>JuankBell</v>
      </c>
      <c r="B431" s="165" t="s">
        <v>441</v>
      </c>
      <c r="C431" s="170" t="s">
        <v>1426</v>
      </c>
      <c r="D431" s="236" t="s">
        <v>437</v>
      </c>
      <c r="E431" s="237">
        <v>44288.0</v>
      </c>
      <c r="F431" s="170" t="s">
        <v>439</v>
      </c>
      <c r="G431" s="219"/>
      <c r="H431" s="243"/>
      <c r="I431" s="243"/>
      <c r="J431" s="172">
        <f t="shared" si="20"/>
        <v>0</v>
      </c>
      <c r="K431" s="173">
        <f t="shared" si="22"/>
        <v>1.335656214</v>
      </c>
      <c r="L431" s="174">
        <f t="shared" si="4"/>
        <v>7.413129907</v>
      </c>
      <c r="M431" s="175" t="str">
        <f t="shared" si="5"/>
        <v>JuankBell</v>
      </c>
      <c r="N431" s="176">
        <f>IFERROR(__xludf.DUMMYFUNCTION("""COMPUTED_VALUE"""),18.0)</f>
        <v>18</v>
      </c>
      <c r="O431" s="176"/>
      <c r="P431" s="165" t="s">
        <v>443</v>
      </c>
      <c r="Q431" s="165" t="s">
        <v>441</v>
      </c>
      <c r="R431" s="176"/>
      <c r="S431" s="176"/>
      <c r="T431" s="176"/>
      <c r="U431" s="176"/>
      <c r="V431" s="176"/>
      <c r="W431" s="176"/>
      <c r="X431" s="176"/>
      <c r="Y431" s="176"/>
      <c r="Z431" s="176"/>
      <c r="AA431" s="176"/>
    </row>
    <row r="432">
      <c r="A432" s="165" t="str">
        <f>iferror(VLOOKUP(P432,'DO NOT TOUCH Imported'!$A$1:$D$800,4,False),iferror(VLOOKUP(P432,'DO NOT TOUCH Imported'!$C$1:$D$800,2,False),"OOPS FIX ME"))</f>
        <v>JuankBell</v>
      </c>
      <c r="B432" s="165" t="s">
        <v>441</v>
      </c>
      <c r="C432" s="170" t="s">
        <v>1248</v>
      </c>
      <c r="D432" s="236" t="s">
        <v>437</v>
      </c>
      <c r="E432" s="237">
        <v>44288.0</v>
      </c>
      <c r="F432" s="170" t="s">
        <v>439</v>
      </c>
      <c r="G432" s="219"/>
      <c r="H432" s="243"/>
      <c r="I432" s="243"/>
      <c r="J432" s="172">
        <f t="shared" si="20"/>
        <v>0</v>
      </c>
      <c r="K432" s="173">
        <f t="shared" si="22"/>
        <v>1.335656214</v>
      </c>
      <c r="L432" s="174">
        <f t="shared" si="4"/>
        <v>7.413129907</v>
      </c>
      <c r="M432" s="175" t="str">
        <f t="shared" si="5"/>
        <v>JuankBell</v>
      </c>
      <c r="N432" s="176">
        <f>IFERROR(__xludf.DUMMYFUNCTION("""COMPUTED_VALUE"""),19.0)</f>
        <v>19</v>
      </c>
      <c r="O432" s="176"/>
      <c r="P432" s="165" t="s">
        <v>443</v>
      </c>
      <c r="Q432" s="165" t="s">
        <v>441</v>
      </c>
      <c r="R432" s="176"/>
      <c r="S432" s="176"/>
      <c r="T432" s="176"/>
      <c r="U432" s="176"/>
      <c r="V432" s="176"/>
      <c r="W432" s="176"/>
      <c r="X432" s="176"/>
      <c r="Y432" s="176"/>
      <c r="Z432" s="176"/>
      <c r="AA432" s="176"/>
    </row>
    <row r="433">
      <c r="A433" s="165" t="str">
        <f>iferror(VLOOKUP(P433,'DO NOT TOUCH Imported'!$A$1:$D$800,4,False),iferror(VLOOKUP(P433,'DO NOT TOUCH Imported'!$C$1:$D$800,2,False),"OOPS FIX ME"))</f>
        <v>JuankBell</v>
      </c>
      <c r="B433" s="165" t="s">
        <v>441</v>
      </c>
      <c r="C433" s="170" t="s">
        <v>1250</v>
      </c>
      <c r="D433" s="236" t="s">
        <v>437</v>
      </c>
      <c r="E433" s="237">
        <v>44288.0</v>
      </c>
      <c r="F433" s="170" t="s">
        <v>439</v>
      </c>
      <c r="G433" s="219"/>
      <c r="H433" s="243"/>
      <c r="I433" s="243"/>
      <c r="J433" s="172">
        <f t="shared" si="20"/>
        <v>0</v>
      </c>
      <c r="K433" s="173">
        <f t="shared" si="22"/>
        <v>1.335656214</v>
      </c>
      <c r="L433" s="174">
        <f t="shared" si="4"/>
        <v>7.413129907</v>
      </c>
      <c r="M433" s="175" t="str">
        <f t="shared" si="5"/>
        <v>JuankBell</v>
      </c>
      <c r="N433" s="176">
        <f>IFERROR(__xludf.DUMMYFUNCTION("""COMPUTED_VALUE"""),20.0)</f>
        <v>20</v>
      </c>
      <c r="O433" s="176"/>
      <c r="P433" s="165" t="s">
        <v>443</v>
      </c>
      <c r="Q433" s="165" t="s">
        <v>441</v>
      </c>
      <c r="R433" s="176"/>
      <c r="S433" s="176"/>
      <c r="T433" s="176"/>
      <c r="U433" s="176"/>
      <c r="V433" s="176"/>
      <c r="W433" s="176"/>
      <c r="X433" s="176"/>
      <c r="Y433" s="176"/>
      <c r="Z433" s="176"/>
      <c r="AA433" s="176"/>
    </row>
    <row r="434">
      <c r="A434" s="165" t="str">
        <f>iferror(VLOOKUP(P434,'DO NOT TOUCH Imported'!$A$1:$D$800,4,False),iferror(VLOOKUP(P434,'DO NOT TOUCH Imported'!$C$1:$D$800,2,False),"OOPS FIX ME"))</f>
        <v>JuankBell</v>
      </c>
      <c r="B434" s="165" t="s">
        <v>576</v>
      </c>
      <c r="C434" s="170" t="s">
        <v>1276</v>
      </c>
      <c r="D434" s="236" t="s">
        <v>437</v>
      </c>
      <c r="E434" s="237">
        <v>44288.0</v>
      </c>
      <c r="F434" s="170" t="s">
        <v>1110</v>
      </c>
      <c r="G434" s="219"/>
      <c r="H434" s="243"/>
      <c r="I434" s="243"/>
      <c r="J434" s="172">
        <f t="shared" si="20"/>
        <v>0</v>
      </c>
      <c r="K434" s="173">
        <f t="shared" si="22"/>
        <v>1.335656214</v>
      </c>
      <c r="L434" s="174">
        <f t="shared" si="4"/>
        <v>7.413129907</v>
      </c>
      <c r="M434" s="175" t="str">
        <f t="shared" si="5"/>
        <v>JuankBell</v>
      </c>
      <c r="N434" s="176">
        <f>IFERROR(__xludf.DUMMYFUNCTION("""COMPUTED_VALUE"""),21.0)</f>
        <v>21</v>
      </c>
      <c r="O434" s="176"/>
      <c r="P434" s="165" t="s">
        <v>443</v>
      </c>
      <c r="Q434" s="165" t="s">
        <v>576</v>
      </c>
      <c r="R434" s="176"/>
      <c r="S434" s="176"/>
      <c r="T434" s="176"/>
      <c r="U434" s="176"/>
      <c r="V434" s="176"/>
      <c r="W434" s="176"/>
      <c r="X434" s="176"/>
      <c r="Y434" s="176"/>
      <c r="Z434" s="176"/>
      <c r="AA434" s="176"/>
    </row>
    <row r="435">
      <c r="A435" s="165" t="str">
        <f>iferror(VLOOKUP(P435,'DO NOT TOUCH Imported'!$A$1:$D$800,4,False),iferror(VLOOKUP(P435,'DO NOT TOUCH Imported'!$C$1:$D$800,2,False),"OOPS FIX ME"))</f>
        <v>JuankBell</v>
      </c>
      <c r="B435" s="165" t="s">
        <v>576</v>
      </c>
      <c r="C435" s="170" t="s">
        <v>1427</v>
      </c>
      <c r="D435" s="236" t="s">
        <v>437</v>
      </c>
      <c r="E435" s="237">
        <v>44288.0</v>
      </c>
      <c r="F435" s="170" t="s">
        <v>1110</v>
      </c>
      <c r="G435" s="219"/>
      <c r="H435" s="243"/>
      <c r="I435" s="243"/>
      <c r="J435" s="172">
        <f t="shared" si="20"/>
        <v>0</v>
      </c>
      <c r="K435" s="173">
        <f t="shared" si="22"/>
        <v>1.335656214</v>
      </c>
      <c r="L435" s="174">
        <f t="shared" si="4"/>
        <v>7.413129907</v>
      </c>
      <c r="M435" s="175" t="str">
        <f t="shared" si="5"/>
        <v>JuankBell</v>
      </c>
      <c r="N435" s="176">
        <f>IFERROR(__xludf.DUMMYFUNCTION("""COMPUTED_VALUE"""),22.0)</f>
        <v>22</v>
      </c>
      <c r="O435" s="176"/>
      <c r="P435" s="165" t="s">
        <v>443</v>
      </c>
      <c r="Q435" s="165" t="s">
        <v>576</v>
      </c>
      <c r="R435" s="176"/>
      <c r="S435" s="176"/>
      <c r="T435" s="176"/>
      <c r="U435" s="176"/>
      <c r="V435" s="176"/>
      <c r="W435" s="176"/>
      <c r="X435" s="176"/>
      <c r="Y435" s="176"/>
      <c r="Z435" s="176"/>
      <c r="AA435" s="176"/>
    </row>
    <row r="436">
      <c r="A436" s="165" t="str">
        <f>iferror(VLOOKUP(P436,'DO NOT TOUCH Imported'!$A$1:$D$800,4,False),iferror(VLOOKUP(P436,'DO NOT TOUCH Imported'!$C$1:$D$800,2,False),"OOPS FIX ME"))</f>
        <v>JuankBell</v>
      </c>
      <c r="B436" s="165" t="s">
        <v>620</v>
      </c>
      <c r="C436" s="170" t="s">
        <v>1277</v>
      </c>
      <c r="D436" s="236" t="s">
        <v>437</v>
      </c>
      <c r="E436" s="237">
        <v>44288.0</v>
      </c>
      <c r="F436" s="170" t="s">
        <v>439</v>
      </c>
      <c r="G436" s="219"/>
      <c r="H436" s="243"/>
      <c r="I436" s="243"/>
      <c r="J436" s="172">
        <f t="shared" si="20"/>
        <v>0</v>
      </c>
      <c r="K436" s="173">
        <f t="shared" si="22"/>
        <v>1.335656214</v>
      </c>
      <c r="L436" s="174">
        <f t="shared" si="4"/>
        <v>7.413129907</v>
      </c>
      <c r="M436" s="175" t="str">
        <f t="shared" si="5"/>
        <v>JuankBell</v>
      </c>
      <c r="N436" s="176">
        <f>IFERROR(__xludf.DUMMYFUNCTION("""COMPUTED_VALUE"""),23.0)</f>
        <v>23</v>
      </c>
      <c r="O436" s="176"/>
      <c r="P436" s="165" t="s">
        <v>443</v>
      </c>
      <c r="Q436" s="165" t="s">
        <v>620</v>
      </c>
      <c r="R436" s="176"/>
      <c r="S436" s="176"/>
      <c r="T436" s="176"/>
      <c r="U436" s="176"/>
      <c r="V436" s="176"/>
      <c r="W436" s="176"/>
      <c r="X436" s="176"/>
      <c r="Y436" s="176"/>
      <c r="Z436" s="176"/>
      <c r="AA436" s="176"/>
    </row>
    <row r="437">
      <c r="A437" s="165" t="str">
        <f>iferror(VLOOKUP(P437,'DO NOT TOUCH Imported'!$A$1:$D$800,4,False),iferror(VLOOKUP(P437,'DO NOT TOUCH Imported'!$C$1:$D$800,2,False),"OOPS FIX ME"))</f>
        <v>JuankBell</v>
      </c>
      <c r="B437" s="165" t="s">
        <v>435</v>
      </c>
      <c r="C437" s="170" t="s">
        <v>1278</v>
      </c>
      <c r="D437" s="236" t="s">
        <v>437</v>
      </c>
      <c r="E437" s="237">
        <v>44288.0</v>
      </c>
      <c r="F437" s="170" t="s">
        <v>439</v>
      </c>
      <c r="G437" s="219"/>
      <c r="H437" s="243"/>
      <c r="I437" s="243"/>
      <c r="J437" s="172">
        <f t="shared" si="20"/>
        <v>0</v>
      </c>
      <c r="K437" s="173">
        <f t="shared" si="22"/>
        <v>1.335656214</v>
      </c>
      <c r="L437" s="174">
        <f t="shared" si="4"/>
        <v>7.413129907</v>
      </c>
      <c r="M437" s="175" t="str">
        <f t="shared" si="5"/>
        <v>JuankBell</v>
      </c>
      <c r="N437" s="176">
        <f>IFERROR(__xludf.DUMMYFUNCTION("""COMPUTED_VALUE"""),24.0)</f>
        <v>24</v>
      </c>
      <c r="O437" s="176"/>
      <c r="P437" s="165" t="s">
        <v>443</v>
      </c>
      <c r="Q437" s="165" t="s">
        <v>435</v>
      </c>
      <c r="R437" s="176"/>
      <c r="S437" s="176"/>
      <c r="T437" s="176"/>
      <c r="U437" s="176"/>
      <c r="V437" s="176"/>
      <c r="W437" s="176"/>
      <c r="X437" s="176"/>
      <c r="Y437" s="176"/>
      <c r="Z437" s="176"/>
      <c r="AA437" s="176"/>
    </row>
    <row r="438">
      <c r="A438" s="165" t="str">
        <f>iferror(VLOOKUP(P438,'DO NOT TOUCH Imported'!$A$1:$D$800,4,False),iferror(VLOOKUP(P438,'DO NOT TOUCH Imported'!$C$1:$D$800,2,False),"OOPS FIX ME"))</f>
        <v>JuankBell</v>
      </c>
      <c r="B438" s="165" t="s">
        <v>450</v>
      </c>
      <c r="C438" s="170" t="s">
        <v>1279</v>
      </c>
      <c r="D438" s="236" t="s">
        <v>437</v>
      </c>
      <c r="E438" s="237">
        <v>44288.0</v>
      </c>
      <c r="F438" s="170" t="s">
        <v>439</v>
      </c>
      <c r="G438" s="219"/>
      <c r="H438" s="243"/>
      <c r="I438" s="243"/>
      <c r="J438" s="172">
        <f t="shared" si="20"/>
        <v>0</v>
      </c>
      <c r="K438" s="173">
        <f t="shared" si="22"/>
        <v>1.335656214</v>
      </c>
      <c r="L438" s="174">
        <f t="shared" si="4"/>
        <v>7.413129907</v>
      </c>
      <c r="M438" s="175" t="str">
        <f t="shared" si="5"/>
        <v>JuankBell</v>
      </c>
      <c r="N438" s="176">
        <f>IFERROR(__xludf.DUMMYFUNCTION("""COMPUTED_VALUE"""),25.0)</f>
        <v>25</v>
      </c>
      <c r="O438" s="176"/>
      <c r="P438" s="165" t="s">
        <v>443</v>
      </c>
      <c r="Q438" s="165" t="s">
        <v>450</v>
      </c>
      <c r="R438" s="176"/>
      <c r="S438" s="176"/>
      <c r="T438" s="176"/>
      <c r="U438" s="176"/>
      <c r="V438" s="176"/>
      <c r="W438" s="176"/>
      <c r="X438" s="176"/>
      <c r="Y438" s="176"/>
      <c r="Z438" s="176"/>
      <c r="AA438" s="176"/>
    </row>
    <row r="439">
      <c r="A439" s="165" t="str">
        <f>iferror(VLOOKUP(P439,'DO NOT TOUCH Imported'!$A$1:$D$800,4,False),iferror(VLOOKUP(P439,'DO NOT TOUCH Imported'!$C$1:$D$800,2,False),"OOPS FIX ME"))</f>
        <v>JuankBell</v>
      </c>
      <c r="B439" s="165" t="s">
        <v>441</v>
      </c>
      <c r="C439" s="170" t="s">
        <v>1005</v>
      </c>
      <c r="D439" s="236" t="s">
        <v>437</v>
      </c>
      <c r="E439" s="237">
        <v>44289.0</v>
      </c>
      <c r="F439" s="170" t="s">
        <v>439</v>
      </c>
      <c r="G439" s="219"/>
      <c r="H439" s="243"/>
      <c r="I439" s="243"/>
      <c r="J439" s="172">
        <f t="shared" si="20"/>
        <v>0</v>
      </c>
      <c r="K439" s="173">
        <f t="shared" si="22"/>
        <v>1.335656214</v>
      </c>
      <c r="L439" s="174">
        <f t="shared" si="4"/>
        <v>7.413129907</v>
      </c>
      <c r="M439" s="175" t="str">
        <f t="shared" si="5"/>
        <v>JuankBell</v>
      </c>
      <c r="N439" s="176">
        <f>IFERROR(__xludf.DUMMYFUNCTION("""COMPUTED_VALUE"""),26.0)</f>
        <v>26</v>
      </c>
      <c r="O439" s="176"/>
      <c r="P439" s="165" t="s">
        <v>443</v>
      </c>
      <c r="Q439" s="165" t="s">
        <v>441</v>
      </c>
      <c r="R439" s="176"/>
      <c r="S439" s="176"/>
      <c r="T439" s="176"/>
      <c r="U439" s="176"/>
      <c r="V439" s="176"/>
      <c r="W439" s="176"/>
      <c r="X439" s="176"/>
      <c r="Y439" s="176"/>
      <c r="Z439" s="176"/>
      <c r="AA439" s="176"/>
    </row>
    <row r="440">
      <c r="A440" s="165" t="str">
        <f>iferror(VLOOKUP(P440,'DO NOT TOUCH Imported'!$A$1:$D$800,4,False),iferror(VLOOKUP(P440,'DO NOT TOUCH Imported'!$C$1:$D$800,2,False),"OOPS FIX ME"))</f>
        <v>JuankBell</v>
      </c>
      <c r="B440" s="165" t="s">
        <v>435</v>
      </c>
      <c r="C440" s="170" t="s">
        <v>1292</v>
      </c>
      <c r="D440" s="236" t="s">
        <v>437</v>
      </c>
      <c r="E440" s="237">
        <v>44291.0</v>
      </c>
      <c r="F440" s="170" t="s">
        <v>439</v>
      </c>
      <c r="G440" s="219"/>
      <c r="H440" s="243"/>
      <c r="I440" s="243"/>
      <c r="J440" s="172">
        <f t="shared" si="20"/>
        <v>0</v>
      </c>
      <c r="K440" s="173">
        <f t="shared" si="22"/>
        <v>1.335656214</v>
      </c>
      <c r="L440" s="174">
        <f t="shared" si="4"/>
        <v>7.413129907</v>
      </c>
      <c r="M440" s="175" t="str">
        <f t="shared" si="5"/>
        <v>JuankBell</v>
      </c>
      <c r="N440" s="176">
        <f>IFERROR(__xludf.DUMMYFUNCTION("""COMPUTED_VALUE"""),27.0)</f>
        <v>27</v>
      </c>
      <c r="O440" s="176"/>
      <c r="P440" s="165" t="s">
        <v>443</v>
      </c>
      <c r="Q440" s="165" t="s">
        <v>435</v>
      </c>
      <c r="R440" s="176"/>
      <c r="S440" s="176"/>
      <c r="T440" s="176"/>
      <c r="U440" s="176"/>
      <c r="V440" s="176"/>
      <c r="W440" s="176"/>
      <c r="X440" s="176"/>
      <c r="Y440" s="176"/>
      <c r="Z440" s="176"/>
      <c r="AA440" s="176"/>
    </row>
    <row r="441">
      <c r="A441" s="165" t="str">
        <f>iferror(VLOOKUP(P441,'DO NOT TOUCH Imported'!$A$1:$D$800,4,False),iferror(VLOOKUP(P441,'DO NOT TOUCH Imported'!$C$1:$D$800,2,False),"OOPS FIX ME"))</f>
        <v>JuankBell</v>
      </c>
      <c r="B441" s="165" t="s">
        <v>441</v>
      </c>
      <c r="C441" s="170" t="s">
        <v>1251</v>
      </c>
      <c r="D441" s="236" t="s">
        <v>437</v>
      </c>
      <c r="E441" s="237">
        <v>44291.0</v>
      </c>
      <c r="F441" s="170" t="s">
        <v>439</v>
      </c>
      <c r="G441" s="219"/>
      <c r="H441" s="243"/>
      <c r="I441" s="243"/>
      <c r="J441" s="172">
        <f t="shared" si="20"/>
        <v>0</v>
      </c>
      <c r="K441" s="173">
        <f t="shared" si="22"/>
        <v>1.335656214</v>
      </c>
      <c r="L441" s="174">
        <f t="shared" si="4"/>
        <v>7.413129907</v>
      </c>
      <c r="M441" s="175" t="str">
        <f t="shared" si="5"/>
        <v>JuankBell</v>
      </c>
      <c r="N441" s="176">
        <f>IFERROR(__xludf.DUMMYFUNCTION("""COMPUTED_VALUE"""),28.0)</f>
        <v>28</v>
      </c>
      <c r="O441" s="176"/>
      <c r="P441" s="165" t="s">
        <v>443</v>
      </c>
      <c r="Q441" s="165" t="s">
        <v>441</v>
      </c>
      <c r="R441" s="176"/>
      <c r="S441" s="176"/>
      <c r="T441" s="176"/>
      <c r="U441" s="176"/>
      <c r="V441" s="176"/>
      <c r="W441" s="176"/>
      <c r="X441" s="176"/>
      <c r="Y441" s="176"/>
      <c r="Z441" s="176"/>
      <c r="AA441" s="176"/>
    </row>
    <row r="442">
      <c r="A442" s="165" t="str">
        <f>iferror(VLOOKUP(P442,'DO NOT TOUCH Imported'!$A$1:$D$800,4,False),iferror(VLOOKUP(P442,'DO NOT TOUCH Imported'!$C$1:$D$800,2,False),"OOPS FIX ME"))</f>
        <v>JuankBell</v>
      </c>
      <c r="B442" s="165" t="s">
        <v>443</v>
      </c>
      <c r="C442" s="170" t="s">
        <v>1428</v>
      </c>
      <c r="D442" s="236" t="s">
        <v>437</v>
      </c>
      <c r="E442" s="237">
        <v>44291.0</v>
      </c>
      <c r="F442" s="170" t="s">
        <v>439</v>
      </c>
      <c r="G442" s="219"/>
      <c r="H442" s="243"/>
      <c r="I442" s="243"/>
      <c r="J442" s="172">
        <f t="shared" si="20"/>
        <v>0</v>
      </c>
      <c r="K442" s="218">
        <v>0.0</v>
      </c>
      <c r="L442" s="174">
        <f t="shared" si="4"/>
        <v>7.413129907</v>
      </c>
      <c r="M442" s="175" t="str">
        <f t="shared" si="5"/>
        <v>JuankBell</v>
      </c>
      <c r="N442" s="176">
        <f>IFERROR(__xludf.DUMMYFUNCTION("""COMPUTED_VALUE"""),29.0)</f>
        <v>29</v>
      </c>
      <c r="O442" s="176"/>
      <c r="P442" s="165" t="s">
        <v>443</v>
      </c>
      <c r="Q442" s="165" t="s">
        <v>443</v>
      </c>
      <c r="R442" s="176"/>
      <c r="S442" s="176"/>
      <c r="T442" s="176"/>
      <c r="U442" s="176"/>
      <c r="V442" s="176"/>
      <c r="W442" s="176"/>
      <c r="X442" s="176"/>
      <c r="Y442" s="176"/>
      <c r="Z442" s="176"/>
      <c r="AA442" s="176"/>
    </row>
    <row r="443">
      <c r="A443" s="165" t="str">
        <f>iferror(VLOOKUP(P443,'DO NOT TOUCH Imported'!$A$1:$D$800,4,False),iferror(VLOOKUP(P443,'DO NOT TOUCH Imported'!$C$1:$D$800,2,False),"OOPS FIX ME"))</f>
        <v>JuankBell</v>
      </c>
      <c r="B443" s="165" t="s">
        <v>782</v>
      </c>
      <c r="C443" s="170" t="s">
        <v>1256</v>
      </c>
      <c r="D443" s="236" t="s">
        <v>437</v>
      </c>
      <c r="E443" s="237">
        <v>44292.0</v>
      </c>
      <c r="F443" s="170" t="s">
        <v>439</v>
      </c>
      <c r="G443" s="219"/>
      <c r="H443" s="243"/>
      <c r="I443" s="243"/>
      <c r="J443" s="172">
        <f t="shared" si="20"/>
        <v>0</v>
      </c>
      <c r="K443" s="173">
        <f t="shared" ref="K443:K453" si="23">$N$1</f>
        <v>1.335656214</v>
      </c>
      <c r="L443" s="174">
        <f t="shared" si="4"/>
        <v>7.413129907</v>
      </c>
      <c r="M443" s="175" t="str">
        <f t="shared" si="5"/>
        <v>JuankBell</v>
      </c>
      <c r="N443" s="176">
        <f>IFERROR(__xludf.DUMMYFUNCTION("""COMPUTED_VALUE"""),30.0)</f>
        <v>30</v>
      </c>
      <c r="O443" s="176"/>
      <c r="P443" s="165" t="s">
        <v>443</v>
      </c>
      <c r="Q443" s="165" t="s">
        <v>782</v>
      </c>
      <c r="R443" s="176"/>
      <c r="S443" s="176"/>
      <c r="T443" s="176"/>
      <c r="U443" s="176"/>
      <c r="V443" s="176"/>
      <c r="W443" s="176"/>
      <c r="X443" s="176"/>
      <c r="Y443" s="176"/>
      <c r="Z443" s="176"/>
      <c r="AA443" s="176"/>
    </row>
    <row r="444">
      <c r="A444" s="165" t="str">
        <f>iferror(VLOOKUP(P444,'DO NOT TOUCH Imported'!$A$1:$D$800,4,False),iferror(VLOOKUP(P444,'DO NOT TOUCH Imported'!$C$1:$D$800,2,False),"OOPS FIX ME"))</f>
        <v>JuankBell</v>
      </c>
      <c r="B444" s="165" t="s">
        <v>440</v>
      </c>
      <c r="C444" s="170" t="s">
        <v>1257</v>
      </c>
      <c r="D444" s="236" t="s">
        <v>437</v>
      </c>
      <c r="E444" s="237">
        <v>44292.0</v>
      </c>
      <c r="F444" s="170" t="s">
        <v>439</v>
      </c>
      <c r="G444" s="219"/>
      <c r="H444" s="243"/>
      <c r="I444" s="243"/>
      <c r="J444" s="172">
        <f t="shared" si="20"/>
        <v>0</v>
      </c>
      <c r="K444" s="173">
        <f t="shared" si="23"/>
        <v>1.335656214</v>
      </c>
      <c r="L444" s="174">
        <f t="shared" si="4"/>
        <v>7.413129907</v>
      </c>
      <c r="M444" s="175" t="str">
        <f t="shared" si="5"/>
        <v>JuankBell</v>
      </c>
      <c r="N444" s="176">
        <f>IFERROR(__xludf.DUMMYFUNCTION("""COMPUTED_VALUE"""),31.0)</f>
        <v>31</v>
      </c>
      <c r="O444" s="176"/>
      <c r="P444" s="165" t="s">
        <v>443</v>
      </c>
      <c r="Q444" s="165" t="s">
        <v>440</v>
      </c>
      <c r="R444" s="176"/>
      <c r="S444" s="176"/>
      <c r="T444" s="176"/>
      <c r="U444" s="176"/>
      <c r="V444" s="176"/>
      <c r="W444" s="176"/>
      <c r="X444" s="176"/>
      <c r="Y444" s="176"/>
      <c r="Z444" s="176"/>
      <c r="AA444" s="176"/>
    </row>
    <row r="445">
      <c r="A445" s="165" t="str">
        <f>iferror(VLOOKUP(P445,'DO NOT TOUCH Imported'!$A$1:$D$800,4,False),iferror(VLOOKUP(P445,'DO NOT TOUCH Imported'!$C$1:$D$800,2,False),"OOPS FIX ME"))</f>
        <v>JuankBell</v>
      </c>
      <c r="B445" s="165" t="s">
        <v>440</v>
      </c>
      <c r="C445" s="170" t="s">
        <v>1319</v>
      </c>
      <c r="D445" s="236" t="s">
        <v>437</v>
      </c>
      <c r="E445" s="237">
        <v>44293.0</v>
      </c>
      <c r="F445" s="170" t="s">
        <v>439</v>
      </c>
      <c r="G445" s="219"/>
      <c r="H445" s="243"/>
      <c r="I445" s="243"/>
      <c r="J445" s="172">
        <f t="shared" si="20"/>
        <v>0</v>
      </c>
      <c r="K445" s="173">
        <f t="shared" si="23"/>
        <v>1.335656214</v>
      </c>
      <c r="L445" s="174">
        <f t="shared" si="4"/>
        <v>7.413129907</v>
      </c>
      <c r="M445" s="175" t="str">
        <f t="shared" si="5"/>
        <v>JuankBell</v>
      </c>
      <c r="N445" s="176">
        <f>IFERROR(__xludf.DUMMYFUNCTION("""COMPUTED_VALUE"""),32.0)</f>
        <v>32</v>
      </c>
      <c r="O445" s="176"/>
      <c r="P445" s="165" t="s">
        <v>443</v>
      </c>
      <c r="Q445" s="165" t="s">
        <v>440</v>
      </c>
      <c r="R445" s="176"/>
      <c r="S445" s="176"/>
      <c r="T445" s="176"/>
      <c r="U445" s="176"/>
      <c r="V445" s="176"/>
      <c r="W445" s="176"/>
      <c r="X445" s="176"/>
      <c r="Y445" s="176"/>
      <c r="Z445" s="176"/>
      <c r="AA445" s="176"/>
    </row>
    <row r="446">
      <c r="A446" s="165" t="str">
        <f>iferror(VLOOKUP(P446,'DO NOT TOUCH Imported'!$A$1:$D$800,4,False),iferror(VLOOKUP(P446,'DO NOT TOUCH Imported'!$C$1:$D$800,2,False),"OOPS FIX ME"))</f>
        <v>JuankBell</v>
      </c>
      <c r="B446" s="165" t="s">
        <v>440</v>
      </c>
      <c r="C446" s="170" t="s">
        <v>1260</v>
      </c>
      <c r="D446" s="236" t="s">
        <v>437</v>
      </c>
      <c r="E446" s="237">
        <v>44293.0</v>
      </c>
      <c r="F446" s="170" t="s">
        <v>439</v>
      </c>
      <c r="G446" s="219"/>
      <c r="H446" s="243"/>
      <c r="I446" s="243"/>
      <c r="J446" s="172">
        <f t="shared" si="20"/>
        <v>0</v>
      </c>
      <c r="K446" s="173">
        <f t="shared" si="23"/>
        <v>1.335656214</v>
      </c>
      <c r="L446" s="174">
        <f t="shared" si="4"/>
        <v>7.413129907</v>
      </c>
      <c r="M446" s="175" t="str">
        <f t="shared" si="5"/>
        <v>JuankBell</v>
      </c>
      <c r="N446" s="176">
        <f>IFERROR(__xludf.DUMMYFUNCTION("""COMPUTED_VALUE"""),33.0)</f>
        <v>33</v>
      </c>
      <c r="O446" s="176"/>
      <c r="P446" s="165" t="s">
        <v>443</v>
      </c>
      <c r="Q446" s="165" t="s">
        <v>440</v>
      </c>
      <c r="R446" s="176"/>
      <c r="S446" s="176"/>
      <c r="T446" s="176"/>
      <c r="U446" s="176"/>
      <c r="V446" s="176"/>
      <c r="W446" s="176"/>
      <c r="X446" s="176"/>
      <c r="Y446" s="176"/>
      <c r="Z446" s="176"/>
      <c r="AA446" s="176"/>
    </row>
    <row r="447">
      <c r="A447" s="165" t="str">
        <f>iferror(VLOOKUP(P447,'DO NOT TOUCH Imported'!$A$1:$D$800,4,False),iferror(VLOOKUP(P447,'DO NOT TOUCH Imported'!$C$1:$D$800,2,False),"OOPS FIX ME"))</f>
        <v>JuankBell</v>
      </c>
      <c r="B447" s="165" t="s">
        <v>440</v>
      </c>
      <c r="C447" s="170" t="s">
        <v>1261</v>
      </c>
      <c r="D447" s="236" t="s">
        <v>437</v>
      </c>
      <c r="E447" s="237">
        <v>44293.0</v>
      </c>
      <c r="F447" s="170" t="s">
        <v>439</v>
      </c>
      <c r="G447" s="219"/>
      <c r="H447" s="243"/>
      <c r="I447" s="243"/>
      <c r="J447" s="172">
        <f t="shared" si="20"/>
        <v>0</v>
      </c>
      <c r="K447" s="173">
        <f t="shared" si="23"/>
        <v>1.335656214</v>
      </c>
      <c r="L447" s="174">
        <f t="shared" si="4"/>
        <v>7.413129907</v>
      </c>
      <c r="M447" s="175" t="str">
        <f t="shared" si="5"/>
        <v>JuankBell</v>
      </c>
      <c r="N447" s="176">
        <f>IFERROR(__xludf.DUMMYFUNCTION("""COMPUTED_VALUE"""),34.0)</f>
        <v>34</v>
      </c>
      <c r="O447" s="176"/>
      <c r="P447" s="165" t="s">
        <v>443</v>
      </c>
      <c r="Q447" s="165" t="s">
        <v>440</v>
      </c>
      <c r="R447" s="176"/>
      <c r="S447" s="176"/>
      <c r="T447" s="176"/>
      <c r="U447" s="176"/>
      <c r="V447" s="176"/>
      <c r="W447" s="176"/>
      <c r="X447" s="176"/>
      <c r="Y447" s="176"/>
      <c r="Z447" s="176"/>
      <c r="AA447" s="176"/>
    </row>
    <row r="448">
      <c r="A448" s="165" t="str">
        <f>iferror(VLOOKUP(P448,'DO NOT TOUCH Imported'!$A$1:$D$800,4,False),iferror(VLOOKUP(P448,'DO NOT TOUCH Imported'!$C$1:$D$800,2,False),"OOPS FIX ME"))</f>
        <v>JuankBell</v>
      </c>
      <c r="B448" s="165" t="s">
        <v>440</v>
      </c>
      <c r="C448" s="170" t="s">
        <v>1429</v>
      </c>
      <c r="D448" s="236" t="s">
        <v>437</v>
      </c>
      <c r="E448" s="237">
        <v>44294.0</v>
      </c>
      <c r="F448" s="170" t="s">
        <v>439</v>
      </c>
      <c r="G448" s="219"/>
      <c r="H448" s="243"/>
      <c r="I448" s="243"/>
      <c r="J448" s="172">
        <f t="shared" si="20"/>
        <v>0</v>
      </c>
      <c r="K448" s="173">
        <f t="shared" si="23"/>
        <v>1.335656214</v>
      </c>
      <c r="L448" s="174">
        <f t="shared" si="4"/>
        <v>7.413129907</v>
      </c>
      <c r="M448" s="175" t="str">
        <f t="shared" si="5"/>
        <v>JuankBell</v>
      </c>
      <c r="N448" s="176">
        <f>IFERROR(__xludf.DUMMYFUNCTION("""COMPUTED_VALUE"""),35.0)</f>
        <v>35</v>
      </c>
      <c r="O448" s="176"/>
      <c r="P448" s="165" t="s">
        <v>443</v>
      </c>
      <c r="Q448" s="165" t="s">
        <v>440</v>
      </c>
      <c r="R448" s="176"/>
      <c r="S448" s="176"/>
      <c r="T448" s="176"/>
      <c r="U448" s="176"/>
      <c r="V448" s="176"/>
      <c r="W448" s="176"/>
      <c r="X448" s="176"/>
      <c r="Y448" s="176"/>
      <c r="Z448" s="176"/>
      <c r="AA448" s="176"/>
    </row>
    <row r="449">
      <c r="A449" s="165" t="str">
        <f>iferror(VLOOKUP(P449,'DO NOT TOUCH Imported'!$A$1:$D$800,4,False),iferror(VLOOKUP(P449,'DO NOT TOUCH Imported'!$C$1:$D$800,2,False),"OOPS FIX ME"))</f>
        <v>JuankBell</v>
      </c>
      <c r="B449" s="165" t="s">
        <v>441</v>
      </c>
      <c r="C449" s="170" t="s">
        <v>1263</v>
      </c>
      <c r="D449" s="236" t="s">
        <v>437</v>
      </c>
      <c r="E449" s="237">
        <v>44295.0</v>
      </c>
      <c r="F449" s="170" t="s">
        <v>439</v>
      </c>
      <c r="G449" s="219"/>
      <c r="H449" s="243"/>
      <c r="I449" s="243"/>
      <c r="J449" s="172">
        <f t="shared" si="20"/>
        <v>0</v>
      </c>
      <c r="K449" s="173">
        <f t="shared" si="23"/>
        <v>1.335656214</v>
      </c>
      <c r="L449" s="174">
        <f t="shared" si="4"/>
        <v>7.413129907</v>
      </c>
      <c r="M449" s="175" t="str">
        <f t="shared" si="5"/>
        <v>JuankBell</v>
      </c>
      <c r="N449" s="176">
        <f>IFERROR(__xludf.DUMMYFUNCTION("""COMPUTED_VALUE"""),36.0)</f>
        <v>36</v>
      </c>
      <c r="O449" s="176"/>
      <c r="P449" s="165" t="s">
        <v>443</v>
      </c>
      <c r="Q449" s="165" t="s">
        <v>441</v>
      </c>
      <c r="R449" s="176"/>
      <c r="S449" s="176"/>
      <c r="T449" s="176"/>
      <c r="U449" s="176"/>
      <c r="V449" s="176"/>
      <c r="W449" s="176"/>
      <c r="X449" s="176"/>
      <c r="Y449" s="176"/>
      <c r="Z449" s="176"/>
      <c r="AA449" s="176"/>
    </row>
    <row r="450">
      <c r="A450" s="165" t="str">
        <f>iferror(VLOOKUP(P450,'DO NOT TOUCH Imported'!$A$1:$D$800,4,False),iferror(VLOOKUP(P450,'DO NOT TOUCH Imported'!$C$1:$D$800,2,False),"OOPS FIX ME"))</f>
        <v>JuankBell</v>
      </c>
      <c r="B450" s="165" t="s">
        <v>441</v>
      </c>
      <c r="C450" s="170" t="s">
        <v>1430</v>
      </c>
      <c r="D450" s="236" t="s">
        <v>437</v>
      </c>
      <c r="E450" s="237">
        <v>44295.0</v>
      </c>
      <c r="F450" s="170" t="s">
        <v>439</v>
      </c>
      <c r="G450" s="219"/>
      <c r="H450" s="243"/>
      <c r="I450" s="243"/>
      <c r="J450" s="172">
        <f t="shared" si="20"/>
        <v>0</v>
      </c>
      <c r="K450" s="173">
        <f t="shared" si="23"/>
        <v>1.335656214</v>
      </c>
      <c r="L450" s="174">
        <f t="shared" si="4"/>
        <v>7.413129907</v>
      </c>
      <c r="M450" s="175" t="str">
        <f t="shared" si="5"/>
        <v>JuankBell</v>
      </c>
      <c r="N450" s="176">
        <f>IFERROR(__xludf.DUMMYFUNCTION("""COMPUTED_VALUE"""),37.0)</f>
        <v>37</v>
      </c>
      <c r="O450" s="176"/>
      <c r="P450" s="165" t="s">
        <v>443</v>
      </c>
      <c r="Q450" s="165" t="s">
        <v>441</v>
      </c>
      <c r="R450" s="176"/>
      <c r="S450" s="176"/>
      <c r="T450" s="176"/>
      <c r="U450" s="176"/>
      <c r="V450" s="176"/>
      <c r="W450" s="176"/>
      <c r="X450" s="176"/>
      <c r="Y450" s="176"/>
      <c r="Z450" s="176"/>
      <c r="AA450" s="176"/>
    </row>
    <row r="451">
      <c r="A451" s="165" t="str">
        <f>iferror(VLOOKUP(P451,'DO NOT TOUCH Imported'!$A$1:$D$800,4,False),iferror(VLOOKUP(P451,'DO NOT TOUCH Imported'!$C$1:$D$800,2,False),"OOPS FIX ME"))</f>
        <v>JuankBell</v>
      </c>
      <c r="B451" s="165" t="s">
        <v>441</v>
      </c>
      <c r="C451" s="170" t="s">
        <v>1267</v>
      </c>
      <c r="D451" s="236" t="s">
        <v>437</v>
      </c>
      <c r="E451" s="237">
        <v>44295.0</v>
      </c>
      <c r="F451" s="170" t="s">
        <v>439</v>
      </c>
      <c r="G451" s="219"/>
      <c r="H451" s="243"/>
      <c r="I451" s="243"/>
      <c r="J451" s="172">
        <f t="shared" si="20"/>
        <v>0</v>
      </c>
      <c r="K451" s="173">
        <f t="shared" si="23"/>
        <v>1.335656214</v>
      </c>
      <c r="L451" s="174">
        <f t="shared" si="4"/>
        <v>7.413129907</v>
      </c>
      <c r="M451" s="175" t="str">
        <f t="shared" si="5"/>
        <v>JuankBell</v>
      </c>
      <c r="N451" s="176">
        <f>IFERROR(__xludf.DUMMYFUNCTION("""COMPUTED_VALUE"""),38.0)</f>
        <v>38</v>
      </c>
      <c r="O451" s="176"/>
      <c r="P451" s="165" t="s">
        <v>443</v>
      </c>
      <c r="Q451" s="165" t="s">
        <v>441</v>
      </c>
      <c r="R451" s="176"/>
      <c r="S451" s="176"/>
      <c r="T451" s="176"/>
      <c r="U451" s="176"/>
      <c r="V451" s="176"/>
      <c r="W451" s="176"/>
      <c r="X451" s="176"/>
      <c r="Y451" s="176"/>
      <c r="Z451" s="176"/>
      <c r="AA451" s="176"/>
    </row>
    <row r="452">
      <c r="A452" s="165" t="str">
        <f>iferror(VLOOKUP(P452,'DO NOT TOUCH Imported'!$A$1:$D$800,4,False),iferror(VLOOKUP(P452,'DO NOT TOUCH Imported'!$C$1:$D$800,2,False),"OOPS FIX ME"))</f>
        <v>JuankBell</v>
      </c>
      <c r="B452" s="165" t="s">
        <v>441</v>
      </c>
      <c r="C452" s="170" t="s">
        <v>1268</v>
      </c>
      <c r="D452" s="236" t="s">
        <v>437</v>
      </c>
      <c r="E452" s="237">
        <v>44295.0</v>
      </c>
      <c r="F452" s="170" t="s">
        <v>439</v>
      </c>
      <c r="G452" s="219"/>
      <c r="H452" s="243"/>
      <c r="I452" s="243"/>
      <c r="J452" s="172">
        <f t="shared" si="20"/>
        <v>0</v>
      </c>
      <c r="K452" s="173">
        <f t="shared" si="23"/>
        <v>1.335656214</v>
      </c>
      <c r="L452" s="174">
        <f t="shared" si="4"/>
        <v>7.413129907</v>
      </c>
      <c r="M452" s="175" t="str">
        <f t="shared" si="5"/>
        <v>JuankBell</v>
      </c>
      <c r="N452" s="176">
        <f>IFERROR(__xludf.DUMMYFUNCTION("""COMPUTED_VALUE"""),39.0)</f>
        <v>39</v>
      </c>
      <c r="O452" s="176"/>
      <c r="P452" s="165" t="s">
        <v>443</v>
      </c>
      <c r="Q452" s="165" t="s">
        <v>441</v>
      </c>
      <c r="R452" s="176"/>
      <c r="S452" s="176"/>
      <c r="T452" s="176"/>
      <c r="U452" s="176"/>
      <c r="V452" s="176"/>
      <c r="W452" s="176"/>
      <c r="X452" s="176"/>
      <c r="Y452" s="176"/>
      <c r="Z452" s="176"/>
      <c r="AA452" s="176"/>
    </row>
    <row r="453">
      <c r="A453" s="165" t="str">
        <f>iferror(VLOOKUP(P453,'DO NOT TOUCH Imported'!$A$1:$D$800,4,False),iferror(VLOOKUP(P453,'DO NOT TOUCH Imported'!$C$1:$D$800,2,False),"OOPS FIX ME"))</f>
        <v>JuankBell</v>
      </c>
      <c r="B453" s="165" t="s">
        <v>441</v>
      </c>
      <c r="C453" s="170" t="s">
        <v>1269</v>
      </c>
      <c r="D453" s="236" t="s">
        <v>437</v>
      </c>
      <c r="E453" s="237">
        <v>44295.0</v>
      </c>
      <c r="F453" s="170" t="s">
        <v>439</v>
      </c>
      <c r="G453" s="219"/>
      <c r="H453" s="243"/>
      <c r="I453" s="243"/>
      <c r="J453" s="172">
        <f t="shared" si="20"/>
        <v>0</v>
      </c>
      <c r="K453" s="173">
        <f t="shared" si="23"/>
        <v>1.335656214</v>
      </c>
      <c r="L453" s="174">
        <f t="shared" si="4"/>
        <v>7.413129907</v>
      </c>
      <c r="M453" s="175" t="str">
        <f t="shared" si="5"/>
        <v>JuankBell</v>
      </c>
      <c r="N453" s="176">
        <f>IFERROR(__xludf.DUMMYFUNCTION("""COMPUTED_VALUE"""),40.0)</f>
        <v>40</v>
      </c>
      <c r="O453" s="176"/>
      <c r="P453" s="165" t="s">
        <v>443</v>
      </c>
      <c r="Q453" s="165" t="s">
        <v>441</v>
      </c>
      <c r="R453" s="176"/>
      <c r="S453" s="176"/>
      <c r="T453" s="176"/>
      <c r="U453" s="176"/>
      <c r="V453" s="176"/>
      <c r="W453" s="176"/>
      <c r="X453" s="176"/>
      <c r="Y453" s="176"/>
      <c r="Z453" s="176"/>
      <c r="AA453" s="176"/>
    </row>
    <row r="454">
      <c r="A454" s="185" t="str">
        <f>iferror(VLOOKUP(P454,'DO NOT TOUCH Imported'!$A$1:$D$800,4,False),iferror(VLOOKUP(P454,'DO NOT TOUCH Imported'!$C$1:$D$800,2,False),"OOPS FIX ME"))</f>
        <v>Tam2140</v>
      </c>
      <c r="B454" s="185" t="s">
        <v>534</v>
      </c>
      <c r="C454" s="186" t="s">
        <v>781</v>
      </c>
      <c r="D454" s="187"/>
      <c r="E454" s="188"/>
      <c r="F454" s="189"/>
      <c r="G454" s="223"/>
      <c r="H454" s="190"/>
      <c r="I454" s="190"/>
      <c r="J454" s="172">
        <f t="shared" ref="J454:J966" si="24">(H454/$H$2+I454/$I$2)/2</f>
        <v>0</v>
      </c>
      <c r="K454" s="192">
        <f>46.742*-0.85</f>
        <v>-39.7307</v>
      </c>
      <c r="L454" s="193">
        <f t="shared" si="4"/>
        <v>7.010968749</v>
      </c>
      <c r="M454" s="194" t="str">
        <f t="shared" si="5"/>
        <v>Tam2140</v>
      </c>
      <c r="N454" s="195">
        <f>IFERROR(__xludf.DUMMYFUNCTION("""COMPUTED_VALUE"""),1.0)</f>
        <v>1</v>
      </c>
      <c r="O454" s="195"/>
      <c r="P454" s="185" t="s">
        <v>28</v>
      </c>
      <c r="Q454" s="185" t="s">
        <v>534</v>
      </c>
      <c r="R454" s="195">
        <v>27.866735844582376</v>
      </c>
      <c r="S454" s="195"/>
      <c r="T454" s="195"/>
      <c r="U454" s="195"/>
      <c r="V454" s="195"/>
      <c r="W454" s="195"/>
      <c r="X454" s="195"/>
      <c r="Y454" s="195"/>
      <c r="Z454" s="195"/>
      <c r="AA454" s="176"/>
    </row>
    <row r="455">
      <c r="A455" s="165" t="str">
        <f>iferror(VLOOKUP(P455,'DO NOT TOUCH Imported'!$A$1:$D$800,4,False),iferror(VLOOKUP(P455,'DO NOT TOUCH Imported'!$C$1:$D$800,2,False),"OOPS FIX ME"))</f>
        <v>Tam2140</v>
      </c>
      <c r="B455" s="165" t="s">
        <v>519</v>
      </c>
      <c r="C455" s="170" t="s">
        <v>1431</v>
      </c>
      <c r="D455" s="236" t="s">
        <v>495</v>
      </c>
      <c r="E455" s="239">
        <v>44287.0</v>
      </c>
      <c r="F455" s="170" t="s">
        <v>499</v>
      </c>
      <c r="G455" s="219"/>
      <c r="H455" s="171">
        <v>100.0</v>
      </c>
      <c r="I455" s="171">
        <v>300.0</v>
      </c>
      <c r="J455" s="172">
        <f t="shared" si="24"/>
        <v>0.002862665458</v>
      </c>
      <c r="K455" s="173">
        <f t="shared" ref="K455:K481" si="25">J455*$J$1</f>
        <v>3.292065277</v>
      </c>
      <c r="L455" s="174">
        <f t="shared" si="4"/>
        <v>7.010968749</v>
      </c>
      <c r="M455" s="175" t="str">
        <f t="shared" si="5"/>
        <v>Tam2140</v>
      </c>
      <c r="N455" s="176">
        <f>IFERROR(__xludf.DUMMYFUNCTION("""COMPUTED_VALUE"""),2.0)</f>
        <v>2</v>
      </c>
      <c r="O455" s="176"/>
      <c r="P455" s="165" t="s">
        <v>28</v>
      </c>
      <c r="Q455" s="165" t="s">
        <v>519</v>
      </c>
      <c r="R455" s="176"/>
      <c r="S455" s="176"/>
      <c r="T455" s="176"/>
      <c r="U455" s="176"/>
      <c r="V455" s="176"/>
      <c r="W455" s="176"/>
      <c r="X455" s="176"/>
      <c r="Y455" s="176"/>
      <c r="Z455" s="176"/>
      <c r="AA455" s="176"/>
    </row>
    <row r="456">
      <c r="A456" s="165" t="str">
        <f>iferror(VLOOKUP(P456,'DO NOT TOUCH Imported'!$A$1:$D$800,4,False),iferror(VLOOKUP(P456,'DO NOT TOUCH Imported'!$C$1:$D$800,2,False),"OOPS FIX ME"))</f>
        <v>Tam2140</v>
      </c>
      <c r="B456" s="165" t="s">
        <v>10</v>
      </c>
      <c r="C456" s="170" t="s">
        <v>500</v>
      </c>
      <c r="D456" s="236" t="s">
        <v>495</v>
      </c>
      <c r="E456" s="239">
        <v>44289.0</v>
      </c>
      <c r="F456" s="170" t="s">
        <v>496</v>
      </c>
      <c r="G456" s="219"/>
      <c r="H456" s="171">
        <v>20.0</v>
      </c>
      <c r="I456" s="171">
        <v>25.0</v>
      </c>
      <c r="J456" s="172">
        <f t="shared" si="24"/>
        <v>0.0003229253324</v>
      </c>
      <c r="K456" s="173">
        <f t="shared" si="25"/>
        <v>0.3713641322</v>
      </c>
      <c r="L456" s="174">
        <f t="shared" si="4"/>
        <v>7.010968749</v>
      </c>
      <c r="M456" s="175" t="str">
        <f t="shared" si="5"/>
        <v>Tam2140</v>
      </c>
      <c r="N456" s="176">
        <f>IFERROR(__xludf.DUMMYFUNCTION("""COMPUTED_VALUE"""),3.0)</f>
        <v>3</v>
      </c>
      <c r="O456" s="176"/>
      <c r="P456" s="165" t="s">
        <v>28</v>
      </c>
      <c r="Q456" s="165" t="s">
        <v>10</v>
      </c>
      <c r="R456" s="176"/>
      <c r="S456" s="176"/>
      <c r="T456" s="176"/>
      <c r="U456" s="176"/>
      <c r="V456" s="176"/>
      <c r="W456" s="176"/>
      <c r="X456" s="176"/>
      <c r="Y456" s="176"/>
      <c r="Z456" s="176"/>
      <c r="AA456" s="176"/>
    </row>
    <row r="457">
      <c r="A457" s="165" t="str">
        <f>iferror(VLOOKUP(P457,'DO NOT TOUCH Imported'!$A$1:$D$800,4,False),iferror(VLOOKUP(P457,'DO NOT TOUCH Imported'!$C$1:$D$800,2,False),"OOPS FIX ME"))</f>
        <v>Tam2140</v>
      </c>
      <c r="B457" s="165" t="s">
        <v>45</v>
      </c>
      <c r="C457" s="170" t="s">
        <v>1385</v>
      </c>
      <c r="D457" s="236" t="s">
        <v>437</v>
      </c>
      <c r="E457" s="239">
        <v>44284.0</v>
      </c>
      <c r="F457" s="170" t="s">
        <v>1376</v>
      </c>
      <c r="G457" s="219"/>
      <c r="H457" s="171">
        <v>150.0</v>
      </c>
      <c r="I457" s="171">
        <v>150.0</v>
      </c>
      <c r="J457" s="172">
        <f t="shared" si="24"/>
        <v>0.002154503108</v>
      </c>
      <c r="K457" s="173">
        <f t="shared" si="25"/>
        <v>2.477678574</v>
      </c>
      <c r="L457" s="174">
        <f t="shared" si="4"/>
        <v>7.010968749</v>
      </c>
      <c r="M457" s="175" t="str">
        <f t="shared" si="5"/>
        <v>Tam2140</v>
      </c>
      <c r="N457" s="176">
        <f>IFERROR(__xludf.DUMMYFUNCTION("""COMPUTED_VALUE"""),4.0)</f>
        <v>4</v>
      </c>
      <c r="O457" s="176"/>
      <c r="P457" s="165" t="s">
        <v>435</v>
      </c>
      <c r="Q457" s="165" t="s">
        <v>45</v>
      </c>
      <c r="R457" s="176"/>
      <c r="S457" s="176"/>
      <c r="T457" s="176"/>
      <c r="U457" s="176"/>
      <c r="V457" s="176"/>
      <c r="W457" s="176"/>
      <c r="X457" s="176"/>
      <c r="Y457" s="176"/>
      <c r="Z457" s="176"/>
      <c r="AA457" s="176"/>
    </row>
    <row r="458">
      <c r="A458" s="165" t="str">
        <f>iferror(VLOOKUP(P458,'DO NOT TOUCH Imported'!$A$1:$D$800,4,False),iferror(VLOOKUP(P458,'DO NOT TOUCH Imported'!$C$1:$D$800,2,False),"OOPS FIX ME"))</f>
        <v>Tam2140</v>
      </c>
      <c r="B458" s="165" t="s">
        <v>441</v>
      </c>
      <c r="C458" s="170" t="s">
        <v>1432</v>
      </c>
      <c r="D458" s="236" t="s">
        <v>437</v>
      </c>
      <c r="E458" s="239">
        <v>44284.0</v>
      </c>
      <c r="F458" s="170" t="s">
        <v>439</v>
      </c>
      <c r="G458" s="219"/>
      <c r="H458" s="171">
        <v>100.0</v>
      </c>
      <c r="I458" s="171">
        <v>200.0</v>
      </c>
      <c r="J458" s="172">
        <f t="shared" si="24"/>
        <v>0.002149500432</v>
      </c>
      <c r="K458" s="173">
        <f t="shared" si="25"/>
        <v>2.471925496</v>
      </c>
      <c r="L458" s="174">
        <f t="shared" si="4"/>
        <v>7.010968749</v>
      </c>
      <c r="M458" s="175" t="str">
        <f t="shared" si="5"/>
        <v>Tam2140</v>
      </c>
      <c r="N458" s="176">
        <f>IFERROR(__xludf.DUMMYFUNCTION("""COMPUTED_VALUE"""),5.0)</f>
        <v>5</v>
      </c>
      <c r="O458" s="176"/>
      <c r="P458" s="165" t="s">
        <v>435</v>
      </c>
      <c r="Q458" s="165" t="s">
        <v>441</v>
      </c>
      <c r="R458" s="176"/>
      <c r="S458" s="176"/>
      <c r="T458" s="176"/>
      <c r="U458" s="176"/>
      <c r="V458" s="176"/>
      <c r="W458" s="176"/>
      <c r="X458" s="176"/>
      <c r="Y458" s="176"/>
      <c r="Z458" s="176"/>
      <c r="AA458" s="176"/>
    </row>
    <row r="459">
      <c r="A459" s="165" t="str">
        <f>iferror(VLOOKUP(P459,'DO NOT TOUCH Imported'!$A$1:$D$800,4,False),iferror(VLOOKUP(P459,'DO NOT TOUCH Imported'!$C$1:$D$800,2,False),"OOPS FIX ME"))</f>
        <v>Tam2140</v>
      </c>
      <c r="B459" s="165" t="s">
        <v>486</v>
      </c>
      <c r="C459" s="170" t="s">
        <v>1237</v>
      </c>
      <c r="D459" s="236" t="s">
        <v>437</v>
      </c>
      <c r="E459" s="239">
        <v>44285.0</v>
      </c>
      <c r="F459" s="170" t="s">
        <v>439</v>
      </c>
      <c r="G459" s="219"/>
      <c r="H459" s="171">
        <v>40.0</v>
      </c>
      <c r="I459" s="171">
        <v>50.0</v>
      </c>
      <c r="J459" s="172">
        <f t="shared" si="24"/>
        <v>0.0006458506648</v>
      </c>
      <c r="K459" s="173">
        <f t="shared" si="25"/>
        <v>0.7427282645</v>
      </c>
      <c r="L459" s="174">
        <f t="shared" si="4"/>
        <v>7.010968749</v>
      </c>
      <c r="M459" s="175" t="str">
        <f t="shared" si="5"/>
        <v>Tam2140</v>
      </c>
      <c r="N459" s="176">
        <f>IFERROR(__xludf.DUMMYFUNCTION("""COMPUTED_VALUE"""),6.0)</f>
        <v>6</v>
      </c>
      <c r="O459" s="176"/>
      <c r="P459" s="165" t="s">
        <v>435</v>
      </c>
      <c r="Q459" s="165" t="s">
        <v>486</v>
      </c>
      <c r="R459" s="176"/>
      <c r="S459" s="176"/>
      <c r="T459" s="176"/>
      <c r="U459" s="176"/>
      <c r="V459" s="176"/>
      <c r="W459" s="176"/>
      <c r="X459" s="176"/>
      <c r="Y459" s="176"/>
      <c r="Z459" s="176"/>
      <c r="AA459" s="176"/>
    </row>
    <row r="460">
      <c r="A460" s="165" t="str">
        <f>iferror(VLOOKUP(P460,'DO NOT TOUCH Imported'!$A$1:$D$800,4,False),iferror(VLOOKUP(P460,'DO NOT TOUCH Imported'!$C$1:$D$800,2,False),"OOPS FIX ME"))</f>
        <v>Tam2140</v>
      </c>
      <c r="B460" s="165" t="s">
        <v>490</v>
      </c>
      <c r="C460" s="170" t="s">
        <v>1240</v>
      </c>
      <c r="D460" s="236" t="s">
        <v>437</v>
      </c>
      <c r="E460" s="239">
        <v>44286.0</v>
      </c>
      <c r="F460" s="170" t="s">
        <v>439</v>
      </c>
      <c r="G460" s="219"/>
      <c r="H460" s="171">
        <v>60.0</v>
      </c>
      <c r="I460" s="171">
        <v>50.0</v>
      </c>
      <c r="J460" s="172">
        <f t="shared" si="24"/>
        <v>0.0007904847406</v>
      </c>
      <c r="K460" s="173">
        <f t="shared" si="25"/>
        <v>0.9090574516</v>
      </c>
      <c r="L460" s="174">
        <f t="shared" si="4"/>
        <v>7.010968749</v>
      </c>
      <c r="M460" s="175" t="str">
        <f t="shared" si="5"/>
        <v>Tam2140</v>
      </c>
      <c r="N460" s="176">
        <f>IFERROR(__xludf.DUMMYFUNCTION("""COMPUTED_VALUE"""),7.0)</f>
        <v>7</v>
      </c>
      <c r="O460" s="176"/>
      <c r="P460" s="165" t="s">
        <v>435</v>
      </c>
      <c r="Q460" s="165" t="s">
        <v>490</v>
      </c>
      <c r="R460" s="176"/>
      <c r="S460" s="176"/>
      <c r="T460" s="176"/>
      <c r="U460" s="176"/>
      <c r="V460" s="176"/>
      <c r="W460" s="176"/>
      <c r="X460" s="176"/>
      <c r="Y460" s="176"/>
      <c r="Z460" s="176"/>
      <c r="AA460" s="176"/>
    </row>
    <row r="461">
      <c r="A461" s="165" t="str">
        <f>iferror(VLOOKUP(P461,'DO NOT TOUCH Imported'!$A$1:$D$800,4,False),iferror(VLOOKUP(P461,'DO NOT TOUCH Imported'!$C$1:$D$800,2,False),"OOPS FIX ME"))</f>
        <v>Tam2140</v>
      </c>
      <c r="B461" s="165" t="s">
        <v>435</v>
      </c>
      <c r="C461" s="170" t="s">
        <v>1246</v>
      </c>
      <c r="D461" s="236" t="s">
        <v>437</v>
      </c>
      <c r="E461" s="239">
        <v>44287.0</v>
      </c>
      <c r="F461" s="170" t="s">
        <v>439</v>
      </c>
      <c r="G461" s="219"/>
      <c r="H461" s="171">
        <v>100.0</v>
      </c>
      <c r="I461" s="171">
        <v>50.0</v>
      </c>
      <c r="J461" s="172">
        <f t="shared" si="24"/>
        <v>0.001079752892</v>
      </c>
      <c r="K461" s="173">
        <f t="shared" si="25"/>
        <v>1.241715826</v>
      </c>
      <c r="L461" s="174">
        <f t="shared" si="4"/>
        <v>7.010968749</v>
      </c>
      <c r="M461" s="175" t="str">
        <f t="shared" si="5"/>
        <v>Tam2140</v>
      </c>
      <c r="N461" s="176">
        <f>IFERROR(__xludf.DUMMYFUNCTION("""COMPUTED_VALUE"""),8.0)</f>
        <v>8</v>
      </c>
      <c r="O461" s="176"/>
      <c r="P461" s="165" t="s">
        <v>435</v>
      </c>
      <c r="Q461" s="165" t="s">
        <v>435</v>
      </c>
      <c r="R461" s="176"/>
      <c r="S461" s="176"/>
      <c r="T461" s="176"/>
      <c r="U461" s="176"/>
      <c r="V461" s="176"/>
      <c r="W461" s="176"/>
      <c r="X461" s="176"/>
      <c r="Y461" s="176"/>
      <c r="Z461" s="176"/>
      <c r="AA461" s="176"/>
    </row>
    <row r="462">
      <c r="A462" s="165" t="str">
        <f>iferror(VLOOKUP(P462,'DO NOT TOUCH Imported'!$A$1:$D$800,4,False),iferror(VLOOKUP(P462,'DO NOT TOUCH Imported'!$C$1:$D$800,2,False),"OOPS FIX ME"))</f>
        <v>Tam2140</v>
      </c>
      <c r="B462" s="165" t="s">
        <v>441</v>
      </c>
      <c r="C462" s="170" t="s">
        <v>1433</v>
      </c>
      <c r="D462" s="236" t="s">
        <v>437</v>
      </c>
      <c r="E462" s="237">
        <v>44288.0</v>
      </c>
      <c r="F462" s="170" t="s">
        <v>439</v>
      </c>
      <c r="G462" s="219"/>
      <c r="H462" s="171">
        <v>100.0</v>
      </c>
      <c r="I462" s="171">
        <v>300.0</v>
      </c>
      <c r="J462" s="172">
        <f t="shared" si="24"/>
        <v>0.002862665458</v>
      </c>
      <c r="K462" s="173">
        <f t="shared" si="25"/>
        <v>3.292065277</v>
      </c>
      <c r="L462" s="174">
        <f t="shared" si="4"/>
        <v>7.010968749</v>
      </c>
      <c r="M462" s="175" t="str">
        <f t="shared" si="5"/>
        <v>Tam2140</v>
      </c>
      <c r="N462" s="176">
        <f>IFERROR(__xludf.DUMMYFUNCTION("""COMPUTED_VALUE"""),9.0)</f>
        <v>9</v>
      </c>
      <c r="O462" s="176"/>
      <c r="P462" s="165" t="s">
        <v>435</v>
      </c>
      <c r="Q462" s="165" t="s">
        <v>441</v>
      </c>
      <c r="R462" s="176"/>
      <c r="S462" s="176"/>
      <c r="T462" s="176"/>
      <c r="U462" s="176"/>
      <c r="V462" s="176"/>
      <c r="W462" s="176"/>
      <c r="X462" s="176"/>
      <c r="Y462" s="176"/>
      <c r="Z462" s="176"/>
      <c r="AA462" s="176"/>
    </row>
    <row r="463">
      <c r="A463" s="165" t="str">
        <f>iferror(VLOOKUP(P463,'DO NOT TOUCH Imported'!$A$1:$D$800,4,False),iferror(VLOOKUP(P463,'DO NOT TOUCH Imported'!$C$1:$D$800,2,False),"OOPS FIX ME"))</f>
        <v>Tam2140</v>
      </c>
      <c r="B463" s="165" t="s">
        <v>441</v>
      </c>
      <c r="C463" s="170" t="s">
        <v>1363</v>
      </c>
      <c r="D463" s="236" t="s">
        <v>437</v>
      </c>
      <c r="E463" s="237">
        <v>44288.0</v>
      </c>
      <c r="F463" s="170" t="s">
        <v>439</v>
      </c>
      <c r="G463" s="219"/>
      <c r="H463" s="171">
        <v>100.0</v>
      </c>
      <c r="I463" s="171">
        <v>150.0</v>
      </c>
      <c r="J463" s="172">
        <f t="shared" si="24"/>
        <v>0.001792917919</v>
      </c>
      <c r="K463" s="173">
        <f t="shared" si="25"/>
        <v>2.061855606</v>
      </c>
      <c r="L463" s="174">
        <f t="shared" si="4"/>
        <v>7.010968749</v>
      </c>
      <c r="M463" s="175" t="str">
        <f t="shared" si="5"/>
        <v>Tam2140</v>
      </c>
      <c r="N463" s="176">
        <f>IFERROR(__xludf.DUMMYFUNCTION("""COMPUTED_VALUE"""),10.0)</f>
        <v>10</v>
      </c>
      <c r="O463" s="176"/>
      <c r="P463" s="165" t="s">
        <v>435</v>
      </c>
      <c r="Q463" s="165" t="s">
        <v>441</v>
      </c>
      <c r="R463" s="176"/>
      <c r="S463" s="176"/>
      <c r="T463" s="176"/>
      <c r="U463" s="176"/>
      <c r="V463" s="176"/>
      <c r="W463" s="176"/>
      <c r="X463" s="176"/>
      <c r="Y463" s="176"/>
      <c r="Z463" s="176"/>
      <c r="AA463" s="176"/>
    </row>
    <row r="464">
      <c r="A464" s="165" t="str">
        <f>iferror(VLOOKUP(P464,'DO NOT TOUCH Imported'!$A$1:$D$800,4,False),iferror(VLOOKUP(P464,'DO NOT TOUCH Imported'!$C$1:$D$800,2,False),"OOPS FIX ME"))</f>
        <v>Tam2140</v>
      </c>
      <c r="B464" s="165" t="s">
        <v>441</v>
      </c>
      <c r="C464" s="170" t="s">
        <v>1364</v>
      </c>
      <c r="D464" s="236" t="s">
        <v>437</v>
      </c>
      <c r="E464" s="237">
        <v>44288.0</v>
      </c>
      <c r="F464" s="170" t="s">
        <v>439</v>
      </c>
      <c r="G464" s="219"/>
      <c r="H464" s="171">
        <v>100.0</v>
      </c>
      <c r="I464" s="171">
        <v>200.0</v>
      </c>
      <c r="J464" s="172">
        <f t="shared" si="24"/>
        <v>0.002149500432</v>
      </c>
      <c r="K464" s="173">
        <f t="shared" si="25"/>
        <v>2.471925496</v>
      </c>
      <c r="L464" s="174">
        <f t="shared" si="4"/>
        <v>7.010968749</v>
      </c>
      <c r="M464" s="175" t="str">
        <f t="shared" si="5"/>
        <v>Tam2140</v>
      </c>
      <c r="N464" s="176">
        <f>IFERROR(__xludf.DUMMYFUNCTION("""COMPUTED_VALUE"""),11.0)</f>
        <v>11</v>
      </c>
      <c r="O464" s="176"/>
      <c r="P464" s="165" t="s">
        <v>435</v>
      </c>
      <c r="Q464" s="165" t="s">
        <v>441</v>
      </c>
      <c r="R464" s="176"/>
      <c r="S464" s="176"/>
      <c r="T464" s="176"/>
      <c r="U464" s="176"/>
      <c r="V464" s="176"/>
      <c r="W464" s="176"/>
      <c r="X464" s="176"/>
      <c r="Y464" s="176"/>
      <c r="Z464" s="176"/>
      <c r="AA464" s="176"/>
    </row>
    <row r="465">
      <c r="A465" s="165" t="str">
        <f>iferror(VLOOKUP(P465,'DO NOT TOUCH Imported'!$A$1:$D$800,4,False),iferror(VLOOKUP(P465,'DO NOT TOUCH Imported'!$C$1:$D$800,2,False),"OOPS FIX ME"))</f>
        <v>Tam2140</v>
      </c>
      <c r="B465" s="165" t="s">
        <v>441</v>
      </c>
      <c r="C465" s="170" t="s">
        <v>1248</v>
      </c>
      <c r="D465" s="236" t="s">
        <v>437</v>
      </c>
      <c r="E465" s="237">
        <v>44288.0</v>
      </c>
      <c r="F465" s="170" t="s">
        <v>439</v>
      </c>
      <c r="G465" s="219"/>
      <c r="H465" s="171">
        <v>100.0</v>
      </c>
      <c r="I465" s="171">
        <v>100.0</v>
      </c>
      <c r="J465" s="172">
        <f t="shared" si="24"/>
        <v>0.001436335405</v>
      </c>
      <c r="K465" s="173">
        <f t="shared" si="25"/>
        <v>1.651785716</v>
      </c>
      <c r="L465" s="174">
        <f t="shared" si="4"/>
        <v>7.010968749</v>
      </c>
      <c r="M465" s="175" t="str">
        <f t="shared" si="5"/>
        <v>Tam2140</v>
      </c>
      <c r="N465" s="176">
        <f>IFERROR(__xludf.DUMMYFUNCTION("""COMPUTED_VALUE"""),12.0)</f>
        <v>12</v>
      </c>
      <c r="O465" s="176"/>
      <c r="P465" s="165" t="s">
        <v>435</v>
      </c>
      <c r="Q465" s="165" t="s">
        <v>441</v>
      </c>
      <c r="R465" s="176"/>
      <c r="S465" s="176"/>
      <c r="T465" s="176"/>
      <c r="U465" s="176"/>
      <c r="V465" s="176"/>
      <c r="W465" s="176"/>
      <c r="X465" s="176"/>
      <c r="Y465" s="176"/>
      <c r="Z465" s="176"/>
      <c r="AA465" s="176"/>
    </row>
    <row r="466">
      <c r="A466" s="165" t="str">
        <f>iferror(VLOOKUP(P466,'DO NOT TOUCH Imported'!$A$1:$D$800,4,False),iferror(VLOOKUP(P466,'DO NOT TOUCH Imported'!$C$1:$D$800,2,False),"OOPS FIX ME"))</f>
        <v>Tam2140</v>
      </c>
      <c r="B466" s="165" t="s">
        <v>441</v>
      </c>
      <c r="C466" s="170" t="s">
        <v>1250</v>
      </c>
      <c r="D466" s="236" t="s">
        <v>437</v>
      </c>
      <c r="E466" s="237">
        <v>44288.0</v>
      </c>
      <c r="F466" s="170" t="s">
        <v>439</v>
      </c>
      <c r="G466" s="219"/>
      <c r="H466" s="171">
        <v>50.0</v>
      </c>
      <c r="I466" s="171">
        <v>50.0</v>
      </c>
      <c r="J466" s="172">
        <f t="shared" si="24"/>
        <v>0.0007181677027</v>
      </c>
      <c r="K466" s="173">
        <f t="shared" si="25"/>
        <v>0.8258928581</v>
      </c>
      <c r="L466" s="174">
        <f t="shared" si="4"/>
        <v>7.010968749</v>
      </c>
      <c r="M466" s="175" t="str">
        <f t="shared" si="5"/>
        <v>Tam2140</v>
      </c>
      <c r="N466" s="176">
        <f>IFERROR(__xludf.DUMMYFUNCTION("""COMPUTED_VALUE"""),13.0)</f>
        <v>13</v>
      </c>
      <c r="O466" s="176"/>
      <c r="P466" s="165" t="s">
        <v>435</v>
      </c>
      <c r="Q466" s="165" t="s">
        <v>441</v>
      </c>
      <c r="R466" s="176"/>
      <c r="S466" s="176"/>
      <c r="T466" s="176"/>
      <c r="U466" s="176"/>
      <c r="V466" s="176"/>
      <c r="W466" s="176"/>
      <c r="X466" s="176"/>
      <c r="Y466" s="176"/>
      <c r="Z466" s="176"/>
      <c r="AA466" s="176"/>
    </row>
    <row r="467">
      <c r="A467" s="165" t="str">
        <f>iferror(VLOOKUP(P467,'DO NOT TOUCH Imported'!$A$1:$D$800,4,False),iferror(VLOOKUP(P467,'DO NOT TOUCH Imported'!$C$1:$D$800,2,False),"OOPS FIX ME"))</f>
        <v>Tam2140</v>
      </c>
      <c r="B467" s="165" t="s">
        <v>435</v>
      </c>
      <c r="C467" s="170" t="s">
        <v>1278</v>
      </c>
      <c r="D467" s="236" t="s">
        <v>437</v>
      </c>
      <c r="E467" s="237">
        <v>44288.0</v>
      </c>
      <c r="F467" s="170" t="s">
        <v>439</v>
      </c>
      <c r="G467" s="219"/>
      <c r="H467" s="171">
        <v>100.0</v>
      </c>
      <c r="I467" s="171">
        <v>50.0</v>
      </c>
      <c r="J467" s="172">
        <f t="shared" si="24"/>
        <v>0.001079752892</v>
      </c>
      <c r="K467" s="173">
        <f t="shared" si="25"/>
        <v>1.241715826</v>
      </c>
      <c r="L467" s="174">
        <f t="shared" si="4"/>
        <v>7.010968749</v>
      </c>
      <c r="M467" s="175" t="str">
        <f t="shared" si="5"/>
        <v>Tam2140</v>
      </c>
      <c r="N467" s="176">
        <f>IFERROR(__xludf.DUMMYFUNCTION("""COMPUTED_VALUE"""),14.0)</f>
        <v>14</v>
      </c>
      <c r="O467" s="176"/>
      <c r="P467" s="165" t="s">
        <v>435</v>
      </c>
      <c r="Q467" s="165" t="s">
        <v>435</v>
      </c>
      <c r="R467" s="176"/>
      <c r="S467" s="176"/>
      <c r="T467" s="176"/>
      <c r="U467" s="176"/>
      <c r="V467" s="176"/>
      <c r="W467" s="176"/>
      <c r="X467" s="176"/>
      <c r="Y467" s="176"/>
      <c r="Z467" s="176"/>
      <c r="AA467" s="176"/>
    </row>
    <row r="468">
      <c r="A468" s="165" t="str">
        <f>iferror(VLOOKUP(P468,'DO NOT TOUCH Imported'!$A$1:$D$800,4,False),iferror(VLOOKUP(P468,'DO NOT TOUCH Imported'!$C$1:$D$800,2,False),"OOPS FIX ME"))</f>
        <v>Tam2140</v>
      </c>
      <c r="B468" s="165" t="s">
        <v>441</v>
      </c>
      <c r="C468" s="170" t="s">
        <v>1005</v>
      </c>
      <c r="D468" s="236" t="s">
        <v>437</v>
      </c>
      <c r="E468" s="237">
        <v>44289.0</v>
      </c>
      <c r="F468" s="170" t="s">
        <v>439</v>
      </c>
      <c r="G468" s="219"/>
      <c r="H468" s="171">
        <v>100.0</v>
      </c>
      <c r="I468" s="171">
        <v>40.0</v>
      </c>
      <c r="J468" s="172">
        <f t="shared" si="24"/>
        <v>0.001008436389</v>
      </c>
      <c r="K468" s="173">
        <f t="shared" si="25"/>
        <v>1.159701848</v>
      </c>
      <c r="L468" s="174">
        <f t="shared" si="4"/>
        <v>7.010968749</v>
      </c>
      <c r="M468" s="175" t="str">
        <f t="shared" si="5"/>
        <v>Tam2140</v>
      </c>
      <c r="N468" s="176">
        <f>IFERROR(__xludf.DUMMYFUNCTION("""COMPUTED_VALUE"""),15.0)</f>
        <v>15</v>
      </c>
      <c r="O468" s="176"/>
      <c r="P468" s="165" t="s">
        <v>435</v>
      </c>
      <c r="Q468" s="165" t="s">
        <v>441</v>
      </c>
      <c r="R468" s="176"/>
      <c r="S468" s="176"/>
      <c r="T468" s="176"/>
      <c r="U468" s="176"/>
      <c r="V468" s="176"/>
      <c r="W468" s="176"/>
      <c r="X468" s="176"/>
      <c r="Y468" s="176"/>
      <c r="Z468" s="176"/>
      <c r="AA468" s="176"/>
    </row>
    <row r="469">
      <c r="A469" s="165" t="str">
        <f>iferror(VLOOKUP(P469,'DO NOT TOUCH Imported'!$A$1:$D$800,4,False),iferror(VLOOKUP(P469,'DO NOT TOUCH Imported'!$C$1:$D$800,2,False),"OOPS FIX ME"))</f>
        <v>Tam2140</v>
      </c>
      <c r="B469" s="165" t="s">
        <v>443</v>
      </c>
      <c r="C469" s="170" t="s">
        <v>1252</v>
      </c>
      <c r="D469" s="236" t="s">
        <v>437</v>
      </c>
      <c r="E469" s="237">
        <v>44291.0</v>
      </c>
      <c r="F469" s="170" t="s">
        <v>439</v>
      </c>
      <c r="G469" s="219"/>
      <c r="H469" s="171">
        <v>100.0</v>
      </c>
      <c r="I469" s="171">
        <v>80.0</v>
      </c>
      <c r="J469" s="172">
        <f t="shared" si="24"/>
        <v>0.0012937024</v>
      </c>
      <c r="K469" s="173">
        <f t="shared" si="25"/>
        <v>1.48775776</v>
      </c>
      <c r="L469" s="174">
        <f t="shared" si="4"/>
        <v>7.010968749</v>
      </c>
      <c r="M469" s="175" t="str">
        <f t="shared" si="5"/>
        <v>Tam2140</v>
      </c>
      <c r="N469" s="176">
        <f>IFERROR(__xludf.DUMMYFUNCTION("""COMPUTED_VALUE"""),16.0)</f>
        <v>16</v>
      </c>
      <c r="O469" s="176"/>
      <c r="P469" s="165" t="s">
        <v>435</v>
      </c>
      <c r="Q469" s="165" t="s">
        <v>443</v>
      </c>
      <c r="R469" s="176"/>
      <c r="S469" s="176"/>
      <c r="T469" s="176"/>
      <c r="U469" s="176"/>
      <c r="V469" s="176"/>
      <c r="W469" s="176"/>
      <c r="X469" s="176"/>
      <c r="Y469" s="176"/>
      <c r="Z469" s="176"/>
      <c r="AA469" s="176"/>
    </row>
    <row r="470">
      <c r="A470" s="165" t="str">
        <f>iferror(VLOOKUP(P470,'DO NOT TOUCH Imported'!$A$1:$D$800,4,False),iferror(VLOOKUP(P470,'DO NOT TOUCH Imported'!$C$1:$D$800,2,False),"OOPS FIX ME"))</f>
        <v>Tam2140</v>
      </c>
      <c r="B470" s="165" t="s">
        <v>486</v>
      </c>
      <c r="C470" s="170" t="s">
        <v>1254</v>
      </c>
      <c r="D470" s="236" t="s">
        <v>437</v>
      </c>
      <c r="E470" s="237">
        <v>44292.0</v>
      </c>
      <c r="F470" s="170" t="s">
        <v>439</v>
      </c>
      <c r="G470" s="219"/>
      <c r="H470" s="171">
        <v>50.0</v>
      </c>
      <c r="I470" s="171">
        <v>50.0</v>
      </c>
      <c r="J470" s="172">
        <f t="shared" si="24"/>
        <v>0.0007181677027</v>
      </c>
      <c r="K470" s="173">
        <f t="shared" si="25"/>
        <v>0.8258928581</v>
      </c>
      <c r="L470" s="174">
        <f t="shared" si="4"/>
        <v>7.010968749</v>
      </c>
      <c r="M470" s="175" t="str">
        <f t="shared" si="5"/>
        <v>Tam2140</v>
      </c>
      <c r="N470" s="176">
        <f>IFERROR(__xludf.DUMMYFUNCTION("""COMPUTED_VALUE"""),17.0)</f>
        <v>17</v>
      </c>
      <c r="O470" s="176"/>
      <c r="P470" s="165" t="s">
        <v>435</v>
      </c>
      <c r="Q470" s="165" t="s">
        <v>486</v>
      </c>
      <c r="R470" s="176"/>
      <c r="S470" s="176"/>
      <c r="T470" s="176"/>
      <c r="U470" s="176"/>
      <c r="V470" s="176"/>
      <c r="W470" s="176"/>
      <c r="X470" s="176"/>
      <c r="Y470" s="176"/>
      <c r="Z470" s="176"/>
      <c r="AA470" s="176"/>
    </row>
    <row r="471">
      <c r="A471" s="165" t="str">
        <f>iferror(VLOOKUP(P471,'DO NOT TOUCH Imported'!$A$1:$D$800,4,False),iferror(VLOOKUP(P471,'DO NOT TOUCH Imported'!$C$1:$D$800,2,False),"OOPS FIX ME"))</f>
        <v>Tam2140</v>
      </c>
      <c r="B471" s="165" t="s">
        <v>440</v>
      </c>
      <c r="C471" s="170" t="s">
        <v>1319</v>
      </c>
      <c r="D471" s="236" t="s">
        <v>437</v>
      </c>
      <c r="E471" s="237">
        <v>44293.0</v>
      </c>
      <c r="F471" s="170" t="s">
        <v>439</v>
      </c>
      <c r="G471" s="219"/>
      <c r="H471" s="171">
        <v>100.0</v>
      </c>
      <c r="I471" s="171">
        <v>200.0</v>
      </c>
      <c r="J471" s="172">
        <f t="shared" si="24"/>
        <v>0.002149500432</v>
      </c>
      <c r="K471" s="173">
        <f t="shared" si="25"/>
        <v>2.471925496</v>
      </c>
      <c r="L471" s="174">
        <f t="shared" si="4"/>
        <v>7.010968749</v>
      </c>
      <c r="M471" s="175" t="str">
        <f t="shared" si="5"/>
        <v>Tam2140</v>
      </c>
      <c r="N471" s="176">
        <f>IFERROR(__xludf.DUMMYFUNCTION("""COMPUTED_VALUE"""),18.0)</f>
        <v>18</v>
      </c>
      <c r="O471" s="176"/>
      <c r="P471" s="165" t="s">
        <v>435</v>
      </c>
      <c r="Q471" s="165" t="s">
        <v>440</v>
      </c>
      <c r="R471" s="176"/>
      <c r="S471" s="176"/>
      <c r="T471" s="176"/>
      <c r="U471" s="176"/>
      <c r="V471" s="176"/>
      <c r="W471" s="176"/>
      <c r="X471" s="176"/>
      <c r="Y471" s="176"/>
      <c r="Z471" s="176"/>
      <c r="AA471" s="176"/>
    </row>
    <row r="472">
      <c r="A472" s="165" t="str">
        <f>iferror(VLOOKUP(P472,'DO NOT TOUCH Imported'!$A$1:$D$800,4,False),iferror(VLOOKUP(P472,'DO NOT TOUCH Imported'!$C$1:$D$800,2,False),"OOPS FIX ME"))</f>
        <v>Tam2140</v>
      </c>
      <c r="B472" s="165" t="s">
        <v>67</v>
      </c>
      <c r="C472" s="170" t="s">
        <v>1354</v>
      </c>
      <c r="D472" s="236" t="s">
        <v>437</v>
      </c>
      <c r="E472" s="237">
        <v>44293.0</v>
      </c>
      <c r="F472" s="170" t="s">
        <v>439</v>
      </c>
      <c r="G472" s="219"/>
      <c r="H472" s="171">
        <v>100.0</v>
      </c>
      <c r="I472" s="171">
        <v>100.0</v>
      </c>
      <c r="J472" s="172">
        <f t="shared" si="24"/>
        <v>0.001436335405</v>
      </c>
      <c r="K472" s="173">
        <f t="shared" si="25"/>
        <v>1.651785716</v>
      </c>
      <c r="L472" s="174">
        <f t="shared" si="4"/>
        <v>7.010968749</v>
      </c>
      <c r="M472" s="175" t="str">
        <f t="shared" si="5"/>
        <v>Tam2140</v>
      </c>
      <c r="N472" s="176">
        <f>IFERROR(__xludf.DUMMYFUNCTION("""COMPUTED_VALUE"""),19.0)</f>
        <v>19</v>
      </c>
      <c r="O472" s="176"/>
      <c r="P472" s="165" t="s">
        <v>435</v>
      </c>
      <c r="Q472" s="165" t="s">
        <v>67</v>
      </c>
      <c r="R472" s="176"/>
      <c r="S472" s="176"/>
      <c r="T472" s="176"/>
      <c r="U472" s="176"/>
      <c r="V472" s="176"/>
      <c r="W472" s="176"/>
      <c r="X472" s="176"/>
      <c r="Y472" s="176"/>
      <c r="Z472" s="176"/>
      <c r="AA472" s="176"/>
    </row>
    <row r="473">
      <c r="A473" s="165" t="str">
        <f>iferror(VLOOKUP(P473,'DO NOT TOUCH Imported'!$A$1:$D$800,4,False),iferror(VLOOKUP(P473,'DO NOT TOUCH Imported'!$C$1:$D$800,2,False),"OOPS FIX ME"))</f>
        <v>Tam2140</v>
      </c>
      <c r="B473" s="165" t="s">
        <v>440</v>
      </c>
      <c r="C473" s="170" t="s">
        <v>1260</v>
      </c>
      <c r="D473" s="236" t="s">
        <v>437</v>
      </c>
      <c r="E473" s="237">
        <v>44293.0</v>
      </c>
      <c r="F473" s="170" t="s">
        <v>439</v>
      </c>
      <c r="G473" s="219"/>
      <c r="H473" s="171">
        <v>100.0</v>
      </c>
      <c r="I473" s="171">
        <v>50.0</v>
      </c>
      <c r="J473" s="172">
        <f t="shared" si="24"/>
        <v>0.001079752892</v>
      </c>
      <c r="K473" s="173">
        <f t="shared" si="25"/>
        <v>1.241715826</v>
      </c>
      <c r="L473" s="174">
        <f t="shared" si="4"/>
        <v>7.010968749</v>
      </c>
      <c r="M473" s="175" t="str">
        <f t="shared" si="5"/>
        <v>Tam2140</v>
      </c>
      <c r="N473" s="176">
        <f>IFERROR(__xludf.DUMMYFUNCTION("""COMPUTED_VALUE"""),20.0)</f>
        <v>20</v>
      </c>
      <c r="O473" s="176"/>
      <c r="P473" s="165" t="s">
        <v>435</v>
      </c>
      <c r="Q473" s="165" t="s">
        <v>440</v>
      </c>
      <c r="R473" s="176"/>
      <c r="S473" s="176"/>
      <c r="T473" s="176"/>
      <c r="U473" s="176"/>
      <c r="V473" s="176"/>
      <c r="W473" s="176"/>
      <c r="X473" s="176"/>
      <c r="Y473" s="176"/>
      <c r="Z473" s="176"/>
      <c r="AA473" s="176"/>
    </row>
    <row r="474">
      <c r="A474" s="165" t="str">
        <f>iferror(VLOOKUP(P474,'DO NOT TOUCH Imported'!$A$1:$D$800,4,False),iferror(VLOOKUP(P474,'DO NOT TOUCH Imported'!$C$1:$D$800,2,False),"OOPS FIX ME"))</f>
        <v>Tam2140</v>
      </c>
      <c r="B474" s="165" t="s">
        <v>440</v>
      </c>
      <c r="C474" s="170" t="s">
        <v>1261</v>
      </c>
      <c r="D474" s="236" t="s">
        <v>437</v>
      </c>
      <c r="E474" s="237">
        <v>44293.0</v>
      </c>
      <c r="F474" s="170" t="s">
        <v>439</v>
      </c>
      <c r="G474" s="219"/>
      <c r="H474" s="171">
        <v>100.0</v>
      </c>
      <c r="I474" s="171">
        <v>50.0</v>
      </c>
      <c r="J474" s="172">
        <f t="shared" si="24"/>
        <v>0.001079752892</v>
      </c>
      <c r="K474" s="173">
        <f t="shared" si="25"/>
        <v>1.241715826</v>
      </c>
      <c r="L474" s="174">
        <f t="shared" si="4"/>
        <v>7.010968749</v>
      </c>
      <c r="M474" s="175" t="str">
        <f t="shared" si="5"/>
        <v>Tam2140</v>
      </c>
      <c r="N474" s="176">
        <f>IFERROR(__xludf.DUMMYFUNCTION("""COMPUTED_VALUE"""),21.0)</f>
        <v>21</v>
      </c>
      <c r="O474" s="176"/>
      <c r="P474" s="165" t="s">
        <v>435</v>
      </c>
      <c r="Q474" s="165" t="s">
        <v>440</v>
      </c>
      <c r="R474" s="176"/>
      <c r="S474" s="176"/>
      <c r="T474" s="176"/>
      <c r="U474" s="176"/>
      <c r="V474" s="176"/>
      <c r="W474" s="176"/>
      <c r="X474" s="176"/>
      <c r="Y474" s="176"/>
      <c r="Z474" s="176"/>
      <c r="AA474" s="176"/>
    </row>
    <row r="475">
      <c r="A475" s="165" t="str">
        <f>iferror(VLOOKUP(P475,'DO NOT TOUCH Imported'!$A$1:$D$800,4,False),iferror(VLOOKUP(P475,'DO NOT TOUCH Imported'!$C$1:$D$800,2,False),"OOPS FIX ME"))</f>
        <v>Tam2140</v>
      </c>
      <c r="B475" s="165" t="s">
        <v>441</v>
      </c>
      <c r="C475" s="170" t="s">
        <v>1434</v>
      </c>
      <c r="D475" s="236" t="s">
        <v>437</v>
      </c>
      <c r="E475" s="237">
        <v>44295.0</v>
      </c>
      <c r="F475" s="170" t="s">
        <v>439</v>
      </c>
      <c r="G475" s="219"/>
      <c r="H475" s="171">
        <v>150.0</v>
      </c>
      <c r="I475" s="171">
        <v>300.0</v>
      </c>
      <c r="J475" s="172">
        <f t="shared" si="24"/>
        <v>0.003224250648</v>
      </c>
      <c r="K475" s="173">
        <f t="shared" si="25"/>
        <v>3.707888245</v>
      </c>
      <c r="L475" s="174">
        <f t="shared" si="4"/>
        <v>7.010968749</v>
      </c>
      <c r="M475" s="175" t="str">
        <f t="shared" si="5"/>
        <v>Tam2140</v>
      </c>
      <c r="N475" s="176">
        <f>IFERROR(__xludf.DUMMYFUNCTION("""COMPUTED_VALUE"""),22.0)</f>
        <v>22</v>
      </c>
      <c r="O475" s="176"/>
      <c r="P475" s="165" t="s">
        <v>435</v>
      </c>
      <c r="Q475" s="165" t="s">
        <v>441</v>
      </c>
      <c r="R475" s="176"/>
      <c r="S475" s="176"/>
      <c r="T475" s="176"/>
      <c r="U475" s="176"/>
      <c r="V475" s="176"/>
      <c r="W475" s="176"/>
      <c r="X475" s="176"/>
      <c r="Y475" s="176"/>
      <c r="Z475" s="176"/>
      <c r="AA475" s="176"/>
    </row>
    <row r="476">
      <c r="A476" s="165" t="str">
        <f>iferror(VLOOKUP(P476,'DO NOT TOUCH Imported'!$A$1:$D$800,4,False),iferror(VLOOKUP(P476,'DO NOT TOUCH Imported'!$C$1:$D$800,2,False),"OOPS FIX ME"))</f>
        <v>Tam2140</v>
      </c>
      <c r="B476" s="165" t="s">
        <v>441</v>
      </c>
      <c r="C476" s="170" t="s">
        <v>1331</v>
      </c>
      <c r="D476" s="236" t="s">
        <v>437</v>
      </c>
      <c r="E476" s="237">
        <v>44295.0</v>
      </c>
      <c r="F476" s="170" t="s">
        <v>439</v>
      </c>
      <c r="G476" s="219"/>
      <c r="H476" s="171">
        <v>100.0</v>
      </c>
      <c r="I476" s="171">
        <v>150.0</v>
      </c>
      <c r="J476" s="172">
        <f t="shared" si="24"/>
        <v>0.001792917919</v>
      </c>
      <c r="K476" s="173">
        <f t="shared" si="25"/>
        <v>2.061855606</v>
      </c>
      <c r="L476" s="174">
        <f t="shared" si="4"/>
        <v>7.010968749</v>
      </c>
      <c r="M476" s="175" t="str">
        <f t="shared" si="5"/>
        <v>Tam2140</v>
      </c>
      <c r="N476" s="176">
        <f>IFERROR(__xludf.DUMMYFUNCTION("""COMPUTED_VALUE"""),23.0)</f>
        <v>23</v>
      </c>
      <c r="O476" s="176"/>
      <c r="P476" s="165" t="s">
        <v>435</v>
      </c>
      <c r="Q476" s="165" t="s">
        <v>441</v>
      </c>
      <c r="R476" s="176"/>
      <c r="S476" s="176"/>
      <c r="T476" s="176"/>
      <c r="U476" s="176"/>
      <c r="V476" s="176"/>
      <c r="W476" s="176"/>
      <c r="X476" s="176"/>
      <c r="Y476" s="176"/>
      <c r="Z476" s="176"/>
      <c r="AA476" s="176"/>
    </row>
    <row r="477">
      <c r="A477" s="165" t="str">
        <f>iferror(VLOOKUP(P477,'DO NOT TOUCH Imported'!$A$1:$D$800,4,False),iferror(VLOOKUP(P477,'DO NOT TOUCH Imported'!$C$1:$D$800,2,False),"OOPS FIX ME"))</f>
        <v>Tam2140</v>
      </c>
      <c r="B477" s="165" t="s">
        <v>441</v>
      </c>
      <c r="C477" s="170" t="s">
        <v>1435</v>
      </c>
      <c r="D477" s="236" t="s">
        <v>437</v>
      </c>
      <c r="E477" s="237">
        <v>44295.0</v>
      </c>
      <c r="F477" s="170" t="s">
        <v>439</v>
      </c>
      <c r="G477" s="219"/>
      <c r="H477" s="171">
        <v>100.0</v>
      </c>
      <c r="I477" s="171">
        <v>150.0</v>
      </c>
      <c r="J477" s="172">
        <f t="shared" si="24"/>
        <v>0.001792917919</v>
      </c>
      <c r="K477" s="173">
        <f t="shared" si="25"/>
        <v>2.061855606</v>
      </c>
      <c r="L477" s="174">
        <f t="shared" si="4"/>
        <v>7.010968749</v>
      </c>
      <c r="M477" s="175" t="str">
        <f t="shared" si="5"/>
        <v>Tam2140</v>
      </c>
      <c r="N477" s="176">
        <f>IFERROR(__xludf.DUMMYFUNCTION("""COMPUTED_VALUE"""),24.0)</f>
        <v>24</v>
      </c>
      <c r="O477" s="176"/>
      <c r="P477" s="165" t="s">
        <v>435</v>
      </c>
      <c r="Q477" s="165" t="s">
        <v>441</v>
      </c>
      <c r="R477" s="176"/>
      <c r="S477" s="176"/>
      <c r="T477" s="176"/>
      <c r="U477" s="176"/>
      <c r="V477" s="176"/>
      <c r="W477" s="176"/>
      <c r="X477" s="176"/>
      <c r="Y477" s="176"/>
      <c r="Z477" s="176"/>
      <c r="AA477" s="176"/>
    </row>
    <row r="478">
      <c r="A478" s="165" t="str">
        <f>iferror(VLOOKUP(P478,'DO NOT TOUCH Imported'!$A$1:$D$800,4,False),iferror(VLOOKUP(P478,'DO NOT TOUCH Imported'!$C$1:$D$800,2,False),"OOPS FIX ME"))</f>
        <v>Tam2140</v>
      </c>
      <c r="B478" s="165" t="s">
        <v>441</v>
      </c>
      <c r="C478" s="170" t="s">
        <v>1436</v>
      </c>
      <c r="D478" s="236" t="s">
        <v>437</v>
      </c>
      <c r="E478" s="237">
        <v>44295.0</v>
      </c>
      <c r="F478" s="170" t="s">
        <v>439</v>
      </c>
      <c r="G478" s="219"/>
      <c r="H478" s="171">
        <v>70.0</v>
      </c>
      <c r="I478" s="171">
        <v>80.0</v>
      </c>
      <c r="J478" s="172">
        <f t="shared" si="24"/>
        <v>0.001076751286</v>
      </c>
      <c r="K478" s="173">
        <f t="shared" si="25"/>
        <v>1.238263979</v>
      </c>
      <c r="L478" s="174">
        <f t="shared" si="4"/>
        <v>7.010968749</v>
      </c>
      <c r="M478" s="175" t="str">
        <f t="shared" si="5"/>
        <v>Tam2140</v>
      </c>
      <c r="N478" s="176">
        <f>IFERROR(__xludf.DUMMYFUNCTION("""COMPUTED_VALUE"""),25.0)</f>
        <v>25</v>
      </c>
      <c r="O478" s="176"/>
      <c r="P478" s="165" t="s">
        <v>435</v>
      </c>
      <c r="Q478" s="165" t="s">
        <v>441</v>
      </c>
      <c r="R478" s="176"/>
      <c r="S478" s="176"/>
      <c r="T478" s="176"/>
      <c r="U478" s="176"/>
      <c r="V478" s="176"/>
      <c r="W478" s="176"/>
      <c r="X478" s="176"/>
      <c r="Y478" s="176"/>
      <c r="Z478" s="176"/>
      <c r="AA478" s="176"/>
    </row>
    <row r="479">
      <c r="A479" s="165" t="str">
        <f>iferror(VLOOKUP(P479,'DO NOT TOUCH Imported'!$A$1:$D$800,4,False),iferror(VLOOKUP(P479,'DO NOT TOUCH Imported'!$C$1:$D$800,2,False),"OOPS FIX ME"))</f>
        <v>Tam2140</v>
      </c>
      <c r="B479" s="165" t="s">
        <v>441</v>
      </c>
      <c r="C479" s="170" t="s">
        <v>1437</v>
      </c>
      <c r="D479" s="236" t="s">
        <v>437</v>
      </c>
      <c r="E479" s="237">
        <v>44295.0</v>
      </c>
      <c r="F479" s="170" t="s">
        <v>439</v>
      </c>
      <c r="G479" s="219"/>
      <c r="H479" s="171">
        <v>100.0</v>
      </c>
      <c r="I479" s="171">
        <v>150.0</v>
      </c>
      <c r="J479" s="172">
        <f t="shared" si="24"/>
        <v>0.001792917919</v>
      </c>
      <c r="K479" s="173">
        <f t="shared" si="25"/>
        <v>2.061855606</v>
      </c>
      <c r="L479" s="174">
        <f t="shared" si="4"/>
        <v>7.010968749</v>
      </c>
      <c r="M479" s="175" t="str">
        <f t="shared" si="5"/>
        <v>Tam2140</v>
      </c>
      <c r="N479" s="176">
        <f>IFERROR(__xludf.DUMMYFUNCTION("""COMPUTED_VALUE"""),26.0)</f>
        <v>26</v>
      </c>
      <c r="O479" s="176"/>
      <c r="P479" s="165" t="s">
        <v>435</v>
      </c>
      <c r="Q479" s="165" t="s">
        <v>441</v>
      </c>
      <c r="R479" s="176"/>
      <c r="S479" s="176"/>
      <c r="T479" s="176"/>
      <c r="U479" s="176"/>
      <c r="V479" s="176"/>
      <c r="W479" s="176"/>
      <c r="X479" s="176"/>
      <c r="Y479" s="176"/>
      <c r="Z479" s="176"/>
      <c r="AA479" s="176"/>
    </row>
    <row r="480">
      <c r="A480" s="165" t="str">
        <f>iferror(VLOOKUP(P480,'DO NOT TOUCH Imported'!$A$1:$D$800,4,False),iferror(VLOOKUP(P480,'DO NOT TOUCH Imported'!$C$1:$D$800,2,False),"OOPS FIX ME"))</f>
        <v>Tam2140</v>
      </c>
      <c r="B480" s="165" t="s">
        <v>441</v>
      </c>
      <c r="C480" s="170" t="s">
        <v>1267</v>
      </c>
      <c r="D480" s="236" t="s">
        <v>437</v>
      </c>
      <c r="E480" s="237">
        <v>44295.0</v>
      </c>
      <c r="F480" s="170" t="s">
        <v>439</v>
      </c>
      <c r="G480" s="219"/>
      <c r="H480" s="171">
        <v>50.0</v>
      </c>
      <c r="I480" s="171">
        <v>50.0</v>
      </c>
      <c r="J480" s="172">
        <f t="shared" si="24"/>
        <v>0.0007181677027</v>
      </c>
      <c r="K480" s="173">
        <f t="shared" si="25"/>
        <v>0.8258928581</v>
      </c>
      <c r="L480" s="174">
        <f t="shared" si="4"/>
        <v>7.010968749</v>
      </c>
      <c r="M480" s="175" t="str">
        <f t="shared" si="5"/>
        <v>Tam2140</v>
      </c>
      <c r="N480" s="176">
        <f>IFERROR(__xludf.DUMMYFUNCTION("""COMPUTED_VALUE"""),27.0)</f>
        <v>27</v>
      </c>
      <c r="O480" s="176"/>
      <c r="P480" s="165" t="s">
        <v>435</v>
      </c>
      <c r="Q480" s="165" t="s">
        <v>441</v>
      </c>
      <c r="R480" s="176"/>
      <c r="S480" s="176"/>
      <c r="T480" s="176"/>
      <c r="U480" s="176"/>
      <c r="V480" s="176"/>
      <c r="W480" s="176"/>
      <c r="X480" s="176"/>
      <c r="Y480" s="176"/>
      <c r="Z480" s="176"/>
      <c r="AA480" s="176"/>
    </row>
    <row r="481">
      <c r="A481" s="165" t="str">
        <f>iferror(VLOOKUP(P481,'DO NOT TOUCH Imported'!$A$1:$D$800,4,False),iferror(VLOOKUP(P481,'DO NOT TOUCH Imported'!$C$1:$D$800,2,False),"OOPS FIX ME"))</f>
        <v>Tam2140</v>
      </c>
      <c r="B481" s="165" t="s">
        <v>530</v>
      </c>
      <c r="C481" s="170" t="s">
        <v>1438</v>
      </c>
      <c r="D481" s="236" t="s">
        <v>499</v>
      </c>
      <c r="E481" s="237">
        <v>44295.0</v>
      </c>
      <c r="F481" s="170" t="s">
        <v>503</v>
      </c>
      <c r="G481" s="219"/>
      <c r="H481" s="171">
        <v>100.0</v>
      </c>
      <c r="I481" s="171">
        <v>100.0</v>
      </c>
      <c r="J481" s="172">
        <f t="shared" si="24"/>
        <v>0.001436335405</v>
      </c>
      <c r="K481" s="173">
        <f t="shared" si="25"/>
        <v>1.651785716</v>
      </c>
      <c r="L481" s="174">
        <f t="shared" si="4"/>
        <v>7.010968749</v>
      </c>
      <c r="M481" s="175" t="str">
        <f t="shared" si="5"/>
        <v>Tam2140</v>
      </c>
      <c r="N481" s="176">
        <f>IFERROR(__xludf.DUMMYFUNCTION("""COMPUTED_VALUE"""),28.0)</f>
        <v>28</v>
      </c>
      <c r="O481" s="176"/>
      <c r="P481" s="165" t="s">
        <v>435</v>
      </c>
      <c r="Q481" s="165" t="s">
        <v>530</v>
      </c>
      <c r="R481" s="176"/>
      <c r="S481" s="176"/>
      <c r="T481" s="176"/>
      <c r="U481" s="176"/>
      <c r="V481" s="176"/>
      <c r="W481" s="176"/>
      <c r="X481" s="176"/>
      <c r="Y481" s="176"/>
      <c r="Z481" s="176"/>
      <c r="AA481" s="176"/>
    </row>
    <row r="482">
      <c r="A482" s="185" t="str">
        <f>iferror(VLOOKUP(P482,'DO NOT TOUCH Imported'!$A$1:$D$800,4,False),iferror(VLOOKUP(P482,'DO NOT TOUCH Imported'!$C$1:$D$800,2,False),"OOPS FIX ME"))</f>
        <v>markop</v>
      </c>
      <c r="B482" s="185" t="s">
        <v>534</v>
      </c>
      <c r="C482" s="186" t="s">
        <v>794</v>
      </c>
      <c r="D482" s="187"/>
      <c r="E482" s="188"/>
      <c r="F482" s="189"/>
      <c r="G482" s="190"/>
      <c r="H482" s="190"/>
      <c r="I482" s="190"/>
      <c r="J482" s="172">
        <f t="shared" si="24"/>
        <v>0</v>
      </c>
      <c r="K482" s="215">
        <f>46.614*-0.85</f>
        <v>-39.6219</v>
      </c>
      <c r="L482" s="193">
        <f t="shared" si="4"/>
        <v>6.992560491</v>
      </c>
      <c r="M482" s="194" t="str">
        <f t="shared" si="5"/>
        <v>markop</v>
      </c>
      <c r="N482" s="195">
        <f>IFERROR(__xludf.DUMMYFUNCTION("""COMPUTED_VALUE"""),1.0)</f>
        <v>1</v>
      </c>
      <c r="O482" s="195"/>
      <c r="P482" s="212" t="s">
        <v>43</v>
      </c>
      <c r="Q482" s="185" t="s">
        <v>534</v>
      </c>
      <c r="R482" s="195">
        <v>18.848124090566696</v>
      </c>
      <c r="S482" s="195"/>
      <c r="T482" s="195"/>
      <c r="U482" s="195"/>
      <c r="V482" s="195"/>
      <c r="W482" s="195"/>
      <c r="X482" s="195"/>
      <c r="Y482" s="195"/>
      <c r="Z482" s="195"/>
      <c r="AA482" s="176"/>
    </row>
    <row r="483">
      <c r="A483" s="165" t="str">
        <f>iferror(VLOOKUP(P483,'DO NOT TOUCH Imported'!$A$1:$D$800,4,False),iferror(VLOOKUP(P483,'DO NOT TOUCH Imported'!$C$1:$D$800,2,False),"OOPS FIX ME"))</f>
        <v>markop</v>
      </c>
      <c r="B483" s="165" t="s">
        <v>10</v>
      </c>
      <c r="C483" s="170" t="s">
        <v>498</v>
      </c>
      <c r="D483" s="236" t="s">
        <v>495</v>
      </c>
      <c r="E483" s="239">
        <v>44282.0</v>
      </c>
      <c r="F483" s="170" t="s">
        <v>499</v>
      </c>
      <c r="G483" s="219"/>
      <c r="H483" s="171">
        <v>20.0</v>
      </c>
      <c r="I483" s="171">
        <v>25.0</v>
      </c>
      <c r="J483" s="172">
        <f t="shared" si="24"/>
        <v>0.0003229253324</v>
      </c>
      <c r="K483" s="173">
        <f t="shared" ref="K483:K522" si="26">J483*$J$1</f>
        <v>0.3713641322</v>
      </c>
      <c r="L483" s="174">
        <f t="shared" si="4"/>
        <v>6.992560491</v>
      </c>
      <c r="M483" s="175" t="str">
        <f t="shared" si="5"/>
        <v>markop</v>
      </c>
      <c r="N483" s="176">
        <f>IFERROR(__xludf.DUMMYFUNCTION("""COMPUTED_VALUE"""),2.0)</f>
        <v>2</v>
      </c>
      <c r="O483" s="176"/>
      <c r="P483" s="165" t="s">
        <v>43</v>
      </c>
      <c r="Q483" s="165" t="s">
        <v>10</v>
      </c>
      <c r="R483" s="176"/>
      <c r="S483" s="176"/>
      <c r="T483" s="176"/>
      <c r="U483" s="176"/>
      <c r="V483" s="176"/>
      <c r="W483" s="176"/>
      <c r="X483" s="176"/>
      <c r="Y483" s="176"/>
      <c r="Z483" s="176"/>
      <c r="AA483" s="176"/>
    </row>
    <row r="484">
      <c r="A484" s="165" t="str">
        <f>iferror(VLOOKUP(P484,'DO NOT TOUCH Imported'!$A$1:$D$800,4,False),iferror(VLOOKUP(P484,'DO NOT TOUCH Imported'!$C$1:$D$800,2,False),"OOPS FIX ME"))</f>
        <v>markop</v>
      </c>
      <c r="B484" s="165" t="s">
        <v>519</v>
      </c>
      <c r="C484" s="170" t="s">
        <v>668</v>
      </c>
      <c r="D484" s="236" t="s">
        <v>495</v>
      </c>
      <c r="E484" s="239">
        <v>44286.0</v>
      </c>
      <c r="F484" s="170" t="s">
        <v>521</v>
      </c>
      <c r="G484" s="219"/>
      <c r="H484" s="171">
        <v>50.0</v>
      </c>
      <c r="I484" s="171">
        <v>50.0</v>
      </c>
      <c r="J484" s="172">
        <f t="shared" si="24"/>
        <v>0.0007181677027</v>
      </c>
      <c r="K484" s="173">
        <f t="shared" si="26"/>
        <v>0.8258928581</v>
      </c>
      <c r="L484" s="174">
        <f t="shared" si="4"/>
        <v>6.992560491</v>
      </c>
      <c r="M484" s="175" t="str">
        <f t="shared" si="5"/>
        <v>markop</v>
      </c>
      <c r="N484" s="176">
        <f>IFERROR(__xludf.DUMMYFUNCTION("""COMPUTED_VALUE"""),3.0)</f>
        <v>3</v>
      </c>
      <c r="O484" s="176"/>
      <c r="P484" s="165" t="s">
        <v>43</v>
      </c>
      <c r="Q484" s="165" t="s">
        <v>519</v>
      </c>
      <c r="R484" s="176"/>
      <c r="S484" s="176"/>
      <c r="T484" s="176"/>
      <c r="U484" s="176"/>
      <c r="V484" s="176"/>
      <c r="W484" s="176"/>
      <c r="X484" s="176"/>
      <c r="Y484" s="176"/>
      <c r="Z484" s="176"/>
      <c r="AA484" s="176"/>
    </row>
    <row r="485">
      <c r="A485" s="165" t="str">
        <f>iferror(VLOOKUP(P485,'DO NOT TOUCH Imported'!$A$1:$D$800,4,False),iferror(VLOOKUP(P485,'DO NOT TOUCH Imported'!$C$1:$D$800,2,False),"OOPS FIX ME"))</f>
        <v>markop</v>
      </c>
      <c r="B485" s="165" t="s">
        <v>10</v>
      </c>
      <c r="C485" s="170" t="s">
        <v>1357</v>
      </c>
      <c r="D485" s="236" t="s">
        <v>495</v>
      </c>
      <c r="E485" s="239">
        <v>44288.0</v>
      </c>
      <c r="F485" s="170" t="s">
        <v>496</v>
      </c>
      <c r="G485" s="219"/>
      <c r="H485" s="171">
        <v>60.0</v>
      </c>
      <c r="I485" s="171">
        <v>80.0</v>
      </c>
      <c r="J485" s="172">
        <f t="shared" si="24"/>
        <v>0.001004434248</v>
      </c>
      <c r="K485" s="173">
        <f t="shared" si="26"/>
        <v>1.155099386</v>
      </c>
      <c r="L485" s="174">
        <f t="shared" si="4"/>
        <v>6.992560491</v>
      </c>
      <c r="M485" s="175" t="str">
        <f t="shared" si="5"/>
        <v>markop</v>
      </c>
      <c r="N485" s="176">
        <f>IFERROR(__xludf.DUMMYFUNCTION("""COMPUTED_VALUE"""),4.0)</f>
        <v>4</v>
      </c>
      <c r="O485" s="176"/>
      <c r="P485" s="165" t="s">
        <v>43</v>
      </c>
      <c r="Q485" s="165" t="s">
        <v>10</v>
      </c>
      <c r="R485" s="176"/>
      <c r="S485" s="176"/>
      <c r="T485" s="176"/>
      <c r="U485" s="176"/>
      <c r="V485" s="176"/>
      <c r="W485" s="176"/>
      <c r="X485" s="176"/>
      <c r="Y485" s="176"/>
      <c r="Z485" s="176"/>
      <c r="AA485" s="176"/>
    </row>
    <row r="486">
      <c r="A486" s="165" t="str">
        <f>iferror(VLOOKUP(P486,'DO NOT TOUCH Imported'!$A$1:$D$800,4,False),iferror(VLOOKUP(P486,'DO NOT TOUCH Imported'!$C$1:$D$800,2,False),"OOPS FIX ME"))</f>
        <v>markop</v>
      </c>
      <c r="B486" s="165" t="s">
        <v>10</v>
      </c>
      <c r="C486" s="170" t="s">
        <v>498</v>
      </c>
      <c r="D486" s="236" t="s">
        <v>495</v>
      </c>
      <c r="E486" s="239">
        <v>44288.0</v>
      </c>
      <c r="F486" s="170" t="s">
        <v>499</v>
      </c>
      <c r="G486" s="219"/>
      <c r="H486" s="171">
        <v>20.0</v>
      </c>
      <c r="I486" s="171">
        <v>15.0</v>
      </c>
      <c r="J486" s="172">
        <f t="shared" si="24"/>
        <v>0.0002516088297</v>
      </c>
      <c r="K486" s="173">
        <f t="shared" si="26"/>
        <v>0.2893501542</v>
      </c>
      <c r="L486" s="174">
        <f t="shared" si="4"/>
        <v>6.992560491</v>
      </c>
      <c r="M486" s="175" t="str">
        <f t="shared" si="5"/>
        <v>markop</v>
      </c>
      <c r="N486" s="176">
        <f>IFERROR(__xludf.DUMMYFUNCTION("""COMPUTED_VALUE"""),5.0)</f>
        <v>5</v>
      </c>
      <c r="O486" s="176"/>
      <c r="P486" s="165" t="s">
        <v>43</v>
      </c>
      <c r="Q486" s="165" t="s">
        <v>10</v>
      </c>
      <c r="R486" s="176"/>
      <c r="S486" s="176"/>
      <c r="T486" s="176"/>
      <c r="U486" s="176"/>
      <c r="V486" s="176"/>
      <c r="W486" s="176"/>
      <c r="X486" s="176"/>
      <c r="Y486" s="176"/>
      <c r="Z486" s="176"/>
      <c r="AA486" s="176"/>
    </row>
    <row r="487">
      <c r="A487" s="165" t="str">
        <f>iferror(VLOOKUP(P487,'DO NOT TOUCH Imported'!$A$1:$D$800,4,False),iferror(VLOOKUP(P487,'DO NOT TOUCH Imported'!$C$1:$D$800,2,False),"OOPS FIX ME"))</f>
        <v>markop</v>
      </c>
      <c r="B487" s="165" t="s">
        <v>10</v>
      </c>
      <c r="C487" s="170" t="s">
        <v>500</v>
      </c>
      <c r="D487" s="236" t="s">
        <v>495</v>
      </c>
      <c r="E487" s="239">
        <v>44289.0</v>
      </c>
      <c r="F487" s="170" t="s">
        <v>496</v>
      </c>
      <c r="G487" s="219"/>
      <c r="H487" s="171">
        <v>20.0</v>
      </c>
      <c r="I487" s="171">
        <v>15.0</v>
      </c>
      <c r="J487" s="172">
        <f t="shared" si="24"/>
        <v>0.0002516088297</v>
      </c>
      <c r="K487" s="173">
        <f t="shared" si="26"/>
        <v>0.2893501542</v>
      </c>
      <c r="L487" s="174">
        <f t="shared" si="4"/>
        <v>6.992560491</v>
      </c>
      <c r="M487" s="175" t="str">
        <f t="shared" si="5"/>
        <v>markop</v>
      </c>
      <c r="N487" s="176">
        <f>IFERROR(__xludf.DUMMYFUNCTION("""COMPUTED_VALUE"""),6.0)</f>
        <v>6</v>
      </c>
      <c r="O487" s="176"/>
      <c r="P487" s="165" t="s">
        <v>43</v>
      </c>
      <c r="Q487" s="165" t="s">
        <v>10</v>
      </c>
      <c r="R487" s="176"/>
      <c r="S487" s="176"/>
      <c r="T487" s="176"/>
      <c r="U487" s="176"/>
      <c r="V487" s="176"/>
      <c r="W487" s="176"/>
      <c r="X487" s="176"/>
      <c r="Y487" s="176"/>
      <c r="Z487" s="176"/>
      <c r="AA487" s="176"/>
    </row>
    <row r="488">
      <c r="A488" s="165" t="str">
        <f>iferror(VLOOKUP(P488,'DO NOT TOUCH Imported'!$A$1:$D$800,4,False),iferror(VLOOKUP(P488,'DO NOT TOUCH Imported'!$C$1:$D$800,2,False),"OOPS FIX ME"))</f>
        <v>markop</v>
      </c>
      <c r="B488" s="165" t="s">
        <v>10</v>
      </c>
      <c r="C488" s="170" t="s">
        <v>1358</v>
      </c>
      <c r="D488" s="236" t="s">
        <v>495</v>
      </c>
      <c r="E488" s="239">
        <v>44295.0</v>
      </c>
      <c r="F488" s="170" t="s">
        <v>496</v>
      </c>
      <c r="G488" s="219"/>
      <c r="H488" s="171">
        <v>70.0</v>
      </c>
      <c r="I488" s="171">
        <v>75.0</v>
      </c>
      <c r="J488" s="172">
        <f t="shared" si="24"/>
        <v>0.001041093035</v>
      </c>
      <c r="K488" s="173">
        <f t="shared" si="26"/>
        <v>1.19725699</v>
      </c>
      <c r="L488" s="174">
        <f t="shared" si="4"/>
        <v>6.992560491</v>
      </c>
      <c r="M488" s="175" t="str">
        <f t="shared" si="5"/>
        <v>markop</v>
      </c>
      <c r="N488" s="176">
        <f>IFERROR(__xludf.DUMMYFUNCTION("""COMPUTED_VALUE"""),7.0)</f>
        <v>7</v>
      </c>
      <c r="O488" s="176"/>
      <c r="P488" s="165" t="s">
        <v>43</v>
      </c>
      <c r="Q488" s="165" t="s">
        <v>10</v>
      </c>
      <c r="R488" s="176"/>
      <c r="S488" s="176"/>
      <c r="T488" s="176"/>
      <c r="U488" s="176"/>
      <c r="V488" s="176"/>
      <c r="W488" s="176"/>
      <c r="X488" s="176"/>
      <c r="Y488" s="176"/>
      <c r="Z488" s="176"/>
      <c r="AA488" s="176"/>
    </row>
    <row r="489">
      <c r="A489" s="165" t="str">
        <f>iferror(VLOOKUP(P489,'DO NOT TOUCH Imported'!$A$1:$D$800,4,False),iferror(VLOOKUP(P489,'DO NOT TOUCH Imported'!$C$1:$D$800,2,False),"OOPS FIX ME"))</f>
        <v>markop</v>
      </c>
      <c r="B489" s="165" t="s">
        <v>486</v>
      </c>
      <c r="C489" s="170" t="s">
        <v>1439</v>
      </c>
      <c r="D489" s="236" t="s">
        <v>437</v>
      </c>
      <c r="E489" s="239">
        <v>44284.0</v>
      </c>
      <c r="F489" s="170" t="s">
        <v>439</v>
      </c>
      <c r="G489" s="219"/>
      <c r="H489" s="171">
        <v>80.0</v>
      </c>
      <c r="I489" s="171">
        <v>100.0</v>
      </c>
      <c r="J489" s="172">
        <f t="shared" si="24"/>
        <v>0.00129170133</v>
      </c>
      <c r="K489" s="173">
        <f t="shared" si="26"/>
        <v>1.485456529</v>
      </c>
      <c r="L489" s="174">
        <f t="shared" si="4"/>
        <v>6.992560491</v>
      </c>
      <c r="M489" s="175" t="str">
        <f t="shared" si="5"/>
        <v>markop</v>
      </c>
      <c r="N489" s="176">
        <f>IFERROR(__xludf.DUMMYFUNCTION("""COMPUTED_VALUE"""),8.0)</f>
        <v>8</v>
      </c>
      <c r="O489" s="176"/>
      <c r="P489" s="165" t="s">
        <v>486</v>
      </c>
      <c r="Q489" s="165" t="s">
        <v>486</v>
      </c>
      <c r="R489" s="176"/>
      <c r="S489" s="176"/>
      <c r="T489" s="176"/>
      <c r="U489" s="176"/>
      <c r="V489" s="176"/>
      <c r="W489" s="176"/>
      <c r="X489" s="176"/>
      <c r="Y489" s="176"/>
      <c r="Z489" s="176"/>
      <c r="AA489" s="176"/>
    </row>
    <row r="490">
      <c r="A490" s="165" t="str">
        <f>iferror(VLOOKUP(P490,'DO NOT TOUCH Imported'!$A$1:$D$800,4,False),iferror(VLOOKUP(P490,'DO NOT TOUCH Imported'!$C$1:$D$800,2,False),"OOPS FIX ME"))</f>
        <v>markop</v>
      </c>
      <c r="B490" s="165" t="s">
        <v>528</v>
      </c>
      <c r="C490" s="170" t="s">
        <v>1440</v>
      </c>
      <c r="D490" s="236" t="s">
        <v>437</v>
      </c>
      <c r="E490" s="239">
        <v>44284.0</v>
      </c>
      <c r="F490" s="170" t="s">
        <v>439</v>
      </c>
      <c r="G490" s="219"/>
      <c r="H490" s="171">
        <v>80.0</v>
      </c>
      <c r="I490" s="171">
        <v>100.0</v>
      </c>
      <c r="J490" s="172">
        <f t="shared" si="24"/>
        <v>0.00129170133</v>
      </c>
      <c r="K490" s="173">
        <f t="shared" si="26"/>
        <v>1.485456529</v>
      </c>
      <c r="L490" s="174">
        <f t="shared" si="4"/>
        <v>6.992560491</v>
      </c>
      <c r="M490" s="175" t="str">
        <f t="shared" si="5"/>
        <v>markop</v>
      </c>
      <c r="N490" s="176">
        <f>IFERROR(__xludf.DUMMYFUNCTION("""COMPUTED_VALUE"""),9.0)</f>
        <v>9</v>
      </c>
      <c r="O490" s="176"/>
      <c r="P490" s="165" t="s">
        <v>486</v>
      </c>
      <c r="Q490" s="165" t="s">
        <v>528</v>
      </c>
      <c r="R490" s="176"/>
      <c r="S490" s="176"/>
      <c r="T490" s="176"/>
      <c r="U490" s="176"/>
      <c r="V490" s="176"/>
      <c r="W490" s="176"/>
      <c r="X490" s="176"/>
      <c r="Y490" s="176"/>
      <c r="Z490" s="176"/>
      <c r="AA490" s="176"/>
    </row>
    <row r="491">
      <c r="A491" s="165" t="str">
        <f>iferror(VLOOKUP(P491,'DO NOT TOUCH Imported'!$A$1:$D$800,4,False),iferror(VLOOKUP(P491,'DO NOT TOUCH Imported'!$C$1:$D$800,2,False),"OOPS FIX ME"))</f>
        <v>markop</v>
      </c>
      <c r="B491" s="165" t="s">
        <v>486</v>
      </c>
      <c r="C491" s="170" t="s">
        <v>1441</v>
      </c>
      <c r="D491" s="236" t="s">
        <v>437</v>
      </c>
      <c r="E491" s="239">
        <v>44284.0</v>
      </c>
      <c r="F491" s="170" t="s">
        <v>439</v>
      </c>
      <c r="G491" s="219"/>
      <c r="H491" s="171">
        <v>100.0</v>
      </c>
      <c r="I491" s="171">
        <v>50.0</v>
      </c>
      <c r="J491" s="172">
        <f t="shared" si="24"/>
        <v>0.001079752892</v>
      </c>
      <c r="K491" s="173">
        <f t="shared" si="26"/>
        <v>1.241715826</v>
      </c>
      <c r="L491" s="174">
        <f t="shared" si="4"/>
        <v>6.992560491</v>
      </c>
      <c r="M491" s="175" t="str">
        <f t="shared" si="5"/>
        <v>markop</v>
      </c>
      <c r="N491" s="176">
        <f>IFERROR(__xludf.DUMMYFUNCTION("""COMPUTED_VALUE"""),10.0)</f>
        <v>10</v>
      </c>
      <c r="O491" s="176"/>
      <c r="P491" s="165" t="s">
        <v>486</v>
      </c>
      <c r="Q491" s="165" t="s">
        <v>486</v>
      </c>
      <c r="R491" s="176"/>
      <c r="S491" s="176"/>
      <c r="T491" s="176"/>
      <c r="U491" s="176"/>
      <c r="V491" s="176"/>
      <c r="W491" s="176"/>
      <c r="X491" s="176"/>
      <c r="Y491" s="176"/>
      <c r="Z491" s="176"/>
      <c r="AA491" s="176"/>
    </row>
    <row r="492">
      <c r="A492" s="165" t="str">
        <f>iferror(VLOOKUP(P492,'DO NOT TOUCH Imported'!$A$1:$D$800,4,False),iferror(VLOOKUP(P492,'DO NOT TOUCH Imported'!$C$1:$D$800,2,False),"OOPS FIX ME"))</f>
        <v>markop</v>
      </c>
      <c r="B492" s="165" t="s">
        <v>486</v>
      </c>
      <c r="C492" s="170" t="s">
        <v>1237</v>
      </c>
      <c r="D492" s="236" t="s">
        <v>437</v>
      </c>
      <c r="E492" s="239">
        <v>44285.0</v>
      </c>
      <c r="F492" s="170" t="s">
        <v>439</v>
      </c>
      <c r="G492" s="219"/>
      <c r="H492" s="171">
        <v>40.0</v>
      </c>
      <c r="I492" s="171">
        <v>50.0</v>
      </c>
      <c r="J492" s="172">
        <f t="shared" si="24"/>
        <v>0.0006458506648</v>
      </c>
      <c r="K492" s="173">
        <f t="shared" si="26"/>
        <v>0.7427282645</v>
      </c>
      <c r="L492" s="174">
        <f t="shared" si="4"/>
        <v>6.992560491</v>
      </c>
      <c r="M492" s="175" t="str">
        <f t="shared" si="5"/>
        <v>markop</v>
      </c>
      <c r="N492" s="176">
        <f>IFERROR(__xludf.DUMMYFUNCTION("""COMPUTED_VALUE"""),11.0)</f>
        <v>11</v>
      </c>
      <c r="O492" s="176"/>
      <c r="P492" s="165" t="s">
        <v>486</v>
      </c>
      <c r="Q492" s="165" t="s">
        <v>486</v>
      </c>
      <c r="R492" s="176"/>
      <c r="S492" s="176"/>
      <c r="T492" s="176"/>
      <c r="U492" s="176"/>
      <c r="V492" s="176"/>
      <c r="W492" s="176"/>
      <c r="X492" s="176"/>
      <c r="Y492" s="176"/>
      <c r="Z492" s="176"/>
      <c r="AA492" s="176"/>
    </row>
    <row r="493">
      <c r="A493" s="165" t="str">
        <f>iferror(VLOOKUP(P493,'DO NOT TOUCH Imported'!$A$1:$D$800,4,False),iferror(VLOOKUP(P493,'DO NOT TOUCH Imported'!$C$1:$D$800,2,False),"OOPS FIX ME"))</f>
        <v>markop</v>
      </c>
      <c r="B493" s="165" t="s">
        <v>435</v>
      </c>
      <c r="C493" s="170" t="s">
        <v>1442</v>
      </c>
      <c r="D493" s="236" t="s">
        <v>437</v>
      </c>
      <c r="E493" s="239">
        <v>44287.0</v>
      </c>
      <c r="F493" s="170" t="s">
        <v>439</v>
      </c>
      <c r="G493" s="219"/>
      <c r="H493" s="171">
        <v>100.0</v>
      </c>
      <c r="I493" s="171">
        <v>100.0</v>
      </c>
      <c r="J493" s="172">
        <f t="shared" si="24"/>
        <v>0.001436335405</v>
      </c>
      <c r="K493" s="173">
        <f t="shared" si="26"/>
        <v>1.651785716</v>
      </c>
      <c r="L493" s="174">
        <f t="shared" si="4"/>
        <v>6.992560491</v>
      </c>
      <c r="M493" s="175" t="str">
        <f t="shared" si="5"/>
        <v>markop</v>
      </c>
      <c r="N493" s="176">
        <f>IFERROR(__xludf.DUMMYFUNCTION("""COMPUTED_VALUE"""),12.0)</f>
        <v>12</v>
      </c>
      <c r="O493" s="176"/>
      <c r="P493" s="165" t="s">
        <v>486</v>
      </c>
      <c r="Q493" s="165" t="s">
        <v>435</v>
      </c>
      <c r="R493" s="176"/>
      <c r="S493" s="176"/>
      <c r="T493" s="176"/>
      <c r="U493" s="176"/>
      <c r="V493" s="176"/>
      <c r="W493" s="176"/>
      <c r="X493" s="176"/>
      <c r="Y493" s="176"/>
      <c r="Z493" s="176"/>
      <c r="AA493" s="176"/>
    </row>
    <row r="494">
      <c r="A494" s="165" t="str">
        <f>iferror(VLOOKUP(P494,'DO NOT TOUCH Imported'!$A$1:$D$800,4,False),iferror(VLOOKUP(P494,'DO NOT TOUCH Imported'!$C$1:$D$800,2,False),"OOPS FIX ME"))</f>
        <v>markop</v>
      </c>
      <c r="B494" s="165" t="s">
        <v>435</v>
      </c>
      <c r="C494" s="170" t="s">
        <v>1443</v>
      </c>
      <c r="D494" s="236" t="s">
        <v>437</v>
      </c>
      <c r="E494" s="239">
        <v>44287.0</v>
      </c>
      <c r="F494" s="170" t="s">
        <v>439</v>
      </c>
      <c r="G494" s="219"/>
      <c r="H494" s="171">
        <v>80.0</v>
      </c>
      <c r="I494" s="171">
        <v>150.0</v>
      </c>
      <c r="J494" s="172">
        <f t="shared" si="24"/>
        <v>0.001648283843</v>
      </c>
      <c r="K494" s="173">
        <f t="shared" si="26"/>
        <v>1.895526419</v>
      </c>
      <c r="L494" s="174">
        <f t="shared" si="4"/>
        <v>6.992560491</v>
      </c>
      <c r="M494" s="175" t="str">
        <f t="shared" si="5"/>
        <v>markop</v>
      </c>
      <c r="N494" s="176">
        <f>IFERROR(__xludf.DUMMYFUNCTION("""COMPUTED_VALUE"""),13.0)</f>
        <v>13</v>
      </c>
      <c r="O494" s="176"/>
      <c r="P494" s="165" t="s">
        <v>486</v>
      </c>
      <c r="Q494" s="165" t="s">
        <v>435</v>
      </c>
      <c r="R494" s="176"/>
      <c r="S494" s="176"/>
      <c r="T494" s="176"/>
      <c r="U494" s="176"/>
      <c r="V494" s="176"/>
      <c r="W494" s="176"/>
      <c r="X494" s="176"/>
      <c r="Y494" s="176"/>
      <c r="Z494" s="176"/>
      <c r="AA494" s="176"/>
    </row>
    <row r="495">
      <c r="A495" s="165" t="str">
        <f>iferror(VLOOKUP(P495,'DO NOT TOUCH Imported'!$A$1:$D$800,4,False),iferror(VLOOKUP(P495,'DO NOT TOUCH Imported'!$C$1:$D$800,2,False),"OOPS FIX ME"))</f>
        <v>markop</v>
      </c>
      <c r="B495" s="165" t="s">
        <v>435</v>
      </c>
      <c r="C495" s="170" t="s">
        <v>1246</v>
      </c>
      <c r="D495" s="236" t="s">
        <v>437</v>
      </c>
      <c r="E495" s="239">
        <v>44287.0</v>
      </c>
      <c r="F495" s="170" t="s">
        <v>439</v>
      </c>
      <c r="G495" s="219"/>
      <c r="H495" s="171">
        <v>70.0</v>
      </c>
      <c r="I495" s="171">
        <v>50.0</v>
      </c>
      <c r="J495" s="172">
        <f t="shared" si="24"/>
        <v>0.0008628017785</v>
      </c>
      <c r="K495" s="173">
        <f t="shared" si="26"/>
        <v>0.9922220452</v>
      </c>
      <c r="L495" s="174">
        <f t="shared" si="4"/>
        <v>6.992560491</v>
      </c>
      <c r="M495" s="175" t="str">
        <f t="shared" si="5"/>
        <v>markop</v>
      </c>
      <c r="N495" s="176">
        <f>IFERROR(__xludf.DUMMYFUNCTION("""COMPUTED_VALUE"""),14.0)</f>
        <v>14</v>
      </c>
      <c r="O495" s="176"/>
      <c r="P495" s="165" t="s">
        <v>486</v>
      </c>
      <c r="Q495" s="165" t="s">
        <v>435</v>
      </c>
      <c r="R495" s="176"/>
      <c r="S495" s="176"/>
      <c r="T495" s="176"/>
      <c r="U495" s="176"/>
      <c r="V495" s="176"/>
      <c r="W495" s="176"/>
      <c r="X495" s="176"/>
      <c r="Y495" s="176"/>
      <c r="Z495" s="176"/>
      <c r="AA495" s="176"/>
    </row>
    <row r="496">
      <c r="A496" s="165" t="str">
        <f>iferror(VLOOKUP(P496,'DO NOT TOUCH Imported'!$A$1:$D$800,4,False),iferror(VLOOKUP(P496,'DO NOT TOUCH Imported'!$C$1:$D$800,2,False),"OOPS FIX ME"))</f>
        <v>markop</v>
      </c>
      <c r="B496" s="165" t="s">
        <v>441</v>
      </c>
      <c r="C496" s="170" t="s">
        <v>1248</v>
      </c>
      <c r="D496" s="236" t="s">
        <v>437</v>
      </c>
      <c r="E496" s="237">
        <v>44288.0</v>
      </c>
      <c r="F496" s="170" t="s">
        <v>439</v>
      </c>
      <c r="G496" s="219"/>
      <c r="H496" s="171">
        <v>100.0</v>
      </c>
      <c r="I496" s="171">
        <v>100.0</v>
      </c>
      <c r="J496" s="172">
        <f t="shared" si="24"/>
        <v>0.001436335405</v>
      </c>
      <c r="K496" s="173">
        <f t="shared" si="26"/>
        <v>1.651785716</v>
      </c>
      <c r="L496" s="174">
        <f t="shared" si="4"/>
        <v>6.992560491</v>
      </c>
      <c r="M496" s="175" t="str">
        <f t="shared" si="5"/>
        <v>markop</v>
      </c>
      <c r="N496" s="176">
        <f>IFERROR(__xludf.DUMMYFUNCTION("""COMPUTED_VALUE"""),15.0)</f>
        <v>15</v>
      </c>
      <c r="O496" s="176"/>
      <c r="P496" s="165" t="s">
        <v>486</v>
      </c>
      <c r="Q496" s="165" t="s">
        <v>441</v>
      </c>
      <c r="R496" s="176"/>
      <c r="S496" s="176"/>
      <c r="T496" s="176"/>
      <c r="U496" s="176"/>
      <c r="V496" s="176"/>
      <c r="W496" s="176"/>
      <c r="X496" s="176"/>
      <c r="Y496" s="176"/>
      <c r="Z496" s="176"/>
      <c r="AA496" s="176"/>
    </row>
    <row r="497">
      <c r="A497" s="165" t="str">
        <f>iferror(VLOOKUP(P497,'DO NOT TOUCH Imported'!$A$1:$D$800,4,False),iferror(VLOOKUP(P497,'DO NOT TOUCH Imported'!$C$1:$D$800,2,False),"OOPS FIX ME"))</f>
        <v>markop</v>
      </c>
      <c r="B497" s="165" t="s">
        <v>441</v>
      </c>
      <c r="C497" s="170" t="s">
        <v>1444</v>
      </c>
      <c r="D497" s="236" t="s">
        <v>437</v>
      </c>
      <c r="E497" s="237">
        <v>44288.0</v>
      </c>
      <c r="F497" s="170" t="s">
        <v>439</v>
      </c>
      <c r="G497" s="219"/>
      <c r="H497" s="171">
        <v>100.0</v>
      </c>
      <c r="I497" s="171">
        <v>100.0</v>
      </c>
      <c r="J497" s="172">
        <f t="shared" si="24"/>
        <v>0.001436335405</v>
      </c>
      <c r="K497" s="173">
        <f t="shared" si="26"/>
        <v>1.651785716</v>
      </c>
      <c r="L497" s="174">
        <f t="shared" si="4"/>
        <v>6.992560491</v>
      </c>
      <c r="M497" s="175" t="str">
        <f t="shared" si="5"/>
        <v>markop</v>
      </c>
      <c r="N497" s="176">
        <f>IFERROR(__xludf.DUMMYFUNCTION("""COMPUTED_VALUE"""),16.0)</f>
        <v>16</v>
      </c>
      <c r="O497" s="176"/>
      <c r="P497" s="165" t="s">
        <v>486</v>
      </c>
      <c r="Q497" s="165" t="s">
        <v>441</v>
      </c>
      <c r="R497" s="176"/>
      <c r="S497" s="176"/>
      <c r="T497" s="176"/>
      <c r="U497" s="176"/>
      <c r="V497" s="176"/>
      <c r="W497" s="176"/>
      <c r="X497" s="176"/>
      <c r="Y497" s="176"/>
      <c r="Z497" s="176"/>
      <c r="AA497" s="176"/>
    </row>
    <row r="498">
      <c r="A498" s="165" t="str">
        <f>iferror(VLOOKUP(P498,'DO NOT TOUCH Imported'!$A$1:$D$800,4,False),iferror(VLOOKUP(P498,'DO NOT TOUCH Imported'!$C$1:$D$800,2,False),"OOPS FIX ME"))</f>
        <v>markop</v>
      </c>
      <c r="B498" s="165" t="s">
        <v>441</v>
      </c>
      <c r="C498" s="170" t="s">
        <v>1445</v>
      </c>
      <c r="D498" s="236" t="s">
        <v>437</v>
      </c>
      <c r="E498" s="237">
        <v>44288.0</v>
      </c>
      <c r="F498" s="170" t="s">
        <v>439</v>
      </c>
      <c r="G498" s="219"/>
      <c r="H498" s="171">
        <v>80.0</v>
      </c>
      <c r="I498" s="171">
        <v>100.0</v>
      </c>
      <c r="J498" s="172">
        <f t="shared" si="24"/>
        <v>0.00129170133</v>
      </c>
      <c r="K498" s="173">
        <f t="shared" si="26"/>
        <v>1.485456529</v>
      </c>
      <c r="L498" s="174">
        <f t="shared" si="4"/>
        <v>6.992560491</v>
      </c>
      <c r="M498" s="175" t="str">
        <f t="shared" si="5"/>
        <v>markop</v>
      </c>
      <c r="N498" s="176">
        <f>IFERROR(__xludf.DUMMYFUNCTION("""COMPUTED_VALUE"""),17.0)</f>
        <v>17</v>
      </c>
      <c r="O498" s="176"/>
      <c r="P498" s="165" t="s">
        <v>486</v>
      </c>
      <c r="Q498" s="165" t="s">
        <v>441</v>
      </c>
      <c r="R498" s="176"/>
      <c r="S498" s="176"/>
      <c r="T498" s="176"/>
      <c r="U498" s="176"/>
      <c r="V498" s="176"/>
      <c r="W498" s="176"/>
      <c r="X498" s="176"/>
      <c r="Y498" s="176"/>
      <c r="Z498" s="176"/>
      <c r="AA498" s="176"/>
    </row>
    <row r="499">
      <c r="A499" s="165" t="str">
        <f>iferror(VLOOKUP(P499,'DO NOT TOUCH Imported'!$A$1:$D$800,4,False),iferror(VLOOKUP(P499,'DO NOT TOUCH Imported'!$C$1:$D$800,2,False),"OOPS FIX ME"))</f>
        <v>markop</v>
      </c>
      <c r="B499" s="165" t="s">
        <v>435</v>
      </c>
      <c r="C499" s="170" t="s">
        <v>1278</v>
      </c>
      <c r="D499" s="236" t="s">
        <v>437</v>
      </c>
      <c r="E499" s="237">
        <v>44288.0</v>
      </c>
      <c r="F499" s="170" t="s">
        <v>439</v>
      </c>
      <c r="G499" s="219"/>
      <c r="H499" s="171">
        <v>70.0</v>
      </c>
      <c r="I499" s="171">
        <v>50.0</v>
      </c>
      <c r="J499" s="172">
        <f t="shared" si="24"/>
        <v>0.0008628017785</v>
      </c>
      <c r="K499" s="173">
        <f t="shared" si="26"/>
        <v>0.9922220452</v>
      </c>
      <c r="L499" s="174">
        <f t="shared" si="4"/>
        <v>6.992560491</v>
      </c>
      <c r="M499" s="175" t="str">
        <f t="shared" si="5"/>
        <v>markop</v>
      </c>
      <c r="N499" s="176">
        <f>IFERROR(__xludf.DUMMYFUNCTION("""COMPUTED_VALUE"""),18.0)</f>
        <v>18</v>
      </c>
      <c r="O499" s="176"/>
      <c r="P499" s="165" t="s">
        <v>486</v>
      </c>
      <c r="Q499" s="165" t="s">
        <v>435</v>
      </c>
      <c r="R499" s="176"/>
      <c r="S499" s="176"/>
      <c r="T499" s="176"/>
      <c r="U499" s="176"/>
      <c r="V499" s="176"/>
      <c r="W499" s="176"/>
      <c r="X499" s="176"/>
      <c r="Y499" s="176"/>
      <c r="Z499" s="176"/>
      <c r="AA499" s="176"/>
    </row>
    <row r="500">
      <c r="A500" s="165" t="str">
        <f>iferror(VLOOKUP(P500,'DO NOT TOUCH Imported'!$A$1:$D$800,4,False),iferror(VLOOKUP(P500,'DO NOT TOUCH Imported'!$C$1:$D$800,2,False),"OOPS FIX ME"))</f>
        <v>markop</v>
      </c>
      <c r="B500" s="165" t="s">
        <v>441</v>
      </c>
      <c r="C500" s="170" t="s">
        <v>1005</v>
      </c>
      <c r="D500" s="236" t="s">
        <v>437</v>
      </c>
      <c r="E500" s="237">
        <v>44289.0</v>
      </c>
      <c r="F500" s="170" t="s">
        <v>439</v>
      </c>
      <c r="G500" s="219"/>
      <c r="H500" s="171">
        <v>60.0</v>
      </c>
      <c r="I500" s="171">
        <v>40.0</v>
      </c>
      <c r="J500" s="172">
        <f t="shared" si="24"/>
        <v>0.0007191682379</v>
      </c>
      <c r="K500" s="173">
        <f t="shared" si="26"/>
        <v>0.8270434736</v>
      </c>
      <c r="L500" s="174">
        <f t="shared" si="4"/>
        <v>6.992560491</v>
      </c>
      <c r="M500" s="175" t="str">
        <f t="shared" si="5"/>
        <v>markop</v>
      </c>
      <c r="N500" s="176">
        <f>IFERROR(__xludf.DUMMYFUNCTION("""COMPUTED_VALUE"""),19.0)</f>
        <v>19</v>
      </c>
      <c r="O500" s="176"/>
      <c r="P500" s="165" t="s">
        <v>486</v>
      </c>
      <c r="Q500" s="165" t="s">
        <v>441</v>
      </c>
      <c r="R500" s="176"/>
      <c r="S500" s="176"/>
      <c r="T500" s="176"/>
      <c r="U500" s="176"/>
      <c r="V500" s="176"/>
      <c r="W500" s="176"/>
      <c r="X500" s="176"/>
      <c r="Y500" s="176"/>
      <c r="Z500" s="176"/>
      <c r="AA500" s="176"/>
    </row>
    <row r="501">
      <c r="A501" s="165" t="str">
        <f>iferror(VLOOKUP(P501,'DO NOT TOUCH Imported'!$A$1:$D$800,4,False),iferror(VLOOKUP(P501,'DO NOT TOUCH Imported'!$C$1:$D$800,2,False),"OOPS FIX ME"))</f>
        <v>markop</v>
      </c>
      <c r="B501" s="165" t="s">
        <v>435</v>
      </c>
      <c r="C501" s="170" t="s">
        <v>1291</v>
      </c>
      <c r="D501" s="236" t="s">
        <v>499</v>
      </c>
      <c r="E501" s="237">
        <v>44289.0</v>
      </c>
      <c r="F501" s="170" t="s">
        <v>503</v>
      </c>
      <c r="G501" s="219"/>
      <c r="H501" s="171">
        <v>100.0</v>
      </c>
      <c r="I501" s="171">
        <v>100.0</v>
      </c>
      <c r="J501" s="172">
        <f t="shared" si="24"/>
        <v>0.001436335405</v>
      </c>
      <c r="K501" s="173">
        <f t="shared" si="26"/>
        <v>1.651785716</v>
      </c>
      <c r="L501" s="174">
        <f t="shared" si="4"/>
        <v>6.992560491</v>
      </c>
      <c r="M501" s="175" t="str">
        <f t="shared" si="5"/>
        <v>markop</v>
      </c>
      <c r="N501" s="176">
        <f>IFERROR(__xludf.DUMMYFUNCTION("""COMPUTED_VALUE"""),20.0)</f>
        <v>20</v>
      </c>
      <c r="O501" s="176"/>
      <c r="P501" s="165" t="s">
        <v>486</v>
      </c>
      <c r="Q501" s="165" t="s">
        <v>435</v>
      </c>
      <c r="R501" s="176"/>
      <c r="S501" s="176"/>
      <c r="T501" s="176"/>
      <c r="U501" s="176"/>
      <c r="V501" s="176"/>
      <c r="W501" s="176"/>
      <c r="X501" s="176"/>
      <c r="Y501" s="176"/>
      <c r="Z501" s="176"/>
      <c r="AA501" s="176"/>
    </row>
    <row r="502">
      <c r="A502" s="165" t="str">
        <f>iferror(VLOOKUP(P502,'DO NOT TOUCH Imported'!$A$1:$D$800,4,False),iferror(VLOOKUP(P502,'DO NOT TOUCH Imported'!$C$1:$D$800,2,False),"OOPS FIX ME"))</f>
        <v>markop</v>
      </c>
      <c r="B502" s="165" t="s">
        <v>20</v>
      </c>
      <c r="C502" s="170" t="s">
        <v>1446</v>
      </c>
      <c r="D502" s="236" t="s">
        <v>437</v>
      </c>
      <c r="E502" s="237">
        <v>44291.0</v>
      </c>
      <c r="F502" s="170" t="s">
        <v>439</v>
      </c>
      <c r="G502" s="219"/>
      <c r="H502" s="171">
        <v>80.0</v>
      </c>
      <c r="I502" s="171">
        <v>100.0</v>
      </c>
      <c r="J502" s="172">
        <f t="shared" si="24"/>
        <v>0.00129170133</v>
      </c>
      <c r="K502" s="173">
        <f t="shared" si="26"/>
        <v>1.485456529</v>
      </c>
      <c r="L502" s="174">
        <f t="shared" si="4"/>
        <v>6.992560491</v>
      </c>
      <c r="M502" s="175" t="str">
        <f t="shared" si="5"/>
        <v>markop</v>
      </c>
      <c r="N502" s="176">
        <f>IFERROR(__xludf.DUMMYFUNCTION("""COMPUTED_VALUE"""),21.0)</f>
        <v>21</v>
      </c>
      <c r="O502" s="176"/>
      <c r="P502" s="165" t="s">
        <v>486</v>
      </c>
      <c r="Q502" s="165" t="s">
        <v>20</v>
      </c>
      <c r="R502" s="176"/>
      <c r="S502" s="176"/>
      <c r="T502" s="176"/>
      <c r="U502" s="176"/>
      <c r="V502" s="176"/>
      <c r="W502" s="176"/>
      <c r="X502" s="176"/>
      <c r="Y502" s="176"/>
      <c r="Z502" s="176"/>
      <c r="AA502" s="176"/>
    </row>
    <row r="503">
      <c r="A503" s="165" t="str">
        <f>iferror(VLOOKUP(P503,'DO NOT TOUCH Imported'!$A$1:$D$800,4,False),iferror(VLOOKUP(P503,'DO NOT TOUCH Imported'!$C$1:$D$800,2,False),"OOPS FIX ME"))</f>
        <v>markop</v>
      </c>
      <c r="B503" s="165" t="s">
        <v>443</v>
      </c>
      <c r="C503" s="170" t="s">
        <v>1252</v>
      </c>
      <c r="D503" s="236" t="s">
        <v>437</v>
      </c>
      <c r="E503" s="237">
        <v>44291.0</v>
      </c>
      <c r="F503" s="170" t="s">
        <v>439</v>
      </c>
      <c r="G503" s="219"/>
      <c r="H503" s="171">
        <v>80.0</v>
      </c>
      <c r="I503" s="171">
        <v>80.0</v>
      </c>
      <c r="J503" s="172">
        <f t="shared" si="24"/>
        <v>0.001149068324</v>
      </c>
      <c r="K503" s="173">
        <f t="shared" si="26"/>
        <v>1.321428573</v>
      </c>
      <c r="L503" s="174">
        <f t="shared" si="4"/>
        <v>6.992560491</v>
      </c>
      <c r="M503" s="175" t="str">
        <f t="shared" si="5"/>
        <v>markop</v>
      </c>
      <c r="N503" s="176">
        <f>IFERROR(__xludf.DUMMYFUNCTION("""COMPUTED_VALUE"""),22.0)</f>
        <v>22</v>
      </c>
      <c r="O503" s="176"/>
      <c r="P503" s="165" t="s">
        <v>486</v>
      </c>
      <c r="Q503" s="165" t="s">
        <v>443</v>
      </c>
      <c r="R503" s="176"/>
      <c r="S503" s="176"/>
      <c r="T503" s="176"/>
      <c r="U503" s="176"/>
      <c r="V503" s="176"/>
      <c r="W503" s="176"/>
      <c r="X503" s="176"/>
      <c r="Y503" s="176"/>
      <c r="Z503" s="176"/>
      <c r="AA503" s="176"/>
    </row>
    <row r="504">
      <c r="A504" s="165" t="str">
        <f>iferror(VLOOKUP(P504,'DO NOT TOUCH Imported'!$A$1:$D$800,4,False),iferror(VLOOKUP(P504,'DO NOT TOUCH Imported'!$C$1:$D$800,2,False),"OOPS FIX ME"))</f>
        <v>markop</v>
      </c>
      <c r="B504" s="165" t="s">
        <v>450</v>
      </c>
      <c r="C504" s="170" t="s">
        <v>1447</v>
      </c>
      <c r="D504" s="236" t="s">
        <v>499</v>
      </c>
      <c r="E504" s="237">
        <v>44291.0</v>
      </c>
      <c r="F504" s="170" t="s">
        <v>503</v>
      </c>
      <c r="G504" s="219"/>
      <c r="H504" s="171">
        <v>90.0</v>
      </c>
      <c r="I504" s="171">
        <v>100.0</v>
      </c>
      <c r="J504" s="172">
        <f t="shared" si="24"/>
        <v>0.001364018367</v>
      </c>
      <c r="K504" s="173">
        <f t="shared" si="26"/>
        <v>1.568621123</v>
      </c>
      <c r="L504" s="174">
        <f t="shared" si="4"/>
        <v>6.992560491</v>
      </c>
      <c r="M504" s="175" t="str">
        <f t="shared" si="5"/>
        <v>markop</v>
      </c>
      <c r="N504" s="176">
        <f>IFERROR(__xludf.DUMMYFUNCTION("""COMPUTED_VALUE"""),23.0)</f>
        <v>23</v>
      </c>
      <c r="O504" s="176"/>
      <c r="P504" s="165" t="s">
        <v>486</v>
      </c>
      <c r="Q504" s="165" t="s">
        <v>450</v>
      </c>
      <c r="R504" s="176"/>
      <c r="S504" s="176"/>
      <c r="T504" s="176"/>
      <c r="U504" s="176"/>
      <c r="V504" s="176"/>
      <c r="W504" s="176"/>
      <c r="X504" s="176"/>
      <c r="Y504" s="176"/>
      <c r="Z504" s="176"/>
      <c r="AA504" s="176"/>
    </row>
    <row r="505">
      <c r="A505" s="165" t="str">
        <f>iferror(VLOOKUP(P505,'DO NOT TOUCH Imported'!$A$1:$D$800,4,False),iferror(VLOOKUP(P505,'DO NOT TOUCH Imported'!$C$1:$D$800,2,False),"OOPS FIX ME"))</f>
        <v>markop</v>
      </c>
      <c r="B505" s="165" t="s">
        <v>440</v>
      </c>
      <c r="C505" s="170" t="s">
        <v>1366</v>
      </c>
      <c r="D505" s="236" t="s">
        <v>437</v>
      </c>
      <c r="E505" s="237">
        <v>44292.0</v>
      </c>
      <c r="F505" s="170" t="s">
        <v>439</v>
      </c>
      <c r="G505" s="219"/>
      <c r="H505" s="171">
        <v>50.0</v>
      </c>
      <c r="I505" s="171">
        <v>50.0</v>
      </c>
      <c r="J505" s="172">
        <f t="shared" si="24"/>
        <v>0.0007181677027</v>
      </c>
      <c r="K505" s="173">
        <f t="shared" si="26"/>
        <v>0.8258928581</v>
      </c>
      <c r="L505" s="174">
        <f t="shared" si="4"/>
        <v>6.992560491</v>
      </c>
      <c r="M505" s="175" t="str">
        <f t="shared" si="5"/>
        <v>markop</v>
      </c>
      <c r="N505" s="176">
        <f>IFERROR(__xludf.DUMMYFUNCTION("""COMPUTED_VALUE"""),24.0)</f>
        <v>24</v>
      </c>
      <c r="O505" s="176"/>
      <c r="P505" s="165" t="s">
        <v>486</v>
      </c>
      <c r="Q505" s="165" t="s">
        <v>440</v>
      </c>
      <c r="R505" s="176"/>
      <c r="S505" s="176"/>
      <c r="T505" s="176"/>
      <c r="U505" s="176"/>
      <c r="V505" s="176"/>
      <c r="W505" s="176"/>
      <c r="X505" s="176"/>
      <c r="Y505" s="176"/>
      <c r="Z505" s="176"/>
      <c r="AA505" s="176"/>
    </row>
    <row r="506">
      <c r="A506" s="165" t="str">
        <f>iferror(VLOOKUP(P506,'DO NOT TOUCH Imported'!$A$1:$D$800,4,False),iferror(VLOOKUP(P506,'DO NOT TOUCH Imported'!$C$1:$D$800,2,False),"OOPS FIX ME"))</f>
        <v>markop</v>
      </c>
      <c r="B506" s="165" t="s">
        <v>440</v>
      </c>
      <c r="C506" s="170" t="s">
        <v>1257</v>
      </c>
      <c r="D506" s="236" t="s">
        <v>437</v>
      </c>
      <c r="E506" s="237">
        <v>44292.0</v>
      </c>
      <c r="F506" s="170" t="s">
        <v>439</v>
      </c>
      <c r="G506" s="219"/>
      <c r="H506" s="171">
        <v>70.0</v>
      </c>
      <c r="I506" s="171">
        <v>50.0</v>
      </c>
      <c r="J506" s="172">
        <f t="shared" si="24"/>
        <v>0.0008628017785</v>
      </c>
      <c r="K506" s="173">
        <f t="shared" si="26"/>
        <v>0.9922220452</v>
      </c>
      <c r="L506" s="174">
        <f t="shared" si="4"/>
        <v>6.992560491</v>
      </c>
      <c r="M506" s="175" t="str">
        <f t="shared" si="5"/>
        <v>markop</v>
      </c>
      <c r="N506" s="176">
        <f>IFERROR(__xludf.DUMMYFUNCTION("""COMPUTED_VALUE"""),25.0)</f>
        <v>25</v>
      </c>
      <c r="O506" s="176"/>
      <c r="P506" s="165" t="s">
        <v>486</v>
      </c>
      <c r="Q506" s="165" t="s">
        <v>440</v>
      </c>
      <c r="R506" s="176"/>
      <c r="S506" s="176"/>
      <c r="T506" s="176"/>
      <c r="U506" s="176"/>
      <c r="V506" s="176"/>
      <c r="W506" s="176"/>
      <c r="X506" s="176"/>
      <c r="Y506" s="176"/>
      <c r="Z506" s="176"/>
      <c r="AA506" s="176"/>
    </row>
    <row r="507">
      <c r="A507" s="165" t="str">
        <f>iferror(VLOOKUP(P507,'DO NOT TOUCH Imported'!$A$1:$D$800,4,False),iferror(VLOOKUP(P507,'DO NOT TOUCH Imported'!$C$1:$D$800,2,False),"OOPS FIX ME"))</f>
        <v>markop</v>
      </c>
      <c r="B507" s="165" t="s">
        <v>20</v>
      </c>
      <c r="C507" s="170" t="s">
        <v>1448</v>
      </c>
      <c r="D507" s="236" t="s">
        <v>437</v>
      </c>
      <c r="E507" s="237">
        <v>44293.0</v>
      </c>
      <c r="F507" s="170" t="s">
        <v>439</v>
      </c>
      <c r="G507" s="219"/>
      <c r="H507" s="171">
        <v>150.0</v>
      </c>
      <c r="I507" s="171">
        <v>150.0</v>
      </c>
      <c r="J507" s="172">
        <f t="shared" si="24"/>
        <v>0.002154503108</v>
      </c>
      <c r="K507" s="173">
        <f t="shared" si="26"/>
        <v>2.477678574</v>
      </c>
      <c r="L507" s="174">
        <f t="shared" si="4"/>
        <v>6.992560491</v>
      </c>
      <c r="M507" s="175" t="str">
        <f t="shared" si="5"/>
        <v>markop</v>
      </c>
      <c r="N507" s="176">
        <f>IFERROR(__xludf.DUMMYFUNCTION("""COMPUTED_VALUE"""),26.0)</f>
        <v>26</v>
      </c>
      <c r="O507" s="176"/>
      <c r="P507" s="165" t="s">
        <v>486</v>
      </c>
      <c r="Q507" s="165" t="s">
        <v>20</v>
      </c>
      <c r="R507" s="176"/>
      <c r="S507" s="176"/>
      <c r="T507" s="176"/>
      <c r="U507" s="176"/>
      <c r="V507" s="176"/>
      <c r="W507" s="176"/>
      <c r="X507" s="176"/>
      <c r="Y507" s="176"/>
      <c r="Z507" s="176"/>
      <c r="AA507" s="176"/>
    </row>
    <row r="508">
      <c r="A508" s="165" t="str">
        <f>iferror(VLOOKUP(P508,'DO NOT TOUCH Imported'!$A$1:$D$800,4,False),iferror(VLOOKUP(P508,'DO NOT TOUCH Imported'!$C$1:$D$800,2,False),"OOPS FIX ME"))</f>
        <v>markop</v>
      </c>
      <c r="B508" s="165" t="s">
        <v>67</v>
      </c>
      <c r="C508" s="170" t="s">
        <v>1354</v>
      </c>
      <c r="D508" s="236" t="s">
        <v>437</v>
      </c>
      <c r="E508" s="237">
        <v>44293.0</v>
      </c>
      <c r="F508" s="170" t="s">
        <v>439</v>
      </c>
      <c r="G508" s="219"/>
      <c r="H508" s="171">
        <v>70.0</v>
      </c>
      <c r="I508" s="171">
        <v>75.0</v>
      </c>
      <c r="J508" s="172">
        <f t="shared" si="24"/>
        <v>0.001041093035</v>
      </c>
      <c r="K508" s="173">
        <f t="shared" si="26"/>
        <v>1.19725699</v>
      </c>
      <c r="L508" s="174">
        <f t="shared" si="4"/>
        <v>6.992560491</v>
      </c>
      <c r="M508" s="175" t="str">
        <f t="shared" si="5"/>
        <v>markop</v>
      </c>
      <c r="N508" s="176">
        <f>IFERROR(__xludf.DUMMYFUNCTION("""COMPUTED_VALUE"""),27.0)</f>
        <v>27</v>
      </c>
      <c r="O508" s="176"/>
      <c r="P508" s="165" t="s">
        <v>486</v>
      </c>
      <c r="Q508" s="165" t="s">
        <v>67</v>
      </c>
      <c r="R508" s="176"/>
      <c r="S508" s="176"/>
      <c r="T508" s="176"/>
      <c r="U508" s="176"/>
      <c r="V508" s="176"/>
      <c r="W508" s="176"/>
      <c r="X508" s="176"/>
      <c r="Y508" s="176"/>
      <c r="Z508" s="176"/>
      <c r="AA508" s="176"/>
    </row>
    <row r="509">
      <c r="A509" s="165" t="str">
        <f>iferror(VLOOKUP(P509,'DO NOT TOUCH Imported'!$A$1:$D$800,4,False),iferror(VLOOKUP(P509,'DO NOT TOUCH Imported'!$C$1:$D$800,2,False),"OOPS FIX ME"))</f>
        <v>markop</v>
      </c>
      <c r="B509" s="165" t="s">
        <v>440</v>
      </c>
      <c r="C509" s="170" t="s">
        <v>1260</v>
      </c>
      <c r="D509" s="236" t="s">
        <v>437</v>
      </c>
      <c r="E509" s="237">
        <v>44293.0</v>
      </c>
      <c r="F509" s="170" t="s">
        <v>439</v>
      </c>
      <c r="G509" s="219"/>
      <c r="H509" s="171">
        <v>70.0</v>
      </c>
      <c r="I509" s="171">
        <v>50.0</v>
      </c>
      <c r="J509" s="172">
        <f t="shared" si="24"/>
        <v>0.0008628017785</v>
      </c>
      <c r="K509" s="173">
        <f t="shared" si="26"/>
        <v>0.9922220452</v>
      </c>
      <c r="L509" s="174">
        <f t="shared" si="4"/>
        <v>6.992560491</v>
      </c>
      <c r="M509" s="175" t="str">
        <f t="shared" si="5"/>
        <v>markop</v>
      </c>
      <c r="N509" s="176">
        <f>IFERROR(__xludf.DUMMYFUNCTION("""COMPUTED_VALUE"""),28.0)</f>
        <v>28</v>
      </c>
      <c r="O509" s="176"/>
      <c r="P509" s="165" t="s">
        <v>486</v>
      </c>
      <c r="Q509" s="165" t="s">
        <v>440</v>
      </c>
      <c r="R509" s="176"/>
      <c r="S509" s="176"/>
      <c r="T509" s="176"/>
      <c r="U509" s="176"/>
      <c r="V509" s="176"/>
      <c r="W509" s="176"/>
      <c r="X509" s="176"/>
      <c r="Y509" s="176"/>
      <c r="Z509" s="176"/>
      <c r="AA509" s="176"/>
    </row>
    <row r="510">
      <c r="A510" s="165" t="str">
        <f>iferror(VLOOKUP(P510,'DO NOT TOUCH Imported'!$A$1:$D$800,4,False),iferror(VLOOKUP(P510,'DO NOT TOUCH Imported'!$C$1:$D$800,2,False),"OOPS FIX ME"))</f>
        <v>markop</v>
      </c>
      <c r="B510" s="165" t="s">
        <v>20</v>
      </c>
      <c r="C510" s="170" t="s">
        <v>1449</v>
      </c>
      <c r="D510" s="236" t="s">
        <v>437</v>
      </c>
      <c r="E510" s="237">
        <v>44294.0</v>
      </c>
      <c r="F510" s="170" t="s">
        <v>439</v>
      </c>
      <c r="G510" s="219"/>
      <c r="H510" s="171">
        <v>100.0</v>
      </c>
      <c r="I510" s="171">
        <v>100.0</v>
      </c>
      <c r="J510" s="172">
        <f t="shared" si="24"/>
        <v>0.001436335405</v>
      </c>
      <c r="K510" s="173">
        <f t="shared" si="26"/>
        <v>1.651785716</v>
      </c>
      <c r="L510" s="174">
        <f t="shared" si="4"/>
        <v>6.992560491</v>
      </c>
      <c r="M510" s="175" t="str">
        <f t="shared" si="5"/>
        <v>markop</v>
      </c>
      <c r="N510" s="176">
        <f>IFERROR(__xludf.DUMMYFUNCTION("""COMPUTED_VALUE"""),29.0)</f>
        <v>29</v>
      </c>
      <c r="O510" s="176"/>
      <c r="P510" s="165" t="s">
        <v>486</v>
      </c>
      <c r="Q510" s="165" t="s">
        <v>20</v>
      </c>
      <c r="R510" s="176"/>
      <c r="S510" s="176"/>
      <c r="T510" s="176"/>
      <c r="U510" s="176"/>
      <c r="V510" s="176"/>
      <c r="W510" s="176"/>
      <c r="X510" s="176"/>
      <c r="Y510" s="176"/>
      <c r="Z510" s="176"/>
      <c r="AA510" s="176"/>
    </row>
    <row r="511">
      <c r="A511" s="165" t="str">
        <f>iferror(VLOOKUP(P511,'DO NOT TOUCH Imported'!$A$1:$D$800,4,False),iferror(VLOOKUP(P511,'DO NOT TOUCH Imported'!$C$1:$D$800,2,False),"OOPS FIX ME"))</f>
        <v>markop</v>
      </c>
      <c r="B511" s="165" t="s">
        <v>435</v>
      </c>
      <c r="C511" s="170" t="s">
        <v>1450</v>
      </c>
      <c r="D511" s="236" t="s">
        <v>437</v>
      </c>
      <c r="E511" s="237">
        <v>44294.0</v>
      </c>
      <c r="F511" s="170" t="s">
        <v>439</v>
      </c>
      <c r="G511" s="219"/>
      <c r="H511" s="171">
        <v>100.0</v>
      </c>
      <c r="I511" s="171">
        <v>100.0</v>
      </c>
      <c r="J511" s="172">
        <f t="shared" si="24"/>
        <v>0.001436335405</v>
      </c>
      <c r="K511" s="173">
        <f t="shared" si="26"/>
        <v>1.651785716</v>
      </c>
      <c r="L511" s="174">
        <f t="shared" si="4"/>
        <v>6.992560491</v>
      </c>
      <c r="M511" s="175" t="str">
        <f t="shared" si="5"/>
        <v>markop</v>
      </c>
      <c r="N511" s="176">
        <f>IFERROR(__xludf.DUMMYFUNCTION("""COMPUTED_VALUE"""),30.0)</f>
        <v>30</v>
      </c>
      <c r="O511" s="176"/>
      <c r="P511" s="165" t="s">
        <v>486</v>
      </c>
      <c r="Q511" s="165" t="s">
        <v>435</v>
      </c>
      <c r="R511" s="176"/>
      <c r="S511" s="176"/>
      <c r="T511" s="176"/>
      <c r="U511" s="176"/>
      <c r="V511" s="176"/>
      <c r="W511" s="176"/>
      <c r="X511" s="176"/>
      <c r="Y511" s="176"/>
      <c r="Z511" s="176"/>
      <c r="AA511" s="176"/>
    </row>
    <row r="512">
      <c r="A512" s="165" t="str">
        <f>iferror(VLOOKUP(P512,'DO NOT TOUCH Imported'!$A$1:$D$800,4,False),iferror(VLOOKUP(P512,'DO NOT TOUCH Imported'!$C$1:$D$800,2,False),"OOPS FIX ME"))</f>
        <v>markop</v>
      </c>
      <c r="B512" s="165" t="s">
        <v>441</v>
      </c>
      <c r="C512" s="170" t="s">
        <v>1263</v>
      </c>
      <c r="D512" s="236" t="s">
        <v>437</v>
      </c>
      <c r="E512" s="237">
        <v>44295.0</v>
      </c>
      <c r="F512" s="170" t="s">
        <v>439</v>
      </c>
      <c r="G512" s="219"/>
      <c r="H512" s="171">
        <v>100.0</v>
      </c>
      <c r="I512" s="171">
        <v>100.0</v>
      </c>
      <c r="J512" s="172">
        <f t="shared" si="24"/>
        <v>0.001436335405</v>
      </c>
      <c r="K512" s="173">
        <f t="shared" si="26"/>
        <v>1.651785716</v>
      </c>
      <c r="L512" s="174">
        <f t="shared" si="4"/>
        <v>6.992560491</v>
      </c>
      <c r="M512" s="175" t="str">
        <f t="shared" si="5"/>
        <v>markop</v>
      </c>
      <c r="N512" s="176">
        <f>IFERROR(__xludf.DUMMYFUNCTION("""COMPUTED_VALUE"""),31.0)</f>
        <v>31</v>
      </c>
      <c r="O512" s="176"/>
      <c r="P512" s="165" t="s">
        <v>486</v>
      </c>
      <c r="Q512" s="165" t="s">
        <v>441</v>
      </c>
      <c r="R512" s="176"/>
      <c r="S512" s="176"/>
      <c r="T512" s="176"/>
      <c r="U512" s="176"/>
      <c r="V512" s="176"/>
      <c r="W512" s="176"/>
      <c r="X512" s="176"/>
      <c r="Y512" s="176"/>
      <c r="Z512" s="176"/>
      <c r="AA512" s="176"/>
    </row>
    <row r="513">
      <c r="A513" s="165" t="str">
        <f>iferror(VLOOKUP(P513,'DO NOT TOUCH Imported'!$A$1:$D$800,4,False),iferror(VLOOKUP(P513,'DO NOT TOUCH Imported'!$C$1:$D$800,2,False),"OOPS FIX ME"))</f>
        <v>markop</v>
      </c>
      <c r="B513" s="165" t="s">
        <v>441</v>
      </c>
      <c r="C513" s="170" t="s">
        <v>1451</v>
      </c>
      <c r="D513" s="236" t="s">
        <v>437</v>
      </c>
      <c r="E513" s="237">
        <v>44295.0</v>
      </c>
      <c r="F513" s="170" t="s">
        <v>439</v>
      </c>
      <c r="G513" s="219"/>
      <c r="H513" s="171">
        <v>100.0</v>
      </c>
      <c r="I513" s="171">
        <v>100.0</v>
      </c>
      <c r="J513" s="172">
        <f t="shared" si="24"/>
        <v>0.001436335405</v>
      </c>
      <c r="K513" s="173">
        <f t="shared" si="26"/>
        <v>1.651785716</v>
      </c>
      <c r="L513" s="174">
        <f t="shared" si="4"/>
        <v>6.992560491</v>
      </c>
      <c r="M513" s="175" t="str">
        <f t="shared" si="5"/>
        <v>markop</v>
      </c>
      <c r="N513" s="176">
        <f>IFERROR(__xludf.DUMMYFUNCTION("""COMPUTED_VALUE"""),32.0)</f>
        <v>32</v>
      </c>
      <c r="O513" s="176"/>
      <c r="P513" s="165" t="s">
        <v>486</v>
      </c>
      <c r="Q513" s="165" t="s">
        <v>441</v>
      </c>
      <c r="R513" s="176"/>
      <c r="S513" s="176"/>
      <c r="T513" s="176"/>
      <c r="U513" s="176"/>
      <c r="V513" s="176"/>
      <c r="W513" s="176"/>
      <c r="X513" s="176"/>
      <c r="Y513" s="176"/>
      <c r="Z513" s="176"/>
      <c r="AA513" s="176"/>
    </row>
    <row r="514">
      <c r="A514" s="165" t="str">
        <f>iferror(VLOOKUP(P514,'DO NOT TOUCH Imported'!$A$1:$D$800,4,False),iferror(VLOOKUP(P514,'DO NOT TOUCH Imported'!$C$1:$D$800,2,False),"OOPS FIX ME"))</f>
        <v>markop</v>
      </c>
      <c r="B514" s="165" t="s">
        <v>441</v>
      </c>
      <c r="C514" s="170" t="s">
        <v>1452</v>
      </c>
      <c r="D514" s="236" t="s">
        <v>437</v>
      </c>
      <c r="E514" s="237">
        <v>44295.0</v>
      </c>
      <c r="F514" s="170" t="s">
        <v>439</v>
      </c>
      <c r="G514" s="219"/>
      <c r="H514" s="171">
        <v>70.0</v>
      </c>
      <c r="I514" s="171">
        <v>100.0</v>
      </c>
      <c r="J514" s="172">
        <f t="shared" si="24"/>
        <v>0.001219384292</v>
      </c>
      <c r="K514" s="173">
        <f t="shared" si="26"/>
        <v>1.402291935</v>
      </c>
      <c r="L514" s="174">
        <f t="shared" si="4"/>
        <v>6.992560491</v>
      </c>
      <c r="M514" s="175" t="str">
        <f t="shared" si="5"/>
        <v>markop</v>
      </c>
      <c r="N514" s="176">
        <f>IFERROR(__xludf.DUMMYFUNCTION("""COMPUTED_VALUE"""),33.0)</f>
        <v>33</v>
      </c>
      <c r="O514" s="176"/>
      <c r="P514" s="165" t="s">
        <v>486</v>
      </c>
      <c r="Q514" s="165" t="s">
        <v>441</v>
      </c>
      <c r="R514" s="176"/>
      <c r="S514" s="176"/>
      <c r="T514" s="176"/>
      <c r="U514" s="176"/>
      <c r="V514" s="176"/>
      <c r="W514" s="176"/>
      <c r="X514" s="176"/>
      <c r="Y514" s="176"/>
      <c r="Z514" s="176"/>
      <c r="AA514" s="176"/>
    </row>
    <row r="515">
      <c r="A515" s="165" t="str">
        <f>iferror(VLOOKUP(P515,'DO NOT TOUCH Imported'!$A$1:$D$800,4,False),iferror(VLOOKUP(P515,'DO NOT TOUCH Imported'!$C$1:$D$800,2,False),"OOPS FIX ME"))</f>
        <v>markop</v>
      </c>
      <c r="B515" s="165" t="s">
        <v>441</v>
      </c>
      <c r="C515" s="170" t="s">
        <v>1436</v>
      </c>
      <c r="D515" s="236" t="s">
        <v>437</v>
      </c>
      <c r="E515" s="237">
        <v>44295.0</v>
      </c>
      <c r="F515" s="170" t="s">
        <v>439</v>
      </c>
      <c r="G515" s="219"/>
      <c r="H515" s="171">
        <v>70.0</v>
      </c>
      <c r="I515" s="171">
        <v>80.0</v>
      </c>
      <c r="J515" s="172">
        <f t="shared" si="24"/>
        <v>0.001076751286</v>
      </c>
      <c r="K515" s="173">
        <f t="shared" si="26"/>
        <v>1.238263979</v>
      </c>
      <c r="L515" s="174">
        <f t="shared" si="4"/>
        <v>6.992560491</v>
      </c>
      <c r="M515" s="175" t="str">
        <f t="shared" si="5"/>
        <v>markop</v>
      </c>
      <c r="N515" s="176">
        <f>IFERROR(__xludf.DUMMYFUNCTION("""COMPUTED_VALUE"""),34.0)</f>
        <v>34</v>
      </c>
      <c r="O515" s="176"/>
      <c r="P515" s="165" t="s">
        <v>486</v>
      </c>
      <c r="Q515" s="165" t="s">
        <v>441</v>
      </c>
      <c r="R515" s="176"/>
      <c r="S515" s="176"/>
      <c r="T515" s="176"/>
      <c r="U515" s="176"/>
      <c r="V515" s="176"/>
      <c r="W515" s="176"/>
      <c r="X515" s="176"/>
      <c r="Y515" s="176"/>
      <c r="Z515" s="176"/>
      <c r="AA515" s="176"/>
    </row>
    <row r="516">
      <c r="A516" s="165" t="str">
        <f>iferror(VLOOKUP(P516,'DO NOT TOUCH Imported'!$A$1:$D$800,4,False),iferror(VLOOKUP(P516,'DO NOT TOUCH Imported'!$C$1:$D$800,2,False),"OOPS FIX ME"))</f>
        <v>markop</v>
      </c>
      <c r="B516" s="165" t="s">
        <v>441</v>
      </c>
      <c r="C516" s="170" t="s">
        <v>1453</v>
      </c>
      <c r="D516" s="236" t="s">
        <v>437</v>
      </c>
      <c r="E516" s="237">
        <v>44295.0</v>
      </c>
      <c r="F516" s="170" t="s">
        <v>439</v>
      </c>
      <c r="G516" s="219"/>
      <c r="H516" s="171">
        <v>100.0</v>
      </c>
      <c r="I516" s="171">
        <v>100.0</v>
      </c>
      <c r="J516" s="172">
        <f t="shared" si="24"/>
        <v>0.001436335405</v>
      </c>
      <c r="K516" s="173">
        <f t="shared" si="26"/>
        <v>1.651785716</v>
      </c>
      <c r="L516" s="174">
        <f t="shared" si="4"/>
        <v>6.992560491</v>
      </c>
      <c r="M516" s="175" t="str">
        <f t="shared" si="5"/>
        <v>markop</v>
      </c>
      <c r="N516" s="176">
        <f>IFERROR(__xludf.DUMMYFUNCTION("""COMPUTED_VALUE"""),35.0)</f>
        <v>35</v>
      </c>
      <c r="O516" s="176"/>
      <c r="P516" s="165" t="s">
        <v>486</v>
      </c>
      <c r="Q516" s="165" t="s">
        <v>441</v>
      </c>
      <c r="R516" s="176"/>
      <c r="S516" s="176"/>
      <c r="T516" s="176"/>
      <c r="U516" s="176"/>
      <c r="V516" s="176"/>
      <c r="W516" s="176"/>
      <c r="X516" s="176"/>
      <c r="Y516" s="176"/>
      <c r="Z516" s="176"/>
      <c r="AA516" s="176"/>
    </row>
    <row r="517">
      <c r="A517" s="165" t="str">
        <f>iferror(VLOOKUP(P517,'DO NOT TOUCH Imported'!$A$1:$D$800,4,False),iferror(VLOOKUP(P517,'DO NOT TOUCH Imported'!$C$1:$D$800,2,False),"OOPS FIX ME"))</f>
        <v>markop</v>
      </c>
      <c r="B517" s="165" t="s">
        <v>441</v>
      </c>
      <c r="C517" s="170" t="s">
        <v>1437</v>
      </c>
      <c r="D517" s="236" t="s">
        <v>437</v>
      </c>
      <c r="E517" s="237">
        <v>44295.0</v>
      </c>
      <c r="F517" s="170" t="s">
        <v>439</v>
      </c>
      <c r="G517" s="219"/>
      <c r="H517" s="171">
        <v>80.0</v>
      </c>
      <c r="I517" s="171">
        <v>100.0</v>
      </c>
      <c r="J517" s="172">
        <f t="shared" si="24"/>
        <v>0.00129170133</v>
      </c>
      <c r="K517" s="173">
        <f t="shared" si="26"/>
        <v>1.485456529</v>
      </c>
      <c r="L517" s="174">
        <f t="shared" si="4"/>
        <v>6.992560491</v>
      </c>
      <c r="M517" s="175" t="str">
        <f t="shared" si="5"/>
        <v>markop</v>
      </c>
      <c r="N517" s="176">
        <f>IFERROR(__xludf.DUMMYFUNCTION("""COMPUTED_VALUE"""),36.0)</f>
        <v>36</v>
      </c>
      <c r="O517" s="176"/>
      <c r="P517" s="165" t="s">
        <v>486</v>
      </c>
      <c r="Q517" s="165" t="s">
        <v>441</v>
      </c>
      <c r="R517" s="176"/>
      <c r="S517" s="176"/>
      <c r="T517" s="176"/>
      <c r="U517" s="176"/>
      <c r="V517" s="176"/>
      <c r="W517" s="176"/>
      <c r="X517" s="176"/>
      <c r="Y517" s="176"/>
      <c r="Z517" s="176"/>
      <c r="AA517" s="176"/>
    </row>
    <row r="518">
      <c r="A518" s="165" t="str">
        <f>iferror(VLOOKUP(P518,'DO NOT TOUCH Imported'!$A$1:$D$800,4,False),iferror(VLOOKUP(P518,'DO NOT TOUCH Imported'!$C$1:$D$800,2,False),"OOPS FIX ME"))</f>
        <v>markop</v>
      </c>
      <c r="B518" s="165" t="s">
        <v>20</v>
      </c>
      <c r="C518" s="170" t="s">
        <v>1454</v>
      </c>
      <c r="D518" s="236" t="s">
        <v>437</v>
      </c>
      <c r="E518" s="237">
        <v>44295.0</v>
      </c>
      <c r="F518" s="170" t="s">
        <v>439</v>
      </c>
      <c r="G518" s="219"/>
      <c r="H518" s="171">
        <v>80.0</v>
      </c>
      <c r="I518" s="171">
        <v>100.0</v>
      </c>
      <c r="J518" s="172">
        <f t="shared" si="24"/>
        <v>0.00129170133</v>
      </c>
      <c r="K518" s="173">
        <f t="shared" si="26"/>
        <v>1.485456529</v>
      </c>
      <c r="L518" s="174">
        <f t="shared" si="4"/>
        <v>6.992560491</v>
      </c>
      <c r="M518" s="175" t="str">
        <f t="shared" si="5"/>
        <v>markop</v>
      </c>
      <c r="N518" s="176">
        <f>IFERROR(__xludf.DUMMYFUNCTION("""COMPUTED_VALUE"""),37.0)</f>
        <v>37</v>
      </c>
      <c r="O518" s="176"/>
      <c r="P518" s="165" t="s">
        <v>486</v>
      </c>
      <c r="Q518" s="165" t="s">
        <v>20</v>
      </c>
      <c r="R518" s="176"/>
      <c r="S518" s="176"/>
      <c r="T518" s="176"/>
      <c r="U518" s="176"/>
      <c r="V518" s="176"/>
      <c r="W518" s="176"/>
      <c r="X518" s="176"/>
      <c r="Y518" s="176"/>
      <c r="Z518" s="176"/>
      <c r="AA518" s="176"/>
    </row>
    <row r="519">
      <c r="A519" s="165" t="str">
        <f>iferror(VLOOKUP(P519,'DO NOT TOUCH Imported'!$A$1:$D$800,4,False),iferror(VLOOKUP(P519,'DO NOT TOUCH Imported'!$C$1:$D$800,2,False),"OOPS FIX ME"))</f>
        <v>mzargham</v>
      </c>
      <c r="B519" s="165" t="s">
        <v>10</v>
      </c>
      <c r="C519" s="170" t="s">
        <v>500</v>
      </c>
      <c r="D519" s="236" t="s">
        <v>495</v>
      </c>
      <c r="E519" s="239">
        <v>44282.0</v>
      </c>
      <c r="F519" s="170" t="s">
        <v>496</v>
      </c>
      <c r="G519" s="219"/>
      <c r="H519" s="171">
        <v>20.0</v>
      </c>
      <c r="I519" s="171">
        <v>25.0</v>
      </c>
      <c r="J519" s="172">
        <f t="shared" si="24"/>
        <v>0.0003229253324</v>
      </c>
      <c r="K519" s="173">
        <f t="shared" si="26"/>
        <v>0.3713641322</v>
      </c>
      <c r="L519" s="174">
        <f t="shared" si="4"/>
        <v>6.857787261</v>
      </c>
      <c r="M519" s="175" t="str">
        <f t="shared" si="5"/>
        <v>mzargham</v>
      </c>
      <c r="N519" s="176">
        <f>IFERROR(__xludf.DUMMYFUNCTION("""COMPUTED_VALUE"""),1.0)</f>
        <v>1</v>
      </c>
      <c r="O519" s="176"/>
      <c r="P519" s="165" t="s">
        <v>19</v>
      </c>
      <c r="Q519" s="165" t="s">
        <v>10</v>
      </c>
      <c r="R519" s="176"/>
      <c r="S519" s="176"/>
      <c r="T519" s="176"/>
      <c r="U519" s="176"/>
      <c r="V519" s="176"/>
      <c r="W519" s="176"/>
      <c r="X519" s="176"/>
      <c r="Y519" s="176"/>
      <c r="Z519" s="176"/>
      <c r="AA519" s="176"/>
    </row>
    <row r="520">
      <c r="A520" s="165" t="str">
        <f>iferror(VLOOKUP(P520,'DO NOT TOUCH Imported'!$A$1:$D$800,4,False),iferror(VLOOKUP(P520,'DO NOT TOUCH Imported'!$C$1:$D$800,2,False),"OOPS FIX ME"))</f>
        <v>mzargham</v>
      </c>
      <c r="B520" s="165" t="s">
        <v>29</v>
      </c>
      <c r="C520" s="170" t="s">
        <v>1455</v>
      </c>
      <c r="D520" s="236" t="s">
        <v>495</v>
      </c>
      <c r="E520" s="239">
        <v>44287.0</v>
      </c>
      <c r="F520" s="170" t="s">
        <v>499</v>
      </c>
      <c r="G520" s="219"/>
      <c r="H520" s="171">
        <v>200.0</v>
      </c>
      <c r="I520" s="171">
        <v>200.0</v>
      </c>
      <c r="J520" s="172">
        <f t="shared" si="24"/>
        <v>0.002872670811</v>
      </c>
      <c r="K520" s="173">
        <f t="shared" si="26"/>
        <v>3.303571432</v>
      </c>
      <c r="L520" s="174">
        <f t="shared" si="4"/>
        <v>6.857787261</v>
      </c>
      <c r="M520" s="175" t="str">
        <f t="shared" si="5"/>
        <v>mzargham</v>
      </c>
      <c r="N520" s="176">
        <f>IFERROR(__xludf.DUMMYFUNCTION("""COMPUTED_VALUE"""),2.0)</f>
        <v>2</v>
      </c>
      <c r="O520" s="176"/>
      <c r="P520" s="165" t="s">
        <v>19</v>
      </c>
      <c r="Q520" s="165" t="s">
        <v>29</v>
      </c>
      <c r="R520" s="176"/>
      <c r="S520" s="176"/>
      <c r="T520" s="176"/>
      <c r="U520" s="176"/>
      <c r="V520" s="176"/>
      <c r="W520" s="176"/>
      <c r="X520" s="176"/>
      <c r="Y520" s="176"/>
      <c r="Z520" s="176"/>
      <c r="AA520" s="176"/>
    </row>
    <row r="521">
      <c r="A521" s="165" t="str">
        <f>iferror(VLOOKUP(P521,'DO NOT TOUCH Imported'!$A$1:$D$800,4,False),iferror(VLOOKUP(P521,'DO NOT TOUCH Imported'!$C$1:$D$800,2,False),"OOPS FIX ME"))</f>
        <v>mzargham</v>
      </c>
      <c r="B521" s="165" t="s">
        <v>10</v>
      </c>
      <c r="C521" s="170" t="s">
        <v>500</v>
      </c>
      <c r="D521" s="236" t="s">
        <v>495</v>
      </c>
      <c r="E521" s="239">
        <v>44289.0</v>
      </c>
      <c r="F521" s="170" t="s">
        <v>496</v>
      </c>
      <c r="G521" s="219"/>
      <c r="H521" s="171">
        <v>20.0</v>
      </c>
      <c r="I521" s="171">
        <v>15.0</v>
      </c>
      <c r="J521" s="172">
        <f t="shared" si="24"/>
        <v>0.0002516088297</v>
      </c>
      <c r="K521" s="173">
        <f t="shared" si="26"/>
        <v>0.2893501542</v>
      </c>
      <c r="L521" s="174">
        <f t="shared" si="4"/>
        <v>6.857787261</v>
      </c>
      <c r="M521" s="175" t="str">
        <f t="shared" si="5"/>
        <v>mzargham</v>
      </c>
      <c r="N521" s="176">
        <f>IFERROR(__xludf.DUMMYFUNCTION("""COMPUTED_VALUE"""),3.0)</f>
        <v>3</v>
      </c>
      <c r="O521" s="176"/>
      <c r="P521" s="165" t="s">
        <v>19</v>
      </c>
      <c r="Q521" s="165" t="s">
        <v>10</v>
      </c>
      <c r="R521" s="176"/>
      <c r="S521" s="176"/>
      <c r="T521" s="176"/>
      <c r="U521" s="176"/>
      <c r="V521" s="176"/>
      <c r="W521" s="176"/>
      <c r="X521" s="176"/>
      <c r="Y521" s="176"/>
      <c r="Z521" s="176"/>
      <c r="AA521" s="176"/>
    </row>
    <row r="522">
      <c r="A522" s="165" t="str">
        <f>iferror(VLOOKUP(P522,'DO NOT TOUCH Imported'!$A$1:$D$800,4,False),iferror(VLOOKUP(P522,'DO NOT TOUCH Imported'!$C$1:$D$800,2,False),"OOPS FIX ME"))</f>
        <v>mzargham</v>
      </c>
      <c r="B522" s="165" t="s">
        <v>566</v>
      </c>
      <c r="C522" s="170" t="s">
        <v>1382</v>
      </c>
      <c r="D522" s="236" t="s">
        <v>499</v>
      </c>
      <c r="E522" s="237">
        <v>44291.0</v>
      </c>
      <c r="F522" s="170" t="s">
        <v>503</v>
      </c>
      <c r="G522" s="219"/>
      <c r="H522" s="171">
        <v>200.0</v>
      </c>
      <c r="I522" s="171">
        <v>150.0</v>
      </c>
      <c r="J522" s="172">
        <f t="shared" si="24"/>
        <v>0.002516088297</v>
      </c>
      <c r="K522" s="173">
        <f t="shared" si="26"/>
        <v>2.893501542</v>
      </c>
      <c r="L522" s="174">
        <f t="shared" si="4"/>
        <v>6.857787261</v>
      </c>
      <c r="M522" s="175" t="str">
        <f t="shared" si="5"/>
        <v>mzargham</v>
      </c>
      <c r="N522" s="176">
        <f>IFERROR(__xludf.DUMMYFUNCTION("""COMPUTED_VALUE"""),4.0)</f>
        <v>4</v>
      </c>
      <c r="O522" s="176"/>
      <c r="P522" s="165" t="s">
        <v>1106</v>
      </c>
      <c r="Q522" s="165" t="s">
        <v>566</v>
      </c>
      <c r="R522" s="176"/>
      <c r="S522" s="176"/>
      <c r="T522" s="176"/>
      <c r="U522" s="176"/>
      <c r="V522" s="176"/>
      <c r="W522" s="176"/>
      <c r="X522" s="176"/>
      <c r="Y522" s="176"/>
      <c r="Z522" s="176"/>
      <c r="AA522" s="176"/>
    </row>
    <row r="523">
      <c r="A523" s="185" t="str">
        <f>iferror(VLOOKUP(P523,'DO NOT TOUCH Imported'!$A$1:$D$800,4,False),iferror(VLOOKUP(P523,'DO NOT TOUCH Imported'!$C$1:$D$800,2,False),"OOPS FIX ME"))</f>
        <v>chuygarcia92</v>
      </c>
      <c r="B523" s="185" t="s">
        <v>534</v>
      </c>
      <c r="C523" s="210" t="s">
        <v>717</v>
      </c>
      <c r="D523" s="187"/>
      <c r="E523" s="188"/>
      <c r="F523" s="189"/>
      <c r="G523" s="190"/>
      <c r="H523" s="190"/>
      <c r="I523" s="190"/>
      <c r="J523" s="172">
        <f t="shared" si="24"/>
        <v>0</v>
      </c>
      <c r="K523" s="192">
        <f>45.106*-0.85</f>
        <v>-38.3401</v>
      </c>
      <c r="L523" s="193">
        <f t="shared" si="4"/>
        <v>6.766306821</v>
      </c>
      <c r="M523" s="194" t="str">
        <f t="shared" si="5"/>
        <v>chuygarcia92</v>
      </c>
      <c r="N523" s="211">
        <f>IFERROR(__xludf.DUMMYFUNCTION("""COMPUTED_VALUE"""),1.0)</f>
        <v>1</v>
      </c>
      <c r="O523" s="195"/>
      <c r="P523" s="185" t="s">
        <v>63</v>
      </c>
      <c r="Q523" s="185" t="s">
        <v>534</v>
      </c>
      <c r="R523" s="195">
        <v>57.049855624848725</v>
      </c>
      <c r="S523" s="195"/>
      <c r="T523" s="195"/>
      <c r="U523" s="195"/>
      <c r="V523" s="195"/>
      <c r="W523" s="195"/>
      <c r="X523" s="195"/>
      <c r="Y523" s="195"/>
      <c r="Z523" s="195"/>
      <c r="AA523" s="176"/>
    </row>
    <row r="524">
      <c r="A524" s="165" t="str">
        <f>iferror(VLOOKUP(P524,'DO NOT TOUCH Imported'!$A$1:$D$800,4,False),iferror(VLOOKUP(P524,'DO NOT TOUCH Imported'!$C$1:$D$800,2,False),"OOPS FIX ME"))</f>
        <v>chuygarcia92</v>
      </c>
      <c r="B524" s="165" t="s">
        <v>519</v>
      </c>
      <c r="C524" s="170" t="s">
        <v>668</v>
      </c>
      <c r="D524" s="236" t="s">
        <v>495</v>
      </c>
      <c r="E524" s="239">
        <v>44286.0</v>
      </c>
      <c r="F524" s="170" t="s">
        <v>521</v>
      </c>
      <c r="G524" s="219"/>
      <c r="H524" s="171">
        <v>50.0</v>
      </c>
      <c r="I524" s="171">
        <v>50.0</v>
      </c>
      <c r="J524" s="172">
        <f t="shared" si="24"/>
        <v>0.0007181677027</v>
      </c>
      <c r="K524" s="173">
        <f t="shared" ref="K524:K561" si="27">J524*$J$1</f>
        <v>0.8258928581</v>
      </c>
      <c r="L524" s="174">
        <f t="shared" si="4"/>
        <v>6.766306821</v>
      </c>
      <c r="M524" s="175" t="str">
        <f t="shared" si="5"/>
        <v>chuygarcia92</v>
      </c>
      <c r="N524" s="176">
        <f>IFERROR(__xludf.DUMMYFUNCTION("""COMPUTED_VALUE"""),2.0)</f>
        <v>2</v>
      </c>
      <c r="O524" s="176"/>
      <c r="P524" s="165" t="s">
        <v>63</v>
      </c>
      <c r="Q524" s="165" t="s">
        <v>519</v>
      </c>
      <c r="R524" s="176"/>
      <c r="S524" s="176"/>
      <c r="T524" s="176"/>
      <c r="U524" s="176"/>
      <c r="V524" s="176"/>
      <c r="W524" s="176"/>
      <c r="X524" s="176"/>
      <c r="Y524" s="176"/>
      <c r="Z524" s="176"/>
      <c r="AA524" s="176"/>
    </row>
    <row r="525">
      <c r="A525" s="165" t="str">
        <f>iferror(VLOOKUP(P525,'DO NOT TOUCH Imported'!$A$1:$D$800,4,False),iferror(VLOOKUP(P525,'DO NOT TOUCH Imported'!$C$1:$D$800,2,False),"OOPS FIX ME"))</f>
        <v>chuygarcia92</v>
      </c>
      <c r="B525" s="165" t="s">
        <v>10</v>
      </c>
      <c r="C525" s="170" t="s">
        <v>1357</v>
      </c>
      <c r="D525" s="236" t="s">
        <v>495</v>
      </c>
      <c r="E525" s="239">
        <v>44288.0</v>
      </c>
      <c r="F525" s="170" t="s">
        <v>496</v>
      </c>
      <c r="G525" s="219"/>
      <c r="H525" s="171">
        <v>60.0</v>
      </c>
      <c r="I525" s="171">
        <v>80.0</v>
      </c>
      <c r="J525" s="172">
        <f t="shared" si="24"/>
        <v>0.001004434248</v>
      </c>
      <c r="K525" s="173">
        <f t="shared" si="27"/>
        <v>1.155099386</v>
      </c>
      <c r="L525" s="174">
        <f t="shared" si="4"/>
        <v>6.766306821</v>
      </c>
      <c r="M525" s="175" t="str">
        <f t="shared" si="5"/>
        <v>chuygarcia92</v>
      </c>
      <c r="N525" s="176">
        <f>IFERROR(__xludf.DUMMYFUNCTION("""COMPUTED_VALUE"""),3.0)</f>
        <v>3</v>
      </c>
      <c r="O525" s="176"/>
      <c r="P525" s="165" t="s">
        <v>63</v>
      </c>
      <c r="Q525" s="165" t="s">
        <v>10</v>
      </c>
      <c r="R525" s="176"/>
      <c r="S525" s="176"/>
      <c r="T525" s="176"/>
      <c r="U525" s="176"/>
      <c r="V525" s="176"/>
      <c r="W525" s="176"/>
      <c r="X525" s="176"/>
      <c r="Y525" s="176"/>
      <c r="Z525" s="176"/>
      <c r="AA525" s="176"/>
    </row>
    <row r="526">
      <c r="A526" s="165" t="str">
        <f>iferror(VLOOKUP(P526,'DO NOT TOUCH Imported'!$A$1:$D$800,4,False),iferror(VLOOKUP(P526,'DO NOT TOUCH Imported'!$C$1:$D$800,2,False),"OOPS FIX ME"))</f>
        <v>chuygarcia92</v>
      </c>
      <c r="B526" s="165" t="s">
        <v>63</v>
      </c>
      <c r="C526" s="170" t="s">
        <v>1456</v>
      </c>
      <c r="D526" s="236" t="s">
        <v>495</v>
      </c>
      <c r="E526" s="239">
        <v>44293.0</v>
      </c>
      <c r="F526" s="170" t="s">
        <v>627</v>
      </c>
      <c r="G526" s="219"/>
      <c r="H526" s="171">
        <v>150.0</v>
      </c>
      <c r="I526" s="171">
        <v>150.0</v>
      </c>
      <c r="J526" s="172">
        <f t="shared" si="24"/>
        <v>0.002154503108</v>
      </c>
      <c r="K526" s="173">
        <f t="shared" si="27"/>
        <v>2.477678574</v>
      </c>
      <c r="L526" s="174">
        <f t="shared" si="4"/>
        <v>6.766306821</v>
      </c>
      <c r="M526" s="175" t="str">
        <f t="shared" si="5"/>
        <v>chuygarcia92</v>
      </c>
      <c r="N526" s="176">
        <f>IFERROR(__xludf.DUMMYFUNCTION("""COMPUTED_VALUE"""),4.0)</f>
        <v>4</v>
      </c>
      <c r="O526" s="176"/>
      <c r="P526" s="165" t="s">
        <v>63</v>
      </c>
      <c r="Q526" s="165" t="s">
        <v>63</v>
      </c>
      <c r="R526" s="176"/>
      <c r="S526" s="176"/>
      <c r="T526" s="176"/>
      <c r="U526" s="176"/>
      <c r="V526" s="176"/>
      <c r="W526" s="176"/>
      <c r="X526" s="176"/>
      <c r="Y526" s="176"/>
      <c r="Z526" s="176"/>
      <c r="AA526" s="176"/>
    </row>
    <row r="527">
      <c r="A527" s="165" t="str">
        <f>iferror(VLOOKUP(P527,'DO NOT TOUCH Imported'!$A$1:$D$800,4,False),iferror(VLOOKUP(P527,'DO NOT TOUCH Imported'!$C$1:$D$800,2,False),"OOPS FIX ME"))</f>
        <v>chuygarcia92</v>
      </c>
      <c r="B527" s="165" t="s">
        <v>10</v>
      </c>
      <c r="C527" s="170" t="s">
        <v>1358</v>
      </c>
      <c r="D527" s="236" t="s">
        <v>495</v>
      </c>
      <c r="E527" s="239">
        <v>44295.0</v>
      </c>
      <c r="F527" s="170" t="s">
        <v>496</v>
      </c>
      <c r="G527" s="219"/>
      <c r="H527" s="171">
        <v>70.0</v>
      </c>
      <c r="I527" s="171">
        <v>75.0</v>
      </c>
      <c r="J527" s="172">
        <f t="shared" si="24"/>
        <v>0.001041093035</v>
      </c>
      <c r="K527" s="173">
        <f t="shared" si="27"/>
        <v>1.19725699</v>
      </c>
      <c r="L527" s="174">
        <f t="shared" si="4"/>
        <v>6.766306821</v>
      </c>
      <c r="M527" s="175" t="str">
        <f t="shared" si="5"/>
        <v>chuygarcia92</v>
      </c>
      <c r="N527" s="176">
        <f>IFERROR(__xludf.DUMMYFUNCTION("""COMPUTED_VALUE"""),5.0)</f>
        <v>5</v>
      </c>
      <c r="O527" s="176"/>
      <c r="P527" s="165" t="s">
        <v>63</v>
      </c>
      <c r="Q527" s="165" t="s">
        <v>10</v>
      </c>
      <c r="R527" s="176"/>
      <c r="S527" s="176"/>
      <c r="T527" s="176"/>
      <c r="U527" s="176"/>
      <c r="V527" s="176"/>
      <c r="W527" s="176"/>
      <c r="X527" s="176"/>
      <c r="Y527" s="176"/>
      <c r="Z527" s="176"/>
      <c r="AA527" s="176"/>
    </row>
    <row r="528">
      <c r="A528" s="165" t="str">
        <f>iferror(VLOOKUP(P528,'DO NOT TOUCH Imported'!$A$1:$D$800,4,False),iferror(VLOOKUP(P528,'DO NOT TOUCH Imported'!$C$1:$D$800,2,False),"OOPS FIX ME"))</f>
        <v>chuygarcia92</v>
      </c>
      <c r="B528" s="165" t="s">
        <v>10</v>
      </c>
      <c r="C528" s="170" t="s">
        <v>494</v>
      </c>
      <c r="D528" s="236" t="s">
        <v>495</v>
      </c>
      <c r="E528" s="239">
        <v>44295.0</v>
      </c>
      <c r="F528" s="170" t="s">
        <v>496</v>
      </c>
      <c r="G528" s="219"/>
      <c r="H528" s="171">
        <v>40.0</v>
      </c>
      <c r="I528" s="171">
        <v>40.0</v>
      </c>
      <c r="J528" s="172">
        <f t="shared" si="24"/>
        <v>0.0005745341621</v>
      </c>
      <c r="K528" s="173">
        <f t="shared" si="27"/>
        <v>0.6607142865</v>
      </c>
      <c r="L528" s="174">
        <f t="shared" si="4"/>
        <v>6.766306821</v>
      </c>
      <c r="M528" s="175" t="str">
        <f t="shared" si="5"/>
        <v>chuygarcia92</v>
      </c>
      <c r="N528" s="176">
        <f>IFERROR(__xludf.DUMMYFUNCTION("""COMPUTED_VALUE"""),6.0)</f>
        <v>6</v>
      </c>
      <c r="O528" s="176"/>
      <c r="P528" s="165" t="s">
        <v>63</v>
      </c>
      <c r="Q528" s="165" t="s">
        <v>10</v>
      </c>
      <c r="R528" s="176"/>
      <c r="S528" s="176"/>
      <c r="T528" s="176"/>
      <c r="U528" s="176"/>
      <c r="V528" s="176"/>
      <c r="W528" s="176"/>
      <c r="X528" s="176"/>
      <c r="Y528" s="176"/>
      <c r="Z528" s="176"/>
      <c r="AA528" s="176"/>
    </row>
    <row r="529">
      <c r="A529" s="165" t="str">
        <f>iferror(VLOOKUP(P529,'DO NOT TOUCH Imported'!$A$1:$D$800,4,False),iferror(VLOOKUP(P529,'DO NOT TOUCH Imported'!$C$1:$D$800,2,False),"OOPS FIX ME"))</f>
        <v>chuygarcia92</v>
      </c>
      <c r="B529" s="165" t="s">
        <v>441</v>
      </c>
      <c r="C529" s="170" t="s">
        <v>1235</v>
      </c>
      <c r="D529" s="236" t="s">
        <v>437</v>
      </c>
      <c r="E529" s="239">
        <v>44284.0</v>
      </c>
      <c r="F529" s="170" t="s">
        <v>439</v>
      </c>
      <c r="G529" s="219"/>
      <c r="H529" s="171">
        <v>60.0</v>
      </c>
      <c r="I529" s="171">
        <v>50.0</v>
      </c>
      <c r="J529" s="172">
        <f t="shared" si="24"/>
        <v>0.0007904847406</v>
      </c>
      <c r="K529" s="173">
        <f t="shared" si="27"/>
        <v>0.9090574516</v>
      </c>
      <c r="L529" s="174">
        <f t="shared" si="4"/>
        <v>6.766306821</v>
      </c>
      <c r="M529" s="175" t="str">
        <f t="shared" si="5"/>
        <v>chuygarcia92</v>
      </c>
      <c r="N529" s="176">
        <f>IFERROR(__xludf.DUMMYFUNCTION("""COMPUTED_VALUE"""),7.0)</f>
        <v>7</v>
      </c>
      <c r="O529" s="176"/>
      <c r="P529" s="165" t="s">
        <v>483</v>
      </c>
      <c r="Q529" s="165" t="s">
        <v>441</v>
      </c>
      <c r="R529" s="176"/>
      <c r="S529" s="176"/>
      <c r="T529" s="176"/>
      <c r="U529" s="176"/>
      <c r="V529" s="176"/>
      <c r="W529" s="176"/>
      <c r="X529" s="176"/>
      <c r="Y529" s="176"/>
      <c r="Z529" s="176"/>
      <c r="AA529" s="176"/>
    </row>
    <row r="530">
      <c r="A530" s="165" t="str">
        <f>iferror(VLOOKUP(P530,'DO NOT TOUCH Imported'!$A$1:$D$800,4,False),iferror(VLOOKUP(P530,'DO NOT TOUCH Imported'!$C$1:$D$800,2,False),"OOPS FIX ME"))</f>
        <v>chuygarcia92</v>
      </c>
      <c r="B530" s="165" t="s">
        <v>441</v>
      </c>
      <c r="C530" s="170" t="s">
        <v>1457</v>
      </c>
      <c r="D530" s="236" t="s">
        <v>437</v>
      </c>
      <c r="E530" s="239">
        <v>44284.0</v>
      </c>
      <c r="F530" s="170" t="s">
        <v>439</v>
      </c>
      <c r="G530" s="219"/>
      <c r="H530" s="171">
        <v>60.0</v>
      </c>
      <c r="I530" s="171">
        <v>50.0</v>
      </c>
      <c r="J530" s="172">
        <f t="shared" si="24"/>
        <v>0.0007904847406</v>
      </c>
      <c r="K530" s="173">
        <f t="shared" si="27"/>
        <v>0.9090574516</v>
      </c>
      <c r="L530" s="174">
        <f t="shared" si="4"/>
        <v>6.766306821</v>
      </c>
      <c r="M530" s="175" t="str">
        <f t="shared" si="5"/>
        <v>chuygarcia92</v>
      </c>
      <c r="N530" s="176">
        <f>IFERROR(__xludf.DUMMYFUNCTION("""COMPUTED_VALUE"""),8.0)</f>
        <v>8</v>
      </c>
      <c r="O530" s="176"/>
      <c r="P530" s="165" t="s">
        <v>483</v>
      </c>
      <c r="Q530" s="165" t="s">
        <v>441</v>
      </c>
      <c r="R530" s="176"/>
      <c r="S530" s="176"/>
      <c r="T530" s="176"/>
      <c r="U530" s="176"/>
      <c r="V530" s="176"/>
      <c r="W530" s="176"/>
      <c r="X530" s="176"/>
      <c r="Y530" s="176"/>
      <c r="Z530" s="176"/>
      <c r="AA530" s="176"/>
    </row>
    <row r="531">
      <c r="A531" s="165" t="str">
        <f>iferror(VLOOKUP(P531,'DO NOT TOUCH Imported'!$A$1:$D$800,4,False),iferror(VLOOKUP(P531,'DO NOT TOUCH Imported'!$C$1:$D$800,2,False),"OOPS FIX ME"))</f>
        <v>chuygarcia92</v>
      </c>
      <c r="B531" s="165" t="s">
        <v>441</v>
      </c>
      <c r="C531" s="170" t="s">
        <v>1432</v>
      </c>
      <c r="D531" s="236" t="s">
        <v>437</v>
      </c>
      <c r="E531" s="239">
        <v>44284.0</v>
      </c>
      <c r="F531" s="170" t="s">
        <v>439</v>
      </c>
      <c r="G531" s="219"/>
      <c r="H531" s="171">
        <v>100.0</v>
      </c>
      <c r="I531" s="171">
        <v>80.0</v>
      </c>
      <c r="J531" s="172">
        <f t="shared" si="24"/>
        <v>0.0012937024</v>
      </c>
      <c r="K531" s="173">
        <f t="shared" si="27"/>
        <v>1.48775776</v>
      </c>
      <c r="L531" s="174">
        <f t="shared" si="4"/>
        <v>6.766306821</v>
      </c>
      <c r="M531" s="175" t="str">
        <f t="shared" si="5"/>
        <v>chuygarcia92</v>
      </c>
      <c r="N531" s="176">
        <f>IFERROR(__xludf.DUMMYFUNCTION("""COMPUTED_VALUE"""),9.0)</f>
        <v>9</v>
      </c>
      <c r="O531" s="176"/>
      <c r="P531" s="165" t="s">
        <v>483</v>
      </c>
      <c r="Q531" s="165" t="s">
        <v>441</v>
      </c>
      <c r="R531" s="176"/>
      <c r="S531" s="176"/>
      <c r="T531" s="176"/>
      <c r="U531" s="176"/>
      <c r="V531" s="176"/>
      <c r="W531" s="176"/>
      <c r="X531" s="176"/>
      <c r="Y531" s="176"/>
      <c r="Z531" s="176"/>
      <c r="AA531" s="176"/>
    </row>
    <row r="532">
      <c r="A532" s="165" t="str">
        <f>iferror(VLOOKUP(P532,'DO NOT TOUCH Imported'!$A$1:$D$800,4,False),iferror(VLOOKUP(P532,'DO NOT TOUCH Imported'!$C$1:$D$800,2,False),"OOPS FIX ME"))</f>
        <v>chuygarcia92</v>
      </c>
      <c r="B532" s="165" t="s">
        <v>486</v>
      </c>
      <c r="C532" s="170" t="s">
        <v>1237</v>
      </c>
      <c r="D532" s="236" t="s">
        <v>437</v>
      </c>
      <c r="E532" s="239">
        <v>44285.0</v>
      </c>
      <c r="F532" s="170" t="s">
        <v>439</v>
      </c>
      <c r="G532" s="219"/>
      <c r="H532" s="171">
        <v>40.0</v>
      </c>
      <c r="I532" s="171">
        <v>50.0</v>
      </c>
      <c r="J532" s="172">
        <f t="shared" si="24"/>
        <v>0.0006458506648</v>
      </c>
      <c r="K532" s="173">
        <f t="shared" si="27"/>
        <v>0.7427282645</v>
      </c>
      <c r="L532" s="174">
        <f t="shared" si="4"/>
        <v>6.766306821</v>
      </c>
      <c r="M532" s="175" t="str">
        <f t="shared" si="5"/>
        <v>chuygarcia92</v>
      </c>
      <c r="N532" s="176">
        <f>IFERROR(__xludf.DUMMYFUNCTION("""COMPUTED_VALUE"""),10.0)</f>
        <v>10</v>
      </c>
      <c r="O532" s="176"/>
      <c r="P532" s="165" t="s">
        <v>483</v>
      </c>
      <c r="Q532" s="165" t="s">
        <v>486</v>
      </c>
      <c r="R532" s="176"/>
      <c r="S532" s="176"/>
      <c r="T532" s="176"/>
      <c r="U532" s="176"/>
      <c r="V532" s="176"/>
      <c r="W532" s="176"/>
      <c r="X532" s="176"/>
      <c r="Y532" s="176"/>
      <c r="Z532" s="176"/>
      <c r="AA532" s="176"/>
    </row>
    <row r="533">
      <c r="A533" s="165" t="str">
        <f>iferror(VLOOKUP(P533,'DO NOT TOUCH Imported'!$A$1:$D$800,4,False),iferror(VLOOKUP(P533,'DO NOT TOUCH Imported'!$C$1:$D$800,2,False),"OOPS FIX ME"))</f>
        <v>chuygarcia92</v>
      </c>
      <c r="B533" s="165" t="s">
        <v>490</v>
      </c>
      <c r="C533" s="170" t="s">
        <v>1342</v>
      </c>
      <c r="D533" s="236" t="s">
        <v>437</v>
      </c>
      <c r="E533" s="239">
        <v>44286.0</v>
      </c>
      <c r="F533" s="170" t="s">
        <v>439</v>
      </c>
      <c r="G533" s="219"/>
      <c r="H533" s="171">
        <v>60.0</v>
      </c>
      <c r="I533" s="171">
        <v>50.0</v>
      </c>
      <c r="J533" s="172">
        <f t="shared" si="24"/>
        <v>0.0007904847406</v>
      </c>
      <c r="K533" s="173">
        <f t="shared" si="27"/>
        <v>0.9090574516</v>
      </c>
      <c r="L533" s="174">
        <f t="shared" si="4"/>
        <v>6.766306821</v>
      </c>
      <c r="M533" s="175" t="str">
        <f t="shared" si="5"/>
        <v>chuygarcia92</v>
      </c>
      <c r="N533" s="176">
        <f>IFERROR(__xludf.DUMMYFUNCTION("""COMPUTED_VALUE"""),11.0)</f>
        <v>11</v>
      </c>
      <c r="O533" s="176"/>
      <c r="P533" s="165" t="s">
        <v>483</v>
      </c>
      <c r="Q533" s="165" t="s">
        <v>490</v>
      </c>
      <c r="R533" s="176"/>
      <c r="S533" s="176"/>
      <c r="T533" s="176"/>
      <c r="U533" s="176"/>
      <c r="V533" s="176"/>
      <c r="W533" s="176"/>
      <c r="X533" s="176"/>
      <c r="Y533" s="176"/>
      <c r="Z533" s="176"/>
      <c r="AA533" s="176"/>
    </row>
    <row r="534">
      <c r="A534" s="165" t="str">
        <f>iferror(VLOOKUP(P534,'DO NOT TOUCH Imported'!$A$1:$D$800,4,False),iferror(VLOOKUP(P534,'DO NOT TOUCH Imported'!$C$1:$D$800,2,False),"OOPS FIX ME"))</f>
        <v>chuygarcia92</v>
      </c>
      <c r="B534" s="165" t="s">
        <v>490</v>
      </c>
      <c r="C534" s="170" t="s">
        <v>1240</v>
      </c>
      <c r="D534" s="236" t="s">
        <v>437</v>
      </c>
      <c r="E534" s="239">
        <v>44286.0</v>
      </c>
      <c r="F534" s="170" t="s">
        <v>439</v>
      </c>
      <c r="G534" s="219"/>
      <c r="H534" s="171">
        <v>60.0</v>
      </c>
      <c r="I534" s="171">
        <v>50.0</v>
      </c>
      <c r="J534" s="172">
        <f t="shared" si="24"/>
        <v>0.0007904847406</v>
      </c>
      <c r="K534" s="173">
        <f t="shared" si="27"/>
        <v>0.9090574516</v>
      </c>
      <c r="L534" s="174">
        <f t="shared" si="4"/>
        <v>6.766306821</v>
      </c>
      <c r="M534" s="175" t="str">
        <f t="shared" si="5"/>
        <v>chuygarcia92</v>
      </c>
      <c r="N534" s="176">
        <f>IFERROR(__xludf.DUMMYFUNCTION("""COMPUTED_VALUE"""),12.0)</f>
        <v>12</v>
      </c>
      <c r="O534" s="176"/>
      <c r="P534" s="165" t="s">
        <v>483</v>
      </c>
      <c r="Q534" s="165" t="s">
        <v>490</v>
      </c>
      <c r="R534" s="176"/>
      <c r="S534" s="176"/>
      <c r="T534" s="176"/>
      <c r="U534" s="176"/>
      <c r="V534" s="176"/>
      <c r="W534" s="176"/>
      <c r="X534" s="176"/>
      <c r="Y534" s="176"/>
      <c r="Z534" s="176"/>
      <c r="AA534" s="176"/>
    </row>
    <row r="535">
      <c r="A535" s="165" t="str">
        <f>iferror(VLOOKUP(P535,'DO NOT TOUCH Imported'!$A$1:$D$800,4,False),iferror(VLOOKUP(P535,'DO NOT TOUCH Imported'!$C$1:$D$800,2,False),"OOPS FIX ME"))</f>
        <v>chuygarcia92</v>
      </c>
      <c r="B535" s="165" t="s">
        <v>46</v>
      </c>
      <c r="C535" s="170" t="s">
        <v>1388</v>
      </c>
      <c r="D535" s="236" t="s">
        <v>437</v>
      </c>
      <c r="E535" s="239">
        <v>44286.0</v>
      </c>
      <c r="F535" s="170" t="s">
        <v>439</v>
      </c>
      <c r="G535" s="219"/>
      <c r="H535" s="171">
        <v>60.0</v>
      </c>
      <c r="I535" s="171">
        <v>50.0</v>
      </c>
      <c r="J535" s="172">
        <f t="shared" si="24"/>
        <v>0.0007904847406</v>
      </c>
      <c r="K535" s="173">
        <f t="shared" si="27"/>
        <v>0.9090574516</v>
      </c>
      <c r="L535" s="174">
        <f t="shared" si="4"/>
        <v>6.766306821</v>
      </c>
      <c r="M535" s="175" t="str">
        <f t="shared" si="5"/>
        <v>chuygarcia92</v>
      </c>
      <c r="N535" s="176">
        <f>IFERROR(__xludf.DUMMYFUNCTION("""COMPUTED_VALUE"""),13.0)</f>
        <v>13</v>
      </c>
      <c r="O535" s="176"/>
      <c r="P535" s="165" t="s">
        <v>483</v>
      </c>
      <c r="Q535" s="165" t="s">
        <v>46</v>
      </c>
      <c r="R535" s="176"/>
      <c r="S535" s="176"/>
      <c r="T535" s="176"/>
      <c r="U535" s="176"/>
      <c r="V535" s="176"/>
      <c r="W535" s="176"/>
      <c r="X535" s="176"/>
      <c r="Y535" s="176"/>
      <c r="Z535" s="176"/>
      <c r="AA535" s="176"/>
    </row>
    <row r="536">
      <c r="A536" s="165" t="str">
        <f>iferror(VLOOKUP(P536,'DO NOT TOUCH Imported'!$A$1:$D$800,4,False),iferror(VLOOKUP(P536,'DO NOT TOUCH Imported'!$C$1:$D$800,2,False),"OOPS FIX ME"))</f>
        <v>chuygarcia92</v>
      </c>
      <c r="B536" s="165" t="s">
        <v>435</v>
      </c>
      <c r="C536" s="170" t="s">
        <v>1458</v>
      </c>
      <c r="D536" s="236" t="s">
        <v>437</v>
      </c>
      <c r="E536" s="239">
        <v>44287.0</v>
      </c>
      <c r="F536" s="170" t="s">
        <v>439</v>
      </c>
      <c r="G536" s="219"/>
      <c r="H536" s="171">
        <v>70.0</v>
      </c>
      <c r="I536" s="171">
        <v>100.0</v>
      </c>
      <c r="J536" s="172">
        <f t="shared" si="24"/>
        <v>0.001219384292</v>
      </c>
      <c r="K536" s="173">
        <f t="shared" si="27"/>
        <v>1.402291935</v>
      </c>
      <c r="L536" s="174">
        <f t="shared" si="4"/>
        <v>6.766306821</v>
      </c>
      <c r="M536" s="175" t="str">
        <f t="shared" si="5"/>
        <v>chuygarcia92</v>
      </c>
      <c r="N536" s="176">
        <f>IFERROR(__xludf.DUMMYFUNCTION("""COMPUTED_VALUE"""),14.0)</f>
        <v>14</v>
      </c>
      <c r="O536" s="176"/>
      <c r="P536" s="165" t="s">
        <v>483</v>
      </c>
      <c r="Q536" s="165" t="s">
        <v>435</v>
      </c>
      <c r="R536" s="176"/>
      <c r="S536" s="176"/>
      <c r="T536" s="176"/>
      <c r="U536" s="176"/>
      <c r="V536" s="176"/>
      <c r="W536" s="176"/>
      <c r="X536" s="176"/>
      <c r="Y536" s="176"/>
      <c r="Z536" s="176"/>
      <c r="AA536" s="176"/>
    </row>
    <row r="537">
      <c r="A537" s="165" t="str">
        <f>iferror(VLOOKUP(P537,'DO NOT TOUCH Imported'!$A$1:$D$800,4,False),iferror(VLOOKUP(P537,'DO NOT TOUCH Imported'!$C$1:$D$800,2,False),"OOPS FIX ME"))</f>
        <v>chuygarcia92</v>
      </c>
      <c r="B537" s="165" t="s">
        <v>443</v>
      </c>
      <c r="C537" s="170" t="s">
        <v>1245</v>
      </c>
      <c r="D537" s="236" t="s">
        <v>437</v>
      </c>
      <c r="E537" s="239">
        <v>44287.0</v>
      </c>
      <c r="F537" s="170" t="s">
        <v>439</v>
      </c>
      <c r="G537" s="219"/>
      <c r="H537" s="171">
        <v>70.0</v>
      </c>
      <c r="I537" s="171">
        <v>50.0</v>
      </c>
      <c r="J537" s="172">
        <f t="shared" si="24"/>
        <v>0.0008628017785</v>
      </c>
      <c r="K537" s="173">
        <f t="shared" si="27"/>
        <v>0.9922220452</v>
      </c>
      <c r="L537" s="174">
        <f t="shared" si="4"/>
        <v>6.766306821</v>
      </c>
      <c r="M537" s="175" t="str">
        <f t="shared" si="5"/>
        <v>chuygarcia92</v>
      </c>
      <c r="N537" s="176">
        <f>IFERROR(__xludf.DUMMYFUNCTION("""COMPUTED_VALUE"""),15.0)</f>
        <v>15</v>
      </c>
      <c r="O537" s="176"/>
      <c r="P537" s="165" t="s">
        <v>483</v>
      </c>
      <c r="Q537" s="165" t="s">
        <v>443</v>
      </c>
      <c r="R537" s="176"/>
      <c r="S537" s="176"/>
      <c r="T537" s="176"/>
      <c r="U537" s="176"/>
      <c r="V537" s="176"/>
      <c r="W537" s="176"/>
      <c r="X537" s="176"/>
      <c r="Y537" s="176"/>
      <c r="Z537" s="176"/>
      <c r="AA537" s="176"/>
    </row>
    <row r="538">
      <c r="A538" s="165" t="str">
        <f>iferror(VLOOKUP(P538,'DO NOT TOUCH Imported'!$A$1:$D$800,4,False),iferror(VLOOKUP(P538,'DO NOT TOUCH Imported'!$C$1:$D$800,2,False),"OOPS FIX ME"))</f>
        <v>chuygarcia92</v>
      </c>
      <c r="B538" s="165" t="s">
        <v>435</v>
      </c>
      <c r="C538" s="170" t="s">
        <v>1246</v>
      </c>
      <c r="D538" s="236" t="s">
        <v>437</v>
      </c>
      <c r="E538" s="239">
        <v>44287.0</v>
      </c>
      <c r="F538" s="170" t="s">
        <v>439</v>
      </c>
      <c r="G538" s="219"/>
      <c r="H538" s="171">
        <v>70.0</v>
      </c>
      <c r="I538" s="171">
        <v>50.0</v>
      </c>
      <c r="J538" s="172">
        <f t="shared" si="24"/>
        <v>0.0008628017785</v>
      </c>
      <c r="K538" s="173">
        <f t="shared" si="27"/>
        <v>0.9922220452</v>
      </c>
      <c r="L538" s="174">
        <f t="shared" si="4"/>
        <v>6.766306821</v>
      </c>
      <c r="M538" s="175" t="str">
        <f t="shared" si="5"/>
        <v>chuygarcia92</v>
      </c>
      <c r="N538" s="176">
        <f>IFERROR(__xludf.DUMMYFUNCTION("""COMPUTED_VALUE"""),16.0)</f>
        <v>16</v>
      </c>
      <c r="O538" s="176"/>
      <c r="P538" s="165" t="s">
        <v>483</v>
      </c>
      <c r="Q538" s="165" t="s">
        <v>435</v>
      </c>
      <c r="R538" s="176"/>
      <c r="S538" s="176"/>
      <c r="T538" s="176"/>
      <c r="U538" s="176"/>
      <c r="V538" s="176"/>
      <c r="W538" s="176"/>
      <c r="X538" s="176"/>
      <c r="Y538" s="176"/>
      <c r="Z538" s="176"/>
      <c r="AA538" s="176"/>
    </row>
    <row r="539">
      <c r="A539" s="165" t="str">
        <f>iferror(VLOOKUP(P539,'DO NOT TOUCH Imported'!$A$1:$D$800,4,False),iferror(VLOOKUP(P539,'DO NOT TOUCH Imported'!$C$1:$D$800,2,False),"OOPS FIX ME"))</f>
        <v>chuygarcia92</v>
      </c>
      <c r="B539" s="165" t="s">
        <v>441</v>
      </c>
      <c r="C539" s="170" t="s">
        <v>1459</v>
      </c>
      <c r="D539" s="236" t="s">
        <v>437</v>
      </c>
      <c r="E539" s="237">
        <v>44288.0</v>
      </c>
      <c r="F539" s="170" t="s">
        <v>439</v>
      </c>
      <c r="G539" s="219"/>
      <c r="H539" s="171">
        <v>100.0</v>
      </c>
      <c r="I539" s="171">
        <v>100.0</v>
      </c>
      <c r="J539" s="172">
        <f t="shared" si="24"/>
        <v>0.001436335405</v>
      </c>
      <c r="K539" s="173">
        <f t="shared" si="27"/>
        <v>1.651785716</v>
      </c>
      <c r="L539" s="174">
        <f t="shared" si="4"/>
        <v>6.766306821</v>
      </c>
      <c r="M539" s="175" t="str">
        <f t="shared" si="5"/>
        <v>chuygarcia92</v>
      </c>
      <c r="N539" s="176">
        <f>IFERROR(__xludf.DUMMYFUNCTION("""COMPUTED_VALUE"""),17.0)</f>
        <v>17</v>
      </c>
      <c r="O539" s="176"/>
      <c r="P539" s="165" t="s">
        <v>483</v>
      </c>
      <c r="Q539" s="165" t="s">
        <v>441</v>
      </c>
      <c r="R539" s="176"/>
      <c r="S539" s="176"/>
      <c r="T539" s="176"/>
      <c r="U539" s="176"/>
      <c r="V539" s="176"/>
      <c r="W539" s="176"/>
      <c r="X539" s="176"/>
      <c r="Y539" s="176"/>
      <c r="Z539" s="176"/>
      <c r="AA539" s="176"/>
    </row>
    <row r="540">
      <c r="A540" s="165" t="str">
        <f>iferror(VLOOKUP(P540,'DO NOT TOUCH Imported'!$A$1:$D$800,4,False),iferror(VLOOKUP(P540,'DO NOT TOUCH Imported'!$C$1:$D$800,2,False),"OOPS FIX ME"))</f>
        <v>chuygarcia92</v>
      </c>
      <c r="B540" s="165" t="s">
        <v>441</v>
      </c>
      <c r="C540" s="170" t="s">
        <v>1409</v>
      </c>
      <c r="D540" s="236" t="s">
        <v>437</v>
      </c>
      <c r="E540" s="237">
        <v>44288.0</v>
      </c>
      <c r="F540" s="170" t="s">
        <v>439</v>
      </c>
      <c r="G540" s="219"/>
      <c r="H540" s="171">
        <v>70.0</v>
      </c>
      <c r="I540" s="171">
        <v>75.0</v>
      </c>
      <c r="J540" s="172">
        <f t="shared" si="24"/>
        <v>0.001041093035</v>
      </c>
      <c r="K540" s="173">
        <f t="shared" si="27"/>
        <v>1.19725699</v>
      </c>
      <c r="L540" s="174">
        <f t="shared" si="4"/>
        <v>6.766306821</v>
      </c>
      <c r="M540" s="175" t="str">
        <f t="shared" si="5"/>
        <v>chuygarcia92</v>
      </c>
      <c r="N540" s="176">
        <f>IFERROR(__xludf.DUMMYFUNCTION("""COMPUTED_VALUE"""),18.0)</f>
        <v>18</v>
      </c>
      <c r="O540" s="176"/>
      <c r="P540" s="165" t="s">
        <v>483</v>
      </c>
      <c r="Q540" s="165" t="s">
        <v>441</v>
      </c>
      <c r="R540" s="176"/>
      <c r="S540" s="176"/>
      <c r="T540" s="176"/>
      <c r="U540" s="176"/>
      <c r="V540" s="176"/>
      <c r="W540" s="176"/>
      <c r="X540" s="176"/>
      <c r="Y540" s="176"/>
      <c r="Z540" s="176"/>
      <c r="AA540" s="176"/>
    </row>
    <row r="541">
      <c r="A541" s="165" t="str">
        <f>iferror(VLOOKUP(P541,'DO NOT TOUCH Imported'!$A$1:$D$800,4,False),iferror(VLOOKUP(P541,'DO NOT TOUCH Imported'!$C$1:$D$800,2,False),"OOPS FIX ME"))</f>
        <v>chuygarcia92</v>
      </c>
      <c r="B541" s="165" t="s">
        <v>441</v>
      </c>
      <c r="C541" s="170" t="s">
        <v>1250</v>
      </c>
      <c r="D541" s="236" t="s">
        <v>437</v>
      </c>
      <c r="E541" s="237">
        <v>44288.0</v>
      </c>
      <c r="F541" s="170" t="s">
        <v>439</v>
      </c>
      <c r="G541" s="219"/>
      <c r="H541" s="171">
        <v>40.0</v>
      </c>
      <c r="I541" s="171">
        <v>50.0</v>
      </c>
      <c r="J541" s="172">
        <f t="shared" si="24"/>
        <v>0.0006458506648</v>
      </c>
      <c r="K541" s="173">
        <f t="shared" si="27"/>
        <v>0.7427282645</v>
      </c>
      <c r="L541" s="174">
        <f t="shared" si="4"/>
        <v>6.766306821</v>
      </c>
      <c r="M541" s="175" t="str">
        <f t="shared" si="5"/>
        <v>chuygarcia92</v>
      </c>
      <c r="N541" s="176">
        <f>IFERROR(__xludf.DUMMYFUNCTION("""COMPUTED_VALUE"""),19.0)</f>
        <v>19</v>
      </c>
      <c r="O541" s="176"/>
      <c r="P541" s="165" t="s">
        <v>483</v>
      </c>
      <c r="Q541" s="165" t="s">
        <v>441</v>
      </c>
      <c r="R541" s="176"/>
      <c r="S541" s="176"/>
      <c r="T541" s="176"/>
      <c r="U541" s="176"/>
      <c r="V541" s="176"/>
      <c r="W541" s="176"/>
      <c r="X541" s="176"/>
      <c r="Y541" s="176"/>
      <c r="Z541" s="176"/>
      <c r="AA541" s="176"/>
    </row>
    <row r="542">
      <c r="A542" s="165" t="str">
        <f>iferror(VLOOKUP(P542,'DO NOT TOUCH Imported'!$A$1:$D$800,4,False),iferror(VLOOKUP(P542,'DO NOT TOUCH Imported'!$C$1:$D$800,2,False),"OOPS FIX ME"))</f>
        <v>chuygarcia92</v>
      </c>
      <c r="B542" s="165" t="s">
        <v>576</v>
      </c>
      <c r="C542" s="170" t="s">
        <v>1276</v>
      </c>
      <c r="D542" s="236" t="s">
        <v>437</v>
      </c>
      <c r="E542" s="237">
        <v>44288.0</v>
      </c>
      <c r="F542" s="170" t="s">
        <v>1110</v>
      </c>
      <c r="G542" s="219"/>
      <c r="H542" s="171">
        <v>100.0</v>
      </c>
      <c r="I542" s="171">
        <v>50.0</v>
      </c>
      <c r="J542" s="172">
        <f t="shared" si="24"/>
        <v>0.001079752892</v>
      </c>
      <c r="K542" s="173">
        <f t="shared" si="27"/>
        <v>1.241715826</v>
      </c>
      <c r="L542" s="174">
        <f t="shared" si="4"/>
        <v>6.766306821</v>
      </c>
      <c r="M542" s="175" t="str">
        <f t="shared" si="5"/>
        <v>chuygarcia92</v>
      </c>
      <c r="N542" s="176">
        <f>IFERROR(__xludf.DUMMYFUNCTION("""COMPUTED_VALUE"""),20.0)</f>
        <v>20</v>
      </c>
      <c r="O542" s="176"/>
      <c r="P542" s="165" t="s">
        <v>483</v>
      </c>
      <c r="Q542" s="165" t="s">
        <v>576</v>
      </c>
      <c r="R542" s="176"/>
      <c r="S542" s="176"/>
      <c r="T542" s="176"/>
      <c r="U542" s="176"/>
      <c r="V542" s="176"/>
      <c r="W542" s="176"/>
      <c r="X542" s="176"/>
      <c r="Y542" s="176"/>
      <c r="Z542" s="176"/>
      <c r="AA542" s="176"/>
    </row>
    <row r="543">
      <c r="A543" s="165" t="str">
        <f>iferror(VLOOKUP(P543,'DO NOT TOUCH Imported'!$A$1:$D$800,4,False),iferror(VLOOKUP(P543,'DO NOT TOUCH Imported'!$C$1:$D$800,2,False),"OOPS FIX ME"))</f>
        <v>chuygarcia92</v>
      </c>
      <c r="B543" s="165" t="s">
        <v>435</v>
      </c>
      <c r="C543" s="170" t="s">
        <v>1278</v>
      </c>
      <c r="D543" s="236" t="s">
        <v>437</v>
      </c>
      <c r="E543" s="237">
        <v>44288.0</v>
      </c>
      <c r="F543" s="170" t="s">
        <v>439</v>
      </c>
      <c r="G543" s="219"/>
      <c r="H543" s="171">
        <v>70.0</v>
      </c>
      <c r="I543" s="171">
        <v>50.0</v>
      </c>
      <c r="J543" s="172">
        <f t="shared" si="24"/>
        <v>0.0008628017785</v>
      </c>
      <c r="K543" s="173">
        <f t="shared" si="27"/>
        <v>0.9922220452</v>
      </c>
      <c r="L543" s="174">
        <f t="shared" si="4"/>
        <v>6.766306821</v>
      </c>
      <c r="M543" s="175" t="str">
        <f t="shared" si="5"/>
        <v>chuygarcia92</v>
      </c>
      <c r="N543" s="176">
        <f>IFERROR(__xludf.DUMMYFUNCTION("""COMPUTED_VALUE"""),21.0)</f>
        <v>21</v>
      </c>
      <c r="O543" s="176"/>
      <c r="P543" s="165" t="s">
        <v>483</v>
      </c>
      <c r="Q543" s="165" t="s">
        <v>435</v>
      </c>
      <c r="R543" s="176"/>
      <c r="S543" s="176"/>
      <c r="T543" s="176"/>
      <c r="U543" s="176"/>
      <c r="V543" s="176"/>
      <c r="W543" s="176"/>
      <c r="X543" s="176"/>
      <c r="Y543" s="176"/>
      <c r="Z543" s="176"/>
      <c r="AA543" s="176"/>
    </row>
    <row r="544">
      <c r="A544" s="165" t="str">
        <f>iferror(VLOOKUP(P544,'DO NOT TOUCH Imported'!$A$1:$D$800,4,False),iferror(VLOOKUP(P544,'DO NOT TOUCH Imported'!$C$1:$D$800,2,False),"OOPS FIX ME"))</f>
        <v>chuygarcia92</v>
      </c>
      <c r="B544" s="165" t="s">
        <v>435</v>
      </c>
      <c r="C544" s="170" t="s">
        <v>1291</v>
      </c>
      <c r="D544" s="236" t="s">
        <v>499</v>
      </c>
      <c r="E544" s="237">
        <v>44289.0</v>
      </c>
      <c r="F544" s="170" t="s">
        <v>503</v>
      </c>
      <c r="G544" s="219"/>
      <c r="H544" s="171">
        <v>100.0</v>
      </c>
      <c r="I544" s="171">
        <v>100.0</v>
      </c>
      <c r="J544" s="172">
        <f t="shared" si="24"/>
        <v>0.001436335405</v>
      </c>
      <c r="K544" s="173">
        <f t="shared" si="27"/>
        <v>1.651785716</v>
      </c>
      <c r="L544" s="174">
        <f t="shared" si="4"/>
        <v>6.766306821</v>
      </c>
      <c r="M544" s="175" t="str">
        <f t="shared" si="5"/>
        <v>chuygarcia92</v>
      </c>
      <c r="N544" s="176">
        <f>IFERROR(__xludf.DUMMYFUNCTION("""COMPUTED_VALUE"""),22.0)</f>
        <v>22</v>
      </c>
      <c r="O544" s="176"/>
      <c r="P544" s="165" t="s">
        <v>483</v>
      </c>
      <c r="Q544" s="165" t="s">
        <v>435</v>
      </c>
      <c r="R544" s="176"/>
      <c r="S544" s="176"/>
      <c r="T544" s="176"/>
      <c r="U544" s="176"/>
      <c r="V544" s="176"/>
      <c r="W544" s="176"/>
      <c r="X544" s="176"/>
      <c r="Y544" s="176"/>
      <c r="Z544" s="176"/>
      <c r="AA544" s="176"/>
    </row>
    <row r="545">
      <c r="A545" s="165" t="str">
        <f>iferror(VLOOKUP(P545,'DO NOT TOUCH Imported'!$A$1:$D$800,4,False),iferror(VLOOKUP(P545,'DO NOT TOUCH Imported'!$C$1:$D$800,2,False),"OOPS FIX ME"))</f>
        <v>chuygarcia92</v>
      </c>
      <c r="B545" s="165" t="s">
        <v>441</v>
      </c>
      <c r="C545" s="170" t="s">
        <v>1251</v>
      </c>
      <c r="D545" s="236" t="s">
        <v>437</v>
      </c>
      <c r="E545" s="237">
        <v>44291.0</v>
      </c>
      <c r="F545" s="170" t="s">
        <v>439</v>
      </c>
      <c r="G545" s="219"/>
      <c r="H545" s="171">
        <v>70.0</v>
      </c>
      <c r="I545" s="171">
        <v>50.0</v>
      </c>
      <c r="J545" s="172">
        <f t="shared" si="24"/>
        <v>0.0008628017785</v>
      </c>
      <c r="K545" s="173">
        <f t="shared" si="27"/>
        <v>0.9922220452</v>
      </c>
      <c r="L545" s="174">
        <f t="shared" si="4"/>
        <v>6.766306821</v>
      </c>
      <c r="M545" s="175" t="str">
        <f t="shared" si="5"/>
        <v>chuygarcia92</v>
      </c>
      <c r="N545" s="176">
        <f>IFERROR(__xludf.DUMMYFUNCTION("""COMPUTED_VALUE"""),23.0)</f>
        <v>23</v>
      </c>
      <c r="O545" s="176"/>
      <c r="P545" s="165" t="s">
        <v>483</v>
      </c>
      <c r="Q545" s="165" t="s">
        <v>441</v>
      </c>
      <c r="R545" s="176"/>
      <c r="S545" s="176"/>
      <c r="T545" s="176"/>
      <c r="U545" s="176"/>
      <c r="V545" s="176"/>
      <c r="W545" s="176"/>
      <c r="X545" s="176"/>
      <c r="Y545" s="176"/>
      <c r="Z545" s="176"/>
      <c r="AA545" s="176"/>
    </row>
    <row r="546">
      <c r="A546" s="165" t="str">
        <f>iferror(VLOOKUP(P546,'DO NOT TOUCH Imported'!$A$1:$D$800,4,False),iferror(VLOOKUP(P546,'DO NOT TOUCH Imported'!$C$1:$D$800,2,False),"OOPS FIX ME"))</f>
        <v>chuygarcia92</v>
      </c>
      <c r="B546" s="165" t="s">
        <v>443</v>
      </c>
      <c r="C546" s="170" t="s">
        <v>1428</v>
      </c>
      <c r="D546" s="236" t="s">
        <v>437</v>
      </c>
      <c r="E546" s="237">
        <v>44291.0</v>
      </c>
      <c r="F546" s="170" t="s">
        <v>439</v>
      </c>
      <c r="G546" s="219"/>
      <c r="H546" s="171">
        <v>100.0</v>
      </c>
      <c r="I546" s="171">
        <v>80.0</v>
      </c>
      <c r="J546" s="172">
        <f t="shared" si="24"/>
        <v>0.0012937024</v>
      </c>
      <c r="K546" s="173">
        <f t="shared" si="27"/>
        <v>1.48775776</v>
      </c>
      <c r="L546" s="174">
        <f t="shared" si="4"/>
        <v>6.766306821</v>
      </c>
      <c r="M546" s="175" t="str">
        <f t="shared" si="5"/>
        <v>chuygarcia92</v>
      </c>
      <c r="N546" s="176">
        <f>IFERROR(__xludf.DUMMYFUNCTION("""COMPUTED_VALUE"""),24.0)</f>
        <v>24</v>
      </c>
      <c r="O546" s="176"/>
      <c r="P546" s="165" t="s">
        <v>483</v>
      </c>
      <c r="Q546" s="165" t="s">
        <v>443</v>
      </c>
      <c r="R546" s="176"/>
      <c r="S546" s="176"/>
      <c r="T546" s="176"/>
      <c r="U546" s="176"/>
      <c r="V546" s="176"/>
      <c r="W546" s="176"/>
      <c r="X546" s="176"/>
      <c r="Y546" s="176"/>
      <c r="Z546" s="176"/>
      <c r="AA546" s="176"/>
    </row>
    <row r="547">
      <c r="A547" s="165" t="str">
        <f>iferror(VLOOKUP(P547,'DO NOT TOUCH Imported'!$A$1:$D$800,4,False),iferror(VLOOKUP(P547,'DO NOT TOUCH Imported'!$C$1:$D$800,2,False),"OOPS FIX ME"))</f>
        <v>chuygarcia92</v>
      </c>
      <c r="B547" s="165" t="s">
        <v>443</v>
      </c>
      <c r="C547" s="170" t="s">
        <v>1252</v>
      </c>
      <c r="D547" s="236" t="s">
        <v>437</v>
      </c>
      <c r="E547" s="237">
        <v>44291.0</v>
      </c>
      <c r="F547" s="170" t="s">
        <v>439</v>
      </c>
      <c r="G547" s="219"/>
      <c r="H547" s="171">
        <v>100.0</v>
      </c>
      <c r="I547" s="171">
        <v>80.0</v>
      </c>
      <c r="J547" s="172">
        <f t="shared" si="24"/>
        <v>0.0012937024</v>
      </c>
      <c r="K547" s="173">
        <f t="shared" si="27"/>
        <v>1.48775776</v>
      </c>
      <c r="L547" s="174">
        <f t="shared" si="4"/>
        <v>6.766306821</v>
      </c>
      <c r="M547" s="175" t="str">
        <f t="shared" si="5"/>
        <v>chuygarcia92</v>
      </c>
      <c r="N547" s="176">
        <f>IFERROR(__xludf.DUMMYFUNCTION("""COMPUTED_VALUE"""),25.0)</f>
        <v>25</v>
      </c>
      <c r="O547" s="176"/>
      <c r="P547" s="165" t="s">
        <v>483</v>
      </c>
      <c r="Q547" s="165" t="s">
        <v>443</v>
      </c>
      <c r="R547" s="176"/>
      <c r="S547" s="176"/>
      <c r="T547" s="176"/>
      <c r="U547" s="176"/>
      <c r="V547" s="176"/>
      <c r="W547" s="176"/>
      <c r="X547" s="176"/>
      <c r="Y547" s="176"/>
      <c r="Z547" s="176"/>
      <c r="AA547" s="176"/>
    </row>
    <row r="548">
      <c r="A548" s="165" t="str">
        <f>iferror(VLOOKUP(P548,'DO NOT TOUCH Imported'!$A$1:$D$800,4,False),iferror(VLOOKUP(P548,'DO NOT TOUCH Imported'!$C$1:$D$800,2,False),"OOPS FIX ME"))</f>
        <v>chuygarcia92</v>
      </c>
      <c r="B548" s="165" t="s">
        <v>440</v>
      </c>
      <c r="C548" s="170" t="s">
        <v>1253</v>
      </c>
      <c r="D548" s="236" t="s">
        <v>437</v>
      </c>
      <c r="E548" s="237">
        <v>44291.0</v>
      </c>
      <c r="F548" s="170" t="s">
        <v>439</v>
      </c>
      <c r="G548" s="219"/>
      <c r="H548" s="171">
        <v>50.0</v>
      </c>
      <c r="I548" s="171">
        <v>50.0</v>
      </c>
      <c r="J548" s="172">
        <f t="shared" si="24"/>
        <v>0.0007181677027</v>
      </c>
      <c r="K548" s="173">
        <f t="shared" si="27"/>
        <v>0.8258928581</v>
      </c>
      <c r="L548" s="174">
        <f t="shared" si="4"/>
        <v>6.766306821</v>
      </c>
      <c r="M548" s="175" t="str">
        <f t="shared" si="5"/>
        <v>chuygarcia92</v>
      </c>
      <c r="N548" s="176">
        <f>IFERROR(__xludf.DUMMYFUNCTION("""COMPUTED_VALUE"""),26.0)</f>
        <v>26</v>
      </c>
      <c r="O548" s="176"/>
      <c r="P548" s="165" t="s">
        <v>483</v>
      </c>
      <c r="Q548" s="165" t="s">
        <v>440</v>
      </c>
      <c r="R548" s="176"/>
      <c r="S548" s="176"/>
      <c r="T548" s="176"/>
      <c r="U548" s="176"/>
      <c r="V548" s="176"/>
      <c r="W548" s="176"/>
      <c r="X548" s="176"/>
      <c r="Y548" s="176"/>
      <c r="Z548" s="176"/>
      <c r="AA548" s="176"/>
    </row>
    <row r="549">
      <c r="A549" s="165" t="str">
        <f>iferror(VLOOKUP(P549,'DO NOT TOUCH Imported'!$A$1:$D$800,4,False),iferror(VLOOKUP(P549,'DO NOT TOUCH Imported'!$C$1:$D$800,2,False),"OOPS FIX ME"))</f>
        <v>chuygarcia92</v>
      </c>
      <c r="B549" s="165" t="s">
        <v>528</v>
      </c>
      <c r="C549" s="170" t="s">
        <v>1316</v>
      </c>
      <c r="D549" s="236" t="s">
        <v>437</v>
      </c>
      <c r="E549" s="237">
        <v>44291.0</v>
      </c>
      <c r="F549" s="170" t="s">
        <v>439</v>
      </c>
      <c r="G549" s="219"/>
      <c r="H549" s="171">
        <v>100.0</v>
      </c>
      <c r="I549" s="171">
        <v>50.0</v>
      </c>
      <c r="J549" s="172">
        <f t="shared" si="24"/>
        <v>0.001079752892</v>
      </c>
      <c r="K549" s="173">
        <f t="shared" si="27"/>
        <v>1.241715826</v>
      </c>
      <c r="L549" s="174">
        <f t="shared" si="4"/>
        <v>6.766306821</v>
      </c>
      <c r="M549" s="175" t="str">
        <f t="shared" si="5"/>
        <v>chuygarcia92</v>
      </c>
      <c r="N549" s="176">
        <f>IFERROR(__xludf.DUMMYFUNCTION("""COMPUTED_VALUE"""),27.0)</f>
        <v>27</v>
      </c>
      <c r="O549" s="176"/>
      <c r="P549" s="165" t="s">
        <v>483</v>
      </c>
      <c r="Q549" s="165" t="s">
        <v>528</v>
      </c>
      <c r="R549" s="176"/>
      <c r="S549" s="176"/>
      <c r="T549" s="176"/>
      <c r="U549" s="176"/>
      <c r="V549" s="176"/>
      <c r="W549" s="176"/>
      <c r="X549" s="176"/>
      <c r="Y549" s="176"/>
      <c r="Z549" s="176"/>
      <c r="AA549" s="176"/>
    </row>
    <row r="550">
      <c r="A550" s="165" t="str">
        <f>iferror(VLOOKUP(P550,'DO NOT TOUCH Imported'!$A$1:$D$800,4,False),iferror(VLOOKUP(P550,'DO NOT TOUCH Imported'!$C$1:$D$800,2,False),"OOPS FIX ME"))</f>
        <v>chuygarcia92</v>
      </c>
      <c r="B550" s="165" t="s">
        <v>486</v>
      </c>
      <c r="C550" s="170" t="s">
        <v>1254</v>
      </c>
      <c r="D550" s="236" t="s">
        <v>437</v>
      </c>
      <c r="E550" s="237">
        <v>44292.0</v>
      </c>
      <c r="F550" s="170" t="s">
        <v>439</v>
      </c>
      <c r="G550" s="219"/>
      <c r="H550" s="171">
        <v>50.0</v>
      </c>
      <c r="I550" s="171">
        <v>50.0</v>
      </c>
      <c r="J550" s="172">
        <f t="shared" si="24"/>
        <v>0.0007181677027</v>
      </c>
      <c r="K550" s="173">
        <f t="shared" si="27"/>
        <v>0.8258928581</v>
      </c>
      <c r="L550" s="174">
        <f t="shared" si="4"/>
        <v>6.766306821</v>
      </c>
      <c r="M550" s="175" t="str">
        <f t="shared" si="5"/>
        <v>chuygarcia92</v>
      </c>
      <c r="N550" s="176">
        <f>IFERROR(__xludf.DUMMYFUNCTION("""COMPUTED_VALUE"""),28.0)</f>
        <v>28</v>
      </c>
      <c r="O550" s="176"/>
      <c r="P550" s="165" t="s">
        <v>483</v>
      </c>
      <c r="Q550" s="165" t="s">
        <v>486</v>
      </c>
      <c r="R550" s="176"/>
      <c r="S550" s="176"/>
      <c r="T550" s="176"/>
      <c r="U550" s="176"/>
      <c r="V550" s="176"/>
      <c r="W550" s="176"/>
      <c r="X550" s="176"/>
      <c r="Y550" s="176"/>
      <c r="Z550" s="176"/>
      <c r="AA550" s="176"/>
    </row>
    <row r="551">
      <c r="A551" s="165" t="str">
        <f>iferror(VLOOKUP(P551,'DO NOT TOUCH Imported'!$A$1:$D$800,4,False),iferror(VLOOKUP(P551,'DO NOT TOUCH Imported'!$C$1:$D$800,2,False),"OOPS FIX ME"))</f>
        <v>chuygarcia92</v>
      </c>
      <c r="B551" s="165" t="s">
        <v>440</v>
      </c>
      <c r="C551" s="170" t="s">
        <v>1257</v>
      </c>
      <c r="D551" s="236" t="s">
        <v>437</v>
      </c>
      <c r="E551" s="237">
        <v>44292.0</v>
      </c>
      <c r="F551" s="170" t="s">
        <v>439</v>
      </c>
      <c r="G551" s="219"/>
      <c r="H551" s="171">
        <v>70.0</v>
      </c>
      <c r="I551" s="171">
        <v>50.0</v>
      </c>
      <c r="J551" s="172">
        <f t="shared" si="24"/>
        <v>0.0008628017785</v>
      </c>
      <c r="K551" s="173">
        <f t="shared" si="27"/>
        <v>0.9922220452</v>
      </c>
      <c r="L551" s="174">
        <f t="shared" si="4"/>
        <v>6.766306821</v>
      </c>
      <c r="M551" s="175" t="str">
        <f t="shared" si="5"/>
        <v>chuygarcia92</v>
      </c>
      <c r="N551" s="176">
        <f>IFERROR(__xludf.DUMMYFUNCTION("""COMPUTED_VALUE"""),29.0)</f>
        <v>29</v>
      </c>
      <c r="O551" s="176"/>
      <c r="P551" s="165" t="s">
        <v>483</v>
      </c>
      <c r="Q551" s="165" t="s">
        <v>440</v>
      </c>
      <c r="R551" s="176"/>
      <c r="S551" s="176"/>
      <c r="T551" s="176"/>
      <c r="U551" s="176"/>
      <c r="V551" s="176"/>
      <c r="W551" s="176"/>
      <c r="X551" s="176"/>
      <c r="Y551" s="176"/>
      <c r="Z551" s="176"/>
      <c r="AA551" s="176"/>
    </row>
    <row r="552">
      <c r="A552" s="165" t="str">
        <f>iferror(VLOOKUP(P552,'DO NOT TOUCH Imported'!$A$1:$D$800,4,False),iferror(VLOOKUP(P552,'DO NOT TOUCH Imported'!$C$1:$D$800,2,False),"OOPS FIX ME"))</f>
        <v>chuygarcia92</v>
      </c>
      <c r="B552" s="165" t="s">
        <v>440</v>
      </c>
      <c r="C552" s="170" t="s">
        <v>1260</v>
      </c>
      <c r="D552" s="236" t="s">
        <v>437</v>
      </c>
      <c r="E552" s="237">
        <v>44293.0</v>
      </c>
      <c r="F552" s="170" t="s">
        <v>439</v>
      </c>
      <c r="G552" s="219"/>
      <c r="H552" s="171">
        <v>70.0</v>
      </c>
      <c r="I552" s="171">
        <v>50.0</v>
      </c>
      <c r="J552" s="172">
        <f t="shared" si="24"/>
        <v>0.0008628017785</v>
      </c>
      <c r="K552" s="173">
        <f t="shared" si="27"/>
        <v>0.9922220452</v>
      </c>
      <c r="L552" s="174">
        <f t="shared" si="4"/>
        <v>6.766306821</v>
      </c>
      <c r="M552" s="175" t="str">
        <f t="shared" si="5"/>
        <v>chuygarcia92</v>
      </c>
      <c r="N552" s="176">
        <f>IFERROR(__xludf.DUMMYFUNCTION("""COMPUTED_VALUE"""),30.0)</f>
        <v>30</v>
      </c>
      <c r="O552" s="176"/>
      <c r="P552" s="165" t="s">
        <v>483</v>
      </c>
      <c r="Q552" s="165" t="s">
        <v>440</v>
      </c>
      <c r="R552" s="176"/>
      <c r="S552" s="176"/>
      <c r="T552" s="176"/>
      <c r="U552" s="176"/>
      <c r="V552" s="176"/>
      <c r="W552" s="176"/>
      <c r="X552" s="176"/>
      <c r="Y552" s="176"/>
      <c r="Z552" s="176"/>
      <c r="AA552" s="176"/>
    </row>
    <row r="553">
      <c r="A553" s="165" t="str">
        <f>iferror(VLOOKUP(P553,'DO NOT TOUCH Imported'!$A$1:$D$800,4,False),iferror(VLOOKUP(P553,'DO NOT TOUCH Imported'!$C$1:$D$800,2,False),"OOPS FIX ME"))</f>
        <v>chuygarcia92</v>
      </c>
      <c r="B553" s="165" t="s">
        <v>435</v>
      </c>
      <c r="C553" s="170" t="s">
        <v>1460</v>
      </c>
      <c r="D553" s="236" t="s">
        <v>437</v>
      </c>
      <c r="E553" s="237">
        <v>44294.0</v>
      </c>
      <c r="F553" s="170" t="s">
        <v>439</v>
      </c>
      <c r="G553" s="219"/>
      <c r="H553" s="171">
        <v>100.0</v>
      </c>
      <c r="I553" s="171">
        <v>100.0</v>
      </c>
      <c r="J553" s="172">
        <f t="shared" si="24"/>
        <v>0.001436335405</v>
      </c>
      <c r="K553" s="173">
        <f t="shared" si="27"/>
        <v>1.651785716</v>
      </c>
      <c r="L553" s="174">
        <f t="shared" si="4"/>
        <v>6.766306821</v>
      </c>
      <c r="M553" s="175" t="str">
        <f t="shared" si="5"/>
        <v>chuygarcia92</v>
      </c>
      <c r="N553" s="176">
        <f>IFERROR(__xludf.DUMMYFUNCTION("""COMPUTED_VALUE"""),31.0)</f>
        <v>31</v>
      </c>
      <c r="O553" s="176"/>
      <c r="P553" s="165" t="s">
        <v>483</v>
      </c>
      <c r="Q553" s="165" t="s">
        <v>435</v>
      </c>
      <c r="R553" s="176"/>
      <c r="S553" s="176"/>
      <c r="T553" s="176"/>
      <c r="U553" s="176"/>
      <c r="V553" s="176"/>
      <c r="W553" s="176"/>
      <c r="X553" s="176"/>
      <c r="Y553" s="176"/>
      <c r="Z553" s="176"/>
      <c r="AA553" s="176"/>
    </row>
    <row r="554">
      <c r="A554" s="165" t="str">
        <f>iferror(VLOOKUP(P554,'DO NOT TOUCH Imported'!$A$1:$D$800,4,False),iferror(VLOOKUP(P554,'DO NOT TOUCH Imported'!$C$1:$D$800,2,False),"OOPS FIX ME"))</f>
        <v>chuygarcia92</v>
      </c>
      <c r="B554" s="165" t="s">
        <v>441</v>
      </c>
      <c r="C554" s="170" t="s">
        <v>1331</v>
      </c>
      <c r="D554" s="236" t="s">
        <v>437</v>
      </c>
      <c r="E554" s="237">
        <v>44295.0</v>
      </c>
      <c r="F554" s="170" t="s">
        <v>439</v>
      </c>
      <c r="G554" s="219"/>
      <c r="H554" s="171">
        <v>100.0</v>
      </c>
      <c r="I554" s="171">
        <v>100.0</v>
      </c>
      <c r="J554" s="172">
        <f t="shared" si="24"/>
        <v>0.001436335405</v>
      </c>
      <c r="K554" s="173">
        <f t="shared" si="27"/>
        <v>1.651785716</v>
      </c>
      <c r="L554" s="174">
        <f t="shared" si="4"/>
        <v>6.766306821</v>
      </c>
      <c r="M554" s="175" t="str">
        <f t="shared" si="5"/>
        <v>chuygarcia92</v>
      </c>
      <c r="N554" s="176">
        <f>IFERROR(__xludf.DUMMYFUNCTION("""COMPUTED_VALUE"""),32.0)</f>
        <v>32</v>
      </c>
      <c r="O554" s="176"/>
      <c r="P554" s="165" t="s">
        <v>483</v>
      </c>
      <c r="Q554" s="165" t="s">
        <v>441</v>
      </c>
      <c r="R554" s="176"/>
      <c r="S554" s="176"/>
      <c r="T554" s="176"/>
      <c r="U554" s="176"/>
      <c r="V554" s="176"/>
      <c r="W554" s="176"/>
      <c r="X554" s="176"/>
      <c r="Y554" s="176"/>
      <c r="Z554" s="176"/>
      <c r="AA554" s="176"/>
    </row>
    <row r="555">
      <c r="A555" s="165" t="str">
        <f>iferror(VLOOKUP(P555,'DO NOT TOUCH Imported'!$A$1:$D$800,4,False),iferror(VLOOKUP(P555,'DO NOT TOUCH Imported'!$C$1:$D$800,2,False),"OOPS FIX ME"))</f>
        <v>chuygarcia92</v>
      </c>
      <c r="B555" s="165" t="s">
        <v>441</v>
      </c>
      <c r="C555" s="170" t="s">
        <v>1451</v>
      </c>
      <c r="D555" s="236" t="s">
        <v>437</v>
      </c>
      <c r="E555" s="237">
        <v>44295.0</v>
      </c>
      <c r="F555" s="170" t="s">
        <v>439</v>
      </c>
      <c r="G555" s="219"/>
      <c r="H555" s="171">
        <v>100.0</v>
      </c>
      <c r="I555" s="171">
        <v>100.0</v>
      </c>
      <c r="J555" s="172">
        <f t="shared" si="24"/>
        <v>0.001436335405</v>
      </c>
      <c r="K555" s="173">
        <f t="shared" si="27"/>
        <v>1.651785716</v>
      </c>
      <c r="L555" s="174">
        <f t="shared" si="4"/>
        <v>6.766306821</v>
      </c>
      <c r="M555" s="175" t="str">
        <f t="shared" si="5"/>
        <v>chuygarcia92</v>
      </c>
      <c r="N555" s="176">
        <f>IFERROR(__xludf.DUMMYFUNCTION("""COMPUTED_VALUE"""),33.0)</f>
        <v>33</v>
      </c>
      <c r="O555" s="176"/>
      <c r="P555" s="165" t="s">
        <v>483</v>
      </c>
      <c r="Q555" s="165" t="s">
        <v>441</v>
      </c>
      <c r="R555" s="176"/>
      <c r="S555" s="176"/>
      <c r="T555" s="176"/>
      <c r="U555" s="176"/>
      <c r="V555" s="176"/>
      <c r="W555" s="176"/>
      <c r="X555" s="176"/>
      <c r="Y555" s="176"/>
      <c r="Z555" s="176"/>
      <c r="AA555" s="176"/>
    </row>
    <row r="556">
      <c r="A556" s="165" t="str">
        <f>iferror(VLOOKUP(P556,'DO NOT TOUCH Imported'!$A$1:$D$800,4,False),iferror(VLOOKUP(P556,'DO NOT TOUCH Imported'!$C$1:$D$800,2,False),"OOPS FIX ME"))</f>
        <v>chuygarcia92</v>
      </c>
      <c r="B556" s="165" t="s">
        <v>441</v>
      </c>
      <c r="C556" s="170" t="s">
        <v>1461</v>
      </c>
      <c r="D556" s="236" t="s">
        <v>437</v>
      </c>
      <c r="E556" s="237">
        <v>44295.0</v>
      </c>
      <c r="F556" s="170" t="s">
        <v>439</v>
      </c>
      <c r="G556" s="219"/>
      <c r="H556" s="171">
        <v>100.0</v>
      </c>
      <c r="I556" s="171">
        <v>100.0</v>
      </c>
      <c r="J556" s="172">
        <f t="shared" si="24"/>
        <v>0.001436335405</v>
      </c>
      <c r="K556" s="173">
        <f t="shared" si="27"/>
        <v>1.651785716</v>
      </c>
      <c r="L556" s="174">
        <f t="shared" si="4"/>
        <v>6.766306821</v>
      </c>
      <c r="M556" s="175" t="str">
        <f t="shared" si="5"/>
        <v>chuygarcia92</v>
      </c>
      <c r="N556" s="176">
        <f>IFERROR(__xludf.DUMMYFUNCTION("""COMPUTED_VALUE"""),34.0)</f>
        <v>34</v>
      </c>
      <c r="O556" s="176"/>
      <c r="P556" s="165" t="s">
        <v>483</v>
      </c>
      <c r="Q556" s="165" t="s">
        <v>441</v>
      </c>
      <c r="R556" s="176"/>
      <c r="S556" s="176"/>
      <c r="T556" s="176"/>
      <c r="U556" s="176"/>
      <c r="V556" s="176"/>
      <c r="W556" s="176"/>
      <c r="X556" s="176"/>
      <c r="Y556" s="176"/>
      <c r="Z556" s="176"/>
      <c r="AA556" s="176"/>
    </row>
    <row r="557">
      <c r="A557" s="165" t="str">
        <f>iferror(VLOOKUP(P557,'DO NOT TOUCH Imported'!$A$1:$D$800,4,False),iferror(VLOOKUP(P557,'DO NOT TOUCH Imported'!$C$1:$D$800,2,False),"OOPS FIX ME"))</f>
        <v>chuygarcia92</v>
      </c>
      <c r="B557" s="165" t="s">
        <v>441</v>
      </c>
      <c r="C557" s="170" t="s">
        <v>1264</v>
      </c>
      <c r="D557" s="236" t="s">
        <v>437</v>
      </c>
      <c r="E557" s="237">
        <v>44295.0</v>
      </c>
      <c r="F557" s="170" t="s">
        <v>439</v>
      </c>
      <c r="G557" s="219"/>
      <c r="H557" s="171">
        <v>80.0</v>
      </c>
      <c r="I557" s="171">
        <v>80.0</v>
      </c>
      <c r="J557" s="172">
        <f t="shared" si="24"/>
        <v>0.001149068324</v>
      </c>
      <c r="K557" s="173">
        <f t="shared" si="27"/>
        <v>1.321428573</v>
      </c>
      <c r="L557" s="174">
        <f t="shared" si="4"/>
        <v>6.766306821</v>
      </c>
      <c r="M557" s="175" t="str">
        <f t="shared" si="5"/>
        <v>chuygarcia92</v>
      </c>
      <c r="N557" s="176">
        <f>IFERROR(__xludf.DUMMYFUNCTION("""COMPUTED_VALUE"""),35.0)</f>
        <v>35</v>
      </c>
      <c r="O557" s="176"/>
      <c r="P557" s="165" t="s">
        <v>483</v>
      </c>
      <c r="Q557" s="165" t="s">
        <v>441</v>
      </c>
      <c r="R557" s="176"/>
      <c r="S557" s="176"/>
      <c r="T557" s="176"/>
      <c r="U557" s="176"/>
      <c r="V557" s="176"/>
      <c r="W557" s="176"/>
      <c r="X557" s="176"/>
      <c r="Y557" s="176"/>
      <c r="Z557" s="176"/>
      <c r="AA557" s="176"/>
    </row>
    <row r="558">
      <c r="A558" s="165" t="str">
        <f>iferror(VLOOKUP(P558,'DO NOT TOUCH Imported'!$A$1:$D$800,4,False),iferror(VLOOKUP(P558,'DO NOT TOUCH Imported'!$C$1:$D$800,2,False),"OOPS FIX ME"))</f>
        <v>chuygarcia92</v>
      </c>
      <c r="B558" s="165" t="s">
        <v>441</v>
      </c>
      <c r="C558" s="170" t="s">
        <v>1370</v>
      </c>
      <c r="D558" s="236" t="s">
        <v>437</v>
      </c>
      <c r="E558" s="237">
        <v>44295.0</v>
      </c>
      <c r="F558" s="170" t="s">
        <v>439</v>
      </c>
      <c r="G558" s="219"/>
      <c r="H558" s="171">
        <v>80.0</v>
      </c>
      <c r="I558" s="171">
        <v>100.0</v>
      </c>
      <c r="J558" s="172">
        <f t="shared" si="24"/>
        <v>0.00129170133</v>
      </c>
      <c r="K558" s="173">
        <f t="shared" si="27"/>
        <v>1.485456529</v>
      </c>
      <c r="L558" s="174">
        <f t="shared" si="4"/>
        <v>6.766306821</v>
      </c>
      <c r="M558" s="175" t="str">
        <f t="shared" si="5"/>
        <v>chuygarcia92</v>
      </c>
      <c r="N558" s="176">
        <f>IFERROR(__xludf.DUMMYFUNCTION("""COMPUTED_VALUE"""),36.0)</f>
        <v>36</v>
      </c>
      <c r="O558" s="176"/>
      <c r="P558" s="165" t="s">
        <v>483</v>
      </c>
      <c r="Q558" s="165" t="s">
        <v>441</v>
      </c>
      <c r="R558" s="176"/>
      <c r="S558" s="176"/>
      <c r="T558" s="176"/>
      <c r="U558" s="176"/>
      <c r="V558" s="176"/>
      <c r="W558" s="176"/>
      <c r="X558" s="176"/>
      <c r="Y558" s="176"/>
      <c r="Z558" s="176"/>
      <c r="AA558" s="176"/>
    </row>
    <row r="559">
      <c r="A559" s="165" t="str">
        <f>iferror(VLOOKUP(P559,'DO NOT TOUCH Imported'!$A$1:$D$800,4,False),iferror(VLOOKUP(P559,'DO NOT TOUCH Imported'!$C$1:$D$800,2,False),"OOPS FIX ME"))</f>
        <v>chuygarcia92</v>
      </c>
      <c r="B559" s="165" t="s">
        <v>441</v>
      </c>
      <c r="C559" s="170" t="s">
        <v>1267</v>
      </c>
      <c r="D559" s="236" t="s">
        <v>437</v>
      </c>
      <c r="E559" s="237">
        <v>44295.0</v>
      </c>
      <c r="F559" s="170" t="s">
        <v>439</v>
      </c>
      <c r="G559" s="219"/>
      <c r="H559" s="171">
        <v>50.0</v>
      </c>
      <c r="I559" s="171">
        <v>50.0</v>
      </c>
      <c r="J559" s="172">
        <f t="shared" si="24"/>
        <v>0.0007181677027</v>
      </c>
      <c r="K559" s="173">
        <f t="shared" si="27"/>
        <v>0.8258928581</v>
      </c>
      <c r="L559" s="174">
        <f t="shared" si="4"/>
        <v>6.766306821</v>
      </c>
      <c r="M559" s="175" t="str">
        <f t="shared" si="5"/>
        <v>chuygarcia92</v>
      </c>
      <c r="N559" s="176">
        <f>IFERROR(__xludf.DUMMYFUNCTION("""COMPUTED_VALUE"""),37.0)</f>
        <v>37</v>
      </c>
      <c r="O559" s="176"/>
      <c r="P559" s="165" t="s">
        <v>483</v>
      </c>
      <c r="Q559" s="165" t="s">
        <v>441</v>
      </c>
      <c r="R559" s="176"/>
      <c r="S559" s="176"/>
      <c r="T559" s="176"/>
      <c r="U559" s="176"/>
      <c r="V559" s="176"/>
      <c r="W559" s="176"/>
      <c r="X559" s="176"/>
      <c r="Y559" s="176"/>
      <c r="Z559" s="176"/>
      <c r="AA559" s="176"/>
    </row>
    <row r="560">
      <c r="A560" s="165" t="str">
        <f>iferror(VLOOKUP(P560,'DO NOT TOUCH Imported'!$A$1:$D$800,4,False),iferror(VLOOKUP(P560,'DO NOT TOUCH Imported'!$C$1:$D$800,2,False),"OOPS FIX ME"))</f>
        <v>chuygarcia92</v>
      </c>
      <c r="B560" s="165" t="s">
        <v>441</v>
      </c>
      <c r="C560" s="170" t="s">
        <v>1268</v>
      </c>
      <c r="D560" s="236" t="s">
        <v>437</v>
      </c>
      <c r="E560" s="237">
        <v>44295.0</v>
      </c>
      <c r="F560" s="170" t="s">
        <v>439</v>
      </c>
      <c r="G560" s="219"/>
      <c r="H560" s="171">
        <v>60.0</v>
      </c>
      <c r="I560" s="171">
        <v>80.0</v>
      </c>
      <c r="J560" s="172">
        <f t="shared" si="24"/>
        <v>0.001004434248</v>
      </c>
      <c r="K560" s="173">
        <f t="shared" si="27"/>
        <v>1.155099386</v>
      </c>
      <c r="L560" s="174">
        <f t="shared" si="4"/>
        <v>6.766306821</v>
      </c>
      <c r="M560" s="175" t="str">
        <f t="shared" si="5"/>
        <v>chuygarcia92</v>
      </c>
      <c r="N560" s="176">
        <f>IFERROR(__xludf.DUMMYFUNCTION("""COMPUTED_VALUE"""),38.0)</f>
        <v>38</v>
      </c>
      <c r="O560" s="176"/>
      <c r="P560" s="165" t="s">
        <v>483</v>
      </c>
      <c r="Q560" s="165" t="s">
        <v>441</v>
      </c>
      <c r="R560" s="176"/>
      <c r="S560" s="176"/>
      <c r="T560" s="176"/>
      <c r="U560" s="176"/>
      <c r="V560" s="176"/>
      <c r="W560" s="176"/>
      <c r="X560" s="176"/>
      <c r="Y560" s="176"/>
      <c r="Z560" s="176"/>
      <c r="AA560" s="176"/>
    </row>
    <row r="561">
      <c r="A561" s="165" t="str">
        <f>iferror(VLOOKUP(P561,'DO NOT TOUCH Imported'!$A$1:$D$800,4,False),iferror(VLOOKUP(P561,'DO NOT TOUCH Imported'!$C$1:$D$800,2,False),"OOPS FIX ME"))</f>
        <v>chuygarcia92</v>
      </c>
      <c r="B561" s="165" t="s">
        <v>441</v>
      </c>
      <c r="C561" s="170" t="s">
        <v>1269</v>
      </c>
      <c r="D561" s="236" t="s">
        <v>437</v>
      </c>
      <c r="E561" s="237">
        <v>44295.0</v>
      </c>
      <c r="F561" s="170" t="s">
        <v>439</v>
      </c>
      <c r="G561" s="219"/>
      <c r="H561" s="171">
        <v>60.0</v>
      </c>
      <c r="I561" s="171">
        <v>50.0</v>
      </c>
      <c r="J561" s="172">
        <f t="shared" si="24"/>
        <v>0.0007904847406</v>
      </c>
      <c r="K561" s="173">
        <f t="shared" si="27"/>
        <v>0.9090574516</v>
      </c>
      <c r="L561" s="174">
        <f t="shared" si="4"/>
        <v>6.766306821</v>
      </c>
      <c r="M561" s="175" t="str">
        <f t="shared" si="5"/>
        <v>chuygarcia92</v>
      </c>
      <c r="N561" s="176">
        <f>IFERROR(__xludf.DUMMYFUNCTION("""COMPUTED_VALUE"""),39.0)</f>
        <v>39</v>
      </c>
      <c r="O561" s="176"/>
      <c r="P561" s="165" t="s">
        <v>483</v>
      </c>
      <c r="Q561" s="165" t="s">
        <v>441</v>
      </c>
      <c r="R561" s="176"/>
      <c r="S561" s="176"/>
      <c r="T561" s="176"/>
      <c r="U561" s="176"/>
      <c r="V561" s="176"/>
      <c r="W561" s="176"/>
      <c r="X561" s="176"/>
      <c r="Y561" s="176"/>
      <c r="Z561" s="176"/>
      <c r="AA561" s="176"/>
    </row>
    <row r="562">
      <c r="A562" s="185" t="s">
        <v>22</v>
      </c>
      <c r="B562" s="185" t="s">
        <v>534</v>
      </c>
      <c r="C562" s="186" t="s">
        <v>684</v>
      </c>
      <c r="D562" s="187"/>
      <c r="E562" s="188"/>
      <c r="F562" s="186"/>
      <c r="G562" s="190"/>
      <c r="H562" s="190"/>
      <c r="I562" s="190"/>
      <c r="J562" s="172">
        <f t="shared" si="24"/>
        <v>0</v>
      </c>
      <c r="K562" s="192">
        <f>43.284*-0.85</f>
        <v>-36.7914</v>
      </c>
      <c r="L562" s="193">
        <f t="shared" si="4"/>
        <v>6.492289456</v>
      </c>
      <c r="M562" s="194" t="str">
        <f t="shared" si="5"/>
        <v>naynaysoo</v>
      </c>
      <c r="N562" s="195">
        <f>IFERROR(__xludf.DUMMYFUNCTION("""COMPUTED_VALUE"""),1.0)</f>
        <v>1</v>
      </c>
      <c r="O562" s="195"/>
      <c r="P562" s="196" t="s">
        <v>7</v>
      </c>
      <c r="Q562" s="185" t="s">
        <v>534</v>
      </c>
      <c r="R562" s="195"/>
      <c r="S562" s="195"/>
      <c r="T562" s="195"/>
      <c r="U562" s="195"/>
      <c r="V562" s="195"/>
      <c r="W562" s="195"/>
      <c r="X562" s="195"/>
      <c r="Y562" s="195"/>
      <c r="Z562" s="195"/>
      <c r="AA562" s="176"/>
    </row>
    <row r="563">
      <c r="A563" s="165" t="str">
        <f>iferror(VLOOKUP(P563,'DO NOT TOUCH Imported'!$A$1:$D$800,4,False),iferror(VLOOKUP(P563,'DO NOT TOUCH Imported'!$C$1:$D$800,2,False),"OOPS FIX ME"))</f>
        <v>naynaysoo</v>
      </c>
      <c r="B563" s="165" t="s">
        <v>10</v>
      </c>
      <c r="C563" s="170" t="s">
        <v>498</v>
      </c>
      <c r="D563" s="236" t="s">
        <v>495</v>
      </c>
      <c r="E563" s="239">
        <v>44282.0</v>
      </c>
      <c r="F563" s="170" t="s">
        <v>499</v>
      </c>
      <c r="G563" s="219"/>
      <c r="H563" s="171">
        <v>20.0</v>
      </c>
      <c r="I563" s="171">
        <v>25.0</v>
      </c>
      <c r="J563" s="172">
        <f t="shared" si="24"/>
        <v>0.0003229253324</v>
      </c>
      <c r="K563" s="173">
        <f t="shared" ref="K563:K601" si="28">J563*$J$1</f>
        <v>0.3713641322</v>
      </c>
      <c r="L563" s="174">
        <f t="shared" si="4"/>
        <v>6.492289456</v>
      </c>
      <c r="M563" s="175" t="str">
        <f t="shared" si="5"/>
        <v>naynaysoo</v>
      </c>
      <c r="N563" s="176">
        <f>IFERROR(__xludf.DUMMYFUNCTION("""COMPUTED_VALUE"""),2.0)</f>
        <v>2</v>
      </c>
      <c r="O563" s="176"/>
      <c r="P563" s="165" t="s">
        <v>22</v>
      </c>
      <c r="Q563" s="165" t="s">
        <v>10</v>
      </c>
      <c r="R563" s="176"/>
      <c r="S563" s="176"/>
      <c r="T563" s="176"/>
      <c r="U563" s="176"/>
      <c r="V563" s="176"/>
      <c r="W563" s="176"/>
      <c r="X563" s="176"/>
      <c r="Y563" s="176"/>
      <c r="Z563" s="176"/>
      <c r="AA563" s="176"/>
    </row>
    <row r="564">
      <c r="A564" s="165" t="str">
        <f>iferror(VLOOKUP(P564,'DO NOT TOUCH Imported'!$A$1:$D$800,4,False),iferror(VLOOKUP(P564,'DO NOT TOUCH Imported'!$C$1:$D$800,2,False),"OOPS FIX ME"))</f>
        <v>naynaysoo</v>
      </c>
      <c r="B564" s="165" t="s">
        <v>590</v>
      </c>
      <c r="C564" s="170" t="s">
        <v>1462</v>
      </c>
      <c r="D564" s="236" t="s">
        <v>495</v>
      </c>
      <c r="E564" s="239">
        <v>44286.0</v>
      </c>
      <c r="F564" s="170" t="s">
        <v>496</v>
      </c>
      <c r="G564" s="219"/>
      <c r="H564" s="171">
        <v>200.0</v>
      </c>
      <c r="I564" s="171">
        <v>150.0</v>
      </c>
      <c r="J564" s="172">
        <f t="shared" si="24"/>
        <v>0.002516088297</v>
      </c>
      <c r="K564" s="173">
        <f t="shared" si="28"/>
        <v>2.893501542</v>
      </c>
      <c r="L564" s="174">
        <f t="shared" si="4"/>
        <v>6.492289456</v>
      </c>
      <c r="M564" s="175" t="str">
        <f t="shared" si="5"/>
        <v>naynaysoo</v>
      </c>
      <c r="N564" s="176">
        <f>IFERROR(__xludf.DUMMYFUNCTION("""COMPUTED_VALUE"""),3.0)</f>
        <v>3</v>
      </c>
      <c r="O564" s="176"/>
      <c r="P564" s="165" t="s">
        <v>22</v>
      </c>
      <c r="Q564" s="165" t="s">
        <v>590</v>
      </c>
      <c r="R564" s="176"/>
      <c r="S564" s="176"/>
      <c r="T564" s="176"/>
      <c r="U564" s="176"/>
      <c r="V564" s="176"/>
      <c r="W564" s="176"/>
      <c r="X564" s="176"/>
      <c r="Y564" s="176"/>
      <c r="Z564" s="176"/>
      <c r="AA564" s="176"/>
    </row>
    <row r="565">
      <c r="A565" s="165" t="str">
        <f>iferror(VLOOKUP(P565,'DO NOT TOUCH Imported'!$A$1:$D$800,4,False),iferror(VLOOKUP(P565,'DO NOT TOUCH Imported'!$C$1:$D$800,2,False),"OOPS FIX ME"))</f>
        <v>naynaysoo</v>
      </c>
      <c r="B565" s="165" t="s">
        <v>10</v>
      </c>
      <c r="C565" s="170" t="s">
        <v>500</v>
      </c>
      <c r="D565" s="236" t="s">
        <v>495</v>
      </c>
      <c r="E565" s="239">
        <v>44289.0</v>
      </c>
      <c r="F565" s="170" t="s">
        <v>496</v>
      </c>
      <c r="G565" s="219"/>
      <c r="H565" s="171">
        <v>20.0</v>
      </c>
      <c r="I565" s="171">
        <v>25.0</v>
      </c>
      <c r="J565" s="172">
        <f t="shared" si="24"/>
        <v>0.0003229253324</v>
      </c>
      <c r="K565" s="173">
        <f t="shared" si="28"/>
        <v>0.3713641322</v>
      </c>
      <c r="L565" s="174">
        <f t="shared" si="4"/>
        <v>6.492289456</v>
      </c>
      <c r="M565" s="175" t="str">
        <f t="shared" si="5"/>
        <v>naynaysoo</v>
      </c>
      <c r="N565" s="176">
        <f>IFERROR(__xludf.DUMMYFUNCTION("""COMPUTED_VALUE"""),4.0)</f>
        <v>4</v>
      </c>
      <c r="O565" s="176"/>
      <c r="P565" s="165" t="s">
        <v>22</v>
      </c>
      <c r="Q565" s="165" t="s">
        <v>10</v>
      </c>
      <c r="R565" s="176"/>
      <c r="S565" s="176"/>
      <c r="T565" s="176"/>
      <c r="U565" s="176"/>
      <c r="V565" s="176"/>
      <c r="W565" s="176"/>
      <c r="X565" s="176"/>
      <c r="Y565" s="176"/>
      <c r="Z565" s="176"/>
      <c r="AA565" s="176"/>
    </row>
    <row r="566">
      <c r="A566" s="165" t="str">
        <f>iferror(VLOOKUP(P566,'DO NOT TOUCH Imported'!$A$1:$D$800,4,False),iferror(VLOOKUP(P566,'DO NOT TOUCH Imported'!$C$1:$D$800,2,False),"OOPS FIX ME"))</f>
        <v>naynaysoo</v>
      </c>
      <c r="B566" s="165" t="s">
        <v>486</v>
      </c>
      <c r="C566" s="170" t="s">
        <v>1439</v>
      </c>
      <c r="D566" s="236" t="s">
        <v>437</v>
      </c>
      <c r="E566" s="239">
        <v>44284.0</v>
      </c>
      <c r="F566" s="170" t="s">
        <v>439</v>
      </c>
      <c r="G566" s="219"/>
      <c r="H566" s="171">
        <v>100.0</v>
      </c>
      <c r="I566" s="171">
        <v>100.0</v>
      </c>
      <c r="J566" s="172">
        <f t="shared" si="24"/>
        <v>0.001436335405</v>
      </c>
      <c r="K566" s="173">
        <f t="shared" si="28"/>
        <v>1.651785716</v>
      </c>
      <c r="L566" s="174">
        <f t="shared" si="4"/>
        <v>6.492289456</v>
      </c>
      <c r="M566" s="175" t="str">
        <f t="shared" si="5"/>
        <v>naynaysoo</v>
      </c>
      <c r="N566" s="176">
        <f>IFERROR(__xludf.DUMMYFUNCTION("""COMPUTED_VALUE"""),5.0)</f>
        <v>5</v>
      </c>
      <c r="O566" s="176"/>
      <c r="P566" s="165" t="s">
        <v>528</v>
      </c>
      <c r="Q566" s="165" t="s">
        <v>486</v>
      </c>
      <c r="R566" s="176"/>
      <c r="S566" s="176"/>
      <c r="T566" s="176"/>
      <c r="U566" s="176"/>
      <c r="V566" s="176"/>
      <c r="W566" s="176"/>
      <c r="X566" s="176"/>
      <c r="Y566" s="176"/>
      <c r="Z566" s="176"/>
      <c r="AA566" s="176"/>
    </row>
    <row r="567">
      <c r="A567" s="165" t="str">
        <f>iferror(VLOOKUP(P567,'DO NOT TOUCH Imported'!$A$1:$D$800,4,False),iferror(VLOOKUP(P567,'DO NOT TOUCH Imported'!$C$1:$D$800,2,False),"OOPS FIX ME"))</f>
        <v>naynaysoo</v>
      </c>
      <c r="B567" s="165" t="s">
        <v>486</v>
      </c>
      <c r="C567" s="170" t="s">
        <v>1441</v>
      </c>
      <c r="D567" s="236" t="s">
        <v>437</v>
      </c>
      <c r="E567" s="239">
        <v>44284.0</v>
      </c>
      <c r="F567" s="170" t="s">
        <v>439</v>
      </c>
      <c r="G567" s="219"/>
      <c r="H567" s="171">
        <v>60.0</v>
      </c>
      <c r="I567" s="171">
        <v>50.0</v>
      </c>
      <c r="J567" s="172">
        <f t="shared" si="24"/>
        <v>0.0007904847406</v>
      </c>
      <c r="K567" s="173">
        <f t="shared" si="28"/>
        <v>0.9090574516</v>
      </c>
      <c r="L567" s="174">
        <f t="shared" si="4"/>
        <v>6.492289456</v>
      </c>
      <c r="M567" s="175" t="str">
        <f t="shared" si="5"/>
        <v>naynaysoo</v>
      </c>
      <c r="N567" s="176">
        <f>IFERROR(__xludf.DUMMYFUNCTION("""COMPUTED_VALUE"""),6.0)</f>
        <v>6</v>
      </c>
      <c r="O567" s="176"/>
      <c r="P567" s="165" t="s">
        <v>528</v>
      </c>
      <c r="Q567" s="165" t="s">
        <v>486</v>
      </c>
      <c r="R567" s="176"/>
      <c r="S567" s="176"/>
      <c r="T567" s="176"/>
      <c r="U567" s="176"/>
      <c r="V567" s="176"/>
      <c r="W567" s="176"/>
      <c r="X567" s="176"/>
      <c r="Y567" s="176"/>
      <c r="Z567" s="176"/>
      <c r="AA567" s="176"/>
    </row>
    <row r="568">
      <c r="A568" s="165" t="str">
        <f>iferror(VLOOKUP(P568,'DO NOT TOUCH Imported'!$A$1:$D$800,4,False),iferror(VLOOKUP(P568,'DO NOT TOUCH Imported'!$C$1:$D$800,2,False),"OOPS FIX ME"))</f>
        <v>naynaysoo</v>
      </c>
      <c r="B568" s="165" t="s">
        <v>441</v>
      </c>
      <c r="C568" s="170" t="s">
        <v>1236</v>
      </c>
      <c r="D568" s="236" t="s">
        <v>437</v>
      </c>
      <c r="E568" s="239">
        <v>44284.0</v>
      </c>
      <c r="F568" s="170" t="s">
        <v>439</v>
      </c>
      <c r="G568" s="219"/>
      <c r="H568" s="171">
        <v>100.0</v>
      </c>
      <c r="I568" s="171">
        <v>100.0</v>
      </c>
      <c r="J568" s="172">
        <f t="shared" si="24"/>
        <v>0.001436335405</v>
      </c>
      <c r="K568" s="173">
        <f t="shared" si="28"/>
        <v>1.651785716</v>
      </c>
      <c r="L568" s="174">
        <f t="shared" si="4"/>
        <v>6.492289456</v>
      </c>
      <c r="M568" s="175" t="str">
        <f t="shared" si="5"/>
        <v>naynaysoo</v>
      </c>
      <c r="N568" s="176">
        <f>IFERROR(__xludf.DUMMYFUNCTION("""COMPUTED_VALUE"""),7.0)</f>
        <v>7</v>
      </c>
      <c r="O568" s="176"/>
      <c r="P568" s="165" t="s">
        <v>528</v>
      </c>
      <c r="Q568" s="165" t="s">
        <v>441</v>
      </c>
      <c r="R568" s="176"/>
      <c r="S568" s="176"/>
      <c r="T568" s="176"/>
      <c r="U568" s="176"/>
      <c r="V568" s="176"/>
      <c r="W568" s="176"/>
      <c r="X568" s="176"/>
      <c r="Y568" s="176"/>
      <c r="Z568" s="176"/>
      <c r="AA568" s="176"/>
    </row>
    <row r="569">
      <c r="A569" s="165" t="str">
        <f>iferror(VLOOKUP(P569,'DO NOT TOUCH Imported'!$A$1:$D$800,4,False),iferror(VLOOKUP(P569,'DO NOT TOUCH Imported'!$C$1:$D$800,2,False),"OOPS FIX ME"))</f>
        <v>naynaysoo</v>
      </c>
      <c r="B569" s="165" t="s">
        <v>486</v>
      </c>
      <c r="C569" s="170" t="s">
        <v>1237</v>
      </c>
      <c r="D569" s="236" t="s">
        <v>437</v>
      </c>
      <c r="E569" s="239">
        <v>44285.0</v>
      </c>
      <c r="F569" s="170" t="s">
        <v>439</v>
      </c>
      <c r="G569" s="219"/>
      <c r="H569" s="171">
        <v>40.0</v>
      </c>
      <c r="I569" s="171">
        <v>50.0</v>
      </c>
      <c r="J569" s="172">
        <f t="shared" si="24"/>
        <v>0.0006458506648</v>
      </c>
      <c r="K569" s="173">
        <f t="shared" si="28"/>
        <v>0.7427282645</v>
      </c>
      <c r="L569" s="174">
        <f t="shared" si="4"/>
        <v>6.492289456</v>
      </c>
      <c r="M569" s="175" t="str">
        <f t="shared" si="5"/>
        <v>naynaysoo</v>
      </c>
      <c r="N569" s="176">
        <f>IFERROR(__xludf.DUMMYFUNCTION("""COMPUTED_VALUE"""),8.0)</f>
        <v>8</v>
      </c>
      <c r="O569" s="176"/>
      <c r="P569" s="165" t="s">
        <v>528</v>
      </c>
      <c r="Q569" s="165" t="s">
        <v>486</v>
      </c>
      <c r="R569" s="176"/>
      <c r="S569" s="176"/>
      <c r="T569" s="176"/>
      <c r="U569" s="176"/>
      <c r="V569" s="176"/>
      <c r="W569" s="176"/>
      <c r="X569" s="176"/>
      <c r="Y569" s="176"/>
      <c r="Z569" s="176"/>
      <c r="AA569" s="176"/>
    </row>
    <row r="570">
      <c r="A570" s="165" t="str">
        <f>iferror(VLOOKUP(P570,'DO NOT TOUCH Imported'!$A$1:$D$800,4,False),iferror(VLOOKUP(P570,'DO NOT TOUCH Imported'!$C$1:$D$800,2,False),"OOPS FIX ME"))</f>
        <v>naynaysoo</v>
      </c>
      <c r="B570" s="165" t="s">
        <v>530</v>
      </c>
      <c r="C570" s="170" t="s">
        <v>1285</v>
      </c>
      <c r="D570" s="236" t="s">
        <v>499</v>
      </c>
      <c r="E570" s="239">
        <v>44285.0</v>
      </c>
      <c r="F570" s="170" t="s">
        <v>503</v>
      </c>
      <c r="G570" s="219"/>
      <c r="H570" s="171">
        <v>60.0</v>
      </c>
      <c r="I570" s="171">
        <v>50.0</v>
      </c>
      <c r="J570" s="172">
        <f t="shared" si="24"/>
        <v>0.0007904847406</v>
      </c>
      <c r="K570" s="173">
        <f t="shared" si="28"/>
        <v>0.9090574516</v>
      </c>
      <c r="L570" s="174">
        <f t="shared" si="4"/>
        <v>6.492289456</v>
      </c>
      <c r="M570" s="175" t="str">
        <f t="shared" si="5"/>
        <v>naynaysoo</v>
      </c>
      <c r="N570" s="176">
        <f>IFERROR(__xludf.DUMMYFUNCTION("""COMPUTED_VALUE"""),9.0)</f>
        <v>9</v>
      </c>
      <c r="O570" s="176"/>
      <c r="P570" s="165" t="s">
        <v>528</v>
      </c>
      <c r="Q570" s="165" t="s">
        <v>530</v>
      </c>
      <c r="R570" s="176"/>
      <c r="S570" s="176"/>
      <c r="T570" s="176"/>
      <c r="U570" s="176"/>
      <c r="V570" s="176"/>
      <c r="W570" s="176"/>
      <c r="X570" s="176"/>
      <c r="Y570" s="176"/>
      <c r="Z570" s="176"/>
      <c r="AA570" s="176"/>
    </row>
    <row r="571">
      <c r="A571" s="165" t="str">
        <f>iferror(VLOOKUP(P571,'DO NOT TOUCH Imported'!$A$1:$D$800,4,False),iferror(VLOOKUP(P571,'DO NOT TOUCH Imported'!$C$1:$D$800,2,False),"OOPS FIX ME"))</f>
        <v>naynaysoo</v>
      </c>
      <c r="B571" s="165" t="s">
        <v>490</v>
      </c>
      <c r="C571" s="170" t="s">
        <v>1240</v>
      </c>
      <c r="D571" s="236" t="s">
        <v>437</v>
      </c>
      <c r="E571" s="239">
        <v>44286.0</v>
      </c>
      <c r="F571" s="170" t="s">
        <v>439</v>
      </c>
      <c r="G571" s="219"/>
      <c r="H571" s="171">
        <v>60.0</v>
      </c>
      <c r="I571" s="171">
        <v>50.0</v>
      </c>
      <c r="J571" s="172">
        <f t="shared" si="24"/>
        <v>0.0007904847406</v>
      </c>
      <c r="K571" s="173">
        <f t="shared" si="28"/>
        <v>0.9090574516</v>
      </c>
      <c r="L571" s="174">
        <f t="shared" si="4"/>
        <v>6.492289456</v>
      </c>
      <c r="M571" s="175" t="str">
        <f t="shared" si="5"/>
        <v>naynaysoo</v>
      </c>
      <c r="N571" s="176">
        <f>IFERROR(__xludf.DUMMYFUNCTION("""COMPUTED_VALUE"""),10.0)</f>
        <v>10</v>
      </c>
      <c r="O571" s="176"/>
      <c r="P571" s="165" t="s">
        <v>528</v>
      </c>
      <c r="Q571" s="165" t="s">
        <v>490</v>
      </c>
      <c r="R571" s="176"/>
      <c r="S571" s="176"/>
      <c r="T571" s="176"/>
      <c r="U571" s="176"/>
      <c r="V571" s="176"/>
      <c r="W571" s="176"/>
      <c r="X571" s="176"/>
      <c r="Y571" s="176"/>
      <c r="Z571" s="176"/>
      <c r="AA571" s="176"/>
    </row>
    <row r="572">
      <c r="A572" s="165" t="str">
        <f>iferror(VLOOKUP(P572,'DO NOT TOUCH Imported'!$A$1:$D$800,4,False),iferror(VLOOKUP(P572,'DO NOT TOUCH Imported'!$C$1:$D$800,2,False),"OOPS FIX ME"))</f>
        <v>naynaysoo</v>
      </c>
      <c r="B572" s="165" t="s">
        <v>490</v>
      </c>
      <c r="C572" s="170" t="s">
        <v>1463</v>
      </c>
      <c r="D572" s="236" t="s">
        <v>437</v>
      </c>
      <c r="E572" s="239">
        <v>44286.0</v>
      </c>
      <c r="F572" s="170" t="s">
        <v>439</v>
      </c>
      <c r="G572" s="219"/>
      <c r="H572" s="171">
        <v>100.0</v>
      </c>
      <c r="I572" s="171">
        <v>80.0</v>
      </c>
      <c r="J572" s="172">
        <f t="shared" si="24"/>
        <v>0.0012937024</v>
      </c>
      <c r="K572" s="173">
        <f t="shared" si="28"/>
        <v>1.48775776</v>
      </c>
      <c r="L572" s="174">
        <f t="shared" si="4"/>
        <v>6.492289456</v>
      </c>
      <c r="M572" s="175" t="str">
        <f t="shared" si="5"/>
        <v>naynaysoo</v>
      </c>
      <c r="N572" s="176">
        <f>IFERROR(__xludf.DUMMYFUNCTION("""COMPUTED_VALUE"""),11.0)</f>
        <v>11</v>
      </c>
      <c r="O572" s="176"/>
      <c r="P572" s="165" t="s">
        <v>528</v>
      </c>
      <c r="Q572" s="165" t="s">
        <v>490</v>
      </c>
      <c r="R572" s="176"/>
      <c r="S572" s="176"/>
      <c r="T572" s="176"/>
      <c r="U572" s="176"/>
      <c r="V572" s="176"/>
      <c r="W572" s="176"/>
      <c r="X572" s="176"/>
      <c r="Y572" s="176"/>
      <c r="Z572" s="176"/>
      <c r="AA572" s="176"/>
    </row>
    <row r="573">
      <c r="A573" s="165" t="str">
        <f>iferror(VLOOKUP(P573,'DO NOT TOUCH Imported'!$A$1:$D$800,4,False),iferror(VLOOKUP(P573,'DO NOT TOUCH Imported'!$C$1:$D$800,2,False),"OOPS FIX ME"))</f>
        <v>naynaysoo</v>
      </c>
      <c r="B573" s="165" t="s">
        <v>435</v>
      </c>
      <c r="C573" s="170" t="s">
        <v>1464</v>
      </c>
      <c r="D573" s="236" t="s">
        <v>437</v>
      </c>
      <c r="E573" s="239">
        <v>44287.0</v>
      </c>
      <c r="F573" s="170" t="s">
        <v>439</v>
      </c>
      <c r="G573" s="219"/>
      <c r="H573" s="171">
        <v>200.0</v>
      </c>
      <c r="I573" s="171">
        <v>150.0</v>
      </c>
      <c r="J573" s="172">
        <f t="shared" si="24"/>
        <v>0.002516088297</v>
      </c>
      <c r="K573" s="173">
        <f t="shared" si="28"/>
        <v>2.893501542</v>
      </c>
      <c r="L573" s="174">
        <f t="shared" si="4"/>
        <v>6.492289456</v>
      </c>
      <c r="M573" s="175" t="str">
        <f t="shared" si="5"/>
        <v>naynaysoo</v>
      </c>
      <c r="N573" s="176">
        <f>IFERROR(__xludf.DUMMYFUNCTION("""COMPUTED_VALUE"""),12.0)</f>
        <v>12</v>
      </c>
      <c r="O573" s="176"/>
      <c r="P573" s="165" t="s">
        <v>528</v>
      </c>
      <c r="Q573" s="165" t="s">
        <v>435</v>
      </c>
      <c r="R573" s="176"/>
      <c r="S573" s="176"/>
      <c r="T573" s="176"/>
      <c r="U573" s="176"/>
      <c r="V573" s="176"/>
      <c r="W573" s="176"/>
      <c r="X573" s="176"/>
      <c r="Y573" s="176"/>
      <c r="Z573" s="176"/>
      <c r="AA573" s="176"/>
    </row>
    <row r="574">
      <c r="A574" s="165" t="str">
        <f>iferror(VLOOKUP(P574,'DO NOT TOUCH Imported'!$A$1:$D$800,4,False),iferror(VLOOKUP(P574,'DO NOT TOUCH Imported'!$C$1:$D$800,2,False),"OOPS FIX ME"))</f>
        <v>naynaysoo</v>
      </c>
      <c r="B574" s="165" t="s">
        <v>435</v>
      </c>
      <c r="C574" s="170" t="s">
        <v>1465</v>
      </c>
      <c r="D574" s="236" t="s">
        <v>437</v>
      </c>
      <c r="E574" s="239">
        <v>44287.0</v>
      </c>
      <c r="F574" s="170" t="s">
        <v>439</v>
      </c>
      <c r="G574" s="219"/>
      <c r="H574" s="171">
        <v>150.0</v>
      </c>
      <c r="I574" s="171">
        <v>100.0</v>
      </c>
      <c r="J574" s="172">
        <f t="shared" si="24"/>
        <v>0.001797920595</v>
      </c>
      <c r="K574" s="173">
        <f t="shared" si="28"/>
        <v>2.067608684</v>
      </c>
      <c r="L574" s="174">
        <f t="shared" si="4"/>
        <v>6.492289456</v>
      </c>
      <c r="M574" s="175" t="str">
        <f t="shared" si="5"/>
        <v>naynaysoo</v>
      </c>
      <c r="N574" s="176">
        <f>IFERROR(__xludf.DUMMYFUNCTION("""COMPUTED_VALUE"""),13.0)</f>
        <v>13</v>
      </c>
      <c r="O574" s="176"/>
      <c r="P574" s="165" t="s">
        <v>528</v>
      </c>
      <c r="Q574" s="165" t="s">
        <v>435</v>
      </c>
      <c r="R574" s="176"/>
      <c r="S574" s="176"/>
      <c r="T574" s="176"/>
      <c r="U574" s="176"/>
      <c r="V574" s="176"/>
      <c r="W574" s="176"/>
      <c r="X574" s="176"/>
      <c r="Y574" s="176"/>
      <c r="Z574" s="176"/>
      <c r="AA574" s="176"/>
    </row>
    <row r="575">
      <c r="A575" s="165" t="str">
        <f>iferror(VLOOKUP(P575,'DO NOT TOUCH Imported'!$A$1:$D$800,4,False),iferror(VLOOKUP(P575,'DO NOT TOUCH Imported'!$C$1:$D$800,2,False),"OOPS FIX ME"))</f>
        <v>naynaysoo</v>
      </c>
      <c r="B575" s="165" t="s">
        <v>435</v>
      </c>
      <c r="C575" s="170" t="s">
        <v>1466</v>
      </c>
      <c r="D575" s="236" t="s">
        <v>437</v>
      </c>
      <c r="E575" s="239">
        <v>44287.0</v>
      </c>
      <c r="F575" s="170" t="s">
        <v>439</v>
      </c>
      <c r="G575" s="219"/>
      <c r="H575" s="171">
        <v>100.0</v>
      </c>
      <c r="I575" s="171">
        <v>150.0</v>
      </c>
      <c r="J575" s="172">
        <f t="shared" si="24"/>
        <v>0.001792917919</v>
      </c>
      <c r="K575" s="173">
        <f t="shared" si="28"/>
        <v>2.061855606</v>
      </c>
      <c r="L575" s="174">
        <f t="shared" si="4"/>
        <v>6.492289456</v>
      </c>
      <c r="M575" s="175" t="str">
        <f t="shared" si="5"/>
        <v>naynaysoo</v>
      </c>
      <c r="N575" s="176">
        <f>IFERROR(__xludf.DUMMYFUNCTION("""COMPUTED_VALUE"""),14.0)</f>
        <v>14</v>
      </c>
      <c r="O575" s="176"/>
      <c r="P575" s="165" t="s">
        <v>528</v>
      </c>
      <c r="Q575" s="165" t="s">
        <v>435</v>
      </c>
      <c r="R575" s="176"/>
      <c r="S575" s="176"/>
      <c r="T575" s="176"/>
      <c r="U575" s="176"/>
      <c r="V575" s="176"/>
      <c r="W575" s="176"/>
      <c r="X575" s="176"/>
      <c r="Y575" s="176"/>
      <c r="Z575" s="176"/>
      <c r="AA575" s="176"/>
    </row>
    <row r="576">
      <c r="A576" s="165" t="str">
        <f>iferror(VLOOKUP(P576,'DO NOT TOUCH Imported'!$A$1:$D$800,4,False),iferror(VLOOKUP(P576,'DO NOT TOUCH Imported'!$C$1:$D$800,2,False),"OOPS FIX ME"))</f>
        <v>naynaysoo</v>
      </c>
      <c r="B576" s="165" t="s">
        <v>435</v>
      </c>
      <c r="C576" s="170" t="s">
        <v>1246</v>
      </c>
      <c r="D576" s="236" t="s">
        <v>437</v>
      </c>
      <c r="E576" s="239">
        <v>44287.0</v>
      </c>
      <c r="F576" s="170" t="s">
        <v>439</v>
      </c>
      <c r="G576" s="219"/>
      <c r="H576" s="171">
        <v>70.0</v>
      </c>
      <c r="I576" s="171">
        <v>50.0</v>
      </c>
      <c r="J576" s="172">
        <f t="shared" si="24"/>
        <v>0.0008628017785</v>
      </c>
      <c r="K576" s="173">
        <f t="shared" si="28"/>
        <v>0.9922220452</v>
      </c>
      <c r="L576" s="174">
        <f t="shared" si="4"/>
        <v>6.492289456</v>
      </c>
      <c r="M576" s="175" t="str">
        <f t="shared" si="5"/>
        <v>naynaysoo</v>
      </c>
      <c r="N576" s="176">
        <f>IFERROR(__xludf.DUMMYFUNCTION("""COMPUTED_VALUE"""),15.0)</f>
        <v>15</v>
      </c>
      <c r="O576" s="176"/>
      <c r="P576" s="165" t="s">
        <v>528</v>
      </c>
      <c r="Q576" s="165" t="s">
        <v>435</v>
      </c>
      <c r="R576" s="176"/>
      <c r="S576" s="176"/>
      <c r="T576" s="176"/>
      <c r="U576" s="176"/>
      <c r="V576" s="176"/>
      <c r="W576" s="176"/>
      <c r="X576" s="176"/>
      <c r="Y576" s="176"/>
      <c r="Z576" s="176"/>
      <c r="AA576" s="176"/>
    </row>
    <row r="577">
      <c r="A577" s="165" t="str">
        <f>iferror(VLOOKUP(P577,'DO NOT TOUCH Imported'!$A$1:$D$800,4,False),iferror(VLOOKUP(P577,'DO NOT TOUCH Imported'!$C$1:$D$800,2,False),"OOPS FIX ME"))</f>
        <v>naynaysoo</v>
      </c>
      <c r="B577" s="165" t="s">
        <v>441</v>
      </c>
      <c r="C577" s="170" t="s">
        <v>1393</v>
      </c>
      <c r="D577" s="236" t="s">
        <v>437</v>
      </c>
      <c r="E577" s="237">
        <v>44288.0</v>
      </c>
      <c r="F577" s="170" t="s">
        <v>439</v>
      </c>
      <c r="G577" s="219"/>
      <c r="H577" s="171">
        <v>100.0</v>
      </c>
      <c r="I577" s="171">
        <v>150.0</v>
      </c>
      <c r="J577" s="172">
        <f t="shared" si="24"/>
        <v>0.001792917919</v>
      </c>
      <c r="K577" s="173">
        <f t="shared" si="28"/>
        <v>2.061855606</v>
      </c>
      <c r="L577" s="174">
        <f t="shared" si="4"/>
        <v>6.492289456</v>
      </c>
      <c r="M577" s="175" t="str">
        <f t="shared" si="5"/>
        <v>naynaysoo</v>
      </c>
      <c r="N577" s="176">
        <f>IFERROR(__xludf.DUMMYFUNCTION("""COMPUTED_VALUE"""),16.0)</f>
        <v>16</v>
      </c>
      <c r="O577" s="176"/>
      <c r="P577" s="165" t="s">
        <v>528</v>
      </c>
      <c r="Q577" s="165" t="s">
        <v>441</v>
      </c>
      <c r="R577" s="176"/>
      <c r="S577" s="176"/>
      <c r="T577" s="176"/>
      <c r="U577" s="176"/>
      <c r="V577" s="176"/>
      <c r="W577" s="176"/>
      <c r="X577" s="176"/>
      <c r="Y577" s="176"/>
      <c r="Z577" s="176"/>
      <c r="AA577" s="176"/>
    </row>
    <row r="578">
      <c r="A578" s="165" t="str">
        <f>iferror(VLOOKUP(P578,'DO NOT TOUCH Imported'!$A$1:$D$800,4,False),iferror(VLOOKUP(P578,'DO NOT TOUCH Imported'!$C$1:$D$800,2,False),"OOPS FIX ME"))</f>
        <v>naynaysoo</v>
      </c>
      <c r="B578" s="165" t="s">
        <v>441</v>
      </c>
      <c r="C578" s="170" t="s">
        <v>1394</v>
      </c>
      <c r="D578" s="236" t="s">
        <v>437</v>
      </c>
      <c r="E578" s="237">
        <v>44288.0</v>
      </c>
      <c r="F578" s="170" t="s">
        <v>439</v>
      </c>
      <c r="G578" s="219"/>
      <c r="H578" s="171">
        <v>100.0</v>
      </c>
      <c r="I578" s="171">
        <v>100.0</v>
      </c>
      <c r="J578" s="172">
        <f t="shared" si="24"/>
        <v>0.001436335405</v>
      </c>
      <c r="K578" s="173">
        <f t="shared" si="28"/>
        <v>1.651785716</v>
      </c>
      <c r="L578" s="174">
        <f t="shared" si="4"/>
        <v>6.492289456</v>
      </c>
      <c r="M578" s="175" t="str">
        <f t="shared" si="5"/>
        <v>naynaysoo</v>
      </c>
      <c r="N578" s="176">
        <f>IFERROR(__xludf.DUMMYFUNCTION("""COMPUTED_VALUE"""),17.0)</f>
        <v>17</v>
      </c>
      <c r="O578" s="176"/>
      <c r="P578" s="165" t="s">
        <v>528</v>
      </c>
      <c r="Q578" s="165" t="s">
        <v>441</v>
      </c>
      <c r="R578" s="176"/>
      <c r="S578" s="176"/>
      <c r="T578" s="176"/>
      <c r="U578" s="176"/>
      <c r="V578" s="176"/>
      <c r="W578" s="176"/>
      <c r="X578" s="176"/>
      <c r="Y578" s="176"/>
      <c r="Z578" s="176"/>
      <c r="AA578" s="176"/>
    </row>
    <row r="579">
      <c r="A579" s="165" t="str">
        <f>iferror(VLOOKUP(P579,'DO NOT TOUCH Imported'!$A$1:$D$800,4,False),iferror(VLOOKUP(P579,'DO NOT TOUCH Imported'!$C$1:$D$800,2,False),"OOPS FIX ME"))</f>
        <v>naynaysoo</v>
      </c>
      <c r="B579" s="165" t="s">
        <v>441</v>
      </c>
      <c r="C579" s="170" t="s">
        <v>1248</v>
      </c>
      <c r="D579" s="236" t="s">
        <v>437</v>
      </c>
      <c r="E579" s="237">
        <v>44288.0</v>
      </c>
      <c r="F579" s="170" t="s">
        <v>439</v>
      </c>
      <c r="G579" s="219"/>
      <c r="H579" s="171">
        <v>100.0</v>
      </c>
      <c r="I579" s="171">
        <v>100.0</v>
      </c>
      <c r="J579" s="172">
        <f t="shared" si="24"/>
        <v>0.001436335405</v>
      </c>
      <c r="K579" s="173">
        <f t="shared" si="28"/>
        <v>1.651785716</v>
      </c>
      <c r="L579" s="174">
        <f t="shared" si="4"/>
        <v>6.492289456</v>
      </c>
      <c r="M579" s="175" t="str">
        <f t="shared" si="5"/>
        <v>naynaysoo</v>
      </c>
      <c r="N579" s="176">
        <f>IFERROR(__xludf.DUMMYFUNCTION("""COMPUTED_VALUE"""),18.0)</f>
        <v>18</v>
      </c>
      <c r="O579" s="176"/>
      <c r="P579" s="165" t="s">
        <v>528</v>
      </c>
      <c r="Q579" s="165" t="s">
        <v>441</v>
      </c>
      <c r="R579" s="176"/>
      <c r="S579" s="176"/>
      <c r="T579" s="176"/>
      <c r="U579" s="176"/>
      <c r="V579" s="176"/>
      <c r="W579" s="176"/>
      <c r="X579" s="176"/>
      <c r="Y579" s="176"/>
      <c r="Z579" s="176"/>
      <c r="AA579" s="176"/>
    </row>
    <row r="580">
      <c r="A580" s="165" t="str">
        <f>iferror(VLOOKUP(P580,'DO NOT TOUCH Imported'!$A$1:$D$800,4,False),iferror(VLOOKUP(P580,'DO NOT TOUCH Imported'!$C$1:$D$800,2,False),"OOPS FIX ME"))</f>
        <v>naynaysoo</v>
      </c>
      <c r="B580" s="165" t="s">
        <v>441</v>
      </c>
      <c r="C580" s="170" t="s">
        <v>1444</v>
      </c>
      <c r="D580" s="236" t="s">
        <v>437</v>
      </c>
      <c r="E580" s="237">
        <v>44288.0</v>
      </c>
      <c r="F580" s="170" t="s">
        <v>439</v>
      </c>
      <c r="G580" s="219"/>
      <c r="H580" s="171">
        <v>100.0</v>
      </c>
      <c r="I580" s="171">
        <v>100.0</v>
      </c>
      <c r="J580" s="172">
        <f t="shared" si="24"/>
        <v>0.001436335405</v>
      </c>
      <c r="K580" s="173">
        <f t="shared" si="28"/>
        <v>1.651785716</v>
      </c>
      <c r="L580" s="174">
        <f t="shared" si="4"/>
        <v>6.492289456</v>
      </c>
      <c r="M580" s="175" t="str">
        <f t="shared" si="5"/>
        <v>naynaysoo</v>
      </c>
      <c r="N580" s="176">
        <f>IFERROR(__xludf.DUMMYFUNCTION("""COMPUTED_VALUE"""),19.0)</f>
        <v>19</v>
      </c>
      <c r="O580" s="176"/>
      <c r="P580" s="165" t="s">
        <v>528</v>
      </c>
      <c r="Q580" s="165" t="s">
        <v>441</v>
      </c>
      <c r="R580" s="176"/>
      <c r="S580" s="176"/>
      <c r="T580" s="176"/>
      <c r="U580" s="176"/>
      <c r="V580" s="176"/>
      <c r="W580" s="176"/>
      <c r="X580" s="176"/>
      <c r="Y580" s="176"/>
      <c r="Z580" s="176"/>
      <c r="AA580" s="176"/>
    </row>
    <row r="581">
      <c r="A581" s="165" t="str">
        <f>iferror(VLOOKUP(P581,'DO NOT TOUCH Imported'!$A$1:$D$800,4,False),iferror(VLOOKUP(P581,'DO NOT TOUCH Imported'!$C$1:$D$800,2,False),"OOPS FIX ME"))</f>
        <v>naynaysoo</v>
      </c>
      <c r="B581" s="165" t="s">
        <v>441</v>
      </c>
      <c r="C581" s="170" t="s">
        <v>1467</v>
      </c>
      <c r="D581" s="236" t="s">
        <v>437</v>
      </c>
      <c r="E581" s="237">
        <v>44288.0</v>
      </c>
      <c r="F581" s="170" t="s">
        <v>439</v>
      </c>
      <c r="G581" s="219"/>
      <c r="H581" s="171">
        <v>100.0</v>
      </c>
      <c r="I581" s="171">
        <v>100.0</v>
      </c>
      <c r="J581" s="172">
        <f t="shared" si="24"/>
        <v>0.001436335405</v>
      </c>
      <c r="K581" s="173">
        <f t="shared" si="28"/>
        <v>1.651785716</v>
      </c>
      <c r="L581" s="174">
        <f t="shared" si="4"/>
        <v>6.492289456</v>
      </c>
      <c r="M581" s="175" t="str">
        <f t="shared" si="5"/>
        <v>naynaysoo</v>
      </c>
      <c r="N581" s="176">
        <f>IFERROR(__xludf.DUMMYFUNCTION("""COMPUTED_VALUE"""),20.0)</f>
        <v>20</v>
      </c>
      <c r="O581" s="176"/>
      <c r="P581" s="165" t="s">
        <v>528</v>
      </c>
      <c r="Q581" s="165" t="s">
        <v>441</v>
      </c>
      <c r="R581" s="176"/>
      <c r="S581" s="176"/>
      <c r="T581" s="176"/>
      <c r="U581" s="176"/>
      <c r="V581" s="176"/>
      <c r="W581" s="176"/>
      <c r="X581" s="176"/>
      <c r="Y581" s="176"/>
      <c r="Z581" s="176"/>
      <c r="AA581" s="176"/>
    </row>
    <row r="582">
      <c r="A582" s="165" t="str">
        <f>iferror(VLOOKUP(P582,'DO NOT TOUCH Imported'!$A$1:$D$800,4,False),iferror(VLOOKUP(P582,'DO NOT TOUCH Imported'!$C$1:$D$800,2,False),"OOPS FIX ME"))</f>
        <v>naynaysoo</v>
      </c>
      <c r="B582" s="165" t="s">
        <v>441</v>
      </c>
      <c r="C582" s="170" t="s">
        <v>1250</v>
      </c>
      <c r="D582" s="236" t="s">
        <v>437</v>
      </c>
      <c r="E582" s="237">
        <v>44288.0</v>
      </c>
      <c r="F582" s="170" t="s">
        <v>439</v>
      </c>
      <c r="G582" s="219"/>
      <c r="H582" s="171">
        <v>40.0</v>
      </c>
      <c r="I582" s="171">
        <v>50.0</v>
      </c>
      <c r="J582" s="172">
        <f t="shared" si="24"/>
        <v>0.0006458506648</v>
      </c>
      <c r="K582" s="173">
        <f t="shared" si="28"/>
        <v>0.7427282645</v>
      </c>
      <c r="L582" s="174">
        <f t="shared" si="4"/>
        <v>6.492289456</v>
      </c>
      <c r="M582" s="175" t="str">
        <f t="shared" si="5"/>
        <v>naynaysoo</v>
      </c>
      <c r="N582" s="176">
        <f>IFERROR(__xludf.DUMMYFUNCTION("""COMPUTED_VALUE"""),21.0)</f>
        <v>21</v>
      </c>
      <c r="O582" s="176"/>
      <c r="P582" s="165" t="s">
        <v>528</v>
      </c>
      <c r="Q582" s="165" t="s">
        <v>441</v>
      </c>
      <c r="R582" s="176"/>
      <c r="S582" s="176"/>
      <c r="T582" s="176"/>
      <c r="U582" s="176"/>
      <c r="V582" s="176"/>
      <c r="W582" s="176"/>
      <c r="X582" s="176"/>
      <c r="Y582" s="176"/>
      <c r="Z582" s="176"/>
      <c r="AA582" s="176"/>
    </row>
    <row r="583">
      <c r="A583" s="165" t="str">
        <f>iferror(VLOOKUP(P583,'DO NOT TOUCH Imported'!$A$1:$D$800,4,False),iferror(VLOOKUP(P583,'DO NOT TOUCH Imported'!$C$1:$D$800,2,False),"OOPS FIX ME"))</f>
        <v>naynaysoo</v>
      </c>
      <c r="B583" s="165" t="s">
        <v>435</v>
      </c>
      <c r="C583" s="170" t="s">
        <v>1278</v>
      </c>
      <c r="D583" s="236" t="s">
        <v>437</v>
      </c>
      <c r="E583" s="237">
        <v>44288.0</v>
      </c>
      <c r="F583" s="170" t="s">
        <v>439</v>
      </c>
      <c r="G583" s="219"/>
      <c r="H583" s="171">
        <v>70.0</v>
      </c>
      <c r="I583" s="171">
        <v>50.0</v>
      </c>
      <c r="J583" s="172">
        <f t="shared" si="24"/>
        <v>0.0008628017785</v>
      </c>
      <c r="K583" s="173">
        <f t="shared" si="28"/>
        <v>0.9922220452</v>
      </c>
      <c r="L583" s="174">
        <f t="shared" si="4"/>
        <v>6.492289456</v>
      </c>
      <c r="M583" s="175" t="str">
        <f t="shared" si="5"/>
        <v>naynaysoo</v>
      </c>
      <c r="N583" s="176">
        <f>IFERROR(__xludf.DUMMYFUNCTION("""COMPUTED_VALUE"""),22.0)</f>
        <v>22</v>
      </c>
      <c r="O583" s="176"/>
      <c r="P583" s="165" t="s">
        <v>528</v>
      </c>
      <c r="Q583" s="165" t="s">
        <v>435</v>
      </c>
      <c r="R583" s="176"/>
      <c r="S583" s="176"/>
      <c r="T583" s="176"/>
      <c r="U583" s="176"/>
      <c r="V583" s="176"/>
      <c r="W583" s="176"/>
      <c r="X583" s="176"/>
      <c r="Y583" s="176"/>
      <c r="Z583" s="176"/>
      <c r="AA583" s="176"/>
    </row>
    <row r="584">
      <c r="A584" s="165" t="str">
        <f>iferror(VLOOKUP(P584,'DO NOT TOUCH Imported'!$A$1:$D$800,4,False),iferror(VLOOKUP(P584,'DO NOT TOUCH Imported'!$C$1:$D$800,2,False),"OOPS FIX ME"))</f>
        <v>naynaysoo</v>
      </c>
      <c r="B584" s="165" t="s">
        <v>435</v>
      </c>
      <c r="C584" s="170" t="s">
        <v>1292</v>
      </c>
      <c r="D584" s="236" t="s">
        <v>437</v>
      </c>
      <c r="E584" s="237">
        <v>44291.0</v>
      </c>
      <c r="F584" s="170" t="s">
        <v>439</v>
      </c>
      <c r="G584" s="219"/>
      <c r="H584" s="171">
        <v>70.0</v>
      </c>
      <c r="I584" s="171">
        <v>100.0</v>
      </c>
      <c r="J584" s="172">
        <f t="shared" si="24"/>
        <v>0.001219384292</v>
      </c>
      <c r="K584" s="173">
        <f t="shared" si="28"/>
        <v>1.402291935</v>
      </c>
      <c r="L584" s="174">
        <f t="shared" si="4"/>
        <v>6.492289456</v>
      </c>
      <c r="M584" s="175" t="str">
        <f t="shared" si="5"/>
        <v>naynaysoo</v>
      </c>
      <c r="N584" s="176">
        <f>IFERROR(__xludf.DUMMYFUNCTION("""COMPUTED_VALUE"""),23.0)</f>
        <v>23</v>
      </c>
      <c r="O584" s="176"/>
      <c r="P584" s="165" t="s">
        <v>528</v>
      </c>
      <c r="Q584" s="165" t="s">
        <v>435</v>
      </c>
      <c r="R584" s="176"/>
      <c r="S584" s="176"/>
      <c r="T584" s="176"/>
      <c r="U584" s="176"/>
      <c r="V584" s="176"/>
      <c r="W584" s="176"/>
      <c r="X584" s="176"/>
      <c r="Y584" s="176"/>
      <c r="Z584" s="176"/>
      <c r="AA584" s="176"/>
    </row>
    <row r="585">
      <c r="A585" s="165" t="str">
        <f>iferror(VLOOKUP(P585,'DO NOT TOUCH Imported'!$A$1:$D$800,4,False),iferror(VLOOKUP(P585,'DO NOT TOUCH Imported'!$C$1:$D$800,2,False),"OOPS FIX ME"))</f>
        <v>naynaysoo</v>
      </c>
      <c r="B585" s="165" t="s">
        <v>443</v>
      </c>
      <c r="C585" s="170" t="s">
        <v>1252</v>
      </c>
      <c r="D585" s="236" t="s">
        <v>437</v>
      </c>
      <c r="E585" s="237">
        <v>44291.0</v>
      </c>
      <c r="F585" s="170" t="s">
        <v>439</v>
      </c>
      <c r="G585" s="219"/>
      <c r="H585" s="171">
        <v>100.0</v>
      </c>
      <c r="I585" s="171">
        <v>80.0</v>
      </c>
      <c r="J585" s="172">
        <f t="shared" si="24"/>
        <v>0.0012937024</v>
      </c>
      <c r="K585" s="173">
        <f t="shared" si="28"/>
        <v>1.48775776</v>
      </c>
      <c r="L585" s="174">
        <f t="shared" si="4"/>
        <v>6.492289456</v>
      </c>
      <c r="M585" s="175" t="str">
        <f t="shared" si="5"/>
        <v>naynaysoo</v>
      </c>
      <c r="N585" s="176">
        <f>IFERROR(__xludf.DUMMYFUNCTION("""COMPUTED_VALUE"""),24.0)</f>
        <v>24</v>
      </c>
      <c r="O585" s="176"/>
      <c r="P585" s="165" t="s">
        <v>528</v>
      </c>
      <c r="Q585" s="165" t="s">
        <v>443</v>
      </c>
      <c r="R585" s="176"/>
      <c r="S585" s="176"/>
      <c r="T585" s="176"/>
      <c r="U585" s="176"/>
      <c r="V585" s="176"/>
      <c r="W585" s="176"/>
      <c r="X585" s="176"/>
      <c r="Y585" s="176"/>
      <c r="Z585" s="176"/>
      <c r="AA585" s="176"/>
    </row>
    <row r="586">
      <c r="A586" s="165" t="str">
        <f>iferror(VLOOKUP(P586,'DO NOT TOUCH Imported'!$A$1:$D$800,4,False),iferror(VLOOKUP(P586,'DO NOT TOUCH Imported'!$C$1:$D$800,2,False),"OOPS FIX ME"))</f>
        <v>naynaysoo</v>
      </c>
      <c r="B586" s="165" t="s">
        <v>813</v>
      </c>
      <c r="C586" s="170" t="s">
        <v>1468</v>
      </c>
      <c r="D586" s="236" t="s">
        <v>437</v>
      </c>
      <c r="E586" s="237">
        <v>44291.0</v>
      </c>
      <c r="F586" s="170" t="s">
        <v>439</v>
      </c>
      <c r="G586" s="219"/>
      <c r="H586" s="171">
        <v>100.0</v>
      </c>
      <c r="I586" s="171">
        <v>100.0</v>
      </c>
      <c r="J586" s="172">
        <f t="shared" si="24"/>
        <v>0.001436335405</v>
      </c>
      <c r="K586" s="173">
        <f t="shared" si="28"/>
        <v>1.651785716</v>
      </c>
      <c r="L586" s="174">
        <f t="shared" si="4"/>
        <v>6.492289456</v>
      </c>
      <c r="M586" s="175" t="str">
        <f t="shared" si="5"/>
        <v>naynaysoo</v>
      </c>
      <c r="N586" s="176">
        <f>IFERROR(__xludf.DUMMYFUNCTION("""COMPUTED_VALUE"""),25.0)</f>
        <v>25</v>
      </c>
      <c r="O586" s="176"/>
      <c r="P586" s="165" t="s">
        <v>528</v>
      </c>
      <c r="Q586" s="165" t="s">
        <v>813</v>
      </c>
      <c r="R586" s="176"/>
      <c r="S586" s="176"/>
      <c r="T586" s="176"/>
      <c r="U586" s="176"/>
      <c r="V586" s="176"/>
      <c r="W586" s="176"/>
      <c r="X586" s="176"/>
      <c r="Y586" s="176"/>
      <c r="Z586" s="176"/>
      <c r="AA586" s="176"/>
    </row>
    <row r="587">
      <c r="A587" s="165" t="str">
        <f>iferror(VLOOKUP(P587,'DO NOT TOUCH Imported'!$A$1:$D$800,4,False),iferror(VLOOKUP(P587,'DO NOT TOUCH Imported'!$C$1:$D$800,2,False),"OOPS FIX ME"))</f>
        <v>naynaysoo</v>
      </c>
      <c r="B587" s="165" t="s">
        <v>486</v>
      </c>
      <c r="C587" s="170" t="s">
        <v>1254</v>
      </c>
      <c r="D587" s="236" t="s">
        <v>437</v>
      </c>
      <c r="E587" s="237">
        <v>44292.0</v>
      </c>
      <c r="F587" s="170" t="s">
        <v>439</v>
      </c>
      <c r="G587" s="219"/>
      <c r="H587" s="171">
        <v>50.0</v>
      </c>
      <c r="I587" s="171">
        <v>50.0</v>
      </c>
      <c r="J587" s="172">
        <f t="shared" si="24"/>
        <v>0.0007181677027</v>
      </c>
      <c r="K587" s="173">
        <f t="shared" si="28"/>
        <v>0.8258928581</v>
      </c>
      <c r="L587" s="174">
        <f t="shared" si="4"/>
        <v>6.492289456</v>
      </c>
      <c r="M587" s="175" t="str">
        <f t="shared" si="5"/>
        <v>naynaysoo</v>
      </c>
      <c r="N587" s="176">
        <f>IFERROR(__xludf.DUMMYFUNCTION("""COMPUTED_VALUE"""),26.0)</f>
        <v>26</v>
      </c>
      <c r="O587" s="176"/>
      <c r="P587" s="165" t="s">
        <v>528</v>
      </c>
      <c r="Q587" s="165" t="s">
        <v>486</v>
      </c>
      <c r="R587" s="176"/>
      <c r="S587" s="176"/>
      <c r="T587" s="176"/>
      <c r="U587" s="176"/>
      <c r="V587" s="176"/>
      <c r="W587" s="176"/>
      <c r="X587" s="176"/>
      <c r="Y587" s="176"/>
      <c r="Z587" s="176"/>
      <c r="AA587" s="176"/>
    </row>
    <row r="588">
      <c r="A588" s="165" t="str">
        <f>iferror(VLOOKUP(P588,'DO NOT TOUCH Imported'!$A$1:$D$800,4,False),iferror(VLOOKUP(P588,'DO NOT TOUCH Imported'!$C$1:$D$800,2,False),"OOPS FIX ME"))</f>
        <v>naynaysoo</v>
      </c>
      <c r="B588" s="165" t="s">
        <v>440</v>
      </c>
      <c r="C588" s="170" t="s">
        <v>1257</v>
      </c>
      <c r="D588" s="236" t="s">
        <v>437</v>
      </c>
      <c r="E588" s="237">
        <v>44292.0</v>
      </c>
      <c r="F588" s="170" t="s">
        <v>439</v>
      </c>
      <c r="G588" s="219"/>
      <c r="H588" s="171">
        <v>70.0</v>
      </c>
      <c r="I588" s="171">
        <v>50.0</v>
      </c>
      <c r="J588" s="172">
        <f t="shared" si="24"/>
        <v>0.0008628017785</v>
      </c>
      <c r="K588" s="173">
        <f t="shared" si="28"/>
        <v>0.9922220452</v>
      </c>
      <c r="L588" s="174">
        <f t="shared" si="4"/>
        <v>6.492289456</v>
      </c>
      <c r="M588" s="175" t="str">
        <f t="shared" si="5"/>
        <v>naynaysoo</v>
      </c>
      <c r="N588" s="176">
        <f>IFERROR(__xludf.DUMMYFUNCTION("""COMPUTED_VALUE"""),27.0)</f>
        <v>27</v>
      </c>
      <c r="O588" s="176"/>
      <c r="P588" s="165" t="s">
        <v>528</v>
      </c>
      <c r="Q588" s="165" t="s">
        <v>440</v>
      </c>
      <c r="R588" s="176"/>
      <c r="S588" s="176"/>
      <c r="T588" s="176"/>
      <c r="U588" s="176"/>
      <c r="V588" s="176"/>
      <c r="W588" s="176"/>
      <c r="X588" s="176"/>
      <c r="Y588" s="176"/>
      <c r="Z588" s="176"/>
      <c r="AA588" s="176"/>
    </row>
    <row r="589">
      <c r="A589" s="165" t="str">
        <f>iferror(VLOOKUP(P589,'DO NOT TOUCH Imported'!$A$1:$D$800,4,False),iferror(VLOOKUP(P589,'DO NOT TOUCH Imported'!$C$1:$D$800,2,False),"OOPS FIX ME"))</f>
        <v>naynaysoo</v>
      </c>
      <c r="B589" s="165" t="s">
        <v>441</v>
      </c>
      <c r="C589" s="170" t="s">
        <v>1397</v>
      </c>
      <c r="D589" s="236" t="s">
        <v>437</v>
      </c>
      <c r="E589" s="237">
        <v>44295.0</v>
      </c>
      <c r="F589" s="170" t="s">
        <v>439</v>
      </c>
      <c r="G589" s="219"/>
      <c r="H589" s="171">
        <v>100.0</v>
      </c>
      <c r="I589" s="171">
        <v>100.0</v>
      </c>
      <c r="J589" s="172">
        <f t="shared" si="24"/>
        <v>0.001436335405</v>
      </c>
      <c r="K589" s="173">
        <f t="shared" si="28"/>
        <v>1.651785716</v>
      </c>
      <c r="L589" s="174">
        <f t="shared" si="4"/>
        <v>6.492289456</v>
      </c>
      <c r="M589" s="175" t="str">
        <f t="shared" si="5"/>
        <v>naynaysoo</v>
      </c>
      <c r="N589" s="176">
        <f>IFERROR(__xludf.DUMMYFUNCTION("""COMPUTED_VALUE"""),28.0)</f>
        <v>28</v>
      </c>
      <c r="O589" s="176"/>
      <c r="P589" s="165" t="s">
        <v>528</v>
      </c>
      <c r="Q589" s="165" t="s">
        <v>441</v>
      </c>
      <c r="R589" s="176"/>
      <c r="S589" s="176"/>
      <c r="T589" s="176"/>
      <c r="U589" s="176"/>
      <c r="V589" s="176"/>
      <c r="W589" s="176"/>
      <c r="X589" s="176"/>
      <c r="Y589" s="176"/>
      <c r="Z589" s="176"/>
      <c r="AA589" s="176"/>
    </row>
    <row r="590">
      <c r="A590" s="165" t="str">
        <f>iferror(VLOOKUP(P590,'DO NOT TOUCH Imported'!$A$1:$D$800,4,False),iferror(VLOOKUP(P590,'DO NOT TOUCH Imported'!$C$1:$D$800,2,False),"OOPS FIX ME"))</f>
        <v>naynaysoo</v>
      </c>
      <c r="B590" s="165" t="s">
        <v>441</v>
      </c>
      <c r="C590" s="170" t="s">
        <v>1331</v>
      </c>
      <c r="D590" s="236" t="s">
        <v>437</v>
      </c>
      <c r="E590" s="237">
        <v>44295.0</v>
      </c>
      <c r="F590" s="170" t="s">
        <v>439</v>
      </c>
      <c r="G590" s="219"/>
      <c r="H590" s="171">
        <v>100.0</v>
      </c>
      <c r="I590" s="171">
        <v>100.0</v>
      </c>
      <c r="J590" s="172">
        <f t="shared" si="24"/>
        <v>0.001436335405</v>
      </c>
      <c r="K590" s="173">
        <f t="shared" si="28"/>
        <v>1.651785716</v>
      </c>
      <c r="L590" s="174">
        <f t="shared" si="4"/>
        <v>6.492289456</v>
      </c>
      <c r="M590" s="175" t="str">
        <f t="shared" si="5"/>
        <v>naynaysoo</v>
      </c>
      <c r="N590" s="176">
        <f>IFERROR(__xludf.DUMMYFUNCTION("""COMPUTED_VALUE"""),29.0)</f>
        <v>29</v>
      </c>
      <c r="O590" s="176"/>
      <c r="P590" s="165" t="s">
        <v>528</v>
      </c>
      <c r="Q590" s="165" t="s">
        <v>441</v>
      </c>
      <c r="R590" s="176"/>
      <c r="S590" s="176"/>
      <c r="T590" s="176"/>
      <c r="U590" s="176"/>
      <c r="V590" s="176"/>
      <c r="W590" s="176"/>
      <c r="X590" s="176"/>
      <c r="Y590" s="176"/>
      <c r="Z590" s="176"/>
      <c r="AA590" s="176"/>
    </row>
    <row r="591">
      <c r="A591" s="165" t="str">
        <f>iferror(VLOOKUP(P591,'DO NOT TOUCH Imported'!$A$1:$D$800,4,False),iferror(VLOOKUP(P591,'DO NOT TOUCH Imported'!$C$1:$D$800,2,False),"OOPS FIX ME"))</f>
        <v>naynaysoo</v>
      </c>
      <c r="B591" s="165" t="s">
        <v>441</v>
      </c>
      <c r="C591" s="170" t="s">
        <v>1451</v>
      </c>
      <c r="D591" s="236" t="s">
        <v>437</v>
      </c>
      <c r="E591" s="237">
        <v>44295.0</v>
      </c>
      <c r="F591" s="170" t="s">
        <v>439</v>
      </c>
      <c r="G591" s="219"/>
      <c r="H591" s="171">
        <v>100.0</v>
      </c>
      <c r="I591" s="171">
        <v>100.0</v>
      </c>
      <c r="J591" s="172">
        <f t="shared" si="24"/>
        <v>0.001436335405</v>
      </c>
      <c r="K591" s="173">
        <f t="shared" si="28"/>
        <v>1.651785716</v>
      </c>
      <c r="L591" s="174">
        <f t="shared" si="4"/>
        <v>6.492289456</v>
      </c>
      <c r="M591" s="175" t="str">
        <f t="shared" si="5"/>
        <v>naynaysoo</v>
      </c>
      <c r="N591" s="176">
        <f>IFERROR(__xludf.DUMMYFUNCTION("""COMPUTED_VALUE"""),30.0)</f>
        <v>30</v>
      </c>
      <c r="O591" s="176"/>
      <c r="P591" s="165" t="s">
        <v>528</v>
      </c>
      <c r="Q591" s="165" t="s">
        <v>441</v>
      </c>
      <c r="R591" s="176"/>
      <c r="S591" s="176"/>
      <c r="T591" s="176"/>
      <c r="U591" s="176"/>
      <c r="V591" s="176"/>
      <c r="W591" s="176"/>
      <c r="X591" s="176"/>
      <c r="Y591" s="176"/>
      <c r="Z591" s="176"/>
      <c r="AA591" s="176"/>
    </row>
    <row r="592">
      <c r="A592" s="165" t="str">
        <f>iferror(VLOOKUP(P592,'DO NOT TOUCH Imported'!$A$1:$D$800,4,False),iferror(VLOOKUP(P592,'DO NOT TOUCH Imported'!$C$1:$D$800,2,False),"OOPS FIX ME"))</f>
        <v>naynaysoo</v>
      </c>
      <c r="B592" s="165" t="s">
        <v>441</v>
      </c>
      <c r="C592" s="170" t="s">
        <v>1469</v>
      </c>
      <c r="D592" s="236" t="s">
        <v>437</v>
      </c>
      <c r="E592" s="237">
        <v>44295.0</v>
      </c>
      <c r="F592" s="170" t="s">
        <v>439</v>
      </c>
      <c r="G592" s="219"/>
      <c r="H592" s="171">
        <v>100.0</v>
      </c>
      <c r="I592" s="171">
        <v>100.0</v>
      </c>
      <c r="J592" s="172">
        <f t="shared" si="24"/>
        <v>0.001436335405</v>
      </c>
      <c r="K592" s="173">
        <f t="shared" si="28"/>
        <v>1.651785716</v>
      </c>
      <c r="L592" s="174">
        <f t="shared" si="4"/>
        <v>6.492289456</v>
      </c>
      <c r="M592" s="175" t="str">
        <f t="shared" si="5"/>
        <v>naynaysoo</v>
      </c>
      <c r="N592" s="176">
        <f>IFERROR(__xludf.DUMMYFUNCTION("""COMPUTED_VALUE"""),31.0)</f>
        <v>31</v>
      </c>
      <c r="O592" s="176"/>
      <c r="P592" s="165" t="s">
        <v>528</v>
      </c>
      <c r="Q592" s="165" t="s">
        <v>441</v>
      </c>
      <c r="R592" s="176"/>
      <c r="S592" s="176"/>
      <c r="T592" s="176"/>
      <c r="U592" s="176"/>
      <c r="V592" s="176"/>
      <c r="W592" s="176"/>
      <c r="X592" s="176"/>
      <c r="Y592" s="176"/>
      <c r="Z592" s="176"/>
      <c r="AA592" s="176"/>
    </row>
    <row r="593">
      <c r="A593" s="165" t="str">
        <f>iferror(VLOOKUP(P593,'DO NOT TOUCH Imported'!$A$1:$D$800,4,False),iferror(VLOOKUP(P593,'DO NOT TOUCH Imported'!$C$1:$D$800,2,False),"OOPS FIX ME"))</f>
        <v>danibelle</v>
      </c>
      <c r="B593" s="165" t="s">
        <v>10</v>
      </c>
      <c r="C593" s="170" t="s">
        <v>498</v>
      </c>
      <c r="D593" s="236" t="s">
        <v>495</v>
      </c>
      <c r="E593" s="239">
        <v>44282.0</v>
      </c>
      <c r="F593" s="170" t="s">
        <v>499</v>
      </c>
      <c r="G593" s="219"/>
      <c r="H593" s="171">
        <v>20.0</v>
      </c>
      <c r="I593" s="171">
        <v>25.0</v>
      </c>
      <c r="J593" s="172">
        <f t="shared" si="24"/>
        <v>0.0003229253324</v>
      </c>
      <c r="K593" s="173">
        <f t="shared" si="28"/>
        <v>0.3713641322</v>
      </c>
      <c r="L593" s="174">
        <f t="shared" si="4"/>
        <v>6.11160715</v>
      </c>
      <c r="M593" s="175" t="str">
        <f t="shared" si="5"/>
        <v>danibelle</v>
      </c>
      <c r="N593" s="176">
        <f>IFERROR(__xludf.DUMMYFUNCTION("""COMPUTED_VALUE"""),1.0)</f>
        <v>1</v>
      </c>
      <c r="O593" s="176"/>
      <c r="P593" s="165" t="s">
        <v>38</v>
      </c>
      <c r="Q593" s="165" t="s">
        <v>10</v>
      </c>
      <c r="R593" s="176"/>
      <c r="S593" s="176"/>
      <c r="T593" s="176"/>
      <c r="U593" s="176"/>
      <c r="V593" s="176"/>
      <c r="W593" s="176"/>
      <c r="X593" s="176"/>
      <c r="Y593" s="176"/>
      <c r="Z593" s="176"/>
      <c r="AA593" s="176"/>
    </row>
    <row r="594">
      <c r="A594" s="165" t="str">
        <f>iferror(VLOOKUP(P594,'DO NOT TOUCH Imported'!$A$1:$D$800,4,False),iferror(VLOOKUP(P594,'DO NOT TOUCH Imported'!$C$1:$D$800,2,False),"OOPS FIX ME"))</f>
        <v>danibelle</v>
      </c>
      <c r="B594" s="165" t="s">
        <v>10</v>
      </c>
      <c r="C594" s="170" t="s">
        <v>498</v>
      </c>
      <c r="D594" s="236" t="s">
        <v>495</v>
      </c>
      <c r="E594" s="239">
        <v>44282.0</v>
      </c>
      <c r="F594" s="170" t="s">
        <v>499</v>
      </c>
      <c r="G594" s="219"/>
      <c r="H594" s="171">
        <v>20.0</v>
      </c>
      <c r="I594" s="171">
        <v>15.0</v>
      </c>
      <c r="J594" s="172">
        <f t="shared" si="24"/>
        <v>0.0002516088297</v>
      </c>
      <c r="K594" s="173">
        <f t="shared" si="28"/>
        <v>0.2893501542</v>
      </c>
      <c r="L594" s="174">
        <f t="shared" si="4"/>
        <v>6.11160715</v>
      </c>
      <c r="M594" s="175" t="str">
        <f t="shared" si="5"/>
        <v>danibelle</v>
      </c>
      <c r="N594" s="176">
        <f>IFERROR(__xludf.DUMMYFUNCTION("""COMPUTED_VALUE"""),2.0)</f>
        <v>2</v>
      </c>
      <c r="O594" s="176"/>
      <c r="P594" s="165" t="s">
        <v>38</v>
      </c>
      <c r="Q594" s="165" t="s">
        <v>10</v>
      </c>
      <c r="R594" s="176"/>
      <c r="S594" s="176"/>
      <c r="T594" s="176"/>
      <c r="U594" s="176"/>
      <c r="V594" s="176"/>
      <c r="W594" s="176"/>
      <c r="X594" s="176"/>
      <c r="Y594" s="176"/>
      <c r="Z594" s="176"/>
      <c r="AA594" s="176"/>
    </row>
    <row r="595">
      <c r="A595" s="165" t="str">
        <f>iferror(VLOOKUP(P595,'DO NOT TOUCH Imported'!$A$1:$D$800,4,False),iferror(VLOOKUP(P595,'DO NOT TOUCH Imported'!$C$1:$D$800,2,False),"OOPS FIX ME"))</f>
        <v>danibelle</v>
      </c>
      <c r="B595" s="165" t="s">
        <v>10</v>
      </c>
      <c r="C595" s="170" t="s">
        <v>500</v>
      </c>
      <c r="D595" s="236" t="s">
        <v>495</v>
      </c>
      <c r="E595" s="239">
        <v>44282.0</v>
      </c>
      <c r="F595" s="170" t="s">
        <v>496</v>
      </c>
      <c r="G595" s="219"/>
      <c r="H595" s="171">
        <v>20.0</v>
      </c>
      <c r="I595" s="171">
        <v>25.0</v>
      </c>
      <c r="J595" s="172">
        <f t="shared" si="24"/>
        <v>0.0003229253324</v>
      </c>
      <c r="K595" s="173">
        <f t="shared" si="28"/>
        <v>0.3713641322</v>
      </c>
      <c r="L595" s="174">
        <f t="shared" si="4"/>
        <v>6.11160715</v>
      </c>
      <c r="M595" s="175" t="str">
        <f t="shared" si="5"/>
        <v>danibelle</v>
      </c>
      <c r="N595" s="176">
        <f>IFERROR(__xludf.DUMMYFUNCTION("""COMPUTED_VALUE"""),3.0)</f>
        <v>3</v>
      </c>
      <c r="O595" s="176"/>
      <c r="P595" s="165" t="s">
        <v>38</v>
      </c>
      <c r="Q595" s="165" t="s">
        <v>10</v>
      </c>
      <c r="R595" s="176"/>
      <c r="S595" s="176"/>
      <c r="T595" s="176"/>
      <c r="U595" s="176"/>
      <c r="V595" s="176"/>
      <c r="W595" s="176"/>
      <c r="X595" s="176"/>
      <c r="Y595" s="176"/>
      <c r="Z595" s="176"/>
      <c r="AA595" s="176"/>
    </row>
    <row r="596">
      <c r="A596" s="165" t="str">
        <f>iferror(VLOOKUP(P596,'DO NOT TOUCH Imported'!$A$1:$D$800,4,False),iferror(VLOOKUP(P596,'DO NOT TOUCH Imported'!$C$1:$D$800,2,False),"OOPS FIX ME"))</f>
        <v>danibelle</v>
      </c>
      <c r="B596" s="165" t="s">
        <v>519</v>
      </c>
      <c r="C596" s="170" t="s">
        <v>668</v>
      </c>
      <c r="D596" s="236" t="s">
        <v>495</v>
      </c>
      <c r="E596" s="239">
        <v>44286.0</v>
      </c>
      <c r="F596" s="170" t="s">
        <v>521</v>
      </c>
      <c r="G596" s="219"/>
      <c r="H596" s="171">
        <v>50.0</v>
      </c>
      <c r="I596" s="171">
        <v>50.0</v>
      </c>
      <c r="J596" s="172">
        <f t="shared" si="24"/>
        <v>0.0007181677027</v>
      </c>
      <c r="K596" s="173">
        <f t="shared" si="28"/>
        <v>0.8258928581</v>
      </c>
      <c r="L596" s="174">
        <f t="shared" si="4"/>
        <v>6.11160715</v>
      </c>
      <c r="M596" s="175" t="str">
        <f t="shared" si="5"/>
        <v>danibelle</v>
      </c>
      <c r="N596" s="176">
        <f>IFERROR(__xludf.DUMMYFUNCTION("""COMPUTED_VALUE"""),4.0)</f>
        <v>4</v>
      </c>
      <c r="O596" s="176"/>
      <c r="P596" s="165" t="s">
        <v>38</v>
      </c>
      <c r="Q596" s="165" t="s">
        <v>519</v>
      </c>
      <c r="R596" s="176"/>
      <c r="S596" s="176"/>
      <c r="T596" s="176"/>
      <c r="U596" s="176"/>
      <c r="V596" s="176"/>
      <c r="W596" s="176"/>
      <c r="X596" s="176"/>
      <c r="Y596" s="176"/>
      <c r="Z596" s="176"/>
      <c r="AA596" s="176"/>
    </row>
    <row r="597">
      <c r="A597" s="165" t="str">
        <f>iferror(VLOOKUP(P597,'DO NOT TOUCH Imported'!$A$1:$D$800,4,False),iferror(VLOOKUP(P597,'DO NOT TOUCH Imported'!$C$1:$D$800,2,False),"OOPS FIX ME"))</f>
        <v>danibelle</v>
      </c>
      <c r="B597" s="165" t="s">
        <v>10</v>
      </c>
      <c r="C597" s="170" t="s">
        <v>498</v>
      </c>
      <c r="D597" s="236" t="s">
        <v>495</v>
      </c>
      <c r="E597" s="239">
        <v>44288.0</v>
      </c>
      <c r="F597" s="170" t="s">
        <v>499</v>
      </c>
      <c r="G597" s="219"/>
      <c r="H597" s="171">
        <v>20.0</v>
      </c>
      <c r="I597" s="171">
        <v>15.0</v>
      </c>
      <c r="J597" s="172">
        <f t="shared" si="24"/>
        <v>0.0002516088297</v>
      </c>
      <c r="K597" s="173">
        <f t="shared" si="28"/>
        <v>0.2893501542</v>
      </c>
      <c r="L597" s="174">
        <f t="shared" si="4"/>
        <v>6.11160715</v>
      </c>
      <c r="M597" s="175" t="str">
        <f t="shared" si="5"/>
        <v>danibelle</v>
      </c>
      <c r="N597" s="176">
        <f>IFERROR(__xludf.DUMMYFUNCTION("""COMPUTED_VALUE"""),5.0)</f>
        <v>5</v>
      </c>
      <c r="O597" s="176"/>
      <c r="P597" s="165" t="s">
        <v>38</v>
      </c>
      <c r="Q597" s="165" t="s">
        <v>10</v>
      </c>
      <c r="R597" s="176"/>
      <c r="S597" s="176"/>
      <c r="T597" s="176"/>
      <c r="U597" s="176"/>
      <c r="V597" s="176"/>
      <c r="W597" s="176"/>
      <c r="X597" s="176"/>
      <c r="Y597" s="176"/>
      <c r="Z597" s="176"/>
      <c r="AA597" s="176"/>
    </row>
    <row r="598">
      <c r="A598" s="165" t="str">
        <f>iferror(VLOOKUP(P598,'DO NOT TOUCH Imported'!$A$1:$D$800,4,False),iferror(VLOOKUP(P598,'DO NOT TOUCH Imported'!$C$1:$D$800,2,False),"OOPS FIX ME"))</f>
        <v>danibelle</v>
      </c>
      <c r="B598" s="165" t="s">
        <v>10</v>
      </c>
      <c r="C598" s="170" t="s">
        <v>498</v>
      </c>
      <c r="D598" s="236" t="s">
        <v>495</v>
      </c>
      <c r="E598" s="239">
        <v>44288.0</v>
      </c>
      <c r="F598" s="170" t="s">
        <v>499</v>
      </c>
      <c r="G598" s="219"/>
      <c r="H598" s="171">
        <v>20.0</v>
      </c>
      <c r="I598" s="171">
        <v>15.0</v>
      </c>
      <c r="J598" s="172">
        <f t="shared" si="24"/>
        <v>0.0002516088297</v>
      </c>
      <c r="K598" s="173">
        <f t="shared" si="28"/>
        <v>0.2893501542</v>
      </c>
      <c r="L598" s="174">
        <f t="shared" si="4"/>
        <v>6.11160715</v>
      </c>
      <c r="M598" s="175" t="str">
        <f t="shared" si="5"/>
        <v>danibelle</v>
      </c>
      <c r="N598" s="176">
        <f>IFERROR(__xludf.DUMMYFUNCTION("""COMPUTED_VALUE"""),6.0)</f>
        <v>6</v>
      </c>
      <c r="O598" s="176"/>
      <c r="P598" s="165" t="s">
        <v>38</v>
      </c>
      <c r="Q598" s="165" t="s">
        <v>10</v>
      </c>
      <c r="R598" s="176"/>
      <c r="S598" s="176"/>
      <c r="T598" s="176"/>
      <c r="U598" s="176"/>
      <c r="V598" s="176"/>
      <c r="W598" s="176"/>
      <c r="X598" s="176"/>
      <c r="Y598" s="176"/>
      <c r="Z598" s="176"/>
      <c r="AA598" s="176"/>
    </row>
    <row r="599">
      <c r="A599" s="165" t="str">
        <f>iferror(VLOOKUP(P599,'DO NOT TOUCH Imported'!$A$1:$D$800,4,False),iferror(VLOOKUP(P599,'DO NOT TOUCH Imported'!$C$1:$D$800,2,False),"OOPS FIX ME"))</f>
        <v>danibelle</v>
      </c>
      <c r="B599" s="165" t="s">
        <v>10</v>
      </c>
      <c r="C599" s="170" t="s">
        <v>500</v>
      </c>
      <c r="D599" s="236" t="s">
        <v>495</v>
      </c>
      <c r="E599" s="239">
        <v>44295.0</v>
      </c>
      <c r="F599" s="170" t="s">
        <v>496</v>
      </c>
      <c r="G599" s="219"/>
      <c r="H599" s="171">
        <v>20.0</v>
      </c>
      <c r="I599" s="171">
        <v>25.0</v>
      </c>
      <c r="J599" s="172">
        <f t="shared" si="24"/>
        <v>0.0003229253324</v>
      </c>
      <c r="K599" s="173">
        <f t="shared" si="28"/>
        <v>0.3713641322</v>
      </c>
      <c r="L599" s="174">
        <f t="shared" si="4"/>
        <v>6.11160715</v>
      </c>
      <c r="M599" s="175" t="str">
        <f t="shared" si="5"/>
        <v>danibelle</v>
      </c>
      <c r="N599" s="176">
        <f>IFERROR(__xludf.DUMMYFUNCTION("""COMPUTED_VALUE"""),7.0)</f>
        <v>7</v>
      </c>
      <c r="O599" s="176"/>
      <c r="P599" s="165" t="s">
        <v>38</v>
      </c>
      <c r="Q599" s="165" t="s">
        <v>10</v>
      </c>
      <c r="R599" s="176"/>
      <c r="S599" s="176"/>
      <c r="T599" s="176"/>
      <c r="U599" s="176"/>
      <c r="V599" s="176"/>
      <c r="W599" s="176"/>
      <c r="X599" s="176"/>
      <c r="Y599" s="176"/>
      <c r="Z599" s="176"/>
      <c r="AA599" s="176"/>
    </row>
    <row r="600">
      <c r="A600" s="165" t="str">
        <f>iferror(VLOOKUP(P600,'DO NOT TOUCH Imported'!$A$1:$D$800,4,False),iferror(VLOOKUP(P600,'DO NOT TOUCH Imported'!$C$1:$D$800,2,False),"OOPS FIX ME"))</f>
        <v>danibelle</v>
      </c>
      <c r="B600" s="165" t="s">
        <v>435</v>
      </c>
      <c r="C600" s="170" t="s">
        <v>1470</v>
      </c>
      <c r="D600" s="236" t="s">
        <v>437</v>
      </c>
      <c r="E600" s="239">
        <v>44287.0</v>
      </c>
      <c r="F600" s="170" t="s">
        <v>439</v>
      </c>
      <c r="G600" s="219"/>
      <c r="H600" s="171">
        <v>100.0</v>
      </c>
      <c r="I600" s="171">
        <v>100.0</v>
      </c>
      <c r="J600" s="172">
        <f t="shared" si="24"/>
        <v>0.001436335405</v>
      </c>
      <c r="K600" s="173">
        <f t="shared" si="28"/>
        <v>1.651785716</v>
      </c>
      <c r="L600" s="174">
        <f t="shared" si="4"/>
        <v>6.11160715</v>
      </c>
      <c r="M600" s="175" t="str">
        <f t="shared" si="5"/>
        <v>danibelle</v>
      </c>
      <c r="N600" s="176">
        <f>IFERROR(__xludf.DUMMYFUNCTION("""COMPUTED_VALUE"""),8.0)</f>
        <v>8</v>
      </c>
      <c r="O600" s="176"/>
      <c r="P600" s="165" t="s">
        <v>831</v>
      </c>
      <c r="Q600" s="165" t="s">
        <v>435</v>
      </c>
      <c r="R600" s="176"/>
      <c r="S600" s="176"/>
      <c r="T600" s="176"/>
      <c r="U600" s="176"/>
      <c r="V600" s="176"/>
      <c r="W600" s="176"/>
      <c r="X600" s="176"/>
      <c r="Y600" s="176"/>
      <c r="Z600" s="176"/>
      <c r="AA600" s="176"/>
    </row>
    <row r="601">
      <c r="A601" s="165" t="str">
        <f>iferror(VLOOKUP(P601,'DO NOT TOUCH Imported'!$A$1:$D$800,4,False),iferror(VLOOKUP(P601,'DO NOT TOUCH Imported'!$C$1:$D$800,2,False),"OOPS FIX ME"))</f>
        <v>danibelle</v>
      </c>
      <c r="B601" s="165" t="s">
        <v>435</v>
      </c>
      <c r="C601" s="170" t="s">
        <v>1291</v>
      </c>
      <c r="D601" s="236" t="s">
        <v>499</v>
      </c>
      <c r="E601" s="237">
        <v>44289.0</v>
      </c>
      <c r="F601" s="170" t="s">
        <v>503</v>
      </c>
      <c r="G601" s="219"/>
      <c r="H601" s="171">
        <v>100.0</v>
      </c>
      <c r="I601" s="171">
        <v>100.0</v>
      </c>
      <c r="J601" s="172">
        <f t="shared" si="24"/>
        <v>0.001436335405</v>
      </c>
      <c r="K601" s="173">
        <f t="shared" si="28"/>
        <v>1.651785716</v>
      </c>
      <c r="L601" s="174">
        <f t="shared" si="4"/>
        <v>6.11160715</v>
      </c>
      <c r="M601" s="175" t="str">
        <f t="shared" si="5"/>
        <v>danibelle</v>
      </c>
      <c r="N601" s="176">
        <f>IFERROR(__xludf.DUMMYFUNCTION("""COMPUTED_VALUE"""),9.0)</f>
        <v>9</v>
      </c>
      <c r="O601" s="176"/>
      <c r="P601" s="165" t="s">
        <v>831</v>
      </c>
      <c r="Q601" s="165" t="s">
        <v>435</v>
      </c>
      <c r="R601" s="176"/>
      <c r="S601" s="176"/>
      <c r="T601" s="176"/>
      <c r="U601" s="176"/>
      <c r="V601" s="176"/>
      <c r="W601" s="176"/>
      <c r="X601" s="176"/>
      <c r="Y601" s="176"/>
      <c r="Z601" s="176"/>
      <c r="AA601" s="176"/>
    </row>
    <row r="602">
      <c r="A602" s="185" t="s">
        <v>48</v>
      </c>
      <c r="B602" s="212" t="s">
        <v>534</v>
      </c>
      <c r="C602" s="186" t="s">
        <v>816</v>
      </c>
      <c r="D602" s="212"/>
      <c r="E602" s="214"/>
      <c r="F602" s="212"/>
      <c r="G602" s="212"/>
      <c r="H602" s="196"/>
      <c r="I602" s="196"/>
      <c r="J602" s="172">
        <f t="shared" si="24"/>
        <v>0</v>
      </c>
      <c r="K602" s="192">
        <f>39.725*-0.85</f>
        <v>-33.76625</v>
      </c>
      <c r="L602" s="193">
        <f t="shared" si="4"/>
        <v>5.958621165</v>
      </c>
      <c r="M602" s="194" t="str">
        <f t="shared" si="5"/>
        <v>divine_comedian</v>
      </c>
      <c r="N602" s="187">
        <f>IFERROR(__xludf.DUMMYFUNCTION("""COMPUTED_VALUE"""),1.0)</f>
        <v>1</v>
      </c>
      <c r="O602" s="212"/>
      <c r="P602" s="227" t="s">
        <v>25</v>
      </c>
      <c r="Q602" s="227" t="s">
        <v>534</v>
      </c>
      <c r="R602" s="187">
        <v>36.89669088595067</v>
      </c>
      <c r="S602" s="212"/>
      <c r="T602" s="212"/>
      <c r="U602" s="212"/>
      <c r="V602" s="212"/>
      <c r="W602" s="212"/>
      <c r="X602" s="212"/>
      <c r="Y602" s="212"/>
      <c r="Z602" s="212"/>
      <c r="AA602" s="226"/>
    </row>
    <row r="603">
      <c r="A603" s="165" t="str">
        <f>iferror(VLOOKUP(P603,'DO NOT TOUCH Imported'!$A$1:$D$800,4,False),iferror(VLOOKUP(P603,'DO NOT TOUCH Imported'!$C$1:$D$800,2,False),"OOPS FIX ME"))</f>
        <v>divine_comedian</v>
      </c>
      <c r="B603" s="165" t="s">
        <v>18</v>
      </c>
      <c r="C603" s="170" t="s">
        <v>1471</v>
      </c>
      <c r="D603" s="236" t="s">
        <v>495</v>
      </c>
      <c r="E603" s="239">
        <v>44284.0</v>
      </c>
      <c r="F603" s="170" t="s">
        <v>496</v>
      </c>
      <c r="G603" s="219"/>
      <c r="H603" s="171">
        <v>100.0</v>
      </c>
      <c r="I603" s="171">
        <v>100.0</v>
      </c>
      <c r="J603" s="172">
        <f t="shared" si="24"/>
        <v>0.001436335405</v>
      </c>
      <c r="K603" s="173">
        <f t="shared" ref="K603:K630" si="29">J603*$J$1</f>
        <v>1.651785716</v>
      </c>
      <c r="L603" s="174">
        <f t="shared" si="4"/>
        <v>5.958621165</v>
      </c>
      <c r="M603" s="175" t="str">
        <f t="shared" si="5"/>
        <v>divine_comedian</v>
      </c>
      <c r="N603" s="176">
        <f>IFERROR(__xludf.DUMMYFUNCTION("""COMPUTED_VALUE"""),2.0)</f>
        <v>2</v>
      </c>
      <c r="O603" s="176"/>
      <c r="P603" s="165" t="s">
        <v>48</v>
      </c>
      <c r="Q603" s="165" t="s">
        <v>18</v>
      </c>
      <c r="R603" s="176"/>
      <c r="S603" s="176"/>
      <c r="T603" s="176"/>
      <c r="U603" s="176"/>
      <c r="V603" s="176"/>
      <c r="W603" s="176"/>
      <c r="X603" s="176"/>
      <c r="Y603" s="176"/>
      <c r="Z603" s="176"/>
      <c r="AA603" s="176"/>
    </row>
    <row r="604">
      <c r="A604" s="165" t="str">
        <f>iferror(VLOOKUP(P604,'DO NOT TOUCH Imported'!$A$1:$D$800,4,False),iferror(VLOOKUP(P604,'DO NOT TOUCH Imported'!$C$1:$D$800,2,False),"OOPS FIX ME"))</f>
        <v>divine_comedian</v>
      </c>
      <c r="B604" s="165" t="s">
        <v>6</v>
      </c>
      <c r="C604" s="170" t="s">
        <v>1472</v>
      </c>
      <c r="D604" s="236" t="s">
        <v>495</v>
      </c>
      <c r="E604" s="239">
        <v>44295.0</v>
      </c>
      <c r="F604" s="170" t="s">
        <v>496</v>
      </c>
      <c r="G604" s="219"/>
      <c r="H604" s="171">
        <v>100.0</v>
      </c>
      <c r="I604" s="171">
        <v>100.0</v>
      </c>
      <c r="J604" s="172">
        <f t="shared" si="24"/>
        <v>0.001436335405</v>
      </c>
      <c r="K604" s="173">
        <f t="shared" si="29"/>
        <v>1.651785716</v>
      </c>
      <c r="L604" s="174">
        <f t="shared" si="4"/>
        <v>5.958621165</v>
      </c>
      <c r="M604" s="175" t="str">
        <f t="shared" si="5"/>
        <v>divine_comedian</v>
      </c>
      <c r="N604" s="176">
        <f>IFERROR(__xludf.DUMMYFUNCTION("""COMPUTED_VALUE"""),3.0)</f>
        <v>3</v>
      </c>
      <c r="O604" s="176"/>
      <c r="P604" s="165" t="s">
        <v>48</v>
      </c>
      <c r="Q604" s="165" t="s">
        <v>6</v>
      </c>
      <c r="R604" s="176"/>
      <c r="S604" s="176"/>
      <c r="T604" s="176"/>
      <c r="U604" s="176"/>
      <c r="V604" s="176"/>
      <c r="W604" s="176"/>
      <c r="X604" s="176"/>
      <c r="Y604" s="176"/>
      <c r="Z604" s="176"/>
      <c r="AA604" s="176"/>
    </row>
    <row r="605">
      <c r="A605" s="165" t="str">
        <f>iferror(VLOOKUP(P605,'DO NOT TOUCH Imported'!$A$1:$D$800,4,False),iferror(VLOOKUP(P605,'DO NOT TOUCH Imported'!$C$1:$D$800,2,False),"OOPS FIX ME"))</f>
        <v>divine_comedian</v>
      </c>
      <c r="B605" s="165" t="s">
        <v>486</v>
      </c>
      <c r="C605" s="170" t="s">
        <v>1439</v>
      </c>
      <c r="D605" s="236" t="s">
        <v>437</v>
      </c>
      <c r="E605" s="239">
        <v>44284.0</v>
      </c>
      <c r="F605" s="170" t="s">
        <v>439</v>
      </c>
      <c r="G605" s="219"/>
      <c r="H605" s="171">
        <v>60.0</v>
      </c>
      <c r="I605" s="171">
        <v>100.0</v>
      </c>
      <c r="J605" s="172">
        <f t="shared" si="24"/>
        <v>0.001147067254</v>
      </c>
      <c r="K605" s="173">
        <f t="shared" si="29"/>
        <v>1.319127342</v>
      </c>
      <c r="L605" s="174">
        <f t="shared" si="4"/>
        <v>5.958621165</v>
      </c>
      <c r="M605" s="175" t="str">
        <f t="shared" si="5"/>
        <v>divine_comedian</v>
      </c>
      <c r="N605" s="176">
        <f>IFERROR(__xludf.DUMMYFUNCTION("""COMPUTED_VALUE"""),4.0)</f>
        <v>4</v>
      </c>
      <c r="O605" s="176"/>
      <c r="P605" s="165" t="s">
        <v>813</v>
      </c>
      <c r="Q605" s="165" t="s">
        <v>486</v>
      </c>
      <c r="R605" s="176"/>
      <c r="S605" s="176"/>
      <c r="T605" s="176"/>
      <c r="U605" s="176"/>
      <c r="V605" s="176"/>
      <c r="W605" s="176"/>
      <c r="X605" s="176"/>
      <c r="Y605" s="176"/>
      <c r="Z605" s="176"/>
      <c r="AA605" s="176"/>
    </row>
    <row r="606">
      <c r="A606" s="165" t="str">
        <f>iferror(VLOOKUP(P606,'DO NOT TOUCH Imported'!$A$1:$D$800,4,False),iferror(VLOOKUP(P606,'DO NOT TOUCH Imported'!$C$1:$D$800,2,False),"OOPS FIX ME"))</f>
        <v>divine_comedian</v>
      </c>
      <c r="B606" s="165" t="s">
        <v>486</v>
      </c>
      <c r="C606" s="170" t="s">
        <v>1473</v>
      </c>
      <c r="D606" s="236" t="s">
        <v>437</v>
      </c>
      <c r="E606" s="239">
        <v>44284.0</v>
      </c>
      <c r="F606" s="170" t="s">
        <v>439</v>
      </c>
      <c r="G606" s="219"/>
      <c r="H606" s="171">
        <v>100.0</v>
      </c>
      <c r="I606" s="171">
        <v>100.0</v>
      </c>
      <c r="J606" s="172">
        <f t="shared" si="24"/>
        <v>0.001436335405</v>
      </c>
      <c r="K606" s="173">
        <f t="shared" si="29"/>
        <v>1.651785716</v>
      </c>
      <c r="L606" s="174">
        <f t="shared" si="4"/>
        <v>5.958621165</v>
      </c>
      <c r="M606" s="175" t="str">
        <f t="shared" si="5"/>
        <v>divine_comedian</v>
      </c>
      <c r="N606" s="176">
        <f>IFERROR(__xludf.DUMMYFUNCTION("""COMPUTED_VALUE"""),5.0)</f>
        <v>5</v>
      </c>
      <c r="O606" s="176"/>
      <c r="P606" s="165" t="s">
        <v>813</v>
      </c>
      <c r="Q606" s="165" t="s">
        <v>486</v>
      </c>
      <c r="R606" s="176"/>
      <c r="S606" s="176"/>
      <c r="T606" s="176"/>
      <c r="U606" s="176"/>
      <c r="V606" s="176"/>
      <c r="W606" s="176"/>
      <c r="X606" s="176"/>
      <c r="Y606" s="176"/>
      <c r="Z606" s="176"/>
      <c r="AA606" s="176"/>
    </row>
    <row r="607">
      <c r="A607" s="165" t="str">
        <f>iferror(VLOOKUP(P607,'DO NOT TOUCH Imported'!$A$1:$D$800,4,False),iferror(VLOOKUP(P607,'DO NOT TOUCH Imported'!$C$1:$D$800,2,False),"OOPS FIX ME"))</f>
        <v>divine_comedian</v>
      </c>
      <c r="B607" s="165" t="s">
        <v>486</v>
      </c>
      <c r="C607" s="170" t="s">
        <v>1441</v>
      </c>
      <c r="D607" s="236" t="s">
        <v>437</v>
      </c>
      <c r="E607" s="239">
        <v>44284.0</v>
      </c>
      <c r="F607" s="170" t="s">
        <v>439</v>
      </c>
      <c r="G607" s="219"/>
      <c r="H607" s="171">
        <v>60.0</v>
      </c>
      <c r="I607" s="171">
        <v>50.0</v>
      </c>
      <c r="J607" s="172">
        <f t="shared" si="24"/>
        <v>0.0007904847406</v>
      </c>
      <c r="K607" s="173">
        <f t="shared" si="29"/>
        <v>0.9090574516</v>
      </c>
      <c r="L607" s="174">
        <f t="shared" si="4"/>
        <v>5.958621165</v>
      </c>
      <c r="M607" s="175" t="str">
        <f t="shared" si="5"/>
        <v>divine_comedian</v>
      </c>
      <c r="N607" s="176">
        <f>IFERROR(__xludf.DUMMYFUNCTION("""COMPUTED_VALUE"""),6.0)</f>
        <v>6</v>
      </c>
      <c r="O607" s="176"/>
      <c r="P607" s="165" t="s">
        <v>813</v>
      </c>
      <c r="Q607" s="165" t="s">
        <v>486</v>
      </c>
      <c r="R607" s="176"/>
      <c r="S607" s="176"/>
      <c r="T607" s="176"/>
      <c r="U607" s="176"/>
      <c r="V607" s="176"/>
      <c r="W607" s="176"/>
      <c r="X607" s="176"/>
      <c r="Y607" s="176"/>
      <c r="Z607" s="176"/>
      <c r="AA607" s="176"/>
    </row>
    <row r="608">
      <c r="A608" s="165" t="str">
        <f>iferror(VLOOKUP(P608,'DO NOT TOUCH Imported'!$A$1:$D$800,4,False),iferror(VLOOKUP(P608,'DO NOT TOUCH Imported'!$C$1:$D$800,2,False),"OOPS FIX ME"))</f>
        <v>divine_comedian</v>
      </c>
      <c r="B608" s="165" t="s">
        <v>486</v>
      </c>
      <c r="C608" s="170" t="s">
        <v>1474</v>
      </c>
      <c r="D608" s="236" t="s">
        <v>437</v>
      </c>
      <c r="E608" s="239">
        <v>44285.0</v>
      </c>
      <c r="F608" s="170" t="s">
        <v>439</v>
      </c>
      <c r="G608" s="219"/>
      <c r="H608" s="171">
        <v>100.0</v>
      </c>
      <c r="I608" s="171">
        <v>100.0</v>
      </c>
      <c r="J608" s="172">
        <f t="shared" si="24"/>
        <v>0.001436335405</v>
      </c>
      <c r="K608" s="173">
        <f t="shared" si="29"/>
        <v>1.651785716</v>
      </c>
      <c r="L608" s="174">
        <f t="shared" si="4"/>
        <v>5.958621165</v>
      </c>
      <c r="M608" s="175" t="str">
        <f t="shared" si="5"/>
        <v>divine_comedian</v>
      </c>
      <c r="N608" s="176">
        <f>IFERROR(__xludf.DUMMYFUNCTION("""COMPUTED_VALUE"""),7.0)</f>
        <v>7</v>
      </c>
      <c r="O608" s="176"/>
      <c r="P608" s="165" t="s">
        <v>813</v>
      </c>
      <c r="Q608" s="165" t="s">
        <v>486</v>
      </c>
      <c r="R608" s="176"/>
      <c r="S608" s="176"/>
      <c r="T608" s="176"/>
      <c r="U608" s="176"/>
      <c r="V608" s="176"/>
      <c r="W608" s="176"/>
      <c r="X608" s="176"/>
      <c r="Y608" s="176"/>
      <c r="Z608" s="176"/>
      <c r="AA608" s="176"/>
    </row>
    <row r="609">
      <c r="A609" s="165" t="str">
        <f>iferror(VLOOKUP(P609,'DO NOT TOUCH Imported'!$A$1:$D$800,4,False),iferror(VLOOKUP(P609,'DO NOT TOUCH Imported'!$C$1:$D$800,2,False),"OOPS FIX ME"))</f>
        <v>divine_comedian</v>
      </c>
      <c r="B609" s="165" t="s">
        <v>486</v>
      </c>
      <c r="C609" s="170" t="s">
        <v>1237</v>
      </c>
      <c r="D609" s="236" t="s">
        <v>437</v>
      </c>
      <c r="E609" s="239">
        <v>44285.0</v>
      </c>
      <c r="F609" s="170" t="s">
        <v>439</v>
      </c>
      <c r="G609" s="219"/>
      <c r="H609" s="171">
        <v>40.0</v>
      </c>
      <c r="I609" s="171">
        <v>50.0</v>
      </c>
      <c r="J609" s="172">
        <f t="shared" si="24"/>
        <v>0.0006458506648</v>
      </c>
      <c r="K609" s="173">
        <f t="shared" si="29"/>
        <v>0.7427282645</v>
      </c>
      <c r="L609" s="174">
        <f t="shared" si="4"/>
        <v>5.958621165</v>
      </c>
      <c r="M609" s="175" t="str">
        <f t="shared" si="5"/>
        <v>divine_comedian</v>
      </c>
      <c r="N609" s="176">
        <f>IFERROR(__xludf.DUMMYFUNCTION("""COMPUTED_VALUE"""),8.0)</f>
        <v>8</v>
      </c>
      <c r="O609" s="176"/>
      <c r="P609" s="165" t="s">
        <v>813</v>
      </c>
      <c r="Q609" s="165" t="s">
        <v>486</v>
      </c>
      <c r="R609" s="176"/>
      <c r="S609" s="176"/>
      <c r="T609" s="176"/>
      <c r="U609" s="176"/>
      <c r="V609" s="176"/>
      <c r="W609" s="176"/>
      <c r="X609" s="176"/>
      <c r="Y609" s="176"/>
      <c r="Z609" s="176"/>
      <c r="AA609" s="176"/>
    </row>
    <row r="610">
      <c r="A610" s="165" t="str">
        <f>iferror(VLOOKUP(P610,'DO NOT TOUCH Imported'!$A$1:$D$800,4,False),iferror(VLOOKUP(P610,'DO NOT TOUCH Imported'!$C$1:$D$800,2,False),"OOPS FIX ME"))</f>
        <v>divine_comedian</v>
      </c>
      <c r="B610" s="165" t="s">
        <v>435</v>
      </c>
      <c r="C610" s="170" t="s">
        <v>1475</v>
      </c>
      <c r="D610" s="236" t="s">
        <v>437</v>
      </c>
      <c r="E610" s="239">
        <v>44287.0</v>
      </c>
      <c r="F610" s="170" t="s">
        <v>439</v>
      </c>
      <c r="G610" s="219"/>
      <c r="H610" s="171">
        <v>100.0</v>
      </c>
      <c r="I610" s="171">
        <v>100.0</v>
      </c>
      <c r="J610" s="172">
        <f t="shared" si="24"/>
        <v>0.001436335405</v>
      </c>
      <c r="K610" s="173">
        <f t="shared" si="29"/>
        <v>1.651785716</v>
      </c>
      <c r="L610" s="174">
        <f t="shared" si="4"/>
        <v>5.958621165</v>
      </c>
      <c r="M610" s="175" t="str">
        <f t="shared" si="5"/>
        <v>divine_comedian</v>
      </c>
      <c r="N610" s="176">
        <f>IFERROR(__xludf.DUMMYFUNCTION("""COMPUTED_VALUE"""),9.0)</f>
        <v>9</v>
      </c>
      <c r="O610" s="176"/>
      <c r="P610" s="165" t="s">
        <v>813</v>
      </c>
      <c r="Q610" s="165" t="s">
        <v>435</v>
      </c>
      <c r="R610" s="176"/>
      <c r="S610" s="176"/>
      <c r="T610" s="176"/>
      <c r="U610" s="176"/>
      <c r="V610" s="176"/>
      <c r="W610" s="176"/>
      <c r="X610" s="176"/>
      <c r="Y610" s="176"/>
      <c r="Z610" s="176"/>
      <c r="AA610" s="176"/>
    </row>
    <row r="611">
      <c r="A611" s="165" t="str">
        <f>iferror(VLOOKUP(P611,'DO NOT TOUCH Imported'!$A$1:$D$800,4,False),iferror(VLOOKUP(P611,'DO NOT TOUCH Imported'!$C$1:$D$800,2,False),"OOPS FIX ME"))</f>
        <v>divine_comedian</v>
      </c>
      <c r="B611" s="165" t="s">
        <v>435</v>
      </c>
      <c r="C611" s="170" t="s">
        <v>1476</v>
      </c>
      <c r="D611" s="236" t="s">
        <v>437</v>
      </c>
      <c r="E611" s="239">
        <v>44287.0</v>
      </c>
      <c r="F611" s="170" t="s">
        <v>439</v>
      </c>
      <c r="G611" s="219"/>
      <c r="H611" s="171">
        <v>100.0</v>
      </c>
      <c r="I611" s="171">
        <v>100.0</v>
      </c>
      <c r="J611" s="172">
        <f t="shared" si="24"/>
        <v>0.001436335405</v>
      </c>
      <c r="K611" s="173">
        <f t="shared" si="29"/>
        <v>1.651785716</v>
      </c>
      <c r="L611" s="174">
        <f t="shared" si="4"/>
        <v>5.958621165</v>
      </c>
      <c r="M611" s="175" t="str">
        <f t="shared" si="5"/>
        <v>divine_comedian</v>
      </c>
      <c r="N611" s="176">
        <f>IFERROR(__xludf.DUMMYFUNCTION("""COMPUTED_VALUE"""),10.0)</f>
        <v>10</v>
      </c>
      <c r="O611" s="176"/>
      <c r="P611" s="165" t="s">
        <v>813</v>
      </c>
      <c r="Q611" s="165" t="s">
        <v>435</v>
      </c>
      <c r="R611" s="176"/>
      <c r="S611" s="176"/>
      <c r="T611" s="176"/>
      <c r="U611" s="176"/>
      <c r="V611" s="176"/>
      <c r="W611" s="176"/>
      <c r="X611" s="176"/>
      <c r="Y611" s="176"/>
      <c r="Z611" s="176"/>
      <c r="AA611" s="176"/>
    </row>
    <row r="612">
      <c r="A612" s="165" t="str">
        <f>iferror(VLOOKUP(P612,'DO NOT TOUCH Imported'!$A$1:$D$800,4,False),iferror(VLOOKUP(P612,'DO NOT TOUCH Imported'!$C$1:$D$800,2,False),"OOPS FIX ME"))</f>
        <v>divine_comedian</v>
      </c>
      <c r="B612" s="165" t="s">
        <v>450</v>
      </c>
      <c r="C612" s="170" t="s">
        <v>1273</v>
      </c>
      <c r="D612" s="236" t="s">
        <v>437</v>
      </c>
      <c r="E612" s="239">
        <v>44287.0</v>
      </c>
      <c r="F612" s="170" t="s">
        <v>453</v>
      </c>
      <c r="G612" s="219"/>
      <c r="H612" s="171">
        <v>100.0</v>
      </c>
      <c r="I612" s="171">
        <v>100.0</v>
      </c>
      <c r="J612" s="172">
        <f t="shared" si="24"/>
        <v>0.001436335405</v>
      </c>
      <c r="K612" s="173">
        <f t="shared" si="29"/>
        <v>1.651785716</v>
      </c>
      <c r="L612" s="174">
        <f t="shared" si="4"/>
        <v>5.958621165</v>
      </c>
      <c r="M612" s="175" t="str">
        <f t="shared" si="5"/>
        <v>divine_comedian</v>
      </c>
      <c r="N612" s="176">
        <f>IFERROR(__xludf.DUMMYFUNCTION("""COMPUTED_VALUE"""),11.0)</f>
        <v>11</v>
      </c>
      <c r="O612" s="176"/>
      <c r="P612" s="165" t="s">
        <v>813</v>
      </c>
      <c r="Q612" s="165" t="s">
        <v>450</v>
      </c>
      <c r="R612" s="176"/>
      <c r="S612" s="176"/>
      <c r="T612" s="176"/>
      <c r="U612" s="176"/>
      <c r="V612" s="176"/>
      <c r="W612" s="176"/>
      <c r="X612" s="176"/>
      <c r="Y612" s="176"/>
      <c r="Z612" s="176"/>
      <c r="AA612" s="176"/>
    </row>
    <row r="613">
      <c r="A613" s="165" t="str">
        <f>iferror(VLOOKUP(P613,'DO NOT TOUCH Imported'!$A$1:$D$800,4,False),iferror(VLOOKUP(P613,'DO NOT TOUCH Imported'!$C$1:$D$800,2,False),"OOPS FIX ME"))</f>
        <v>divine_comedian</v>
      </c>
      <c r="B613" s="165" t="s">
        <v>441</v>
      </c>
      <c r="C613" s="170" t="s">
        <v>1477</v>
      </c>
      <c r="D613" s="236" t="s">
        <v>437</v>
      </c>
      <c r="E613" s="237">
        <v>44288.0</v>
      </c>
      <c r="F613" s="170" t="s">
        <v>439</v>
      </c>
      <c r="G613" s="219"/>
      <c r="H613" s="171">
        <v>100.0</v>
      </c>
      <c r="I613" s="171">
        <v>100.0</v>
      </c>
      <c r="J613" s="172">
        <f t="shared" si="24"/>
        <v>0.001436335405</v>
      </c>
      <c r="K613" s="173">
        <f t="shared" si="29"/>
        <v>1.651785716</v>
      </c>
      <c r="L613" s="174">
        <f t="shared" si="4"/>
        <v>5.958621165</v>
      </c>
      <c r="M613" s="175" t="str">
        <f t="shared" si="5"/>
        <v>divine_comedian</v>
      </c>
      <c r="N613" s="176">
        <f>IFERROR(__xludf.DUMMYFUNCTION("""COMPUTED_VALUE"""),12.0)</f>
        <v>12</v>
      </c>
      <c r="O613" s="176"/>
      <c r="P613" s="165" t="s">
        <v>813</v>
      </c>
      <c r="Q613" s="165" t="s">
        <v>441</v>
      </c>
      <c r="R613" s="176"/>
      <c r="S613" s="176"/>
      <c r="T613" s="176"/>
      <c r="U613" s="176"/>
      <c r="V613" s="176"/>
      <c r="W613" s="176"/>
      <c r="X613" s="176"/>
      <c r="Y613" s="176"/>
      <c r="Z613" s="176"/>
      <c r="AA613" s="176"/>
    </row>
    <row r="614">
      <c r="A614" s="165" t="str">
        <f>iferror(VLOOKUP(P614,'DO NOT TOUCH Imported'!$A$1:$D$800,4,False),iferror(VLOOKUP(P614,'DO NOT TOUCH Imported'!$C$1:$D$800,2,False),"OOPS FIX ME"))</f>
        <v>divine_comedian</v>
      </c>
      <c r="B614" s="165" t="s">
        <v>441</v>
      </c>
      <c r="C614" s="170" t="s">
        <v>1324</v>
      </c>
      <c r="D614" s="236" t="s">
        <v>437</v>
      </c>
      <c r="E614" s="237">
        <v>44288.0</v>
      </c>
      <c r="F614" s="170" t="s">
        <v>439</v>
      </c>
      <c r="G614" s="219"/>
      <c r="H614" s="171">
        <v>100.0</v>
      </c>
      <c r="I614" s="171">
        <v>100.0</v>
      </c>
      <c r="J614" s="172">
        <f t="shared" si="24"/>
        <v>0.001436335405</v>
      </c>
      <c r="K614" s="173">
        <f t="shared" si="29"/>
        <v>1.651785716</v>
      </c>
      <c r="L614" s="174">
        <f t="shared" si="4"/>
        <v>5.958621165</v>
      </c>
      <c r="M614" s="175" t="str">
        <f t="shared" si="5"/>
        <v>divine_comedian</v>
      </c>
      <c r="N614" s="176">
        <f>IFERROR(__xludf.DUMMYFUNCTION("""COMPUTED_VALUE"""),13.0)</f>
        <v>13</v>
      </c>
      <c r="O614" s="176"/>
      <c r="P614" s="165" t="s">
        <v>813</v>
      </c>
      <c r="Q614" s="165" t="s">
        <v>441</v>
      </c>
      <c r="R614" s="176"/>
      <c r="S614" s="176"/>
      <c r="T614" s="176"/>
      <c r="U614" s="176"/>
      <c r="V614" s="176"/>
      <c r="W614" s="176"/>
      <c r="X614" s="176"/>
      <c r="Y614" s="176"/>
      <c r="Z614" s="176"/>
      <c r="AA614" s="176"/>
    </row>
    <row r="615">
      <c r="A615" s="165" t="str">
        <f>iferror(VLOOKUP(P615,'DO NOT TOUCH Imported'!$A$1:$D$800,4,False),iferror(VLOOKUP(P615,'DO NOT TOUCH Imported'!$C$1:$D$800,2,False),"OOPS FIX ME"))</f>
        <v>divine_comedian</v>
      </c>
      <c r="B615" s="165" t="s">
        <v>441</v>
      </c>
      <c r="C615" s="170" t="s">
        <v>1289</v>
      </c>
      <c r="D615" s="236" t="s">
        <v>437</v>
      </c>
      <c r="E615" s="237">
        <v>44288.0</v>
      </c>
      <c r="F615" s="170" t="s">
        <v>439</v>
      </c>
      <c r="G615" s="219"/>
      <c r="H615" s="171">
        <v>70.0</v>
      </c>
      <c r="I615" s="171">
        <v>80.0</v>
      </c>
      <c r="J615" s="172">
        <f t="shared" si="24"/>
        <v>0.001076751286</v>
      </c>
      <c r="K615" s="173">
        <f t="shared" si="29"/>
        <v>1.238263979</v>
      </c>
      <c r="L615" s="174">
        <f t="shared" si="4"/>
        <v>5.958621165</v>
      </c>
      <c r="M615" s="175" t="str">
        <f t="shared" si="5"/>
        <v>divine_comedian</v>
      </c>
      <c r="N615" s="176">
        <f>IFERROR(__xludf.DUMMYFUNCTION("""COMPUTED_VALUE"""),14.0)</f>
        <v>14</v>
      </c>
      <c r="O615" s="176"/>
      <c r="P615" s="165" t="s">
        <v>813</v>
      </c>
      <c r="Q615" s="165" t="s">
        <v>441</v>
      </c>
      <c r="R615" s="176"/>
      <c r="S615" s="176"/>
      <c r="T615" s="176"/>
      <c r="U615" s="176"/>
      <c r="V615" s="176"/>
      <c r="W615" s="176"/>
      <c r="X615" s="176"/>
      <c r="Y615" s="176"/>
      <c r="Z615" s="176"/>
      <c r="AA615" s="176"/>
    </row>
    <row r="616">
      <c r="A616" s="165" t="str">
        <f>iferror(VLOOKUP(P616,'DO NOT TOUCH Imported'!$A$1:$D$800,4,False),iferror(VLOOKUP(P616,'DO NOT TOUCH Imported'!$C$1:$D$800,2,False),"OOPS FIX ME"))</f>
        <v>divine_comedian</v>
      </c>
      <c r="B616" s="165" t="s">
        <v>441</v>
      </c>
      <c r="C616" s="170" t="s">
        <v>1393</v>
      </c>
      <c r="D616" s="236" t="s">
        <v>437</v>
      </c>
      <c r="E616" s="237">
        <v>44288.0</v>
      </c>
      <c r="F616" s="170" t="s">
        <v>439</v>
      </c>
      <c r="G616" s="219"/>
      <c r="H616" s="171">
        <v>100.0</v>
      </c>
      <c r="I616" s="171">
        <v>100.0</v>
      </c>
      <c r="J616" s="172">
        <f t="shared" si="24"/>
        <v>0.001436335405</v>
      </c>
      <c r="K616" s="173">
        <f t="shared" si="29"/>
        <v>1.651785716</v>
      </c>
      <c r="L616" s="174">
        <f t="shared" si="4"/>
        <v>5.958621165</v>
      </c>
      <c r="M616" s="175" t="str">
        <f t="shared" si="5"/>
        <v>divine_comedian</v>
      </c>
      <c r="N616" s="176">
        <f>IFERROR(__xludf.DUMMYFUNCTION("""COMPUTED_VALUE"""),15.0)</f>
        <v>15</v>
      </c>
      <c r="O616" s="176"/>
      <c r="P616" s="165" t="s">
        <v>813</v>
      </c>
      <c r="Q616" s="165" t="s">
        <v>441</v>
      </c>
      <c r="R616" s="176"/>
      <c r="S616" s="176"/>
      <c r="T616" s="176"/>
      <c r="U616" s="176"/>
      <c r="V616" s="176"/>
      <c r="W616" s="176"/>
      <c r="X616" s="176"/>
      <c r="Y616" s="176"/>
      <c r="Z616" s="176"/>
      <c r="AA616" s="176"/>
    </row>
    <row r="617">
      <c r="A617" s="165" t="str">
        <f>iferror(VLOOKUP(P617,'DO NOT TOUCH Imported'!$A$1:$D$800,4,False),iferror(VLOOKUP(P617,'DO NOT TOUCH Imported'!$C$1:$D$800,2,False),"OOPS FIX ME"))</f>
        <v>divine_comedian</v>
      </c>
      <c r="B617" s="165" t="s">
        <v>441</v>
      </c>
      <c r="C617" s="170" t="s">
        <v>1478</v>
      </c>
      <c r="D617" s="236" t="s">
        <v>437</v>
      </c>
      <c r="E617" s="237">
        <v>44288.0</v>
      </c>
      <c r="F617" s="170" t="s">
        <v>439</v>
      </c>
      <c r="G617" s="219"/>
      <c r="H617" s="171">
        <v>100.0</v>
      </c>
      <c r="I617" s="171">
        <v>100.0</v>
      </c>
      <c r="J617" s="172">
        <f t="shared" si="24"/>
        <v>0.001436335405</v>
      </c>
      <c r="K617" s="173">
        <f t="shared" si="29"/>
        <v>1.651785716</v>
      </c>
      <c r="L617" s="174">
        <f t="shared" si="4"/>
        <v>5.958621165</v>
      </c>
      <c r="M617" s="175" t="str">
        <f t="shared" si="5"/>
        <v>divine_comedian</v>
      </c>
      <c r="N617" s="176">
        <f>IFERROR(__xludf.DUMMYFUNCTION("""COMPUTED_VALUE"""),16.0)</f>
        <v>16</v>
      </c>
      <c r="O617" s="176"/>
      <c r="P617" s="165" t="s">
        <v>813</v>
      </c>
      <c r="Q617" s="165" t="s">
        <v>441</v>
      </c>
      <c r="R617" s="176"/>
      <c r="S617" s="176"/>
      <c r="T617" s="176"/>
      <c r="U617" s="176"/>
      <c r="V617" s="176"/>
      <c r="W617" s="176"/>
      <c r="X617" s="176"/>
      <c r="Y617" s="176"/>
      <c r="Z617" s="176"/>
      <c r="AA617" s="176"/>
    </row>
    <row r="618">
      <c r="A618" s="165" t="str">
        <f>iferror(VLOOKUP(P618,'DO NOT TOUCH Imported'!$A$1:$D$800,4,False),iferror(VLOOKUP(P618,'DO NOT TOUCH Imported'!$C$1:$D$800,2,False),"OOPS FIX ME"))</f>
        <v>divine_comedian</v>
      </c>
      <c r="B618" s="165" t="s">
        <v>441</v>
      </c>
      <c r="C618" s="170" t="s">
        <v>1250</v>
      </c>
      <c r="D618" s="236" t="s">
        <v>437</v>
      </c>
      <c r="E618" s="237">
        <v>44288.0</v>
      </c>
      <c r="F618" s="170" t="s">
        <v>439</v>
      </c>
      <c r="G618" s="219"/>
      <c r="H618" s="171">
        <v>40.0</v>
      </c>
      <c r="I618" s="171">
        <v>50.0</v>
      </c>
      <c r="J618" s="172">
        <f t="shared" si="24"/>
        <v>0.0006458506648</v>
      </c>
      <c r="K618" s="173">
        <f t="shared" si="29"/>
        <v>0.7427282645</v>
      </c>
      <c r="L618" s="174">
        <f t="shared" si="4"/>
        <v>5.958621165</v>
      </c>
      <c r="M618" s="175" t="str">
        <f t="shared" si="5"/>
        <v>divine_comedian</v>
      </c>
      <c r="N618" s="176">
        <f>IFERROR(__xludf.DUMMYFUNCTION("""COMPUTED_VALUE"""),17.0)</f>
        <v>17</v>
      </c>
      <c r="O618" s="176"/>
      <c r="P618" s="165" t="s">
        <v>813</v>
      </c>
      <c r="Q618" s="165" t="s">
        <v>441</v>
      </c>
      <c r="R618" s="176"/>
      <c r="S618" s="176"/>
      <c r="T618" s="176"/>
      <c r="U618" s="176"/>
      <c r="V618" s="176"/>
      <c r="W618" s="176"/>
      <c r="X618" s="176"/>
      <c r="Y618" s="176"/>
      <c r="Z618" s="176"/>
      <c r="AA618" s="176"/>
    </row>
    <row r="619">
      <c r="A619" s="165" t="str">
        <f>iferror(VLOOKUP(P619,'DO NOT TOUCH Imported'!$A$1:$D$800,4,False),iferror(VLOOKUP(P619,'DO NOT TOUCH Imported'!$C$1:$D$800,2,False),"OOPS FIX ME"))</f>
        <v>divine_comedian</v>
      </c>
      <c r="B619" s="165" t="s">
        <v>441</v>
      </c>
      <c r="C619" s="170" t="s">
        <v>1005</v>
      </c>
      <c r="D619" s="236" t="s">
        <v>437</v>
      </c>
      <c r="E619" s="237">
        <v>44289.0</v>
      </c>
      <c r="F619" s="170" t="s">
        <v>439</v>
      </c>
      <c r="G619" s="219"/>
      <c r="H619" s="171">
        <v>60.0</v>
      </c>
      <c r="I619" s="171">
        <v>40.0</v>
      </c>
      <c r="J619" s="172">
        <f t="shared" si="24"/>
        <v>0.0007191682379</v>
      </c>
      <c r="K619" s="173">
        <f t="shared" si="29"/>
        <v>0.8270434736</v>
      </c>
      <c r="L619" s="174">
        <f t="shared" si="4"/>
        <v>5.958621165</v>
      </c>
      <c r="M619" s="175" t="str">
        <f t="shared" si="5"/>
        <v>divine_comedian</v>
      </c>
      <c r="N619" s="176">
        <f>IFERROR(__xludf.DUMMYFUNCTION("""COMPUTED_VALUE"""),18.0)</f>
        <v>18</v>
      </c>
      <c r="O619" s="176"/>
      <c r="P619" s="165" t="s">
        <v>813</v>
      </c>
      <c r="Q619" s="165" t="s">
        <v>441</v>
      </c>
      <c r="R619" s="176"/>
      <c r="S619" s="176"/>
      <c r="T619" s="176"/>
      <c r="U619" s="176"/>
      <c r="V619" s="176"/>
      <c r="W619" s="176"/>
      <c r="X619" s="176"/>
      <c r="Y619" s="176"/>
      <c r="Z619" s="176"/>
      <c r="AA619" s="176"/>
    </row>
    <row r="620">
      <c r="A620" s="165" t="str">
        <f>iferror(VLOOKUP(P620,'DO NOT TOUCH Imported'!$A$1:$D$800,4,False),iferror(VLOOKUP(P620,'DO NOT TOUCH Imported'!$C$1:$D$800,2,False),"OOPS FIX ME"))</f>
        <v>divine_comedian</v>
      </c>
      <c r="B620" s="165" t="s">
        <v>528</v>
      </c>
      <c r="C620" s="170" t="s">
        <v>1316</v>
      </c>
      <c r="D620" s="236" t="s">
        <v>437</v>
      </c>
      <c r="E620" s="237">
        <v>44291.0</v>
      </c>
      <c r="F620" s="170" t="s">
        <v>439</v>
      </c>
      <c r="G620" s="219"/>
      <c r="H620" s="171">
        <v>100.0</v>
      </c>
      <c r="I620" s="171">
        <v>50.0</v>
      </c>
      <c r="J620" s="172">
        <f t="shared" si="24"/>
        <v>0.001079752892</v>
      </c>
      <c r="K620" s="173">
        <f t="shared" si="29"/>
        <v>1.241715826</v>
      </c>
      <c r="L620" s="174">
        <f t="shared" si="4"/>
        <v>5.958621165</v>
      </c>
      <c r="M620" s="175" t="str">
        <f t="shared" si="5"/>
        <v>divine_comedian</v>
      </c>
      <c r="N620" s="176">
        <f>IFERROR(__xludf.DUMMYFUNCTION("""COMPUTED_VALUE"""),19.0)</f>
        <v>19</v>
      </c>
      <c r="O620" s="176"/>
      <c r="P620" s="165" t="s">
        <v>813</v>
      </c>
      <c r="Q620" s="165" t="s">
        <v>528</v>
      </c>
      <c r="R620" s="176"/>
      <c r="S620" s="176"/>
      <c r="T620" s="176"/>
      <c r="U620" s="176"/>
      <c r="V620" s="176"/>
      <c r="W620" s="176"/>
      <c r="X620" s="176"/>
      <c r="Y620" s="176"/>
      <c r="Z620" s="176"/>
      <c r="AA620" s="176"/>
    </row>
    <row r="621">
      <c r="A621" s="165" t="str">
        <f>iferror(VLOOKUP(P621,'DO NOT TOUCH Imported'!$A$1:$D$800,4,False),iferror(VLOOKUP(P621,'DO NOT TOUCH Imported'!$C$1:$D$800,2,False),"OOPS FIX ME"))</f>
        <v>divine_comedian</v>
      </c>
      <c r="B621" s="165" t="s">
        <v>486</v>
      </c>
      <c r="C621" s="170" t="s">
        <v>1479</v>
      </c>
      <c r="D621" s="236" t="s">
        <v>437</v>
      </c>
      <c r="E621" s="237">
        <v>44292.0</v>
      </c>
      <c r="F621" s="170" t="s">
        <v>439</v>
      </c>
      <c r="G621" s="219"/>
      <c r="H621" s="171">
        <v>100.0</v>
      </c>
      <c r="I621" s="171">
        <v>80.0</v>
      </c>
      <c r="J621" s="172">
        <f t="shared" si="24"/>
        <v>0.0012937024</v>
      </c>
      <c r="K621" s="173">
        <f t="shared" si="29"/>
        <v>1.48775776</v>
      </c>
      <c r="L621" s="174">
        <f t="shared" si="4"/>
        <v>5.958621165</v>
      </c>
      <c r="M621" s="175" t="str">
        <f t="shared" si="5"/>
        <v>divine_comedian</v>
      </c>
      <c r="N621" s="176">
        <f>IFERROR(__xludf.DUMMYFUNCTION("""COMPUTED_VALUE"""),20.0)</f>
        <v>20</v>
      </c>
      <c r="O621" s="176"/>
      <c r="P621" s="165" t="s">
        <v>813</v>
      </c>
      <c r="Q621" s="165" t="s">
        <v>486</v>
      </c>
      <c r="R621" s="176"/>
      <c r="S621" s="176"/>
      <c r="T621" s="176"/>
      <c r="U621" s="176"/>
      <c r="V621" s="176"/>
      <c r="W621" s="176"/>
      <c r="X621" s="176"/>
      <c r="Y621" s="176"/>
      <c r="Z621" s="176"/>
      <c r="AA621" s="176"/>
    </row>
    <row r="622">
      <c r="A622" s="165" t="str">
        <f>iferror(VLOOKUP(P622,'DO NOT TOUCH Imported'!$A$1:$D$800,4,False),iferror(VLOOKUP(P622,'DO NOT TOUCH Imported'!$C$1:$D$800,2,False),"OOPS FIX ME"))</f>
        <v>divine_comedian</v>
      </c>
      <c r="B622" s="165" t="s">
        <v>20</v>
      </c>
      <c r="C622" s="170" t="s">
        <v>1480</v>
      </c>
      <c r="D622" s="236" t="s">
        <v>437</v>
      </c>
      <c r="E622" s="237">
        <v>44292.0</v>
      </c>
      <c r="F622" s="170" t="s">
        <v>439</v>
      </c>
      <c r="G622" s="219"/>
      <c r="H622" s="171">
        <v>100.0</v>
      </c>
      <c r="I622" s="171">
        <v>80.0</v>
      </c>
      <c r="J622" s="172">
        <f t="shared" si="24"/>
        <v>0.0012937024</v>
      </c>
      <c r="K622" s="173">
        <f t="shared" si="29"/>
        <v>1.48775776</v>
      </c>
      <c r="L622" s="174">
        <f t="shared" si="4"/>
        <v>5.958621165</v>
      </c>
      <c r="M622" s="175" t="str">
        <f t="shared" si="5"/>
        <v>divine_comedian</v>
      </c>
      <c r="N622" s="176">
        <f>IFERROR(__xludf.DUMMYFUNCTION("""COMPUTED_VALUE"""),21.0)</f>
        <v>21</v>
      </c>
      <c r="O622" s="176"/>
      <c r="P622" s="165" t="s">
        <v>813</v>
      </c>
      <c r="Q622" s="165" t="s">
        <v>20</v>
      </c>
      <c r="R622" s="176"/>
      <c r="S622" s="176"/>
      <c r="T622" s="176"/>
      <c r="U622" s="176"/>
      <c r="V622" s="176"/>
      <c r="W622" s="176"/>
      <c r="X622" s="176"/>
      <c r="Y622" s="176"/>
      <c r="Z622" s="176"/>
      <c r="AA622" s="176"/>
    </row>
    <row r="623">
      <c r="A623" s="165" t="str">
        <f>iferror(VLOOKUP(P623,'DO NOT TOUCH Imported'!$A$1:$D$800,4,False),iferror(VLOOKUP(P623,'DO NOT TOUCH Imported'!$C$1:$D$800,2,False),"OOPS FIX ME"))</f>
        <v>divine_comedian</v>
      </c>
      <c r="B623" s="165" t="s">
        <v>486</v>
      </c>
      <c r="C623" s="170" t="s">
        <v>1254</v>
      </c>
      <c r="D623" s="236" t="s">
        <v>437</v>
      </c>
      <c r="E623" s="237">
        <v>44292.0</v>
      </c>
      <c r="F623" s="170" t="s">
        <v>439</v>
      </c>
      <c r="G623" s="219"/>
      <c r="H623" s="171">
        <v>50.0</v>
      </c>
      <c r="I623" s="171">
        <v>50.0</v>
      </c>
      <c r="J623" s="172">
        <f t="shared" si="24"/>
        <v>0.0007181677027</v>
      </c>
      <c r="K623" s="173">
        <f t="shared" si="29"/>
        <v>0.8258928581</v>
      </c>
      <c r="L623" s="174">
        <f t="shared" si="4"/>
        <v>5.958621165</v>
      </c>
      <c r="M623" s="175" t="str">
        <f t="shared" si="5"/>
        <v>divine_comedian</v>
      </c>
      <c r="N623" s="176">
        <f>IFERROR(__xludf.DUMMYFUNCTION("""COMPUTED_VALUE"""),22.0)</f>
        <v>22</v>
      </c>
      <c r="O623" s="176"/>
      <c r="P623" s="165" t="s">
        <v>813</v>
      </c>
      <c r="Q623" s="165" t="s">
        <v>486</v>
      </c>
      <c r="R623" s="176"/>
      <c r="S623" s="176"/>
      <c r="T623" s="176"/>
      <c r="U623" s="176"/>
      <c r="V623" s="176"/>
      <c r="W623" s="176"/>
      <c r="X623" s="176"/>
      <c r="Y623" s="176"/>
      <c r="Z623" s="176"/>
      <c r="AA623" s="176"/>
    </row>
    <row r="624">
      <c r="A624" s="165" t="str">
        <f>iferror(VLOOKUP(P624,'DO NOT TOUCH Imported'!$A$1:$D$800,4,False),iferror(VLOOKUP(P624,'DO NOT TOUCH Imported'!$C$1:$D$800,2,False),"OOPS FIX ME"))</f>
        <v>divine_comedian</v>
      </c>
      <c r="B624" s="165" t="s">
        <v>435</v>
      </c>
      <c r="C624" s="170" t="s">
        <v>1481</v>
      </c>
      <c r="D624" s="236" t="s">
        <v>437</v>
      </c>
      <c r="E624" s="237">
        <v>44292.0</v>
      </c>
      <c r="F624" s="170" t="s">
        <v>439</v>
      </c>
      <c r="G624" s="219"/>
      <c r="H624" s="171">
        <v>100.0</v>
      </c>
      <c r="I624" s="171">
        <v>80.0</v>
      </c>
      <c r="J624" s="172">
        <f t="shared" si="24"/>
        <v>0.0012937024</v>
      </c>
      <c r="K624" s="173">
        <f t="shared" si="29"/>
        <v>1.48775776</v>
      </c>
      <c r="L624" s="174">
        <f t="shared" si="4"/>
        <v>5.958621165</v>
      </c>
      <c r="M624" s="175" t="str">
        <f t="shared" si="5"/>
        <v>divine_comedian</v>
      </c>
      <c r="N624" s="176">
        <f>IFERROR(__xludf.DUMMYFUNCTION("""COMPUTED_VALUE"""),23.0)</f>
        <v>23</v>
      </c>
      <c r="O624" s="176"/>
      <c r="P624" s="165" t="s">
        <v>813</v>
      </c>
      <c r="Q624" s="165" t="s">
        <v>435</v>
      </c>
      <c r="R624" s="176"/>
      <c r="S624" s="176"/>
      <c r="T624" s="176"/>
      <c r="U624" s="176"/>
      <c r="V624" s="176"/>
      <c r="W624" s="176"/>
      <c r="X624" s="176"/>
      <c r="Y624" s="176"/>
      <c r="Z624" s="176"/>
      <c r="AA624" s="176"/>
    </row>
    <row r="625">
      <c r="A625" s="165" t="str">
        <f>iferror(VLOOKUP(P625,'DO NOT TOUCH Imported'!$A$1:$D$800,4,False),iferror(VLOOKUP(P625,'DO NOT TOUCH Imported'!$C$1:$D$800,2,False),"OOPS FIX ME"))</f>
        <v>divine_comedian</v>
      </c>
      <c r="B625" s="165" t="s">
        <v>441</v>
      </c>
      <c r="C625" s="170" t="s">
        <v>1296</v>
      </c>
      <c r="D625" s="236" t="s">
        <v>437</v>
      </c>
      <c r="E625" s="237">
        <v>44295.0</v>
      </c>
      <c r="F625" s="170" t="s">
        <v>439</v>
      </c>
      <c r="G625" s="219"/>
      <c r="H625" s="171">
        <v>100.0</v>
      </c>
      <c r="I625" s="171">
        <v>100.0</v>
      </c>
      <c r="J625" s="172">
        <f t="shared" si="24"/>
        <v>0.001436335405</v>
      </c>
      <c r="K625" s="173">
        <f t="shared" si="29"/>
        <v>1.651785716</v>
      </c>
      <c r="L625" s="174">
        <f t="shared" si="4"/>
        <v>5.958621165</v>
      </c>
      <c r="M625" s="175" t="str">
        <f t="shared" si="5"/>
        <v>divine_comedian</v>
      </c>
      <c r="N625" s="176">
        <f>IFERROR(__xludf.DUMMYFUNCTION("""COMPUTED_VALUE"""),24.0)</f>
        <v>24</v>
      </c>
      <c r="O625" s="176"/>
      <c r="P625" s="165" t="s">
        <v>813</v>
      </c>
      <c r="Q625" s="165" t="s">
        <v>441</v>
      </c>
      <c r="R625" s="176"/>
      <c r="S625" s="176"/>
      <c r="T625" s="176"/>
      <c r="U625" s="176"/>
      <c r="V625" s="176"/>
      <c r="W625" s="176"/>
      <c r="X625" s="176"/>
      <c r="Y625" s="176"/>
      <c r="Z625" s="176"/>
      <c r="AA625" s="176"/>
    </row>
    <row r="626">
      <c r="A626" s="165" t="str">
        <f>iferror(VLOOKUP(P626,'DO NOT TOUCH Imported'!$A$1:$D$800,4,False),iferror(VLOOKUP(P626,'DO NOT TOUCH Imported'!$C$1:$D$800,2,False),"OOPS FIX ME"))</f>
        <v>divine_comedian</v>
      </c>
      <c r="B626" s="165" t="s">
        <v>441</v>
      </c>
      <c r="C626" s="170" t="s">
        <v>1397</v>
      </c>
      <c r="D626" s="236" t="s">
        <v>437</v>
      </c>
      <c r="E626" s="237">
        <v>44295.0</v>
      </c>
      <c r="F626" s="170" t="s">
        <v>439</v>
      </c>
      <c r="G626" s="219"/>
      <c r="H626" s="171">
        <v>100.0</v>
      </c>
      <c r="I626" s="171">
        <v>100.0</v>
      </c>
      <c r="J626" s="172">
        <f t="shared" si="24"/>
        <v>0.001436335405</v>
      </c>
      <c r="K626" s="173">
        <f t="shared" si="29"/>
        <v>1.651785716</v>
      </c>
      <c r="L626" s="174">
        <f t="shared" si="4"/>
        <v>5.958621165</v>
      </c>
      <c r="M626" s="175" t="str">
        <f t="shared" si="5"/>
        <v>divine_comedian</v>
      </c>
      <c r="N626" s="176">
        <f>IFERROR(__xludf.DUMMYFUNCTION("""COMPUTED_VALUE"""),25.0)</f>
        <v>25</v>
      </c>
      <c r="O626" s="176"/>
      <c r="P626" s="165" t="s">
        <v>813</v>
      </c>
      <c r="Q626" s="165" t="s">
        <v>441</v>
      </c>
      <c r="R626" s="176"/>
      <c r="S626" s="176"/>
      <c r="T626" s="176"/>
      <c r="U626" s="176"/>
      <c r="V626" s="176"/>
      <c r="W626" s="176"/>
      <c r="X626" s="176"/>
      <c r="Y626" s="176"/>
      <c r="Z626" s="176"/>
      <c r="AA626" s="176"/>
    </row>
    <row r="627">
      <c r="A627" s="165" t="str">
        <f>iferror(VLOOKUP(P627,'DO NOT TOUCH Imported'!$A$1:$D$800,4,False),iferror(VLOOKUP(P627,'DO NOT TOUCH Imported'!$C$1:$D$800,2,False),"OOPS FIX ME"))</f>
        <v>divine_comedian</v>
      </c>
      <c r="B627" s="165" t="s">
        <v>441</v>
      </c>
      <c r="C627" s="170" t="s">
        <v>1451</v>
      </c>
      <c r="D627" s="236" t="s">
        <v>437</v>
      </c>
      <c r="E627" s="237">
        <v>44295.0</v>
      </c>
      <c r="F627" s="170" t="s">
        <v>439</v>
      </c>
      <c r="G627" s="219"/>
      <c r="H627" s="171">
        <v>100.0</v>
      </c>
      <c r="I627" s="171">
        <v>100.0</v>
      </c>
      <c r="J627" s="172">
        <f t="shared" si="24"/>
        <v>0.001436335405</v>
      </c>
      <c r="K627" s="173">
        <f t="shared" si="29"/>
        <v>1.651785716</v>
      </c>
      <c r="L627" s="174">
        <f t="shared" si="4"/>
        <v>5.958621165</v>
      </c>
      <c r="M627" s="175" t="str">
        <f t="shared" si="5"/>
        <v>divine_comedian</v>
      </c>
      <c r="N627" s="176">
        <f>IFERROR(__xludf.DUMMYFUNCTION("""COMPUTED_VALUE"""),26.0)</f>
        <v>26</v>
      </c>
      <c r="O627" s="176"/>
      <c r="P627" s="165" t="s">
        <v>813</v>
      </c>
      <c r="Q627" s="165" t="s">
        <v>441</v>
      </c>
      <c r="R627" s="176"/>
      <c r="S627" s="176"/>
      <c r="T627" s="176"/>
      <c r="U627" s="176"/>
      <c r="V627" s="176"/>
      <c r="W627" s="176"/>
      <c r="X627" s="176"/>
      <c r="Y627" s="176"/>
      <c r="Z627" s="176"/>
      <c r="AA627" s="176"/>
    </row>
    <row r="628">
      <c r="A628" s="165" t="str">
        <f>iferror(VLOOKUP(P628,'DO NOT TOUCH Imported'!$A$1:$D$800,4,False),iferror(VLOOKUP(P628,'DO NOT TOUCH Imported'!$C$1:$D$800,2,False),"OOPS FIX ME"))</f>
        <v>divine_comedian</v>
      </c>
      <c r="B628" s="165" t="s">
        <v>441</v>
      </c>
      <c r="C628" s="170" t="s">
        <v>1482</v>
      </c>
      <c r="D628" s="236" t="s">
        <v>437</v>
      </c>
      <c r="E628" s="237">
        <v>44295.0</v>
      </c>
      <c r="F628" s="170" t="s">
        <v>439</v>
      </c>
      <c r="G628" s="219"/>
      <c r="H628" s="171">
        <v>100.0</v>
      </c>
      <c r="I628" s="171">
        <v>150.0</v>
      </c>
      <c r="J628" s="172">
        <f t="shared" si="24"/>
        <v>0.001792917919</v>
      </c>
      <c r="K628" s="173">
        <f t="shared" si="29"/>
        <v>2.061855606</v>
      </c>
      <c r="L628" s="174">
        <f t="shared" si="4"/>
        <v>5.958621165</v>
      </c>
      <c r="M628" s="175" t="str">
        <f t="shared" si="5"/>
        <v>divine_comedian</v>
      </c>
      <c r="N628" s="176">
        <f>IFERROR(__xludf.DUMMYFUNCTION("""COMPUTED_VALUE"""),27.0)</f>
        <v>27</v>
      </c>
      <c r="O628" s="176"/>
      <c r="P628" s="165" t="s">
        <v>813</v>
      </c>
      <c r="Q628" s="165" t="s">
        <v>441</v>
      </c>
      <c r="R628" s="176"/>
      <c r="S628" s="176"/>
      <c r="T628" s="176"/>
      <c r="U628" s="176"/>
      <c r="V628" s="176"/>
      <c r="W628" s="176"/>
      <c r="X628" s="176"/>
      <c r="Y628" s="176"/>
      <c r="Z628" s="176"/>
      <c r="AA628" s="176"/>
    </row>
    <row r="629">
      <c r="A629" s="165" t="str">
        <f>iferror(VLOOKUP(P629,'DO NOT TOUCH Imported'!$A$1:$D$800,4,False),iferror(VLOOKUP(P629,'DO NOT TOUCH Imported'!$C$1:$D$800,2,False),"OOPS FIX ME"))</f>
        <v>divine_comedian</v>
      </c>
      <c r="B629" s="165" t="s">
        <v>441</v>
      </c>
      <c r="C629" s="170" t="s">
        <v>1452</v>
      </c>
      <c r="D629" s="236" t="s">
        <v>437</v>
      </c>
      <c r="E629" s="237">
        <v>44295.0</v>
      </c>
      <c r="F629" s="170" t="s">
        <v>439</v>
      </c>
      <c r="G629" s="219"/>
      <c r="H629" s="171">
        <v>70.0</v>
      </c>
      <c r="I629" s="171">
        <v>100.0</v>
      </c>
      <c r="J629" s="172">
        <f t="shared" si="24"/>
        <v>0.001219384292</v>
      </c>
      <c r="K629" s="173">
        <f t="shared" si="29"/>
        <v>1.402291935</v>
      </c>
      <c r="L629" s="174">
        <f t="shared" si="4"/>
        <v>5.958621165</v>
      </c>
      <c r="M629" s="175" t="str">
        <f t="shared" si="5"/>
        <v>divine_comedian</v>
      </c>
      <c r="N629" s="176">
        <f>IFERROR(__xludf.DUMMYFUNCTION("""COMPUTED_VALUE"""),28.0)</f>
        <v>28</v>
      </c>
      <c r="O629" s="176"/>
      <c r="P629" s="165" t="s">
        <v>813</v>
      </c>
      <c r="Q629" s="165" t="s">
        <v>441</v>
      </c>
      <c r="R629" s="176"/>
      <c r="S629" s="176"/>
      <c r="T629" s="176"/>
      <c r="U629" s="176"/>
      <c r="V629" s="176"/>
      <c r="W629" s="176"/>
      <c r="X629" s="176"/>
      <c r="Y629" s="176"/>
      <c r="Z629" s="176"/>
      <c r="AA629" s="176"/>
    </row>
    <row r="630">
      <c r="A630" s="165" t="str">
        <f>iferror(VLOOKUP(P630,'DO NOT TOUCH Imported'!$A$1:$D$800,4,False),iferror(VLOOKUP(P630,'DO NOT TOUCH Imported'!$C$1:$D$800,2,False),"OOPS FIX ME"))</f>
        <v>divine_comedian</v>
      </c>
      <c r="B630" s="165" t="s">
        <v>441</v>
      </c>
      <c r="C630" s="170" t="s">
        <v>1267</v>
      </c>
      <c r="D630" s="236" t="s">
        <v>437</v>
      </c>
      <c r="E630" s="237">
        <v>44295.0</v>
      </c>
      <c r="F630" s="170" t="s">
        <v>439</v>
      </c>
      <c r="G630" s="219"/>
      <c r="H630" s="171">
        <v>50.0</v>
      </c>
      <c r="I630" s="171">
        <v>50.0</v>
      </c>
      <c r="J630" s="172">
        <f t="shared" si="24"/>
        <v>0.0007181677027</v>
      </c>
      <c r="K630" s="173">
        <f t="shared" si="29"/>
        <v>0.8258928581</v>
      </c>
      <c r="L630" s="174">
        <f t="shared" si="4"/>
        <v>5.958621165</v>
      </c>
      <c r="M630" s="175" t="str">
        <f t="shared" si="5"/>
        <v>divine_comedian</v>
      </c>
      <c r="N630" s="176">
        <f>IFERROR(__xludf.DUMMYFUNCTION("""COMPUTED_VALUE"""),29.0)</f>
        <v>29</v>
      </c>
      <c r="O630" s="176"/>
      <c r="P630" s="165" t="s">
        <v>813</v>
      </c>
      <c r="Q630" s="165" t="s">
        <v>441</v>
      </c>
      <c r="R630" s="176"/>
      <c r="S630" s="176"/>
      <c r="T630" s="176"/>
      <c r="U630" s="176"/>
      <c r="V630" s="176"/>
      <c r="W630" s="176"/>
      <c r="X630" s="176"/>
      <c r="Y630" s="176"/>
      <c r="Z630" s="176"/>
      <c r="AA630" s="176"/>
    </row>
    <row r="631">
      <c r="A631" s="185" t="str">
        <f>iferror(VLOOKUP(P631,'DO NOT TOUCH Imported'!$A$1:$D$800,4,False),iferror(VLOOKUP(P631,'DO NOT TOUCH Imported'!$C$1:$D$800,2,False),"OOPS FIX ME"))</f>
        <v>freedumbs00</v>
      </c>
      <c r="B631" s="212" t="s">
        <v>534</v>
      </c>
      <c r="C631" s="186" t="s">
        <v>684</v>
      </c>
      <c r="D631" s="212"/>
      <c r="E631" s="214"/>
      <c r="F631" s="212"/>
      <c r="G631" s="212"/>
      <c r="H631" s="196"/>
      <c r="I631" s="196"/>
      <c r="J631" s="172">
        <f t="shared" si="24"/>
        <v>0</v>
      </c>
      <c r="K631" s="215">
        <f>38.737*-0.85</f>
        <v>-32.92645</v>
      </c>
      <c r="L631" s="193">
        <f t="shared" si="4"/>
        <v>5.810801582</v>
      </c>
      <c r="M631" s="194" t="str">
        <f t="shared" si="5"/>
        <v>freedumbs00</v>
      </c>
      <c r="N631" s="187">
        <f>IFERROR(__xludf.DUMMYFUNCTION("""COMPUTED_VALUE"""),1.0)</f>
        <v>1</v>
      </c>
      <c r="O631" s="212"/>
      <c r="P631" s="195" t="s">
        <v>25</v>
      </c>
      <c r="Q631" s="195" t="s">
        <v>534</v>
      </c>
      <c r="R631" s="187">
        <v>36.89669088595067</v>
      </c>
      <c r="S631" s="212"/>
      <c r="T631" s="212"/>
      <c r="U631" s="212"/>
      <c r="V631" s="212"/>
      <c r="W631" s="212"/>
      <c r="X631" s="212"/>
      <c r="Y631" s="212"/>
      <c r="Z631" s="212"/>
      <c r="AA631" s="176"/>
    </row>
    <row r="632">
      <c r="A632" s="165" t="str">
        <f>iferror(VLOOKUP(P632,'DO NOT TOUCH Imported'!$A$1:$D$800,4,False),iferror(VLOOKUP(P632,'DO NOT TOUCH Imported'!$C$1:$D$800,2,False),"OOPS FIX ME"))</f>
        <v>freedumbs00</v>
      </c>
      <c r="B632" s="165" t="s">
        <v>10</v>
      </c>
      <c r="C632" s="170" t="s">
        <v>498</v>
      </c>
      <c r="D632" s="236" t="s">
        <v>495</v>
      </c>
      <c r="E632" s="239">
        <v>44282.0</v>
      </c>
      <c r="F632" s="170" t="s">
        <v>499</v>
      </c>
      <c r="G632" s="219"/>
      <c r="H632" s="171">
        <v>20.0</v>
      </c>
      <c r="I632" s="171">
        <v>25.0</v>
      </c>
      <c r="J632" s="172">
        <f t="shared" si="24"/>
        <v>0.0003229253324</v>
      </c>
      <c r="K632" s="173">
        <f t="shared" ref="K632:K659" si="30">J632*$J$1</f>
        <v>0.3713641322</v>
      </c>
      <c r="L632" s="174">
        <f t="shared" si="4"/>
        <v>5.810801582</v>
      </c>
      <c r="M632" s="175" t="str">
        <f t="shared" si="5"/>
        <v>freedumbs00</v>
      </c>
      <c r="N632" s="176">
        <f>IFERROR(__xludf.DUMMYFUNCTION("""COMPUTED_VALUE"""),2.0)</f>
        <v>2</v>
      </c>
      <c r="O632" s="176"/>
      <c r="P632" s="165" t="s">
        <v>25</v>
      </c>
      <c r="Q632" s="165" t="s">
        <v>10</v>
      </c>
      <c r="R632" s="176"/>
      <c r="S632" s="176"/>
      <c r="T632" s="176"/>
      <c r="U632" s="176"/>
      <c r="V632" s="176"/>
      <c r="W632" s="176"/>
      <c r="X632" s="176"/>
      <c r="Y632" s="176"/>
      <c r="Z632" s="176"/>
      <c r="AA632" s="176"/>
    </row>
    <row r="633">
      <c r="A633" s="165" t="str">
        <f>iferror(VLOOKUP(P633,'DO NOT TOUCH Imported'!$A$1:$D$800,4,False),iferror(VLOOKUP(P633,'DO NOT TOUCH Imported'!$C$1:$D$800,2,False),"OOPS FIX ME"))</f>
        <v>freedumbs00</v>
      </c>
      <c r="B633" s="165" t="s">
        <v>10</v>
      </c>
      <c r="C633" s="170" t="s">
        <v>500</v>
      </c>
      <c r="D633" s="236" t="s">
        <v>495</v>
      </c>
      <c r="E633" s="239">
        <v>44282.0</v>
      </c>
      <c r="F633" s="170" t="s">
        <v>496</v>
      </c>
      <c r="G633" s="219"/>
      <c r="H633" s="171">
        <v>20.0</v>
      </c>
      <c r="I633" s="171">
        <v>25.0</v>
      </c>
      <c r="J633" s="172">
        <f t="shared" si="24"/>
        <v>0.0003229253324</v>
      </c>
      <c r="K633" s="173">
        <f t="shared" si="30"/>
        <v>0.3713641322</v>
      </c>
      <c r="L633" s="174">
        <f t="shared" si="4"/>
        <v>5.810801582</v>
      </c>
      <c r="M633" s="175" t="str">
        <f t="shared" si="5"/>
        <v>freedumbs00</v>
      </c>
      <c r="N633" s="176">
        <f>IFERROR(__xludf.DUMMYFUNCTION("""COMPUTED_VALUE"""),3.0)</f>
        <v>3</v>
      </c>
      <c r="O633" s="176"/>
      <c r="P633" s="165" t="s">
        <v>25</v>
      </c>
      <c r="Q633" s="165" t="s">
        <v>10</v>
      </c>
      <c r="R633" s="176"/>
      <c r="S633" s="176"/>
      <c r="T633" s="176"/>
      <c r="U633" s="176"/>
      <c r="V633" s="176"/>
      <c r="W633" s="176"/>
      <c r="X633" s="176"/>
      <c r="Y633" s="176"/>
      <c r="Z633" s="176"/>
      <c r="AA633" s="176"/>
    </row>
    <row r="634">
      <c r="A634" s="165" t="str">
        <f>iferror(VLOOKUP(P634,'DO NOT TOUCH Imported'!$A$1:$D$800,4,False),iferror(VLOOKUP(P634,'DO NOT TOUCH Imported'!$C$1:$D$800,2,False),"OOPS FIX ME"))</f>
        <v>freedumbs00</v>
      </c>
      <c r="B634" s="165" t="s">
        <v>10</v>
      </c>
      <c r="C634" s="170" t="s">
        <v>494</v>
      </c>
      <c r="D634" s="236" t="s">
        <v>495</v>
      </c>
      <c r="E634" s="239">
        <v>44295.0</v>
      </c>
      <c r="F634" s="170" t="s">
        <v>496</v>
      </c>
      <c r="G634" s="219"/>
      <c r="H634" s="171">
        <v>40.0</v>
      </c>
      <c r="I634" s="171">
        <v>40.0</v>
      </c>
      <c r="J634" s="172">
        <f t="shared" si="24"/>
        <v>0.0005745341621</v>
      </c>
      <c r="K634" s="173">
        <f t="shared" si="30"/>
        <v>0.6607142865</v>
      </c>
      <c r="L634" s="174">
        <f t="shared" si="4"/>
        <v>5.810801582</v>
      </c>
      <c r="M634" s="175" t="str">
        <f t="shared" si="5"/>
        <v>freedumbs00</v>
      </c>
      <c r="N634" s="176">
        <f>IFERROR(__xludf.DUMMYFUNCTION("""COMPUTED_VALUE"""),4.0)</f>
        <v>4</v>
      </c>
      <c r="O634" s="176"/>
      <c r="P634" s="165" t="s">
        <v>25</v>
      </c>
      <c r="Q634" s="165" t="s">
        <v>10</v>
      </c>
      <c r="R634" s="176"/>
      <c r="S634" s="176"/>
      <c r="T634" s="176"/>
      <c r="U634" s="176"/>
      <c r="V634" s="176"/>
      <c r="W634" s="176"/>
      <c r="X634" s="176"/>
      <c r="Y634" s="176"/>
      <c r="Z634" s="176"/>
      <c r="AA634" s="176"/>
    </row>
    <row r="635">
      <c r="A635" s="165" t="str">
        <f>iferror(VLOOKUP(P635,'DO NOT TOUCH Imported'!$A$1:$D$800,4,False),iferror(VLOOKUP(P635,'DO NOT TOUCH Imported'!$C$1:$D$800,2,False),"OOPS FIX ME"))</f>
        <v>freedumbs00</v>
      </c>
      <c r="B635" s="165" t="s">
        <v>486</v>
      </c>
      <c r="C635" s="170" t="s">
        <v>1483</v>
      </c>
      <c r="D635" s="236" t="s">
        <v>437</v>
      </c>
      <c r="E635" s="239">
        <v>44285.0</v>
      </c>
      <c r="F635" s="170" t="s">
        <v>439</v>
      </c>
      <c r="G635" s="219"/>
      <c r="H635" s="171">
        <v>150.0</v>
      </c>
      <c r="I635" s="171">
        <v>200.0</v>
      </c>
      <c r="J635" s="172">
        <f t="shared" si="24"/>
        <v>0.002511085621</v>
      </c>
      <c r="K635" s="173">
        <f t="shared" si="30"/>
        <v>2.887748464</v>
      </c>
      <c r="L635" s="174">
        <f t="shared" si="4"/>
        <v>5.810801582</v>
      </c>
      <c r="M635" s="175" t="str">
        <f t="shared" si="5"/>
        <v>freedumbs00</v>
      </c>
      <c r="N635" s="176">
        <f>IFERROR(__xludf.DUMMYFUNCTION("""COMPUTED_VALUE"""),5.0)</f>
        <v>5</v>
      </c>
      <c r="O635" s="176"/>
      <c r="P635" s="165" t="s">
        <v>1150</v>
      </c>
      <c r="Q635" s="165" t="s">
        <v>486</v>
      </c>
      <c r="R635" s="176"/>
      <c r="S635" s="176"/>
      <c r="T635" s="176"/>
      <c r="U635" s="176"/>
      <c r="V635" s="176"/>
      <c r="W635" s="176"/>
      <c r="X635" s="176"/>
      <c r="Y635" s="176"/>
      <c r="Z635" s="176"/>
      <c r="AA635" s="176"/>
    </row>
    <row r="636">
      <c r="A636" s="165" t="str">
        <f>iferror(VLOOKUP(P636,'DO NOT TOUCH Imported'!$A$1:$D$800,4,False),iferror(VLOOKUP(P636,'DO NOT TOUCH Imported'!$C$1:$D$800,2,False),"OOPS FIX ME"))</f>
        <v>freedumbs00</v>
      </c>
      <c r="B636" s="165" t="s">
        <v>440</v>
      </c>
      <c r="C636" s="170" t="s">
        <v>1484</v>
      </c>
      <c r="D636" s="236" t="s">
        <v>437</v>
      </c>
      <c r="E636" s="239">
        <v>44285.0</v>
      </c>
      <c r="F636" s="170" t="s">
        <v>439</v>
      </c>
      <c r="G636" s="219"/>
      <c r="H636" s="171">
        <v>100.0</v>
      </c>
      <c r="I636" s="171">
        <v>100.0</v>
      </c>
      <c r="J636" s="172">
        <f t="shared" si="24"/>
        <v>0.001436335405</v>
      </c>
      <c r="K636" s="173">
        <f t="shared" si="30"/>
        <v>1.651785716</v>
      </c>
      <c r="L636" s="174">
        <f t="shared" si="4"/>
        <v>5.810801582</v>
      </c>
      <c r="M636" s="175" t="str">
        <f t="shared" si="5"/>
        <v>freedumbs00</v>
      </c>
      <c r="N636" s="176">
        <f>IFERROR(__xludf.DUMMYFUNCTION("""COMPUTED_VALUE"""),6.0)</f>
        <v>6</v>
      </c>
      <c r="O636" s="176"/>
      <c r="P636" s="165" t="s">
        <v>1150</v>
      </c>
      <c r="Q636" s="165" t="s">
        <v>440</v>
      </c>
      <c r="R636" s="176"/>
      <c r="S636" s="176"/>
      <c r="T636" s="176"/>
      <c r="U636" s="176"/>
      <c r="V636" s="176"/>
      <c r="W636" s="176"/>
      <c r="X636" s="176"/>
      <c r="Y636" s="176"/>
      <c r="Z636" s="176"/>
      <c r="AA636" s="176"/>
    </row>
    <row r="637">
      <c r="A637" s="165" t="str">
        <f>iferror(VLOOKUP(P637,'DO NOT TOUCH Imported'!$A$1:$D$800,4,False),iferror(VLOOKUP(P637,'DO NOT TOUCH Imported'!$C$1:$D$800,2,False),"OOPS FIX ME"))</f>
        <v>freedumbs00</v>
      </c>
      <c r="B637" s="165" t="s">
        <v>486</v>
      </c>
      <c r="C637" s="170" t="s">
        <v>1237</v>
      </c>
      <c r="D637" s="236" t="s">
        <v>437</v>
      </c>
      <c r="E637" s="239">
        <v>44285.0</v>
      </c>
      <c r="F637" s="170" t="s">
        <v>439</v>
      </c>
      <c r="G637" s="219"/>
      <c r="H637" s="171">
        <v>50.0</v>
      </c>
      <c r="I637" s="171">
        <v>50.0</v>
      </c>
      <c r="J637" s="172">
        <f t="shared" si="24"/>
        <v>0.0007181677027</v>
      </c>
      <c r="K637" s="173">
        <f t="shared" si="30"/>
        <v>0.8258928581</v>
      </c>
      <c r="L637" s="174">
        <f t="shared" si="4"/>
        <v>5.810801582</v>
      </c>
      <c r="M637" s="175" t="str">
        <f t="shared" si="5"/>
        <v>freedumbs00</v>
      </c>
      <c r="N637" s="176">
        <f>IFERROR(__xludf.DUMMYFUNCTION("""COMPUTED_VALUE"""),7.0)</f>
        <v>7</v>
      </c>
      <c r="O637" s="176"/>
      <c r="P637" s="165" t="s">
        <v>1150</v>
      </c>
      <c r="Q637" s="165" t="s">
        <v>486</v>
      </c>
      <c r="R637" s="176"/>
      <c r="S637" s="176"/>
      <c r="T637" s="176"/>
      <c r="U637" s="176"/>
      <c r="V637" s="176"/>
      <c r="W637" s="176"/>
      <c r="X637" s="176"/>
      <c r="Y637" s="176"/>
      <c r="Z637" s="176"/>
      <c r="AA637" s="176"/>
    </row>
    <row r="638">
      <c r="A638" s="165" t="str">
        <f>iferror(VLOOKUP(P638,'DO NOT TOUCH Imported'!$A$1:$D$800,4,False),iferror(VLOOKUP(P638,'DO NOT TOUCH Imported'!$C$1:$D$800,2,False),"OOPS FIX ME"))</f>
        <v>freedumbs00</v>
      </c>
      <c r="B638" s="165" t="s">
        <v>490</v>
      </c>
      <c r="C638" s="170" t="s">
        <v>1240</v>
      </c>
      <c r="D638" s="236" t="s">
        <v>437</v>
      </c>
      <c r="E638" s="239">
        <v>44286.0</v>
      </c>
      <c r="F638" s="170" t="s">
        <v>439</v>
      </c>
      <c r="G638" s="219"/>
      <c r="H638" s="171">
        <v>60.0</v>
      </c>
      <c r="I638" s="171">
        <v>50.0</v>
      </c>
      <c r="J638" s="172">
        <f t="shared" si="24"/>
        <v>0.0007904847406</v>
      </c>
      <c r="K638" s="173">
        <f t="shared" si="30"/>
        <v>0.9090574516</v>
      </c>
      <c r="L638" s="174">
        <f t="shared" si="4"/>
        <v>5.810801582</v>
      </c>
      <c r="M638" s="175" t="str">
        <f t="shared" si="5"/>
        <v>freedumbs00</v>
      </c>
      <c r="N638" s="176">
        <f>IFERROR(__xludf.DUMMYFUNCTION("""COMPUTED_VALUE"""),8.0)</f>
        <v>8</v>
      </c>
      <c r="O638" s="176"/>
      <c r="P638" s="165" t="s">
        <v>1150</v>
      </c>
      <c r="Q638" s="165" t="s">
        <v>490</v>
      </c>
      <c r="R638" s="176"/>
      <c r="S638" s="176"/>
      <c r="T638" s="176"/>
      <c r="U638" s="176"/>
      <c r="V638" s="176"/>
      <c r="W638" s="176"/>
      <c r="X638" s="176"/>
      <c r="Y638" s="176"/>
      <c r="Z638" s="176"/>
      <c r="AA638" s="176"/>
    </row>
    <row r="639">
      <c r="A639" s="165" t="str">
        <f>iferror(VLOOKUP(P639,'DO NOT TOUCH Imported'!$A$1:$D$800,4,False),iferror(VLOOKUP(P639,'DO NOT TOUCH Imported'!$C$1:$D$800,2,False),"OOPS FIX ME"))</f>
        <v>freedumbs00</v>
      </c>
      <c r="B639" s="165" t="s">
        <v>435</v>
      </c>
      <c r="C639" s="170" t="s">
        <v>1485</v>
      </c>
      <c r="D639" s="236" t="s">
        <v>437</v>
      </c>
      <c r="E639" s="239">
        <v>44287.0</v>
      </c>
      <c r="F639" s="170" t="s">
        <v>439</v>
      </c>
      <c r="G639" s="219"/>
      <c r="H639" s="171">
        <v>100.0</v>
      </c>
      <c r="I639" s="171">
        <v>100.0</v>
      </c>
      <c r="J639" s="172">
        <f t="shared" si="24"/>
        <v>0.001436335405</v>
      </c>
      <c r="K639" s="173">
        <f t="shared" si="30"/>
        <v>1.651785716</v>
      </c>
      <c r="L639" s="174">
        <f t="shared" si="4"/>
        <v>5.810801582</v>
      </c>
      <c r="M639" s="175" t="str">
        <f t="shared" si="5"/>
        <v>freedumbs00</v>
      </c>
      <c r="N639" s="176">
        <f>IFERROR(__xludf.DUMMYFUNCTION("""COMPUTED_VALUE"""),9.0)</f>
        <v>9</v>
      </c>
      <c r="O639" s="176"/>
      <c r="P639" s="165" t="s">
        <v>1150</v>
      </c>
      <c r="Q639" s="165" t="s">
        <v>435</v>
      </c>
      <c r="R639" s="176"/>
      <c r="S639" s="176"/>
      <c r="T639" s="176"/>
      <c r="U639" s="176"/>
      <c r="V639" s="176"/>
      <c r="W639" s="176"/>
      <c r="X639" s="176"/>
      <c r="Y639" s="176"/>
      <c r="Z639" s="176"/>
      <c r="AA639" s="176"/>
    </row>
    <row r="640">
      <c r="A640" s="165" t="str">
        <f>iferror(VLOOKUP(P640,'DO NOT TOUCH Imported'!$A$1:$D$800,4,False),iferror(VLOOKUP(P640,'DO NOT TOUCH Imported'!$C$1:$D$800,2,False),"OOPS FIX ME"))</f>
        <v>freedumbs00</v>
      </c>
      <c r="B640" s="165" t="s">
        <v>435</v>
      </c>
      <c r="C640" s="170" t="s">
        <v>1246</v>
      </c>
      <c r="D640" s="236" t="s">
        <v>437</v>
      </c>
      <c r="E640" s="239">
        <v>44287.0</v>
      </c>
      <c r="F640" s="170" t="s">
        <v>439</v>
      </c>
      <c r="G640" s="219"/>
      <c r="H640" s="171">
        <v>100.0</v>
      </c>
      <c r="I640" s="171">
        <v>50.0</v>
      </c>
      <c r="J640" s="172">
        <f t="shared" si="24"/>
        <v>0.001079752892</v>
      </c>
      <c r="K640" s="173">
        <f t="shared" si="30"/>
        <v>1.241715826</v>
      </c>
      <c r="L640" s="174">
        <f t="shared" si="4"/>
        <v>5.810801582</v>
      </c>
      <c r="M640" s="175" t="str">
        <f t="shared" si="5"/>
        <v>freedumbs00</v>
      </c>
      <c r="N640" s="176">
        <f>IFERROR(__xludf.DUMMYFUNCTION("""COMPUTED_VALUE"""),10.0)</f>
        <v>10</v>
      </c>
      <c r="O640" s="176"/>
      <c r="P640" s="165" t="s">
        <v>1150</v>
      </c>
      <c r="Q640" s="165" t="s">
        <v>435</v>
      </c>
      <c r="R640" s="176"/>
      <c r="S640" s="176"/>
      <c r="T640" s="176"/>
      <c r="U640" s="176"/>
      <c r="V640" s="176"/>
      <c r="W640" s="176"/>
      <c r="X640" s="176"/>
      <c r="Y640" s="176"/>
      <c r="Z640" s="176"/>
      <c r="AA640" s="176"/>
    </row>
    <row r="641">
      <c r="A641" s="165" t="str">
        <f>iferror(VLOOKUP(P641,'DO NOT TOUCH Imported'!$A$1:$D$800,4,False),iferror(VLOOKUP(P641,'DO NOT TOUCH Imported'!$C$1:$D$800,2,False),"OOPS FIX ME"))</f>
        <v>freedumbs00</v>
      </c>
      <c r="B641" s="165" t="s">
        <v>441</v>
      </c>
      <c r="C641" s="170" t="s">
        <v>1289</v>
      </c>
      <c r="D641" s="236" t="s">
        <v>437</v>
      </c>
      <c r="E641" s="237">
        <v>44288.0</v>
      </c>
      <c r="F641" s="170" t="s">
        <v>439</v>
      </c>
      <c r="G641" s="219"/>
      <c r="H641" s="171">
        <v>100.0</v>
      </c>
      <c r="I641" s="171">
        <v>100.0</v>
      </c>
      <c r="J641" s="172">
        <f t="shared" si="24"/>
        <v>0.001436335405</v>
      </c>
      <c r="K641" s="173">
        <f t="shared" si="30"/>
        <v>1.651785716</v>
      </c>
      <c r="L641" s="174">
        <f t="shared" si="4"/>
        <v>5.810801582</v>
      </c>
      <c r="M641" s="175" t="str">
        <f t="shared" si="5"/>
        <v>freedumbs00</v>
      </c>
      <c r="N641" s="176">
        <f>IFERROR(__xludf.DUMMYFUNCTION("""COMPUTED_VALUE"""),11.0)</f>
        <v>11</v>
      </c>
      <c r="O641" s="176"/>
      <c r="P641" s="165" t="s">
        <v>1150</v>
      </c>
      <c r="Q641" s="165" t="s">
        <v>441</v>
      </c>
      <c r="R641" s="176"/>
      <c r="S641" s="176"/>
      <c r="T641" s="176"/>
      <c r="U641" s="176"/>
      <c r="V641" s="176"/>
      <c r="W641" s="176"/>
      <c r="X641" s="176"/>
      <c r="Y641" s="176"/>
      <c r="Z641" s="176"/>
      <c r="AA641" s="176"/>
    </row>
    <row r="642">
      <c r="A642" s="165" t="str">
        <f>iferror(VLOOKUP(P642,'DO NOT TOUCH Imported'!$A$1:$D$800,4,False),iferror(VLOOKUP(P642,'DO NOT TOUCH Imported'!$C$1:$D$800,2,False),"OOPS FIX ME"))</f>
        <v>freedumbs00</v>
      </c>
      <c r="B642" s="165" t="s">
        <v>441</v>
      </c>
      <c r="C642" s="170" t="s">
        <v>1248</v>
      </c>
      <c r="D642" s="236" t="s">
        <v>437</v>
      </c>
      <c r="E642" s="237">
        <v>44288.0</v>
      </c>
      <c r="F642" s="170" t="s">
        <v>439</v>
      </c>
      <c r="G642" s="219"/>
      <c r="H642" s="171">
        <v>100.0</v>
      </c>
      <c r="I642" s="171">
        <v>100.0</v>
      </c>
      <c r="J642" s="172">
        <f t="shared" si="24"/>
        <v>0.001436335405</v>
      </c>
      <c r="K642" s="173">
        <f t="shared" si="30"/>
        <v>1.651785716</v>
      </c>
      <c r="L642" s="174">
        <f t="shared" si="4"/>
        <v>5.810801582</v>
      </c>
      <c r="M642" s="175" t="str">
        <f t="shared" si="5"/>
        <v>freedumbs00</v>
      </c>
      <c r="N642" s="176">
        <f>IFERROR(__xludf.DUMMYFUNCTION("""COMPUTED_VALUE"""),12.0)</f>
        <v>12</v>
      </c>
      <c r="O642" s="176"/>
      <c r="P642" s="165" t="s">
        <v>1150</v>
      </c>
      <c r="Q642" s="165" t="s">
        <v>441</v>
      </c>
      <c r="R642" s="176"/>
      <c r="S642" s="176"/>
      <c r="T642" s="176"/>
      <c r="U642" s="176"/>
      <c r="V642" s="176"/>
      <c r="W642" s="176"/>
      <c r="X642" s="176"/>
      <c r="Y642" s="176"/>
      <c r="Z642" s="176"/>
      <c r="AA642" s="176"/>
    </row>
    <row r="643">
      <c r="A643" s="165" t="str">
        <f>iferror(VLOOKUP(P643,'DO NOT TOUCH Imported'!$A$1:$D$800,4,False),iferror(VLOOKUP(P643,'DO NOT TOUCH Imported'!$C$1:$D$800,2,False),"OOPS FIX ME"))</f>
        <v>freedumbs00</v>
      </c>
      <c r="B643" s="165" t="s">
        <v>441</v>
      </c>
      <c r="C643" s="170" t="s">
        <v>1408</v>
      </c>
      <c r="D643" s="236" t="s">
        <v>437</v>
      </c>
      <c r="E643" s="237">
        <v>44288.0</v>
      </c>
      <c r="F643" s="170" t="s">
        <v>439</v>
      </c>
      <c r="G643" s="219"/>
      <c r="H643" s="171">
        <v>100.0</v>
      </c>
      <c r="I643" s="171">
        <v>150.0</v>
      </c>
      <c r="J643" s="172">
        <f t="shared" si="24"/>
        <v>0.001792917919</v>
      </c>
      <c r="K643" s="173">
        <f t="shared" si="30"/>
        <v>2.061855606</v>
      </c>
      <c r="L643" s="174">
        <f t="shared" si="4"/>
        <v>5.810801582</v>
      </c>
      <c r="M643" s="175" t="str">
        <f t="shared" si="5"/>
        <v>freedumbs00</v>
      </c>
      <c r="N643" s="176">
        <f>IFERROR(__xludf.DUMMYFUNCTION("""COMPUTED_VALUE"""),13.0)</f>
        <v>13</v>
      </c>
      <c r="O643" s="176"/>
      <c r="P643" s="165" t="s">
        <v>1150</v>
      </c>
      <c r="Q643" s="165" t="s">
        <v>441</v>
      </c>
      <c r="R643" s="176"/>
      <c r="S643" s="176"/>
      <c r="T643" s="176"/>
      <c r="U643" s="176"/>
      <c r="V643" s="176"/>
      <c r="W643" s="176"/>
      <c r="X643" s="176"/>
      <c r="Y643" s="176"/>
      <c r="Z643" s="176"/>
      <c r="AA643" s="176"/>
    </row>
    <row r="644">
      <c r="A644" s="165" t="str">
        <f>iferror(VLOOKUP(P644,'DO NOT TOUCH Imported'!$A$1:$D$800,4,False),iferror(VLOOKUP(P644,'DO NOT TOUCH Imported'!$C$1:$D$800,2,False),"OOPS FIX ME"))</f>
        <v>freedumbs00</v>
      </c>
      <c r="B644" s="165" t="s">
        <v>435</v>
      </c>
      <c r="C644" s="170" t="s">
        <v>1278</v>
      </c>
      <c r="D644" s="236" t="s">
        <v>437</v>
      </c>
      <c r="E644" s="237">
        <v>44288.0</v>
      </c>
      <c r="F644" s="170" t="s">
        <v>439</v>
      </c>
      <c r="G644" s="219"/>
      <c r="H644" s="171">
        <v>100.0</v>
      </c>
      <c r="I644" s="171">
        <v>50.0</v>
      </c>
      <c r="J644" s="172">
        <f t="shared" si="24"/>
        <v>0.001079752892</v>
      </c>
      <c r="K644" s="173">
        <f t="shared" si="30"/>
        <v>1.241715826</v>
      </c>
      <c r="L644" s="174">
        <f t="shared" si="4"/>
        <v>5.810801582</v>
      </c>
      <c r="M644" s="175" t="str">
        <f t="shared" si="5"/>
        <v>freedumbs00</v>
      </c>
      <c r="N644" s="176">
        <f>IFERROR(__xludf.DUMMYFUNCTION("""COMPUTED_VALUE"""),14.0)</f>
        <v>14</v>
      </c>
      <c r="O644" s="176"/>
      <c r="P644" s="165" t="s">
        <v>1150</v>
      </c>
      <c r="Q644" s="165" t="s">
        <v>435</v>
      </c>
      <c r="R644" s="176"/>
      <c r="S644" s="176"/>
      <c r="T644" s="176"/>
      <c r="U644" s="176"/>
      <c r="V644" s="176"/>
      <c r="W644" s="176"/>
      <c r="X644" s="176"/>
      <c r="Y644" s="176"/>
      <c r="Z644" s="176"/>
      <c r="AA644" s="176"/>
    </row>
    <row r="645">
      <c r="A645" s="165" t="str">
        <f>iferror(VLOOKUP(P645,'DO NOT TOUCH Imported'!$A$1:$D$800,4,False),iferror(VLOOKUP(P645,'DO NOT TOUCH Imported'!$C$1:$D$800,2,False),"OOPS FIX ME"))</f>
        <v>freedumbs00</v>
      </c>
      <c r="B645" s="165" t="s">
        <v>441</v>
      </c>
      <c r="C645" s="170" t="s">
        <v>1005</v>
      </c>
      <c r="D645" s="236" t="s">
        <v>437</v>
      </c>
      <c r="E645" s="237">
        <v>44289.0</v>
      </c>
      <c r="F645" s="170" t="s">
        <v>439</v>
      </c>
      <c r="G645" s="219"/>
      <c r="H645" s="171">
        <v>100.0</v>
      </c>
      <c r="I645" s="171">
        <v>40.0</v>
      </c>
      <c r="J645" s="172">
        <f t="shared" si="24"/>
        <v>0.001008436389</v>
      </c>
      <c r="K645" s="173">
        <f t="shared" si="30"/>
        <v>1.159701848</v>
      </c>
      <c r="L645" s="174">
        <f t="shared" si="4"/>
        <v>5.810801582</v>
      </c>
      <c r="M645" s="175" t="str">
        <f t="shared" si="5"/>
        <v>freedumbs00</v>
      </c>
      <c r="N645" s="176">
        <f>IFERROR(__xludf.DUMMYFUNCTION("""COMPUTED_VALUE"""),15.0)</f>
        <v>15</v>
      </c>
      <c r="O645" s="176"/>
      <c r="P645" s="165" t="s">
        <v>1150</v>
      </c>
      <c r="Q645" s="165" t="s">
        <v>441</v>
      </c>
      <c r="R645" s="176"/>
      <c r="S645" s="176"/>
      <c r="T645" s="176"/>
      <c r="U645" s="176"/>
      <c r="V645" s="176"/>
      <c r="W645" s="176"/>
      <c r="X645" s="176"/>
      <c r="Y645" s="176"/>
      <c r="Z645" s="176"/>
      <c r="AA645" s="176"/>
    </row>
    <row r="646">
      <c r="A646" s="165" t="str">
        <f>iferror(VLOOKUP(P646,'DO NOT TOUCH Imported'!$A$1:$D$800,4,False),iferror(VLOOKUP(P646,'DO NOT TOUCH Imported'!$C$1:$D$800,2,False),"OOPS FIX ME"))</f>
        <v>freedumbs00</v>
      </c>
      <c r="B646" s="165" t="s">
        <v>440</v>
      </c>
      <c r="C646" s="170" t="s">
        <v>1486</v>
      </c>
      <c r="D646" s="236" t="s">
        <v>437</v>
      </c>
      <c r="E646" s="237">
        <v>44291.0</v>
      </c>
      <c r="F646" s="170" t="s">
        <v>439</v>
      </c>
      <c r="G646" s="219"/>
      <c r="H646" s="171">
        <v>100.0</v>
      </c>
      <c r="I646" s="171">
        <v>100.0</v>
      </c>
      <c r="J646" s="172">
        <f t="shared" si="24"/>
        <v>0.001436335405</v>
      </c>
      <c r="K646" s="173">
        <f t="shared" si="30"/>
        <v>1.651785716</v>
      </c>
      <c r="L646" s="174">
        <f t="shared" si="4"/>
        <v>5.810801582</v>
      </c>
      <c r="M646" s="175" t="str">
        <f t="shared" si="5"/>
        <v>freedumbs00</v>
      </c>
      <c r="N646" s="176">
        <f>IFERROR(__xludf.DUMMYFUNCTION("""COMPUTED_VALUE"""),16.0)</f>
        <v>16</v>
      </c>
      <c r="O646" s="176"/>
      <c r="P646" s="165" t="s">
        <v>1150</v>
      </c>
      <c r="Q646" s="165" t="s">
        <v>440</v>
      </c>
      <c r="R646" s="176"/>
      <c r="S646" s="176"/>
      <c r="T646" s="176"/>
      <c r="U646" s="176"/>
      <c r="V646" s="176"/>
      <c r="W646" s="176"/>
      <c r="X646" s="176"/>
      <c r="Y646" s="176"/>
      <c r="Z646" s="176"/>
      <c r="AA646" s="176"/>
    </row>
    <row r="647">
      <c r="A647" s="165" t="str">
        <f>iferror(VLOOKUP(P647,'DO NOT TOUCH Imported'!$A$1:$D$800,4,False),iferror(VLOOKUP(P647,'DO NOT TOUCH Imported'!$C$1:$D$800,2,False),"OOPS FIX ME"))</f>
        <v>freedumbs00</v>
      </c>
      <c r="B647" s="165" t="s">
        <v>443</v>
      </c>
      <c r="C647" s="170" t="s">
        <v>1252</v>
      </c>
      <c r="D647" s="236" t="s">
        <v>437</v>
      </c>
      <c r="E647" s="237">
        <v>44291.0</v>
      </c>
      <c r="F647" s="170" t="s">
        <v>439</v>
      </c>
      <c r="G647" s="219"/>
      <c r="H647" s="171">
        <v>100.0</v>
      </c>
      <c r="I647" s="171">
        <v>80.0</v>
      </c>
      <c r="J647" s="172">
        <f t="shared" si="24"/>
        <v>0.0012937024</v>
      </c>
      <c r="K647" s="173">
        <f t="shared" si="30"/>
        <v>1.48775776</v>
      </c>
      <c r="L647" s="174">
        <f t="shared" si="4"/>
        <v>5.810801582</v>
      </c>
      <c r="M647" s="175" t="str">
        <f t="shared" si="5"/>
        <v>freedumbs00</v>
      </c>
      <c r="N647" s="176">
        <f>IFERROR(__xludf.DUMMYFUNCTION("""COMPUTED_VALUE"""),17.0)</f>
        <v>17</v>
      </c>
      <c r="O647" s="176"/>
      <c r="P647" s="165" t="s">
        <v>1150</v>
      </c>
      <c r="Q647" s="165" t="s">
        <v>443</v>
      </c>
      <c r="R647" s="176"/>
      <c r="S647" s="176"/>
      <c r="T647" s="176"/>
      <c r="U647" s="176"/>
      <c r="V647" s="176"/>
      <c r="W647" s="176"/>
      <c r="X647" s="176"/>
      <c r="Y647" s="176"/>
      <c r="Z647" s="176"/>
      <c r="AA647" s="176"/>
    </row>
    <row r="648">
      <c r="A648" s="165" t="str">
        <f>iferror(VLOOKUP(P648,'DO NOT TOUCH Imported'!$A$1:$D$800,4,False),iferror(VLOOKUP(P648,'DO NOT TOUCH Imported'!$C$1:$D$800,2,False),"OOPS FIX ME"))</f>
        <v>freedumbs00</v>
      </c>
      <c r="B648" s="165" t="s">
        <v>440</v>
      </c>
      <c r="C648" s="170" t="s">
        <v>1257</v>
      </c>
      <c r="D648" s="236" t="s">
        <v>437</v>
      </c>
      <c r="E648" s="237">
        <v>44292.0</v>
      </c>
      <c r="F648" s="170" t="s">
        <v>439</v>
      </c>
      <c r="G648" s="219"/>
      <c r="H648" s="171">
        <v>70.0</v>
      </c>
      <c r="I648" s="171">
        <v>50.0</v>
      </c>
      <c r="J648" s="172">
        <f t="shared" si="24"/>
        <v>0.0008628017785</v>
      </c>
      <c r="K648" s="173">
        <f t="shared" si="30"/>
        <v>0.9922220452</v>
      </c>
      <c r="L648" s="174">
        <f t="shared" si="4"/>
        <v>5.810801582</v>
      </c>
      <c r="M648" s="175" t="str">
        <f t="shared" si="5"/>
        <v>freedumbs00</v>
      </c>
      <c r="N648" s="176">
        <f>IFERROR(__xludf.DUMMYFUNCTION("""COMPUTED_VALUE"""),18.0)</f>
        <v>18</v>
      </c>
      <c r="O648" s="176"/>
      <c r="P648" s="165" t="s">
        <v>1150</v>
      </c>
      <c r="Q648" s="165" t="s">
        <v>440</v>
      </c>
      <c r="R648" s="176"/>
      <c r="S648" s="176"/>
      <c r="T648" s="176"/>
      <c r="U648" s="176"/>
      <c r="V648" s="176"/>
      <c r="W648" s="176"/>
      <c r="X648" s="176"/>
      <c r="Y648" s="176"/>
      <c r="Z648" s="176"/>
      <c r="AA648" s="176"/>
    </row>
    <row r="649">
      <c r="A649" s="165" t="str">
        <f>iferror(VLOOKUP(P649,'DO NOT TOUCH Imported'!$A$1:$D$800,4,False),iferror(VLOOKUP(P649,'DO NOT TOUCH Imported'!$C$1:$D$800,2,False),"OOPS FIX ME"))</f>
        <v>freedumbs00</v>
      </c>
      <c r="B649" s="165" t="s">
        <v>440</v>
      </c>
      <c r="C649" s="170" t="s">
        <v>1319</v>
      </c>
      <c r="D649" s="236" t="s">
        <v>437</v>
      </c>
      <c r="E649" s="237">
        <v>44293.0</v>
      </c>
      <c r="F649" s="170" t="s">
        <v>439</v>
      </c>
      <c r="G649" s="219"/>
      <c r="H649" s="171">
        <v>100.0</v>
      </c>
      <c r="I649" s="171">
        <v>200.0</v>
      </c>
      <c r="J649" s="172">
        <f t="shared" si="24"/>
        <v>0.002149500432</v>
      </c>
      <c r="K649" s="173">
        <f t="shared" si="30"/>
        <v>2.471925496</v>
      </c>
      <c r="L649" s="174">
        <f t="shared" si="4"/>
        <v>5.810801582</v>
      </c>
      <c r="M649" s="175" t="str">
        <f t="shared" si="5"/>
        <v>freedumbs00</v>
      </c>
      <c r="N649" s="176">
        <f>IFERROR(__xludf.DUMMYFUNCTION("""COMPUTED_VALUE"""),19.0)</f>
        <v>19</v>
      </c>
      <c r="O649" s="176"/>
      <c r="P649" s="165" t="s">
        <v>1150</v>
      </c>
      <c r="Q649" s="165" t="s">
        <v>440</v>
      </c>
      <c r="R649" s="176"/>
      <c r="S649" s="176"/>
      <c r="T649" s="176"/>
      <c r="U649" s="176"/>
      <c r="V649" s="176"/>
      <c r="W649" s="176"/>
      <c r="X649" s="176"/>
      <c r="Y649" s="176"/>
      <c r="Z649" s="176"/>
      <c r="AA649" s="176"/>
    </row>
    <row r="650">
      <c r="A650" s="165" t="str">
        <f>iferror(VLOOKUP(P650,'DO NOT TOUCH Imported'!$A$1:$D$800,4,False),iferror(VLOOKUP(P650,'DO NOT TOUCH Imported'!$C$1:$D$800,2,False),"OOPS FIX ME"))</f>
        <v>freedumbs00</v>
      </c>
      <c r="B650" s="165" t="s">
        <v>440</v>
      </c>
      <c r="C650" s="170" t="s">
        <v>1260</v>
      </c>
      <c r="D650" s="236" t="s">
        <v>437</v>
      </c>
      <c r="E650" s="237">
        <v>44293.0</v>
      </c>
      <c r="F650" s="170" t="s">
        <v>439</v>
      </c>
      <c r="G650" s="219"/>
      <c r="H650" s="171">
        <v>70.0</v>
      </c>
      <c r="I650" s="171">
        <v>50.0</v>
      </c>
      <c r="J650" s="172">
        <f t="shared" si="24"/>
        <v>0.0008628017785</v>
      </c>
      <c r="K650" s="173">
        <f t="shared" si="30"/>
        <v>0.9922220452</v>
      </c>
      <c r="L650" s="174">
        <f t="shared" si="4"/>
        <v>5.810801582</v>
      </c>
      <c r="M650" s="175" t="str">
        <f t="shared" si="5"/>
        <v>freedumbs00</v>
      </c>
      <c r="N650" s="176">
        <f>IFERROR(__xludf.DUMMYFUNCTION("""COMPUTED_VALUE"""),20.0)</f>
        <v>20</v>
      </c>
      <c r="O650" s="176"/>
      <c r="P650" s="165" t="s">
        <v>1150</v>
      </c>
      <c r="Q650" s="165" t="s">
        <v>440</v>
      </c>
      <c r="R650" s="176"/>
      <c r="S650" s="176"/>
      <c r="T650" s="176"/>
      <c r="U650" s="176"/>
      <c r="V650" s="176"/>
      <c r="W650" s="176"/>
      <c r="X650" s="176"/>
      <c r="Y650" s="176"/>
      <c r="Z650" s="176"/>
      <c r="AA650" s="176"/>
    </row>
    <row r="651">
      <c r="A651" s="165" t="str">
        <f>iferror(VLOOKUP(P651,'DO NOT TOUCH Imported'!$A$1:$D$800,4,False),iferror(VLOOKUP(P651,'DO NOT TOUCH Imported'!$C$1:$D$800,2,False),"OOPS FIX ME"))</f>
        <v>freedumbs00</v>
      </c>
      <c r="B651" s="165" t="s">
        <v>440</v>
      </c>
      <c r="C651" s="170" t="s">
        <v>1261</v>
      </c>
      <c r="D651" s="236" t="s">
        <v>437</v>
      </c>
      <c r="E651" s="237">
        <v>44293.0</v>
      </c>
      <c r="F651" s="170" t="s">
        <v>439</v>
      </c>
      <c r="G651" s="219"/>
      <c r="H651" s="171">
        <v>70.0</v>
      </c>
      <c r="I651" s="171">
        <v>50.0</v>
      </c>
      <c r="J651" s="172">
        <f t="shared" si="24"/>
        <v>0.0008628017785</v>
      </c>
      <c r="K651" s="173">
        <f t="shared" si="30"/>
        <v>0.9922220452</v>
      </c>
      <c r="L651" s="174">
        <f t="shared" si="4"/>
        <v>5.810801582</v>
      </c>
      <c r="M651" s="175" t="str">
        <f t="shared" si="5"/>
        <v>freedumbs00</v>
      </c>
      <c r="N651" s="176">
        <f>IFERROR(__xludf.DUMMYFUNCTION("""COMPUTED_VALUE"""),21.0)</f>
        <v>21</v>
      </c>
      <c r="O651" s="176"/>
      <c r="P651" s="165" t="s">
        <v>1150</v>
      </c>
      <c r="Q651" s="165" t="s">
        <v>440</v>
      </c>
      <c r="R651" s="176"/>
      <c r="S651" s="176"/>
      <c r="T651" s="176"/>
      <c r="U651" s="176"/>
      <c r="V651" s="176"/>
      <c r="W651" s="176"/>
      <c r="X651" s="176"/>
      <c r="Y651" s="176"/>
      <c r="Z651" s="176"/>
      <c r="AA651" s="176"/>
    </row>
    <row r="652">
      <c r="A652" s="165" t="str">
        <f>iferror(VLOOKUP(P652,'DO NOT TOUCH Imported'!$A$1:$D$800,4,False),iferror(VLOOKUP(P652,'DO NOT TOUCH Imported'!$C$1:$D$800,2,False),"OOPS FIX ME"))</f>
        <v>freedumbs00</v>
      </c>
      <c r="B652" s="165" t="s">
        <v>441</v>
      </c>
      <c r="C652" s="170" t="s">
        <v>1263</v>
      </c>
      <c r="D652" s="236" t="s">
        <v>437</v>
      </c>
      <c r="E652" s="237">
        <v>44295.0</v>
      </c>
      <c r="F652" s="170" t="s">
        <v>439</v>
      </c>
      <c r="G652" s="219"/>
      <c r="H652" s="171">
        <v>100.0</v>
      </c>
      <c r="I652" s="171">
        <v>100.0</v>
      </c>
      <c r="J652" s="172">
        <f t="shared" si="24"/>
        <v>0.001436335405</v>
      </c>
      <c r="K652" s="173">
        <f t="shared" si="30"/>
        <v>1.651785716</v>
      </c>
      <c r="L652" s="174">
        <f t="shared" si="4"/>
        <v>5.810801582</v>
      </c>
      <c r="M652" s="175" t="str">
        <f t="shared" si="5"/>
        <v>freedumbs00</v>
      </c>
      <c r="N652" s="176">
        <f>IFERROR(__xludf.DUMMYFUNCTION("""COMPUTED_VALUE"""),22.0)</f>
        <v>22</v>
      </c>
      <c r="O652" s="176"/>
      <c r="P652" s="165" t="s">
        <v>1150</v>
      </c>
      <c r="Q652" s="165" t="s">
        <v>441</v>
      </c>
      <c r="R652" s="176"/>
      <c r="S652" s="176"/>
      <c r="T652" s="176"/>
      <c r="U652" s="176"/>
      <c r="V652" s="176"/>
      <c r="W652" s="176"/>
      <c r="X652" s="176"/>
      <c r="Y652" s="176"/>
      <c r="Z652" s="176"/>
      <c r="AA652" s="176"/>
    </row>
    <row r="653">
      <c r="A653" s="165" t="str">
        <f>iferror(VLOOKUP(P653,'DO NOT TOUCH Imported'!$A$1:$D$800,4,False),iferror(VLOOKUP(P653,'DO NOT TOUCH Imported'!$C$1:$D$800,2,False),"OOPS FIX ME"))</f>
        <v>freedumbs00</v>
      </c>
      <c r="B653" s="165" t="s">
        <v>441</v>
      </c>
      <c r="C653" s="170" t="s">
        <v>1369</v>
      </c>
      <c r="D653" s="236" t="s">
        <v>437</v>
      </c>
      <c r="E653" s="237">
        <v>44295.0</v>
      </c>
      <c r="F653" s="170" t="s">
        <v>439</v>
      </c>
      <c r="G653" s="219"/>
      <c r="H653" s="171">
        <v>100.0</v>
      </c>
      <c r="I653" s="171">
        <v>100.0</v>
      </c>
      <c r="J653" s="172">
        <f t="shared" si="24"/>
        <v>0.001436335405</v>
      </c>
      <c r="K653" s="173">
        <f t="shared" si="30"/>
        <v>1.651785716</v>
      </c>
      <c r="L653" s="174">
        <f t="shared" si="4"/>
        <v>5.810801582</v>
      </c>
      <c r="M653" s="175" t="str">
        <f t="shared" si="5"/>
        <v>freedumbs00</v>
      </c>
      <c r="N653" s="176">
        <f>IFERROR(__xludf.DUMMYFUNCTION("""COMPUTED_VALUE"""),23.0)</f>
        <v>23</v>
      </c>
      <c r="O653" s="176"/>
      <c r="P653" s="165" t="s">
        <v>1150</v>
      </c>
      <c r="Q653" s="165" t="s">
        <v>441</v>
      </c>
      <c r="R653" s="176"/>
      <c r="S653" s="176"/>
      <c r="T653" s="176"/>
      <c r="U653" s="176"/>
      <c r="V653" s="176"/>
      <c r="W653" s="176"/>
      <c r="X653" s="176"/>
      <c r="Y653" s="176"/>
      <c r="Z653" s="176"/>
      <c r="AA653" s="176"/>
    </row>
    <row r="654">
      <c r="A654" s="165" t="str">
        <f>iferror(VLOOKUP(P654,'DO NOT TOUCH Imported'!$A$1:$D$800,4,False),iferror(VLOOKUP(P654,'DO NOT TOUCH Imported'!$C$1:$D$800,2,False),"OOPS FIX ME"))</f>
        <v>freedumbs00</v>
      </c>
      <c r="B654" s="165" t="s">
        <v>441</v>
      </c>
      <c r="C654" s="170" t="s">
        <v>1487</v>
      </c>
      <c r="D654" s="236" t="s">
        <v>437</v>
      </c>
      <c r="E654" s="237">
        <v>44295.0</v>
      </c>
      <c r="F654" s="170" t="s">
        <v>439</v>
      </c>
      <c r="G654" s="219"/>
      <c r="H654" s="171">
        <v>100.0</v>
      </c>
      <c r="I654" s="171">
        <v>100.0</v>
      </c>
      <c r="J654" s="172">
        <f t="shared" si="24"/>
        <v>0.001436335405</v>
      </c>
      <c r="K654" s="173">
        <f t="shared" si="30"/>
        <v>1.651785716</v>
      </c>
      <c r="L654" s="174">
        <f t="shared" si="4"/>
        <v>5.810801582</v>
      </c>
      <c r="M654" s="175" t="str">
        <f t="shared" si="5"/>
        <v>freedumbs00</v>
      </c>
      <c r="N654" s="176">
        <f>IFERROR(__xludf.DUMMYFUNCTION("""COMPUTED_VALUE"""),24.0)</f>
        <v>24</v>
      </c>
      <c r="O654" s="176"/>
      <c r="P654" s="165" t="s">
        <v>1150</v>
      </c>
      <c r="Q654" s="165" t="s">
        <v>441</v>
      </c>
      <c r="R654" s="176"/>
      <c r="S654" s="176"/>
      <c r="T654" s="176"/>
      <c r="U654" s="176"/>
      <c r="V654" s="176"/>
      <c r="W654" s="176"/>
      <c r="X654" s="176"/>
      <c r="Y654" s="176"/>
      <c r="Z654" s="176"/>
      <c r="AA654" s="176"/>
    </row>
    <row r="655">
      <c r="A655" s="165" t="str">
        <f>iferror(VLOOKUP(P655,'DO NOT TOUCH Imported'!$A$1:$D$800,4,False),iferror(VLOOKUP(P655,'DO NOT TOUCH Imported'!$C$1:$D$800,2,False),"OOPS FIX ME"))</f>
        <v>freedumbs00</v>
      </c>
      <c r="B655" s="165" t="s">
        <v>441</v>
      </c>
      <c r="C655" s="170" t="s">
        <v>1488</v>
      </c>
      <c r="D655" s="236" t="s">
        <v>437</v>
      </c>
      <c r="E655" s="237">
        <v>44295.0</v>
      </c>
      <c r="F655" s="170" t="s">
        <v>439</v>
      </c>
      <c r="G655" s="219"/>
      <c r="H655" s="171">
        <v>100.0</v>
      </c>
      <c r="I655" s="171">
        <v>100.0</v>
      </c>
      <c r="J655" s="172">
        <f t="shared" si="24"/>
        <v>0.001436335405</v>
      </c>
      <c r="K655" s="173">
        <f t="shared" si="30"/>
        <v>1.651785716</v>
      </c>
      <c r="L655" s="174">
        <f t="shared" si="4"/>
        <v>5.810801582</v>
      </c>
      <c r="M655" s="175" t="str">
        <f t="shared" si="5"/>
        <v>freedumbs00</v>
      </c>
      <c r="N655" s="176">
        <f>IFERROR(__xludf.DUMMYFUNCTION("""COMPUTED_VALUE"""),25.0)</f>
        <v>25</v>
      </c>
      <c r="O655" s="176"/>
      <c r="P655" s="165" t="s">
        <v>1150</v>
      </c>
      <c r="Q655" s="165" t="s">
        <v>441</v>
      </c>
      <c r="R655" s="176"/>
      <c r="S655" s="176"/>
      <c r="T655" s="176"/>
      <c r="U655" s="176"/>
      <c r="V655" s="176"/>
      <c r="W655" s="176"/>
      <c r="X655" s="176"/>
      <c r="Y655" s="176"/>
      <c r="Z655" s="176"/>
      <c r="AA655" s="176"/>
    </row>
    <row r="656">
      <c r="A656" s="165" t="str">
        <f>iferror(VLOOKUP(P656,'DO NOT TOUCH Imported'!$A$1:$D$800,4,False),iferror(VLOOKUP(P656,'DO NOT TOUCH Imported'!$C$1:$D$800,2,False),"OOPS FIX ME"))</f>
        <v>freedumbs00</v>
      </c>
      <c r="B656" s="165" t="s">
        <v>441</v>
      </c>
      <c r="C656" s="170" t="s">
        <v>1264</v>
      </c>
      <c r="D656" s="236" t="s">
        <v>437</v>
      </c>
      <c r="E656" s="237">
        <v>44295.0</v>
      </c>
      <c r="F656" s="170" t="s">
        <v>439</v>
      </c>
      <c r="G656" s="219"/>
      <c r="H656" s="171">
        <v>100.0</v>
      </c>
      <c r="I656" s="171">
        <v>80.0</v>
      </c>
      <c r="J656" s="172">
        <f t="shared" si="24"/>
        <v>0.0012937024</v>
      </c>
      <c r="K656" s="173">
        <f t="shared" si="30"/>
        <v>1.48775776</v>
      </c>
      <c r="L656" s="174">
        <f t="shared" si="4"/>
        <v>5.810801582</v>
      </c>
      <c r="M656" s="175" t="str">
        <f t="shared" si="5"/>
        <v>freedumbs00</v>
      </c>
      <c r="N656" s="176">
        <f>IFERROR(__xludf.DUMMYFUNCTION("""COMPUTED_VALUE"""),26.0)</f>
        <v>26</v>
      </c>
      <c r="O656" s="176"/>
      <c r="P656" s="165" t="s">
        <v>1150</v>
      </c>
      <c r="Q656" s="165" t="s">
        <v>441</v>
      </c>
      <c r="R656" s="176"/>
      <c r="S656" s="176"/>
      <c r="T656" s="176"/>
      <c r="U656" s="176"/>
      <c r="V656" s="176"/>
      <c r="W656" s="176"/>
      <c r="X656" s="176"/>
      <c r="Y656" s="176"/>
      <c r="Z656" s="176"/>
      <c r="AA656" s="176"/>
    </row>
    <row r="657">
      <c r="A657" s="165" t="str">
        <f>iferror(VLOOKUP(P657,'DO NOT TOUCH Imported'!$A$1:$D$800,4,False),iferror(VLOOKUP(P657,'DO NOT TOUCH Imported'!$C$1:$D$800,2,False),"OOPS FIX ME"))</f>
        <v>freedumbs00</v>
      </c>
      <c r="B657" s="165" t="s">
        <v>441</v>
      </c>
      <c r="C657" s="170" t="s">
        <v>1436</v>
      </c>
      <c r="D657" s="236" t="s">
        <v>437</v>
      </c>
      <c r="E657" s="237">
        <v>44295.0</v>
      </c>
      <c r="F657" s="170" t="s">
        <v>439</v>
      </c>
      <c r="G657" s="219"/>
      <c r="H657" s="171">
        <v>70.0</v>
      </c>
      <c r="I657" s="171">
        <v>80.0</v>
      </c>
      <c r="J657" s="172">
        <f t="shared" si="24"/>
        <v>0.001076751286</v>
      </c>
      <c r="K657" s="173">
        <f t="shared" si="30"/>
        <v>1.238263979</v>
      </c>
      <c r="L657" s="174">
        <f t="shared" si="4"/>
        <v>5.810801582</v>
      </c>
      <c r="M657" s="175" t="str">
        <f t="shared" si="5"/>
        <v>freedumbs00</v>
      </c>
      <c r="N657" s="176">
        <f>IFERROR(__xludf.DUMMYFUNCTION("""COMPUTED_VALUE"""),27.0)</f>
        <v>27</v>
      </c>
      <c r="O657" s="176"/>
      <c r="P657" s="165" t="s">
        <v>1150</v>
      </c>
      <c r="Q657" s="165" t="s">
        <v>441</v>
      </c>
      <c r="R657" s="176"/>
      <c r="S657" s="176"/>
      <c r="T657" s="176"/>
      <c r="U657" s="176"/>
      <c r="V657" s="176"/>
      <c r="W657" s="176"/>
      <c r="X657" s="176"/>
      <c r="Y657" s="176"/>
      <c r="Z657" s="176"/>
      <c r="AA657" s="176"/>
    </row>
    <row r="658">
      <c r="A658" s="165" t="str">
        <f>iferror(VLOOKUP(P658,'DO NOT TOUCH Imported'!$A$1:$D$800,4,False),iferror(VLOOKUP(P658,'DO NOT TOUCH Imported'!$C$1:$D$800,2,False),"OOPS FIX ME"))</f>
        <v>freedumbs00</v>
      </c>
      <c r="B658" s="165" t="s">
        <v>441</v>
      </c>
      <c r="C658" s="170" t="s">
        <v>1267</v>
      </c>
      <c r="D658" s="236" t="s">
        <v>437</v>
      </c>
      <c r="E658" s="237">
        <v>44295.0</v>
      </c>
      <c r="F658" s="170" t="s">
        <v>439</v>
      </c>
      <c r="G658" s="219"/>
      <c r="H658" s="171">
        <v>50.0</v>
      </c>
      <c r="I658" s="171">
        <v>50.0</v>
      </c>
      <c r="J658" s="172">
        <f t="shared" si="24"/>
        <v>0.0007181677027</v>
      </c>
      <c r="K658" s="173">
        <f t="shared" si="30"/>
        <v>0.8258928581</v>
      </c>
      <c r="L658" s="174">
        <f t="shared" si="4"/>
        <v>5.810801582</v>
      </c>
      <c r="M658" s="175" t="str">
        <f t="shared" si="5"/>
        <v>freedumbs00</v>
      </c>
      <c r="N658" s="176">
        <f>IFERROR(__xludf.DUMMYFUNCTION("""COMPUTED_VALUE"""),28.0)</f>
        <v>28</v>
      </c>
      <c r="O658" s="176"/>
      <c r="P658" s="165" t="s">
        <v>1150</v>
      </c>
      <c r="Q658" s="165" t="s">
        <v>441</v>
      </c>
      <c r="R658" s="176"/>
      <c r="S658" s="176"/>
      <c r="T658" s="176"/>
      <c r="U658" s="176"/>
      <c r="V658" s="176"/>
      <c r="W658" s="176"/>
      <c r="X658" s="176"/>
      <c r="Y658" s="176"/>
      <c r="Z658" s="176"/>
      <c r="AA658" s="176"/>
    </row>
    <row r="659">
      <c r="A659" s="165" t="str">
        <f>iferror(VLOOKUP(P659,'DO NOT TOUCH Imported'!$A$1:$D$800,4,False),iferror(VLOOKUP(P659,'DO NOT TOUCH Imported'!$C$1:$D$800,2,False),"OOPS FIX ME"))</f>
        <v>freedumbs00</v>
      </c>
      <c r="B659" s="165" t="s">
        <v>45</v>
      </c>
      <c r="C659" s="170" t="s">
        <v>1489</v>
      </c>
      <c r="D659" s="236" t="s">
        <v>437</v>
      </c>
      <c r="E659" s="237">
        <v>44295.0</v>
      </c>
      <c r="F659" s="170" t="s">
        <v>439</v>
      </c>
      <c r="G659" s="219"/>
      <c r="H659" s="171">
        <v>100.0</v>
      </c>
      <c r="I659" s="171">
        <v>100.0</v>
      </c>
      <c r="J659" s="172">
        <f t="shared" si="24"/>
        <v>0.001436335405</v>
      </c>
      <c r="K659" s="173">
        <f t="shared" si="30"/>
        <v>1.651785716</v>
      </c>
      <c r="L659" s="174">
        <f t="shared" si="4"/>
        <v>5.810801582</v>
      </c>
      <c r="M659" s="175" t="str">
        <f t="shared" si="5"/>
        <v>freedumbs00</v>
      </c>
      <c r="N659" s="176">
        <f>IFERROR(__xludf.DUMMYFUNCTION("""COMPUTED_VALUE"""),29.0)</f>
        <v>29</v>
      </c>
      <c r="O659" s="176"/>
      <c r="P659" s="165" t="s">
        <v>1150</v>
      </c>
      <c r="Q659" s="165" t="s">
        <v>45</v>
      </c>
      <c r="R659" s="176"/>
      <c r="S659" s="176"/>
      <c r="T659" s="176"/>
      <c r="U659" s="176"/>
      <c r="V659" s="176"/>
      <c r="W659" s="176"/>
      <c r="X659" s="176"/>
      <c r="Y659" s="176"/>
      <c r="Z659" s="176"/>
      <c r="AA659" s="176"/>
    </row>
    <row r="660">
      <c r="A660" s="185" t="str">
        <f>iferror(VLOOKUP(P660,'DO NOT TOUCH Imported'!$A$1:$D$800,4,False),iferror(VLOOKUP(P660,'DO NOT TOUCH Imported'!$C$1:$D$800,2,False),"OOPS FIX ME"))</f>
        <v>paulo_c2d</v>
      </c>
      <c r="B660" s="185" t="s">
        <v>534</v>
      </c>
      <c r="C660" s="210" t="s">
        <v>655</v>
      </c>
      <c r="D660" s="187"/>
      <c r="E660" s="188"/>
      <c r="F660" s="189"/>
      <c r="G660" s="190"/>
      <c r="H660" s="190"/>
      <c r="I660" s="190"/>
      <c r="J660" s="172">
        <f t="shared" si="24"/>
        <v>0</v>
      </c>
      <c r="K660" s="192">
        <f>38.688*-0.85</f>
        <v>-32.8848</v>
      </c>
      <c r="L660" s="193">
        <f t="shared" si="4"/>
        <v>5.803390284</v>
      </c>
      <c r="M660" s="194" t="str">
        <f t="shared" si="5"/>
        <v>paulo_c2d</v>
      </c>
      <c r="N660" s="195">
        <f>IFERROR(__xludf.DUMMYFUNCTION("""COMPUTED_VALUE"""),1.0)</f>
        <v>1</v>
      </c>
      <c r="O660" s="195"/>
      <c r="P660" s="185" t="s">
        <v>30</v>
      </c>
      <c r="Q660" s="185" t="s">
        <v>534</v>
      </c>
      <c r="R660" s="195">
        <v>51.99833903635589</v>
      </c>
      <c r="S660" s="195"/>
      <c r="T660" s="195"/>
      <c r="U660" s="195"/>
      <c r="V660" s="195"/>
      <c r="W660" s="195"/>
      <c r="X660" s="195"/>
      <c r="Y660" s="195"/>
      <c r="Z660" s="195"/>
      <c r="AA660" s="176"/>
    </row>
    <row r="661">
      <c r="A661" s="165" t="str">
        <f>iferror(VLOOKUP(P661,'DO NOT TOUCH Imported'!$A$1:$D$800,4,False),iferror(VLOOKUP(P661,'DO NOT TOUCH Imported'!$C$1:$D$800,2,False),"OOPS FIX ME"))</f>
        <v>paulo_c2d</v>
      </c>
      <c r="B661" s="165" t="s">
        <v>10</v>
      </c>
      <c r="C661" s="170" t="s">
        <v>1357</v>
      </c>
      <c r="D661" s="236" t="s">
        <v>495</v>
      </c>
      <c r="E661" s="239">
        <v>44288.0</v>
      </c>
      <c r="F661" s="170" t="s">
        <v>496</v>
      </c>
      <c r="G661" s="219"/>
      <c r="H661" s="171">
        <v>60.0</v>
      </c>
      <c r="I661" s="171">
        <v>80.0</v>
      </c>
      <c r="J661" s="172">
        <f t="shared" si="24"/>
        <v>0.001004434248</v>
      </c>
      <c r="K661" s="173">
        <f t="shared" ref="K661:K676" si="31">J661*$J$1</f>
        <v>1.155099386</v>
      </c>
      <c r="L661" s="174">
        <f t="shared" si="4"/>
        <v>5.803390284</v>
      </c>
      <c r="M661" s="175" t="str">
        <f t="shared" si="5"/>
        <v>paulo_c2d</v>
      </c>
      <c r="N661" s="176">
        <f>IFERROR(__xludf.DUMMYFUNCTION("""COMPUTED_VALUE"""),2.0)</f>
        <v>2</v>
      </c>
      <c r="O661" s="176"/>
      <c r="P661" s="165" t="s">
        <v>30</v>
      </c>
      <c r="Q661" s="165" t="s">
        <v>10</v>
      </c>
      <c r="R661" s="176"/>
      <c r="S661" s="176"/>
      <c r="T661" s="176"/>
      <c r="U661" s="176"/>
      <c r="V661" s="176"/>
      <c r="W661" s="176"/>
      <c r="X661" s="176"/>
      <c r="Y661" s="176"/>
      <c r="Z661" s="176"/>
      <c r="AA661" s="176"/>
    </row>
    <row r="662">
      <c r="A662" s="165" t="str">
        <f>iferror(VLOOKUP(P662,'DO NOT TOUCH Imported'!$A$1:$D$800,4,False),iferror(VLOOKUP(P662,'DO NOT TOUCH Imported'!$C$1:$D$800,2,False),"OOPS FIX ME"))</f>
        <v>paulo_c2d</v>
      </c>
      <c r="B662" s="165" t="s">
        <v>30</v>
      </c>
      <c r="C662" s="170" t="s">
        <v>1490</v>
      </c>
      <c r="D662" s="236" t="s">
        <v>495</v>
      </c>
      <c r="E662" s="239">
        <v>44291.0</v>
      </c>
      <c r="F662" s="170" t="s">
        <v>627</v>
      </c>
      <c r="G662" s="219"/>
      <c r="H662" s="171">
        <v>300.0</v>
      </c>
      <c r="I662" s="171">
        <v>350.0</v>
      </c>
      <c r="J662" s="172">
        <f t="shared" si="24"/>
        <v>0.004665588729</v>
      </c>
      <c r="K662" s="173">
        <f t="shared" si="31"/>
        <v>5.365427039</v>
      </c>
      <c r="L662" s="174">
        <f t="shared" si="4"/>
        <v>5.803390284</v>
      </c>
      <c r="M662" s="175" t="str">
        <f t="shared" si="5"/>
        <v>paulo_c2d</v>
      </c>
      <c r="N662" s="176">
        <f>IFERROR(__xludf.DUMMYFUNCTION("""COMPUTED_VALUE"""),3.0)</f>
        <v>3</v>
      </c>
      <c r="O662" s="176"/>
      <c r="P662" s="165" t="s">
        <v>30</v>
      </c>
      <c r="Q662" s="165" t="s">
        <v>30</v>
      </c>
      <c r="R662" s="176"/>
      <c r="S662" s="176"/>
      <c r="T662" s="176"/>
      <c r="U662" s="176"/>
      <c r="V662" s="176"/>
      <c r="W662" s="176"/>
      <c r="X662" s="176"/>
      <c r="Y662" s="176"/>
      <c r="Z662" s="176"/>
      <c r="AA662" s="176"/>
    </row>
    <row r="663">
      <c r="A663" s="165" t="str">
        <f>iferror(VLOOKUP(P663,'DO NOT TOUCH Imported'!$A$1:$D$800,4,False),iferror(VLOOKUP(P663,'DO NOT TOUCH Imported'!$C$1:$D$800,2,False),"OOPS FIX ME"))</f>
        <v>paulo_c2d</v>
      </c>
      <c r="B663" s="165" t="s">
        <v>30</v>
      </c>
      <c r="C663" s="170" t="s">
        <v>1491</v>
      </c>
      <c r="D663" s="236" t="s">
        <v>495</v>
      </c>
      <c r="E663" s="239">
        <v>44291.0</v>
      </c>
      <c r="F663" s="170" t="s">
        <v>627</v>
      </c>
      <c r="G663" s="219"/>
      <c r="H663" s="171">
        <v>400.0</v>
      </c>
      <c r="I663" s="171">
        <v>500.0</v>
      </c>
      <c r="J663" s="172">
        <f t="shared" si="24"/>
        <v>0.006458506648</v>
      </c>
      <c r="K663" s="173">
        <f t="shared" si="31"/>
        <v>7.427282645</v>
      </c>
      <c r="L663" s="174">
        <f t="shared" si="4"/>
        <v>5.803390284</v>
      </c>
      <c r="M663" s="175" t="str">
        <f t="shared" si="5"/>
        <v>paulo_c2d</v>
      </c>
      <c r="N663" s="176">
        <f>IFERROR(__xludf.DUMMYFUNCTION("""COMPUTED_VALUE"""),4.0)</f>
        <v>4</v>
      </c>
      <c r="O663" s="176"/>
      <c r="P663" s="165" t="s">
        <v>30</v>
      </c>
      <c r="Q663" s="165" t="s">
        <v>30</v>
      </c>
      <c r="R663" s="176"/>
      <c r="S663" s="176"/>
      <c r="T663" s="176"/>
      <c r="U663" s="176"/>
      <c r="V663" s="176"/>
      <c r="W663" s="176"/>
      <c r="X663" s="176"/>
      <c r="Y663" s="176"/>
      <c r="Z663" s="176"/>
      <c r="AA663" s="176"/>
    </row>
    <row r="664">
      <c r="A664" s="165" t="str">
        <f>iferror(VLOOKUP(P664,'DO NOT TOUCH Imported'!$A$1:$D$800,4,False),iferror(VLOOKUP(P664,'DO NOT TOUCH Imported'!$C$1:$D$800,2,False),"OOPS FIX ME"))</f>
        <v>paulo_c2d</v>
      </c>
      <c r="B664" s="165" t="s">
        <v>30</v>
      </c>
      <c r="C664" s="170" t="s">
        <v>1492</v>
      </c>
      <c r="D664" s="236" t="s">
        <v>495</v>
      </c>
      <c r="E664" s="239">
        <v>44291.0</v>
      </c>
      <c r="F664" s="170" t="s">
        <v>627</v>
      </c>
      <c r="G664" s="219"/>
      <c r="H664" s="171">
        <v>400.0</v>
      </c>
      <c r="I664" s="171">
        <v>250.0</v>
      </c>
      <c r="J664" s="172">
        <f t="shared" si="24"/>
        <v>0.004675594082</v>
      </c>
      <c r="K664" s="173">
        <f t="shared" si="31"/>
        <v>5.376933194</v>
      </c>
      <c r="L664" s="174">
        <f t="shared" si="4"/>
        <v>5.803390284</v>
      </c>
      <c r="M664" s="175" t="str">
        <f t="shared" si="5"/>
        <v>paulo_c2d</v>
      </c>
      <c r="N664" s="176">
        <f>IFERROR(__xludf.DUMMYFUNCTION("""COMPUTED_VALUE"""),5.0)</f>
        <v>5</v>
      </c>
      <c r="O664" s="176"/>
      <c r="P664" s="165" t="s">
        <v>30</v>
      </c>
      <c r="Q664" s="165" t="s">
        <v>30</v>
      </c>
      <c r="R664" s="176"/>
      <c r="S664" s="176"/>
      <c r="T664" s="176"/>
      <c r="U664" s="176"/>
      <c r="V664" s="176"/>
      <c r="W664" s="176"/>
      <c r="X664" s="176"/>
      <c r="Y664" s="176"/>
      <c r="Z664" s="176"/>
      <c r="AA664" s="176"/>
    </row>
    <row r="665">
      <c r="A665" s="165" t="str">
        <f>iferror(VLOOKUP(P665,'DO NOT TOUCH Imported'!$A$1:$D$800,4,False),iferror(VLOOKUP(P665,'DO NOT TOUCH Imported'!$C$1:$D$800,2,False),"OOPS FIX ME"))</f>
        <v>paulo_c2d</v>
      </c>
      <c r="B665" s="165" t="s">
        <v>10</v>
      </c>
      <c r="C665" s="170" t="s">
        <v>1358</v>
      </c>
      <c r="D665" s="236" t="s">
        <v>495</v>
      </c>
      <c r="E665" s="239">
        <v>44295.0</v>
      </c>
      <c r="F665" s="170" t="s">
        <v>496</v>
      </c>
      <c r="G665" s="219"/>
      <c r="H665" s="171">
        <v>100.0</v>
      </c>
      <c r="I665" s="171">
        <v>75.0</v>
      </c>
      <c r="J665" s="172">
        <f t="shared" si="24"/>
        <v>0.001258044149</v>
      </c>
      <c r="K665" s="173">
        <f t="shared" si="31"/>
        <v>1.446750771</v>
      </c>
      <c r="L665" s="174">
        <f t="shared" si="4"/>
        <v>5.803390284</v>
      </c>
      <c r="M665" s="175" t="str">
        <f t="shared" si="5"/>
        <v>paulo_c2d</v>
      </c>
      <c r="N665" s="176">
        <f>IFERROR(__xludf.DUMMYFUNCTION("""COMPUTED_VALUE"""),6.0)</f>
        <v>6</v>
      </c>
      <c r="O665" s="176"/>
      <c r="P665" s="165" t="s">
        <v>30</v>
      </c>
      <c r="Q665" s="165" t="s">
        <v>10</v>
      </c>
      <c r="R665" s="176"/>
      <c r="S665" s="176"/>
      <c r="T665" s="176"/>
      <c r="U665" s="176"/>
      <c r="V665" s="176"/>
      <c r="W665" s="176"/>
      <c r="X665" s="176"/>
      <c r="Y665" s="176"/>
      <c r="Z665" s="176"/>
      <c r="AA665" s="176"/>
    </row>
    <row r="666">
      <c r="A666" s="165" t="str">
        <f>iferror(VLOOKUP(P666,'DO NOT TOUCH Imported'!$A$1:$D$800,4,False),iferror(VLOOKUP(P666,'DO NOT TOUCH Imported'!$C$1:$D$800,2,False),"OOPS FIX ME"))</f>
        <v>paulo_c2d</v>
      </c>
      <c r="B666" s="165" t="s">
        <v>30</v>
      </c>
      <c r="C666" s="170" t="s">
        <v>1493</v>
      </c>
      <c r="D666" s="236" t="s">
        <v>495</v>
      </c>
      <c r="E666" s="239">
        <v>44295.0</v>
      </c>
      <c r="F666" s="170" t="s">
        <v>627</v>
      </c>
      <c r="G666" s="219"/>
      <c r="H666" s="171">
        <v>200.0</v>
      </c>
      <c r="I666" s="171">
        <v>250.0</v>
      </c>
      <c r="J666" s="172">
        <f t="shared" si="24"/>
        <v>0.003229253324</v>
      </c>
      <c r="K666" s="173">
        <f t="shared" si="31"/>
        <v>3.713641322</v>
      </c>
      <c r="L666" s="174">
        <f t="shared" si="4"/>
        <v>5.803390284</v>
      </c>
      <c r="M666" s="175" t="str">
        <f t="shared" si="5"/>
        <v>paulo_c2d</v>
      </c>
      <c r="N666" s="176">
        <f>IFERROR(__xludf.DUMMYFUNCTION("""COMPUTED_VALUE"""),7.0)</f>
        <v>7</v>
      </c>
      <c r="O666" s="176"/>
      <c r="P666" s="165" t="s">
        <v>30</v>
      </c>
      <c r="Q666" s="165" t="s">
        <v>30</v>
      </c>
      <c r="R666" s="176"/>
      <c r="S666" s="176"/>
      <c r="T666" s="176"/>
      <c r="U666" s="176"/>
      <c r="V666" s="176"/>
      <c r="W666" s="176"/>
      <c r="X666" s="176"/>
      <c r="Y666" s="176"/>
      <c r="Z666" s="176"/>
      <c r="AA666" s="176"/>
    </row>
    <row r="667">
      <c r="A667" s="165" t="str">
        <f>iferror(VLOOKUP(P667,'DO NOT TOUCH Imported'!$A$1:$D$800,4,False),iferror(VLOOKUP(P667,'DO NOT TOUCH Imported'!$C$1:$D$800,2,False),"OOPS FIX ME"))</f>
        <v>paulo_c2d</v>
      </c>
      <c r="B667" s="165" t="s">
        <v>441</v>
      </c>
      <c r="C667" s="170" t="s">
        <v>1406</v>
      </c>
      <c r="D667" s="236" t="s">
        <v>437</v>
      </c>
      <c r="E667" s="237">
        <v>44288.0</v>
      </c>
      <c r="F667" s="170" t="s">
        <v>439</v>
      </c>
      <c r="G667" s="219"/>
      <c r="H667" s="171">
        <v>100.0</v>
      </c>
      <c r="I667" s="171">
        <v>150.0</v>
      </c>
      <c r="J667" s="172">
        <f t="shared" si="24"/>
        <v>0.001792917919</v>
      </c>
      <c r="K667" s="173">
        <f t="shared" si="31"/>
        <v>2.061855606</v>
      </c>
      <c r="L667" s="174">
        <f t="shared" si="4"/>
        <v>5.803390284</v>
      </c>
      <c r="M667" s="175" t="str">
        <f t="shared" si="5"/>
        <v>paulo_c2d</v>
      </c>
      <c r="N667" s="176">
        <f>IFERROR(__xludf.DUMMYFUNCTION("""COMPUTED_VALUE"""),8.0)</f>
        <v>8</v>
      </c>
      <c r="O667" s="176"/>
      <c r="P667" s="165" t="s">
        <v>651</v>
      </c>
      <c r="Q667" s="165" t="s">
        <v>441</v>
      </c>
      <c r="R667" s="176"/>
      <c r="S667" s="176"/>
      <c r="T667" s="176"/>
      <c r="U667" s="176"/>
      <c r="V667" s="176"/>
      <c r="W667" s="176"/>
      <c r="X667" s="176"/>
      <c r="Y667" s="176"/>
      <c r="Z667" s="176"/>
      <c r="AA667" s="176"/>
    </row>
    <row r="668">
      <c r="A668" s="165" t="str">
        <f>iferror(VLOOKUP(P668,'DO NOT TOUCH Imported'!$A$1:$D$800,4,False),iferror(VLOOKUP(P668,'DO NOT TOUCH Imported'!$C$1:$D$800,2,False),"OOPS FIX ME"))</f>
        <v>paulo_c2d</v>
      </c>
      <c r="B668" s="165" t="s">
        <v>441</v>
      </c>
      <c r="C668" s="170" t="s">
        <v>1494</v>
      </c>
      <c r="D668" s="236" t="s">
        <v>437</v>
      </c>
      <c r="E668" s="237">
        <v>44288.0</v>
      </c>
      <c r="F668" s="170" t="s">
        <v>439</v>
      </c>
      <c r="G668" s="219"/>
      <c r="H668" s="171">
        <v>100.0</v>
      </c>
      <c r="I668" s="171">
        <v>100.0</v>
      </c>
      <c r="J668" s="172">
        <f t="shared" si="24"/>
        <v>0.001436335405</v>
      </c>
      <c r="K668" s="173">
        <f t="shared" si="31"/>
        <v>1.651785716</v>
      </c>
      <c r="L668" s="174">
        <f t="shared" si="4"/>
        <v>5.803390284</v>
      </c>
      <c r="M668" s="175" t="str">
        <f t="shared" si="5"/>
        <v>paulo_c2d</v>
      </c>
      <c r="N668" s="176">
        <f>IFERROR(__xludf.DUMMYFUNCTION("""COMPUTED_VALUE"""),9.0)</f>
        <v>9</v>
      </c>
      <c r="O668" s="176"/>
      <c r="P668" s="165" t="s">
        <v>651</v>
      </c>
      <c r="Q668" s="165" t="s">
        <v>441</v>
      </c>
      <c r="R668" s="176"/>
      <c r="S668" s="176"/>
      <c r="T668" s="176"/>
      <c r="U668" s="176"/>
      <c r="V668" s="176"/>
      <c r="W668" s="176"/>
      <c r="X668" s="176"/>
      <c r="Y668" s="176"/>
      <c r="Z668" s="176"/>
      <c r="AA668" s="176"/>
    </row>
    <row r="669">
      <c r="A669" s="165" t="str">
        <f>iferror(VLOOKUP(P669,'DO NOT TOUCH Imported'!$A$1:$D$800,4,False),iferror(VLOOKUP(P669,'DO NOT TOUCH Imported'!$C$1:$D$800,2,False),"OOPS FIX ME"))</f>
        <v>paulo_c2d</v>
      </c>
      <c r="B669" s="165" t="s">
        <v>441</v>
      </c>
      <c r="C669" s="170" t="s">
        <v>1250</v>
      </c>
      <c r="D669" s="236" t="s">
        <v>437</v>
      </c>
      <c r="E669" s="237">
        <v>44288.0</v>
      </c>
      <c r="F669" s="170" t="s">
        <v>439</v>
      </c>
      <c r="G669" s="219"/>
      <c r="H669" s="171">
        <v>40.0</v>
      </c>
      <c r="I669" s="171">
        <v>50.0</v>
      </c>
      <c r="J669" s="172">
        <f t="shared" si="24"/>
        <v>0.0006458506648</v>
      </c>
      <c r="K669" s="173">
        <f t="shared" si="31"/>
        <v>0.7427282645</v>
      </c>
      <c r="L669" s="174">
        <f t="shared" si="4"/>
        <v>5.803390284</v>
      </c>
      <c r="M669" s="175" t="str">
        <f t="shared" si="5"/>
        <v>paulo_c2d</v>
      </c>
      <c r="N669" s="176">
        <f>IFERROR(__xludf.DUMMYFUNCTION("""COMPUTED_VALUE"""),10.0)</f>
        <v>10</v>
      </c>
      <c r="O669" s="176"/>
      <c r="P669" s="165" t="s">
        <v>651</v>
      </c>
      <c r="Q669" s="165" t="s">
        <v>441</v>
      </c>
      <c r="R669" s="176"/>
      <c r="S669" s="176"/>
      <c r="T669" s="176"/>
      <c r="U669" s="176"/>
      <c r="V669" s="176"/>
      <c r="W669" s="176"/>
      <c r="X669" s="176"/>
      <c r="Y669" s="176"/>
      <c r="Z669" s="176"/>
      <c r="AA669" s="176"/>
    </row>
    <row r="670">
      <c r="A670" s="165" t="str">
        <f>iferror(VLOOKUP(P670,'DO NOT TOUCH Imported'!$A$1:$D$800,4,False),iferror(VLOOKUP(P670,'DO NOT TOUCH Imported'!$C$1:$D$800,2,False),"OOPS FIX ME"))</f>
        <v>paulo_c2d</v>
      </c>
      <c r="B670" s="165" t="s">
        <v>483</v>
      </c>
      <c r="C670" s="170" t="s">
        <v>1410</v>
      </c>
      <c r="D670" s="236" t="s">
        <v>437</v>
      </c>
      <c r="E670" s="237">
        <v>44288.0</v>
      </c>
      <c r="F670" s="170" t="s">
        <v>439</v>
      </c>
      <c r="G670" s="219"/>
      <c r="H670" s="171">
        <v>100.0</v>
      </c>
      <c r="I670" s="171">
        <v>100.0</v>
      </c>
      <c r="J670" s="172">
        <f t="shared" si="24"/>
        <v>0.001436335405</v>
      </c>
      <c r="K670" s="173">
        <f t="shared" si="31"/>
        <v>1.651785716</v>
      </c>
      <c r="L670" s="174">
        <f t="shared" si="4"/>
        <v>5.803390284</v>
      </c>
      <c r="M670" s="175" t="str">
        <f t="shared" si="5"/>
        <v>paulo_c2d</v>
      </c>
      <c r="N670" s="176">
        <f>IFERROR(__xludf.DUMMYFUNCTION("""COMPUTED_VALUE"""),11.0)</f>
        <v>11</v>
      </c>
      <c r="O670" s="176"/>
      <c r="P670" s="165" t="s">
        <v>651</v>
      </c>
      <c r="Q670" s="165" t="s">
        <v>483</v>
      </c>
      <c r="R670" s="176"/>
      <c r="S670" s="176"/>
      <c r="T670" s="176"/>
      <c r="U670" s="176"/>
      <c r="V670" s="176"/>
      <c r="W670" s="176"/>
      <c r="X670" s="176"/>
      <c r="Y670" s="176"/>
      <c r="Z670" s="176"/>
      <c r="AA670" s="176"/>
    </row>
    <row r="671">
      <c r="A671" s="165" t="str">
        <f>iferror(VLOOKUP(P671,'DO NOT TOUCH Imported'!$A$1:$D$800,4,False),iferror(VLOOKUP(P671,'DO NOT TOUCH Imported'!$C$1:$D$800,2,False),"OOPS FIX ME"))</f>
        <v>paulo_c2d</v>
      </c>
      <c r="B671" s="165" t="s">
        <v>440</v>
      </c>
      <c r="C671" s="170" t="s">
        <v>1253</v>
      </c>
      <c r="D671" s="236" t="s">
        <v>437</v>
      </c>
      <c r="E671" s="237">
        <v>44291.0</v>
      </c>
      <c r="F671" s="170" t="s">
        <v>439</v>
      </c>
      <c r="G671" s="219"/>
      <c r="H671" s="171">
        <v>50.0</v>
      </c>
      <c r="I671" s="171">
        <v>50.0</v>
      </c>
      <c r="J671" s="172">
        <f t="shared" si="24"/>
        <v>0.0007181677027</v>
      </c>
      <c r="K671" s="173">
        <f t="shared" si="31"/>
        <v>0.8258928581</v>
      </c>
      <c r="L671" s="174">
        <f t="shared" si="4"/>
        <v>5.803390284</v>
      </c>
      <c r="M671" s="175" t="str">
        <f t="shared" si="5"/>
        <v>paulo_c2d</v>
      </c>
      <c r="N671" s="176">
        <f>IFERROR(__xludf.DUMMYFUNCTION("""COMPUTED_VALUE"""),12.0)</f>
        <v>12</v>
      </c>
      <c r="O671" s="176"/>
      <c r="P671" s="165" t="s">
        <v>651</v>
      </c>
      <c r="Q671" s="165" t="s">
        <v>440</v>
      </c>
      <c r="R671" s="176"/>
      <c r="S671" s="176"/>
      <c r="T671" s="176"/>
      <c r="U671" s="176"/>
      <c r="V671" s="176"/>
      <c r="W671" s="176"/>
      <c r="X671" s="176"/>
      <c r="Y671" s="176"/>
      <c r="Z671" s="176"/>
      <c r="AA671" s="176"/>
    </row>
    <row r="672">
      <c r="A672" s="165" t="str">
        <f>iferror(VLOOKUP(P672,'DO NOT TOUCH Imported'!$A$1:$D$800,4,False),iferror(VLOOKUP(P672,'DO NOT TOUCH Imported'!$C$1:$D$800,2,False),"OOPS FIX ME"))</f>
        <v>paulo_c2d</v>
      </c>
      <c r="B672" s="165" t="s">
        <v>441</v>
      </c>
      <c r="C672" s="170" t="s">
        <v>1411</v>
      </c>
      <c r="D672" s="236" t="s">
        <v>437</v>
      </c>
      <c r="E672" s="237">
        <v>44295.0</v>
      </c>
      <c r="F672" s="170" t="s">
        <v>439</v>
      </c>
      <c r="G672" s="219"/>
      <c r="H672" s="171">
        <v>100.0</v>
      </c>
      <c r="I672" s="171">
        <v>100.0</v>
      </c>
      <c r="J672" s="172">
        <f t="shared" si="24"/>
        <v>0.001436335405</v>
      </c>
      <c r="K672" s="173">
        <f t="shared" si="31"/>
        <v>1.651785716</v>
      </c>
      <c r="L672" s="174">
        <f t="shared" si="4"/>
        <v>5.803390284</v>
      </c>
      <c r="M672" s="175" t="str">
        <f t="shared" si="5"/>
        <v>paulo_c2d</v>
      </c>
      <c r="N672" s="176">
        <f>IFERROR(__xludf.DUMMYFUNCTION("""COMPUTED_VALUE"""),13.0)</f>
        <v>13</v>
      </c>
      <c r="O672" s="176"/>
      <c r="P672" s="165" t="s">
        <v>651</v>
      </c>
      <c r="Q672" s="165" t="s">
        <v>441</v>
      </c>
      <c r="R672" s="176"/>
      <c r="S672" s="176"/>
      <c r="T672" s="176"/>
      <c r="U672" s="176"/>
      <c r="V672" s="176"/>
      <c r="W672" s="176"/>
      <c r="X672" s="176"/>
      <c r="Y672" s="176"/>
      <c r="Z672" s="176"/>
      <c r="AA672" s="176"/>
    </row>
    <row r="673">
      <c r="A673" s="165" t="str">
        <f>iferror(VLOOKUP(P673,'DO NOT TOUCH Imported'!$A$1:$D$800,4,False),iferror(VLOOKUP(P673,'DO NOT TOUCH Imported'!$C$1:$D$800,2,False),"OOPS FIX ME"))</f>
        <v>paulo_c2d</v>
      </c>
      <c r="B673" s="165" t="s">
        <v>441</v>
      </c>
      <c r="C673" s="170" t="s">
        <v>1412</v>
      </c>
      <c r="D673" s="236" t="s">
        <v>437</v>
      </c>
      <c r="E673" s="237">
        <v>44295.0</v>
      </c>
      <c r="F673" s="170" t="s">
        <v>439</v>
      </c>
      <c r="G673" s="219"/>
      <c r="H673" s="171">
        <v>100.0</v>
      </c>
      <c r="I673" s="171">
        <v>100.0</v>
      </c>
      <c r="J673" s="172">
        <f t="shared" si="24"/>
        <v>0.001436335405</v>
      </c>
      <c r="K673" s="173">
        <f t="shared" si="31"/>
        <v>1.651785716</v>
      </c>
      <c r="L673" s="174">
        <f t="shared" si="4"/>
        <v>5.803390284</v>
      </c>
      <c r="M673" s="175" t="str">
        <f t="shared" si="5"/>
        <v>paulo_c2d</v>
      </c>
      <c r="N673" s="176">
        <f>IFERROR(__xludf.DUMMYFUNCTION("""COMPUTED_VALUE"""),14.0)</f>
        <v>14</v>
      </c>
      <c r="O673" s="176"/>
      <c r="P673" s="165" t="s">
        <v>651</v>
      </c>
      <c r="Q673" s="165" t="s">
        <v>441</v>
      </c>
      <c r="R673" s="176"/>
      <c r="S673" s="176"/>
      <c r="T673" s="176"/>
      <c r="U673" s="176"/>
      <c r="V673" s="176"/>
      <c r="W673" s="176"/>
      <c r="X673" s="176"/>
      <c r="Y673" s="176"/>
      <c r="Z673" s="176"/>
      <c r="AA673" s="176"/>
    </row>
    <row r="674">
      <c r="A674" s="165" t="str">
        <f>iferror(VLOOKUP(P674,'DO NOT TOUCH Imported'!$A$1:$D$800,4,False),iferror(VLOOKUP(P674,'DO NOT TOUCH Imported'!$C$1:$D$800,2,False),"OOPS FIX ME"))</f>
        <v>paulo_c2d</v>
      </c>
      <c r="B674" s="165" t="s">
        <v>441</v>
      </c>
      <c r="C674" s="170" t="s">
        <v>1264</v>
      </c>
      <c r="D674" s="236" t="s">
        <v>437</v>
      </c>
      <c r="E674" s="237">
        <v>44295.0</v>
      </c>
      <c r="F674" s="170" t="s">
        <v>439</v>
      </c>
      <c r="G674" s="219"/>
      <c r="H674" s="171">
        <v>100.0</v>
      </c>
      <c r="I674" s="171">
        <v>80.0</v>
      </c>
      <c r="J674" s="172">
        <f t="shared" si="24"/>
        <v>0.0012937024</v>
      </c>
      <c r="K674" s="173">
        <f t="shared" si="31"/>
        <v>1.48775776</v>
      </c>
      <c r="L674" s="174">
        <f t="shared" si="4"/>
        <v>5.803390284</v>
      </c>
      <c r="M674" s="175" t="str">
        <f t="shared" si="5"/>
        <v>paulo_c2d</v>
      </c>
      <c r="N674" s="176">
        <f>IFERROR(__xludf.DUMMYFUNCTION("""COMPUTED_VALUE"""),15.0)</f>
        <v>15</v>
      </c>
      <c r="O674" s="176"/>
      <c r="P674" s="165" t="s">
        <v>651</v>
      </c>
      <c r="Q674" s="165" t="s">
        <v>441</v>
      </c>
      <c r="R674" s="176"/>
      <c r="S674" s="176"/>
      <c r="T674" s="176"/>
      <c r="U674" s="176"/>
      <c r="V674" s="176"/>
      <c r="W674" s="176"/>
      <c r="X674" s="176"/>
      <c r="Y674" s="176"/>
      <c r="Z674" s="176"/>
      <c r="AA674" s="176"/>
    </row>
    <row r="675">
      <c r="A675" s="165" t="str">
        <f>iferror(VLOOKUP(P675,'DO NOT TOUCH Imported'!$A$1:$D$800,4,False),iferror(VLOOKUP(P675,'DO NOT TOUCH Imported'!$C$1:$D$800,2,False),"OOPS FIX ME"))</f>
        <v>paulo_c2d</v>
      </c>
      <c r="B675" s="165" t="s">
        <v>441</v>
      </c>
      <c r="C675" s="170" t="s">
        <v>1414</v>
      </c>
      <c r="D675" s="236" t="s">
        <v>437</v>
      </c>
      <c r="E675" s="237">
        <v>44295.0</v>
      </c>
      <c r="F675" s="170" t="s">
        <v>439</v>
      </c>
      <c r="G675" s="219"/>
      <c r="H675" s="171">
        <v>100.0</v>
      </c>
      <c r="I675" s="171">
        <v>100.0</v>
      </c>
      <c r="J675" s="172">
        <f t="shared" si="24"/>
        <v>0.001436335405</v>
      </c>
      <c r="K675" s="173">
        <f t="shared" si="31"/>
        <v>1.651785716</v>
      </c>
      <c r="L675" s="174">
        <f t="shared" si="4"/>
        <v>5.803390284</v>
      </c>
      <c r="M675" s="175" t="str">
        <f t="shared" si="5"/>
        <v>paulo_c2d</v>
      </c>
      <c r="N675" s="176">
        <f>IFERROR(__xludf.DUMMYFUNCTION("""COMPUTED_VALUE"""),16.0)</f>
        <v>16</v>
      </c>
      <c r="O675" s="176"/>
      <c r="P675" s="165" t="s">
        <v>651</v>
      </c>
      <c r="Q675" s="165" t="s">
        <v>441</v>
      </c>
      <c r="R675" s="176"/>
      <c r="S675" s="176"/>
      <c r="T675" s="176"/>
      <c r="U675" s="176"/>
      <c r="V675" s="176"/>
      <c r="W675" s="176"/>
      <c r="X675" s="176"/>
      <c r="Y675" s="176"/>
      <c r="Z675" s="176"/>
      <c r="AA675" s="176"/>
    </row>
    <row r="676">
      <c r="A676" s="165" t="str">
        <f>iferror(VLOOKUP(P676,'DO NOT TOUCH Imported'!$A$1:$D$800,4,False),iferror(VLOOKUP(P676,'DO NOT TOUCH Imported'!$C$1:$D$800,2,False),"OOPS FIX ME"))</f>
        <v>paulo_c2d</v>
      </c>
      <c r="B676" s="165" t="s">
        <v>441</v>
      </c>
      <c r="C676" s="170" t="s">
        <v>1267</v>
      </c>
      <c r="D676" s="236" t="s">
        <v>437</v>
      </c>
      <c r="E676" s="237">
        <v>44295.0</v>
      </c>
      <c r="F676" s="170" t="s">
        <v>439</v>
      </c>
      <c r="G676" s="219"/>
      <c r="H676" s="171">
        <v>50.0</v>
      </c>
      <c r="I676" s="171">
        <v>50.0</v>
      </c>
      <c r="J676" s="172">
        <f t="shared" si="24"/>
        <v>0.0007181677027</v>
      </c>
      <c r="K676" s="173">
        <f t="shared" si="31"/>
        <v>0.8258928581</v>
      </c>
      <c r="L676" s="174">
        <f t="shared" si="4"/>
        <v>5.803390284</v>
      </c>
      <c r="M676" s="175" t="str">
        <f t="shared" si="5"/>
        <v>paulo_c2d</v>
      </c>
      <c r="N676" s="176">
        <f>IFERROR(__xludf.DUMMYFUNCTION("""COMPUTED_VALUE"""),17.0)</f>
        <v>17</v>
      </c>
      <c r="O676" s="176"/>
      <c r="P676" s="165" t="s">
        <v>651</v>
      </c>
      <c r="Q676" s="165" t="s">
        <v>441</v>
      </c>
      <c r="R676" s="176"/>
      <c r="S676" s="176"/>
      <c r="T676" s="176"/>
      <c r="U676" s="176"/>
      <c r="V676" s="176"/>
      <c r="W676" s="176"/>
      <c r="X676" s="176"/>
      <c r="Y676" s="176"/>
      <c r="Z676" s="176"/>
      <c r="AA676" s="176"/>
    </row>
    <row r="677">
      <c r="A677" s="185" t="str">
        <f>iferror(VLOOKUP(P677,'DO NOT TOUCH Imported'!$A$1:$D$800,4,False),iferror(VLOOKUP(P677,'DO NOT TOUCH Imported'!$C$1:$D$800,2,False),"OOPS FIX ME"))</f>
        <v>vegayp</v>
      </c>
      <c r="B677" s="185" t="s">
        <v>534</v>
      </c>
      <c r="C677" s="186" t="s">
        <v>810</v>
      </c>
      <c r="D677" s="187"/>
      <c r="E677" s="188"/>
      <c r="F677" s="189"/>
      <c r="G677" s="190"/>
      <c r="H677" s="190"/>
      <c r="I677" s="190"/>
      <c r="J677" s="172">
        <f t="shared" si="24"/>
        <v>0</v>
      </c>
      <c r="K677" s="192">
        <f>38.324*-0.85</f>
        <v>-32.5754</v>
      </c>
      <c r="L677" s="193">
        <f t="shared" si="4"/>
        <v>5.748329845</v>
      </c>
      <c r="M677" s="194" t="str">
        <f t="shared" si="5"/>
        <v>vegayp</v>
      </c>
      <c r="N677" s="195">
        <f>IFERROR(__xludf.DUMMYFUNCTION("""COMPUTED_VALUE"""),1.0)</f>
        <v>1</v>
      </c>
      <c r="O677" s="195"/>
      <c r="P677" s="185" t="s">
        <v>33</v>
      </c>
      <c r="Q677" s="185" t="s">
        <v>534</v>
      </c>
      <c r="R677" s="195">
        <v>18.802169413641863</v>
      </c>
      <c r="S677" s="195"/>
      <c r="T677" s="195"/>
      <c r="U677" s="195"/>
      <c r="V677" s="195"/>
      <c r="W677" s="195"/>
      <c r="X677" s="195"/>
      <c r="Y677" s="195"/>
      <c r="Z677" s="195"/>
      <c r="AA677" s="176"/>
    </row>
    <row r="678">
      <c r="A678" s="165" t="str">
        <f>iferror(VLOOKUP(P678,'DO NOT TOUCH Imported'!$A$1:$D$800,4,False),iferror(VLOOKUP(P678,'DO NOT TOUCH Imported'!$C$1:$D$800,2,False),"OOPS FIX ME"))</f>
        <v>vegayp</v>
      </c>
      <c r="B678" s="165" t="s">
        <v>10</v>
      </c>
      <c r="C678" s="170" t="s">
        <v>500</v>
      </c>
      <c r="D678" s="236" t="s">
        <v>495</v>
      </c>
      <c r="E678" s="239">
        <v>44282.0</v>
      </c>
      <c r="F678" s="170" t="s">
        <v>496</v>
      </c>
      <c r="G678" s="219"/>
      <c r="H678" s="171">
        <v>20.0</v>
      </c>
      <c r="I678" s="171">
        <v>15.0</v>
      </c>
      <c r="J678" s="172">
        <f t="shared" si="24"/>
        <v>0.0002516088297</v>
      </c>
      <c r="K678" s="173">
        <f t="shared" ref="K678:K712" si="32">J678*$J$1</f>
        <v>0.2893501542</v>
      </c>
      <c r="L678" s="174">
        <f t="shared" si="4"/>
        <v>5.748329845</v>
      </c>
      <c r="M678" s="175" t="str">
        <f t="shared" si="5"/>
        <v>vegayp</v>
      </c>
      <c r="N678" s="176">
        <f>IFERROR(__xludf.DUMMYFUNCTION("""COMPUTED_VALUE"""),2.0)</f>
        <v>2</v>
      </c>
      <c r="O678" s="176"/>
      <c r="P678" s="165" t="s">
        <v>33</v>
      </c>
      <c r="Q678" s="165" t="s">
        <v>10</v>
      </c>
      <c r="R678" s="176"/>
      <c r="S678" s="176"/>
      <c r="T678" s="176"/>
      <c r="U678" s="176"/>
      <c r="V678" s="176"/>
      <c r="W678" s="176"/>
      <c r="X678" s="176"/>
      <c r="Y678" s="176"/>
      <c r="Z678" s="176"/>
      <c r="AA678" s="176"/>
    </row>
    <row r="679">
      <c r="A679" s="165" t="str">
        <f>iferror(VLOOKUP(P679,'DO NOT TOUCH Imported'!$A$1:$D$800,4,False),iferror(VLOOKUP(P679,'DO NOT TOUCH Imported'!$C$1:$D$800,2,False),"OOPS FIX ME"))</f>
        <v>vegayp</v>
      </c>
      <c r="B679" s="165" t="s">
        <v>10</v>
      </c>
      <c r="C679" s="170" t="s">
        <v>498</v>
      </c>
      <c r="D679" s="236" t="s">
        <v>495</v>
      </c>
      <c r="E679" s="239">
        <v>44288.0</v>
      </c>
      <c r="F679" s="170" t="s">
        <v>499</v>
      </c>
      <c r="G679" s="219"/>
      <c r="H679" s="171">
        <v>20.0</v>
      </c>
      <c r="I679" s="171">
        <v>15.0</v>
      </c>
      <c r="J679" s="172">
        <f t="shared" si="24"/>
        <v>0.0002516088297</v>
      </c>
      <c r="K679" s="173">
        <f t="shared" si="32"/>
        <v>0.2893501542</v>
      </c>
      <c r="L679" s="174">
        <f t="shared" si="4"/>
        <v>5.748329845</v>
      </c>
      <c r="M679" s="175" t="str">
        <f t="shared" si="5"/>
        <v>vegayp</v>
      </c>
      <c r="N679" s="176">
        <f>IFERROR(__xludf.DUMMYFUNCTION("""COMPUTED_VALUE"""),3.0)</f>
        <v>3</v>
      </c>
      <c r="O679" s="176"/>
      <c r="P679" s="165" t="s">
        <v>33</v>
      </c>
      <c r="Q679" s="165" t="s">
        <v>10</v>
      </c>
      <c r="R679" s="176"/>
      <c r="S679" s="176"/>
      <c r="T679" s="176"/>
      <c r="U679" s="176"/>
      <c r="V679" s="176"/>
      <c r="W679" s="176"/>
      <c r="X679" s="176"/>
      <c r="Y679" s="176"/>
      <c r="Z679" s="176"/>
      <c r="AA679" s="176"/>
    </row>
    <row r="680">
      <c r="A680" s="165" t="str">
        <f>iferror(VLOOKUP(P680,'DO NOT TOUCH Imported'!$A$1:$D$800,4,False),iferror(VLOOKUP(P680,'DO NOT TOUCH Imported'!$C$1:$D$800,2,False),"OOPS FIX ME"))</f>
        <v>vegayp</v>
      </c>
      <c r="B680" s="165" t="s">
        <v>10</v>
      </c>
      <c r="C680" s="170" t="s">
        <v>500</v>
      </c>
      <c r="D680" s="236" t="s">
        <v>495</v>
      </c>
      <c r="E680" s="239">
        <v>44289.0</v>
      </c>
      <c r="F680" s="170" t="s">
        <v>496</v>
      </c>
      <c r="G680" s="219"/>
      <c r="H680" s="171">
        <v>20.0</v>
      </c>
      <c r="I680" s="171">
        <v>15.0</v>
      </c>
      <c r="J680" s="172">
        <f t="shared" si="24"/>
        <v>0.0002516088297</v>
      </c>
      <c r="K680" s="173">
        <f t="shared" si="32"/>
        <v>0.2893501542</v>
      </c>
      <c r="L680" s="174">
        <f t="shared" si="4"/>
        <v>5.748329845</v>
      </c>
      <c r="M680" s="175" t="str">
        <f t="shared" si="5"/>
        <v>vegayp</v>
      </c>
      <c r="N680" s="176">
        <f>IFERROR(__xludf.DUMMYFUNCTION("""COMPUTED_VALUE"""),4.0)</f>
        <v>4</v>
      </c>
      <c r="O680" s="176"/>
      <c r="P680" s="165" t="s">
        <v>33</v>
      </c>
      <c r="Q680" s="165" t="s">
        <v>10</v>
      </c>
      <c r="R680" s="176"/>
      <c r="S680" s="176"/>
      <c r="T680" s="176"/>
      <c r="U680" s="176"/>
      <c r="V680" s="176"/>
      <c r="W680" s="176"/>
      <c r="X680" s="176"/>
      <c r="Y680" s="176"/>
      <c r="Z680" s="176"/>
      <c r="AA680" s="176"/>
    </row>
    <row r="681">
      <c r="A681" s="165" t="str">
        <f>iferror(VLOOKUP(P681,'DO NOT TOUCH Imported'!$A$1:$D$800,4,False),iferror(VLOOKUP(P681,'DO NOT TOUCH Imported'!$C$1:$D$800,2,False),"OOPS FIX ME"))</f>
        <v>vegayp</v>
      </c>
      <c r="B681" s="165" t="s">
        <v>10</v>
      </c>
      <c r="C681" s="170" t="s">
        <v>500</v>
      </c>
      <c r="D681" s="236" t="s">
        <v>495</v>
      </c>
      <c r="E681" s="239">
        <v>44295.0</v>
      </c>
      <c r="F681" s="170" t="s">
        <v>496</v>
      </c>
      <c r="G681" s="219"/>
      <c r="H681" s="171">
        <v>20.0</v>
      </c>
      <c r="I681" s="171">
        <v>25.0</v>
      </c>
      <c r="J681" s="172">
        <f t="shared" si="24"/>
        <v>0.0003229253324</v>
      </c>
      <c r="K681" s="173">
        <f t="shared" si="32"/>
        <v>0.3713641322</v>
      </c>
      <c r="L681" s="174">
        <f t="shared" si="4"/>
        <v>5.748329845</v>
      </c>
      <c r="M681" s="175" t="str">
        <f t="shared" si="5"/>
        <v>vegayp</v>
      </c>
      <c r="N681" s="176">
        <f>IFERROR(__xludf.DUMMYFUNCTION("""COMPUTED_VALUE"""),5.0)</f>
        <v>5</v>
      </c>
      <c r="O681" s="176"/>
      <c r="P681" s="165" t="s">
        <v>33</v>
      </c>
      <c r="Q681" s="165" t="s">
        <v>10</v>
      </c>
      <c r="R681" s="176"/>
      <c r="S681" s="176"/>
      <c r="T681" s="176"/>
      <c r="U681" s="176"/>
      <c r="V681" s="176"/>
      <c r="W681" s="176"/>
      <c r="X681" s="176"/>
      <c r="Y681" s="176"/>
      <c r="Z681" s="176"/>
      <c r="AA681" s="176"/>
    </row>
    <row r="682">
      <c r="A682" s="165" t="str">
        <f>iferror(VLOOKUP(P682,'DO NOT TOUCH Imported'!$A$1:$D$800,4,False),iferror(VLOOKUP(P682,'DO NOT TOUCH Imported'!$C$1:$D$800,2,False),"OOPS FIX ME"))</f>
        <v>vegayp</v>
      </c>
      <c r="B682" s="165" t="s">
        <v>596</v>
      </c>
      <c r="C682" s="170" t="s">
        <v>1423</v>
      </c>
      <c r="D682" s="236" t="s">
        <v>437</v>
      </c>
      <c r="E682" s="239">
        <v>44284.0</v>
      </c>
      <c r="F682" s="170" t="s">
        <v>439</v>
      </c>
      <c r="G682" s="219"/>
      <c r="H682" s="171">
        <v>150.0</v>
      </c>
      <c r="I682" s="171">
        <v>150.0</v>
      </c>
      <c r="J682" s="172">
        <f t="shared" si="24"/>
        <v>0.002154503108</v>
      </c>
      <c r="K682" s="173">
        <f t="shared" si="32"/>
        <v>2.477678574</v>
      </c>
      <c r="L682" s="174">
        <f t="shared" si="4"/>
        <v>5.748329845</v>
      </c>
      <c r="M682" s="175" t="str">
        <f t="shared" si="5"/>
        <v>vegayp</v>
      </c>
      <c r="N682" s="176">
        <f>IFERROR(__xludf.DUMMYFUNCTION("""COMPUTED_VALUE"""),6.0)</f>
        <v>6</v>
      </c>
      <c r="O682" s="176"/>
      <c r="P682" s="165" t="s">
        <v>492</v>
      </c>
      <c r="Q682" s="165" t="s">
        <v>596</v>
      </c>
      <c r="R682" s="176"/>
      <c r="S682" s="176"/>
      <c r="T682" s="176"/>
      <c r="U682" s="176"/>
      <c r="V682" s="176"/>
      <c r="W682" s="176"/>
      <c r="X682" s="176"/>
      <c r="Y682" s="176"/>
      <c r="Z682" s="176"/>
      <c r="AA682" s="176"/>
    </row>
    <row r="683">
      <c r="A683" s="165" t="str">
        <f>iferror(VLOOKUP(P683,'DO NOT TOUCH Imported'!$A$1:$D$800,4,False),iferror(VLOOKUP(P683,'DO NOT TOUCH Imported'!$C$1:$D$800,2,False),"OOPS FIX ME"))</f>
        <v>vegayp</v>
      </c>
      <c r="B683" s="165" t="s">
        <v>486</v>
      </c>
      <c r="C683" s="170" t="s">
        <v>1237</v>
      </c>
      <c r="D683" s="236" t="s">
        <v>437</v>
      </c>
      <c r="E683" s="239">
        <v>44285.0</v>
      </c>
      <c r="F683" s="170" t="s">
        <v>439</v>
      </c>
      <c r="G683" s="219"/>
      <c r="H683" s="171">
        <v>40.0</v>
      </c>
      <c r="I683" s="171">
        <v>50.0</v>
      </c>
      <c r="J683" s="172">
        <f t="shared" si="24"/>
        <v>0.0006458506648</v>
      </c>
      <c r="K683" s="173">
        <f t="shared" si="32"/>
        <v>0.7427282645</v>
      </c>
      <c r="L683" s="174">
        <f t="shared" si="4"/>
        <v>5.748329845</v>
      </c>
      <c r="M683" s="175" t="str">
        <f t="shared" si="5"/>
        <v>vegayp</v>
      </c>
      <c r="N683" s="176">
        <f>IFERROR(__xludf.DUMMYFUNCTION("""COMPUTED_VALUE"""),7.0)</f>
        <v>7</v>
      </c>
      <c r="O683" s="176"/>
      <c r="P683" s="165" t="s">
        <v>492</v>
      </c>
      <c r="Q683" s="165" t="s">
        <v>486</v>
      </c>
      <c r="R683" s="176"/>
      <c r="S683" s="176"/>
      <c r="T683" s="176"/>
      <c r="U683" s="176"/>
      <c r="V683" s="176"/>
      <c r="W683" s="176"/>
      <c r="X683" s="176"/>
      <c r="Y683" s="176"/>
      <c r="Z683" s="176"/>
      <c r="AA683" s="176"/>
    </row>
    <row r="684">
      <c r="A684" s="165" t="str">
        <f>iferror(VLOOKUP(P684,'DO NOT TOUCH Imported'!$A$1:$D$800,4,False),iferror(VLOOKUP(P684,'DO NOT TOUCH Imported'!$C$1:$D$800,2,False),"OOPS FIX ME"))</f>
        <v>vegayp</v>
      </c>
      <c r="B684" s="165" t="s">
        <v>435</v>
      </c>
      <c r="C684" s="170" t="s">
        <v>1495</v>
      </c>
      <c r="D684" s="236" t="s">
        <v>437</v>
      </c>
      <c r="E684" s="239">
        <v>44287.0</v>
      </c>
      <c r="F684" s="170" t="s">
        <v>439</v>
      </c>
      <c r="G684" s="219"/>
      <c r="H684" s="171">
        <v>150.0</v>
      </c>
      <c r="I684" s="171">
        <v>150.0</v>
      </c>
      <c r="J684" s="172">
        <f t="shared" si="24"/>
        <v>0.002154503108</v>
      </c>
      <c r="K684" s="173">
        <f t="shared" si="32"/>
        <v>2.477678574</v>
      </c>
      <c r="L684" s="174">
        <f t="shared" si="4"/>
        <v>5.748329845</v>
      </c>
      <c r="M684" s="175" t="str">
        <f t="shared" si="5"/>
        <v>vegayp</v>
      </c>
      <c r="N684" s="176">
        <f>IFERROR(__xludf.DUMMYFUNCTION("""COMPUTED_VALUE"""),8.0)</f>
        <v>8</v>
      </c>
      <c r="O684" s="176"/>
      <c r="P684" s="165" t="s">
        <v>492</v>
      </c>
      <c r="Q684" s="165" t="s">
        <v>435</v>
      </c>
      <c r="R684" s="176"/>
      <c r="S684" s="176"/>
      <c r="T684" s="176"/>
      <c r="U684" s="176"/>
      <c r="V684" s="176"/>
      <c r="W684" s="176"/>
      <c r="X684" s="176"/>
      <c r="Y684" s="176"/>
      <c r="Z684" s="176"/>
      <c r="AA684" s="176"/>
    </row>
    <row r="685">
      <c r="A685" s="165" t="str">
        <f>iferror(VLOOKUP(P685,'DO NOT TOUCH Imported'!$A$1:$D$800,4,False),iferror(VLOOKUP(P685,'DO NOT TOUCH Imported'!$C$1:$D$800,2,False),"OOPS FIX ME"))</f>
        <v>vegayp</v>
      </c>
      <c r="B685" s="165" t="s">
        <v>435</v>
      </c>
      <c r="C685" s="170" t="s">
        <v>1246</v>
      </c>
      <c r="D685" s="236" t="s">
        <v>437</v>
      </c>
      <c r="E685" s="239">
        <v>44287.0</v>
      </c>
      <c r="F685" s="170" t="s">
        <v>439</v>
      </c>
      <c r="G685" s="219"/>
      <c r="H685" s="171">
        <v>70.0</v>
      </c>
      <c r="I685" s="171">
        <v>50.0</v>
      </c>
      <c r="J685" s="172">
        <f t="shared" si="24"/>
        <v>0.0008628017785</v>
      </c>
      <c r="K685" s="173">
        <f t="shared" si="32"/>
        <v>0.9922220452</v>
      </c>
      <c r="L685" s="174">
        <f t="shared" si="4"/>
        <v>5.748329845</v>
      </c>
      <c r="M685" s="175" t="str">
        <f t="shared" si="5"/>
        <v>vegayp</v>
      </c>
      <c r="N685" s="176">
        <f>IFERROR(__xludf.DUMMYFUNCTION("""COMPUTED_VALUE"""),9.0)</f>
        <v>9</v>
      </c>
      <c r="O685" s="176"/>
      <c r="P685" s="165" t="s">
        <v>492</v>
      </c>
      <c r="Q685" s="165" t="s">
        <v>435</v>
      </c>
      <c r="R685" s="176"/>
      <c r="S685" s="176"/>
      <c r="T685" s="176"/>
      <c r="U685" s="176"/>
      <c r="V685" s="176"/>
      <c r="W685" s="176"/>
      <c r="X685" s="176"/>
      <c r="Y685" s="176"/>
      <c r="Z685" s="176"/>
      <c r="AA685" s="176"/>
    </row>
    <row r="686">
      <c r="A686" s="165" t="str">
        <f>iferror(VLOOKUP(P686,'DO NOT TOUCH Imported'!$A$1:$D$800,4,False),iferror(VLOOKUP(P686,'DO NOT TOUCH Imported'!$C$1:$D$800,2,False),"OOPS FIX ME"))</f>
        <v>vegayp</v>
      </c>
      <c r="B686" s="165" t="s">
        <v>441</v>
      </c>
      <c r="C686" s="170" t="s">
        <v>1363</v>
      </c>
      <c r="D686" s="236" t="s">
        <v>437</v>
      </c>
      <c r="E686" s="237">
        <v>44288.0</v>
      </c>
      <c r="F686" s="170" t="s">
        <v>439</v>
      </c>
      <c r="G686" s="219"/>
      <c r="H686" s="171">
        <v>150.0</v>
      </c>
      <c r="I686" s="171">
        <v>200.0</v>
      </c>
      <c r="J686" s="172">
        <f t="shared" si="24"/>
        <v>0.002511085621</v>
      </c>
      <c r="K686" s="173">
        <f t="shared" si="32"/>
        <v>2.887748464</v>
      </c>
      <c r="L686" s="174">
        <f t="shared" si="4"/>
        <v>5.748329845</v>
      </c>
      <c r="M686" s="175" t="str">
        <f t="shared" si="5"/>
        <v>vegayp</v>
      </c>
      <c r="N686" s="176">
        <f>IFERROR(__xludf.DUMMYFUNCTION("""COMPUTED_VALUE"""),10.0)</f>
        <v>10</v>
      </c>
      <c r="O686" s="176"/>
      <c r="P686" s="165" t="s">
        <v>492</v>
      </c>
      <c r="Q686" s="165" t="s">
        <v>441</v>
      </c>
      <c r="R686" s="176"/>
      <c r="S686" s="176"/>
      <c r="T686" s="176"/>
      <c r="U686" s="176"/>
      <c r="V686" s="176"/>
      <c r="W686" s="176"/>
      <c r="X686" s="176"/>
      <c r="Y686" s="176"/>
      <c r="Z686" s="176"/>
      <c r="AA686" s="176"/>
    </row>
    <row r="687">
      <c r="A687" s="165" t="str">
        <f>iferror(VLOOKUP(P687,'DO NOT TOUCH Imported'!$A$1:$D$800,4,False),iferror(VLOOKUP(P687,'DO NOT TOUCH Imported'!$C$1:$D$800,2,False),"OOPS FIX ME"))</f>
        <v>vegayp</v>
      </c>
      <c r="B687" s="165" t="s">
        <v>441</v>
      </c>
      <c r="C687" s="170" t="s">
        <v>1496</v>
      </c>
      <c r="D687" s="236" t="s">
        <v>437</v>
      </c>
      <c r="E687" s="237">
        <v>44288.0</v>
      </c>
      <c r="F687" s="170" t="s">
        <v>439</v>
      </c>
      <c r="G687" s="219"/>
      <c r="H687" s="171">
        <v>150.0</v>
      </c>
      <c r="I687" s="171">
        <v>200.0</v>
      </c>
      <c r="J687" s="172">
        <f t="shared" si="24"/>
        <v>0.002511085621</v>
      </c>
      <c r="K687" s="173">
        <f t="shared" si="32"/>
        <v>2.887748464</v>
      </c>
      <c r="L687" s="174">
        <f t="shared" si="4"/>
        <v>5.748329845</v>
      </c>
      <c r="M687" s="175" t="str">
        <f t="shared" si="5"/>
        <v>vegayp</v>
      </c>
      <c r="N687" s="176">
        <f>IFERROR(__xludf.DUMMYFUNCTION("""COMPUTED_VALUE"""),11.0)</f>
        <v>11</v>
      </c>
      <c r="O687" s="176"/>
      <c r="P687" s="165" t="s">
        <v>492</v>
      </c>
      <c r="Q687" s="165" t="s">
        <v>441</v>
      </c>
      <c r="R687" s="176"/>
      <c r="S687" s="176"/>
      <c r="T687" s="176"/>
      <c r="U687" s="176"/>
      <c r="V687" s="176"/>
      <c r="W687" s="176"/>
      <c r="X687" s="176"/>
      <c r="Y687" s="176"/>
      <c r="Z687" s="176"/>
      <c r="AA687" s="176"/>
    </row>
    <row r="688">
      <c r="A688" s="165" t="str">
        <f>iferror(VLOOKUP(P688,'DO NOT TOUCH Imported'!$A$1:$D$800,4,False),iferror(VLOOKUP(P688,'DO NOT TOUCH Imported'!$C$1:$D$800,2,False),"OOPS FIX ME"))</f>
        <v>vegayp</v>
      </c>
      <c r="B688" s="165" t="s">
        <v>441</v>
      </c>
      <c r="C688" s="170" t="s">
        <v>1248</v>
      </c>
      <c r="D688" s="236" t="s">
        <v>437</v>
      </c>
      <c r="E688" s="237">
        <v>44288.0</v>
      </c>
      <c r="F688" s="170" t="s">
        <v>439</v>
      </c>
      <c r="G688" s="219"/>
      <c r="H688" s="171">
        <v>150.0</v>
      </c>
      <c r="I688" s="171">
        <v>100.0</v>
      </c>
      <c r="J688" s="172">
        <f t="shared" si="24"/>
        <v>0.001797920595</v>
      </c>
      <c r="K688" s="173">
        <f t="shared" si="32"/>
        <v>2.067608684</v>
      </c>
      <c r="L688" s="174">
        <f t="shared" si="4"/>
        <v>5.748329845</v>
      </c>
      <c r="M688" s="175" t="str">
        <f t="shared" si="5"/>
        <v>vegayp</v>
      </c>
      <c r="N688" s="176">
        <f>IFERROR(__xludf.DUMMYFUNCTION("""COMPUTED_VALUE"""),12.0)</f>
        <v>12</v>
      </c>
      <c r="O688" s="176"/>
      <c r="P688" s="165" t="s">
        <v>492</v>
      </c>
      <c r="Q688" s="165" t="s">
        <v>441</v>
      </c>
      <c r="R688" s="176"/>
      <c r="S688" s="176"/>
      <c r="T688" s="176"/>
      <c r="U688" s="176"/>
      <c r="V688" s="176"/>
      <c r="W688" s="176"/>
      <c r="X688" s="176"/>
      <c r="Y688" s="176"/>
      <c r="Z688" s="176"/>
      <c r="AA688" s="176"/>
    </row>
    <row r="689">
      <c r="A689" s="165" t="str">
        <f>iferror(VLOOKUP(P689,'DO NOT TOUCH Imported'!$A$1:$D$800,4,False),iferror(VLOOKUP(P689,'DO NOT TOUCH Imported'!$C$1:$D$800,2,False),"OOPS FIX ME"))</f>
        <v>vegayp</v>
      </c>
      <c r="B689" s="165" t="s">
        <v>441</v>
      </c>
      <c r="C689" s="170" t="s">
        <v>1478</v>
      </c>
      <c r="D689" s="236" t="s">
        <v>437</v>
      </c>
      <c r="E689" s="237">
        <v>44288.0</v>
      </c>
      <c r="F689" s="170" t="s">
        <v>439</v>
      </c>
      <c r="G689" s="219"/>
      <c r="H689" s="171">
        <v>150.0</v>
      </c>
      <c r="I689" s="171">
        <v>150.0</v>
      </c>
      <c r="J689" s="172">
        <f t="shared" si="24"/>
        <v>0.002154503108</v>
      </c>
      <c r="K689" s="173">
        <f t="shared" si="32"/>
        <v>2.477678574</v>
      </c>
      <c r="L689" s="174">
        <f t="shared" si="4"/>
        <v>5.748329845</v>
      </c>
      <c r="M689" s="175" t="str">
        <f t="shared" si="5"/>
        <v>vegayp</v>
      </c>
      <c r="N689" s="176">
        <f>IFERROR(__xludf.DUMMYFUNCTION("""COMPUTED_VALUE"""),13.0)</f>
        <v>13</v>
      </c>
      <c r="O689" s="176"/>
      <c r="P689" s="165" t="s">
        <v>492</v>
      </c>
      <c r="Q689" s="165" t="s">
        <v>441</v>
      </c>
      <c r="R689" s="176"/>
      <c r="S689" s="176"/>
      <c r="T689" s="176"/>
      <c r="U689" s="176"/>
      <c r="V689" s="176"/>
      <c r="W689" s="176"/>
      <c r="X689" s="176"/>
      <c r="Y689" s="176"/>
      <c r="Z689" s="176"/>
      <c r="AA689" s="176"/>
    </row>
    <row r="690">
      <c r="A690" s="165" t="str">
        <f>iferror(VLOOKUP(P690,'DO NOT TOUCH Imported'!$A$1:$D$800,4,False),iferror(VLOOKUP(P690,'DO NOT TOUCH Imported'!$C$1:$D$800,2,False),"OOPS FIX ME"))</f>
        <v>vegayp</v>
      </c>
      <c r="B690" s="165" t="s">
        <v>441</v>
      </c>
      <c r="C690" s="170" t="s">
        <v>1250</v>
      </c>
      <c r="D690" s="236" t="s">
        <v>437</v>
      </c>
      <c r="E690" s="237">
        <v>44288.0</v>
      </c>
      <c r="F690" s="170" t="s">
        <v>439</v>
      </c>
      <c r="G690" s="219"/>
      <c r="H690" s="171">
        <v>40.0</v>
      </c>
      <c r="I690" s="171">
        <v>50.0</v>
      </c>
      <c r="J690" s="172">
        <f t="shared" si="24"/>
        <v>0.0006458506648</v>
      </c>
      <c r="K690" s="173">
        <f t="shared" si="32"/>
        <v>0.7427282645</v>
      </c>
      <c r="L690" s="174">
        <f t="shared" si="4"/>
        <v>5.748329845</v>
      </c>
      <c r="M690" s="175" t="str">
        <f t="shared" si="5"/>
        <v>vegayp</v>
      </c>
      <c r="N690" s="176">
        <f>IFERROR(__xludf.DUMMYFUNCTION("""COMPUTED_VALUE"""),14.0)</f>
        <v>14</v>
      </c>
      <c r="O690" s="176"/>
      <c r="P690" s="165" t="s">
        <v>492</v>
      </c>
      <c r="Q690" s="165" t="s">
        <v>441</v>
      </c>
      <c r="R690" s="176"/>
      <c r="S690" s="176"/>
      <c r="T690" s="176"/>
      <c r="U690" s="176"/>
      <c r="V690" s="176"/>
      <c r="W690" s="176"/>
      <c r="X690" s="176"/>
      <c r="Y690" s="176"/>
      <c r="Z690" s="176"/>
      <c r="AA690" s="176"/>
    </row>
    <row r="691">
      <c r="A691" s="165" t="str">
        <f>iferror(VLOOKUP(P691,'DO NOT TOUCH Imported'!$A$1:$D$800,4,False),iferror(VLOOKUP(P691,'DO NOT TOUCH Imported'!$C$1:$D$800,2,False),"OOPS FIX ME"))</f>
        <v>vegayp</v>
      </c>
      <c r="B691" s="165" t="s">
        <v>435</v>
      </c>
      <c r="C691" s="170" t="s">
        <v>1278</v>
      </c>
      <c r="D691" s="236" t="s">
        <v>437</v>
      </c>
      <c r="E691" s="237">
        <v>44288.0</v>
      </c>
      <c r="F691" s="170" t="s">
        <v>439</v>
      </c>
      <c r="G691" s="219"/>
      <c r="H691" s="171">
        <v>70.0</v>
      </c>
      <c r="I691" s="171">
        <v>50.0</v>
      </c>
      <c r="J691" s="172">
        <f t="shared" si="24"/>
        <v>0.0008628017785</v>
      </c>
      <c r="K691" s="173">
        <f t="shared" si="32"/>
        <v>0.9922220452</v>
      </c>
      <c r="L691" s="174">
        <f t="shared" si="4"/>
        <v>5.748329845</v>
      </c>
      <c r="M691" s="175" t="str">
        <f t="shared" si="5"/>
        <v>vegayp</v>
      </c>
      <c r="N691" s="176">
        <f>IFERROR(__xludf.DUMMYFUNCTION("""COMPUTED_VALUE"""),15.0)</f>
        <v>15</v>
      </c>
      <c r="O691" s="176"/>
      <c r="P691" s="165" t="s">
        <v>492</v>
      </c>
      <c r="Q691" s="165" t="s">
        <v>435</v>
      </c>
      <c r="R691" s="176"/>
      <c r="S691" s="176"/>
      <c r="T691" s="176"/>
      <c r="U691" s="176"/>
      <c r="V691" s="176"/>
      <c r="W691" s="176"/>
      <c r="X691" s="176"/>
      <c r="Y691" s="176"/>
      <c r="Z691" s="176"/>
      <c r="AA691" s="176"/>
    </row>
    <row r="692">
      <c r="A692" s="165" t="str">
        <f>iferror(VLOOKUP(P692,'DO NOT TOUCH Imported'!$A$1:$D$800,4,False),iferror(VLOOKUP(P692,'DO NOT TOUCH Imported'!$C$1:$D$800,2,False),"OOPS FIX ME"))</f>
        <v>vegayp</v>
      </c>
      <c r="B692" s="165" t="s">
        <v>441</v>
      </c>
      <c r="C692" s="170" t="s">
        <v>1251</v>
      </c>
      <c r="D692" s="236" t="s">
        <v>437</v>
      </c>
      <c r="E692" s="237">
        <v>44291.0</v>
      </c>
      <c r="F692" s="170" t="s">
        <v>439</v>
      </c>
      <c r="G692" s="219"/>
      <c r="H692" s="171">
        <v>70.0</v>
      </c>
      <c r="I692" s="171">
        <v>50.0</v>
      </c>
      <c r="J692" s="172">
        <f t="shared" si="24"/>
        <v>0.0008628017785</v>
      </c>
      <c r="K692" s="173">
        <f t="shared" si="32"/>
        <v>0.9922220452</v>
      </c>
      <c r="L692" s="174">
        <f t="shared" si="4"/>
        <v>5.748329845</v>
      </c>
      <c r="M692" s="175" t="str">
        <f t="shared" si="5"/>
        <v>vegayp</v>
      </c>
      <c r="N692" s="176">
        <f>IFERROR(__xludf.DUMMYFUNCTION("""COMPUTED_VALUE"""),16.0)</f>
        <v>16</v>
      </c>
      <c r="O692" s="176"/>
      <c r="P692" s="165" t="s">
        <v>492</v>
      </c>
      <c r="Q692" s="165" t="s">
        <v>441</v>
      </c>
      <c r="R692" s="176"/>
      <c r="S692" s="176"/>
      <c r="T692" s="176"/>
      <c r="U692" s="176"/>
      <c r="V692" s="176"/>
      <c r="W692" s="176"/>
      <c r="X692" s="176"/>
      <c r="Y692" s="176"/>
      <c r="Z692" s="176"/>
      <c r="AA692" s="176"/>
    </row>
    <row r="693">
      <c r="A693" s="165" t="str">
        <f>iferror(VLOOKUP(P693,'DO NOT TOUCH Imported'!$A$1:$D$800,4,False),iferror(VLOOKUP(P693,'DO NOT TOUCH Imported'!$C$1:$D$800,2,False),"OOPS FIX ME"))</f>
        <v>vegayp</v>
      </c>
      <c r="B693" s="165" t="s">
        <v>443</v>
      </c>
      <c r="C693" s="170" t="s">
        <v>1252</v>
      </c>
      <c r="D693" s="236" t="s">
        <v>437</v>
      </c>
      <c r="E693" s="237">
        <v>44291.0</v>
      </c>
      <c r="F693" s="170" t="s">
        <v>439</v>
      </c>
      <c r="G693" s="219"/>
      <c r="H693" s="171">
        <v>150.0</v>
      </c>
      <c r="I693" s="171">
        <v>80.0</v>
      </c>
      <c r="J693" s="172">
        <f t="shared" si="24"/>
        <v>0.00165528759</v>
      </c>
      <c r="K693" s="173">
        <f t="shared" si="32"/>
        <v>1.903580728</v>
      </c>
      <c r="L693" s="174">
        <f t="shared" si="4"/>
        <v>5.748329845</v>
      </c>
      <c r="M693" s="175" t="str">
        <f t="shared" si="5"/>
        <v>vegayp</v>
      </c>
      <c r="N693" s="176">
        <f>IFERROR(__xludf.DUMMYFUNCTION("""COMPUTED_VALUE"""),17.0)</f>
        <v>17</v>
      </c>
      <c r="O693" s="176"/>
      <c r="P693" s="165" t="s">
        <v>492</v>
      </c>
      <c r="Q693" s="165" t="s">
        <v>443</v>
      </c>
      <c r="R693" s="176"/>
      <c r="S693" s="176"/>
      <c r="T693" s="176"/>
      <c r="U693" s="176"/>
      <c r="V693" s="176"/>
      <c r="W693" s="176"/>
      <c r="X693" s="176"/>
      <c r="Y693" s="176"/>
      <c r="Z693" s="176"/>
      <c r="AA693" s="176"/>
    </row>
    <row r="694">
      <c r="A694" s="165" t="str">
        <f>iferror(VLOOKUP(P694,'DO NOT TOUCH Imported'!$A$1:$D$800,4,False),iferror(VLOOKUP(P694,'DO NOT TOUCH Imported'!$C$1:$D$800,2,False),"OOPS FIX ME"))</f>
        <v>vegayp</v>
      </c>
      <c r="B694" s="165" t="s">
        <v>440</v>
      </c>
      <c r="C694" s="170" t="s">
        <v>1497</v>
      </c>
      <c r="D694" s="236" t="s">
        <v>437</v>
      </c>
      <c r="E694" s="237">
        <v>44292.0</v>
      </c>
      <c r="F694" s="170" t="s">
        <v>439</v>
      </c>
      <c r="G694" s="219"/>
      <c r="H694" s="171">
        <v>50.0</v>
      </c>
      <c r="I694" s="171">
        <v>50.0</v>
      </c>
      <c r="J694" s="172">
        <f t="shared" si="24"/>
        <v>0.0007181677027</v>
      </c>
      <c r="K694" s="173">
        <f t="shared" si="32"/>
        <v>0.8258928581</v>
      </c>
      <c r="L694" s="174">
        <f t="shared" si="4"/>
        <v>5.748329845</v>
      </c>
      <c r="M694" s="175" t="str">
        <f t="shared" si="5"/>
        <v>vegayp</v>
      </c>
      <c r="N694" s="176">
        <f>IFERROR(__xludf.DUMMYFUNCTION("""COMPUTED_VALUE"""),18.0)</f>
        <v>18</v>
      </c>
      <c r="O694" s="176"/>
      <c r="P694" s="165" t="s">
        <v>492</v>
      </c>
      <c r="Q694" s="165" t="s">
        <v>440</v>
      </c>
      <c r="R694" s="176"/>
      <c r="S694" s="176"/>
      <c r="T694" s="176"/>
      <c r="U694" s="176"/>
      <c r="V694" s="176"/>
      <c r="W694" s="176"/>
      <c r="X694" s="176"/>
      <c r="Y694" s="176"/>
      <c r="Z694" s="176"/>
      <c r="AA694" s="176"/>
    </row>
    <row r="695">
      <c r="A695" s="165" t="str">
        <f>iferror(VLOOKUP(P695,'DO NOT TOUCH Imported'!$A$1:$D$800,4,False),iferror(VLOOKUP(P695,'DO NOT TOUCH Imported'!$C$1:$D$800,2,False),"OOPS FIX ME"))</f>
        <v>vegayp</v>
      </c>
      <c r="B695" s="165" t="s">
        <v>440</v>
      </c>
      <c r="C695" s="170" t="s">
        <v>1319</v>
      </c>
      <c r="D695" s="236" t="s">
        <v>437</v>
      </c>
      <c r="E695" s="237">
        <v>44293.0</v>
      </c>
      <c r="F695" s="170" t="s">
        <v>439</v>
      </c>
      <c r="G695" s="219"/>
      <c r="H695" s="171">
        <v>200.0</v>
      </c>
      <c r="I695" s="171">
        <v>200.0</v>
      </c>
      <c r="J695" s="172">
        <f t="shared" si="24"/>
        <v>0.002872670811</v>
      </c>
      <c r="K695" s="173">
        <f t="shared" si="32"/>
        <v>3.303571432</v>
      </c>
      <c r="L695" s="174">
        <f t="shared" si="4"/>
        <v>5.748329845</v>
      </c>
      <c r="M695" s="175" t="str">
        <f t="shared" si="5"/>
        <v>vegayp</v>
      </c>
      <c r="N695" s="176">
        <f>IFERROR(__xludf.DUMMYFUNCTION("""COMPUTED_VALUE"""),19.0)</f>
        <v>19</v>
      </c>
      <c r="O695" s="176"/>
      <c r="P695" s="165" t="s">
        <v>492</v>
      </c>
      <c r="Q695" s="165" t="s">
        <v>440</v>
      </c>
      <c r="R695" s="176"/>
      <c r="S695" s="176"/>
      <c r="T695" s="176"/>
      <c r="U695" s="176"/>
      <c r="V695" s="176"/>
      <c r="W695" s="176"/>
      <c r="X695" s="176"/>
      <c r="Y695" s="176"/>
      <c r="Z695" s="176"/>
      <c r="AA695" s="176"/>
    </row>
    <row r="696">
      <c r="A696" s="165" t="str">
        <f>iferror(VLOOKUP(P696,'DO NOT TOUCH Imported'!$A$1:$D$800,4,False),iferror(VLOOKUP(P696,'DO NOT TOUCH Imported'!$C$1:$D$800,2,False),"OOPS FIX ME"))</f>
        <v>vegayp</v>
      </c>
      <c r="B696" s="165" t="s">
        <v>440</v>
      </c>
      <c r="C696" s="170" t="s">
        <v>1260</v>
      </c>
      <c r="D696" s="236" t="s">
        <v>437</v>
      </c>
      <c r="E696" s="237">
        <v>44293.0</v>
      </c>
      <c r="F696" s="170" t="s">
        <v>439</v>
      </c>
      <c r="G696" s="219"/>
      <c r="H696" s="171">
        <v>70.0</v>
      </c>
      <c r="I696" s="171">
        <v>50.0</v>
      </c>
      <c r="J696" s="172">
        <f t="shared" si="24"/>
        <v>0.0008628017785</v>
      </c>
      <c r="K696" s="173">
        <f t="shared" si="32"/>
        <v>0.9922220452</v>
      </c>
      <c r="L696" s="174">
        <f t="shared" si="4"/>
        <v>5.748329845</v>
      </c>
      <c r="M696" s="175" t="str">
        <f t="shared" si="5"/>
        <v>vegayp</v>
      </c>
      <c r="N696" s="176">
        <f>IFERROR(__xludf.DUMMYFUNCTION("""COMPUTED_VALUE"""),20.0)</f>
        <v>20</v>
      </c>
      <c r="O696" s="176"/>
      <c r="P696" s="165" t="s">
        <v>492</v>
      </c>
      <c r="Q696" s="165" t="s">
        <v>440</v>
      </c>
      <c r="R696" s="176"/>
      <c r="S696" s="176"/>
      <c r="T696" s="176"/>
      <c r="U696" s="176"/>
      <c r="V696" s="176"/>
      <c r="W696" s="176"/>
      <c r="X696" s="176"/>
      <c r="Y696" s="176"/>
      <c r="Z696" s="176"/>
      <c r="AA696" s="176"/>
    </row>
    <row r="697">
      <c r="A697" s="165" t="str">
        <f>iferror(VLOOKUP(P697,'DO NOT TOUCH Imported'!$A$1:$D$800,4,False),iferror(VLOOKUP(P697,'DO NOT TOUCH Imported'!$C$1:$D$800,2,False),"OOPS FIX ME"))</f>
        <v>vegayp</v>
      </c>
      <c r="B697" s="165" t="s">
        <v>440</v>
      </c>
      <c r="C697" s="170" t="s">
        <v>1261</v>
      </c>
      <c r="D697" s="236" t="s">
        <v>437</v>
      </c>
      <c r="E697" s="237">
        <v>44293.0</v>
      </c>
      <c r="F697" s="170" t="s">
        <v>439</v>
      </c>
      <c r="G697" s="219"/>
      <c r="H697" s="171">
        <v>70.0</v>
      </c>
      <c r="I697" s="171">
        <v>50.0</v>
      </c>
      <c r="J697" s="172">
        <f t="shared" si="24"/>
        <v>0.0008628017785</v>
      </c>
      <c r="K697" s="173">
        <f t="shared" si="32"/>
        <v>0.9922220452</v>
      </c>
      <c r="L697" s="174">
        <f t="shared" si="4"/>
        <v>5.748329845</v>
      </c>
      <c r="M697" s="175" t="str">
        <f t="shared" si="5"/>
        <v>vegayp</v>
      </c>
      <c r="N697" s="176">
        <f>IFERROR(__xludf.DUMMYFUNCTION("""COMPUTED_VALUE"""),21.0)</f>
        <v>21</v>
      </c>
      <c r="O697" s="176"/>
      <c r="P697" s="165" t="s">
        <v>492</v>
      </c>
      <c r="Q697" s="165" t="s">
        <v>440</v>
      </c>
      <c r="R697" s="176"/>
      <c r="S697" s="176"/>
      <c r="T697" s="176"/>
      <c r="U697" s="176"/>
      <c r="V697" s="176"/>
      <c r="W697" s="176"/>
      <c r="X697" s="176"/>
      <c r="Y697" s="176"/>
      <c r="Z697" s="176"/>
      <c r="AA697" s="176"/>
    </row>
    <row r="698">
      <c r="A698" s="165" t="str">
        <f>iferror(VLOOKUP(P698,'DO NOT TOUCH Imported'!$A$1:$D$800,4,False),iferror(VLOOKUP(P698,'DO NOT TOUCH Imported'!$C$1:$D$800,2,False),"OOPS FIX ME"))</f>
        <v>vegayp</v>
      </c>
      <c r="B698" s="165" t="s">
        <v>441</v>
      </c>
      <c r="C698" s="170" t="s">
        <v>1488</v>
      </c>
      <c r="D698" s="236" t="s">
        <v>437</v>
      </c>
      <c r="E698" s="237">
        <v>44295.0</v>
      </c>
      <c r="F698" s="170" t="s">
        <v>439</v>
      </c>
      <c r="G698" s="219"/>
      <c r="H698" s="171">
        <v>150.0</v>
      </c>
      <c r="I698" s="171">
        <v>100.0</v>
      </c>
      <c r="J698" s="172">
        <f t="shared" si="24"/>
        <v>0.001797920595</v>
      </c>
      <c r="K698" s="173">
        <f t="shared" si="32"/>
        <v>2.067608684</v>
      </c>
      <c r="L698" s="174">
        <f t="shared" si="4"/>
        <v>5.748329845</v>
      </c>
      <c r="M698" s="175" t="str">
        <f t="shared" si="5"/>
        <v>vegayp</v>
      </c>
      <c r="N698" s="176">
        <f>IFERROR(__xludf.DUMMYFUNCTION("""COMPUTED_VALUE"""),22.0)</f>
        <v>22</v>
      </c>
      <c r="O698" s="176"/>
      <c r="P698" s="165" t="s">
        <v>492</v>
      </c>
      <c r="Q698" s="165" t="s">
        <v>441</v>
      </c>
      <c r="R698" s="176"/>
      <c r="S698" s="176"/>
      <c r="T698" s="176"/>
      <c r="U698" s="176"/>
      <c r="V698" s="176"/>
      <c r="W698" s="176"/>
      <c r="X698" s="176"/>
      <c r="Y698" s="176"/>
      <c r="Z698" s="176"/>
      <c r="AA698" s="176"/>
    </row>
    <row r="699">
      <c r="A699" s="165" t="str">
        <f>iferror(VLOOKUP(P699,'DO NOT TOUCH Imported'!$A$1:$D$800,4,False),iferror(VLOOKUP(P699,'DO NOT TOUCH Imported'!$C$1:$D$800,2,False),"OOPS FIX ME"))</f>
        <v>vegayp</v>
      </c>
      <c r="B699" s="165" t="s">
        <v>441</v>
      </c>
      <c r="C699" s="170" t="s">
        <v>1435</v>
      </c>
      <c r="D699" s="236" t="s">
        <v>437</v>
      </c>
      <c r="E699" s="237">
        <v>44295.0</v>
      </c>
      <c r="F699" s="170" t="s">
        <v>439</v>
      </c>
      <c r="G699" s="219"/>
      <c r="H699" s="171">
        <v>150.0</v>
      </c>
      <c r="I699" s="171">
        <v>200.0</v>
      </c>
      <c r="J699" s="172">
        <f t="shared" si="24"/>
        <v>0.002511085621</v>
      </c>
      <c r="K699" s="173">
        <f t="shared" si="32"/>
        <v>2.887748464</v>
      </c>
      <c r="L699" s="174">
        <f t="shared" si="4"/>
        <v>5.748329845</v>
      </c>
      <c r="M699" s="175" t="str">
        <f t="shared" si="5"/>
        <v>vegayp</v>
      </c>
      <c r="N699" s="176">
        <f>IFERROR(__xludf.DUMMYFUNCTION("""COMPUTED_VALUE"""),23.0)</f>
        <v>23</v>
      </c>
      <c r="O699" s="176"/>
      <c r="P699" s="165" t="s">
        <v>492</v>
      </c>
      <c r="Q699" s="165" t="s">
        <v>441</v>
      </c>
      <c r="R699" s="176"/>
      <c r="S699" s="176"/>
      <c r="T699" s="176"/>
      <c r="U699" s="176"/>
      <c r="V699" s="176"/>
      <c r="W699" s="176"/>
      <c r="X699" s="176"/>
      <c r="Y699" s="176"/>
      <c r="Z699" s="176"/>
      <c r="AA699" s="176"/>
    </row>
    <row r="700">
      <c r="A700" s="165" t="str">
        <f>iferror(VLOOKUP(P700,'DO NOT TOUCH Imported'!$A$1:$D$800,4,False),iferror(VLOOKUP(P700,'DO NOT TOUCH Imported'!$C$1:$D$800,2,False),"OOPS FIX ME"))</f>
        <v>vegayp</v>
      </c>
      <c r="B700" s="165" t="s">
        <v>441</v>
      </c>
      <c r="C700" s="170" t="s">
        <v>1436</v>
      </c>
      <c r="D700" s="236" t="s">
        <v>437</v>
      </c>
      <c r="E700" s="237">
        <v>44295.0</v>
      </c>
      <c r="F700" s="170" t="s">
        <v>439</v>
      </c>
      <c r="G700" s="219"/>
      <c r="H700" s="171">
        <v>80.0</v>
      </c>
      <c r="I700" s="171">
        <v>100.0</v>
      </c>
      <c r="J700" s="172">
        <f t="shared" si="24"/>
        <v>0.00129170133</v>
      </c>
      <c r="K700" s="173">
        <f t="shared" si="32"/>
        <v>1.485456529</v>
      </c>
      <c r="L700" s="174">
        <f t="shared" si="4"/>
        <v>5.748329845</v>
      </c>
      <c r="M700" s="175" t="str">
        <f t="shared" si="5"/>
        <v>vegayp</v>
      </c>
      <c r="N700" s="176">
        <f>IFERROR(__xludf.DUMMYFUNCTION("""COMPUTED_VALUE"""),24.0)</f>
        <v>24</v>
      </c>
      <c r="O700" s="176"/>
      <c r="P700" s="165" t="s">
        <v>492</v>
      </c>
      <c r="Q700" s="165" t="s">
        <v>441</v>
      </c>
      <c r="R700" s="176"/>
      <c r="S700" s="176"/>
      <c r="T700" s="176"/>
      <c r="U700" s="176"/>
      <c r="V700" s="176"/>
      <c r="W700" s="176"/>
      <c r="X700" s="176"/>
      <c r="Y700" s="176"/>
      <c r="Z700" s="176"/>
      <c r="AA700" s="176"/>
    </row>
    <row r="701">
      <c r="A701" s="165" t="str">
        <f>iferror(VLOOKUP(P701,'DO NOT TOUCH Imported'!$A$1:$D$800,4,False),iferror(VLOOKUP(P701,'DO NOT TOUCH Imported'!$C$1:$D$800,2,False),"OOPS FIX ME"))</f>
        <v>vegayp</v>
      </c>
      <c r="B701" s="165" t="s">
        <v>441</v>
      </c>
      <c r="C701" s="170" t="s">
        <v>1498</v>
      </c>
      <c r="D701" s="236" t="s">
        <v>437</v>
      </c>
      <c r="E701" s="237">
        <v>44295.0</v>
      </c>
      <c r="F701" s="170" t="s">
        <v>439</v>
      </c>
      <c r="G701" s="219"/>
      <c r="H701" s="171">
        <v>100.0</v>
      </c>
      <c r="I701" s="171">
        <v>150.0</v>
      </c>
      <c r="J701" s="172">
        <f t="shared" si="24"/>
        <v>0.001792917919</v>
      </c>
      <c r="K701" s="173">
        <f t="shared" si="32"/>
        <v>2.061855606</v>
      </c>
      <c r="L701" s="174">
        <f t="shared" si="4"/>
        <v>5.748329845</v>
      </c>
      <c r="M701" s="175" t="str">
        <f t="shared" si="5"/>
        <v>vegayp</v>
      </c>
      <c r="N701" s="176">
        <f>IFERROR(__xludf.DUMMYFUNCTION("""COMPUTED_VALUE"""),25.0)</f>
        <v>25</v>
      </c>
      <c r="O701" s="176"/>
      <c r="P701" s="165" t="s">
        <v>492</v>
      </c>
      <c r="Q701" s="165" t="s">
        <v>441</v>
      </c>
      <c r="R701" s="176"/>
      <c r="S701" s="176"/>
      <c r="T701" s="176"/>
      <c r="U701" s="176"/>
      <c r="V701" s="176"/>
      <c r="W701" s="176"/>
      <c r="X701" s="176"/>
      <c r="Y701" s="176"/>
      <c r="Z701" s="176"/>
      <c r="AA701" s="176"/>
    </row>
    <row r="702">
      <c r="A702" s="165" t="str">
        <f>iferror(VLOOKUP(P702,'DO NOT TOUCH Imported'!$A$1:$D$800,4,False),iferror(VLOOKUP(P702,'DO NOT TOUCH Imported'!$C$1:$D$800,2,False),"OOPS FIX ME"))</f>
        <v>vegayp</v>
      </c>
      <c r="B702" s="165" t="s">
        <v>441</v>
      </c>
      <c r="C702" s="170" t="s">
        <v>1267</v>
      </c>
      <c r="D702" s="236" t="s">
        <v>437</v>
      </c>
      <c r="E702" s="237">
        <v>44295.0</v>
      </c>
      <c r="F702" s="170" t="s">
        <v>439</v>
      </c>
      <c r="G702" s="219"/>
      <c r="H702" s="171">
        <v>50.0</v>
      </c>
      <c r="I702" s="171">
        <v>50.0</v>
      </c>
      <c r="J702" s="172">
        <f t="shared" si="24"/>
        <v>0.0007181677027</v>
      </c>
      <c r="K702" s="173">
        <f t="shared" si="32"/>
        <v>0.8258928581</v>
      </c>
      <c r="L702" s="174">
        <f t="shared" si="4"/>
        <v>5.748329845</v>
      </c>
      <c r="M702" s="175" t="str">
        <f t="shared" si="5"/>
        <v>vegayp</v>
      </c>
      <c r="N702" s="176">
        <f>IFERROR(__xludf.DUMMYFUNCTION("""COMPUTED_VALUE"""),26.0)</f>
        <v>26</v>
      </c>
      <c r="O702" s="176"/>
      <c r="P702" s="165" t="s">
        <v>492</v>
      </c>
      <c r="Q702" s="165" t="s">
        <v>441</v>
      </c>
      <c r="R702" s="176"/>
      <c r="S702" s="176"/>
      <c r="T702" s="176"/>
      <c r="U702" s="176"/>
      <c r="V702" s="176"/>
      <c r="W702" s="176"/>
      <c r="X702" s="176"/>
      <c r="Y702" s="176"/>
      <c r="Z702" s="176"/>
      <c r="AA702" s="176"/>
    </row>
    <row r="703">
      <c r="A703" s="165" t="str">
        <f>iferror(VLOOKUP(P703,'DO NOT TOUCH Imported'!$A$1:$D$800,4,False),iferror(VLOOKUP(P703,'DO NOT TOUCH Imported'!$C$1:$D$800,2,False),"OOPS FIX ME"))</f>
        <v>Tonga2020</v>
      </c>
      <c r="B703" s="165" t="s">
        <v>435</v>
      </c>
      <c r="C703" s="170" t="s">
        <v>1499</v>
      </c>
      <c r="D703" s="236" t="s">
        <v>437</v>
      </c>
      <c r="E703" s="239">
        <v>44287.0</v>
      </c>
      <c r="F703" s="170" t="s">
        <v>439</v>
      </c>
      <c r="G703" s="219"/>
      <c r="H703" s="171">
        <v>100.0</v>
      </c>
      <c r="I703" s="171">
        <v>80.0</v>
      </c>
      <c r="J703" s="172">
        <f t="shared" si="24"/>
        <v>0.0012937024</v>
      </c>
      <c r="K703" s="173">
        <f t="shared" si="32"/>
        <v>1.48775776</v>
      </c>
      <c r="L703" s="174">
        <f t="shared" si="4"/>
        <v>5.450892863</v>
      </c>
      <c r="M703" s="175" t="str">
        <f t="shared" si="5"/>
        <v>Tonga2020</v>
      </c>
      <c r="N703" s="176">
        <f>IFERROR(__xludf.DUMMYFUNCTION("""COMPUTED_VALUE"""),1.0)</f>
        <v>1</v>
      </c>
      <c r="O703" s="176"/>
      <c r="P703" s="165" t="s">
        <v>1204</v>
      </c>
      <c r="Q703" s="165" t="s">
        <v>435</v>
      </c>
      <c r="R703" s="176"/>
      <c r="S703" s="176"/>
      <c r="T703" s="176"/>
      <c r="U703" s="176"/>
      <c r="V703" s="176"/>
      <c r="W703" s="176"/>
      <c r="X703" s="176"/>
      <c r="Y703" s="176"/>
      <c r="Z703" s="176"/>
      <c r="AA703" s="176"/>
    </row>
    <row r="704">
      <c r="A704" s="165" t="str">
        <f>iferror(VLOOKUP(P704,'DO NOT TOUCH Imported'!$A$1:$D$800,4,False),iferror(VLOOKUP(P704,'DO NOT TOUCH Imported'!$C$1:$D$800,2,False),"OOPS FIX ME"))</f>
        <v>Tonga2020</v>
      </c>
      <c r="B704" s="165" t="s">
        <v>440</v>
      </c>
      <c r="C704" s="170" t="s">
        <v>1253</v>
      </c>
      <c r="D704" s="236" t="s">
        <v>437</v>
      </c>
      <c r="E704" s="237">
        <v>44291.0</v>
      </c>
      <c r="F704" s="170" t="s">
        <v>439</v>
      </c>
      <c r="G704" s="219"/>
      <c r="H704" s="171">
        <v>50.0</v>
      </c>
      <c r="I704" s="171">
        <v>50.0</v>
      </c>
      <c r="J704" s="172">
        <f t="shared" si="24"/>
        <v>0.0007181677027</v>
      </c>
      <c r="K704" s="173">
        <f t="shared" si="32"/>
        <v>0.8258928581</v>
      </c>
      <c r="L704" s="174">
        <f t="shared" si="4"/>
        <v>5.450892863</v>
      </c>
      <c r="M704" s="175" t="str">
        <f t="shared" si="5"/>
        <v>Tonga2020</v>
      </c>
      <c r="N704" s="176">
        <f>IFERROR(__xludf.DUMMYFUNCTION("""COMPUTED_VALUE"""),2.0)</f>
        <v>2</v>
      </c>
      <c r="O704" s="176"/>
      <c r="P704" s="165" t="s">
        <v>1204</v>
      </c>
      <c r="Q704" s="165" t="s">
        <v>440</v>
      </c>
      <c r="R704" s="176"/>
      <c r="S704" s="176"/>
      <c r="T704" s="176"/>
      <c r="U704" s="176"/>
      <c r="V704" s="176"/>
      <c r="W704" s="176"/>
      <c r="X704" s="176"/>
      <c r="Y704" s="176"/>
      <c r="Z704" s="176"/>
      <c r="AA704" s="176"/>
    </row>
    <row r="705">
      <c r="A705" s="165" t="str">
        <f>iferror(VLOOKUP(P705,'DO NOT TOUCH Imported'!$A$1:$D$800,4,False),iferror(VLOOKUP(P705,'DO NOT TOUCH Imported'!$C$1:$D$800,2,False),"OOPS FIX ME"))</f>
        <v>Tonga2020</v>
      </c>
      <c r="B705" s="165" t="s">
        <v>441</v>
      </c>
      <c r="C705" s="170" t="s">
        <v>1411</v>
      </c>
      <c r="D705" s="236" t="s">
        <v>437</v>
      </c>
      <c r="E705" s="237">
        <v>44295.0</v>
      </c>
      <c r="F705" s="170" t="s">
        <v>439</v>
      </c>
      <c r="G705" s="219"/>
      <c r="H705" s="171">
        <v>100.0</v>
      </c>
      <c r="I705" s="171">
        <v>100.0</v>
      </c>
      <c r="J705" s="172">
        <f t="shared" si="24"/>
        <v>0.001436335405</v>
      </c>
      <c r="K705" s="173">
        <f t="shared" si="32"/>
        <v>1.651785716</v>
      </c>
      <c r="L705" s="174">
        <f t="shared" si="4"/>
        <v>5.450892863</v>
      </c>
      <c r="M705" s="175" t="str">
        <f t="shared" si="5"/>
        <v>Tonga2020</v>
      </c>
      <c r="N705" s="176">
        <f>IFERROR(__xludf.DUMMYFUNCTION("""COMPUTED_VALUE"""),3.0)</f>
        <v>3</v>
      </c>
      <c r="O705" s="176"/>
      <c r="P705" s="165" t="s">
        <v>1204</v>
      </c>
      <c r="Q705" s="165" t="s">
        <v>441</v>
      </c>
      <c r="R705" s="176"/>
      <c r="S705" s="176"/>
      <c r="T705" s="176"/>
      <c r="U705" s="176"/>
      <c r="V705" s="176"/>
      <c r="W705" s="176"/>
      <c r="X705" s="176"/>
      <c r="Y705" s="176"/>
      <c r="Z705" s="176"/>
      <c r="AA705" s="176"/>
    </row>
    <row r="706">
      <c r="A706" s="165" t="str">
        <f>iferror(VLOOKUP(P706,'DO NOT TOUCH Imported'!$A$1:$D$800,4,False),iferror(VLOOKUP(P706,'DO NOT TOUCH Imported'!$C$1:$D$800,2,False),"OOPS FIX ME"))</f>
        <v>Tonga2020</v>
      </c>
      <c r="B706" s="165" t="s">
        <v>441</v>
      </c>
      <c r="C706" s="170" t="s">
        <v>1370</v>
      </c>
      <c r="D706" s="236" t="s">
        <v>437</v>
      </c>
      <c r="E706" s="237">
        <v>44295.0</v>
      </c>
      <c r="F706" s="170" t="s">
        <v>439</v>
      </c>
      <c r="G706" s="219"/>
      <c r="H706" s="171">
        <v>80.0</v>
      </c>
      <c r="I706" s="171">
        <v>100.0</v>
      </c>
      <c r="J706" s="172">
        <f t="shared" si="24"/>
        <v>0.00129170133</v>
      </c>
      <c r="K706" s="173">
        <f t="shared" si="32"/>
        <v>1.485456529</v>
      </c>
      <c r="L706" s="174">
        <f t="shared" si="4"/>
        <v>5.450892863</v>
      </c>
      <c r="M706" s="175" t="str">
        <f t="shared" si="5"/>
        <v>Tonga2020</v>
      </c>
      <c r="N706" s="176">
        <f>IFERROR(__xludf.DUMMYFUNCTION("""COMPUTED_VALUE"""),4.0)</f>
        <v>4</v>
      </c>
      <c r="O706" s="176"/>
      <c r="P706" s="165" t="s">
        <v>1204</v>
      </c>
      <c r="Q706" s="165" t="s">
        <v>441</v>
      </c>
      <c r="R706" s="176"/>
      <c r="S706" s="176"/>
      <c r="T706" s="176"/>
      <c r="U706" s="176"/>
      <c r="V706" s="176"/>
      <c r="W706" s="176"/>
      <c r="X706" s="176"/>
      <c r="Y706" s="176"/>
      <c r="Z706" s="176"/>
      <c r="AA706" s="176"/>
    </row>
    <row r="707">
      <c r="A707" s="165" t="str">
        <f>iferror(VLOOKUP(P707,'DO NOT TOUCH Imported'!$A$1:$D$800,4,False),iferror(VLOOKUP(P707,'DO NOT TOUCH Imported'!$C$1:$D$800,2,False),"OOPS FIX ME"))</f>
        <v>AnnaMarieSwan#8824</v>
      </c>
      <c r="B707" s="165" t="s">
        <v>435</v>
      </c>
      <c r="C707" s="170" t="s">
        <v>1500</v>
      </c>
      <c r="D707" s="236" t="s">
        <v>437</v>
      </c>
      <c r="E707" s="237">
        <v>44293.0</v>
      </c>
      <c r="F707" s="170" t="s">
        <v>439</v>
      </c>
      <c r="G707" s="219"/>
      <c r="H707" s="171">
        <v>70.0</v>
      </c>
      <c r="I707" s="171">
        <v>50.0</v>
      </c>
      <c r="J707" s="172">
        <f t="shared" si="24"/>
        <v>0.0008628017785</v>
      </c>
      <c r="K707" s="173">
        <f t="shared" si="32"/>
        <v>0.9922220452</v>
      </c>
      <c r="L707" s="174">
        <f t="shared" si="4"/>
        <v>5.412187105</v>
      </c>
      <c r="M707" s="175" t="str">
        <f t="shared" si="5"/>
        <v>AnnaMarieSwan#8824</v>
      </c>
      <c r="N707" s="176">
        <f>IFERROR(__xludf.DUMMYFUNCTION("""COMPUTED_VALUE"""),1.0)</f>
        <v>1</v>
      </c>
      <c r="O707" s="176"/>
      <c r="P707" s="165" t="s">
        <v>67</v>
      </c>
      <c r="Q707" s="165" t="s">
        <v>435</v>
      </c>
      <c r="R707" s="176"/>
      <c r="S707" s="176"/>
      <c r="T707" s="176"/>
      <c r="U707" s="176"/>
      <c r="V707" s="176"/>
      <c r="W707" s="176"/>
      <c r="X707" s="176"/>
      <c r="Y707" s="176"/>
      <c r="Z707" s="176"/>
      <c r="AA707" s="176"/>
    </row>
    <row r="708">
      <c r="A708" s="165" t="str">
        <f>iferror(VLOOKUP(P708,'DO NOT TOUCH Imported'!$A$1:$D$800,4,False),iferror(VLOOKUP(P708,'DO NOT TOUCH Imported'!$C$1:$D$800,2,False),"OOPS FIX ME"))</f>
        <v>AnnaMarieSwan#8824</v>
      </c>
      <c r="B708" s="165" t="s">
        <v>530</v>
      </c>
      <c r="C708" s="170" t="s">
        <v>1501</v>
      </c>
      <c r="D708" s="236" t="s">
        <v>499</v>
      </c>
      <c r="E708" s="237">
        <v>44293.0</v>
      </c>
      <c r="F708" s="170" t="s">
        <v>503</v>
      </c>
      <c r="G708" s="219"/>
      <c r="H708" s="171">
        <v>70.0</v>
      </c>
      <c r="I708" s="171">
        <v>50.0</v>
      </c>
      <c r="J708" s="172">
        <f t="shared" si="24"/>
        <v>0.0008628017785</v>
      </c>
      <c r="K708" s="173">
        <f t="shared" si="32"/>
        <v>0.9922220452</v>
      </c>
      <c r="L708" s="174">
        <f t="shared" si="4"/>
        <v>5.412187105</v>
      </c>
      <c r="M708" s="175" t="str">
        <f t="shared" si="5"/>
        <v>AnnaMarieSwan#8824</v>
      </c>
      <c r="N708" s="176">
        <f>IFERROR(__xludf.DUMMYFUNCTION("""COMPUTED_VALUE"""),2.0)</f>
        <v>2</v>
      </c>
      <c r="O708" s="176"/>
      <c r="P708" s="165" t="s">
        <v>67</v>
      </c>
      <c r="Q708" s="165" t="s">
        <v>530</v>
      </c>
      <c r="R708" s="176"/>
      <c r="S708" s="176"/>
      <c r="T708" s="176"/>
      <c r="U708" s="176"/>
      <c r="V708" s="176"/>
      <c r="W708" s="176"/>
      <c r="X708" s="176"/>
      <c r="Y708" s="176"/>
      <c r="Z708" s="176"/>
      <c r="AA708" s="176"/>
    </row>
    <row r="709">
      <c r="A709" s="165" t="str">
        <f>iferror(VLOOKUP(P709,'DO NOT TOUCH Imported'!$A$1:$D$800,4,False),iferror(VLOOKUP(P709,'DO NOT TOUCH Imported'!$C$1:$D$800,2,False),"OOPS FIX ME"))</f>
        <v>AnnaMarieSwan#8824</v>
      </c>
      <c r="B709" s="165" t="s">
        <v>441</v>
      </c>
      <c r="C709" s="170" t="s">
        <v>1502</v>
      </c>
      <c r="D709" s="236" t="s">
        <v>437</v>
      </c>
      <c r="E709" s="237">
        <v>44295.0</v>
      </c>
      <c r="F709" s="170" t="s">
        <v>439</v>
      </c>
      <c r="G709" s="219"/>
      <c r="H709" s="171">
        <v>70.0</v>
      </c>
      <c r="I709" s="171">
        <v>80.0</v>
      </c>
      <c r="J709" s="172">
        <f t="shared" si="24"/>
        <v>0.001076751286</v>
      </c>
      <c r="K709" s="173">
        <f t="shared" si="32"/>
        <v>1.238263979</v>
      </c>
      <c r="L709" s="174">
        <f t="shared" si="4"/>
        <v>5.412187105</v>
      </c>
      <c r="M709" s="175" t="str">
        <f t="shared" si="5"/>
        <v>AnnaMarieSwan#8824</v>
      </c>
      <c r="N709" s="176">
        <f>IFERROR(__xludf.DUMMYFUNCTION("""COMPUTED_VALUE"""),3.0)</f>
        <v>3</v>
      </c>
      <c r="O709" s="176"/>
      <c r="P709" s="165" t="s">
        <v>67</v>
      </c>
      <c r="Q709" s="165" t="s">
        <v>441</v>
      </c>
      <c r="R709" s="176"/>
      <c r="S709" s="176"/>
      <c r="T709" s="176"/>
      <c r="U709" s="176"/>
      <c r="V709" s="176"/>
      <c r="W709" s="176"/>
      <c r="X709" s="176"/>
      <c r="Y709" s="176"/>
      <c r="Z709" s="176"/>
      <c r="AA709" s="176"/>
    </row>
    <row r="710">
      <c r="A710" s="165" t="str">
        <f>iferror(VLOOKUP(P710,'DO NOT TOUCH Imported'!$A$1:$D$800,4,False),iferror(VLOOKUP(P710,'DO NOT TOUCH Imported'!$C$1:$D$800,2,False),"OOPS FIX ME"))</f>
        <v>AnnaMarieSwan#8824</v>
      </c>
      <c r="B710" s="165" t="s">
        <v>441</v>
      </c>
      <c r="C710" s="170" t="s">
        <v>1379</v>
      </c>
      <c r="D710" s="236" t="s">
        <v>437</v>
      </c>
      <c r="E710" s="237">
        <v>44295.0</v>
      </c>
      <c r="F710" s="170" t="s">
        <v>439</v>
      </c>
      <c r="G710" s="219"/>
      <c r="H710" s="171">
        <v>70.0</v>
      </c>
      <c r="I710" s="171">
        <v>50.0</v>
      </c>
      <c r="J710" s="172">
        <f t="shared" si="24"/>
        <v>0.0008628017785</v>
      </c>
      <c r="K710" s="173">
        <f t="shared" si="32"/>
        <v>0.9922220452</v>
      </c>
      <c r="L710" s="174">
        <f t="shared" si="4"/>
        <v>5.412187105</v>
      </c>
      <c r="M710" s="175" t="str">
        <f t="shared" si="5"/>
        <v>AnnaMarieSwan#8824</v>
      </c>
      <c r="N710" s="176">
        <f>IFERROR(__xludf.DUMMYFUNCTION("""COMPUTED_VALUE"""),4.0)</f>
        <v>4</v>
      </c>
      <c r="O710" s="176"/>
      <c r="P710" s="165" t="s">
        <v>67</v>
      </c>
      <c r="Q710" s="165" t="s">
        <v>441</v>
      </c>
      <c r="R710" s="176"/>
      <c r="S710" s="176"/>
      <c r="T710" s="176"/>
      <c r="U710" s="176"/>
      <c r="V710" s="176"/>
      <c r="W710" s="176"/>
      <c r="X710" s="176"/>
      <c r="Y710" s="176"/>
      <c r="Z710" s="176"/>
      <c r="AA710" s="176"/>
    </row>
    <row r="711">
      <c r="A711" s="165" t="str">
        <f>iferror(VLOOKUP(P711,'DO NOT TOUCH Imported'!$A$1:$D$800,4,False),iferror(VLOOKUP(P711,'DO NOT TOUCH Imported'!$C$1:$D$800,2,False),"OOPS FIX ME"))</f>
        <v>AnnaMarieSwan#8824</v>
      </c>
      <c r="B711" s="165" t="s">
        <v>441</v>
      </c>
      <c r="C711" s="170" t="s">
        <v>1267</v>
      </c>
      <c r="D711" s="236" t="s">
        <v>437</v>
      </c>
      <c r="E711" s="237">
        <v>44295.0</v>
      </c>
      <c r="F711" s="170" t="s">
        <v>439</v>
      </c>
      <c r="G711" s="219"/>
      <c r="H711" s="171">
        <v>50.0</v>
      </c>
      <c r="I711" s="171">
        <v>50.0</v>
      </c>
      <c r="J711" s="172">
        <f t="shared" si="24"/>
        <v>0.0007181677027</v>
      </c>
      <c r="K711" s="173">
        <f t="shared" si="32"/>
        <v>0.8258928581</v>
      </c>
      <c r="L711" s="174">
        <f t="shared" si="4"/>
        <v>5.412187105</v>
      </c>
      <c r="M711" s="175" t="str">
        <f t="shared" si="5"/>
        <v>AnnaMarieSwan#8824</v>
      </c>
      <c r="N711" s="176">
        <f>IFERROR(__xludf.DUMMYFUNCTION("""COMPUTED_VALUE"""),5.0)</f>
        <v>5</v>
      </c>
      <c r="O711" s="176"/>
      <c r="P711" s="165" t="s">
        <v>67</v>
      </c>
      <c r="Q711" s="165" t="s">
        <v>441</v>
      </c>
      <c r="R711" s="176"/>
      <c r="S711" s="176"/>
      <c r="T711" s="176"/>
      <c r="U711" s="176"/>
      <c r="V711" s="176"/>
      <c r="W711" s="176"/>
      <c r="X711" s="176"/>
      <c r="Y711" s="176"/>
      <c r="Z711" s="176"/>
      <c r="AA711" s="176"/>
    </row>
    <row r="712">
      <c r="A712" s="165" t="str">
        <f>iferror(VLOOKUP(P712,'DO NOT TOUCH Imported'!$A$1:$D$800,4,False),iferror(VLOOKUP(P712,'DO NOT TOUCH Imported'!$C$1:$D$800,2,False),"OOPS FIX ME"))</f>
        <v>AnnaMarieSwan#8824</v>
      </c>
      <c r="B712" s="165" t="s">
        <v>441</v>
      </c>
      <c r="C712" s="170" t="s">
        <v>1422</v>
      </c>
      <c r="D712" s="236" t="s">
        <v>499</v>
      </c>
      <c r="E712" s="237">
        <v>44295.0</v>
      </c>
      <c r="F712" s="170" t="s">
        <v>503</v>
      </c>
      <c r="G712" s="219"/>
      <c r="H712" s="171">
        <v>20.0</v>
      </c>
      <c r="I712" s="171">
        <v>25.0</v>
      </c>
      <c r="J712" s="172">
        <f t="shared" si="24"/>
        <v>0.0003229253324</v>
      </c>
      <c r="K712" s="173">
        <f t="shared" si="32"/>
        <v>0.3713641322</v>
      </c>
      <c r="L712" s="174">
        <f t="shared" si="4"/>
        <v>5.412187105</v>
      </c>
      <c r="M712" s="175" t="str">
        <f t="shared" si="5"/>
        <v>AnnaMarieSwan#8824</v>
      </c>
      <c r="N712" s="176">
        <f>IFERROR(__xludf.DUMMYFUNCTION("""COMPUTED_VALUE"""),6.0)</f>
        <v>6</v>
      </c>
      <c r="O712" s="176"/>
      <c r="P712" s="165" t="s">
        <v>67</v>
      </c>
      <c r="Q712" s="165" t="s">
        <v>441</v>
      </c>
      <c r="R712" s="176"/>
      <c r="S712" s="176"/>
      <c r="T712" s="176"/>
      <c r="U712" s="176"/>
      <c r="V712" s="176"/>
      <c r="W712" s="176"/>
      <c r="X712" s="176"/>
      <c r="Y712" s="176"/>
      <c r="Z712" s="176"/>
      <c r="AA712" s="176"/>
    </row>
    <row r="713">
      <c r="A713" s="185" t="str">
        <f>iferror(VLOOKUP(P713,'DO NOT TOUCH Imported'!$A$1:$D$800,4,False),iferror(VLOOKUP(P713,'DO NOT TOUCH Imported'!$C$1:$D$800,2,False),"OOPS FIX ME"))</f>
        <v>atacas</v>
      </c>
      <c r="B713" s="185" t="s">
        <v>534</v>
      </c>
      <c r="C713" s="186" t="s">
        <v>688</v>
      </c>
      <c r="D713" s="187"/>
      <c r="E713" s="188"/>
      <c r="F713" s="189"/>
      <c r="G713" s="195"/>
      <c r="H713" s="190"/>
      <c r="I713" s="190"/>
      <c r="J713" s="172">
        <f t="shared" si="24"/>
        <v>0</v>
      </c>
      <c r="K713" s="215">
        <v>0.0</v>
      </c>
      <c r="L713" s="193">
        <f t="shared" si="4"/>
        <v>5.359673961</v>
      </c>
      <c r="M713" s="194" t="str">
        <f t="shared" si="5"/>
        <v>atacas</v>
      </c>
      <c r="N713" s="195">
        <f>IFERROR(__xludf.DUMMYFUNCTION("""COMPUTED_VALUE"""),1.0)</f>
        <v>1</v>
      </c>
      <c r="O713" s="195"/>
      <c r="P713" s="185" t="s">
        <v>55</v>
      </c>
      <c r="Q713" s="185" t="s">
        <v>534</v>
      </c>
      <c r="R713" s="195">
        <v>6.463920504925881</v>
      </c>
      <c r="S713" s="195"/>
      <c r="T713" s="195"/>
      <c r="U713" s="195"/>
      <c r="V713" s="195"/>
      <c r="W713" s="195"/>
      <c r="X713" s="195"/>
      <c r="Y713" s="195"/>
      <c r="Z713" s="195"/>
      <c r="AA713" s="176"/>
    </row>
    <row r="714">
      <c r="A714" s="165" t="str">
        <f>iferror(VLOOKUP(P714,'DO NOT TOUCH Imported'!$A$1:$D$800,4,False),iferror(VLOOKUP(P714,'DO NOT TOUCH Imported'!$C$1:$D$800,2,False),"OOPS FIX ME"))</f>
        <v>atacas</v>
      </c>
      <c r="B714" s="165" t="s">
        <v>435</v>
      </c>
      <c r="C714" s="170" t="s">
        <v>1503</v>
      </c>
      <c r="D714" s="236" t="s">
        <v>437</v>
      </c>
      <c r="E714" s="239">
        <v>44287.0</v>
      </c>
      <c r="F714" s="170" t="s">
        <v>439</v>
      </c>
      <c r="G714" s="219"/>
      <c r="H714" s="171">
        <v>150.0</v>
      </c>
      <c r="I714" s="171">
        <v>250.0</v>
      </c>
      <c r="J714" s="172">
        <f t="shared" si="24"/>
        <v>0.002867668134</v>
      </c>
      <c r="K714" s="173">
        <f t="shared" ref="K714:K715" si="33">J714*$J$1</f>
        <v>3.297818355</v>
      </c>
      <c r="L714" s="174">
        <f t="shared" si="4"/>
        <v>5.359673961</v>
      </c>
      <c r="M714" s="175" t="str">
        <f t="shared" si="5"/>
        <v>atacas</v>
      </c>
      <c r="N714" s="176">
        <f>IFERROR(__xludf.DUMMYFUNCTION("""COMPUTED_VALUE"""),2.0)</f>
        <v>2</v>
      </c>
      <c r="O714" s="176"/>
      <c r="P714" s="165" t="s">
        <v>686</v>
      </c>
      <c r="Q714" s="165" t="s">
        <v>435</v>
      </c>
      <c r="R714" s="176"/>
      <c r="S714" s="176"/>
      <c r="T714" s="176"/>
      <c r="U714" s="176"/>
      <c r="V714" s="176"/>
      <c r="W714" s="176"/>
      <c r="X714" s="176"/>
      <c r="Y714" s="176"/>
      <c r="Z714" s="176"/>
      <c r="AA714" s="176"/>
    </row>
    <row r="715">
      <c r="A715" s="165" t="str">
        <f>iferror(VLOOKUP(P715,'DO NOT TOUCH Imported'!$A$1:$D$800,4,False),iferror(VLOOKUP(P715,'DO NOT TOUCH Imported'!$C$1:$D$800,2,False),"OOPS FIX ME"))</f>
        <v>atacas</v>
      </c>
      <c r="B715" s="165" t="s">
        <v>435</v>
      </c>
      <c r="C715" s="170" t="s">
        <v>1504</v>
      </c>
      <c r="D715" s="236" t="s">
        <v>499</v>
      </c>
      <c r="E715" s="237">
        <v>44291.0</v>
      </c>
      <c r="F715" s="170" t="s">
        <v>503</v>
      </c>
      <c r="G715" s="219"/>
      <c r="H715" s="171">
        <v>100.0</v>
      </c>
      <c r="I715" s="171">
        <v>150.0</v>
      </c>
      <c r="J715" s="172">
        <f t="shared" si="24"/>
        <v>0.001792917919</v>
      </c>
      <c r="K715" s="173">
        <f t="shared" si="33"/>
        <v>2.061855606</v>
      </c>
      <c r="L715" s="174">
        <f t="shared" si="4"/>
        <v>5.359673961</v>
      </c>
      <c r="M715" s="175" t="str">
        <f t="shared" si="5"/>
        <v>atacas</v>
      </c>
      <c r="N715" s="176">
        <f>IFERROR(__xludf.DUMMYFUNCTION("""COMPUTED_VALUE"""),3.0)</f>
        <v>3</v>
      </c>
      <c r="O715" s="176"/>
      <c r="P715" s="165" t="s">
        <v>686</v>
      </c>
      <c r="Q715" s="165" t="s">
        <v>435</v>
      </c>
      <c r="R715" s="176"/>
      <c r="S715" s="176"/>
      <c r="T715" s="176"/>
      <c r="U715" s="176"/>
      <c r="V715" s="176"/>
      <c r="W715" s="176"/>
      <c r="X715" s="176"/>
      <c r="Y715" s="176"/>
      <c r="Z715" s="176"/>
      <c r="AA715" s="176"/>
    </row>
    <row r="716">
      <c r="A716" s="185" t="str">
        <f>iferror(VLOOKUP(P716,'DO NOT TOUCH Imported'!$A$1:$D$800,4,False),iferror(VLOOKUP(P716,'DO NOT TOUCH Imported'!$C$1:$D$800,2,False),"OOPS FIX ME"))</f>
        <v>JessicaZartler</v>
      </c>
      <c r="B716" s="185" t="s">
        <v>534</v>
      </c>
      <c r="C716" s="186" t="s">
        <v>741</v>
      </c>
      <c r="D716" s="187"/>
      <c r="E716" s="188"/>
      <c r="F716" s="189"/>
      <c r="G716" s="190"/>
      <c r="H716" s="190"/>
      <c r="I716" s="190"/>
      <c r="J716" s="172">
        <f t="shared" si="24"/>
        <v>0</v>
      </c>
      <c r="K716" s="192">
        <f>35.394*-0.85</f>
        <v>-30.0849</v>
      </c>
      <c r="L716" s="193">
        <f t="shared" si="4"/>
        <v>5.308923776</v>
      </c>
      <c r="M716" s="194" t="str">
        <f t="shared" si="5"/>
        <v>JessicaZartler</v>
      </c>
      <c r="N716" s="195">
        <f>IFERROR(__xludf.DUMMYFUNCTION("""COMPUTED_VALUE"""),1.0)</f>
        <v>1</v>
      </c>
      <c r="O716" s="195"/>
      <c r="P716" s="185" t="s">
        <v>14</v>
      </c>
      <c r="Q716" s="185" t="s">
        <v>534</v>
      </c>
      <c r="R716" s="195"/>
      <c r="S716" s="195"/>
      <c r="T716" s="195"/>
      <c r="U716" s="195"/>
      <c r="V716" s="195"/>
      <c r="W716" s="195"/>
      <c r="X716" s="195"/>
      <c r="Y716" s="195"/>
      <c r="Z716" s="195"/>
      <c r="AA716" s="176"/>
    </row>
    <row r="717">
      <c r="A717" s="165" t="str">
        <f>iferror(VLOOKUP(P717,'DO NOT TOUCH Imported'!$A$1:$D$800,4,False),iferror(VLOOKUP(P717,'DO NOT TOUCH Imported'!$C$1:$D$800,2,False),"OOPS FIX ME"))</f>
        <v>JessicaZartler</v>
      </c>
      <c r="B717" s="165" t="s">
        <v>10</v>
      </c>
      <c r="C717" s="170" t="s">
        <v>498</v>
      </c>
      <c r="D717" s="236" t="s">
        <v>495</v>
      </c>
      <c r="E717" s="239">
        <v>44282.0</v>
      </c>
      <c r="F717" s="170" t="s">
        <v>499</v>
      </c>
      <c r="G717" s="219"/>
      <c r="H717" s="171">
        <v>20.0</v>
      </c>
      <c r="I717" s="171">
        <v>25.0</v>
      </c>
      <c r="J717" s="172">
        <f t="shared" si="24"/>
        <v>0.0003229253324</v>
      </c>
      <c r="K717" s="173">
        <f t="shared" ref="K717:K741" si="34">J717*$J$1</f>
        <v>0.3713641322</v>
      </c>
      <c r="L717" s="174">
        <f t="shared" si="4"/>
        <v>5.308923776</v>
      </c>
      <c r="M717" s="175" t="str">
        <f t="shared" si="5"/>
        <v>JessicaZartler</v>
      </c>
      <c r="N717" s="176">
        <f>IFERROR(__xludf.DUMMYFUNCTION("""COMPUTED_VALUE"""),2.0)</f>
        <v>2</v>
      </c>
      <c r="O717" s="176"/>
      <c r="P717" s="165" t="s">
        <v>14</v>
      </c>
      <c r="Q717" s="165" t="s">
        <v>10</v>
      </c>
      <c r="R717" s="176"/>
      <c r="S717" s="176"/>
      <c r="T717" s="176"/>
      <c r="U717" s="176"/>
      <c r="V717" s="176"/>
      <c r="W717" s="176"/>
      <c r="X717" s="176"/>
      <c r="Y717" s="176"/>
      <c r="Z717" s="176"/>
      <c r="AA717" s="176"/>
    </row>
    <row r="718">
      <c r="A718" s="165" t="str">
        <f>iferror(VLOOKUP(P718,'DO NOT TOUCH Imported'!$A$1:$D$800,4,False),iferror(VLOOKUP(P718,'DO NOT TOUCH Imported'!$C$1:$D$800,2,False),"OOPS FIX ME"))</f>
        <v>JessicaZartler</v>
      </c>
      <c r="B718" s="165" t="s">
        <v>10</v>
      </c>
      <c r="C718" s="170" t="s">
        <v>500</v>
      </c>
      <c r="D718" s="236" t="s">
        <v>495</v>
      </c>
      <c r="E718" s="239">
        <v>44282.0</v>
      </c>
      <c r="F718" s="170" t="s">
        <v>496</v>
      </c>
      <c r="G718" s="219"/>
      <c r="H718" s="171">
        <v>20.0</v>
      </c>
      <c r="I718" s="171">
        <v>25.0</v>
      </c>
      <c r="J718" s="172">
        <f t="shared" si="24"/>
        <v>0.0003229253324</v>
      </c>
      <c r="K718" s="173">
        <f t="shared" si="34"/>
        <v>0.3713641322</v>
      </c>
      <c r="L718" s="174">
        <f t="shared" si="4"/>
        <v>5.308923776</v>
      </c>
      <c r="M718" s="175" t="str">
        <f t="shared" si="5"/>
        <v>JessicaZartler</v>
      </c>
      <c r="N718" s="176">
        <f>IFERROR(__xludf.DUMMYFUNCTION("""COMPUTED_VALUE"""),3.0)</f>
        <v>3</v>
      </c>
      <c r="O718" s="176"/>
      <c r="P718" s="165" t="s">
        <v>14</v>
      </c>
      <c r="Q718" s="165" t="s">
        <v>10</v>
      </c>
      <c r="R718" s="176"/>
      <c r="S718" s="176"/>
      <c r="T718" s="176"/>
      <c r="U718" s="176"/>
      <c r="V718" s="176"/>
      <c r="W718" s="176"/>
      <c r="X718" s="176"/>
      <c r="Y718" s="176"/>
      <c r="Z718" s="176"/>
      <c r="AA718" s="176"/>
    </row>
    <row r="719">
      <c r="A719" s="165" t="str">
        <f>iferror(VLOOKUP(P719,'DO NOT TOUCH Imported'!$A$1:$D$800,4,False),iferror(VLOOKUP(P719,'DO NOT TOUCH Imported'!$C$1:$D$800,2,False),"OOPS FIX ME"))</f>
        <v>JessicaZartler</v>
      </c>
      <c r="B719" s="165" t="s">
        <v>10</v>
      </c>
      <c r="C719" s="170" t="s">
        <v>498</v>
      </c>
      <c r="D719" s="236" t="s">
        <v>495</v>
      </c>
      <c r="E719" s="239">
        <v>44288.0</v>
      </c>
      <c r="F719" s="170" t="s">
        <v>499</v>
      </c>
      <c r="G719" s="219"/>
      <c r="H719" s="171">
        <v>20.0</v>
      </c>
      <c r="I719" s="171">
        <v>15.0</v>
      </c>
      <c r="J719" s="172">
        <f t="shared" si="24"/>
        <v>0.0002516088297</v>
      </c>
      <c r="K719" s="173">
        <f t="shared" si="34"/>
        <v>0.2893501542</v>
      </c>
      <c r="L719" s="174">
        <f t="shared" si="4"/>
        <v>5.308923776</v>
      </c>
      <c r="M719" s="175" t="str">
        <f t="shared" si="5"/>
        <v>JessicaZartler</v>
      </c>
      <c r="N719" s="176">
        <f>IFERROR(__xludf.DUMMYFUNCTION("""COMPUTED_VALUE"""),4.0)</f>
        <v>4</v>
      </c>
      <c r="O719" s="176"/>
      <c r="P719" s="165" t="s">
        <v>14</v>
      </c>
      <c r="Q719" s="165" t="s">
        <v>10</v>
      </c>
      <c r="R719" s="176"/>
      <c r="S719" s="176"/>
      <c r="T719" s="176"/>
      <c r="U719" s="176"/>
      <c r="V719" s="176"/>
      <c r="W719" s="176"/>
      <c r="X719" s="176"/>
      <c r="Y719" s="176"/>
      <c r="Z719" s="176"/>
      <c r="AA719" s="176"/>
    </row>
    <row r="720">
      <c r="A720" s="165" t="str">
        <f>iferror(VLOOKUP(P720,'DO NOT TOUCH Imported'!$A$1:$D$800,4,False),iferror(VLOOKUP(P720,'DO NOT TOUCH Imported'!$C$1:$D$800,2,False),"OOPS FIX ME"))</f>
        <v>JessicaZartler</v>
      </c>
      <c r="B720" s="165" t="s">
        <v>10</v>
      </c>
      <c r="C720" s="170" t="s">
        <v>500</v>
      </c>
      <c r="D720" s="236" t="s">
        <v>495</v>
      </c>
      <c r="E720" s="239">
        <v>44289.0</v>
      </c>
      <c r="F720" s="170" t="s">
        <v>496</v>
      </c>
      <c r="G720" s="219"/>
      <c r="H720" s="171">
        <v>20.0</v>
      </c>
      <c r="I720" s="171">
        <v>15.0</v>
      </c>
      <c r="J720" s="172">
        <f t="shared" si="24"/>
        <v>0.0002516088297</v>
      </c>
      <c r="K720" s="173">
        <f t="shared" si="34"/>
        <v>0.2893501542</v>
      </c>
      <c r="L720" s="174">
        <f t="shared" si="4"/>
        <v>5.308923776</v>
      </c>
      <c r="M720" s="175" t="str">
        <f t="shared" si="5"/>
        <v>JessicaZartler</v>
      </c>
      <c r="N720" s="176">
        <f>IFERROR(__xludf.DUMMYFUNCTION("""COMPUTED_VALUE"""),5.0)</f>
        <v>5</v>
      </c>
      <c r="O720" s="176"/>
      <c r="P720" s="165" t="s">
        <v>14</v>
      </c>
      <c r="Q720" s="165" t="s">
        <v>10</v>
      </c>
      <c r="R720" s="176"/>
      <c r="S720" s="176"/>
      <c r="T720" s="176"/>
      <c r="U720" s="176"/>
      <c r="V720" s="176"/>
      <c r="W720" s="176"/>
      <c r="X720" s="176"/>
      <c r="Y720" s="176"/>
      <c r="Z720" s="176"/>
      <c r="AA720" s="176"/>
    </row>
    <row r="721">
      <c r="A721" s="165" t="str">
        <f>iferror(VLOOKUP(P721,'DO NOT TOUCH Imported'!$A$1:$D$800,4,False),iferror(VLOOKUP(P721,'DO NOT TOUCH Imported'!$C$1:$D$800,2,False),"OOPS FIX ME"))</f>
        <v>JessicaZartler</v>
      </c>
      <c r="B721" s="165" t="s">
        <v>10</v>
      </c>
      <c r="C721" s="170" t="s">
        <v>500</v>
      </c>
      <c r="D721" s="236" t="s">
        <v>495</v>
      </c>
      <c r="E721" s="239">
        <v>44295.0</v>
      </c>
      <c r="F721" s="170" t="s">
        <v>496</v>
      </c>
      <c r="G721" s="219"/>
      <c r="H721" s="171">
        <v>20.0</v>
      </c>
      <c r="I721" s="171">
        <v>25.0</v>
      </c>
      <c r="J721" s="172">
        <f t="shared" si="24"/>
        <v>0.0003229253324</v>
      </c>
      <c r="K721" s="173">
        <f t="shared" si="34"/>
        <v>0.3713641322</v>
      </c>
      <c r="L721" s="174">
        <f t="shared" si="4"/>
        <v>5.308923776</v>
      </c>
      <c r="M721" s="175" t="str">
        <f t="shared" si="5"/>
        <v>JessicaZartler</v>
      </c>
      <c r="N721" s="176">
        <f>IFERROR(__xludf.DUMMYFUNCTION("""COMPUTED_VALUE"""),6.0)</f>
        <v>6</v>
      </c>
      <c r="O721" s="176"/>
      <c r="P721" s="165" t="s">
        <v>14</v>
      </c>
      <c r="Q721" s="165" t="s">
        <v>10</v>
      </c>
      <c r="R721" s="176"/>
      <c r="S721" s="176"/>
      <c r="T721" s="176"/>
      <c r="U721" s="176"/>
      <c r="V721" s="176"/>
      <c r="W721" s="176"/>
      <c r="X721" s="176"/>
      <c r="Y721" s="176"/>
      <c r="Z721" s="176"/>
      <c r="AA721" s="176"/>
    </row>
    <row r="722">
      <c r="A722" s="165" t="str">
        <f>iferror(VLOOKUP(P722,'DO NOT TOUCH Imported'!$A$1:$D$800,4,False),iferror(VLOOKUP(P722,'DO NOT TOUCH Imported'!$C$1:$D$800,2,False),"OOPS FIX ME"))</f>
        <v>JessicaZartler</v>
      </c>
      <c r="B722" s="165" t="s">
        <v>435</v>
      </c>
      <c r="C722" s="170" t="s">
        <v>1505</v>
      </c>
      <c r="D722" s="236" t="s">
        <v>437</v>
      </c>
      <c r="E722" s="239">
        <v>44287.0</v>
      </c>
      <c r="F722" s="170" t="s">
        <v>439</v>
      </c>
      <c r="G722" s="219"/>
      <c r="H722" s="171">
        <v>200.0</v>
      </c>
      <c r="I722" s="171">
        <v>250.0</v>
      </c>
      <c r="J722" s="172">
        <f t="shared" si="24"/>
        <v>0.003229253324</v>
      </c>
      <c r="K722" s="173">
        <f t="shared" si="34"/>
        <v>3.713641322</v>
      </c>
      <c r="L722" s="174">
        <f t="shared" si="4"/>
        <v>5.308923776</v>
      </c>
      <c r="M722" s="175" t="str">
        <f t="shared" si="5"/>
        <v>JessicaZartler</v>
      </c>
      <c r="N722" s="176">
        <f>IFERROR(__xludf.DUMMYFUNCTION("""COMPUTED_VALUE"""),7.0)</f>
        <v>7</v>
      </c>
      <c r="O722" s="176"/>
      <c r="P722" s="165" t="s">
        <v>566</v>
      </c>
      <c r="Q722" s="165" t="s">
        <v>435</v>
      </c>
      <c r="R722" s="176"/>
      <c r="S722" s="176"/>
      <c r="T722" s="176"/>
      <c r="U722" s="176"/>
      <c r="V722" s="176"/>
      <c r="W722" s="176"/>
      <c r="X722" s="176"/>
      <c r="Y722" s="176"/>
      <c r="Z722" s="176"/>
      <c r="AA722" s="176"/>
    </row>
    <row r="723">
      <c r="A723" s="165" t="str">
        <f>iferror(VLOOKUP(P723,'DO NOT TOUCH Imported'!$A$1:$D$800,4,False),iferror(VLOOKUP(P723,'DO NOT TOUCH Imported'!$C$1:$D$800,2,False),"OOPS FIX ME"))</f>
        <v>JessicaZartler</v>
      </c>
      <c r="B723" s="165" t="s">
        <v>441</v>
      </c>
      <c r="C723" s="170" t="s">
        <v>1248</v>
      </c>
      <c r="D723" s="236" t="s">
        <v>437</v>
      </c>
      <c r="E723" s="237">
        <v>44288.0</v>
      </c>
      <c r="F723" s="170" t="s">
        <v>439</v>
      </c>
      <c r="G723" s="219"/>
      <c r="H723" s="171">
        <v>100.0</v>
      </c>
      <c r="I723" s="171">
        <v>100.0</v>
      </c>
      <c r="J723" s="172">
        <f t="shared" si="24"/>
        <v>0.001436335405</v>
      </c>
      <c r="K723" s="173">
        <f t="shared" si="34"/>
        <v>1.651785716</v>
      </c>
      <c r="L723" s="174">
        <f t="shared" si="4"/>
        <v>5.308923776</v>
      </c>
      <c r="M723" s="175" t="str">
        <f t="shared" si="5"/>
        <v>JessicaZartler</v>
      </c>
      <c r="N723" s="176">
        <f>IFERROR(__xludf.DUMMYFUNCTION("""COMPUTED_VALUE"""),8.0)</f>
        <v>8</v>
      </c>
      <c r="O723" s="176"/>
      <c r="P723" s="165" t="s">
        <v>566</v>
      </c>
      <c r="Q723" s="165" t="s">
        <v>441</v>
      </c>
      <c r="R723" s="176"/>
      <c r="S723" s="176"/>
      <c r="T723" s="176"/>
      <c r="U723" s="176"/>
      <c r="V723" s="176"/>
      <c r="W723" s="176"/>
      <c r="X723" s="176"/>
      <c r="Y723" s="176"/>
      <c r="Z723" s="176"/>
      <c r="AA723" s="176"/>
    </row>
    <row r="724">
      <c r="A724" s="165" t="str">
        <f>iferror(VLOOKUP(P724,'DO NOT TOUCH Imported'!$A$1:$D$800,4,False),iferror(VLOOKUP(P724,'DO NOT TOUCH Imported'!$C$1:$D$800,2,False),"OOPS FIX ME"))</f>
        <v>JessicaZartler</v>
      </c>
      <c r="B724" s="165" t="s">
        <v>441</v>
      </c>
      <c r="C724" s="170" t="s">
        <v>1444</v>
      </c>
      <c r="D724" s="236" t="s">
        <v>437</v>
      </c>
      <c r="E724" s="237">
        <v>44288.0</v>
      </c>
      <c r="F724" s="170" t="s">
        <v>439</v>
      </c>
      <c r="G724" s="219"/>
      <c r="H724" s="171">
        <v>100.0</v>
      </c>
      <c r="I724" s="171">
        <v>100.0</v>
      </c>
      <c r="J724" s="172">
        <f t="shared" si="24"/>
        <v>0.001436335405</v>
      </c>
      <c r="K724" s="173">
        <f t="shared" si="34"/>
        <v>1.651785716</v>
      </c>
      <c r="L724" s="174">
        <f t="shared" si="4"/>
        <v>5.308923776</v>
      </c>
      <c r="M724" s="175" t="str">
        <f t="shared" si="5"/>
        <v>JessicaZartler</v>
      </c>
      <c r="N724" s="176">
        <f>IFERROR(__xludf.DUMMYFUNCTION("""COMPUTED_VALUE"""),9.0)</f>
        <v>9</v>
      </c>
      <c r="O724" s="176"/>
      <c r="P724" s="165" t="s">
        <v>566</v>
      </c>
      <c r="Q724" s="165" t="s">
        <v>441</v>
      </c>
      <c r="R724" s="176"/>
      <c r="S724" s="176"/>
      <c r="T724" s="176"/>
      <c r="U724" s="176"/>
      <c r="V724" s="176"/>
      <c r="W724" s="176"/>
      <c r="X724" s="176"/>
      <c r="Y724" s="176"/>
      <c r="Z724" s="176"/>
      <c r="AA724" s="176"/>
    </row>
    <row r="725">
      <c r="A725" s="165" t="str">
        <f>iferror(VLOOKUP(P725,'DO NOT TOUCH Imported'!$A$1:$D$800,4,False),iferror(VLOOKUP(P725,'DO NOT TOUCH Imported'!$C$1:$D$800,2,False),"OOPS FIX ME"))</f>
        <v>JessicaZartler</v>
      </c>
      <c r="B725" s="165" t="s">
        <v>441</v>
      </c>
      <c r="C725" s="170" t="s">
        <v>1506</v>
      </c>
      <c r="D725" s="236" t="s">
        <v>437</v>
      </c>
      <c r="E725" s="237">
        <v>44288.0</v>
      </c>
      <c r="F725" s="170" t="s">
        <v>439</v>
      </c>
      <c r="G725" s="219"/>
      <c r="H725" s="171">
        <v>100.0</v>
      </c>
      <c r="I725" s="171">
        <v>100.0</v>
      </c>
      <c r="J725" s="172">
        <f t="shared" si="24"/>
        <v>0.001436335405</v>
      </c>
      <c r="K725" s="173">
        <f t="shared" si="34"/>
        <v>1.651785716</v>
      </c>
      <c r="L725" s="174">
        <f t="shared" si="4"/>
        <v>5.308923776</v>
      </c>
      <c r="M725" s="175" t="str">
        <f t="shared" si="5"/>
        <v>JessicaZartler</v>
      </c>
      <c r="N725" s="176">
        <f>IFERROR(__xludf.DUMMYFUNCTION("""COMPUTED_VALUE"""),10.0)</f>
        <v>10</v>
      </c>
      <c r="O725" s="176"/>
      <c r="P725" s="165" t="s">
        <v>566</v>
      </c>
      <c r="Q725" s="165" t="s">
        <v>441</v>
      </c>
      <c r="R725" s="176"/>
      <c r="S725" s="176"/>
      <c r="T725" s="176"/>
      <c r="U725" s="176"/>
      <c r="V725" s="176"/>
      <c r="W725" s="176"/>
      <c r="X725" s="176"/>
      <c r="Y725" s="176"/>
      <c r="Z725" s="176"/>
      <c r="AA725" s="176"/>
    </row>
    <row r="726">
      <c r="A726" s="165" t="str">
        <f>iferror(VLOOKUP(P726,'DO NOT TOUCH Imported'!$A$1:$D$800,4,False),iferror(VLOOKUP(P726,'DO NOT TOUCH Imported'!$C$1:$D$800,2,False),"OOPS FIX ME"))</f>
        <v>JessicaZartler</v>
      </c>
      <c r="B726" s="165" t="s">
        <v>441</v>
      </c>
      <c r="C726" s="170" t="s">
        <v>1250</v>
      </c>
      <c r="D726" s="236" t="s">
        <v>437</v>
      </c>
      <c r="E726" s="237">
        <v>44288.0</v>
      </c>
      <c r="F726" s="170" t="s">
        <v>439</v>
      </c>
      <c r="G726" s="219"/>
      <c r="H726" s="171">
        <v>40.0</v>
      </c>
      <c r="I726" s="171">
        <v>50.0</v>
      </c>
      <c r="J726" s="172">
        <f t="shared" si="24"/>
        <v>0.0006458506648</v>
      </c>
      <c r="K726" s="173">
        <f t="shared" si="34"/>
        <v>0.7427282645</v>
      </c>
      <c r="L726" s="174">
        <f t="shared" si="4"/>
        <v>5.308923776</v>
      </c>
      <c r="M726" s="175" t="str">
        <f t="shared" si="5"/>
        <v>JessicaZartler</v>
      </c>
      <c r="N726" s="176">
        <f>IFERROR(__xludf.DUMMYFUNCTION("""COMPUTED_VALUE"""),11.0)</f>
        <v>11</v>
      </c>
      <c r="O726" s="176"/>
      <c r="P726" s="165" t="s">
        <v>566</v>
      </c>
      <c r="Q726" s="165" t="s">
        <v>441</v>
      </c>
      <c r="R726" s="176"/>
      <c r="S726" s="176"/>
      <c r="T726" s="176"/>
      <c r="U726" s="176"/>
      <c r="V726" s="176"/>
      <c r="W726" s="176"/>
      <c r="X726" s="176"/>
      <c r="Y726" s="176"/>
      <c r="Z726" s="176"/>
      <c r="AA726" s="176"/>
    </row>
    <row r="727">
      <c r="A727" s="165" t="str">
        <f>iferror(VLOOKUP(P727,'DO NOT TOUCH Imported'!$A$1:$D$800,4,False),iferror(VLOOKUP(P727,'DO NOT TOUCH Imported'!$C$1:$D$800,2,False),"OOPS FIX ME"))</f>
        <v>JessicaZartler</v>
      </c>
      <c r="B727" s="165" t="s">
        <v>450</v>
      </c>
      <c r="C727" s="170" t="s">
        <v>1279</v>
      </c>
      <c r="D727" s="236" t="s">
        <v>437</v>
      </c>
      <c r="E727" s="237">
        <v>44288.0</v>
      </c>
      <c r="F727" s="170" t="s">
        <v>439</v>
      </c>
      <c r="G727" s="219"/>
      <c r="H727" s="171">
        <v>70.0</v>
      </c>
      <c r="I727" s="171">
        <v>50.0</v>
      </c>
      <c r="J727" s="172">
        <f t="shared" si="24"/>
        <v>0.0008628017785</v>
      </c>
      <c r="K727" s="173">
        <f t="shared" si="34"/>
        <v>0.9922220452</v>
      </c>
      <c r="L727" s="174">
        <f t="shared" si="4"/>
        <v>5.308923776</v>
      </c>
      <c r="M727" s="175" t="str">
        <f t="shared" si="5"/>
        <v>JessicaZartler</v>
      </c>
      <c r="N727" s="176">
        <f>IFERROR(__xludf.DUMMYFUNCTION("""COMPUTED_VALUE"""),12.0)</f>
        <v>12</v>
      </c>
      <c r="O727" s="176"/>
      <c r="P727" s="165" t="s">
        <v>566</v>
      </c>
      <c r="Q727" s="165" t="s">
        <v>450</v>
      </c>
      <c r="R727" s="176"/>
      <c r="S727" s="176"/>
      <c r="T727" s="176"/>
      <c r="U727" s="176"/>
      <c r="V727" s="176"/>
      <c r="W727" s="176"/>
      <c r="X727" s="176"/>
      <c r="Y727" s="176"/>
      <c r="Z727" s="176"/>
      <c r="AA727" s="176"/>
    </row>
    <row r="728">
      <c r="A728" s="165" t="str">
        <f>iferror(VLOOKUP(P728,'DO NOT TOUCH Imported'!$A$1:$D$800,4,False),iferror(VLOOKUP(P728,'DO NOT TOUCH Imported'!$C$1:$D$800,2,False),"OOPS FIX ME"))</f>
        <v>JessicaZartler</v>
      </c>
      <c r="B728" s="165" t="s">
        <v>441</v>
      </c>
      <c r="C728" s="170" t="s">
        <v>1005</v>
      </c>
      <c r="D728" s="236" t="s">
        <v>437</v>
      </c>
      <c r="E728" s="237">
        <v>44289.0</v>
      </c>
      <c r="F728" s="170" t="s">
        <v>439</v>
      </c>
      <c r="G728" s="219"/>
      <c r="H728" s="171">
        <v>60.0</v>
      </c>
      <c r="I728" s="171">
        <v>40.0</v>
      </c>
      <c r="J728" s="172">
        <f t="shared" si="24"/>
        <v>0.0007191682379</v>
      </c>
      <c r="K728" s="173">
        <f t="shared" si="34"/>
        <v>0.8270434736</v>
      </c>
      <c r="L728" s="174">
        <f t="shared" si="4"/>
        <v>5.308923776</v>
      </c>
      <c r="M728" s="175" t="str">
        <f t="shared" si="5"/>
        <v>JessicaZartler</v>
      </c>
      <c r="N728" s="176">
        <f>IFERROR(__xludf.DUMMYFUNCTION("""COMPUTED_VALUE"""),13.0)</f>
        <v>13</v>
      </c>
      <c r="O728" s="176"/>
      <c r="P728" s="165" t="s">
        <v>566</v>
      </c>
      <c r="Q728" s="165" t="s">
        <v>441</v>
      </c>
      <c r="R728" s="176"/>
      <c r="S728" s="176"/>
      <c r="T728" s="176"/>
      <c r="U728" s="176"/>
      <c r="V728" s="176"/>
      <c r="W728" s="176"/>
      <c r="X728" s="176"/>
      <c r="Y728" s="176"/>
      <c r="Z728" s="176"/>
      <c r="AA728" s="176"/>
    </row>
    <row r="729">
      <c r="A729" s="165" t="str">
        <f>iferror(VLOOKUP(P729,'DO NOT TOUCH Imported'!$A$1:$D$800,4,False),iferror(VLOOKUP(P729,'DO NOT TOUCH Imported'!$C$1:$D$800,2,False),"OOPS FIX ME"))</f>
        <v>JessicaZartler</v>
      </c>
      <c r="B729" s="165" t="s">
        <v>435</v>
      </c>
      <c r="C729" s="170" t="s">
        <v>1292</v>
      </c>
      <c r="D729" s="236" t="s">
        <v>437</v>
      </c>
      <c r="E729" s="237">
        <v>44291.0</v>
      </c>
      <c r="F729" s="170" t="s">
        <v>439</v>
      </c>
      <c r="G729" s="219"/>
      <c r="H729" s="171">
        <v>70.0</v>
      </c>
      <c r="I729" s="171">
        <v>100.0</v>
      </c>
      <c r="J729" s="172">
        <f t="shared" si="24"/>
        <v>0.001219384292</v>
      </c>
      <c r="K729" s="173">
        <f t="shared" si="34"/>
        <v>1.402291935</v>
      </c>
      <c r="L729" s="174">
        <f t="shared" si="4"/>
        <v>5.308923776</v>
      </c>
      <c r="M729" s="175" t="str">
        <f t="shared" si="5"/>
        <v>JessicaZartler</v>
      </c>
      <c r="N729" s="176">
        <f>IFERROR(__xludf.DUMMYFUNCTION("""COMPUTED_VALUE"""),14.0)</f>
        <v>14</v>
      </c>
      <c r="O729" s="176"/>
      <c r="P729" s="165" t="s">
        <v>566</v>
      </c>
      <c r="Q729" s="165" t="s">
        <v>435</v>
      </c>
      <c r="R729" s="176"/>
      <c r="S729" s="176"/>
      <c r="T729" s="176"/>
      <c r="U729" s="176"/>
      <c r="V729" s="176"/>
      <c r="W729" s="176"/>
      <c r="X729" s="176"/>
      <c r="Y729" s="176"/>
      <c r="Z729" s="176"/>
      <c r="AA729" s="176"/>
    </row>
    <row r="730">
      <c r="A730" s="165" t="str">
        <f>iferror(VLOOKUP(P730,'DO NOT TOUCH Imported'!$A$1:$D$800,4,False),iferror(VLOOKUP(P730,'DO NOT TOUCH Imported'!$C$1:$D$800,2,False),"OOPS FIX ME"))</f>
        <v>JessicaZartler</v>
      </c>
      <c r="B730" s="165" t="s">
        <v>443</v>
      </c>
      <c r="C730" s="170" t="s">
        <v>1252</v>
      </c>
      <c r="D730" s="236" t="s">
        <v>437</v>
      </c>
      <c r="E730" s="237">
        <v>44291.0</v>
      </c>
      <c r="F730" s="170" t="s">
        <v>439</v>
      </c>
      <c r="G730" s="219"/>
      <c r="H730" s="171">
        <v>150.0</v>
      </c>
      <c r="I730" s="171">
        <v>80.0</v>
      </c>
      <c r="J730" s="172">
        <f t="shared" si="24"/>
        <v>0.00165528759</v>
      </c>
      <c r="K730" s="173">
        <f t="shared" si="34"/>
        <v>1.903580728</v>
      </c>
      <c r="L730" s="174">
        <f t="shared" si="4"/>
        <v>5.308923776</v>
      </c>
      <c r="M730" s="175" t="str">
        <f t="shared" si="5"/>
        <v>JessicaZartler</v>
      </c>
      <c r="N730" s="176">
        <f>IFERROR(__xludf.DUMMYFUNCTION("""COMPUTED_VALUE"""),15.0)</f>
        <v>15</v>
      </c>
      <c r="O730" s="176"/>
      <c r="P730" s="165" t="s">
        <v>566</v>
      </c>
      <c r="Q730" s="165" t="s">
        <v>443</v>
      </c>
      <c r="R730" s="176"/>
      <c r="S730" s="176"/>
      <c r="T730" s="176"/>
      <c r="U730" s="176"/>
      <c r="V730" s="176"/>
      <c r="W730" s="176"/>
      <c r="X730" s="176"/>
      <c r="Y730" s="176"/>
      <c r="Z730" s="176"/>
      <c r="AA730" s="176"/>
    </row>
    <row r="731">
      <c r="A731" s="165" t="str">
        <f>iferror(VLOOKUP(P731,'DO NOT TOUCH Imported'!$A$1:$D$800,4,False),iferror(VLOOKUP(P731,'DO NOT TOUCH Imported'!$C$1:$D$800,2,False),"OOPS FIX ME"))</f>
        <v>JessicaZartler</v>
      </c>
      <c r="B731" s="165" t="s">
        <v>768</v>
      </c>
      <c r="C731" s="170" t="s">
        <v>1365</v>
      </c>
      <c r="D731" s="236" t="s">
        <v>499</v>
      </c>
      <c r="E731" s="237">
        <v>44291.0</v>
      </c>
      <c r="F731" s="170" t="s">
        <v>503</v>
      </c>
      <c r="G731" s="219"/>
      <c r="H731" s="171">
        <v>100.0</v>
      </c>
      <c r="I731" s="171">
        <v>100.0</v>
      </c>
      <c r="J731" s="172">
        <f t="shared" si="24"/>
        <v>0.001436335405</v>
      </c>
      <c r="K731" s="173">
        <f t="shared" si="34"/>
        <v>1.651785716</v>
      </c>
      <c r="L731" s="174">
        <f t="shared" si="4"/>
        <v>5.308923776</v>
      </c>
      <c r="M731" s="175" t="str">
        <f t="shared" si="5"/>
        <v>JessicaZartler</v>
      </c>
      <c r="N731" s="176">
        <f>IFERROR(__xludf.DUMMYFUNCTION("""COMPUTED_VALUE"""),16.0)</f>
        <v>16</v>
      </c>
      <c r="O731" s="176"/>
      <c r="P731" s="165" t="s">
        <v>566</v>
      </c>
      <c r="Q731" s="165" t="s">
        <v>768</v>
      </c>
      <c r="R731" s="176"/>
      <c r="S731" s="176"/>
      <c r="T731" s="176"/>
      <c r="U731" s="176"/>
      <c r="V731" s="176"/>
      <c r="W731" s="176"/>
      <c r="X731" s="176"/>
      <c r="Y731" s="176"/>
      <c r="Z731" s="176"/>
      <c r="AA731" s="176"/>
    </row>
    <row r="732">
      <c r="A732" s="165" t="str">
        <f>iferror(VLOOKUP(P732,'DO NOT TOUCH Imported'!$A$1:$D$800,4,False),iferror(VLOOKUP(P732,'DO NOT TOUCH Imported'!$C$1:$D$800,2,False),"OOPS FIX ME"))</f>
        <v>JessicaZartler</v>
      </c>
      <c r="B732" s="165" t="s">
        <v>435</v>
      </c>
      <c r="C732" s="170" t="s">
        <v>1507</v>
      </c>
      <c r="D732" s="236" t="s">
        <v>499</v>
      </c>
      <c r="E732" s="237">
        <v>44291.0</v>
      </c>
      <c r="F732" s="170" t="s">
        <v>503</v>
      </c>
      <c r="G732" s="219"/>
      <c r="H732" s="171">
        <v>100.0</v>
      </c>
      <c r="I732" s="171">
        <v>100.0</v>
      </c>
      <c r="J732" s="172">
        <f t="shared" si="24"/>
        <v>0.001436335405</v>
      </c>
      <c r="K732" s="173">
        <f t="shared" si="34"/>
        <v>1.651785716</v>
      </c>
      <c r="L732" s="174">
        <f t="shared" si="4"/>
        <v>5.308923776</v>
      </c>
      <c r="M732" s="175" t="str">
        <f t="shared" si="5"/>
        <v>JessicaZartler</v>
      </c>
      <c r="N732" s="176">
        <f>IFERROR(__xludf.DUMMYFUNCTION("""COMPUTED_VALUE"""),17.0)</f>
        <v>17</v>
      </c>
      <c r="O732" s="176"/>
      <c r="P732" s="165" t="s">
        <v>566</v>
      </c>
      <c r="Q732" s="165" t="s">
        <v>435</v>
      </c>
      <c r="R732" s="176"/>
      <c r="S732" s="176"/>
      <c r="T732" s="176"/>
      <c r="U732" s="176"/>
      <c r="V732" s="176"/>
      <c r="W732" s="176"/>
      <c r="X732" s="176"/>
      <c r="Y732" s="176"/>
      <c r="Z732" s="176"/>
      <c r="AA732" s="176"/>
    </row>
    <row r="733">
      <c r="A733" s="165" t="str">
        <f>iferror(VLOOKUP(P733,'DO NOT TOUCH Imported'!$A$1:$D$800,4,False),iferror(VLOOKUP(P733,'DO NOT TOUCH Imported'!$C$1:$D$800,2,False),"OOPS FIX ME"))</f>
        <v>JessicaZartler</v>
      </c>
      <c r="B733" s="165" t="s">
        <v>440</v>
      </c>
      <c r="C733" s="170" t="s">
        <v>1319</v>
      </c>
      <c r="D733" s="236" t="s">
        <v>437</v>
      </c>
      <c r="E733" s="237">
        <v>44293.0</v>
      </c>
      <c r="F733" s="170" t="s">
        <v>439</v>
      </c>
      <c r="G733" s="219"/>
      <c r="H733" s="171">
        <v>200.0</v>
      </c>
      <c r="I733" s="171">
        <v>200.0</v>
      </c>
      <c r="J733" s="172">
        <f t="shared" si="24"/>
        <v>0.002872670811</v>
      </c>
      <c r="K733" s="173">
        <f t="shared" si="34"/>
        <v>3.303571432</v>
      </c>
      <c r="L733" s="174">
        <f t="shared" si="4"/>
        <v>5.308923776</v>
      </c>
      <c r="M733" s="175" t="str">
        <f t="shared" si="5"/>
        <v>JessicaZartler</v>
      </c>
      <c r="N733" s="176">
        <f>IFERROR(__xludf.DUMMYFUNCTION("""COMPUTED_VALUE"""),18.0)</f>
        <v>18</v>
      </c>
      <c r="O733" s="176"/>
      <c r="P733" s="165" t="s">
        <v>566</v>
      </c>
      <c r="Q733" s="165" t="s">
        <v>440</v>
      </c>
      <c r="R733" s="176"/>
      <c r="S733" s="176"/>
      <c r="T733" s="176"/>
      <c r="U733" s="176"/>
      <c r="V733" s="176"/>
      <c r="W733" s="176"/>
      <c r="X733" s="176"/>
      <c r="Y733" s="176"/>
      <c r="Z733" s="176"/>
      <c r="AA733" s="176"/>
    </row>
    <row r="734">
      <c r="A734" s="165" t="str">
        <f>iferror(VLOOKUP(P734,'DO NOT TOUCH Imported'!$A$1:$D$800,4,False),iferror(VLOOKUP(P734,'DO NOT TOUCH Imported'!$C$1:$D$800,2,False),"OOPS FIX ME"))</f>
        <v>JessicaZartler</v>
      </c>
      <c r="B734" s="165" t="s">
        <v>435</v>
      </c>
      <c r="C734" s="170" t="s">
        <v>1450</v>
      </c>
      <c r="D734" s="236" t="s">
        <v>437</v>
      </c>
      <c r="E734" s="237">
        <v>44294.0</v>
      </c>
      <c r="F734" s="170" t="s">
        <v>439</v>
      </c>
      <c r="G734" s="219"/>
      <c r="H734" s="171">
        <v>150.0</v>
      </c>
      <c r="I734" s="171">
        <v>100.0</v>
      </c>
      <c r="J734" s="172">
        <f t="shared" si="24"/>
        <v>0.001797920595</v>
      </c>
      <c r="K734" s="173">
        <f t="shared" si="34"/>
        <v>2.067608684</v>
      </c>
      <c r="L734" s="174">
        <f t="shared" si="4"/>
        <v>5.308923776</v>
      </c>
      <c r="M734" s="175" t="str">
        <f t="shared" si="5"/>
        <v>JessicaZartler</v>
      </c>
      <c r="N734" s="176">
        <f>IFERROR(__xludf.DUMMYFUNCTION("""COMPUTED_VALUE"""),19.0)</f>
        <v>19</v>
      </c>
      <c r="O734" s="176"/>
      <c r="P734" s="165" t="s">
        <v>566</v>
      </c>
      <c r="Q734" s="165" t="s">
        <v>435</v>
      </c>
      <c r="R734" s="176"/>
      <c r="S734" s="176"/>
      <c r="T734" s="176"/>
      <c r="U734" s="176"/>
      <c r="V734" s="176"/>
      <c r="W734" s="176"/>
      <c r="X734" s="176"/>
      <c r="Y734" s="176"/>
      <c r="Z734" s="176"/>
      <c r="AA734" s="176"/>
    </row>
    <row r="735">
      <c r="A735" s="165" t="str">
        <f>iferror(VLOOKUP(P735,'DO NOT TOUCH Imported'!$A$1:$D$800,4,False),iferror(VLOOKUP(P735,'DO NOT TOUCH Imported'!$C$1:$D$800,2,False),"OOPS FIX ME"))</f>
        <v>JessicaZartler</v>
      </c>
      <c r="B735" s="165" t="s">
        <v>441</v>
      </c>
      <c r="C735" s="170" t="s">
        <v>1331</v>
      </c>
      <c r="D735" s="236" t="s">
        <v>437</v>
      </c>
      <c r="E735" s="237">
        <v>44295.0</v>
      </c>
      <c r="F735" s="170" t="s">
        <v>439</v>
      </c>
      <c r="G735" s="219"/>
      <c r="H735" s="171">
        <v>100.0</v>
      </c>
      <c r="I735" s="171">
        <v>100.0</v>
      </c>
      <c r="J735" s="172">
        <f t="shared" si="24"/>
        <v>0.001436335405</v>
      </c>
      <c r="K735" s="173">
        <f t="shared" si="34"/>
        <v>1.651785716</v>
      </c>
      <c r="L735" s="174">
        <f t="shared" si="4"/>
        <v>5.308923776</v>
      </c>
      <c r="M735" s="175" t="str">
        <f t="shared" si="5"/>
        <v>JessicaZartler</v>
      </c>
      <c r="N735" s="176">
        <f>IFERROR(__xludf.DUMMYFUNCTION("""COMPUTED_VALUE"""),20.0)</f>
        <v>20</v>
      </c>
      <c r="O735" s="176"/>
      <c r="P735" s="165" t="s">
        <v>566</v>
      </c>
      <c r="Q735" s="165" t="s">
        <v>441</v>
      </c>
      <c r="R735" s="176"/>
      <c r="S735" s="176"/>
      <c r="T735" s="176"/>
      <c r="U735" s="176"/>
      <c r="V735" s="176"/>
      <c r="W735" s="176"/>
      <c r="X735" s="176"/>
      <c r="Y735" s="176"/>
      <c r="Z735" s="176"/>
      <c r="AA735" s="176"/>
    </row>
    <row r="736">
      <c r="A736" s="165" t="str">
        <f>iferror(VLOOKUP(P736,'DO NOT TOUCH Imported'!$A$1:$D$800,4,False),iferror(VLOOKUP(P736,'DO NOT TOUCH Imported'!$C$1:$D$800,2,False),"OOPS FIX ME"))</f>
        <v>JessicaZartler</v>
      </c>
      <c r="B736" s="165" t="s">
        <v>441</v>
      </c>
      <c r="C736" s="170" t="s">
        <v>1508</v>
      </c>
      <c r="D736" s="236" t="s">
        <v>437</v>
      </c>
      <c r="E736" s="237">
        <v>44295.0</v>
      </c>
      <c r="F736" s="170" t="s">
        <v>439</v>
      </c>
      <c r="G736" s="219"/>
      <c r="H736" s="171">
        <v>150.0</v>
      </c>
      <c r="I736" s="171">
        <v>100.0</v>
      </c>
      <c r="J736" s="172">
        <f t="shared" si="24"/>
        <v>0.001797920595</v>
      </c>
      <c r="K736" s="173">
        <f t="shared" si="34"/>
        <v>2.067608684</v>
      </c>
      <c r="L736" s="174">
        <f t="shared" si="4"/>
        <v>5.308923776</v>
      </c>
      <c r="M736" s="175" t="str">
        <f t="shared" si="5"/>
        <v>JessicaZartler</v>
      </c>
      <c r="N736" s="176">
        <f>IFERROR(__xludf.DUMMYFUNCTION("""COMPUTED_VALUE"""),21.0)</f>
        <v>21</v>
      </c>
      <c r="O736" s="176"/>
      <c r="P736" s="165" t="s">
        <v>566</v>
      </c>
      <c r="Q736" s="165" t="s">
        <v>441</v>
      </c>
      <c r="R736" s="176"/>
      <c r="S736" s="176"/>
      <c r="T736" s="176"/>
      <c r="U736" s="176"/>
      <c r="V736" s="176"/>
      <c r="W736" s="176"/>
      <c r="X736" s="176"/>
      <c r="Y736" s="176"/>
      <c r="Z736" s="176"/>
      <c r="AA736" s="176"/>
    </row>
    <row r="737">
      <c r="A737" s="165" t="str">
        <f>iferror(VLOOKUP(P737,'DO NOT TOUCH Imported'!$A$1:$D$800,4,False),iferror(VLOOKUP(P737,'DO NOT TOUCH Imported'!$C$1:$D$800,2,False),"OOPS FIX ME"))</f>
        <v>JessicaZartler</v>
      </c>
      <c r="B737" s="165" t="s">
        <v>441</v>
      </c>
      <c r="C737" s="170" t="s">
        <v>1452</v>
      </c>
      <c r="D737" s="236" t="s">
        <v>437</v>
      </c>
      <c r="E737" s="237">
        <v>44295.0</v>
      </c>
      <c r="F737" s="170" t="s">
        <v>439</v>
      </c>
      <c r="G737" s="219"/>
      <c r="H737" s="171">
        <v>70.0</v>
      </c>
      <c r="I737" s="171">
        <v>100.0</v>
      </c>
      <c r="J737" s="172">
        <f t="shared" si="24"/>
        <v>0.001219384292</v>
      </c>
      <c r="K737" s="173">
        <f t="shared" si="34"/>
        <v>1.402291935</v>
      </c>
      <c r="L737" s="174">
        <f t="shared" si="4"/>
        <v>5.308923776</v>
      </c>
      <c r="M737" s="175" t="str">
        <f t="shared" si="5"/>
        <v>JessicaZartler</v>
      </c>
      <c r="N737" s="176">
        <f>IFERROR(__xludf.DUMMYFUNCTION("""COMPUTED_VALUE"""),22.0)</f>
        <v>22</v>
      </c>
      <c r="O737" s="176"/>
      <c r="P737" s="165" t="s">
        <v>566</v>
      </c>
      <c r="Q737" s="165" t="s">
        <v>441</v>
      </c>
      <c r="R737" s="176"/>
      <c r="S737" s="176"/>
      <c r="T737" s="176"/>
      <c r="U737" s="176"/>
      <c r="V737" s="176"/>
      <c r="W737" s="176"/>
      <c r="X737" s="176"/>
      <c r="Y737" s="176"/>
      <c r="Z737" s="176"/>
      <c r="AA737" s="176"/>
    </row>
    <row r="738">
      <c r="A738" s="165" t="str">
        <f>iferror(VLOOKUP(P738,'DO NOT TOUCH Imported'!$A$1:$D$800,4,False),iferror(VLOOKUP(P738,'DO NOT TOUCH Imported'!$C$1:$D$800,2,False),"OOPS FIX ME"))</f>
        <v>JessicaZartler</v>
      </c>
      <c r="B738" s="165" t="s">
        <v>441</v>
      </c>
      <c r="C738" s="170" t="s">
        <v>1338</v>
      </c>
      <c r="D738" s="236" t="s">
        <v>437</v>
      </c>
      <c r="E738" s="237">
        <v>44295.0</v>
      </c>
      <c r="F738" s="170" t="s">
        <v>439</v>
      </c>
      <c r="G738" s="219"/>
      <c r="H738" s="171">
        <v>100.0</v>
      </c>
      <c r="I738" s="171">
        <v>100.0</v>
      </c>
      <c r="J738" s="172">
        <f t="shared" si="24"/>
        <v>0.001436335405</v>
      </c>
      <c r="K738" s="173">
        <f t="shared" si="34"/>
        <v>1.651785716</v>
      </c>
      <c r="L738" s="174">
        <f t="shared" si="4"/>
        <v>5.308923776</v>
      </c>
      <c r="M738" s="175" t="str">
        <f t="shared" si="5"/>
        <v>JessicaZartler</v>
      </c>
      <c r="N738" s="176">
        <f>IFERROR(__xludf.DUMMYFUNCTION("""COMPUTED_VALUE"""),23.0)</f>
        <v>23</v>
      </c>
      <c r="O738" s="176"/>
      <c r="P738" s="165" t="s">
        <v>566</v>
      </c>
      <c r="Q738" s="165" t="s">
        <v>441</v>
      </c>
      <c r="R738" s="176"/>
      <c r="S738" s="176"/>
      <c r="T738" s="176"/>
      <c r="U738" s="176"/>
      <c r="V738" s="176"/>
      <c r="W738" s="176"/>
      <c r="X738" s="176"/>
      <c r="Y738" s="176"/>
      <c r="Z738" s="176"/>
      <c r="AA738" s="176"/>
    </row>
    <row r="739">
      <c r="A739" s="165" t="str">
        <f>iferror(VLOOKUP(P739,'DO NOT TOUCH Imported'!$A$1:$D$800,4,False),iferror(VLOOKUP(P739,'DO NOT TOUCH Imported'!$C$1:$D$800,2,False),"OOPS FIX ME"))</f>
        <v>JessicaZartler</v>
      </c>
      <c r="B739" s="165" t="s">
        <v>441</v>
      </c>
      <c r="C739" s="170" t="s">
        <v>1436</v>
      </c>
      <c r="D739" s="236" t="s">
        <v>437</v>
      </c>
      <c r="E739" s="237">
        <v>44295.0</v>
      </c>
      <c r="F739" s="170" t="s">
        <v>439</v>
      </c>
      <c r="G739" s="219"/>
      <c r="H739" s="171">
        <v>70.0</v>
      </c>
      <c r="I739" s="171">
        <v>80.0</v>
      </c>
      <c r="J739" s="172">
        <f t="shared" si="24"/>
        <v>0.001076751286</v>
      </c>
      <c r="K739" s="173">
        <f t="shared" si="34"/>
        <v>1.238263979</v>
      </c>
      <c r="L739" s="174">
        <f t="shared" si="4"/>
        <v>5.308923776</v>
      </c>
      <c r="M739" s="175" t="str">
        <f t="shared" si="5"/>
        <v>JessicaZartler</v>
      </c>
      <c r="N739" s="176">
        <f>IFERROR(__xludf.DUMMYFUNCTION("""COMPUTED_VALUE"""),24.0)</f>
        <v>24</v>
      </c>
      <c r="O739" s="176"/>
      <c r="P739" s="165" t="s">
        <v>566</v>
      </c>
      <c r="Q739" s="165" t="s">
        <v>441</v>
      </c>
      <c r="R739" s="176"/>
      <c r="S739" s="176"/>
      <c r="T739" s="176"/>
      <c r="U739" s="176"/>
      <c r="V739" s="176"/>
      <c r="W739" s="176"/>
      <c r="X739" s="176"/>
      <c r="Y739" s="176"/>
      <c r="Z739" s="176"/>
      <c r="AA739" s="176"/>
    </row>
    <row r="740">
      <c r="A740" s="165" t="str">
        <f>iferror(VLOOKUP(P740,'DO NOT TOUCH Imported'!$A$1:$D$800,4,False),iferror(VLOOKUP(P740,'DO NOT TOUCH Imported'!$C$1:$D$800,2,False),"OOPS FIX ME"))</f>
        <v>JessicaZartler</v>
      </c>
      <c r="B740" s="165" t="s">
        <v>441</v>
      </c>
      <c r="C740" s="170" t="s">
        <v>1267</v>
      </c>
      <c r="D740" s="236" t="s">
        <v>437</v>
      </c>
      <c r="E740" s="237">
        <v>44295.0</v>
      </c>
      <c r="F740" s="170" t="s">
        <v>439</v>
      </c>
      <c r="G740" s="219"/>
      <c r="H740" s="171">
        <v>50.0</v>
      </c>
      <c r="I740" s="171">
        <v>50.0</v>
      </c>
      <c r="J740" s="172">
        <f t="shared" si="24"/>
        <v>0.0007181677027</v>
      </c>
      <c r="K740" s="173">
        <f t="shared" si="34"/>
        <v>0.8258928581</v>
      </c>
      <c r="L740" s="174">
        <f t="shared" si="4"/>
        <v>5.308923776</v>
      </c>
      <c r="M740" s="175" t="str">
        <f t="shared" si="5"/>
        <v>JessicaZartler</v>
      </c>
      <c r="N740" s="176">
        <f>IFERROR(__xludf.DUMMYFUNCTION("""COMPUTED_VALUE"""),25.0)</f>
        <v>25</v>
      </c>
      <c r="O740" s="176"/>
      <c r="P740" s="165" t="s">
        <v>566</v>
      </c>
      <c r="Q740" s="165" t="s">
        <v>441</v>
      </c>
      <c r="R740" s="176"/>
      <c r="S740" s="176"/>
      <c r="T740" s="176"/>
      <c r="U740" s="176"/>
      <c r="V740" s="176"/>
      <c r="W740" s="176"/>
      <c r="X740" s="176"/>
      <c r="Y740" s="176"/>
      <c r="Z740" s="176"/>
      <c r="AA740" s="176"/>
    </row>
    <row r="741">
      <c r="A741" s="165" t="str">
        <f>iferror(VLOOKUP(P741,'DO NOT TOUCH Imported'!$A$1:$D$800,4,False),iferror(VLOOKUP(P741,'DO NOT TOUCH Imported'!$C$1:$D$800,2,False),"OOPS FIX ME"))</f>
        <v>JessicaZartler</v>
      </c>
      <c r="B741" s="165" t="s">
        <v>530</v>
      </c>
      <c r="C741" s="170" t="s">
        <v>1509</v>
      </c>
      <c r="D741" s="236" t="s">
        <v>499</v>
      </c>
      <c r="E741" s="237">
        <v>44295.0</v>
      </c>
      <c r="F741" s="170" t="s">
        <v>503</v>
      </c>
      <c r="G741" s="219"/>
      <c r="H741" s="171">
        <v>100.0</v>
      </c>
      <c r="I741" s="171">
        <v>100.0</v>
      </c>
      <c r="J741" s="172">
        <f t="shared" si="24"/>
        <v>0.001436335405</v>
      </c>
      <c r="K741" s="173">
        <f t="shared" si="34"/>
        <v>1.651785716</v>
      </c>
      <c r="L741" s="174">
        <f t="shared" si="4"/>
        <v>5.308923776</v>
      </c>
      <c r="M741" s="175" t="str">
        <f t="shared" si="5"/>
        <v>JessicaZartler</v>
      </c>
      <c r="N741" s="176">
        <f>IFERROR(__xludf.DUMMYFUNCTION("""COMPUTED_VALUE"""),26.0)</f>
        <v>26</v>
      </c>
      <c r="O741" s="176"/>
      <c r="P741" s="165" t="s">
        <v>566</v>
      </c>
      <c r="Q741" s="165" t="s">
        <v>530</v>
      </c>
      <c r="R741" s="176"/>
      <c r="S741" s="176"/>
      <c r="T741" s="176"/>
      <c r="U741" s="176"/>
      <c r="V741" s="176"/>
      <c r="W741" s="176"/>
      <c r="X741" s="176"/>
      <c r="Y741" s="176"/>
      <c r="Z741" s="176"/>
      <c r="AA741" s="176"/>
    </row>
    <row r="742">
      <c r="A742" s="185" t="s">
        <v>26</v>
      </c>
      <c r="B742" s="185" t="s">
        <v>534</v>
      </c>
      <c r="C742" s="186" t="s">
        <v>797</v>
      </c>
      <c r="D742" s="187"/>
      <c r="E742" s="188"/>
      <c r="F742" s="189"/>
      <c r="G742" s="190"/>
      <c r="H742" s="190"/>
      <c r="I742" s="190"/>
      <c r="J742" s="172">
        <f t="shared" si="24"/>
        <v>0</v>
      </c>
      <c r="K742" s="192">
        <f>8.746*-0.5</f>
        <v>-4.373</v>
      </c>
      <c r="L742" s="193">
        <f t="shared" si="4"/>
        <v>4.373409987</v>
      </c>
      <c r="M742" s="194" t="str">
        <f t="shared" si="5"/>
        <v>sgonzt</v>
      </c>
      <c r="N742" s="195">
        <f>IFERROR(__xludf.DUMMYFUNCTION("""COMPUTED_VALUE"""),1.0)</f>
        <v>1</v>
      </c>
      <c r="O742" s="195"/>
      <c r="P742" s="185" t="s">
        <v>10</v>
      </c>
      <c r="Q742" s="185" t="s">
        <v>534</v>
      </c>
      <c r="R742" s="195">
        <v>18.802169413641863</v>
      </c>
      <c r="S742" s="195"/>
      <c r="T742" s="195"/>
      <c r="U742" s="195"/>
      <c r="V742" s="195"/>
      <c r="W742" s="195"/>
      <c r="X742" s="195"/>
      <c r="Y742" s="195"/>
      <c r="Z742" s="195"/>
      <c r="AA742" s="176"/>
    </row>
    <row r="743">
      <c r="A743" s="165" t="str">
        <f>iferror(VLOOKUP(P743,'DO NOT TOUCH Imported'!$A$1:$D$800,4,False),iferror(VLOOKUP(P743,'DO NOT TOUCH Imported'!$C$1:$D$800,2,False),"OOPS FIX ME"))</f>
        <v>sgonzt</v>
      </c>
      <c r="B743" s="165" t="s">
        <v>519</v>
      </c>
      <c r="C743" s="170" t="s">
        <v>668</v>
      </c>
      <c r="D743" s="236" t="s">
        <v>495</v>
      </c>
      <c r="E743" s="239">
        <v>44293.0</v>
      </c>
      <c r="F743" s="170" t="s">
        <v>521</v>
      </c>
      <c r="G743" s="219"/>
      <c r="H743" s="171">
        <v>60.0</v>
      </c>
      <c r="I743" s="171">
        <v>50.0</v>
      </c>
      <c r="J743" s="172">
        <f t="shared" si="24"/>
        <v>0.0007904847406</v>
      </c>
      <c r="K743" s="173">
        <f t="shared" ref="K743:K750" si="35">J743*$J$1</f>
        <v>0.9090574516</v>
      </c>
      <c r="L743" s="174">
        <f t="shared" si="4"/>
        <v>4.373409987</v>
      </c>
      <c r="M743" s="175" t="str">
        <f t="shared" si="5"/>
        <v>sgonzt</v>
      </c>
      <c r="N743" s="176">
        <f>IFERROR(__xludf.DUMMYFUNCTION("""COMPUTED_VALUE"""),2.0)</f>
        <v>2</v>
      </c>
      <c r="O743" s="176"/>
      <c r="P743" s="165" t="s">
        <v>26</v>
      </c>
      <c r="Q743" s="165" t="s">
        <v>519</v>
      </c>
      <c r="R743" s="176"/>
      <c r="S743" s="176"/>
      <c r="T743" s="176"/>
      <c r="U743" s="176"/>
      <c r="V743" s="176"/>
      <c r="W743" s="176"/>
      <c r="X743" s="176"/>
      <c r="Y743" s="176"/>
      <c r="Z743" s="176"/>
      <c r="AA743" s="176"/>
    </row>
    <row r="744">
      <c r="A744" s="165" t="str">
        <f>iferror(VLOOKUP(P744,'DO NOT TOUCH Imported'!$A$1:$D$800,4,False),iferror(VLOOKUP(P744,'DO NOT TOUCH Imported'!$C$1:$D$800,2,False),"OOPS FIX ME"))</f>
        <v>sgonzt</v>
      </c>
      <c r="B744" s="165" t="s">
        <v>435</v>
      </c>
      <c r="C744" s="170" t="s">
        <v>1271</v>
      </c>
      <c r="D744" s="236" t="s">
        <v>437</v>
      </c>
      <c r="E744" s="239">
        <v>44287.0</v>
      </c>
      <c r="F744" s="170" t="s">
        <v>439</v>
      </c>
      <c r="G744" s="219"/>
      <c r="H744" s="171">
        <v>100.0</v>
      </c>
      <c r="I744" s="171">
        <v>200.0</v>
      </c>
      <c r="J744" s="172">
        <f t="shared" si="24"/>
        <v>0.002149500432</v>
      </c>
      <c r="K744" s="173">
        <f t="shared" si="35"/>
        <v>2.471925496</v>
      </c>
      <c r="L744" s="174">
        <f t="shared" si="4"/>
        <v>4.373409987</v>
      </c>
      <c r="M744" s="175" t="str">
        <f t="shared" si="5"/>
        <v>sgonzt</v>
      </c>
      <c r="N744" s="176">
        <f>IFERROR(__xludf.DUMMYFUNCTION("""COMPUTED_VALUE"""),3.0)</f>
        <v>3</v>
      </c>
      <c r="O744" s="176"/>
      <c r="P744" s="165" t="s">
        <v>796</v>
      </c>
      <c r="Q744" s="165" t="s">
        <v>435</v>
      </c>
      <c r="R744" s="176"/>
      <c r="S744" s="176"/>
      <c r="T744" s="176"/>
      <c r="U744" s="176"/>
      <c r="V744" s="176"/>
      <c r="W744" s="176"/>
      <c r="X744" s="176"/>
      <c r="Y744" s="176"/>
      <c r="Z744" s="176"/>
      <c r="AA744" s="176"/>
    </row>
    <row r="745">
      <c r="A745" s="165" t="str">
        <f>iferror(VLOOKUP(P745,'DO NOT TOUCH Imported'!$A$1:$D$800,4,False),iferror(VLOOKUP(P745,'DO NOT TOUCH Imported'!$C$1:$D$800,2,False),"OOPS FIX ME"))</f>
        <v>sgonzt</v>
      </c>
      <c r="B745" s="165" t="s">
        <v>435</v>
      </c>
      <c r="C745" s="170" t="s">
        <v>1291</v>
      </c>
      <c r="D745" s="236" t="s">
        <v>499</v>
      </c>
      <c r="E745" s="237">
        <v>44289.0</v>
      </c>
      <c r="F745" s="170" t="s">
        <v>503</v>
      </c>
      <c r="G745" s="219"/>
      <c r="H745" s="171">
        <v>100.0</v>
      </c>
      <c r="I745" s="171">
        <v>100.0</v>
      </c>
      <c r="J745" s="172">
        <f t="shared" si="24"/>
        <v>0.001436335405</v>
      </c>
      <c r="K745" s="173">
        <f t="shared" si="35"/>
        <v>1.651785716</v>
      </c>
      <c r="L745" s="174">
        <f t="shared" si="4"/>
        <v>4.373409987</v>
      </c>
      <c r="M745" s="175" t="str">
        <f t="shared" si="5"/>
        <v>sgonzt</v>
      </c>
      <c r="N745" s="176">
        <f>IFERROR(__xludf.DUMMYFUNCTION("""COMPUTED_VALUE"""),4.0)</f>
        <v>4</v>
      </c>
      <c r="O745" s="176"/>
      <c r="P745" s="165" t="s">
        <v>796</v>
      </c>
      <c r="Q745" s="165" t="s">
        <v>435</v>
      </c>
      <c r="R745" s="176"/>
      <c r="S745" s="176"/>
      <c r="T745" s="176"/>
      <c r="U745" s="176"/>
      <c r="V745" s="176"/>
      <c r="W745" s="176"/>
      <c r="X745" s="176"/>
      <c r="Y745" s="176"/>
      <c r="Z745" s="176"/>
      <c r="AA745" s="176"/>
    </row>
    <row r="746">
      <c r="A746" s="165" t="str">
        <f>iferror(VLOOKUP(P746,'DO NOT TOUCH Imported'!$A$1:$D$800,4,False),iferror(VLOOKUP(P746,'DO NOT TOUCH Imported'!$C$1:$D$800,2,False),"OOPS FIX ME"))</f>
        <v>sgonzt</v>
      </c>
      <c r="B746" s="165" t="s">
        <v>441</v>
      </c>
      <c r="C746" s="170" t="s">
        <v>1510</v>
      </c>
      <c r="D746" s="236" t="s">
        <v>437</v>
      </c>
      <c r="E746" s="237">
        <v>44295.0</v>
      </c>
      <c r="F746" s="170" t="s">
        <v>439</v>
      </c>
      <c r="G746" s="219"/>
      <c r="H746" s="171">
        <v>100.0</v>
      </c>
      <c r="I746" s="171">
        <v>100.0</v>
      </c>
      <c r="J746" s="172">
        <f t="shared" si="24"/>
        <v>0.001436335405</v>
      </c>
      <c r="K746" s="173">
        <f t="shared" si="35"/>
        <v>1.651785716</v>
      </c>
      <c r="L746" s="174">
        <f t="shared" si="4"/>
        <v>4.373409987</v>
      </c>
      <c r="M746" s="175" t="str">
        <f t="shared" si="5"/>
        <v>sgonzt</v>
      </c>
      <c r="N746" s="176">
        <f>IFERROR(__xludf.DUMMYFUNCTION("""COMPUTED_VALUE"""),5.0)</f>
        <v>5</v>
      </c>
      <c r="O746" s="176"/>
      <c r="P746" s="165" t="s">
        <v>796</v>
      </c>
      <c r="Q746" s="165" t="s">
        <v>441</v>
      </c>
      <c r="R746" s="176"/>
      <c r="S746" s="176"/>
      <c r="T746" s="176"/>
      <c r="U746" s="176"/>
      <c r="V746" s="176"/>
      <c r="W746" s="176"/>
      <c r="X746" s="176"/>
      <c r="Y746" s="176"/>
      <c r="Z746" s="176"/>
      <c r="AA746" s="176"/>
    </row>
    <row r="747">
      <c r="A747" s="165" t="str">
        <f>iferror(VLOOKUP(P747,'DO NOT TOUCH Imported'!$A$1:$D$800,4,False),iferror(VLOOKUP(P747,'DO NOT TOUCH Imported'!$C$1:$D$800,2,False),"OOPS FIX ME"))</f>
        <v>sgonzt</v>
      </c>
      <c r="B747" s="165" t="s">
        <v>441</v>
      </c>
      <c r="C747" s="170" t="s">
        <v>1332</v>
      </c>
      <c r="D747" s="236" t="s">
        <v>437</v>
      </c>
      <c r="E747" s="237">
        <v>44295.0</v>
      </c>
      <c r="F747" s="170" t="s">
        <v>439</v>
      </c>
      <c r="G747" s="219"/>
      <c r="H747" s="171">
        <v>100.0</v>
      </c>
      <c r="I747" s="171">
        <v>150.0</v>
      </c>
      <c r="J747" s="172">
        <f t="shared" si="24"/>
        <v>0.001792917919</v>
      </c>
      <c r="K747" s="173">
        <f t="shared" si="35"/>
        <v>2.061855606</v>
      </c>
      <c r="L747" s="174">
        <f t="shared" si="4"/>
        <v>4.373409987</v>
      </c>
      <c r="M747" s="175" t="str">
        <f t="shared" si="5"/>
        <v>sgonzt</v>
      </c>
      <c r="N747" s="176">
        <f>IFERROR(__xludf.DUMMYFUNCTION("""COMPUTED_VALUE"""),6.0)</f>
        <v>6</v>
      </c>
      <c r="O747" s="176"/>
      <c r="P747" s="165" t="s">
        <v>796</v>
      </c>
      <c r="Q747" s="165" t="s">
        <v>441</v>
      </c>
      <c r="R747" s="176"/>
      <c r="S747" s="176"/>
      <c r="T747" s="176"/>
      <c r="U747" s="176"/>
      <c r="V747" s="176"/>
      <c r="W747" s="176"/>
      <c r="X747" s="176"/>
      <c r="Y747" s="176"/>
      <c r="Z747" s="176"/>
      <c r="AA747" s="176"/>
    </row>
    <row r="748">
      <c r="A748" s="165" t="str">
        <f>iferror(VLOOKUP(P748,'DO NOT TOUCH Imported'!$A$1:$D$800,4,False),iferror(VLOOKUP(P748,'DO NOT TOUCH Imported'!$C$1:$D$800,2,False),"OOPS FIX ME"))</f>
        <v>Letty#5399</v>
      </c>
      <c r="B748" s="165" t="s">
        <v>463</v>
      </c>
      <c r="C748" s="170" t="s">
        <v>1239</v>
      </c>
      <c r="D748" s="236" t="s">
        <v>437</v>
      </c>
      <c r="E748" s="239">
        <v>44286.0</v>
      </c>
      <c r="F748" s="170" t="s">
        <v>439</v>
      </c>
      <c r="G748" s="219"/>
      <c r="H748" s="171">
        <v>100.0</v>
      </c>
      <c r="I748" s="171">
        <v>80.0</v>
      </c>
      <c r="J748" s="172">
        <f t="shared" si="24"/>
        <v>0.0012937024</v>
      </c>
      <c r="K748" s="173">
        <f t="shared" si="35"/>
        <v>1.48775776</v>
      </c>
      <c r="L748" s="174">
        <f t="shared" si="4"/>
        <v>3.882271741</v>
      </c>
      <c r="M748" s="175" t="str">
        <f t="shared" si="5"/>
        <v>Letty#5399</v>
      </c>
      <c r="N748" s="176">
        <f>IFERROR(__xludf.DUMMYFUNCTION("""COMPUTED_VALUE"""),1.0)</f>
        <v>1</v>
      </c>
      <c r="O748" s="176"/>
      <c r="P748" s="165" t="s">
        <v>75</v>
      </c>
      <c r="Q748" s="165" t="s">
        <v>463</v>
      </c>
      <c r="R748" s="176"/>
      <c r="S748" s="176"/>
      <c r="T748" s="176"/>
      <c r="U748" s="176"/>
      <c r="V748" s="176"/>
      <c r="W748" s="176"/>
      <c r="X748" s="176"/>
      <c r="Y748" s="176"/>
      <c r="Z748" s="176"/>
      <c r="AA748" s="176"/>
    </row>
    <row r="749">
      <c r="A749" s="165" t="str">
        <f>iferror(VLOOKUP(P749,'DO NOT TOUCH Imported'!$A$1:$D$800,4,False),iferror(VLOOKUP(P749,'DO NOT TOUCH Imported'!$C$1:$D$800,2,False),"OOPS FIX ME"))</f>
        <v>Letty#5399</v>
      </c>
      <c r="B749" s="165" t="s">
        <v>463</v>
      </c>
      <c r="C749" s="170" t="s">
        <v>1511</v>
      </c>
      <c r="D749" s="236" t="s">
        <v>437</v>
      </c>
      <c r="E749" s="239">
        <v>44286.0</v>
      </c>
      <c r="F749" s="170" t="s">
        <v>439</v>
      </c>
      <c r="G749" s="219"/>
      <c r="H749" s="171">
        <v>100.0</v>
      </c>
      <c r="I749" s="171">
        <v>100.0</v>
      </c>
      <c r="J749" s="172">
        <f t="shared" si="24"/>
        <v>0.001436335405</v>
      </c>
      <c r="K749" s="173">
        <f t="shared" si="35"/>
        <v>1.651785716</v>
      </c>
      <c r="L749" s="174">
        <f t="shared" si="4"/>
        <v>3.882271741</v>
      </c>
      <c r="M749" s="175" t="str">
        <f t="shared" si="5"/>
        <v>Letty#5399</v>
      </c>
      <c r="N749" s="176">
        <f>IFERROR(__xludf.DUMMYFUNCTION("""COMPUTED_VALUE"""),2.0)</f>
        <v>2</v>
      </c>
      <c r="O749" s="176"/>
      <c r="P749" s="165" t="s">
        <v>75</v>
      </c>
      <c r="Q749" s="165" t="s">
        <v>463</v>
      </c>
      <c r="R749" s="176"/>
      <c r="S749" s="176"/>
      <c r="T749" s="176"/>
      <c r="U749" s="176"/>
      <c r="V749" s="176"/>
      <c r="W749" s="176"/>
      <c r="X749" s="176"/>
      <c r="Y749" s="176"/>
      <c r="Z749" s="176"/>
      <c r="AA749" s="176"/>
    </row>
    <row r="750">
      <c r="A750" s="165" t="str">
        <f>iferror(VLOOKUP(P750,'DO NOT TOUCH Imported'!$A$1:$D$800,4,False),iferror(VLOOKUP(P750,'DO NOT TOUCH Imported'!$C$1:$D$800,2,False),"OOPS FIX ME"))</f>
        <v>Letty#5399</v>
      </c>
      <c r="B750" s="165" t="s">
        <v>441</v>
      </c>
      <c r="C750" s="170" t="s">
        <v>1250</v>
      </c>
      <c r="D750" s="236" t="s">
        <v>437</v>
      </c>
      <c r="E750" s="237">
        <v>44288.0</v>
      </c>
      <c r="F750" s="170" t="s">
        <v>439</v>
      </c>
      <c r="G750" s="219"/>
      <c r="H750" s="171">
        <v>40.0</v>
      </c>
      <c r="I750" s="171">
        <v>50.0</v>
      </c>
      <c r="J750" s="172">
        <f t="shared" si="24"/>
        <v>0.0006458506648</v>
      </c>
      <c r="K750" s="173">
        <f t="shared" si="35"/>
        <v>0.7427282645</v>
      </c>
      <c r="L750" s="174">
        <f t="shared" si="4"/>
        <v>3.882271741</v>
      </c>
      <c r="M750" s="175" t="str">
        <f t="shared" si="5"/>
        <v>Letty#5399</v>
      </c>
      <c r="N750" s="176">
        <f>IFERROR(__xludf.DUMMYFUNCTION("""COMPUTED_VALUE"""),3.0)</f>
        <v>3</v>
      </c>
      <c r="O750" s="176"/>
      <c r="P750" s="165" t="s">
        <v>75</v>
      </c>
      <c r="Q750" s="165" t="s">
        <v>441</v>
      </c>
      <c r="R750" s="176"/>
      <c r="S750" s="176"/>
      <c r="T750" s="176"/>
      <c r="U750" s="176"/>
      <c r="V750" s="176"/>
      <c r="W750" s="176"/>
      <c r="X750" s="176"/>
      <c r="Y750" s="176"/>
      <c r="Z750" s="176"/>
      <c r="AA750" s="176"/>
    </row>
    <row r="751">
      <c r="A751" s="185" t="str">
        <f>iferror(VLOOKUP(P751,'DO NOT TOUCH Imported'!$A$1:$D$800,4,False),iferror(VLOOKUP(P751,'DO NOT TOUCH Imported'!$C$1:$D$800,2,False),"OOPS FIX ME"))</f>
        <v>VitorMarthendal</v>
      </c>
      <c r="B751" s="196" t="s">
        <v>534</v>
      </c>
      <c r="C751" s="216" t="s">
        <v>693</v>
      </c>
      <c r="D751" s="212"/>
      <c r="E751" s="214"/>
      <c r="F751" s="212"/>
      <c r="G751" s="196"/>
      <c r="H751" s="196"/>
      <c r="I751" s="196"/>
      <c r="J751" s="172">
        <f t="shared" si="24"/>
        <v>0</v>
      </c>
      <c r="K751" s="192">
        <f>24.894*-0.85</f>
        <v>-21.1599</v>
      </c>
      <c r="L751" s="193">
        <f t="shared" si="4"/>
        <v>3.734153631</v>
      </c>
      <c r="M751" s="194" t="str">
        <f t="shared" si="5"/>
        <v>VitorMarthendal</v>
      </c>
      <c r="N751" s="217">
        <f>IFERROR(__xludf.DUMMYFUNCTION("""COMPUTED_VALUE"""),1.0)</f>
        <v>1</v>
      </c>
      <c r="O751" s="212"/>
      <c r="P751" s="196" t="s">
        <v>35</v>
      </c>
      <c r="Q751" s="196" t="s">
        <v>534</v>
      </c>
      <c r="R751" s="187">
        <v>57.049855624848725</v>
      </c>
      <c r="S751" s="212"/>
      <c r="T751" s="212"/>
      <c r="U751" s="212"/>
      <c r="V751" s="212"/>
      <c r="W751" s="212"/>
      <c r="X751" s="212"/>
      <c r="Y751" s="212"/>
      <c r="Z751" s="212"/>
      <c r="AA751" s="176"/>
    </row>
    <row r="752">
      <c r="A752" s="165" t="str">
        <f>iferror(VLOOKUP(P752,'DO NOT TOUCH Imported'!$A$1:$D$800,4,False),iferror(VLOOKUP(P752,'DO NOT TOUCH Imported'!$C$1:$D$800,2,False),"OOPS FIX ME"))</f>
        <v>VitorMarthendal</v>
      </c>
      <c r="B752" s="165" t="s">
        <v>873</v>
      </c>
      <c r="C752" s="170" t="s">
        <v>1282</v>
      </c>
      <c r="D752" s="236" t="s">
        <v>495</v>
      </c>
      <c r="E752" s="239">
        <v>44283.0</v>
      </c>
      <c r="F752" s="170" t="s">
        <v>499</v>
      </c>
      <c r="G752" s="219"/>
      <c r="H752" s="171">
        <v>100.0</v>
      </c>
      <c r="I752" s="171">
        <v>100.0</v>
      </c>
      <c r="J752" s="172">
        <f t="shared" si="24"/>
        <v>0.001436335405</v>
      </c>
      <c r="K752" s="173">
        <f t="shared" ref="K752:K768" si="36">J752*$J$1</f>
        <v>1.651785716</v>
      </c>
      <c r="L752" s="174">
        <f t="shared" si="4"/>
        <v>3.734153631</v>
      </c>
      <c r="M752" s="175" t="str">
        <f t="shared" si="5"/>
        <v>VitorMarthendal</v>
      </c>
      <c r="N752" s="176">
        <f>IFERROR(__xludf.DUMMYFUNCTION("""COMPUTED_VALUE"""),2.0)</f>
        <v>2</v>
      </c>
      <c r="O752" s="176"/>
      <c r="P752" s="165" t="s">
        <v>35</v>
      </c>
      <c r="Q752" s="165" t="s">
        <v>873</v>
      </c>
      <c r="R752" s="176"/>
      <c r="S752" s="176"/>
      <c r="T752" s="176"/>
      <c r="U752" s="176"/>
      <c r="V752" s="176"/>
      <c r="W752" s="176"/>
      <c r="X752" s="176"/>
      <c r="Y752" s="176"/>
      <c r="Z752" s="176"/>
      <c r="AA752" s="176"/>
    </row>
    <row r="753">
      <c r="A753" s="165" t="str">
        <f>iferror(VLOOKUP(P753,'DO NOT TOUCH Imported'!$A$1:$D$800,4,False),iferror(VLOOKUP(P753,'DO NOT TOUCH Imported'!$C$1:$D$800,2,False),"OOPS FIX ME"))</f>
        <v>VitorMarthendal</v>
      </c>
      <c r="B753" s="165" t="s">
        <v>519</v>
      </c>
      <c r="C753" s="170" t="s">
        <v>668</v>
      </c>
      <c r="D753" s="236" t="s">
        <v>495</v>
      </c>
      <c r="E753" s="239">
        <v>44286.0</v>
      </c>
      <c r="F753" s="170" t="s">
        <v>521</v>
      </c>
      <c r="G753" s="219"/>
      <c r="H753" s="171">
        <v>50.0</v>
      </c>
      <c r="I753" s="171">
        <v>50.0</v>
      </c>
      <c r="J753" s="172">
        <f t="shared" si="24"/>
        <v>0.0007181677027</v>
      </c>
      <c r="K753" s="173">
        <f t="shared" si="36"/>
        <v>0.8258928581</v>
      </c>
      <c r="L753" s="174">
        <f t="shared" si="4"/>
        <v>3.734153631</v>
      </c>
      <c r="M753" s="175" t="str">
        <f t="shared" si="5"/>
        <v>VitorMarthendal</v>
      </c>
      <c r="N753" s="176">
        <f>IFERROR(__xludf.DUMMYFUNCTION("""COMPUTED_VALUE"""),3.0)</f>
        <v>3</v>
      </c>
      <c r="O753" s="176"/>
      <c r="P753" s="165" t="s">
        <v>35</v>
      </c>
      <c r="Q753" s="165" t="s">
        <v>519</v>
      </c>
      <c r="R753" s="176"/>
      <c r="S753" s="176"/>
      <c r="T753" s="176"/>
      <c r="U753" s="176"/>
      <c r="V753" s="176"/>
      <c r="W753" s="176"/>
      <c r="X753" s="176"/>
      <c r="Y753" s="176"/>
      <c r="Z753" s="176"/>
      <c r="AA753" s="176"/>
    </row>
    <row r="754">
      <c r="A754" s="165" t="str">
        <f>iferror(VLOOKUP(P754,'DO NOT TOUCH Imported'!$A$1:$D$800,4,False),iferror(VLOOKUP(P754,'DO NOT TOUCH Imported'!$C$1:$D$800,2,False),"OOPS FIX ME"))</f>
        <v>VitorMarthendal</v>
      </c>
      <c r="B754" s="165" t="s">
        <v>10</v>
      </c>
      <c r="C754" s="170" t="s">
        <v>498</v>
      </c>
      <c r="D754" s="236" t="s">
        <v>495</v>
      </c>
      <c r="E754" s="239">
        <v>44288.0</v>
      </c>
      <c r="F754" s="170" t="s">
        <v>499</v>
      </c>
      <c r="G754" s="219"/>
      <c r="H754" s="171">
        <v>20.0</v>
      </c>
      <c r="I754" s="171">
        <v>15.0</v>
      </c>
      <c r="J754" s="172">
        <f t="shared" si="24"/>
        <v>0.0002516088297</v>
      </c>
      <c r="K754" s="173">
        <f t="shared" si="36"/>
        <v>0.2893501542</v>
      </c>
      <c r="L754" s="174">
        <f t="shared" si="4"/>
        <v>3.734153631</v>
      </c>
      <c r="M754" s="175" t="str">
        <f t="shared" si="5"/>
        <v>VitorMarthendal</v>
      </c>
      <c r="N754" s="176">
        <f>IFERROR(__xludf.DUMMYFUNCTION("""COMPUTED_VALUE"""),4.0)</f>
        <v>4</v>
      </c>
      <c r="O754" s="176"/>
      <c r="P754" s="165" t="s">
        <v>35</v>
      </c>
      <c r="Q754" s="165" t="s">
        <v>10</v>
      </c>
      <c r="R754" s="176"/>
      <c r="S754" s="176"/>
      <c r="T754" s="176"/>
      <c r="U754" s="176"/>
      <c r="V754" s="176"/>
      <c r="W754" s="176"/>
      <c r="X754" s="176"/>
      <c r="Y754" s="176"/>
      <c r="Z754" s="176"/>
      <c r="AA754" s="176"/>
    </row>
    <row r="755">
      <c r="A755" s="165" t="str">
        <f>iferror(VLOOKUP(P755,'DO NOT TOUCH Imported'!$A$1:$D$800,4,False),iferror(VLOOKUP(P755,'DO NOT TOUCH Imported'!$C$1:$D$800,2,False),"OOPS FIX ME"))</f>
        <v>VitorMarthendal</v>
      </c>
      <c r="B755" s="165" t="s">
        <v>519</v>
      </c>
      <c r="C755" s="170" t="s">
        <v>668</v>
      </c>
      <c r="D755" s="236" t="s">
        <v>495</v>
      </c>
      <c r="E755" s="239">
        <v>44293.0</v>
      </c>
      <c r="F755" s="170" t="s">
        <v>521</v>
      </c>
      <c r="G755" s="219"/>
      <c r="H755" s="171">
        <v>60.0</v>
      </c>
      <c r="I755" s="171">
        <v>50.0</v>
      </c>
      <c r="J755" s="172">
        <f t="shared" si="24"/>
        <v>0.0007904847406</v>
      </c>
      <c r="K755" s="173">
        <f t="shared" si="36"/>
        <v>0.9090574516</v>
      </c>
      <c r="L755" s="174">
        <f t="shared" si="4"/>
        <v>3.734153631</v>
      </c>
      <c r="M755" s="175" t="str">
        <f t="shared" si="5"/>
        <v>VitorMarthendal</v>
      </c>
      <c r="N755" s="176">
        <f>IFERROR(__xludf.DUMMYFUNCTION("""COMPUTED_VALUE"""),5.0)</f>
        <v>5</v>
      </c>
      <c r="O755" s="176"/>
      <c r="P755" s="165" t="s">
        <v>35</v>
      </c>
      <c r="Q755" s="165" t="s">
        <v>519</v>
      </c>
      <c r="R755" s="176"/>
      <c r="S755" s="176"/>
      <c r="T755" s="176"/>
      <c r="U755" s="176"/>
      <c r="V755" s="176"/>
      <c r="W755" s="176"/>
      <c r="X755" s="176"/>
      <c r="Y755" s="176"/>
      <c r="Z755" s="176"/>
      <c r="AA755" s="176"/>
    </row>
    <row r="756">
      <c r="A756" s="165" t="str">
        <f>iferror(VLOOKUP(P756,'DO NOT TOUCH Imported'!$A$1:$D$800,4,False),iferror(VLOOKUP(P756,'DO NOT TOUCH Imported'!$C$1:$D$800,2,False),"OOPS FIX ME"))</f>
        <v>VitorMarthendal</v>
      </c>
      <c r="B756" s="165" t="s">
        <v>590</v>
      </c>
      <c r="C756" s="170" t="s">
        <v>1283</v>
      </c>
      <c r="D756" s="236" t="s">
        <v>495</v>
      </c>
      <c r="E756" s="239">
        <v>44293.0</v>
      </c>
      <c r="F756" s="170" t="s">
        <v>592</v>
      </c>
      <c r="G756" s="219"/>
      <c r="H756" s="171">
        <v>100.0</v>
      </c>
      <c r="I756" s="171">
        <v>100.0</v>
      </c>
      <c r="J756" s="172">
        <f t="shared" si="24"/>
        <v>0.001436335405</v>
      </c>
      <c r="K756" s="173">
        <f t="shared" si="36"/>
        <v>1.651785716</v>
      </c>
      <c r="L756" s="174">
        <f t="shared" si="4"/>
        <v>3.734153631</v>
      </c>
      <c r="M756" s="175" t="str">
        <f t="shared" si="5"/>
        <v>VitorMarthendal</v>
      </c>
      <c r="N756" s="176">
        <f>IFERROR(__xludf.DUMMYFUNCTION("""COMPUTED_VALUE"""),6.0)</f>
        <v>6</v>
      </c>
      <c r="O756" s="176"/>
      <c r="P756" s="165" t="s">
        <v>35</v>
      </c>
      <c r="Q756" s="165" t="s">
        <v>590</v>
      </c>
      <c r="R756" s="176"/>
      <c r="S756" s="176"/>
      <c r="T756" s="176"/>
      <c r="U756" s="176"/>
      <c r="V756" s="176"/>
      <c r="W756" s="176"/>
      <c r="X756" s="176"/>
      <c r="Y756" s="176"/>
      <c r="Z756" s="176"/>
      <c r="AA756" s="176"/>
    </row>
    <row r="757">
      <c r="A757" s="165" t="str">
        <f>iferror(VLOOKUP(P757,'DO NOT TOUCH Imported'!$A$1:$D$800,4,False),iferror(VLOOKUP(P757,'DO NOT TOUCH Imported'!$C$1:$D$800,2,False),"OOPS FIX ME"))</f>
        <v>VitorMarthendal</v>
      </c>
      <c r="B757" s="165" t="s">
        <v>435</v>
      </c>
      <c r="C757" s="170" t="s">
        <v>1512</v>
      </c>
      <c r="D757" s="236" t="s">
        <v>437</v>
      </c>
      <c r="E757" s="239">
        <v>44287.0</v>
      </c>
      <c r="F757" s="170" t="s">
        <v>439</v>
      </c>
      <c r="G757" s="219"/>
      <c r="H757" s="171">
        <v>100.0</v>
      </c>
      <c r="I757" s="171">
        <v>150.0</v>
      </c>
      <c r="J757" s="172">
        <f t="shared" si="24"/>
        <v>0.001792917919</v>
      </c>
      <c r="K757" s="173">
        <f t="shared" si="36"/>
        <v>2.061855606</v>
      </c>
      <c r="L757" s="174">
        <f t="shared" si="4"/>
        <v>3.734153631</v>
      </c>
      <c r="M757" s="175" t="str">
        <f t="shared" si="5"/>
        <v>VitorMarthendal</v>
      </c>
      <c r="N757" s="176">
        <f>IFERROR(__xludf.DUMMYFUNCTION("""COMPUTED_VALUE"""),7.0)</f>
        <v>7</v>
      </c>
      <c r="O757" s="176"/>
      <c r="P757" s="165" t="s">
        <v>690</v>
      </c>
      <c r="Q757" s="165" t="s">
        <v>435</v>
      </c>
      <c r="R757" s="176"/>
      <c r="S757" s="176"/>
      <c r="T757" s="176"/>
      <c r="U757" s="176"/>
      <c r="V757" s="176"/>
      <c r="W757" s="176"/>
      <c r="X757" s="176"/>
      <c r="Y757" s="176"/>
      <c r="Z757" s="176"/>
      <c r="AA757" s="176"/>
    </row>
    <row r="758">
      <c r="A758" s="165" t="str">
        <f>iferror(VLOOKUP(P758,'DO NOT TOUCH Imported'!$A$1:$D$800,4,False),iferror(VLOOKUP(P758,'DO NOT TOUCH Imported'!$C$1:$D$800,2,False),"OOPS FIX ME"))</f>
        <v>VitorMarthendal</v>
      </c>
      <c r="B758" s="165" t="s">
        <v>564</v>
      </c>
      <c r="C758" s="170" t="s">
        <v>1288</v>
      </c>
      <c r="D758" s="236" t="s">
        <v>499</v>
      </c>
      <c r="E758" s="239">
        <v>44287.0</v>
      </c>
      <c r="F758" s="170" t="s">
        <v>503</v>
      </c>
      <c r="G758" s="219"/>
      <c r="H758" s="171">
        <v>100.0</v>
      </c>
      <c r="I758" s="171">
        <v>150.0</v>
      </c>
      <c r="J758" s="172">
        <f t="shared" si="24"/>
        <v>0.001792917919</v>
      </c>
      <c r="K758" s="173">
        <f t="shared" si="36"/>
        <v>2.061855606</v>
      </c>
      <c r="L758" s="174">
        <f t="shared" si="4"/>
        <v>3.734153631</v>
      </c>
      <c r="M758" s="175" t="str">
        <f t="shared" si="5"/>
        <v>VitorMarthendal</v>
      </c>
      <c r="N758" s="176">
        <f>IFERROR(__xludf.DUMMYFUNCTION("""COMPUTED_VALUE"""),8.0)</f>
        <v>8</v>
      </c>
      <c r="O758" s="176"/>
      <c r="P758" s="165" t="s">
        <v>690</v>
      </c>
      <c r="Q758" s="165" t="s">
        <v>564</v>
      </c>
      <c r="R758" s="176"/>
      <c r="S758" s="176"/>
      <c r="T758" s="176"/>
      <c r="U758" s="176"/>
      <c r="V758" s="176"/>
      <c r="W758" s="176"/>
      <c r="X758" s="176"/>
      <c r="Y758" s="176"/>
      <c r="Z758" s="176"/>
      <c r="AA758" s="176"/>
    </row>
    <row r="759">
      <c r="A759" s="165" t="str">
        <f>iferror(VLOOKUP(P759,'DO NOT TOUCH Imported'!$A$1:$D$800,4,False),iferror(VLOOKUP(P759,'DO NOT TOUCH Imported'!$C$1:$D$800,2,False),"OOPS FIX ME"))</f>
        <v>VitorMarthendal</v>
      </c>
      <c r="B759" s="165" t="s">
        <v>476</v>
      </c>
      <c r="C759" s="170" t="s">
        <v>1513</v>
      </c>
      <c r="D759" s="236" t="s">
        <v>437</v>
      </c>
      <c r="E759" s="239">
        <v>44287.0</v>
      </c>
      <c r="F759" s="170" t="s">
        <v>439</v>
      </c>
      <c r="G759" s="219"/>
      <c r="H759" s="171">
        <v>150.0</v>
      </c>
      <c r="I759" s="171">
        <v>150.0</v>
      </c>
      <c r="J759" s="172">
        <f t="shared" si="24"/>
        <v>0.002154503108</v>
      </c>
      <c r="K759" s="173">
        <f t="shared" si="36"/>
        <v>2.477678574</v>
      </c>
      <c r="L759" s="174">
        <f t="shared" si="4"/>
        <v>3.734153631</v>
      </c>
      <c r="M759" s="175" t="str">
        <f t="shared" si="5"/>
        <v>VitorMarthendal</v>
      </c>
      <c r="N759" s="176">
        <f>IFERROR(__xludf.DUMMYFUNCTION("""COMPUTED_VALUE"""),9.0)</f>
        <v>9</v>
      </c>
      <c r="O759" s="176"/>
      <c r="P759" s="165" t="s">
        <v>690</v>
      </c>
      <c r="Q759" s="165" t="s">
        <v>476</v>
      </c>
      <c r="R759" s="176"/>
      <c r="S759" s="176"/>
      <c r="T759" s="176"/>
      <c r="U759" s="176"/>
      <c r="V759" s="176"/>
      <c r="W759" s="176"/>
      <c r="X759" s="176"/>
      <c r="Y759" s="176"/>
      <c r="Z759" s="176"/>
      <c r="AA759" s="176"/>
    </row>
    <row r="760">
      <c r="A760" s="165" t="str">
        <f>iferror(VLOOKUP(P760,'DO NOT TOUCH Imported'!$A$1:$D$800,4,False),iferror(VLOOKUP(P760,'DO NOT TOUCH Imported'!$C$1:$D$800,2,False),"OOPS FIX ME"))</f>
        <v>VitorMarthendal</v>
      </c>
      <c r="B760" s="165" t="s">
        <v>441</v>
      </c>
      <c r="C760" s="170" t="s">
        <v>1514</v>
      </c>
      <c r="D760" s="236" t="s">
        <v>437</v>
      </c>
      <c r="E760" s="239">
        <v>44288.0</v>
      </c>
      <c r="F760" s="170" t="s">
        <v>439</v>
      </c>
      <c r="G760" s="219"/>
      <c r="H760" s="171">
        <v>150.0</v>
      </c>
      <c r="I760" s="171">
        <v>150.0</v>
      </c>
      <c r="J760" s="172">
        <f t="shared" si="24"/>
        <v>0.002154503108</v>
      </c>
      <c r="K760" s="173">
        <f t="shared" si="36"/>
        <v>2.477678574</v>
      </c>
      <c r="L760" s="174">
        <f t="shared" si="4"/>
        <v>3.734153631</v>
      </c>
      <c r="M760" s="175" t="str">
        <f t="shared" si="5"/>
        <v>VitorMarthendal</v>
      </c>
      <c r="N760" s="176">
        <f>IFERROR(__xludf.DUMMYFUNCTION("""COMPUTED_VALUE"""),10.0)</f>
        <v>10</v>
      </c>
      <c r="O760" s="176"/>
      <c r="P760" s="165" t="s">
        <v>690</v>
      </c>
      <c r="Q760" s="165" t="s">
        <v>441</v>
      </c>
      <c r="R760" s="176"/>
      <c r="S760" s="176"/>
      <c r="T760" s="176"/>
      <c r="U760" s="176"/>
      <c r="V760" s="176"/>
      <c r="W760" s="176"/>
      <c r="X760" s="176"/>
      <c r="Y760" s="176"/>
      <c r="Z760" s="176"/>
      <c r="AA760" s="176"/>
    </row>
    <row r="761">
      <c r="A761" s="165" t="str">
        <f>iferror(VLOOKUP(P761,'DO NOT TOUCH Imported'!$A$1:$D$800,4,False),iferror(VLOOKUP(P761,'DO NOT TOUCH Imported'!$C$1:$D$800,2,False),"OOPS FIX ME"))</f>
        <v>VitorMarthendal</v>
      </c>
      <c r="B761" s="165" t="s">
        <v>441</v>
      </c>
      <c r="C761" s="170" t="s">
        <v>1289</v>
      </c>
      <c r="D761" s="236" t="s">
        <v>437</v>
      </c>
      <c r="E761" s="237">
        <v>44288.0</v>
      </c>
      <c r="F761" s="170" t="s">
        <v>439</v>
      </c>
      <c r="G761" s="219"/>
      <c r="H761" s="171">
        <v>70.0</v>
      </c>
      <c r="I761" s="171">
        <v>100.0</v>
      </c>
      <c r="J761" s="172">
        <f t="shared" si="24"/>
        <v>0.001219384292</v>
      </c>
      <c r="K761" s="173">
        <f t="shared" si="36"/>
        <v>1.402291935</v>
      </c>
      <c r="L761" s="174">
        <f t="shared" si="4"/>
        <v>3.734153631</v>
      </c>
      <c r="M761" s="175" t="str">
        <f t="shared" si="5"/>
        <v>VitorMarthendal</v>
      </c>
      <c r="N761" s="176">
        <f>IFERROR(__xludf.DUMMYFUNCTION("""COMPUTED_VALUE"""),11.0)</f>
        <v>11</v>
      </c>
      <c r="O761" s="176"/>
      <c r="P761" s="165" t="s">
        <v>690</v>
      </c>
      <c r="Q761" s="165" t="s">
        <v>441</v>
      </c>
      <c r="R761" s="176"/>
      <c r="S761" s="176"/>
      <c r="T761" s="176"/>
      <c r="U761" s="176"/>
      <c r="V761" s="176"/>
      <c r="W761" s="176"/>
      <c r="X761" s="176"/>
      <c r="Y761" s="176"/>
      <c r="Z761" s="176"/>
      <c r="AA761" s="176"/>
    </row>
    <row r="762">
      <c r="A762" s="165" t="str">
        <f>iferror(VLOOKUP(P762,'DO NOT TOUCH Imported'!$A$1:$D$800,4,False),iferror(VLOOKUP(P762,'DO NOT TOUCH Imported'!$C$1:$D$800,2,False),"OOPS FIX ME"))</f>
        <v>VitorMarthendal</v>
      </c>
      <c r="B762" s="165" t="s">
        <v>441</v>
      </c>
      <c r="C762" s="170" t="s">
        <v>1408</v>
      </c>
      <c r="D762" s="236" t="s">
        <v>437</v>
      </c>
      <c r="E762" s="237">
        <v>44288.0</v>
      </c>
      <c r="F762" s="170" t="s">
        <v>439</v>
      </c>
      <c r="G762" s="219"/>
      <c r="H762" s="171">
        <v>100.0</v>
      </c>
      <c r="I762" s="171">
        <v>150.0</v>
      </c>
      <c r="J762" s="172">
        <f t="shared" si="24"/>
        <v>0.001792917919</v>
      </c>
      <c r="K762" s="173">
        <f t="shared" si="36"/>
        <v>2.061855606</v>
      </c>
      <c r="L762" s="174">
        <f t="shared" si="4"/>
        <v>3.734153631</v>
      </c>
      <c r="M762" s="175" t="str">
        <f t="shared" si="5"/>
        <v>VitorMarthendal</v>
      </c>
      <c r="N762" s="176">
        <f>IFERROR(__xludf.DUMMYFUNCTION("""COMPUTED_VALUE"""),12.0)</f>
        <v>12</v>
      </c>
      <c r="O762" s="176"/>
      <c r="P762" s="165" t="s">
        <v>690</v>
      </c>
      <c r="Q762" s="165" t="s">
        <v>441</v>
      </c>
      <c r="R762" s="176"/>
      <c r="S762" s="176"/>
      <c r="T762" s="176"/>
      <c r="U762" s="176"/>
      <c r="V762" s="176"/>
      <c r="W762" s="176"/>
      <c r="X762" s="176"/>
      <c r="Y762" s="176"/>
      <c r="Z762" s="176"/>
      <c r="AA762" s="176"/>
    </row>
    <row r="763">
      <c r="A763" s="165" t="str">
        <f>iferror(VLOOKUP(P763,'DO NOT TOUCH Imported'!$A$1:$D$800,4,False),iferror(VLOOKUP(P763,'DO NOT TOUCH Imported'!$C$1:$D$800,2,False),"OOPS FIX ME"))</f>
        <v>VitorMarthendal</v>
      </c>
      <c r="B763" s="165" t="s">
        <v>435</v>
      </c>
      <c r="C763" s="170" t="s">
        <v>1291</v>
      </c>
      <c r="D763" s="236" t="s">
        <v>499</v>
      </c>
      <c r="E763" s="237">
        <v>44289.0</v>
      </c>
      <c r="F763" s="170" t="s">
        <v>503</v>
      </c>
      <c r="G763" s="219"/>
      <c r="H763" s="171">
        <v>100.0</v>
      </c>
      <c r="I763" s="171">
        <v>100.0</v>
      </c>
      <c r="J763" s="172">
        <f t="shared" si="24"/>
        <v>0.001436335405</v>
      </c>
      <c r="K763" s="173">
        <f t="shared" si="36"/>
        <v>1.651785716</v>
      </c>
      <c r="L763" s="174">
        <f t="shared" si="4"/>
        <v>3.734153631</v>
      </c>
      <c r="M763" s="175" t="str">
        <f t="shared" si="5"/>
        <v>VitorMarthendal</v>
      </c>
      <c r="N763" s="176">
        <f>IFERROR(__xludf.DUMMYFUNCTION("""COMPUTED_VALUE"""),13.0)</f>
        <v>13</v>
      </c>
      <c r="O763" s="176"/>
      <c r="P763" s="165" t="s">
        <v>690</v>
      </c>
      <c r="Q763" s="165" t="s">
        <v>435</v>
      </c>
      <c r="R763" s="176"/>
      <c r="S763" s="176"/>
      <c r="T763" s="176"/>
      <c r="U763" s="176"/>
      <c r="V763" s="176"/>
      <c r="W763" s="176"/>
      <c r="X763" s="176"/>
      <c r="Y763" s="176"/>
      <c r="Z763" s="176"/>
      <c r="AA763" s="176"/>
    </row>
    <row r="764">
      <c r="A764" s="165" t="str">
        <f>iferror(VLOOKUP(P764,'DO NOT TOUCH Imported'!$A$1:$D$800,4,False),iferror(VLOOKUP(P764,'DO NOT TOUCH Imported'!$C$1:$D$800,2,False),"OOPS FIX ME"))</f>
        <v>VitorMarthendal</v>
      </c>
      <c r="B764" s="165" t="s">
        <v>530</v>
      </c>
      <c r="C764" s="170" t="s">
        <v>1293</v>
      </c>
      <c r="D764" s="236" t="s">
        <v>499</v>
      </c>
      <c r="E764" s="237">
        <v>44291.0</v>
      </c>
      <c r="F764" s="170" t="s">
        <v>503</v>
      </c>
      <c r="G764" s="219"/>
      <c r="H764" s="171">
        <v>100.0</v>
      </c>
      <c r="I764" s="171">
        <v>100.0</v>
      </c>
      <c r="J764" s="172">
        <f t="shared" si="24"/>
        <v>0.001436335405</v>
      </c>
      <c r="K764" s="173">
        <f t="shared" si="36"/>
        <v>1.651785716</v>
      </c>
      <c r="L764" s="174">
        <f t="shared" si="4"/>
        <v>3.734153631</v>
      </c>
      <c r="M764" s="175" t="str">
        <f t="shared" si="5"/>
        <v>VitorMarthendal</v>
      </c>
      <c r="N764" s="176">
        <f>IFERROR(__xludf.DUMMYFUNCTION("""COMPUTED_VALUE"""),14.0)</f>
        <v>14</v>
      </c>
      <c r="O764" s="176"/>
      <c r="P764" s="165" t="s">
        <v>690</v>
      </c>
      <c r="Q764" s="165" t="s">
        <v>530</v>
      </c>
      <c r="R764" s="176"/>
      <c r="S764" s="176"/>
      <c r="T764" s="176"/>
      <c r="U764" s="176"/>
      <c r="V764" s="176"/>
      <c r="W764" s="176"/>
      <c r="X764" s="176"/>
      <c r="Y764" s="176"/>
      <c r="Z764" s="176"/>
      <c r="AA764" s="176"/>
    </row>
    <row r="765">
      <c r="A765" s="165" t="str">
        <f>iferror(VLOOKUP(P765,'DO NOT TOUCH Imported'!$A$1:$D$800,4,False),iferror(VLOOKUP(P765,'DO NOT TOUCH Imported'!$C$1:$D$800,2,False),"OOPS FIX ME"))</f>
        <v>VitorMarthendal</v>
      </c>
      <c r="B765" s="165" t="s">
        <v>441</v>
      </c>
      <c r="C765" s="170" t="s">
        <v>1515</v>
      </c>
      <c r="D765" s="236" t="s">
        <v>437</v>
      </c>
      <c r="E765" s="237">
        <v>44295.0</v>
      </c>
      <c r="F765" s="170" t="s">
        <v>439</v>
      </c>
      <c r="G765" s="219"/>
      <c r="H765" s="171">
        <v>100.0</v>
      </c>
      <c r="I765" s="171">
        <v>100.0</v>
      </c>
      <c r="J765" s="172">
        <f t="shared" si="24"/>
        <v>0.001436335405</v>
      </c>
      <c r="K765" s="173">
        <f t="shared" si="36"/>
        <v>1.651785716</v>
      </c>
      <c r="L765" s="174">
        <f t="shared" si="4"/>
        <v>3.734153631</v>
      </c>
      <c r="M765" s="175" t="str">
        <f t="shared" si="5"/>
        <v>VitorMarthendal</v>
      </c>
      <c r="N765" s="176">
        <f>IFERROR(__xludf.DUMMYFUNCTION("""COMPUTED_VALUE"""),15.0)</f>
        <v>15</v>
      </c>
      <c r="O765" s="176"/>
      <c r="P765" s="165" t="s">
        <v>690</v>
      </c>
      <c r="Q765" s="165" t="s">
        <v>441</v>
      </c>
      <c r="R765" s="176"/>
      <c r="S765" s="176"/>
      <c r="T765" s="176"/>
      <c r="U765" s="176"/>
      <c r="V765" s="176"/>
      <c r="W765" s="176"/>
      <c r="X765" s="176"/>
      <c r="Y765" s="176"/>
      <c r="Z765" s="176"/>
      <c r="AA765" s="176"/>
    </row>
    <row r="766">
      <c r="A766" s="165" t="str">
        <f>iferror(VLOOKUP(P766,'DO NOT TOUCH Imported'!$A$1:$D$800,4,False),iferror(VLOOKUP(P766,'DO NOT TOUCH Imported'!$C$1:$D$800,2,False),"OOPS FIX ME"))</f>
        <v>VitorMarthendal</v>
      </c>
      <c r="B766" s="165" t="s">
        <v>441</v>
      </c>
      <c r="C766" s="170" t="s">
        <v>1516</v>
      </c>
      <c r="D766" s="236" t="s">
        <v>437</v>
      </c>
      <c r="E766" s="237">
        <v>44295.0</v>
      </c>
      <c r="F766" s="170" t="s">
        <v>439</v>
      </c>
      <c r="G766" s="219"/>
      <c r="H766" s="171">
        <v>150.0</v>
      </c>
      <c r="I766" s="171">
        <v>100.0</v>
      </c>
      <c r="J766" s="172">
        <f t="shared" si="24"/>
        <v>0.001797920595</v>
      </c>
      <c r="K766" s="173">
        <f t="shared" si="36"/>
        <v>2.067608684</v>
      </c>
      <c r="L766" s="174">
        <f t="shared" si="4"/>
        <v>3.734153631</v>
      </c>
      <c r="M766" s="175" t="str">
        <f t="shared" si="5"/>
        <v>VitorMarthendal</v>
      </c>
      <c r="N766" s="176">
        <f>IFERROR(__xludf.DUMMYFUNCTION("""COMPUTED_VALUE"""),16.0)</f>
        <v>16</v>
      </c>
      <c r="O766" s="176"/>
      <c r="P766" s="165" t="s">
        <v>690</v>
      </c>
      <c r="Q766" s="165" t="s">
        <v>441</v>
      </c>
      <c r="R766" s="176"/>
      <c r="S766" s="176"/>
      <c r="T766" s="176"/>
      <c r="U766" s="176"/>
      <c r="V766" s="176"/>
      <c r="W766" s="176"/>
      <c r="X766" s="176"/>
      <c r="Y766" s="176"/>
      <c r="Z766" s="176"/>
      <c r="AA766" s="176"/>
    </row>
    <row r="767">
      <c r="A767" s="165" t="str">
        <f>iferror(VLOOKUP(P767,'DO NOT TOUCH Imported'!$A$1:$D$800,4,False),iferror(VLOOKUP(P767,'DO NOT TOUCH Imported'!$C$1:$D$800,2,False),"OOPS FIX ME"))</f>
        <v>krisparuch</v>
      </c>
      <c r="B767" s="165" t="s">
        <v>564</v>
      </c>
      <c r="C767" s="170" t="s">
        <v>1517</v>
      </c>
      <c r="D767" s="236" t="s">
        <v>499</v>
      </c>
      <c r="E767" s="237">
        <v>44291.0</v>
      </c>
      <c r="F767" s="170" t="s">
        <v>503</v>
      </c>
      <c r="G767" s="219"/>
      <c r="H767" s="171">
        <v>100.0</v>
      </c>
      <c r="I767" s="171">
        <v>150.0</v>
      </c>
      <c r="J767" s="172">
        <f t="shared" si="24"/>
        <v>0.001792917919</v>
      </c>
      <c r="K767" s="173">
        <f t="shared" si="36"/>
        <v>2.061855606</v>
      </c>
      <c r="L767" s="174">
        <f t="shared" si="4"/>
        <v>3.713641322</v>
      </c>
      <c r="M767" s="175" t="str">
        <f t="shared" si="5"/>
        <v>krisparuch</v>
      </c>
      <c r="N767" s="176">
        <f>IFERROR(__xludf.DUMMYFUNCTION("""COMPUTED_VALUE"""),1.0)</f>
        <v>1</v>
      </c>
      <c r="O767" s="176"/>
      <c r="P767" s="165" t="s">
        <v>1518</v>
      </c>
      <c r="Q767" s="165" t="s">
        <v>564</v>
      </c>
      <c r="R767" s="176"/>
      <c r="S767" s="176"/>
      <c r="T767" s="176"/>
      <c r="U767" s="176"/>
      <c r="V767" s="176"/>
      <c r="W767" s="176"/>
      <c r="X767" s="176"/>
      <c r="Y767" s="176"/>
      <c r="Z767" s="176"/>
      <c r="AA767" s="176"/>
    </row>
    <row r="768">
      <c r="A768" s="165" t="str">
        <f>iferror(VLOOKUP(P768,'DO NOT TOUCH Imported'!$A$1:$D$800,4,False),iferror(VLOOKUP(P768,'DO NOT TOUCH Imported'!$C$1:$D$800,2,False),"OOPS FIX ME"))</f>
        <v>krisparuch</v>
      </c>
      <c r="B768" s="165" t="s">
        <v>450</v>
      </c>
      <c r="C768" s="170" t="s">
        <v>1519</v>
      </c>
      <c r="D768" s="236" t="s">
        <v>499</v>
      </c>
      <c r="E768" s="237">
        <v>44291.0</v>
      </c>
      <c r="F768" s="170" t="s">
        <v>503</v>
      </c>
      <c r="G768" s="219"/>
      <c r="H768" s="171">
        <v>100.0</v>
      </c>
      <c r="I768" s="171">
        <v>100.0</v>
      </c>
      <c r="J768" s="172">
        <f t="shared" si="24"/>
        <v>0.001436335405</v>
      </c>
      <c r="K768" s="173">
        <f t="shared" si="36"/>
        <v>1.651785716</v>
      </c>
      <c r="L768" s="174">
        <f t="shared" si="4"/>
        <v>3.713641322</v>
      </c>
      <c r="M768" s="175" t="str">
        <f t="shared" si="5"/>
        <v>krisparuch</v>
      </c>
      <c r="N768" s="176">
        <f>IFERROR(__xludf.DUMMYFUNCTION("""COMPUTED_VALUE"""),2.0)</f>
        <v>2</v>
      </c>
      <c r="O768" s="176"/>
      <c r="P768" s="165" t="s">
        <v>1518</v>
      </c>
      <c r="Q768" s="165" t="s">
        <v>450</v>
      </c>
      <c r="R768" s="176"/>
      <c r="S768" s="176"/>
      <c r="T768" s="176"/>
      <c r="U768" s="176"/>
      <c r="V768" s="176"/>
      <c r="W768" s="176"/>
      <c r="X768" s="176"/>
      <c r="Y768" s="176"/>
      <c r="Z768" s="176"/>
      <c r="AA768" s="176"/>
    </row>
    <row r="769">
      <c r="A769" s="185" t="str">
        <f>iferror(VLOOKUP(P769,'DO NOT TOUCH Imported'!$A$1:$D$800,4,False),iferror(VLOOKUP(P769,'DO NOT TOUCH Imported'!$C$1:$D$800,2,False),"OOPS FIX ME"))</f>
        <v>jeffemmett</v>
      </c>
      <c r="B769" s="196" t="s">
        <v>534</v>
      </c>
      <c r="C769" s="213" t="s">
        <v>684</v>
      </c>
      <c r="D769" s="212"/>
      <c r="E769" s="214"/>
      <c r="F769" s="212"/>
      <c r="G769" s="196"/>
      <c r="H769" s="196"/>
      <c r="I769" s="196"/>
      <c r="J769" s="172">
        <f t="shared" si="24"/>
        <v>0</v>
      </c>
      <c r="K769" s="192">
        <f>23.711*-0.85</f>
        <v>-20.15435</v>
      </c>
      <c r="L769" s="193">
        <f t="shared" si="4"/>
        <v>3.556254027</v>
      </c>
      <c r="M769" s="194" t="str">
        <f t="shared" si="5"/>
        <v>jeffemmett</v>
      </c>
      <c r="N769" s="212">
        <f>IFERROR(__xludf.DUMMYFUNCTION("""COMPUTED_VALUE"""),1.0)</f>
        <v>1</v>
      </c>
      <c r="O769" s="212"/>
      <c r="P769" s="212" t="s">
        <v>29</v>
      </c>
      <c r="Q769" s="196" t="s">
        <v>534</v>
      </c>
      <c r="R769" s="212">
        <v>18.15686701513158</v>
      </c>
      <c r="S769" s="212"/>
      <c r="T769" s="212"/>
      <c r="U769" s="212"/>
      <c r="V769" s="212"/>
      <c r="W769" s="212"/>
      <c r="X769" s="212"/>
      <c r="Y769" s="212"/>
      <c r="Z769" s="212"/>
      <c r="AA769" s="176"/>
    </row>
    <row r="770">
      <c r="A770" s="165" t="str">
        <f>iferror(VLOOKUP(P770,'DO NOT TOUCH Imported'!$A$1:$D$800,4,False),iferror(VLOOKUP(P770,'DO NOT TOUCH Imported'!$C$1:$D$800,2,False),"OOPS FIX ME"))</f>
        <v>jeffemmett</v>
      </c>
      <c r="B770" s="165" t="s">
        <v>29</v>
      </c>
      <c r="C770" s="170" t="s">
        <v>1455</v>
      </c>
      <c r="D770" s="236" t="s">
        <v>495</v>
      </c>
      <c r="E770" s="239">
        <v>44287.0</v>
      </c>
      <c r="F770" s="170" t="s">
        <v>499</v>
      </c>
      <c r="G770" s="219"/>
      <c r="H770" s="171">
        <v>200.0</v>
      </c>
      <c r="I770" s="171">
        <v>150.0</v>
      </c>
      <c r="J770" s="172">
        <f t="shared" si="24"/>
        <v>0.002516088297</v>
      </c>
      <c r="K770" s="173">
        <f t="shared" ref="K770:K794" si="37">J770*$J$1</f>
        <v>2.893501542</v>
      </c>
      <c r="L770" s="174">
        <f t="shared" si="4"/>
        <v>3.556254027</v>
      </c>
      <c r="M770" s="175" t="str">
        <f t="shared" si="5"/>
        <v>jeffemmett</v>
      </c>
      <c r="N770" s="176">
        <f>IFERROR(__xludf.DUMMYFUNCTION("""COMPUTED_VALUE"""),2.0)</f>
        <v>2</v>
      </c>
      <c r="O770" s="176"/>
      <c r="P770" s="165" t="s">
        <v>29</v>
      </c>
      <c r="Q770" s="165" t="s">
        <v>29</v>
      </c>
      <c r="R770" s="176"/>
      <c r="S770" s="176"/>
      <c r="T770" s="176"/>
      <c r="U770" s="176"/>
      <c r="V770" s="176"/>
      <c r="W770" s="176"/>
      <c r="X770" s="176"/>
      <c r="Y770" s="176"/>
      <c r="Z770" s="176"/>
      <c r="AA770" s="176"/>
    </row>
    <row r="771">
      <c r="A771" s="165" t="str">
        <f>iferror(VLOOKUP(P771,'DO NOT TOUCH Imported'!$A$1:$D$800,4,False),iferror(VLOOKUP(P771,'DO NOT TOUCH Imported'!$C$1:$D$800,2,False),"OOPS FIX ME"))</f>
        <v>jeffemmett</v>
      </c>
      <c r="B771" s="165" t="s">
        <v>10</v>
      </c>
      <c r="C771" s="170" t="s">
        <v>498</v>
      </c>
      <c r="D771" s="236" t="s">
        <v>495</v>
      </c>
      <c r="E771" s="239">
        <v>44288.0</v>
      </c>
      <c r="F771" s="170" t="s">
        <v>499</v>
      </c>
      <c r="G771" s="219"/>
      <c r="H771" s="171">
        <v>20.0</v>
      </c>
      <c r="I771" s="171">
        <v>15.0</v>
      </c>
      <c r="J771" s="172">
        <f t="shared" si="24"/>
        <v>0.0002516088297</v>
      </c>
      <c r="K771" s="173">
        <f t="shared" si="37"/>
        <v>0.2893501542</v>
      </c>
      <c r="L771" s="174">
        <f t="shared" si="4"/>
        <v>3.556254027</v>
      </c>
      <c r="M771" s="175" t="str">
        <f t="shared" si="5"/>
        <v>jeffemmett</v>
      </c>
      <c r="N771" s="176">
        <f>IFERROR(__xludf.DUMMYFUNCTION("""COMPUTED_VALUE"""),3.0)</f>
        <v>3</v>
      </c>
      <c r="O771" s="176"/>
      <c r="P771" s="165" t="s">
        <v>29</v>
      </c>
      <c r="Q771" s="165" t="s">
        <v>10</v>
      </c>
      <c r="R771" s="176"/>
      <c r="S771" s="176"/>
      <c r="T771" s="176"/>
      <c r="U771" s="176"/>
      <c r="V771" s="176"/>
      <c r="W771" s="176"/>
      <c r="X771" s="176"/>
      <c r="Y771" s="176"/>
      <c r="Z771" s="176"/>
      <c r="AA771" s="176"/>
    </row>
    <row r="772">
      <c r="A772" s="165" t="str">
        <f>iferror(VLOOKUP(P772,'DO NOT TOUCH Imported'!$A$1:$D$800,4,False),iferror(VLOOKUP(P772,'DO NOT TOUCH Imported'!$C$1:$D$800,2,False),"OOPS FIX ME"))</f>
        <v>jeffemmett</v>
      </c>
      <c r="B772" s="165" t="s">
        <v>10</v>
      </c>
      <c r="C772" s="170" t="s">
        <v>500</v>
      </c>
      <c r="D772" s="236" t="s">
        <v>495</v>
      </c>
      <c r="E772" s="239">
        <v>44289.0</v>
      </c>
      <c r="F772" s="170" t="s">
        <v>496</v>
      </c>
      <c r="G772" s="219"/>
      <c r="H772" s="171">
        <v>20.0</v>
      </c>
      <c r="I772" s="171">
        <v>15.0</v>
      </c>
      <c r="J772" s="172">
        <f t="shared" si="24"/>
        <v>0.0002516088297</v>
      </c>
      <c r="K772" s="173">
        <f t="shared" si="37"/>
        <v>0.2893501542</v>
      </c>
      <c r="L772" s="174">
        <f t="shared" si="4"/>
        <v>3.556254027</v>
      </c>
      <c r="M772" s="175" t="str">
        <f t="shared" si="5"/>
        <v>jeffemmett</v>
      </c>
      <c r="N772" s="176">
        <f>IFERROR(__xludf.DUMMYFUNCTION("""COMPUTED_VALUE"""),4.0)</f>
        <v>4</v>
      </c>
      <c r="O772" s="176"/>
      <c r="P772" s="165" t="s">
        <v>29</v>
      </c>
      <c r="Q772" s="165" t="s">
        <v>10</v>
      </c>
      <c r="R772" s="176"/>
      <c r="S772" s="176"/>
      <c r="T772" s="176"/>
      <c r="U772" s="176"/>
      <c r="V772" s="176"/>
      <c r="W772" s="176"/>
      <c r="X772" s="176"/>
      <c r="Y772" s="176"/>
      <c r="Z772" s="176"/>
      <c r="AA772" s="176"/>
    </row>
    <row r="773">
      <c r="A773" s="165" t="str">
        <f>iferror(VLOOKUP(P773,'DO NOT TOUCH Imported'!$A$1:$D$800,4,False),iferror(VLOOKUP(P773,'DO NOT TOUCH Imported'!$C$1:$D$800,2,False),"OOPS FIX ME"))</f>
        <v>jeffemmett</v>
      </c>
      <c r="B773" s="165" t="s">
        <v>435</v>
      </c>
      <c r="C773" s="170" t="s">
        <v>1520</v>
      </c>
      <c r="D773" s="236" t="s">
        <v>437</v>
      </c>
      <c r="E773" s="239">
        <v>44287.0</v>
      </c>
      <c r="F773" s="170" t="s">
        <v>439</v>
      </c>
      <c r="G773" s="219"/>
      <c r="H773" s="171">
        <v>200.0</v>
      </c>
      <c r="I773" s="171">
        <v>200.0</v>
      </c>
      <c r="J773" s="172">
        <f t="shared" si="24"/>
        <v>0.002872670811</v>
      </c>
      <c r="K773" s="173">
        <f t="shared" si="37"/>
        <v>3.303571432</v>
      </c>
      <c r="L773" s="174">
        <f t="shared" si="4"/>
        <v>3.556254027</v>
      </c>
      <c r="M773" s="175" t="str">
        <f t="shared" si="5"/>
        <v>jeffemmett</v>
      </c>
      <c r="N773" s="176">
        <f>IFERROR(__xludf.DUMMYFUNCTION("""COMPUTED_VALUE"""),5.0)</f>
        <v>5</v>
      </c>
      <c r="O773" s="176"/>
      <c r="P773" s="165" t="s">
        <v>564</v>
      </c>
      <c r="Q773" s="165" t="s">
        <v>435</v>
      </c>
      <c r="R773" s="176"/>
      <c r="S773" s="176"/>
      <c r="T773" s="176"/>
      <c r="U773" s="176"/>
      <c r="V773" s="176"/>
      <c r="W773" s="176"/>
      <c r="X773" s="176"/>
      <c r="Y773" s="176"/>
      <c r="Z773" s="176"/>
      <c r="AA773" s="176"/>
    </row>
    <row r="774">
      <c r="A774" s="165" t="str">
        <f>iferror(VLOOKUP(P774,'DO NOT TOUCH Imported'!$A$1:$D$800,4,False),iferror(VLOOKUP(P774,'DO NOT TOUCH Imported'!$C$1:$D$800,2,False),"OOPS FIX ME"))</f>
        <v>jeffemmett</v>
      </c>
      <c r="B774" s="165" t="s">
        <v>441</v>
      </c>
      <c r="C774" s="170" t="s">
        <v>1521</v>
      </c>
      <c r="D774" s="236" t="s">
        <v>437</v>
      </c>
      <c r="E774" s="237">
        <v>44288.0</v>
      </c>
      <c r="F774" s="170" t="s">
        <v>439</v>
      </c>
      <c r="G774" s="219"/>
      <c r="H774" s="171">
        <v>100.0</v>
      </c>
      <c r="I774" s="171">
        <v>200.0</v>
      </c>
      <c r="J774" s="172">
        <f t="shared" si="24"/>
        <v>0.002149500432</v>
      </c>
      <c r="K774" s="173">
        <f t="shared" si="37"/>
        <v>2.471925496</v>
      </c>
      <c r="L774" s="174">
        <f t="shared" si="4"/>
        <v>3.556254027</v>
      </c>
      <c r="M774" s="175" t="str">
        <f t="shared" si="5"/>
        <v>jeffemmett</v>
      </c>
      <c r="N774" s="176">
        <f>IFERROR(__xludf.DUMMYFUNCTION("""COMPUTED_VALUE"""),6.0)</f>
        <v>6</v>
      </c>
      <c r="O774" s="176"/>
      <c r="P774" s="165" t="s">
        <v>564</v>
      </c>
      <c r="Q774" s="165" t="s">
        <v>441</v>
      </c>
      <c r="R774" s="176"/>
      <c r="S774" s="176"/>
      <c r="T774" s="176"/>
      <c r="U774" s="176"/>
      <c r="V774" s="176"/>
      <c r="W774" s="176"/>
      <c r="X774" s="176"/>
      <c r="Y774" s="176"/>
      <c r="Z774" s="176"/>
      <c r="AA774" s="176"/>
    </row>
    <row r="775">
      <c r="A775" s="165" t="str">
        <f>iferror(VLOOKUP(P775,'DO NOT TOUCH Imported'!$A$1:$D$800,4,False),iferror(VLOOKUP(P775,'DO NOT TOUCH Imported'!$C$1:$D$800,2,False),"OOPS FIX ME"))</f>
        <v>jeffemmett</v>
      </c>
      <c r="B775" s="165" t="s">
        <v>441</v>
      </c>
      <c r="C775" s="170" t="s">
        <v>1005</v>
      </c>
      <c r="D775" s="236" t="s">
        <v>437</v>
      </c>
      <c r="E775" s="237">
        <v>44289.0</v>
      </c>
      <c r="F775" s="170" t="s">
        <v>439</v>
      </c>
      <c r="G775" s="219"/>
      <c r="H775" s="171">
        <v>60.0</v>
      </c>
      <c r="I775" s="171">
        <v>40.0</v>
      </c>
      <c r="J775" s="172">
        <f t="shared" si="24"/>
        <v>0.0007191682379</v>
      </c>
      <c r="K775" s="173">
        <f t="shared" si="37"/>
        <v>0.8270434736</v>
      </c>
      <c r="L775" s="174">
        <f t="shared" si="4"/>
        <v>3.556254027</v>
      </c>
      <c r="M775" s="175" t="str">
        <f t="shared" si="5"/>
        <v>jeffemmett</v>
      </c>
      <c r="N775" s="176">
        <f>IFERROR(__xludf.DUMMYFUNCTION("""COMPUTED_VALUE"""),7.0)</f>
        <v>7</v>
      </c>
      <c r="O775" s="176"/>
      <c r="P775" s="165" t="s">
        <v>564</v>
      </c>
      <c r="Q775" s="165" t="s">
        <v>441</v>
      </c>
      <c r="R775" s="176"/>
      <c r="S775" s="176"/>
      <c r="T775" s="176"/>
      <c r="U775" s="176"/>
      <c r="V775" s="176"/>
      <c r="W775" s="176"/>
      <c r="X775" s="176"/>
      <c r="Y775" s="176"/>
      <c r="Z775" s="176"/>
      <c r="AA775" s="176"/>
    </row>
    <row r="776">
      <c r="A776" s="165" t="str">
        <f>iferror(VLOOKUP(P776,'DO NOT TOUCH Imported'!$A$1:$D$800,4,False),iferror(VLOOKUP(P776,'DO NOT TOUCH Imported'!$C$1:$D$800,2,False),"OOPS FIX ME"))</f>
        <v>jeffemmett</v>
      </c>
      <c r="B776" s="165" t="s">
        <v>435</v>
      </c>
      <c r="C776" s="170" t="s">
        <v>1291</v>
      </c>
      <c r="D776" s="236" t="s">
        <v>499</v>
      </c>
      <c r="E776" s="237">
        <v>44289.0</v>
      </c>
      <c r="F776" s="170" t="s">
        <v>503</v>
      </c>
      <c r="G776" s="219"/>
      <c r="H776" s="171">
        <v>200.0</v>
      </c>
      <c r="I776" s="171">
        <v>150.0</v>
      </c>
      <c r="J776" s="172">
        <f t="shared" si="24"/>
        <v>0.002516088297</v>
      </c>
      <c r="K776" s="173">
        <f t="shared" si="37"/>
        <v>2.893501542</v>
      </c>
      <c r="L776" s="174">
        <f t="shared" si="4"/>
        <v>3.556254027</v>
      </c>
      <c r="M776" s="175" t="str">
        <f t="shared" si="5"/>
        <v>jeffemmett</v>
      </c>
      <c r="N776" s="176">
        <f>IFERROR(__xludf.DUMMYFUNCTION("""COMPUTED_VALUE"""),8.0)</f>
        <v>8</v>
      </c>
      <c r="O776" s="176"/>
      <c r="P776" s="165" t="s">
        <v>564</v>
      </c>
      <c r="Q776" s="165" t="s">
        <v>435</v>
      </c>
      <c r="R776" s="176"/>
      <c r="S776" s="176"/>
      <c r="T776" s="176"/>
      <c r="U776" s="176"/>
      <c r="V776" s="176"/>
      <c r="W776" s="176"/>
      <c r="X776" s="176"/>
      <c r="Y776" s="176"/>
      <c r="Z776" s="176"/>
      <c r="AA776" s="176"/>
    </row>
    <row r="777">
      <c r="A777" s="165" t="str">
        <f>iferror(VLOOKUP(P777,'DO NOT TOUCH Imported'!$A$1:$D$800,4,False),iferror(VLOOKUP(P777,'DO NOT TOUCH Imported'!$C$1:$D$800,2,False),"OOPS FIX ME"))</f>
        <v>jeffemmett</v>
      </c>
      <c r="B777" s="165" t="s">
        <v>768</v>
      </c>
      <c r="C777" s="170" t="s">
        <v>1522</v>
      </c>
      <c r="D777" s="236" t="s">
        <v>499</v>
      </c>
      <c r="E777" s="237">
        <v>44291.0</v>
      </c>
      <c r="F777" s="170" t="s">
        <v>503</v>
      </c>
      <c r="G777" s="219"/>
      <c r="H777" s="171">
        <v>100.0</v>
      </c>
      <c r="I777" s="171">
        <v>100.0</v>
      </c>
      <c r="J777" s="172">
        <f t="shared" si="24"/>
        <v>0.001436335405</v>
      </c>
      <c r="K777" s="173">
        <f t="shared" si="37"/>
        <v>1.651785716</v>
      </c>
      <c r="L777" s="174">
        <f t="shared" si="4"/>
        <v>3.556254027</v>
      </c>
      <c r="M777" s="175" t="str">
        <f t="shared" si="5"/>
        <v>jeffemmett</v>
      </c>
      <c r="N777" s="176">
        <f>IFERROR(__xludf.DUMMYFUNCTION("""COMPUTED_VALUE"""),9.0)</f>
        <v>9</v>
      </c>
      <c r="O777" s="176"/>
      <c r="P777" s="165" t="s">
        <v>564</v>
      </c>
      <c r="Q777" s="165" t="s">
        <v>768</v>
      </c>
      <c r="R777" s="176"/>
      <c r="S777" s="176"/>
      <c r="T777" s="176"/>
      <c r="U777" s="176"/>
      <c r="V777" s="176"/>
      <c r="W777" s="176"/>
      <c r="X777" s="176"/>
      <c r="Y777" s="176"/>
      <c r="Z777" s="176"/>
      <c r="AA777" s="176"/>
    </row>
    <row r="778">
      <c r="A778" s="165" t="str">
        <f>iferror(VLOOKUP(P778,'DO NOT TOUCH Imported'!$A$1:$D$800,4,False),iferror(VLOOKUP(P778,'DO NOT TOUCH Imported'!$C$1:$D$800,2,False),"OOPS FIX ME"))</f>
        <v>jeffemmett</v>
      </c>
      <c r="B778" s="165" t="s">
        <v>435</v>
      </c>
      <c r="C778" s="170" t="s">
        <v>1523</v>
      </c>
      <c r="D778" s="236" t="s">
        <v>437</v>
      </c>
      <c r="E778" s="237">
        <v>44292.0</v>
      </c>
      <c r="F778" s="170" t="s">
        <v>439</v>
      </c>
      <c r="G778" s="219"/>
      <c r="H778" s="171">
        <v>200.0</v>
      </c>
      <c r="I778" s="171">
        <v>150.0</v>
      </c>
      <c r="J778" s="172">
        <f t="shared" si="24"/>
        <v>0.002516088297</v>
      </c>
      <c r="K778" s="173">
        <f t="shared" si="37"/>
        <v>2.893501542</v>
      </c>
      <c r="L778" s="174">
        <f t="shared" si="4"/>
        <v>3.556254027</v>
      </c>
      <c r="M778" s="175" t="str">
        <f t="shared" si="5"/>
        <v>jeffemmett</v>
      </c>
      <c r="N778" s="176">
        <f>IFERROR(__xludf.DUMMYFUNCTION("""COMPUTED_VALUE"""),10.0)</f>
        <v>10</v>
      </c>
      <c r="O778" s="176"/>
      <c r="P778" s="165" t="s">
        <v>564</v>
      </c>
      <c r="Q778" s="165" t="s">
        <v>435</v>
      </c>
      <c r="R778" s="176"/>
      <c r="S778" s="176"/>
      <c r="T778" s="176"/>
      <c r="U778" s="176"/>
      <c r="V778" s="176"/>
      <c r="W778" s="176"/>
      <c r="X778" s="176"/>
      <c r="Y778" s="176"/>
      <c r="Z778" s="176"/>
      <c r="AA778" s="176"/>
    </row>
    <row r="779">
      <c r="A779" s="165" t="str">
        <f>iferror(VLOOKUP(P779,'DO NOT TOUCH Imported'!$A$1:$D$800,4,False),iferror(VLOOKUP(P779,'DO NOT TOUCH Imported'!$C$1:$D$800,2,False),"OOPS FIX ME"))</f>
        <v>jeffemmett</v>
      </c>
      <c r="B779" s="165" t="s">
        <v>441</v>
      </c>
      <c r="C779" s="170" t="s">
        <v>1524</v>
      </c>
      <c r="D779" s="236" t="s">
        <v>437</v>
      </c>
      <c r="E779" s="237">
        <v>44295.0</v>
      </c>
      <c r="F779" s="170" t="s">
        <v>439</v>
      </c>
      <c r="G779" s="219"/>
      <c r="H779" s="171">
        <v>200.0</v>
      </c>
      <c r="I779" s="171">
        <v>150.0</v>
      </c>
      <c r="J779" s="172">
        <f t="shared" si="24"/>
        <v>0.002516088297</v>
      </c>
      <c r="K779" s="173">
        <f t="shared" si="37"/>
        <v>2.893501542</v>
      </c>
      <c r="L779" s="174">
        <f t="shared" si="4"/>
        <v>3.556254027</v>
      </c>
      <c r="M779" s="175" t="str">
        <f t="shared" si="5"/>
        <v>jeffemmett</v>
      </c>
      <c r="N779" s="176">
        <f>IFERROR(__xludf.DUMMYFUNCTION("""COMPUTED_VALUE"""),11.0)</f>
        <v>11</v>
      </c>
      <c r="O779" s="176"/>
      <c r="P779" s="165" t="s">
        <v>564</v>
      </c>
      <c r="Q779" s="165" t="s">
        <v>441</v>
      </c>
      <c r="R779" s="176"/>
      <c r="S779" s="176"/>
      <c r="T779" s="176"/>
      <c r="U779" s="176"/>
      <c r="V779" s="176"/>
      <c r="W779" s="176"/>
      <c r="X779" s="176"/>
      <c r="Y779" s="176"/>
      <c r="Z779" s="176"/>
      <c r="AA779" s="176"/>
    </row>
    <row r="780">
      <c r="A780" s="165" t="str">
        <f>iferror(VLOOKUP(P780,'DO NOT TOUCH Imported'!$A$1:$D$800,4,False),iferror(VLOOKUP(P780,'DO NOT TOUCH Imported'!$C$1:$D$800,2,False),"OOPS FIX ME"))</f>
        <v>jeffemmett</v>
      </c>
      <c r="B780" s="165" t="s">
        <v>441</v>
      </c>
      <c r="C780" s="170" t="s">
        <v>1371</v>
      </c>
      <c r="D780" s="236" t="s">
        <v>437</v>
      </c>
      <c r="E780" s="237">
        <v>44295.0</v>
      </c>
      <c r="F780" s="170" t="s">
        <v>439</v>
      </c>
      <c r="G780" s="219"/>
      <c r="H780" s="171">
        <v>200.0</v>
      </c>
      <c r="I780" s="171">
        <v>200.0</v>
      </c>
      <c r="J780" s="172">
        <f t="shared" si="24"/>
        <v>0.002872670811</v>
      </c>
      <c r="K780" s="173">
        <f t="shared" si="37"/>
        <v>3.303571432</v>
      </c>
      <c r="L780" s="174">
        <f t="shared" si="4"/>
        <v>3.556254027</v>
      </c>
      <c r="M780" s="175" t="str">
        <f t="shared" si="5"/>
        <v>jeffemmett</v>
      </c>
      <c r="N780" s="176">
        <f>IFERROR(__xludf.DUMMYFUNCTION("""COMPUTED_VALUE"""),12.0)</f>
        <v>12</v>
      </c>
      <c r="O780" s="176"/>
      <c r="P780" s="165" t="s">
        <v>564</v>
      </c>
      <c r="Q780" s="165" t="s">
        <v>441</v>
      </c>
      <c r="R780" s="176"/>
      <c r="S780" s="176"/>
      <c r="T780" s="176"/>
      <c r="U780" s="176"/>
      <c r="V780" s="176"/>
      <c r="W780" s="176"/>
      <c r="X780" s="176"/>
      <c r="Y780" s="176"/>
      <c r="Z780" s="176"/>
      <c r="AA780" s="176"/>
    </row>
    <row r="781">
      <c r="A781" s="165" t="str">
        <f>iferror(VLOOKUP(P781,'DO NOT TOUCH Imported'!$A$1:$D$800,4,False),iferror(VLOOKUP(P781,'DO NOT TOUCH Imported'!$C$1:$D$800,2,False),"OOPS FIX ME"))</f>
        <v>kaikai520#0224</v>
      </c>
      <c r="B781" s="165" t="s">
        <v>530</v>
      </c>
      <c r="C781" s="170" t="s">
        <v>1525</v>
      </c>
      <c r="D781" s="236" t="s">
        <v>499</v>
      </c>
      <c r="E781" s="239">
        <v>44286.0</v>
      </c>
      <c r="F781" s="170" t="s">
        <v>503</v>
      </c>
      <c r="G781" s="219"/>
      <c r="H781" s="171">
        <v>60.0</v>
      </c>
      <c r="I781" s="171">
        <v>50.0</v>
      </c>
      <c r="J781" s="172">
        <f t="shared" si="24"/>
        <v>0.0007904847406</v>
      </c>
      <c r="K781" s="173">
        <f t="shared" si="37"/>
        <v>0.9090574516</v>
      </c>
      <c r="L781" s="174">
        <f t="shared" si="4"/>
        <v>2.850193322</v>
      </c>
      <c r="M781" s="175" t="str">
        <f t="shared" si="5"/>
        <v>kaikai520#0224</v>
      </c>
      <c r="N781" s="176">
        <f>IFERROR(__xludf.DUMMYFUNCTION("""COMPUTED_VALUE"""),1.0)</f>
        <v>1</v>
      </c>
      <c r="O781" s="176"/>
      <c r="P781" s="165" t="s">
        <v>161</v>
      </c>
      <c r="Q781" s="165" t="s">
        <v>530</v>
      </c>
      <c r="R781" s="176"/>
      <c r="S781" s="176"/>
      <c r="T781" s="176"/>
      <c r="U781" s="176"/>
      <c r="V781" s="176"/>
      <c r="W781" s="176"/>
      <c r="X781" s="176"/>
      <c r="Y781" s="176"/>
      <c r="Z781" s="176"/>
      <c r="AA781" s="176"/>
    </row>
    <row r="782">
      <c r="A782" s="165" t="str">
        <f>iferror(VLOOKUP(P782,'DO NOT TOUCH Imported'!$A$1:$D$800,4,False),iferror(VLOOKUP(P782,'DO NOT TOUCH Imported'!$C$1:$D$800,2,False),"OOPS FIX ME"))</f>
        <v>kaikai520#0224</v>
      </c>
      <c r="B782" s="165" t="s">
        <v>441</v>
      </c>
      <c r="C782" s="170" t="s">
        <v>1006</v>
      </c>
      <c r="D782" s="236" t="s">
        <v>499</v>
      </c>
      <c r="E782" s="237">
        <v>44288.0</v>
      </c>
      <c r="F782" s="170" t="s">
        <v>503</v>
      </c>
      <c r="G782" s="219"/>
      <c r="H782" s="171">
        <v>20.0</v>
      </c>
      <c r="I782" s="171">
        <v>25.0</v>
      </c>
      <c r="J782" s="172">
        <f t="shared" si="24"/>
        <v>0.0003229253324</v>
      </c>
      <c r="K782" s="173">
        <f t="shared" si="37"/>
        <v>0.3713641322</v>
      </c>
      <c r="L782" s="174">
        <f t="shared" si="4"/>
        <v>2.850193322</v>
      </c>
      <c r="M782" s="175" t="str">
        <f t="shared" si="5"/>
        <v>kaikai520#0224</v>
      </c>
      <c r="N782" s="176">
        <f>IFERROR(__xludf.DUMMYFUNCTION("""COMPUTED_VALUE"""),2.0)</f>
        <v>2</v>
      </c>
      <c r="O782" s="176"/>
      <c r="P782" s="165" t="s">
        <v>161</v>
      </c>
      <c r="Q782" s="165" t="s">
        <v>441</v>
      </c>
      <c r="R782" s="176"/>
      <c r="S782" s="176"/>
      <c r="T782" s="176"/>
      <c r="U782" s="176"/>
      <c r="V782" s="176"/>
      <c r="W782" s="176"/>
      <c r="X782" s="176"/>
      <c r="Y782" s="176"/>
      <c r="Z782" s="176"/>
      <c r="AA782" s="176"/>
    </row>
    <row r="783">
      <c r="A783" s="165" t="str">
        <f>iferror(VLOOKUP(P783,'DO NOT TOUCH Imported'!$A$1:$D$800,4,False),iferror(VLOOKUP(P783,'DO NOT TOUCH Imported'!$C$1:$D$800,2,False),"OOPS FIX ME"))</f>
        <v>kaikai520#0224</v>
      </c>
      <c r="B783" s="165" t="s">
        <v>441</v>
      </c>
      <c r="C783" s="170" t="s">
        <v>1005</v>
      </c>
      <c r="D783" s="236" t="s">
        <v>437</v>
      </c>
      <c r="E783" s="237">
        <v>44289.0</v>
      </c>
      <c r="F783" s="170" t="s">
        <v>439</v>
      </c>
      <c r="G783" s="219"/>
      <c r="H783" s="171">
        <v>60.0</v>
      </c>
      <c r="I783" s="171">
        <v>40.0</v>
      </c>
      <c r="J783" s="172">
        <f t="shared" si="24"/>
        <v>0.0007191682379</v>
      </c>
      <c r="K783" s="173">
        <f t="shared" si="37"/>
        <v>0.8270434736</v>
      </c>
      <c r="L783" s="174">
        <f t="shared" si="4"/>
        <v>2.850193322</v>
      </c>
      <c r="M783" s="175" t="str">
        <f t="shared" si="5"/>
        <v>kaikai520#0224</v>
      </c>
      <c r="N783" s="176">
        <f>IFERROR(__xludf.DUMMYFUNCTION("""COMPUTED_VALUE"""),3.0)</f>
        <v>3</v>
      </c>
      <c r="O783" s="176"/>
      <c r="P783" s="165" t="s">
        <v>161</v>
      </c>
      <c r="Q783" s="165" t="s">
        <v>441</v>
      </c>
      <c r="R783" s="176"/>
      <c r="S783" s="176"/>
      <c r="T783" s="176"/>
      <c r="U783" s="176"/>
      <c r="V783" s="176"/>
      <c r="W783" s="176"/>
      <c r="X783" s="176"/>
      <c r="Y783" s="176"/>
      <c r="Z783" s="176"/>
      <c r="AA783" s="176"/>
    </row>
    <row r="784">
      <c r="A784" s="165" t="str">
        <f>iferror(VLOOKUP(P784,'DO NOT TOUCH Imported'!$A$1:$D$800,4,False),iferror(VLOOKUP(P784,'DO NOT TOUCH Imported'!$C$1:$D$800,2,False),"OOPS FIX ME"))</f>
        <v>kaikai520#0224</v>
      </c>
      <c r="B784" s="165" t="s">
        <v>441</v>
      </c>
      <c r="C784" s="170" t="s">
        <v>1006</v>
      </c>
      <c r="D784" s="236" t="s">
        <v>499</v>
      </c>
      <c r="E784" s="237">
        <v>44295.0</v>
      </c>
      <c r="F784" s="170" t="s">
        <v>571</v>
      </c>
      <c r="G784" s="219"/>
      <c r="H784" s="171">
        <v>20.0</v>
      </c>
      <c r="I784" s="171">
        <v>25.0</v>
      </c>
      <c r="J784" s="172">
        <f t="shared" si="24"/>
        <v>0.0003229253324</v>
      </c>
      <c r="K784" s="173">
        <f t="shared" si="37"/>
        <v>0.3713641322</v>
      </c>
      <c r="L784" s="174">
        <f t="shared" si="4"/>
        <v>2.850193322</v>
      </c>
      <c r="M784" s="175" t="str">
        <f t="shared" si="5"/>
        <v>kaikai520#0224</v>
      </c>
      <c r="N784" s="176">
        <f>IFERROR(__xludf.DUMMYFUNCTION("""COMPUTED_VALUE"""),4.0)</f>
        <v>4</v>
      </c>
      <c r="O784" s="176"/>
      <c r="P784" s="165" t="s">
        <v>161</v>
      </c>
      <c r="Q784" s="165" t="s">
        <v>441</v>
      </c>
      <c r="R784" s="176"/>
      <c r="S784" s="176"/>
      <c r="T784" s="176"/>
      <c r="U784" s="176"/>
      <c r="V784" s="176"/>
      <c r="W784" s="176"/>
      <c r="X784" s="176"/>
      <c r="Y784" s="176"/>
      <c r="Z784" s="176"/>
      <c r="AA784" s="176"/>
    </row>
    <row r="785">
      <c r="A785" s="165" t="str">
        <f>iferror(VLOOKUP(P785,'DO NOT TOUCH Imported'!$A$1:$D$800,4,False),iferror(VLOOKUP(P785,'DO NOT TOUCH Imported'!$C$1:$D$800,2,False),"OOPS FIX ME"))</f>
        <v>kaikai520#0224</v>
      </c>
      <c r="B785" s="165" t="s">
        <v>441</v>
      </c>
      <c r="C785" s="170" t="s">
        <v>1006</v>
      </c>
      <c r="D785" s="236" t="s">
        <v>499</v>
      </c>
      <c r="E785" s="237">
        <v>44295.0</v>
      </c>
      <c r="F785" s="170" t="s">
        <v>503</v>
      </c>
      <c r="G785" s="219"/>
      <c r="H785" s="171">
        <v>20.0</v>
      </c>
      <c r="I785" s="171">
        <v>25.0</v>
      </c>
      <c r="J785" s="172">
        <f t="shared" si="24"/>
        <v>0.0003229253324</v>
      </c>
      <c r="K785" s="173">
        <f t="shared" si="37"/>
        <v>0.3713641322</v>
      </c>
      <c r="L785" s="174">
        <f t="shared" si="4"/>
        <v>2.850193322</v>
      </c>
      <c r="M785" s="175" t="str">
        <f t="shared" si="5"/>
        <v>kaikai520#0224</v>
      </c>
      <c r="N785" s="176">
        <f>IFERROR(__xludf.DUMMYFUNCTION("""COMPUTED_VALUE"""),5.0)</f>
        <v>5</v>
      </c>
      <c r="O785" s="176"/>
      <c r="P785" s="165" t="s">
        <v>161</v>
      </c>
      <c r="Q785" s="165" t="s">
        <v>441</v>
      </c>
      <c r="R785" s="176"/>
      <c r="S785" s="176"/>
      <c r="T785" s="176"/>
      <c r="U785" s="176"/>
      <c r="V785" s="176"/>
      <c r="W785" s="176"/>
      <c r="X785" s="176"/>
      <c r="Y785" s="176"/>
      <c r="Z785" s="176"/>
      <c r="AA785" s="176"/>
    </row>
    <row r="786">
      <c r="A786" s="165" t="str">
        <f>iferror(VLOOKUP(P786,'DO NOT TOUCH Imported'!$A$1:$D$800,4,False),iferror(VLOOKUP(P786,'DO NOT TOUCH Imported'!$C$1:$D$800,2,False),"OOPS FIX ME"))</f>
        <v>Rex#1134</v>
      </c>
      <c r="B786" s="165" t="s">
        <v>530</v>
      </c>
      <c r="C786" s="170" t="s">
        <v>1285</v>
      </c>
      <c r="D786" s="236" t="s">
        <v>499</v>
      </c>
      <c r="E786" s="239">
        <v>44285.0</v>
      </c>
      <c r="F786" s="170" t="s">
        <v>503</v>
      </c>
      <c r="G786" s="219"/>
      <c r="H786" s="171">
        <v>60.0</v>
      </c>
      <c r="I786" s="171">
        <v>50.0</v>
      </c>
      <c r="J786" s="172">
        <f t="shared" si="24"/>
        <v>0.0007904847406</v>
      </c>
      <c r="K786" s="173">
        <f t="shared" si="37"/>
        <v>0.9090574516</v>
      </c>
      <c r="L786" s="174">
        <f t="shared" si="4"/>
        <v>2.560843168</v>
      </c>
      <c r="M786" s="175" t="str">
        <f t="shared" si="5"/>
        <v>Rex#1134</v>
      </c>
      <c r="N786" s="176">
        <f>IFERROR(__xludf.DUMMYFUNCTION("""COMPUTED_VALUE"""),1.0)</f>
        <v>1</v>
      </c>
      <c r="O786" s="176"/>
      <c r="P786" s="165" t="s">
        <v>214</v>
      </c>
      <c r="Q786" s="165" t="s">
        <v>530</v>
      </c>
      <c r="R786" s="176"/>
      <c r="S786" s="176"/>
      <c r="T786" s="176"/>
      <c r="U786" s="176"/>
      <c r="V786" s="176"/>
      <c r="W786" s="176"/>
      <c r="X786" s="176"/>
      <c r="Y786" s="176"/>
      <c r="Z786" s="176"/>
      <c r="AA786" s="176"/>
    </row>
    <row r="787">
      <c r="A787" s="165" t="str">
        <f>iferror(VLOOKUP(P787,'DO NOT TOUCH Imported'!$A$1:$D$800,4,False),iferror(VLOOKUP(P787,'DO NOT TOUCH Imported'!$C$1:$D$800,2,False),"OOPS FIX ME"))</f>
        <v>Rex#1134</v>
      </c>
      <c r="B787" s="165" t="s">
        <v>450</v>
      </c>
      <c r="C787" s="170" t="s">
        <v>1526</v>
      </c>
      <c r="D787" s="236" t="s">
        <v>499</v>
      </c>
      <c r="E787" s="237">
        <v>44291.0</v>
      </c>
      <c r="F787" s="170" t="s">
        <v>503</v>
      </c>
      <c r="G787" s="219"/>
      <c r="H787" s="171">
        <v>100.0</v>
      </c>
      <c r="I787" s="171">
        <v>100.0</v>
      </c>
      <c r="J787" s="172">
        <f t="shared" si="24"/>
        <v>0.001436335405</v>
      </c>
      <c r="K787" s="173">
        <f t="shared" si="37"/>
        <v>1.651785716</v>
      </c>
      <c r="L787" s="174">
        <f t="shared" si="4"/>
        <v>2.560843168</v>
      </c>
      <c r="M787" s="175" t="str">
        <f t="shared" si="5"/>
        <v>Rex#1134</v>
      </c>
      <c r="N787" s="176">
        <f>IFERROR(__xludf.DUMMYFUNCTION("""COMPUTED_VALUE"""),2.0)</f>
        <v>2</v>
      </c>
      <c r="O787" s="176"/>
      <c r="P787" s="165" t="s">
        <v>214</v>
      </c>
      <c r="Q787" s="165" t="s">
        <v>450</v>
      </c>
      <c r="R787" s="176"/>
      <c r="S787" s="176"/>
      <c r="T787" s="176"/>
      <c r="U787" s="176"/>
      <c r="V787" s="176"/>
      <c r="W787" s="176"/>
      <c r="X787" s="176"/>
      <c r="Y787" s="176"/>
      <c r="Z787" s="176"/>
      <c r="AA787" s="176"/>
    </row>
    <row r="788">
      <c r="A788" s="165" t="str">
        <f>iferror(VLOOKUP(P788,'DO NOT TOUCH Imported'!$A$1:$D$800,4,False),iferror(VLOOKUP(P788,'DO NOT TOUCH Imported'!$C$1:$D$800,2,False),"OOPS FIX ME"))</f>
        <v>ComandoBurrito</v>
      </c>
      <c r="B788" s="165" t="s">
        <v>441</v>
      </c>
      <c r="C788" s="170" t="s">
        <v>1235</v>
      </c>
      <c r="D788" s="236" t="s">
        <v>437</v>
      </c>
      <c r="E788" s="239">
        <v>44284.0</v>
      </c>
      <c r="F788" s="170" t="s">
        <v>439</v>
      </c>
      <c r="G788" s="219"/>
      <c r="H788" s="171">
        <v>60.0</v>
      </c>
      <c r="I788" s="171">
        <v>50.0</v>
      </c>
      <c r="J788" s="172">
        <f t="shared" si="24"/>
        <v>0.0007904847406</v>
      </c>
      <c r="K788" s="173">
        <f t="shared" si="37"/>
        <v>0.9090574516</v>
      </c>
      <c r="L788" s="174">
        <f t="shared" si="4"/>
        <v>2.560843168</v>
      </c>
      <c r="M788" s="175" t="str">
        <f t="shared" si="5"/>
        <v>ComandoBurrito</v>
      </c>
      <c r="N788" s="176">
        <f>IFERROR(__xludf.DUMMYFUNCTION("""COMPUTED_VALUE"""),1.0)</f>
        <v>1</v>
      </c>
      <c r="O788" s="176"/>
      <c r="P788" s="165" t="s">
        <v>1527</v>
      </c>
      <c r="Q788" s="165" t="s">
        <v>441</v>
      </c>
      <c r="R788" s="176"/>
      <c r="S788" s="176"/>
      <c r="T788" s="176"/>
      <c r="U788" s="176"/>
      <c r="V788" s="176"/>
      <c r="W788" s="176"/>
      <c r="X788" s="176"/>
      <c r="Y788" s="176"/>
      <c r="Z788" s="176"/>
      <c r="AA788" s="176"/>
    </row>
    <row r="789">
      <c r="A789" s="165" t="str">
        <f>iferror(VLOOKUP(P789,'DO NOT TOUCH Imported'!$A$1:$D$800,4,False),iferror(VLOOKUP(P789,'DO NOT TOUCH Imported'!$C$1:$D$800,2,False),"OOPS FIX ME"))</f>
        <v>ComandoBurrito</v>
      </c>
      <c r="B789" s="165" t="s">
        <v>441</v>
      </c>
      <c r="C789" s="170" t="s">
        <v>1528</v>
      </c>
      <c r="D789" s="236" t="s">
        <v>437</v>
      </c>
      <c r="E789" s="239">
        <v>44284.0</v>
      </c>
      <c r="F789" s="170" t="s">
        <v>439</v>
      </c>
      <c r="G789" s="219"/>
      <c r="H789" s="171">
        <v>100.0</v>
      </c>
      <c r="I789" s="171">
        <v>100.0</v>
      </c>
      <c r="J789" s="172">
        <f t="shared" si="24"/>
        <v>0.001436335405</v>
      </c>
      <c r="K789" s="173">
        <f t="shared" si="37"/>
        <v>1.651785716</v>
      </c>
      <c r="L789" s="174">
        <f t="shared" si="4"/>
        <v>2.560843168</v>
      </c>
      <c r="M789" s="175" t="str">
        <f t="shared" si="5"/>
        <v>ComandoBurrito</v>
      </c>
      <c r="N789" s="176">
        <f>IFERROR(__xludf.DUMMYFUNCTION("""COMPUTED_VALUE"""),2.0)</f>
        <v>2</v>
      </c>
      <c r="O789" s="176"/>
      <c r="P789" s="165" t="s">
        <v>1527</v>
      </c>
      <c r="Q789" s="165" t="s">
        <v>441</v>
      </c>
      <c r="R789" s="176"/>
      <c r="S789" s="176"/>
      <c r="T789" s="176"/>
      <c r="U789" s="176"/>
      <c r="V789" s="176"/>
      <c r="W789" s="176"/>
      <c r="X789" s="176"/>
      <c r="Y789" s="176"/>
      <c r="Z789" s="176"/>
      <c r="AA789" s="176"/>
    </row>
    <row r="790">
      <c r="A790" s="165" t="str">
        <f>iferror(VLOOKUP(P790,'DO NOT TOUCH Imported'!$A$1:$D$800,4,False),iferror(VLOOKUP(P790,'DO NOT TOUCH Imported'!$C$1:$D$800,2,False),"OOPS FIX ME"))</f>
        <v>adriamb</v>
      </c>
      <c r="B790" s="165" t="s">
        <v>10</v>
      </c>
      <c r="C790" s="170" t="s">
        <v>1529</v>
      </c>
      <c r="D790" s="236" t="s">
        <v>495</v>
      </c>
      <c r="E790" s="239">
        <v>44288.0</v>
      </c>
      <c r="F790" s="170" t="s">
        <v>496</v>
      </c>
      <c r="G790" s="219"/>
      <c r="H790" s="171">
        <v>200.0</v>
      </c>
      <c r="I790" s="171">
        <v>100.0</v>
      </c>
      <c r="J790" s="172">
        <f t="shared" si="24"/>
        <v>0.002159505784</v>
      </c>
      <c r="K790" s="173">
        <f t="shared" si="37"/>
        <v>2.483431652</v>
      </c>
      <c r="L790" s="174">
        <f t="shared" si="4"/>
        <v>2.483431652</v>
      </c>
      <c r="M790" s="175" t="str">
        <f t="shared" si="5"/>
        <v>adriamb</v>
      </c>
      <c r="N790" s="176">
        <f>IFERROR(__xludf.DUMMYFUNCTION("""COMPUTED_VALUE"""),1.0)</f>
        <v>1</v>
      </c>
      <c r="O790" s="176"/>
      <c r="P790" s="165" t="s">
        <v>172</v>
      </c>
      <c r="Q790" s="165" t="s">
        <v>10</v>
      </c>
      <c r="R790" s="176"/>
      <c r="S790" s="176"/>
      <c r="T790" s="176"/>
      <c r="U790" s="176"/>
      <c r="V790" s="176"/>
      <c r="W790" s="176"/>
      <c r="X790" s="176"/>
      <c r="Y790" s="176"/>
      <c r="Z790" s="176"/>
      <c r="AA790" s="176"/>
    </row>
    <row r="791">
      <c r="A791" s="165" t="str">
        <f>iferror(VLOOKUP(P791,'DO NOT TOUCH Imported'!$A$1:$D$800,4,False),iferror(VLOOKUP(P791,'DO NOT TOUCH Imported'!$C$1:$D$800,2,False),"OOPS FIX ME"))</f>
        <v>Mike Elias#4724</v>
      </c>
      <c r="B791" s="165" t="s">
        <v>441</v>
      </c>
      <c r="C791" s="170" t="s">
        <v>1530</v>
      </c>
      <c r="D791" s="236" t="s">
        <v>437</v>
      </c>
      <c r="E791" s="237">
        <v>44295.0</v>
      </c>
      <c r="F791" s="170" t="s">
        <v>439</v>
      </c>
      <c r="G791" s="219"/>
      <c r="H791" s="171">
        <v>100.0</v>
      </c>
      <c r="I791" s="171">
        <v>100.0</v>
      </c>
      <c r="J791" s="172">
        <f t="shared" si="24"/>
        <v>0.001436335405</v>
      </c>
      <c r="K791" s="173">
        <f t="shared" si="37"/>
        <v>1.651785716</v>
      </c>
      <c r="L791" s="174">
        <f t="shared" si="4"/>
        <v>2.477678574</v>
      </c>
      <c r="M791" s="175" t="str">
        <f t="shared" si="5"/>
        <v>Mike Elias#4724</v>
      </c>
      <c r="N791" s="176">
        <f>IFERROR(__xludf.DUMMYFUNCTION("""COMPUTED_VALUE"""),1.0)</f>
        <v>1</v>
      </c>
      <c r="O791" s="176"/>
      <c r="P791" s="165" t="s">
        <v>218</v>
      </c>
      <c r="Q791" s="165" t="s">
        <v>441</v>
      </c>
      <c r="R791" s="176"/>
      <c r="S791" s="176"/>
      <c r="T791" s="176"/>
      <c r="U791" s="176"/>
      <c r="V791" s="176"/>
      <c r="W791" s="176"/>
      <c r="X791" s="176"/>
      <c r="Y791" s="176"/>
      <c r="Z791" s="176"/>
      <c r="AA791" s="176"/>
    </row>
    <row r="792">
      <c r="A792" s="165" t="str">
        <f>iferror(VLOOKUP(P792,'DO NOT TOUCH Imported'!$A$1:$D$800,4,False),iferror(VLOOKUP(P792,'DO NOT TOUCH Imported'!$C$1:$D$800,2,False),"OOPS FIX ME"))</f>
        <v>Mike Elias#4724</v>
      </c>
      <c r="B792" s="165" t="s">
        <v>441</v>
      </c>
      <c r="C792" s="170" t="s">
        <v>1267</v>
      </c>
      <c r="D792" s="236" t="s">
        <v>437</v>
      </c>
      <c r="E792" s="237">
        <v>44295.0</v>
      </c>
      <c r="F792" s="170" t="s">
        <v>439</v>
      </c>
      <c r="G792" s="219"/>
      <c r="H792" s="171">
        <v>50.0</v>
      </c>
      <c r="I792" s="171">
        <v>50.0</v>
      </c>
      <c r="J792" s="172">
        <f t="shared" si="24"/>
        <v>0.0007181677027</v>
      </c>
      <c r="K792" s="173">
        <f t="shared" si="37"/>
        <v>0.8258928581</v>
      </c>
      <c r="L792" s="174">
        <f t="shared" si="4"/>
        <v>2.477678574</v>
      </c>
      <c r="M792" s="175" t="str">
        <f t="shared" si="5"/>
        <v>Mike Elias#4724</v>
      </c>
      <c r="N792" s="176">
        <f>IFERROR(__xludf.DUMMYFUNCTION("""COMPUTED_VALUE"""),2.0)</f>
        <v>2</v>
      </c>
      <c r="O792" s="176"/>
      <c r="P792" s="165" t="s">
        <v>218</v>
      </c>
      <c r="Q792" s="165" t="s">
        <v>441</v>
      </c>
      <c r="R792" s="176"/>
      <c r="S792" s="176"/>
      <c r="T792" s="176"/>
      <c r="U792" s="176"/>
      <c r="V792" s="176"/>
      <c r="W792" s="176"/>
      <c r="X792" s="176"/>
      <c r="Y792" s="176"/>
      <c r="Z792" s="176"/>
      <c r="AA792" s="176"/>
    </row>
    <row r="793">
      <c r="A793" s="165" t="str">
        <f>iferror(VLOOKUP(P793,'DO NOT TOUCH Imported'!$A$1:$D$800,4,False),iferror(VLOOKUP(P793,'DO NOT TOUCH Imported'!$C$1:$D$800,2,False),"OOPS FIX ME"))</f>
        <v>heater03</v>
      </c>
      <c r="B793" s="165" t="s">
        <v>435</v>
      </c>
      <c r="C793" s="170" t="s">
        <v>1391</v>
      </c>
      <c r="D793" s="236" t="s">
        <v>437</v>
      </c>
      <c r="E793" s="239">
        <v>44287.0</v>
      </c>
      <c r="F793" s="170" t="s">
        <v>439</v>
      </c>
      <c r="G793" s="219"/>
      <c r="H793" s="171">
        <v>100.0</v>
      </c>
      <c r="I793" s="171">
        <v>100.0</v>
      </c>
      <c r="J793" s="172">
        <f t="shared" si="24"/>
        <v>0.001436335405</v>
      </c>
      <c r="K793" s="173">
        <f t="shared" si="37"/>
        <v>1.651785716</v>
      </c>
      <c r="L793" s="174">
        <f t="shared" si="4"/>
        <v>2.477678574</v>
      </c>
      <c r="M793" s="175" t="str">
        <f t="shared" si="5"/>
        <v>heater03</v>
      </c>
      <c r="N793" s="176">
        <f>IFERROR(__xludf.DUMMYFUNCTION("""COMPUTED_VALUE"""),1.0)</f>
        <v>1</v>
      </c>
      <c r="O793" s="176"/>
      <c r="P793" s="165" t="s">
        <v>586</v>
      </c>
      <c r="Q793" s="165" t="s">
        <v>435</v>
      </c>
      <c r="R793" s="176"/>
      <c r="S793" s="176"/>
      <c r="T793" s="176"/>
      <c r="U793" s="176"/>
      <c r="V793" s="176"/>
      <c r="W793" s="176"/>
      <c r="X793" s="176"/>
      <c r="Y793" s="176"/>
      <c r="Z793" s="176"/>
      <c r="AA793" s="176"/>
    </row>
    <row r="794">
      <c r="A794" s="165" t="str">
        <f>iferror(VLOOKUP(P794,'DO NOT TOUCH Imported'!$A$1:$D$800,4,False),iferror(VLOOKUP(P794,'DO NOT TOUCH Imported'!$C$1:$D$800,2,False),"OOPS FIX ME"))</f>
        <v>heater03</v>
      </c>
      <c r="B794" s="165" t="s">
        <v>441</v>
      </c>
      <c r="C794" s="170" t="s">
        <v>1267</v>
      </c>
      <c r="D794" s="236" t="s">
        <v>437</v>
      </c>
      <c r="E794" s="237">
        <v>44295.0</v>
      </c>
      <c r="F794" s="170" t="s">
        <v>439</v>
      </c>
      <c r="G794" s="219"/>
      <c r="H794" s="171">
        <v>50.0</v>
      </c>
      <c r="I794" s="171">
        <v>50.0</v>
      </c>
      <c r="J794" s="172">
        <f t="shared" si="24"/>
        <v>0.0007181677027</v>
      </c>
      <c r="K794" s="173">
        <f t="shared" si="37"/>
        <v>0.8258928581</v>
      </c>
      <c r="L794" s="174">
        <f t="shared" si="4"/>
        <v>2.477678574</v>
      </c>
      <c r="M794" s="175" t="str">
        <f t="shared" si="5"/>
        <v>heater03</v>
      </c>
      <c r="N794" s="176">
        <f>IFERROR(__xludf.DUMMYFUNCTION("""COMPUTED_VALUE"""),2.0)</f>
        <v>2</v>
      </c>
      <c r="O794" s="176"/>
      <c r="P794" s="165" t="s">
        <v>586</v>
      </c>
      <c r="Q794" s="165" t="s">
        <v>441</v>
      </c>
      <c r="R794" s="176"/>
      <c r="S794" s="176"/>
      <c r="T794" s="176"/>
      <c r="U794" s="176"/>
      <c r="V794" s="176"/>
      <c r="W794" s="176"/>
      <c r="X794" s="176"/>
      <c r="Y794" s="176"/>
      <c r="Z794" s="176"/>
      <c r="AA794" s="176"/>
    </row>
    <row r="795">
      <c r="A795" s="185" t="str">
        <f>iferror(VLOOKUP(P795,'DO NOT TOUCH Imported'!$A$1:$D$800,4,False),iferror(VLOOKUP(P795,'DO NOT TOUCH Imported'!$C$1:$D$800,2,False),"OOPS FIX ME"))</f>
        <v>vivszaid</v>
      </c>
      <c r="B795" s="185" t="s">
        <v>534</v>
      </c>
      <c r="C795" s="210" t="s">
        <v>717</v>
      </c>
      <c r="D795" s="187"/>
      <c r="E795" s="188"/>
      <c r="F795" s="189"/>
      <c r="G795" s="190"/>
      <c r="H795" s="190"/>
      <c r="I795" s="190"/>
      <c r="J795" s="172">
        <f t="shared" si="24"/>
        <v>0</v>
      </c>
      <c r="K795" s="215">
        <v>0.0</v>
      </c>
      <c r="L795" s="193">
        <f t="shared" si="4"/>
        <v>2.352356376</v>
      </c>
      <c r="M795" s="194" t="str">
        <f t="shared" si="5"/>
        <v>vivszaid</v>
      </c>
      <c r="N795" s="195">
        <f>IFERROR(__xludf.DUMMYFUNCTION("""COMPUTED_VALUE"""),1.0)</f>
        <v>1</v>
      </c>
      <c r="O795" s="195"/>
      <c r="P795" s="185" t="s">
        <v>85</v>
      </c>
      <c r="Q795" s="185" t="s">
        <v>534</v>
      </c>
      <c r="R795" s="195">
        <v>14.130370493717818</v>
      </c>
      <c r="S795" s="195"/>
      <c r="T795" s="195"/>
      <c r="U795" s="195"/>
      <c r="V795" s="195"/>
      <c r="W795" s="195"/>
      <c r="X795" s="195"/>
      <c r="Y795" s="195"/>
      <c r="Z795" s="195"/>
      <c r="AA795" s="176"/>
    </row>
    <row r="796">
      <c r="A796" s="165" t="str">
        <f>iferror(VLOOKUP(P796,'DO NOT TOUCH Imported'!$A$1:$D$800,4,False),iferror(VLOOKUP(P796,'DO NOT TOUCH Imported'!$C$1:$D$800,2,False),"OOPS FIX ME"))</f>
        <v>vivszaid</v>
      </c>
      <c r="B796" s="165" t="s">
        <v>10</v>
      </c>
      <c r="C796" s="170" t="s">
        <v>1357</v>
      </c>
      <c r="D796" s="236" t="s">
        <v>495</v>
      </c>
      <c r="E796" s="239">
        <v>44288.0</v>
      </c>
      <c r="F796" s="170" t="s">
        <v>496</v>
      </c>
      <c r="G796" s="219"/>
      <c r="H796" s="171">
        <v>60.0</v>
      </c>
      <c r="I796" s="171">
        <v>80.0</v>
      </c>
      <c r="J796" s="172">
        <f t="shared" si="24"/>
        <v>0.001004434248</v>
      </c>
      <c r="K796" s="173">
        <f t="shared" ref="K796:K799" si="38">J796*$J$1</f>
        <v>1.155099386</v>
      </c>
      <c r="L796" s="174">
        <f t="shared" si="4"/>
        <v>2.352356376</v>
      </c>
      <c r="M796" s="175" t="str">
        <f t="shared" si="5"/>
        <v>vivszaid</v>
      </c>
      <c r="N796" s="176">
        <f>IFERROR(__xludf.DUMMYFUNCTION("""COMPUTED_VALUE"""),2.0)</f>
        <v>2</v>
      </c>
      <c r="O796" s="176"/>
      <c r="P796" s="165" t="s">
        <v>85</v>
      </c>
      <c r="Q796" s="165" t="s">
        <v>10</v>
      </c>
      <c r="R796" s="176"/>
      <c r="S796" s="176"/>
      <c r="T796" s="176"/>
      <c r="U796" s="176"/>
      <c r="V796" s="176"/>
      <c r="W796" s="176"/>
      <c r="X796" s="176"/>
      <c r="Y796" s="176"/>
      <c r="Z796" s="176"/>
      <c r="AA796" s="176"/>
    </row>
    <row r="797">
      <c r="A797" s="165" t="str">
        <f>iferror(VLOOKUP(P797,'DO NOT TOUCH Imported'!$A$1:$D$800,4,False),iferror(VLOOKUP(P797,'DO NOT TOUCH Imported'!$C$1:$D$800,2,False),"OOPS FIX ME"))</f>
        <v>vivszaid</v>
      </c>
      <c r="B797" s="165" t="s">
        <v>10</v>
      </c>
      <c r="C797" s="170" t="s">
        <v>1358</v>
      </c>
      <c r="D797" s="236" t="s">
        <v>495</v>
      </c>
      <c r="E797" s="239">
        <v>44295.0</v>
      </c>
      <c r="F797" s="170" t="s">
        <v>496</v>
      </c>
      <c r="G797" s="219"/>
      <c r="H797" s="171">
        <v>70.0</v>
      </c>
      <c r="I797" s="171">
        <v>75.0</v>
      </c>
      <c r="J797" s="172">
        <f t="shared" si="24"/>
        <v>0.001041093035</v>
      </c>
      <c r="K797" s="173">
        <f t="shared" si="38"/>
        <v>1.19725699</v>
      </c>
      <c r="L797" s="174">
        <f t="shared" si="4"/>
        <v>2.352356376</v>
      </c>
      <c r="M797" s="175" t="str">
        <f t="shared" si="5"/>
        <v>vivszaid</v>
      </c>
      <c r="N797" s="176">
        <f>IFERROR(__xludf.DUMMYFUNCTION("""COMPUTED_VALUE"""),3.0)</f>
        <v>3</v>
      </c>
      <c r="O797" s="176"/>
      <c r="P797" s="165" t="s">
        <v>85</v>
      </c>
      <c r="Q797" s="165" t="s">
        <v>10</v>
      </c>
      <c r="R797" s="176"/>
      <c r="S797" s="176"/>
      <c r="T797" s="176"/>
      <c r="U797" s="176"/>
      <c r="V797" s="176"/>
      <c r="W797" s="176"/>
      <c r="X797" s="176"/>
      <c r="Y797" s="176"/>
      <c r="Z797" s="176"/>
      <c r="AA797" s="176"/>
    </row>
    <row r="798">
      <c r="A798" s="165" t="str">
        <f>iferror(VLOOKUP(P798,'DO NOT TOUCH Imported'!$A$1:$D$800,4,False),iferror(VLOOKUP(P798,'DO NOT TOUCH Imported'!$C$1:$D$800,2,False),"OOPS FIX ME"))</f>
        <v>fvigevani</v>
      </c>
      <c r="B798" s="165" t="s">
        <v>10</v>
      </c>
      <c r="C798" s="170" t="s">
        <v>1357</v>
      </c>
      <c r="D798" s="236" t="s">
        <v>495</v>
      </c>
      <c r="E798" s="239">
        <v>44288.0</v>
      </c>
      <c r="F798" s="170" t="s">
        <v>496</v>
      </c>
      <c r="G798" s="219"/>
      <c r="H798" s="171">
        <v>60.0</v>
      </c>
      <c r="I798" s="171">
        <v>80.0</v>
      </c>
      <c r="J798" s="172">
        <f t="shared" si="24"/>
        <v>0.001004434248</v>
      </c>
      <c r="K798" s="173">
        <f t="shared" si="38"/>
        <v>1.155099386</v>
      </c>
      <c r="L798" s="174">
        <f t="shared" si="4"/>
        <v>2.352356376</v>
      </c>
      <c r="M798" s="175" t="str">
        <f t="shared" si="5"/>
        <v>fvigevani</v>
      </c>
      <c r="N798" s="176">
        <f>IFERROR(__xludf.DUMMYFUNCTION("""COMPUTED_VALUE"""),1.0)</f>
        <v>1</v>
      </c>
      <c r="O798" s="176"/>
      <c r="P798" s="165" t="s">
        <v>74</v>
      </c>
      <c r="Q798" s="165" t="s">
        <v>10</v>
      </c>
      <c r="R798" s="176"/>
      <c r="S798" s="176"/>
      <c r="T798" s="176"/>
      <c r="U798" s="176"/>
      <c r="V798" s="176"/>
      <c r="W798" s="176"/>
      <c r="X798" s="176"/>
      <c r="Y798" s="176"/>
      <c r="Z798" s="176"/>
      <c r="AA798" s="176"/>
    </row>
    <row r="799">
      <c r="A799" s="165" t="str">
        <f>iferror(VLOOKUP(P799,'DO NOT TOUCH Imported'!$A$1:$D$800,4,False),iferror(VLOOKUP(P799,'DO NOT TOUCH Imported'!$C$1:$D$800,2,False),"OOPS FIX ME"))</f>
        <v>fvigevani</v>
      </c>
      <c r="B799" s="165" t="s">
        <v>10</v>
      </c>
      <c r="C799" s="170" t="s">
        <v>1358</v>
      </c>
      <c r="D799" s="236" t="s">
        <v>495</v>
      </c>
      <c r="E799" s="239">
        <v>44295.0</v>
      </c>
      <c r="F799" s="170" t="s">
        <v>496</v>
      </c>
      <c r="G799" s="219"/>
      <c r="H799" s="171">
        <v>70.0</v>
      </c>
      <c r="I799" s="171">
        <v>75.0</v>
      </c>
      <c r="J799" s="172">
        <f t="shared" si="24"/>
        <v>0.001041093035</v>
      </c>
      <c r="K799" s="173">
        <f t="shared" si="38"/>
        <v>1.19725699</v>
      </c>
      <c r="L799" s="174">
        <f t="shared" si="4"/>
        <v>2.352356376</v>
      </c>
      <c r="M799" s="175" t="str">
        <f t="shared" si="5"/>
        <v>fvigevani</v>
      </c>
      <c r="N799" s="176">
        <f>IFERROR(__xludf.DUMMYFUNCTION("""COMPUTED_VALUE"""),2.0)</f>
        <v>2</v>
      </c>
      <c r="O799" s="176"/>
      <c r="P799" s="165" t="s">
        <v>74</v>
      </c>
      <c r="Q799" s="165" t="s">
        <v>10</v>
      </c>
      <c r="R799" s="176"/>
      <c r="S799" s="176"/>
      <c r="T799" s="176"/>
      <c r="U799" s="176"/>
      <c r="V799" s="176"/>
      <c r="W799" s="176"/>
      <c r="X799" s="176"/>
      <c r="Y799" s="176"/>
      <c r="Z799" s="176"/>
      <c r="AA799" s="176"/>
    </row>
    <row r="800">
      <c r="A800" s="185" t="str">
        <f>iferror(VLOOKUP(P800,'DO NOT TOUCH Imported'!$A$1:$D$800,4,False),iferror(VLOOKUP(P800,'DO NOT TOUCH Imported'!$C$1:$D$800,2,False),"OOPS FIX ME"))</f>
        <v>fiorebotta</v>
      </c>
      <c r="B800" s="185" t="s">
        <v>534</v>
      </c>
      <c r="C800" s="210" t="s">
        <v>717</v>
      </c>
      <c r="D800" s="187"/>
      <c r="E800" s="188"/>
      <c r="F800" s="189"/>
      <c r="G800" s="190"/>
      <c r="H800" s="190"/>
      <c r="I800" s="190"/>
      <c r="J800" s="172">
        <f t="shared" si="24"/>
        <v>0</v>
      </c>
      <c r="K800" s="215">
        <v>0.0</v>
      </c>
      <c r="L800" s="193">
        <f t="shared" si="4"/>
        <v>2.352356376</v>
      </c>
      <c r="M800" s="194" t="str">
        <f t="shared" si="5"/>
        <v>fiorebotta</v>
      </c>
      <c r="N800" s="195">
        <f>IFERROR(__xludf.DUMMYFUNCTION("""COMPUTED_VALUE"""),1.0)</f>
        <v>1</v>
      </c>
      <c r="O800" s="195"/>
      <c r="P800" s="211" t="s">
        <v>62</v>
      </c>
      <c r="Q800" s="185" t="s">
        <v>534</v>
      </c>
      <c r="R800" s="195">
        <v>11.125055275694283</v>
      </c>
      <c r="S800" s="195"/>
      <c r="T800" s="195"/>
      <c r="U800" s="195"/>
      <c r="V800" s="195"/>
      <c r="W800" s="195"/>
      <c r="X800" s="195"/>
      <c r="Y800" s="195"/>
      <c r="Z800" s="195"/>
      <c r="AA800" s="176"/>
    </row>
    <row r="801">
      <c r="A801" s="165" t="str">
        <f>iferror(VLOOKUP(P801,'DO NOT TOUCH Imported'!$A$1:$D$800,4,False),iferror(VLOOKUP(P801,'DO NOT TOUCH Imported'!$C$1:$D$800,2,False),"OOPS FIX ME"))</f>
        <v>fiorebotta</v>
      </c>
      <c r="B801" s="165" t="s">
        <v>10</v>
      </c>
      <c r="C801" s="170" t="s">
        <v>1357</v>
      </c>
      <c r="D801" s="236" t="s">
        <v>495</v>
      </c>
      <c r="E801" s="239">
        <v>44288.0</v>
      </c>
      <c r="F801" s="170" t="s">
        <v>496</v>
      </c>
      <c r="G801" s="219"/>
      <c r="H801" s="171">
        <v>60.0</v>
      </c>
      <c r="I801" s="171">
        <v>80.0</v>
      </c>
      <c r="J801" s="172">
        <f t="shared" si="24"/>
        <v>0.001004434248</v>
      </c>
      <c r="K801" s="173">
        <f t="shared" ref="K801:K802" si="39">J801*$J$1</f>
        <v>1.155099386</v>
      </c>
      <c r="L801" s="174">
        <f t="shared" si="4"/>
        <v>2.352356376</v>
      </c>
      <c r="M801" s="175" t="str">
        <f t="shared" si="5"/>
        <v>fiorebotta</v>
      </c>
      <c r="N801" s="176">
        <f>IFERROR(__xludf.DUMMYFUNCTION("""COMPUTED_VALUE"""),2.0)</f>
        <v>2</v>
      </c>
      <c r="O801" s="176"/>
      <c r="P801" s="165" t="s">
        <v>62</v>
      </c>
      <c r="Q801" s="165" t="s">
        <v>10</v>
      </c>
      <c r="R801" s="176"/>
      <c r="S801" s="176"/>
      <c r="T801" s="176"/>
      <c r="U801" s="176"/>
      <c r="V801" s="176"/>
      <c r="W801" s="176"/>
      <c r="X801" s="176"/>
      <c r="Y801" s="176"/>
      <c r="Z801" s="176"/>
      <c r="AA801" s="176"/>
    </row>
    <row r="802">
      <c r="A802" s="165" t="str">
        <f>iferror(VLOOKUP(P802,'DO NOT TOUCH Imported'!$A$1:$D$800,4,False),iferror(VLOOKUP(P802,'DO NOT TOUCH Imported'!$C$1:$D$800,2,False),"OOPS FIX ME"))</f>
        <v>fiorebotta</v>
      </c>
      <c r="B802" s="165" t="s">
        <v>10</v>
      </c>
      <c r="C802" s="170" t="s">
        <v>1358</v>
      </c>
      <c r="D802" s="236" t="s">
        <v>495</v>
      </c>
      <c r="E802" s="239">
        <v>44295.0</v>
      </c>
      <c r="F802" s="170" t="s">
        <v>496</v>
      </c>
      <c r="G802" s="219"/>
      <c r="H802" s="171">
        <v>70.0</v>
      </c>
      <c r="I802" s="171">
        <v>75.0</v>
      </c>
      <c r="J802" s="172">
        <f t="shared" si="24"/>
        <v>0.001041093035</v>
      </c>
      <c r="K802" s="173">
        <f t="shared" si="39"/>
        <v>1.19725699</v>
      </c>
      <c r="L802" s="174">
        <f t="shared" si="4"/>
        <v>2.352356376</v>
      </c>
      <c r="M802" s="175" t="str">
        <f t="shared" si="5"/>
        <v>fiorebotta</v>
      </c>
      <c r="N802" s="176">
        <f>IFERROR(__xludf.DUMMYFUNCTION("""COMPUTED_VALUE"""),3.0)</f>
        <v>3</v>
      </c>
      <c r="O802" s="176"/>
      <c r="P802" s="165" t="s">
        <v>62</v>
      </c>
      <c r="Q802" s="165" t="s">
        <v>10</v>
      </c>
      <c r="R802" s="176"/>
      <c r="S802" s="176"/>
      <c r="T802" s="176"/>
      <c r="U802" s="176"/>
      <c r="V802" s="176"/>
      <c r="W802" s="176"/>
      <c r="X802" s="176"/>
      <c r="Y802" s="176"/>
      <c r="Z802" s="176"/>
      <c r="AA802" s="176"/>
    </row>
    <row r="803">
      <c r="A803" s="185" t="str">
        <f>iferror(VLOOKUP(P803,'DO NOT TOUCH Imported'!$A$1:$D$800,4,False),iferror(VLOOKUP(P803,'DO NOT TOUCH Imported'!$C$1:$D$800,2,False),"OOPS FIX ME"))</f>
        <v>anthonyoliai</v>
      </c>
      <c r="B803" s="185" t="s">
        <v>534</v>
      </c>
      <c r="C803" s="210" t="s">
        <v>655</v>
      </c>
      <c r="D803" s="187"/>
      <c r="E803" s="188"/>
      <c r="F803" s="189"/>
      <c r="G803" s="190"/>
      <c r="H803" s="190"/>
      <c r="I803" s="190"/>
      <c r="J803" s="172">
        <f t="shared" si="24"/>
        <v>0</v>
      </c>
      <c r="K803" s="215">
        <v>0.0</v>
      </c>
      <c r="L803" s="193">
        <f t="shared" si="4"/>
        <v>2.352356376</v>
      </c>
      <c r="M803" s="194" t="str">
        <f t="shared" si="5"/>
        <v>anthonyoliai</v>
      </c>
      <c r="N803" s="195">
        <f>IFERROR(__xludf.DUMMYFUNCTION("""COMPUTED_VALUE"""),1.0)</f>
        <v>1</v>
      </c>
      <c r="O803" s="195"/>
      <c r="P803" s="211" t="s">
        <v>122</v>
      </c>
      <c r="Q803" s="185" t="s">
        <v>534</v>
      </c>
      <c r="R803" s="195">
        <v>8.606119831199203</v>
      </c>
      <c r="S803" s="195"/>
      <c r="T803" s="195"/>
      <c r="U803" s="195"/>
      <c r="V803" s="195"/>
      <c r="W803" s="195"/>
      <c r="X803" s="195"/>
      <c r="Y803" s="195"/>
      <c r="Z803" s="195"/>
      <c r="AA803" s="176"/>
    </row>
    <row r="804">
      <c r="A804" s="165" t="str">
        <f>iferror(VLOOKUP(P804,'DO NOT TOUCH Imported'!$A$1:$D$800,4,False),iferror(VLOOKUP(P804,'DO NOT TOUCH Imported'!$C$1:$D$800,2,False),"OOPS FIX ME"))</f>
        <v>anthonyoliai</v>
      </c>
      <c r="B804" s="165" t="s">
        <v>10</v>
      </c>
      <c r="C804" s="170" t="s">
        <v>1357</v>
      </c>
      <c r="D804" s="236" t="s">
        <v>495</v>
      </c>
      <c r="E804" s="239">
        <v>44288.0</v>
      </c>
      <c r="F804" s="170" t="s">
        <v>496</v>
      </c>
      <c r="G804" s="219"/>
      <c r="H804" s="171">
        <v>60.0</v>
      </c>
      <c r="I804" s="171">
        <v>80.0</v>
      </c>
      <c r="J804" s="172">
        <f t="shared" si="24"/>
        <v>0.001004434248</v>
      </c>
      <c r="K804" s="173">
        <f t="shared" ref="K804:K808" si="40">J804*$J$1</f>
        <v>1.155099386</v>
      </c>
      <c r="L804" s="174">
        <f t="shared" si="4"/>
        <v>2.352356376</v>
      </c>
      <c r="M804" s="175" t="str">
        <f t="shared" si="5"/>
        <v>anthonyoliai</v>
      </c>
      <c r="N804" s="176">
        <f>IFERROR(__xludf.DUMMYFUNCTION("""COMPUTED_VALUE"""),2.0)</f>
        <v>2</v>
      </c>
      <c r="O804" s="176"/>
      <c r="P804" s="165" t="s">
        <v>122</v>
      </c>
      <c r="Q804" s="165" t="s">
        <v>10</v>
      </c>
      <c r="R804" s="176"/>
      <c r="S804" s="176"/>
      <c r="T804" s="176"/>
      <c r="U804" s="176"/>
      <c r="V804" s="176"/>
      <c r="W804" s="176"/>
      <c r="X804" s="176"/>
      <c r="Y804" s="176"/>
      <c r="Z804" s="176"/>
      <c r="AA804" s="176"/>
    </row>
    <row r="805">
      <c r="A805" s="165" t="str">
        <f>iferror(VLOOKUP(P805,'DO NOT TOUCH Imported'!$A$1:$D$800,4,False),iferror(VLOOKUP(P805,'DO NOT TOUCH Imported'!$C$1:$D$800,2,False),"OOPS FIX ME"))</f>
        <v>anthonyoliai</v>
      </c>
      <c r="B805" s="165" t="s">
        <v>10</v>
      </c>
      <c r="C805" s="170" t="s">
        <v>1358</v>
      </c>
      <c r="D805" s="236" t="s">
        <v>495</v>
      </c>
      <c r="E805" s="239">
        <v>44295.0</v>
      </c>
      <c r="F805" s="170" t="s">
        <v>496</v>
      </c>
      <c r="G805" s="219"/>
      <c r="H805" s="171">
        <v>70.0</v>
      </c>
      <c r="I805" s="171">
        <v>75.0</v>
      </c>
      <c r="J805" s="172">
        <f t="shared" si="24"/>
        <v>0.001041093035</v>
      </c>
      <c r="K805" s="173">
        <f t="shared" si="40"/>
        <v>1.19725699</v>
      </c>
      <c r="L805" s="174">
        <f t="shared" si="4"/>
        <v>2.352356376</v>
      </c>
      <c r="M805" s="175" t="str">
        <f t="shared" si="5"/>
        <v>anthonyoliai</v>
      </c>
      <c r="N805" s="176">
        <f>IFERROR(__xludf.DUMMYFUNCTION("""COMPUTED_VALUE"""),3.0)</f>
        <v>3</v>
      </c>
      <c r="O805" s="176"/>
      <c r="P805" s="165" t="s">
        <v>122</v>
      </c>
      <c r="Q805" s="165" t="s">
        <v>10</v>
      </c>
      <c r="R805" s="176"/>
      <c r="S805" s="176"/>
      <c r="T805" s="176"/>
      <c r="U805" s="176"/>
      <c r="V805" s="176"/>
      <c r="W805" s="176"/>
      <c r="X805" s="176"/>
      <c r="Y805" s="176"/>
      <c r="Z805" s="176"/>
      <c r="AA805" s="176"/>
    </row>
    <row r="806">
      <c r="A806" s="165" t="str">
        <f>iferror(VLOOKUP(P806,'DO NOT TOUCH Imported'!$A$1:$D$800,4,False),iferror(VLOOKUP(P806,'DO NOT TOUCH Imported'!$C$1:$D$800,2,False),"OOPS FIX ME"))</f>
        <v>felixfalafel</v>
      </c>
      <c r="B806" s="165" t="s">
        <v>29</v>
      </c>
      <c r="C806" s="170" t="s">
        <v>1455</v>
      </c>
      <c r="D806" s="236" t="s">
        <v>495</v>
      </c>
      <c r="E806" s="239">
        <v>44287.0</v>
      </c>
      <c r="F806" s="170" t="s">
        <v>499</v>
      </c>
      <c r="G806" s="219"/>
      <c r="H806" s="171">
        <v>100.0</v>
      </c>
      <c r="I806" s="171">
        <v>100.0</v>
      </c>
      <c r="J806" s="172">
        <f t="shared" si="24"/>
        <v>0.001436335405</v>
      </c>
      <c r="K806" s="173">
        <f t="shared" si="40"/>
        <v>1.651785716</v>
      </c>
      <c r="L806" s="174">
        <f t="shared" si="4"/>
        <v>2.312500003</v>
      </c>
      <c r="M806" s="175" t="str">
        <f t="shared" si="5"/>
        <v>felixfalafel</v>
      </c>
      <c r="N806" s="176">
        <f>IFERROR(__xludf.DUMMYFUNCTION("""COMPUTED_VALUE"""),1.0)</f>
        <v>1</v>
      </c>
      <c r="O806" s="176"/>
      <c r="P806" s="165" t="s">
        <v>81</v>
      </c>
      <c r="Q806" s="165" t="s">
        <v>29</v>
      </c>
      <c r="R806" s="176"/>
      <c r="S806" s="176"/>
      <c r="T806" s="176"/>
      <c r="U806" s="176"/>
      <c r="V806" s="176"/>
      <c r="W806" s="176"/>
      <c r="X806" s="176"/>
      <c r="Y806" s="176"/>
      <c r="Z806" s="176"/>
      <c r="AA806" s="176"/>
    </row>
    <row r="807">
      <c r="A807" s="165" t="str">
        <f>iferror(VLOOKUP(P807,'DO NOT TOUCH Imported'!$A$1:$D$800,4,False),iferror(VLOOKUP(P807,'DO NOT TOUCH Imported'!$C$1:$D$800,2,False),"OOPS FIX ME"))</f>
        <v>felixfalafel</v>
      </c>
      <c r="B807" s="165" t="s">
        <v>10</v>
      </c>
      <c r="C807" s="170" t="s">
        <v>498</v>
      </c>
      <c r="D807" s="236" t="s">
        <v>495</v>
      </c>
      <c r="E807" s="239">
        <v>44288.0</v>
      </c>
      <c r="F807" s="170" t="s">
        <v>499</v>
      </c>
      <c r="G807" s="219"/>
      <c r="H807" s="171">
        <v>20.0</v>
      </c>
      <c r="I807" s="171">
        <v>15.0</v>
      </c>
      <c r="J807" s="172">
        <f t="shared" si="24"/>
        <v>0.0002516088297</v>
      </c>
      <c r="K807" s="173">
        <f t="shared" si="40"/>
        <v>0.2893501542</v>
      </c>
      <c r="L807" s="174">
        <f t="shared" si="4"/>
        <v>2.312500003</v>
      </c>
      <c r="M807" s="175" t="str">
        <f t="shared" si="5"/>
        <v>felixfalafel</v>
      </c>
      <c r="N807" s="176">
        <f>IFERROR(__xludf.DUMMYFUNCTION("""COMPUTED_VALUE"""),2.0)</f>
        <v>2</v>
      </c>
      <c r="O807" s="176"/>
      <c r="P807" s="165" t="s">
        <v>1531</v>
      </c>
      <c r="Q807" s="165" t="s">
        <v>10</v>
      </c>
      <c r="R807" s="176"/>
      <c r="S807" s="176"/>
      <c r="T807" s="176"/>
      <c r="U807" s="176"/>
      <c r="V807" s="176"/>
      <c r="W807" s="176"/>
      <c r="X807" s="176"/>
      <c r="Y807" s="176"/>
      <c r="Z807" s="176"/>
      <c r="AA807" s="176"/>
    </row>
    <row r="808">
      <c r="A808" s="165" t="str">
        <f>iferror(VLOOKUP(P808,'DO NOT TOUCH Imported'!$A$1:$D$800,4,False),iferror(VLOOKUP(P808,'DO NOT TOUCH Imported'!$C$1:$D$800,2,False),"OOPS FIX ME"))</f>
        <v>felixfalafel</v>
      </c>
      <c r="B808" s="165" t="s">
        <v>10</v>
      </c>
      <c r="C808" s="170" t="s">
        <v>498</v>
      </c>
      <c r="D808" s="236" t="s">
        <v>495</v>
      </c>
      <c r="E808" s="239">
        <v>44295.0</v>
      </c>
      <c r="F808" s="170" t="s">
        <v>499</v>
      </c>
      <c r="G808" s="219"/>
      <c r="H808" s="171">
        <v>20.0</v>
      </c>
      <c r="I808" s="171">
        <v>25.0</v>
      </c>
      <c r="J808" s="172">
        <f t="shared" si="24"/>
        <v>0.0003229253324</v>
      </c>
      <c r="K808" s="173">
        <f t="shared" si="40"/>
        <v>0.3713641322</v>
      </c>
      <c r="L808" s="174">
        <f t="shared" si="4"/>
        <v>2.312500003</v>
      </c>
      <c r="M808" s="175" t="str">
        <f t="shared" si="5"/>
        <v>felixfalafel</v>
      </c>
      <c r="N808" s="176">
        <f>IFERROR(__xludf.DUMMYFUNCTION("""COMPUTED_VALUE"""),3.0)</f>
        <v>3</v>
      </c>
      <c r="O808" s="176"/>
      <c r="P808" s="165" t="s">
        <v>81</v>
      </c>
      <c r="Q808" s="165" t="s">
        <v>10</v>
      </c>
      <c r="R808" s="176"/>
      <c r="S808" s="176"/>
      <c r="T808" s="176"/>
      <c r="U808" s="176"/>
      <c r="V808" s="176"/>
      <c r="W808" s="176"/>
      <c r="X808" s="176"/>
      <c r="Y808" s="176"/>
      <c r="Z808" s="176"/>
      <c r="AA808" s="176"/>
    </row>
    <row r="809">
      <c r="A809" s="185" t="str">
        <f>iferror(VLOOKUP(P809,'DO NOT TOUCH Imported'!$A$1:$D$800,4,False),iferror(VLOOKUP(P809,'DO NOT TOUCH Imported'!$C$1:$D$800,2,False),"OOPS FIX ME"))</f>
        <v>Krisjones</v>
      </c>
      <c r="B809" s="185" t="s">
        <v>534</v>
      </c>
      <c r="C809" s="228" t="s">
        <v>810</v>
      </c>
      <c r="D809" s="187"/>
      <c r="E809" s="188"/>
      <c r="F809" s="189"/>
      <c r="G809" s="190"/>
      <c r="H809" s="190"/>
      <c r="I809" s="190"/>
      <c r="J809" s="172">
        <f t="shared" si="24"/>
        <v>0</v>
      </c>
      <c r="K809" s="192">
        <f>14.003*-0.85</f>
        <v>-11.90255</v>
      </c>
      <c r="L809" s="193">
        <f t="shared" si="4"/>
        <v>2.100073445</v>
      </c>
      <c r="M809" s="194" t="str">
        <f t="shared" si="5"/>
        <v>Krisjones</v>
      </c>
      <c r="N809" s="195">
        <f>IFERROR(__xludf.DUMMYFUNCTION("""COMPUTED_VALUE"""),1.0)</f>
        <v>1</v>
      </c>
      <c r="O809" s="195"/>
      <c r="P809" s="185" t="s">
        <v>59</v>
      </c>
      <c r="Q809" s="185" t="s">
        <v>534</v>
      </c>
      <c r="R809" s="195">
        <v>14.561258630642886</v>
      </c>
      <c r="S809" s="195"/>
      <c r="T809" s="195"/>
      <c r="U809" s="195"/>
      <c r="V809" s="195"/>
      <c r="W809" s="195"/>
      <c r="X809" s="195"/>
      <c r="Y809" s="195"/>
      <c r="Z809" s="195"/>
      <c r="AA809" s="176"/>
    </row>
    <row r="810">
      <c r="A810" s="165" t="str">
        <f>iferror(VLOOKUP(P810,'DO NOT TOUCH Imported'!$A$1:$D$800,4,False),iferror(VLOOKUP(P810,'DO NOT TOUCH Imported'!$C$1:$D$800,2,False),"OOPS FIX ME"))</f>
        <v>Krisjones</v>
      </c>
      <c r="B810" s="165" t="s">
        <v>10</v>
      </c>
      <c r="C810" s="170" t="s">
        <v>498</v>
      </c>
      <c r="D810" s="236" t="s">
        <v>495</v>
      </c>
      <c r="E810" s="239">
        <v>44282.0</v>
      </c>
      <c r="F810" s="170" t="s">
        <v>499</v>
      </c>
      <c r="G810" s="219"/>
      <c r="H810" s="171">
        <v>20.0</v>
      </c>
      <c r="I810" s="171">
        <v>25.0</v>
      </c>
      <c r="J810" s="172">
        <f t="shared" si="24"/>
        <v>0.0003229253324</v>
      </c>
      <c r="K810" s="173">
        <f t="shared" ref="K810:K832" si="41">J810*$J$1</f>
        <v>0.3713641322</v>
      </c>
      <c r="L810" s="174">
        <f t="shared" si="4"/>
        <v>2.100073445</v>
      </c>
      <c r="M810" s="175" t="str">
        <f t="shared" si="5"/>
        <v>Krisjones</v>
      </c>
      <c r="N810" s="176">
        <f>IFERROR(__xludf.DUMMYFUNCTION("""COMPUTED_VALUE"""),2.0)</f>
        <v>2</v>
      </c>
      <c r="O810" s="176"/>
      <c r="P810" s="165" t="s">
        <v>59</v>
      </c>
      <c r="Q810" s="165" t="s">
        <v>10</v>
      </c>
      <c r="R810" s="176"/>
      <c r="S810" s="176"/>
      <c r="T810" s="176"/>
      <c r="U810" s="176"/>
      <c r="V810" s="176"/>
      <c r="W810" s="176"/>
      <c r="X810" s="176"/>
      <c r="Y810" s="176"/>
      <c r="Z810" s="176"/>
      <c r="AA810" s="176"/>
    </row>
    <row r="811">
      <c r="A811" s="165" t="str">
        <f>iferror(VLOOKUP(P811,'DO NOT TOUCH Imported'!$A$1:$D$800,4,False),iferror(VLOOKUP(P811,'DO NOT TOUCH Imported'!$C$1:$D$800,2,False),"OOPS FIX ME"))</f>
        <v>Krisjones</v>
      </c>
      <c r="B811" s="165" t="s">
        <v>10</v>
      </c>
      <c r="C811" s="170" t="s">
        <v>498</v>
      </c>
      <c r="D811" s="236" t="s">
        <v>495</v>
      </c>
      <c r="E811" s="239">
        <v>44288.0</v>
      </c>
      <c r="F811" s="170" t="s">
        <v>499</v>
      </c>
      <c r="G811" s="219"/>
      <c r="H811" s="171">
        <v>20.0</v>
      </c>
      <c r="I811" s="171">
        <v>15.0</v>
      </c>
      <c r="J811" s="172">
        <f t="shared" si="24"/>
        <v>0.0002516088297</v>
      </c>
      <c r="K811" s="173">
        <f t="shared" si="41"/>
        <v>0.2893501542</v>
      </c>
      <c r="L811" s="174">
        <f t="shared" si="4"/>
        <v>2.100073445</v>
      </c>
      <c r="M811" s="175" t="str">
        <f t="shared" si="5"/>
        <v>Krisjones</v>
      </c>
      <c r="N811" s="176">
        <f>IFERROR(__xludf.DUMMYFUNCTION("""COMPUTED_VALUE"""),3.0)</f>
        <v>3</v>
      </c>
      <c r="O811" s="176"/>
      <c r="P811" s="165" t="s">
        <v>59</v>
      </c>
      <c r="Q811" s="165" t="s">
        <v>10</v>
      </c>
      <c r="R811" s="176"/>
      <c r="S811" s="176"/>
      <c r="T811" s="176"/>
      <c r="U811" s="176"/>
      <c r="V811" s="176"/>
      <c r="W811" s="176"/>
      <c r="X811" s="176"/>
      <c r="Y811" s="176"/>
      <c r="Z811" s="176"/>
      <c r="AA811" s="176"/>
    </row>
    <row r="812">
      <c r="A812" s="165" t="str">
        <f>iferror(VLOOKUP(P812,'DO NOT TOUCH Imported'!$A$1:$D$800,4,False),iferror(VLOOKUP(P812,'DO NOT TOUCH Imported'!$C$1:$D$800,2,False),"OOPS FIX ME"))</f>
        <v>Krisjones</v>
      </c>
      <c r="B812" s="165" t="s">
        <v>10</v>
      </c>
      <c r="C812" s="170" t="s">
        <v>498</v>
      </c>
      <c r="D812" s="236" t="s">
        <v>495</v>
      </c>
      <c r="E812" s="239">
        <v>44295.0</v>
      </c>
      <c r="F812" s="170" t="s">
        <v>499</v>
      </c>
      <c r="G812" s="219"/>
      <c r="H812" s="171">
        <v>20.0</v>
      </c>
      <c r="I812" s="171">
        <v>25.0</v>
      </c>
      <c r="J812" s="172">
        <f t="shared" si="24"/>
        <v>0.0003229253324</v>
      </c>
      <c r="K812" s="173">
        <f t="shared" si="41"/>
        <v>0.3713641322</v>
      </c>
      <c r="L812" s="174">
        <f t="shared" si="4"/>
        <v>2.100073445</v>
      </c>
      <c r="M812" s="175" t="str">
        <f t="shared" si="5"/>
        <v>Krisjones</v>
      </c>
      <c r="N812" s="176">
        <f>IFERROR(__xludf.DUMMYFUNCTION("""COMPUTED_VALUE"""),4.0)</f>
        <v>4</v>
      </c>
      <c r="O812" s="176"/>
      <c r="P812" s="165" t="s">
        <v>59</v>
      </c>
      <c r="Q812" s="165" t="s">
        <v>10</v>
      </c>
      <c r="R812" s="176"/>
      <c r="S812" s="176"/>
      <c r="T812" s="176"/>
      <c r="U812" s="176"/>
      <c r="V812" s="176"/>
      <c r="W812" s="176"/>
      <c r="X812" s="176"/>
      <c r="Y812" s="176"/>
      <c r="Z812" s="176"/>
      <c r="AA812" s="176"/>
    </row>
    <row r="813">
      <c r="A813" s="165" t="str">
        <f>iferror(VLOOKUP(P813,'DO NOT TOUCH Imported'!$A$1:$D$800,4,False),iferror(VLOOKUP(P813,'DO NOT TOUCH Imported'!$C$1:$D$800,2,False),"OOPS FIX ME"))</f>
        <v>Krisjones</v>
      </c>
      <c r="B813" s="165" t="s">
        <v>450</v>
      </c>
      <c r="C813" s="170" t="s">
        <v>1279</v>
      </c>
      <c r="D813" s="236" t="s">
        <v>437</v>
      </c>
      <c r="E813" s="237">
        <v>44288.0</v>
      </c>
      <c r="F813" s="170" t="s">
        <v>439</v>
      </c>
      <c r="G813" s="219"/>
      <c r="H813" s="171">
        <v>70.0</v>
      </c>
      <c r="I813" s="171">
        <v>50.0</v>
      </c>
      <c r="J813" s="172">
        <f t="shared" si="24"/>
        <v>0.0008628017785</v>
      </c>
      <c r="K813" s="173">
        <f t="shared" si="41"/>
        <v>0.9922220452</v>
      </c>
      <c r="L813" s="174">
        <f t="shared" si="4"/>
        <v>2.100073445</v>
      </c>
      <c r="M813" s="175" t="str">
        <f t="shared" si="5"/>
        <v>Krisjones</v>
      </c>
      <c r="N813" s="176">
        <f>IFERROR(__xludf.DUMMYFUNCTION("""COMPUTED_VALUE"""),5.0)</f>
        <v>5</v>
      </c>
      <c r="O813" s="176"/>
      <c r="P813" s="165" t="s">
        <v>530</v>
      </c>
      <c r="Q813" s="165" t="s">
        <v>450</v>
      </c>
      <c r="R813" s="176"/>
      <c r="S813" s="176"/>
      <c r="T813" s="176"/>
      <c r="U813" s="176"/>
      <c r="V813" s="176"/>
      <c r="W813" s="176"/>
      <c r="X813" s="176"/>
      <c r="Y813" s="176"/>
      <c r="Z813" s="176"/>
      <c r="AA813" s="176"/>
    </row>
    <row r="814">
      <c r="A814" s="165" t="str">
        <f>iferror(VLOOKUP(P814,'DO NOT TOUCH Imported'!$A$1:$D$800,4,False),iferror(VLOOKUP(P814,'DO NOT TOUCH Imported'!$C$1:$D$800,2,False),"OOPS FIX ME"))</f>
        <v>Krisjones</v>
      </c>
      <c r="B814" s="165" t="s">
        <v>435</v>
      </c>
      <c r="C814" s="170" t="s">
        <v>1292</v>
      </c>
      <c r="D814" s="236" t="s">
        <v>437</v>
      </c>
      <c r="E814" s="237">
        <v>44291.0</v>
      </c>
      <c r="F814" s="170" t="s">
        <v>439</v>
      </c>
      <c r="G814" s="219"/>
      <c r="H814" s="171">
        <v>150.0</v>
      </c>
      <c r="I814" s="171">
        <v>100.0</v>
      </c>
      <c r="J814" s="172">
        <f t="shared" si="24"/>
        <v>0.001797920595</v>
      </c>
      <c r="K814" s="173">
        <f t="shared" si="41"/>
        <v>2.067608684</v>
      </c>
      <c r="L814" s="174">
        <f t="shared" si="4"/>
        <v>2.100073445</v>
      </c>
      <c r="M814" s="175" t="str">
        <f t="shared" si="5"/>
        <v>Krisjones</v>
      </c>
      <c r="N814" s="176">
        <f>IFERROR(__xludf.DUMMYFUNCTION("""COMPUTED_VALUE"""),6.0)</f>
        <v>6</v>
      </c>
      <c r="O814" s="176"/>
      <c r="P814" s="165" t="s">
        <v>530</v>
      </c>
      <c r="Q814" s="165" t="s">
        <v>435</v>
      </c>
      <c r="R814" s="176"/>
      <c r="S814" s="176"/>
      <c r="T814" s="176"/>
      <c r="U814" s="176"/>
      <c r="V814" s="176"/>
      <c r="W814" s="176"/>
      <c r="X814" s="176"/>
      <c r="Y814" s="176"/>
      <c r="Z814" s="176"/>
      <c r="AA814" s="176"/>
    </row>
    <row r="815">
      <c r="A815" s="165" t="str">
        <f>iferror(VLOOKUP(P815,'DO NOT TOUCH Imported'!$A$1:$D$800,4,False),iferror(VLOOKUP(P815,'DO NOT TOUCH Imported'!$C$1:$D$800,2,False),"OOPS FIX ME"))</f>
        <v>Krisjones</v>
      </c>
      <c r="B815" s="165" t="s">
        <v>20</v>
      </c>
      <c r="C815" s="170" t="s">
        <v>1446</v>
      </c>
      <c r="D815" s="236" t="s">
        <v>437</v>
      </c>
      <c r="E815" s="237">
        <v>44291.0</v>
      </c>
      <c r="F815" s="170" t="s">
        <v>439</v>
      </c>
      <c r="G815" s="219"/>
      <c r="H815" s="171">
        <v>150.0</v>
      </c>
      <c r="I815" s="171">
        <v>150.0</v>
      </c>
      <c r="J815" s="172">
        <f t="shared" si="24"/>
        <v>0.002154503108</v>
      </c>
      <c r="K815" s="173">
        <f t="shared" si="41"/>
        <v>2.477678574</v>
      </c>
      <c r="L815" s="174">
        <f t="shared" si="4"/>
        <v>2.100073445</v>
      </c>
      <c r="M815" s="175" t="str">
        <f t="shared" si="5"/>
        <v>Krisjones</v>
      </c>
      <c r="N815" s="176">
        <f>IFERROR(__xludf.DUMMYFUNCTION("""COMPUTED_VALUE"""),7.0)</f>
        <v>7</v>
      </c>
      <c r="O815" s="176"/>
      <c r="P815" s="165" t="s">
        <v>530</v>
      </c>
      <c r="Q815" s="165" t="s">
        <v>20</v>
      </c>
      <c r="R815" s="176"/>
      <c r="S815" s="176"/>
      <c r="T815" s="176"/>
      <c r="U815" s="176"/>
      <c r="V815" s="176"/>
      <c r="W815" s="176"/>
      <c r="X815" s="176"/>
      <c r="Y815" s="176"/>
      <c r="Z815" s="176"/>
      <c r="AA815" s="176"/>
    </row>
    <row r="816">
      <c r="A816" s="165" t="str">
        <f>iferror(VLOOKUP(P816,'DO NOT TOUCH Imported'!$A$1:$D$800,4,False),iferror(VLOOKUP(P816,'DO NOT TOUCH Imported'!$C$1:$D$800,2,False),"OOPS FIX ME"))</f>
        <v>Krisjones</v>
      </c>
      <c r="B816" s="165" t="s">
        <v>67</v>
      </c>
      <c r="C816" s="170" t="s">
        <v>1532</v>
      </c>
      <c r="D816" s="236" t="s">
        <v>499</v>
      </c>
      <c r="E816" s="237">
        <v>44293.0</v>
      </c>
      <c r="F816" s="170" t="s">
        <v>503</v>
      </c>
      <c r="G816" s="219"/>
      <c r="H816" s="171">
        <v>100.0</v>
      </c>
      <c r="I816" s="171">
        <v>100.0</v>
      </c>
      <c r="J816" s="172">
        <f t="shared" si="24"/>
        <v>0.001436335405</v>
      </c>
      <c r="K816" s="173">
        <f t="shared" si="41"/>
        <v>1.651785716</v>
      </c>
      <c r="L816" s="174">
        <f t="shared" si="4"/>
        <v>2.100073445</v>
      </c>
      <c r="M816" s="175" t="str">
        <f t="shared" si="5"/>
        <v>Krisjones</v>
      </c>
      <c r="N816" s="176">
        <f>IFERROR(__xludf.DUMMYFUNCTION("""COMPUTED_VALUE"""),8.0)</f>
        <v>8</v>
      </c>
      <c r="O816" s="176"/>
      <c r="P816" s="165" t="s">
        <v>530</v>
      </c>
      <c r="Q816" s="165" t="s">
        <v>67</v>
      </c>
      <c r="R816" s="176"/>
      <c r="S816" s="176"/>
      <c r="T816" s="176"/>
      <c r="U816" s="176"/>
      <c r="V816" s="176"/>
      <c r="W816" s="176"/>
      <c r="X816" s="176"/>
      <c r="Y816" s="176"/>
      <c r="Z816" s="176"/>
      <c r="AA816" s="176"/>
    </row>
    <row r="817">
      <c r="A817" s="165" t="str">
        <f>iferror(VLOOKUP(P817,'DO NOT TOUCH Imported'!$A$1:$D$800,4,False),iferror(VLOOKUP(P817,'DO NOT TOUCH Imported'!$C$1:$D$800,2,False),"OOPS FIX ME"))</f>
        <v>Krisjones</v>
      </c>
      <c r="B817" s="165" t="s">
        <v>241</v>
      </c>
      <c r="C817" s="170" t="s">
        <v>1533</v>
      </c>
      <c r="D817" s="236" t="s">
        <v>499</v>
      </c>
      <c r="E817" s="237">
        <v>44293.0</v>
      </c>
      <c r="F817" s="170" t="s">
        <v>503</v>
      </c>
      <c r="G817" s="219"/>
      <c r="H817" s="171">
        <v>100.0</v>
      </c>
      <c r="I817" s="171">
        <v>100.0</v>
      </c>
      <c r="J817" s="172">
        <f t="shared" si="24"/>
        <v>0.001436335405</v>
      </c>
      <c r="K817" s="173">
        <f t="shared" si="41"/>
        <v>1.651785716</v>
      </c>
      <c r="L817" s="174">
        <f t="shared" si="4"/>
        <v>2.100073445</v>
      </c>
      <c r="M817" s="175" t="str">
        <f t="shared" si="5"/>
        <v>Krisjones</v>
      </c>
      <c r="N817" s="176">
        <f>IFERROR(__xludf.DUMMYFUNCTION("""COMPUTED_VALUE"""),9.0)</f>
        <v>9</v>
      </c>
      <c r="O817" s="176"/>
      <c r="P817" s="165" t="s">
        <v>530</v>
      </c>
      <c r="Q817" s="165" t="s">
        <v>241</v>
      </c>
      <c r="R817" s="176"/>
      <c r="S817" s="176"/>
      <c r="T817" s="176"/>
      <c r="U817" s="176"/>
      <c r="V817" s="176"/>
      <c r="W817" s="176"/>
      <c r="X817" s="176"/>
      <c r="Y817" s="176"/>
      <c r="Z817" s="176"/>
      <c r="AA817" s="176"/>
    </row>
    <row r="818">
      <c r="A818" s="165" t="str">
        <f>iferror(VLOOKUP(P818,'DO NOT TOUCH Imported'!$A$1:$D$800,4,False),iferror(VLOOKUP(P818,'DO NOT TOUCH Imported'!$C$1:$D$800,2,False),"OOPS FIX ME"))</f>
        <v>Krisjones</v>
      </c>
      <c r="B818" s="165" t="s">
        <v>441</v>
      </c>
      <c r="C818" s="170" t="s">
        <v>1534</v>
      </c>
      <c r="D818" s="236" t="s">
        <v>437</v>
      </c>
      <c r="E818" s="237">
        <v>44295.0</v>
      </c>
      <c r="F818" s="170" t="s">
        <v>439</v>
      </c>
      <c r="G818" s="219"/>
      <c r="H818" s="171">
        <v>100.0</v>
      </c>
      <c r="I818" s="171">
        <v>100.0</v>
      </c>
      <c r="J818" s="172">
        <f t="shared" si="24"/>
        <v>0.001436335405</v>
      </c>
      <c r="K818" s="173">
        <f t="shared" si="41"/>
        <v>1.651785716</v>
      </c>
      <c r="L818" s="174">
        <f t="shared" si="4"/>
        <v>2.100073445</v>
      </c>
      <c r="M818" s="175" t="str">
        <f t="shared" si="5"/>
        <v>Krisjones</v>
      </c>
      <c r="N818" s="176">
        <f>IFERROR(__xludf.DUMMYFUNCTION("""COMPUTED_VALUE"""),10.0)</f>
        <v>10</v>
      </c>
      <c r="O818" s="176"/>
      <c r="P818" s="165" t="s">
        <v>530</v>
      </c>
      <c r="Q818" s="165" t="s">
        <v>441</v>
      </c>
      <c r="R818" s="176"/>
      <c r="S818" s="176"/>
      <c r="T818" s="176"/>
      <c r="U818" s="176"/>
      <c r="V818" s="176"/>
      <c r="W818" s="176"/>
      <c r="X818" s="176"/>
      <c r="Y818" s="176"/>
      <c r="Z818" s="176"/>
      <c r="AA818" s="176"/>
    </row>
    <row r="819">
      <c r="A819" s="165" t="str">
        <f>iferror(VLOOKUP(P819,'DO NOT TOUCH Imported'!$A$1:$D$800,4,False),iferror(VLOOKUP(P819,'DO NOT TOUCH Imported'!$C$1:$D$800,2,False),"OOPS FIX ME"))</f>
        <v>Krisjones</v>
      </c>
      <c r="B819" s="165" t="s">
        <v>441</v>
      </c>
      <c r="C819" s="170" t="s">
        <v>1267</v>
      </c>
      <c r="D819" s="236" t="s">
        <v>437</v>
      </c>
      <c r="E819" s="237">
        <v>44295.0</v>
      </c>
      <c r="F819" s="170" t="s">
        <v>439</v>
      </c>
      <c r="G819" s="219"/>
      <c r="H819" s="171">
        <v>50.0</v>
      </c>
      <c r="I819" s="171">
        <v>50.0</v>
      </c>
      <c r="J819" s="172">
        <f t="shared" si="24"/>
        <v>0.0007181677027</v>
      </c>
      <c r="K819" s="173">
        <f t="shared" si="41"/>
        <v>0.8258928581</v>
      </c>
      <c r="L819" s="174">
        <f t="shared" si="4"/>
        <v>2.100073445</v>
      </c>
      <c r="M819" s="175" t="str">
        <f t="shared" si="5"/>
        <v>Krisjones</v>
      </c>
      <c r="N819" s="176">
        <f>IFERROR(__xludf.DUMMYFUNCTION("""COMPUTED_VALUE"""),11.0)</f>
        <v>11</v>
      </c>
      <c r="O819" s="176"/>
      <c r="P819" s="165" t="s">
        <v>530</v>
      </c>
      <c r="Q819" s="165" t="s">
        <v>441</v>
      </c>
      <c r="R819" s="176"/>
      <c r="S819" s="176"/>
      <c r="T819" s="176"/>
      <c r="U819" s="176"/>
      <c r="V819" s="176"/>
      <c r="W819" s="176"/>
      <c r="X819" s="176"/>
      <c r="Y819" s="176"/>
      <c r="Z819" s="176"/>
      <c r="AA819" s="176"/>
    </row>
    <row r="820">
      <c r="A820" s="165" t="str">
        <f>iferror(VLOOKUP(P820,'DO NOT TOUCH Imported'!$A$1:$D$800,4,False),iferror(VLOOKUP(P820,'DO NOT TOUCH Imported'!$C$1:$D$800,2,False),"OOPS FIX ME"))</f>
        <v>Krisjones</v>
      </c>
      <c r="B820" s="165" t="s">
        <v>440</v>
      </c>
      <c r="C820" s="170" t="s">
        <v>1535</v>
      </c>
      <c r="D820" s="236" t="s">
        <v>437</v>
      </c>
      <c r="E820" s="237">
        <v>44295.0</v>
      </c>
      <c r="F820" s="170" t="s">
        <v>439</v>
      </c>
      <c r="G820" s="219"/>
      <c r="H820" s="171">
        <v>100.0</v>
      </c>
      <c r="I820" s="171">
        <v>100.0</v>
      </c>
      <c r="J820" s="172">
        <f t="shared" si="24"/>
        <v>0.001436335405</v>
      </c>
      <c r="K820" s="173">
        <f t="shared" si="41"/>
        <v>1.651785716</v>
      </c>
      <c r="L820" s="174">
        <f t="shared" si="4"/>
        <v>2.100073445</v>
      </c>
      <c r="M820" s="175" t="str">
        <f t="shared" si="5"/>
        <v>Krisjones</v>
      </c>
      <c r="N820" s="176">
        <f>IFERROR(__xludf.DUMMYFUNCTION("""COMPUTED_VALUE"""),12.0)</f>
        <v>12</v>
      </c>
      <c r="O820" s="176"/>
      <c r="P820" s="165" t="s">
        <v>530</v>
      </c>
      <c r="Q820" s="165" t="s">
        <v>440</v>
      </c>
      <c r="R820" s="176"/>
      <c r="S820" s="176"/>
      <c r="T820" s="176"/>
      <c r="U820" s="176"/>
      <c r="V820" s="176"/>
      <c r="W820" s="176"/>
      <c r="X820" s="176"/>
      <c r="Y820" s="176"/>
      <c r="Z820" s="176"/>
      <c r="AA820" s="176"/>
    </row>
    <row r="821">
      <c r="A821" s="165" t="str">
        <f>iferror(VLOOKUP(P821,'DO NOT TOUCH Imported'!$A$1:$D$800,4,False),iferror(VLOOKUP(P821,'DO NOT TOUCH Imported'!$C$1:$D$800,2,False),"OOPS FIX ME"))</f>
        <v>KZ Flyer#0926</v>
      </c>
      <c r="B821" s="165" t="s">
        <v>435</v>
      </c>
      <c r="C821" s="170" t="s">
        <v>1536</v>
      </c>
      <c r="D821" s="236" t="s">
        <v>499</v>
      </c>
      <c r="E821" s="237">
        <v>44291.0</v>
      </c>
      <c r="F821" s="170" t="s">
        <v>503</v>
      </c>
      <c r="G821" s="219"/>
      <c r="H821" s="171">
        <v>100.0</v>
      </c>
      <c r="I821" s="171">
        <v>100.0</v>
      </c>
      <c r="J821" s="172">
        <f t="shared" si="24"/>
        <v>0.001436335405</v>
      </c>
      <c r="K821" s="173">
        <f t="shared" si="41"/>
        <v>1.651785716</v>
      </c>
      <c r="L821" s="174">
        <f t="shared" si="4"/>
        <v>2.023149848</v>
      </c>
      <c r="M821" s="175" t="str">
        <f t="shared" si="5"/>
        <v>KZ Flyer#0926</v>
      </c>
      <c r="N821" s="176">
        <f>IFERROR(__xludf.DUMMYFUNCTION("""COMPUTED_VALUE"""),1.0)</f>
        <v>1</v>
      </c>
      <c r="O821" s="176"/>
      <c r="P821" s="165" t="s">
        <v>136</v>
      </c>
      <c r="Q821" s="165" t="s">
        <v>435</v>
      </c>
      <c r="R821" s="176"/>
      <c r="S821" s="176"/>
      <c r="T821" s="176"/>
      <c r="U821" s="176"/>
      <c r="V821" s="176"/>
      <c r="W821" s="176"/>
      <c r="X821" s="176"/>
      <c r="Y821" s="176"/>
      <c r="Z821" s="176"/>
      <c r="AA821" s="176"/>
    </row>
    <row r="822">
      <c r="A822" s="165" t="str">
        <f>iferror(VLOOKUP(P822,'DO NOT TOUCH Imported'!$A$1:$D$800,4,False),iferror(VLOOKUP(P822,'DO NOT TOUCH Imported'!$C$1:$D$800,2,False),"OOPS FIX ME"))</f>
        <v>KZ Flyer#0926</v>
      </c>
      <c r="B822" s="165" t="s">
        <v>441</v>
      </c>
      <c r="C822" s="170" t="s">
        <v>1537</v>
      </c>
      <c r="D822" s="236" t="s">
        <v>437</v>
      </c>
      <c r="E822" s="237">
        <v>44295.0</v>
      </c>
      <c r="F822" s="170" t="s">
        <v>439</v>
      </c>
      <c r="G822" s="219"/>
      <c r="H822" s="171">
        <v>20.0</v>
      </c>
      <c r="I822" s="171">
        <v>25.0</v>
      </c>
      <c r="J822" s="172">
        <f t="shared" si="24"/>
        <v>0.0003229253324</v>
      </c>
      <c r="K822" s="173">
        <f t="shared" si="41"/>
        <v>0.3713641322</v>
      </c>
      <c r="L822" s="174">
        <f t="shared" si="4"/>
        <v>2.023149848</v>
      </c>
      <c r="M822" s="175" t="str">
        <f t="shared" si="5"/>
        <v>KZ Flyer#0926</v>
      </c>
      <c r="N822" s="176">
        <f>IFERROR(__xludf.DUMMYFUNCTION("""COMPUTED_VALUE"""),2.0)</f>
        <v>2</v>
      </c>
      <c r="O822" s="176"/>
      <c r="P822" s="165" t="s">
        <v>136</v>
      </c>
      <c r="Q822" s="165" t="s">
        <v>441</v>
      </c>
      <c r="R822" s="176"/>
      <c r="S822" s="176"/>
      <c r="T822" s="176"/>
      <c r="U822" s="176"/>
      <c r="V822" s="176"/>
      <c r="W822" s="176"/>
      <c r="X822" s="176"/>
      <c r="Y822" s="176"/>
      <c r="Z822" s="176"/>
      <c r="AA822" s="176"/>
    </row>
    <row r="823">
      <c r="A823" s="165" t="str">
        <f>iferror(VLOOKUP(P823,'DO NOT TOUCH Imported'!$A$1:$D$800,4,False),iferror(VLOOKUP(P823,'DO NOT TOUCH Imported'!$C$1:$D$800,2,False),"OOPS FIX ME"))</f>
        <v>davidkish</v>
      </c>
      <c r="B823" s="165" t="s">
        <v>29</v>
      </c>
      <c r="C823" s="170" t="s">
        <v>1538</v>
      </c>
      <c r="D823" s="236" t="s">
        <v>495</v>
      </c>
      <c r="E823" s="239">
        <v>44283.0</v>
      </c>
      <c r="F823" s="170" t="s">
        <v>499</v>
      </c>
      <c r="G823" s="219"/>
      <c r="H823" s="171">
        <v>100.0</v>
      </c>
      <c r="I823" s="171">
        <v>100.0</v>
      </c>
      <c r="J823" s="172">
        <f t="shared" si="24"/>
        <v>0.001436335405</v>
      </c>
      <c r="K823" s="173">
        <f t="shared" si="41"/>
        <v>1.651785716</v>
      </c>
      <c r="L823" s="174">
        <f t="shared" si="4"/>
        <v>2.023149848</v>
      </c>
      <c r="M823" s="175" t="str">
        <f t="shared" si="5"/>
        <v>davidkish</v>
      </c>
      <c r="N823" s="176">
        <f>IFERROR(__xludf.DUMMYFUNCTION("""COMPUTED_VALUE"""),1.0)</f>
        <v>1</v>
      </c>
      <c r="O823" s="176"/>
      <c r="P823" s="165" t="s">
        <v>234</v>
      </c>
      <c r="Q823" s="165" t="s">
        <v>29</v>
      </c>
      <c r="R823" s="176"/>
      <c r="S823" s="176"/>
      <c r="T823" s="176"/>
      <c r="U823" s="176"/>
      <c r="V823" s="176"/>
      <c r="W823" s="176"/>
      <c r="X823" s="176"/>
      <c r="Y823" s="176"/>
      <c r="Z823" s="176"/>
      <c r="AA823" s="176"/>
    </row>
    <row r="824">
      <c r="A824" s="165" t="str">
        <f>iferror(VLOOKUP(P824,'DO NOT TOUCH Imported'!$A$1:$D$800,4,False),iferror(VLOOKUP(P824,'DO NOT TOUCH Imported'!$C$1:$D$800,2,False),"OOPS FIX ME"))</f>
        <v>davidkish</v>
      </c>
      <c r="B824" s="165" t="s">
        <v>10</v>
      </c>
      <c r="C824" s="170" t="s">
        <v>498</v>
      </c>
      <c r="D824" s="236" t="s">
        <v>495</v>
      </c>
      <c r="E824" s="239">
        <v>44295.0</v>
      </c>
      <c r="F824" s="170" t="s">
        <v>499</v>
      </c>
      <c r="G824" s="219"/>
      <c r="H824" s="171">
        <v>20.0</v>
      </c>
      <c r="I824" s="171">
        <v>25.0</v>
      </c>
      <c r="J824" s="172">
        <f t="shared" si="24"/>
        <v>0.0003229253324</v>
      </c>
      <c r="K824" s="173">
        <f t="shared" si="41"/>
        <v>0.3713641322</v>
      </c>
      <c r="L824" s="174">
        <f t="shared" si="4"/>
        <v>2.023149848</v>
      </c>
      <c r="M824" s="175" t="str">
        <f t="shared" si="5"/>
        <v>davidkish</v>
      </c>
      <c r="N824" s="176">
        <f>IFERROR(__xludf.DUMMYFUNCTION("""COMPUTED_VALUE"""),2.0)</f>
        <v>2</v>
      </c>
      <c r="O824" s="176"/>
      <c r="P824" s="165" t="s">
        <v>234</v>
      </c>
      <c r="Q824" s="165" t="s">
        <v>10</v>
      </c>
      <c r="R824" s="176"/>
      <c r="S824" s="176"/>
      <c r="T824" s="176"/>
      <c r="U824" s="176"/>
      <c r="V824" s="176"/>
      <c r="W824" s="176"/>
      <c r="X824" s="176"/>
      <c r="Y824" s="176"/>
      <c r="Z824" s="176"/>
      <c r="AA824" s="176"/>
    </row>
    <row r="825">
      <c r="A825" s="165" t="str">
        <f>iferror(VLOOKUP(P825,'DO NOT TOUCH Imported'!$A$1:$D$800,4,False),iferror(VLOOKUP(P825,'DO NOT TOUCH Imported'!$C$1:$D$800,2,False),"OOPS FIX ME"))</f>
        <v>uPaul</v>
      </c>
      <c r="B825" s="165" t="s">
        <v>10</v>
      </c>
      <c r="C825" s="170" t="s">
        <v>498</v>
      </c>
      <c r="D825" s="236" t="s">
        <v>495</v>
      </c>
      <c r="E825" s="239">
        <v>44282.0</v>
      </c>
      <c r="F825" s="170" t="s">
        <v>499</v>
      </c>
      <c r="G825" s="219"/>
      <c r="H825" s="171">
        <v>20.0</v>
      </c>
      <c r="I825" s="171">
        <v>25.0</v>
      </c>
      <c r="J825" s="172">
        <f t="shared" si="24"/>
        <v>0.0003229253324</v>
      </c>
      <c r="K825" s="173">
        <f t="shared" si="41"/>
        <v>0.3713641322</v>
      </c>
      <c r="L825" s="174">
        <f t="shared" si="4"/>
        <v>1.939985255</v>
      </c>
      <c r="M825" s="175" t="str">
        <f t="shared" si="5"/>
        <v>uPaul</v>
      </c>
      <c r="N825" s="176">
        <f>IFERROR(__xludf.DUMMYFUNCTION("""COMPUTED_VALUE"""),1.0)</f>
        <v>1</v>
      </c>
      <c r="O825" s="176"/>
      <c r="P825" s="165" t="s">
        <v>89</v>
      </c>
      <c r="Q825" s="165" t="s">
        <v>10</v>
      </c>
      <c r="R825" s="176"/>
      <c r="S825" s="176"/>
      <c r="T825" s="176"/>
      <c r="U825" s="176"/>
      <c r="V825" s="176"/>
      <c r="W825" s="176"/>
      <c r="X825" s="176"/>
      <c r="Y825" s="176"/>
      <c r="Z825" s="176"/>
      <c r="AA825" s="176"/>
    </row>
    <row r="826">
      <c r="A826" s="165" t="str">
        <f>iferror(VLOOKUP(P826,'DO NOT TOUCH Imported'!$A$1:$D$800,4,False),iferror(VLOOKUP(P826,'DO NOT TOUCH Imported'!$C$1:$D$800,2,False),"OOPS FIX ME"))</f>
        <v>uPaul</v>
      </c>
      <c r="B826" s="165" t="s">
        <v>10</v>
      </c>
      <c r="C826" s="170" t="s">
        <v>498</v>
      </c>
      <c r="D826" s="236" t="s">
        <v>495</v>
      </c>
      <c r="E826" s="239">
        <v>44295.0</v>
      </c>
      <c r="F826" s="170" t="s">
        <v>499</v>
      </c>
      <c r="G826" s="219"/>
      <c r="H826" s="171">
        <v>20.0</v>
      </c>
      <c r="I826" s="171">
        <v>25.0</v>
      </c>
      <c r="J826" s="172">
        <f t="shared" si="24"/>
        <v>0.0003229253324</v>
      </c>
      <c r="K826" s="173">
        <f t="shared" si="41"/>
        <v>0.3713641322</v>
      </c>
      <c r="L826" s="174">
        <f t="shared" si="4"/>
        <v>1.939985255</v>
      </c>
      <c r="M826" s="175" t="str">
        <f t="shared" si="5"/>
        <v>uPaul</v>
      </c>
      <c r="N826" s="176">
        <f>IFERROR(__xludf.DUMMYFUNCTION("""COMPUTED_VALUE"""),2.0)</f>
        <v>2</v>
      </c>
      <c r="O826" s="176"/>
      <c r="P826" s="165" t="s">
        <v>89</v>
      </c>
      <c r="Q826" s="165" t="s">
        <v>10</v>
      </c>
      <c r="R826" s="176"/>
      <c r="S826" s="176"/>
      <c r="T826" s="176"/>
      <c r="U826" s="176"/>
      <c r="V826" s="176"/>
      <c r="W826" s="176"/>
      <c r="X826" s="176"/>
      <c r="Y826" s="176"/>
      <c r="Z826" s="176"/>
      <c r="AA826" s="176"/>
    </row>
    <row r="827">
      <c r="A827" s="165" t="str">
        <f>iferror(VLOOKUP(P827,'DO NOT TOUCH Imported'!$A$1:$D$800,4,False),iferror(VLOOKUP(P827,'DO NOT TOUCH Imported'!$C$1:$D$800,2,False),"OOPS FIX ME"))</f>
        <v>uPaul</v>
      </c>
      <c r="B827" s="165" t="s">
        <v>10</v>
      </c>
      <c r="C827" s="170" t="s">
        <v>500</v>
      </c>
      <c r="D827" s="236" t="s">
        <v>495</v>
      </c>
      <c r="E827" s="239">
        <v>44295.0</v>
      </c>
      <c r="F827" s="170" t="s">
        <v>496</v>
      </c>
      <c r="G827" s="219"/>
      <c r="H827" s="171">
        <v>20.0</v>
      </c>
      <c r="I827" s="171">
        <v>25.0</v>
      </c>
      <c r="J827" s="172">
        <f t="shared" si="24"/>
        <v>0.0003229253324</v>
      </c>
      <c r="K827" s="173">
        <f t="shared" si="41"/>
        <v>0.3713641322</v>
      </c>
      <c r="L827" s="174">
        <f t="shared" si="4"/>
        <v>1.939985255</v>
      </c>
      <c r="M827" s="175" t="str">
        <f t="shared" si="5"/>
        <v>uPaul</v>
      </c>
      <c r="N827" s="176">
        <f>IFERROR(__xludf.DUMMYFUNCTION("""COMPUTED_VALUE"""),3.0)</f>
        <v>3</v>
      </c>
      <c r="O827" s="176"/>
      <c r="P827" s="165" t="s">
        <v>89</v>
      </c>
      <c r="Q827" s="165" t="s">
        <v>10</v>
      </c>
      <c r="R827" s="176"/>
      <c r="S827" s="176"/>
      <c r="T827" s="176"/>
      <c r="U827" s="176"/>
      <c r="V827" s="176"/>
      <c r="W827" s="176"/>
      <c r="X827" s="176"/>
      <c r="Y827" s="176"/>
      <c r="Z827" s="176"/>
      <c r="AA827" s="176"/>
    </row>
    <row r="828">
      <c r="A828" s="165" t="str">
        <f>iferror(VLOOKUP(P828,'DO NOT TOUCH Imported'!$A$1:$D$800,4,False),iferror(VLOOKUP(P828,'DO NOT TOUCH Imported'!$C$1:$D$800,2,False),"OOPS FIX ME"))</f>
        <v>uPaul</v>
      </c>
      <c r="B828" s="165" t="s">
        <v>441</v>
      </c>
      <c r="C828" s="170" t="s">
        <v>1267</v>
      </c>
      <c r="D828" s="236" t="s">
        <v>437</v>
      </c>
      <c r="E828" s="237">
        <v>44295.0</v>
      </c>
      <c r="F828" s="170" t="s">
        <v>439</v>
      </c>
      <c r="G828" s="219"/>
      <c r="H828" s="171">
        <v>50.0</v>
      </c>
      <c r="I828" s="171">
        <v>50.0</v>
      </c>
      <c r="J828" s="172">
        <f t="shared" si="24"/>
        <v>0.0007181677027</v>
      </c>
      <c r="K828" s="173">
        <f t="shared" si="41"/>
        <v>0.8258928581</v>
      </c>
      <c r="L828" s="174">
        <f t="shared" si="4"/>
        <v>1.939985255</v>
      </c>
      <c r="M828" s="175" t="str">
        <f t="shared" si="5"/>
        <v>uPaul</v>
      </c>
      <c r="N828" s="176">
        <f>IFERROR(__xludf.DUMMYFUNCTION("""COMPUTED_VALUE"""),4.0)</f>
        <v>4</v>
      </c>
      <c r="O828" s="176"/>
      <c r="P828" s="165" t="s">
        <v>1539</v>
      </c>
      <c r="Q828" s="165" t="s">
        <v>441</v>
      </c>
      <c r="R828" s="176"/>
      <c r="S828" s="176"/>
      <c r="T828" s="176"/>
      <c r="U828" s="176"/>
      <c r="V828" s="176"/>
      <c r="W828" s="176"/>
      <c r="X828" s="176"/>
      <c r="Y828" s="176"/>
      <c r="Z828" s="176"/>
      <c r="AA828" s="176"/>
    </row>
    <row r="829">
      <c r="A829" s="165" t="str">
        <f>iferror(VLOOKUP(P829,'DO NOT TOUCH Imported'!$A$1:$D$800,4,False),iferror(VLOOKUP(P829,'DO NOT TOUCH Imported'!$C$1:$D$800,2,False),"OOPS FIX ME"))</f>
        <v>aidanbrodieo</v>
      </c>
      <c r="B829" s="165" t="s">
        <v>10</v>
      </c>
      <c r="C829" s="170" t="s">
        <v>500</v>
      </c>
      <c r="D829" s="236" t="s">
        <v>495</v>
      </c>
      <c r="E829" s="239">
        <v>44289.0</v>
      </c>
      <c r="F829" s="170" t="s">
        <v>496</v>
      </c>
      <c r="G829" s="219"/>
      <c r="H829" s="171">
        <v>20.0</v>
      </c>
      <c r="I829" s="171">
        <v>15.0</v>
      </c>
      <c r="J829" s="172">
        <f t="shared" si="24"/>
        <v>0.0002516088297</v>
      </c>
      <c r="K829" s="173">
        <f t="shared" si="41"/>
        <v>0.2893501542</v>
      </c>
      <c r="L829" s="174">
        <f t="shared" si="4"/>
        <v>1.857971277</v>
      </c>
      <c r="M829" s="175" t="str">
        <f t="shared" si="5"/>
        <v>aidanbrodieo</v>
      </c>
      <c r="N829" s="176">
        <f>IFERROR(__xludf.DUMMYFUNCTION("""COMPUTED_VALUE"""),1.0)</f>
        <v>1</v>
      </c>
      <c r="O829" s="176"/>
      <c r="P829" s="165" t="s">
        <v>95</v>
      </c>
      <c r="Q829" s="165" t="s">
        <v>10</v>
      </c>
      <c r="R829" s="176"/>
      <c r="S829" s="176"/>
      <c r="T829" s="176"/>
      <c r="U829" s="176"/>
      <c r="V829" s="176"/>
      <c r="W829" s="176"/>
      <c r="X829" s="176"/>
      <c r="Y829" s="176"/>
      <c r="Z829" s="176"/>
      <c r="AA829" s="176"/>
    </row>
    <row r="830">
      <c r="A830" s="165" t="str">
        <f>iferror(VLOOKUP(P830,'DO NOT TOUCH Imported'!$A$1:$D$800,4,False),iferror(VLOOKUP(P830,'DO NOT TOUCH Imported'!$C$1:$D$800,2,False),"OOPS FIX ME"))</f>
        <v>aidanbrodieo</v>
      </c>
      <c r="B830" s="165" t="s">
        <v>10</v>
      </c>
      <c r="C830" s="170" t="s">
        <v>498</v>
      </c>
      <c r="D830" s="236" t="s">
        <v>495</v>
      </c>
      <c r="E830" s="239">
        <v>44295.0</v>
      </c>
      <c r="F830" s="170" t="s">
        <v>499</v>
      </c>
      <c r="G830" s="219"/>
      <c r="H830" s="171">
        <v>20.0</v>
      </c>
      <c r="I830" s="171">
        <v>25.0</v>
      </c>
      <c r="J830" s="172">
        <f t="shared" si="24"/>
        <v>0.0003229253324</v>
      </c>
      <c r="K830" s="173">
        <f t="shared" si="41"/>
        <v>0.3713641322</v>
      </c>
      <c r="L830" s="174">
        <f t="shared" si="4"/>
        <v>1.857971277</v>
      </c>
      <c r="M830" s="175" t="str">
        <f t="shared" si="5"/>
        <v>aidanbrodieo</v>
      </c>
      <c r="N830" s="176">
        <f>IFERROR(__xludf.DUMMYFUNCTION("""COMPUTED_VALUE"""),2.0)</f>
        <v>2</v>
      </c>
      <c r="O830" s="176"/>
      <c r="P830" s="165" t="s">
        <v>95</v>
      </c>
      <c r="Q830" s="165" t="s">
        <v>10</v>
      </c>
      <c r="R830" s="176"/>
      <c r="S830" s="176"/>
      <c r="T830" s="176"/>
      <c r="U830" s="176"/>
      <c r="V830" s="176"/>
      <c r="W830" s="176"/>
      <c r="X830" s="176"/>
      <c r="Y830" s="176"/>
      <c r="Z830" s="176"/>
      <c r="AA830" s="176"/>
    </row>
    <row r="831">
      <c r="A831" s="165" t="str">
        <f>iferror(VLOOKUP(P831,'DO NOT TOUCH Imported'!$A$1:$D$800,4,False),iferror(VLOOKUP(P831,'DO NOT TOUCH Imported'!$C$1:$D$800,2,False),"OOPS FIX ME"))</f>
        <v>aidanbrodieo</v>
      </c>
      <c r="B831" s="165" t="s">
        <v>10</v>
      </c>
      <c r="C831" s="170" t="s">
        <v>500</v>
      </c>
      <c r="D831" s="236" t="s">
        <v>495</v>
      </c>
      <c r="E831" s="239">
        <v>44295.0</v>
      </c>
      <c r="F831" s="170" t="s">
        <v>496</v>
      </c>
      <c r="G831" s="219"/>
      <c r="H831" s="171">
        <v>20.0</v>
      </c>
      <c r="I831" s="171">
        <v>25.0</v>
      </c>
      <c r="J831" s="172">
        <f t="shared" si="24"/>
        <v>0.0003229253324</v>
      </c>
      <c r="K831" s="173">
        <f t="shared" si="41"/>
        <v>0.3713641322</v>
      </c>
      <c r="L831" s="174">
        <f t="shared" si="4"/>
        <v>1.857971277</v>
      </c>
      <c r="M831" s="175" t="str">
        <f t="shared" si="5"/>
        <v>aidanbrodieo</v>
      </c>
      <c r="N831" s="176">
        <f>IFERROR(__xludf.DUMMYFUNCTION("""COMPUTED_VALUE"""),3.0)</f>
        <v>3</v>
      </c>
      <c r="O831" s="176"/>
      <c r="P831" s="165" t="s">
        <v>95</v>
      </c>
      <c r="Q831" s="165" t="s">
        <v>10</v>
      </c>
      <c r="R831" s="176"/>
      <c r="S831" s="176"/>
      <c r="T831" s="176"/>
      <c r="U831" s="176"/>
      <c r="V831" s="176"/>
      <c r="W831" s="176"/>
      <c r="X831" s="176"/>
      <c r="Y831" s="176"/>
      <c r="Z831" s="176"/>
      <c r="AA831" s="176"/>
    </row>
    <row r="832">
      <c r="A832" s="165" t="str">
        <f>iferror(VLOOKUP(P832,'DO NOT TOUCH Imported'!$A$1:$D$800,4,False),iferror(VLOOKUP(P832,'DO NOT TOUCH Imported'!$C$1:$D$800,2,False),"OOPS FIX ME"))</f>
        <v>aidanbrodieo</v>
      </c>
      <c r="B832" s="165" t="s">
        <v>486</v>
      </c>
      <c r="C832" s="170" t="s">
        <v>1254</v>
      </c>
      <c r="D832" s="236" t="s">
        <v>437</v>
      </c>
      <c r="E832" s="237">
        <v>44292.0</v>
      </c>
      <c r="F832" s="170" t="s">
        <v>439</v>
      </c>
      <c r="G832" s="219"/>
      <c r="H832" s="171">
        <v>50.0</v>
      </c>
      <c r="I832" s="171">
        <v>50.0</v>
      </c>
      <c r="J832" s="172">
        <f t="shared" si="24"/>
        <v>0.0007181677027</v>
      </c>
      <c r="K832" s="173">
        <f t="shared" si="41"/>
        <v>0.8258928581</v>
      </c>
      <c r="L832" s="174">
        <f t="shared" si="4"/>
        <v>1.857971277</v>
      </c>
      <c r="M832" s="175" t="str">
        <f t="shared" si="5"/>
        <v>aidanbrodieo</v>
      </c>
      <c r="N832" s="176">
        <f>IFERROR(__xludf.DUMMYFUNCTION("""COMPUTED_VALUE"""),4.0)</f>
        <v>4</v>
      </c>
      <c r="O832" s="176"/>
      <c r="P832" s="165" t="s">
        <v>829</v>
      </c>
      <c r="Q832" s="165" t="s">
        <v>486</v>
      </c>
      <c r="R832" s="176"/>
      <c r="S832" s="176"/>
      <c r="T832" s="176"/>
      <c r="U832" s="176"/>
      <c r="V832" s="176"/>
      <c r="W832" s="176"/>
      <c r="X832" s="176"/>
      <c r="Y832" s="176"/>
      <c r="Z832" s="176"/>
      <c r="AA832" s="176"/>
    </row>
    <row r="833">
      <c r="A833" s="185" t="str">
        <f>iferror(VLOOKUP(P833,'DO NOT TOUCH Imported'!$A$1:$D$800,4,False),iferror(VLOOKUP(P833,'DO NOT TOUCH Imported'!$C$1:$D$800,2,False),"OOPS FIX ME"))</f>
        <v>fabimol</v>
      </c>
      <c r="B833" s="185" t="s">
        <v>534</v>
      </c>
      <c r="C833" s="210" t="s">
        <v>655</v>
      </c>
      <c r="D833" s="187"/>
      <c r="E833" s="188"/>
      <c r="F833" s="189"/>
      <c r="G833" s="190"/>
      <c r="H833" s="190"/>
      <c r="I833" s="190"/>
      <c r="J833" s="172">
        <f t="shared" si="24"/>
        <v>0</v>
      </c>
      <c r="K833" s="192">
        <f>-12.31*0.85</f>
        <v>-10.4635</v>
      </c>
      <c r="L833" s="193">
        <f t="shared" si="4"/>
        <v>1.84633074</v>
      </c>
      <c r="M833" s="194" t="str">
        <f t="shared" si="5"/>
        <v>fabimol</v>
      </c>
      <c r="N833" s="195">
        <f>IFERROR(__xludf.DUMMYFUNCTION("""COMPUTED_VALUE"""),1.0)</f>
        <v>1</v>
      </c>
      <c r="O833" s="195"/>
      <c r="P833" s="211" t="s">
        <v>61</v>
      </c>
      <c r="Q833" s="185" t="s">
        <v>534</v>
      </c>
      <c r="R833" s="195">
        <v>15.387070331364484</v>
      </c>
      <c r="S833" s="195"/>
      <c r="T833" s="195"/>
      <c r="U833" s="195"/>
      <c r="V833" s="195"/>
      <c r="W833" s="195"/>
      <c r="X833" s="195"/>
      <c r="Y833" s="195"/>
      <c r="Z833" s="195"/>
      <c r="AA833" s="176"/>
    </row>
    <row r="834">
      <c r="A834" s="165" t="str">
        <f>iferror(VLOOKUP(P834,'DO NOT TOUCH Imported'!$A$1:$D$800,4,False),iferror(VLOOKUP(P834,'DO NOT TOUCH Imported'!$C$1:$D$800,2,False),"OOPS FIX ME"))</f>
        <v>fabimol</v>
      </c>
      <c r="B834" s="165" t="s">
        <v>10</v>
      </c>
      <c r="C834" s="170" t="s">
        <v>500</v>
      </c>
      <c r="D834" s="236" t="s">
        <v>495</v>
      </c>
      <c r="E834" s="239">
        <v>44282.0</v>
      </c>
      <c r="F834" s="170" t="s">
        <v>496</v>
      </c>
      <c r="G834" s="219"/>
      <c r="H834" s="171">
        <v>20.0</v>
      </c>
      <c r="I834" s="171">
        <v>25.0</v>
      </c>
      <c r="J834" s="172">
        <f t="shared" si="24"/>
        <v>0.0003229253324</v>
      </c>
      <c r="K834" s="173">
        <f t="shared" ref="K834:K854" si="42">J834*$J$1</f>
        <v>0.3713641322</v>
      </c>
      <c r="L834" s="174">
        <f t="shared" si="4"/>
        <v>1.84633074</v>
      </c>
      <c r="M834" s="175" t="str">
        <f t="shared" si="5"/>
        <v>fabimol</v>
      </c>
      <c r="N834" s="176">
        <f>IFERROR(__xludf.DUMMYFUNCTION("""COMPUTED_VALUE"""),2.0)</f>
        <v>2</v>
      </c>
      <c r="O834" s="176"/>
      <c r="P834" s="165" t="s">
        <v>61</v>
      </c>
      <c r="Q834" s="165" t="s">
        <v>10</v>
      </c>
      <c r="R834" s="176"/>
      <c r="S834" s="176"/>
      <c r="T834" s="176"/>
      <c r="U834" s="176"/>
      <c r="V834" s="176"/>
      <c r="W834" s="176"/>
      <c r="X834" s="176"/>
      <c r="Y834" s="176"/>
      <c r="Z834" s="176"/>
      <c r="AA834" s="176"/>
    </row>
    <row r="835">
      <c r="A835" s="165" t="str">
        <f>iferror(VLOOKUP(P835,'DO NOT TOUCH Imported'!$A$1:$D$800,4,False),iferror(VLOOKUP(P835,'DO NOT TOUCH Imported'!$C$1:$D$800,2,False),"OOPS FIX ME"))</f>
        <v>fabimol</v>
      </c>
      <c r="B835" s="165" t="s">
        <v>1175</v>
      </c>
      <c r="C835" s="170" t="s">
        <v>1540</v>
      </c>
      <c r="D835" s="236" t="s">
        <v>495</v>
      </c>
      <c r="E835" s="239">
        <v>44285.0</v>
      </c>
      <c r="F835" s="170" t="s">
        <v>627</v>
      </c>
      <c r="G835" s="219"/>
      <c r="H835" s="171">
        <v>200.0</v>
      </c>
      <c r="I835" s="171">
        <v>150.0</v>
      </c>
      <c r="J835" s="172">
        <f t="shared" si="24"/>
        <v>0.002516088297</v>
      </c>
      <c r="K835" s="173">
        <f t="shared" si="42"/>
        <v>2.893501542</v>
      </c>
      <c r="L835" s="174">
        <f t="shared" si="4"/>
        <v>1.84633074</v>
      </c>
      <c r="M835" s="175" t="str">
        <f t="shared" si="5"/>
        <v>fabimol</v>
      </c>
      <c r="N835" s="176">
        <f>IFERROR(__xludf.DUMMYFUNCTION("""COMPUTED_VALUE"""),3.0)</f>
        <v>3</v>
      </c>
      <c r="O835" s="176"/>
      <c r="P835" s="165" t="s">
        <v>61</v>
      </c>
      <c r="Q835" s="165" t="s">
        <v>1175</v>
      </c>
      <c r="R835" s="176"/>
      <c r="S835" s="176"/>
      <c r="T835" s="176"/>
      <c r="U835" s="176"/>
      <c r="V835" s="176"/>
      <c r="W835" s="176"/>
      <c r="X835" s="176"/>
      <c r="Y835" s="176"/>
      <c r="Z835" s="176"/>
      <c r="AA835" s="176"/>
    </row>
    <row r="836">
      <c r="A836" s="165" t="str">
        <f>iferror(VLOOKUP(P836,'DO NOT TOUCH Imported'!$A$1:$D$800,4,False),iferror(VLOOKUP(P836,'DO NOT TOUCH Imported'!$C$1:$D$800,2,False),"OOPS FIX ME"))</f>
        <v>fabimol</v>
      </c>
      <c r="B836" s="165" t="s">
        <v>10</v>
      </c>
      <c r="C836" s="170" t="s">
        <v>1357</v>
      </c>
      <c r="D836" s="236" t="s">
        <v>495</v>
      </c>
      <c r="E836" s="239">
        <v>44288.0</v>
      </c>
      <c r="F836" s="170" t="s">
        <v>496</v>
      </c>
      <c r="G836" s="219"/>
      <c r="H836" s="171">
        <v>60.0</v>
      </c>
      <c r="I836" s="171">
        <v>80.0</v>
      </c>
      <c r="J836" s="172">
        <f t="shared" si="24"/>
        <v>0.001004434248</v>
      </c>
      <c r="K836" s="173">
        <f t="shared" si="42"/>
        <v>1.155099386</v>
      </c>
      <c r="L836" s="174">
        <f t="shared" si="4"/>
        <v>1.84633074</v>
      </c>
      <c r="M836" s="175" t="str">
        <f t="shared" si="5"/>
        <v>fabimol</v>
      </c>
      <c r="N836" s="176">
        <f>IFERROR(__xludf.DUMMYFUNCTION("""COMPUTED_VALUE"""),4.0)</f>
        <v>4</v>
      </c>
      <c r="O836" s="176"/>
      <c r="P836" s="165" t="s">
        <v>61</v>
      </c>
      <c r="Q836" s="165" t="s">
        <v>10</v>
      </c>
      <c r="R836" s="176"/>
      <c r="S836" s="176"/>
      <c r="T836" s="176"/>
      <c r="U836" s="176"/>
      <c r="V836" s="176"/>
      <c r="W836" s="176"/>
      <c r="X836" s="176"/>
      <c r="Y836" s="176"/>
      <c r="Z836" s="176"/>
      <c r="AA836" s="176"/>
    </row>
    <row r="837">
      <c r="A837" s="165" t="str">
        <f>iferror(VLOOKUP(P837,'DO NOT TOUCH Imported'!$A$1:$D$800,4,False),iferror(VLOOKUP(P837,'DO NOT TOUCH Imported'!$C$1:$D$800,2,False),"OOPS FIX ME"))</f>
        <v>fabimol</v>
      </c>
      <c r="B837" s="165" t="s">
        <v>10</v>
      </c>
      <c r="C837" s="170" t="s">
        <v>1358</v>
      </c>
      <c r="D837" s="236" t="s">
        <v>495</v>
      </c>
      <c r="E837" s="239">
        <v>44295.0</v>
      </c>
      <c r="F837" s="170" t="s">
        <v>496</v>
      </c>
      <c r="G837" s="219"/>
      <c r="H837" s="171">
        <v>70.0</v>
      </c>
      <c r="I837" s="171">
        <v>75.0</v>
      </c>
      <c r="J837" s="172">
        <f t="shared" si="24"/>
        <v>0.001041093035</v>
      </c>
      <c r="K837" s="173">
        <f t="shared" si="42"/>
        <v>1.19725699</v>
      </c>
      <c r="L837" s="174">
        <f t="shared" si="4"/>
        <v>1.84633074</v>
      </c>
      <c r="M837" s="175" t="str">
        <f t="shared" si="5"/>
        <v>fabimol</v>
      </c>
      <c r="N837" s="176">
        <f>IFERROR(__xludf.DUMMYFUNCTION("""COMPUTED_VALUE"""),5.0)</f>
        <v>5</v>
      </c>
      <c r="O837" s="176"/>
      <c r="P837" s="165" t="s">
        <v>61</v>
      </c>
      <c r="Q837" s="165" t="s">
        <v>10</v>
      </c>
      <c r="R837" s="176"/>
      <c r="S837" s="176"/>
      <c r="T837" s="176"/>
      <c r="U837" s="176"/>
      <c r="V837" s="176"/>
      <c r="W837" s="176"/>
      <c r="X837" s="176"/>
      <c r="Y837" s="176"/>
      <c r="Z837" s="176"/>
      <c r="AA837" s="176"/>
    </row>
    <row r="838">
      <c r="A838" s="165" t="str">
        <f>iferror(VLOOKUP(P838,'DO NOT TOUCH Imported'!$A$1:$D$800,4,False),iferror(VLOOKUP(P838,'DO NOT TOUCH Imported'!$C$1:$D$800,2,False),"OOPS FIX ME"))</f>
        <v>fabimol</v>
      </c>
      <c r="B838" s="165" t="s">
        <v>440</v>
      </c>
      <c r="C838" s="170" t="s">
        <v>1253</v>
      </c>
      <c r="D838" s="236" t="s">
        <v>437</v>
      </c>
      <c r="E838" s="237">
        <v>44291.0</v>
      </c>
      <c r="F838" s="170" t="s">
        <v>439</v>
      </c>
      <c r="G838" s="219"/>
      <c r="H838" s="171">
        <v>50.0</v>
      </c>
      <c r="I838" s="171">
        <v>50.0</v>
      </c>
      <c r="J838" s="172">
        <f t="shared" si="24"/>
        <v>0.0007181677027</v>
      </c>
      <c r="K838" s="173">
        <f t="shared" si="42"/>
        <v>0.8258928581</v>
      </c>
      <c r="L838" s="174">
        <f t="shared" si="4"/>
        <v>1.84633074</v>
      </c>
      <c r="M838" s="175" t="str">
        <f t="shared" si="5"/>
        <v>fabimol</v>
      </c>
      <c r="N838" s="176">
        <f>IFERROR(__xludf.DUMMYFUNCTION("""COMPUTED_VALUE"""),6.0)</f>
        <v>6</v>
      </c>
      <c r="O838" s="176"/>
      <c r="P838" s="165" t="s">
        <v>828</v>
      </c>
      <c r="Q838" s="165" t="s">
        <v>440</v>
      </c>
      <c r="R838" s="176"/>
      <c r="S838" s="176"/>
      <c r="T838" s="176"/>
      <c r="U838" s="176"/>
      <c r="V838" s="176"/>
      <c r="W838" s="176"/>
      <c r="X838" s="176"/>
      <c r="Y838" s="176"/>
      <c r="Z838" s="176"/>
      <c r="AA838" s="176"/>
    </row>
    <row r="839">
      <c r="A839" s="165" t="str">
        <f>iferror(VLOOKUP(P839,'DO NOT TOUCH Imported'!$A$1:$D$800,4,False),iferror(VLOOKUP(P839,'DO NOT TOUCH Imported'!$C$1:$D$800,2,False),"OOPS FIX ME"))</f>
        <v>fabimol</v>
      </c>
      <c r="B839" s="165" t="s">
        <v>441</v>
      </c>
      <c r="C839" s="170" t="s">
        <v>1412</v>
      </c>
      <c r="D839" s="236" t="s">
        <v>437</v>
      </c>
      <c r="E839" s="237">
        <v>44295.0</v>
      </c>
      <c r="F839" s="170" t="s">
        <v>439</v>
      </c>
      <c r="G839" s="219"/>
      <c r="H839" s="171">
        <v>150.0</v>
      </c>
      <c r="I839" s="171">
        <v>100.0</v>
      </c>
      <c r="J839" s="172">
        <f t="shared" si="24"/>
        <v>0.001797920595</v>
      </c>
      <c r="K839" s="173">
        <f t="shared" si="42"/>
        <v>2.067608684</v>
      </c>
      <c r="L839" s="174">
        <f t="shared" si="4"/>
        <v>1.84633074</v>
      </c>
      <c r="M839" s="175" t="str">
        <f t="shared" si="5"/>
        <v>fabimol</v>
      </c>
      <c r="N839" s="176">
        <f>IFERROR(__xludf.DUMMYFUNCTION("""COMPUTED_VALUE"""),7.0)</f>
        <v>7</v>
      </c>
      <c r="O839" s="176"/>
      <c r="P839" s="165" t="s">
        <v>828</v>
      </c>
      <c r="Q839" s="165" t="s">
        <v>441</v>
      </c>
      <c r="R839" s="176"/>
      <c r="S839" s="176"/>
      <c r="T839" s="176"/>
      <c r="U839" s="176"/>
      <c r="V839" s="176"/>
      <c r="W839" s="176"/>
      <c r="X839" s="176"/>
      <c r="Y839" s="176"/>
      <c r="Z839" s="176"/>
      <c r="AA839" s="176"/>
    </row>
    <row r="840">
      <c r="A840" s="165" t="str">
        <f>iferror(VLOOKUP(P840,'DO NOT TOUCH Imported'!$A$1:$D$800,4,False),iferror(VLOOKUP(P840,'DO NOT TOUCH Imported'!$C$1:$D$800,2,False),"OOPS FIX ME"))</f>
        <v>fabimol</v>
      </c>
      <c r="B840" s="165" t="s">
        <v>441</v>
      </c>
      <c r="C840" s="170" t="s">
        <v>1264</v>
      </c>
      <c r="D840" s="236" t="s">
        <v>437</v>
      </c>
      <c r="E840" s="237">
        <v>44295.0</v>
      </c>
      <c r="F840" s="170" t="s">
        <v>439</v>
      </c>
      <c r="G840" s="219"/>
      <c r="H840" s="171">
        <v>100.0</v>
      </c>
      <c r="I840" s="171">
        <v>80.0</v>
      </c>
      <c r="J840" s="172">
        <f t="shared" si="24"/>
        <v>0.0012937024</v>
      </c>
      <c r="K840" s="173">
        <f t="shared" si="42"/>
        <v>1.48775776</v>
      </c>
      <c r="L840" s="174">
        <f t="shared" si="4"/>
        <v>1.84633074</v>
      </c>
      <c r="M840" s="175" t="str">
        <f t="shared" si="5"/>
        <v>fabimol</v>
      </c>
      <c r="N840" s="176">
        <f>IFERROR(__xludf.DUMMYFUNCTION("""COMPUTED_VALUE"""),8.0)</f>
        <v>8</v>
      </c>
      <c r="O840" s="176"/>
      <c r="P840" s="165" t="s">
        <v>828</v>
      </c>
      <c r="Q840" s="165" t="s">
        <v>441</v>
      </c>
      <c r="R840" s="176"/>
      <c r="S840" s="176"/>
      <c r="T840" s="176"/>
      <c r="U840" s="176"/>
      <c r="V840" s="176"/>
      <c r="W840" s="176"/>
      <c r="X840" s="176"/>
      <c r="Y840" s="176"/>
      <c r="Z840" s="176"/>
      <c r="AA840" s="176"/>
    </row>
    <row r="841">
      <c r="A841" s="165" t="str">
        <f>iferror(VLOOKUP(P841,'DO NOT TOUCH Imported'!$A$1:$D$800,4,False),iferror(VLOOKUP(P841,'DO NOT TOUCH Imported'!$C$1:$D$800,2,False),"OOPS FIX ME"))</f>
        <v>fabimol</v>
      </c>
      <c r="B841" s="165" t="s">
        <v>441</v>
      </c>
      <c r="C841" s="170" t="s">
        <v>1370</v>
      </c>
      <c r="D841" s="236" t="s">
        <v>437</v>
      </c>
      <c r="E841" s="237">
        <v>44295.0</v>
      </c>
      <c r="F841" s="170" t="s">
        <v>439</v>
      </c>
      <c r="G841" s="219"/>
      <c r="H841" s="171">
        <v>80.0</v>
      </c>
      <c r="I841" s="171">
        <v>100.0</v>
      </c>
      <c r="J841" s="172">
        <f t="shared" si="24"/>
        <v>0.00129170133</v>
      </c>
      <c r="K841" s="173">
        <f t="shared" si="42"/>
        <v>1.485456529</v>
      </c>
      <c r="L841" s="174">
        <f t="shared" si="4"/>
        <v>1.84633074</v>
      </c>
      <c r="M841" s="175" t="str">
        <f t="shared" si="5"/>
        <v>fabimol</v>
      </c>
      <c r="N841" s="176">
        <f>IFERROR(__xludf.DUMMYFUNCTION("""COMPUTED_VALUE"""),9.0)</f>
        <v>9</v>
      </c>
      <c r="O841" s="176"/>
      <c r="P841" s="165" t="s">
        <v>828</v>
      </c>
      <c r="Q841" s="165" t="s">
        <v>441</v>
      </c>
      <c r="R841" s="176"/>
      <c r="S841" s="176"/>
      <c r="T841" s="176"/>
      <c r="U841" s="176"/>
      <c r="V841" s="176"/>
      <c r="W841" s="176"/>
      <c r="X841" s="176"/>
      <c r="Y841" s="176"/>
      <c r="Z841" s="176"/>
      <c r="AA841" s="176"/>
    </row>
    <row r="842">
      <c r="A842" s="165" t="str">
        <f>iferror(VLOOKUP(P842,'DO NOT TOUCH Imported'!$A$1:$D$800,4,False),iferror(VLOOKUP(P842,'DO NOT TOUCH Imported'!$C$1:$D$800,2,False),"OOPS FIX ME"))</f>
        <v>fabimol</v>
      </c>
      <c r="B842" s="165" t="s">
        <v>441</v>
      </c>
      <c r="C842" s="170" t="s">
        <v>1267</v>
      </c>
      <c r="D842" s="236" t="s">
        <v>437</v>
      </c>
      <c r="E842" s="237">
        <v>44295.0</v>
      </c>
      <c r="F842" s="170" t="s">
        <v>439</v>
      </c>
      <c r="G842" s="219"/>
      <c r="H842" s="171">
        <v>50.0</v>
      </c>
      <c r="I842" s="171">
        <v>50.0</v>
      </c>
      <c r="J842" s="172">
        <f t="shared" si="24"/>
        <v>0.0007181677027</v>
      </c>
      <c r="K842" s="173">
        <f t="shared" si="42"/>
        <v>0.8258928581</v>
      </c>
      <c r="L842" s="174">
        <f t="shared" si="4"/>
        <v>1.84633074</v>
      </c>
      <c r="M842" s="175" t="str">
        <f t="shared" si="5"/>
        <v>fabimol</v>
      </c>
      <c r="N842" s="176">
        <f>IFERROR(__xludf.DUMMYFUNCTION("""COMPUTED_VALUE"""),10.0)</f>
        <v>10</v>
      </c>
      <c r="O842" s="176"/>
      <c r="P842" s="165" t="s">
        <v>828</v>
      </c>
      <c r="Q842" s="165" t="s">
        <v>441</v>
      </c>
      <c r="R842" s="176"/>
      <c r="S842" s="176"/>
      <c r="T842" s="176"/>
      <c r="U842" s="176"/>
      <c r="V842" s="176"/>
      <c r="W842" s="176"/>
      <c r="X842" s="176"/>
      <c r="Y842" s="176"/>
      <c r="Z842" s="176"/>
      <c r="AA842" s="176"/>
    </row>
    <row r="843">
      <c r="A843" s="165" t="str">
        <f>iferror(VLOOKUP(P843,'DO NOT TOUCH Imported'!$A$1:$D$800,4,False),iferror(VLOOKUP(P843,'DO NOT TOUCH Imported'!$C$1:$D$800,2,False),"OOPS FIX ME"))</f>
        <v>rafaelcalcada#1402</v>
      </c>
      <c r="B843" s="165" t="s">
        <v>486</v>
      </c>
      <c r="C843" s="170" t="s">
        <v>1254</v>
      </c>
      <c r="D843" s="236" t="s">
        <v>437</v>
      </c>
      <c r="E843" s="237">
        <v>44292.0</v>
      </c>
      <c r="F843" s="170" t="s">
        <v>439</v>
      </c>
      <c r="G843" s="219"/>
      <c r="H843" s="171">
        <v>50.0</v>
      </c>
      <c r="I843" s="171">
        <v>50.0</v>
      </c>
      <c r="J843" s="172">
        <f t="shared" si="24"/>
        <v>0.0007181677027</v>
      </c>
      <c r="K843" s="173">
        <f t="shared" si="42"/>
        <v>0.8258928581</v>
      </c>
      <c r="L843" s="174">
        <f t="shared" si="4"/>
        <v>1.818114903</v>
      </c>
      <c r="M843" s="175" t="str">
        <f t="shared" si="5"/>
        <v>rafaelcalcada#1402</v>
      </c>
      <c r="N843" s="176">
        <f>IFERROR(__xludf.DUMMYFUNCTION("""COMPUTED_VALUE"""),1.0)</f>
        <v>1</v>
      </c>
      <c r="O843" s="176"/>
      <c r="P843" s="165" t="s">
        <v>162</v>
      </c>
      <c r="Q843" s="165" t="s">
        <v>486</v>
      </c>
      <c r="R843" s="176"/>
      <c r="S843" s="176"/>
      <c r="T843" s="176"/>
      <c r="U843" s="176"/>
      <c r="V843" s="176"/>
      <c r="W843" s="176"/>
      <c r="X843" s="176"/>
      <c r="Y843" s="176"/>
      <c r="Z843" s="176"/>
      <c r="AA843" s="176"/>
    </row>
    <row r="844">
      <c r="A844" s="165" t="str">
        <f>iferror(VLOOKUP(P844,'DO NOT TOUCH Imported'!$A$1:$D$800,4,False),iferror(VLOOKUP(P844,'DO NOT TOUCH Imported'!$C$1:$D$800,2,False),"OOPS FIX ME"))</f>
        <v>rafaelcalcada#1402</v>
      </c>
      <c r="B844" s="165" t="s">
        <v>440</v>
      </c>
      <c r="C844" s="170" t="s">
        <v>1257</v>
      </c>
      <c r="D844" s="236" t="s">
        <v>437</v>
      </c>
      <c r="E844" s="237">
        <v>44292.0</v>
      </c>
      <c r="F844" s="170" t="s">
        <v>439</v>
      </c>
      <c r="G844" s="219"/>
      <c r="H844" s="171">
        <v>70.0</v>
      </c>
      <c r="I844" s="171">
        <v>50.0</v>
      </c>
      <c r="J844" s="172">
        <f t="shared" si="24"/>
        <v>0.0008628017785</v>
      </c>
      <c r="K844" s="173">
        <f t="shared" si="42"/>
        <v>0.9922220452</v>
      </c>
      <c r="L844" s="174">
        <f t="shared" si="4"/>
        <v>1.818114903</v>
      </c>
      <c r="M844" s="175" t="str">
        <f t="shared" si="5"/>
        <v>rafaelcalcada#1402</v>
      </c>
      <c r="N844" s="176">
        <f>IFERROR(__xludf.DUMMYFUNCTION("""COMPUTED_VALUE"""),2.0)</f>
        <v>2</v>
      </c>
      <c r="O844" s="176"/>
      <c r="P844" s="165" t="s">
        <v>162</v>
      </c>
      <c r="Q844" s="165" t="s">
        <v>440</v>
      </c>
      <c r="R844" s="176"/>
      <c r="S844" s="176"/>
      <c r="T844" s="176"/>
      <c r="U844" s="176"/>
      <c r="V844" s="176"/>
      <c r="W844" s="176"/>
      <c r="X844" s="176"/>
      <c r="Y844" s="176"/>
      <c r="Z844" s="176"/>
      <c r="AA844" s="176"/>
    </row>
    <row r="845">
      <c r="A845" s="165" t="str">
        <f>iferror(VLOOKUP(P845,'DO NOT TOUCH Imported'!$A$1:$D$800,4,False),iferror(VLOOKUP(P845,'DO NOT TOUCH Imported'!$C$1:$D$800,2,False),"OOPS FIX ME"))</f>
        <v>decap#9400</v>
      </c>
      <c r="B845" s="165" t="s">
        <v>530</v>
      </c>
      <c r="C845" s="170" t="s">
        <v>1377</v>
      </c>
      <c r="D845" s="236" t="s">
        <v>499</v>
      </c>
      <c r="E845" s="237">
        <v>44291.0</v>
      </c>
      <c r="F845" s="170" t="s">
        <v>503</v>
      </c>
      <c r="G845" s="219"/>
      <c r="H845" s="171">
        <v>40.0</v>
      </c>
      <c r="I845" s="171">
        <v>40.0</v>
      </c>
      <c r="J845" s="172">
        <f t="shared" si="24"/>
        <v>0.0005745341621</v>
      </c>
      <c r="K845" s="173">
        <f t="shared" si="42"/>
        <v>0.6607142865</v>
      </c>
      <c r="L845" s="174">
        <f t="shared" si="4"/>
        <v>1.736100925</v>
      </c>
      <c r="M845" s="175" t="str">
        <f t="shared" si="5"/>
        <v>decap#9400</v>
      </c>
      <c r="N845" s="176">
        <f>IFERROR(__xludf.DUMMYFUNCTION("""COMPUTED_VALUE"""),1.0)</f>
        <v>1</v>
      </c>
      <c r="O845" s="176"/>
      <c r="P845" s="165" t="s">
        <v>241</v>
      </c>
      <c r="Q845" s="165" t="s">
        <v>530</v>
      </c>
      <c r="R845" s="176"/>
      <c r="S845" s="176"/>
      <c r="T845" s="176"/>
      <c r="U845" s="176"/>
      <c r="V845" s="176"/>
      <c r="W845" s="176"/>
      <c r="X845" s="176"/>
      <c r="Y845" s="176"/>
      <c r="Z845" s="176"/>
      <c r="AA845" s="176"/>
    </row>
    <row r="846">
      <c r="A846" s="165" t="str">
        <f>iferror(VLOOKUP(P846,'DO NOT TOUCH Imported'!$A$1:$D$800,4,False),iferror(VLOOKUP(P846,'DO NOT TOUCH Imported'!$C$1:$D$800,2,False),"OOPS FIX ME"))</f>
        <v>decap#9400</v>
      </c>
      <c r="B846" s="165" t="s">
        <v>530</v>
      </c>
      <c r="C846" s="170" t="s">
        <v>1541</v>
      </c>
      <c r="D846" s="236" t="s">
        <v>499</v>
      </c>
      <c r="E846" s="237">
        <v>44293.0</v>
      </c>
      <c r="F846" s="170" t="s">
        <v>503</v>
      </c>
      <c r="G846" s="219"/>
      <c r="H846" s="171">
        <v>80.0</v>
      </c>
      <c r="I846" s="171">
        <v>50.0</v>
      </c>
      <c r="J846" s="172">
        <f t="shared" si="24"/>
        <v>0.0009351188163</v>
      </c>
      <c r="K846" s="173">
        <f t="shared" si="42"/>
        <v>1.075386639</v>
      </c>
      <c r="L846" s="174">
        <f t="shared" si="4"/>
        <v>1.736100925</v>
      </c>
      <c r="M846" s="175" t="str">
        <f t="shared" si="5"/>
        <v>decap#9400</v>
      </c>
      <c r="N846" s="176">
        <f>IFERROR(__xludf.DUMMYFUNCTION("""COMPUTED_VALUE"""),2.0)</f>
        <v>2</v>
      </c>
      <c r="O846" s="176"/>
      <c r="P846" s="165" t="s">
        <v>241</v>
      </c>
      <c r="Q846" s="165" t="s">
        <v>530</v>
      </c>
      <c r="R846" s="176"/>
      <c r="S846" s="176"/>
      <c r="T846" s="176"/>
      <c r="U846" s="176"/>
      <c r="V846" s="176"/>
      <c r="W846" s="176"/>
      <c r="X846" s="176"/>
      <c r="Y846" s="176"/>
      <c r="Z846" s="176"/>
      <c r="AA846" s="176"/>
    </row>
    <row r="847">
      <c r="A847" s="165" t="str">
        <f>iferror(VLOOKUP(P847,'DO NOT TOUCH Imported'!$A$1:$D$800,4,False),iferror(VLOOKUP(P847,'DO NOT TOUCH Imported'!$C$1:$D$800,2,False),"OOPS FIX ME"))</f>
        <v>zeroknowledge#8287</v>
      </c>
      <c r="B847" s="165" t="s">
        <v>564</v>
      </c>
      <c r="C847" s="170" t="s">
        <v>1542</v>
      </c>
      <c r="D847" s="236" t="s">
        <v>499</v>
      </c>
      <c r="E847" s="239">
        <v>44287.0</v>
      </c>
      <c r="F847" s="170" t="s">
        <v>503</v>
      </c>
      <c r="G847" s="219"/>
      <c r="H847" s="171">
        <v>100.0</v>
      </c>
      <c r="I847" s="171">
        <v>100.0</v>
      </c>
      <c r="J847" s="172">
        <f t="shared" si="24"/>
        <v>0.001436335405</v>
      </c>
      <c r="K847" s="173">
        <f t="shared" si="42"/>
        <v>1.651785716</v>
      </c>
      <c r="L847" s="174">
        <f t="shared" si="4"/>
        <v>1.651785716</v>
      </c>
      <c r="M847" s="175" t="str">
        <f t="shared" si="5"/>
        <v>zeroknowledge#8287</v>
      </c>
      <c r="N847" s="176">
        <f>IFERROR(__xludf.DUMMYFUNCTION("""COMPUTED_VALUE"""),1.0)</f>
        <v>1</v>
      </c>
      <c r="O847" s="176"/>
      <c r="P847" s="165" t="s">
        <v>245</v>
      </c>
      <c r="Q847" s="165" t="s">
        <v>564</v>
      </c>
      <c r="R847" s="176"/>
      <c r="S847" s="176"/>
      <c r="T847" s="176"/>
      <c r="U847" s="176"/>
      <c r="V847" s="176"/>
      <c r="W847" s="176"/>
      <c r="X847" s="176"/>
      <c r="Y847" s="176"/>
      <c r="Z847" s="176"/>
      <c r="AA847" s="176"/>
    </row>
    <row r="848">
      <c r="A848" s="165" t="str">
        <f>iferror(VLOOKUP(P848,'DO NOT TOUCH Imported'!$A$1:$D$800,4,False),iferror(VLOOKUP(P848,'DO NOT TOUCH Imported'!$C$1:$D$800,2,False),"OOPS FIX ME"))</f>
        <v>rosamoc</v>
      </c>
      <c r="B848" s="165" t="s">
        <v>10</v>
      </c>
      <c r="C848" s="170" t="s">
        <v>1543</v>
      </c>
      <c r="D848" s="236" t="s">
        <v>495</v>
      </c>
      <c r="E848" s="239">
        <v>44288.0</v>
      </c>
      <c r="F848" s="170" t="s">
        <v>496</v>
      </c>
      <c r="G848" s="219"/>
      <c r="H848" s="171">
        <v>100.0</v>
      </c>
      <c r="I848" s="171">
        <v>100.0</v>
      </c>
      <c r="J848" s="172">
        <f t="shared" si="24"/>
        <v>0.001436335405</v>
      </c>
      <c r="K848" s="173">
        <f t="shared" si="42"/>
        <v>1.651785716</v>
      </c>
      <c r="L848" s="174">
        <f t="shared" si="4"/>
        <v>1.651785716</v>
      </c>
      <c r="M848" s="175" t="str">
        <f t="shared" si="5"/>
        <v>rosamoc</v>
      </c>
      <c r="N848" s="176">
        <f>IFERROR(__xludf.DUMMYFUNCTION("""COMPUTED_VALUE"""),1.0)</f>
        <v>1</v>
      </c>
      <c r="O848" s="176"/>
      <c r="P848" s="165" t="s">
        <v>56</v>
      </c>
      <c r="Q848" s="165" t="s">
        <v>10</v>
      </c>
      <c r="R848" s="176"/>
      <c r="S848" s="176"/>
      <c r="T848" s="176"/>
      <c r="U848" s="176"/>
      <c r="V848" s="176"/>
      <c r="W848" s="176"/>
      <c r="X848" s="176"/>
      <c r="Y848" s="176"/>
      <c r="Z848" s="176"/>
      <c r="AA848" s="176"/>
    </row>
    <row r="849">
      <c r="A849" s="165" t="str">
        <f>iferror(VLOOKUP(P849,'DO NOT TOUCH Imported'!$A$1:$D$800,4,False),iferror(VLOOKUP(P849,'DO NOT TOUCH Imported'!$C$1:$D$800,2,False),"OOPS FIX ME"))</f>
        <v>rokkranjc</v>
      </c>
      <c r="B849" s="165" t="s">
        <v>29</v>
      </c>
      <c r="C849" s="170" t="s">
        <v>1455</v>
      </c>
      <c r="D849" s="236" t="s">
        <v>495</v>
      </c>
      <c r="E849" s="239">
        <v>44287.0</v>
      </c>
      <c r="F849" s="170" t="s">
        <v>499</v>
      </c>
      <c r="G849" s="219"/>
      <c r="H849" s="171">
        <v>100.0</v>
      </c>
      <c r="I849" s="171">
        <v>100.0</v>
      </c>
      <c r="J849" s="172">
        <f t="shared" si="24"/>
        <v>0.001436335405</v>
      </c>
      <c r="K849" s="173">
        <f t="shared" si="42"/>
        <v>1.651785716</v>
      </c>
      <c r="L849" s="174">
        <f t="shared" si="4"/>
        <v>1.651785716</v>
      </c>
      <c r="M849" s="175" t="str">
        <f t="shared" si="5"/>
        <v>rokkranjc</v>
      </c>
      <c r="N849" s="176">
        <f>IFERROR(__xludf.DUMMYFUNCTION("""COMPUTED_VALUE"""),1.0)</f>
        <v>1</v>
      </c>
      <c r="O849" s="176"/>
      <c r="P849" s="165" t="s">
        <v>246</v>
      </c>
      <c r="Q849" s="165" t="s">
        <v>29</v>
      </c>
      <c r="R849" s="176"/>
      <c r="S849" s="176"/>
      <c r="T849" s="176"/>
      <c r="U849" s="176"/>
      <c r="V849" s="176"/>
      <c r="W849" s="176"/>
      <c r="X849" s="176"/>
      <c r="Y849" s="176"/>
      <c r="Z849" s="176"/>
      <c r="AA849" s="176"/>
    </row>
    <row r="850">
      <c r="A850" s="165" t="str">
        <f>iferror(VLOOKUP(P850,'DO NOT TOUCH Imported'!$A$1:$D$800,4,False),iferror(VLOOKUP(P850,'DO NOT TOUCH Imported'!$C$1:$D$800,2,False),"OOPS FIX ME"))</f>
        <v>petheth</v>
      </c>
      <c r="B850" s="165" t="s">
        <v>450</v>
      </c>
      <c r="C850" s="170" t="s">
        <v>1544</v>
      </c>
      <c r="D850" s="236" t="s">
        <v>499</v>
      </c>
      <c r="E850" s="237">
        <v>44291.0</v>
      </c>
      <c r="F850" s="170" t="s">
        <v>503</v>
      </c>
      <c r="G850" s="219"/>
      <c r="H850" s="171">
        <v>100.0</v>
      </c>
      <c r="I850" s="171">
        <v>100.0</v>
      </c>
      <c r="J850" s="172">
        <f t="shared" si="24"/>
        <v>0.001436335405</v>
      </c>
      <c r="K850" s="173">
        <f t="shared" si="42"/>
        <v>1.651785716</v>
      </c>
      <c r="L850" s="174">
        <f t="shared" si="4"/>
        <v>1.651785716</v>
      </c>
      <c r="M850" s="175" t="str">
        <f t="shared" si="5"/>
        <v>petheth</v>
      </c>
      <c r="N850" s="176">
        <f>IFERROR(__xludf.DUMMYFUNCTION("""COMPUTED_VALUE"""),1.0)</f>
        <v>1</v>
      </c>
      <c r="O850" s="176"/>
      <c r="P850" s="165" t="s">
        <v>1213</v>
      </c>
      <c r="Q850" s="165" t="s">
        <v>450</v>
      </c>
      <c r="R850" s="176"/>
      <c r="S850" s="176"/>
      <c r="T850" s="176"/>
      <c r="U850" s="176"/>
      <c r="V850" s="176"/>
      <c r="W850" s="176"/>
      <c r="X850" s="176"/>
      <c r="Y850" s="176"/>
      <c r="Z850" s="176"/>
      <c r="AA850" s="176"/>
    </row>
    <row r="851">
      <c r="A851" s="165" t="str">
        <f>iferror(VLOOKUP(P851,'DO NOT TOUCH Imported'!$A$1:$D$800,4,False),iferror(VLOOKUP(P851,'DO NOT TOUCH Imported'!$C$1:$D$800,2,False),"OOPS FIX ME"))</f>
        <v>ollitiainen</v>
      </c>
      <c r="B851" s="165" t="s">
        <v>29</v>
      </c>
      <c r="C851" s="170" t="s">
        <v>1545</v>
      </c>
      <c r="D851" s="236" t="s">
        <v>495</v>
      </c>
      <c r="E851" s="239">
        <v>44283.0</v>
      </c>
      <c r="F851" s="170" t="s">
        <v>499</v>
      </c>
      <c r="G851" s="219"/>
      <c r="H851" s="171">
        <v>100.0</v>
      </c>
      <c r="I851" s="171">
        <v>100.0</v>
      </c>
      <c r="J851" s="172">
        <f t="shared" si="24"/>
        <v>0.001436335405</v>
      </c>
      <c r="K851" s="173">
        <f t="shared" si="42"/>
        <v>1.651785716</v>
      </c>
      <c r="L851" s="174">
        <f t="shared" si="4"/>
        <v>1.651785716</v>
      </c>
      <c r="M851" s="175" t="str">
        <f t="shared" si="5"/>
        <v>ollitiainen</v>
      </c>
      <c r="N851" s="176">
        <f>IFERROR(__xludf.DUMMYFUNCTION("""COMPUTED_VALUE"""),1.0)</f>
        <v>1</v>
      </c>
      <c r="O851" s="176"/>
      <c r="P851" s="165" t="s">
        <v>247</v>
      </c>
      <c r="Q851" s="165" t="s">
        <v>29</v>
      </c>
      <c r="R851" s="176"/>
      <c r="S851" s="176"/>
      <c r="T851" s="176"/>
      <c r="U851" s="176"/>
      <c r="V851" s="176"/>
      <c r="W851" s="176"/>
      <c r="X851" s="176"/>
      <c r="Y851" s="176"/>
      <c r="Z851" s="176"/>
      <c r="AA851" s="176"/>
    </row>
    <row r="852">
      <c r="A852" s="165" t="str">
        <f>iferror(VLOOKUP(P852,'DO NOT TOUCH Imported'!$A$1:$D$800,4,False),iferror(VLOOKUP(P852,'DO NOT TOUCH Imported'!$C$1:$D$800,2,False),"OOPS FIX ME"))</f>
        <v>mercedesrodsim</v>
      </c>
      <c r="B852" s="165" t="s">
        <v>768</v>
      </c>
      <c r="C852" s="170" t="s">
        <v>1546</v>
      </c>
      <c r="D852" s="236" t="s">
        <v>499</v>
      </c>
      <c r="E852" s="239">
        <v>44285.0</v>
      </c>
      <c r="F852" s="170" t="s">
        <v>503</v>
      </c>
      <c r="G852" s="219"/>
      <c r="H852" s="171">
        <v>100.0</v>
      </c>
      <c r="I852" s="171">
        <v>100.0</v>
      </c>
      <c r="J852" s="172">
        <f t="shared" si="24"/>
        <v>0.001436335405</v>
      </c>
      <c r="K852" s="173">
        <f t="shared" si="42"/>
        <v>1.651785716</v>
      </c>
      <c r="L852" s="174">
        <f t="shared" si="4"/>
        <v>1.651785716</v>
      </c>
      <c r="M852" s="175" t="str">
        <f t="shared" si="5"/>
        <v>mercedesrodsim</v>
      </c>
      <c r="N852" s="176">
        <f>IFERROR(__xludf.DUMMYFUNCTION("""COMPUTED_VALUE"""),1.0)</f>
        <v>1</v>
      </c>
      <c r="O852" s="176"/>
      <c r="P852" s="165" t="s">
        <v>1547</v>
      </c>
      <c r="Q852" s="165" t="s">
        <v>768</v>
      </c>
      <c r="R852" s="176"/>
      <c r="S852" s="176"/>
      <c r="T852" s="176"/>
      <c r="U852" s="176"/>
      <c r="V852" s="176"/>
      <c r="W852" s="176"/>
      <c r="X852" s="176"/>
      <c r="Y852" s="176"/>
      <c r="Z852" s="176"/>
      <c r="AA852" s="176"/>
    </row>
    <row r="853">
      <c r="A853" s="165" t="str">
        <f>iferror(VLOOKUP(P853,'DO NOT TOUCH Imported'!$A$1:$D$800,4,False),iferror(VLOOKUP(P853,'DO NOT TOUCH Imported'!$C$1:$D$800,2,False),"OOPS FIX ME"))</f>
        <v>mehigher</v>
      </c>
      <c r="B853" s="165" t="s">
        <v>29</v>
      </c>
      <c r="C853" s="170" t="s">
        <v>1548</v>
      </c>
      <c r="D853" s="236" t="s">
        <v>495</v>
      </c>
      <c r="E853" s="239">
        <v>44287.0</v>
      </c>
      <c r="F853" s="170" t="s">
        <v>499</v>
      </c>
      <c r="G853" s="219"/>
      <c r="H853" s="171">
        <v>100.0</v>
      </c>
      <c r="I853" s="171">
        <v>100.0</v>
      </c>
      <c r="J853" s="172">
        <f t="shared" si="24"/>
        <v>0.001436335405</v>
      </c>
      <c r="K853" s="173">
        <f t="shared" si="42"/>
        <v>1.651785716</v>
      </c>
      <c r="L853" s="174">
        <f t="shared" si="4"/>
        <v>1.651785716</v>
      </c>
      <c r="M853" s="175" t="str">
        <f t="shared" si="5"/>
        <v>mehigher</v>
      </c>
      <c r="N853" s="176">
        <f>IFERROR(__xludf.DUMMYFUNCTION("""COMPUTED_VALUE"""),1.0)</f>
        <v>1</v>
      </c>
      <c r="O853" s="176"/>
      <c r="P853" s="165" t="s">
        <v>99</v>
      </c>
      <c r="Q853" s="165" t="s">
        <v>29</v>
      </c>
      <c r="R853" s="176"/>
      <c r="S853" s="176"/>
      <c r="T853" s="176"/>
      <c r="U853" s="176"/>
      <c r="V853" s="176"/>
      <c r="W853" s="176"/>
      <c r="X853" s="176"/>
      <c r="Y853" s="176"/>
      <c r="Z853" s="176"/>
      <c r="AA853" s="176"/>
    </row>
    <row r="854">
      <c r="A854" s="165" t="str">
        <f>iferror(VLOOKUP(P854,'DO NOT TOUCH Imported'!$A$1:$D$800,4,False),iferror(VLOOKUP(P854,'DO NOT TOUCH Imported'!$C$1:$D$800,2,False),"OOPS FIX ME"))</f>
        <v>maxsong123</v>
      </c>
      <c r="B854" s="165" t="s">
        <v>29</v>
      </c>
      <c r="C854" s="170" t="s">
        <v>1548</v>
      </c>
      <c r="D854" s="236" t="s">
        <v>495</v>
      </c>
      <c r="E854" s="239">
        <v>44287.0</v>
      </c>
      <c r="F854" s="170" t="s">
        <v>499</v>
      </c>
      <c r="G854" s="219"/>
      <c r="H854" s="171">
        <v>100.0</v>
      </c>
      <c r="I854" s="171">
        <v>100.0</v>
      </c>
      <c r="J854" s="172">
        <f t="shared" si="24"/>
        <v>0.001436335405</v>
      </c>
      <c r="K854" s="173">
        <f t="shared" si="42"/>
        <v>1.651785716</v>
      </c>
      <c r="L854" s="174">
        <f t="shared" si="4"/>
        <v>1.651785716</v>
      </c>
      <c r="M854" s="175" t="str">
        <f t="shared" si="5"/>
        <v>maxsong123</v>
      </c>
      <c r="N854" s="176">
        <f>IFERROR(__xludf.DUMMYFUNCTION("""COMPUTED_VALUE"""),1.0)</f>
        <v>1</v>
      </c>
      <c r="O854" s="176"/>
      <c r="P854" s="165" t="s">
        <v>163</v>
      </c>
      <c r="Q854" s="165" t="s">
        <v>29</v>
      </c>
      <c r="R854" s="176"/>
      <c r="S854" s="176"/>
      <c r="T854" s="176"/>
      <c r="U854" s="176"/>
      <c r="V854" s="176"/>
      <c r="W854" s="176"/>
      <c r="X854" s="176"/>
      <c r="Y854" s="176"/>
      <c r="Z854" s="176"/>
      <c r="AA854" s="176"/>
    </row>
    <row r="855">
      <c r="A855" s="185" t="str">
        <f>iferror(VLOOKUP(P855,'DO NOT TOUCH Imported'!$A$1:$D$800,4,False),iferror(VLOOKUP(P855,'DO NOT TOUCH Imported'!$C$1:$D$800,2,False),"OOPS FIX ME"))</f>
        <v>geleeroyale</v>
      </c>
      <c r="B855" s="185" t="s">
        <v>534</v>
      </c>
      <c r="C855" s="186" t="s">
        <v>688</v>
      </c>
      <c r="D855" s="187"/>
      <c r="E855" s="188"/>
      <c r="F855" s="189"/>
      <c r="G855" s="190"/>
      <c r="H855" s="190"/>
      <c r="I855" s="190"/>
      <c r="J855" s="172">
        <f t="shared" si="24"/>
        <v>0</v>
      </c>
      <c r="K855" s="215">
        <v>0.0</v>
      </c>
      <c r="L855" s="193">
        <f t="shared" si="4"/>
        <v>1.651785716</v>
      </c>
      <c r="M855" s="194" t="str">
        <f t="shared" si="5"/>
        <v>geleeroyale</v>
      </c>
      <c r="N855" s="195">
        <f>IFERROR(__xludf.DUMMYFUNCTION("""COMPUTED_VALUE"""),1.0)</f>
        <v>1</v>
      </c>
      <c r="O855" s="195"/>
      <c r="P855" s="185" t="s">
        <v>50</v>
      </c>
      <c r="Q855" s="185" t="s">
        <v>534</v>
      </c>
      <c r="R855" s="195">
        <v>18.802169413641863</v>
      </c>
      <c r="S855" s="195"/>
      <c r="T855" s="195"/>
      <c r="U855" s="195"/>
      <c r="V855" s="195"/>
      <c r="W855" s="195"/>
      <c r="X855" s="195"/>
      <c r="Y855" s="195"/>
      <c r="Z855" s="195"/>
      <c r="AA855" s="176"/>
    </row>
    <row r="856">
      <c r="A856" s="165" t="str">
        <f>iferror(VLOOKUP(P856,'DO NOT TOUCH Imported'!$A$1:$D$800,4,False),iferror(VLOOKUP(P856,'DO NOT TOUCH Imported'!$C$1:$D$800,2,False),"OOPS FIX ME"))</f>
        <v>geleeroyale</v>
      </c>
      <c r="B856" s="165" t="s">
        <v>450</v>
      </c>
      <c r="C856" s="170" t="s">
        <v>1544</v>
      </c>
      <c r="D856" s="236" t="s">
        <v>499</v>
      </c>
      <c r="E856" s="237">
        <v>44291.0</v>
      </c>
      <c r="F856" s="170" t="s">
        <v>503</v>
      </c>
      <c r="G856" s="219"/>
      <c r="H856" s="171">
        <v>100.0</v>
      </c>
      <c r="I856" s="171">
        <v>100.0</v>
      </c>
      <c r="J856" s="172">
        <f t="shared" si="24"/>
        <v>0.001436335405</v>
      </c>
      <c r="K856" s="173">
        <f t="shared" ref="K856:K861" si="43">J856*$J$1</f>
        <v>1.651785716</v>
      </c>
      <c r="L856" s="174">
        <f t="shared" si="4"/>
        <v>1.651785716</v>
      </c>
      <c r="M856" s="175" t="str">
        <f t="shared" si="5"/>
        <v>geleeroyale</v>
      </c>
      <c r="N856" s="176">
        <f>IFERROR(__xludf.DUMMYFUNCTION("""COMPUTED_VALUE"""),2.0)</f>
        <v>2</v>
      </c>
      <c r="O856" s="176"/>
      <c r="P856" s="165" t="s">
        <v>804</v>
      </c>
      <c r="Q856" s="165" t="s">
        <v>450</v>
      </c>
      <c r="R856" s="176"/>
      <c r="S856" s="176"/>
      <c r="T856" s="176"/>
      <c r="U856" s="176"/>
      <c r="V856" s="176"/>
      <c r="W856" s="176"/>
      <c r="X856" s="176"/>
      <c r="Y856" s="176"/>
      <c r="Z856" s="176"/>
      <c r="AA856" s="176"/>
    </row>
    <row r="857">
      <c r="A857" s="165" t="str">
        <f>iferror(VLOOKUP(P857,'DO NOT TOUCH Imported'!$A$1:$D$800,4,False),iferror(VLOOKUP(P857,'DO NOT TOUCH Imported'!$C$1:$D$800,2,False),"OOPS FIX ME"))</f>
        <v>freddbomba</v>
      </c>
      <c r="B857" s="165" t="s">
        <v>435</v>
      </c>
      <c r="C857" s="170" t="s">
        <v>1549</v>
      </c>
      <c r="D857" s="236" t="s">
        <v>437</v>
      </c>
      <c r="E857" s="239">
        <v>44287.0</v>
      </c>
      <c r="F857" s="170" t="s">
        <v>439</v>
      </c>
      <c r="G857" s="219"/>
      <c r="H857" s="171">
        <v>100.0</v>
      </c>
      <c r="I857" s="171">
        <v>100.0</v>
      </c>
      <c r="J857" s="172">
        <f t="shared" si="24"/>
        <v>0.001436335405</v>
      </c>
      <c r="K857" s="173">
        <f t="shared" si="43"/>
        <v>1.651785716</v>
      </c>
      <c r="L857" s="174">
        <f t="shared" si="4"/>
        <v>1.651785716</v>
      </c>
      <c r="M857" s="175" t="str">
        <f t="shared" si="5"/>
        <v>freddbomba</v>
      </c>
      <c r="N857" s="176">
        <f>IFERROR(__xludf.DUMMYFUNCTION("""COMPUTED_VALUE"""),1.0)</f>
        <v>1</v>
      </c>
      <c r="O857" s="176"/>
      <c r="P857" s="165" t="s">
        <v>1550</v>
      </c>
      <c r="Q857" s="165" t="s">
        <v>435</v>
      </c>
      <c r="R857" s="176"/>
      <c r="S857" s="176"/>
      <c r="T857" s="176"/>
      <c r="U857" s="176"/>
      <c r="V857" s="176"/>
      <c r="W857" s="176"/>
      <c r="X857" s="176"/>
      <c r="Y857" s="176"/>
      <c r="Z857" s="176"/>
      <c r="AA857" s="176"/>
    </row>
    <row r="858">
      <c r="A858" s="165" t="str">
        <f>iferror(VLOOKUP(P858,'DO NOT TOUCH Imported'!$A$1:$D$800,4,False),iferror(VLOOKUP(P858,'DO NOT TOUCH Imported'!$C$1:$D$800,2,False),"OOPS FIX ME"))</f>
        <v>emalinus</v>
      </c>
      <c r="B858" s="165" t="s">
        <v>29</v>
      </c>
      <c r="C858" s="170" t="s">
        <v>1455</v>
      </c>
      <c r="D858" s="236" t="s">
        <v>495</v>
      </c>
      <c r="E858" s="239">
        <v>44287.0</v>
      </c>
      <c r="F858" s="170" t="s">
        <v>499</v>
      </c>
      <c r="G858" s="219"/>
      <c r="H858" s="171">
        <v>100.0</v>
      </c>
      <c r="I858" s="171">
        <v>100.0</v>
      </c>
      <c r="J858" s="172">
        <f t="shared" si="24"/>
        <v>0.001436335405</v>
      </c>
      <c r="K858" s="173">
        <f t="shared" si="43"/>
        <v>1.651785716</v>
      </c>
      <c r="L858" s="174">
        <f t="shared" si="4"/>
        <v>1.651785716</v>
      </c>
      <c r="M858" s="175" t="str">
        <f t="shared" si="5"/>
        <v>emalinus</v>
      </c>
      <c r="N858" s="176">
        <f>IFERROR(__xludf.DUMMYFUNCTION("""COMPUTED_VALUE"""),1.0)</f>
        <v>1</v>
      </c>
      <c r="O858" s="176"/>
      <c r="P858" s="165" t="s">
        <v>248</v>
      </c>
      <c r="Q858" s="165" t="s">
        <v>29</v>
      </c>
      <c r="R858" s="176"/>
      <c r="S858" s="176"/>
      <c r="T858" s="176"/>
      <c r="U858" s="176"/>
      <c r="V858" s="176"/>
      <c r="W858" s="176"/>
      <c r="X858" s="176"/>
      <c r="Y858" s="176"/>
      <c r="Z858" s="176"/>
      <c r="AA858" s="176"/>
    </row>
    <row r="859">
      <c r="A859" s="165" t="str">
        <f>iferror(VLOOKUP(P859,'DO NOT TOUCH Imported'!$A$1:$D$800,4,False),iferror(VLOOKUP(P859,'DO NOT TOUCH Imported'!$C$1:$D$800,2,False),"OOPS FIX ME"))</f>
        <v>davidhq</v>
      </c>
      <c r="B859" s="165" t="s">
        <v>450</v>
      </c>
      <c r="C859" s="170" t="s">
        <v>1551</v>
      </c>
      <c r="D859" s="236" t="s">
        <v>499</v>
      </c>
      <c r="E859" s="237">
        <v>44290.0</v>
      </c>
      <c r="F859" s="170" t="s">
        <v>503</v>
      </c>
      <c r="G859" s="219"/>
      <c r="H859" s="171">
        <v>100.0</v>
      </c>
      <c r="I859" s="171">
        <v>100.0</v>
      </c>
      <c r="J859" s="172">
        <f t="shared" si="24"/>
        <v>0.001436335405</v>
      </c>
      <c r="K859" s="173">
        <f t="shared" si="43"/>
        <v>1.651785716</v>
      </c>
      <c r="L859" s="174">
        <f t="shared" si="4"/>
        <v>1.651785716</v>
      </c>
      <c r="M859" s="175" t="str">
        <f t="shared" si="5"/>
        <v>davidhq</v>
      </c>
      <c r="N859" s="176">
        <f>IFERROR(__xludf.DUMMYFUNCTION("""COMPUTED_VALUE"""),1.0)</f>
        <v>1</v>
      </c>
      <c r="O859" s="176"/>
      <c r="P859" s="165" t="s">
        <v>1552</v>
      </c>
      <c r="Q859" s="165" t="s">
        <v>450</v>
      </c>
      <c r="R859" s="176"/>
      <c r="S859" s="176"/>
      <c r="T859" s="176"/>
      <c r="U859" s="176"/>
      <c r="V859" s="176"/>
      <c r="W859" s="176"/>
      <c r="X859" s="176"/>
      <c r="Y859" s="176"/>
      <c r="Z859" s="176"/>
      <c r="AA859" s="176"/>
    </row>
    <row r="860">
      <c r="A860" s="165" t="str">
        <f>iferror(VLOOKUP(P860,'DO NOT TOUCH Imported'!$A$1:$D$800,4,False),iferror(VLOOKUP(P860,'DO NOT TOUCH Imported'!$C$1:$D$800,2,False),"OOPS FIX ME"))</f>
        <v>CoachB</v>
      </c>
      <c r="B860" s="165" t="s">
        <v>519</v>
      </c>
      <c r="C860" s="170" t="s">
        <v>1553</v>
      </c>
      <c r="D860" s="236" t="s">
        <v>495</v>
      </c>
      <c r="E860" s="239">
        <v>44292.0</v>
      </c>
      <c r="F860" s="170" t="s">
        <v>499</v>
      </c>
      <c r="G860" s="219"/>
      <c r="H860" s="171">
        <v>100.0</v>
      </c>
      <c r="I860" s="171">
        <v>100.0</v>
      </c>
      <c r="J860" s="172">
        <f t="shared" si="24"/>
        <v>0.001436335405</v>
      </c>
      <c r="K860" s="173">
        <f t="shared" si="43"/>
        <v>1.651785716</v>
      </c>
      <c r="L860" s="174">
        <f t="shared" si="4"/>
        <v>1.651785716</v>
      </c>
      <c r="M860" s="175" t="str">
        <f t="shared" si="5"/>
        <v>CoachB</v>
      </c>
      <c r="N860" s="176">
        <f>IFERROR(__xludf.DUMMYFUNCTION("""COMPUTED_VALUE"""),1.0)</f>
        <v>1</v>
      </c>
      <c r="O860" s="176"/>
      <c r="P860" s="165" t="s">
        <v>104</v>
      </c>
      <c r="Q860" s="165" t="s">
        <v>519</v>
      </c>
      <c r="R860" s="176"/>
      <c r="S860" s="176"/>
      <c r="T860" s="176"/>
      <c r="U860" s="176"/>
      <c r="V860" s="176"/>
      <c r="W860" s="176"/>
      <c r="X860" s="176"/>
      <c r="Y860" s="176"/>
      <c r="Z860" s="176"/>
      <c r="AA860" s="176"/>
    </row>
    <row r="861">
      <c r="A861" s="165" t="str">
        <f>iferror(VLOOKUP(P861,'DO NOT TOUCH Imported'!$A$1:$D$800,4,False),iferror(VLOOKUP(P861,'DO NOT TOUCH Imported'!$C$1:$D$800,2,False),"OOPS FIX ME"))</f>
        <v>celineflash</v>
      </c>
      <c r="B861" s="165" t="s">
        <v>435</v>
      </c>
      <c r="C861" s="170" t="s">
        <v>1554</v>
      </c>
      <c r="D861" s="236" t="s">
        <v>437</v>
      </c>
      <c r="E861" s="239">
        <v>44287.0</v>
      </c>
      <c r="F861" s="170" t="s">
        <v>439</v>
      </c>
      <c r="G861" s="219"/>
      <c r="H861" s="171">
        <v>100.0</v>
      </c>
      <c r="I861" s="171">
        <v>100.0</v>
      </c>
      <c r="J861" s="172">
        <f t="shared" si="24"/>
        <v>0.001436335405</v>
      </c>
      <c r="K861" s="173">
        <f t="shared" si="43"/>
        <v>1.651785716</v>
      </c>
      <c r="L861" s="174">
        <f t="shared" si="4"/>
        <v>1.651785716</v>
      </c>
      <c r="M861" s="175" t="str">
        <f t="shared" si="5"/>
        <v>celineflash</v>
      </c>
      <c r="N861" s="176">
        <f>IFERROR(__xludf.DUMMYFUNCTION("""COMPUTED_VALUE"""),1.0)</f>
        <v>1</v>
      </c>
      <c r="O861" s="176"/>
      <c r="P861" s="165" t="s">
        <v>1555</v>
      </c>
      <c r="Q861" s="165" t="s">
        <v>435</v>
      </c>
      <c r="R861" s="176"/>
      <c r="S861" s="176"/>
      <c r="T861" s="176"/>
      <c r="U861" s="176"/>
      <c r="V861" s="176"/>
      <c r="W861" s="176"/>
      <c r="X861" s="176"/>
      <c r="Y861" s="176"/>
      <c r="Z861" s="176"/>
      <c r="AA861" s="176"/>
    </row>
    <row r="862">
      <c r="A862" s="185" t="str">
        <f>iferror(VLOOKUP(P862,'DO NOT TOUCH Imported'!$A$1:$D$800,4,False),iferror(VLOOKUP(P862,'DO NOT TOUCH Imported'!$C$1:$D$800,2,False),"OOPS FIX ME"))</f>
        <v>fabiosmendes</v>
      </c>
      <c r="B862" s="196" t="s">
        <v>534</v>
      </c>
      <c r="C862" s="216" t="s">
        <v>693</v>
      </c>
      <c r="D862" s="212"/>
      <c r="E862" s="214"/>
      <c r="F862" s="212"/>
      <c r="G862" s="196"/>
      <c r="H862" s="196"/>
      <c r="I862" s="196"/>
      <c r="J862" s="172">
        <f t="shared" si="24"/>
        <v>0</v>
      </c>
      <c r="K862" s="192">
        <f>-0.85*10.731</f>
        <v>-9.12135</v>
      </c>
      <c r="L862" s="193">
        <f t="shared" si="4"/>
        <v>1.609504077</v>
      </c>
      <c r="M862" s="194" t="str">
        <f t="shared" si="5"/>
        <v>fabiosmendes</v>
      </c>
      <c r="N862" s="217">
        <f>IFERROR(__xludf.DUMMYFUNCTION("""COMPUTED_VALUE"""),1.0)</f>
        <v>1</v>
      </c>
      <c r="O862" s="212"/>
      <c r="P862" s="196" t="s">
        <v>57</v>
      </c>
      <c r="Q862" s="196" t="s">
        <v>534</v>
      </c>
      <c r="R862" s="187">
        <v>57.049855624848725</v>
      </c>
      <c r="S862" s="212"/>
      <c r="T862" s="212"/>
      <c r="U862" s="212"/>
      <c r="V862" s="212"/>
      <c r="W862" s="212"/>
      <c r="X862" s="212"/>
      <c r="Y862" s="212"/>
      <c r="Z862" s="212"/>
      <c r="AA862" s="176"/>
    </row>
    <row r="863">
      <c r="A863" s="165" t="str">
        <f>iferror(VLOOKUP(P863,'DO NOT TOUCH Imported'!$A$1:$D$800,4,False),iferror(VLOOKUP(P863,'DO NOT TOUCH Imported'!$C$1:$D$800,2,False),"OOPS FIX ME"))</f>
        <v>fabiosmendes</v>
      </c>
      <c r="B863" s="165" t="s">
        <v>435</v>
      </c>
      <c r="C863" s="170" t="s">
        <v>1556</v>
      </c>
      <c r="D863" s="236" t="s">
        <v>437</v>
      </c>
      <c r="E863" s="239">
        <v>44287.0</v>
      </c>
      <c r="F863" s="170" t="s">
        <v>439</v>
      </c>
      <c r="G863" s="219"/>
      <c r="H863" s="171">
        <v>100.0</v>
      </c>
      <c r="I863" s="171">
        <v>100.0</v>
      </c>
      <c r="J863" s="172">
        <f t="shared" si="24"/>
        <v>0.001436335405</v>
      </c>
      <c r="K863" s="173">
        <f t="shared" ref="K863:K873" si="44">J863*$J$1</f>
        <v>1.651785716</v>
      </c>
      <c r="L863" s="174">
        <f t="shared" si="4"/>
        <v>1.609504077</v>
      </c>
      <c r="M863" s="175" t="str">
        <f t="shared" si="5"/>
        <v>fabiosmendes</v>
      </c>
      <c r="N863" s="176">
        <f>IFERROR(__xludf.DUMMYFUNCTION("""COMPUTED_VALUE"""),2.0)</f>
        <v>2</v>
      </c>
      <c r="O863" s="176"/>
      <c r="P863" s="165" t="s">
        <v>773</v>
      </c>
      <c r="Q863" s="165" t="s">
        <v>435</v>
      </c>
      <c r="R863" s="176"/>
      <c r="S863" s="176"/>
      <c r="T863" s="176"/>
      <c r="U863" s="176"/>
      <c r="V863" s="176"/>
      <c r="W863" s="176"/>
      <c r="X863" s="176"/>
      <c r="Y863" s="176"/>
      <c r="Z863" s="176"/>
      <c r="AA863" s="176"/>
    </row>
    <row r="864">
      <c r="A864" s="165" t="str">
        <f>iferror(VLOOKUP(P864,'DO NOT TOUCH Imported'!$A$1:$D$800,4,False),iferror(VLOOKUP(P864,'DO NOT TOUCH Imported'!$C$1:$D$800,2,False),"OOPS FIX ME"))</f>
        <v>fabiosmendes</v>
      </c>
      <c r="B864" s="165" t="s">
        <v>441</v>
      </c>
      <c r="C864" s="170" t="s">
        <v>1514</v>
      </c>
      <c r="D864" s="236" t="s">
        <v>437</v>
      </c>
      <c r="E864" s="239">
        <v>44288.0</v>
      </c>
      <c r="F864" s="170" t="s">
        <v>439</v>
      </c>
      <c r="G864" s="219"/>
      <c r="H864" s="171">
        <v>100.0</v>
      </c>
      <c r="I864" s="171">
        <v>150.0</v>
      </c>
      <c r="J864" s="172">
        <f t="shared" si="24"/>
        <v>0.001792917919</v>
      </c>
      <c r="K864" s="173">
        <f t="shared" si="44"/>
        <v>2.061855606</v>
      </c>
      <c r="L864" s="174">
        <f t="shared" si="4"/>
        <v>1.609504077</v>
      </c>
      <c r="M864" s="175" t="str">
        <f t="shared" si="5"/>
        <v>fabiosmendes</v>
      </c>
      <c r="N864" s="176">
        <f>IFERROR(__xludf.DUMMYFUNCTION("""COMPUTED_VALUE"""),3.0)</f>
        <v>3</v>
      </c>
      <c r="O864" s="176"/>
      <c r="P864" s="165" t="s">
        <v>773</v>
      </c>
      <c r="Q864" s="165" t="s">
        <v>441</v>
      </c>
      <c r="R864" s="176"/>
      <c r="S864" s="176"/>
      <c r="T864" s="176"/>
      <c r="U864" s="176"/>
      <c r="V864" s="176"/>
      <c r="W864" s="176"/>
      <c r="X864" s="176"/>
      <c r="Y864" s="176"/>
      <c r="Z864" s="176"/>
      <c r="AA864" s="176"/>
    </row>
    <row r="865">
      <c r="A865" s="165" t="str">
        <f>iferror(VLOOKUP(P865,'DO NOT TOUCH Imported'!$A$1:$D$800,4,False),iferror(VLOOKUP(P865,'DO NOT TOUCH Imported'!$C$1:$D$800,2,False),"OOPS FIX ME"))</f>
        <v>fabiosmendes</v>
      </c>
      <c r="B865" s="165" t="s">
        <v>441</v>
      </c>
      <c r="C865" s="170" t="s">
        <v>1408</v>
      </c>
      <c r="D865" s="236" t="s">
        <v>437</v>
      </c>
      <c r="E865" s="237">
        <v>44288.0</v>
      </c>
      <c r="F865" s="170" t="s">
        <v>439</v>
      </c>
      <c r="G865" s="219"/>
      <c r="H865" s="171">
        <v>100.0</v>
      </c>
      <c r="I865" s="171">
        <v>150.0</v>
      </c>
      <c r="J865" s="172">
        <f t="shared" si="24"/>
        <v>0.001792917919</v>
      </c>
      <c r="K865" s="173">
        <f t="shared" si="44"/>
        <v>2.061855606</v>
      </c>
      <c r="L865" s="174">
        <f t="shared" si="4"/>
        <v>1.609504077</v>
      </c>
      <c r="M865" s="175" t="str">
        <f t="shared" si="5"/>
        <v>fabiosmendes</v>
      </c>
      <c r="N865" s="176">
        <f>IFERROR(__xludf.DUMMYFUNCTION("""COMPUTED_VALUE"""),4.0)</f>
        <v>4</v>
      </c>
      <c r="O865" s="176"/>
      <c r="P865" s="165" t="s">
        <v>773</v>
      </c>
      <c r="Q865" s="165" t="s">
        <v>441</v>
      </c>
      <c r="R865" s="176"/>
      <c r="S865" s="176"/>
      <c r="T865" s="176"/>
      <c r="U865" s="176"/>
      <c r="V865" s="176"/>
      <c r="W865" s="176"/>
      <c r="X865" s="176"/>
      <c r="Y865" s="176"/>
      <c r="Z865" s="176"/>
      <c r="AA865" s="176"/>
    </row>
    <row r="866">
      <c r="A866" s="165" t="str">
        <f>iferror(VLOOKUP(P866,'DO NOT TOUCH Imported'!$A$1:$D$800,4,False),iferror(VLOOKUP(P866,'DO NOT TOUCH Imported'!$C$1:$D$800,2,False),"OOPS FIX ME"))</f>
        <v>fabiosmendes</v>
      </c>
      <c r="B866" s="165" t="s">
        <v>450</v>
      </c>
      <c r="C866" s="170" t="s">
        <v>1557</v>
      </c>
      <c r="D866" s="236" t="s">
        <v>437</v>
      </c>
      <c r="E866" s="237">
        <v>44294.0</v>
      </c>
      <c r="F866" s="170" t="s">
        <v>1558</v>
      </c>
      <c r="G866" s="219"/>
      <c r="H866" s="171">
        <v>100.0</v>
      </c>
      <c r="I866" s="171">
        <v>100.0</v>
      </c>
      <c r="J866" s="172">
        <f t="shared" si="24"/>
        <v>0.001436335405</v>
      </c>
      <c r="K866" s="173">
        <f t="shared" si="44"/>
        <v>1.651785716</v>
      </c>
      <c r="L866" s="174">
        <f t="shared" si="4"/>
        <v>1.609504077</v>
      </c>
      <c r="M866" s="175" t="str">
        <f t="shared" si="5"/>
        <v>fabiosmendes</v>
      </c>
      <c r="N866" s="176">
        <f>IFERROR(__xludf.DUMMYFUNCTION("""COMPUTED_VALUE"""),5.0)</f>
        <v>5</v>
      </c>
      <c r="O866" s="176"/>
      <c r="P866" s="165" t="s">
        <v>773</v>
      </c>
      <c r="Q866" s="165" t="s">
        <v>450</v>
      </c>
      <c r="R866" s="176"/>
      <c r="S866" s="176"/>
      <c r="T866" s="176"/>
      <c r="U866" s="176"/>
      <c r="V866" s="176"/>
      <c r="W866" s="176"/>
      <c r="X866" s="176"/>
      <c r="Y866" s="176"/>
      <c r="Z866" s="176"/>
      <c r="AA866" s="176"/>
    </row>
    <row r="867">
      <c r="A867" s="165" t="str">
        <f>iferror(VLOOKUP(P867,'DO NOT TOUCH Imported'!$A$1:$D$800,4,False),iferror(VLOOKUP(P867,'DO NOT TOUCH Imported'!$C$1:$D$800,2,False),"OOPS FIX ME"))</f>
        <v>fabiosmendes</v>
      </c>
      <c r="B867" s="165" t="s">
        <v>441</v>
      </c>
      <c r="C867" s="170" t="s">
        <v>1510</v>
      </c>
      <c r="D867" s="236" t="s">
        <v>437</v>
      </c>
      <c r="E867" s="237">
        <v>44295.0</v>
      </c>
      <c r="F867" s="170" t="s">
        <v>439</v>
      </c>
      <c r="G867" s="219"/>
      <c r="H867" s="171">
        <v>100.0</v>
      </c>
      <c r="I867" s="171">
        <v>100.0</v>
      </c>
      <c r="J867" s="172">
        <f t="shared" si="24"/>
        <v>0.001436335405</v>
      </c>
      <c r="K867" s="173">
        <f t="shared" si="44"/>
        <v>1.651785716</v>
      </c>
      <c r="L867" s="174">
        <f t="shared" si="4"/>
        <v>1.609504077</v>
      </c>
      <c r="M867" s="175" t="str">
        <f t="shared" si="5"/>
        <v>fabiosmendes</v>
      </c>
      <c r="N867" s="176">
        <f>IFERROR(__xludf.DUMMYFUNCTION("""COMPUTED_VALUE"""),6.0)</f>
        <v>6</v>
      </c>
      <c r="O867" s="176"/>
      <c r="P867" s="165" t="s">
        <v>773</v>
      </c>
      <c r="Q867" s="165" t="s">
        <v>441</v>
      </c>
      <c r="R867" s="176"/>
      <c r="S867" s="176"/>
      <c r="T867" s="176"/>
      <c r="U867" s="176"/>
      <c r="V867" s="176"/>
      <c r="W867" s="176"/>
      <c r="X867" s="176"/>
      <c r="Y867" s="176"/>
      <c r="Z867" s="176"/>
      <c r="AA867" s="176"/>
    </row>
    <row r="868">
      <c r="A868" s="165" t="str">
        <f>iferror(VLOOKUP(P868,'DO NOT TOUCH Imported'!$A$1:$D$800,4,False),iferror(VLOOKUP(P868,'DO NOT TOUCH Imported'!$C$1:$D$800,2,False),"OOPS FIX ME"))</f>
        <v>fabiosmendes</v>
      </c>
      <c r="B868" s="165" t="s">
        <v>441</v>
      </c>
      <c r="C868" s="170" t="s">
        <v>1516</v>
      </c>
      <c r="D868" s="236" t="s">
        <v>437</v>
      </c>
      <c r="E868" s="237">
        <v>44295.0</v>
      </c>
      <c r="F868" s="170" t="s">
        <v>439</v>
      </c>
      <c r="G868" s="219"/>
      <c r="H868" s="171">
        <v>100.0</v>
      </c>
      <c r="I868" s="171">
        <v>100.0</v>
      </c>
      <c r="J868" s="172">
        <f t="shared" si="24"/>
        <v>0.001436335405</v>
      </c>
      <c r="K868" s="173">
        <f t="shared" si="44"/>
        <v>1.651785716</v>
      </c>
      <c r="L868" s="174">
        <f t="shared" si="4"/>
        <v>1.609504077</v>
      </c>
      <c r="M868" s="175" t="str">
        <f t="shared" si="5"/>
        <v>fabiosmendes</v>
      </c>
      <c r="N868" s="176">
        <f>IFERROR(__xludf.DUMMYFUNCTION("""COMPUTED_VALUE"""),7.0)</f>
        <v>7</v>
      </c>
      <c r="O868" s="176"/>
      <c r="P868" s="165" t="s">
        <v>773</v>
      </c>
      <c r="Q868" s="165" t="s">
        <v>441</v>
      </c>
      <c r="R868" s="176"/>
      <c r="S868" s="176"/>
      <c r="T868" s="176"/>
      <c r="U868" s="176"/>
      <c r="V868" s="176"/>
      <c r="W868" s="176"/>
      <c r="X868" s="176"/>
      <c r="Y868" s="176"/>
      <c r="Z868" s="176"/>
      <c r="AA868" s="176"/>
    </row>
    <row r="869">
      <c r="A869" s="165" t="str">
        <f>iferror(VLOOKUP(P869,'DO NOT TOUCH Imported'!$A$1:$D$800,4,False),iferror(VLOOKUP(P869,'DO NOT TOUCH Imported'!$C$1:$D$800,2,False),"OOPS FIX ME"))</f>
        <v>Michal#7390</v>
      </c>
      <c r="B869" s="165" t="s">
        <v>463</v>
      </c>
      <c r="C869" s="170" t="s">
        <v>1239</v>
      </c>
      <c r="D869" s="236" t="s">
        <v>437</v>
      </c>
      <c r="E869" s="239">
        <v>44286.0</v>
      </c>
      <c r="F869" s="170" t="s">
        <v>439</v>
      </c>
      <c r="G869" s="219"/>
      <c r="H869" s="171">
        <v>100.0</v>
      </c>
      <c r="I869" s="171">
        <v>80.0</v>
      </c>
      <c r="J869" s="172">
        <f t="shared" si="24"/>
        <v>0.0012937024</v>
      </c>
      <c r="K869" s="173">
        <f t="shared" si="44"/>
        <v>1.48775776</v>
      </c>
      <c r="L869" s="174">
        <f t="shared" si="4"/>
        <v>1.48775776</v>
      </c>
      <c r="M869" s="175" t="str">
        <f t="shared" si="5"/>
        <v>Michal#7390</v>
      </c>
      <c r="N869" s="176">
        <f>IFERROR(__xludf.DUMMYFUNCTION("""COMPUTED_VALUE"""),1.0)</f>
        <v>1</v>
      </c>
      <c r="O869" s="176"/>
      <c r="P869" s="165" t="s">
        <v>173</v>
      </c>
      <c r="Q869" s="165" t="s">
        <v>463</v>
      </c>
      <c r="R869" s="176"/>
      <c r="S869" s="176"/>
      <c r="T869" s="176"/>
      <c r="U869" s="176"/>
      <c r="V869" s="176"/>
      <c r="W869" s="176"/>
      <c r="X869" s="176"/>
      <c r="Y869" s="176"/>
      <c r="Z869" s="176"/>
      <c r="AA869" s="176"/>
    </row>
    <row r="870">
      <c r="A870" s="165" t="str">
        <f>iferror(VLOOKUP(P870,'DO NOT TOUCH Imported'!$A$1:$D$800,4,False),iferror(VLOOKUP(P870,'DO NOT TOUCH Imported'!$C$1:$D$800,2,False),"OOPS FIX ME"))</f>
        <v>JoseVicente1</v>
      </c>
      <c r="B870" s="165" t="s">
        <v>443</v>
      </c>
      <c r="C870" s="170" t="s">
        <v>1252</v>
      </c>
      <c r="D870" s="236" t="s">
        <v>437</v>
      </c>
      <c r="E870" s="237">
        <v>44291.0</v>
      </c>
      <c r="F870" s="170" t="s">
        <v>439</v>
      </c>
      <c r="G870" s="219"/>
      <c r="H870" s="171">
        <v>100.0</v>
      </c>
      <c r="I870" s="171">
        <v>80.0</v>
      </c>
      <c r="J870" s="172">
        <f t="shared" si="24"/>
        <v>0.0012937024</v>
      </c>
      <c r="K870" s="173">
        <f t="shared" si="44"/>
        <v>1.48775776</v>
      </c>
      <c r="L870" s="174">
        <f t="shared" si="4"/>
        <v>1.48775776</v>
      </c>
      <c r="M870" s="175" t="str">
        <f t="shared" si="5"/>
        <v>JoseVicente1</v>
      </c>
      <c r="N870" s="176">
        <f>IFERROR(__xludf.DUMMYFUNCTION("""COMPUTED_VALUE"""),1.0)</f>
        <v>1</v>
      </c>
      <c r="O870" s="176"/>
      <c r="P870" s="165" t="s">
        <v>412</v>
      </c>
      <c r="Q870" s="165" t="s">
        <v>443</v>
      </c>
      <c r="R870" s="176"/>
      <c r="S870" s="176"/>
      <c r="T870" s="176"/>
      <c r="U870" s="176"/>
      <c r="V870" s="176"/>
      <c r="W870" s="176"/>
      <c r="X870" s="176"/>
      <c r="Y870" s="176"/>
      <c r="Z870" s="176"/>
      <c r="AA870" s="176"/>
    </row>
    <row r="871">
      <c r="A871" s="165" t="str">
        <f>iferror(VLOOKUP(P871,'DO NOT TOUCH Imported'!$A$1:$D$800,4,False),iferror(VLOOKUP(P871,'DO NOT TOUCH Imported'!$C$1:$D$800,2,False),"OOPS FIX ME"))</f>
        <v>bends#3537</v>
      </c>
      <c r="B871" s="165" t="s">
        <v>530</v>
      </c>
      <c r="C871" s="170" t="s">
        <v>1377</v>
      </c>
      <c r="D871" s="236" t="s">
        <v>499</v>
      </c>
      <c r="E871" s="237">
        <v>44291.0</v>
      </c>
      <c r="F871" s="170" t="s">
        <v>503</v>
      </c>
      <c r="G871" s="219"/>
      <c r="H871" s="171">
        <v>40.0</v>
      </c>
      <c r="I871" s="171">
        <v>40.0</v>
      </c>
      <c r="J871" s="172">
        <f t="shared" si="24"/>
        <v>0.0005745341621</v>
      </c>
      <c r="K871" s="173">
        <f t="shared" si="44"/>
        <v>0.6607142865</v>
      </c>
      <c r="L871" s="174">
        <f t="shared" si="4"/>
        <v>1.486607145</v>
      </c>
      <c r="M871" s="175" t="str">
        <f t="shared" si="5"/>
        <v>bends#3537</v>
      </c>
      <c r="N871" s="176">
        <f>IFERROR(__xludf.DUMMYFUNCTION("""COMPUTED_VALUE"""),1.0)</f>
        <v>1</v>
      </c>
      <c r="O871" s="176"/>
      <c r="P871" s="165" t="s">
        <v>182</v>
      </c>
      <c r="Q871" s="165" t="s">
        <v>530</v>
      </c>
      <c r="R871" s="176"/>
      <c r="S871" s="176"/>
      <c r="T871" s="176"/>
      <c r="U871" s="176"/>
      <c r="V871" s="176"/>
      <c r="W871" s="176"/>
      <c r="X871" s="176"/>
      <c r="Y871" s="176"/>
      <c r="Z871" s="176"/>
      <c r="AA871" s="176"/>
    </row>
    <row r="872">
      <c r="A872" s="165" t="str">
        <f>iferror(VLOOKUP(P872,'DO NOT TOUCH Imported'!$A$1:$D$800,4,False),iferror(VLOOKUP(P872,'DO NOT TOUCH Imported'!$C$1:$D$800,2,False),"OOPS FIX ME"))</f>
        <v>bends#3537</v>
      </c>
      <c r="B872" s="165" t="s">
        <v>441</v>
      </c>
      <c r="C872" s="170" t="s">
        <v>1267</v>
      </c>
      <c r="D872" s="236" t="s">
        <v>437</v>
      </c>
      <c r="E872" s="237">
        <v>44295.0</v>
      </c>
      <c r="F872" s="170" t="s">
        <v>439</v>
      </c>
      <c r="G872" s="219"/>
      <c r="H872" s="171">
        <v>50.0</v>
      </c>
      <c r="I872" s="171">
        <v>50.0</v>
      </c>
      <c r="J872" s="172">
        <f t="shared" si="24"/>
        <v>0.0007181677027</v>
      </c>
      <c r="K872" s="173">
        <f t="shared" si="44"/>
        <v>0.8258928581</v>
      </c>
      <c r="L872" s="174">
        <f t="shared" si="4"/>
        <v>1.486607145</v>
      </c>
      <c r="M872" s="175" t="str">
        <f t="shared" si="5"/>
        <v>bends#3537</v>
      </c>
      <c r="N872" s="176">
        <f>IFERROR(__xludf.DUMMYFUNCTION("""COMPUTED_VALUE"""),2.0)</f>
        <v>2</v>
      </c>
      <c r="O872" s="176"/>
      <c r="P872" s="165" t="s">
        <v>182</v>
      </c>
      <c r="Q872" s="165" t="s">
        <v>441</v>
      </c>
      <c r="R872" s="176"/>
      <c r="S872" s="176"/>
      <c r="T872" s="176"/>
      <c r="U872" s="176"/>
      <c r="V872" s="176"/>
      <c r="W872" s="176"/>
      <c r="X872" s="176"/>
      <c r="Y872" s="176"/>
      <c r="Z872" s="176"/>
      <c r="AA872" s="176"/>
    </row>
    <row r="873">
      <c r="A873" s="165" t="str">
        <f>iferror(VLOOKUP(P873,'DO NOT TOUCH Imported'!$A$1:$D$800,4,False),iferror(VLOOKUP(P873,'DO NOT TOUCH Imported'!$C$1:$D$800,2,False),"OOPS FIX ME"))</f>
        <v>meedabyte</v>
      </c>
      <c r="B873" s="165" t="s">
        <v>29</v>
      </c>
      <c r="C873" s="170" t="s">
        <v>1559</v>
      </c>
      <c r="D873" s="236" t="s">
        <v>495</v>
      </c>
      <c r="E873" s="239">
        <v>44292.0</v>
      </c>
      <c r="F873" s="170" t="s">
        <v>499</v>
      </c>
      <c r="G873" s="219"/>
      <c r="H873" s="171">
        <v>100.0</v>
      </c>
      <c r="I873" s="171">
        <v>70.0</v>
      </c>
      <c r="J873" s="172">
        <f t="shared" si="24"/>
        <v>0.001222385897</v>
      </c>
      <c r="K873" s="173">
        <f t="shared" si="44"/>
        <v>1.405743782</v>
      </c>
      <c r="L873" s="174">
        <f t="shared" si="4"/>
        <v>1.405743782</v>
      </c>
      <c r="M873" s="175" t="str">
        <f t="shared" si="5"/>
        <v>meedabyte</v>
      </c>
      <c r="N873" s="176">
        <f>IFERROR(__xludf.DUMMYFUNCTION("""COMPUTED_VALUE"""),1.0)</f>
        <v>1</v>
      </c>
      <c r="O873" s="176"/>
      <c r="P873" s="165" t="s">
        <v>265</v>
      </c>
      <c r="Q873" s="165" t="s">
        <v>29</v>
      </c>
      <c r="R873" s="176"/>
      <c r="S873" s="176"/>
      <c r="T873" s="176"/>
      <c r="U873" s="176"/>
      <c r="V873" s="176"/>
      <c r="W873" s="176"/>
      <c r="X873" s="176"/>
      <c r="Y873" s="176"/>
      <c r="Z873" s="176"/>
      <c r="AA873" s="176"/>
    </row>
    <row r="874">
      <c r="A874" s="185" t="str">
        <f>iferror(VLOOKUP(P874,'DO NOT TOUCH Imported'!$A$1:$D$800,4,False),iferror(VLOOKUP(P874,'DO NOT TOUCH Imported'!$C$1:$D$800,2,False),"OOPS FIX ME"))</f>
        <v>knobsDAO</v>
      </c>
      <c r="B874" s="185" t="s">
        <v>534</v>
      </c>
      <c r="C874" s="186" t="s">
        <v>684</v>
      </c>
      <c r="D874" s="187"/>
      <c r="E874" s="188"/>
      <c r="F874" s="189"/>
      <c r="G874" s="190"/>
      <c r="H874" s="190"/>
      <c r="I874" s="190"/>
      <c r="J874" s="172">
        <f t="shared" si="24"/>
        <v>0</v>
      </c>
      <c r="K874" s="192">
        <f>8.646*-0.85</f>
        <v>-7.3491</v>
      </c>
      <c r="L874" s="193">
        <f t="shared" si="4"/>
        <v>1.29688616</v>
      </c>
      <c r="M874" s="194" t="str">
        <f t="shared" si="5"/>
        <v>knobsDAO</v>
      </c>
      <c r="N874" s="195">
        <f>IFERROR(__xludf.DUMMYFUNCTION("""COMPUTED_VALUE"""),1.0)</f>
        <v>1</v>
      </c>
      <c r="O874" s="195"/>
      <c r="P874" s="185" t="s">
        <v>49</v>
      </c>
      <c r="Q874" s="185" t="s">
        <v>534</v>
      </c>
      <c r="R874" s="195">
        <v>15.224018051145396</v>
      </c>
      <c r="S874" s="195"/>
      <c r="T874" s="195"/>
      <c r="U874" s="195"/>
      <c r="V874" s="195"/>
      <c r="W874" s="195"/>
      <c r="X874" s="195"/>
      <c r="Y874" s="195"/>
      <c r="Z874" s="195"/>
      <c r="AA874" s="176"/>
    </row>
    <row r="875">
      <c r="A875" s="165" t="str">
        <f>iferror(VLOOKUP(P875,'DO NOT TOUCH Imported'!$A$1:$D$800,4,False),iferror(VLOOKUP(P875,'DO NOT TOUCH Imported'!$C$1:$D$800,2,False),"OOPS FIX ME"))</f>
        <v>knobsDAO</v>
      </c>
      <c r="B875" s="165" t="s">
        <v>435</v>
      </c>
      <c r="C875" s="170" t="s">
        <v>1560</v>
      </c>
      <c r="D875" s="236" t="s">
        <v>437</v>
      </c>
      <c r="E875" s="239">
        <v>44287.0</v>
      </c>
      <c r="F875" s="170" t="s">
        <v>439</v>
      </c>
      <c r="G875" s="219"/>
      <c r="H875" s="171">
        <v>100.0</v>
      </c>
      <c r="I875" s="171">
        <v>300.0</v>
      </c>
      <c r="J875" s="172">
        <f t="shared" si="24"/>
        <v>0.002862665458</v>
      </c>
      <c r="K875" s="173">
        <f t="shared" ref="K875:K964" si="45">J875*$J$1</f>
        <v>3.292065277</v>
      </c>
      <c r="L875" s="174">
        <f t="shared" si="4"/>
        <v>1.29688616</v>
      </c>
      <c r="M875" s="175" t="str">
        <f t="shared" si="5"/>
        <v>knobsDAO</v>
      </c>
      <c r="N875" s="176">
        <f>IFERROR(__xludf.DUMMYFUNCTION("""COMPUTED_VALUE"""),2.0)</f>
        <v>2</v>
      </c>
      <c r="O875" s="176"/>
      <c r="P875" s="165" t="s">
        <v>768</v>
      </c>
      <c r="Q875" s="165" t="s">
        <v>435</v>
      </c>
      <c r="R875" s="176"/>
      <c r="S875" s="176"/>
      <c r="T875" s="176"/>
      <c r="U875" s="176"/>
      <c r="V875" s="176"/>
      <c r="W875" s="176"/>
      <c r="X875" s="176"/>
      <c r="Y875" s="176"/>
      <c r="Z875" s="176"/>
      <c r="AA875" s="176"/>
    </row>
    <row r="876">
      <c r="A876" s="165" t="str">
        <f>iferror(VLOOKUP(P876,'DO NOT TOUCH Imported'!$A$1:$D$800,4,False),iferror(VLOOKUP(P876,'DO NOT TOUCH Imported'!$C$1:$D$800,2,False),"OOPS FIX ME"))</f>
        <v>knobsDAO</v>
      </c>
      <c r="B876" s="165" t="s">
        <v>435</v>
      </c>
      <c r="C876" s="170" t="s">
        <v>1561</v>
      </c>
      <c r="D876" s="236" t="s">
        <v>499</v>
      </c>
      <c r="E876" s="237">
        <v>44291.0</v>
      </c>
      <c r="F876" s="170" t="s">
        <v>503</v>
      </c>
      <c r="G876" s="219"/>
      <c r="H876" s="171">
        <v>100.0</v>
      </c>
      <c r="I876" s="171">
        <v>150.0</v>
      </c>
      <c r="J876" s="172">
        <f t="shared" si="24"/>
        <v>0.001792917919</v>
      </c>
      <c r="K876" s="173">
        <f t="shared" si="45"/>
        <v>2.061855606</v>
      </c>
      <c r="L876" s="174">
        <f t="shared" si="4"/>
        <v>1.29688616</v>
      </c>
      <c r="M876" s="175" t="str">
        <f t="shared" si="5"/>
        <v>knobsDAO</v>
      </c>
      <c r="N876" s="176">
        <f>IFERROR(__xludf.DUMMYFUNCTION("""COMPUTED_VALUE"""),3.0)</f>
        <v>3</v>
      </c>
      <c r="O876" s="176"/>
      <c r="P876" s="165" t="s">
        <v>768</v>
      </c>
      <c r="Q876" s="165" t="s">
        <v>435</v>
      </c>
      <c r="R876" s="176"/>
      <c r="S876" s="176"/>
      <c r="T876" s="176"/>
      <c r="U876" s="176"/>
      <c r="V876" s="176"/>
      <c r="W876" s="176"/>
      <c r="X876" s="176"/>
      <c r="Y876" s="176"/>
      <c r="Z876" s="176"/>
      <c r="AA876" s="176"/>
    </row>
    <row r="877">
      <c r="A877" s="165" t="str">
        <f>iferror(VLOOKUP(P877,'DO NOT TOUCH Imported'!$A$1:$D$800,4,False),iferror(VLOOKUP(P877,'DO NOT TOUCH Imported'!$C$1:$D$800,2,False),"OOPS FIX ME"))</f>
        <v>knobsDAO</v>
      </c>
      <c r="B877" s="165" t="s">
        <v>566</v>
      </c>
      <c r="C877" s="170" t="s">
        <v>1562</v>
      </c>
      <c r="D877" s="236" t="s">
        <v>499</v>
      </c>
      <c r="E877" s="237">
        <v>44291.0</v>
      </c>
      <c r="F877" s="170" t="s">
        <v>503</v>
      </c>
      <c r="G877" s="219"/>
      <c r="H877" s="171">
        <v>100.0</v>
      </c>
      <c r="I877" s="171">
        <v>300.0</v>
      </c>
      <c r="J877" s="172">
        <f t="shared" si="24"/>
        <v>0.002862665458</v>
      </c>
      <c r="K877" s="173">
        <f t="shared" si="45"/>
        <v>3.292065277</v>
      </c>
      <c r="L877" s="174">
        <f t="shared" si="4"/>
        <v>1.29688616</v>
      </c>
      <c r="M877" s="175" t="str">
        <f t="shared" si="5"/>
        <v>knobsDAO</v>
      </c>
      <c r="N877" s="176">
        <f>IFERROR(__xludf.DUMMYFUNCTION("""COMPUTED_VALUE"""),4.0)</f>
        <v>4</v>
      </c>
      <c r="O877" s="176"/>
      <c r="P877" s="165" t="s">
        <v>768</v>
      </c>
      <c r="Q877" s="165" t="s">
        <v>566</v>
      </c>
      <c r="R877" s="176"/>
      <c r="S877" s="176"/>
      <c r="T877" s="176"/>
      <c r="U877" s="176"/>
      <c r="V877" s="176"/>
      <c r="W877" s="176"/>
      <c r="X877" s="176"/>
      <c r="Y877" s="176"/>
      <c r="Z877" s="176"/>
      <c r="AA877" s="176"/>
    </row>
    <row r="878">
      <c r="A878" s="165" t="str">
        <f>iferror(VLOOKUP(P878,'DO NOT TOUCH Imported'!$A$1:$D$800,4,False),iferror(VLOOKUP(P878,'DO NOT TOUCH Imported'!$C$1:$D$800,2,False),"OOPS FIX ME"))</f>
        <v>Thales#8858</v>
      </c>
      <c r="B878" s="165" t="s">
        <v>768</v>
      </c>
      <c r="C878" s="170" t="s">
        <v>1563</v>
      </c>
      <c r="D878" s="236" t="s">
        <v>499</v>
      </c>
      <c r="E878" s="237">
        <v>44292.0</v>
      </c>
      <c r="F878" s="170" t="s">
        <v>503</v>
      </c>
      <c r="G878" s="219"/>
      <c r="H878" s="171">
        <v>70.0</v>
      </c>
      <c r="I878" s="171">
        <v>80.0</v>
      </c>
      <c r="J878" s="172">
        <f t="shared" si="24"/>
        <v>0.001076751286</v>
      </c>
      <c r="K878" s="173">
        <f t="shared" si="45"/>
        <v>1.238263979</v>
      </c>
      <c r="L878" s="174">
        <f t="shared" si="4"/>
        <v>1.238263979</v>
      </c>
      <c r="M878" s="175" t="str">
        <f t="shared" si="5"/>
        <v>Thales#8858</v>
      </c>
      <c r="N878" s="176">
        <f>IFERROR(__xludf.DUMMYFUNCTION("""COMPUTED_VALUE"""),1.0)</f>
        <v>1</v>
      </c>
      <c r="O878" s="176"/>
      <c r="P878" s="165" t="s">
        <v>275</v>
      </c>
      <c r="Q878" s="165" t="s">
        <v>768</v>
      </c>
      <c r="R878" s="176"/>
      <c r="S878" s="176"/>
      <c r="T878" s="176"/>
      <c r="U878" s="176"/>
      <c r="V878" s="176"/>
      <c r="W878" s="176"/>
      <c r="X878" s="176"/>
      <c r="Y878" s="176"/>
      <c r="Z878" s="176"/>
      <c r="AA878" s="176"/>
    </row>
    <row r="879">
      <c r="A879" s="165" t="str">
        <f>iferror(VLOOKUP(P879,'DO NOT TOUCH Imported'!$A$1:$D$800,4,False),iferror(VLOOKUP(P879,'DO NOT TOUCH Imported'!$C$1:$D$800,2,False),"OOPS FIX ME"))</f>
        <v>barnabemonnot</v>
      </c>
      <c r="B879" s="165" t="s">
        <v>435</v>
      </c>
      <c r="C879" s="170" t="s">
        <v>1564</v>
      </c>
      <c r="D879" s="236" t="s">
        <v>437</v>
      </c>
      <c r="E879" s="237">
        <v>44292.0</v>
      </c>
      <c r="F879" s="170" t="s">
        <v>439</v>
      </c>
      <c r="G879" s="219"/>
      <c r="H879" s="171">
        <v>70.0</v>
      </c>
      <c r="I879" s="171">
        <v>80.0</v>
      </c>
      <c r="J879" s="172">
        <f t="shared" si="24"/>
        <v>0.001076751286</v>
      </c>
      <c r="K879" s="173">
        <f t="shared" si="45"/>
        <v>1.238263979</v>
      </c>
      <c r="L879" s="174">
        <f t="shared" si="4"/>
        <v>1.238263979</v>
      </c>
      <c r="M879" s="175" t="str">
        <f t="shared" si="5"/>
        <v>barnabemonnot</v>
      </c>
      <c r="N879" s="176">
        <f>IFERROR(__xludf.DUMMYFUNCTION("""COMPUTED_VALUE"""),1.0)</f>
        <v>1</v>
      </c>
      <c r="O879" s="176"/>
      <c r="P879" s="165" t="s">
        <v>1565</v>
      </c>
      <c r="Q879" s="165" t="s">
        <v>435</v>
      </c>
      <c r="R879" s="176"/>
      <c r="S879" s="176"/>
      <c r="T879" s="176"/>
      <c r="U879" s="176"/>
      <c r="V879" s="176"/>
      <c r="W879" s="176"/>
      <c r="X879" s="176"/>
      <c r="Y879" s="176"/>
      <c r="Z879" s="176"/>
      <c r="AA879" s="176"/>
    </row>
    <row r="880">
      <c r="A880" s="165" t="str">
        <f>iferror(VLOOKUP(P880,'DO NOT TOUCH Imported'!$A$1:$D$800,4,False),iferror(VLOOKUP(P880,'DO NOT TOUCH Imported'!$C$1:$D$800,2,False),"OOPS FIX ME"))</f>
        <v>terry#6288</v>
      </c>
      <c r="B880" s="165" t="s">
        <v>441</v>
      </c>
      <c r="C880" s="170" t="s">
        <v>1566</v>
      </c>
      <c r="D880" s="236" t="s">
        <v>499</v>
      </c>
      <c r="E880" s="237">
        <v>44294.0</v>
      </c>
      <c r="F880" s="170" t="s">
        <v>503</v>
      </c>
      <c r="G880" s="219"/>
      <c r="H880" s="171">
        <v>70.0</v>
      </c>
      <c r="I880" s="171">
        <v>70.0</v>
      </c>
      <c r="J880" s="172">
        <f t="shared" si="24"/>
        <v>0.001005434784</v>
      </c>
      <c r="K880" s="173">
        <f t="shared" si="45"/>
        <v>1.156250001</v>
      </c>
      <c r="L880" s="174">
        <f t="shared" si="4"/>
        <v>1.156250001</v>
      </c>
      <c r="M880" s="175" t="str">
        <f t="shared" si="5"/>
        <v>terry#6288</v>
      </c>
      <c r="N880" s="176">
        <f>IFERROR(__xludf.DUMMYFUNCTION("""COMPUTED_VALUE"""),1.0)</f>
        <v>1</v>
      </c>
      <c r="O880" s="176"/>
      <c r="P880" s="165" t="s">
        <v>216</v>
      </c>
      <c r="Q880" s="165" t="s">
        <v>441</v>
      </c>
      <c r="R880" s="176"/>
      <c r="S880" s="176"/>
      <c r="T880" s="176"/>
      <c r="U880" s="176"/>
      <c r="V880" s="176"/>
      <c r="W880" s="176"/>
      <c r="X880" s="176"/>
      <c r="Y880" s="176"/>
      <c r="Z880" s="176"/>
      <c r="AA880" s="176"/>
    </row>
    <row r="881">
      <c r="A881" s="165" t="str">
        <f>iferror(VLOOKUP(P881,'DO NOT TOUCH Imported'!$A$1:$D$800,4,False),iferror(VLOOKUP(P881,'DO NOT TOUCH Imported'!$C$1:$D$800,2,False),"OOPS FIX ME"))</f>
        <v>vntrp</v>
      </c>
      <c r="B881" s="165" t="s">
        <v>435</v>
      </c>
      <c r="C881" s="170" t="s">
        <v>1567</v>
      </c>
      <c r="D881" s="236" t="s">
        <v>499</v>
      </c>
      <c r="E881" s="237">
        <v>44291.0</v>
      </c>
      <c r="F881" s="170" t="s">
        <v>503</v>
      </c>
      <c r="G881" s="219"/>
      <c r="H881" s="171">
        <v>60.0</v>
      </c>
      <c r="I881" s="171">
        <v>80.0</v>
      </c>
      <c r="J881" s="172">
        <f t="shared" si="24"/>
        <v>0.001004434248</v>
      </c>
      <c r="K881" s="173">
        <f t="shared" si="45"/>
        <v>1.155099386</v>
      </c>
      <c r="L881" s="174">
        <f t="shared" si="4"/>
        <v>1.155099386</v>
      </c>
      <c r="M881" s="175" t="str">
        <f t="shared" si="5"/>
        <v>vntrp</v>
      </c>
      <c r="N881" s="176">
        <f>IFERROR(__xludf.DUMMYFUNCTION("""COMPUTED_VALUE"""),1.0)</f>
        <v>1</v>
      </c>
      <c r="O881" s="176"/>
      <c r="P881" s="165" t="s">
        <v>849</v>
      </c>
      <c r="Q881" s="165" t="s">
        <v>435</v>
      </c>
      <c r="R881" s="176"/>
      <c r="S881" s="176"/>
      <c r="T881" s="176"/>
      <c r="U881" s="176"/>
      <c r="V881" s="176"/>
      <c r="W881" s="176"/>
      <c r="X881" s="176"/>
      <c r="Y881" s="176"/>
      <c r="Z881" s="176"/>
      <c r="AA881" s="176"/>
    </row>
    <row r="882">
      <c r="A882" s="165" t="str">
        <f>iferror(VLOOKUP(P882,'DO NOT TOUCH Imported'!$A$1:$D$800,4,False),iferror(VLOOKUP(P882,'DO NOT TOUCH Imported'!$C$1:$D$800,2,False),"OOPS FIX ME"))</f>
        <v>randomshinichi</v>
      </c>
      <c r="B882" s="165" t="s">
        <v>435</v>
      </c>
      <c r="C882" s="170" t="s">
        <v>1567</v>
      </c>
      <c r="D882" s="236" t="s">
        <v>499</v>
      </c>
      <c r="E882" s="237">
        <v>44291.0</v>
      </c>
      <c r="F882" s="170" t="s">
        <v>503</v>
      </c>
      <c r="G882" s="219"/>
      <c r="H882" s="171">
        <v>60.0</v>
      </c>
      <c r="I882" s="171">
        <v>80.0</v>
      </c>
      <c r="J882" s="172">
        <f t="shared" si="24"/>
        <v>0.001004434248</v>
      </c>
      <c r="K882" s="173">
        <f t="shared" si="45"/>
        <v>1.155099386</v>
      </c>
      <c r="L882" s="174">
        <f t="shared" si="4"/>
        <v>1.155099386</v>
      </c>
      <c r="M882" s="175" t="str">
        <f t="shared" si="5"/>
        <v>randomshinichi</v>
      </c>
      <c r="N882" s="176">
        <f>IFERROR(__xludf.DUMMYFUNCTION("""COMPUTED_VALUE"""),1.0)</f>
        <v>1</v>
      </c>
      <c r="O882" s="176"/>
      <c r="P882" s="165" t="s">
        <v>1568</v>
      </c>
      <c r="Q882" s="165" t="s">
        <v>435</v>
      </c>
      <c r="R882" s="176"/>
      <c r="S882" s="176"/>
      <c r="T882" s="176"/>
      <c r="U882" s="176"/>
      <c r="V882" s="176"/>
      <c r="W882" s="176"/>
      <c r="X882" s="176"/>
      <c r="Y882" s="176"/>
      <c r="Z882" s="176"/>
      <c r="AA882" s="176"/>
    </row>
    <row r="883">
      <c r="A883" s="165" t="str">
        <f>iferror(VLOOKUP(P883,'DO NOT TOUCH Imported'!$A$1:$D$800,4,False),iferror(VLOOKUP(P883,'DO NOT TOUCH Imported'!$C$1:$D$800,2,False),"OOPS FIX ME"))</f>
        <v>hxrts</v>
      </c>
      <c r="B883" s="165" t="s">
        <v>435</v>
      </c>
      <c r="C883" s="170" t="s">
        <v>1567</v>
      </c>
      <c r="D883" s="236" t="s">
        <v>499</v>
      </c>
      <c r="E883" s="237">
        <v>44291.0</v>
      </c>
      <c r="F883" s="170" t="s">
        <v>503</v>
      </c>
      <c r="G883" s="219"/>
      <c r="H883" s="171">
        <v>60.0</v>
      </c>
      <c r="I883" s="171">
        <v>80.0</v>
      </c>
      <c r="J883" s="172">
        <f t="shared" si="24"/>
        <v>0.001004434248</v>
      </c>
      <c r="K883" s="173">
        <f t="shared" si="45"/>
        <v>1.155099386</v>
      </c>
      <c r="L883" s="174">
        <f t="shared" si="4"/>
        <v>1.155099386</v>
      </c>
      <c r="M883" s="175" t="str">
        <f t="shared" si="5"/>
        <v>hxrts</v>
      </c>
      <c r="N883" s="176">
        <f>IFERROR(__xludf.DUMMYFUNCTION("""COMPUTED_VALUE"""),1.0)</f>
        <v>1</v>
      </c>
      <c r="O883" s="176"/>
      <c r="P883" s="165" t="s">
        <v>1201</v>
      </c>
      <c r="Q883" s="165" t="s">
        <v>435</v>
      </c>
      <c r="R883" s="176"/>
      <c r="S883" s="176"/>
      <c r="T883" s="176"/>
      <c r="U883" s="176"/>
      <c r="V883" s="176"/>
      <c r="W883" s="176"/>
      <c r="X883" s="176"/>
      <c r="Y883" s="176"/>
      <c r="Z883" s="176"/>
      <c r="AA883" s="176"/>
    </row>
    <row r="884">
      <c r="A884" s="165" t="str">
        <f>iferror(VLOOKUP(P884,'DO NOT TOUCH Imported'!$A$1:$D$800,4,False),iferror(VLOOKUP(P884,'DO NOT TOUCH Imported'!$C$1:$D$800,2,False),"OOPS FIX ME"))</f>
        <v>Michel Bauwens#1511</v>
      </c>
      <c r="B884" s="165" t="s">
        <v>441</v>
      </c>
      <c r="C884" s="170" t="s">
        <v>1006</v>
      </c>
      <c r="D884" s="236" t="s">
        <v>499</v>
      </c>
      <c r="E884" s="237">
        <v>44288.0</v>
      </c>
      <c r="F884" s="170" t="s">
        <v>503</v>
      </c>
      <c r="G884" s="219"/>
      <c r="H884" s="171">
        <v>20.0</v>
      </c>
      <c r="I884" s="171">
        <v>25.0</v>
      </c>
      <c r="J884" s="172">
        <f t="shared" si="24"/>
        <v>0.0003229253324</v>
      </c>
      <c r="K884" s="173">
        <f t="shared" si="45"/>
        <v>0.3713641322</v>
      </c>
      <c r="L884" s="174">
        <f t="shared" si="4"/>
        <v>1.114092397</v>
      </c>
      <c r="M884" s="175" t="str">
        <f t="shared" si="5"/>
        <v>Michel Bauwens#1511</v>
      </c>
      <c r="N884" s="176">
        <f>IFERROR(__xludf.DUMMYFUNCTION("""COMPUTED_VALUE"""),1.0)</f>
        <v>1</v>
      </c>
      <c r="O884" s="176"/>
      <c r="P884" s="165" t="s">
        <v>239</v>
      </c>
      <c r="Q884" s="165" t="s">
        <v>441</v>
      </c>
      <c r="R884" s="176"/>
      <c r="S884" s="176"/>
      <c r="T884" s="176"/>
      <c r="U884" s="176"/>
      <c r="V884" s="176"/>
      <c r="W884" s="176"/>
      <c r="X884" s="176"/>
      <c r="Y884" s="176"/>
      <c r="Z884" s="176"/>
      <c r="AA884" s="176"/>
    </row>
    <row r="885">
      <c r="A885" s="165" t="str">
        <f>iferror(VLOOKUP(P885,'DO NOT TOUCH Imported'!$A$1:$D$800,4,False),iferror(VLOOKUP(P885,'DO NOT TOUCH Imported'!$C$1:$D$800,2,False),"OOPS FIX ME"))</f>
        <v>Michel Bauwens#1511</v>
      </c>
      <c r="B885" s="165" t="s">
        <v>441</v>
      </c>
      <c r="C885" s="170" t="s">
        <v>1006</v>
      </c>
      <c r="D885" s="236" t="s">
        <v>499</v>
      </c>
      <c r="E885" s="237">
        <v>44295.0</v>
      </c>
      <c r="F885" s="170" t="s">
        <v>571</v>
      </c>
      <c r="G885" s="219"/>
      <c r="H885" s="171">
        <v>20.0</v>
      </c>
      <c r="I885" s="171">
        <v>25.0</v>
      </c>
      <c r="J885" s="172">
        <f t="shared" si="24"/>
        <v>0.0003229253324</v>
      </c>
      <c r="K885" s="173">
        <f t="shared" si="45"/>
        <v>0.3713641322</v>
      </c>
      <c r="L885" s="174">
        <f t="shared" si="4"/>
        <v>1.114092397</v>
      </c>
      <c r="M885" s="175" t="str">
        <f t="shared" si="5"/>
        <v>Michel Bauwens#1511</v>
      </c>
      <c r="N885" s="176">
        <f>IFERROR(__xludf.DUMMYFUNCTION("""COMPUTED_VALUE"""),2.0)</f>
        <v>2</v>
      </c>
      <c r="O885" s="176"/>
      <c r="P885" s="165" t="s">
        <v>239</v>
      </c>
      <c r="Q885" s="165" t="s">
        <v>441</v>
      </c>
      <c r="R885" s="176"/>
      <c r="S885" s="176"/>
      <c r="T885" s="176"/>
      <c r="U885" s="176"/>
      <c r="V885" s="176"/>
      <c r="W885" s="176"/>
      <c r="X885" s="176"/>
      <c r="Y885" s="176"/>
      <c r="Z885" s="176"/>
      <c r="AA885" s="176"/>
    </row>
    <row r="886">
      <c r="A886" s="165" t="str">
        <f>iferror(VLOOKUP(P886,'DO NOT TOUCH Imported'!$A$1:$D$800,4,False),iferror(VLOOKUP(P886,'DO NOT TOUCH Imported'!$C$1:$D$800,2,False),"OOPS FIX ME"))</f>
        <v>Michel Bauwens#1511</v>
      </c>
      <c r="B886" s="165" t="s">
        <v>441</v>
      </c>
      <c r="C886" s="170" t="s">
        <v>1006</v>
      </c>
      <c r="D886" s="236" t="s">
        <v>499</v>
      </c>
      <c r="E886" s="237">
        <v>44295.0</v>
      </c>
      <c r="F886" s="170" t="s">
        <v>503</v>
      </c>
      <c r="G886" s="219"/>
      <c r="H886" s="171">
        <v>20.0</v>
      </c>
      <c r="I886" s="171">
        <v>25.0</v>
      </c>
      <c r="J886" s="172">
        <f t="shared" si="24"/>
        <v>0.0003229253324</v>
      </c>
      <c r="K886" s="173">
        <f t="shared" si="45"/>
        <v>0.3713641322</v>
      </c>
      <c r="L886" s="174">
        <f t="shared" si="4"/>
        <v>1.114092397</v>
      </c>
      <c r="M886" s="175" t="str">
        <f t="shared" si="5"/>
        <v>Michel Bauwens#1511</v>
      </c>
      <c r="N886" s="176">
        <f>IFERROR(__xludf.DUMMYFUNCTION("""COMPUTED_VALUE"""),3.0)</f>
        <v>3</v>
      </c>
      <c r="O886" s="176"/>
      <c r="P886" s="165" t="s">
        <v>239</v>
      </c>
      <c r="Q886" s="165" t="s">
        <v>441</v>
      </c>
      <c r="R886" s="176"/>
      <c r="S886" s="176"/>
      <c r="T886" s="176"/>
      <c r="U886" s="176"/>
      <c r="V886" s="176"/>
      <c r="W886" s="176"/>
      <c r="X886" s="176"/>
      <c r="Y886" s="176"/>
      <c r="Z886" s="176"/>
      <c r="AA886" s="176"/>
    </row>
    <row r="887">
      <c r="A887" s="165" t="str">
        <f>iferror(VLOOKUP(P887,'DO NOT TOUCH Imported'!$A$1:$D$800,4,False),iferror(VLOOKUP(P887,'DO NOT TOUCH Imported'!$C$1:$D$800,2,False),"OOPS FIX ME"))</f>
        <v>NirV#4850</v>
      </c>
      <c r="B887" s="165" t="s">
        <v>530</v>
      </c>
      <c r="C887" s="170" t="s">
        <v>1541</v>
      </c>
      <c r="D887" s="236" t="s">
        <v>499</v>
      </c>
      <c r="E887" s="237">
        <v>44293.0</v>
      </c>
      <c r="F887" s="170" t="s">
        <v>503</v>
      </c>
      <c r="G887" s="219"/>
      <c r="H887" s="171">
        <v>80.0</v>
      </c>
      <c r="I887" s="171">
        <v>50.0</v>
      </c>
      <c r="J887" s="172">
        <f t="shared" si="24"/>
        <v>0.0009351188163</v>
      </c>
      <c r="K887" s="173">
        <f t="shared" si="45"/>
        <v>1.075386639</v>
      </c>
      <c r="L887" s="174">
        <f t="shared" si="4"/>
        <v>1.075386639</v>
      </c>
      <c r="M887" s="175" t="str">
        <f t="shared" si="5"/>
        <v>NirV#4850</v>
      </c>
      <c r="N887" s="176">
        <f>IFERROR(__xludf.DUMMYFUNCTION("""COMPUTED_VALUE"""),1.0)</f>
        <v>1</v>
      </c>
      <c r="O887" s="176"/>
      <c r="P887" s="165" t="s">
        <v>288</v>
      </c>
      <c r="Q887" s="165" t="s">
        <v>530</v>
      </c>
      <c r="R887" s="176"/>
      <c r="S887" s="176"/>
      <c r="T887" s="176"/>
      <c r="U887" s="176"/>
      <c r="V887" s="176"/>
      <c r="W887" s="176"/>
      <c r="X887" s="176"/>
      <c r="Y887" s="176"/>
      <c r="Z887" s="176"/>
      <c r="AA887" s="176"/>
    </row>
    <row r="888">
      <c r="A888" s="165" t="str">
        <f>iferror(VLOOKUP(P888,'DO NOT TOUCH Imported'!$A$1:$D$800,4,False),iferror(VLOOKUP(P888,'DO NOT TOUCH Imported'!$C$1:$D$800,2,False),"OOPS FIX ME"))</f>
        <v>unquaLe</v>
      </c>
      <c r="B888" s="165" t="s">
        <v>10</v>
      </c>
      <c r="C888" s="170" t="s">
        <v>498</v>
      </c>
      <c r="D888" s="236" t="s">
        <v>495</v>
      </c>
      <c r="E888" s="239">
        <v>44282.0</v>
      </c>
      <c r="F888" s="170" t="s">
        <v>499</v>
      </c>
      <c r="G888" s="219"/>
      <c r="H888" s="171">
        <v>20.0</v>
      </c>
      <c r="I888" s="171">
        <v>15.0</v>
      </c>
      <c r="J888" s="172">
        <f t="shared" si="24"/>
        <v>0.0002516088297</v>
      </c>
      <c r="K888" s="173">
        <f t="shared" si="45"/>
        <v>0.2893501542</v>
      </c>
      <c r="L888" s="174">
        <f t="shared" si="4"/>
        <v>1.032078419</v>
      </c>
      <c r="M888" s="175" t="str">
        <f t="shared" si="5"/>
        <v>unquaLe</v>
      </c>
      <c r="N888" s="176">
        <f>IFERROR(__xludf.DUMMYFUNCTION("""COMPUTED_VALUE"""),1.0)</f>
        <v>1</v>
      </c>
      <c r="O888" s="176"/>
      <c r="P888" s="165" t="s">
        <v>131</v>
      </c>
      <c r="Q888" s="165" t="s">
        <v>10</v>
      </c>
      <c r="R888" s="176"/>
      <c r="S888" s="176"/>
      <c r="T888" s="176"/>
      <c r="U888" s="176"/>
      <c r="V888" s="176"/>
      <c r="W888" s="176"/>
      <c r="X888" s="176"/>
      <c r="Y888" s="176"/>
      <c r="Z888" s="176"/>
      <c r="AA888" s="176"/>
    </row>
    <row r="889">
      <c r="A889" s="165" t="str">
        <f>iferror(VLOOKUP(P889,'DO NOT TOUCH Imported'!$A$1:$D$800,4,False),iferror(VLOOKUP(P889,'DO NOT TOUCH Imported'!$C$1:$D$800,2,False),"OOPS FIX ME"))</f>
        <v>unquaLe</v>
      </c>
      <c r="B889" s="165" t="s">
        <v>10</v>
      </c>
      <c r="C889" s="170" t="s">
        <v>500</v>
      </c>
      <c r="D889" s="236" t="s">
        <v>495</v>
      </c>
      <c r="E889" s="239">
        <v>44289.0</v>
      </c>
      <c r="F889" s="170" t="s">
        <v>496</v>
      </c>
      <c r="G889" s="219"/>
      <c r="H889" s="171">
        <v>20.0</v>
      </c>
      <c r="I889" s="171">
        <v>25.0</v>
      </c>
      <c r="J889" s="172">
        <f t="shared" si="24"/>
        <v>0.0003229253324</v>
      </c>
      <c r="K889" s="173">
        <f t="shared" si="45"/>
        <v>0.3713641322</v>
      </c>
      <c r="L889" s="174">
        <f t="shared" si="4"/>
        <v>1.032078419</v>
      </c>
      <c r="M889" s="175" t="str">
        <f t="shared" si="5"/>
        <v>unquaLe</v>
      </c>
      <c r="N889" s="176">
        <f>IFERROR(__xludf.DUMMYFUNCTION("""COMPUTED_VALUE"""),2.0)</f>
        <v>2</v>
      </c>
      <c r="O889" s="176"/>
      <c r="P889" s="165" t="s">
        <v>131</v>
      </c>
      <c r="Q889" s="165" t="s">
        <v>10</v>
      </c>
      <c r="R889" s="176"/>
      <c r="S889" s="176"/>
      <c r="T889" s="176"/>
      <c r="U889" s="176"/>
      <c r="V889" s="176"/>
      <c r="W889" s="176"/>
      <c r="X889" s="176"/>
      <c r="Y889" s="176"/>
      <c r="Z889" s="176"/>
      <c r="AA889" s="176"/>
    </row>
    <row r="890">
      <c r="A890" s="165" t="str">
        <f>iferror(VLOOKUP(P890,'DO NOT TOUCH Imported'!$A$1:$D$800,4,False),iferror(VLOOKUP(P890,'DO NOT TOUCH Imported'!$C$1:$D$800,2,False),"OOPS FIX ME"))</f>
        <v>unquaLe</v>
      </c>
      <c r="B890" s="165" t="s">
        <v>10</v>
      </c>
      <c r="C890" s="170" t="s">
        <v>500</v>
      </c>
      <c r="D890" s="236" t="s">
        <v>495</v>
      </c>
      <c r="E890" s="239">
        <v>44295.0</v>
      </c>
      <c r="F890" s="170" t="s">
        <v>496</v>
      </c>
      <c r="G890" s="219"/>
      <c r="H890" s="171">
        <v>20.0</v>
      </c>
      <c r="I890" s="171">
        <v>25.0</v>
      </c>
      <c r="J890" s="172">
        <f t="shared" si="24"/>
        <v>0.0003229253324</v>
      </c>
      <c r="K890" s="173">
        <f t="shared" si="45"/>
        <v>0.3713641322</v>
      </c>
      <c r="L890" s="174">
        <f t="shared" si="4"/>
        <v>1.032078419</v>
      </c>
      <c r="M890" s="175" t="str">
        <f t="shared" si="5"/>
        <v>unquaLe</v>
      </c>
      <c r="N890" s="176">
        <f>IFERROR(__xludf.DUMMYFUNCTION("""COMPUTED_VALUE"""),3.0)</f>
        <v>3</v>
      </c>
      <c r="O890" s="176"/>
      <c r="P890" s="165" t="s">
        <v>131</v>
      </c>
      <c r="Q890" s="165" t="s">
        <v>10</v>
      </c>
      <c r="R890" s="176"/>
      <c r="S890" s="176"/>
      <c r="T890" s="176"/>
      <c r="U890" s="176"/>
      <c r="V890" s="176"/>
      <c r="W890" s="176"/>
      <c r="X890" s="176"/>
      <c r="Y890" s="176"/>
      <c r="Z890" s="176"/>
      <c r="AA890" s="176"/>
    </row>
    <row r="891">
      <c r="A891" s="165" t="str">
        <f>iferror(VLOOKUP(P891,'DO NOT TOUCH Imported'!$A$1:$D$800,4,False),iferror(VLOOKUP(P891,'DO NOT TOUCH Imported'!$C$1:$D$800,2,False),"OOPS FIX ME"))</f>
        <v>papa_raw</v>
      </c>
      <c r="B891" s="165" t="s">
        <v>10</v>
      </c>
      <c r="C891" s="170" t="s">
        <v>498</v>
      </c>
      <c r="D891" s="236" t="s">
        <v>495</v>
      </c>
      <c r="E891" s="239">
        <v>44282.0</v>
      </c>
      <c r="F891" s="170" t="s">
        <v>499</v>
      </c>
      <c r="G891" s="219"/>
      <c r="H891" s="171">
        <v>20.0</v>
      </c>
      <c r="I891" s="171">
        <v>25.0</v>
      </c>
      <c r="J891" s="172">
        <f t="shared" si="24"/>
        <v>0.0003229253324</v>
      </c>
      <c r="K891" s="173">
        <f t="shared" si="45"/>
        <v>0.3713641322</v>
      </c>
      <c r="L891" s="174">
        <f t="shared" si="4"/>
        <v>1.032078419</v>
      </c>
      <c r="M891" s="175" t="str">
        <f t="shared" si="5"/>
        <v>papa_raw</v>
      </c>
      <c r="N891" s="176">
        <f>IFERROR(__xludf.DUMMYFUNCTION("""COMPUTED_VALUE"""),1.0)</f>
        <v>1</v>
      </c>
      <c r="O891" s="176"/>
      <c r="P891" s="165" t="s">
        <v>107</v>
      </c>
      <c r="Q891" s="165" t="s">
        <v>10</v>
      </c>
      <c r="R891" s="176"/>
      <c r="S891" s="176"/>
      <c r="T891" s="176"/>
      <c r="U891" s="176"/>
      <c r="V891" s="176"/>
      <c r="W891" s="176"/>
      <c r="X891" s="176"/>
      <c r="Y891" s="176"/>
      <c r="Z891" s="176"/>
      <c r="AA891" s="176"/>
    </row>
    <row r="892">
      <c r="A892" s="165" t="str">
        <f>iferror(VLOOKUP(P892,'DO NOT TOUCH Imported'!$A$1:$D$800,4,False),iferror(VLOOKUP(P892,'DO NOT TOUCH Imported'!$C$1:$D$800,2,False),"OOPS FIX ME"))</f>
        <v>papa_raw</v>
      </c>
      <c r="B892" s="165" t="s">
        <v>10</v>
      </c>
      <c r="C892" s="170" t="s">
        <v>498</v>
      </c>
      <c r="D892" s="236" t="s">
        <v>495</v>
      </c>
      <c r="E892" s="239">
        <v>44288.0</v>
      </c>
      <c r="F892" s="170" t="s">
        <v>499</v>
      </c>
      <c r="G892" s="219"/>
      <c r="H892" s="171">
        <v>20.0</v>
      </c>
      <c r="I892" s="171">
        <v>15.0</v>
      </c>
      <c r="J892" s="172">
        <f t="shared" si="24"/>
        <v>0.0002516088297</v>
      </c>
      <c r="K892" s="173">
        <f t="shared" si="45"/>
        <v>0.2893501542</v>
      </c>
      <c r="L892" s="174">
        <f t="shared" si="4"/>
        <v>1.032078419</v>
      </c>
      <c r="M892" s="175" t="str">
        <f t="shared" si="5"/>
        <v>papa_raw</v>
      </c>
      <c r="N892" s="176">
        <f>IFERROR(__xludf.DUMMYFUNCTION("""COMPUTED_VALUE"""),2.0)</f>
        <v>2</v>
      </c>
      <c r="O892" s="176"/>
      <c r="P892" s="165" t="s">
        <v>107</v>
      </c>
      <c r="Q892" s="165" t="s">
        <v>10</v>
      </c>
      <c r="R892" s="176"/>
      <c r="S892" s="176"/>
      <c r="T892" s="176"/>
      <c r="U892" s="176"/>
      <c r="V892" s="176"/>
      <c r="W892" s="176"/>
      <c r="X892" s="176"/>
      <c r="Y892" s="176"/>
      <c r="Z892" s="176"/>
      <c r="AA892" s="176"/>
    </row>
    <row r="893">
      <c r="A893" s="165" t="str">
        <f>iferror(VLOOKUP(P893,'DO NOT TOUCH Imported'!$A$1:$D$800,4,False),iferror(VLOOKUP(P893,'DO NOT TOUCH Imported'!$C$1:$D$800,2,False),"OOPS FIX ME"))</f>
        <v>papa_raw</v>
      </c>
      <c r="B893" s="165" t="s">
        <v>10</v>
      </c>
      <c r="C893" s="170" t="s">
        <v>500</v>
      </c>
      <c r="D893" s="236" t="s">
        <v>495</v>
      </c>
      <c r="E893" s="239">
        <v>44295.0</v>
      </c>
      <c r="F893" s="170" t="s">
        <v>496</v>
      </c>
      <c r="G893" s="219"/>
      <c r="H893" s="171">
        <v>20.0</v>
      </c>
      <c r="I893" s="171">
        <v>25.0</v>
      </c>
      <c r="J893" s="172">
        <f t="shared" si="24"/>
        <v>0.0003229253324</v>
      </c>
      <c r="K893" s="173">
        <f t="shared" si="45"/>
        <v>0.3713641322</v>
      </c>
      <c r="L893" s="174">
        <f t="shared" si="4"/>
        <v>1.032078419</v>
      </c>
      <c r="M893" s="175" t="str">
        <f t="shared" si="5"/>
        <v>papa_raw</v>
      </c>
      <c r="N893" s="176">
        <f>IFERROR(__xludf.DUMMYFUNCTION("""COMPUTED_VALUE"""),3.0)</f>
        <v>3</v>
      </c>
      <c r="O893" s="176"/>
      <c r="P893" s="165" t="s">
        <v>107</v>
      </c>
      <c r="Q893" s="165" t="s">
        <v>10</v>
      </c>
      <c r="R893" s="176"/>
      <c r="S893" s="176"/>
      <c r="T893" s="176"/>
      <c r="U893" s="176"/>
      <c r="V893" s="176"/>
      <c r="W893" s="176"/>
      <c r="X893" s="176"/>
      <c r="Y893" s="176"/>
      <c r="Z893" s="176"/>
      <c r="AA893" s="176"/>
    </row>
    <row r="894">
      <c r="A894" s="165" t="str">
        <f>iferror(VLOOKUP(P894,'DO NOT TOUCH Imported'!$A$1:$D$800,4,False),iferror(VLOOKUP(P894,'DO NOT TOUCH Imported'!$C$1:$D$800,2,False),"OOPS FIX ME"))</f>
        <v>gyalbo</v>
      </c>
      <c r="B894" s="165" t="s">
        <v>10</v>
      </c>
      <c r="C894" s="170" t="s">
        <v>498</v>
      </c>
      <c r="D894" s="236" t="s">
        <v>495</v>
      </c>
      <c r="E894" s="239">
        <v>44282.0</v>
      </c>
      <c r="F894" s="170" t="s">
        <v>499</v>
      </c>
      <c r="G894" s="219"/>
      <c r="H894" s="171">
        <v>20.0</v>
      </c>
      <c r="I894" s="171">
        <v>25.0</v>
      </c>
      <c r="J894" s="172">
        <f t="shared" si="24"/>
        <v>0.0003229253324</v>
      </c>
      <c r="K894" s="173">
        <f t="shared" si="45"/>
        <v>0.3713641322</v>
      </c>
      <c r="L894" s="174">
        <f t="shared" si="4"/>
        <v>1.032078419</v>
      </c>
      <c r="M894" s="175" t="str">
        <f t="shared" si="5"/>
        <v>gyalbo</v>
      </c>
      <c r="N894" s="176">
        <f>IFERROR(__xludf.DUMMYFUNCTION("""COMPUTED_VALUE"""),1.0)</f>
        <v>1</v>
      </c>
      <c r="O894" s="176"/>
      <c r="P894" s="165" t="s">
        <v>108</v>
      </c>
      <c r="Q894" s="165" t="s">
        <v>10</v>
      </c>
      <c r="R894" s="176"/>
      <c r="S894" s="176"/>
      <c r="T894" s="176"/>
      <c r="U894" s="176"/>
      <c r="V894" s="176"/>
      <c r="W894" s="176"/>
      <c r="X894" s="176"/>
      <c r="Y894" s="176"/>
      <c r="Z894" s="176"/>
      <c r="AA894" s="176"/>
    </row>
    <row r="895">
      <c r="A895" s="165" t="str">
        <f>iferror(VLOOKUP(P895,'DO NOT TOUCH Imported'!$A$1:$D$800,4,False),iferror(VLOOKUP(P895,'DO NOT TOUCH Imported'!$C$1:$D$800,2,False),"OOPS FIX ME"))</f>
        <v>gyalbo</v>
      </c>
      <c r="B895" s="165" t="s">
        <v>10</v>
      </c>
      <c r="C895" s="170" t="s">
        <v>500</v>
      </c>
      <c r="D895" s="236" t="s">
        <v>495</v>
      </c>
      <c r="E895" s="239">
        <v>44282.0</v>
      </c>
      <c r="F895" s="170" t="s">
        <v>496</v>
      </c>
      <c r="G895" s="219"/>
      <c r="H895" s="171">
        <v>20.0</v>
      </c>
      <c r="I895" s="171">
        <v>15.0</v>
      </c>
      <c r="J895" s="172">
        <f t="shared" si="24"/>
        <v>0.0002516088297</v>
      </c>
      <c r="K895" s="173">
        <f t="shared" si="45"/>
        <v>0.2893501542</v>
      </c>
      <c r="L895" s="174">
        <f t="shared" si="4"/>
        <v>1.032078419</v>
      </c>
      <c r="M895" s="175" t="str">
        <f t="shared" si="5"/>
        <v>gyalbo</v>
      </c>
      <c r="N895" s="176">
        <f>IFERROR(__xludf.DUMMYFUNCTION("""COMPUTED_VALUE"""),2.0)</f>
        <v>2</v>
      </c>
      <c r="O895" s="176"/>
      <c r="P895" s="165" t="s">
        <v>108</v>
      </c>
      <c r="Q895" s="165" t="s">
        <v>10</v>
      </c>
      <c r="R895" s="176"/>
      <c r="S895" s="176"/>
      <c r="T895" s="176"/>
      <c r="U895" s="176"/>
      <c r="V895" s="176"/>
      <c r="W895" s="176"/>
      <c r="X895" s="176"/>
      <c r="Y895" s="176"/>
      <c r="Z895" s="176"/>
      <c r="AA895" s="176"/>
    </row>
    <row r="896">
      <c r="A896" s="165" t="str">
        <f>iferror(VLOOKUP(P896,'DO NOT TOUCH Imported'!$A$1:$D$800,4,False),iferror(VLOOKUP(P896,'DO NOT TOUCH Imported'!$C$1:$D$800,2,False),"OOPS FIX ME"))</f>
        <v>gyalbo</v>
      </c>
      <c r="B896" s="165" t="s">
        <v>10</v>
      </c>
      <c r="C896" s="170" t="s">
        <v>500</v>
      </c>
      <c r="D896" s="236" t="s">
        <v>495</v>
      </c>
      <c r="E896" s="239">
        <v>44295.0</v>
      </c>
      <c r="F896" s="170" t="s">
        <v>496</v>
      </c>
      <c r="G896" s="219"/>
      <c r="H896" s="171">
        <v>20.0</v>
      </c>
      <c r="I896" s="171">
        <v>25.0</v>
      </c>
      <c r="J896" s="172">
        <f t="shared" si="24"/>
        <v>0.0003229253324</v>
      </c>
      <c r="K896" s="173">
        <f t="shared" si="45"/>
        <v>0.3713641322</v>
      </c>
      <c r="L896" s="174">
        <f t="shared" si="4"/>
        <v>1.032078419</v>
      </c>
      <c r="M896" s="175" t="str">
        <f t="shared" si="5"/>
        <v>gyalbo</v>
      </c>
      <c r="N896" s="176">
        <f>IFERROR(__xludf.DUMMYFUNCTION("""COMPUTED_VALUE"""),3.0)</f>
        <v>3</v>
      </c>
      <c r="O896" s="176"/>
      <c r="P896" s="165" t="s">
        <v>108</v>
      </c>
      <c r="Q896" s="165" t="s">
        <v>10</v>
      </c>
      <c r="R896" s="176"/>
      <c r="S896" s="176"/>
      <c r="T896" s="176"/>
      <c r="U896" s="176"/>
      <c r="V896" s="176"/>
      <c r="W896" s="176"/>
      <c r="X896" s="176"/>
      <c r="Y896" s="176"/>
      <c r="Z896" s="176"/>
      <c r="AA896" s="176"/>
    </row>
    <row r="897">
      <c r="A897" s="165" t="str">
        <f>iferror(VLOOKUP(P897,'DO NOT TOUCH Imported'!$A$1:$D$800,4,False),iferror(VLOOKUP(P897,'DO NOT TOUCH Imported'!$C$1:$D$800,2,False),"OOPS FIX ME"))</f>
        <v>Andfletcher</v>
      </c>
      <c r="B897" s="165" t="s">
        <v>10</v>
      </c>
      <c r="C897" s="170" t="s">
        <v>498</v>
      </c>
      <c r="D897" s="236" t="s">
        <v>495</v>
      </c>
      <c r="E897" s="239">
        <v>44282.0</v>
      </c>
      <c r="F897" s="170" t="s">
        <v>499</v>
      </c>
      <c r="G897" s="219"/>
      <c r="H897" s="171">
        <v>20.0</v>
      </c>
      <c r="I897" s="171">
        <v>25.0</v>
      </c>
      <c r="J897" s="172">
        <f t="shared" si="24"/>
        <v>0.0003229253324</v>
      </c>
      <c r="K897" s="173">
        <f t="shared" si="45"/>
        <v>0.3713641322</v>
      </c>
      <c r="L897" s="174">
        <f t="shared" si="4"/>
        <v>1.032078419</v>
      </c>
      <c r="M897" s="175" t="str">
        <f t="shared" si="5"/>
        <v>Andfletcher</v>
      </c>
      <c r="N897" s="176">
        <f>IFERROR(__xludf.DUMMYFUNCTION("""COMPUTED_VALUE"""),1.0)</f>
        <v>1</v>
      </c>
      <c r="O897" s="176"/>
      <c r="P897" s="165" t="s">
        <v>148</v>
      </c>
      <c r="Q897" s="165" t="s">
        <v>10</v>
      </c>
      <c r="R897" s="176"/>
      <c r="S897" s="176"/>
      <c r="T897" s="176"/>
      <c r="U897" s="176"/>
      <c r="V897" s="176"/>
      <c r="W897" s="176"/>
      <c r="X897" s="176"/>
      <c r="Y897" s="176"/>
      <c r="Z897" s="176"/>
      <c r="AA897" s="176"/>
    </row>
    <row r="898">
      <c r="A898" s="165" t="str">
        <f>iferror(VLOOKUP(P898,'DO NOT TOUCH Imported'!$A$1:$D$800,4,False),iferror(VLOOKUP(P898,'DO NOT TOUCH Imported'!$C$1:$D$800,2,False),"OOPS FIX ME"))</f>
        <v>Andfletcher</v>
      </c>
      <c r="B898" s="165" t="s">
        <v>10</v>
      </c>
      <c r="C898" s="170" t="s">
        <v>498</v>
      </c>
      <c r="D898" s="236" t="s">
        <v>495</v>
      </c>
      <c r="E898" s="239">
        <v>44288.0</v>
      </c>
      <c r="F898" s="170" t="s">
        <v>499</v>
      </c>
      <c r="G898" s="219"/>
      <c r="H898" s="171">
        <v>20.0</v>
      </c>
      <c r="I898" s="171">
        <v>15.0</v>
      </c>
      <c r="J898" s="172">
        <f t="shared" si="24"/>
        <v>0.0002516088297</v>
      </c>
      <c r="K898" s="173">
        <f t="shared" si="45"/>
        <v>0.2893501542</v>
      </c>
      <c r="L898" s="174">
        <f t="shared" si="4"/>
        <v>1.032078419</v>
      </c>
      <c r="M898" s="175" t="str">
        <f t="shared" si="5"/>
        <v>Andfletcher</v>
      </c>
      <c r="N898" s="176">
        <f>IFERROR(__xludf.DUMMYFUNCTION("""COMPUTED_VALUE"""),2.0)</f>
        <v>2</v>
      </c>
      <c r="O898" s="176"/>
      <c r="P898" s="165" t="s">
        <v>148</v>
      </c>
      <c r="Q898" s="165" t="s">
        <v>10</v>
      </c>
      <c r="R898" s="176"/>
      <c r="S898" s="176"/>
      <c r="T898" s="176"/>
      <c r="U898" s="176"/>
      <c r="V898" s="176"/>
      <c r="W898" s="176"/>
      <c r="X898" s="176"/>
      <c r="Y898" s="176"/>
      <c r="Z898" s="176"/>
      <c r="AA898" s="176"/>
    </row>
    <row r="899">
      <c r="A899" s="165" t="str">
        <f>iferror(VLOOKUP(P899,'DO NOT TOUCH Imported'!$A$1:$D$800,4,False),iferror(VLOOKUP(P899,'DO NOT TOUCH Imported'!$C$1:$D$800,2,False),"OOPS FIX ME"))</f>
        <v>Andfletcher</v>
      </c>
      <c r="B899" s="165" t="s">
        <v>10</v>
      </c>
      <c r="C899" s="170" t="s">
        <v>498</v>
      </c>
      <c r="D899" s="236" t="s">
        <v>495</v>
      </c>
      <c r="E899" s="239">
        <v>44295.0</v>
      </c>
      <c r="F899" s="170" t="s">
        <v>499</v>
      </c>
      <c r="G899" s="219"/>
      <c r="H899" s="171">
        <v>20.0</v>
      </c>
      <c r="I899" s="171">
        <v>25.0</v>
      </c>
      <c r="J899" s="172">
        <f t="shared" si="24"/>
        <v>0.0003229253324</v>
      </c>
      <c r="K899" s="173">
        <f t="shared" si="45"/>
        <v>0.3713641322</v>
      </c>
      <c r="L899" s="174">
        <f t="shared" si="4"/>
        <v>1.032078419</v>
      </c>
      <c r="M899" s="175" t="str">
        <f t="shared" si="5"/>
        <v>Andfletcher</v>
      </c>
      <c r="N899" s="176">
        <f>IFERROR(__xludf.DUMMYFUNCTION("""COMPUTED_VALUE"""),3.0)</f>
        <v>3</v>
      </c>
      <c r="O899" s="176"/>
      <c r="P899" s="165" t="s">
        <v>148</v>
      </c>
      <c r="Q899" s="165" t="s">
        <v>10</v>
      </c>
      <c r="R899" s="176"/>
      <c r="S899" s="176"/>
      <c r="T899" s="176"/>
      <c r="U899" s="176"/>
      <c r="V899" s="176"/>
      <c r="W899" s="176"/>
      <c r="X899" s="176"/>
      <c r="Y899" s="176"/>
      <c r="Z899" s="176"/>
      <c r="AA899" s="176"/>
    </row>
    <row r="900">
      <c r="A900" s="165" t="str">
        <f>iferror(VLOOKUP(P900,'DO NOT TOUCH Imported'!$A$1:$D$800,4,False),iferror(VLOOKUP(P900,'DO NOT TOUCH Imported'!$C$1:$D$800,2,False),"OOPS FIX ME"))</f>
        <v>🐙 octopus#5508</v>
      </c>
      <c r="B900" s="165" t="s">
        <v>440</v>
      </c>
      <c r="C900" s="170" t="s">
        <v>1260</v>
      </c>
      <c r="D900" s="236" t="s">
        <v>437</v>
      </c>
      <c r="E900" s="237">
        <v>44293.0</v>
      </c>
      <c r="F900" s="170" t="s">
        <v>439</v>
      </c>
      <c r="G900" s="219"/>
      <c r="H900" s="171">
        <v>70.0</v>
      </c>
      <c r="I900" s="171">
        <v>50.0</v>
      </c>
      <c r="J900" s="172">
        <f t="shared" si="24"/>
        <v>0.0008628017785</v>
      </c>
      <c r="K900" s="173">
        <f t="shared" si="45"/>
        <v>0.9922220452</v>
      </c>
      <c r="L900" s="174">
        <f t="shared" si="4"/>
        <v>0.9922220452</v>
      </c>
      <c r="M900" s="175" t="str">
        <f t="shared" si="5"/>
        <v>🐙 octopus#5508</v>
      </c>
      <c r="N900" s="176">
        <f>IFERROR(__xludf.DUMMYFUNCTION("""COMPUTED_VALUE"""),1.0)</f>
        <v>1</v>
      </c>
      <c r="O900" s="176"/>
      <c r="P900" s="165" t="s">
        <v>217</v>
      </c>
      <c r="Q900" s="165" t="s">
        <v>440</v>
      </c>
      <c r="R900" s="176"/>
      <c r="S900" s="176"/>
      <c r="T900" s="176"/>
      <c r="U900" s="176"/>
      <c r="V900" s="176"/>
      <c r="W900" s="176"/>
      <c r="X900" s="176"/>
      <c r="Y900" s="176"/>
      <c r="Z900" s="176"/>
      <c r="AA900" s="176"/>
    </row>
    <row r="901">
      <c r="A901" s="165" t="str">
        <f>iferror(VLOOKUP(P901,'DO NOT TOUCH Imported'!$A$1:$D$800,4,False),iferror(VLOOKUP(P901,'DO NOT TOUCH Imported'!$C$1:$D$800,2,False),"OOPS FIX ME"))</f>
        <v>graven#6675</v>
      </c>
      <c r="B901" s="165" t="s">
        <v>530</v>
      </c>
      <c r="C901" s="170" t="s">
        <v>1525</v>
      </c>
      <c r="D901" s="236" t="s">
        <v>499</v>
      </c>
      <c r="E901" s="239">
        <v>44286.0</v>
      </c>
      <c r="F901" s="170" t="s">
        <v>503</v>
      </c>
      <c r="G901" s="219"/>
      <c r="H901" s="171">
        <v>60.0</v>
      </c>
      <c r="I901" s="171">
        <v>50.0</v>
      </c>
      <c r="J901" s="172">
        <f t="shared" si="24"/>
        <v>0.0007904847406</v>
      </c>
      <c r="K901" s="173">
        <f t="shared" si="45"/>
        <v>0.9090574516</v>
      </c>
      <c r="L901" s="174">
        <f t="shared" si="4"/>
        <v>0.9090574516</v>
      </c>
      <c r="M901" s="175" t="str">
        <f t="shared" si="5"/>
        <v>graven#6675</v>
      </c>
      <c r="N901" s="176">
        <f>IFERROR(__xludf.DUMMYFUNCTION("""COMPUTED_VALUE"""),1.0)</f>
        <v>1</v>
      </c>
      <c r="O901" s="176"/>
      <c r="P901" s="165" t="s">
        <v>297</v>
      </c>
      <c r="Q901" s="165" t="s">
        <v>530</v>
      </c>
      <c r="R901" s="176"/>
      <c r="S901" s="176"/>
      <c r="T901" s="176"/>
      <c r="U901" s="176"/>
      <c r="V901" s="176"/>
      <c r="W901" s="176"/>
      <c r="X901" s="176"/>
      <c r="Y901" s="176"/>
      <c r="Z901" s="176"/>
      <c r="AA901" s="176"/>
    </row>
    <row r="902">
      <c r="A902" s="165" t="str">
        <f>iferror(VLOOKUP(P902,'DO NOT TOUCH Imported'!$A$1:$D$800,4,False),iferror(VLOOKUP(P902,'DO NOT TOUCH Imported'!$C$1:$D$800,2,False),"OOPS FIX ME"))</f>
        <v>sepu85</v>
      </c>
      <c r="B902" s="165" t="s">
        <v>10</v>
      </c>
      <c r="C902" s="170" t="s">
        <v>498</v>
      </c>
      <c r="D902" s="236" t="s">
        <v>495</v>
      </c>
      <c r="E902" s="239">
        <v>44282.0</v>
      </c>
      <c r="F902" s="170" t="s">
        <v>499</v>
      </c>
      <c r="G902" s="219"/>
      <c r="H902" s="171">
        <v>20.0</v>
      </c>
      <c r="I902" s="171">
        <v>15.0</v>
      </c>
      <c r="J902" s="172">
        <f t="shared" si="24"/>
        <v>0.0002516088297</v>
      </c>
      <c r="K902" s="173">
        <f t="shared" si="45"/>
        <v>0.2893501542</v>
      </c>
      <c r="L902" s="174">
        <f t="shared" si="4"/>
        <v>0.8680504626</v>
      </c>
      <c r="M902" s="175" t="str">
        <f t="shared" si="5"/>
        <v>sepu85</v>
      </c>
      <c r="N902" s="176">
        <f>IFERROR(__xludf.DUMMYFUNCTION("""COMPUTED_VALUE"""),1.0)</f>
        <v>1</v>
      </c>
      <c r="O902" s="176"/>
      <c r="P902" s="165" t="s">
        <v>120</v>
      </c>
      <c r="Q902" s="165" t="s">
        <v>10</v>
      </c>
      <c r="R902" s="176"/>
      <c r="S902" s="176"/>
      <c r="T902" s="176"/>
      <c r="U902" s="176"/>
      <c r="V902" s="176"/>
      <c r="W902" s="176"/>
      <c r="X902" s="176"/>
      <c r="Y902" s="176"/>
      <c r="Z902" s="176"/>
      <c r="AA902" s="176"/>
    </row>
    <row r="903">
      <c r="A903" s="165" t="str">
        <f>iferror(VLOOKUP(P903,'DO NOT TOUCH Imported'!$A$1:$D$800,4,False),iferror(VLOOKUP(P903,'DO NOT TOUCH Imported'!$C$1:$D$800,2,False),"OOPS FIX ME"))</f>
        <v>sepu85</v>
      </c>
      <c r="B903" s="165" t="s">
        <v>10</v>
      </c>
      <c r="C903" s="170" t="s">
        <v>498</v>
      </c>
      <c r="D903" s="236" t="s">
        <v>495</v>
      </c>
      <c r="E903" s="239">
        <v>44288.0</v>
      </c>
      <c r="F903" s="170" t="s">
        <v>499</v>
      </c>
      <c r="G903" s="219"/>
      <c r="H903" s="171">
        <v>20.0</v>
      </c>
      <c r="I903" s="171">
        <v>15.0</v>
      </c>
      <c r="J903" s="172">
        <f t="shared" si="24"/>
        <v>0.0002516088297</v>
      </c>
      <c r="K903" s="173">
        <f t="shared" si="45"/>
        <v>0.2893501542</v>
      </c>
      <c r="L903" s="174">
        <f t="shared" si="4"/>
        <v>0.8680504626</v>
      </c>
      <c r="M903" s="175" t="str">
        <f t="shared" si="5"/>
        <v>sepu85</v>
      </c>
      <c r="N903" s="176">
        <f>IFERROR(__xludf.DUMMYFUNCTION("""COMPUTED_VALUE"""),2.0)</f>
        <v>2</v>
      </c>
      <c r="O903" s="176"/>
      <c r="P903" s="165" t="s">
        <v>120</v>
      </c>
      <c r="Q903" s="165" t="s">
        <v>10</v>
      </c>
      <c r="R903" s="176"/>
      <c r="S903" s="176"/>
      <c r="T903" s="176"/>
      <c r="U903" s="176"/>
      <c r="V903" s="176"/>
      <c r="W903" s="176"/>
      <c r="X903" s="176"/>
      <c r="Y903" s="176"/>
      <c r="Z903" s="176"/>
      <c r="AA903" s="176"/>
    </row>
    <row r="904">
      <c r="A904" s="165" t="str">
        <f>iferror(VLOOKUP(P904,'DO NOT TOUCH Imported'!$A$1:$D$800,4,False),iferror(VLOOKUP(P904,'DO NOT TOUCH Imported'!$C$1:$D$800,2,False),"OOPS FIX ME"))</f>
        <v>sepu85</v>
      </c>
      <c r="B904" s="165" t="s">
        <v>10</v>
      </c>
      <c r="C904" s="170" t="s">
        <v>500</v>
      </c>
      <c r="D904" s="236" t="s">
        <v>495</v>
      </c>
      <c r="E904" s="239">
        <v>44289.0</v>
      </c>
      <c r="F904" s="170" t="s">
        <v>496</v>
      </c>
      <c r="G904" s="219"/>
      <c r="H904" s="171">
        <v>20.0</v>
      </c>
      <c r="I904" s="171">
        <v>15.0</v>
      </c>
      <c r="J904" s="172">
        <f t="shared" si="24"/>
        <v>0.0002516088297</v>
      </c>
      <c r="K904" s="173">
        <f t="shared" si="45"/>
        <v>0.2893501542</v>
      </c>
      <c r="L904" s="174">
        <f t="shared" si="4"/>
        <v>0.8680504626</v>
      </c>
      <c r="M904" s="175" t="str">
        <f t="shared" si="5"/>
        <v>sepu85</v>
      </c>
      <c r="N904" s="176">
        <f>IFERROR(__xludf.DUMMYFUNCTION("""COMPUTED_VALUE"""),3.0)</f>
        <v>3</v>
      </c>
      <c r="O904" s="176"/>
      <c r="P904" s="165" t="s">
        <v>120</v>
      </c>
      <c r="Q904" s="165" t="s">
        <v>10</v>
      </c>
      <c r="R904" s="176"/>
      <c r="S904" s="176"/>
      <c r="T904" s="176"/>
      <c r="U904" s="176"/>
      <c r="V904" s="176"/>
      <c r="W904" s="176"/>
      <c r="X904" s="176"/>
      <c r="Y904" s="176"/>
      <c r="Z904" s="176"/>
      <c r="AA904" s="176"/>
    </row>
    <row r="905">
      <c r="A905" s="165" t="str">
        <f>iferror(VLOOKUP(P905,'DO NOT TOUCH Imported'!$A$1:$D$800,4,False),iferror(VLOOKUP(P905,'DO NOT TOUCH Imported'!$C$1:$D$800,2,False),"OOPS FIX ME"))</f>
        <v>Si Chen#0557</v>
      </c>
      <c r="B905" s="165" t="s">
        <v>441</v>
      </c>
      <c r="C905" s="170" t="s">
        <v>1005</v>
      </c>
      <c r="D905" s="236" t="s">
        <v>437</v>
      </c>
      <c r="E905" s="237">
        <v>44289.0</v>
      </c>
      <c r="F905" s="170" t="s">
        <v>439</v>
      </c>
      <c r="G905" s="219"/>
      <c r="H905" s="171">
        <v>60.0</v>
      </c>
      <c r="I905" s="171">
        <v>40.0</v>
      </c>
      <c r="J905" s="172">
        <f t="shared" si="24"/>
        <v>0.0007191682379</v>
      </c>
      <c r="K905" s="173">
        <f t="shared" si="45"/>
        <v>0.8270434736</v>
      </c>
      <c r="L905" s="174">
        <f t="shared" si="4"/>
        <v>0.8270434736</v>
      </c>
      <c r="M905" s="175" t="str">
        <f t="shared" si="5"/>
        <v>Si Chen#0557</v>
      </c>
      <c r="N905" s="176">
        <f>IFERROR(__xludf.DUMMYFUNCTION("""COMPUTED_VALUE"""),1.0)</f>
        <v>1</v>
      </c>
      <c r="O905" s="176"/>
      <c r="P905" s="165" t="s">
        <v>256</v>
      </c>
      <c r="Q905" s="165" t="s">
        <v>441</v>
      </c>
      <c r="R905" s="176"/>
      <c r="S905" s="176"/>
      <c r="T905" s="176"/>
      <c r="U905" s="176"/>
      <c r="V905" s="176"/>
      <c r="W905" s="176"/>
      <c r="X905" s="176"/>
      <c r="Y905" s="176"/>
      <c r="Z905" s="176"/>
      <c r="AA905" s="176"/>
    </row>
    <row r="906">
      <c r="A906" s="165" t="str">
        <f>iferror(VLOOKUP(P906,'DO NOT TOUCH Imported'!$A$1:$D$800,4,False),iferror(VLOOKUP(P906,'DO NOT TOUCH Imported'!$C$1:$D$800,2,False),"OOPS FIX ME"))</f>
        <v>PKK777</v>
      </c>
      <c r="B906" s="165" t="s">
        <v>441</v>
      </c>
      <c r="C906" s="170" t="s">
        <v>1005</v>
      </c>
      <c r="D906" s="236" t="s">
        <v>437</v>
      </c>
      <c r="E906" s="237">
        <v>44289.0</v>
      </c>
      <c r="F906" s="170" t="s">
        <v>439</v>
      </c>
      <c r="G906" s="219"/>
      <c r="H906" s="171">
        <v>60.0</v>
      </c>
      <c r="I906" s="171">
        <v>40.0</v>
      </c>
      <c r="J906" s="172">
        <f t="shared" si="24"/>
        <v>0.0007191682379</v>
      </c>
      <c r="K906" s="173">
        <f t="shared" si="45"/>
        <v>0.8270434736</v>
      </c>
      <c r="L906" s="174">
        <f t="shared" si="4"/>
        <v>0.8270434736</v>
      </c>
      <c r="M906" s="175" t="str">
        <f t="shared" si="5"/>
        <v>PKK777</v>
      </c>
      <c r="N906" s="176">
        <f>IFERROR(__xludf.DUMMYFUNCTION("""COMPUTED_VALUE"""),1.0)</f>
        <v>1</v>
      </c>
      <c r="O906" s="176"/>
      <c r="P906" s="165" t="s">
        <v>1569</v>
      </c>
      <c r="Q906" s="165" t="s">
        <v>441</v>
      </c>
      <c r="R906" s="176"/>
      <c r="S906" s="176"/>
      <c r="T906" s="176"/>
      <c r="U906" s="176"/>
      <c r="V906" s="176"/>
      <c r="W906" s="176"/>
      <c r="X906" s="176"/>
      <c r="Y906" s="176"/>
      <c r="Z906" s="176"/>
      <c r="AA906" s="176"/>
    </row>
    <row r="907">
      <c r="A907" s="165" t="str">
        <f>iferror(VLOOKUP(P907,'DO NOT TOUCH Imported'!$A$1:$D$800,4,False),iferror(VLOOKUP(P907,'DO NOT TOUCH Imported'!$C$1:$D$800,2,False),"OOPS FIX ME"))</f>
        <v>Tyler Golato#5399</v>
      </c>
      <c r="B907" s="165" t="s">
        <v>441</v>
      </c>
      <c r="C907" s="170" t="s">
        <v>1267</v>
      </c>
      <c r="D907" s="236" t="s">
        <v>437</v>
      </c>
      <c r="E907" s="237">
        <v>44295.0</v>
      </c>
      <c r="F907" s="170" t="s">
        <v>439</v>
      </c>
      <c r="G907" s="219"/>
      <c r="H907" s="171">
        <v>50.0</v>
      </c>
      <c r="I907" s="171">
        <v>50.0</v>
      </c>
      <c r="J907" s="172">
        <f t="shared" si="24"/>
        <v>0.0007181677027</v>
      </c>
      <c r="K907" s="173">
        <f t="shared" si="45"/>
        <v>0.8258928581</v>
      </c>
      <c r="L907" s="174">
        <f t="shared" si="4"/>
        <v>0.8258928581</v>
      </c>
      <c r="M907" s="175" t="str">
        <f t="shared" si="5"/>
        <v>Tyler Golato#5399</v>
      </c>
      <c r="N907" s="176">
        <f>IFERROR(__xludf.DUMMYFUNCTION("""COMPUTED_VALUE"""),1.0)</f>
        <v>1</v>
      </c>
      <c r="O907" s="176"/>
      <c r="P907" s="165" t="s">
        <v>311</v>
      </c>
      <c r="Q907" s="165" t="s">
        <v>441</v>
      </c>
      <c r="R907" s="176"/>
      <c r="S907" s="176"/>
      <c r="T907" s="176"/>
      <c r="U907" s="176"/>
      <c r="V907" s="176"/>
      <c r="W907" s="176"/>
      <c r="X907" s="176"/>
      <c r="Y907" s="176"/>
      <c r="Z907" s="176"/>
      <c r="AA907" s="176"/>
    </row>
    <row r="908">
      <c r="A908" s="165" t="str">
        <f>iferror(VLOOKUP(P908,'DO NOT TOUCH Imported'!$A$1:$D$800,4,False),iferror(VLOOKUP(P908,'DO NOT TOUCH Imported'!$C$1:$D$800,2,False),"OOPS FIX ME"))</f>
        <v>tunoncedemalis</v>
      </c>
      <c r="B908" s="165" t="s">
        <v>10</v>
      </c>
      <c r="C908" s="170" t="s">
        <v>498</v>
      </c>
      <c r="D908" s="236" t="s">
        <v>495</v>
      </c>
      <c r="E908" s="239">
        <v>44282.0</v>
      </c>
      <c r="F908" s="170" t="s">
        <v>499</v>
      </c>
      <c r="G908" s="219"/>
      <c r="H908" s="171">
        <v>20.0</v>
      </c>
      <c r="I908" s="171">
        <v>25.0</v>
      </c>
      <c r="J908" s="172">
        <f t="shared" si="24"/>
        <v>0.0003229253324</v>
      </c>
      <c r="K908" s="173">
        <f t="shared" si="45"/>
        <v>0.3713641322</v>
      </c>
      <c r="L908" s="174">
        <f t="shared" si="4"/>
        <v>0.7427282645</v>
      </c>
      <c r="M908" s="175" t="str">
        <f t="shared" si="5"/>
        <v>tunoncedemalis</v>
      </c>
      <c r="N908" s="176">
        <f>IFERROR(__xludf.DUMMYFUNCTION("""COMPUTED_VALUE"""),1.0)</f>
        <v>1</v>
      </c>
      <c r="O908" s="176"/>
      <c r="P908" s="165" t="s">
        <v>254</v>
      </c>
      <c r="Q908" s="165" t="s">
        <v>10</v>
      </c>
      <c r="R908" s="176"/>
      <c r="S908" s="176"/>
      <c r="T908" s="176"/>
      <c r="U908" s="176"/>
      <c r="V908" s="176"/>
      <c r="W908" s="176"/>
      <c r="X908" s="176"/>
      <c r="Y908" s="176"/>
      <c r="Z908" s="176"/>
      <c r="AA908" s="176"/>
    </row>
    <row r="909">
      <c r="A909" s="165" t="str">
        <f>iferror(VLOOKUP(P909,'DO NOT TOUCH Imported'!$A$1:$D$800,4,False),iferror(VLOOKUP(P909,'DO NOT TOUCH Imported'!$C$1:$D$800,2,False),"OOPS FIX ME"))</f>
        <v>tunoncedemalis</v>
      </c>
      <c r="B909" s="165" t="s">
        <v>10</v>
      </c>
      <c r="C909" s="170" t="s">
        <v>498</v>
      </c>
      <c r="D909" s="236" t="s">
        <v>495</v>
      </c>
      <c r="E909" s="239">
        <v>44295.0</v>
      </c>
      <c r="F909" s="170" t="s">
        <v>499</v>
      </c>
      <c r="G909" s="219"/>
      <c r="H909" s="171">
        <v>20.0</v>
      </c>
      <c r="I909" s="171">
        <v>25.0</v>
      </c>
      <c r="J909" s="172">
        <f t="shared" si="24"/>
        <v>0.0003229253324</v>
      </c>
      <c r="K909" s="173">
        <f t="shared" si="45"/>
        <v>0.3713641322</v>
      </c>
      <c r="L909" s="174">
        <f t="shared" si="4"/>
        <v>0.7427282645</v>
      </c>
      <c r="M909" s="175" t="str">
        <f t="shared" si="5"/>
        <v>tunoncedemalis</v>
      </c>
      <c r="N909" s="176">
        <f>IFERROR(__xludf.DUMMYFUNCTION("""COMPUTED_VALUE"""),2.0)</f>
        <v>2</v>
      </c>
      <c r="O909" s="176"/>
      <c r="P909" s="165" t="s">
        <v>254</v>
      </c>
      <c r="Q909" s="165" t="s">
        <v>10</v>
      </c>
      <c r="R909" s="176"/>
      <c r="S909" s="176"/>
      <c r="T909" s="176"/>
      <c r="U909" s="176"/>
      <c r="V909" s="176"/>
      <c r="W909" s="176"/>
      <c r="X909" s="176"/>
      <c r="Y909" s="176"/>
      <c r="Z909" s="176"/>
      <c r="AA909" s="176"/>
    </row>
    <row r="910">
      <c r="A910" s="165" t="str">
        <f>iferror(VLOOKUP(P910,'DO NOT TOUCH Imported'!$A$1:$D$800,4,False),iferror(VLOOKUP(P910,'DO NOT TOUCH Imported'!$C$1:$D$800,2,False),"OOPS FIX ME"))</f>
        <v>sbilbao</v>
      </c>
      <c r="B910" s="165" t="s">
        <v>441</v>
      </c>
      <c r="C910" s="170" t="s">
        <v>1250</v>
      </c>
      <c r="D910" s="236" t="s">
        <v>437</v>
      </c>
      <c r="E910" s="237">
        <v>44288.0</v>
      </c>
      <c r="F910" s="170" t="s">
        <v>439</v>
      </c>
      <c r="G910" s="219"/>
      <c r="H910" s="171">
        <v>40.0</v>
      </c>
      <c r="I910" s="171">
        <v>50.0</v>
      </c>
      <c r="J910" s="172">
        <f t="shared" si="24"/>
        <v>0.0006458506648</v>
      </c>
      <c r="K910" s="173">
        <f t="shared" si="45"/>
        <v>0.7427282645</v>
      </c>
      <c r="L910" s="174">
        <f t="shared" si="4"/>
        <v>0.7427282645</v>
      </c>
      <c r="M910" s="175" t="str">
        <f t="shared" si="5"/>
        <v>sbilbao</v>
      </c>
      <c r="N910" s="176">
        <f>IFERROR(__xludf.DUMMYFUNCTION("""COMPUTED_VALUE"""),1.0)</f>
        <v>1</v>
      </c>
      <c r="O910" s="176"/>
      <c r="P910" s="165" t="s">
        <v>798</v>
      </c>
      <c r="Q910" s="165" t="s">
        <v>441</v>
      </c>
      <c r="R910" s="176"/>
      <c r="S910" s="176"/>
      <c r="T910" s="176"/>
      <c r="U910" s="176"/>
      <c r="V910" s="176"/>
      <c r="W910" s="176"/>
      <c r="X910" s="176"/>
      <c r="Y910" s="176"/>
      <c r="Z910" s="176"/>
      <c r="AA910" s="176"/>
    </row>
    <row r="911">
      <c r="A911" s="165" t="str">
        <f>iferror(VLOOKUP(P911,'DO NOT TOUCH Imported'!$A$1:$D$800,4,False),iferror(VLOOKUP(P911,'DO NOT TOUCH Imported'!$C$1:$D$800,2,False),"OOPS FIX ME"))</f>
        <v>ryanchrypto</v>
      </c>
      <c r="B911" s="165" t="s">
        <v>10</v>
      </c>
      <c r="C911" s="170" t="s">
        <v>498</v>
      </c>
      <c r="D911" s="236" t="s">
        <v>495</v>
      </c>
      <c r="E911" s="239">
        <v>44282.0</v>
      </c>
      <c r="F911" s="170" t="s">
        <v>499</v>
      </c>
      <c r="G911" s="219"/>
      <c r="H911" s="171">
        <v>20.0</v>
      </c>
      <c r="I911" s="171">
        <v>25.0</v>
      </c>
      <c r="J911" s="172">
        <f t="shared" si="24"/>
        <v>0.0003229253324</v>
      </c>
      <c r="K911" s="173">
        <f t="shared" si="45"/>
        <v>0.3713641322</v>
      </c>
      <c r="L911" s="174">
        <f t="shared" si="4"/>
        <v>0.7427282645</v>
      </c>
      <c r="M911" s="175" t="str">
        <f t="shared" si="5"/>
        <v>ryanchrypto</v>
      </c>
      <c r="N911" s="176">
        <f>IFERROR(__xludf.DUMMYFUNCTION("""COMPUTED_VALUE"""),1.0)</f>
        <v>1</v>
      </c>
      <c r="O911" s="176"/>
      <c r="P911" s="165" t="s">
        <v>167</v>
      </c>
      <c r="Q911" s="165" t="s">
        <v>10</v>
      </c>
      <c r="R911" s="176"/>
      <c r="S911" s="176"/>
      <c r="T911" s="176"/>
      <c r="U911" s="176"/>
      <c r="V911" s="176"/>
      <c r="W911" s="176"/>
      <c r="X911" s="176"/>
      <c r="Y911" s="176"/>
      <c r="Z911" s="176"/>
      <c r="AA911" s="176"/>
    </row>
    <row r="912">
      <c r="A912" s="165" t="str">
        <f>iferror(VLOOKUP(P912,'DO NOT TOUCH Imported'!$A$1:$D$800,4,False),iferror(VLOOKUP(P912,'DO NOT TOUCH Imported'!$C$1:$D$800,2,False),"OOPS FIX ME"))</f>
        <v>ryanchrypto</v>
      </c>
      <c r="B912" s="165" t="s">
        <v>10</v>
      </c>
      <c r="C912" s="170" t="s">
        <v>498</v>
      </c>
      <c r="D912" s="236" t="s">
        <v>495</v>
      </c>
      <c r="E912" s="239">
        <v>44295.0</v>
      </c>
      <c r="F912" s="170" t="s">
        <v>499</v>
      </c>
      <c r="G912" s="219"/>
      <c r="H912" s="171">
        <v>20.0</v>
      </c>
      <c r="I912" s="171">
        <v>25.0</v>
      </c>
      <c r="J912" s="172">
        <f t="shared" si="24"/>
        <v>0.0003229253324</v>
      </c>
      <c r="K912" s="173">
        <f t="shared" si="45"/>
        <v>0.3713641322</v>
      </c>
      <c r="L912" s="174">
        <f t="shared" si="4"/>
        <v>0.7427282645</v>
      </c>
      <c r="M912" s="175" t="str">
        <f t="shared" si="5"/>
        <v>ryanchrypto</v>
      </c>
      <c r="N912" s="176">
        <f>IFERROR(__xludf.DUMMYFUNCTION("""COMPUTED_VALUE"""),2.0)</f>
        <v>2</v>
      </c>
      <c r="O912" s="176"/>
      <c r="P912" s="165" t="s">
        <v>167</v>
      </c>
      <c r="Q912" s="165" t="s">
        <v>10</v>
      </c>
      <c r="R912" s="176"/>
      <c r="S912" s="176"/>
      <c r="T912" s="176"/>
      <c r="U912" s="176"/>
      <c r="V912" s="176"/>
      <c r="W912" s="176"/>
      <c r="X912" s="176"/>
      <c r="Y912" s="176"/>
      <c r="Z912" s="176"/>
      <c r="AA912" s="176"/>
    </row>
    <row r="913">
      <c r="A913" s="165" t="str">
        <f>iferror(VLOOKUP(P913,'DO NOT TOUCH Imported'!$A$1:$D$800,4,False),iferror(VLOOKUP(P913,'DO NOT TOUCH Imported'!$C$1:$D$800,2,False),"OOPS FIX ME"))</f>
        <v>sergei_tran</v>
      </c>
      <c r="B913" s="165" t="s">
        <v>10</v>
      </c>
      <c r="C913" s="170" t="s">
        <v>498</v>
      </c>
      <c r="D913" s="236" t="s">
        <v>495</v>
      </c>
      <c r="E913" s="239">
        <v>44282.0</v>
      </c>
      <c r="F913" s="170" t="s">
        <v>499</v>
      </c>
      <c r="G913" s="219"/>
      <c r="H913" s="171">
        <v>20.0</v>
      </c>
      <c r="I913" s="171">
        <v>25.0</v>
      </c>
      <c r="J913" s="172">
        <f t="shared" si="24"/>
        <v>0.0003229253324</v>
      </c>
      <c r="K913" s="173">
        <f t="shared" si="45"/>
        <v>0.3713641322</v>
      </c>
      <c r="L913" s="174">
        <f t="shared" si="4"/>
        <v>0.6607142865</v>
      </c>
      <c r="M913" s="175" t="str">
        <f t="shared" si="5"/>
        <v>sergei_tran</v>
      </c>
      <c r="N913" s="176">
        <f>IFERROR(__xludf.DUMMYFUNCTION("""COMPUTED_VALUE"""),1.0)</f>
        <v>1</v>
      </c>
      <c r="O913" s="176"/>
      <c r="P913" s="165" t="s">
        <v>119</v>
      </c>
      <c r="Q913" s="165" t="s">
        <v>10</v>
      </c>
      <c r="R913" s="176"/>
      <c r="S913" s="176"/>
      <c r="T913" s="176"/>
      <c r="U913" s="176"/>
      <c r="V913" s="176"/>
      <c r="W913" s="176"/>
      <c r="X913" s="176"/>
      <c r="Y913" s="176"/>
      <c r="Z913" s="176"/>
      <c r="AA913" s="176"/>
    </row>
    <row r="914">
      <c r="A914" s="165" t="str">
        <f>iferror(VLOOKUP(P914,'DO NOT TOUCH Imported'!$A$1:$D$800,4,False),iferror(VLOOKUP(P914,'DO NOT TOUCH Imported'!$C$1:$D$800,2,False),"OOPS FIX ME"))</f>
        <v>sergei_tran</v>
      </c>
      <c r="B914" s="165" t="s">
        <v>10</v>
      </c>
      <c r="C914" s="170" t="s">
        <v>498</v>
      </c>
      <c r="D914" s="236" t="s">
        <v>495</v>
      </c>
      <c r="E914" s="239">
        <v>44288.0</v>
      </c>
      <c r="F914" s="170" t="s">
        <v>499</v>
      </c>
      <c r="G914" s="219"/>
      <c r="H914" s="171">
        <v>20.0</v>
      </c>
      <c r="I914" s="171">
        <v>15.0</v>
      </c>
      <c r="J914" s="172">
        <f t="shared" si="24"/>
        <v>0.0002516088297</v>
      </c>
      <c r="K914" s="173">
        <f t="shared" si="45"/>
        <v>0.2893501542</v>
      </c>
      <c r="L914" s="174">
        <f t="shared" si="4"/>
        <v>0.6607142865</v>
      </c>
      <c r="M914" s="175" t="str">
        <f t="shared" si="5"/>
        <v>sergei_tran</v>
      </c>
      <c r="N914" s="176">
        <f>IFERROR(__xludf.DUMMYFUNCTION("""COMPUTED_VALUE"""),2.0)</f>
        <v>2</v>
      </c>
      <c r="O914" s="176"/>
      <c r="P914" s="165" t="s">
        <v>119</v>
      </c>
      <c r="Q914" s="165" t="s">
        <v>10</v>
      </c>
      <c r="R914" s="176"/>
      <c r="S914" s="176"/>
      <c r="T914" s="176"/>
      <c r="U914" s="176"/>
      <c r="V914" s="176"/>
      <c r="W914" s="176"/>
      <c r="X914" s="176"/>
      <c r="Y914" s="176"/>
      <c r="Z914" s="176"/>
      <c r="AA914" s="176"/>
    </row>
    <row r="915">
      <c r="A915" s="165" t="str">
        <f>iferror(VLOOKUP(P915,'DO NOT TOUCH Imported'!$A$1:$D$800,4,False),iferror(VLOOKUP(P915,'DO NOT TOUCH Imported'!$C$1:$D$800,2,False),"OOPS FIX ME"))</f>
        <v>pprhsk</v>
      </c>
      <c r="B915" s="165" t="s">
        <v>10</v>
      </c>
      <c r="C915" s="170" t="s">
        <v>498</v>
      </c>
      <c r="D915" s="236" t="s">
        <v>495</v>
      </c>
      <c r="E915" s="239">
        <v>44288.0</v>
      </c>
      <c r="F915" s="170" t="s">
        <v>499</v>
      </c>
      <c r="G915" s="219"/>
      <c r="H915" s="171">
        <v>20.0</v>
      </c>
      <c r="I915" s="171">
        <v>15.0</v>
      </c>
      <c r="J915" s="172">
        <f t="shared" si="24"/>
        <v>0.0002516088297</v>
      </c>
      <c r="K915" s="173">
        <f t="shared" si="45"/>
        <v>0.2893501542</v>
      </c>
      <c r="L915" s="174">
        <f t="shared" si="4"/>
        <v>0.6607142865</v>
      </c>
      <c r="M915" s="175" t="str">
        <f t="shared" si="5"/>
        <v>pprhsk</v>
      </c>
      <c r="N915" s="176">
        <f>IFERROR(__xludf.DUMMYFUNCTION("""COMPUTED_VALUE"""),1.0)</f>
        <v>1</v>
      </c>
      <c r="O915" s="176"/>
      <c r="P915" s="165" t="s">
        <v>221</v>
      </c>
      <c r="Q915" s="165" t="s">
        <v>10</v>
      </c>
      <c r="R915" s="176"/>
      <c r="S915" s="176"/>
      <c r="T915" s="176"/>
      <c r="U915" s="176"/>
      <c r="V915" s="176"/>
      <c r="W915" s="176"/>
      <c r="X915" s="176"/>
      <c r="Y915" s="176"/>
      <c r="Z915" s="176"/>
      <c r="AA915" s="176"/>
    </row>
    <row r="916">
      <c r="A916" s="165" t="str">
        <f>iferror(VLOOKUP(P916,'DO NOT TOUCH Imported'!$A$1:$D$800,4,False),iferror(VLOOKUP(P916,'DO NOT TOUCH Imported'!$C$1:$D$800,2,False),"OOPS FIX ME"))</f>
        <v>pprhsk</v>
      </c>
      <c r="B916" s="165" t="s">
        <v>10</v>
      </c>
      <c r="C916" s="170" t="s">
        <v>498</v>
      </c>
      <c r="D916" s="236" t="s">
        <v>495</v>
      </c>
      <c r="E916" s="239">
        <v>44295.0</v>
      </c>
      <c r="F916" s="170" t="s">
        <v>499</v>
      </c>
      <c r="G916" s="219"/>
      <c r="H916" s="171">
        <v>20.0</v>
      </c>
      <c r="I916" s="171">
        <v>25.0</v>
      </c>
      <c r="J916" s="172">
        <f t="shared" si="24"/>
        <v>0.0003229253324</v>
      </c>
      <c r="K916" s="173">
        <f t="shared" si="45"/>
        <v>0.3713641322</v>
      </c>
      <c r="L916" s="174">
        <f t="shared" si="4"/>
        <v>0.6607142865</v>
      </c>
      <c r="M916" s="175" t="str">
        <f t="shared" si="5"/>
        <v>pprhsk</v>
      </c>
      <c r="N916" s="176">
        <f>IFERROR(__xludf.DUMMYFUNCTION("""COMPUTED_VALUE"""),2.0)</f>
        <v>2</v>
      </c>
      <c r="O916" s="176"/>
      <c r="P916" s="165" t="s">
        <v>221</v>
      </c>
      <c r="Q916" s="165" t="s">
        <v>10</v>
      </c>
      <c r="R916" s="176"/>
      <c r="S916" s="176"/>
      <c r="T916" s="176"/>
      <c r="U916" s="176"/>
      <c r="V916" s="176"/>
      <c r="W916" s="176"/>
      <c r="X916" s="176"/>
      <c r="Y916" s="176"/>
      <c r="Z916" s="176"/>
      <c r="AA916" s="176"/>
    </row>
    <row r="917">
      <c r="A917" s="165" t="str">
        <f>iferror(VLOOKUP(P917,'DO NOT TOUCH Imported'!$A$1:$D$800,4,False),iferror(VLOOKUP(P917,'DO NOT TOUCH Imported'!$C$1:$D$800,2,False),"OOPS FIX ME"))</f>
        <v>nikoline_nik</v>
      </c>
      <c r="B917" s="165" t="s">
        <v>10</v>
      </c>
      <c r="C917" s="170" t="s">
        <v>498</v>
      </c>
      <c r="D917" s="236" t="s">
        <v>495</v>
      </c>
      <c r="E917" s="239">
        <v>44282.0</v>
      </c>
      <c r="F917" s="170" t="s">
        <v>499</v>
      </c>
      <c r="G917" s="219"/>
      <c r="H917" s="171">
        <v>20.0</v>
      </c>
      <c r="I917" s="171">
        <v>25.0</v>
      </c>
      <c r="J917" s="172">
        <f t="shared" si="24"/>
        <v>0.0003229253324</v>
      </c>
      <c r="K917" s="173">
        <f t="shared" si="45"/>
        <v>0.3713641322</v>
      </c>
      <c r="L917" s="174">
        <f t="shared" si="4"/>
        <v>1.321428573</v>
      </c>
      <c r="M917" s="175" t="str">
        <f t="shared" si="5"/>
        <v>nikoline_nik</v>
      </c>
      <c r="N917" s="176">
        <f>IFERROR(__xludf.DUMMYFUNCTION("""COMPUTED_VALUE"""),1.0)</f>
        <v>1</v>
      </c>
      <c r="O917" s="176"/>
      <c r="P917" s="165" t="s">
        <v>100</v>
      </c>
      <c r="Q917" s="165" t="s">
        <v>10</v>
      </c>
      <c r="R917" s="176"/>
      <c r="S917" s="176"/>
      <c r="T917" s="176"/>
      <c r="U917" s="176"/>
      <c r="V917" s="176"/>
      <c r="W917" s="176"/>
      <c r="X917" s="176"/>
      <c r="Y917" s="176"/>
      <c r="Z917" s="176"/>
      <c r="AA917" s="176"/>
    </row>
    <row r="918">
      <c r="A918" s="165" t="str">
        <f>iferror(VLOOKUP(P918,'DO NOT TOUCH Imported'!$A$1:$D$800,4,False),iferror(VLOOKUP(P918,'DO NOT TOUCH Imported'!$C$1:$D$800,2,False),"OOPS FIX ME"))</f>
        <v>nikoline_nik</v>
      </c>
      <c r="B918" s="165" t="s">
        <v>10</v>
      </c>
      <c r="C918" s="170" t="s">
        <v>498</v>
      </c>
      <c r="D918" s="236" t="s">
        <v>495</v>
      </c>
      <c r="E918" s="239">
        <v>44288.0</v>
      </c>
      <c r="F918" s="170" t="s">
        <v>499</v>
      </c>
      <c r="G918" s="219"/>
      <c r="H918" s="171">
        <v>20.0</v>
      </c>
      <c r="I918" s="171">
        <v>15.0</v>
      </c>
      <c r="J918" s="172">
        <f t="shared" si="24"/>
        <v>0.0002516088297</v>
      </c>
      <c r="K918" s="173">
        <f t="shared" si="45"/>
        <v>0.2893501542</v>
      </c>
      <c r="L918" s="174">
        <f t="shared" si="4"/>
        <v>1.321428573</v>
      </c>
      <c r="M918" s="175" t="str">
        <f t="shared" si="5"/>
        <v>nikoline_nik</v>
      </c>
      <c r="N918" s="176">
        <f>IFERROR(__xludf.DUMMYFUNCTION("""COMPUTED_VALUE"""),2.0)</f>
        <v>2</v>
      </c>
      <c r="O918" s="176"/>
      <c r="P918" s="165" t="s">
        <v>100</v>
      </c>
      <c r="Q918" s="165" t="s">
        <v>10</v>
      </c>
      <c r="R918" s="176"/>
      <c r="S918" s="176"/>
      <c r="T918" s="176"/>
      <c r="U918" s="176"/>
      <c r="V918" s="176"/>
      <c r="W918" s="176"/>
      <c r="X918" s="176"/>
      <c r="Y918" s="176"/>
      <c r="Z918" s="176"/>
      <c r="AA918" s="176"/>
    </row>
    <row r="919">
      <c r="A919" s="165" t="str">
        <f>iferror(VLOOKUP(P919,'DO NOT TOUCH Imported'!$A$1:$D$800,4,False),iferror(VLOOKUP(P919,'DO NOT TOUCH Imported'!$C$1:$D$800,2,False),"OOPS FIX ME"))</f>
        <v>nelsonm</v>
      </c>
      <c r="B919" s="165" t="s">
        <v>10</v>
      </c>
      <c r="C919" s="170" t="s">
        <v>498</v>
      </c>
      <c r="D919" s="236" t="s">
        <v>495</v>
      </c>
      <c r="E919" s="239">
        <v>44282.0</v>
      </c>
      <c r="F919" s="170" t="s">
        <v>499</v>
      </c>
      <c r="G919" s="219"/>
      <c r="H919" s="171">
        <v>20.0</v>
      </c>
      <c r="I919" s="171">
        <v>25.0</v>
      </c>
      <c r="J919" s="172">
        <f t="shared" si="24"/>
        <v>0.0003229253324</v>
      </c>
      <c r="K919" s="173">
        <f t="shared" si="45"/>
        <v>0.3713641322</v>
      </c>
      <c r="L919" s="174">
        <f t="shared" si="4"/>
        <v>0.6607142865</v>
      </c>
      <c r="M919" s="175" t="str">
        <f t="shared" si="5"/>
        <v>nelsonm</v>
      </c>
      <c r="N919" s="176">
        <f>IFERROR(__xludf.DUMMYFUNCTION("""COMPUTED_VALUE"""),1.0)</f>
        <v>1</v>
      </c>
      <c r="O919" s="176"/>
      <c r="P919" s="165" t="s">
        <v>137</v>
      </c>
      <c r="Q919" s="165" t="s">
        <v>10</v>
      </c>
      <c r="R919" s="176"/>
      <c r="S919" s="176"/>
      <c r="T919" s="176"/>
      <c r="U919" s="176"/>
      <c r="V919" s="176"/>
      <c r="W919" s="176"/>
      <c r="X919" s="176"/>
      <c r="Y919" s="176"/>
      <c r="Z919" s="176"/>
      <c r="AA919" s="176"/>
    </row>
    <row r="920">
      <c r="A920" s="165" t="str">
        <f>iferror(VLOOKUP(P920,'DO NOT TOUCH Imported'!$A$1:$D$800,4,False),iferror(VLOOKUP(P920,'DO NOT TOUCH Imported'!$C$1:$D$800,2,False),"OOPS FIX ME"))</f>
        <v>nelsonm</v>
      </c>
      <c r="B920" s="165" t="s">
        <v>10</v>
      </c>
      <c r="C920" s="170" t="s">
        <v>498</v>
      </c>
      <c r="D920" s="236" t="s">
        <v>495</v>
      </c>
      <c r="E920" s="239">
        <v>44288.0</v>
      </c>
      <c r="F920" s="170" t="s">
        <v>499</v>
      </c>
      <c r="G920" s="219"/>
      <c r="H920" s="171">
        <v>20.0</v>
      </c>
      <c r="I920" s="171">
        <v>15.0</v>
      </c>
      <c r="J920" s="172">
        <f t="shared" si="24"/>
        <v>0.0002516088297</v>
      </c>
      <c r="K920" s="173">
        <f t="shared" si="45"/>
        <v>0.2893501542</v>
      </c>
      <c r="L920" s="174">
        <f t="shared" si="4"/>
        <v>0.6607142865</v>
      </c>
      <c r="M920" s="175" t="str">
        <f t="shared" si="5"/>
        <v>nelsonm</v>
      </c>
      <c r="N920" s="176">
        <f>IFERROR(__xludf.DUMMYFUNCTION("""COMPUTED_VALUE"""),2.0)</f>
        <v>2</v>
      </c>
      <c r="O920" s="176"/>
      <c r="P920" s="165" t="s">
        <v>137</v>
      </c>
      <c r="Q920" s="165" t="s">
        <v>10</v>
      </c>
      <c r="R920" s="176"/>
      <c r="S920" s="176"/>
      <c r="T920" s="176"/>
      <c r="U920" s="176"/>
      <c r="V920" s="176"/>
      <c r="W920" s="176"/>
      <c r="X920" s="176"/>
      <c r="Y920" s="176"/>
      <c r="Z920" s="176"/>
      <c r="AA920" s="176"/>
    </row>
    <row r="921">
      <c r="A921" s="165" t="str">
        <f>iferror(VLOOKUP(P921,'DO NOT TOUCH Imported'!$A$1:$D$800,4,False),iferror(VLOOKUP(P921,'DO NOT TOUCH Imported'!$C$1:$D$800,2,False),"OOPS FIX ME"))</f>
        <v>michaelr10</v>
      </c>
      <c r="B921" s="165" t="s">
        <v>10</v>
      </c>
      <c r="C921" s="170" t="s">
        <v>498</v>
      </c>
      <c r="D921" s="236" t="s">
        <v>495</v>
      </c>
      <c r="E921" s="239">
        <v>44288.0</v>
      </c>
      <c r="F921" s="170" t="s">
        <v>499</v>
      </c>
      <c r="G921" s="219"/>
      <c r="H921" s="171">
        <v>20.0</v>
      </c>
      <c r="I921" s="171">
        <v>15.0</v>
      </c>
      <c r="J921" s="172">
        <f t="shared" si="24"/>
        <v>0.0002516088297</v>
      </c>
      <c r="K921" s="173">
        <f t="shared" si="45"/>
        <v>0.2893501542</v>
      </c>
      <c r="L921" s="174">
        <f t="shared" si="4"/>
        <v>0.6607142865</v>
      </c>
      <c r="M921" s="175" t="str">
        <f t="shared" si="5"/>
        <v>michaelr10</v>
      </c>
      <c r="N921" s="176">
        <f>IFERROR(__xludf.DUMMYFUNCTION("""COMPUTED_VALUE"""),1.0)</f>
        <v>1</v>
      </c>
      <c r="O921" s="176"/>
      <c r="P921" s="165" t="s">
        <v>229</v>
      </c>
      <c r="Q921" s="165" t="s">
        <v>10</v>
      </c>
      <c r="R921" s="176"/>
      <c r="S921" s="176"/>
      <c r="T921" s="176"/>
      <c r="U921" s="176"/>
      <c r="V921" s="176"/>
      <c r="W921" s="176"/>
      <c r="X921" s="176"/>
      <c r="Y921" s="176"/>
      <c r="Z921" s="176"/>
      <c r="AA921" s="176"/>
    </row>
    <row r="922">
      <c r="A922" s="165" t="str">
        <f>iferror(VLOOKUP(P922,'DO NOT TOUCH Imported'!$A$1:$D$800,4,False),iferror(VLOOKUP(P922,'DO NOT TOUCH Imported'!$C$1:$D$800,2,False),"OOPS FIX ME"))</f>
        <v>michaelr10</v>
      </c>
      <c r="B922" s="165" t="s">
        <v>10</v>
      </c>
      <c r="C922" s="170" t="s">
        <v>498</v>
      </c>
      <c r="D922" s="236" t="s">
        <v>495</v>
      </c>
      <c r="E922" s="239">
        <v>44295.0</v>
      </c>
      <c r="F922" s="170" t="s">
        <v>499</v>
      </c>
      <c r="G922" s="219"/>
      <c r="H922" s="171">
        <v>20.0</v>
      </c>
      <c r="I922" s="171">
        <v>25.0</v>
      </c>
      <c r="J922" s="172">
        <f t="shared" si="24"/>
        <v>0.0003229253324</v>
      </c>
      <c r="K922" s="173">
        <f t="shared" si="45"/>
        <v>0.3713641322</v>
      </c>
      <c r="L922" s="174">
        <f t="shared" si="4"/>
        <v>0.6607142865</v>
      </c>
      <c r="M922" s="175" t="str">
        <f t="shared" si="5"/>
        <v>michaelr10</v>
      </c>
      <c r="N922" s="176">
        <f>IFERROR(__xludf.DUMMYFUNCTION("""COMPUTED_VALUE"""),2.0)</f>
        <v>2</v>
      </c>
      <c r="O922" s="176"/>
      <c r="P922" s="165" t="s">
        <v>229</v>
      </c>
      <c r="Q922" s="165" t="s">
        <v>10</v>
      </c>
      <c r="R922" s="176"/>
      <c r="S922" s="176"/>
      <c r="T922" s="176"/>
      <c r="U922" s="176"/>
      <c r="V922" s="176"/>
      <c r="W922" s="176"/>
      <c r="X922" s="176"/>
      <c r="Y922" s="176"/>
      <c r="Z922" s="176"/>
      <c r="AA922" s="176"/>
    </row>
    <row r="923">
      <c r="A923" s="165" t="str">
        <f>iferror(VLOOKUP(P923,'DO NOT TOUCH Imported'!$A$1:$D$800,4,False),iferror(VLOOKUP(P923,'DO NOT TOUCH Imported'!$C$1:$D$800,2,False),"OOPS FIX ME"))</f>
        <v>GraceRachmany</v>
      </c>
      <c r="B923" s="165" t="s">
        <v>10</v>
      </c>
      <c r="C923" s="170" t="s">
        <v>498</v>
      </c>
      <c r="D923" s="236" t="s">
        <v>495</v>
      </c>
      <c r="E923" s="239">
        <v>44288.0</v>
      </c>
      <c r="F923" s="170" t="s">
        <v>499</v>
      </c>
      <c r="G923" s="219"/>
      <c r="H923" s="171">
        <v>20.0</v>
      </c>
      <c r="I923" s="171">
        <v>15.0</v>
      </c>
      <c r="J923" s="172">
        <f t="shared" si="24"/>
        <v>0.0002516088297</v>
      </c>
      <c r="K923" s="173">
        <f t="shared" si="45"/>
        <v>0.2893501542</v>
      </c>
      <c r="L923" s="174">
        <f t="shared" si="4"/>
        <v>0.6607142865</v>
      </c>
      <c r="M923" s="175" t="str">
        <f t="shared" si="5"/>
        <v>GraceRachmany</v>
      </c>
      <c r="N923" s="176">
        <f>IFERROR(__xludf.DUMMYFUNCTION("""COMPUTED_VALUE"""),1.0)</f>
        <v>1</v>
      </c>
      <c r="O923" s="176"/>
      <c r="P923" s="165" t="s">
        <v>84</v>
      </c>
      <c r="Q923" s="165" t="s">
        <v>10</v>
      </c>
      <c r="R923" s="176"/>
      <c r="S923" s="176"/>
      <c r="T923" s="176"/>
      <c r="U923" s="176"/>
      <c r="V923" s="176"/>
      <c r="W923" s="176"/>
      <c r="X923" s="176"/>
      <c r="Y923" s="176"/>
      <c r="Z923" s="176"/>
      <c r="AA923" s="176"/>
    </row>
    <row r="924">
      <c r="A924" s="165" t="str">
        <f>iferror(VLOOKUP(P924,'DO NOT TOUCH Imported'!$A$1:$D$800,4,False),iferror(VLOOKUP(P924,'DO NOT TOUCH Imported'!$C$1:$D$800,2,False),"OOPS FIX ME"))</f>
        <v>GraceRachmany</v>
      </c>
      <c r="B924" s="165" t="s">
        <v>10</v>
      </c>
      <c r="C924" s="170" t="s">
        <v>498</v>
      </c>
      <c r="D924" s="236" t="s">
        <v>495</v>
      </c>
      <c r="E924" s="239">
        <v>44295.0</v>
      </c>
      <c r="F924" s="170" t="s">
        <v>499</v>
      </c>
      <c r="G924" s="219"/>
      <c r="H924" s="171">
        <v>20.0</v>
      </c>
      <c r="I924" s="171">
        <v>25.0</v>
      </c>
      <c r="J924" s="172">
        <f t="shared" si="24"/>
        <v>0.0003229253324</v>
      </c>
      <c r="K924" s="173">
        <f t="shared" si="45"/>
        <v>0.3713641322</v>
      </c>
      <c r="L924" s="174">
        <f t="shared" si="4"/>
        <v>0.6607142865</v>
      </c>
      <c r="M924" s="175" t="str">
        <f t="shared" si="5"/>
        <v>GraceRachmany</v>
      </c>
      <c r="N924" s="176">
        <f>IFERROR(__xludf.DUMMYFUNCTION("""COMPUTED_VALUE"""),2.0)</f>
        <v>2</v>
      </c>
      <c r="O924" s="176"/>
      <c r="P924" s="165" t="s">
        <v>84</v>
      </c>
      <c r="Q924" s="165" t="s">
        <v>10</v>
      </c>
      <c r="R924" s="176"/>
      <c r="S924" s="176"/>
      <c r="T924" s="176"/>
      <c r="U924" s="176"/>
      <c r="V924" s="176"/>
      <c r="W924" s="176"/>
      <c r="X924" s="176"/>
      <c r="Y924" s="176"/>
      <c r="Z924" s="176"/>
      <c r="AA924" s="176"/>
    </row>
    <row r="925">
      <c r="A925" s="165" t="str">
        <f>iferror(VLOOKUP(P925,'DO NOT TOUCH Imported'!$A$1:$D$800,4,False),iferror(VLOOKUP(P925,'DO NOT TOUCH Imported'!$C$1:$D$800,2,False),"OOPS FIX ME"))</f>
        <v>existenialstoic</v>
      </c>
      <c r="B925" s="165" t="s">
        <v>10</v>
      </c>
      <c r="C925" s="170" t="s">
        <v>498</v>
      </c>
      <c r="D925" s="236" t="s">
        <v>495</v>
      </c>
      <c r="E925" s="239">
        <v>44288.0</v>
      </c>
      <c r="F925" s="170" t="s">
        <v>499</v>
      </c>
      <c r="G925" s="219"/>
      <c r="H925" s="171">
        <v>20.0</v>
      </c>
      <c r="I925" s="171">
        <v>15.0</v>
      </c>
      <c r="J925" s="172">
        <f t="shared" si="24"/>
        <v>0.0002516088297</v>
      </c>
      <c r="K925" s="173">
        <f t="shared" si="45"/>
        <v>0.2893501542</v>
      </c>
      <c r="L925" s="174">
        <f t="shared" si="4"/>
        <v>0.6607142865</v>
      </c>
      <c r="M925" s="175" t="str">
        <f t="shared" si="5"/>
        <v>existenialstoic</v>
      </c>
      <c r="N925" s="176">
        <f>IFERROR(__xludf.DUMMYFUNCTION("""COMPUTED_VALUE"""),1.0)</f>
        <v>1</v>
      </c>
      <c r="O925" s="176"/>
      <c r="P925" s="165" t="s">
        <v>114</v>
      </c>
      <c r="Q925" s="165" t="s">
        <v>10</v>
      </c>
      <c r="R925" s="176"/>
      <c r="S925" s="176"/>
      <c r="T925" s="176"/>
      <c r="U925" s="176"/>
      <c r="V925" s="176"/>
      <c r="W925" s="176"/>
      <c r="X925" s="176"/>
      <c r="Y925" s="176"/>
      <c r="Z925" s="176"/>
      <c r="AA925" s="176"/>
    </row>
    <row r="926">
      <c r="A926" s="165" t="str">
        <f>iferror(VLOOKUP(P926,'DO NOT TOUCH Imported'!$A$1:$D$800,4,False),iferror(VLOOKUP(P926,'DO NOT TOUCH Imported'!$C$1:$D$800,2,False),"OOPS FIX ME"))</f>
        <v>existenialstoic</v>
      </c>
      <c r="B926" s="165" t="s">
        <v>10</v>
      </c>
      <c r="C926" s="170" t="s">
        <v>498</v>
      </c>
      <c r="D926" s="236" t="s">
        <v>495</v>
      </c>
      <c r="E926" s="239">
        <v>44295.0</v>
      </c>
      <c r="F926" s="170" t="s">
        <v>499</v>
      </c>
      <c r="G926" s="219"/>
      <c r="H926" s="171">
        <v>20.0</v>
      </c>
      <c r="I926" s="171">
        <v>25.0</v>
      </c>
      <c r="J926" s="172">
        <f t="shared" si="24"/>
        <v>0.0003229253324</v>
      </c>
      <c r="K926" s="173">
        <f t="shared" si="45"/>
        <v>0.3713641322</v>
      </c>
      <c r="L926" s="174">
        <f t="shared" si="4"/>
        <v>0.6607142865</v>
      </c>
      <c r="M926" s="175" t="str">
        <f t="shared" si="5"/>
        <v>existenialstoic</v>
      </c>
      <c r="N926" s="176">
        <f>IFERROR(__xludf.DUMMYFUNCTION("""COMPUTED_VALUE"""),2.0)</f>
        <v>2</v>
      </c>
      <c r="O926" s="176"/>
      <c r="P926" s="165" t="s">
        <v>114</v>
      </c>
      <c r="Q926" s="165" t="s">
        <v>10</v>
      </c>
      <c r="R926" s="176"/>
      <c r="S926" s="176"/>
      <c r="T926" s="176"/>
      <c r="U926" s="176"/>
      <c r="V926" s="176"/>
      <c r="W926" s="176"/>
      <c r="X926" s="176"/>
      <c r="Y926" s="176"/>
      <c r="Z926" s="176"/>
      <c r="AA926" s="176"/>
    </row>
    <row r="927">
      <c r="A927" s="165" t="str">
        <f>iferror(VLOOKUP(P927,'DO NOT TOUCH Imported'!$A$1:$D$800,4,False),iferror(VLOOKUP(P927,'DO NOT TOUCH Imported'!$C$1:$D$800,2,False),"OOPS FIX ME"))</f>
        <v>edendh</v>
      </c>
      <c r="B927" s="165" t="s">
        <v>10</v>
      </c>
      <c r="C927" s="170" t="s">
        <v>500</v>
      </c>
      <c r="D927" s="236" t="s">
        <v>495</v>
      </c>
      <c r="E927" s="239">
        <v>44289.0</v>
      </c>
      <c r="F927" s="170" t="s">
        <v>496</v>
      </c>
      <c r="G927" s="219"/>
      <c r="H927" s="171">
        <v>20.0</v>
      </c>
      <c r="I927" s="171">
        <v>15.0</v>
      </c>
      <c r="J927" s="172">
        <f t="shared" si="24"/>
        <v>0.0002516088297</v>
      </c>
      <c r="K927" s="173">
        <f t="shared" si="45"/>
        <v>0.2893501542</v>
      </c>
      <c r="L927" s="174">
        <f t="shared" si="4"/>
        <v>0.6607142865</v>
      </c>
      <c r="M927" s="175" t="str">
        <f t="shared" si="5"/>
        <v>edendh</v>
      </c>
      <c r="N927" s="176">
        <f>IFERROR(__xludf.DUMMYFUNCTION("""COMPUTED_VALUE"""),1.0)</f>
        <v>1</v>
      </c>
      <c r="O927" s="176"/>
      <c r="P927" s="165" t="s">
        <v>207</v>
      </c>
      <c r="Q927" s="165" t="s">
        <v>10</v>
      </c>
      <c r="R927" s="176"/>
      <c r="S927" s="176"/>
      <c r="T927" s="176"/>
      <c r="U927" s="176"/>
      <c r="V927" s="176"/>
      <c r="W927" s="176"/>
      <c r="X927" s="176"/>
      <c r="Y927" s="176"/>
      <c r="Z927" s="176"/>
      <c r="AA927" s="176"/>
    </row>
    <row r="928">
      <c r="A928" s="165" t="str">
        <f>iferror(VLOOKUP(P928,'DO NOT TOUCH Imported'!$A$1:$D$800,4,False),iferror(VLOOKUP(P928,'DO NOT TOUCH Imported'!$C$1:$D$800,2,False),"OOPS FIX ME"))</f>
        <v>edendh</v>
      </c>
      <c r="B928" s="165" t="s">
        <v>10</v>
      </c>
      <c r="C928" s="170" t="s">
        <v>498</v>
      </c>
      <c r="D928" s="236" t="s">
        <v>495</v>
      </c>
      <c r="E928" s="239">
        <v>44295.0</v>
      </c>
      <c r="F928" s="170" t="s">
        <v>499</v>
      </c>
      <c r="G928" s="219"/>
      <c r="H928" s="171">
        <v>20.0</v>
      </c>
      <c r="I928" s="171">
        <v>25.0</v>
      </c>
      <c r="J928" s="172">
        <f t="shared" si="24"/>
        <v>0.0003229253324</v>
      </c>
      <c r="K928" s="173">
        <f t="shared" si="45"/>
        <v>0.3713641322</v>
      </c>
      <c r="L928" s="174">
        <f t="shared" si="4"/>
        <v>0.6607142865</v>
      </c>
      <c r="M928" s="175" t="str">
        <f t="shared" si="5"/>
        <v>edendh</v>
      </c>
      <c r="N928" s="176">
        <f>IFERROR(__xludf.DUMMYFUNCTION("""COMPUTED_VALUE"""),2.0)</f>
        <v>2</v>
      </c>
      <c r="O928" s="176"/>
      <c r="P928" s="165" t="s">
        <v>207</v>
      </c>
      <c r="Q928" s="165" t="s">
        <v>10</v>
      </c>
      <c r="R928" s="176"/>
      <c r="S928" s="176"/>
      <c r="T928" s="176"/>
      <c r="U928" s="176"/>
      <c r="V928" s="176"/>
      <c r="W928" s="176"/>
      <c r="X928" s="176"/>
      <c r="Y928" s="176"/>
      <c r="Z928" s="176"/>
      <c r="AA928" s="176"/>
    </row>
    <row r="929">
      <c r="A929" s="165" t="str">
        <f>iferror(VLOOKUP(P929,'DO NOT TOUCH Imported'!$A$1:$D$800,4,False),iferror(VLOOKUP(P929,'DO NOT TOUCH Imported'!$C$1:$D$800,2,False),"OOPS FIX ME"))</f>
        <v>antoniopaglino</v>
      </c>
      <c r="B929" s="165" t="s">
        <v>10</v>
      </c>
      <c r="C929" s="170" t="s">
        <v>498</v>
      </c>
      <c r="D929" s="236" t="s">
        <v>495</v>
      </c>
      <c r="E929" s="239">
        <v>44282.0</v>
      </c>
      <c r="F929" s="170" t="s">
        <v>499</v>
      </c>
      <c r="G929" s="219"/>
      <c r="H929" s="171">
        <v>20.0</v>
      </c>
      <c r="I929" s="171">
        <v>25.0</v>
      </c>
      <c r="J929" s="172">
        <f t="shared" si="24"/>
        <v>0.0003229253324</v>
      </c>
      <c r="K929" s="173">
        <f t="shared" si="45"/>
        <v>0.3713641322</v>
      </c>
      <c r="L929" s="174">
        <f t="shared" si="4"/>
        <v>0.6607142865</v>
      </c>
      <c r="M929" s="175" t="str">
        <f t="shared" si="5"/>
        <v>antoniopaglino</v>
      </c>
      <c r="N929" s="176">
        <f>IFERROR(__xludf.DUMMYFUNCTION("""COMPUTED_VALUE"""),1.0)</f>
        <v>1</v>
      </c>
      <c r="O929" s="176"/>
      <c r="P929" s="165" t="s">
        <v>151</v>
      </c>
      <c r="Q929" s="165" t="s">
        <v>10</v>
      </c>
      <c r="R929" s="176"/>
      <c r="S929" s="176"/>
      <c r="T929" s="176"/>
      <c r="U929" s="176"/>
      <c r="V929" s="176"/>
      <c r="W929" s="176"/>
      <c r="X929" s="176"/>
      <c r="Y929" s="176"/>
      <c r="Z929" s="176"/>
      <c r="AA929" s="176"/>
    </row>
    <row r="930">
      <c r="A930" s="165" t="str">
        <f>iferror(VLOOKUP(P930,'DO NOT TOUCH Imported'!$A$1:$D$800,4,False),iferror(VLOOKUP(P930,'DO NOT TOUCH Imported'!$C$1:$D$800,2,False),"OOPS FIX ME"))</f>
        <v>antoniopaglino</v>
      </c>
      <c r="B930" s="165" t="s">
        <v>10</v>
      </c>
      <c r="C930" s="170" t="s">
        <v>500</v>
      </c>
      <c r="D930" s="236" t="s">
        <v>495</v>
      </c>
      <c r="E930" s="239">
        <v>44282.0</v>
      </c>
      <c r="F930" s="170" t="s">
        <v>496</v>
      </c>
      <c r="G930" s="219"/>
      <c r="H930" s="171">
        <v>20.0</v>
      </c>
      <c r="I930" s="171">
        <v>15.0</v>
      </c>
      <c r="J930" s="172">
        <f t="shared" si="24"/>
        <v>0.0002516088297</v>
      </c>
      <c r="K930" s="173">
        <f t="shared" si="45"/>
        <v>0.2893501542</v>
      </c>
      <c r="L930" s="174">
        <f t="shared" si="4"/>
        <v>0.6607142865</v>
      </c>
      <c r="M930" s="175" t="str">
        <f t="shared" si="5"/>
        <v>antoniopaglino</v>
      </c>
      <c r="N930" s="176">
        <f>IFERROR(__xludf.DUMMYFUNCTION("""COMPUTED_VALUE"""),2.0)</f>
        <v>2</v>
      </c>
      <c r="O930" s="176"/>
      <c r="P930" s="165" t="s">
        <v>151</v>
      </c>
      <c r="Q930" s="165" t="s">
        <v>10</v>
      </c>
      <c r="R930" s="176"/>
      <c r="S930" s="176"/>
      <c r="T930" s="176"/>
      <c r="U930" s="176"/>
      <c r="V930" s="176"/>
      <c r="W930" s="176"/>
      <c r="X930" s="176"/>
      <c r="Y930" s="176"/>
      <c r="Z930" s="176"/>
      <c r="AA930" s="176"/>
    </row>
    <row r="931">
      <c r="A931" s="165" t="str">
        <f>iferror(VLOOKUP(P931,'DO NOT TOUCH Imported'!$A$1:$D$800,4,False),iferror(VLOOKUP(P931,'DO NOT TOUCH Imported'!$C$1:$D$800,2,False),"OOPS FIX ME"))</f>
        <v>prasad_h#9454</v>
      </c>
      <c r="B931" s="165" t="s">
        <v>530</v>
      </c>
      <c r="C931" s="170" t="s">
        <v>1377</v>
      </c>
      <c r="D931" s="236" t="s">
        <v>499</v>
      </c>
      <c r="E931" s="237">
        <v>44291.0</v>
      </c>
      <c r="F931" s="170" t="s">
        <v>503</v>
      </c>
      <c r="G931" s="219"/>
      <c r="H931" s="171">
        <v>40.0</v>
      </c>
      <c r="I931" s="171">
        <v>40.0</v>
      </c>
      <c r="J931" s="172">
        <f t="shared" si="24"/>
        <v>0.0005745341621</v>
      </c>
      <c r="K931" s="173">
        <f t="shared" si="45"/>
        <v>0.6607142865</v>
      </c>
      <c r="L931" s="174">
        <f t="shared" si="4"/>
        <v>0.6607142865</v>
      </c>
      <c r="M931" s="175" t="str">
        <f t="shared" si="5"/>
        <v>prasad_h#9454</v>
      </c>
      <c r="N931" s="176">
        <f>IFERROR(__xludf.DUMMYFUNCTION("""COMPUTED_VALUE"""),1.0)</f>
        <v>1</v>
      </c>
      <c r="O931" s="176"/>
      <c r="P931" s="165" t="s">
        <v>335</v>
      </c>
      <c r="Q931" s="165" t="s">
        <v>530</v>
      </c>
      <c r="R931" s="176"/>
      <c r="S931" s="176"/>
      <c r="T931" s="176"/>
      <c r="U931" s="176"/>
      <c r="V931" s="176"/>
      <c r="W931" s="176"/>
      <c r="X931" s="176"/>
      <c r="Y931" s="176"/>
      <c r="Z931" s="176"/>
      <c r="AA931" s="176"/>
    </row>
    <row r="932">
      <c r="A932" s="165" t="str">
        <f>iferror(VLOOKUP(P932,'DO NOT TOUCH Imported'!$A$1:$D$800,4,False),iferror(VLOOKUP(P932,'DO NOT TOUCH Imported'!$C$1:$D$800,2,False),"OOPS FIX ME"))</f>
        <v>OK#8891</v>
      </c>
      <c r="B932" s="165" t="s">
        <v>530</v>
      </c>
      <c r="C932" s="170" t="s">
        <v>1377</v>
      </c>
      <c r="D932" s="236" t="s">
        <v>499</v>
      </c>
      <c r="E932" s="237">
        <v>44291.0</v>
      </c>
      <c r="F932" s="170" t="s">
        <v>503</v>
      </c>
      <c r="G932" s="219"/>
      <c r="H932" s="171">
        <v>40.0</v>
      </c>
      <c r="I932" s="171">
        <v>40.0</v>
      </c>
      <c r="J932" s="172">
        <f t="shared" si="24"/>
        <v>0.0005745341621</v>
      </c>
      <c r="K932" s="173">
        <f t="shared" si="45"/>
        <v>0.6607142865</v>
      </c>
      <c r="L932" s="174">
        <f t="shared" si="4"/>
        <v>0.6607142865</v>
      </c>
      <c r="M932" s="175" t="str">
        <f t="shared" si="5"/>
        <v>OK#8891</v>
      </c>
      <c r="N932" s="176">
        <f>IFERROR(__xludf.DUMMYFUNCTION("""COMPUTED_VALUE"""),1.0)</f>
        <v>1</v>
      </c>
      <c r="O932" s="176"/>
      <c r="P932" s="165" t="s">
        <v>336</v>
      </c>
      <c r="Q932" s="165" t="s">
        <v>530</v>
      </c>
      <c r="R932" s="176"/>
      <c r="S932" s="176"/>
      <c r="T932" s="176"/>
      <c r="U932" s="176"/>
      <c r="V932" s="176"/>
      <c r="W932" s="176"/>
      <c r="X932" s="176"/>
      <c r="Y932" s="176"/>
      <c r="Z932" s="176"/>
      <c r="AA932" s="176"/>
    </row>
    <row r="933">
      <c r="A933" s="165" t="str">
        <f>iferror(VLOOKUP(P933,'DO NOT TOUCH Imported'!$A$1:$D$800,4,False),iferror(VLOOKUP(P933,'DO NOT TOUCH Imported'!$C$1:$D$800,2,False),"OOPS FIX ME"))</f>
        <v>nikoline_nik</v>
      </c>
      <c r="B933" s="165" t="s">
        <v>530</v>
      </c>
      <c r="C933" s="170" t="s">
        <v>1377</v>
      </c>
      <c r="D933" s="236" t="s">
        <v>499</v>
      </c>
      <c r="E933" s="237">
        <v>44291.0</v>
      </c>
      <c r="F933" s="170" t="s">
        <v>503</v>
      </c>
      <c r="G933" s="219"/>
      <c r="H933" s="171">
        <v>40.0</v>
      </c>
      <c r="I933" s="171">
        <v>40.0</v>
      </c>
      <c r="J933" s="172">
        <f t="shared" si="24"/>
        <v>0.0005745341621</v>
      </c>
      <c r="K933" s="173">
        <f t="shared" si="45"/>
        <v>0.6607142865</v>
      </c>
      <c r="L933" s="174">
        <f t="shared" si="4"/>
        <v>1.321428573</v>
      </c>
      <c r="M933" s="175" t="str">
        <f t="shared" si="5"/>
        <v>nikoline_nik</v>
      </c>
      <c r="N933" s="176">
        <f>IFERROR(__xludf.DUMMYFUNCTION("""COMPUTED_VALUE"""),3.0)</f>
        <v>3</v>
      </c>
      <c r="O933" s="176"/>
      <c r="P933" s="165" t="s">
        <v>413</v>
      </c>
      <c r="Q933" s="165" t="s">
        <v>530</v>
      </c>
      <c r="R933" s="176"/>
      <c r="S933" s="176"/>
      <c r="T933" s="176"/>
      <c r="U933" s="176"/>
      <c r="V933" s="176"/>
      <c r="W933" s="176"/>
      <c r="X933" s="176"/>
      <c r="Y933" s="176"/>
      <c r="Z933" s="176"/>
      <c r="AA933" s="176"/>
    </row>
    <row r="934">
      <c r="A934" s="165" t="str">
        <f>iferror(VLOOKUP(P934,'DO NOT TOUCH Imported'!$A$1:$D$800,4,False),iferror(VLOOKUP(P934,'DO NOT TOUCH Imported'!$C$1:$D$800,2,False),"OOPS FIX ME"))</f>
        <v>monstros1ty</v>
      </c>
      <c r="B934" s="165" t="s">
        <v>10</v>
      </c>
      <c r="C934" s="170" t="s">
        <v>494</v>
      </c>
      <c r="D934" s="236" t="s">
        <v>495</v>
      </c>
      <c r="E934" s="239">
        <v>44295.0</v>
      </c>
      <c r="F934" s="170" t="s">
        <v>496</v>
      </c>
      <c r="G934" s="219"/>
      <c r="H934" s="171">
        <v>40.0</v>
      </c>
      <c r="I934" s="171">
        <v>40.0</v>
      </c>
      <c r="J934" s="172">
        <f t="shared" si="24"/>
        <v>0.0005745341621</v>
      </c>
      <c r="K934" s="173">
        <f t="shared" si="45"/>
        <v>0.6607142865</v>
      </c>
      <c r="L934" s="174">
        <f t="shared" si="4"/>
        <v>0.6607142865</v>
      </c>
      <c r="M934" s="175" t="str">
        <f t="shared" si="5"/>
        <v>monstros1ty</v>
      </c>
      <c r="N934" s="176">
        <f>IFERROR(__xludf.DUMMYFUNCTION("""COMPUTED_VALUE"""),1.0)</f>
        <v>1</v>
      </c>
      <c r="O934" s="176"/>
      <c r="P934" s="165" t="s">
        <v>191</v>
      </c>
      <c r="Q934" s="165" t="s">
        <v>10</v>
      </c>
      <c r="R934" s="176"/>
      <c r="S934" s="176"/>
      <c r="T934" s="176"/>
      <c r="U934" s="176"/>
      <c r="V934" s="176"/>
      <c r="W934" s="176"/>
      <c r="X934" s="176"/>
      <c r="Y934" s="176"/>
      <c r="Z934" s="176"/>
      <c r="AA934" s="176"/>
    </row>
    <row r="935">
      <c r="A935" s="165" t="str">
        <f>iferror(VLOOKUP(P935,'DO NOT TOUCH Imported'!$A$1:$D$800,4,False),iferror(VLOOKUP(P935,'DO NOT TOUCH Imported'!$C$1:$D$800,2,False),"OOPS FIX ME"))</f>
        <v>jpaulet#3269</v>
      </c>
      <c r="B935" s="165" t="s">
        <v>530</v>
      </c>
      <c r="C935" s="170" t="s">
        <v>1377</v>
      </c>
      <c r="D935" s="236" t="s">
        <v>499</v>
      </c>
      <c r="E935" s="237">
        <v>44291.0</v>
      </c>
      <c r="F935" s="170" t="s">
        <v>503</v>
      </c>
      <c r="G935" s="219"/>
      <c r="H935" s="171">
        <v>40.0</v>
      </c>
      <c r="I935" s="171">
        <v>40.0</v>
      </c>
      <c r="J935" s="172">
        <f t="shared" si="24"/>
        <v>0.0005745341621</v>
      </c>
      <c r="K935" s="173">
        <f t="shared" si="45"/>
        <v>0.6607142865</v>
      </c>
      <c r="L935" s="174">
        <f t="shared" si="4"/>
        <v>0.6607142865</v>
      </c>
      <c r="M935" s="175" t="str">
        <f t="shared" si="5"/>
        <v>jpaulet#3269</v>
      </c>
      <c r="N935" s="176">
        <f>IFERROR(__xludf.DUMMYFUNCTION("""COMPUTED_VALUE"""),1.0)</f>
        <v>1</v>
      </c>
      <c r="O935" s="176"/>
      <c r="P935" s="165" t="s">
        <v>337</v>
      </c>
      <c r="Q935" s="165" t="s">
        <v>530</v>
      </c>
      <c r="R935" s="176"/>
      <c r="S935" s="176"/>
      <c r="T935" s="176"/>
      <c r="U935" s="176"/>
      <c r="V935" s="176"/>
      <c r="W935" s="176"/>
      <c r="X935" s="176"/>
      <c r="Y935" s="176"/>
      <c r="Z935" s="176"/>
      <c r="AA935" s="176"/>
    </row>
    <row r="936">
      <c r="A936" s="165" t="str">
        <f>iferror(VLOOKUP(P936,'DO NOT TOUCH Imported'!$A$1:$D$800,4,False),iferror(VLOOKUP(P936,'DO NOT TOUCH Imported'!$C$1:$D$800,2,False),"OOPS FIX ME"))</f>
        <v>deepcryptodive</v>
      </c>
      <c r="B936" s="165" t="s">
        <v>441</v>
      </c>
      <c r="C936" s="170" t="s">
        <v>1570</v>
      </c>
      <c r="D936" s="236" t="s">
        <v>499</v>
      </c>
      <c r="E936" s="239">
        <v>44282.0</v>
      </c>
      <c r="F936" s="170" t="s">
        <v>1571</v>
      </c>
      <c r="G936" s="219"/>
      <c r="H936" s="171">
        <v>40.0</v>
      </c>
      <c r="I936" s="171">
        <v>40.0</v>
      </c>
      <c r="J936" s="172">
        <f t="shared" si="24"/>
        <v>0.0005745341621</v>
      </c>
      <c r="K936" s="173">
        <f t="shared" si="45"/>
        <v>0.6607142865</v>
      </c>
      <c r="L936" s="174">
        <f t="shared" si="4"/>
        <v>0.6607142865</v>
      </c>
      <c r="M936" s="175" t="str">
        <f t="shared" si="5"/>
        <v>deepcryptodive</v>
      </c>
      <c r="N936" s="176">
        <f>IFERROR(__xludf.DUMMYFUNCTION("""COMPUTED_VALUE"""),1.0)</f>
        <v>1</v>
      </c>
      <c r="O936" s="176"/>
      <c r="P936" s="165" t="s">
        <v>1572</v>
      </c>
      <c r="Q936" s="165" t="s">
        <v>441</v>
      </c>
      <c r="R936" s="176"/>
      <c r="S936" s="176"/>
      <c r="T936" s="176"/>
      <c r="U936" s="176"/>
      <c r="V936" s="176"/>
      <c r="W936" s="176"/>
      <c r="X936" s="176"/>
      <c r="Y936" s="176"/>
      <c r="Z936" s="176"/>
      <c r="AA936" s="176"/>
    </row>
    <row r="937">
      <c r="A937" s="165" t="str">
        <f>iferror(VLOOKUP(P937,'DO NOT TOUCH Imported'!$A$1:$D$800,4,False),iferror(VLOOKUP(P937,'DO NOT TOUCH Imported'!$C$1:$D$800,2,False),"OOPS FIX ME"))</f>
        <v>bimboom66#4846</v>
      </c>
      <c r="B937" s="165" t="s">
        <v>530</v>
      </c>
      <c r="C937" s="170" t="s">
        <v>1377</v>
      </c>
      <c r="D937" s="236" t="s">
        <v>499</v>
      </c>
      <c r="E937" s="237">
        <v>44291.0</v>
      </c>
      <c r="F937" s="170" t="s">
        <v>503</v>
      </c>
      <c r="G937" s="219"/>
      <c r="H937" s="171">
        <v>40.0</v>
      </c>
      <c r="I937" s="171">
        <v>40.0</v>
      </c>
      <c r="J937" s="172">
        <f t="shared" si="24"/>
        <v>0.0005745341621</v>
      </c>
      <c r="K937" s="173">
        <f t="shared" si="45"/>
        <v>0.6607142865</v>
      </c>
      <c r="L937" s="174">
        <f t="shared" si="4"/>
        <v>0.6607142865</v>
      </c>
      <c r="M937" s="175" t="str">
        <f t="shared" si="5"/>
        <v>bimboom66#4846</v>
      </c>
      <c r="N937" s="176">
        <f>IFERROR(__xludf.DUMMYFUNCTION("""COMPUTED_VALUE"""),1.0)</f>
        <v>1</v>
      </c>
      <c r="O937" s="176"/>
      <c r="P937" s="165" t="s">
        <v>339</v>
      </c>
      <c r="Q937" s="165" t="s">
        <v>530</v>
      </c>
      <c r="R937" s="176"/>
      <c r="S937" s="176"/>
      <c r="T937" s="176"/>
      <c r="U937" s="176"/>
      <c r="V937" s="176"/>
      <c r="W937" s="176"/>
      <c r="X937" s="176"/>
      <c r="Y937" s="176"/>
      <c r="Z937" s="176"/>
      <c r="AA937" s="176"/>
    </row>
    <row r="938">
      <c r="A938" s="165" t="str">
        <f>iferror(VLOOKUP(P938,'DO NOT TOUCH Imported'!$A$1:$D$800,4,False),iferror(VLOOKUP(P938,'DO NOT TOUCH Imported'!$C$1:$D$800,2,False),"OOPS FIX ME"))</f>
        <v>rubenrussel7</v>
      </c>
      <c r="B938" s="165" t="s">
        <v>10</v>
      </c>
      <c r="C938" s="170" t="s">
        <v>498</v>
      </c>
      <c r="D938" s="236" t="s">
        <v>495</v>
      </c>
      <c r="E938" s="239">
        <v>44288.0</v>
      </c>
      <c r="F938" s="170" t="s">
        <v>499</v>
      </c>
      <c r="G938" s="219"/>
      <c r="H938" s="171">
        <v>20.0</v>
      </c>
      <c r="I938" s="171">
        <v>15.0</v>
      </c>
      <c r="J938" s="172">
        <f t="shared" si="24"/>
        <v>0.0002516088297</v>
      </c>
      <c r="K938" s="173">
        <f t="shared" si="45"/>
        <v>0.2893501542</v>
      </c>
      <c r="L938" s="174">
        <f t="shared" si="4"/>
        <v>0.5787003084</v>
      </c>
      <c r="M938" s="175" t="str">
        <f t="shared" si="5"/>
        <v>rubenrussel7</v>
      </c>
      <c r="N938" s="176">
        <f>IFERROR(__xludf.DUMMYFUNCTION("""COMPUTED_VALUE"""),1.0)</f>
        <v>1</v>
      </c>
      <c r="O938" s="176"/>
      <c r="P938" s="165" t="s">
        <v>70</v>
      </c>
      <c r="Q938" s="165" t="s">
        <v>10</v>
      </c>
      <c r="R938" s="176"/>
      <c r="S938" s="176"/>
      <c r="T938" s="176"/>
      <c r="U938" s="176"/>
      <c r="V938" s="176"/>
      <c r="W938" s="176"/>
      <c r="X938" s="176"/>
      <c r="Y938" s="176"/>
      <c r="Z938" s="176"/>
      <c r="AA938" s="176"/>
    </row>
    <row r="939">
      <c r="A939" s="165" t="str">
        <f>iferror(VLOOKUP(P939,'DO NOT TOUCH Imported'!$A$1:$D$800,4,False),iferror(VLOOKUP(P939,'DO NOT TOUCH Imported'!$C$1:$D$800,2,False),"OOPS FIX ME"))</f>
        <v>rubenrussel7</v>
      </c>
      <c r="B939" s="165" t="s">
        <v>10</v>
      </c>
      <c r="C939" s="170" t="s">
        <v>500</v>
      </c>
      <c r="D939" s="236" t="s">
        <v>495</v>
      </c>
      <c r="E939" s="239">
        <v>44289.0</v>
      </c>
      <c r="F939" s="170" t="s">
        <v>496</v>
      </c>
      <c r="G939" s="219"/>
      <c r="H939" s="171">
        <v>20.0</v>
      </c>
      <c r="I939" s="171">
        <v>15.0</v>
      </c>
      <c r="J939" s="172">
        <f t="shared" si="24"/>
        <v>0.0002516088297</v>
      </c>
      <c r="K939" s="173">
        <f t="shared" si="45"/>
        <v>0.2893501542</v>
      </c>
      <c r="L939" s="174">
        <f t="shared" si="4"/>
        <v>0.5787003084</v>
      </c>
      <c r="M939" s="175" t="str">
        <f t="shared" si="5"/>
        <v>rubenrussel7</v>
      </c>
      <c r="N939" s="176">
        <f>IFERROR(__xludf.DUMMYFUNCTION("""COMPUTED_VALUE"""),2.0)</f>
        <v>2</v>
      </c>
      <c r="O939" s="176"/>
      <c r="P939" s="165" t="s">
        <v>70</v>
      </c>
      <c r="Q939" s="165" t="s">
        <v>10</v>
      </c>
      <c r="R939" s="176"/>
      <c r="S939" s="176"/>
      <c r="T939" s="176"/>
      <c r="U939" s="176"/>
      <c r="V939" s="176"/>
      <c r="W939" s="176"/>
      <c r="X939" s="176"/>
      <c r="Y939" s="176"/>
      <c r="Z939" s="176"/>
      <c r="AA939" s="176"/>
    </row>
    <row r="940">
      <c r="A940" s="165" t="str">
        <f>iferror(VLOOKUP(P940,'DO NOT TOUCH Imported'!$A$1:$D$800,4,False),iferror(VLOOKUP(P940,'DO NOT TOUCH Imported'!$C$1:$D$800,2,False),"OOPS FIX ME"))</f>
        <v>wslyvh</v>
      </c>
      <c r="B940" s="165" t="s">
        <v>10</v>
      </c>
      <c r="C940" s="170" t="s">
        <v>500</v>
      </c>
      <c r="D940" s="236" t="s">
        <v>495</v>
      </c>
      <c r="E940" s="239">
        <v>44289.0</v>
      </c>
      <c r="F940" s="170" t="s">
        <v>496</v>
      </c>
      <c r="G940" s="219"/>
      <c r="H940" s="171">
        <v>20.0</v>
      </c>
      <c r="I940" s="171">
        <v>25.0</v>
      </c>
      <c r="J940" s="172">
        <f t="shared" si="24"/>
        <v>0.0003229253324</v>
      </c>
      <c r="K940" s="173">
        <f t="shared" si="45"/>
        <v>0.3713641322</v>
      </c>
      <c r="L940" s="174">
        <f t="shared" si="4"/>
        <v>0.3713641322</v>
      </c>
      <c r="M940" s="175" t="str">
        <f t="shared" si="5"/>
        <v>wslyvh</v>
      </c>
      <c r="N940" s="176">
        <f>IFERROR(__xludf.DUMMYFUNCTION("""COMPUTED_VALUE"""),1.0)</f>
        <v>1</v>
      </c>
      <c r="O940" s="176"/>
      <c r="P940" s="165" t="s">
        <v>36</v>
      </c>
      <c r="Q940" s="165" t="s">
        <v>10</v>
      </c>
      <c r="R940" s="176"/>
      <c r="S940" s="176"/>
      <c r="T940" s="176"/>
      <c r="U940" s="176"/>
      <c r="V940" s="176"/>
      <c r="W940" s="176"/>
      <c r="X940" s="176"/>
      <c r="Y940" s="176"/>
      <c r="Z940" s="176"/>
      <c r="AA940" s="176"/>
    </row>
    <row r="941">
      <c r="A941" s="165" t="str">
        <f>iferror(VLOOKUP(P941,'DO NOT TOUCH Imported'!$A$1:$D$800,4,False),iferror(VLOOKUP(P941,'DO NOT TOUCH Imported'!$C$1:$D$800,2,False),"OOPS FIX ME"))</f>
        <v>phil_h</v>
      </c>
      <c r="B941" s="165" t="s">
        <v>10</v>
      </c>
      <c r="C941" s="170" t="s">
        <v>498</v>
      </c>
      <c r="D941" s="236" t="s">
        <v>495</v>
      </c>
      <c r="E941" s="239">
        <v>44282.0</v>
      </c>
      <c r="F941" s="170" t="s">
        <v>499</v>
      </c>
      <c r="G941" s="219"/>
      <c r="H941" s="171">
        <v>20.0</v>
      </c>
      <c r="I941" s="171">
        <v>25.0</v>
      </c>
      <c r="J941" s="172">
        <f t="shared" si="24"/>
        <v>0.0003229253324</v>
      </c>
      <c r="K941" s="173">
        <f t="shared" si="45"/>
        <v>0.3713641322</v>
      </c>
      <c r="L941" s="174">
        <f t="shared" si="4"/>
        <v>0.3713641322</v>
      </c>
      <c r="M941" s="175" t="str">
        <f t="shared" si="5"/>
        <v>phil_h</v>
      </c>
      <c r="N941" s="176">
        <f>IFERROR(__xludf.DUMMYFUNCTION("""COMPUTED_VALUE"""),1.0)</f>
        <v>1</v>
      </c>
      <c r="O941" s="176"/>
      <c r="P941" s="165" t="s">
        <v>88</v>
      </c>
      <c r="Q941" s="165" t="s">
        <v>10</v>
      </c>
      <c r="R941" s="176"/>
      <c r="S941" s="176"/>
      <c r="T941" s="176"/>
      <c r="U941" s="176"/>
      <c r="V941" s="176"/>
      <c r="W941" s="176"/>
      <c r="X941" s="176"/>
      <c r="Y941" s="176"/>
      <c r="Z941" s="176"/>
      <c r="AA941" s="176"/>
    </row>
    <row r="942">
      <c r="A942" s="165" t="str">
        <f>iferror(VLOOKUP(P942,'DO NOT TOUCH Imported'!$A$1:$D$800,4,False),iferror(VLOOKUP(P942,'DO NOT TOUCH Imported'!$C$1:$D$800,2,False),"OOPS FIX ME"))</f>
        <v>ontologymachine</v>
      </c>
      <c r="B942" s="165" t="s">
        <v>10</v>
      </c>
      <c r="C942" s="170" t="s">
        <v>500</v>
      </c>
      <c r="D942" s="236" t="s">
        <v>495</v>
      </c>
      <c r="E942" s="239">
        <v>44282.0</v>
      </c>
      <c r="F942" s="170" t="s">
        <v>496</v>
      </c>
      <c r="G942" s="219"/>
      <c r="H942" s="171">
        <v>20.0</v>
      </c>
      <c r="I942" s="171">
        <v>25.0</v>
      </c>
      <c r="J942" s="172">
        <f t="shared" si="24"/>
        <v>0.0003229253324</v>
      </c>
      <c r="K942" s="173">
        <f t="shared" si="45"/>
        <v>0.3713641322</v>
      </c>
      <c r="L942" s="174">
        <f t="shared" si="4"/>
        <v>0.3713641322</v>
      </c>
      <c r="M942" s="175" t="str">
        <f t="shared" si="5"/>
        <v>ontologymachine</v>
      </c>
      <c r="N942" s="176">
        <f>IFERROR(__xludf.DUMMYFUNCTION("""COMPUTED_VALUE"""),1.0)</f>
        <v>1</v>
      </c>
      <c r="O942" s="176"/>
      <c r="P942" s="165" t="s">
        <v>236</v>
      </c>
      <c r="Q942" s="165" t="s">
        <v>10</v>
      </c>
      <c r="R942" s="176"/>
      <c r="S942" s="176"/>
      <c r="T942" s="176"/>
      <c r="U942" s="176"/>
      <c r="V942" s="176"/>
      <c r="W942" s="176"/>
      <c r="X942" s="176"/>
      <c r="Y942" s="176"/>
      <c r="Z942" s="176"/>
      <c r="AA942" s="176"/>
    </row>
    <row r="943">
      <c r="A943" s="165" t="str">
        <f>iferror(VLOOKUP(P943,'DO NOT TOUCH Imported'!$A$1:$D$800,4,False),iferror(VLOOKUP(P943,'DO NOT TOUCH Imported'!$C$1:$D$800,2,False),"OOPS FIX ME"))</f>
        <v>niranb</v>
      </c>
      <c r="B943" s="165" t="s">
        <v>10</v>
      </c>
      <c r="C943" s="170" t="s">
        <v>498</v>
      </c>
      <c r="D943" s="236" t="s">
        <v>495</v>
      </c>
      <c r="E943" s="239">
        <v>44282.0</v>
      </c>
      <c r="F943" s="170" t="s">
        <v>499</v>
      </c>
      <c r="G943" s="219"/>
      <c r="H943" s="171">
        <v>20.0</v>
      </c>
      <c r="I943" s="171">
        <v>25.0</v>
      </c>
      <c r="J943" s="172">
        <f t="shared" si="24"/>
        <v>0.0003229253324</v>
      </c>
      <c r="K943" s="173">
        <f t="shared" si="45"/>
        <v>0.3713641322</v>
      </c>
      <c r="L943" s="174">
        <f t="shared" si="4"/>
        <v>0.3713641322</v>
      </c>
      <c r="M943" s="175" t="str">
        <f t="shared" si="5"/>
        <v>niranb</v>
      </c>
      <c r="N943" s="176">
        <f>IFERROR(__xludf.DUMMYFUNCTION("""COMPUTED_VALUE"""),1.0)</f>
        <v>1</v>
      </c>
      <c r="O943" s="176"/>
      <c r="P943" s="165" t="s">
        <v>60</v>
      </c>
      <c r="Q943" s="165" t="s">
        <v>10</v>
      </c>
      <c r="R943" s="176"/>
      <c r="S943" s="176"/>
      <c r="T943" s="176"/>
      <c r="U943" s="176"/>
      <c r="V943" s="176"/>
      <c r="W943" s="176"/>
      <c r="X943" s="176"/>
      <c r="Y943" s="176"/>
      <c r="Z943" s="176"/>
      <c r="AA943" s="176"/>
    </row>
    <row r="944">
      <c r="A944" s="165" t="str">
        <f>iferror(VLOOKUP(P944,'DO NOT TOUCH Imported'!$A$1:$D$800,4,False),iferror(VLOOKUP(P944,'DO NOT TOUCH Imported'!$C$1:$D$800,2,False),"OOPS FIX ME"))</f>
        <v>morgangr</v>
      </c>
      <c r="B944" s="165" t="s">
        <v>10</v>
      </c>
      <c r="C944" s="170" t="s">
        <v>498</v>
      </c>
      <c r="D944" s="236" t="s">
        <v>495</v>
      </c>
      <c r="E944" s="239">
        <v>44295.0</v>
      </c>
      <c r="F944" s="170" t="s">
        <v>499</v>
      </c>
      <c r="G944" s="219"/>
      <c r="H944" s="171">
        <v>20.0</v>
      </c>
      <c r="I944" s="171">
        <v>25.0</v>
      </c>
      <c r="J944" s="172">
        <f t="shared" si="24"/>
        <v>0.0003229253324</v>
      </c>
      <c r="K944" s="173">
        <f t="shared" si="45"/>
        <v>0.3713641322</v>
      </c>
      <c r="L944" s="174">
        <f t="shared" si="4"/>
        <v>0.3713641322</v>
      </c>
      <c r="M944" s="175" t="str">
        <f t="shared" si="5"/>
        <v>morgangr</v>
      </c>
      <c r="N944" s="176">
        <f>IFERROR(__xludf.DUMMYFUNCTION("""COMPUTED_VALUE"""),1.0)</f>
        <v>1</v>
      </c>
      <c r="O944" s="176"/>
      <c r="P944" s="165" t="s">
        <v>154</v>
      </c>
      <c r="Q944" s="165" t="s">
        <v>10</v>
      </c>
      <c r="R944" s="176"/>
      <c r="S944" s="176"/>
      <c r="T944" s="176"/>
      <c r="U944" s="176"/>
      <c r="V944" s="176"/>
      <c r="W944" s="176"/>
      <c r="X944" s="176"/>
      <c r="Y944" s="176"/>
      <c r="Z944" s="176"/>
      <c r="AA944" s="176"/>
    </row>
    <row r="945">
      <c r="A945" s="165" t="str">
        <f>iferror(VLOOKUP(P945,'DO NOT TOUCH Imported'!$A$1:$D$800,4,False),iferror(VLOOKUP(P945,'DO NOT TOUCH Imported'!$C$1:$D$800,2,False),"OOPS FIX ME"))</f>
        <v>MisterBoyfriend</v>
      </c>
      <c r="B945" s="165" t="s">
        <v>10</v>
      </c>
      <c r="C945" s="170" t="s">
        <v>498</v>
      </c>
      <c r="D945" s="236" t="s">
        <v>495</v>
      </c>
      <c r="E945" s="239">
        <v>44282.0</v>
      </c>
      <c r="F945" s="170" t="s">
        <v>499</v>
      </c>
      <c r="G945" s="219"/>
      <c r="H945" s="171">
        <v>20.0</v>
      </c>
      <c r="I945" s="171">
        <v>25.0</v>
      </c>
      <c r="J945" s="172">
        <f t="shared" si="24"/>
        <v>0.0003229253324</v>
      </c>
      <c r="K945" s="173">
        <f t="shared" si="45"/>
        <v>0.3713641322</v>
      </c>
      <c r="L945" s="174">
        <f t="shared" si="4"/>
        <v>0.3713641322</v>
      </c>
      <c r="M945" s="175" t="str">
        <f t="shared" si="5"/>
        <v>MisterBoyfriend</v>
      </c>
      <c r="N945" s="176">
        <f>IFERROR(__xludf.DUMMYFUNCTION("""COMPUTED_VALUE"""),1.0)</f>
        <v>1</v>
      </c>
      <c r="O945" s="176"/>
      <c r="P945" s="165" t="s">
        <v>86</v>
      </c>
      <c r="Q945" s="165" t="s">
        <v>10</v>
      </c>
      <c r="R945" s="176"/>
      <c r="S945" s="176"/>
      <c r="T945" s="176"/>
      <c r="U945" s="176"/>
      <c r="V945" s="176"/>
      <c r="W945" s="176"/>
      <c r="X945" s="176"/>
      <c r="Y945" s="176"/>
      <c r="Z945" s="176"/>
      <c r="AA945" s="176"/>
    </row>
    <row r="946">
      <c r="A946" s="165" t="str">
        <f>iferror(VLOOKUP(P946,'DO NOT TOUCH Imported'!$A$1:$D$800,4,False),iferror(VLOOKUP(P946,'DO NOT TOUCH Imported'!$C$1:$D$800,2,False),"OOPS FIX ME"))</f>
        <v>Mayu ☪Dev Protocol🌟#8814</v>
      </c>
      <c r="B946" s="165" t="s">
        <v>441</v>
      </c>
      <c r="C946" s="170" t="s">
        <v>1006</v>
      </c>
      <c r="D946" s="236" t="s">
        <v>499</v>
      </c>
      <c r="E946" s="239">
        <v>44282.0</v>
      </c>
      <c r="F946" s="170" t="s">
        <v>503</v>
      </c>
      <c r="G946" s="219"/>
      <c r="H946" s="171">
        <v>20.0</v>
      </c>
      <c r="I946" s="171">
        <v>25.0</v>
      </c>
      <c r="J946" s="172">
        <f t="shared" si="24"/>
        <v>0.0003229253324</v>
      </c>
      <c r="K946" s="173">
        <f t="shared" si="45"/>
        <v>0.3713641322</v>
      </c>
      <c r="L946" s="174">
        <f t="shared" si="4"/>
        <v>0.3713641322</v>
      </c>
      <c r="M946" s="175" t="str">
        <f t="shared" si="5"/>
        <v>Mayu ☪Dev Protocol🌟#8814</v>
      </c>
      <c r="N946" s="176">
        <f>IFERROR(__xludf.DUMMYFUNCTION("""COMPUTED_VALUE"""),1.0)</f>
        <v>1</v>
      </c>
      <c r="O946" s="176"/>
      <c r="P946" s="165" t="s">
        <v>251</v>
      </c>
      <c r="Q946" s="165" t="s">
        <v>441</v>
      </c>
      <c r="R946" s="176"/>
      <c r="S946" s="176"/>
      <c r="T946" s="176"/>
      <c r="U946" s="176"/>
      <c r="V946" s="176"/>
      <c r="W946" s="176"/>
      <c r="X946" s="176"/>
      <c r="Y946" s="176"/>
      <c r="Z946" s="176"/>
      <c r="AA946" s="176"/>
    </row>
    <row r="947">
      <c r="A947" s="165" t="str">
        <f>iferror(VLOOKUP(P947,'DO NOT TOUCH Imported'!$A$1:$D$800,4,False),iferror(VLOOKUP(P947,'DO NOT TOUCH Imported'!$C$1:$D$800,2,False),"OOPS FIX ME"))</f>
        <v>ManuAlzuru</v>
      </c>
      <c r="B947" s="165" t="s">
        <v>10</v>
      </c>
      <c r="C947" s="170" t="s">
        <v>500</v>
      </c>
      <c r="D947" s="236" t="s">
        <v>495</v>
      </c>
      <c r="E947" s="239">
        <v>44282.0</v>
      </c>
      <c r="F947" s="170" t="s">
        <v>496</v>
      </c>
      <c r="G947" s="219"/>
      <c r="H947" s="171">
        <v>20.0</v>
      </c>
      <c r="I947" s="171">
        <v>25.0</v>
      </c>
      <c r="J947" s="172">
        <f t="shared" si="24"/>
        <v>0.0003229253324</v>
      </c>
      <c r="K947" s="173">
        <f t="shared" si="45"/>
        <v>0.3713641322</v>
      </c>
      <c r="L947" s="174">
        <f t="shared" si="4"/>
        <v>0.3713641322</v>
      </c>
      <c r="M947" s="175" t="str">
        <f t="shared" si="5"/>
        <v>ManuAlzuru</v>
      </c>
      <c r="N947" s="176">
        <f>IFERROR(__xludf.DUMMYFUNCTION("""COMPUTED_VALUE"""),1.0)</f>
        <v>1</v>
      </c>
      <c r="O947" s="176"/>
      <c r="P947" s="165" t="s">
        <v>39</v>
      </c>
      <c r="Q947" s="165" t="s">
        <v>10</v>
      </c>
      <c r="R947" s="176"/>
      <c r="S947" s="176"/>
      <c r="T947" s="176"/>
      <c r="U947" s="176"/>
      <c r="V947" s="176"/>
      <c r="W947" s="176"/>
      <c r="X947" s="176"/>
      <c r="Y947" s="176"/>
      <c r="Z947" s="176"/>
      <c r="AA947" s="176"/>
    </row>
    <row r="948">
      <c r="A948" s="165" t="str">
        <f>iferror(VLOOKUP(P948,'DO NOT TOUCH Imported'!$A$1:$D$800,4,False),iferror(VLOOKUP(P948,'DO NOT TOUCH Imported'!$C$1:$D$800,2,False),"OOPS FIX ME"))</f>
        <v>Luukweber</v>
      </c>
      <c r="B948" s="165" t="s">
        <v>10</v>
      </c>
      <c r="C948" s="170" t="s">
        <v>498</v>
      </c>
      <c r="D948" s="236" t="s">
        <v>495</v>
      </c>
      <c r="E948" s="239">
        <v>44295.0</v>
      </c>
      <c r="F948" s="170" t="s">
        <v>499</v>
      </c>
      <c r="G948" s="219"/>
      <c r="H948" s="171">
        <v>20.0</v>
      </c>
      <c r="I948" s="171">
        <v>25.0</v>
      </c>
      <c r="J948" s="172">
        <f t="shared" si="24"/>
        <v>0.0003229253324</v>
      </c>
      <c r="K948" s="173">
        <f t="shared" si="45"/>
        <v>0.3713641322</v>
      </c>
      <c r="L948" s="174">
        <f t="shared" si="4"/>
        <v>0.3713641322</v>
      </c>
      <c r="M948" s="175" t="str">
        <f t="shared" si="5"/>
        <v>Luukweber</v>
      </c>
      <c r="N948" s="176">
        <f>IFERROR(__xludf.DUMMYFUNCTION("""COMPUTED_VALUE"""),1.0)</f>
        <v>1</v>
      </c>
      <c r="O948" s="176"/>
      <c r="P948" s="165" t="s">
        <v>113</v>
      </c>
      <c r="Q948" s="165" t="s">
        <v>10</v>
      </c>
      <c r="R948" s="176"/>
      <c r="S948" s="176"/>
      <c r="T948" s="176"/>
      <c r="U948" s="176"/>
      <c r="V948" s="176"/>
      <c r="W948" s="176"/>
      <c r="X948" s="176"/>
      <c r="Y948" s="176"/>
      <c r="Z948" s="176"/>
      <c r="AA948" s="176"/>
    </row>
    <row r="949">
      <c r="A949" s="165" t="str">
        <f>iferror(VLOOKUP(P949,'DO NOT TOUCH Imported'!$A$1:$D$800,4,False),iferror(VLOOKUP(P949,'DO NOT TOUCH Imported'!$C$1:$D$800,2,False),"OOPS FIX ME"))</f>
        <v>lefterisjp</v>
      </c>
      <c r="B949" s="165" t="s">
        <v>441</v>
      </c>
      <c r="C949" s="170" t="s">
        <v>1006</v>
      </c>
      <c r="D949" s="236" t="s">
        <v>499</v>
      </c>
      <c r="E949" s="239">
        <v>44282.0</v>
      </c>
      <c r="F949" s="170" t="s">
        <v>503</v>
      </c>
      <c r="G949" s="219"/>
      <c r="H949" s="171">
        <v>20.0</v>
      </c>
      <c r="I949" s="171">
        <v>25.0</v>
      </c>
      <c r="J949" s="172">
        <f t="shared" si="24"/>
        <v>0.0003229253324</v>
      </c>
      <c r="K949" s="173">
        <f t="shared" si="45"/>
        <v>0.3713641322</v>
      </c>
      <c r="L949" s="174">
        <f t="shared" si="4"/>
        <v>0.3713641322</v>
      </c>
      <c r="M949" s="175" t="str">
        <f t="shared" si="5"/>
        <v>lefterisjp</v>
      </c>
      <c r="N949" s="176">
        <f>IFERROR(__xludf.DUMMYFUNCTION("""COMPUTED_VALUE"""),1.0)</f>
        <v>1</v>
      </c>
      <c r="O949" s="176"/>
      <c r="P949" s="165" t="s">
        <v>1573</v>
      </c>
      <c r="Q949" s="165" t="s">
        <v>441</v>
      </c>
      <c r="R949" s="176"/>
      <c r="S949" s="176"/>
      <c r="T949" s="176"/>
      <c r="U949" s="176"/>
      <c r="V949" s="176"/>
      <c r="W949" s="176"/>
      <c r="X949" s="176"/>
      <c r="Y949" s="176"/>
      <c r="Z949" s="176"/>
      <c r="AA949" s="176"/>
    </row>
    <row r="950">
      <c r="A950" s="165" t="str">
        <f>iferror(VLOOKUP(P950,'DO NOT TOUCH Imported'!$A$1:$D$800,4,False),iferror(VLOOKUP(P950,'DO NOT TOUCH Imported'!$C$1:$D$800,2,False),"OOPS FIX ME"))</f>
        <v>JonathanBSci</v>
      </c>
      <c r="B950" s="165" t="s">
        <v>10</v>
      </c>
      <c r="C950" s="170" t="s">
        <v>498</v>
      </c>
      <c r="D950" s="236" t="s">
        <v>495</v>
      </c>
      <c r="E950" s="239">
        <v>44282.0</v>
      </c>
      <c r="F950" s="170" t="s">
        <v>499</v>
      </c>
      <c r="G950" s="219"/>
      <c r="H950" s="171">
        <v>20.0</v>
      </c>
      <c r="I950" s="171">
        <v>25.0</v>
      </c>
      <c r="J950" s="172">
        <f t="shared" si="24"/>
        <v>0.0003229253324</v>
      </c>
      <c r="K950" s="173">
        <f t="shared" si="45"/>
        <v>0.3713641322</v>
      </c>
      <c r="L950" s="174">
        <f t="shared" si="4"/>
        <v>0.3713641322</v>
      </c>
      <c r="M950" s="175" t="str">
        <f t="shared" si="5"/>
        <v>JonathanBSci</v>
      </c>
      <c r="N950" s="176">
        <f>IFERROR(__xludf.DUMMYFUNCTION("""COMPUTED_VALUE"""),1.0)</f>
        <v>1</v>
      </c>
      <c r="O950" s="176"/>
      <c r="P950" s="165" t="s">
        <v>78</v>
      </c>
      <c r="Q950" s="165" t="s">
        <v>10</v>
      </c>
      <c r="R950" s="176"/>
      <c r="S950" s="176"/>
      <c r="T950" s="176"/>
      <c r="U950" s="176"/>
      <c r="V950" s="176"/>
      <c r="W950" s="176"/>
      <c r="X950" s="176"/>
      <c r="Y950" s="176"/>
      <c r="Z950" s="176"/>
      <c r="AA950" s="176"/>
    </row>
    <row r="951">
      <c r="A951" s="165" t="str">
        <f>iferror(VLOOKUP(P951,'DO NOT TOUCH Imported'!$A$1:$D$800,4,False),iferror(VLOOKUP(P951,'DO NOT TOUCH Imported'!$C$1:$D$800,2,False),"OOPS FIX ME"))</f>
        <v>JoeEchidna</v>
      </c>
      <c r="B951" s="165" t="s">
        <v>10</v>
      </c>
      <c r="C951" s="170" t="s">
        <v>500</v>
      </c>
      <c r="D951" s="236" t="s">
        <v>495</v>
      </c>
      <c r="E951" s="239">
        <v>44282.0</v>
      </c>
      <c r="F951" s="170" t="s">
        <v>496</v>
      </c>
      <c r="G951" s="219"/>
      <c r="H951" s="171">
        <v>20.0</v>
      </c>
      <c r="I951" s="171">
        <v>25.0</v>
      </c>
      <c r="J951" s="172">
        <f t="shared" si="24"/>
        <v>0.0003229253324</v>
      </c>
      <c r="K951" s="173">
        <f t="shared" si="45"/>
        <v>0.3713641322</v>
      </c>
      <c r="L951" s="174">
        <f t="shared" si="4"/>
        <v>0.3713641322</v>
      </c>
      <c r="M951" s="175" t="str">
        <f t="shared" si="5"/>
        <v>JoeEchidna</v>
      </c>
      <c r="N951" s="176">
        <f>IFERROR(__xludf.DUMMYFUNCTION("""COMPUTED_VALUE"""),1.0)</f>
        <v>1</v>
      </c>
      <c r="O951" s="176"/>
      <c r="P951" s="165" t="s">
        <v>865</v>
      </c>
      <c r="Q951" s="165" t="s">
        <v>10</v>
      </c>
      <c r="R951" s="176"/>
      <c r="S951" s="176"/>
      <c r="T951" s="176"/>
      <c r="U951" s="176"/>
      <c r="V951" s="176"/>
      <c r="W951" s="176"/>
      <c r="X951" s="176"/>
      <c r="Y951" s="176"/>
      <c r="Z951" s="176"/>
      <c r="AA951" s="176"/>
    </row>
    <row r="952">
      <c r="A952" s="165" t="str">
        <f>iferror(VLOOKUP(P952,'DO NOT TOUCH Imported'!$A$1:$D$800,4,False),iferror(VLOOKUP(P952,'DO NOT TOUCH Imported'!$C$1:$D$800,2,False),"OOPS FIX ME"))</f>
        <v>irenioskamoska#7519</v>
      </c>
      <c r="B952" s="165" t="s">
        <v>441</v>
      </c>
      <c r="C952" s="170" t="s">
        <v>1006</v>
      </c>
      <c r="D952" s="236" t="s">
        <v>499</v>
      </c>
      <c r="E952" s="237">
        <v>44288.0</v>
      </c>
      <c r="F952" s="170" t="s">
        <v>503</v>
      </c>
      <c r="G952" s="219"/>
      <c r="H952" s="171">
        <v>20.0</v>
      </c>
      <c r="I952" s="171">
        <v>25.0</v>
      </c>
      <c r="J952" s="172">
        <f t="shared" si="24"/>
        <v>0.0003229253324</v>
      </c>
      <c r="K952" s="173">
        <f t="shared" si="45"/>
        <v>0.3713641322</v>
      </c>
      <c r="L952" s="174">
        <f t="shared" si="4"/>
        <v>0.3713641322</v>
      </c>
      <c r="M952" s="175" t="str">
        <f t="shared" si="5"/>
        <v>irenioskamoska#7519</v>
      </c>
      <c r="N952" s="176">
        <f>IFERROR(__xludf.DUMMYFUNCTION("""COMPUTED_VALUE"""),1.0)</f>
        <v>1</v>
      </c>
      <c r="O952" s="176"/>
      <c r="P952" s="165" t="s">
        <v>367</v>
      </c>
      <c r="Q952" s="165" t="s">
        <v>441</v>
      </c>
      <c r="R952" s="176"/>
      <c r="S952" s="176"/>
      <c r="T952" s="176"/>
      <c r="U952" s="176"/>
      <c r="V952" s="176"/>
      <c r="W952" s="176"/>
      <c r="X952" s="176"/>
      <c r="Y952" s="176"/>
      <c r="Z952" s="176"/>
      <c r="AA952" s="176"/>
    </row>
    <row r="953">
      <c r="A953" s="165" t="str">
        <f>iferror(VLOOKUP(P953,'DO NOT TOUCH Imported'!$A$1:$D$800,4,False),iferror(VLOOKUP(P953,'DO NOT TOUCH Imported'!$C$1:$D$800,2,False),"OOPS FIX ME"))</f>
        <v>cpt_grog</v>
      </c>
      <c r="B953" s="165" t="s">
        <v>10</v>
      </c>
      <c r="C953" s="170" t="s">
        <v>498</v>
      </c>
      <c r="D953" s="236" t="s">
        <v>495</v>
      </c>
      <c r="E953" s="239">
        <v>44295.0</v>
      </c>
      <c r="F953" s="170" t="s">
        <v>499</v>
      </c>
      <c r="G953" s="219"/>
      <c r="H953" s="171">
        <v>20.0</v>
      </c>
      <c r="I953" s="171">
        <v>25.0</v>
      </c>
      <c r="J953" s="172">
        <f t="shared" si="24"/>
        <v>0.0003229253324</v>
      </c>
      <c r="K953" s="173">
        <f t="shared" si="45"/>
        <v>0.3713641322</v>
      </c>
      <c r="L953" s="174">
        <f t="shared" si="4"/>
        <v>0.3713641322</v>
      </c>
      <c r="M953" s="175" t="str">
        <f t="shared" si="5"/>
        <v>cpt_grog</v>
      </c>
      <c r="N953" s="176">
        <f>IFERROR(__xludf.DUMMYFUNCTION("""COMPUTED_VALUE"""),1.0)</f>
        <v>1</v>
      </c>
      <c r="O953" s="176"/>
      <c r="P953" s="165" t="s">
        <v>144</v>
      </c>
      <c r="Q953" s="165" t="s">
        <v>10</v>
      </c>
      <c r="R953" s="176"/>
      <c r="S953" s="176"/>
      <c r="T953" s="176"/>
      <c r="U953" s="176"/>
      <c r="V953" s="176"/>
      <c r="W953" s="176"/>
      <c r="X953" s="176"/>
      <c r="Y953" s="176"/>
      <c r="Z953" s="176"/>
      <c r="AA953" s="176"/>
    </row>
    <row r="954">
      <c r="A954" s="165" t="str">
        <f>iferror(VLOOKUP(P954,'DO NOT TOUCH Imported'!$A$1:$D$800,4,False),iferror(VLOOKUP(P954,'DO NOT TOUCH Imported'!$C$1:$D$800,2,False),"OOPS FIX ME"))</f>
        <v>BlockEnthusiast</v>
      </c>
      <c r="B954" s="165" t="s">
        <v>10</v>
      </c>
      <c r="C954" s="170" t="s">
        <v>498</v>
      </c>
      <c r="D954" s="236" t="s">
        <v>495</v>
      </c>
      <c r="E954" s="239">
        <v>44295.0</v>
      </c>
      <c r="F954" s="170" t="s">
        <v>499</v>
      </c>
      <c r="G954" s="219"/>
      <c r="H954" s="171">
        <v>20.0</v>
      </c>
      <c r="I954" s="171">
        <v>25.0</v>
      </c>
      <c r="J954" s="172">
        <f t="shared" si="24"/>
        <v>0.0003229253324</v>
      </c>
      <c r="K954" s="173">
        <f t="shared" si="45"/>
        <v>0.3713641322</v>
      </c>
      <c r="L954" s="174">
        <f t="shared" si="4"/>
        <v>0.3713641322</v>
      </c>
      <c r="M954" s="175" t="str">
        <f t="shared" si="5"/>
        <v>BlockEnthusiast</v>
      </c>
      <c r="N954" s="176">
        <f>IFERROR(__xludf.DUMMYFUNCTION("""COMPUTED_VALUE"""),1.0)</f>
        <v>1</v>
      </c>
      <c r="O954" s="176"/>
      <c r="P954" s="165" t="s">
        <v>1574</v>
      </c>
      <c r="Q954" s="165" t="s">
        <v>10</v>
      </c>
      <c r="R954" s="176"/>
      <c r="S954" s="176"/>
      <c r="T954" s="176"/>
      <c r="U954" s="176"/>
      <c r="V954" s="176"/>
      <c r="W954" s="176"/>
      <c r="X954" s="176"/>
      <c r="Y954" s="176"/>
      <c r="Z954" s="176"/>
      <c r="AA954" s="176"/>
    </row>
    <row r="955">
      <c r="A955" s="165" t="str">
        <f>iferror(VLOOKUP(P955,'DO NOT TOUCH Imported'!$A$1:$D$800,4,False),iferror(VLOOKUP(P955,'DO NOT TOUCH Imported'!$C$1:$D$800,2,False),"OOPS FIX ME"))</f>
        <v>adnfx2#9648</v>
      </c>
      <c r="B955" s="165" t="s">
        <v>441</v>
      </c>
      <c r="C955" s="170" t="s">
        <v>1422</v>
      </c>
      <c r="D955" s="236" t="s">
        <v>499</v>
      </c>
      <c r="E955" s="237">
        <v>44295.0</v>
      </c>
      <c r="F955" s="170" t="s">
        <v>503</v>
      </c>
      <c r="G955" s="219"/>
      <c r="H955" s="171">
        <v>20.0</v>
      </c>
      <c r="I955" s="171">
        <v>25.0</v>
      </c>
      <c r="J955" s="172">
        <f t="shared" si="24"/>
        <v>0.0003229253324</v>
      </c>
      <c r="K955" s="173">
        <f t="shared" si="45"/>
        <v>0.3713641322</v>
      </c>
      <c r="L955" s="174">
        <f t="shared" si="4"/>
        <v>0.3713641322</v>
      </c>
      <c r="M955" s="175" t="str">
        <f t="shared" si="5"/>
        <v>adnfx2#9648</v>
      </c>
      <c r="N955" s="176">
        <f>IFERROR(__xludf.DUMMYFUNCTION("""COMPUTED_VALUE"""),1.0)</f>
        <v>1</v>
      </c>
      <c r="O955" s="176"/>
      <c r="P955" s="165" t="s">
        <v>240</v>
      </c>
      <c r="Q955" s="165" t="s">
        <v>441</v>
      </c>
      <c r="R955" s="176"/>
      <c r="S955" s="176"/>
      <c r="T955" s="176"/>
      <c r="U955" s="176"/>
      <c r="V955" s="176"/>
      <c r="W955" s="176"/>
      <c r="X955" s="176"/>
      <c r="Y955" s="176"/>
      <c r="Z955" s="176"/>
      <c r="AA955" s="176"/>
    </row>
    <row r="956">
      <c r="A956" s="165" t="str">
        <f>iferror(VLOOKUP(P956,'DO NOT TOUCH Imported'!$A$1:$D$800,4,False),iferror(VLOOKUP(P956,'DO NOT TOUCH Imported'!$C$1:$D$800,2,False),"OOPS FIX ME"))</f>
        <v>Typto</v>
      </c>
      <c r="B956" s="165" t="s">
        <v>10</v>
      </c>
      <c r="C956" s="170" t="s">
        <v>498</v>
      </c>
      <c r="D956" s="236" t="s">
        <v>495</v>
      </c>
      <c r="E956" s="239">
        <v>44288.0</v>
      </c>
      <c r="F956" s="170" t="s">
        <v>499</v>
      </c>
      <c r="G956" s="219"/>
      <c r="H956" s="171">
        <v>20.0</v>
      </c>
      <c r="I956" s="171">
        <v>15.0</v>
      </c>
      <c r="J956" s="172">
        <f t="shared" si="24"/>
        <v>0.0002516088297</v>
      </c>
      <c r="K956" s="173">
        <f t="shared" si="45"/>
        <v>0.2893501542</v>
      </c>
      <c r="L956" s="174">
        <f t="shared" si="4"/>
        <v>0.2893501542</v>
      </c>
      <c r="M956" s="175" t="str">
        <f t="shared" si="5"/>
        <v>Typto</v>
      </c>
      <c r="N956" s="176">
        <f>IFERROR(__xludf.DUMMYFUNCTION("""COMPUTED_VALUE"""),1.0)</f>
        <v>1</v>
      </c>
      <c r="O956" s="176"/>
      <c r="P956" s="165" t="s">
        <v>844</v>
      </c>
      <c r="Q956" s="165" t="s">
        <v>10</v>
      </c>
      <c r="R956" s="176"/>
      <c r="S956" s="176"/>
      <c r="T956" s="176"/>
      <c r="U956" s="176"/>
      <c r="V956" s="176"/>
      <c r="W956" s="176"/>
      <c r="X956" s="176"/>
      <c r="Y956" s="176"/>
      <c r="Z956" s="176"/>
      <c r="AA956" s="176"/>
    </row>
    <row r="957">
      <c r="A957" s="165" t="str">
        <f>iferror(VLOOKUP(P957,'DO NOT TOUCH Imported'!$A$1:$D$800,4,False),iferror(VLOOKUP(P957,'DO NOT TOUCH Imported'!$C$1:$D$800,2,False),"OOPS FIX ME"))</f>
        <v>trentmc0</v>
      </c>
      <c r="B957" s="165" t="s">
        <v>10</v>
      </c>
      <c r="C957" s="170" t="s">
        <v>500</v>
      </c>
      <c r="D957" s="236" t="s">
        <v>495</v>
      </c>
      <c r="E957" s="239">
        <v>44282.0</v>
      </c>
      <c r="F957" s="170" t="s">
        <v>496</v>
      </c>
      <c r="G957" s="219"/>
      <c r="H957" s="171">
        <v>20.0</v>
      </c>
      <c r="I957" s="171">
        <v>15.0</v>
      </c>
      <c r="J957" s="172">
        <f t="shared" si="24"/>
        <v>0.0002516088297</v>
      </c>
      <c r="K957" s="173">
        <f t="shared" si="45"/>
        <v>0.2893501542</v>
      </c>
      <c r="L957" s="174">
        <f t="shared" si="4"/>
        <v>0.2893501542</v>
      </c>
      <c r="M957" s="175" t="str">
        <f t="shared" si="5"/>
        <v>trentmc0</v>
      </c>
      <c r="N957" s="176">
        <f>IFERROR(__xludf.DUMMYFUNCTION("""COMPUTED_VALUE"""),1.0)</f>
        <v>1</v>
      </c>
      <c r="O957" s="176"/>
      <c r="P957" s="165" t="s">
        <v>64</v>
      </c>
      <c r="Q957" s="165" t="s">
        <v>10</v>
      </c>
      <c r="R957" s="176"/>
      <c r="S957" s="176"/>
      <c r="T957" s="176"/>
      <c r="U957" s="176"/>
      <c r="V957" s="176"/>
      <c r="W957" s="176"/>
      <c r="X957" s="176"/>
      <c r="Y957" s="176"/>
      <c r="Z957" s="176"/>
      <c r="AA957" s="176"/>
    </row>
    <row r="958">
      <c r="A958" s="165" t="str">
        <f>iferror(VLOOKUP(P958,'DO NOT TOUCH Imported'!$A$1:$D$800,4,False),iferror(VLOOKUP(P958,'DO NOT TOUCH Imported'!$C$1:$D$800,2,False),"OOPS FIX ME"))</f>
        <v>thebeautyway</v>
      </c>
      <c r="B958" s="165" t="s">
        <v>10</v>
      </c>
      <c r="C958" s="170" t="s">
        <v>498</v>
      </c>
      <c r="D958" s="236" t="s">
        <v>495</v>
      </c>
      <c r="E958" s="239">
        <v>44288.0</v>
      </c>
      <c r="F958" s="170" t="s">
        <v>499</v>
      </c>
      <c r="G958" s="219"/>
      <c r="H958" s="171">
        <v>20.0</v>
      </c>
      <c r="I958" s="171">
        <v>15.0</v>
      </c>
      <c r="J958" s="172">
        <f t="shared" si="24"/>
        <v>0.0002516088297</v>
      </c>
      <c r="K958" s="173">
        <f t="shared" si="45"/>
        <v>0.2893501542</v>
      </c>
      <c r="L958" s="174">
        <f t="shared" si="4"/>
        <v>0.2893501542</v>
      </c>
      <c r="M958" s="175" t="str">
        <f t="shared" si="5"/>
        <v>thebeautyway</v>
      </c>
      <c r="N958" s="176">
        <f>IFERROR(__xludf.DUMMYFUNCTION("""COMPUTED_VALUE"""),1.0)</f>
        <v>1</v>
      </c>
      <c r="O958" s="176"/>
      <c r="P958" s="165" t="s">
        <v>149</v>
      </c>
      <c r="Q958" s="165" t="s">
        <v>10</v>
      </c>
      <c r="R958" s="176"/>
      <c r="S958" s="176"/>
      <c r="T958" s="176"/>
      <c r="U958" s="176"/>
      <c r="V958" s="176"/>
      <c r="W958" s="176"/>
      <c r="X958" s="176"/>
      <c r="Y958" s="176"/>
      <c r="Z958" s="176"/>
      <c r="AA958" s="176"/>
    </row>
    <row r="959">
      <c r="A959" s="165" t="str">
        <f>iferror(VLOOKUP(P959,'DO NOT TOUCH Imported'!$A$1:$D$800,4,False),iferror(VLOOKUP(P959,'DO NOT TOUCH Imported'!$C$1:$D$800,2,False),"OOPS FIX ME"))</f>
        <v>positonic</v>
      </c>
      <c r="B959" s="165" t="s">
        <v>10</v>
      </c>
      <c r="C959" s="170" t="s">
        <v>498</v>
      </c>
      <c r="D959" s="236" t="s">
        <v>495</v>
      </c>
      <c r="E959" s="239">
        <v>44288.0</v>
      </c>
      <c r="F959" s="170" t="s">
        <v>499</v>
      </c>
      <c r="G959" s="219"/>
      <c r="H959" s="171">
        <v>20.0</v>
      </c>
      <c r="I959" s="171">
        <v>15.0</v>
      </c>
      <c r="J959" s="172">
        <f t="shared" si="24"/>
        <v>0.0002516088297</v>
      </c>
      <c r="K959" s="173">
        <f t="shared" si="45"/>
        <v>0.2893501542</v>
      </c>
      <c r="L959" s="174">
        <f t="shared" si="4"/>
        <v>0.2893501542</v>
      </c>
      <c r="M959" s="175" t="str">
        <f t="shared" si="5"/>
        <v>positonic</v>
      </c>
      <c r="N959" s="176">
        <f>IFERROR(__xludf.DUMMYFUNCTION("""COMPUTED_VALUE"""),1.0)</f>
        <v>1</v>
      </c>
      <c r="O959" s="176"/>
      <c r="P959" s="165" t="s">
        <v>159</v>
      </c>
      <c r="Q959" s="165" t="s">
        <v>10</v>
      </c>
      <c r="R959" s="176"/>
      <c r="S959" s="176"/>
      <c r="T959" s="176"/>
      <c r="U959" s="176"/>
      <c r="V959" s="176"/>
      <c r="W959" s="176"/>
      <c r="X959" s="176"/>
      <c r="Y959" s="176"/>
      <c r="Z959" s="176"/>
      <c r="AA959" s="176"/>
    </row>
    <row r="960">
      <c r="A960" s="165" t="str">
        <f>iferror(VLOOKUP(P960,'DO NOT TOUCH Imported'!$A$1:$D$800,4,False),iferror(VLOOKUP(P960,'DO NOT TOUCH Imported'!$C$1:$D$800,2,False),"OOPS FIX ME"))</f>
        <v>NukeManDan</v>
      </c>
      <c r="B960" s="165" t="s">
        <v>10</v>
      </c>
      <c r="C960" s="170" t="s">
        <v>500</v>
      </c>
      <c r="D960" s="236" t="s">
        <v>495</v>
      </c>
      <c r="E960" s="239">
        <v>44289.0</v>
      </c>
      <c r="F960" s="170" t="s">
        <v>496</v>
      </c>
      <c r="G960" s="219"/>
      <c r="H960" s="171">
        <v>20.0</v>
      </c>
      <c r="I960" s="171">
        <v>15.0</v>
      </c>
      <c r="J960" s="172">
        <f t="shared" si="24"/>
        <v>0.0002516088297</v>
      </c>
      <c r="K960" s="173">
        <f t="shared" si="45"/>
        <v>0.2893501542</v>
      </c>
      <c r="L960" s="174">
        <f t="shared" si="4"/>
        <v>0.2893501542</v>
      </c>
      <c r="M960" s="175" t="str">
        <f t="shared" si="5"/>
        <v>NukeManDan</v>
      </c>
      <c r="N960" s="176">
        <f>IFERROR(__xludf.DUMMYFUNCTION("""COMPUTED_VALUE"""),1.0)</f>
        <v>1</v>
      </c>
      <c r="O960" s="176"/>
      <c r="P960" s="165" t="s">
        <v>155</v>
      </c>
      <c r="Q960" s="165" t="s">
        <v>10</v>
      </c>
      <c r="R960" s="176"/>
      <c r="S960" s="176"/>
      <c r="T960" s="176"/>
      <c r="U960" s="176"/>
      <c r="V960" s="176"/>
      <c r="W960" s="176"/>
      <c r="X960" s="176"/>
      <c r="Y960" s="176"/>
      <c r="Z960" s="176"/>
      <c r="AA960" s="176"/>
    </row>
    <row r="961">
      <c r="A961" s="165" t="str">
        <f>iferror(VLOOKUP(P961,'DO NOT TOUCH Imported'!$A$1:$D$800,4,False),iferror(VLOOKUP(P961,'DO NOT TOUCH Imported'!$C$1:$D$800,2,False),"OOPS FIX ME"))</f>
        <v>krrisis</v>
      </c>
      <c r="B961" s="165" t="s">
        <v>10</v>
      </c>
      <c r="C961" s="170" t="s">
        <v>498</v>
      </c>
      <c r="D961" s="236" t="s">
        <v>495</v>
      </c>
      <c r="E961" s="239">
        <v>44288.0</v>
      </c>
      <c r="F961" s="170" t="s">
        <v>499</v>
      </c>
      <c r="G961" s="219"/>
      <c r="H961" s="171">
        <v>20.0</v>
      </c>
      <c r="I961" s="171">
        <v>15.0</v>
      </c>
      <c r="J961" s="172">
        <f t="shared" si="24"/>
        <v>0.0002516088297</v>
      </c>
      <c r="K961" s="173">
        <f t="shared" si="45"/>
        <v>0.2893501542</v>
      </c>
      <c r="L961" s="174">
        <f t="shared" si="4"/>
        <v>0.2893501542</v>
      </c>
      <c r="M961" s="175" t="str">
        <f t="shared" si="5"/>
        <v>krrisis</v>
      </c>
      <c r="N961" s="176">
        <f>IFERROR(__xludf.DUMMYFUNCTION("""COMPUTED_VALUE"""),1.0)</f>
        <v>1</v>
      </c>
      <c r="O961" s="176"/>
      <c r="P961" s="165" t="s">
        <v>77</v>
      </c>
      <c r="Q961" s="165" t="s">
        <v>10</v>
      </c>
      <c r="R961" s="176"/>
      <c r="S961" s="176"/>
      <c r="T961" s="176"/>
      <c r="U961" s="176"/>
      <c r="V961" s="176"/>
      <c r="W961" s="176"/>
      <c r="X961" s="176"/>
      <c r="Y961" s="176"/>
      <c r="Z961" s="176"/>
      <c r="AA961" s="176"/>
    </row>
    <row r="962">
      <c r="A962" s="165" t="str">
        <f>iferror(VLOOKUP(P962,'DO NOT TOUCH Imported'!$A$1:$D$800,4,False),iferror(VLOOKUP(P962,'DO NOT TOUCH Imported'!$C$1:$D$800,2,False),"OOPS FIX ME"))</f>
        <v>glefevre</v>
      </c>
      <c r="B962" s="165" t="s">
        <v>10</v>
      </c>
      <c r="C962" s="170" t="s">
        <v>498</v>
      </c>
      <c r="D962" s="236" t="s">
        <v>495</v>
      </c>
      <c r="E962" s="239">
        <v>44288.0</v>
      </c>
      <c r="F962" s="170" t="s">
        <v>499</v>
      </c>
      <c r="G962" s="219"/>
      <c r="H962" s="171">
        <v>20.0</v>
      </c>
      <c r="I962" s="171">
        <v>15.0</v>
      </c>
      <c r="J962" s="172">
        <f t="shared" si="24"/>
        <v>0.0002516088297</v>
      </c>
      <c r="K962" s="173">
        <f t="shared" si="45"/>
        <v>0.2893501542</v>
      </c>
      <c r="L962" s="174">
        <f t="shared" si="4"/>
        <v>0.2893501542</v>
      </c>
      <c r="M962" s="175" t="str">
        <f t="shared" si="5"/>
        <v>glefevre</v>
      </c>
      <c r="N962" s="176">
        <f>IFERROR(__xludf.DUMMYFUNCTION("""COMPUTED_VALUE"""),1.0)</f>
        <v>1</v>
      </c>
      <c r="O962" s="176"/>
      <c r="P962" s="165" t="s">
        <v>150</v>
      </c>
      <c r="Q962" s="165" t="s">
        <v>10</v>
      </c>
      <c r="R962" s="176"/>
      <c r="S962" s="176"/>
      <c r="T962" s="176"/>
      <c r="U962" s="176"/>
      <c r="V962" s="176"/>
      <c r="W962" s="176"/>
      <c r="X962" s="176"/>
      <c r="Y962" s="176"/>
      <c r="Z962" s="176"/>
      <c r="AA962" s="176"/>
    </row>
    <row r="963">
      <c r="A963" s="165" t="str">
        <f>iferror(VLOOKUP(P963,'DO NOT TOUCH Imported'!$A$1:$D$800,4,False),iferror(VLOOKUP(P963,'DO NOT TOUCH Imported'!$C$1:$D$800,2,False),"OOPS FIX ME"))</f>
        <v>fatrui</v>
      </c>
      <c r="B963" s="165" t="s">
        <v>10</v>
      </c>
      <c r="C963" s="170" t="s">
        <v>498</v>
      </c>
      <c r="D963" s="236" t="s">
        <v>495</v>
      </c>
      <c r="E963" s="239">
        <v>44288.0</v>
      </c>
      <c r="F963" s="170" t="s">
        <v>499</v>
      </c>
      <c r="G963" s="219"/>
      <c r="H963" s="171">
        <v>20.0</v>
      </c>
      <c r="I963" s="171">
        <v>15.0</v>
      </c>
      <c r="J963" s="172">
        <f t="shared" si="24"/>
        <v>0.0002516088297</v>
      </c>
      <c r="K963" s="173">
        <f t="shared" si="45"/>
        <v>0.2893501542</v>
      </c>
      <c r="L963" s="174">
        <f t="shared" si="4"/>
        <v>0.2893501542</v>
      </c>
      <c r="M963" s="175" t="str">
        <f t="shared" si="5"/>
        <v>fatrui</v>
      </c>
      <c r="N963" s="176">
        <f>IFERROR(__xludf.DUMMYFUNCTION("""COMPUTED_VALUE"""),1.0)</f>
        <v>1</v>
      </c>
      <c r="O963" s="176"/>
      <c r="P963" s="165" t="s">
        <v>369</v>
      </c>
      <c r="Q963" s="165" t="s">
        <v>10</v>
      </c>
      <c r="R963" s="176"/>
      <c r="S963" s="176"/>
      <c r="T963" s="176"/>
      <c r="U963" s="176"/>
      <c r="V963" s="176"/>
      <c r="W963" s="176"/>
      <c r="X963" s="176"/>
      <c r="Y963" s="176"/>
      <c r="Z963" s="176"/>
      <c r="AA963" s="176"/>
    </row>
    <row r="964">
      <c r="A964" s="165" t="str">
        <f>iferror(VLOOKUP(P964,'DO NOT TOUCH Imported'!$A$1:$D$800,4,False),iferror(VLOOKUP(P964,'DO NOT TOUCH Imported'!$C$1:$D$800,2,False),"OOPS FIX ME"))</f>
        <v>cemfd</v>
      </c>
      <c r="B964" s="165" t="s">
        <v>10</v>
      </c>
      <c r="C964" s="170" t="s">
        <v>498</v>
      </c>
      <c r="D964" s="236" t="s">
        <v>495</v>
      </c>
      <c r="E964" s="239">
        <v>44288.0</v>
      </c>
      <c r="F964" s="170" t="s">
        <v>499</v>
      </c>
      <c r="G964" s="219"/>
      <c r="H964" s="171">
        <v>20.0</v>
      </c>
      <c r="I964" s="171">
        <v>15.0</v>
      </c>
      <c r="J964" s="172">
        <f t="shared" si="24"/>
        <v>0.0002516088297</v>
      </c>
      <c r="K964" s="173">
        <f t="shared" si="45"/>
        <v>0.2893501542</v>
      </c>
      <c r="L964" s="174">
        <f t="shared" si="4"/>
        <v>0.2893501542</v>
      </c>
      <c r="M964" s="175" t="str">
        <f t="shared" si="5"/>
        <v>cemfd</v>
      </c>
      <c r="N964" s="176">
        <f>IFERROR(__xludf.DUMMYFUNCTION("""COMPUTED_VALUE"""),1.0)</f>
        <v>1</v>
      </c>
      <c r="O964" s="176"/>
      <c r="P964" s="165" t="s">
        <v>206</v>
      </c>
      <c r="Q964" s="165" t="s">
        <v>10</v>
      </c>
      <c r="R964" s="176"/>
      <c r="S964" s="176"/>
      <c r="T964" s="176"/>
      <c r="U964" s="176"/>
      <c r="V964" s="176"/>
      <c r="W964" s="176"/>
      <c r="X964" s="176"/>
      <c r="Y964" s="176"/>
      <c r="Z964" s="176"/>
      <c r="AA964" s="176"/>
    </row>
    <row r="965">
      <c r="A965" s="185" t="str">
        <f>iferror(VLOOKUP(P965,'DO NOT TOUCH Imported'!$A$1:$D$800,4,False),iferror(VLOOKUP(P965,'DO NOT TOUCH Imported'!$C$1:$D$800,2,False),"OOPS FIX ME"))</f>
        <v>katalenacaban</v>
      </c>
      <c r="B965" s="185" t="s">
        <v>534</v>
      </c>
      <c r="C965" s="186" t="s">
        <v>781</v>
      </c>
      <c r="D965" s="187"/>
      <c r="E965" s="188"/>
      <c r="F965" s="189"/>
      <c r="G965" s="190"/>
      <c r="H965" s="190"/>
      <c r="I965" s="190"/>
      <c r="J965" s="172">
        <f t="shared" si="24"/>
        <v>0</v>
      </c>
      <c r="K965" s="192">
        <f t="shared" ref="K965:K966" si="46">0*-0.85</f>
        <v>0</v>
      </c>
      <c r="L965" s="193">
        <f t="shared" si="4"/>
        <v>0</v>
      </c>
      <c r="M965" s="194" t="str">
        <f t="shared" si="5"/>
        <v>katalenacaban</v>
      </c>
      <c r="N965" s="195">
        <f>IFERROR(__xludf.DUMMYFUNCTION("""COMPUTED_VALUE"""),1.0)</f>
        <v>1</v>
      </c>
      <c r="O965" s="195"/>
      <c r="P965" s="185" t="s">
        <v>118</v>
      </c>
      <c r="Q965" s="185" t="s">
        <v>534</v>
      </c>
      <c r="R965" s="195">
        <v>36.89669088595067</v>
      </c>
      <c r="S965" s="195"/>
      <c r="T965" s="195"/>
      <c r="U965" s="195"/>
      <c r="V965" s="195"/>
      <c r="W965" s="195"/>
      <c r="X965" s="195"/>
      <c r="Y965" s="195"/>
      <c r="Z965" s="195"/>
      <c r="AA965" s="176"/>
    </row>
    <row r="966">
      <c r="A966" s="185" t="str">
        <f>iferror(VLOOKUP(P966,'DO NOT TOUCH Imported'!$A$1:$D$800,4,False),iferror(VLOOKUP(P966,'DO NOT TOUCH Imported'!$C$1:$D$800,2,False),"OOPS FIX ME"))</f>
        <v>aminlatifi</v>
      </c>
      <c r="B966" s="185" t="s">
        <v>534</v>
      </c>
      <c r="C966" s="186" t="s">
        <v>839</v>
      </c>
      <c r="D966" s="187"/>
      <c r="E966" s="188"/>
      <c r="F966" s="189"/>
      <c r="G966" s="190"/>
      <c r="H966" s="190"/>
      <c r="I966" s="190"/>
      <c r="J966" s="172">
        <f t="shared" si="24"/>
        <v>0</v>
      </c>
      <c r="K966" s="192">
        <f t="shared" si="46"/>
        <v>0</v>
      </c>
      <c r="L966" s="193">
        <f t="shared" si="4"/>
        <v>0</v>
      </c>
      <c r="M966" s="194" t="str">
        <f t="shared" si="5"/>
        <v>aminlatifi</v>
      </c>
      <c r="N966" s="195">
        <f>IFERROR(__xludf.DUMMYFUNCTION("""COMPUTED_VALUE"""),1.0)</f>
        <v>1</v>
      </c>
      <c r="O966" s="195"/>
      <c r="P966" s="185" t="s">
        <v>73</v>
      </c>
      <c r="Q966" s="185" t="s">
        <v>534</v>
      </c>
      <c r="R966" s="195">
        <v>18.802169413641863</v>
      </c>
      <c r="S966" s="195"/>
      <c r="T966" s="195"/>
      <c r="U966" s="195"/>
      <c r="V966" s="195"/>
      <c r="W966" s="195"/>
      <c r="X966" s="195"/>
      <c r="Y966" s="195"/>
      <c r="Z966" s="195"/>
      <c r="AA966" s="176"/>
    </row>
  </sheetData>
  <autoFilter ref="$A$3:$AA$966">
    <sortState ref="A3:AA966">
      <sortCondition descending="1" ref="L3:L966"/>
      <sortCondition descending="1" ref="A3:A966"/>
    </sortState>
  </autoFilter>
  <hyperlinks>
    <hyperlink r:id="rId1" ref="C1"/>
    <hyperlink r:id="rId2" ref="C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1575</v>
      </c>
      <c r="B1" s="2">
        <f>sum(B3:B900)</f>
        <v>601.2389287</v>
      </c>
    </row>
    <row r="2">
      <c r="A2" s="246" t="s">
        <v>1</v>
      </c>
      <c r="B2" s="247" t="s">
        <v>2</v>
      </c>
    </row>
    <row r="3">
      <c r="A3" s="5" t="s">
        <v>867</v>
      </c>
      <c r="B3" s="6">
        <v>51.0344255506255</v>
      </c>
    </row>
    <row r="4">
      <c r="A4" s="5" t="s">
        <v>868</v>
      </c>
      <c r="B4" s="6">
        <v>35.90316687768678</v>
      </c>
    </row>
    <row r="5">
      <c r="A5" s="5" t="s">
        <v>20</v>
      </c>
      <c r="B5" s="6">
        <v>31.403489070668606</v>
      </c>
    </row>
    <row r="6">
      <c r="A6" s="5" t="s">
        <v>10</v>
      </c>
      <c r="B6" s="6">
        <v>21.3704988385598</v>
      </c>
    </row>
    <row r="7">
      <c r="A7" s="5" t="s">
        <v>13</v>
      </c>
      <c r="B7" s="6">
        <v>20.03451784742411</v>
      </c>
    </row>
    <row r="8">
      <c r="A8" s="5" t="s">
        <v>12</v>
      </c>
      <c r="B8" s="6">
        <v>18.145895121542754</v>
      </c>
    </row>
    <row r="9">
      <c r="A9" s="5" t="s">
        <v>870</v>
      </c>
      <c r="B9" s="6">
        <v>17.81776324825235</v>
      </c>
    </row>
    <row r="10">
      <c r="A10" s="5" t="s">
        <v>5</v>
      </c>
      <c r="B10" s="6">
        <v>17.62964832691732</v>
      </c>
    </row>
    <row r="11">
      <c r="A11" s="5" t="s">
        <v>44</v>
      </c>
      <c r="B11" s="6">
        <v>16.013116522088293</v>
      </c>
    </row>
    <row r="12">
      <c r="A12" s="5" t="s">
        <v>46</v>
      </c>
      <c r="B12" s="6">
        <v>15.81843711689557</v>
      </c>
    </row>
    <row r="13">
      <c r="A13" s="5" t="s">
        <v>21</v>
      </c>
      <c r="B13" s="6">
        <v>12.317885048360099</v>
      </c>
    </row>
    <row r="14">
      <c r="A14" s="5" t="s">
        <v>873</v>
      </c>
      <c r="B14" s="6">
        <v>12.099042716749048</v>
      </c>
    </row>
    <row r="15">
      <c r="A15" s="5" t="s">
        <v>32</v>
      </c>
      <c r="B15" s="6">
        <v>10.614736803321628</v>
      </c>
    </row>
    <row r="16">
      <c r="A16" s="5" t="s">
        <v>11</v>
      </c>
      <c r="B16" s="6">
        <v>10.00056516721296</v>
      </c>
    </row>
    <row r="17">
      <c r="A17" s="5" t="s">
        <v>519</v>
      </c>
      <c r="B17" s="6">
        <v>9.78387532279847</v>
      </c>
    </row>
    <row r="18">
      <c r="A18" s="5" t="s">
        <v>45</v>
      </c>
      <c r="B18" s="6">
        <v>9.542802011154256</v>
      </c>
    </row>
    <row r="19">
      <c r="A19" s="5" t="s">
        <v>69</v>
      </c>
      <c r="B19" s="6">
        <v>8.470867218986884</v>
      </c>
    </row>
    <row r="20">
      <c r="A20" s="5" t="s">
        <v>9</v>
      </c>
      <c r="B20" s="6">
        <v>8.229427747058251</v>
      </c>
    </row>
    <row r="21">
      <c r="A21" s="5" t="s">
        <v>18</v>
      </c>
      <c r="B21" s="6">
        <v>8.212567488597088</v>
      </c>
    </row>
    <row r="22">
      <c r="A22" s="5" t="s">
        <v>6</v>
      </c>
      <c r="B22" s="6">
        <v>8.205995329022825</v>
      </c>
    </row>
    <row r="23">
      <c r="A23" s="5" t="s">
        <v>7</v>
      </c>
      <c r="B23" s="6">
        <v>8.056194866639379</v>
      </c>
    </row>
    <row r="24">
      <c r="A24" s="5" t="s">
        <v>8</v>
      </c>
      <c r="B24" s="6">
        <v>8.056194866639377</v>
      </c>
    </row>
    <row r="25">
      <c r="A25" s="5" t="s">
        <v>34</v>
      </c>
      <c r="B25" s="6">
        <v>7.967277195342481</v>
      </c>
    </row>
    <row r="26">
      <c r="A26" s="5" t="s">
        <v>869</v>
      </c>
      <c r="B26" s="6">
        <v>7.78714062166123</v>
      </c>
    </row>
    <row r="27">
      <c r="A27" s="5" t="s">
        <v>1228</v>
      </c>
      <c r="B27" s="6">
        <v>7.413129907084769</v>
      </c>
    </row>
    <row r="28">
      <c r="A28" s="5" t="s">
        <v>845</v>
      </c>
      <c r="B28" s="6">
        <v>7.010968749224068</v>
      </c>
    </row>
    <row r="29">
      <c r="A29" s="5" t="s">
        <v>43</v>
      </c>
      <c r="B29" s="6">
        <v>6.992560490554397</v>
      </c>
    </row>
    <row r="30">
      <c r="A30" s="5" t="s">
        <v>19</v>
      </c>
      <c r="B30" s="6">
        <v>6.85778726078904</v>
      </c>
    </row>
    <row r="31">
      <c r="A31" s="5" t="s">
        <v>63</v>
      </c>
      <c r="B31" s="6">
        <v>6.766306821265658</v>
      </c>
    </row>
    <row r="32">
      <c r="A32" s="5" t="s">
        <v>22</v>
      </c>
      <c r="B32" s="6">
        <v>6.492289455806606</v>
      </c>
    </row>
    <row r="33">
      <c r="A33" s="5" t="s">
        <v>38</v>
      </c>
      <c r="B33" s="6">
        <v>6.111607149672276</v>
      </c>
    </row>
    <row r="34">
      <c r="A34" s="5" t="s">
        <v>48</v>
      </c>
      <c r="B34" s="6">
        <v>5.958621165097922</v>
      </c>
    </row>
    <row r="35">
      <c r="A35" s="5" t="s">
        <v>25</v>
      </c>
      <c r="B35" s="6">
        <v>5.810801582052525</v>
      </c>
    </row>
    <row r="36">
      <c r="A36" s="5" t="s">
        <v>30</v>
      </c>
      <c r="B36" s="6">
        <v>5.8033902842291685</v>
      </c>
    </row>
    <row r="37">
      <c r="A37" s="5" t="s">
        <v>33</v>
      </c>
      <c r="B37" s="6">
        <v>5.7483298452487706</v>
      </c>
    </row>
    <row r="38">
      <c r="A38" s="5" t="s">
        <v>1231</v>
      </c>
      <c r="B38" s="6">
        <v>5.450892863221219</v>
      </c>
    </row>
    <row r="39">
      <c r="A39" s="5" t="s">
        <v>67</v>
      </c>
      <c r="B39" s="6">
        <v>5.412187105291421</v>
      </c>
    </row>
    <row r="40">
      <c r="A40" s="5" t="s">
        <v>55</v>
      </c>
      <c r="B40" s="6">
        <v>5.359673960836863</v>
      </c>
    </row>
    <row r="41">
      <c r="A41" s="5" t="s">
        <v>590</v>
      </c>
      <c r="B41" s="6">
        <v>5.308923776323712</v>
      </c>
    </row>
    <row r="42">
      <c r="A42" s="5" t="s">
        <v>26</v>
      </c>
      <c r="B42" s="6">
        <v>4.373409986670394</v>
      </c>
    </row>
    <row r="43">
      <c r="A43" s="5" t="s">
        <v>75</v>
      </c>
      <c r="B43" s="6">
        <v>3.882271740671824</v>
      </c>
    </row>
    <row r="44">
      <c r="A44" s="5" t="s">
        <v>871</v>
      </c>
      <c r="B44" s="6">
        <v>3.734153631247758</v>
      </c>
    </row>
    <row r="45">
      <c r="A45" s="5" t="s">
        <v>140</v>
      </c>
      <c r="B45" s="6">
        <v>3.71364132242787</v>
      </c>
    </row>
    <row r="46">
      <c r="A46" s="5" t="s">
        <v>29</v>
      </c>
      <c r="B46" s="6">
        <v>3.5562540274659082</v>
      </c>
    </row>
    <row r="47">
      <c r="A47" s="5" t="s">
        <v>161</v>
      </c>
      <c r="B47" s="6">
        <v>2.8501933219779803</v>
      </c>
    </row>
    <row r="48">
      <c r="A48" s="5" t="s">
        <v>214</v>
      </c>
      <c r="B48" s="6">
        <v>2.5608431677697103</v>
      </c>
    </row>
    <row r="49">
      <c r="A49" s="5" t="s">
        <v>215</v>
      </c>
      <c r="B49" s="6">
        <v>2.5608431677697103</v>
      </c>
    </row>
    <row r="50">
      <c r="A50" s="5" t="s">
        <v>172</v>
      </c>
      <c r="B50" s="6">
        <v>2.4834316519101125</v>
      </c>
    </row>
    <row r="51">
      <c r="A51" s="5" t="s">
        <v>218</v>
      </c>
      <c r="B51" s="6">
        <v>2.4776785741914633</v>
      </c>
    </row>
    <row r="52">
      <c r="A52" s="5" t="s">
        <v>58</v>
      </c>
      <c r="B52" s="6">
        <v>2.4776785741914633</v>
      </c>
    </row>
    <row r="53">
      <c r="A53" s="5" t="s">
        <v>85</v>
      </c>
      <c r="B53" s="6">
        <v>2.352356376052228</v>
      </c>
    </row>
    <row r="54">
      <c r="A54" s="5" t="s">
        <v>74</v>
      </c>
      <c r="B54" s="6">
        <v>2.352356376052228</v>
      </c>
    </row>
    <row r="55">
      <c r="A55" s="5" t="s">
        <v>62</v>
      </c>
      <c r="B55" s="6">
        <v>2.352356376052228</v>
      </c>
    </row>
    <row r="56">
      <c r="A56" s="5" t="s">
        <v>122</v>
      </c>
      <c r="B56" s="6">
        <v>2.352356376052228</v>
      </c>
    </row>
    <row r="57">
      <c r="A57" s="5" t="s">
        <v>81</v>
      </c>
      <c r="B57" s="6">
        <v>2.312500002578699</v>
      </c>
    </row>
    <row r="58">
      <c r="A58" s="5" t="s">
        <v>876</v>
      </c>
      <c r="B58" s="6">
        <v>2.1000734446988885</v>
      </c>
    </row>
    <row r="59">
      <c r="A59" s="5" t="s">
        <v>136</v>
      </c>
      <c r="B59" s="6">
        <v>2.023149848370429</v>
      </c>
    </row>
    <row r="60">
      <c r="A60" s="5" t="s">
        <v>234</v>
      </c>
      <c r="B60" s="6">
        <v>2.023149848370429</v>
      </c>
    </row>
    <row r="61">
      <c r="A61" s="5" t="s">
        <v>881</v>
      </c>
      <c r="B61" s="6">
        <v>1.939985254792182</v>
      </c>
    </row>
    <row r="62">
      <c r="A62" s="5" t="s">
        <v>95</v>
      </c>
      <c r="B62" s="6">
        <v>1.8579712767576648</v>
      </c>
    </row>
    <row r="63">
      <c r="A63" s="5" t="s">
        <v>61</v>
      </c>
      <c r="B63" s="6">
        <v>1.8463307395539887</v>
      </c>
    </row>
    <row r="64">
      <c r="A64" s="5" t="s">
        <v>162</v>
      </c>
      <c r="B64" s="6">
        <v>1.8181149032841364</v>
      </c>
    </row>
    <row r="65">
      <c r="A65" s="5" t="s">
        <v>241</v>
      </c>
      <c r="B65" s="6">
        <v>1.7361009252496191</v>
      </c>
    </row>
    <row r="66">
      <c r="A66" s="5" t="s">
        <v>245</v>
      </c>
      <c r="B66" s="6">
        <v>1.6517857161276421</v>
      </c>
    </row>
    <row r="67">
      <c r="A67" s="5" t="s">
        <v>56</v>
      </c>
      <c r="B67" s="6">
        <v>1.6517857161276421</v>
      </c>
    </row>
    <row r="68">
      <c r="A68" s="5" t="s">
        <v>246</v>
      </c>
      <c r="B68" s="6">
        <v>1.6517857161276421</v>
      </c>
    </row>
    <row r="69">
      <c r="A69" s="5" t="s">
        <v>138</v>
      </c>
      <c r="B69" s="6">
        <v>1.6517857161276421</v>
      </c>
    </row>
    <row r="70">
      <c r="A70" s="5" t="s">
        <v>247</v>
      </c>
      <c r="B70" s="6">
        <v>1.6517857161276421</v>
      </c>
    </row>
    <row r="71">
      <c r="A71" s="5" t="s">
        <v>171</v>
      </c>
      <c r="B71" s="6">
        <v>1.6517857161276421</v>
      </c>
    </row>
    <row r="72">
      <c r="A72" s="5" t="s">
        <v>99</v>
      </c>
      <c r="B72" s="6">
        <v>1.6517857161276421</v>
      </c>
    </row>
    <row r="73">
      <c r="A73" s="5" t="s">
        <v>163</v>
      </c>
      <c r="B73" s="6">
        <v>1.6517857161276421</v>
      </c>
    </row>
    <row r="74">
      <c r="A74" s="5" t="s">
        <v>50</v>
      </c>
      <c r="B74" s="6">
        <v>1.6517857161276421</v>
      </c>
    </row>
    <row r="75">
      <c r="A75" s="5" t="s">
        <v>115</v>
      </c>
      <c r="B75" s="6">
        <v>1.6517857161276421</v>
      </c>
    </row>
    <row r="76">
      <c r="A76" s="5" t="s">
        <v>248</v>
      </c>
      <c r="B76" s="6">
        <v>1.6517857161276421</v>
      </c>
    </row>
    <row r="77">
      <c r="A77" s="5" t="s">
        <v>176</v>
      </c>
      <c r="B77" s="6">
        <v>1.6517857161276421</v>
      </c>
    </row>
    <row r="78">
      <c r="A78" s="5" t="s">
        <v>886</v>
      </c>
      <c r="B78" s="6">
        <v>1.6517857161276421</v>
      </c>
    </row>
    <row r="79">
      <c r="A79" s="5" t="s">
        <v>157</v>
      </c>
      <c r="B79" s="6">
        <v>1.6517857161276421</v>
      </c>
    </row>
    <row r="80">
      <c r="A80" s="5" t="s">
        <v>57</v>
      </c>
      <c r="B80" s="6">
        <v>1.6095040771110252</v>
      </c>
    </row>
    <row r="81">
      <c r="A81" s="5" t="s">
        <v>173</v>
      </c>
      <c r="B81" s="6">
        <v>1.4877577600586078</v>
      </c>
    </row>
    <row r="82">
      <c r="A82" s="9" t="s">
        <v>1230</v>
      </c>
      <c r="B82" s="6">
        <v>1.4877577600586078</v>
      </c>
    </row>
    <row r="83">
      <c r="A83" s="5" t="s">
        <v>182</v>
      </c>
      <c r="B83" s="6">
        <v>1.4866071445148779</v>
      </c>
    </row>
    <row r="84">
      <c r="A84" s="5" t="s">
        <v>265</v>
      </c>
      <c r="B84" s="6">
        <v>1.4057437820240908</v>
      </c>
    </row>
    <row r="85">
      <c r="A85" s="5" t="s">
        <v>879</v>
      </c>
      <c r="B85" s="6">
        <v>1.2968861599361987</v>
      </c>
    </row>
    <row r="86">
      <c r="A86" s="5" t="s">
        <v>275</v>
      </c>
      <c r="B86" s="6">
        <v>1.2382639793238668</v>
      </c>
    </row>
    <row r="87">
      <c r="A87" s="5" t="s">
        <v>210</v>
      </c>
      <c r="B87" s="6">
        <v>1.2382639793238668</v>
      </c>
    </row>
    <row r="88">
      <c r="A88" s="5" t="s">
        <v>216</v>
      </c>
      <c r="B88" s="6">
        <v>1.1562500012893495</v>
      </c>
    </row>
    <row r="89">
      <c r="A89" s="5" t="s">
        <v>53</v>
      </c>
      <c r="B89" s="6">
        <v>1.1550993857456198</v>
      </c>
    </row>
    <row r="90">
      <c r="A90" s="5" t="s">
        <v>52</v>
      </c>
      <c r="B90" s="6">
        <v>1.1550993857456198</v>
      </c>
    </row>
    <row r="91">
      <c r="A91" s="5" t="s">
        <v>177</v>
      </c>
      <c r="B91" s="6">
        <v>1.1550993857456198</v>
      </c>
    </row>
    <row r="92">
      <c r="A92" s="5" t="s">
        <v>239</v>
      </c>
      <c r="B92" s="6">
        <v>1.1140923967283611</v>
      </c>
    </row>
    <row r="93">
      <c r="A93" s="5" t="s">
        <v>288</v>
      </c>
      <c r="B93" s="6">
        <v>1.0753866387985622</v>
      </c>
    </row>
    <row r="94">
      <c r="A94" s="5" t="s">
        <v>885</v>
      </c>
      <c r="B94" s="6">
        <v>1.0320784186938439</v>
      </c>
    </row>
    <row r="95">
      <c r="A95" s="5" t="s">
        <v>107</v>
      </c>
      <c r="B95" s="6">
        <v>1.0320784186938439</v>
      </c>
    </row>
    <row r="96">
      <c r="A96" s="5" t="s">
        <v>108</v>
      </c>
      <c r="B96" s="6">
        <v>1.0320784186938439</v>
      </c>
    </row>
    <row r="97">
      <c r="A97" s="5" t="s">
        <v>883</v>
      </c>
      <c r="B97" s="6">
        <v>1.0320784186938439</v>
      </c>
    </row>
    <row r="98">
      <c r="A98" s="5" t="s">
        <v>217</v>
      </c>
      <c r="B98" s="6">
        <v>0.9922220452203152</v>
      </c>
    </row>
    <row r="99">
      <c r="A99" s="5" t="s">
        <v>297</v>
      </c>
      <c r="B99" s="6">
        <v>0.9090574516420681</v>
      </c>
    </row>
    <row r="100">
      <c r="A100" s="5" t="s">
        <v>120</v>
      </c>
      <c r="B100" s="6">
        <v>0.8680504626248096</v>
      </c>
    </row>
    <row r="101">
      <c r="A101" s="5" t="s">
        <v>256</v>
      </c>
      <c r="B101" s="6">
        <v>0.8270434736075509</v>
      </c>
    </row>
    <row r="102">
      <c r="A102" s="5" t="s">
        <v>1576</v>
      </c>
      <c r="B102" s="6">
        <v>0.8270434736075509</v>
      </c>
    </row>
    <row r="103">
      <c r="A103" s="5" t="s">
        <v>311</v>
      </c>
      <c r="B103" s="6">
        <v>0.8258928580638211</v>
      </c>
    </row>
    <row r="104">
      <c r="A104" s="5" t="s">
        <v>254</v>
      </c>
      <c r="B104" s="6">
        <v>0.742728264485574</v>
      </c>
    </row>
    <row r="105">
      <c r="A105" s="5" t="s">
        <v>133</v>
      </c>
      <c r="B105" s="6">
        <v>0.742728264485574</v>
      </c>
    </row>
    <row r="106">
      <c r="A106" s="5" t="s">
        <v>167</v>
      </c>
      <c r="B106" s="6">
        <v>0.742728264485574</v>
      </c>
    </row>
    <row r="107">
      <c r="A107" s="5" t="s">
        <v>119</v>
      </c>
      <c r="B107" s="6">
        <v>0.6607142864510569</v>
      </c>
    </row>
    <row r="108">
      <c r="A108" s="5" t="s">
        <v>221</v>
      </c>
      <c r="B108" s="6">
        <v>0.6607142864510569</v>
      </c>
    </row>
    <row r="109">
      <c r="A109" s="5" t="s">
        <v>100</v>
      </c>
      <c r="B109" s="6">
        <f>0.66071428+0.660714286451057</f>
        <v>1.321428566</v>
      </c>
    </row>
    <row r="110">
      <c r="A110" s="5" t="s">
        <v>137</v>
      </c>
      <c r="B110" s="6">
        <v>0.6607142864510569</v>
      </c>
    </row>
    <row r="111">
      <c r="A111" s="5" t="s">
        <v>229</v>
      </c>
      <c r="B111" s="6">
        <v>0.6607142864510569</v>
      </c>
    </row>
    <row r="112">
      <c r="A112" s="5" t="s">
        <v>878</v>
      </c>
      <c r="B112" s="6">
        <v>0.6607142864510569</v>
      </c>
    </row>
    <row r="113">
      <c r="A113" s="5" t="s">
        <v>114</v>
      </c>
      <c r="B113" s="6">
        <v>0.6607142864510569</v>
      </c>
    </row>
    <row r="114">
      <c r="A114" s="5" t="s">
        <v>207</v>
      </c>
      <c r="B114" s="6">
        <v>0.6607142864510569</v>
      </c>
    </row>
    <row r="115">
      <c r="A115" s="5" t="s">
        <v>151</v>
      </c>
      <c r="B115" s="6">
        <v>0.6607142864510569</v>
      </c>
    </row>
    <row r="116">
      <c r="A116" s="5" t="s">
        <v>335</v>
      </c>
      <c r="B116" s="6">
        <v>0.6607142864510568</v>
      </c>
    </row>
    <row r="117">
      <c r="A117" s="5" t="s">
        <v>336</v>
      </c>
      <c r="B117" s="6">
        <v>0.6607142864510568</v>
      </c>
    </row>
    <row r="118">
      <c r="A118" s="5" t="s">
        <v>191</v>
      </c>
      <c r="B118" s="6">
        <v>0.6607142864510568</v>
      </c>
    </row>
    <row r="119">
      <c r="A119" s="5" t="s">
        <v>337</v>
      </c>
      <c r="B119" s="6">
        <v>0.6607142864510568</v>
      </c>
    </row>
    <row r="120">
      <c r="A120" s="5" t="s">
        <v>338</v>
      </c>
      <c r="B120" s="6">
        <v>0.6607142864510568</v>
      </c>
    </row>
    <row r="121">
      <c r="A121" s="5" t="s">
        <v>339</v>
      </c>
      <c r="B121" s="6">
        <v>0.6607142864510568</v>
      </c>
    </row>
    <row r="122">
      <c r="A122" s="5" t="s">
        <v>70</v>
      </c>
      <c r="B122" s="6">
        <v>0.5787003084165397</v>
      </c>
    </row>
    <row r="123">
      <c r="A123" s="5" t="s">
        <v>36</v>
      </c>
      <c r="B123" s="6">
        <v>0.371364132242787</v>
      </c>
    </row>
    <row r="124">
      <c r="A124" s="5" t="s">
        <v>88</v>
      </c>
      <c r="B124" s="6">
        <v>0.371364132242787</v>
      </c>
    </row>
    <row r="125">
      <c r="A125" s="5" t="s">
        <v>236</v>
      </c>
      <c r="B125" s="6">
        <v>0.371364132242787</v>
      </c>
    </row>
    <row r="126">
      <c r="A126" s="5" t="s">
        <v>60</v>
      </c>
      <c r="B126" s="6">
        <v>0.371364132242787</v>
      </c>
    </row>
    <row r="127">
      <c r="A127" s="5" t="s">
        <v>154</v>
      </c>
      <c r="B127" s="6">
        <v>0.371364132242787</v>
      </c>
    </row>
    <row r="128">
      <c r="A128" s="5" t="s">
        <v>882</v>
      </c>
      <c r="B128" s="6">
        <v>0.371364132242787</v>
      </c>
    </row>
    <row r="129">
      <c r="A129" s="5" t="s">
        <v>251</v>
      </c>
      <c r="B129" s="6">
        <v>0.371364132242787</v>
      </c>
    </row>
    <row r="130">
      <c r="A130" s="5" t="s">
        <v>1577</v>
      </c>
      <c r="B130" s="6">
        <v>0.371364132242787</v>
      </c>
    </row>
    <row r="131">
      <c r="A131" s="5" t="s">
        <v>1578</v>
      </c>
      <c r="B131" s="6">
        <v>0.371364132242787</v>
      </c>
    </row>
    <row r="132">
      <c r="A132" s="5" t="s">
        <v>366</v>
      </c>
      <c r="B132" s="6">
        <v>0.371364132242787</v>
      </c>
    </row>
    <row r="133">
      <c r="A133" s="5" t="s">
        <v>874</v>
      </c>
      <c r="B133" s="6">
        <v>0.371364132242787</v>
      </c>
    </row>
    <row r="134">
      <c r="A134" s="5" t="s">
        <v>277</v>
      </c>
      <c r="B134" s="6">
        <v>0.371364132242787</v>
      </c>
    </row>
    <row r="135">
      <c r="A135" s="5" t="s">
        <v>367</v>
      </c>
      <c r="B135" s="6">
        <v>0.371364132242787</v>
      </c>
    </row>
    <row r="136">
      <c r="A136" s="5" t="s">
        <v>144</v>
      </c>
      <c r="B136" s="6">
        <v>0.371364132242787</v>
      </c>
    </row>
    <row r="137">
      <c r="A137" s="5" t="s">
        <v>233</v>
      </c>
      <c r="B137" s="6">
        <v>0.371364132242787</v>
      </c>
    </row>
    <row r="138">
      <c r="A138" s="5" t="s">
        <v>240</v>
      </c>
      <c r="B138" s="6">
        <v>0.371364132242787</v>
      </c>
    </row>
    <row r="139">
      <c r="A139" s="5" t="s">
        <v>165</v>
      </c>
      <c r="B139" s="6">
        <v>0.28935015420826987</v>
      </c>
    </row>
    <row r="140">
      <c r="A140" s="5" t="s">
        <v>64</v>
      </c>
      <c r="B140" s="6">
        <v>0.28935015420826987</v>
      </c>
    </row>
    <row r="141">
      <c r="A141" s="5" t="s">
        <v>149</v>
      </c>
      <c r="B141" s="6">
        <v>0.28935015420826987</v>
      </c>
    </row>
    <row r="142">
      <c r="A142" s="5" t="s">
        <v>159</v>
      </c>
      <c r="B142" s="6">
        <v>0.28935015420826987</v>
      </c>
    </row>
    <row r="143">
      <c r="A143" s="5" t="s">
        <v>1579</v>
      </c>
      <c r="B143" s="6">
        <v>0.28935015420826987</v>
      </c>
    </row>
    <row r="144">
      <c r="A144" s="5" t="s">
        <v>77</v>
      </c>
      <c r="B144" s="6">
        <v>0.28935015420826987</v>
      </c>
    </row>
    <row r="145">
      <c r="A145" s="5" t="s">
        <v>150</v>
      </c>
      <c r="B145" s="6">
        <v>0.28935015420826987</v>
      </c>
    </row>
    <row r="146">
      <c r="A146" s="5" t="s">
        <v>369</v>
      </c>
      <c r="B146" s="6">
        <v>0.28935015420826987</v>
      </c>
    </row>
    <row r="147">
      <c r="A147" s="5" t="s">
        <v>206</v>
      </c>
      <c r="B147" s="6">
        <v>0.28935015420826987</v>
      </c>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sheetData>
  <autoFilter ref="$A$2:$U$147">
    <sortState ref="A2:U147">
      <sortCondition descending="1" ref="B2:B147"/>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6" width="10.14"/>
    <col customWidth="1" min="7" max="7" width="8.43"/>
    <col customWidth="1" min="8" max="8" width="9.29"/>
    <col customWidth="1" min="9" max="10" width="8.43"/>
    <col customWidth="1" min="13" max="13" width="16.0"/>
    <col customWidth="1" min="16" max="16" width="13.14"/>
    <col customWidth="1" min="17" max="17" width="11.43"/>
  </cols>
  <sheetData>
    <row r="1">
      <c r="A1" s="133"/>
      <c r="B1" s="134" t="s">
        <v>414</v>
      </c>
      <c r="C1" s="233" t="s">
        <v>415</v>
      </c>
      <c r="D1" s="136"/>
      <c r="E1" s="137"/>
      <c r="F1" s="138" t="s">
        <v>416</v>
      </c>
      <c r="G1" s="139">
        <v>750.0</v>
      </c>
      <c r="H1" s="139">
        <v>1400.0</v>
      </c>
      <c r="I1" s="139">
        <v>1200.0</v>
      </c>
      <c r="J1" s="140">
        <f>AVERAGE(G1:I1)</f>
        <v>1116.666667</v>
      </c>
      <c r="K1" s="141" t="s">
        <v>417</v>
      </c>
      <c r="L1" s="142">
        <f>countif(J4:J1705, "&gt;0.000001")</f>
        <v>686</v>
      </c>
      <c r="M1" s="141" t="s">
        <v>418</v>
      </c>
      <c r="N1" s="143">
        <v>1.6277939747327528</v>
      </c>
      <c r="O1" s="144" t="s">
        <v>419</v>
      </c>
      <c r="P1" s="133"/>
      <c r="Q1" s="134"/>
      <c r="R1" s="145"/>
      <c r="S1" s="145"/>
      <c r="T1" s="145"/>
      <c r="U1" s="145"/>
    </row>
    <row r="2">
      <c r="A2" s="146"/>
      <c r="B2" s="134" t="s">
        <v>420</v>
      </c>
      <c r="C2" s="234" t="s">
        <v>421</v>
      </c>
      <c r="D2" s="148"/>
      <c r="E2" s="137"/>
      <c r="F2" s="149" t="s">
        <v>422</v>
      </c>
      <c r="G2" s="139">
        <f t="shared" ref="G2:K2" si="1">sum(G4:G1218)</f>
        <v>21135</v>
      </c>
      <c r="H2" s="139">
        <f t="shared" si="1"/>
        <v>79455</v>
      </c>
      <c r="I2" s="139">
        <f t="shared" si="1"/>
        <v>79250</v>
      </c>
      <c r="J2" s="150">
        <f t="shared" si="1"/>
        <v>1</v>
      </c>
      <c r="K2" s="151">
        <f t="shared" si="1"/>
        <v>627.3207545</v>
      </c>
      <c r="L2" s="152" t="s">
        <v>416</v>
      </c>
      <c r="M2" s="153" t="str">
        <f>'DO NOT TOUCH Imported'!A266</f>
        <v/>
      </c>
      <c r="N2" s="153" t="s">
        <v>423</v>
      </c>
      <c r="O2" s="145"/>
      <c r="P2" s="146"/>
      <c r="Q2" s="134"/>
      <c r="R2" s="145"/>
      <c r="S2" s="145"/>
      <c r="T2" s="145"/>
      <c r="U2" s="145"/>
    </row>
    <row r="3">
      <c r="A3" s="154" t="s">
        <v>424</v>
      </c>
      <c r="B3" s="154" t="s">
        <v>425</v>
      </c>
      <c r="C3" s="235" t="s">
        <v>426</v>
      </c>
      <c r="D3" s="156"/>
      <c r="E3" s="157" t="s">
        <v>427</v>
      </c>
      <c r="F3" s="158" t="s">
        <v>428</v>
      </c>
      <c r="G3" s="159" t="s">
        <v>1580</v>
      </c>
      <c r="H3" s="159" t="s">
        <v>430</v>
      </c>
      <c r="I3" s="159" t="s">
        <v>1581</v>
      </c>
      <c r="J3" s="160" t="s">
        <v>432</v>
      </c>
      <c r="K3" s="161" t="s">
        <v>433</v>
      </c>
      <c r="L3" s="162" t="s">
        <v>434</v>
      </c>
      <c r="M3" s="161"/>
      <c r="N3" s="163">
        <f>IFERROR(__xludf.DUMMYFUNCTION("query(iferror(sort({row(A3:A1218)-row(A3)+2-match(sort(A3:A1218),sort(A3:A1218),0),SORT(ROW(A3:A1218)+2-row(A3)+2,A3:A1218,1)},2,1),),""Select Col1"")"),1.0)</f>
        <v>1</v>
      </c>
      <c r="O3" s="163"/>
      <c r="P3" s="154" t="s">
        <v>424</v>
      </c>
      <c r="Q3" s="154" t="s">
        <v>425</v>
      </c>
      <c r="R3" s="164"/>
      <c r="S3" s="164"/>
      <c r="T3" s="164"/>
      <c r="U3" s="164"/>
      <c r="V3" s="164"/>
      <c r="W3" s="164"/>
      <c r="X3" s="164"/>
      <c r="Y3" s="164"/>
      <c r="Z3" s="164"/>
      <c r="AA3" s="164"/>
    </row>
    <row r="4">
      <c r="A4" s="165" t="str">
        <f>iferror(VLOOKUP(P4,'DO NOT TOUCH Imported'!$A$1:$D$800,4,False),iferror(VLOOKUP(P4,'DO NOT TOUCH Imported'!$C$1:$D$800,2,False),"OOPS FIX ME"))</f>
        <v>zeptimusQ</v>
      </c>
      <c r="B4" s="165" t="s">
        <v>441</v>
      </c>
      <c r="C4" s="170" t="s">
        <v>1582</v>
      </c>
      <c r="D4" s="236" t="s">
        <v>437</v>
      </c>
      <c r="E4" s="239">
        <v>44281.0</v>
      </c>
      <c r="F4" s="170" t="s">
        <v>439</v>
      </c>
      <c r="G4" s="170">
        <v>25.0</v>
      </c>
      <c r="H4" s="171">
        <v>200.0</v>
      </c>
      <c r="I4" s="171">
        <v>200.0</v>
      </c>
      <c r="J4" s="172">
        <f t="shared" ref="J4:J807" si="2">(G4/$G$2+H4/$H$2+I4/$I$2)/3</f>
        <v>0.002074559797</v>
      </c>
      <c r="K4" s="173">
        <f t="shared" ref="K4:K115" si="3">J4*$J$1</f>
        <v>2.316591773</v>
      </c>
      <c r="L4" s="174">
        <f t="shared" ref="L4:L807" si="4">dsum($A$3:$K1218,"IH per Praise",{$A$3;A4})</f>
        <v>52.3726097</v>
      </c>
      <c r="M4" s="175" t="str">
        <f t="shared" ref="M4:M807" si="5">A4</f>
        <v>zeptimusQ</v>
      </c>
      <c r="N4" s="176">
        <f>IFERROR(__xludf.DUMMYFUNCTION("""COMPUTED_VALUE"""),1.0)</f>
        <v>1</v>
      </c>
      <c r="O4" s="176"/>
      <c r="P4" s="165" t="s">
        <v>440</v>
      </c>
      <c r="Q4" s="165" t="s">
        <v>441</v>
      </c>
      <c r="R4" s="176"/>
      <c r="S4" s="176"/>
      <c r="T4" s="176"/>
      <c r="U4" s="176"/>
      <c r="V4" s="176"/>
      <c r="W4" s="176"/>
      <c r="X4" s="176"/>
      <c r="Y4" s="176"/>
      <c r="Z4" s="176"/>
      <c r="AA4" s="176"/>
    </row>
    <row r="5">
      <c r="A5" s="165" t="str">
        <f>iferror(VLOOKUP(P5,'DO NOT TOUCH Imported'!$A$1:$D$800,4,False),iferror(VLOOKUP(P5,'DO NOT TOUCH Imported'!$C$1:$D$800,2,False),"OOPS FIX ME"))</f>
        <v>zeptimusQ</v>
      </c>
      <c r="B5" s="249" t="s">
        <v>18</v>
      </c>
      <c r="C5" s="250" t="s">
        <v>1583</v>
      </c>
      <c r="D5" s="236" t="s">
        <v>1584</v>
      </c>
      <c r="E5" s="251">
        <v>44271.0</v>
      </c>
      <c r="F5" s="219" t="s">
        <v>496</v>
      </c>
      <c r="G5" s="170">
        <v>50.0</v>
      </c>
      <c r="H5" s="171">
        <v>150.0</v>
      </c>
      <c r="I5" s="171">
        <v>100.0</v>
      </c>
      <c r="J5" s="172">
        <f t="shared" si="2"/>
        <v>0.001838478244</v>
      </c>
      <c r="K5" s="173">
        <f t="shared" si="3"/>
        <v>2.052967373</v>
      </c>
      <c r="L5" s="174">
        <f t="shared" si="4"/>
        <v>52.3726097</v>
      </c>
      <c r="M5" s="175" t="str">
        <f t="shared" si="5"/>
        <v>zeptimusQ</v>
      </c>
      <c r="N5" s="176">
        <f>IFERROR(__xludf.DUMMYFUNCTION("""COMPUTED_VALUE"""),2.0)</f>
        <v>2</v>
      </c>
      <c r="O5" s="176"/>
      <c r="P5" s="249" t="s">
        <v>3</v>
      </c>
      <c r="Q5" s="249" t="s">
        <v>18</v>
      </c>
      <c r="R5" s="176"/>
      <c r="S5" s="176"/>
      <c r="T5" s="176"/>
      <c r="U5" s="176"/>
      <c r="V5" s="176"/>
      <c r="W5" s="176"/>
      <c r="X5" s="176"/>
      <c r="Y5" s="176"/>
      <c r="Z5" s="176"/>
      <c r="AA5" s="176"/>
    </row>
    <row r="6">
      <c r="A6" s="165" t="str">
        <f>iferror(VLOOKUP(P6,'DO NOT TOUCH Imported'!$A$1:$D$800,4,False),iferror(VLOOKUP(P6,'DO NOT TOUCH Imported'!$C$1:$D$800,2,False),"OOPS FIX ME"))</f>
        <v>zeptimusQ</v>
      </c>
      <c r="B6" s="165" t="s">
        <v>441</v>
      </c>
      <c r="C6" s="170" t="s">
        <v>1585</v>
      </c>
      <c r="D6" s="236" t="s">
        <v>437</v>
      </c>
      <c r="E6" s="239">
        <v>44281.0</v>
      </c>
      <c r="F6" s="170" t="s">
        <v>439</v>
      </c>
      <c r="G6" s="170">
        <v>35.0</v>
      </c>
      <c r="H6" s="171">
        <v>100.0</v>
      </c>
      <c r="I6" s="171">
        <v>200.0</v>
      </c>
      <c r="J6" s="172">
        <f t="shared" si="2"/>
        <v>0.001812751387</v>
      </c>
      <c r="K6" s="173">
        <f t="shared" si="3"/>
        <v>2.024239049</v>
      </c>
      <c r="L6" s="174">
        <f t="shared" si="4"/>
        <v>52.3726097</v>
      </c>
      <c r="M6" s="175" t="str">
        <f t="shared" si="5"/>
        <v>zeptimusQ</v>
      </c>
      <c r="N6" s="176">
        <f>IFERROR(__xludf.DUMMYFUNCTION("""COMPUTED_VALUE"""),3.0)</f>
        <v>3</v>
      </c>
      <c r="O6" s="176"/>
      <c r="P6" s="165" t="s">
        <v>440</v>
      </c>
      <c r="Q6" s="165" t="s">
        <v>441</v>
      </c>
      <c r="R6" s="176"/>
      <c r="S6" s="176"/>
      <c r="T6" s="176"/>
      <c r="U6" s="176"/>
      <c r="V6" s="176"/>
      <c r="W6" s="176"/>
      <c r="X6" s="176"/>
      <c r="Y6" s="176"/>
      <c r="Z6" s="176"/>
      <c r="AA6" s="176"/>
    </row>
    <row r="7">
      <c r="A7" s="165" t="str">
        <f>iferror(VLOOKUP(P7,'DO NOT TOUCH Imported'!$A$1:$D$800,4,False),iferror(VLOOKUP(P7,'DO NOT TOUCH Imported'!$C$1:$D$800,2,False),"OOPS FIX ME"))</f>
        <v>zeptimusQ</v>
      </c>
      <c r="B7" s="249" t="s">
        <v>18</v>
      </c>
      <c r="C7" s="250" t="s">
        <v>1586</v>
      </c>
      <c r="D7" s="236" t="s">
        <v>1584</v>
      </c>
      <c r="E7" s="251">
        <v>44277.0</v>
      </c>
      <c r="F7" s="219" t="s">
        <v>496</v>
      </c>
      <c r="G7" s="170">
        <v>25.0</v>
      </c>
      <c r="H7" s="171">
        <v>200.0</v>
      </c>
      <c r="I7" s="171">
        <v>100.0</v>
      </c>
      <c r="J7" s="172">
        <f t="shared" si="2"/>
        <v>0.001653949912</v>
      </c>
      <c r="K7" s="173">
        <f t="shared" si="3"/>
        <v>1.846910736</v>
      </c>
      <c r="L7" s="174">
        <f t="shared" si="4"/>
        <v>52.3726097</v>
      </c>
      <c r="M7" s="175" t="str">
        <f t="shared" si="5"/>
        <v>zeptimusQ</v>
      </c>
      <c r="N7" s="176">
        <f>IFERROR(__xludf.DUMMYFUNCTION("""COMPUTED_VALUE"""),4.0)</f>
        <v>4</v>
      </c>
      <c r="O7" s="176"/>
      <c r="P7" s="249" t="s">
        <v>3</v>
      </c>
      <c r="Q7" s="249" t="s">
        <v>18</v>
      </c>
      <c r="R7" s="176"/>
      <c r="S7" s="176"/>
      <c r="T7" s="176"/>
      <c r="U7" s="176"/>
      <c r="V7" s="176"/>
      <c r="W7" s="176"/>
      <c r="X7" s="176"/>
      <c r="Y7" s="176"/>
      <c r="Z7" s="176"/>
      <c r="AA7" s="176"/>
    </row>
    <row r="8">
      <c r="A8" s="165" t="str">
        <f>iferror(VLOOKUP(P8,'DO NOT TOUCH Imported'!$A$1:$D$800,4,False),iferror(VLOOKUP(P8,'DO NOT TOUCH Imported'!$C$1:$D$800,2,False),"OOPS FIX ME"))</f>
        <v>zeptimusQ</v>
      </c>
      <c r="B8" s="249" t="s">
        <v>43</v>
      </c>
      <c r="C8" s="250" t="s">
        <v>1587</v>
      </c>
      <c r="D8" s="236" t="s">
        <v>1584</v>
      </c>
      <c r="E8" s="251">
        <v>44278.0</v>
      </c>
      <c r="F8" s="219" t="s">
        <v>496</v>
      </c>
      <c r="G8" s="170">
        <v>25.0</v>
      </c>
      <c r="H8" s="171">
        <v>200.0</v>
      </c>
      <c r="I8" s="171">
        <v>100.0</v>
      </c>
      <c r="J8" s="172">
        <f t="shared" si="2"/>
        <v>0.001653949912</v>
      </c>
      <c r="K8" s="173">
        <f t="shared" si="3"/>
        <v>1.846910736</v>
      </c>
      <c r="L8" s="174">
        <f t="shared" si="4"/>
        <v>52.3726097</v>
      </c>
      <c r="M8" s="175" t="str">
        <f t="shared" si="5"/>
        <v>zeptimusQ</v>
      </c>
      <c r="N8" s="176">
        <f>IFERROR(__xludf.DUMMYFUNCTION("""COMPUTED_VALUE"""),5.0)</f>
        <v>5</v>
      </c>
      <c r="O8" s="176"/>
      <c r="P8" s="249" t="s">
        <v>3</v>
      </c>
      <c r="Q8" s="249" t="s">
        <v>43</v>
      </c>
      <c r="R8" s="176"/>
      <c r="S8" s="176"/>
      <c r="T8" s="176"/>
      <c r="U8" s="176"/>
      <c r="V8" s="176"/>
      <c r="W8" s="176"/>
      <c r="X8" s="176"/>
      <c r="Y8" s="176"/>
      <c r="Z8" s="176"/>
      <c r="AA8" s="176"/>
    </row>
    <row r="9">
      <c r="A9" s="165" t="str">
        <f>iferror(VLOOKUP(P9,'DO NOT TOUCH Imported'!$A$1:$D$800,4,False),iferror(VLOOKUP(P9,'DO NOT TOUCH Imported'!$C$1:$D$800,2,False),"OOPS FIX ME"))</f>
        <v>zeptimusQ</v>
      </c>
      <c r="B9" s="165" t="s">
        <v>441</v>
      </c>
      <c r="C9" s="170" t="s">
        <v>1588</v>
      </c>
      <c r="D9" s="236" t="s">
        <v>437</v>
      </c>
      <c r="E9" s="239">
        <v>44274.0</v>
      </c>
      <c r="F9" s="170" t="s">
        <v>439</v>
      </c>
      <c r="G9" s="170">
        <v>25.0</v>
      </c>
      <c r="H9" s="171">
        <v>200.0</v>
      </c>
      <c r="I9" s="171">
        <v>100.0</v>
      </c>
      <c r="J9" s="172">
        <f t="shared" si="2"/>
        <v>0.001653949912</v>
      </c>
      <c r="K9" s="173">
        <f t="shared" si="3"/>
        <v>1.846910736</v>
      </c>
      <c r="L9" s="174">
        <f t="shared" si="4"/>
        <v>52.3726097</v>
      </c>
      <c r="M9" s="175" t="str">
        <f t="shared" si="5"/>
        <v>zeptimusQ</v>
      </c>
      <c r="N9" s="176">
        <f>IFERROR(__xludf.DUMMYFUNCTION("""COMPUTED_VALUE"""),6.0)</f>
        <v>6</v>
      </c>
      <c r="O9" s="176"/>
      <c r="P9" s="165" t="s">
        <v>440</v>
      </c>
      <c r="Q9" s="165" t="s">
        <v>441</v>
      </c>
      <c r="R9" s="176"/>
      <c r="S9" s="176"/>
      <c r="T9" s="176"/>
      <c r="U9" s="176"/>
      <c r="V9" s="176"/>
      <c r="W9" s="176"/>
      <c r="X9" s="176"/>
      <c r="Y9" s="176"/>
      <c r="Z9" s="176"/>
      <c r="AA9" s="176"/>
    </row>
    <row r="10">
      <c r="A10" s="165" t="str">
        <f>iferror(VLOOKUP(P10,'DO NOT TOUCH Imported'!$A$1:$D$800,4,False),iferror(VLOOKUP(P10,'DO NOT TOUCH Imported'!$C$1:$D$800,2,False),"OOPS FIX ME"))</f>
        <v>zeptimusQ</v>
      </c>
      <c r="B10" s="165" t="s">
        <v>441</v>
      </c>
      <c r="C10" s="170" t="s">
        <v>1589</v>
      </c>
      <c r="D10" s="236" t="s">
        <v>437</v>
      </c>
      <c r="E10" s="239">
        <v>44274.0</v>
      </c>
      <c r="F10" s="170" t="s">
        <v>439</v>
      </c>
      <c r="G10" s="170">
        <v>50.0</v>
      </c>
      <c r="H10" s="171">
        <v>100.0</v>
      </c>
      <c r="I10" s="171">
        <v>100.0</v>
      </c>
      <c r="J10" s="172">
        <f t="shared" si="2"/>
        <v>0.001628715905</v>
      </c>
      <c r="K10" s="173">
        <f t="shared" si="3"/>
        <v>1.818732761</v>
      </c>
      <c r="L10" s="174">
        <f t="shared" si="4"/>
        <v>52.3726097</v>
      </c>
      <c r="M10" s="175" t="str">
        <f t="shared" si="5"/>
        <v>zeptimusQ</v>
      </c>
      <c r="N10" s="176">
        <f>IFERROR(__xludf.DUMMYFUNCTION("""COMPUTED_VALUE"""),7.0)</f>
        <v>7</v>
      </c>
      <c r="O10" s="176"/>
      <c r="P10" s="165" t="s">
        <v>440</v>
      </c>
      <c r="Q10" s="165" t="s">
        <v>441</v>
      </c>
      <c r="R10" s="176"/>
      <c r="S10" s="176"/>
      <c r="T10" s="176"/>
      <c r="U10" s="176"/>
      <c r="V10" s="176"/>
      <c r="W10" s="176"/>
      <c r="X10" s="176"/>
      <c r="Y10" s="176"/>
      <c r="Z10" s="176"/>
      <c r="AA10" s="176"/>
    </row>
    <row r="11">
      <c r="A11" s="165" t="str">
        <f>iferror(VLOOKUP(P11,'DO NOT TOUCH Imported'!$A$1:$D$800,4,False),iferror(VLOOKUP(P11,'DO NOT TOUCH Imported'!$C$1:$D$800,2,False),"OOPS FIX ME"))</f>
        <v>zeptimusQ</v>
      </c>
      <c r="B11" s="165" t="s">
        <v>443</v>
      </c>
      <c r="C11" s="170" t="s">
        <v>1590</v>
      </c>
      <c r="D11" s="236" t="s">
        <v>437</v>
      </c>
      <c r="E11" s="239">
        <v>44273.0</v>
      </c>
      <c r="F11" s="170" t="s">
        <v>439</v>
      </c>
      <c r="G11" s="170">
        <v>45.0</v>
      </c>
      <c r="H11" s="171">
        <v>100.0</v>
      </c>
      <c r="I11" s="171">
        <v>100.0</v>
      </c>
      <c r="J11" s="172">
        <f t="shared" si="2"/>
        <v>0.001549857771</v>
      </c>
      <c r="K11" s="173">
        <f t="shared" si="3"/>
        <v>1.730674511</v>
      </c>
      <c r="L11" s="174">
        <f t="shared" si="4"/>
        <v>52.3726097</v>
      </c>
      <c r="M11" s="175" t="str">
        <f t="shared" si="5"/>
        <v>zeptimusQ</v>
      </c>
      <c r="N11" s="176">
        <f>IFERROR(__xludf.DUMMYFUNCTION("""COMPUTED_VALUE"""),8.0)</f>
        <v>8</v>
      </c>
      <c r="O11" s="176"/>
      <c r="P11" s="165" t="s">
        <v>440</v>
      </c>
      <c r="Q11" s="165" t="s">
        <v>443</v>
      </c>
      <c r="R11" s="176"/>
      <c r="S11" s="176"/>
      <c r="T11" s="176"/>
      <c r="U11" s="176"/>
      <c r="V11" s="176"/>
      <c r="W11" s="176"/>
      <c r="X11" s="176"/>
      <c r="Y11" s="176"/>
      <c r="Z11" s="176"/>
      <c r="AA11" s="176"/>
    </row>
    <row r="12">
      <c r="A12" s="165" t="str">
        <f>iferror(VLOOKUP(P12,'DO NOT TOUCH Imported'!$A$1:$D$800,4,False),iferror(VLOOKUP(P12,'DO NOT TOUCH Imported'!$C$1:$D$800,2,False),"OOPS FIX ME"))</f>
        <v>zeptimusQ</v>
      </c>
      <c r="B12" s="165" t="s">
        <v>441</v>
      </c>
      <c r="C12" s="170" t="s">
        <v>1591</v>
      </c>
      <c r="D12" s="236" t="s">
        <v>437</v>
      </c>
      <c r="E12" s="239">
        <v>44274.0</v>
      </c>
      <c r="F12" s="170" t="s">
        <v>439</v>
      </c>
      <c r="G12" s="170">
        <v>15.0</v>
      </c>
      <c r="H12" s="171">
        <v>200.0</v>
      </c>
      <c r="I12" s="171">
        <v>100.0</v>
      </c>
      <c r="J12" s="172">
        <f t="shared" si="2"/>
        <v>0.001496233644</v>
      </c>
      <c r="K12" s="173">
        <f t="shared" si="3"/>
        <v>1.670794236</v>
      </c>
      <c r="L12" s="174">
        <f t="shared" si="4"/>
        <v>52.3726097</v>
      </c>
      <c r="M12" s="175" t="str">
        <f t="shared" si="5"/>
        <v>zeptimusQ</v>
      </c>
      <c r="N12" s="176">
        <f>IFERROR(__xludf.DUMMYFUNCTION("""COMPUTED_VALUE"""),9.0)</f>
        <v>9</v>
      </c>
      <c r="O12" s="176"/>
      <c r="P12" s="165" t="s">
        <v>440</v>
      </c>
      <c r="Q12" s="165" t="s">
        <v>441</v>
      </c>
      <c r="R12" s="176"/>
      <c r="S12" s="176"/>
      <c r="T12" s="176"/>
      <c r="U12" s="176"/>
      <c r="V12" s="176"/>
      <c r="W12" s="176"/>
      <c r="X12" s="176"/>
      <c r="Y12" s="176"/>
      <c r="Z12" s="176"/>
      <c r="AA12" s="176"/>
    </row>
    <row r="13">
      <c r="A13" s="165" t="str">
        <f>iferror(VLOOKUP(P13,'DO NOT TOUCH Imported'!$A$1:$D$800,4,False),iferror(VLOOKUP(P13,'DO NOT TOUCH Imported'!$C$1:$D$800,2,False),"OOPS FIX ME"))</f>
        <v>zeptimusQ</v>
      </c>
      <c r="B13" s="249" t="s">
        <v>18</v>
      </c>
      <c r="C13" s="250" t="s">
        <v>1592</v>
      </c>
      <c r="D13" s="236" t="s">
        <v>1584</v>
      </c>
      <c r="E13" s="251">
        <v>44271.0</v>
      </c>
      <c r="F13" s="219" t="s">
        <v>496</v>
      </c>
      <c r="G13" s="170">
        <v>25.0</v>
      </c>
      <c r="H13" s="171">
        <v>150.0</v>
      </c>
      <c r="I13" s="171">
        <v>100.0</v>
      </c>
      <c r="J13" s="172">
        <f t="shared" si="2"/>
        <v>0.001444187573</v>
      </c>
      <c r="K13" s="173">
        <f t="shared" si="3"/>
        <v>1.612676123</v>
      </c>
      <c r="L13" s="174">
        <f t="shared" si="4"/>
        <v>52.3726097</v>
      </c>
      <c r="M13" s="175" t="str">
        <f t="shared" si="5"/>
        <v>zeptimusQ</v>
      </c>
      <c r="N13" s="176">
        <f>IFERROR(__xludf.DUMMYFUNCTION("""COMPUTED_VALUE"""),10.0)</f>
        <v>10</v>
      </c>
      <c r="O13" s="176"/>
      <c r="P13" s="249" t="s">
        <v>3</v>
      </c>
      <c r="Q13" s="249" t="s">
        <v>18</v>
      </c>
      <c r="R13" s="176"/>
      <c r="S13" s="176"/>
      <c r="T13" s="176"/>
      <c r="U13" s="176"/>
      <c r="V13" s="176"/>
      <c r="W13" s="176"/>
      <c r="X13" s="176"/>
      <c r="Y13" s="176"/>
      <c r="Z13" s="176"/>
      <c r="AA13" s="176"/>
    </row>
    <row r="14">
      <c r="A14" s="165" t="str">
        <f>iferror(VLOOKUP(P14,'DO NOT TOUCH Imported'!$A$1:$D$800,4,False),iferror(VLOOKUP(P14,'DO NOT TOUCH Imported'!$C$1:$D$800,2,False),"OOPS FIX ME"))</f>
        <v>zeptimusQ</v>
      </c>
      <c r="B14" s="165" t="s">
        <v>441</v>
      </c>
      <c r="C14" s="170" t="s">
        <v>1593</v>
      </c>
      <c r="D14" s="236" t="s">
        <v>437</v>
      </c>
      <c r="E14" s="239">
        <v>44274.0</v>
      </c>
      <c r="F14" s="170" t="s">
        <v>439</v>
      </c>
      <c r="G14" s="170">
        <v>25.0</v>
      </c>
      <c r="H14" s="171">
        <v>150.0</v>
      </c>
      <c r="I14" s="171">
        <v>100.0</v>
      </c>
      <c r="J14" s="172">
        <f t="shared" si="2"/>
        <v>0.001444187573</v>
      </c>
      <c r="K14" s="173">
        <f t="shared" si="3"/>
        <v>1.612676123</v>
      </c>
      <c r="L14" s="174">
        <f t="shared" si="4"/>
        <v>52.3726097</v>
      </c>
      <c r="M14" s="175" t="str">
        <f t="shared" si="5"/>
        <v>zeptimusQ</v>
      </c>
      <c r="N14" s="176">
        <f>IFERROR(__xludf.DUMMYFUNCTION("""COMPUTED_VALUE"""),11.0)</f>
        <v>11</v>
      </c>
      <c r="O14" s="176"/>
      <c r="P14" s="165" t="s">
        <v>440</v>
      </c>
      <c r="Q14" s="165" t="s">
        <v>441</v>
      </c>
      <c r="R14" s="176"/>
      <c r="S14" s="176"/>
      <c r="T14" s="176"/>
      <c r="U14" s="176"/>
      <c r="V14" s="176"/>
      <c r="W14" s="176"/>
      <c r="X14" s="176"/>
      <c r="Y14" s="176"/>
      <c r="Z14" s="176"/>
      <c r="AA14" s="176"/>
    </row>
    <row r="15">
      <c r="A15" s="165" t="str">
        <f>iferror(VLOOKUP(P15,'DO NOT TOUCH Imported'!$A$1:$D$800,4,False),iferror(VLOOKUP(P15,'DO NOT TOUCH Imported'!$C$1:$D$800,2,False),"OOPS FIX ME"))</f>
        <v>zeptimusQ</v>
      </c>
      <c r="B15" s="165" t="s">
        <v>441</v>
      </c>
      <c r="C15" s="170" t="s">
        <v>1594</v>
      </c>
      <c r="D15" s="236" t="s">
        <v>437</v>
      </c>
      <c r="E15" s="239">
        <v>44281.0</v>
      </c>
      <c r="F15" s="170" t="s">
        <v>439</v>
      </c>
      <c r="G15" s="170">
        <v>35.0</v>
      </c>
      <c r="H15" s="171">
        <v>100.0</v>
      </c>
      <c r="I15" s="171">
        <v>100.0</v>
      </c>
      <c r="J15" s="172">
        <f t="shared" si="2"/>
        <v>0.001392141502</v>
      </c>
      <c r="K15" s="173">
        <f t="shared" si="3"/>
        <v>1.554558011</v>
      </c>
      <c r="L15" s="174">
        <f t="shared" si="4"/>
        <v>52.3726097</v>
      </c>
      <c r="M15" s="175" t="str">
        <f t="shared" si="5"/>
        <v>zeptimusQ</v>
      </c>
      <c r="N15" s="176">
        <f>IFERROR(__xludf.DUMMYFUNCTION("""COMPUTED_VALUE"""),12.0)</f>
        <v>12</v>
      </c>
      <c r="O15" s="176"/>
      <c r="P15" s="165" t="s">
        <v>440</v>
      </c>
      <c r="Q15" s="165" t="s">
        <v>441</v>
      </c>
      <c r="R15" s="176"/>
      <c r="S15" s="176"/>
      <c r="T15" s="176"/>
      <c r="U15" s="176"/>
      <c r="V15" s="176"/>
      <c r="W15" s="176"/>
      <c r="X15" s="176"/>
      <c r="Y15" s="176"/>
      <c r="Z15" s="176"/>
      <c r="AA15" s="176"/>
    </row>
    <row r="16">
      <c r="A16" s="165" t="str">
        <f>iferror(VLOOKUP(P16,'DO NOT TOUCH Imported'!$A$1:$D$800,4,False),iferror(VLOOKUP(P16,'DO NOT TOUCH Imported'!$C$1:$D$800,2,False),"OOPS FIX ME"))</f>
        <v>zeptimusQ</v>
      </c>
      <c r="B16" s="165" t="s">
        <v>441</v>
      </c>
      <c r="C16" s="170" t="s">
        <v>1595</v>
      </c>
      <c r="D16" s="236" t="s">
        <v>437</v>
      </c>
      <c r="E16" s="239">
        <v>44281.0</v>
      </c>
      <c r="F16" s="170" t="s">
        <v>439</v>
      </c>
      <c r="G16" s="170">
        <v>25.0</v>
      </c>
      <c r="H16" s="171">
        <v>100.0</v>
      </c>
      <c r="I16" s="171">
        <v>100.0</v>
      </c>
      <c r="J16" s="172">
        <f t="shared" si="2"/>
        <v>0.001234425234</v>
      </c>
      <c r="K16" s="173">
        <f t="shared" si="3"/>
        <v>1.378441511</v>
      </c>
      <c r="L16" s="174">
        <f t="shared" si="4"/>
        <v>52.3726097</v>
      </c>
      <c r="M16" s="175" t="str">
        <f t="shared" si="5"/>
        <v>zeptimusQ</v>
      </c>
      <c r="N16" s="176">
        <f>IFERROR(__xludf.DUMMYFUNCTION("""COMPUTED_VALUE"""),13.0)</f>
        <v>13</v>
      </c>
      <c r="O16" s="176"/>
      <c r="P16" s="165" t="s">
        <v>440</v>
      </c>
      <c r="Q16" s="165" t="s">
        <v>441</v>
      </c>
      <c r="R16" s="176"/>
      <c r="S16" s="176"/>
      <c r="T16" s="176"/>
      <c r="U16" s="176"/>
      <c r="V16" s="176"/>
      <c r="W16" s="176"/>
      <c r="X16" s="176"/>
      <c r="Y16" s="176"/>
      <c r="Z16" s="176"/>
      <c r="AA16" s="176"/>
    </row>
    <row r="17">
      <c r="A17" s="165" t="str">
        <f>iferror(VLOOKUP(P17,'DO NOT TOUCH Imported'!$A$1:$D$800,4,False),iferror(VLOOKUP(P17,'DO NOT TOUCH Imported'!$C$1:$D$800,2,False),"OOPS FIX ME"))</f>
        <v>zeptimusQ</v>
      </c>
      <c r="B17" s="165" t="s">
        <v>441</v>
      </c>
      <c r="C17" s="170" t="s">
        <v>1596</v>
      </c>
      <c r="D17" s="236" t="s">
        <v>437</v>
      </c>
      <c r="E17" s="239">
        <v>44281.0</v>
      </c>
      <c r="F17" s="170" t="s">
        <v>439</v>
      </c>
      <c r="G17" s="170">
        <v>25.0</v>
      </c>
      <c r="H17" s="171">
        <v>100.0</v>
      </c>
      <c r="I17" s="171">
        <v>100.0</v>
      </c>
      <c r="J17" s="172">
        <f t="shared" si="2"/>
        <v>0.001234425234</v>
      </c>
      <c r="K17" s="173">
        <f t="shared" si="3"/>
        <v>1.378441511</v>
      </c>
      <c r="L17" s="174">
        <f t="shared" si="4"/>
        <v>52.3726097</v>
      </c>
      <c r="M17" s="175" t="str">
        <f t="shared" si="5"/>
        <v>zeptimusQ</v>
      </c>
      <c r="N17" s="176">
        <f>IFERROR(__xludf.DUMMYFUNCTION("""COMPUTED_VALUE"""),14.0)</f>
        <v>14</v>
      </c>
      <c r="O17" s="176"/>
      <c r="P17" s="165" t="s">
        <v>440</v>
      </c>
      <c r="Q17" s="165" t="s">
        <v>441</v>
      </c>
      <c r="R17" s="176"/>
      <c r="S17" s="176"/>
      <c r="T17" s="176"/>
      <c r="U17" s="176"/>
      <c r="V17" s="176"/>
      <c r="W17" s="176"/>
      <c r="X17" s="176"/>
      <c r="Y17" s="176"/>
      <c r="Z17" s="176"/>
      <c r="AA17" s="176"/>
    </row>
    <row r="18">
      <c r="A18" s="165" t="str">
        <f>iferror(VLOOKUP(P18,'DO NOT TOUCH Imported'!$A$1:$D$800,4,False),iferror(VLOOKUP(P18,'DO NOT TOUCH Imported'!$C$1:$D$800,2,False),"OOPS FIX ME"))</f>
        <v>zeptimusQ</v>
      </c>
      <c r="B18" s="249" t="s">
        <v>6</v>
      </c>
      <c r="C18" s="250" t="s">
        <v>1597</v>
      </c>
      <c r="D18" s="236" t="s">
        <v>1584</v>
      </c>
      <c r="E18" s="251">
        <v>44276.0</v>
      </c>
      <c r="F18" s="219" t="s">
        <v>496</v>
      </c>
      <c r="G18" s="170">
        <v>15.0</v>
      </c>
      <c r="H18" s="171">
        <v>100.0</v>
      </c>
      <c r="I18" s="171">
        <v>100.0</v>
      </c>
      <c r="J18" s="172">
        <f t="shared" si="2"/>
        <v>0.001076708966</v>
      </c>
      <c r="K18" s="173">
        <f t="shared" si="3"/>
        <v>1.202325011</v>
      </c>
      <c r="L18" s="174">
        <f t="shared" si="4"/>
        <v>52.3726097</v>
      </c>
      <c r="M18" s="175" t="str">
        <f t="shared" si="5"/>
        <v>zeptimusQ</v>
      </c>
      <c r="N18" s="176">
        <f>IFERROR(__xludf.DUMMYFUNCTION("""COMPUTED_VALUE"""),15.0)</f>
        <v>15</v>
      </c>
      <c r="O18" s="176"/>
      <c r="P18" s="249" t="s">
        <v>3</v>
      </c>
      <c r="Q18" s="249" t="s">
        <v>6</v>
      </c>
      <c r="R18" s="176"/>
      <c r="S18" s="176"/>
      <c r="T18" s="176"/>
      <c r="U18" s="176"/>
      <c r="V18" s="176"/>
      <c r="W18" s="176"/>
      <c r="X18" s="176"/>
      <c r="Y18" s="176"/>
      <c r="Z18" s="176"/>
      <c r="AA18" s="176"/>
    </row>
    <row r="19">
      <c r="A19" s="165" t="str">
        <f>iferror(VLOOKUP(P19,'DO NOT TOUCH Imported'!$A$1:$D$800,4,False),iferror(VLOOKUP(P19,'DO NOT TOUCH Imported'!$C$1:$D$800,2,False),"OOPS FIX ME"))</f>
        <v>zeptimusQ</v>
      </c>
      <c r="B19" s="249" t="s">
        <v>18</v>
      </c>
      <c r="C19" s="250" t="s">
        <v>1598</v>
      </c>
      <c r="D19" s="236" t="s">
        <v>1584</v>
      </c>
      <c r="E19" s="251">
        <v>44277.0</v>
      </c>
      <c r="F19" s="219" t="s">
        <v>545</v>
      </c>
      <c r="G19" s="170">
        <v>15.0</v>
      </c>
      <c r="H19" s="171">
        <v>100.0</v>
      </c>
      <c r="I19" s="171">
        <v>100.0</v>
      </c>
      <c r="J19" s="172">
        <f t="shared" si="2"/>
        <v>0.001076708966</v>
      </c>
      <c r="K19" s="173">
        <f t="shared" si="3"/>
        <v>1.202325011</v>
      </c>
      <c r="L19" s="174">
        <f t="shared" si="4"/>
        <v>52.3726097</v>
      </c>
      <c r="M19" s="175" t="str">
        <f t="shared" si="5"/>
        <v>zeptimusQ</v>
      </c>
      <c r="N19" s="176">
        <f>IFERROR(__xludf.DUMMYFUNCTION("""COMPUTED_VALUE"""),16.0)</f>
        <v>16</v>
      </c>
      <c r="O19" s="176"/>
      <c r="P19" s="249" t="s">
        <v>3</v>
      </c>
      <c r="Q19" s="249" t="s">
        <v>18</v>
      </c>
      <c r="R19" s="176"/>
      <c r="S19" s="176"/>
      <c r="T19" s="176"/>
      <c r="U19" s="176"/>
      <c r="V19" s="176"/>
      <c r="W19" s="176"/>
      <c r="X19" s="176"/>
      <c r="Y19" s="176"/>
      <c r="Z19" s="176"/>
      <c r="AA19" s="176"/>
    </row>
    <row r="20">
      <c r="A20" s="165" t="str">
        <f>iferror(VLOOKUP(P20,'DO NOT TOUCH Imported'!$A$1:$D$800,4,False),iferror(VLOOKUP(P20,'DO NOT TOUCH Imported'!$C$1:$D$800,2,False),"OOPS FIX ME"))</f>
        <v>zeptimusQ</v>
      </c>
      <c r="B20" s="165" t="s">
        <v>486</v>
      </c>
      <c r="C20" s="170" t="s">
        <v>1599</v>
      </c>
      <c r="D20" s="236" t="s">
        <v>437</v>
      </c>
      <c r="E20" s="239">
        <v>44271.0</v>
      </c>
      <c r="F20" s="170" t="s">
        <v>1600</v>
      </c>
      <c r="G20" s="170">
        <v>15.0</v>
      </c>
      <c r="H20" s="171">
        <v>100.0</v>
      </c>
      <c r="I20" s="171">
        <v>100.0</v>
      </c>
      <c r="J20" s="172">
        <f t="shared" si="2"/>
        <v>0.001076708966</v>
      </c>
      <c r="K20" s="173">
        <f t="shared" si="3"/>
        <v>1.202325011</v>
      </c>
      <c r="L20" s="174">
        <f t="shared" si="4"/>
        <v>52.3726097</v>
      </c>
      <c r="M20" s="175" t="str">
        <f t="shared" si="5"/>
        <v>zeptimusQ</v>
      </c>
      <c r="N20" s="176">
        <f>IFERROR(__xludf.DUMMYFUNCTION("""COMPUTED_VALUE"""),17.0)</f>
        <v>17</v>
      </c>
      <c r="O20" s="176"/>
      <c r="P20" s="165" t="s">
        <v>440</v>
      </c>
      <c r="Q20" s="165" t="s">
        <v>486</v>
      </c>
      <c r="R20" s="176"/>
      <c r="S20" s="176"/>
      <c r="T20" s="176"/>
      <c r="U20" s="176"/>
      <c r="V20" s="176"/>
      <c r="W20" s="176"/>
      <c r="X20" s="176"/>
      <c r="Y20" s="176"/>
      <c r="Z20" s="176"/>
      <c r="AA20" s="176"/>
    </row>
    <row r="21">
      <c r="A21" s="165" t="str">
        <f>iferror(VLOOKUP(P21,'DO NOT TOUCH Imported'!$A$1:$D$800,4,False),iferror(VLOOKUP(P21,'DO NOT TOUCH Imported'!$C$1:$D$800,2,False),"OOPS FIX ME"))</f>
        <v>zeptimusQ</v>
      </c>
      <c r="B21" s="165" t="s">
        <v>463</v>
      </c>
      <c r="C21" s="170" t="s">
        <v>1601</v>
      </c>
      <c r="D21" s="236" t="s">
        <v>437</v>
      </c>
      <c r="E21" s="239">
        <v>44272.0</v>
      </c>
      <c r="F21" s="170" t="s">
        <v>439</v>
      </c>
      <c r="G21" s="170">
        <v>15.0</v>
      </c>
      <c r="H21" s="171">
        <v>100.0</v>
      </c>
      <c r="I21" s="171">
        <v>100.0</v>
      </c>
      <c r="J21" s="172">
        <f t="shared" si="2"/>
        <v>0.001076708966</v>
      </c>
      <c r="K21" s="173">
        <f t="shared" si="3"/>
        <v>1.202325011</v>
      </c>
      <c r="L21" s="174">
        <f t="shared" si="4"/>
        <v>52.3726097</v>
      </c>
      <c r="M21" s="175" t="str">
        <f t="shared" si="5"/>
        <v>zeptimusQ</v>
      </c>
      <c r="N21" s="176">
        <f>IFERROR(__xludf.DUMMYFUNCTION("""COMPUTED_VALUE"""),18.0)</f>
        <v>18</v>
      </c>
      <c r="O21" s="176"/>
      <c r="P21" s="165" t="s">
        <v>440</v>
      </c>
      <c r="Q21" s="165" t="s">
        <v>463</v>
      </c>
      <c r="R21" s="176"/>
      <c r="S21" s="176"/>
      <c r="T21" s="176"/>
      <c r="U21" s="176"/>
      <c r="V21" s="176"/>
      <c r="W21" s="176"/>
      <c r="X21" s="176"/>
      <c r="Y21" s="176"/>
      <c r="Z21" s="176"/>
      <c r="AA21" s="176"/>
    </row>
    <row r="22">
      <c r="A22" s="165" t="str">
        <f>iferror(VLOOKUP(P22,'DO NOT TOUCH Imported'!$A$1:$D$800,4,False),iferror(VLOOKUP(P22,'DO NOT TOUCH Imported'!$C$1:$D$800,2,False),"OOPS FIX ME"))</f>
        <v>zeptimusQ</v>
      </c>
      <c r="B22" s="165" t="s">
        <v>441</v>
      </c>
      <c r="C22" s="170" t="s">
        <v>1602</v>
      </c>
      <c r="D22" s="236" t="s">
        <v>437</v>
      </c>
      <c r="E22" s="239">
        <v>44272.0</v>
      </c>
      <c r="F22" s="170" t="s">
        <v>439</v>
      </c>
      <c r="G22" s="170">
        <v>15.0</v>
      </c>
      <c r="H22" s="171">
        <v>100.0</v>
      </c>
      <c r="I22" s="171">
        <v>100.0</v>
      </c>
      <c r="J22" s="172">
        <f t="shared" si="2"/>
        <v>0.001076708966</v>
      </c>
      <c r="K22" s="173">
        <f t="shared" si="3"/>
        <v>1.202325011</v>
      </c>
      <c r="L22" s="174">
        <f t="shared" si="4"/>
        <v>52.3726097</v>
      </c>
      <c r="M22" s="175" t="str">
        <f t="shared" si="5"/>
        <v>zeptimusQ</v>
      </c>
      <c r="N22" s="176">
        <f>IFERROR(__xludf.DUMMYFUNCTION("""COMPUTED_VALUE"""),19.0)</f>
        <v>19</v>
      </c>
      <c r="O22" s="176"/>
      <c r="P22" s="165" t="s">
        <v>440</v>
      </c>
      <c r="Q22" s="165" t="s">
        <v>441</v>
      </c>
      <c r="R22" s="176"/>
      <c r="S22" s="176"/>
      <c r="T22" s="176"/>
      <c r="U22" s="176"/>
      <c r="V22" s="176"/>
      <c r="W22" s="176"/>
      <c r="X22" s="176"/>
      <c r="Y22" s="176"/>
      <c r="Z22" s="176"/>
      <c r="AA22" s="176"/>
    </row>
    <row r="23">
      <c r="A23" s="165" t="str">
        <f>iferror(VLOOKUP(P23,'DO NOT TOUCH Imported'!$A$1:$D$800,4,False),iferror(VLOOKUP(P23,'DO NOT TOUCH Imported'!$C$1:$D$800,2,False),"OOPS FIX ME"))</f>
        <v>zeptimusQ</v>
      </c>
      <c r="B23" s="165" t="s">
        <v>443</v>
      </c>
      <c r="C23" s="170" t="s">
        <v>1603</v>
      </c>
      <c r="D23" s="236" t="s">
        <v>437</v>
      </c>
      <c r="E23" s="239">
        <v>44277.0</v>
      </c>
      <c r="F23" s="170" t="s">
        <v>439</v>
      </c>
      <c r="G23" s="170">
        <v>15.0</v>
      </c>
      <c r="H23" s="171">
        <v>100.0</v>
      </c>
      <c r="I23" s="171">
        <v>100.0</v>
      </c>
      <c r="J23" s="172">
        <f t="shared" si="2"/>
        <v>0.001076708966</v>
      </c>
      <c r="K23" s="173">
        <f t="shared" si="3"/>
        <v>1.202325011</v>
      </c>
      <c r="L23" s="174">
        <f t="shared" si="4"/>
        <v>52.3726097</v>
      </c>
      <c r="M23" s="175" t="str">
        <f t="shared" si="5"/>
        <v>zeptimusQ</v>
      </c>
      <c r="N23" s="176">
        <f>IFERROR(__xludf.DUMMYFUNCTION("""COMPUTED_VALUE"""),20.0)</f>
        <v>20</v>
      </c>
      <c r="O23" s="176"/>
      <c r="P23" s="165" t="s">
        <v>440</v>
      </c>
      <c r="Q23" s="165" t="s">
        <v>443</v>
      </c>
      <c r="R23" s="176"/>
      <c r="S23" s="176"/>
      <c r="T23" s="176"/>
      <c r="U23" s="176"/>
      <c r="V23" s="176"/>
      <c r="W23" s="176"/>
      <c r="X23" s="176"/>
      <c r="Y23" s="176"/>
      <c r="Z23" s="176"/>
      <c r="AA23" s="176"/>
    </row>
    <row r="24">
      <c r="A24" s="165" t="str">
        <f>iferror(VLOOKUP(P24,'DO NOT TOUCH Imported'!$A$1:$D$800,4,False),iferror(VLOOKUP(P24,'DO NOT TOUCH Imported'!$C$1:$D$800,2,False),"OOPS FIX ME"))</f>
        <v>zeptimusQ</v>
      </c>
      <c r="B24" s="165" t="s">
        <v>441</v>
      </c>
      <c r="C24" s="170" t="s">
        <v>1604</v>
      </c>
      <c r="D24" s="236" t="s">
        <v>437</v>
      </c>
      <c r="E24" s="239">
        <v>44277.0</v>
      </c>
      <c r="F24" s="170" t="s">
        <v>439</v>
      </c>
      <c r="G24" s="170">
        <v>15.0</v>
      </c>
      <c r="H24" s="171">
        <v>100.0</v>
      </c>
      <c r="I24" s="171">
        <v>100.0</v>
      </c>
      <c r="J24" s="172">
        <f t="shared" si="2"/>
        <v>0.001076708966</v>
      </c>
      <c r="K24" s="173">
        <f t="shared" si="3"/>
        <v>1.202325011</v>
      </c>
      <c r="L24" s="174">
        <f t="shared" si="4"/>
        <v>52.3726097</v>
      </c>
      <c r="M24" s="175" t="str">
        <f t="shared" si="5"/>
        <v>zeptimusQ</v>
      </c>
      <c r="N24" s="176">
        <f>IFERROR(__xludf.DUMMYFUNCTION("""COMPUTED_VALUE"""),21.0)</f>
        <v>21</v>
      </c>
      <c r="O24" s="176"/>
      <c r="P24" s="165" t="s">
        <v>440</v>
      </c>
      <c r="Q24" s="165" t="s">
        <v>441</v>
      </c>
      <c r="R24" s="176"/>
      <c r="S24" s="176"/>
      <c r="T24" s="176"/>
      <c r="U24" s="176"/>
      <c r="V24" s="176"/>
      <c r="W24" s="176"/>
      <c r="X24" s="176"/>
      <c r="Y24" s="176"/>
      <c r="Z24" s="176"/>
      <c r="AA24" s="176"/>
    </row>
    <row r="25">
      <c r="A25" s="165" t="str">
        <f>iferror(VLOOKUP(P25,'DO NOT TOUCH Imported'!$A$1:$D$800,4,False),iferror(VLOOKUP(P25,'DO NOT TOUCH Imported'!$C$1:$D$800,2,False),"OOPS FIX ME"))</f>
        <v>zeptimusQ</v>
      </c>
      <c r="B25" s="165" t="s">
        <v>450</v>
      </c>
      <c r="C25" s="170" t="s">
        <v>1605</v>
      </c>
      <c r="D25" s="236" t="s">
        <v>437</v>
      </c>
      <c r="E25" s="239">
        <v>44277.0</v>
      </c>
      <c r="F25" s="170" t="s">
        <v>473</v>
      </c>
      <c r="G25" s="170">
        <v>15.0</v>
      </c>
      <c r="H25" s="171">
        <v>100.0</v>
      </c>
      <c r="I25" s="171">
        <v>100.0</v>
      </c>
      <c r="J25" s="172">
        <f t="shared" si="2"/>
        <v>0.001076708966</v>
      </c>
      <c r="K25" s="173">
        <f t="shared" si="3"/>
        <v>1.202325011</v>
      </c>
      <c r="L25" s="174">
        <f t="shared" si="4"/>
        <v>52.3726097</v>
      </c>
      <c r="M25" s="175" t="str">
        <f t="shared" si="5"/>
        <v>zeptimusQ</v>
      </c>
      <c r="N25" s="176">
        <f>IFERROR(__xludf.DUMMYFUNCTION("""COMPUTED_VALUE"""),22.0)</f>
        <v>22</v>
      </c>
      <c r="O25" s="176"/>
      <c r="P25" s="165" t="s">
        <v>440</v>
      </c>
      <c r="Q25" s="165" t="s">
        <v>450</v>
      </c>
      <c r="R25" s="176"/>
      <c r="S25" s="176"/>
      <c r="T25" s="176"/>
      <c r="U25" s="176"/>
      <c r="V25" s="176"/>
      <c r="W25" s="176"/>
      <c r="X25" s="176"/>
      <c r="Y25" s="176"/>
      <c r="Z25" s="176"/>
      <c r="AA25" s="176"/>
    </row>
    <row r="26">
      <c r="A26" s="165" t="str">
        <f>iferror(VLOOKUP(P26,'DO NOT TOUCH Imported'!$A$1:$D$800,4,False),iferror(VLOOKUP(P26,'DO NOT TOUCH Imported'!$C$1:$D$800,2,False),"OOPS FIX ME"))</f>
        <v>zeptimusQ</v>
      </c>
      <c r="B26" s="165" t="s">
        <v>441</v>
      </c>
      <c r="C26" s="170" t="s">
        <v>1606</v>
      </c>
      <c r="D26" s="236" t="s">
        <v>437</v>
      </c>
      <c r="E26" s="239">
        <v>44281.0</v>
      </c>
      <c r="F26" s="170" t="s">
        <v>439</v>
      </c>
      <c r="G26" s="170">
        <v>15.0</v>
      </c>
      <c r="H26" s="171">
        <v>100.0</v>
      </c>
      <c r="I26" s="171">
        <v>100.0</v>
      </c>
      <c r="J26" s="172">
        <f t="shared" si="2"/>
        <v>0.001076708966</v>
      </c>
      <c r="K26" s="173">
        <f t="shared" si="3"/>
        <v>1.202325011</v>
      </c>
      <c r="L26" s="174">
        <f t="shared" si="4"/>
        <v>52.3726097</v>
      </c>
      <c r="M26" s="175" t="str">
        <f t="shared" si="5"/>
        <v>zeptimusQ</v>
      </c>
      <c r="N26" s="176">
        <f>IFERROR(__xludf.DUMMYFUNCTION("""COMPUTED_VALUE"""),23.0)</f>
        <v>23</v>
      </c>
      <c r="O26" s="176"/>
      <c r="P26" s="165" t="s">
        <v>440</v>
      </c>
      <c r="Q26" s="165" t="s">
        <v>441</v>
      </c>
      <c r="R26" s="176"/>
      <c r="S26" s="176"/>
      <c r="T26" s="176"/>
      <c r="U26" s="176"/>
      <c r="V26" s="176"/>
      <c r="W26" s="176"/>
      <c r="X26" s="176"/>
      <c r="Y26" s="176"/>
      <c r="Z26" s="176"/>
      <c r="AA26" s="176"/>
    </row>
    <row r="27">
      <c r="A27" s="165" t="str">
        <f>iferror(VLOOKUP(P27,'DO NOT TOUCH Imported'!$A$1:$D$800,4,False),iferror(VLOOKUP(P27,'DO NOT TOUCH Imported'!$C$1:$D$800,2,False),"OOPS FIX ME"))</f>
        <v>zeptimusQ</v>
      </c>
      <c r="B27" s="249" t="s">
        <v>25</v>
      </c>
      <c r="C27" s="250" t="s">
        <v>1607</v>
      </c>
      <c r="D27" s="236" t="s">
        <v>1584</v>
      </c>
      <c r="E27" s="251">
        <v>44276.0</v>
      </c>
      <c r="F27" s="219" t="s">
        <v>496</v>
      </c>
      <c r="G27" s="170">
        <v>25.0</v>
      </c>
      <c r="H27" s="171">
        <v>60.0</v>
      </c>
      <c r="I27" s="171">
        <v>100.0</v>
      </c>
      <c r="J27" s="172">
        <f t="shared" si="2"/>
        <v>0.001066615363</v>
      </c>
      <c r="K27" s="173">
        <f t="shared" si="3"/>
        <v>1.191053822</v>
      </c>
      <c r="L27" s="174">
        <f t="shared" si="4"/>
        <v>52.3726097</v>
      </c>
      <c r="M27" s="175" t="str">
        <f t="shared" si="5"/>
        <v>zeptimusQ</v>
      </c>
      <c r="N27" s="176">
        <f>IFERROR(__xludf.DUMMYFUNCTION("""COMPUTED_VALUE"""),24.0)</f>
        <v>24</v>
      </c>
      <c r="O27" s="176"/>
      <c r="P27" s="249" t="s">
        <v>3</v>
      </c>
      <c r="Q27" s="249" t="s">
        <v>25</v>
      </c>
      <c r="R27" s="176"/>
      <c r="S27" s="176"/>
      <c r="T27" s="176"/>
      <c r="U27" s="176"/>
      <c r="V27" s="176"/>
      <c r="W27" s="176"/>
      <c r="X27" s="176"/>
      <c r="Y27" s="176"/>
      <c r="Z27" s="176"/>
      <c r="AA27" s="176"/>
    </row>
    <row r="28">
      <c r="A28" s="165" t="str">
        <f>iferror(VLOOKUP(P28,'DO NOT TOUCH Imported'!$A$1:$D$800,4,False),iferror(VLOOKUP(P28,'DO NOT TOUCH Imported'!$C$1:$D$800,2,False),"OOPS FIX ME"))</f>
        <v>zeptimusQ</v>
      </c>
      <c r="B28" s="249" t="s">
        <v>590</v>
      </c>
      <c r="C28" s="250" t="s">
        <v>1608</v>
      </c>
      <c r="D28" s="236" t="s">
        <v>1584</v>
      </c>
      <c r="E28" s="251">
        <v>44271.0</v>
      </c>
      <c r="F28" s="219" t="s">
        <v>496</v>
      </c>
      <c r="G28" s="170">
        <v>25.0</v>
      </c>
      <c r="H28" s="171">
        <v>50.0</v>
      </c>
      <c r="I28" s="171">
        <v>100.0</v>
      </c>
      <c r="J28" s="172">
        <f t="shared" si="2"/>
        <v>0.001024662895</v>
      </c>
      <c r="K28" s="173">
        <f t="shared" si="3"/>
        <v>1.144206899</v>
      </c>
      <c r="L28" s="174">
        <f t="shared" si="4"/>
        <v>52.3726097</v>
      </c>
      <c r="M28" s="175" t="str">
        <f t="shared" si="5"/>
        <v>zeptimusQ</v>
      </c>
      <c r="N28" s="176">
        <f>IFERROR(__xludf.DUMMYFUNCTION("""COMPUTED_VALUE"""),25.0)</f>
        <v>25</v>
      </c>
      <c r="O28" s="176"/>
      <c r="P28" s="249" t="s">
        <v>3</v>
      </c>
      <c r="Q28" s="249" t="s">
        <v>590</v>
      </c>
      <c r="R28" s="176"/>
      <c r="S28" s="176"/>
      <c r="T28" s="176"/>
      <c r="U28" s="176"/>
      <c r="V28" s="176"/>
      <c r="W28" s="176"/>
      <c r="X28" s="176"/>
      <c r="Y28" s="176"/>
      <c r="Z28" s="176"/>
      <c r="AA28" s="176"/>
    </row>
    <row r="29">
      <c r="A29" s="165" t="str">
        <f>iferror(VLOOKUP(P29,'DO NOT TOUCH Imported'!$A$1:$D$800,4,False),iferror(VLOOKUP(P29,'DO NOT TOUCH Imported'!$C$1:$D$800,2,False),"OOPS FIX ME"))</f>
        <v>zeptimusQ</v>
      </c>
      <c r="B29" s="249" t="s">
        <v>18</v>
      </c>
      <c r="C29" s="250" t="s">
        <v>1609</v>
      </c>
      <c r="D29" s="236" t="s">
        <v>1584</v>
      </c>
      <c r="E29" s="251">
        <v>44279.0</v>
      </c>
      <c r="F29" s="219" t="s">
        <v>496</v>
      </c>
      <c r="G29" s="170">
        <v>15.0</v>
      </c>
      <c r="H29" s="171">
        <v>80.0</v>
      </c>
      <c r="I29" s="171">
        <v>100.0</v>
      </c>
      <c r="J29" s="172">
        <f t="shared" si="2"/>
        <v>0.0009928040298</v>
      </c>
      <c r="K29" s="173">
        <f t="shared" si="3"/>
        <v>1.108631167</v>
      </c>
      <c r="L29" s="174">
        <f t="shared" si="4"/>
        <v>52.3726097</v>
      </c>
      <c r="M29" s="175" t="str">
        <f t="shared" si="5"/>
        <v>zeptimusQ</v>
      </c>
      <c r="N29" s="176">
        <f>IFERROR(__xludf.DUMMYFUNCTION("""COMPUTED_VALUE"""),26.0)</f>
        <v>26</v>
      </c>
      <c r="O29" s="176"/>
      <c r="P29" s="249" t="s">
        <v>3</v>
      </c>
      <c r="Q29" s="249" t="s">
        <v>18</v>
      </c>
      <c r="R29" s="176"/>
      <c r="S29" s="176"/>
      <c r="T29" s="176"/>
      <c r="U29" s="176"/>
      <c r="V29" s="176"/>
      <c r="W29" s="176"/>
      <c r="X29" s="176"/>
      <c r="Y29" s="176"/>
      <c r="Z29" s="176"/>
      <c r="AA29" s="176"/>
    </row>
    <row r="30">
      <c r="A30" s="165" t="str">
        <f>iferror(VLOOKUP(P30,'DO NOT TOUCH Imported'!$A$1:$D$800,4,False),iferror(VLOOKUP(P30,'DO NOT TOUCH Imported'!$C$1:$D$800,2,False),"OOPS FIX ME"))</f>
        <v>zeptimusQ</v>
      </c>
      <c r="B30" s="165" t="s">
        <v>435</v>
      </c>
      <c r="C30" s="170" t="s">
        <v>1610</v>
      </c>
      <c r="D30" s="236" t="s">
        <v>437</v>
      </c>
      <c r="E30" s="239">
        <v>44272.0</v>
      </c>
      <c r="F30" s="170" t="s">
        <v>439</v>
      </c>
      <c r="G30" s="170">
        <v>15.0</v>
      </c>
      <c r="H30" s="171">
        <v>80.0</v>
      </c>
      <c r="I30" s="171">
        <v>100.0</v>
      </c>
      <c r="J30" s="172">
        <f t="shared" si="2"/>
        <v>0.0009928040298</v>
      </c>
      <c r="K30" s="173">
        <f t="shared" si="3"/>
        <v>1.108631167</v>
      </c>
      <c r="L30" s="174">
        <f t="shared" si="4"/>
        <v>52.3726097</v>
      </c>
      <c r="M30" s="175" t="str">
        <f t="shared" si="5"/>
        <v>zeptimusQ</v>
      </c>
      <c r="N30" s="176">
        <f>IFERROR(__xludf.DUMMYFUNCTION("""COMPUTED_VALUE"""),27.0)</f>
        <v>27</v>
      </c>
      <c r="O30" s="176"/>
      <c r="P30" s="165" t="s">
        <v>440</v>
      </c>
      <c r="Q30" s="165" t="s">
        <v>435</v>
      </c>
      <c r="R30" s="176"/>
      <c r="S30" s="176"/>
      <c r="T30" s="176"/>
      <c r="U30" s="176"/>
      <c r="V30" s="176"/>
      <c r="W30" s="176"/>
      <c r="X30" s="176"/>
      <c r="Y30" s="176"/>
      <c r="Z30" s="176"/>
      <c r="AA30" s="176"/>
    </row>
    <row r="31">
      <c r="A31" s="165" t="str">
        <f>iferror(VLOOKUP(P31,'DO NOT TOUCH Imported'!$A$1:$D$800,4,False),iferror(VLOOKUP(P31,'DO NOT TOUCH Imported'!$C$1:$D$800,2,False),"OOPS FIX ME"))</f>
        <v>zeptimusQ</v>
      </c>
      <c r="B31" s="165" t="s">
        <v>46</v>
      </c>
      <c r="C31" s="170" t="s">
        <v>1611</v>
      </c>
      <c r="D31" s="236" t="s">
        <v>437</v>
      </c>
      <c r="E31" s="239">
        <v>44280.0</v>
      </c>
      <c r="F31" s="170" t="s">
        <v>439</v>
      </c>
      <c r="G31" s="170">
        <v>15.0</v>
      </c>
      <c r="H31" s="171">
        <v>80.0</v>
      </c>
      <c r="I31" s="171">
        <v>100.0</v>
      </c>
      <c r="J31" s="172">
        <f t="shared" si="2"/>
        <v>0.0009928040298</v>
      </c>
      <c r="K31" s="173">
        <f t="shared" si="3"/>
        <v>1.108631167</v>
      </c>
      <c r="L31" s="174">
        <f t="shared" si="4"/>
        <v>52.3726097</v>
      </c>
      <c r="M31" s="175" t="str">
        <f t="shared" si="5"/>
        <v>zeptimusQ</v>
      </c>
      <c r="N31" s="176">
        <f>IFERROR(__xludf.DUMMYFUNCTION("""COMPUTED_VALUE"""),28.0)</f>
        <v>28</v>
      </c>
      <c r="O31" s="176"/>
      <c r="P31" s="165" t="s">
        <v>440</v>
      </c>
      <c r="Q31" s="165" t="s">
        <v>46</v>
      </c>
      <c r="R31" s="176"/>
      <c r="S31" s="176"/>
      <c r="T31" s="176"/>
      <c r="U31" s="176"/>
      <c r="V31" s="176"/>
      <c r="W31" s="176"/>
      <c r="X31" s="176"/>
      <c r="Y31" s="176"/>
      <c r="Z31" s="176"/>
      <c r="AA31" s="176"/>
    </row>
    <row r="32">
      <c r="A32" s="165" t="str">
        <f>iferror(VLOOKUP(P32,'DO NOT TOUCH Imported'!$A$1:$D$800,4,False),iferror(VLOOKUP(P32,'DO NOT TOUCH Imported'!$C$1:$D$800,2,False),"OOPS FIX ME"))</f>
        <v>zeptimusQ</v>
      </c>
      <c r="B32" s="165" t="s">
        <v>441</v>
      </c>
      <c r="C32" s="170" t="s">
        <v>1612</v>
      </c>
      <c r="D32" s="236" t="s">
        <v>437</v>
      </c>
      <c r="E32" s="239">
        <v>44281.0</v>
      </c>
      <c r="F32" s="170" t="s">
        <v>439</v>
      </c>
      <c r="G32" s="170">
        <v>15.0</v>
      </c>
      <c r="H32" s="171">
        <v>80.0</v>
      </c>
      <c r="I32" s="171">
        <v>100.0</v>
      </c>
      <c r="J32" s="172">
        <f t="shared" si="2"/>
        <v>0.0009928040298</v>
      </c>
      <c r="K32" s="173">
        <f t="shared" si="3"/>
        <v>1.108631167</v>
      </c>
      <c r="L32" s="174">
        <f t="shared" si="4"/>
        <v>52.3726097</v>
      </c>
      <c r="M32" s="175" t="str">
        <f t="shared" si="5"/>
        <v>zeptimusQ</v>
      </c>
      <c r="N32" s="176">
        <f>IFERROR(__xludf.DUMMYFUNCTION("""COMPUTED_VALUE"""),29.0)</f>
        <v>29</v>
      </c>
      <c r="O32" s="176"/>
      <c r="P32" s="165" t="s">
        <v>440</v>
      </c>
      <c r="Q32" s="165" t="s">
        <v>441</v>
      </c>
      <c r="R32" s="176"/>
      <c r="S32" s="176"/>
      <c r="T32" s="176"/>
      <c r="U32" s="176"/>
      <c r="V32" s="176"/>
      <c r="W32" s="176"/>
      <c r="X32" s="176"/>
      <c r="Y32" s="176"/>
      <c r="Z32" s="176"/>
      <c r="AA32" s="176"/>
    </row>
    <row r="33">
      <c r="A33" s="165" t="str">
        <f>iferror(VLOOKUP(P33,'DO NOT TOUCH Imported'!$A$1:$D$800,4,False),iferror(VLOOKUP(P33,'DO NOT TOUCH Imported'!$C$1:$D$800,2,False),"OOPS FIX ME"))</f>
        <v>zeptimusQ</v>
      </c>
      <c r="B33" s="165" t="s">
        <v>576</v>
      </c>
      <c r="C33" s="170" t="s">
        <v>1613</v>
      </c>
      <c r="D33" s="236" t="s">
        <v>437</v>
      </c>
      <c r="E33" s="239">
        <v>44274.0</v>
      </c>
      <c r="F33" s="170" t="s">
        <v>439</v>
      </c>
      <c r="G33" s="170">
        <v>15.0</v>
      </c>
      <c r="H33" s="171">
        <v>70.0</v>
      </c>
      <c r="I33" s="171">
        <v>100.0</v>
      </c>
      <c r="J33" s="172">
        <f t="shared" si="2"/>
        <v>0.000950851562</v>
      </c>
      <c r="K33" s="173">
        <f t="shared" si="3"/>
        <v>1.061784244</v>
      </c>
      <c r="L33" s="174">
        <f t="shared" si="4"/>
        <v>52.3726097</v>
      </c>
      <c r="M33" s="175" t="str">
        <f t="shared" si="5"/>
        <v>zeptimusQ</v>
      </c>
      <c r="N33" s="176">
        <f>IFERROR(__xludf.DUMMYFUNCTION("""COMPUTED_VALUE"""),30.0)</f>
        <v>30</v>
      </c>
      <c r="O33" s="176"/>
      <c r="P33" s="165" t="s">
        <v>440</v>
      </c>
      <c r="Q33" s="165" t="s">
        <v>576</v>
      </c>
      <c r="R33" s="176"/>
      <c r="S33" s="176"/>
      <c r="T33" s="176"/>
      <c r="U33" s="176"/>
      <c r="V33" s="176"/>
      <c r="W33" s="176"/>
      <c r="X33" s="176"/>
      <c r="Y33" s="176"/>
      <c r="Z33" s="176"/>
      <c r="AA33" s="176"/>
    </row>
    <row r="34">
      <c r="A34" s="165" t="str">
        <f>iferror(VLOOKUP(P34,'DO NOT TOUCH Imported'!$A$1:$D$800,4,False),iferror(VLOOKUP(P34,'DO NOT TOUCH Imported'!$C$1:$D$800,2,False),"OOPS FIX ME"))</f>
        <v>zeptimusQ</v>
      </c>
      <c r="B34" s="165" t="s">
        <v>492</v>
      </c>
      <c r="C34" s="170" t="s">
        <v>1614</v>
      </c>
      <c r="D34" s="236" t="s">
        <v>437</v>
      </c>
      <c r="E34" s="239">
        <v>44279.0</v>
      </c>
      <c r="F34" s="170" t="s">
        <v>439</v>
      </c>
      <c r="G34" s="170">
        <v>15.0</v>
      </c>
      <c r="H34" s="171">
        <v>70.0</v>
      </c>
      <c r="I34" s="171">
        <v>100.0</v>
      </c>
      <c r="J34" s="172">
        <f t="shared" si="2"/>
        <v>0.000950851562</v>
      </c>
      <c r="K34" s="173">
        <f t="shared" si="3"/>
        <v>1.061784244</v>
      </c>
      <c r="L34" s="174">
        <f t="shared" si="4"/>
        <v>52.3726097</v>
      </c>
      <c r="M34" s="175" t="str">
        <f t="shared" si="5"/>
        <v>zeptimusQ</v>
      </c>
      <c r="N34" s="176">
        <f>IFERROR(__xludf.DUMMYFUNCTION("""COMPUTED_VALUE"""),31.0)</f>
        <v>31</v>
      </c>
      <c r="O34" s="176"/>
      <c r="P34" s="165" t="s">
        <v>440</v>
      </c>
      <c r="Q34" s="165" t="s">
        <v>492</v>
      </c>
      <c r="R34" s="176"/>
      <c r="S34" s="176"/>
      <c r="T34" s="176"/>
      <c r="U34" s="176"/>
      <c r="V34" s="176"/>
      <c r="W34" s="176"/>
      <c r="X34" s="176"/>
      <c r="Y34" s="176"/>
      <c r="Z34" s="176"/>
      <c r="AA34" s="176"/>
    </row>
    <row r="35">
      <c r="A35" s="165" t="str">
        <f>iferror(VLOOKUP(P35,'DO NOT TOUCH Imported'!$A$1:$D$800,4,False),iferror(VLOOKUP(P35,'DO NOT TOUCH Imported'!$C$1:$D$800,2,False),"OOPS FIX ME"))</f>
        <v>zeptimusQ</v>
      </c>
      <c r="B35" s="165" t="s">
        <v>576</v>
      </c>
      <c r="C35" s="170" t="s">
        <v>1615</v>
      </c>
      <c r="D35" s="236" t="s">
        <v>437</v>
      </c>
      <c r="E35" s="239">
        <v>44281.0</v>
      </c>
      <c r="F35" s="170" t="s">
        <v>439</v>
      </c>
      <c r="G35" s="170">
        <v>15.0</v>
      </c>
      <c r="H35" s="171">
        <v>70.0</v>
      </c>
      <c r="I35" s="171">
        <v>100.0</v>
      </c>
      <c r="J35" s="172">
        <f t="shared" si="2"/>
        <v>0.000950851562</v>
      </c>
      <c r="K35" s="173">
        <f t="shared" si="3"/>
        <v>1.061784244</v>
      </c>
      <c r="L35" s="174">
        <f t="shared" si="4"/>
        <v>52.3726097</v>
      </c>
      <c r="M35" s="175" t="str">
        <f t="shared" si="5"/>
        <v>zeptimusQ</v>
      </c>
      <c r="N35" s="176">
        <f>IFERROR(__xludf.DUMMYFUNCTION("""COMPUTED_VALUE"""),32.0)</f>
        <v>32</v>
      </c>
      <c r="O35" s="176"/>
      <c r="P35" s="165" t="s">
        <v>440</v>
      </c>
      <c r="Q35" s="165" t="s">
        <v>576</v>
      </c>
      <c r="R35" s="176"/>
      <c r="S35" s="176"/>
      <c r="T35" s="176"/>
      <c r="U35" s="176"/>
      <c r="V35" s="176"/>
      <c r="W35" s="176"/>
      <c r="X35" s="176"/>
      <c r="Y35" s="176"/>
      <c r="Z35" s="176"/>
      <c r="AA35" s="176"/>
    </row>
    <row r="36">
      <c r="A36" s="165" t="str">
        <f>iferror(VLOOKUP(P36,'DO NOT TOUCH Imported'!$A$1:$D$800,4,False),iferror(VLOOKUP(P36,'DO NOT TOUCH Imported'!$C$1:$D$800,2,False),"OOPS FIX ME"))</f>
        <v>zeptimusQ</v>
      </c>
      <c r="B36" s="165" t="s">
        <v>443</v>
      </c>
      <c r="C36" s="170" t="s">
        <v>1616</v>
      </c>
      <c r="D36" s="236" t="s">
        <v>437</v>
      </c>
      <c r="E36" s="239">
        <v>44280.0</v>
      </c>
      <c r="F36" s="170" t="s">
        <v>439</v>
      </c>
      <c r="G36" s="170">
        <v>5.0</v>
      </c>
      <c r="H36" s="171">
        <v>100.0</v>
      </c>
      <c r="I36" s="171">
        <v>100.0</v>
      </c>
      <c r="J36" s="172">
        <f t="shared" si="2"/>
        <v>0.0009189926971</v>
      </c>
      <c r="K36" s="173">
        <f t="shared" si="3"/>
        <v>1.026208512</v>
      </c>
      <c r="L36" s="174">
        <f t="shared" si="4"/>
        <v>52.3726097</v>
      </c>
      <c r="M36" s="175" t="str">
        <f t="shared" si="5"/>
        <v>zeptimusQ</v>
      </c>
      <c r="N36" s="176">
        <f>IFERROR(__xludf.DUMMYFUNCTION("""COMPUTED_VALUE"""),33.0)</f>
        <v>33</v>
      </c>
      <c r="O36" s="176"/>
      <c r="P36" s="165" t="s">
        <v>440</v>
      </c>
      <c r="Q36" s="165" t="s">
        <v>443</v>
      </c>
      <c r="R36" s="176"/>
      <c r="S36" s="176"/>
      <c r="T36" s="176"/>
      <c r="U36" s="176"/>
      <c r="V36" s="176"/>
      <c r="W36" s="176"/>
      <c r="X36" s="176"/>
      <c r="Y36" s="176"/>
      <c r="Z36" s="176"/>
      <c r="AA36" s="176"/>
    </row>
    <row r="37">
      <c r="A37" s="165" t="str">
        <f>iferror(VLOOKUP(P37,'DO NOT TOUCH Imported'!$A$1:$D$800,4,False),iferror(VLOOKUP(P37,'DO NOT TOUCH Imported'!$C$1:$D$800,2,False),"OOPS FIX ME"))</f>
        <v>zeptimusQ</v>
      </c>
      <c r="B37" s="249" t="s">
        <v>18</v>
      </c>
      <c r="C37" s="250" t="s">
        <v>1617</v>
      </c>
      <c r="D37" s="236" t="s">
        <v>1584</v>
      </c>
      <c r="E37" s="251">
        <v>44273.0</v>
      </c>
      <c r="F37" s="219" t="s">
        <v>496</v>
      </c>
      <c r="G37" s="170">
        <v>15.0</v>
      </c>
      <c r="H37" s="171">
        <v>60.0</v>
      </c>
      <c r="I37" s="171">
        <v>100.0</v>
      </c>
      <c r="J37" s="172">
        <f t="shared" si="2"/>
        <v>0.0009088990941</v>
      </c>
      <c r="K37" s="173">
        <f t="shared" si="3"/>
        <v>1.014937322</v>
      </c>
      <c r="L37" s="174">
        <f t="shared" si="4"/>
        <v>52.3726097</v>
      </c>
      <c r="M37" s="175" t="str">
        <f t="shared" si="5"/>
        <v>zeptimusQ</v>
      </c>
      <c r="N37" s="176">
        <f>IFERROR(__xludf.DUMMYFUNCTION("""COMPUTED_VALUE"""),34.0)</f>
        <v>34</v>
      </c>
      <c r="O37" s="176"/>
      <c r="P37" s="249" t="s">
        <v>3</v>
      </c>
      <c r="Q37" s="249" t="s">
        <v>18</v>
      </c>
      <c r="R37" s="176"/>
      <c r="S37" s="176"/>
      <c r="T37" s="176"/>
      <c r="U37" s="176"/>
      <c r="V37" s="176"/>
      <c r="W37" s="176"/>
      <c r="X37" s="176"/>
      <c r="Y37" s="176"/>
      <c r="Z37" s="176"/>
      <c r="AA37" s="176"/>
    </row>
    <row r="38">
      <c r="A38" s="165" t="str">
        <f>iferror(VLOOKUP(P38,'DO NOT TOUCH Imported'!$A$1:$D$800,4,False),iferror(VLOOKUP(P38,'DO NOT TOUCH Imported'!$C$1:$D$800,2,False),"OOPS FIX ME"))</f>
        <v>zeptimusQ</v>
      </c>
      <c r="B38" s="249" t="s">
        <v>18</v>
      </c>
      <c r="C38" s="250" t="s">
        <v>1618</v>
      </c>
      <c r="D38" s="236" t="s">
        <v>1584</v>
      </c>
      <c r="E38" s="251">
        <v>44273.0</v>
      </c>
      <c r="F38" s="219" t="s">
        <v>496</v>
      </c>
      <c r="G38" s="170">
        <v>15.0</v>
      </c>
      <c r="H38" s="171">
        <v>60.0</v>
      </c>
      <c r="I38" s="171">
        <v>100.0</v>
      </c>
      <c r="J38" s="172">
        <f t="shared" si="2"/>
        <v>0.0009088990941</v>
      </c>
      <c r="K38" s="173">
        <f t="shared" si="3"/>
        <v>1.014937322</v>
      </c>
      <c r="L38" s="174">
        <f t="shared" si="4"/>
        <v>52.3726097</v>
      </c>
      <c r="M38" s="175" t="str">
        <f t="shared" si="5"/>
        <v>zeptimusQ</v>
      </c>
      <c r="N38" s="176">
        <f>IFERROR(__xludf.DUMMYFUNCTION("""COMPUTED_VALUE"""),35.0)</f>
        <v>35</v>
      </c>
      <c r="O38" s="176"/>
      <c r="P38" s="249" t="s">
        <v>3</v>
      </c>
      <c r="Q38" s="249" t="s">
        <v>18</v>
      </c>
      <c r="R38" s="176"/>
      <c r="S38" s="176"/>
      <c r="T38" s="176"/>
      <c r="U38" s="176"/>
      <c r="V38" s="176"/>
      <c r="W38" s="176"/>
      <c r="X38" s="176"/>
      <c r="Y38" s="176"/>
      <c r="Z38" s="176"/>
      <c r="AA38" s="176"/>
    </row>
    <row r="39">
      <c r="A39" s="165" t="str">
        <f>iferror(VLOOKUP(P39,'DO NOT TOUCH Imported'!$A$1:$D$800,4,False),iferror(VLOOKUP(P39,'DO NOT TOUCH Imported'!$C$1:$D$800,2,False),"OOPS FIX ME"))</f>
        <v>zeptimusQ</v>
      </c>
      <c r="B39" s="249" t="s">
        <v>590</v>
      </c>
      <c r="C39" s="250" t="s">
        <v>1619</v>
      </c>
      <c r="D39" s="236" t="s">
        <v>1584</v>
      </c>
      <c r="E39" s="251">
        <v>44278.0</v>
      </c>
      <c r="F39" s="219" t="s">
        <v>496</v>
      </c>
      <c r="G39" s="170">
        <v>15.0</v>
      </c>
      <c r="H39" s="171">
        <v>60.0</v>
      </c>
      <c r="I39" s="171">
        <v>100.0</v>
      </c>
      <c r="J39" s="172">
        <f t="shared" si="2"/>
        <v>0.0009088990941</v>
      </c>
      <c r="K39" s="173">
        <f t="shared" si="3"/>
        <v>1.014937322</v>
      </c>
      <c r="L39" s="174">
        <f t="shared" si="4"/>
        <v>52.3726097</v>
      </c>
      <c r="M39" s="175" t="str">
        <f t="shared" si="5"/>
        <v>zeptimusQ</v>
      </c>
      <c r="N39" s="176">
        <f>IFERROR(__xludf.DUMMYFUNCTION("""COMPUTED_VALUE"""),36.0)</f>
        <v>36</v>
      </c>
      <c r="O39" s="176"/>
      <c r="P39" s="249" t="s">
        <v>3</v>
      </c>
      <c r="Q39" s="249" t="s">
        <v>590</v>
      </c>
      <c r="R39" s="176"/>
      <c r="S39" s="176"/>
      <c r="T39" s="176"/>
      <c r="U39" s="176"/>
      <c r="V39" s="176"/>
      <c r="W39" s="176"/>
      <c r="X39" s="176"/>
      <c r="Y39" s="176"/>
      <c r="Z39" s="176"/>
      <c r="AA39" s="176"/>
    </row>
    <row r="40">
      <c r="A40" s="165" t="str">
        <f>iferror(VLOOKUP(P40,'DO NOT TOUCH Imported'!$A$1:$D$800,4,False),iferror(VLOOKUP(P40,'DO NOT TOUCH Imported'!$C$1:$D$800,2,False),"OOPS FIX ME"))</f>
        <v>zeptimusQ</v>
      </c>
      <c r="B40" s="165" t="s">
        <v>441</v>
      </c>
      <c r="C40" s="170" t="s">
        <v>1620</v>
      </c>
      <c r="D40" s="236" t="s">
        <v>437</v>
      </c>
      <c r="E40" s="239">
        <v>44274.0</v>
      </c>
      <c r="F40" s="170" t="s">
        <v>439</v>
      </c>
      <c r="G40" s="170">
        <v>15.0</v>
      </c>
      <c r="H40" s="171">
        <v>60.0</v>
      </c>
      <c r="I40" s="171">
        <v>100.0</v>
      </c>
      <c r="J40" s="172">
        <f t="shared" si="2"/>
        <v>0.0009088990941</v>
      </c>
      <c r="K40" s="173">
        <f t="shared" si="3"/>
        <v>1.014937322</v>
      </c>
      <c r="L40" s="174">
        <f t="shared" si="4"/>
        <v>52.3726097</v>
      </c>
      <c r="M40" s="175" t="str">
        <f t="shared" si="5"/>
        <v>zeptimusQ</v>
      </c>
      <c r="N40" s="176">
        <f>IFERROR(__xludf.DUMMYFUNCTION("""COMPUTED_VALUE"""),37.0)</f>
        <v>37</v>
      </c>
      <c r="O40" s="176"/>
      <c r="P40" s="165" t="s">
        <v>440</v>
      </c>
      <c r="Q40" s="165" t="s">
        <v>441</v>
      </c>
      <c r="R40" s="176"/>
      <c r="S40" s="176"/>
      <c r="T40" s="176"/>
      <c r="U40" s="176"/>
      <c r="V40" s="176"/>
      <c r="W40" s="176"/>
      <c r="X40" s="176"/>
      <c r="Y40" s="176"/>
      <c r="Z40" s="176"/>
      <c r="AA40" s="176"/>
    </row>
    <row r="41">
      <c r="A41" s="165" t="str">
        <f>iferror(VLOOKUP(P41,'DO NOT TOUCH Imported'!$A$1:$D$800,4,False),iferror(VLOOKUP(P41,'DO NOT TOUCH Imported'!$C$1:$D$800,2,False),"OOPS FIX ME"))</f>
        <v>zeptimusQ</v>
      </c>
      <c r="B41" s="249" t="s">
        <v>10</v>
      </c>
      <c r="C41" s="250" t="s">
        <v>494</v>
      </c>
      <c r="D41" s="236" t="s">
        <v>1584</v>
      </c>
      <c r="E41" s="251">
        <v>44275.0</v>
      </c>
      <c r="F41" s="219" t="s">
        <v>496</v>
      </c>
      <c r="G41" s="170">
        <v>15.0</v>
      </c>
      <c r="H41" s="171">
        <v>50.0</v>
      </c>
      <c r="I41" s="171">
        <v>100.0</v>
      </c>
      <c r="J41" s="172">
        <f t="shared" si="2"/>
        <v>0.0008669466263</v>
      </c>
      <c r="K41" s="173">
        <f t="shared" si="3"/>
        <v>0.9680903993</v>
      </c>
      <c r="L41" s="174">
        <f t="shared" si="4"/>
        <v>52.3726097</v>
      </c>
      <c r="M41" s="175" t="str">
        <f t="shared" si="5"/>
        <v>zeptimusQ</v>
      </c>
      <c r="N41" s="176">
        <f>IFERROR(__xludf.DUMMYFUNCTION("""COMPUTED_VALUE"""),38.0)</f>
        <v>38</v>
      </c>
      <c r="O41" s="176"/>
      <c r="P41" s="249" t="s">
        <v>3</v>
      </c>
      <c r="Q41" s="249" t="s">
        <v>10</v>
      </c>
      <c r="R41" s="176"/>
      <c r="S41" s="176"/>
      <c r="T41" s="176"/>
      <c r="U41" s="176"/>
      <c r="V41" s="176"/>
      <c r="W41" s="176"/>
      <c r="X41" s="176"/>
      <c r="Y41" s="176"/>
      <c r="Z41" s="176"/>
      <c r="AA41" s="176"/>
    </row>
    <row r="42">
      <c r="A42" s="165" t="str">
        <f>iferror(VLOOKUP(P42,'DO NOT TOUCH Imported'!$A$1:$D$800,4,False),iferror(VLOOKUP(P42,'DO NOT TOUCH Imported'!$C$1:$D$800,2,False),"OOPS FIX ME"))</f>
        <v>zeptimusQ</v>
      </c>
      <c r="B42" s="249" t="s">
        <v>10</v>
      </c>
      <c r="C42" s="250" t="s">
        <v>500</v>
      </c>
      <c r="D42" s="236" t="s">
        <v>1584</v>
      </c>
      <c r="E42" s="251">
        <v>44275.0</v>
      </c>
      <c r="F42" s="219" t="s">
        <v>496</v>
      </c>
      <c r="G42" s="170">
        <v>15.0</v>
      </c>
      <c r="H42" s="171">
        <v>25.0</v>
      </c>
      <c r="I42" s="171">
        <v>100.0</v>
      </c>
      <c r="J42" s="172">
        <f t="shared" si="2"/>
        <v>0.0007620654566</v>
      </c>
      <c r="K42" s="173">
        <f t="shared" si="3"/>
        <v>0.8509730932</v>
      </c>
      <c r="L42" s="174">
        <f t="shared" si="4"/>
        <v>52.3726097</v>
      </c>
      <c r="M42" s="175" t="str">
        <f t="shared" si="5"/>
        <v>zeptimusQ</v>
      </c>
      <c r="N42" s="176">
        <f>IFERROR(__xludf.DUMMYFUNCTION("""COMPUTED_VALUE"""),39.0)</f>
        <v>39</v>
      </c>
      <c r="O42" s="176"/>
      <c r="P42" s="249" t="s">
        <v>3</v>
      </c>
      <c r="Q42" s="249" t="s">
        <v>10</v>
      </c>
      <c r="R42" s="176"/>
      <c r="S42" s="176"/>
      <c r="T42" s="176"/>
      <c r="U42" s="176"/>
      <c r="V42" s="176"/>
      <c r="W42" s="176"/>
      <c r="X42" s="176"/>
      <c r="Y42" s="176"/>
      <c r="Z42" s="176"/>
      <c r="AA42" s="176"/>
    </row>
    <row r="43">
      <c r="A43" s="165" t="str">
        <f>iferror(VLOOKUP(P43,'DO NOT TOUCH Imported'!$A$1:$D$800,4,False),iferror(VLOOKUP(P43,'DO NOT TOUCH Imported'!$C$1:$D$800,2,False),"OOPS FIX ME"))</f>
        <v>Santigs67</v>
      </c>
      <c r="B43" s="165" t="s">
        <v>441</v>
      </c>
      <c r="C43" s="170" t="s">
        <v>1621</v>
      </c>
      <c r="D43" s="236" t="s">
        <v>437</v>
      </c>
      <c r="E43" s="239">
        <v>44281.0</v>
      </c>
      <c r="F43" s="170" t="s">
        <v>439</v>
      </c>
      <c r="G43" s="170">
        <v>200.0</v>
      </c>
      <c r="H43" s="171">
        <v>100.0</v>
      </c>
      <c r="I43" s="171">
        <v>100.0</v>
      </c>
      <c r="J43" s="172">
        <f t="shared" si="2"/>
        <v>0.003994459932</v>
      </c>
      <c r="K43" s="173">
        <f t="shared" si="3"/>
        <v>4.460480257</v>
      </c>
      <c r="L43" s="174">
        <f t="shared" si="4"/>
        <v>37.09538752</v>
      </c>
      <c r="M43" s="175" t="str">
        <f t="shared" si="5"/>
        <v>Santigs67</v>
      </c>
      <c r="N43" s="176">
        <f>IFERROR(__xludf.DUMMYFUNCTION("""COMPUTED_VALUE"""),1.0)</f>
        <v>1</v>
      </c>
      <c r="O43" s="176"/>
      <c r="P43" s="165" t="s">
        <v>576</v>
      </c>
      <c r="Q43" s="165" t="s">
        <v>441</v>
      </c>
      <c r="R43" s="176"/>
      <c r="S43" s="176"/>
      <c r="T43" s="176"/>
      <c r="U43" s="176"/>
      <c r="V43" s="176"/>
      <c r="W43" s="176"/>
      <c r="X43" s="176"/>
      <c r="Y43" s="176"/>
      <c r="Z43" s="176"/>
      <c r="AA43" s="176"/>
    </row>
    <row r="44">
      <c r="A44" s="165" t="str">
        <f>iferror(VLOOKUP(P44,'DO NOT TOUCH Imported'!$A$1:$D$800,4,False),iferror(VLOOKUP(P44,'DO NOT TOUCH Imported'!$C$1:$D$800,2,False),"OOPS FIX ME"))</f>
        <v>Santigs67</v>
      </c>
      <c r="B44" s="165" t="s">
        <v>441</v>
      </c>
      <c r="C44" s="170" t="s">
        <v>1622</v>
      </c>
      <c r="D44" s="236" t="s">
        <v>437</v>
      </c>
      <c r="E44" s="239">
        <v>44281.0</v>
      </c>
      <c r="F44" s="170" t="s">
        <v>439</v>
      </c>
      <c r="G44" s="170">
        <v>100.0</v>
      </c>
      <c r="H44" s="171">
        <v>200.0</v>
      </c>
      <c r="I44" s="171">
        <v>100.0</v>
      </c>
      <c r="J44" s="172">
        <f t="shared" si="2"/>
        <v>0.002836821926</v>
      </c>
      <c r="K44" s="173">
        <f t="shared" si="3"/>
        <v>3.167784484</v>
      </c>
      <c r="L44" s="174">
        <f t="shared" si="4"/>
        <v>37.09538752</v>
      </c>
      <c r="M44" s="175" t="str">
        <f t="shared" si="5"/>
        <v>Santigs67</v>
      </c>
      <c r="N44" s="176">
        <f>IFERROR(__xludf.DUMMYFUNCTION("""COMPUTED_VALUE"""),2.0)</f>
        <v>2</v>
      </c>
      <c r="O44" s="176"/>
      <c r="P44" s="165" t="s">
        <v>576</v>
      </c>
      <c r="Q44" s="165" t="s">
        <v>441</v>
      </c>
      <c r="R44" s="176"/>
      <c r="S44" s="176"/>
      <c r="T44" s="176"/>
      <c r="U44" s="176"/>
      <c r="V44" s="176"/>
      <c r="W44" s="176"/>
      <c r="X44" s="176"/>
      <c r="Y44" s="176"/>
      <c r="Z44" s="176"/>
      <c r="AA44" s="176"/>
    </row>
    <row r="45">
      <c r="A45" s="165" t="str">
        <f>iferror(VLOOKUP(P45,'DO NOT TOUCH Imported'!$A$1:$D$800,4,False),iferror(VLOOKUP(P45,'DO NOT TOUCH Imported'!$C$1:$D$800,2,False),"OOPS FIX ME"))</f>
        <v>Santigs67</v>
      </c>
      <c r="B45" s="165" t="s">
        <v>441</v>
      </c>
      <c r="C45" s="170" t="s">
        <v>1585</v>
      </c>
      <c r="D45" s="236" t="s">
        <v>437</v>
      </c>
      <c r="E45" s="239">
        <v>44281.0</v>
      </c>
      <c r="F45" s="170" t="s">
        <v>439</v>
      </c>
      <c r="G45" s="170">
        <v>35.0</v>
      </c>
      <c r="H45" s="171">
        <v>100.0</v>
      </c>
      <c r="I45" s="171">
        <v>200.0</v>
      </c>
      <c r="J45" s="172">
        <f t="shared" si="2"/>
        <v>0.001812751387</v>
      </c>
      <c r="K45" s="173">
        <f t="shared" si="3"/>
        <v>2.024239049</v>
      </c>
      <c r="L45" s="174">
        <f t="shared" si="4"/>
        <v>37.09538752</v>
      </c>
      <c r="M45" s="175" t="str">
        <f t="shared" si="5"/>
        <v>Santigs67</v>
      </c>
      <c r="N45" s="176">
        <f>IFERROR(__xludf.DUMMYFUNCTION("""COMPUTED_VALUE"""),3.0)</f>
        <v>3</v>
      </c>
      <c r="O45" s="176"/>
      <c r="P45" s="165" t="s">
        <v>576</v>
      </c>
      <c r="Q45" s="165" t="s">
        <v>441</v>
      </c>
      <c r="R45" s="176"/>
      <c r="S45" s="176"/>
      <c r="T45" s="176"/>
      <c r="U45" s="176"/>
      <c r="V45" s="176"/>
      <c r="W45" s="176"/>
      <c r="X45" s="176"/>
      <c r="Y45" s="176"/>
      <c r="Z45" s="176"/>
      <c r="AA45" s="176"/>
    </row>
    <row r="46">
      <c r="A46" s="165" t="str">
        <f>iferror(VLOOKUP(P46,'DO NOT TOUCH Imported'!$A$1:$D$800,4,False),iferror(VLOOKUP(P46,'DO NOT TOUCH Imported'!$C$1:$D$800,2,False),"OOPS FIX ME"))</f>
        <v>Santigs67</v>
      </c>
      <c r="B46" s="165" t="s">
        <v>441</v>
      </c>
      <c r="C46" s="170" t="s">
        <v>1623</v>
      </c>
      <c r="D46" s="236" t="s">
        <v>437</v>
      </c>
      <c r="E46" s="239">
        <v>44274.0</v>
      </c>
      <c r="F46" s="170" t="s">
        <v>439</v>
      </c>
      <c r="G46" s="170">
        <v>35.0</v>
      </c>
      <c r="H46" s="171">
        <v>200.0</v>
      </c>
      <c r="I46" s="171">
        <v>100.0</v>
      </c>
      <c r="J46" s="172">
        <f t="shared" si="2"/>
        <v>0.001811666181</v>
      </c>
      <c r="K46" s="173">
        <f t="shared" si="3"/>
        <v>2.023027235</v>
      </c>
      <c r="L46" s="174">
        <f t="shared" si="4"/>
        <v>37.09538752</v>
      </c>
      <c r="M46" s="175" t="str">
        <f t="shared" si="5"/>
        <v>Santigs67</v>
      </c>
      <c r="N46" s="176">
        <f>IFERROR(__xludf.DUMMYFUNCTION("""COMPUTED_VALUE"""),4.0)</f>
        <v>4</v>
      </c>
      <c r="O46" s="176"/>
      <c r="P46" s="165" t="s">
        <v>576</v>
      </c>
      <c r="Q46" s="165" t="s">
        <v>441</v>
      </c>
      <c r="R46" s="176"/>
      <c r="S46" s="176"/>
      <c r="T46" s="176"/>
      <c r="U46" s="176"/>
      <c r="V46" s="176"/>
      <c r="W46" s="176"/>
      <c r="X46" s="176"/>
      <c r="Y46" s="176"/>
      <c r="Z46" s="176"/>
      <c r="AA46" s="176"/>
    </row>
    <row r="47">
      <c r="A47" s="165" t="str">
        <f>iferror(VLOOKUP(P47,'DO NOT TOUCH Imported'!$A$1:$D$800,4,False),iferror(VLOOKUP(P47,'DO NOT TOUCH Imported'!$C$1:$D$800,2,False),"OOPS FIX ME"))</f>
        <v>Santigs67</v>
      </c>
      <c r="B47" s="165" t="s">
        <v>443</v>
      </c>
      <c r="C47" s="170" t="s">
        <v>1590</v>
      </c>
      <c r="D47" s="236" t="s">
        <v>437</v>
      </c>
      <c r="E47" s="239">
        <v>44273.0</v>
      </c>
      <c r="F47" s="170" t="s">
        <v>439</v>
      </c>
      <c r="G47" s="170">
        <v>45.0</v>
      </c>
      <c r="H47" s="171">
        <v>100.0</v>
      </c>
      <c r="I47" s="171">
        <v>100.0</v>
      </c>
      <c r="J47" s="172">
        <f t="shared" si="2"/>
        <v>0.001549857771</v>
      </c>
      <c r="K47" s="173">
        <f t="shared" si="3"/>
        <v>1.730674511</v>
      </c>
      <c r="L47" s="174">
        <f t="shared" si="4"/>
        <v>37.09538752</v>
      </c>
      <c r="M47" s="175" t="str">
        <f t="shared" si="5"/>
        <v>Santigs67</v>
      </c>
      <c r="N47" s="176">
        <f>IFERROR(__xludf.DUMMYFUNCTION("""COMPUTED_VALUE"""),5.0)</f>
        <v>5</v>
      </c>
      <c r="O47" s="176"/>
      <c r="P47" s="165" t="s">
        <v>576</v>
      </c>
      <c r="Q47" s="165" t="s">
        <v>443</v>
      </c>
      <c r="R47" s="176"/>
      <c r="S47" s="176"/>
      <c r="T47" s="176"/>
      <c r="U47" s="176"/>
      <c r="V47" s="176"/>
      <c r="W47" s="176"/>
      <c r="X47" s="176"/>
      <c r="Y47" s="176"/>
      <c r="Z47" s="176"/>
      <c r="AA47" s="176"/>
    </row>
    <row r="48">
      <c r="A48" s="165" t="str">
        <f>iferror(VLOOKUP(P48,'DO NOT TOUCH Imported'!$A$1:$D$800,4,False),iferror(VLOOKUP(P48,'DO NOT TOUCH Imported'!$C$1:$D$800,2,False),"OOPS FIX ME"))</f>
        <v>Santigs67</v>
      </c>
      <c r="B48" s="165" t="s">
        <v>441</v>
      </c>
      <c r="C48" s="170" t="s">
        <v>1624</v>
      </c>
      <c r="D48" s="236" t="s">
        <v>437</v>
      </c>
      <c r="E48" s="239">
        <v>44274.0</v>
      </c>
      <c r="F48" s="170" t="s">
        <v>439</v>
      </c>
      <c r="G48" s="170">
        <v>15.0</v>
      </c>
      <c r="H48" s="171">
        <v>200.0</v>
      </c>
      <c r="I48" s="171">
        <v>100.0</v>
      </c>
      <c r="J48" s="172">
        <f t="shared" si="2"/>
        <v>0.001496233644</v>
      </c>
      <c r="K48" s="173">
        <f t="shared" si="3"/>
        <v>1.670794236</v>
      </c>
      <c r="L48" s="174">
        <f t="shared" si="4"/>
        <v>37.09538752</v>
      </c>
      <c r="M48" s="175" t="str">
        <f t="shared" si="5"/>
        <v>Santigs67</v>
      </c>
      <c r="N48" s="176">
        <f>IFERROR(__xludf.DUMMYFUNCTION("""COMPUTED_VALUE"""),6.0)</f>
        <v>6</v>
      </c>
      <c r="O48" s="176"/>
      <c r="P48" s="165" t="s">
        <v>576</v>
      </c>
      <c r="Q48" s="165" t="s">
        <v>441</v>
      </c>
      <c r="R48" s="176"/>
      <c r="S48" s="176"/>
      <c r="T48" s="176"/>
      <c r="U48" s="176"/>
      <c r="V48" s="176"/>
      <c r="W48" s="176"/>
      <c r="X48" s="176"/>
      <c r="Y48" s="176"/>
      <c r="Z48" s="176"/>
      <c r="AA48" s="176"/>
    </row>
    <row r="49">
      <c r="A49" s="165" t="str">
        <f>iferror(VLOOKUP(P49,'DO NOT TOUCH Imported'!$A$1:$D$800,4,False),iferror(VLOOKUP(P49,'DO NOT TOUCH Imported'!$C$1:$D$800,2,False),"OOPS FIX ME"))</f>
        <v>Santigs67</v>
      </c>
      <c r="B49" s="165" t="s">
        <v>441</v>
      </c>
      <c r="C49" s="170" t="s">
        <v>1591</v>
      </c>
      <c r="D49" s="236" t="s">
        <v>437</v>
      </c>
      <c r="E49" s="239">
        <v>44274.0</v>
      </c>
      <c r="F49" s="170" t="s">
        <v>439</v>
      </c>
      <c r="G49" s="170">
        <v>15.0</v>
      </c>
      <c r="H49" s="171">
        <v>200.0</v>
      </c>
      <c r="I49" s="171">
        <v>100.0</v>
      </c>
      <c r="J49" s="172">
        <f t="shared" si="2"/>
        <v>0.001496233644</v>
      </c>
      <c r="K49" s="173">
        <f t="shared" si="3"/>
        <v>1.670794236</v>
      </c>
      <c r="L49" s="174">
        <f t="shared" si="4"/>
        <v>37.09538752</v>
      </c>
      <c r="M49" s="175" t="str">
        <f t="shared" si="5"/>
        <v>Santigs67</v>
      </c>
      <c r="N49" s="176">
        <f>IFERROR(__xludf.DUMMYFUNCTION("""COMPUTED_VALUE"""),7.0)</f>
        <v>7</v>
      </c>
      <c r="O49" s="176"/>
      <c r="P49" s="165" t="s">
        <v>576</v>
      </c>
      <c r="Q49" s="165" t="s">
        <v>441</v>
      </c>
      <c r="R49" s="176"/>
      <c r="S49" s="176"/>
      <c r="T49" s="176"/>
      <c r="U49" s="176"/>
      <c r="V49" s="176"/>
      <c r="W49" s="176"/>
      <c r="X49" s="176"/>
      <c r="Y49" s="176"/>
      <c r="Z49" s="176"/>
      <c r="AA49" s="176"/>
    </row>
    <row r="50">
      <c r="A50" s="165" t="str">
        <f>iferror(VLOOKUP(P50,'DO NOT TOUCH Imported'!$A$1:$D$800,4,False),iferror(VLOOKUP(P50,'DO NOT TOUCH Imported'!$C$1:$D$800,2,False),"OOPS FIX ME"))</f>
        <v>Santigs67</v>
      </c>
      <c r="B50" s="165" t="s">
        <v>441</v>
      </c>
      <c r="C50" s="170" t="s">
        <v>1620</v>
      </c>
      <c r="D50" s="236" t="s">
        <v>437</v>
      </c>
      <c r="E50" s="239">
        <v>44274.0</v>
      </c>
      <c r="F50" s="170" t="s">
        <v>439</v>
      </c>
      <c r="G50" s="170">
        <v>15.0</v>
      </c>
      <c r="H50" s="171">
        <v>200.0</v>
      </c>
      <c r="I50" s="171">
        <v>100.0</v>
      </c>
      <c r="J50" s="172">
        <f t="shared" si="2"/>
        <v>0.001496233644</v>
      </c>
      <c r="K50" s="173">
        <f t="shared" si="3"/>
        <v>1.670794236</v>
      </c>
      <c r="L50" s="174">
        <f t="shared" si="4"/>
        <v>37.09538752</v>
      </c>
      <c r="M50" s="175" t="str">
        <f t="shared" si="5"/>
        <v>Santigs67</v>
      </c>
      <c r="N50" s="176">
        <f>IFERROR(__xludf.DUMMYFUNCTION("""COMPUTED_VALUE"""),8.0)</f>
        <v>8</v>
      </c>
      <c r="O50" s="176"/>
      <c r="P50" s="165" t="s">
        <v>576</v>
      </c>
      <c r="Q50" s="165" t="s">
        <v>441</v>
      </c>
      <c r="R50" s="176"/>
      <c r="S50" s="176"/>
      <c r="T50" s="176"/>
      <c r="U50" s="176"/>
      <c r="V50" s="176"/>
      <c r="W50" s="176"/>
      <c r="X50" s="176"/>
      <c r="Y50" s="176"/>
      <c r="Z50" s="176"/>
      <c r="AA50" s="176"/>
    </row>
    <row r="51">
      <c r="A51" s="165" t="str">
        <f>iferror(VLOOKUP(P51,'DO NOT TOUCH Imported'!$A$1:$D$800,4,False),iferror(VLOOKUP(P51,'DO NOT TOUCH Imported'!$C$1:$D$800,2,False),"OOPS FIX ME"))</f>
        <v>Santigs67</v>
      </c>
      <c r="B51" s="165" t="s">
        <v>441</v>
      </c>
      <c r="C51" s="170" t="s">
        <v>1593</v>
      </c>
      <c r="D51" s="236" t="s">
        <v>437</v>
      </c>
      <c r="E51" s="239">
        <v>44274.0</v>
      </c>
      <c r="F51" s="170" t="s">
        <v>439</v>
      </c>
      <c r="G51" s="170">
        <v>25.0</v>
      </c>
      <c r="H51" s="171">
        <v>100.0</v>
      </c>
      <c r="I51" s="171">
        <v>100.0</v>
      </c>
      <c r="J51" s="172">
        <f t="shared" si="2"/>
        <v>0.001234425234</v>
      </c>
      <c r="K51" s="173">
        <f t="shared" si="3"/>
        <v>1.378441511</v>
      </c>
      <c r="L51" s="174">
        <f t="shared" si="4"/>
        <v>37.09538752</v>
      </c>
      <c r="M51" s="175" t="str">
        <f t="shared" si="5"/>
        <v>Santigs67</v>
      </c>
      <c r="N51" s="176">
        <f>IFERROR(__xludf.DUMMYFUNCTION("""COMPUTED_VALUE"""),9.0)</f>
        <v>9</v>
      </c>
      <c r="O51" s="176"/>
      <c r="P51" s="165" t="s">
        <v>576</v>
      </c>
      <c r="Q51" s="165" t="s">
        <v>441</v>
      </c>
      <c r="R51" s="176"/>
      <c r="S51" s="176"/>
      <c r="T51" s="176"/>
      <c r="U51" s="176"/>
      <c r="V51" s="176"/>
      <c r="W51" s="176"/>
      <c r="X51" s="176"/>
      <c r="Y51" s="176"/>
      <c r="Z51" s="176"/>
      <c r="AA51" s="176"/>
    </row>
    <row r="52">
      <c r="A52" s="165" t="str">
        <f>iferror(VLOOKUP(P52,'DO NOT TOUCH Imported'!$A$1:$D$800,4,False),iferror(VLOOKUP(P52,'DO NOT TOUCH Imported'!$C$1:$D$800,2,False),"OOPS FIX ME"))</f>
        <v>Santigs67</v>
      </c>
      <c r="B52" s="249" t="s">
        <v>18</v>
      </c>
      <c r="C52" s="250" t="s">
        <v>1625</v>
      </c>
      <c r="D52" s="236" t="s">
        <v>1584</v>
      </c>
      <c r="E52" s="251">
        <v>44271.0</v>
      </c>
      <c r="F52" s="219" t="s">
        <v>496</v>
      </c>
      <c r="G52" s="170">
        <v>25.0</v>
      </c>
      <c r="H52" s="171">
        <v>100.0</v>
      </c>
      <c r="I52" s="171">
        <v>100.0</v>
      </c>
      <c r="J52" s="172">
        <f t="shared" si="2"/>
        <v>0.001234425234</v>
      </c>
      <c r="K52" s="173">
        <f t="shared" si="3"/>
        <v>1.378441511</v>
      </c>
      <c r="L52" s="174">
        <f t="shared" si="4"/>
        <v>37.09538752</v>
      </c>
      <c r="M52" s="175" t="str">
        <f t="shared" si="5"/>
        <v>Santigs67</v>
      </c>
      <c r="N52" s="176">
        <f>IFERROR(__xludf.DUMMYFUNCTION("""COMPUTED_VALUE"""),10.0)</f>
        <v>10</v>
      </c>
      <c r="O52" s="176"/>
      <c r="P52" s="249" t="s">
        <v>4</v>
      </c>
      <c r="Q52" s="249" t="s">
        <v>18</v>
      </c>
      <c r="R52" s="176"/>
      <c r="S52" s="176"/>
      <c r="T52" s="176"/>
      <c r="U52" s="176"/>
      <c r="V52" s="176"/>
      <c r="W52" s="176"/>
      <c r="X52" s="176"/>
      <c r="Y52" s="176"/>
      <c r="Z52" s="176"/>
      <c r="AA52" s="176"/>
    </row>
    <row r="53">
      <c r="A53" s="165" t="str">
        <f>iferror(VLOOKUP(P53,'DO NOT TOUCH Imported'!$A$1:$D$800,4,False),iferror(VLOOKUP(P53,'DO NOT TOUCH Imported'!$C$1:$D$800,2,False),"OOPS FIX ME"))</f>
        <v>Santigs67</v>
      </c>
      <c r="B53" s="165" t="s">
        <v>441</v>
      </c>
      <c r="C53" s="170" t="s">
        <v>1626</v>
      </c>
      <c r="D53" s="236" t="s">
        <v>437</v>
      </c>
      <c r="E53" s="239">
        <v>44281.0</v>
      </c>
      <c r="F53" s="170" t="s">
        <v>439</v>
      </c>
      <c r="G53" s="170">
        <v>25.0</v>
      </c>
      <c r="H53" s="171">
        <v>100.0</v>
      </c>
      <c r="I53" s="171">
        <v>100.0</v>
      </c>
      <c r="J53" s="172">
        <f t="shared" si="2"/>
        <v>0.001234425234</v>
      </c>
      <c r="K53" s="173">
        <f t="shared" si="3"/>
        <v>1.378441511</v>
      </c>
      <c r="L53" s="174">
        <f t="shared" si="4"/>
        <v>37.09538752</v>
      </c>
      <c r="M53" s="175" t="str">
        <f t="shared" si="5"/>
        <v>Santigs67</v>
      </c>
      <c r="N53" s="176">
        <f>IFERROR(__xludf.DUMMYFUNCTION("""COMPUTED_VALUE"""),11.0)</f>
        <v>11</v>
      </c>
      <c r="O53" s="176"/>
      <c r="P53" s="165" t="s">
        <v>576</v>
      </c>
      <c r="Q53" s="165" t="s">
        <v>441</v>
      </c>
      <c r="R53" s="176"/>
      <c r="S53" s="176"/>
      <c r="T53" s="176"/>
      <c r="U53" s="176"/>
      <c r="V53" s="176"/>
      <c r="W53" s="176"/>
      <c r="X53" s="176"/>
      <c r="Y53" s="176"/>
      <c r="Z53" s="176"/>
      <c r="AA53" s="176"/>
    </row>
    <row r="54">
      <c r="A54" s="165" t="str">
        <f>iferror(VLOOKUP(P54,'DO NOT TOUCH Imported'!$A$1:$D$800,4,False),iferror(VLOOKUP(P54,'DO NOT TOUCH Imported'!$C$1:$D$800,2,False),"OOPS FIX ME"))</f>
        <v>Santigs67</v>
      </c>
      <c r="B54" s="165" t="s">
        <v>441</v>
      </c>
      <c r="C54" s="170" t="s">
        <v>1595</v>
      </c>
      <c r="D54" s="236" t="s">
        <v>437</v>
      </c>
      <c r="E54" s="239">
        <v>44281.0</v>
      </c>
      <c r="F54" s="170" t="s">
        <v>439</v>
      </c>
      <c r="G54" s="170">
        <v>25.0</v>
      </c>
      <c r="H54" s="171">
        <v>100.0</v>
      </c>
      <c r="I54" s="171">
        <v>100.0</v>
      </c>
      <c r="J54" s="172">
        <f t="shared" si="2"/>
        <v>0.001234425234</v>
      </c>
      <c r="K54" s="173">
        <f t="shared" si="3"/>
        <v>1.378441511</v>
      </c>
      <c r="L54" s="174">
        <f t="shared" si="4"/>
        <v>37.09538752</v>
      </c>
      <c r="M54" s="175" t="str">
        <f t="shared" si="5"/>
        <v>Santigs67</v>
      </c>
      <c r="N54" s="176">
        <f>IFERROR(__xludf.DUMMYFUNCTION("""COMPUTED_VALUE"""),12.0)</f>
        <v>12</v>
      </c>
      <c r="O54" s="176"/>
      <c r="P54" s="165" t="s">
        <v>576</v>
      </c>
      <c r="Q54" s="165" t="s">
        <v>441</v>
      </c>
      <c r="R54" s="176"/>
      <c r="S54" s="176"/>
      <c r="T54" s="176"/>
      <c r="U54" s="176"/>
      <c r="V54" s="176"/>
      <c r="W54" s="176"/>
      <c r="X54" s="176"/>
      <c r="Y54" s="176"/>
      <c r="Z54" s="176"/>
      <c r="AA54" s="176"/>
    </row>
    <row r="55">
      <c r="A55" s="165" t="str">
        <f>iferror(VLOOKUP(P55,'DO NOT TOUCH Imported'!$A$1:$D$800,4,False),iferror(VLOOKUP(P55,'DO NOT TOUCH Imported'!$C$1:$D$800,2,False),"OOPS FIX ME"))</f>
        <v>Santigs67</v>
      </c>
      <c r="B55" s="165" t="s">
        <v>441</v>
      </c>
      <c r="C55" s="170" t="s">
        <v>1627</v>
      </c>
      <c r="D55" s="236" t="s">
        <v>437</v>
      </c>
      <c r="E55" s="239">
        <v>44274.0</v>
      </c>
      <c r="F55" s="170" t="s">
        <v>439</v>
      </c>
      <c r="G55" s="170">
        <v>15.0</v>
      </c>
      <c r="H55" s="171">
        <v>100.0</v>
      </c>
      <c r="I55" s="171">
        <v>100.0</v>
      </c>
      <c r="J55" s="172">
        <f t="shared" si="2"/>
        <v>0.001076708966</v>
      </c>
      <c r="K55" s="173">
        <f t="shared" si="3"/>
        <v>1.202325011</v>
      </c>
      <c r="L55" s="174">
        <f t="shared" si="4"/>
        <v>37.09538752</v>
      </c>
      <c r="M55" s="175" t="str">
        <f t="shared" si="5"/>
        <v>Santigs67</v>
      </c>
      <c r="N55" s="176">
        <f>IFERROR(__xludf.DUMMYFUNCTION("""COMPUTED_VALUE"""),13.0)</f>
        <v>13</v>
      </c>
      <c r="O55" s="176"/>
      <c r="P55" s="165" t="s">
        <v>576</v>
      </c>
      <c r="Q55" s="165" t="s">
        <v>441</v>
      </c>
      <c r="R55" s="176"/>
      <c r="S55" s="176"/>
      <c r="T55" s="176"/>
      <c r="U55" s="176"/>
      <c r="V55" s="176"/>
      <c r="W55" s="176"/>
      <c r="X55" s="176"/>
      <c r="Y55" s="176"/>
      <c r="Z55" s="176"/>
      <c r="AA55" s="176"/>
    </row>
    <row r="56">
      <c r="A56" s="165" t="str">
        <f>iferror(VLOOKUP(P56,'DO NOT TOUCH Imported'!$A$1:$D$800,4,False),iferror(VLOOKUP(P56,'DO NOT TOUCH Imported'!$C$1:$D$800,2,False),"OOPS FIX ME"))</f>
        <v>Santigs67</v>
      </c>
      <c r="B56" s="165" t="s">
        <v>443</v>
      </c>
      <c r="C56" s="170" t="s">
        <v>1603</v>
      </c>
      <c r="D56" s="236" t="s">
        <v>437</v>
      </c>
      <c r="E56" s="239">
        <v>44277.0</v>
      </c>
      <c r="F56" s="170" t="s">
        <v>439</v>
      </c>
      <c r="G56" s="170">
        <v>15.0</v>
      </c>
      <c r="H56" s="171">
        <v>100.0</v>
      </c>
      <c r="I56" s="171">
        <v>100.0</v>
      </c>
      <c r="J56" s="172">
        <f t="shared" si="2"/>
        <v>0.001076708966</v>
      </c>
      <c r="K56" s="173">
        <f t="shared" si="3"/>
        <v>1.202325011</v>
      </c>
      <c r="L56" s="174">
        <f t="shared" si="4"/>
        <v>37.09538752</v>
      </c>
      <c r="M56" s="175" t="str">
        <f t="shared" si="5"/>
        <v>Santigs67</v>
      </c>
      <c r="N56" s="176">
        <f>IFERROR(__xludf.DUMMYFUNCTION("""COMPUTED_VALUE"""),14.0)</f>
        <v>14</v>
      </c>
      <c r="O56" s="176"/>
      <c r="P56" s="165" t="s">
        <v>576</v>
      </c>
      <c r="Q56" s="165" t="s">
        <v>443</v>
      </c>
      <c r="R56" s="176"/>
      <c r="S56" s="176"/>
      <c r="T56" s="176"/>
      <c r="U56" s="176"/>
      <c r="V56" s="176"/>
      <c r="W56" s="176"/>
      <c r="X56" s="176"/>
      <c r="Y56" s="176"/>
      <c r="Z56" s="176"/>
      <c r="AA56" s="176"/>
    </row>
    <row r="57">
      <c r="A57" s="165" t="str">
        <f>iferror(VLOOKUP(P57,'DO NOT TOUCH Imported'!$A$1:$D$800,4,False),iferror(VLOOKUP(P57,'DO NOT TOUCH Imported'!$C$1:$D$800,2,False),"OOPS FIX ME"))</f>
        <v>Santigs67</v>
      </c>
      <c r="B57" s="165" t="s">
        <v>440</v>
      </c>
      <c r="C57" s="170" t="s">
        <v>1628</v>
      </c>
      <c r="D57" s="236" t="s">
        <v>437</v>
      </c>
      <c r="E57" s="239">
        <v>44277.0</v>
      </c>
      <c r="F57" s="170" t="s">
        <v>439</v>
      </c>
      <c r="G57" s="170">
        <v>15.0</v>
      </c>
      <c r="H57" s="171">
        <v>100.0</v>
      </c>
      <c r="I57" s="171">
        <v>100.0</v>
      </c>
      <c r="J57" s="172">
        <f t="shared" si="2"/>
        <v>0.001076708966</v>
      </c>
      <c r="K57" s="173">
        <f t="shared" si="3"/>
        <v>1.202325011</v>
      </c>
      <c r="L57" s="174">
        <f t="shared" si="4"/>
        <v>37.09538752</v>
      </c>
      <c r="M57" s="175" t="str">
        <f t="shared" si="5"/>
        <v>Santigs67</v>
      </c>
      <c r="N57" s="176">
        <f>IFERROR(__xludf.DUMMYFUNCTION("""COMPUTED_VALUE"""),15.0)</f>
        <v>15</v>
      </c>
      <c r="O57" s="176"/>
      <c r="P57" s="165" t="s">
        <v>576</v>
      </c>
      <c r="Q57" s="165" t="s">
        <v>440</v>
      </c>
      <c r="R57" s="176"/>
      <c r="S57" s="176"/>
      <c r="T57" s="176"/>
      <c r="U57" s="176"/>
      <c r="V57" s="176"/>
      <c r="W57" s="176"/>
      <c r="X57" s="176"/>
      <c r="Y57" s="176"/>
      <c r="Z57" s="176"/>
      <c r="AA57" s="176"/>
    </row>
    <row r="58">
      <c r="A58" s="165" t="str">
        <f>iferror(VLOOKUP(P58,'DO NOT TOUCH Imported'!$A$1:$D$800,4,False),iferror(VLOOKUP(P58,'DO NOT TOUCH Imported'!$C$1:$D$800,2,False),"OOPS FIX ME"))</f>
        <v>Santigs67</v>
      </c>
      <c r="B58" s="165" t="s">
        <v>46</v>
      </c>
      <c r="C58" s="170" t="s">
        <v>1611</v>
      </c>
      <c r="D58" s="236" t="s">
        <v>437</v>
      </c>
      <c r="E58" s="239">
        <v>44280.0</v>
      </c>
      <c r="F58" s="170" t="s">
        <v>439</v>
      </c>
      <c r="G58" s="170">
        <v>15.0</v>
      </c>
      <c r="H58" s="171">
        <v>100.0</v>
      </c>
      <c r="I58" s="171">
        <v>100.0</v>
      </c>
      <c r="J58" s="172">
        <f t="shared" si="2"/>
        <v>0.001076708966</v>
      </c>
      <c r="K58" s="173">
        <f t="shared" si="3"/>
        <v>1.202325011</v>
      </c>
      <c r="L58" s="174">
        <f t="shared" si="4"/>
        <v>37.09538752</v>
      </c>
      <c r="M58" s="175" t="str">
        <f t="shared" si="5"/>
        <v>Santigs67</v>
      </c>
      <c r="N58" s="176">
        <f>IFERROR(__xludf.DUMMYFUNCTION("""COMPUTED_VALUE"""),16.0)</f>
        <v>16</v>
      </c>
      <c r="O58" s="176"/>
      <c r="P58" s="165" t="s">
        <v>576</v>
      </c>
      <c r="Q58" s="165" t="s">
        <v>46</v>
      </c>
      <c r="R58" s="176"/>
      <c r="S58" s="176"/>
      <c r="T58" s="176"/>
      <c r="U58" s="176"/>
      <c r="V58" s="176"/>
      <c r="W58" s="176"/>
      <c r="X58" s="176"/>
      <c r="Y58" s="176"/>
      <c r="Z58" s="176"/>
      <c r="AA58" s="176"/>
    </row>
    <row r="59">
      <c r="A59" s="165" t="str">
        <f>iferror(VLOOKUP(P59,'DO NOT TOUCH Imported'!$A$1:$D$800,4,False),iferror(VLOOKUP(P59,'DO NOT TOUCH Imported'!$C$1:$D$800,2,False),"OOPS FIX ME"))</f>
        <v>Santigs67</v>
      </c>
      <c r="B59" s="249" t="s">
        <v>590</v>
      </c>
      <c r="C59" s="250" t="s">
        <v>1608</v>
      </c>
      <c r="D59" s="236" t="s">
        <v>1584</v>
      </c>
      <c r="E59" s="251">
        <v>44271.0</v>
      </c>
      <c r="F59" s="219" t="s">
        <v>496</v>
      </c>
      <c r="G59" s="170">
        <v>25.0</v>
      </c>
      <c r="H59" s="171">
        <v>100.0</v>
      </c>
      <c r="I59" s="171">
        <v>100.0</v>
      </c>
      <c r="J59" s="172">
        <f t="shared" si="2"/>
        <v>0.001234425234</v>
      </c>
      <c r="K59" s="173">
        <f t="shared" si="3"/>
        <v>1.378441511</v>
      </c>
      <c r="L59" s="174">
        <f t="shared" si="4"/>
        <v>37.09538752</v>
      </c>
      <c r="M59" s="175" t="str">
        <f t="shared" si="5"/>
        <v>Santigs67</v>
      </c>
      <c r="N59" s="176">
        <f>IFERROR(__xludf.DUMMYFUNCTION("""COMPUTED_VALUE"""),17.0)</f>
        <v>17</v>
      </c>
      <c r="O59" s="176"/>
      <c r="P59" s="249" t="s">
        <v>4</v>
      </c>
      <c r="Q59" s="249" t="s">
        <v>590</v>
      </c>
      <c r="R59" s="176"/>
      <c r="S59" s="176"/>
      <c r="T59" s="176"/>
      <c r="U59" s="176"/>
      <c r="V59" s="176"/>
      <c r="W59" s="176"/>
      <c r="X59" s="176"/>
      <c r="Y59" s="176"/>
      <c r="Z59" s="176"/>
      <c r="AA59" s="176"/>
    </row>
    <row r="60">
      <c r="A60" s="165" t="str">
        <f>iferror(VLOOKUP(P60,'DO NOT TOUCH Imported'!$A$1:$D$800,4,False),iferror(VLOOKUP(P60,'DO NOT TOUCH Imported'!$C$1:$D$800,2,False),"OOPS FIX ME"))</f>
        <v>Santigs67</v>
      </c>
      <c r="B60" s="165" t="s">
        <v>441</v>
      </c>
      <c r="C60" s="170" t="s">
        <v>1612</v>
      </c>
      <c r="D60" s="236" t="s">
        <v>437</v>
      </c>
      <c r="E60" s="239">
        <v>44281.0</v>
      </c>
      <c r="F60" s="170" t="s">
        <v>439</v>
      </c>
      <c r="G60" s="170">
        <v>15.0</v>
      </c>
      <c r="H60" s="171">
        <v>80.0</v>
      </c>
      <c r="I60" s="171">
        <v>100.0</v>
      </c>
      <c r="J60" s="172">
        <f t="shared" si="2"/>
        <v>0.0009928040298</v>
      </c>
      <c r="K60" s="173">
        <f t="shared" si="3"/>
        <v>1.108631167</v>
      </c>
      <c r="L60" s="174">
        <f t="shared" si="4"/>
        <v>37.09538752</v>
      </c>
      <c r="M60" s="175" t="str">
        <f t="shared" si="5"/>
        <v>Santigs67</v>
      </c>
      <c r="N60" s="176">
        <f>IFERROR(__xludf.DUMMYFUNCTION("""COMPUTED_VALUE"""),18.0)</f>
        <v>18</v>
      </c>
      <c r="O60" s="176"/>
      <c r="P60" s="165" t="s">
        <v>576</v>
      </c>
      <c r="Q60" s="165" t="s">
        <v>441</v>
      </c>
      <c r="R60" s="176"/>
      <c r="S60" s="176"/>
      <c r="T60" s="176"/>
      <c r="U60" s="176"/>
      <c r="V60" s="176"/>
      <c r="W60" s="176"/>
      <c r="X60" s="176"/>
      <c r="Y60" s="176"/>
      <c r="Z60" s="176"/>
      <c r="AA60" s="176"/>
    </row>
    <row r="61">
      <c r="A61" s="165" t="str">
        <f>iferror(VLOOKUP(P61,'DO NOT TOUCH Imported'!$A$1:$D$800,4,False),iferror(VLOOKUP(P61,'DO NOT TOUCH Imported'!$C$1:$D$800,2,False),"OOPS FIX ME"))</f>
        <v>Santigs67</v>
      </c>
      <c r="B61" s="165" t="s">
        <v>576</v>
      </c>
      <c r="C61" s="170" t="s">
        <v>1613</v>
      </c>
      <c r="D61" s="236" t="s">
        <v>437</v>
      </c>
      <c r="E61" s="239">
        <v>44274.0</v>
      </c>
      <c r="F61" s="170" t="s">
        <v>439</v>
      </c>
      <c r="G61" s="170">
        <v>15.0</v>
      </c>
      <c r="H61" s="171">
        <v>70.0</v>
      </c>
      <c r="I61" s="171">
        <v>100.0</v>
      </c>
      <c r="J61" s="172">
        <f t="shared" si="2"/>
        <v>0.000950851562</v>
      </c>
      <c r="K61" s="173">
        <f t="shared" si="3"/>
        <v>1.061784244</v>
      </c>
      <c r="L61" s="174">
        <f t="shared" si="4"/>
        <v>37.09538752</v>
      </c>
      <c r="M61" s="175" t="str">
        <f t="shared" si="5"/>
        <v>Santigs67</v>
      </c>
      <c r="N61" s="176">
        <f>IFERROR(__xludf.DUMMYFUNCTION("""COMPUTED_VALUE"""),19.0)</f>
        <v>19</v>
      </c>
      <c r="O61" s="176"/>
      <c r="P61" s="165" t="s">
        <v>576</v>
      </c>
      <c r="Q61" s="165" t="s">
        <v>576</v>
      </c>
      <c r="R61" s="176"/>
      <c r="S61" s="176"/>
      <c r="T61" s="176"/>
      <c r="U61" s="176"/>
      <c r="V61" s="176"/>
      <c r="W61" s="176"/>
      <c r="X61" s="176"/>
      <c r="Y61" s="176"/>
      <c r="Z61" s="176"/>
      <c r="AA61" s="176"/>
    </row>
    <row r="62">
      <c r="A62" s="165" t="str">
        <f>iferror(VLOOKUP(P62,'DO NOT TOUCH Imported'!$A$1:$D$800,4,False),iferror(VLOOKUP(P62,'DO NOT TOUCH Imported'!$C$1:$D$800,2,False),"OOPS FIX ME"))</f>
        <v>Santigs67</v>
      </c>
      <c r="B62" s="165" t="s">
        <v>576</v>
      </c>
      <c r="C62" s="170" t="s">
        <v>1615</v>
      </c>
      <c r="D62" s="236" t="s">
        <v>437</v>
      </c>
      <c r="E62" s="239">
        <v>44281.0</v>
      </c>
      <c r="F62" s="170" t="s">
        <v>439</v>
      </c>
      <c r="G62" s="170">
        <v>15.0</v>
      </c>
      <c r="H62" s="171">
        <v>70.0</v>
      </c>
      <c r="I62" s="171">
        <v>100.0</v>
      </c>
      <c r="J62" s="172">
        <f t="shared" si="2"/>
        <v>0.000950851562</v>
      </c>
      <c r="K62" s="173">
        <f t="shared" si="3"/>
        <v>1.061784244</v>
      </c>
      <c r="L62" s="174">
        <f t="shared" si="4"/>
        <v>37.09538752</v>
      </c>
      <c r="M62" s="175" t="str">
        <f t="shared" si="5"/>
        <v>Santigs67</v>
      </c>
      <c r="N62" s="176">
        <f>IFERROR(__xludf.DUMMYFUNCTION("""COMPUTED_VALUE"""),20.0)</f>
        <v>20</v>
      </c>
      <c r="O62" s="176"/>
      <c r="P62" s="165" t="s">
        <v>576</v>
      </c>
      <c r="Q62" s="165" t="s">
        <v>576</v>
      </c>
      <c r="R62" s="176"/>
      <c r="S62" s="176"/>
      <c r="T62" s="176"/>
      <c r="U62" s="176"/>
      <c r="V62" s="176"/>
      <c r="W62" s="176"/>
      <c r="X62" s="176"/>
      <c r="Y62" s="176"/>
      <c r="Z62" s="176"/>
      <c r="AA62" s="176"/>
    </row>
    <row r="63">
      <c r="A63" s="165" t="str">
        <f>iferror(VLOOKUP(P63,'DO NOT TOUCH Imported'!$A$1:$D$800,4,False),iferror(VLOOKUP(P63,'DO NOT TOUCH Imported'!$C$1:$D$800,2,False),"OOPS FIX ME"))</f>
        <v>Santigs67</v>
      </c>
      <c r="B63" s="165" t="s">
        <v>443</v>
      </c>
      <c r="C63" s="170" t="s">
        <v>1616</v>
      </c>
      <c r="D63" s="236" t="s">
        <v>437</v>
      </c>
      <c r="E63" s="239">
        <v>44280.0</v>
      </c>
      <c r="F63" s="170" t="s">
        <v>439</v>
      </c>
      <c r="G63" s="170">
        <v>5.0</v>
      </c>
      <c r="H63" s="171">
        <v>100.0</v>
      </c>
      <c r="I63" s="171">
        <v>100.0</v>
      </c>
      <c r="J63" s="172">
        <f t="shared" si="2"/>
        <v>0.0009189926971</v>
      </c>
      <c r="K63" s="173">
        <f t="shared" si="3"/>
        <v>1.026208512</v>
      </c>
      <c r="L63" s="174">
        <f t="shared" si="4"/>
        <v>37.09538752</v>
      </c>
      <c r="M63" s="175" t="str">
        <f t="shared" si="5"/>
        <v>Santigs67</v>
      </c>
      <c r="N63" s="176">
        <f>IFERROR(__xludf.DUMMYFUNCTION("""COMPUTED_VALUE"""),21.0)</f>
        <v>21</v>
      </c>
      <c r="O63" s="176"/>
      <c r="P63" s="165" t="s">
        <v>576</v>
      </c>
      <c r="Q63" s="165" t="s">
        <v>443</v>
      </c>
      <c r="R63" s="176"/>
      <c r="S63" s="176"/>
      <c r="T63" s="176"/>
      <c r="U63" s="176"/>
      <c r="V63" s="176"/>
      <c r="W63" s="176"/>
      <c r="X63" s="176"/>
      <c r="Y63" s="176"/>
      <c r="Z63" s="176"/>
      <c r="AA63" s="176"/>
    </row>
    <row r="64">
      <c r="A64" s="165" t="str">
        <f>iferror(VLOOKUP(P64,'DO NOT TOUCH Imported'!$A$1:$D$800,4,False),iferror(VLOOKUP(P64,'DO NOT TOUCH Imported'!$C$1:$D$800,2,False),"OOPS FIX ME"))</f>
        <v>Santigs67</v>
      </c>
      <c r="B64" s="249" t="s">
        <v>18</v>
      </c>
      <c r="C64" s="250" t="s">
        <v>1617</v>
      </c>
      <c r="D64" s="236" t="s">
        <v>1584</v>
      </c>
      <c r="E64" s="251">
        <v>44273.0</v>
      </c>
      <c r="F64" s="219" t="s">
        <v>496</v>
      </c>
      <c r="G64" s="170">
        <v>15.0</v>
      </c>
      <c r="H64" s="171">
        <v>60.0</v>
      </c>
      <c r="I64" s="171">
        <v>100.0</v>
      </c>
      <c r="J64" s="172">
        <f t="shared" si="2"/>
        <v>0.0009088990941</v>
      </c>
      <c r="K64" s="173">
        <f t="shared" si="3"/>
        <v>1.014937322</v>
      </c>
      <c r="L64" s="174">
        <f t="shared" si="4"/>
        <v>37.09538752</v>
      </c>
      <c r="M64" s="175" t="str">
        <f t="shared" si="5"/>
        <v>Santigs67</v>
      </c>
      <c r="N64" s="176">
        <f>IFERROR(__xludf.DUMMYFUNCTION("""COMPUTED_VALUE"""),22.0)</f>
        <v>22</v>
      </c>
      <c r="O64" s="176"/>
      <c r="P64" s="249" t="s">
        <v>4</v>
      </c>
      <c r="Q64" s="249" t="s">
        <v>18</v>
      </c>
      <c r="R64" s="176"/>
      <c r="S64" s="176"/>
      <c r="T64" s="176"/>
      <c r="U64" s="176"/>
      <c r="V64" s="176"/>
      <c r="W64" s="176"/>
      <c r="X64" s="176"/>
      <c r="Y64" s="176"/>
      <c r="Z64" s="176"/>
      <c r="AA64" s="176"/>
    </row>
    <row r="65">
      <c r="A65" s="165" t="str">
        <f>iferror(VLOOKUP(P65,'DO NOT TOUCH Imported'!$A$1:$D$800,4,False),iferror(VLOOKUP(P65,'DO NOT TOUCH Imported'!$C$1:$D$800,2,False),"OOPS FIX ME"))</f>
        <v>Santigs67</v>
      </c>
      <c r="B65" s="249" t="s">
        <v>10</v>
      </c>
      <c r="C65" s="250" t="s">
        <v>498</v>
      </c>
      <c r="D65" s="236" t="s">
        <v>1584</v>
      </c>
      <c r="E65" s="251">
        <v>44274.0</v>
      </c>
      <c r="F65" s="219" t="s">
        <v>499</v>
      </c>
      <c r="G65" s="170">
        <v>15.0</v>
      </c>
      <c r="H65" s="171">
        <v>25.0</v>
      </c>
      <c r="I65" s="171">
        <v>100.0</v>
      </c>
      <c r="J65" s="172">
        <f t="shared" si="2"/>
        <v>0.0007620654566</v>
      </c>
      <c r="K65" s="173">
        <f t="shared" si="3"/>
        <v>0.8509730932</v>
      </c>
      <c r="L65" s="174">
        <f t="shared" si="4"/>
        <v>37.09538752</v>
      </c>
      <c r="M65" s="175" t="str">
        <f t="shared" si="5"/>
        <v>Santigs67</v>
      </c>
      <c r="N65" s="176">
        <f>IFERROR(__xludf.DUMMYFUNCTION("""COMPUTED_VALUE"""),23.0)</f>
        <v>23</v>
      </c>
      <c r="O65" s="176"/>
      <c r="P65" s="249" t="s">
        <v>4</v>
      </c>
      <c r="Q65" s="249" t="s">
        <v>10</v>
      </c>
      <c r="R65" s="176"/>
      <c r="S65" s="176"/>
      <c r="T65" s="176"/>
      <c r="U65" s="176"/>
      <c r="V65" s="176"/>
      <c r="W65" s="176"/>
      <c r="X65" s="176"/>
      <c r="Y65" s="176"/>
      <c r="Z65" s="176"/>
      <c r="AA65" s="176"/>
    </row>
    <row r="66">
      <c r="A66" s="165" t="str">
        <f>iferror(VLOOKUP(P66,'DO NOT TOUCH Imported'!$A$1:$D$800,4,False),iferror(VLOOKUP(P66,'DO NOT TOUCH Imported'!$C$1:$D$800,2,False),"OOPS FIX ME"))</f>
        <v>Santigs67</v>
      </c>
      <c r="B66" s="249" t="s">
        <v>10</v>
      </c>
      <c r="C66" s="250" t="s">
        <v>500</v>
      </c>
      <c r="D66" s="236" t="s">
        <v>1584</v>
      </c>
      <c r="E66" s="251">
        <v>44275.0</v>
      </c>
      <c r="F66" s="219" t="s">
        <v>496</v>
      </c>
      <c r="G66" s="170">
        <v>15.0</v>
      </c>
      <c r="H66" s="171">
        <v>25.0</v>
      </c>
      <c r="I66" s="171">
        <v>100.0</v>
      </c>
      <c r="J66" s="172">
        <f t="shared" si="2"/>
        <v>0.0007620654566</v>
      </c>
      <c r="K66" s="173">
        <f t="shared" si="3"/>
        <v>0.8509730932</v>
      </c>
      <c r="L66" s="174">
        <f t="shared" si="4"/>
        <v>37.09538752</v>
      </c>
      <c r="M66" s="175" t="str">
        <f t="shared" si="5"/>
        <v>Santigs67</v>
      </c>
      <c r="N66" s="176">
        <f>IFERROR(__xludf.DUMMYFUNCTION("""COMPUTED_VALUE"""),24.0)</f>
        <v>24</v>
      </c>
      <c r="O66" s="176"/>
      <c r="P66" s="249" t="s">
        <v>4</v>
      </c>
      <c r="Q66" s="249" t="s">
        <v>10</v>
      </c>
      <c r="R66" s="176"/>
      <c r="S66" s="176"/>
      <c r="T66" s="176"/>
      <c r="U66" s="176"/>
      <c r="V66" s="176"/>
      <c r="W66" s="176"/>
      <c r="X66" s="176"/>
      <c r="Y66" s="176"/>
      <c r="Z66" s="176"/>
      <c r="AA66" s="176"/>
    </row>
    <row r="67">
      <c r="A67" s="165" t="str">
        <f>iferror(VLOOKUP(P67,'DO NOT TOUCH Imported'!$A$1:$D$800,4,False),iferror(VLOOKUP(P67,'DO NOT TOUCH Imported'!$C$1:$D$800,2,False),"OOPS FIX ME"))</f>
        <v>mateodaza</v>
      </c>
      <c r="B67" s="165" t="s">
        <v>576</v>
      </c>
      <c r="C67" s="170" t="s">
        <v>1629</v>
      </c>
      <c r="D67" s="236" t="s">
        <v>437</v>
      </c>
      <c r="E67" s="239">
        <v>44278.0</v>
      </c>
      <c r="F67" s="170" t="s">
        <v>439</v>
      </c>
      <c r="G67" s="170">
        <v>100.0</v>
      </c>
      <c r="H67" s="171">
        <v>150.0</v>
      </c>
      <c r="I67" s="171">
        <v>400.0</v>
      </c>
      <c r="J67" s="172">
        <f t="shared" si="2"/>
        <v>0.003888889239</v>
      </c>
      <c r="K67" s="173">
        <f t="shared" si="3"/>
        <v>4.342592984</v>
      </c>
      <c r="L67" s="174">
        <f t="shared" si="4"/>
        <v>25.07491014</v>
      </c>
      <c r="M67" s="175" t="str">
        <f t="shared" si="5"/>
        <v>mateodaza</v>
      </c>
      <c r="N67" s="176">
        <f>IFERROR(__xludf.DUMMYFUNCTION("""COMPUTED_VALUE"""),1.0)</f>
        <v>1</v>
      </c>
      <c r="O67" s="176"/>
      <c r="P67" s="165" t="s">
        <v>695</v>
      </c>
      <c r="Q67" s="165" t="s">
        <v>576</v>
      </c>
      <c r="R67" s="176"/>
      <c r="S67" s="176"/>
      <c r="T67" s="176"/>
      <c r="U67" s="176"/>
      <c r="V67" s="176"/>
      <c r="W67" s="176"/>
      <c r="X67" s="176"/>
      <c r="Y67" s="176"/>
      <c r="Z67" s="176"/>
      <c r="AA67" s="176"/>
    </row>
    <row r="68">
      <c r="A68" s="165" t="str">
        <f>iferror(VLOOKUP(P68,'DO NOT TOUCH Imported'!$A$1:$D$800,4,False),iferror(VLOOKUP(P68,'DO NOT TOUCH Imported'!$C$1:$D$800,2,False),"OOPS FIX ME"))</f>
        <v>mateodaza</v>
      </c>
      <c r="B68" s="165" t="s">
        <v>441</v>
      </c>
      <c r="C68" s="170" t="s">
        <v>1622</v>
      </c>
      <c r="D68" s="236" t="s">
        <v>437</v>
      </c>
      <c r="E68" s="239">
        <v>44281.0</v>
      </c>
      <c r="F68" s="170" t="s">
        <v>439</v>
      </c>
      <c r="G68" s="170">
        <v>100.0</v>
      </c>
      <c r="H68" s="171">
        <v>200.0</v>
      </c>
      <c r="I68" s="171">
        <v>100.0</v>
      </c>
      <c r="J68" s="172">
        <f t="shared" si="2"/>
        <v>0.002836821926</v>
      </c>
      <c r="K68" s="173">
        <f t="shared" si="3"/>
        <v>3.167784484</v>
      </c>
      <c r="L68" s="174">
        <f t="shared" si="4"/>
        <v>25.07491014</v>
      </c>
      <c r="M68" s="175" t="str">
        <f t="shared" si="5"/>
        <v>mateodaza</v>
      </c>
      <c r="N68" s="176">
        <f>IFERROR(__xludf.DUMMYFUNCTION("""COMPUTED_VALUE"""),2.0)</f>
        <v>2</v>
      </c>
      <c r="O68" s="176"/>
      <c r="P68" s="165" t="s">
        <v>695</v>
      </c>
      <c r="Q68" s="165" t="s">
        <v>441</v>
      </c>
      <c r="R68" s="176"/>
      <c r="S68" s="176"/>
      <c r="T68" s="176"/>
      <c r="U68" s="176"/>
      <c r="V68" s="176"/>
      <c r="W68" s="176"/>
      <c r="X68" s="176"/>
      <c r="Y68" s="176"/>
      <c r="Z68" s="176"/>
      <c r="AA68" s="176"/>
    </row>
    <row r="69">
      <c r="A69" s="165" t="str">
        <f>iferror(VLOOKUP(P69,'DO NOT TOUCH Imported'!$A$1:$D$800,4,False),iferror(VLOOKUP(P69,'DO NOT TOUCH Imported'!$C$1:$D$800,2,False),"OOPS FIX ME"))</f>
        <v>mateodaza</v>
      </c>
      <c r="B69" s="165" t="s">
        <v>441</v>
      </c>
      <c r="C69" s="170" t="s">
        <v>1630</v>
      </c>
      <c r="D69" s="236" t="s">
        <v>437</v>
      </c>
      <c r="E69" s="239">
        <v>44274.0</v>
      </c>
      <c r="F69" s="170" t="s">
        <v>439</v>
      </c>
      <c r="G69" s="170">
        <v>25.0</v>
      </c>
      <c r="H69" s="171">
        <v>200.0</v>
      </c>
      <c r="I69" s="171">
        <v>100.0</v>
      </c>
      <c r="J69" s="172">
        <f t="shared" si="2"/>
        <v>0.001653949912</v>
      </c>
      <c r="K69" s="173">
        <f t="shared" si="3"/>
        <v>1.846910736</v>
      </c>
      <c r="L69" s="174">
        <f t="shared" si="4"/>
        <v>25.07491014</v>
      </c>
      <c r="M69" s="175" t="str">
        <f t="shared" si="5"/>
        <v>mateodaza</v>
      </c>
      <c r="N69" s="176">
        <f>IFERROR(__xludf.DUMMYFUNCTION("""COMPUTED_VALUE"""),3.0)</f>
        <v>3</v>
      </c>
      <c r="O69" s="176"/>
      <c r="P69" s="165" t="s">
        <v>695</v>
      </c>
      <c r="Q69" s="165" t="s">
        <v>441</v>
      </c>
      <c r="R69" s="176"/>
      <c r="S69" s="176"/>
      <c r="T69" s="176"/>
      <c r="U69" s="176"/>
      <c r="V69" s="176"/>
      <c r="W69" s="176"/>
      <c r="X69" s="176"/>
      <c r="Y69" s="176"/>
      <c r="Z69" s="176"/>
      <c r="AA69" s="176"/>
    </row>
    <row r="70">
      <c r="A70" s="165" t="str">
        <f>iferror(VLOOKUP(P70,'DO NOT TOUCH Imported'!$A$1:$D$800,4,False),iferror(VLOOKUP(P70,'DO NOT TOUCH Imported'!$C$1:$D$800,2,False),"OOPS FIX ME"))</f>
        <v>mateodaza</v>
      </c>
      <c r="B70" s="165" t="s">
        <v>441</v>
      </c>
      <c r="C70" s="170" t="s">
        <v>1631</v>
      </c>
      <c r="D70" s="236" t="s">
        <v>437</v>
      </c>
      <c r="E70" s="239">
        <v>44281.0</v>
      </c>
      <c r="F70" s="170" t="s">
        <v>439</v>
      </c>
      <c r="G70" s="170">
        <v>25.0</v>
      </c>
      <c r="H70" s="171">
        <v>200.0</v>
      </c>
      <c r="I70" s="171">
        <v>100.0</v>
      </c>
      <c r="J70" s="172">
        <f t="shared" si="2"/>
        <v>0.001653949912</v>
      </c>
      <c r="K70" s="173">
        <f t="shared" si="3"/>
        <v>1.846910736</v>
      </c>
      <c r="L70" s="174">
        <f t="shared" si="4"/>
        <v>25.07491014</v>
      </c>
      <c r="M70" s="175" t="str">
        <f t="shared" si="5"/>
        <v>mateodaza</v>
      </c>
      <c r="N70" s="176">
        <f>IFERROR(__xludf.DUMMYFUNCTION("""COMPUTED_VALUE"""),4.0)</f>
        <v>4</v>
      </c>
      <c r="O70" s="176"/>
      <c r="P70" s="165" t="s">
        <v>695</v>
      </c>
      <c r="Q70" s="165" t="s">
        <v>441</v>
      </c>
      <c r="R70" s="176"/>
      <c r="S70" s="176"/>
      <c r="T70" s="176"/>
      <c r="U70" s="176"/>
      <c r="V70" s="176"/>
      <c r="W70" s="176"/>
      <c r="X70" s="176"/>
      <c r="Y70" s="176"/>
      <c r="Z70" s="176"/>
      <c r="AA70" s="176"/>
    </row>
    <row r="71">
      <c r="A71" s="165" t="str">
        <f>iferror(VLOOKUP(P71,'DO NOT TOUCH Imported'!$A$1:$D$800,4,False),iferror(VLOOKUP(P71,'DO NOT TOUCH Imported'!$C$1:$D$800,2,False),"OOPS FIX ME"))</f>
        <v>mateodaza</v>
      </c>
      <c r="B71" s="165" t="s">
        <v>519</v>
      </c>
      <c r="C71" s="170" t="s">
        <v>1632</v>
      </c>
      <c r="D71" s="236" t="s">
        <v>1584</v>
      </c>
      <c r="E71" s="239">
        <v>44281.0</v>
      </c>
      <c r="F71" s="170" t="s">
        <v>496</v>
      </c>
      <c r="G71" s="170">
        <v>50.0</v>
      </c>
      <c r="H71" s="171">
        <v>100.0</v>
      </c>
      <c r="I71" s="171">
        <v>100.0</v>
      </c>
      <c r="J71" s="172">
        <f t="shared" si="2"/>
        <v>0.001628715905</v>
      </c>
      <c r="K71" s="173">
        <f t="shared" si="3"/>
        <v>1.818732761</v>
      </c>
      <c r="L71" s="174">
        <f t="shared" si="4"/>
        <v>25.07491014</v>
      </c>
      <c r="M71" s="175" t="str">
        <f t="shared" si="5"/>
        <v>mateodaza</v>
      </c>
      <c r="N71" s="176">
        <f>IFERROR(__xludf.DUMMYFUNCTION("""COMPUTED_VALUE"""),5.0)</f>
        <v>5</v>
      </c>
      <c r="O71" s="176"/>
      <c r="P71" s="165" t="s">
        <v>11</v>
      </c>
      <c r="Q71" s="165" t="s">
        <v>519</v>
      </c>
      <c r="R71" s="176"/>
      <c r="S71" s="176"/>
      <c r="T71" s="176"/>
      <c r="U71" s="176"/>
      <c r="V71" s="176"/>
      <c r="W71" s="176"/>
      <c r="X71" s="176"/>
      <c r="Y71" s="176"/>
      <c r="Z71" s="176"/>
      <c r="AA71" s="176"/>
    </row>
    <row r="72">
      <c r="A72" s="165" t="str">
        <f>iferror(VLOOKUP(P72,'DO NOT TOUCH Imported'!$A$1:$D$800,4,False),iferror(VLOOKUP(P72,'DO NOT TOUCH Imported'!$C$1:$D$800,2,False),"OOPS FIX ME"))</f>
        <v>mateodaza</v>
      </c>
      <c r="B72" s="165" t="s">
        <v>443</v>
      </c>
      <c r="C72" s="170" t="s">
        <v>1590</v>
      </c>
      <c r="D72" s="236" t="s">
        <v>437</v>
      </c>
      <c r="E72" s="239">
        <v>44273.0</v>
      </c>
      <c r="F72" s="170" t="s">
        <v>439</v>
      </c>
      <c r="G72" s="170">
        <v>45.0</v>
      </c>
      <c r="H72" s="171">
        <v>100.0</v>
      </c>
      <c r="I72" s="171">
        <v>100.0</v>
      </c>
      <c r="J72" s="172">
        <f t="shared" si="2"/>
        <v>0.001549857771</v>
      </c>
      <c r="K72" s="173">
        <f t="shared" si="3"/>
        <v>1.730674511</v>
      </c>
      <c r="L72" s="174">
        <f t="shared" si="4"/>
        <v>25.07491014</v>
      </c>
      <c r="M72" s="175" t="str">
        <f t="shared" si="5"/>
        <v>mateodaza</v>
      </c>
      <c r="N72" s="176">
        <f>IFERROR(__xludf.DUMMYFUNCTION("""COMPUTED_VALUE"""),6.0)</f>
        <v>6</v>
      </c>
      <c r="O72" s="176"/>
      <c r="P72" s="165" t="s">
        <v>695</v>
      </c>
      <c r="Q72" s="165" t="s">
        <v>443</v>
      </c>
      <c r="R72" s="176"/>
      <c r="S72" s="176"/>
      <c r="T72" s="176"/>
      <c r="U72" s="176"/>
      <c r="V72" s="176"/>
      <c r="W72" s="176"/>
      <c r="X72" s="176"/>
      <c r="Y72" s="176"/>
      <c r="Z72" s="176"/>
      <c r="AA72" s="176"/>
    </row>
    <row r="73">
      <c r="A73" s="165" t="str">
        <f>iferror(VLOOKUP(P73,'DO NOT TOUCH Imported'!$A$1:$D$800,4,False),iferror(VLOOKUP(P73,'DO NOT TOUCH Imported'!$C$1:$D$800,2,False),"OOPS FIX ME"))</f>
        <v>mateodaza</v>
      </c>
      <c r="B73" s="165" t="s">
        <v>441</v>
      </c>
      <c r="C73" s="170" t="s">
        <v>1624</v>
      </c>
      <c r="D73" s="236" t="s">
        <v>437</v>
      </c>
      <c r="E73" s="239">
        <v>44274.0</v>
      </c>
      <c r="F73" s="170" t="s">
        <v>439</v>
      </c>
      <c r="G73" s="170">
        <v>15.0</v>
      </c>
      <c r="H73" s="171">
        <v>200.0</v>
      </c>
      <c r="I73" s="171">
        <v>100.0</v>
      </c>
      <c r="J73" s="172">
        <f t="shared" si="2"/>
        <v>0.001496233644</v>
      </c>
      <c r="K73" s="173">
        <f t="shared" si="3"/>
        <v>1.670794236</v>
      </c>
      <c r="L73" s="174">
        <f t="shared" si="4"/>
        <v>25.07491014</v>
      </c>
      <c r="M73" s="175" t="str">
        <f t="shared" si="5"/>
        <v>mateodaza</v>
      </c>
      <c r="N73" s="176">
        <f>IFERROR(__xludf.DUMMYFUNCTION("""COMPUTED_VALUE"""),7.0)</f>
        <v>7</v>
      </c>
      <c r="O73" s="176"/>
      <c r="P73" s="165" t="s">
        <v>695</v>
      </c>
      <c r="Q73" s="165" t="s">
        <v>441</v>
      </c>
      <c r="R73" s="176"/>
      <c r="S73" s="176"/>
      <c r="T73" s="176"/>
      <c r="U73" s="176"/>
      <c r="V73" s="176"/>
      <c r="W73" s="176"/>
      <c r="X73" s="176"/>
      <c r="Y73" s="176"/>
      <c r="Z73" s="176"/>
      <c r="AA73" s="176"/>
    </row>
    <row r="74">
      <c r="A74" s="165" t="str">
        <f>iferror(VLOOKUP(P74,'DO NOT TOUCH Imported'!$A$1:$D$800,4,False),iferror(VLOOKUP(P74,'DO NOT TOUCH Imported'!$C$1:$D$800,2,False),"OOPS FIX ME"))</f>
        <v>mateodaza</v>
      </c>
      <c r="B74" s="165" t="s">
        <v>441</v>
      </c>
      <c r="C74" s="170" t="s">
        <v>1591</v>
      </c>
      <c r="D74" s="236" t="s">
        <v>437</v>
      </c>
      <c r="E74" s="239">
        <v>44274.0</v>
      </c>
      <c r="F74" s="170" t="s">
        <v>439</v>
      </c>
      <c r="G74" s="170">
        <v>15.0</v>
      </c>
      <c r="H74" s="171">
        <v>200.0</v>
      </c>
      <c r="I74" s="171">
        <v>100.0</v>
      </c>
      <c r="J74" s="172">
        <f t="shared" si="2"/>
        <v>0.001496233644</v>
      </c>
      <c r="K74" s="173">
        <f t="shared" si="3"/>
        <v>1.670794236</v>
      </c>
      <c r="L74" s="174">
        <f t="shared" si="4"/>
        <v>25.07491014</v>
      </c>
      <c r="M74" s="175" t="str">
        <f t="shared" si="5"/>
        <v>mateodaza</v>
      </c>
      <c r="N74" s="176">
        <f>IFERROR(__xludf.DUMMYFUNCTION("""COMPUTED_VALUE"""),8.0)</f>
        <v>8</v>
      </c>
      <c r="O74" s="176"/>
      <c r="P74" s="165" t="s">
        <v>695</v>
      </c>
      <c r="Q74" s="165" t="s">
        <v>441</v>
      </c>
      <c r="R74" s="176"/>
      <c r="S74" s="176"/>
      <c r="T74" s="176"/>
      <c r="U74" s="176"/>
      <c r="V74" s="176"/>
      <c r="W74" s="176"/>
      <c r="X74" s="176"/>
      <c r="Y74" s="176"/>
      <c r="Z74" s="176"/>
      <c r="AA74" s="176"/>
    </row>
    <row r="75">
      <c r="A75" s="165" t="str">
        <f>iferror(VLOOKUP(P75,'DO NOT TOUCH Imported'!$A$1:$D$800,4,False),iferror(VLOOKUP(P75,'DO NOT TOUCH Imported'!$C$1:$D$800,2,False),"OOPS FIX ME"))</f>
        <v>mateodaza</v>
      </c>
      <c r="B75" s="165" t="s">
        <v>441</v>
      </c>
      <c r="C75" s="170" t="s">
        <v>1593</v>
      </c>
      <c r="D75" s="236" t="s">
        <v>437</v>
      </c>
      <c r="E75" s="239">
        <v>44274.0</v>
      </c>
      <c r="F75" s="170" t="s">
        <v>439</v>
      </c>
      <c r="G75" s="170">
        <v>25.0</v>
      </c>
      <c r="H75" s="171">
        <v>150.0</v>
      </c>
      <c r="I75" s="171">
        <v>100.0</v>
      </c>
      <c r="J75" s="172">
        <f t="shared" si="2"/>
        <v>0.001444187573</v>
      </c>
      <c r="K75" s="173">
        <f t="shared" si="3"/>
        <v>1.612676123</v>
      </c>
      <c r="L75" s="174">
        <f t="shared" si="4"/>
        <v>25.07491014</v>
      </c>
      <c r="M75" s="175" t="str">
        <f t="shared" si="5"/>
        <v>mateodaza</v>
      </c>
      <c r="N75" s="176">
        <f>IFERROR(__xludf.DUMMYFUNCTION("""COMPUTED_VALUE"""),9.0)</f>
        <v>9</v>
      </c>
      <c r="O75" s="176"/>
      <c r="P75" s="165" t="s">
        <v>695</v>
      </c>
      <c r="Q75" s="165" t="s">
        <v>441</v>
      </c>
      <c r="R75" s="176"/>
      <c r="S75" s="176"/>
      <c r="T75" s="176"/>
      <c r="U75" s="176"/>
      <c r="V75" s="176"/>
      <c r="W75" s="176"/>
      <c r="X75" s="176"/>
      <c r="Y75" s="176"/>
      <c r="Z75" s="176"/>
      <c r="AA75" s="176"/>
    </row>
    <row r="76">
      <c r="A76" s="165" t="str">
        <f>iferror(VLOOKUP(P76,'DO NOT TOUCH Imported'!$A$1:$D$800,4,False),iferror(VLOOKUP(P76,'DO NOT TOUCH Imported'!$C$1:$D$800,2,False),"OOPS FIX ME"))</f>
        <v>mateodaza</v>
      </c>
      <c r="B76" s="165" t="s">
        <v>443</v>
      </c>
      <c r="C76" s="170" t="s">
        <v>1603</v>
      </c>
      <c r="D76" s="236" t="s">
        <v>437</v>
      </c>
      <c r="E76" s="239">
        <v>44277.0</v>
      </c>
      <c r="F76" s="170" t="s">
        <v>439</v>
      </c>
      <c r="G76" s="170">
        <v>15.0</v>
      </c>
      <c r="H76" s="171">
        <v>100.0</v>
      </c>
      <c r="I76" s="171">
        <v>100.0</v>
      </c>
      <c r="J76" s="172">
        <f t="shared" si="2"/>
        <v>0.001076708966</v>
      </c>
      <c r="K76" s="173">
        <f t="shared" si="3"/>
        <v>1.202325011</v>
      </c>
      <c r="L76" s="174">
        <f t="shared" si="4"/>
        <v>25.07491014</v>
      </c>
      <c r="M76" s="175" t="str">
        <f t="shared" si="5"/>
        <v>mateodaza</v>
      </c>
      <c r="N76" s="176">
        <f>IFERROR(__xludf.DUMMYFUNCTION("""COMPUTED_VALUE"""),10.0)</f>
        <v>10</v>
      </c>
      <c r="O76" s="176"/>
      <c r="P76" s="165" t="s">
        <v>695</v>
      </c>
      <c r="Q76" s="165" t="s">
        <v>443</v>
      </c>
      <c r="R76" s="176"/>
      <c r="S76" s="176"/>
      <c r="T76" s="176"/>
      <c r="U76" s="176"/>
      <c r="V76" s="176"/>
      <c r="W76" s="176"/>
      <c r="X76" s="176"/>
      <c r="Y76" s="176"/>
      <c r="Z76" s="176"/>
      <c r="AA76" s="176"/>
    </row>
    <row r="77">
      <c r="A77" s="165" t="str">
        <f>iferror(VLOOKUP(P77,'DO NOT TOUCH Imported'!$A$1:$D$800,4,False),iferror(VLOOKUP(P77,'DO NOT TOUCH Imported'!$C$1:$D$800,2,False),"OOPS FIX ME"))</f>
        <v>mateodaza</v>
      </c>
      <c r="B77" s="165" t="s">
        <v>46</v>
      </c>
      <c r="C77" s="170" t="s">
        <v>1611</v>
      </c>
      <c r="D77" s="236" t="s">
        <v>437</v>
      </c>
      <c r="E77" s="239">
        <v>44280.0</v>
      </c>
      <c r="F77" s="170" t="s">
        <v>439</v>
      </c>
      <c r="G77" s="170">
        <v>15.0</v>
      </c>
      <c r="H77" s="171">
        <v>80.0</v>
      </c>
      <c r="I77" s="171">
        <v>100.0</v>
      </c>
      <c r="J77" s="172">
        <f t="shared" si="2"/>
        <v>0.0009928040298</v>
      </c>
      <c r="K77" s="173">
        <f t="shared" si="3"/>
        <v>1.108631167</v>
      </c>
      <c r="L77" s="174">
        <f t="shared" si="4"/>
        <v>25.07491014</v>
      </c>
      <c r="M77" s="175" t="str">
        <f t="shared" si="5"/>
        <v>mateodaza</v>
      </c>
      <c r="N77" s="176">
        <f>IFERROR(__xludf.DUMMYFUNCTION("""COMPUTED_VALUE"""),11.0)</f>
        <v>11</v>
      </c>
      <c r="O77" s="176"/>
      <c r="P77" s="165" t="s">
        <v>695</v>
      </c>
      <c r="Q77" s="165" t="s">
        <v>46</v>
      </c>
      <c r="R77" s="176"/>
      <c r="S77" s="176"/>
      <c r="T77" s="176"/>
      <c r="U77" s="176"/>
      <c r="V77" s="176"/>
      <c r="W77" s="176"/>
      <c r="X77" s="176"/>
      <c r="Y77" s="176"/>
      <c r="Z77" s="176"/>
      <c r="AA77" s="176"/>
    </row>
    <row r="78">
      <c r="A78" s="165" t="str">
        <f>iferror(VLOOKUP(P78,'DO NOT TOUCH Imported'!$A$1:$D$800,4,False),iferror(VLOOKUP(P78,'DO NOT TOUCH Imported'!$C$1:$D$800,2,False),"OOPS FIX ME"))</f>
        <v>mateodaza</v>
      </c>
      <c r="B78" s="165" t="s">
        <v>443</v>
      </c>
      <c r="C78" s="170" t="s">
        <v>1616</v>
      </c>
      <c r="D78" s="236" t="s">
        <v>437</v>
      </c>
      <c r="E78" s="239">
        <v>44280.0</v>
      </c>
      <c r="F78" s="170" t="s">
        <v>439</v>
      </c>
      <c r="G78" s="170">
        <v>5.0</v>
      </c>
      <c r="H78" s="171">
        <v>100.0</v>
      </c>
      <c r="I78" s="171">
        <v>100.0</v>
      </c>
      <c r="J78" s="172">
        <f t="shared" si="2"/>
        <v>0.0009189926971</v>
      </c>
      <c r="K78" s="173">
        <f t="shared" si="3"/>
        <v>1.026208512</v>
      </c>
      <c r="L78" s="174">
        <f t="shared" si="4"/>
        <v>25.07491014</v>
      </c>
      <c r="M78" s="175" t="str">
        <f t="shared" si="5"/>
        <v>mateodaza</v>
      </c>
      <c r="N78" s="176">
        <f>IFERROR(__xludf.DUMMYFUNCTION("""COMPUTED_VALUE"""),12.0)</f>
        <v>12</v>
      </c>
      <c r="O78" s="176"/>
      <c r="P78" s="165" t="s">
        <v>695</v>
      </c>
      <c r="Q78" s="165" t="s">
        <v>443</v>
      </c>
      <c r="R78" s="176"/>
      <c r="S78" s="176"/>
      <c r="T78" s="176"/>
      <c r="U78" s="176"/>
      <c r="V78" s="176"/>
      <c r="W78" s="176"/>
      <c r="X78" s="176"/>
      <c r="Y78" s="176"/>
      <c r="Z78" s="176"/>
      <c r="AA78" s="176"/>
    </row>
    <row r="79">
      <c r="A79" s="165" t="str">
        <f>iferror(VLOOKUP(P79,'DO NOT TOUCH Imported'!$A$1:$D$800,4,False),iferror(VLOOKUP(P79,'DO NOT TOUCH Imported'!$C$1:$D$800,2,False),"OOPS FIX ME"))</f>
        <v>mateodaza</v>
      </c>
      <c r="B79" s="249" t="s">
        <v>18</v>
      </c>
      <c r="C79" s="250" t="s">
        <v>1617</v>
      </c>
      <c r="D79" s="236" t="s">
        <v>1584</v>
      </c>
      <c r="E79" s="251">
        <v>44273.0</v>
      </c>
      <c r="F79" s="219" t="s">
        <v>496</v>
      </c>
      <c r="G79" s="170">
        <v>15.0</v>
      </c>
      <c r="H79" s="171">
        <v>60.0</v>
      </c>
      <c r="I79" s="171">
        <v>100.0</v>
      </c>
      <c r="J79" s="172">
        <f t="shared" si="2"/>
        <v>0.0009088990941</v>
      </c>
      <c r="K79" s="173">
        <f t="shared" si="3"/>
        <v>1.014937322</v>
      </c>
      <c r="L79" s="174">
        <f t="shared" si="4"/>
        <v>25.07491014</v>
      </c>
      <c r="M79" s="175" t="str">
        <f t="shared" si="5"/>
        <v>mateodaza</v>
      </c>
      <c r="N79" s="176">
        <f>IFERROR(__xludf.DUMMYFUNCTION("""COMPUTED_VALUE"""),13.0)</f>
        <v>13</v>
      </c>
      <c r="O79" s="176"/>
      <c r="P79" s="249" t="s">
        <v>11</v>
      </c>
      <c r="Q79" s="249" t="s">
        <v>18</v>
      </c>
      <c r="R79" s="176"/>
      <c r="S79" s="176"/>
      <c r="T79" s="176"/>
      <c r="U79" s="176"/>
      <c r="V79" s="176"/>
      <c r="W79" s="176"/>
      <c r="X79" s="176"/>
      <c r="Y79" s="176"/>
      <c r="Z79" s="176"/>
      <c r="AA79" s="176"/>
    </row>
    <row r="80">
      <c r="A80" s="165" t="str">
        <f>iferror(VLOOKUP(P80,'DO NOT TOUCH Imported'!$A$1:$D$800,4,False),iferror(VLOOKUP(P80,'DO NOT TOUCH Imported'!$C$1:$D$800,2,False),"OOPS FIX ME"))</f>
        <v>mateodaza</v>
      </c>
      <c r="B80" s="165" t="s">
        <v>441</v>
      </c>
      <c r="C80" s="170" t="s">
        <v>1620</v>
      </c>
      <c r="D80" s="236" t="s">
        <v>437</v>
      </c>
      <c r="E80" s="239">
        <v>44274.0</v>
      </c>
      <c r="F80" s="170" t="s">
        <v>439</v>
      </c>
      <c r="G80" s="170">
        <v>15.0</v>
      </c>
      <c r="H80" s="171">
        <v>60.0</v>
      </c>
      <c r="I80" s="171">
        <v>100.0</v>
      </c>
      <c r="J80" s="172">
        <f t="shared" si="2"/>
        <v>0.0009088990941</v>
      </c>
      <c r="K80" s="173">
        <f t="shared" si="3"/>
        <v>1.014937322</v>
      </c>
      <c r="L80" s="174">
        <f t="shared" si="4"/>
        <v>25.07491014</v>
      </c>
      <c r="M80" s="175" t="str">
        <f t="shared" si="5"/>
        <v>mateodaza</v>
      </c>
      <c r="N80" s="176">
        <f>IFERROR(__xludf.DUMMYFUNCTION("""COMPUTED_VALUE"""),14.0)</f>
        <v>14</v>
      </c>
      <c r="O80" s="176"/>
      <c r="P80" s="165" t="s">
        <v>695</v>
      </c>
      <c r="Q80" s="165" t="s">
        <v>441</v>
      </c>
      <c r="R80" s="176"/>
      <c r="S80" s="176"/>
      <c r="T80" s="176"/>
      <c r="U80" s="176"/>
      <c r="V80" s="176"/>
      <c r="W80" s="176"/>
      <c r="X80" s="176"/>
      <c r="Y80" s="176"/>
      <c r="Z80" s="176"/>
      <c r="AA80" s="176"/>
    </row>
    <row r="81">
      <c r="A81" s="165" t="str">
        <f>iferror(VLOOKUP(P81,'DO NOT TOUCH Imported'!$A$1:$D$800,4,False),iferror(VLOOKUP(P81,'DO NOT TOUCH Imported'!$C$1:$D$800,2,False),"OOPS FIX ME"))</f>
        <v>Laurenluz</v>
      </c>
      <c r="B81" s="165" t="s">
        <v>441</v>
      </c>
      <c r="C81" s="170" t="s">
        <v>1633</v>
      </c>
      <c r="D81" s="236" t="s">
        <v>437</v>
      </c>
      <c r="E81" s="239">
        <v>44281.0</v>
      </c>
      <c r="F81" s="170" t="s">
        <v>439</v>
      </c>
      <c r="G81" s="170">
        <v>200.0</v>
      </c>
      <c r="H81" s="171">
        <v>70.0</v>
      </c>
      <c r="I81" s="171">
        <v>100.0</v>
      </c>
      <c r="J81" s="172">
        <f t="shared" si="2"/>
        <v>0.003868602528</v>
      </c>
      <c r="K81" s="173">
        <f t="shared" si="3"/>
        <v>4.31993949</v>
      </c>
      <c r="L81" s="174">
        <f t="shared" si="4"/>
        <v>22.36749891</v>
      </c>
      <c r="M81" s="175" t="str">
        <f t="shared" si="5"/>
        <v>Laurenluz</v>
      </c>
      <c r="N81" s="176">
        <f>IFERROR(__xludf.DUMMYFUNCTION("""COMPUTED_VALUE"""),1.0)</f>
        <v>1</v>
      </c>
      <c r="O81" s="176"/>
      <c r="P81" s="165" t="s">
        <v>596</v>
      </c>
      <c r="Q81" s="165" t="s">
        <v>441</v>
      </c>
      <c r="R81" s="176"/>
      <c r="S81" s="176"/>
      <c r="T81" s="176"/>
      <c r="U81" s="176"/>
      <c r="V81" s="176"/>
      <c r="W81" s="176"/>
      <c r="X81" s="176"/>
      <c r="Y81" s="176"/>
      <c r="Z81" s="176"/>
      <c r="AA81" s="176"/>
    </row>
    <row r="82">
      <c r="A82" s="165" t="str">
        <f>iferror(VLOOKUP(P82,'DO NOT TOUCH Imported'!$A$1:$D$800,4,False),iferror(VLOOKUP(P82,'DO NOT TOUCH Imported'!$C$1:$D$800,2,False),"OOPS FIX ME"))</f>
        <v>Laurenluz</v>
      </c>
      <c r="B82" s="165" t="s">
        <v>441</v>
      </c>
      <c r="C82" s="170" t="s">
        <v>1634</v>
      </c>
      <c r="D82" s="236" t="s">
        <v>437</v>
      </c>
      <c r="E82" s="239">
        <v>44281.0</v>
      </c>
      <c r="F82" s="170" t="s">
        <v>439</v>
      </c>
      <c r="G82" s="170">
        <v>50.0</v>
      </c>
      <c r="H82" s="171">
        <v>100.0</v>
      </c>
      <c r="I82" s="171">
        <v>400.0</v>
      </c>
      <c r="J82" s="172">
        <f t="shared" si="2"/>
        <v>0.002890545558</v>
      </c>
      <c r="K82" s="173">
        <f t="shared" si="3"/>
        <v>3.227775873</v>
      </c>
      <c r="L82" s="174">
        <f t="shared" si="4"/>
        <v>22.36749891</v>
      </c>
      <c r="M82" s="175" t="str">
        <f t="shared" si="5"/>
        <v>Laurenluz</v>
      </c>
      <c r="N82" s="176">
        <f>IFERROR(__xludf.DUMMYFUNCTION("""COMPUTED_VALUE"""),2.0)</f>
        <v>2</v>
      </c>
      <c r="O82" s="176"/>
      <c r="P82" s="165" t="s">
        <v>596</v>
      </c>
      <c r="Q82" s="165" t="s">
        <v>441</v>
      </c>
      <c r="R82" s="176"/>
      <c r="S82" s="176"/>
      <c r="T82" s="176"/>
      <c r="U82" s="176"/>
      <c r="V82" s="176"/>
      <c r="W82" s="176"/>
      <c r="X82" s="176"/>
      <c r="Y82" s="176"/>
      <c r="Z82" s="176"/>
      <c r="AA82" s="176"/>
    </row>
    <row r="83">
      <c r="A83" s="165" t="str">
        <f>iferror(VLOOKUP(P83,'DO NOT TOUCH Imported'!$A$1:$D$800,4,False),iferror(VLOOKUP(P83,'DO NOT TOUCH Imported'!$C$1:$D$800,2,False),"OOPS FIX ME"))</f>
        <v>Laurenluz</v>
      </c>
      <c r="B83" s="165" t="s">
        <v>441</v>
      </c>
      <c r="C83" s="170" t="s">
        <v>1635</v>
      </c>
      <c r="D83" s="236" t="s">
        <v>437</v>
      </c>
      <c r="E83" s="239">
        <v>44281.0</v>
      </c>
      <c r="F83" s="170" t="s">
        <v>439</v>
      </c>
      <c r="G83" s="170">
        <v>100.0</v>
      </c>
      <c r="H83" s="171">
        <v>150.0</v>
      </c>
      <c r="I83" s="171">
        <v>100.0</v>
      </c>
      <c r="J83" s="172">
        <f t="shared" si="2"/>
        <v>0.002627059586</v>
      </c>
      <c r="K83" s="173">
        <f t="shared" si="3"/>
        <v>2.933549872</v>
      </c>
      <c r="L83" s="174">
        <f t="shared" si="4"/>
        <v>22.36749891</v>
      </c>
      <c r="M83" s="175" t="str">
        <f t="shared" si="5"/>
        <v>Laurenluz</v>
      </c>
      <c r="N83" s="176">
        <f>IFERROR(__xludf.DUMMYFUNCTION("""COMPUTED_VALUE"""),3.0)</f>
        <v>3</v>
      </c>
      <c r="O83" s="176"/>
      <c r="P83" s="165" t="s">
        <v>596</v>
      </c>
      <c r="Q83" s="165" t="s">
        <v>441</v>
      </c>
      <c r="R83" s="176"/>
      <c r="S83" s="176"/>
      <c r="T83" s="176"/>
      <c r="U83" s="176"/>
      <c r="V83" s="176"/>
      <c r="W83" s="176"/>
      <c r="X83" s="176"/>
      <c r="Y83" s="176"/>
      <c r="Z83" s="176"/>
      <c r="AA83" s="176"/>
    </row>
    <row r="84">
      <c r="A84" s="165" t="str">
        <f>iferror(VLOOKUP(P84,'DO NOT TOUCH Imported'!$A$1:$D$800,4,False),iferror(VLOOKUP(P84,'DO NOT TOUCH Imported'!$C$1:$D$800,2,False),"OOPS FIX ME"))</f>
        <v>Laurenluz</v>
      </c>
      <c r="B84" s="165" t="s">
        <v>519</v>
      </c>
      <c r="C84" s="170" t="s">
        <v>1632</v>
      </c>
      <c r="D84" s="236" t="s">
        <v>1584</v>
      </c>
      <c r="E84" s="239">
        <v>44281.0</v>
      </c>
      <c r="F84" s="170" t="s">
        <v>496</v>
      </c>
      <c r="G84" s="170">
        <v>50.0</v>
      </c>
      <c r="H84" s="171">
        <v>100.0</v>
      </c>
      <c r="I84" s="171">
        <v>100.0</v>
      </c>
      <c r="J84" s="172">
        <f t="shared" si="2"/>
        <v>0.001628715905</v>
      </c>
      <c r="K84" s="173">
        <f t="shared" si="3"/>
        <v>1.818732761</v>
      </c>
      <c r="L84" s="174">
        <f t="shared" si="4"/>
        <v>22.36749891</v>
      </c>
      <c r="M84" s="175" t="str">
        <f t="shared" si="5"/>
        <v>Laurenluz</v>
      </c>
      <c r="N84" s="176">
        <f>IFERROR(__xludf.DUMMYFUNCTION("""COMPUTED_VALUE"""),4.0)</f>
        <v>4</v>
      </c>
      <c r="O84" s="176"/>
      <c r="P84" s="165" t="s">
        <v>23</v>
      </c>
      <c r="Q84" s="165" t="s">
        <v>519</v>
      </c>
      <c r="R84" s="176"/>
      <c r="S84" s="176"/>
      <c r="T84" s="176"/>
      <c r="U84" s="176"/>
      <c r="V84" s="176"/>
      <c r="W84" s="176"/>
      <c r="X84" s="176"/>
      <c r="Y84" s="176"/>
      <c r="Z84" s="176"/>
      <c r="AA84" s="176"/>
    </row>
    <row r="85">
      <c r="A85" s="165" t="str">
        <f>iferror(VLOOKUP(P85,'DO NOT TOUCH Imported'!$A$1:$D$800,4,False),iferror(VLOOKUP(P85,'DO NOT TOUCH Imported'!$C$1:$D$800,2,False),"OOPS FIX ME"))</f>
        <v>Laurenluz</v>
      </c>
      <c r="B85" s="165" t="s">
        <v>441</v>
      </c>
      <c r="C85" s="170" t="s">
        <v>1636</v>
      </c>
      <c r="D85" s="236" t="s">
        <v>437</v>
      </c>
      <c r="E85" s="239">
        <v>44274.0</v>
      </c>
      <c r="F85" s="170" t="s">
        <v>439</v>
      </c>
      <c r="G85" s="170">
        <v>50.0</v>
      </c>
      <c r="H85" s="171">
        <v>100.0</v>
      </c>
      <c r="I85" s="171">
        <v>100.0</v>
      </c>
      <c r="J85" s="172">
        <f t="shared" si="2"/>
        <v>0.001628715905</v>
      </c>
      <c r="K85" s="173">
        <f t="shared" si="3"/>
        <v>1.818732761</v>
      </c>
      <c r="L85" s="174">
        <f t="shared" si="4"/>
        <v>22.36749891</v>
      </c>
      <c r="M85" s="175" t="str">
        <f t="shared" si="5"/>
        <v>Laurenluz</v>
      </c>
      <c r="N85" s="176">
        <f>IFERROR(__xludf.DUMMYFUNCTION("""COMPUTED_VALUE"""),5.0)</f>
        <v>5</v>
      </c>
      <c r="O85" s="176"/>
      <c r="P85" s="165" t="s">
        <v>596</v>
      </c>
      <c r="Q85" s="165" t="s">
        <v>441</v>
      </c>
      <c r="R85" s="176"/>
      <c r="S85" s="176"/>
      <c r="T85" s="176"/>
      <c r="U85" s="176"/>
      <c r="V85" s="176"/>
      <c r="W85" s="176"/>
      <c r="X85" s="176"/>
      <c r="Y85" s="176"/>
      <c r="Z85" s="176"/>
      <c r="AA85" s="176"/>
    </row>
    <row r="86">
      <c r="A86" s="165" t="str">
        <f>iferror(VLOOKUP(P86,'DO NOT TOUCH Imported'!$A$1:$D$800,4,False),iferror(VLOOKUP(P86,'DO NOT TOUCH Imported'!$C$1:$D$800,2,False),"OOPS FIX ME"))</f>
        <v>Laurenluz</v>
      </c>
      <c r="B86" s="249" t="s">
        <v>519</v>
      </c>
      <c r="C86" s="250" t="s">
        <v>1637</v>
      </c>
      <c r="D86" s="236" t="s">
        <v>1584</v>
      </c>
      <c r="E86" s="251">
        <v>44272.0</v>
      </c>
      <c r="F86" s="219" t="s">
        <v>521</v>
      </c>
      <c r="G86" s="170">
        <v>25.0</v>
      </c>
      <c r="H86" s="171">
        <v>60.0</v>
      </c>
      <c r="I86" s="171">
        <v>100.0</v>
      </c>
      <c r="J86" s="172">
        <f t="shared" si="2"/>
        <v>0.001066615363</v>
      </c>
      <c r="K86" s="173">
        <f t="shared" si="3"/>
        <v>1.191053822</v>
      </c>
      <c r="L86" s="174">
        <f t="shared" si="4"/>
        <v>22.36749891</v>
      </c>
      <c r="M86" s="175" t="str">
        <f t="shared" si="5"/>
        <v>Laurenluz</v>
      </c>
      <c r="N86" s="176">
        <f>IFERROR(__xludf.DUMMYFUNCTION("""COMPUTED_VALUE"""),6.0)</f>
        <v>6</v>
      </c>
      <c r="O86" s="176"/>
      <c r="P86" s="249" t="s">
        <v>23</v>
      </c>
      <c r="Q86" s="249" t="s">
        <v>519</v>
      </c>
      <c r="R86" s="176"/>
      <c r="S86" s="176"/>
      <c r="T86" s="176"/>
      <c r="U86" s="176"/>
      <c r="V86" s="176"/>
      <c r="W86" s="176"/>
      <c r="X86" s="176"/>
      <c r="Y86" s="176"/>
      <c r="Z86" s="176"/>
      <c r="AA86" s="176"/>
    </row>
    <row r="87">
      <c r="A87" s="165" t="str">
        <f>iferror(VLOOKUP(P87,'DO NOT TOUCH Imported'!$A$1:$D$800,4,False),iferror(VLOOKUP(P87,'DO NOT TOUCH Imported'!$C$1:$D$800,2,False),"OOPS FIX ME"))</f>
        <v>Laurenluz</v>
      </c>
      <c r="B87" s="249" t="s">
        <v>873</v>
      </c>
      <c r="C87" s="250" t="s">
        <v>1638</v>
      </c>
      <c r="D87" s="236" t="s">
        <v>1584</v>
      </c>
      <c r="E87" s="251">
        <v>44279.0</v>
      </c>
      <c r="F87" s="219" t="s">
        <v>521</v>
      </c>
      <c r="G87" s="170">
        <v>15.0</v>
      </c>
      <c r="H87" s="171">
        <v>80.0</v>
      </c>
      <c r="I87" s="171">
        <v>100.0</v>
      </c>
      <c r="J87" s="172">
        <f t="shared" si="2"/>
        <v>0.0009928040298</v>
      </c>
      <c r="K87" s="173">
        <f t="shared" si="3"/>
        <v>1.108631167</v>
      </c>
      <c r="L87" s="174">
        <f t="shared" si="4"/>
        <v>22.36749891</v>
      </c>
      <c r="M87" s="175" t="str">
        <f t="shared" si="5"/>
        <v>Laurenluz</v>
      </c>
      <c r="N87" s="176">
        <f>IFERROR(__xludf.DUMMYFUNCTION("""COMPUTED_VALUE"""),7.0)</f>
        <v>7</v>
      </c>
      <c r="O87" s="176"/>
      <c r="P87" s="249" t="s">
        <v>23</v>
      </c>
      <c r="Q87" s="249" t="s">
        <v>873</v>
      </c>
      <c r="R87" s="176"/>
      <c r="S87" s="176"/>
      <c r="T87" s="176"/>
      <c r="U87" s="176"/>
      <c r="V87" s="176"/>
      <c r="W87" s="176"/>
      <c r="X87" s="176"/>
      <c r="Y87" s="176"/>
      <c r="Z87" s="176"/>
      <c r="AA87" s="176"/>
    </row>
    <row r="88">
      <c r="A88" s="165" t="str">
        <f>iferror(VLOOKUP(P88,'DO NOT TOUCH Imported'!$A$1:$D$800,4,False),iferror(VLOOKUP(P88,'DO NOT TOUCH Imported'!$C$1:$D$800,2,False),"OOPS FIX ME"))</f>
        <v>Laurenluz</v>
      </c>
      <c r="B88" s="165" t="s">
        <v>441</v>
      </c>
      <c r="C88" s="170" t="s">
        <v>1612</v>
      </c>
      <c r="D88" s="236" t="s">
        <v>437</v>
      </c>
      <c r="E88" s="239">
        <v>44281.0</v>
      </c>
      <c r="F88" s="170" t="s">
        <v>439</v>
      </c>
      <c r="G88" s="170">
        <v>15.0</v>
      </c>
      <c r="H88" s="171">
        <v>80.0</v>
      </c>
      <c r="I88" s="171">
        <v>100.0</v>
      </c>
      <c r="J88" s="172">
        <f t="shared" si="2"/>
        <v>0.0009928040298</v>
      </c>
      <c r="K88" s="173">
        <f t="shared" si="3"/>
        <v>1.108631167</v>
      </c>
      <c r="L88" s="174">
        <f t="shared" si="4"/>
        <v>22.36749891</v>
      </c>
      <c r="M88" s="175" t="str">
        <f t="shared" si="5"/>
        <v>Laurenluz</v>
      </c>
      <c r="N88" s="176">
        <f>IFERROR(__xludf.DUMMYFUNCTION("""COMPUTED_VALUE"""),8.0)</f>
        <v>8</v>
      </c>
      <c r="O88" s="176"/>
      <c r="P88" s="165" t="s">
        <v>596</v>
      </c>
      <c r="Q88" s="165" t="s">
        <v>441</v>
      </c>
      <c r="R88" s="176"/>
      <c r="S88" s="176"/>
      <c r="T88" s="176"/>
      <c r="U88" s="176"/>
      <c r="V88" s="176"/>
      <c r="W88" s="176"/>
      <c r="X88" s="176"/>
      <c r="Y88" s="176"/>
      <c r="Z88" s="176"/>
      <c r="AA88" s="176"/>
    </row>
    <row r="89">
      <c r="A89" s="165" t="str">
        <f>iferror(VLOOKUP(P89,'DO NOT TOUCH Imported'!$A$1:$D$800,4,False),iferror(VLOOKUP(P89,'DO NOT TOUCH Imported'!$C$1:$D$800,2,False),"OOPS FIX ME"))</f>
        <v>Laurenluz</v>
      </c>
      <c r="B89" s="249" t="s">
        <v>519</v>
      </c>
      <c r="C89" s="250" t="s">
        <v>1637</v>
      </c>
      <c r="D89" s="236" t="s">
        <v>1584</v>
      </c>
      <c r="E89" s="251">
        <v>44279.0</v>
      </c>
      <c r="F89" s="219" t="s">
        <v>521</v>
      </c>
      <c r="G89" s="170">
        <v>15.0</v>
      </c>
      <c r="H89" s="171">
        <v>70.0</v>
      </c>
      <c r="I89" s="171">
        <v>100.0</v>
      </c>
      <c r="J89" s="172">
        <f t="shared" si="2"/>
        <v>0.000950851562</v>
      </c>
      <c r="K89" s="173">
        <f t="shared" si="3"/>
        <v>1.061784244</v>
      </c>
      <c r="L89" s="174">
        <f t="shared" si="4"/>
        <v>22.36749891</v>
      </c>
      <c r="M89" s="175" t="str">
        <f t="shared" si="5"/>
        <v>Laurenluz</v>
      </c>
      <c r="N89" s="176">
        <f>IFERROR(__xludf.DUMMYFUNCTION("""COMPUTED_VALUE"""),9.0)</f>
        <v>9</v>
      </c>
      <c r="O89" s="176"/>
      <c r="P89" s="249" t="s">
        <v>23</v>
      </c>
      <c r="Q89" s="249" t="s">
        <v>519</v>
      </c>
      <c r="R89" s="176"/>
      <c r="S89" s="176"/>
      <c r="T89" s="176"/>
      <c r="U89" s="176"/>
      <c r="V89" s="176"/>
      <c r="W89" s="176"/>
      <c r="X89" s="176"/>
      <c r="Y89" s="176"/>
      <c r="Z89" s="176"/>
      <c r="AA89" s="176"/>
    </row>
    <row r="90">
      <c r="A90" s="165" t="str">
        <f>iferror(VLOOKUP(P90,'DO NOT TOUCH Imported'!$A$1:$D$800,4,False),iferror(VLOOKUP(P90,'DO NOT TOUCH Imported'!$C$1:$D$800,2,False),"OOPS FIX ME"))</f>
        <v>Laurenluz</v>
      </c>
      <c r="B90" s="165" t="s">
        <v>10</v>
      </c>
      <c r="C90" s="170" t="s">
        <v>1639</v>
      </c>
      <c r="D90" s="236" t="s">
        <v>1584</v>
      </c>
      <c r="E90" s="239">
        <v>44281.0</v>
      </c>
      <c r="F90" s="170" t="s">
        <v>496</v>
      </c>
      <c r="G90" s="170">
        <v>15.0</v>
      </c>
      <c r="H90" s="171">
        <v>70.0</v>
      </c>
      <c r="I90" s="171">
        <v>100.0</v>
      </c>
      <c r="J90" s="172">
        <f t="shared" si="2"/>
        <v>0.000950851562</v>
      </c>
      <c r="K90" s="173">
        <f t="shared" si="3"/>
        <v>1.061784244</v>
      </c>
      <c r="L90" s="174">
        <f t="shared" si="4"/>
        <v>22.36749891</v>
      </c>
      <c r="M90" s="175" t="str">
        <f t="shared" si="5"/>
        <v>Laurenluz</v>
      </c>
      <c r="N90" s="176">
        <f>IFERROR(__xludf.DUMMYFUNCTION("""COMPUTED_VALUE"""),10.0)</f>
        <v>10</v>
      </c>
      <c r="O90" s="176"/>
      <c r="P90" s="165" t="s">
        <v>23</v>
      </c>
      <c r="Q90" s="165" t="s">
        <v>10</v>
      </c>
      <c r="R90" s="176"/>
      <c r="S90" s="176"/>
      <c r="T90" s="176"/>
      <c r="U90" s="176"/>
      <c r="V90" s="176"/>
      <c r="W90" s="176"/>
      <c r="X90" s="176"/>
      <c r="Y90" s="176"/>
      <c r="Z90" s="176"/>
      <c r="AA90" s="176"/>
    </row>
    <row r="91">
      <c r="A91" s="165" t="str">
        <f>iferror(VLOOKUP(P91,'DO NOT TOUCH Imported'!$A$1:$D$800,4,False),iferror(VLOOKUP(P91,'DO NOT TOUCH Imported'!$C$1:$D$800,2,False),"OOPS FIX ME"))</f>
        <v>Laurenluz</v>
      </c>
      <c r="B91" s="165" t="s">
        <v>441</v>
      </c>
      <c r="C91" s="170" t="s">
        <v>1620</v>
      </c>
      <c r="D91" s="236" t="s">
        <v>437</v>
      </c>
      <c r="E91" s="239">
        <v>44274.0</v>
      </c>
      <c r="F91" s="170" t="s">
        <v>439</v>
      </c>
      <c r="G91" s="170">
        <v>15.0</v>
      </c>
      <c r="H91" s="171">
        <v>60.0</v>
      </c>
      <c r="I91" s="171">
        <v>100.0</v>
      </c>
      <c r="J91" s="172">
        <f t="shared" si="2"/>
        <v>0.0009088990941</v>
      </c>
      <c r="K91" s="173">
        <f t="shared" si="3"/>
        <v>1.014937322</v>
      </c>
      <c r="L91" s="174">
        <f t="shared" si="4"/>
        <v>22.36749891</v>
      </c>
      <c r="M91" s="175" t="str">
        <f t="shared" si="5"/>
        <v>Laurenluz</v>
      </c>
      <c r="N91" s="176">
        <f>IFERROR(__xludf.DUMMYFUNCTION("""COMPUTED_VALUE"""),11.0)</f>
        <v>11</v>
      </c>
      <c r="O91" s="176"/>
      <c r="P91" s="165" t="s">
        <v>596</v>
      </c>
      <c r="Q91" s="165" t="s">
        <v>441</v>
      </c>
      <c r="R91" s="176"/>
      <c r="S91" s="176"/>
      <c r="T91" s="176"/>
      <c r="U91" s="176"/>
      <c r="V91" s="176"/>
      <c r="W91" s="176"/>
      <c r="X91" s="176"/>
      <c r="Y91" s="176"/>
      <c r="Z91" s="176"/>
      <c r="AA91" s="176"/>
    </row>
    <row r="92">
      <c r="A92" s="165" t="str">
        <f>iferror(VLOOKUP(P92,'DO NOT TOUCH Imported'!$A$1:$D$800,4,False),iferror(VLOOKUP(P92,'DO NOT TOUCH Imported'!$C$1:$D$800,2,False),"OOPS FIX ME"))</f>
        <v>Laurenluz</v>
      </c>
      <c r="B92" s="249" t="s">
        <v>10</v>
      </c>
      <c r="C92" s="250" t="s">
        <v>498</v>
      </c>
      <c r="D92" s="236" t="s">
        <v>1584</v>
      </c>
      <c r="E92" s="251">
        <v>44274.0</v>
      </c>
      <c r="F92" s="219" t="s">
        <v>499</v>
      </c>
      <c r="G92" s="170">
        <v>15.0</v>
      </c>
      <c r="H92" s="171">
        <v>25.0</v>
      </c>
      <c r="I92" s="171">
        <v>100.0</v>
      </c>
      <c r="J92" s="172">
        <f t="shared" si="2"/>
        <v>0.0007620654566</v>
      </c>
      <c r="K92" s="173">
        <f t="shared" si="3"/>
        <v>0.8509730932</v>
      </c>
      <c r="L92" s="174">
        <f t="shared" si="4"/>
        <v>22.36749891</v>
      </c>
      <c r="M92" s="175" t="str">
        <f t="shared" si="5"/>
        <v>Laurenluz</v>
      </c>
      <c r="N92" s="176">
        <f>IFERROR(__xludf.DUMMYFUNCTION("""COMPUTED_VALUE"""),12.0)</f>
        <v>12</v>
      </c>
      <c r="O92" s="176"/>
      <c r="P92" s="249" t="s">
        <v>23</v>
      </c>
      <c r="Q92" s="249" t="s">
        <v>10</v>
      </c>
      <c r="R92" s="176"/>
      <c r="S92" s="176"/>
      <c r="T92" s="176"/>
      <c r="U92" s="176"/>
      <c r="V92" s="176"/>
      <c r="W92" s="176"/>
      <c r="X92" s="176"/>
      <c r="Y92" s="176"/>
      <c r="Z92" s="176"/>
      <c r="AA92" s="176"/>
    </row>
    <row r="93">
      <c r="A93" s="165" t="str">
        <f>iferror(VLOOKUP(P93,'DO NOT TOUCH Imported'!$A$1:$D$800,4,False),iferror(VLOOKUP(P93,'DO NOT TOUCH Imported'!$C$1:$D$800,2,False),"OOPS FIX ME"))</f>
        <v>Laurenluz</v>
      </c>
      <c r="B93" s="249" t="s">
        <v>10</v>
      </c>
      <c r="C93" s="250" t="s">
        <v>500</v>
      </c>
      <c r="D93" s="236" t="s">
        <v>1584</v>
      </c>
      <c r="E93" s="251">
        <v>44275.0</v>
      </c>
      <c r="F93" s="219" t="s">
        <v>496</v>
      </c>
      <c r="G93" s="170">
        <v>15.0</v>
      </c>
      <c r="H93" s="171">
        <v>25.0</v>
      </c>
      <c r="I93" s="171">
        <v>100.0</v>
      </c>
      <c r="J93" s="172">
        <f t="shared" si="2"/>
        <v>0.0007620654566</v>
      </c>
      <c r="K93" s="173">
        <f t="shared" si="3"/>
        <v>0.8509730932</v>
      </c>
      <c r="L93" s="174">
        <f t="shared" si="4"/>
        <v>22.36749891</v>
      </c>
      <c r="M93" s="175" t="str">
        <f t="shared" si="5"/>
        <v>Laurenluz</v>
      </c>
      <c r="N93" s="176">
        <f>IFERROR(__xludf.DUMMYFUNCTION("""COMPUTED_VALUE"""),13.0)</f>
        <v>13</v>
      </c>
      <c r="O93" s="176"/>
      <c r="P93" s="249" t="s">
        <v>23</v>
      </c>
      <c r="Q93" s="249" t="s">
        <v>10</v>
      </c>
      <c r="R93" s="176"/>
      <c r="S93" s="176"/>
      <c r="T93" s="176"/>
      <c r="U93" s="176"/>
      <c r="V93" s="176"/>
      <c r="W93" s="176"/>
      <c r="X93" s="176"/>
      <c r="Y93" s="176"/>
      <c r="Z93" s="176"/>
      <c r="AA93" s="176"/>
    </row>
    <row r="94">
      <c r="A94" s="165" t="str">
        <f>iferror(VLOOKUP(P94,'DO NOT TOUCH Imported'!$A$1:$D$800,4,False),iferror(VLOOKUP(P94,'DO NOT TOUCH Imported'!$C$1:$D$800,2,False),"OOPS FIX ME"))</f>
        <v>iviangita</v>
      </c>
      <c r="B94" s="165" t="s">
        <v>486</v>
      </c>
      <c r="C94" s="170" t="s">
        <v>1640</v>
      </c>
      <c r="D94" s="236" t="s">
        <v>437</v>
      </c>
      <c r="E94" s="239">
        <v>44271.0</v>
      </c>
      <c r="F94" s="170" t="s">
        <v>1600</v>
      </c>
      <c r="G94" s="170">
        <v>50.0</v>
      </c>
      <c r="H94" s="171">
        <v>200.0</v>
      </c>
      <c r="I94" s="171">
        <v>200.0</v>
      </c>
      <c r="J94" s="172">
        <f t="shared" si="2"/>
        <v>0.002468850468</v>
      </c>
      <c r="K94" s="173">
        <f t="shared" si="3"/>
        <v>2.756883022</v>
      </c>
      <c r="L94" s="174">
        <f t="shared" si="4"/>
        <v>20.15775204</v>
      </c>
      <c r="M94" s="175" t="str">
        <f t="shared" si="5"/>
        <v>iviangita</v>
      </c>
      <c r="N94" s="176">
        <f>IFERROR(__xludf.DUMMYFUNCTION("""COMPUTED_VALUE"""),1.0)</f>
        <v>1</v>
      </c>
      <c r="O94" s="176"/>
      <c r="P94" s="165" t="s">
        <v>441</v>
      </c>
      <c r="Q94" s="165" t="s">
        <v>486</v>
      </c>
      <c r="R94" s="176"/>
      <c r="S94" s="176"/>
      <c r="T94" s="176"/>
      <c r="U94" s="176"/>
      <c r="V94" s="176"/>
      <c r="W94" s="176"/>
      <c r="X94" s="176"/>
      <c r="Y94" s="176"/>
      <c r="Z94" s="176"/>
      <c r="AA94" s="176"/>
    </row>
    <row r="95">
      <c r="A95" s="165" t="str">
        <f>iferror(VLOOKUP(P95,'DO NOT TOUCH Imported'!$A$1:$D$800,4,False),iferror(VLOOKUP(P95,'DO NOT TOUCH Imported'!$C$1:$D$800,2,False),"OOPS FIX ME"))</f>
        <v>iviangita</v>
      </c>
      <c r="B95" s="165" t="s">
        <v>441</v>
      </c>
      <c r="C95" s="170" t="s">
        <v>1641</v>
      </c>
      <c r="D95" s="236" t="s">
        <v>437</v>
      </c>
      <c r="E95" s="239">
        <v>44281.0</v>
      </c>
      <c r="F95" s="170" t="s">
        <v>439</v>
      </c>
      <c r="G95" s="170">
        <v>15.0</v>
      </c>
      <c r="H95" s="171">
        <v>200.0</v>
      </c>
      <c r="I95" s="171">
        <v>400.0</v>
      </c>
      <c r="J95" s="172">
        <f t="shared" si="2"/>
        <v>0.002758063297</v>
      </c>
      <c r="K95" s="173">
        <f t="shared" si="3"/>
        <v>3.079837348</v>
      </c>
      <c r="L95" s="174">
        <f t="shared" si="4"/>
        <v>20.15775204</v>
      </c>
      <c r="M95" s="175" t="str">
        <f t="shared" si="5"/>
        <v>iviangita</v>
      </c>
      <c r="N95" s="176">
        <f>IFERROR(__xludf.DUMMYFUNCTION("""COMPUTED_VALUE"""),2.0)</f>
        <v>2</v>
      </c>
      <c r="O95" s="176"/>
      <c r="P95" s="165" t="s">
        <v>441</v>
      </c>
      <c r="Q95" s="165" t="s">
        <v>441</v>
      </c>
      <c r="R95" s="176"/>
      <c r="S95" s="176"/>
      <c r="T95" s="176"/>
      <c r="U95" s="176"/>
      <c r="V95" s="176"/>
      <c r="W95" s="176"/>
      <c r="X95" s="176"/>
      <c r="Y95" s="176"/>
      <c r="Z95" s="176"/>
      <c r="AA95" s="176"/>
    </row>
    <row r="96">
      <c r="A96" s="165" t="str">
        <f>iferror(VLOOKUP(P96,'DO NOT TOUCH Imported'!$A$1:$D$800,4,False),iferror(VLOOKUP(P96,'DO NOT TOUCH Imported'!$C$1:$D$800,2,False),"OOPS FIX ME"))</f>
        <v>iviangita</v>
      </c>
      <c r="B96" s="165" t="s">
        <v>441</v>
      </c>
      <c r="C96" s="170" t="s">
        <v>1582</v>
      </c>
      <c r="D96" s="236" t="s">
        <v>437</v>
      </c>
      <c r="E96" s="239">
        <v>44281.0</v>
      </c>
      <c r="F96" s="170" t="s">
        <v>439</v>
      </c>
      <c r="G96" s="170">
        <v>25.0</v>
      </c>
      <c r="H96" s="171">
        <v>200.0</v>
      </c>
      <c r="I96" s="171">
        <v>200.0</v>
      </c>
      <c r="J96" s="172">
        <f t="shared" si="2"/>
        <v>0.002074559797</v>
      </c>
      <c r="K96" s="173">
        <f t="shared" si="3"/>
        <v>2.316591773</v>
      </c>
      <c r="L96" s="174">
        <f t="shared" si="4"/>
        <v>20.15775204</v>
      </c>
      <c r="M96" s="175" t="str">
        <f t="shared" si="5"/>
        <v>iviangita</v>
      </c>
      <c r="N96" s="176">
        <f>IFERROR(__xludf.DUMMYFUNCTION("""COMPUTED_VALUE"""),3.0)</f>
        <v>3</v>
      </c>
      <c r="O96" s="176"/>
      <c r="P96" s="165" t="s">
        <v>441</v>
      </c>
      <c r="Q96" s="165" t="s">
        <v>441</v>
      </c>
      <c r="R96" s="176"/>
      <c r="S96" s="176"/>
      <c r="T96" s="176"/>
      <c r="U96" s="176"/>
      <c r="V96" s="176"/>
      <c r="W96" s="176"/>
      <c r="X96" s="176"/>
      <c r="Y96" s="176"/>
      <c r="Z96" s="176"/>
      <c r="AA96" s="176"/>
    </row>
    <row r="97">
      <c r="A97" s="165" t="str">
        <f>iferror(VLOOKUP(P97,'DO NOT TOUCH Imported'!$A$1:$D$800,4,False),iferror(VLOOKUP(P97,'DO NOT TOUCH Imported'!$C$1:$D$800,2,False),"OOPS FIX ME"))</f>
        <v>iviangita</v>
      </c>
      <c r="B97" s="165" t="s">
        <v>441</v>
      </c>
      <c r="C97" s="170" t="s">
        <v>1642</v>
      </c>
      <c r="D97" s="236" t="s">
        <v>437</v>
      </c>
      <c r="E97" s="239">
        <v>44274.0</v>
      </c>
      <c r="F97" s="170" t="s">
        <v>439</v>
      </c>
      <c r="G97" s="170">
        <v>50.0</v>
      </c>
      <c r="H97" s="171">
        <v>200.0</v>
      </c>
      <c r="I97" s="171">
        <v>100.0</v>
      </c>
      <c r="J97" s="172">
        <f t="shared" si="2"/>
        <v>0.002048240584</v>
      </c>
      <c r="K97" s="173">
        <f t="shared" si="3"/>
        <v>2.287201985</v>
      </c>
      <c r="L97" s="174">
        <f t="shared" si="4"/>
        <v>20.15775204</v>
      </c>
      <c r="M97" s="175" t="str">
        <f t="shared" si="5"/>
        <v>iviangita</v>
      </c>
      <c r="N97" s="176">
        <f>IFERROR(__xludf.DUMMYFUNCTION("""COMPUTED_VALUE"""),4.0)</f>
        <v>4</v>
      </c>
      <c r="O97" s="176"/>
      <c r="P97" s="165" t="s">
        <v>441</v>
      </c>
      <c r="Q97" s="165" t="s">
        <v>441</v>
      </c>
      <c r="R97" s="176"/>
      <c r="S97" s="176"/>
      <c r="T97" s="176"/>
      <c r="U97" s="176"/>
      <c r="V97" s="176"/>
      <c r="W97" s="176"/>
      <c r="X97" s="176"/>
      <c r="Y97" s="176"/>
      <c r="Z97" s="176"/>
      <c r="AA97" s="176"/>
    </row>
    <row r="98">
      <c r="A98" s="165" t="str">
        <f>iferror(VLOOKUP(P98,'DO NOT TOUCH Imported'!$A$1:$D$800,4,False),iferror(VLOOKUP(P98,'DO NOT TOUCH Imported'!$C$1:$D$800,2,False),"OOPS FIX ME"))</f>
        <v>iviangita</v>
      </c>
      <c r="B98" s="165" t="s">
        <v>441</v>
      </c>
      <c r="C98" s="170" t="s">
        <v>1643</v>
      </c>
      <c r="D98" s="236" t="s">
        <v>437</v>
      </c>
      <c r="E98" s="239">
        <v>44281.0</v>
      </c>
      <c r="F98" s="170" t="s">
        <v>439</v>
      </c>
      <c r="G98" s="170">
        <v>15.0</v>
      </c>
      <c r="H98" s="171">
        <v>200.0</v>
      </c>
      <c r="I98" s="171">
        <v>200.0</v>
      </c>
      <c r="J98" s="172">
        <f t="shared" si="2"/>
        <v>0.001916843528</v>
      </c>
      <c r="K98" s="173">
        <f t="shared" si="3"/>
        <v>2.140475273</v>
      </c>
      <c r="L98" s="174">
        <f t="shared" si="4"/>
        <v>20.15775204</v>
      </c>
      <c r="M98" s="175" t="str">
        <f t="shared" si="5"/>
        <v>iviangita</v>
      </c>
      <c r="N98" s="176">
        <f>IFERROR(__xludf.DUMMYFUNCTION("""COMPUTED_VALUE"""),5.0)</f>
        <v>5</v>
      </c>
      <c r="O98" s="176"/>
      <c r="P98" s="165" t="s">
        <v>441</v>
      </c>
      <c r="Q98" s="165" t="s">
        <v>441</v>
      </c>
      <c r="R98" s="176"/>
      <c r="S98" s="176"/>
      <c r="T98" s="176"/>
      <c r="U98" s="176"/>
      <c r="V98" s="176"/>
      <c r="W98" s="176"/>
      <c r="X98" s="176"/>
      <c r="Y98" s="176"/>
      <c r="Z98" s="176"/>
      <c r="AA98" s="176"/>
    </row>
    <row r="99">
      <c r="A99" s="165" t="str">
        <f>iferror(VLOOKUP(P99,'DO NOT TOUCH Imported'!$A$1:$D$800,4,False),iferror(VLOOKUP(P99,'DO NOT TOUCH Imported'!$C$1:$D$800,2,False),"OOPS FIX ME"))</f>
        <v>iviangita</v>
      </c>
      <c r="B99" s="249" t="s">
        <v>867</v>
      </c>
      <c r="C99" s="250" t="s">
        <v>1644</v>
      </c>
      <c r="D99" s="236" t="s">
        <v>1584</v>
      </c>
      <c r="E99" s="251">
        <v>44271.0</v>
      </c>
      <c r="F99" s="219" t="s">
        <v>496</v>
      </c>
      <c r="G99" s="170">
        <v>25.0</v>
      </c>
      <c r="H99" s="171">
        <v>200.0</v>
      </c>
      <c r="I99" s="171">
        <v>100.0</v>
      </c>
      <c r="J99" s="172">
        <f t="shared" si="2"/>
        <v>0.001653949912</v>
      </c>
      <c r="K99" s="173">
        <f t="shared" si="3"/>
        <v>1.846910736</v>
      </c>
      <c r="L99" s="174">
        <f t="shared" si="4"/>
        <v>20.15775204</v>
      </c>
      <c r="M99" s="175" t="str">
        <f t="shared" si="5"/>
        <v>iviangita</v>
      </c>
      <c r="N99" s="176">
        <f>IFERROR(__xludf.DUMMYFUNCTION("""COMPUTED_VALUE"""),6.0)</f>
        <v>6</v>
      </c>
      <c r="O99" s="176"/>
      <c r="P99" s="249" t="s">
        <v>10</v>
      </c>
      <c r="Q99" s="249" t="s">
        <v>867</v>
      </c>
      <c r="R99" s="176"/>
      <c r="S99" s="176"/>
      <c r="T99" s="176"/>
      <c r="U99" s="176"/>
      <c r="V99" s="176"/>
      <c r="W99" s="176"/>
      <c r="X99" s="176"/>
      <c r="Y99" s="176"/>
      <c r="Z99" s="176"/>
      <c r="AA99" s="176"/>
    </row>
    <row r="100">
      <c r="A100" s="165" t="str">
        <f>iferror(VLOOKUP(P100,'DO NOT TOUCH Imported'!$A$1:$D$800,4,False),iferror(VLOOKUP(P100,'DO NOT TOUCH Imported'!$C$1:$D$800,2,False),"OOPS FIX ME"))</f>
        <v>iviangita</v>
      </c>
      <c r="B100" s="165" t="s">
        <v>450</v>
      </c>
      <c r="C100" s="170" t="s">
        <v>1645</v>
      </c>
      <c r="D100" s="236" t="s">
        <v>499</v>
      </c>
      <c r="E100" s="239">
        <v>44273.0</v>
      </c>
      <c r="F100" s="170" t="s">
        <v>1646</v>
      </c>
      <c r="G100" s="170">
        <v>25.0</v>
      </c>
      <c r="H100" s="171">
        <v>200.0</v>
      </c>
      <c r="I100" s="171">
        <v>100.0</v>
      </c>
      <c r="J100" s="172">
        <f t="shared" si="2"/>
        <v>0.001653949912</v>
      </c>
      <c r="K100" s="173">
        <f t="shared" si="3"/>
        <v>1.846910736</v>
      </c>
      <c r="L100" s="174">
        <f t="shared" si="4"/>
        <v>20.15775204</v>
      </c>
      <c r="M100" s="175" t="str">
        <f t="shared" si="5"/>
        <v>iviangita</v>
      </c>
      <c r="N100" s="176">
        <f>IFERROR(__xludf.DUMMYFUNCTION("""COMPUTED_VALUE"""),7.0)</f>
        <v>7</v>
      </c>
      <c r="O100" s="176"/>
      <c r="P100" s="165" t="s">
        <v>441</v>
      </c>
      <c r="Q100" s="165" t="s">
        <v>450</v>
      </c>
      <c r="R100" s="176"/>
      <c r="S100" s="176"/>
      <c r="T100" s="176"/>
      <c r="U100" s="176"/>
      <c r="V100" s="176"/>
      <c r="W100" s="176"/>
      <c r="X100" s="176"/>
      <c r="Y100" s="176"/>
      <c r="Z100" s="176"/>
      <c r="AA100" s="176"/>
    </row>
    <row r="101">
      <c r="A101" s="165" t="str">
        <f>iferror(VLOOKUP(P101,'DO NOT TOUCH Imported'!$A$1:$D$800,4,False),iferror(VLOOKUP(P101,'DO NOT TOUCH Imported'!$C$1:$D$800,2,False),"OOPS FIX ME"))</f>
        <v>iviangita</v>
      </c>
      <c r="B101" s="165" t="s">
        <v>441</v>
      </c>
      <c r="C101" s="170" t="s">
        <v>1589</v>
      </c>
      <c r="D101" s="236" t="s">
        <v>437</v>
      </c>
      <c r="E101" s="239">
        <v>44274.0</v>
      </c>
      <c r="F101" s="170" t="s">
        <v>439</v>
      </c>
      <c r="G101" s="170">
        <v>25.0</v>
      </c>
      <c r="H101" s="171">
        <v>200.0</v>
      </c>
      <c r="I101" s="171">
        <v>100.0</v>
      </c>
      <c r="J101" s="172">
        <f t="shared" si="2"/>
        <v>0.001653949912</v>
      </c>
      <c r="K101" s="173">
        <f t="shared" si="3"/>
        <v>1.846910736</v>
      </c>
      <c r="L101" s="174">
        <f t="shared" si="4"/>
        <v>20.15775204</v>
      </c>
      <c r="M101" s="175" t="str">
        <f t="shared" si="5"/>
        <v>iviangita</v>
      </c>
      <c r="N101" s="176">
        <f>IFERROR(__xludf.DUMMYFUNCTION("""COMPUTED_VALUE"""),8.0)</f>
        <v>8</v>
      </c>
      <c r="O101" s="176"/>
      <c r="P101" s="165" t="s">
        <v>441</v>
      </c>
      <c r="Q101" s="165" t="s">
        <v>441</v>
      </c>
      <c r="R101" s="176"/>
      <c r="S101" s="176"/>
      <c r="T101" s="176"/>
      <c r="U101" s="176"/>
      <c r="V101" s="176"/>
      <c r="W101" s="176"/>
      <c r="X101" s="176"/>
      <c r="Y101" s="176"/>
      <c r="Z101" s="176"/>
      <c r="AA101" s="176"/>
    </row>
    <row r="102">
      <c r="A102" s="165" t="str">
        <f>iferror(VLOOKUP(P102,'DO NOT TOUCH Imported'!$A$1:$D$800,4,False),iferror(VLOOKUP(P102,'DO NOT TOUCH Imported'!$C$1:$D$800,2,False),"OOPS FIX ME"))</f>
        <v>iviangita</v>
      </c>
      <c r="B102" s="165" t="s">
        <v>441</v>
      </c>
      <c r="C102" s="170" t="s">
        <v>1647</v>
      </c>
      <c r="D102" s="236" t="s">
        <v>437</v>
      </c>
      <c r="E102" s="239">
        <v>44274.0</v>
      </c>
      <c r="F102" s="170" t="s">
        <v>439</v>
      </c>
      <c r="G102" s="170">
        <v>25.0</v>
      </c>
      <c r="H102" s="171">
        <v>200.0</v>
      </c>
      <c r="I102" s="171">
        <v>100.0</v>
      </c>
      <c r="J102" s="172">
        <f t="shared" si="2"/>
        <v>0.001653949912</v>
      </c>
      <c r="K102" s="173">
        <f t="shared" si="3"/>
        <v>1.846910736</v>
      </c>
      <c r="L102" s="174">
        <f t="shared" si="4"/>
        <v>20.15775204</v>
      </c>
      <c r="M102" s="175" t="str">
        <f t="shared" si="5"/>
        <v>iviangita</v>
      </c>
      <c r="N102" s="176">
        <f>IFERROR(__xludf.DUMMYFUNCTION("""COMPUTED_VALUE"""),9.0)</f>
        <v>9</v>
      </c>
      <c r="O102" s="176"/>
      <c r="P102" s="165" t="s">
        <v>441</v>
      </c>
      <c r="Q102" s="165" t="s">
        <v>441</v>
      </c>
      <c r="R102" s="176"/>
      <c r="S102" s="176"/>
      <c r="T102" s="176"/>
      <c r="U102" s="176"/>
      <c r="V102" s="176"/>
      <c r="W102" s="176"/>
      <c r="X102" s="176"/>
      <c r="Y102" s="176"/>
      <c r="Z102" s="176"/>
      <c r="AA102" s="176"/>
    </row>
    <row r="103">
      <c r="A103" s="165" t="str">
        <f>iferror(VLOOKUP(P103,'DO NOT TOUCH Imported'!$A$1:$D$800,4,False),iferror(VLOOKUP(P103,'DO NOT TOUCH Imported'!$C$1:$D$800,2,False),"OOPS FIX ME"))</f>
        <v>iviangita</v>
      </c>
      <c r="B103" s="165" t="s">
        <v>20</v>
      </c>
      <c r="C103" s="170" t="s">
        <v>1648</v>
      </c>
      <c r="D103" s="236" t="s">
        <v>437</v>
      </c>
      <c r="E103" s="239">
        <v>44281.0</v>
      </c>
      <c r="F103" s="170" t="s">
        <v>439</v>
      </c>
      <c r="G103" s="170">
        <v>50.0</v>
      </c>
      <c r="H103" s="171">
        <v>200.0</v>
      </c>
      <c r="I103" s="171">
        <v>100.0</v>
      </c>
      <c r="J103" s="172">
        <f t="shared" si="2"/>
        <v>0.002048240584</v>
      </c>
      <c r="K103" s="173">
        <f t="shared" si="3"/>
        <v>2.287201985</v>
      </c>
      <c r="L103" s="174">
        <f t="shared" si="4"/>
        <v>20.15775204</v>
      </c>
      <c r="M103" s="175" t="str">
        <f t="shared" si="5"/>
        <v>iviangita</v>
      </c>
      <c r="N103" s="176">
        <f>IFERROR(__xludf.DUMMYFUNCTION("""COMPUTED_VALUE"""),10.0)</f>
        <v>10</v>
      </c>
      <c r="O103" s="176"/>
      <c r="P103" s="165" t="s">
        <v>441</v>
      </c>
      <c r="Q103" s="165" t="s">
        <v>20</v>
      </c>
      <c r="R103" s="176"/>
      <c r="S103" s="176"/>
      <c r="T103" s="176"/>
      <c r="U103" s="176"/>
      <c r="V103" s="176"/>
      <c r="W103" s="176"/>
      <c r="X103" s="176"/>
      <c r="Y103" s="176"/>
      <c r="Z103" s="176"/>
      <c r="AA103" s="176"/>
    </row>
    <row r="104">
      <c r="A104" s="165" t="str">
        <f>iferror(VLOOKUP(P104,'DO NOT TOUCH Imported'!$A$1:$D$800,4,False),iferror(VLOOKUP(P104,'DO NOT TOUCH Imported'!$C$1:$D$800,2,False),"OOPS FIX ME"))</f>
        <v>iviangita</v>
      </c>
      <c r="B104" s="165" t="s">
        <v>441</v>
      </c>
      <c r="C104" s="170" t="s">
        <v>1602</v>
      </c>
      <c r="D104" s="236" t="s">
        <v>437</v>
      </c>
      <c r="E104" s="239">
        <v>44272.0</v>
      </c>
      <c r="F104" s="170" t="s">
        <v>439</v>
      </c>
      <c r="G104" s="170">
        <v>15.0</v>
      </c>
      <c r="H104" s="171">
        <v>200.0</v>
      </c>
      <c r="I104" s="171">
        <v>100.0</v>
      </c>
      <c r="J104" s="172">
        <f t="shared" si="2"/>
        <v>0.001496233644</v>
      </c>
      <c r="K104" s="173">
        <f t="shared" si="3"/>
        <v>1.670794236</v>
      </c>
      <c r="L104" s="174">
        <f t="shared" si="4"/>
        <v>20.15775204</v>
      </c>
      <c r="M104" s="175" t="str">
        <f t="shared" si="5"/>
        <v>iviangita</v>
      </c>
      <c r="N104" s="176">
        <f>IFERROR(__xludf.DUMMYFUNCTION("""COMPUTED_VALUE"""),11.0)</f>
        <v>11</v>
      </c>
      <c r="O104" s="176"/>
      <c r="P104" s="165" t="s">
        <v>441</v>
      </c>
      <c r="Q104" s="165" t="s">
        <v>441</v>
      </c>
      <c r="R104" s="176"/>
      <c r="S104" s="176"/>
      <c r="T104" s="176"/>
      <c r="U104" s="176"/>
      <c r="V104" s="176"/>
      <c r="W104" s="176"/>
      <c r="X104" s="176"/>
      <c r="Y104" s="176"/>
      <c r="Z104" s="176"/>
      <c r="AA104" s="176"/>
    </row>
    <row r="105">
      <c r="A105" s="165" t="str">
        <f>iferror(VLOOKUP(P105,'DO NOT TOUCH Imported'!$A$1:$D$800,4,False),iferror(VLOOKUP(P105,'DO NOT TOUCH Imported'!$C$1:$D$800,2,False),"OOPS FIX ME"))</f>
        <v>iviangita</v>
      </c>
      <c r="B105" s="165" t="s">
        <v>441</v>
      </c>
      <c r="C105" s="170" t="s">
        <v>1649</v>
      </c>
      <c r="D105" s="236" t="s">
        <v>437</v>
      </c>
      <c r="E105" s="239">
        <v>44274.0</v>
      </c>
      <c r="F105" s="170" t="s">
        <v>439</v>
      </c>
      <c r="G105" s="170">
        <v>15.0</v>
      </c>
      <c r="H105" s="171">
        <v>200.0</v>
      </c>
      <c r="I105" s="171">
        <v>100.0</v>
      </c>
      <c r="J105" s="172">
        <f t="shared" si="2"/>
        <v>0.001496233644</v>
      </c>
      <c r="K105" s="173">
        <f t="shared" si="3"/>
        <v>1.670794236</v>
      </c>
      <c r="L105" s="174">
        <f t="shared" si="4"/>
        <v>20.15775204</v>
      </c>
      <c r="M105" s="175" t="str">
        <f t="shared" si="5"/>
        <v>iviangita</v>
      </c>
      <c r="N105" s="176">
        <f>IFERROR(__xludf.DUMMYFUNCTION("""COMPUTED_VALUE"""),12.0)</f>
        <v>12</v>
      </c>
      <c r="O105" s="176"/>
      <c r="P105" s="165" t="s">
        <v>441</v>
      </c>
      <c r="Q105" s="165" t="s">
        <v>441</v>
      </c>
      <c r="R105" s="176"/>
      <c r="S105" s="176"/>
      <c r="T105" s="176"/>
      <c r="U105" s="176"/>
      <c r="V105" s="176"/>
      <c r="W105" s="176"/>
      <c r="X105" s="176"/>
      <c r="Y105" s="176"/>
      <c r="Z105" s="176"/>
      <c r="AA105" s="176"/>
    </row>
    <row r="106">
      <c r="A106" s="165" t="str">
        <f>iferror(VLOOKUP(P106,'DO NOT TOUCH Imported'!$A$1:$D$800,4,False),iferror(VLOOKUP(P106,'DO NOT TOUCH Imported'!$C$1:$D$800,2,False),"OOPS FIX ME"))</f>
        <v>iviangita</v>
      </c>
      <c r="B106" s="165" t="s">
        <v>441</v>
      </c>
      <c r="C106" s="170" t="s">
        <v>1650</v>
      </c>
      <c r="D106" s="236" t="s">
        <v>437</v>
      </c>
      <c r="E106" s="239">
        <v>44281.0</v>
      </c>
      <c r="F106" s="170" t="s">
        <v>439</v>
      </c>
      <c r="G106" s="170">
        <v>15.0</v>
      </c>
      <c r="H106" s="171">
        <v>200.0</v>
      </c>
      <c r="I106" s="171">
        <v>100.0</v>
      </c>
      <c r="J106" s="172">
        <f t="shared" si="2"/>
        <v>0.001496233644</v>
      </c>
      <c r="K106" s="173">
        <f t="shared" si="3"/>
        <v>1.670794236</v>
      </c>
      <c r="L106" s="174">
        <f t="shared" si="4"/>
        <v>20.15775204</v>
      </c>
      <c r="M106" s="175" t="str">
        <f t="shared" si="5"/>
        <v>iviangita</v>
      </c>
      <c r="N106" s="176">
        <f>IFERROR(__xludf.DUMMYFUNCTION("""COMPUTED_VALUE"""),13.0)</f>
        <v>13</v>
      </c>
      <c r="O106" s="176"/>
      <c r="P106" s="165" t="s">
        <v>441</v>
      </c>
      <c r="Q106" s="165" t="s">
        <v>441</v>
      </c>
      <c r="R106" s="176"/>
      <c r="S106" s="176"/>
      <c r="T106" s="176"/>
      <c r="U106" s="176"/>
      <c r="V106" s="176"/>
      <c r="W106" s="176"/>
      <c r="X106" s="176"/>
      <c r="Y106" s="176"/>
      <c r="Z106" s="176"/>
      <c r="AA106" s="176"/>
    </row>
    <row r="107">
      <c r="A107" s="165" t="str">
        <f>iferror(VLOOKUP(P107,'DO NOT TOUCH Imported'!$A$1:$D$800,4,False),iferror(VLOOKUP(P107,'DO NOT TOUCH Imported'!$C$1:$D$800,2,False),"OOPS FIX ME"))</f>
        <v>iviangita</v>
      </c>
      <c r="B107" s="165" t="s">
        <v>440</v>
      </c>
      <c r="C107" s="170" t="s">
        <v>1651</v>
      </c>
      <c r="D107" s="236" t="s">
        <v>437</v>
      </c>
      <c r="E107" s="239">
        <v>44274.0</v>
      </c>
      <c r="F107" s="170" t="s">
        <v>439</v>
      </c>
      <c r="G107" s="170">
        <v>25.0</v>
      </c>
      <c r="H107" s="171">
        <v>200.0</v>
      </c>
      <c r="I107" s="171">
        <v>100.0</v>
      </c>
      <c r="J107" s="172">
        <f t="shared" si="2"/>
        <v>0.001653949912</v>
      </c>
      <c r="K107" s="173">
        <f t="shared" si="3"/>
        <v>1.846910736</v>
      </c>
      <c r="L107" s="174">
        <f t="shared" si="4"/>
        <v>20.15775204</v>
      </c>
      <c r="M107" s="175" t="str">
        <f t="shared" si="5"/>
        <v>iviangita</v>
      </c>
      <c r="N107" s="176">
        <f>IFERROR(__xludf.DUMMYFUNCTION("""COMPUTED_VALUE"""),14.0)</f>
        <v>14</v>
      </c>
      <c r="O107" s="176"/>
      <c r="P107" s="165" t="s">
        <v>441</v>
      </c>
      <c r="Q107" s="165" t="s">
        <v>440</v>
      </c>
      <c r="R107" s="176"/>
      <c r="S107" s="176"/>
      <c r="T107" s="176"/>
      <c r="U107" s="176"/>
      <c r="V107" s="176"/>
      <c r="W107" s="176"/>
      <c r="X107" s="176"/>
      <c r="Y107" s="176"/>
      <c r="Z107" s="176"/>
      <c r="AA107" s="176"/>
    </row>
    <row r="108">
      <c r="A108" s="165" t="str">
        <f>iferror(VLOOKUP(P108,'DO NOT TOUCH Imported'!$A$1:$D$800,4,False),iferror(VLOOKUP(P108,'DO NOT TOUCH Imported'!$C$1:$D$800,2,False),"OOPS FIX ME"))</f>
        <v>iviangita</v>
      </c>
      <c r="B108" s="165" t="s">
        <v>441</v>
      </c>
      <c r="C108" s="170" t="s">
        <v>1595</v>
      </c>
      <c r="D108" s="236" t="s">
        <v>437</v>
      </c>
      <c r="E108" s="239">
        <v>44281.0</v>
      </c>
      <c r="F108" s="170" t="s">
        <v>439</v>
      </c>
      <c r="G108" s="170">
        <v>25.0</v>
      </c>
      <c r="H108" s="171">
        <v>200.0</v>
      </c>
      <c r="I108" s="171">
        <v>100.0</v>
      </c>
      <c r="J108" s="172">
        <f t="shared" si="2"/>
        <v>0.001653949912</v>
      </c>
      <c r="K108" s="173">
        <f t="shared" si="3"/>
        <v>1.846910736</v>
      </c>
      <c r="L108" s="174">
        <f t="shared" si="4"/>
        <v>20.15775204</v>
      </c>
      <c r="M108" s="175" t="str">
        <f t="shared" si="5"/>
        <v>iviangita</v>
      </c>
      <c r="N108" s="176">
        <f>IFERROR(__xludf.DUMMYFUNCTION("""COMPUTED_VALUE"""),15.0)</f>
        <v>15</v>
      </c>
      <c r="O108" s="176"/>
      <c r="P108" s="165" t="s">
        <v>441</v>
      </c>
      <c r="Q108" s="165" t="s">
        <v>441</v>
      </c>
      <c r="R108" s="176"/>
      <c r="S108" s="176"/>
      <c r="T108" s="176"/>
      <c r="U108" s="176"/>
      <c r="V108" s="176"/>
      <c r="W108" s="176"/>
      <c r="X108" s="176"/>
      <c r="Y108" s="176"/>
      <c r="Z108" s="176"/>
      <c r="AA108" s="176"/>
    </row>
    <row r="109">
      <c r="A109" s="165" t="str">
        <f>iferror(VLOOKUP(P109,'DO NOT TOUCH Imported'!$A$1:$D$800,4,False),iferror(VLOOKUP(P109,'DO NOT TOUCH Imported'!$C$1:$D$800,2,False),"OOPS FIX ME"))</f>
        <v>iviangita</v>
      </c>
      <c r="B109" s="165" t="s">
        <v>443</v>
      </c>
      <c r="C109" s="170" t="s">
        <v>1603</v>
      </c>
      <c r="D109" s="236" t="s">
        <v>437</v>
      </c>
      <c r="E109" s="239">
        <v>44277.0</v>
      </c>
      <c r="F109" s="170" t="s">
        <v>439</v>
      </c>
      <c r="G109" s="170">
        <v>15.0</v>
      </c>
      <c r="H109" s="171">
        <v>200.0</v>
      </c>
      <c r="I109" s="171">
        <v>100.0</v>
      </c>
      <c r="J109" s="172">
        <f t="shared" si="2"/>
        <v>0.001496233644</v>
      </c>
      <c r="K109" s="173">
        <f t="shared" si="3"/>
        <v>1.670794236</v>
      </c>
      <c r="L109" s="174">
        <f t="shared" si="4"/>
        <v>20.15775204</v>
      </c>
      <c r="M109" s="175" t="str">
        <f t="shared" si="5"/>
        <v>iviangita</v>
      </c>
      <c r="N109" s="176">
        <f>IFERROR(__xludf.DUMMYFUNCTION("""COMPUTED_VALUE"""),16.0)</f>
        <v>16</v>
      </c>
      <c r="O109" s="176"/>
      <c r="P109" s="165" t="s">
        <v>441</v>
      </c>
      <c r="Q109" s="165" t="s">
        <v>443</v>
      </c>
      <c r="R109" s="176"/>
      <c r="S109" s="176"/>
      <c r="T109" s="176"/>
      <c r="U109" s="176"/>
      <c r="V109" s="176"/>
      <c r="W109" s="176"/>
      <c r="X109" s="176"/>
      <c r="Y109" s="176"/>
      <c r="Z109" s="176"/>
      <c r="AA109" s="176"/>
    </row>
    <row r="110">
      <c r="A110" s="165" t="str">
        <f>iferror(VLOOKUP(P110,'DO NOT TOUCH Imported'!$A$1:$D$800,4,False),iferror(VLOOKUP(P110,'DO NOT TOUCH Imported'!$C$1:$D$800,2,False),"OOPS FIX ME"))</f>
        <v>iviangita</v>
      </c>
      <c r="B110" s="165" t="s">
        <v>441</v>
      </c>
      <c r="C110" s="170" t="s">
        <v>1604</v>
      </c>
      <c r="D110" s="236" t="s">
        <v>437</v>
      </c>
      <c r="E110" s="239">
        <v>44277.0</v>
      </c>
      <c r="F110" s="170" t="s">
        <v>439</v>
      </c>
      <c r="G110" s="170">
        <v>15.0</v>
      </c>
      <c r="H110" s="171">
        <v>200.0</v>
      </c>
      <c r="I110" s="171">
        <v>100.0</v>
      </c>
      <c r="J110" s="172">
        <f t="shared" si="2"/>
        <v>0.001496233644</v>
      </c>
      <c r="K110" s="173">
        <f t="shared" si="3"/>
        <v>1.670794236</v>
      </c>
      <c r="L110" s="174">
        <f t="shared" si="4"/>
        <v>20.15775204</v>
      </c>
      <c r="M110" s="175" t="str">
        <f t="shared" si="5"/>
        <v>iviangita</v>
      </c>
      <c r="N110" s="176">
        <f>IFERROR(__xludf.DUMMYFUNCTION("""COMPUTED_VALUE"""),17.0)</f>
        <v>17</v>
      </c>
      <c r="O110" s="176"/>
      <c r="P110" s="165" t="s">
        <v>441</v>
      </c>
      <c r="Q110" s="165" t="s">
        <v>441</v>
      </c>
      <c r="R110" s="176"/>
      <c r="S110" s="176"/>
      <c r="T110" s="176"/>
      <c r="U110" s="176"/>
      <c r="V110" s="176"/>
      <c r="W110" s="176"/>
      <c r="X110" s="176"/>
      <c r="Y110" s="176"/>
      <c r="Z110" s="176"/>
      <c r="AA110" s="176"/>
    </row>
    <row r="111">
      <c r="A111" s="165" t="str">
        <f>iferror(VLOOKUP(P111,'DO NOT TOUCH Imported'!$A$1:$D$800,4,False),iferror(VLOOKUP(P111,'DO NOT TOUCH Imported'!$C$1:$D$800,2,False),"OOPS FIX ME"))</f>
        <v>iviangita</v>
      </c>
      <c r="B111" s="165" t="s">
        <v>443</v>
      </c>
      <c r="C111" s="170" t="s">
        <v>1652</v>
      </c>
      <c r="D111" s="236" t="s">
        <v>437</v>
      </c>
      <c r="E111" s="239">
        <v>44279.0</v>
      </c>
      <c r="F111" s="170" t="s">
        <v>439</v>
      </c>
      <c r="G111" s="170">
        <v>15.0</v>
      </c>
      <c r="H111" s="171">
        <v>100.0</v>
      </c>
      <c r="I111" s="171">
        <v>100.0</v>
      </c>
      <c r="J111" s="172">
        <f t="shared" si="2"/>
        <v>0.001076708966</v>
      </c>
      <c r="K111" s="173">
        <f t="shared" si="3"/>
        <v>1.202325011</v>
      </c>
      <c r="L111" s="174">
        <f t="shared" si="4"/>
        <v>20.15775204</v>
      </c>
      <c r="M111" s="175" t="str">
        <f t="shared" si="5"/>
        <v>iviangita</v>
      </c>
      <c r="N111" s="176">
        <f>IFERROR(__xludf.DUMMYFUNCTION("""COMPUTED_VALUE"""),18.0)</f>
        <v>18</v>
      </c>
      <c r="O111" s="176"/>
      <c r="P111" s="165" t="s">
        <v>441</v>
      </c>
      <c r="Q111" s="165" t="s">
        <v>443</v>
      </c>
      <c r="R111" s="176"/>
      <c r="S111" s="176"/>
      <c r="T111" s="176"/>
      <c r="U111" s="176"/>
      <c r="V111" s="176"/>
      <c r="W111" s="176"/>
      <c r="X111" s="176"/>
      <c r="Y111" s="176"/>
      <c r="Z111" s="176"/>
      <c r="AA111" s="176"/>
    </row>
    <row r="112">
      <c r="A112" s="165" t="str">
        <f>iferror(VLOOKUP(P112,'DO NOT TOUCH Imported'!$A$1:$D$800,4,False),iferror(VLOOKUP(P112,'DO NOT TOUCH Imported'!$C$1:$D$800,2,False),"OOPS FIX ME"))</f>
        <v>iviangita</v>
      </c>
      <c r="B112" s="165" t="s">
        <v>441</v>
      </c>
      <c r="C112" s="170" t="s">
        <v>1606</v>
      </c>
      <c r="D112" s="236" t="s">
        <v>437</v>
      </c>
      <c r="E112" s="239">
        <v>44281.0</v>
      </c>
      <c r="F112" s="170" t="s">
        <v>439</v>
      </c>
      <c r="G112" s="170">
        <v>15.0</v>
      </c>
      <c r="H112" s="171">
        <v>100.0</v>
      </c>
      <c r="I112" s="171">
        <v>100.0</v>
      </c>
      <c r="J112" s="172">
        <f t="shared" si="2"/>
        <v>0.001076708966</v>
      </c>
      <c r="K112" s="173">
        <f t="shared" si="3"/>
        <v>1.202325011</v>
      </c>
      <c r="L112" s="174">
        <f t="shared" si="4"/>
        <v>20.15775204</v>
      </c>
      <c r="M112" s="175" t="str">
        <f t="shared" si="5"/>
        <v>iviangita</v>
      </c>
      <c r="N112" s="176">
        <f>IFERROR(__xludf.DUMMYFUNCTION("""COMPUTED_VALUE"""),19.0)</f>
        <v>19</v>
      </c>
      <c r="O112" s="176"/>
      <c r="P112" s="165" t="s">
        <v>441</v>
      </c>
      <c r="Q112" s="165" t="s">
        <v>441</v>
      </c>
      <c r="R112" s="176"/>
      <c r="S112" s="176"/>
      <c r="T112" s="176"/>
      <c r="U112" s="176"/>
      <c r="V112" s="176"/>
      <c r="W112" s="176"/>
      <c r="X112" s="176"/>
      <c r="Y112" s="176"/>
      <c r="Z112" s="176"/>
      <c r="AA112" s="176"/>
    </row>
    <row r="113">
      <c r="A113" s="165" t="str">
        <f>iferror(VLOOKUP(P113,'DO NOT TOUCH Imported'!$A$1:$D$800,4,False),iferror(VLOOKUP(P113,'DO NOT TOUCH Imported'!$C$1:$D$800,2,False),"OOPS FIX ME"))</f>
        <v>iviangita</v>
      </c>
      <c r="B113" s="249" t="s">
        <v>590</v>
      </c>
      <c r="C113" s="250" t="s">
        <v>1608</v>
      </c>
      <c r="D113" s="236" t="s">
        <v>1584</v>
      </c>
      <c r="E113" s="251">
        <v>44271.0</v>
      </c>
      <c r="F113" s="219" t="s">
        <v>496</v>
      </c>
      <c r="G113" s="170">
        <v>25.0</v>
      </c>
      <c r="H113" s="171">
        <v>100.0</v>
      </c>
      <c r="I113" s="171">
        <v>100.0</v>
      </c>
      <c r="J113" s="172">
        <f t="shared" si="2"/>
        <v>0.001234425234</v>
      </c>
      <c r="K113" s="173">
        <f t="shared" si="3"/>
        <v>1.378441511</v>
      </c>
      <c r="L113" s="174">
        <f t="shared" si="4"/>
        <v>20.15775204</v>
      </c>
      <c r="M113" s="175" t="str">
        <f t="shared" si="5"/>
        <v>iviangita</v>
      </c>
      <c r="N113" s="176">
        <f>IFERROR(__xludf.DUMMYFUNCTION("""COMPUTED_VALUE"""),20.0)</f>
        <v>20</v>
      </c>
      <c r="O113" s="176"/>
      <c r="P113" s="249" t="s">
        <v>10</v>
      </c>
      <c r="Q113" s="249" t="s">
        <v>590</v>
      </c>
      <c r="R113" s="176"/>
      <c r="S113" s="176"/>
      <c r="T113" s="176"/>
      <c r="U113" s="176"/>
      <c r="V113" s="176"/>
      <c r="W113" s="176"/>
      <c r="X113" s="176"/>
      <c r="Y113" s="176"/>
      <c r="Z113" s="176"/>
      <c r="AA113" s="176"/>
    </row>
    <row r="114">
      <c r="A114" s="165" t="str">
        <f>iferror(VLOOKUP(P114,'DO NOT TOUCH Imported'!$A$1:$D$800,4,False),iferror(VLOOKUP(P114,'DO NOT TOUCH Imported'!$C$1:$D$800,2,False),"OOPS FIX ME"))</f>
        <v>iviangita</v>
      </c>
      <c r="B114" s="165" t="s">
        <v>576</v>
      </c>
      <c r="C114" s="170" t="s">
        <v>1615</v>
      </c>
      <c r="D114" s="236" t="s">
        <v>437</v>
      </c>
      <c r="E114" s="239">
        <v>44281.0</v>
      </c>
      <c r="F114" s="170" t="s">
        <v>439</v>
      </c>
      <c r="G114" s="170">
        <v>15.0</v>
      </c>
      <c r="H114" s="171">
        <v>100.0</v>
      </c>
      <c r="I114" s="171">
        <v>100.0</v>
      </c>
      <c r="J114" s="172">
        <f t="shared" si="2"/>
        <v>0.001076708966</v>
      </c>
      <c r="K114" s="173">
        <f t="shared" si="3"/>
        <v>1.202325011</v>
      </c>
      <c r="L114" s="174">
        <f t="shared" si="4"/>
        <v>20.15775204</v>
      </c>
      <c r="M114" s="175" t="str">
        <f t="shared" si="5"/>
        <v>iviangita</v>
      </c>
      <c r="N114" s="176">
        <f>IFERROR(__xludf.DUMMYFUNCTION("""COMPUTED_VALUE"""),21.0)</f>
        <v>21</v>
      </c>
      <c r="O114" s="176"/>
      <c r="P114" s="165" t="s">
        <v>441</v>
      </c>
      <c r="Q114" s="165" t="s">
        <v>576</v>
      </c>
      <c r="R114" s="176"/>
      <c r="S114" s="176"/>
      <c r="T114" s="176"/>
      <c r="U114" s="176"/>
      <c r="V114" s="176"/>
      <c r="W114" s="176"/>
      <c r="X114" s="176"/>
      <c r="Y114" s="176"/>
      <c r="Z114" s="176"/>
      <c r="AA114" s="176"/>
    </row>
    <row r="115">
      <c r="A115" s="165" t="str">
        <f>iferror(VLOOKUP(P115,'DO NOT TOUCH Imported'!$A$1:$D$800,4,False),iferror(VLOOKUP(P115,'DO NOT TOUCH Imported'!$C$1:$D$800,2,False),"OOPS FIX ME"))</f>
        <v>iviangita</v>
      </c>
      <c r="B115" s="165" t="s">
        <v>443</v>
      </c>
      <c r="C115" s="170" t="s">
        <v>1616</v>
      </c>
      <c r="D115" s="236" t="s">
        <v>437</v>
      </c>
      <c r="E115" s="239">
        <v>44280.0</v>
      </c>
      <c r="F115" s="170" t="s">
        <v>439</v>
      </c>
      <c r="G115" s="170">
        <v>5.0</v>
      </c>
      <c r="H115" s="171">
        <v>100.0</v>
      </c>
      <c r="I115" s="171">
        <v>100.0</v>
      </c>
      <c r="J115" s="172">
        <f t="shared" si="2"/>
        <v>0.0009189926971</v>
      </c>
      <c r="K115" s="173">
        <f t="shared" si="3"/>
        <v>1.026208512</v>
      </c>
      <c r="L115" s="174">
        <f t="shared" si="4"/>
        <v>20.15775204</v>
      </c>
      <c r="M115" s="175" t="str">
        <f t="shared" si="5"/>
        <v>iviangita</v>
      </c>
      <c r="N115" s="176">
        <f>IFERROR(__xludf.DUMMYFUNCTION("""COMPUTED_VALUE"""),22.0)</f>
        <v>22</v>
      </c>
      <c r="O115" s="176"/>
      <c r="P115" s="165" t="s">
        <v>441</v>
      </c>
      <c r="Q115" s="165" t="s">
        <v>443</v>
      </c>
      <c r="R115" s="176"/>
      <c r="S115" s="176"/>
      <c r="T115" s="176"/>
      <c r="U115" s="176"/>
      <c r="V115" s="176"/>
      <c r="W115" s="176"/>
      <c r="X115" s="176"/>
      <c r="Y115" s="176"/>
      <c r="Z115" s="176"/>
      <c r="AA115" s="176"/>
    </row>
    <row r="116">
      <c r="A116" s="185" t="str">
        <f>iferror(VLOOKUP(P116,'DO NOT TOUCH Imported'!$A$1:$D$800,4,False),iferror(VLOOKUP(P116,'DO NOT TOUCH Imported'!$C$1:$D$800,2,False),"OOPS FIX ME"))</f>
        <v>iviangita</v>
      </c>
      <c r="B116" s="185" t="s">
        <v>534</v>
      </c>
      <c r="C116" s="186" t="s">
        <v>535</v>
      </c>
      <c r="D116" s="187"/>
      <c r="E116" s="188"/>
      <c r="F116" s="189"/>
      <c r="G116" s="190"/>
      <c r="H116" s="190"/>
      <c r="I116" s="190"/>
      <c r="J116" s="191">
        <f t="shared" si="2"/>
        <v>0</v>
      </c>
      <c r="K116" s="192">
        <f>40.315*-0.5</f>
        <v>-20.1575</v>
      </c>
      <c r="L116" s="193">
        <f t="shared" si="4"/>
        <v>20.15775204</v>
      </c>
      <c r="M116" s="194" t="str">
        <f t="shared" si="5"/>
        <v>iviangita</v>
      </c>
      <c r="N116" s="195">
        <f>IFERROR(__xludf.DUMMYFUNCTION("""COMPUTED_VALUE"""),23.0)</f>
        <v>23</v>
      </c>
      <c r="O116" s="195"/>
      <c r="P116" s="185" t="s">
        <v>10</v>
      </c>
      <c r="Q116" s="185" t="s">
        <v>534</v>
      </c>
      <c r="R116" s="195">
        <v>18.802169413641863</v>
      </c>
      <c r="S116" s="195"/>
      <c r="T116" s="195"/>
      <c r="U116" s="195"/>
      <c r="V116" s="195"/>
      <c r="W116" s="195"/>
      <c r="X116" s="195"/>
      <c r="Y116" s="195"/>
      <c r="Z116" s="195"/>
      <c r="AA116" s="176"/>
    </row>
    <row r="117">
      <c r="A117" s="165" t="str">
        <f>iferror(VLOOKUP(P117,'DO NOT TOUCH Imported'!$A$1:$D$800,4,False),iferror(VLOOKUP(P117,'DO NOT TOUCH Imported'!$C$1:$D$800,2,False),"OOPS FIX ME"))</f>
        <v>solsista</v>
      </c>
      <c r="B117" s="165" t="s">
        <v>441</v>
      </c>
      <c r="C117" s="170" t="s">
        <v>1653</v>
      </c>
      <c r="D117" s="236" t="s">
        <v>437</v>
      </c>
      <c r="E117" s="239">
        <v>44274.0</v>
      </c>
      <c r="F117" s="170" t="s">
        <v>439</v>
      </c>
      <c r="G117" s="170">
        <v>15.0</v>
      </c>
      <c r="H117" s="171">
        <v>200.0</v>
      </c>
      <c r="I117" s="171">
        <v>200.0</v>
      </c>
      <c r="J117" s="172">
        <f t="shared" si="2"/>
        <v>0.001916843528</v>
      </c>
      <c r="K117" s="173">
        <f t="shared" ref="K117:K205" si="6">J117*$J$1</f>
        <v>2.140475273</v>
      </c>
      <c r="L117" s="174">
        <f t="shared" si="4"/>
        <v>19.76290644</v>
      </c>
      <c r="M117" s="175" t="str">
        <f t="shared" si="5"/>
        <v>solsista</v>
      </c>
      <c r="N117" s="176">
        <f>IFERROR(__xludf.DUMMYFUNCTION("""COMPUTED_VALUE"""),1.0)</f>
        <v>1</v>
      </c>
      <c r="O117" s="176"/>
      <c r="P117" s="165" t="s">
        <v>463</v>
      </c>
      <c r="Q117" s="165" t="s">
        <v>441</v>
      </c>
      <c r="R117" s="176"/>
      <c r="S117" s="176"/>
      <c r="T117" s="176"/>
      <c r="U117" s="176"/>
      <c r="V117" s="176"/>
      <c r="W117" s="176"/>
      <c r="X117" s="176"/>
      <c r="Y117" s="176"/>
      <c r="Z117" s="176"/>
      <c r="AA117" s="176"/>
    </row>
    <row r="118">
      <c r="A118" s="165" t="str">
        <f>iferror(VLOOKUP(P118,'DO NOT TOUCH Imported'!$A$1:$D$800,4,False),iferror(VLOOKUP(P118,'DO NOT TOUCH Imported'!$C$1:$D$800,2,False),"OOPS FIX ME"))</f>
        <v>solsista</v>
      </c>
      <c r="B118" s="249" t="s">
        <v>18</v>
      </c>
      <c r="C118" s="250" t="s">
        <v>1654</v>
      </c>
      <c r="D118" s="236" t="s">
        <v>1584</v>
      </c>
      <c r="E118" s="251">
        <v>44279.0</v>
      </c>
      <c r="F118" s="219" t="s">
        <v>496</v>
      </c>
      <c r="G118" s="170">
        <v>25.0</v>
      </c>
      <c r="H118" s="171">
        <v>200.0</v>
      </c>
      <c r="I118" s="171">
        <v>100.0</v>
      </c>
      <c r="J118" s="172">
        <f t="shared" si="2"/>
        <v>0.001653949912</v>
      </c>
      <c r="K118" s="173">
        <f t="shared" si="6"/>
        <v>1.846910736</v>
      </c>
      <c r="L118" s="174">
        <f t="shared" si="4"/>
        <v>19.76290644</v>
      </c>
      <c r="M118" s="175" t="str">
        <f t="shared" si="5"/>
        <v>solsista</v>
      </c>
      <c r="N118" s="176">
        <f>IFERROR(__xludf.DUMMYFUNCTION("""COMPUTED_VALUE"""),2.0)</f>
        <v>2</v>
      </c>
      <c r="O118" s="176"/>
      <c r="P118" s="249" t="s">
        <v>8</v>
      </c>
      <c r="Q118" s="249" t="s">
        <v>18</v>
      </c>
      <c r="R118" s="176"/>
      <c r="S118" s="176"/>
      <c r="T118" s="176"/>
      <c r="U118" s="176"/>
      <c r="V118" s="176"/>
      <c r="W118" s="176"/>
      <c r="X118" s="176"/>
      <c r="Y118" s="176"/>
      <c r="Z118" s="176"/>
      <c r="AA118" s="176"/>
    </row>
    <row r="119">
      <c r="A119" s="165" t="str">
        <f>iferror(VLOOKUP(P119,'DO NOT TOUCH Imported'!$A$1:$D$800,4,False),iferror(VLOOKUP(P119,'DO NOT TOUCH Imported'!$C$1:$D$800,2,False),"OOPS FIX ME"))</f>
        <v>solsista</v>
      </c>
      <c r="B119" s="165" t="s">
        <v>441</v>
      </c>
      <c r="C119" s="170" t="s">
        <v>1655</v>
      </c>
      <c r="D119" s="236" t="s">
        <v>437</v>
      </c>
      <c r="E119" s="239">
        <v>44281.0</v>
      </c>
      <c r="F119" s="170" t="s">
        <v>439</v>
      </c>
      <c r="G119" s="170">
        <v>25.0</v>
      </c>
      <c r="H119" s="171">
        <v>100.0</v>
      </c>
      <c r="I119" s="171">
        <v>200.0</v>
      </c>
      <c r="J119" s="172">
        <f t="shared" si="2"/>
        <v>0.001655035118</v>
      </c>
      <c r="K119" s="173">
        <f t="shared" si="6"/>
        <v>1.848122549</v>
      </c>
      <c r="L119" s="174">
        <f t="shared" si="4"/>
        <v>19.76290644</v>
      </c>
      <c r="M119" s="175" t="str">
        <f t="shared" si="5"/>
        <v>solsista</v>
      </c>
      <c r="N119" s="176">
        <f>IFERROR(__xludf.DUMMYFUNCTION("""COMPUTED_VALUE"""),3.0)</f>
        <v>3</v>
      </c>
      <c r="O119" s="176"/>
      <c r="P119" s="165" t="s">
        <v>463</v>
      </c>
      <c r="Q119" s="165" t="s">
        <v>441</v>
      </c>
      <c r="R119" s="176"/>
      <c r="S119" s="176"/>
      <c r="T119" s="176"/>
      <c r="U119" s="176"/>
      <c r="V119" s="176"/>
      <c r="W119" s="176"/>
      <c r="X119" s="176"/>
      <c r="Y119" s="176"/>
      <c r="Z119" s="176"/>
      <c r="AA119" s="176"/>
    </row>
    <row r="120">
      <c r="A120" s="165" t="str">
        <f>iferror(VLOOKUP(P120,'DO NOT TOUCH Imported'!$A$1:$D$800,4,False),iferror(VLOOKUP(P120,'DO NOT TOUCH Imported'!$C$1:$D$800,2,False),"OOPS FIX ME"))</f>
        <v>solsista</v>
      </c>
      <c r="B120" s="165" t="s">
        <v>441</v>
      </c>
      <c r="C120" s="170" t="s">
        <v>1656</v>
      </c>
      <c r="D120" s="236" t="s">
        <v>437</v>
      </c>
      <c r="E120" s="239">
        <v>44274.0</v>
      </c>
      <c r="F120" s="170" t="s">
        <v>439</v>
      </c>
      <c r="G120" s="170">
        <v>15.0</v>
      </c>
      <c r="H120" s="171">
        <v>200.0</v>
      </c>
      <c r="I120" s="171">
        <v>100.0</v>
      </c>
      <c r="J120" s="172">
        <f t="shared" si="2"/>
        <v>0.001496233644</v>
      </c>
      <c r="K120" s="173">
        <f t="shared" si="6"/>
        <v>1.670794236</v>
      </c>
      <c r="L120" s="174">
        <f t="shared" si="4"/>
        <v>19.76290644</v>
      </c>
      <c r="M120" s="175" t="str">
        <f t="shared" si="5"/>
        <v>solsista</v>
      </c>
      <c r="N120" s="176">
        <f>IFERROR(__xludf.DUMMYFUNCTION("""COMPUTED_VALUE"""),4.0)</f>
        <v>4</v>
      </c>
      <c r="O120" s="176"/>
      <c r="P120" s="165" t="s">
        <v>463</v>
      </c>
      <c r="Q120" s="165" t="s">
        <v>441</v>
      </c>
      <c r="R120" s="176"/>
      <c r="S120" s="176"/>
      <c r="T120" s="176"/>
      <c r="U120" s="176"/>
      <c r="V120" s="176"/>
      <c r="W120" s="176"/>
      <c r="X120" s="176"/>
      <c r="Y120" s="176"/>
      <c r="Z120" s="176"/>
      <c r="AA120" s="176"/>
    </row>
    <row r="121">
      <c r="A121" s="165" t="str">
        <f>iferror(VLOOKUP(P121,'DO NOT TOUCH Imported'!$A$1:$D$800,4,False),iferror(VLOOKUP(P121,'DO NOT TOUCH Imported'!$C$1:$D$800,2,False),"OOPS FIX ME"))</f>
        <v>solsista</v>
      </c>
      <c r="B121" s="165" t="s">
        <v>440</v>
      </c>
      <c r="C121" s="170" t="s">
        <v>1657</v>
      </c>
      <c r="D121" s="236" t="s">
        <v>437</v>
      </c>
      <c r="E121" s="239">
        <v>44274.0</v>
      </c>
      <c r="F121" s="170" t="s">
        <v>439</v>
      </c>
      <c r="G121" s="170">
        <v>15.0</v>
      </c>
      <c r="H121" s="171">
        <v>200.0</v>
      </c>
      <c r="I121" s="171">
        <v>100.0</v>
      </c>
      <c r="J121" s="172">
        <f t="shared" si="2"/>
        <v>0.001496233644</v>
      </c>
      <c r="K121" s="173">
        <f t="shared" si="6"/>
        <v>1.670794236</v>
      </c>
      <c r="L121" s="174">
        <f t="shared" si="4"/>
        <v>19.76290644</v>
      </c>
      <c r="M121" s="175" t="str">
        <f t="shared" si="5"/>
        <v>solsista</v>
      </c>
      <c r="N121" s="176">
        <f>IFERROR(__xludf.DUMMYFUNCTION("""COMPUTED_VALUE"""),5.0)</f>
        <v>5</v>
      </c>
      <c r="O121" s="176"/>
      <c r="P121" s="165" t="s">
        <v>463</v>
      </c>
      <c r="Q121" s="165" t="s">
        <v>440</v>
      </c>
      <c r="R121" s="176"/>
      <c r="S121" s="176"/>
      <c r="T121" s="176"/>
      <c r="U121" s="176"/>
      <c r="V121" s="176"/>
      <c r="W121" s="176"/>
      <c r="X121" s="176"/>
      <c r="Y121" s="176"/>
      <c r="Z121" s="176"/>
      <c r="AA121" s="176"/>
    </row>
    <row r="122">
      <c r="A122" s="165" t="str">
        <f>iferror(VLOOKUP(P122,'DO NOT TOUCH Imported'!$A$1:$D$800,4,False),iferror(VLOOKUP(P122,'DO NOT TOUCH Imported'!$C$1:$D$800,2,False),"OOPS FIX ME"))</f>
        <v>solsista</v>
      </c>
      <c r="B122" s="165" t="s">
        <v>443</v>
      </c>
      <c r="C122" s="170" t="s">
        <v>1658</v>
      </c>
      <c r="D122" s="236" t="s">
        <v>437</v>
      </c>
      <c r="E122" s="239">
        <v>44273.0</v>
      </c>
      <c r="F122" s="170" t="s">
        <v>439</v>
      </c>
      <c r="G122" s="170">
        <v>15.0</v>
      </c>
      <c r="H122" s="171">
        <v>100.0</v>
      </c>
      <c r="I122" s="171">
        <v>200.0</v>
      </c>
      <c r="J122" s="172">
        <f t="shared" si="2"/>
        <v>0.00149731885</v>
      </c>
      <c r="K122" s="173">
        <f t="shared" si="6"/>
        <v>1.672006049</v>
      </c>
      <c r="L122" s="174">
        <f t="shared" si="4"/>
        <v>19.76290644</v>
      </c>
      <c r="M122" s="175" t="str">
        <f t="shared" si="5"/>
        <v>solsista</v>
      </c>
      <c r="N122" s="176">
        <f>IFERROR(__xludf.DUMMYFUNCTION("""COMPUTED_VALUE"""),6.0)</f>
        <v>6</v>
      </c>
      <c r="O122" s="176"/>
      <c r="P122" s="165" t="s">
        <v>463</v>
      </c>
      <c r="Q122" s="165" t="s">
        <v>443</v>
      </c>
      <c r="R122" s="176"/>
      <c r="S122" s="176"/>
      <c r="T122" s="176"/>
      <c r="U122" s="176"/>
      <c r="V122" s="176"/>
      <c r="W122" s="176"/>
      <c r="X122" s="176"/>
      <c r="Y122" s="176"/>
      <c r="Z122" s="176"/>
      <c r="AA122" s="176"/>
    </row>
    <row r="123">
      <c r="A123" s="165" t="str">
        <f>iferror(VLOOKUP(P123,'DO NOT TOUCH Imported'!$A$1:$D$800,4,False),iferror(VLOOKUP(P123,'DO NOT TOUCH Imported'!$C$1:$D$800,2,False),"OOPS FIX ME"))</f>
        <v>solsista</v>
      </c>
      <c r="B123" s="165" t="s">
        <v>75</v>
      </c>
      <c r="C123" s="170" t="s">
        <v>1659</v>
      </c>
      <c r="D123" s="236" t="s">
        <v>437</v>
      </c>
      <c r="E123" s="239">
        <v>44281.0</v>
      </c>
      <c r="F123" s="170" t="s">
        <v>439</v>
      </c>
      <c r="G123" s="170">
        <v>10.0</v>
      </c>
      <c r="H123" s="171">
        <v>200.0</v>
      </c>
      <c r="I123" s="171">
        <v>100.0</v>
      </c>
      <c r="J123" s="172">
        <f t="shared" si="2"/>
        <v>0.00141737551</v>
      </c>
      <c r="K123" s="173">
        <f t="shared" si="6"/>
        <v>1.582735986</v>
      </c>
      <c r="L123" s="174">
        <f t="shared" si="4"/>
        <v>19.76290644</v>
      </c>
      <c r="M123" s="175" t="str">
        <f t="shared" si="5"/>
        <v>solsista</v>
      </c>
      <c r="N123" s="176">
        <f>IFERROR(__xludf.DUMMYFUNCTION("""COMPUTED_VALUE"""),7.0)</f>
        <v>7</v>
      </c>
      <c r="O123" s="176"/>
      <c r="P123" s="165" t="s">
        <v>463</v>
      </c>
      <c r="Q123" s="165" t="s">
        <v>75</v>
      </c>
      <c r="R123" s="176"/>
      <c r="S123" s="176"/>
      <c r="T123" s="176"/>
      <c r="U123" s="176"/>
      <c r="V123" s="176"/>
      <c r="W123" s="176"/>
      <c r="X123" s="176"/>
      <c r="Y123" s="176"/>
      <c r="Z123" s="176"/>
      <c r="AA123" s="176"/>
    </row>
    <row r="124">
      <c r="A124" s="165" t="str">
        <f>iferror(VLOOKUP(P124,'DO NOT TOUCH Imported'!$A$1:$D$800,4,False),iferror(VLOOKUP(P124,'DO NOT TOUCH Imported'!$C$1:$D$800,2,False),"OOPS FIX ME"))</f>
        <v>solsista</v>
      </c>
      <c r="B124" s="165" t="s">
        <v>441</v>
      </c>
      <c r="C124" s="170" t="s">
        <v>1595</v>
      </c>
      <c r="D124" s="236" t="s">
        <v>437</v>
      </c>
      <c r="E124" s="239">
        <v>44281.0</v>
      </c>
      <c r="F124" s="170" t="s">
        <v>439</v>
      </c>
      <c r="G124" s="170">
        <v>25.0</v>
      </c>
      <c r="H124" s="171">
        <v>100.0</v>
      </c>
      <c r="I124" s="171">
        <v>100.0</v>
      </c>
      <c r="J124" s="172">
        <f t="shared" si="2"/>
        <v>0.001234425234</v>
      </c>
      <c r="K124" s="173">
        <f t="shared" si="6"/>
        <v>1.378441511</v>
      </c>
      <c r="L124" s="174">
        <f t="shared" si="4"/>
        <v>19.76290644</v>
      </c>
      <c r="M124" s="175" t="str">
        <f t="shared" si="5"/>
        <v>solsista</v>
      </c>
      <c r="N124" s="176">
        <f>IFERROR(__xludf.DUMMYFUNCTION("""COMPUTED_VALUE"""),8.0)</f>
        <v>8</v>
      </c>
      <c r="O124" s="176"/>
      <c r="P124" s="165" t="s">
        <v>463</v>
      </c>
      <c r="Q124" s="165" t="s">
        <v>441</v>
      </c>
      <c r="R124" s="176"/>
      <c r="S124" s="176"/>
      <c r="T124" s="176"/>
      <c r="U124" s="176"/>
      <c r="V124" s="176"/>
      <c r="W124" s="176"/>
      <c r="X124" s="176"/>
      <c r="Y124" s="176"/>
      <c r="Z124" s="176"/>
      <c r="AA124" s="176"/>
    </row>
    <row r="125">
      <c r="A125" s="165" t="str">
        <f>iferror(VLOOKUP(P125,'DO NOT TOUCH Imported'!$A$1:$D$800,4,False),iferror(VLOOKUP(P125,'DO NOT TOUCH Imported'!$C$1:$D$800,2,False),"OOPS FIX ME"))</f>
        <v>solsista</v>
      </c>
      <c r="B125" s="165" t="s">
        <v>443</v>
      </c>
      <c r="C125" s="170" t="s">
        <v>1603</v>
      </c>
      <c r="D125" s="236" t="s">
        <v>437</v>
      </c>
      <c r="E125" s="239">
        <v>44277.0</v>
      </c>
      <c r="F125" s="170" t="s">
        <v>439</v>
      </c>
      <c r="G125" s="170">
        <v>15.0</v>
      </c>
      <c r="H125" s="171">
        <v>200.0</v>
      </c>
      <c r="I125" s="171">
        <v>100.0</v>
      </c>
      <c r="J125" s="172">
        <f t="shared" si="2"/>
        <v>0.001496233644</v>
      </c>
      <c r="K125" s="173">
        <f t="shared" si="6"/>
        <v>1.670794236</v>
      </c>
      <c r="L125" s="174">
        <f t="shared" si="4"/>
        <v>19.76290644</v>
      </c>
      <c r="M125" s="175" t="str">
        <f t="shared" si="5"/>
        <v>solsista</v>
      </c>
      <c r="N125" s="176">
        <f>IFERROR(__xludf.DUMMYFUNCTION("""COMPUTED_VALUE"""),9.0)</f>
        <v>9</v>
      </c>
      <c r="O125" s="176"/>
      <c r="P125" s="165" t="s">
        <v>463</v>
      </c>
      <c r="Q125" s="165" t="s">
        <v>443</v>
      </c>
      <c r="R125" s="176"/>
      <c r="S125" s="176"/>
      <c r="T125" s="176"/>
      <c r="U125" s="176"/>
      <c r="V125" s="176"/>
      <c r="W125" s="176"/>
      <c r="X125" s="176"/>
      <c r="Y125" s="176"/>
      <c r="Z125" s="176"/>
      <c r="AA125" s="176"/>
    </row>
    <row r="126">
      <c r="A126" s="165" t="str">
        <f>iferror(VLOOKUP(P126,'DO NOT TOUCH Imported'!$A$1:$D$800,4,False),iferror(VLOOKUP(P126,'DO NOT TOUCH Imported'!$C$1:$D$800,2,False),"OOPS FIX ME"))</f>
        <v>solsista</v>
      </c>
      <c r="B126" s="165" t="s">
        <v>441</v>
      </c>
      <c r="C126" s="170" t="s">
        <v>1660</v>
      </c>
      <c r="D126" s="236" t="s">
        <v>437</v>
      </c>
      <c r="E126" s="239">
        <v>44281.0</v>
      </c>
      <c r="F126" s="170" t="s">
        <v>439</v>
      </c>
      <c r="G126" s="170">
        <v>15.0</v>
      </c>
      <c r="H126" s="171">
        <v>100.0</v>
      </c>
      <c r="I126" s="171">
        <v>100.0</v>
      </c>
      <c r="J126" s="172">
        <f t="shared" si="2"/>
        <v>0.001076708966</v>
      </c>
      <c r="K126" s="173">
        <f t="shared" si="6"/>
        <v>1.202325011</v>
      </c>
      <c r="L126" s="174">
        <f t="shared" si="4"/>
        <v>19.76290644</v>
      </c>
      <c r="M126" s="175" t="str">
        <f t="shared" si="5"/>
        <v>solsista</v>
      </c>
      <c r="N126" s="176">
        <f>IFERROR(__xludf.DUMMYFUNCTION("""COMPUTED_VALUE"""),10.0)</f>
        <v>10</v>
      </c>
      <c r="O126" s="176"/>
      <c r="P126" s="165" t="s">
        <v>463</v>
      </c>
      <c r="Q126" s="165" t="s">
        <v>441</v>
      </c>
      <c r="R126" s="176"/>
      <c r="S126" s="176"/>
      <c r="T126" s="176"/>
      <c r="U126" s="176"/>
      <c r="V126" s="176"/>
      <c r="W126" s="176"/>
      <c r="X126" s="176"/>
      <c r="Y126" s="176"/>
      <c r="Z126" s="176"/>
      <c r="AA126" s="176"/>
    </row>
    <row r="127">
      <c r="A127" s="165" t="str">
        <f>iferror(VLOOKUP(P127,'DO NOT TOUCH Imported'!$A$1:$D$800,4,False),iferror(VLOOKUP(P127,'DO NOT TOUCH Imported'!$C$1:$D$800,2,False),"OOPS FIX ME"))</f>
        <v>solsista</v>
      </c>
      <c r="B127" s="165" t="s">
        <v>441</v>
      </c>
      <c r="C127" s="170" t="s">
        <v>1612</v>
      </c>
      <c r="D127" s="236" t="s">
        <v>437</v>
      </c>
      <c r="E127" s="239">
        <v>44281.0</v>
      </c>
      <c r="F127" s="170" t="s">
        <v>439</v>
      </c>
      <c r="G127" s="170">
        <v>15.0</v>
      </c>
      <c r="H127" s="171">
        <v>100.0</v>
      </c>
      <c r="I127" s="171">
        <v>100.0</v>
      </c>
      <c r="J127" s="172">
        <f t="shared" si="2"/>
        <v>0.001076708966</v>
      </c>
      <c r="K127" s="173">
        <f t="shared" si="6"/>
        <v>1.202325011</v>
      </c>
      <c r="L127" s="174">
        <f t="shared" si="4"/>
        <v>19.76290644</v>
      </c>
      <c r="M127" s="175" t="str">
        <f t="shared" si="5"/>
        <v>solsista</v>
      </c>
      <c r="N127" s="176">
        <f>IFERROR(__xludf.DUMMYFUNCTION("""COMPUTED_VALUE"""),11.0)</f>
        <v>11</v>
      </c>
      <c r="O127" s="176"/>
      <c r="P127" s="165" t="s">
        <v>463</v>
      </c>
      <c r="Q127" s="165" t="s">
        <v>441</v>
      </c>
      <c r="R127" s="176"/>
      <c r="S127" s="176"/>
      <c r="T127" s="176"/>
      <c r="U127" s="176"/>
      <c r="V127" s="176"/>
      <c r="W127" s="176"/>
      <c r="X127" s="176"/>
      <c r="Y127" s="176"/>
      <c r="Z127" s="176"/>
      <c r="AA127" s="176"/>
    </row>
    <row r="128">
      <c r="A128" s="165" t="str">
        <f>iferror(VLOOKUP(P128,'DO NOT TOUCH Imported'!$A$1:$D$800,4,False),iferror(VLOOKUP(P128,'DO NOT TOUCH Imported'!$C$1:$D$800,2,False),"OOPS FIX ME"))</f>
        <v>solsista</v>
      </c>
      <c r="B128" s="165" t="s">
        <v>443</v>
      </c>
      <c r="C128" s="170" t="s">
        <v>1616</v>
      </c>
      <c r="D128" s="236" t="s">
        <v>437</v>
      </c>
      <c r="E128" s="239">
        <v>44280.0</v>
      </c>
      <c r="F128" s="170" t="s">
        <v>439</v>
      </c>
      <c r="G128" s="170">
        <v>5.0</v>
      </c>
      <c r="H128" s="171">
        <v>100.0</v>
      </c>
      <c r="I128" s="171">
        <v>100.0</v>
      </c>
      <c r="J128" s="172">
        <f t="shared" si="2"/>
        <v>0.0009189926971</v>
      </c>
      <c r="K128" s="173">
        <f t="shared" si="6"/>
        <v>1.026208512</v>
      </c>
      <c r="L128" s="174">
        <f t="shared" si="4"/>
        <v>19.76290644</v>
      </c>
      <c r="M128" s="175" t="str">
        <f t="shared" si="5"/>
        <v>solsista</v>
      </c>
      <c r="N128" s="176">
        <f>IFERROR(__xludf.DUMMYFUNCTION("""COMPUTED_VALUE"""),12.0)</f>
        <v>12</v>
      </c>
      <c r="O128" s="176"/>
      <c r="P128" s="165" t="s">
        <v>463</v>
      </c>
      <c r="Q128" s="165" t="s">
        <v>443</v>
      </c>
      <c r="R128" s="176"/>
      <c r="S128" s="176"/>
      <c r="T128" s="176"/>
      <c r="U128" s="176"/>
      <c r="V128" s="176"/>
      <c r="W128" s="176"/>
      <c r="X128" s="176"/>
      <c r="Y128" s="176"/>
      <c r="Z128" s="176"/>
      <c r="AA128" s="176"/>
    </row>
    <row r="129">
      <c r="A129" s="165" t="str">
        <f>iferror(VLOOKUP(P129,'DO NOT TOUCH Imported'!$A$1:$D$800,4,False),iferror(VLOOKUP(P129,'DO NOT TOUCH Imported'!$C$1:$D$800,2,False),"OOPS FIX ME"))</f>
        <v>solsista</v>
      </c>
      <c r="B129" s="249" t="s">
        <v>10</v>
      </c>
      <c r="C129" s="250" t="s">
        <v>498</v>
      </c>
      <c r="D129" s="236" t="s">
        <v>1584</v>
      </c>
      <c r="E129" s="251">
        <v>44274.0</v>
      </c>
      <c r="F129" s="219" t="s">
        <v>499</v>
      </c>
      <c r="G129" s="170">
        <v>15.0</v>
      </c>
      <c r="H129" s="171">
        <v>25.0</v>
      </c>
      <c r="I129" s="171">
        <v>100.0</v>
      </c>
      <c r="J129" s="172">
        <f t="shared" si="2"/>
        <v>0.0007620654566</v>
      </c>
      <c r="K129" s="173">
        <f t="shared" si="6"/>
        <v>0.8509730932</v>
      </c>
      <c r="L129" s="174">
        <f t="shared" si="4"/>
        <v>19.76290644</v>
      </c>
      <c r="M129" s="175" t="str">
        <f t="shared" si="5"/>
        <v>solsista</v>
      </c>
      <c r="N129" s="176">
        <f>IFERROR(__xludf.DUMMYFUNCTION("""COMPUTED_VALUE"""),13.0)</f>
        <v>13</v>
      </c>
      <c r="O129" s="176"/>
      <c r="P129" s="249" t="s">
        <v>8</v>
      </c>
      <c r="Q129" s="249" t="s">
        <v>10</v>
      </c>
      <c r="R129" s="176"/>
      <c r="S129" s="176"/>
      <c r="T129" s="176"/>
      <c r="U129" s="176"/>
      <c r="V129" s="176"/>
      <c r="W129" s="176"/>
      <c r="X129" s="176"/>
      <c r="Y129" s="176"/>
      <c r="Z129" s="176"/>
      <c r="AA129" s="176"/>
    </row>
    <row r="130">
      <c r="A130" s="165" t="str">
        <f>iferror(VLOOKUP(P130,'DO NOT TOUCH Imported'!$A$1:$D$800,4,False),iferror(VLOOKUP(P130,'DO NOT TOUCH Imported'!$C$1:$D$800,2,False),"OOPS FIX ME"))</f>
        <v>kristoferkristofer</v>
      </c>
      <c r="B130" s="165" t="s">
        <v>566</v>
      </c>
      <c r="C130" s="170" t="s">
        <v>1661</v>
      </c>
      <c r="D130" s="236" t="s">
        <v>499</v>
      </c>
      <c r="E130" s="239">
        <v>44281.0</v>
      </c>
      <c r="F130" s="170" t="s">
        <v>503</v>
      </c>
      <c r="G130" s="170">
        <v>100.0</v>
      </c>
      <c r="H130" s="171">
        <v>100.0</v>
      </c>
      <c r="I130" s="171">
        <v>100.0</v>
      </c>
      <c r="J130" s="172">
        <f t="shared" si="2"/>
        <v>0.002417297247</v>
      </c>
      <c r="K130" s="173">
        <f t="shared" si="6"/>
        <v>2.699315259</v>
      </c>
      <c r="L130" s="174">
        <f t="shared" si="4"/>
        <v>18.73148319</v>
      </c>
      <c r="M130" s="175" t="str">
        <f t="shared" si="5"/>
        <v>kristoferkristofer</v>
      </c>
      <c r="N130" s="176">
        <f>IFERROR(__xludf.DUMMYFUNCTION("""COMPUTED_VALUE"""),1.0)</f>
        <v>1</v>
      </c>
      <c r="O130" s="176"/>
      <c r="P130" s="165" t="s">
        <v>811</v>
      </c>
      <c r="Q130" s="165" t="s">
        <v>566</v>
      </c>
      <c r="R130" s="176"/>
      <c r="S130" s="176"/>
      <c r="T130" s="176"/>
      <c r="U130" s="176"/>
      <c r="V130" s="176"/>
      <c r="W130" s="176"/>
      <c r="X130" s="176"/>
      <c r="Y130" s="176"/>
      <c r="Z130" s="176"/>
      <c r="AA130" s="176"/>
    </row>
    <row r="131">
      <c r="A131" s="165" t="str">
        <f>iferror(VLOOKUP(P131,'DO NOT TOUCH Imported'!$A$1:$D$800,4,False),iferror(VLOOKUP(P131,'DO NOT TOUCH Imported'!$C$1:$D$800,2,False),"OOPS FIX ME"))</f>
        <v>kristoferkristofer</v>
      </c>
      <c r="B131" s="165" t="s">
        <v>441</v>
      </c>
      <c r="C131" s="170" t="s">
        <v>1662</v>
      </c>
      <c r="D131" s="236" t="s">
        <v>437</v>
      </c>
      <c r="E131" s="239">
        <v>44281.0</v>
      </c>
      <c r="F131" s="170" t="s">
        <v>439</v>
      </c>
      <c r="G131" s="170">
        <v>50.0</v>
      </c>
      <c r="H131" s="171">
        <v>100.0</v>
      </c>
      <c r="I131" s="171">
        <v>200.0</v>
      </c>
      <c r="J131" s="172">
        <f t="shared" si="2"/>
        <v>0.002049325789</v>
      </c>
      <c r="K131" s="173">
        <f t="shared" si="6"/>
        <v>2.288413798</v>
      </c>
      <c r="L131" s="174">
        <f t="shared" si="4"/>
        <v>18.73148319</v>
      </c>
      <c r="M131" s="175" t="str">
        <f t="shared" si="5"/>
        <v>kristoferkristofer</v>
      </c>
      <c r="N131" s="176">
        <f>IFERROR(__xludf.DUMMYFUNCTION("""COMPUTED_VALUE"""),2.0)</f>
        <v>2</v>
      </c>
      <c r="O131" s="176"/>
      <c r="P131" s="165" t="s">
        <v>811</v>
      </c>
      <c r="Q131" s="165" t="s">
        <v>441</v>
      </c>
      <c r="R131" s="176"/>
      <c r="S131" s="176"/>
      <c r="T131" s="176"/>
      <c r="U131" s="176"/>
      <c r="V131" s="176"/>
      <c r="W131" s="176"/>
      <c r="X131" s="176"/>
      <c r="Y131" s="176"/>
      <c r="Z131" s="176"/>
      <c r="AA131" s="176"/>
    </row>
    <row r="132">
      <c r="A132" s="165" t="str">
        <f>iferror(VLOOKUP(P132,'DO NOT TOUCH Imported'!$A$1:$D$800,4,False),iferror(VLOOKUP(P132,'DO NOT TOUCH Imported'!$C$1:$D$800,2,False),"OOPS FIX ME"))</f>
        <v>kristoferkristofer</v>
      </c>
      <c r="B132" s="249" t="s">
        <v>43</v>
      </c>
      <c r="C132" s="250" t="s">
        <v>1663</v>
      </c>
      <c r="D132" s="236" t="s">
        <v>1584</v>
      </c>
      <c r="E132" s="251">
        <v>44279.0</v>
      </c>
      <c r="F132" s="219" t="s">
        <v>496</v>
      </c>
      <c r="G132" s="170">
        <v>50.0</v>
      </c>
      <c r="H132" s="171">
        <v>100.0</v>
      </c>
      <c r="I132" s="171">
        <v>100.0</v>
      </c>
      <c r="J132" s="172">
        <f t="shared" si="2"/>
        <v>0.001628715905</v>
      </c>
      <c r="K132" s="173">
        <f t="shared" si="6"/>
        <v>1.818732761</v>
      </c>
      <c r="L132" s="174">
        <f t="shared" si="4"/>
        <v>18.73148319</v>
      </c>
      <c r="M132" s="175" t="str">
        <f t="shared" si="5"/>
        <v>kristoferkristofer</v>
      </c>
      <c r="N132" s="176">
        <f>IFERROR(__xludf.DUMMYFUNCTION("""COMPUTED_VALUE"""),3.0)</f>
        <v>3</v>
      </c>
      <c r="O132" s="176"/>
      <c r="P132" s="249" t="s">
        <v>44</v>
      </c>
      <c r="Q132" s="249" t="s">
        <v>43</v>
      </c>
      <c r="R132" s="176"/>
      <c r="S132" s="176"/>
      <c r="T132" s="176"/>
      <c r="U132" s="176"/>
      <c r="V132" s="176"/>
      <c r="W132" s="176"/>
      <c r="X132" s="176"/>
      <c r="Y132" s="176"/>
      <c r="Z132" s="176"/>
      <c r="AA132" s="176"/>
    </row>
    <row r="133">
      <c r="A133" s="165" t="str">
        <f>iferror(VLOOKUP(P133,'DO NOT TOUCH Imported'!$A$1:$D$800,4,False),iferror(VLOOKUP(P133,'DO NOT TOUCH Imported'!$C$1:$D$800,2,False),"OOPS FIX ME"))</f>
        <v>kristoferkristofer</v>
      </c>
      <c r="B133" s="165" t="s">
        <v>441</v>
      </c>
      <c r="C133" s="170" t="s">
        <v>1664</v>
      </c>
      <c r="D133" s="236" t="s">
        <v>437</v>
      </c>
      <c r="E133" s="239">
        <v>44274.0</v>
      </c>
      <c r="F133" s="170" t="s">
        <v>439</v>
      </c>
      <c r="G133" s="170">
        <v>50.0</v>
      </c>
      <c r="H133" s="171">
        <v>100.0</v>
      </c>
      <c r="I133" s="171">
        <v>100.0</v>
      </c>
      <c r="J133" s="172">
        <f t="shared" si="2"/>
        <v>0.001628715905</v>
      </c>
      <c r="K133" s="173">
        <f t="shared" si="6"/>
        <v>1.818732761</v>
      </c>
      <c r="L133" s="174">
        <f t="shared" si="4"/>
        <v>18.73148319</v>
      </c>
      <c r="M133" s="175" t="str">
        <f t="shared" si="5"/>
        <v>kristoferkristofer</v>
      </c>
      <c r="N133" s="176">
        <f>IFERROR(__xludf.DUMMYFUNCTION("""COMPUTED_VALUE"""),4.0)</f>
        <v>4</v>
      </c>
      <c r="O133" s="176"/>
      <c r="P133" s="165" t="s">
        <v>811</v>
      </c>
      <c r="Q133" s="165" t="s">
        <v>441</v>
      </c>
      <c r="R133" s="176"/>
      <c r="S133" s="176"/>
      <c r="T133" s="176"/>
      <c r="U133" s="176"/>
      <c r="V133" s="176"/>
      <c r="W133" s="176"/>
      <c r="X133" s="176"/>
      <c r="Y133" s="176"/>
      <c r="Z133" s="176"/>
      <c r="AA133" s="176"/>
    </row>
    <row r="134">
      <c r="A134" s="165" t="str">
        <f>iferror(VLOOKUP(P134,'DO NOT TOUCH Imported'!$A$1:$D$800,4,False),iferror(VLOOKUP(P134,'DO NOT TOUCH Imported'!$C$1:$D$800,2,False),"OOPS FIX ME"))</f>
        <v>kristoferkristofer</v>
      </c>
      <c r="B134" s="165" t="s">
        <v>435</v>
      </c>
      <c r="C134" s="170" t="s">
        <v>1665</v>
      </c>
      <c r="D134" s="236" t="s">
        <v>499</v>
      </c>
      <c r="E134" s="239">
        <v>44277.0</v>
      </c>
      <c r="F134" s="170" t="s">
        <v>503</v>
      </c>
      <c r="G134" s="170">
        <v>35.0</v>
      </c>
      <c r="H134" s="171">
        <v>150.0</v>
      </c>
      <c r="I134" s="171">
        <v>100.0</v>
      </c>
      <c r="J134" s="172">
        <f t="shared" si="2"/>
        <v>0.001601903842</v>
      </c>
      <c r="K134" s="173">
        <f t="shared" si="6"/>
        <v>1.788792623</v>
      </c>
      <c r="L134" s="174">
        <f t="shared" si="4"/>
        <v>18.73148319</v>
      </c>
      <c r="M134" s="175" t="str">
        <f t="shared" si="5"/>
        <v>kristoferkristofer</v>
      </c>
      <c r="N134" s="176">
        <f>IFERROR(__xludf.DUMMYFUNCTION("""COMPUTED_VALUE"""),5.0)</f>
        <v>5</v>
      </c>
      <c r="O134" s="176"/>
      <c r="P134" s="165" t="s">
        <v>811</v>
      </c>
      <c r="Q134" s="165" t="s">
        <v>435</v>
      </c>
      <c r="R134" s="176"/>
      <c r="S134" s="176"/>
      <c r="T134" s="176"/>
      <c r="U134" s="176"/>
      <c r="V134" s="176"/>
      <c r="W134" s="176"/>
      <c r="X134" s="176"/>
      <c r="Y134" s="176"/>
      <c r="Z134" s="176"/>
      <c r="AA134" s="176"/>
    </row>
    <row r="135">
      <c r="A135" s="165" t="str">
        <f>iferror(VLOOKUP(P135,'DO NOT TOUCH Imported'!$A$1:$D$800,4,False),iferror(VLOOKUP(P135,'DO NOT TOUCH Imported'!$C$1:$D$800,2,False),"OOPS FIX ME"))</f>
        <v>kristoferkristofer</v>
      </c>
      <c r="B135" s="165" t="s">
        <v>441</v>
      </c>
      <c r="C135" s="170" t="s">
        <v>1666</v>
      </c>
      <c r="D135" s="236" t="s">
        <v>437</v>
      </c>
      <c r="E135" s="239">
        <v>44281.0</v>
      </c>
      <c r="F135" s="170" t="s">
        <v>439</v>
      </c>
      <c r="G135" s="170">
        <v>45.0</v>
      </c>
      <c r="H135" s="171">
        <v>100.0</v>
      </c>
      <c r="I135" s="171">
        <v>100.0</v>
      </c>
      <c r="J135" s="172">
        <f t="shared" si="2"/>
        <v>0.001549857771</v>
      </c>
      <c r="K135" s="173">
        <f t="shared" si="6"/>
        <v>1.730674511</v>
      </c>
      <c r="L135" s="174">
        <f t="shared" si="4"/>
        <v>18.73148319</v>
      </c>
      <c r="M135" s="175" t="str">
        <f t="shared" si="5"/>
        <v>kristoferkristofer</v>
      </c>
      <c r="N135" s="176">
        <f>IFERROR(__xludf.DUMMYFUNCTION("""COMPUTED_VALUE"""),6.0)</f>
        <v>6</v>
      </c>
      <c r="O135" s="176"/>
      <c r="P135" s="165" t="s">
        <v>811</v>
      </c>
      <c r="Q135" s="165" t="s">
        <v>441</v>
      </c>
      <c r="R135" s="176"/>
      <c r="S135" s="176"/>
      <c r="T135" s="176"/>
      <c r="U135" s="176"/>
      <c r="V135" s="176"/>
      <c r="W135" s="176"/>
      <c r="X135" s="176"/>
      <c r="Y135" s="176"/>
      <c r="Z135" s="176"/>
      <c r="AA135" s="176"/>
    </row>
    <row r="136">
      <c r="A136" s="165" t="str">
        <f>iferror(VLOOKUP(P136,'DO NOT TOUCH Imported'!$A$1:$D$800,4,False),iferror(VLOOKUP(P136,'DO NOT TOUCH Imported'!$C$1:$D$800,2,False),"OOPS FIX ME"))</f>
        <v>kristoferkristofer</v>
      </c>
      <c r="B136" s="165" t="s">
        <v>18</v>
      </c>
      <c r="C136" s="170" t="s">
        <v>1667</v>
      </c>
      <c r="D136" s="236" t="s">
        <v>1584</v>
      </c>
      <c r="E136" s="239">
        <v>44281.0</v>
      </c>
      <c r="F136" s="170" t="s">
        <v>496</v>
      </c>
      <c r="G136" s="170">
        <v>25.0</v>
      </c>
      <c r="H136" s="171">
        <v>150.0</v>
      </c>
      <c r="I136" s="171">
        <v>100.0</v>
      </c>
      <c r="J136" s="172">
        <f t="shared" si="2"/>
        <v>0.001444187573</v>
      </c>
      <c r="K136" s="173">
        <f t="shared" si="6"/>
        <v>1.612676123</v>
      </c>
      <c r="L136" s="174">
        <f t="shared" si="4"/>
        <v>18.73148319</v>
      </c>
      <c r="M136" s="175" t="str">
        <f t="shared" si="5"/>
        <v>kristoferkristofer</v>
      </c>
      <c r="N136" s="176">
        <f>IFERROR(__xludf.DUMMYFUNCTION("""COMPUTED_VALUE"""),7.0)</f>
        <v>7</v>
      </c>
      <c r="O136" s="176"/>
      <c r="P136" s="165" t="s">
        <v>44</v>
      </c>
      <c r="Q136" s="165" t="s">
        <v>18</v>
      </c>
      <c r="R136" s="176"/>
      <c r="S136" s="176"/>
      <c r="T136" s="176"/>
      <c r="U136" s="176"/>
      <c r="V136" s="176"/>
      <c r="W136" s="176"/>
      <c r="X136" s="176"/>
      <c r="Y136" s="176"/>
      <c r="Z136" s="176"/>
      <c r="AA136" s="176"/>
    </row>
    <row r="137">
      <c r="A137" s="165" t="str">
        <f>iferror(VLOOKUP(P137,'DO NOT TOUCH Imported'!$A$1:$D$800,4,False),iferror(VLOOKUP(P137,'DO NOT TOUCH Imported'!$C$1:$D$800,2,False),"OOPS FIX ME"))</f>
        <v>kristoferkristofer</v>
      </c>
      <c r="B137" s="165" t="s">
        <v>10</v>
      </c>
      <c r="C137" s="170" t="s">
        <v>1668</v>
      </c>
      <c r="D137" s="236" t="s">
        <v>1584</v>
      </c>
      <c r="E137" s="239">
        <v>44281.0</v>
      </c>
      <c r="F137" s="170" t="s">
        <v>496</v>
      </c>
      <c r="G137" s="170">
        <v>25.0</v>
      </c>
      <c r="H137" s="171">
        <v>100.0</v>
      </c>
      <c r="I137" s="171">
        <v>100.0</v>
      </c>
      <c r="J137" s="172">
        <f t="shared" si="2"/>
        <v>0.001234425234</v>
      </c>
      <c r="K137" s="173">
        <f t="shared" si="6"/>
        <v>1.378441511</v>
      </c>
      <c r="L137" s="174">
        <f t="shared" si="4"/>
        <v>18.73148319</v>
      </c>
      <c r="M137" s="175" t="str">
        <f t="shared" si="5"/>
        <v>kristoferkristofer</v>
      </c>
      <c r="N137" s="176">
        <f>IFERROR(__xludf.DUMMYFUNCTION("""COMPUTED_VALUE"""),8.0)</f>
        <v>8</v>
      </c>
      <c r="O137" s="176"/>
      <c r="P137" s="165" t="s">
        <v>44</v>
      </c>
      <c r="Q137" s="165" t="s">
        <v>10</v>
      </c>
      <c r="R137" s="176"/>
      <c r="S137" s="176"/>
      <c r="T137" s="176"/>
      <c r="U137" s="176"/>
      <c r="V137" s="176"/>
      <c r="W137" s="176"/>
      <c r="X137" s="176"/>
      <c r="Y137" s="176"/>
      <c r="Z137" s="176"/>
      <c r="AA137" s="176"/>
    </row>
    <row r="138">
      <c r="A138" s="165" t="str">
        <f>iferror(VLOOKUP(P138,'DO NOT TOUCH Imported'!$A$1:$D$800,4,False),iferror(VLOOKUP(P138,'DO NOT TOUCH Imported'!$C$1:$D$800,2,False),"OOPS FIX ME"))</f>
        <v>kristoferkristofer</v>
      </c>
      <c r="B138" s="165" t="s">
        <v>10</v>
      </c>
      <c r="C138" s="170" t="s">
        <v>1669</v>
      </c>
      <c r="D138" s="236" t="s">
        <v>1584</v>
      </c>
      <c r="E138" s="239">
        <v>44281.0</v>
      </c>
      <c r="F138" s="170" t="s">
        <v>496</v>
      </c>
      <c r="G138" s="170">
        <v>25.0</v>
      </c>
      <c r="H138" s="171">
        <v>80.0</v>
      </c>
      <c r="I138" s="171">
        <v>100.0</v>
      </c>
      <c r="J138" s="172">
        <f t="shared" si="2"/>
        <v>0.001150520298</v>
      </c>
      <c r="K138" s="173">
        <f t="shared" si="6"/>
        <v>1.284747666</v>
      </c>
      <c r="L138" s="174">
        <f t="shared" si="4"/>
        <v>18.73148319</v>
      </c>
      <c r="M138" s="175" t="str">
        <f t="shared" si="5"/>
        <v>kristoferkristofer</v>
      </c>
      <c r="N138" s="176">
        <f>IFERROR(__xludf.DUMMYFUNCTION("""COMPUTED_VALUE"""),9.0)</f>
        <v>9</v>
      </c>
      <c r="O138" s="176"/>
      <c r="P138" s="165" t="s">
        <v>44</v>
      </c>
      <c r="Q138" s="165" t="s">
        <v>10</v>
      </c>
      <c r="R138" s="176"/>
      <c r="S138" s="176"/>
      <c r="T138" s="176"/>
      <c r="U138" s="176"/>
      <c r="V138" s="176"/>
      <c r="W138" s="176"/>
      <c r="X138" s="176"/>
      <c r="Y138" s="176"/>
      <c r="Z138" s="176"/>
      <c r="AA138" s="176"/>
    </row>
    <row r="139">
      <c r="A139" s="165" t="str">
        <f>iferror(VLOOKUP(P139,'DO NOT TOUCH Imported'!$A$1:$D$800,4,False),iferror(VLOOKUP(P139,'DO NOT TOUCH Imported'!$C$1:$D$800,2,False),"OOPS FIX ME"))</f>
        <v>kristoferkristofer</v>
      </c>
      <c r="B139" s="249" t="s">
        <v>18</v>
      </c>
      <c r="C139" s="250" t="s">
        <v>1670</v>
      </c>
      <c r="D139" s="236" t="s">
        <v>1584</v>
      </c>
      <c r="E139" s="251">
        <v>44279.0</v>
      </c>
      <c r="F139" s="219" t="s">
        <v>496</v>
      </c>
      <c r="G139" s="170">
        <v>15.0</v>
      </c>
      <c r="H139" s="171">
        <v>100.0</v>
      </c>
      <c r="I139" s="171">
        <v>100.0</v>
      </c>
      <c r="J139" s="172">
        <f t="shared" si="2"/>
        <v>0.001076708966</v>
      </c>
      <c r="K139" s="173">
        <f t="shared" si="6"/>
        <v>1.202325011</v>
      </c>
      <c r="L139" s="174">
        <f t="shared" si="4"/>
        <v>18.73148319</v>
      </c>
      <c r="M139" s="175" t="str">
        <f t="shared" si="5"/>
        <v>kristoferkristofer</v>
      </c>
      <c r="N139" s="176">
        <f>IFERROR(__xludf.DUMMYFUNCTION("""COMPUTED_VALUE"""),10.0)</f>
        <v>10</v>
      </c>
      <c r="O139" s="176"/>
      <c r="P139" s="249" t="s">
        <v>44</v>
      </c>
      <c r="Q139" s="249" t="s">
        <v>18</v>
      </c>
      <c r="R139" s="176"/>
      <c r="S139" s="176"/>
      <c r="T139" s="176"/>
      <c r="U139" s="176"/>
      <c r="V139" s="176"/>
      <c r="W139" s="176"/>
      <c r="X139" s="176"/>
      <c r="Y139" s="176"/>
      <c r="Z139" s="176"/>
      <c r="AA139" s="176"/>
    </row>
    <row r="140">
      <c r="A140" s="165" t="str">
        <f>iferror(VLOOKUP(P140,'DO NOT TOUCH Imported'!$A$1:$D$800,4,False),iferror(VLOOKUP(P140,'DO NOT TOUCH Imported'!$C$1:$D$800,2,False),"OOPS FIX ME"))</f>
        <v>kristoferkristofer</v>
      </c>
      <c r="B140" s="165" t="s">
        <v>441</v>
      </c>
      <c r="C140" s="170" t="s">
        <v>1612</v>
      </c>
      <c r="D140" s="236" t="s">
        <v>437</v>
      </c>
      <c r="E140" s="239">
        <v>44281.0</v>
      </c>
      <c r="F140" s="170" t="s">
        <v>439</v>
      </c>
      <c r="G140" s="170">
        <v>15.0</v>
      </c>
      <c r="H140" s="171">
        <v>80.0</v>
      </c>
      <c r="I140" s="171">
        <v>100.0</v>
      </c>
      <c r="J140" s="172">
        <f t="shared" si="2"/>
        <v>0.0009928040298</v>
      </c>
      <c r="K140" s="173">
        <f t="shared" si="6"/>
        <v>1.108631167</v>
      </c>
      <c r="L140" s="174">
        <f t="shared" si="4"/>
        <v>18.73148319</v>
      </c>
      <c r="M140" s="175" t="str">
        <f t="shared" si="5"/>
        <v>kristoferkristofer</v>
      </c>
      <c r="N140" s="176">
        <f>IFERROR(__xludf.DUMMYFUNCTION("""COMPUTED_VALUE"""),11.0)</f>
        <v>11</v>
      </c>
      <c r="O140" s="176"/>
      <c r="P140" s="165" t="s">
        <v>811</v>
      </c>
      <c r="Q140" s="165" t="s">
        <v>441</v>
      </c>
      <c r="R140" s="176"/>
      <c r="S140" s="176"/>
      <c r="T140" s="176"/>
      <c r="U140" s="176"/>
      <c r="V140" s="176"/>
      <c r="W140" s="176"/>
      <c r="X140" s="176"/>
      <c r="Y140" s="176"/>
      <c r="Z140" s="176"/>
      <c r="AA140" s="176"/>
    </row>
    <row r="141">
      <c r="A141" s="165" t="str">
        <f>iferror(VLOOKUP(P141,'DO NOT TOUCH Imported'!$A$1:$D$800,4,False),iferror(VLOOKUP(P141,'DO NOT TOUCH Imported'!$C$1:$D$800,2,False),"OOPS FIX ME"))</f>
        <v>durgadasji</v>
      </c>
      <c r="B141" s="165" t="s">
        <v>75</v>
      </c>
      <c r="C141" s="170" t="s">
        <v>1671</v>
      </c>
      <c r="D141" s="236" t="s">
        <v>437</v>
      </c>
      <c r="E141" s="239">
        <v>44281.0</v>
      </c>
      <c r="F141" s="170" t="s">
        <v>439</v>
      </c>
      <c r="G141" s="170">
        <v>50.0</v>
      </c>
      <c r="H141" s="171">
        <v>100.0</v>
      </c>
      <c r="I141" s="171">
        <v>100.0</v>
      </c>
      <c r="J141" s="172">
        <f t="shared" si="2"/>
        <v>0.001628715905</v>
      </c>
      <c r="K141" s="173">
        <f t="shared" si="6"/>
        <v>1.818732761</v>
      </c>
      <c r="L141" s="174">
        <f t="shared" si="4"/>
        <v>18.52996145</v>
      </c>
      <c r="M141" s="175" t="str">
        <f t="shared" si="5"/>
        <v>durgadasji</v>
      </c>
      <c r="N141" s="176">
        <f>IFERROR(__xludf.DUMMYFUNCTION("""COMPUTED_VALUE"""),1.0)</f>
        <v>1</v>
      </c>
      <c r="O141" s="176"/>
      <c r="P141" s="165" t="s">
        <v>782</v>
      </c>
      <c r="Q141" s="165" t="s">
        <v>75</v>
      </c>
      <c r="R141" s="176"/>
      <c r="S141" s="176"/>
      <c r="T141" s="176"/>
      <c r="U141" s="176"/>
      <c r="V141" s="176"/>
      <c r="W141" s="176"/>
      <c r="X141" s="176"/>
      <c r="Y141" s="176"/>
      <c r="Z141" s="176"/>
      <c r="AA141" s="176"/>
    </row>
    <row r="142">
      <c r="A142" s="165" t="str">
        <f>iferror(VLOOKUP(P142,'DO NOT TOUCH Imported'!$A$1:$D$800,4,False),iferror(VLOOKUP(P142,'DO NOT TOUCH Imported'!$C$1:$D$800,2,False),"OOPS FIX ME"))</f>
        <v>durgadasji</v>
      </c>
      <c r="B142" s="165" t="s">
        <v>443</v>
      </c>
      <c r="C142" s="170" t="s">
        <v>1590</v>
      </c>
      <c r="D142" s="236" t="s">
        <v>437</v>
      </c>
      <c r="E142" s="239">
        <v>44273.0</v>
      </c>
      <c r="F142" s="170" t="s">
        <v>439</v>
      </c>
      <c r="G142" s="170">
        <v>45.0</v>
      </c>
      <c r="H142" s="171">
        <v>100.0</v>
      </c>
      <c r="I142" s="171">
        <v>100.0</v>
      </c>
      <c r="J142" s="172">
        <f t="shared" si="2"/>
        <v>0.001549857771</v>
      </c>
      <c r="K142" s="173">
        <f t="shared" si="6"/>
        <v>1.730674511</v>
      </c>
      <c r="L142" s="174">
        <f t="shared" si="4"/>
        <v>18.52996145</v>
      </c>
      <c r="M142" s="175" t="str">
        <f t="shared" si="5"/>
        <v>durgadasji</v>
      </c>
      <c r="N142" s="176">
        <f>IFERROR(__xludf.DUMMYFUNCTION("""COMPUTED_VALUE"""),2.0)</f>
        <v>2</v>
      </c>
      <c r="O142" s="176"/>
      <c r="P142" s="165" t="s">
        <v>782</v>
      </c>
      <c r="Q142" s="165" t="s">
        <v>443</v>
      </c>
      <c r="R142" s="176"/>
      <c r="S142" s="176"/>
      <c r="T142" s="176"/>
      <c r="U142" s="176"/>
      <c r="V142" s="176"/>
      <c r="W142" s="176"/>
      <c r="X142" s="176"/>
      <c r="Y142" s="176"/>
      <c r="Z142" s="176"/>
      <c r="AA142" s="176"/>
    </row>
    <row r="143">
      <c r="A143" s="165" t="str">
        <f>iferror(VLOOKUP(P143,'DO NOT TOUCH Imported'!$A$1:$D$800,4,False),iferror(VLOOKUP(P143,'DO NOT TOUCH Imported'!$C$1:$D$800,2,False),"OOPS FIX ME"))</f>
        <v>durgadasji</v>
      </c>
      <c r="B143" s="165" t="s">
        <v>440</v>
      </c>
      <c r="C143" s="170" t="s">
        <v>1672</v>
      </c>
      <c r="D143" s="236" t="s">
        <v>437</v>
      </c>
      <c r="E143" s="239">
        <v>44278.0</v>
      </c>
      <c r="F143" s="170" t="s">
        <v>439</v>
      </c>
      <c r="G143" s="170">
        <v>45.0</v>
      </c>
      <c r="H143" s="171">
        <v>100.0</v>
      </c>
      <c r="I143" s="171">
        <v>100.0</v>
      </c>
      <c r="J143" s="172">
        <f t="shared" si="2"/>
        <v>0.001549857771</v>
      </c>
      <c r="K143" s="173">
        <f t="shared" si="6"/>
        <v>1.730674511</v>
      </c>
      <c r="L143" s="174">
        <f t="shared" si="4"/>
        <v>18.52996145</v>
      </c>
      <c r="M143" s="175" t="str">
        <f t="shared" si="5"/>
        <v>durgadasji</v>
      </c>
      <c r="N143" s="176">
        <f>IFERROR(__xludf.DUMMYFUNCTION("""COMPUTED_VALUE"""),3.0)</f>
        <v>3</v>
      </c>
      <c r="O143" s="176"/>
      <c r="P143" s="165" t="s">
        <v>782</v>
      </c>
      <c r="Q143" s="165" t="s">
        <v>440</v>
      </c>
      <c r="R143" s="176"/>
      <c r="S143" s="176"/>
      <c r="T143" s="176"/>
      <c r="U143" s="176"/>
      <c r="V143" s="176"/>
      <c r="W143" s="176"/>
      <c r="X143" s="176"/>
      <c r="Y143" s="176"/>
      <c r="Z143" s="176"/>
      <c r="AA143" s="176"/>
    </row>
    <row r="144">
      <c r="A144" s="165" t="str">
        <f>iferror(VLOOKUP(P144,'DO NOT TOUCH Imported'!$A$1:$D$800,4,False),iferror(VLOOKUP(P144,'DO NOT TOUCH Imported'!$C$1:$D$800,2,False),"OOPS FIX ME"))</f>
        <v>durgadasji</v>
      </c>
      <c r="B144" s="165" t="s">
        <v>441</v>
      </c>
      <c r="C144" s="170" t="s">
        <v>1593</v>
      </c>
      <c r="D144" s="236" t="s">
        <v>437</v>
      </c>
      <c r="E144" s="239">
        <v>44274.0</v>
      </c>
      <c r="F144" s="170" t="s">
        <v>439</v>
      </c>
      <c r="G144" s="170">
        <v>25.0</v>
      </c>
      <c r="H144" s="171">
        <v>150.0</v>
      </c>
      <c r="I144" s="171">
        <v>100.0</v>
      </c>
      <c r="J144" s="172">
        <f t="shared" si="2"/>
        <v>0.001444187573</v>
      </c>
      <c r="K144" s="173">
        <f t="shared" si="6"/>
        <v>1.612676123</v>
      </c>
      <c r="L144" s="174">
        <f t="shared" si="4"/>
        <v>18.52996145</v>
      </c>
      <c r="M144" s="175" t="str">
        <f t="shared" si="5"/>
        <v>durgadasji</v>
      </c>
      <c r="N144" s="176">
        <f>IFERROR(__xludf.DUMMYFUNCTION("""COMPUTED_VALUE"""),4.0)</f>
        <v>4</v>
      </c>
      <c r="O144" s="176"/>
      <c r="P144" s="165" t="s">
        <v>782</v>
      </c>
      <c r="Q144" s="165" t="s">
        <v>441</v>
      </c>
      <c r="R144" s="176"/>
      <c r="S144" s="176"/>
      <c r="T144" s="176"/>
      <c r="U144" s="176"/>
      <c r="V144" s="176"/>
      <c r="W144" s="176"/>
      <c r="X144" s="176"/>
      <c r="Y144" s="176"/>
      <c r="Z144" s="176"/>
      <c r="AA144" s="176"/>
    </row>
    <row r="145">
      <c r="A145" s="165" t="str">
        <f>iferror(VLOOKUP(P145,'DO NOT TOUCH Imported'!$A$1:$D$800,4,False),iferror(VLOOKUP(P145,'DO NOT TOUCH Imported'!$C$1:$D$800,2,False),"OOPS FIX ME"))</f>
        <v>durgadasji</v>
      </c>
      <c r="B145" s="165" t="s">
        <v>441</v>
      </c>
      <c r="C145" s="170" t="s">
        <v>1673</v>
      </c>
      <c r="D145" s="236" t="s">
        <v>437</v>
      </c>
      <c r="E145" s="239">
        <v>44281.0</v>
      </c>
      <c r="F145" s="170" t="s">
        <v>439</v>
      </c>
      <c r="G145" s="170">
        <v>15.0</v>
      </c>
      <c r="H145" s="171">
        <v>150.0</v>
      </c>
      <c r="I145" s="171">
        <v>100.0</v>
      </c>
      <c r="J145" s="172">
        <f t="shared" si="2"/>
        <v>0.001286471305</v>
      </c>
      <c r="K145" s="173">
        <f t="shared" si="6"/>
        <v>1.436559624</v>
      </c>
      <c r="L145" s="174">
        <f t="shared" si="4"/>
        <v>18.52996145</v>
      </c>
      <c r="M145" s="175" t="str">
        <f t="shared" si="5"/>
        <v>durgadasji</v>
      </c>
      <c r="N145" s="176">
        <f>IFERROR(__xludf.DUMMYFUNCTION("""COMPUTED_VALUE"""),5.0)</f>
        <v>5</v>
      </c>
      <c r="O145" s="176"/>
      <c r="P145" s="165" t="s">
        <v>782</v>
      </c>
      <c r="Q145" s="165" t="s">
        <v>441</v>
      </c>
      <c r="R145" s="176"/>
      <c r="S145" s="176"/>
      <c r="T145" s="176"/>
      <c r="U145" s="176"/>
      <c r="V145" s="176"/>
      <c r="W145" s="176"/>
      <c r="X145" s="176"/>
      <c r="Y145" s="176"/>
      <c r="Z145" s="176"/>
      <c r="AA145" s="176"/>
    </row>
    <row r="146">
      <c r="A146" s="165" t="str">
        <f>iferror(VLOOKUP(P146,'DO NOT TOUCH Imported'!$A$1:$D$800,4,False),iferror(VLOOKUP(P146,'DO NOT TOUCH Imported'!$C$1:$D$800,2,False),"OOPS FIX ME"))</f>
        <v>durgadasji</v>
      </c>
      <c r="B146" s="249" t="s">
        <v>867</v>
      </c>
      <c r="C146" s="250" t="s">
        <v>1644</v>
      </c>
      <c r="D146" s="236" t="s">
        <v>1584</v>
      </c>
      <c r="E146" s="251">
        <v>44271.0</v>
      </c>
      <c r="F146" s="219" t="s">
        <v>496</v>
      </c>
      <c r="G146" s="170">
        <v>25.0</v>
      </c>
      <c r="H146" s="171">
        <v>100.0</v>
      </c>
      <c r="I146" s="171">
        <v>100.0</v>
      </c>
      <c r="J146" s="172">
        <f t="shared" si="2"/>
        <v>0.001234425234</v>
      </c>
      <c r="K146" s="173">
        <f t="shared" si="6"/>
        <v>1.378441511</v>
      </c>
      <c r="L146" s="174">
        <f t="shared" si="4"/>
        <v>18.52996145</v>
      </c>
      <c r="M146" s="175" t="str">
        <f t="shared" si="5"/>
        <v>durgadasji</v>
      </c>
      <c r="N146" s="176">
        <f>IFERROR(__xludf.DUMMYFUNCTION("""COMPUTED_VALUE"""),6.0)</f>
        <v>6</v>
      </c>
      <c r="O146" s="176"/>
      <c r="P146" s="249" t="s">
        <v>13</v>
      </c>
      <c r="Q146" s="249" t="s">
        <v>867</v>
      </c>
      <c r="R146" s="176"/>
      <c r="S146" s="176"/>
      <c r="T146" s="176"/>
      <c r="U146" s="176"/>
      <c r="V146" s="176"/>
      <c r="W146" s="176"/>
      <c r="X146" s="176"/>
      <c r="Y146" s="176"/>
      <c r="Z146" s="176"/>
      <c r="AA146" s="176"/>
    </row>
    <row r="147">
      <c r="A147" s="165" t="str">
        <f>iferror(VLOOKUP(P147,'DO NOT TOUCH Imported'!$A$1:$D$800,4,False),iferror(VLOOKUP(P147,'DO NOT TOUCH Imported'!$C$1:$D$800,2,False),"OOPS FIX ME"))</f>
        <v>durgadasji</v>
      </c>
      <c r="B147" s="165" t="s">
        <v>443</v>
      </c>
      <c r="C147" s="170" t="s">
        <v>1603</v>
      </c>
      <c r="D147" s="236" t="s">
        <v>437</v>
      </c>
      <c r="E147" s="239">
        <v>44277.0</v>
      </c>
      <c r="F147" s="170" t="s">
        <v>439</v>
      </c>
      <c r="G147" s="170">
        <v>15.0</v>
      </c>
      <c r="H147" s="171">
        <v>100.0</v>
      </c>
      <c r="I147" s="171">
        <v>100.0</v>
      </c>
      <c r="J147" s="172">
        <f t="shared" si="2"/>
        <v>0.001076708966</v>
      </c>
      <c r="K147" s="173">
        <f t="shared" si="6"/>
        <v>1.202325011</v>
      </c>
      <c r="L147" s="174">
        <f t="shared" si="4"/>
        <v>18.52996145</v>
      </c>
      <c r="M147" s="175" t="str">
        <f t="shared" si="5"/>
        <v>durgadasji</v>
      </c>
      <c r="N147" s="176">
        <f>IFERROR(__xludf.DUMMYFUNCTION("""COMPUTED_VALUE"""),7.0)</f>
        <v>7</v>
      </c>
      <c r="O147" s="176"/>
      <c r="P147" s="165" t="s">
        <v>782</v>
      </c>
      <c r="Q147" s="165" t="s">
        <v>443</v>
      </c>
      <c r="R147" s="176"/>
      <c r="S147" s="176"/>
      <c r="T147" s="176"/>
      <c r="U147" s="176"/>
      <c r="V147" s="176"/>
      <c r="W147" s="176"/>
      <c r="X147" s="176"/>
      <c r="Y147" s="176"/>
      <c r="Z147" s="176"/>
      <c r="AA147" s="176"/>
    </row>
    <row r="148">
      <c r="A148" s="165" t="str">
        <f>iferror(VLOOKUP(P148,'DO NOT TOUCH Imported'!$A$1:$D$800,4,False),iferror(VLOOKUP(P148,'DO NOT TOUCH Imported'!$C$1:$D$800,2,False),"OOPS FIX ME"))</f>
        <v>durgadasji</v>
      </c>
      <c r="B148" s="165" t="s">
        <v>486</v>
      </c>
      <c r="C148" s="170" t="s">
        <v>924</v>
      </c>
      <c r="D148" s="236" t="s">
        <v>437</v>
      </c>
      <c r="E148" s="239">
        <v>44278.0</v>
      </c>
      <c r="F148" s="170" t="s">
        <v>439</v>
      </c>
      <c r="G148" s="170">
        <v>15.0</v>
      </c>
      <c r="H148" s="171">
        <v>100.0</v>
      </c>
      <c r="I148" s="171">
        <v>100.0</v>
      </c>
      <c r="J148" s="172">
        <f t="shared" si="2"/>
        <v>0.001076708966</v>
      </c>
      <c r="K148" s="173">
        <f t="shared" si="6"/>
        <v>1.202325011</v>
      </c>
      <c r="L148" s="174">
        <f t="shared" si="4"/>
        <v>18.52996145</v>
      </c>
      <c r="M148" s="175" t="str">
        <f t="shared" si="5"/>
        <v>durgadasji</v>
      </c>
      <c r="N148" s="176">
        <f>IFERROR(__xludf.DUMMYFUNCTION("""COMPUTED_VALUE"""),8.0)</f>
        <v>8</v>
      </c>
      <c r="O148" s="176"/>
      <c r="P148" s="165" t="s">
        <v>782</v>
      </c>
      <c r="Q148" s="165" t="s">
        <v>486</v>
      </c>
      <c r="R148" s="176"/>
      <c r="S148" s="176"/>
      <c r="T148" s="176"/>
      <c r="U148" s="176"/>
      <c r="V148" s="176"/>
      <c r="W148" s="176"/>
      <c r="X148" s="176"/>
      <c r="Y148" s="176"/>
      <c r="Z148" s="176"/>
      <c r="AA148" s="176"/>
    </row>
    <row r="149">
      <c r="A149" s="165" t="str">
        <f>iferror(VLOOKUP(P149,'DO NOT TOUCH Imported'!$A$1:$D$800,4,False),iferror(VLOOKUP(P149,'DO NOT TOUCH Imported'!$C$1:$D$800,2,False),"OOPS FIX ME"))</f>
        <v>durgadasji</v>
      </c>
      <c r="B149" s="165" t="s">
        <v>443</v>
      </c>
      <c r="C149" s="170" t="s">
        <v>1652</v>
      </c>
      <c r="D149" s="236" t="s">
        <v>437</v>
      </c>
      <c r="E149" s="239">
        <v>44279.0</v>
      </c>
      <c r="F149" s="170" t="s">
        <v>439</v>
      </c>
      <c r="G149" s="170">
        <v>15.0</v>
      </c>
      <c r="H149" s="171">
        <v>100.0</v>
      </c>
      <c r="I149" s="171">
        <v>100.0</v>
      </c>
      <c r="J149" s="172">
        <f t="shared" si="2"/>
        <v>0.001076708966</v>
      </c>
      <c r="K149" s="173">
        <f t="shared" si="6"/>
        <v>1.202325011</v>
      </c>
      <c r="L149" s="174">
        <f t="shared" si="4"/>
        <v>18.52996145</v>
      </c>
      <c r="M149" s="175" t="str">
        <f t="shared" si="5"/>
        <v>durgadasji</v>
      </c>
      <c r="N149" s="176">
        <f>IFERROR(__xludf.DUMMYFUNCTION("""COMPUTED_VALUE"""),9.0)</f>
        <v>9</v>
      </c>
      <c r="O149" s="176"/>
      <c r="P149" s="165" t="s">
        <v>782</v>
      </c>
      <c r="Q149" s="165" t="s">
        <v>443</v>
      </c>
      <c r="R149" s="176"/>
      <c r="S149" s="176"/>
      <c r="T149" s="176"/>
      <c r="U149" s="176"/>
      <c r="V149" s="176"/>
      <c r="W149" s="176"/>
      <c r="X149" s="176"/>
      <c r="Y149" s="176"/>
      <c r="Z149" s="176"/>
      <c r="AA149" s="176"/>
    </row>
    <row r="150">
      <c r="A150" s="165" t="str">
        <f>iferror(VLOOKUP(P150,'DO NOT TOUCH Imported'!$A$1:$D$800,4,False),iferror(VLOOKUP(P150,'DO NOT TOUCH Imported'!$C$1:$D$800,2,False),"OOPS FIX ME"))</f>
        <v>durgadasji</v>
      </c>
      <c r="B150" s="249" t="s">
        <v>590</v>
      </c>
      <c r="C150" s="250" t="s">
        <v>1608</v>
      </c>
      <c r="D150" s="236" t="s">
        <v>1584</v>
      </c>
      <c r="E150" s="251">
        <v>44271.0</v>
      </c>
      <c r="F150" s="219" t="s">
        <v>496</v>
      </c>
      <c r="G150" s="170">
        <v>25.0</v>
      </c>
      <c r="H150" s="171">
        <v>50.0</v>
      </c>
      <c r="I150" s="171">
        <v>100.0</v>
      </c>
      <c r="J150" s="172">
        <f t="shared" si="2"/>
        <v>0.001024662895</v>
      </c>
      <c r="K150" s="173">
        <f t="shared" si="6"/>
        <v>1.144206899</v>
      </c>
      <c r="L150" s="174">
        <f t="shared" si="4"/>
        <v>18.52996145</v>
      </c>
      <c r="M150" s="175" t="str">
        <f t="shared" si="5"/>
        <v>durgadasji</v>
      </c>
      <c r="N150" s="176">
        <f>IFERROR(__xludf.DUMMYFUNCTION("""COMPUTED_VALUE"""),10.0)</f>
        <v>10</v>
      </c>
      <c r="O150" s="176"/>
      <c r="P150" s="249" t="s">
        <v>13</v>
      </c>
      <c r="Q150" s="249" t="s">
        <v>590</v>
      </c>
      <c r="R150" s="176"/>
      <c r="S150" s="176"/>
      <c r="T150" s="176"/>
      <c r="U150" s="176"/>
      <c r="V150" s="176"/>
      <c r="W150" s="176"/>
      <c r="X150" s="176"/>
      <c r="Y150" s="176"/>
      <c r="Z150" s="176"/>
      <c r="AA150" s="176"/>
    </row>
    <row r="151">
      <c r="A151" s="165" t="str">
        <f>iferror(VLOOKUP(P151,'DO NOT TOUCH Imported'!$A$1:$D$800,4,False),iferror(VLOOKUP(P151,'DO NOT TOUCH Imported'!$C$1:$D$800,2,False),"OOPS FIX ME"))</f>
        <v>durgadasji</v>
      </c>
      <c r="B151" s="165" t="s">
        <v>443</v>
      </c>
      <c r="C151" s="170" t="s">
        <v>1616</v>
      </c>
      <c r="D151" s="236" t="s">
        <v>437</v>
      </c>
      <c r="E151" s="239">
        <v>44280.0</v>
      </c>
      <c r="F151" s="170" t="s">
        <v>439</v>
      </c>
      <c r="G151" s="170">
        <v>5.0</v>
      </c>
      <c r="H151" s="171">
        <v>100.0</v>
      </c>
      <c r="I151" s="171">
        <v>100.0</v>
      </c>
      <c r="J151" s="172">
        <f t="shared" si="2"/>
        <v>0.0009189926971</v>
      </c>
      <c r="K151" s="173">
        <f t="shared" si="6"/>
        <v>1.026208512</v>
      </c>
      <c r="L151" s="174">
        <f t="shared" si="4"/>
        <v>18.52996145</v>
      </c>
      <c r="M151" s="175" t="str">
        <f t="shared" si="5"/>
        <v>durgadasji</v>
      </c>
      <c r="N151" s="176">
        <f>IFERROR(__xludf.DUMMYFUNCTION("""COMPUTED_VALUE"""),11.0)</f>
        <v>11</v>
      </c>
      <c r="O151" s="176"/>
      <c r="P151" s="165" t="s">
        <v>782</v>
      </c>
      <c r="Q151" s="165" t="s">
        <v>443</v>
      </c>
      <c r="R151" s="176"/>
      <c r="S151" s="176"/>
      <c r="T151" s="176"/>
      <c r="U151" s="176"/>
      <c r="V151" s="176"/>
      <c r="W151" s="176"/>
      <c r="X151" s="176"/>
      <c r="Y151" s="176"/>
      <c r="Z151" s="176"/>
      <c r="AA151" s="176"/>
    </row>
    <row r="152">
      <c r="A152" s="165" t="str">
        <f>iferror(VLOOKUP(P152,'DO NOT TOUCH Imported'!$A$1:$D$800,4,False),iferror(VLOOKUP(P152,'DO NOT TOUCH Imported'!$C$1:$D$800,2,False),"OOPS FIX ME"))</f>
        <v>durgadasji</v>
      </c>
      <c r="B152" s="249" t="s">
        <v>18</v>
      </c>
      <c r="C152" s="250" t="s">
        <v>1617</v>
      </c>
      <c r="D152" s="236" t="s">
        <v>1584</v>
      </c>
      <c r="E152" s="251">
        <v>44273.0</v>
      </c>
      <c r="F152" s="219" t="s">
        <v>496</v>
      </c>
      <c r="G152" s="170">
        <v>15.0</v>
      </c>
      <c r="H152" s="171">
        <v>60.0</v>
      </c>
      <c r="I152" s="171">
        <v>100.0</v>
      </c>
      <c r="J152" s="172">
        <f t="shared" si="2"/>
        <v>0.0009088990941</v>
      </c>
      <c r="K152" s="173">
        <f t="shared" si="6"/>
        <v>1.014937322</v>
      </c>
      <c r="L152" s="174">
        <f t="shared" si="4"/>
        <v>18.52996145</v>
      </c>
      <c r="M152" s="175" t="str">
        <f t="shared" si="5"/>
        <v>durgadasji</v>
      </c>
      <c r="N152" s="176">
        <f>IFERROR(__xludf.DUMMYFUNCTION("""COMPUTED_VALUE"""),12.0)</f>
        <v>12</v>
      </c>
      <c r="O152" s="176"/>
      <c r="P152" s="249" t="s">
        <v>13</v>
      </c>
      <c r="Q152" s="249" t="s">
        <v>18</v>
      </c>
      <c r="R152" s="176"/>
      <c r="S152" s="176"/>
      <c r="T152" s="176"/>
      <c r="U152" s="176"/>
      <c r="V152" s="176"/>
      <c r="W152" s="176"/>
      <c r="X152" s="176"/>
      <c r="Y152" s="176"/>
      <c r="Z152" s="176"/>
      <c r="AA152" s="176"/>
    </row>
    <row r="153">
      <c r="A153" s="165" t="str">
        <f>iferror(VLOOKUP(P153,'DO NOT TOUCH Imported'!$A$1:$D$800,4,False),iferror(VLOOKUP(P153,'DO NOT TOUCH Imported'!$C$1:$D$800,2,False),"OOPS FIX ME"))</f>
        <v>durgadasji</v>
      </c>
      <c r="B153" s="249" t="s">
        <v>18</v>
      </c>
      <c r="C153" s="250" t="s">
        <v>1618</v>
      </c>
      <c r="D153" s="236" t="s">
        <v>1584</v>
      </c>
      <c r="E153" s="251">
        <v>44273.0</v>
      </c>
      <c r="F153" s="219" t="s">
        <v>496</v>
      </c>
      <c r="G153" s="170">
        <v>15.0</v>
      </c>
      <c r="H153" s="171">
        <v>60.0</v>
      </c>
      <c r="I153" s="171">
        <v>100.0</v>
      </c>
      <c r="J153" s="172">
        <f t="shared" si="2"/>
        <v>0.0009088990941</v>
      </c>
      <c r="K153" s="173">
        <f t="shared" si="6"/>
        <v>1.014937322</v>
      </c>
      <c r="L153" s="174">
        <f t="shared" si="4"/>
        <v>18.52996145</v>
      </c>
      <c r="M153" s="175" t="str">
        <f t="shared" si="5"/>
        <v>durgadasji</v>
      </c>
      <c r="N153" s="176">
        <f>IFERROR(__xludf.DUMMYFUNCTION("""COMPUTED_VALUE"""),13.0)</f>
        <v>13</v>
      </c>
      <c r="O153" s="176"/>
      <c r="P153" s="249" t="s">
        <v>13</v>
      </c>
      <c r="Q153" s="249" t="s">
        <v>18</v>
      </c>
      <c r="R153" s="176"/>
      <c r="S153" s="176"/>
      <c r="T153" s="176"/>
      <c r="U153" s="176"/>
      <c r="V153" s="176"/>
      <c r="W153" s="176"/>
      <c r="X153" s="176"/>
      <c r="Y153" s="176"/>
      <c r="Z153" s="176"/>
      <c r="AA153" s="176"/>
    </row>
    <row r="154">
      <c r="A154" s="165" t="str">
        <f>iferror(VLOOKUP(P154,'DO NOT TOUCH Imported'!$A$1:$D$800,4,False),iferror(VLOOKUP(P154,'DO NOT TOUCH Imported'!$C$1:$D$800,2,False),"OOPS FIX ME"))</f>
        <v>durgadasji</v>
      </c>
      <c r="B154" s="249" t="s">
        <v>590</v>
      </c>
      <c r="C154" s="250" t="s">
        <v>1619</v>
      </c>
      <c r="D154" s="236" t="s">
        <v>1584</v>
      </c>
      <c r="E154" s="251">
        <v>44278.0</v>
      </c>
      <c r="F154" s="219" t="s">
        <v>496</v>
      </c>
      <c r="G154" s="170">
        <v>15.0</v>
      </c>
      <c r="H154" s="171">
        <v>60.0</v>
      </c>
      <c r="I154" s="171">
        <v>100.0</v>
      </c>
      <c r="J154" s="172">
        <f t="shared" si="2"/>
        <v>0.0009088990941</v>
      </c>
      <c r="K154" s="173">
        <f t="shared" si="6"/>
        <v>1.014937322</v>
      </c>
      <c r="L154" s="174">
        <f t="shared" si="4"/>
        <v>18.52996145</v>
      </c>
      <c r="M154" s="175" t="str">
        <f t="shared" si="5"/>
        <v>durgadasji</v>
      </c>
      <c r="N154" s="176">
        <f>IFERROR(__xludf.DUMMYFUNCTION("""COMPUTED_VALUE"""),14.0)</f>
        <v>14</v>
      </c>
      <c r="O154" s="176"/>
      <c r="P154" s="249" t="s">
        <v>13</v>
      </c>
      <c r="Q154" s="249" t="s">
        <v>590</v>
      </c>
      <c r="R154" s="176"/>
      <c r="S154" s="176"/>
      <c r="T154" s="176"/>
      <c r="U154" s="176"/>
      <c r="V154" s="176"/>
      <c r="W154" s="176"/>
      <c r="X154" s="176"/>
      <c r="Y154" s="176"/>
      <c r="Z154" s="176"/>
      <c r="AA154" s="176"/>
    </row>
    <row r="155">
      <c r="A155" s="165" t="str">
        <f>iferror(VLOOKUP(P155,'DO NOT TOUCH Imported'!$A$1:$D$800,4,False),iferror(VLOOKUP(P155,'DO NOT TOUCH Imported'!$C$1:$D$800,2,False),"OOPS FIX ME"))</f>
        <v>cranders71</v>
      </c>
      <c r="B155" s="249" t="s">
        <v>590</v>
      </c>
      <c r="C155" s="250" t="s">
        <v>1674</v>
      </c>
      <c r="D155" s="236" t="s">
        <v>1584</v>
      </c>
      <c r="E155" s="251">
        <v>44271.0</v>
      </c>
      <c r="F155" s="219" t="s">
        <v>496</v>
      </c>
      <c r="G155" s="170">
        <v>50.0</v>
      </c>
      <c r="H155" s="171">
        <v>200.0</v>
      </c>
      <c r="I155" s="171">
        <v>100.0</v>
      </c>
      <c r="J155" s="172">
        <f t="shared" si="2"/>
        <v>0.002048240584</v>
      </c>
      <c r="K155" s="173">
        <f t="shared" si="6"/>
        <v>2.287201985</v>
      </c>
      <c r="L155" s="174">
        <f t="shared" si="4"/>
        <v>16.17039619</v>
      </c>
      <c r="M155" s="175" t="str">
        <f t="shared" si="5"/>
        <v>cranders71</v>
      </c>
      <c r="N155" s="176">
        <f>IFERROR(__xludf.DUMMYFUNCTION("""COMPUTED_VALUE"""),1.0)</f>
        <v>1</v>
      </c>
      <c r="O155" s="176"/>
      <c r="P155" s="249" t="s">
        <v>5</v>
      </c>
      <c r="Q155" s="249" t="s">
        <v>590</v>
      </c>
      <c r="R155" s="176"/>
      <c r="S155" s="176"/>
      <c r="T155" s="176"/>
      <c r="U155" s="176"/>
      <c r="V155" s="176"/>
      <c r="W155" s="176"/>
      <c r="X155" s="176"/>
      <c r="Y155" s="176"/>
      <c r="Z155" s="176"/>
      <c r="AA155" s="176"/>
    </row>
    <row r="156">
      <c r="A156" s="165" t="str">
        <f>iferror(VLOOKUP(P156,'DO NOT TOUCH Imported'!$A$1:$D$800,4,False),iferror(VLOOKUP(P156,'DO NOT TOUCH Imported'!$C$1:$D$800,2,False),"OOPS FIX ME"))</f>
        <v>cranders71</v>
      </c>
      <c r="B156" s="249" t="s">
        <v>867</v>
      </c>
      <c r="C156" s="250" t="s">
        <v>1675</v>
      </c>
      <c r="D156" s="236" t="s">
        <v>1584</v>
      </c>
      <c r="E156" s="251">
        <v>44278.0</v>
      </c>
      <c r="F156" s="219" t="s">
        <v>496</v>
      </c>
      <c r="G156" s="170">
        <v>25.0</v>
      </c>
      <c r="H156" s="171">
        <v>200.0</v>
      </c>
      <c r="I156" s="171">
        <v>100.0</v>
      </c>
      <c r="J156" s="172">
        <f t="shared" si="2"/>
        <v>0.001653949912</v>
      </c>
      <c r="K156" s="173">
        <f t="shared" si="6"/>
        <v>1.846910736</v>
      </c>
      <c r="L156" s="174">
        <f t="shared" si="4"/>
        <v>16.17039619</v>
      </c>
      <c r="M156" s="175" t="str">
        <f t="shared" si="5"/>
        <v>cranders71</v>
      </c>
      <c r="N156" s="176">
        <f>IFERROR(__xludf.DUMMYFUNCTION("""COMPUTED_VALUE"""),2.0)</f>
        <v>2</v>
      </c>
      <c r="O156" s="176"/>
      <c r="P156" s="249" t="s">
        <v>5</v>
      </c>
      <c r="Q156" s="249" t="s">
        <v>867</v>
      </c>
      <c r="R156" s="176"/>
      <c r="S156" s="176"/>
      <c r="T156" s="176"/>
      <c r="U156" s="176"/>
      <c r="V156" s="176"/>
      <c r="W156" s="176"/>
      <c r="X156" s="176"/>
      <c r="Y156" s="176"/>
      <c r="Z156" s="176"/>
      <c r="AA156" s="176"/>
    </row>
    <row r="157">
      <c r="A157" s="165" t="str">
        <f>iferror(VLOOKUP(P157,'DO NOT TOUCH Imported'!$A$1:$D$800,4,False),iferror(VLOOKUP(P157,'DO NOT TOUCH Imported'!$C$1:$D$800,2,False),"OOPS FIX ME"))</f>
        <v>cranders71</v>
      </c>
      <c r="B157" s="249" t="s">
        <v>867</v>
      </c>
      <c r="C157" s="250" t="s">
        <v>1676</v>
      </c>
      <c r="D157" s="236" t="s">
        <v>1584</v>
      </c>
      <c r="E157" s="251">
        <v>44273.0</v>
      </c>
      <c r="F157" s="219" t="s">
        <v>496</v>
      </c>
      <c r="G157" s="170">
        <v>25.0</v>
      </c>
      <c r="H157" s="171">
        <v>150.0</v>
      </c>
      <c r="I157" s="171">
        <v>100.0</v>
      </c>
      <c r="J157" s="172">
        <f t="shared" si="2"/>
        <v>0.001444187573</v>
      </c>
      <c r="K157" s="173">
        <f t="shared" si="6"/>
        <v>1.612676123</v>
      </c>
      <c r="L157" s="174">
        <f t="shared" si="4"/>
        <v>16.17039619</v>
      </c>
      <c r="M157" s="175" t="str">
        <f t="shared" si="5"/>
        <v>cranders71</v>
      </c>
      <c r="N157" s="176">
        <f>IFERROR(__xludf.DUMMYFUNCTION("""COMPUTED_VALUE"""),3.0)</f>
        <v>3</v>
      </c>
      <c r="O157" s="176"/>
      <c r="P157" s="249" t="s">
        <v>5</v>
      </c>
      <c r="Q157" s="249" t="s">
        <v>867</v>
      </c>
      <c r="R157" s="176"/>
      <c r="S157" s="176"/>
      <c r="T157" s="176"/>
      <c r="U157" s="176"/>
      <c r="V157" s="176"/>
      <c r="W157" s="176"/>
      <c r="X157" s="176"/>
      <c r="Y157" s="176"/>
      <c r="Z157" s="176"/>
      <c r="AA157" s="176"/>
    </row>
    <row r="158">
      <c r="A158" s="165" t="str">
        <f>iferror(VLOOKUP(P158,'DO NOT TOUCH Imported'!$A$1:$D$800,4,False),iferror(VLOOKUP(P158,'DO NOT TOUCH Imported'!$C$1:$D$800,2,False),"OOPS FIX ME"))</f>
        <v>cranders71</v>
      </c>
      <c r="B158" s="165" t="s">
        <v>441</v>
      </c>
      <c r="C158" s="170" t="s">
        <v>1677</v>
      </c>
      <c r="D158" s="236" t="s">
        <v>437</v>
      </c>
      <c r="E158" s="239">
        <v>44274.0</v>
      </c>
      <c r="F158" s="170" t="s">
        <v>439</v>
      </c>
      <c r="G158" s="170">
        <v>15.0</v>
      </c>
      <c r="H158" s="171">
        <v>150.0</v>
      </c>
      <c r="I158" s="171">
        <v>100.0</v>
      </c>
      <c r="J158" s="172">
        <f t="shared" si="2"/>
        <v>0.001286471305</v>
      </c>
      <c r="K158" s="173">
        <f t="shared" si="6"/>
        <v>1.436559624</v>
      </c>
      <c r="L158" s="174">
        <f t="shared" si="4"/>
        <v>16.17039619</v>
      </c>
      <c r="M158" s="175" t="str">
        <f t="shared" si="5"/>
        <v>cranders71</v>
      </c>
      <c r="N158" s="176">
        <f>IFERROR(__xludf.DUMMYFUNCTION("""COMPUTED_VALUE"""),4.0)</f>
        <v>4</v>
      </c>
      <c r="O158" s="176"/>
      <c r="P158" s="165" t="s">
        <v>457</v>
      </c>
      <c r="Q158" s="165" t="s">
        <v>441</v>
      </c>
      <c r="R158" s="176"/>
      <c r="S158" s="176"/>
      <c r="T158" s="176"/>
      <c r="U158" s="176"/>
      <c r="V158" s="176"/>
      <c r="W158" s="176"/>
      <c r="X158" s="176"/>
      <c r="Y158" s="176"/>
      <c r="Z158" s="176"/>
      <c r="AA158" s="176"/>
    </row>
    <row r="159">
      <c r="A159" s="165" t="str">
        <f>iferror(VLOOKUP(P159,'DO NOT TOUCH Imported'!$A$1:$D$800,4,False),iferror(VLOOKUP(P159,'DO NOT TOUCH Imported'!$C$1:$D$800,2,False),"OOPS FIX ME"))</f>
        <v>cranders71</v>
      </c>
      <c r="B159" s="165" t="s">
        <v>590</v>
      </c>
      <c r="C159" s="170" t="s">
        <v>1678</v>
      </c>
      <c r="D159" s="236" t="s">
        <v>1584</v>
      </c>
      <c r="E159" s="239">
        <v>44281.0</v>
      </c>
      <c r="F159" s="170" t="s">
        <v>496</v>
      </c>
      <c r="G159" s="170">
        <v>25.0</v>
      </c>
      <c r="H159" s="171">
        <v>100.0</v>
      </c>
      <c r="I159" s="171">
        <v>100.0</v>
      </c>
      <c r="J159" s="172">
        <f t="shared" si="2"/>
        <v>0.001234425234</v>
      </c>
      <c r="K159" s="173">
        <f t="shared" si="6"/>
        <v>1.378441511</v>
      </c>
      <c r="L159" s="174">
        <f t="shared" si="4"/>
        <v>16.17039619</v>
      </c>
      <c r="M159" s="175" t="str">
        <f t="shared" si="5"/>
        <v>cranders71</v>
      </c>
      <c r="N159" s="176">
        <f>IFERROR(__xludf.DUMMYFUNCTION("""COMPUTED_VALUE"""),5.0)</f>
        <v>5</v>
      </c>
      <c r="O159" s="176"/>
      <c r="P159" s="165" t="s">
        <v>5</v>
      </c>
      <c r="Q159" s="165" t="s">
        <v>590</v>
      </c>
      <c r="R159" s="176"/>
      <c r="S159" s="176"/>
      <c r="T159" s="176"/>
      <c r="U159" s="176"/>
      <c r="V159" s="176"/>
      <c r="W159" s="176"/>
      <c r="X159" s="176"/>
      <c r="Y159" s="176"/>
      <c r="Z159" s="176"/>
      <c r="AA159" s="176"/>
    </row>
    <row r="160">
      <c r="A160" s="165" t="str">
        <f>iferror(VLOOKUP(P160,'DO NOT TOUCH Imported'!$A$1:$D$800,4,False),iferror(VLOOKUP(P160,'DO NOT TOUCH Imported'!$C$1:$D$800,2,False),"OOPS FIX ME"))</f>
        <v>cranders71</v>
      </c>
      <c r="B160" s="165" t="s">
        <v>441</v>
      </c>
      <c r="C160" s="170" t="s">
        <v>1595</v>
      </c>
      <c r="D160" s="236" t="s">
        <v>437</v>
      </c>
      <c r="E160" s="239">
        <v>44281.0</v>
      </c>
      <c r="F160" s="170" t="s">
        <v>439</v>
      </c>
      <c r="G160" s="170">
        <v>25.0</v>
      </c>
      <c r="H160" s="171">
        <v>100.0</v>
      </c>
      <c r="I160" s="171">
        <v>100.0</v>
      </c>
      <c r="J160" s="172">
        <f t="shared" si="2"/>
        <v>0.001234425234</v>
      </c>
      <c r="K160" s="173">
        <f t="shared" si="6"/>
        <v>1.378441511</v>
      </c>
      <c r="L160" s="174">
        <f t="shared" si="4"/>
        <v>16.17039619</v>
      </c>
      <c r="M160" s="175" t="str">
        <f t="shared" si="5"/>
        <v>cranders71</v>
      </c>
      <c r="N160" s="176">
        <f>IFERROR(__xludf.DUMMYFUNCTION("""COMPUTED_VALUE"""),6.0)</f>
        <v>6</v>
      </c>
      <c r="O160" s="176"/>
      <c r="P160" s="165" t="s">
        <v>457</v>
      </c>
      <c r="Q160" s="165" t="s">
        <v>441</v>
      </c>
      <c r="R160" s="176"/>
      <c r="S160" s="176"/>
      <c r="T160" s="176"/>
      <c r="U160" s="176"/>
      <c r="V160" s="176"/>
      <c r="W160" s="176"/>
      <c r="X160" s="176"/>
      <c r="Y160" s="176"/>
      <c r="Z160" s="176"/>
      <c r="AA160" s="176"/>
    </row>
    <row r="161">
      <c r="A161" s="165" t="str">
        <f>iferror(VLOOKUP(P161,'DO NOT TOUCH Imported'!$A$1:$D$800,4,False),iferror(VLOOKUP(P161,'DO NOT TOUCH Imported'!$C$1:$D$800,2,False),"OOPS FIX ME"))</f>
        <v>cranders71</v>
      </c>
      <c r="B161" s="165" t="s">
        <v>443</v>
      </c>
      <c r="C161" s="170" t="s">
        <v>1603</v>
      </c>
      <c r="D161" s="236" t="s">
        <v>437</v>
      </c>
      <c r="E161" s="239">
        <v>44277.0</v>
      </c>
      <c r="F161" s="170" t="s">
        <v>439</v>
      </c>
      <c r="G161" s="170">
        <v>15.0</v>
      </c>
      <c r="H161" s="171">
        <v>100.0</v>
      </c>
      <c r="I161" s="171">
        <v>100.0</v>
      </c>
      <c r="J161" s="172">
        <f t="shared" si="2"/>
        <v>0.001076708966</v>
      </c>
      <c r="K161" s="173">
        <f t="shared" si="6"/>
        <v>1.202325011</v>
      </c>
      <c r="L161" s="174">
        <f t="shared" si="4"/>
        <v>16.17039619</v>
      </c>
      <c r="M161" s="175" t="str">
        <f t="shared" si="5"/>
        <v>cranders71</v>
      </c>
      <c r="N161" s="176">
        <f>IFERROR(__xludf.DUMMYFUNCTION("""COMPUTED_VALUE"""),7.0)</f>
        <v>7</v>
      </c>
      <c r="O161" s="176"/>
      <c r="P161" s="165" t="s">
        <v>457</v>
      </c>
      <c r="Q161" s="165" t="s">
        <v>443</v>
      </c>
      <c r="R161" s="176"/>
      <c r="S161" s="176"/>
      <c r="T161" s="176"/>
      <c r="U161" s="176"/>
      <c r="V161" s="176"/>
      <c r="W161" s="176"/>
      <c r="X161" s="176"/>
      <c r="Y161" s="176"/>
      <c r="Z161" s="176"/>
      <c r="AA161" s="176"/>
    </row>
    <row r="162">
      <c r="A162" s="165" t="str">
        <f>iferror(VLOOKUP(P162,'DO NOT TOUCH Imported'!$A$1:$D$800,4,False),iferror(VLOOKUP(P162,'DO NOT TOUCH Imported'!$C$1:$D$800,2,False),"OOPS FIX ME"))</f>
        <v>cranders71</v>
      </c>
      <c r="B162" s="165" t="s">
        <v>486</v>
      </c>
      <c r="C162" s="170" t="s">
        <v>924</v>
      </c>
      <c r="D162" s="236" t="s">
        <v>437</v>
      </c>
      <c r="E162" s="239">
        <v>44278.0</v>
      </c>
      <c r="F162" s="170" t="s">
        <v>439</v>
      </c>
      <c r="G162" s="170">
        <v>15.0</v>
      </c>
      <c r="H162" s="171">
        <v>100.0</v>
      </c>
      <c r="I162" s="171">
        <v>100.0</v>
      </c>
      <c r="J162" s="172">
        <f t="shared" si="2"/>
        <v>0.001076708966</v>
      </c>
      <c r="K162" s="173">
        <f t="shared" si="6"/>
        <v>1.202325011</v>
      </c>
      <c r="L162" s="174">
        <f t="shared" si="4"/>
        <v>16.17039619</v>
      </c>
      <c r="M162" s="175" t="str">
        <f t="shared" si="5"/>
        <v>cranders71</v>
      </c>
      <c r="N162" s="176">
        <f>IFERROR(__xludf.DUMMYFUNCTION("""COMPUTED_VALUE"""),8.0)</f>
        <v>8</v>
      </c>
      <c r="O162" s="176"/>
      <c r="P162" s="165" t="s">
        <v>457</v>
      </c>
      <c r="Q162" s="165" t="s">
        <v>486</v>
      </c>
      <c r="R162" s="176"/>
      <c r="S162" s="176"/>
      <c r="T162" s="176"/>
      <c r="U162" s="176"/>
      <c r="V162" s="176"/>
      <c r="W162" s="176"/>
      <c r="X162" s="176"/>
      <c r="Y162" s="176"/>
      <c r="Z162" s="176"/>
      <c r="AA162" s="176"/>
    </row>
    <row r="163">
      <c r="A163" s="165" t="str">
        <f>iferror(VLOOKUP(P163,'DO NOT TOUCH Imported'!$A$1:$D$800,4,False),iferror(VLOOKUP(P163,'DO NOT TOUCH Imported'!$C$1:$D$800,2,False),"OOPS FIX ME"))</f>
        <v>cranders71</v>
      </c>
      <c r="B163" s="165" t="s">
        <v>441</v>
      </c>
      <c r="C163" s="170" t="s">
        <v>1612</v>
      </c>
      <c r="D163" s="236" t="s">
        <v>437</v>
      </c>
      <c r="E163" s="239">
        <v>44281.0</v>
      </c>
      <c r="F163" s="170" t="s">
        <v>439</v>
      </c>
      <c r="G163" s="170">
        <v>15.0</v>
      </c>
      <c r="H163" s="171">
        <v>80.0</v>
      </c>
      <c r="I163" s="171">
        <v>100.0</v>
      </c>
      <c r="J163" s="172">
        <f t="shared" si="2"/>
        <v>0.0009928040298</v>
      </c>
      <c r="K163" s="173">
        <f t="shared" si="6"/>
        <v>1.108631167</v>
      </c>
      <c r="L163" s="174">
        <f t="shared" si="4"/>
        <v>16.17039619</v>
      </c>
      <c r="M163" s="175" t="str">
        <f t="shared" si="5"/>
        <v>cranders71</v>
      </c>
      <c r="N163" s="176">
        <f>IFERROR(__xludf.DUMMYFUNCTION("""COMPUTED_VALUE"""),9.0)</f>
        <v>9</v>
      </c>
      <c r="O163" s="176"/>
      <c r="P163" s="165" t="s">
        <v>457</v>
      </c>
      <c r="Q163" s="165" t="s">
        <v>441</v>
      </c>
      <c r="R163" s="176"/>
      <c r="S163" s="176"/>
      <c r="T163" s="176"/>
      <c r="U163" s="176"/>
      <c r="V163" s="176"/>
      <c r="W163" s="176"/>
      <c r="X163" s="176"/>
      <c r="Y163" s="176"/>
      <c r="Z163" s="176"/>
      <c r="AA163" s="176"/>
    </row>
    <row r="164">
      <c r="A164" s="165" t="str">
        <f>iferror(VLOOKUP(P164,'DO NOT TOUCH Imported'!$A$1:$D$800,4,False),iferror(VLOOKUP(P164,'DO NOT TOUCH Imported'!$C$1:$D$800,2,False),"OOPS FIX ME"))</f>
        <v>cranders71</v>
      </c>
      <c r="B164" s="249" t="s">
        <v>590</v>
      </c>
      <c r="C164" s="250" t="s">
        <v>1619</v>
      </c>
      <c r="D164" s="236" t="s">
        <v>1584</v>
      </c>
      <c r="E164" s="251">
        <v>44278.0</v>
      </c>
      <c r="F164" s="219" t="s">
        <v>496</v>
      </c>
      <c r="G164" s="170">
        <v>15.0</v>
      </c>
      <c r="H164" s="171">
        <v>60.0</v>
      </c>
      <c r="I164" s="171">
        <v>100.0</v>
      </c>
      <c r="J164" s="172">
        <f t="shared" si="2"/>
        <v>0.0009088990941</v>
      </c>
      <c r="K164" s="173">
        <f t="shared" si="6"/>
        <v>1.014937322</v>
      </c>
      <c r="L164" s="174">
        <f t="shared" si="4"/>
        <v>16.17039619</v>
      </c>
      <c r="M164" s="175" t="str">
        <f t="shared" si="5"/>
        <v>cranders71</v>
      </c>
      <c r="N164" s="176">
        <f>IFERROR(__xludf.DUMMYFUNCTION("""COMPUTED_VALUE"""),10.0)</f>
        <v>10</v>
      </c>
      <c r="O164" s="176"/>
      <c r="P164" s="249" t="s">
        <v>5</v>
      </c>
      <c r="Q164" s="249" t="s">
        <v>590</v>
      </c>
      <c r="R164" s="176"/>
      <c r="S164" s="176"/>
      <c r="T164" s="176"/>
      <c r="U164" s="176"/>
      <c r="V164" s="176"/>
      <c r="W164" s="176"/>
      <c r="X164" s="176"/>
      <c r="Y164" s="176"/>
      <c r="Z164" s="176"/>
      <c r="AA164" s="176"/>
    </row>
    <row r="165">
      <c r="A165" s="165" t="str">
        <f>iferror(VLOOKUP(P165,'DO NOT TOUCH Imported'!$A$1:$D$800,4,False),iferror(VLOOKUP(P165,'DO NOT TOUCH Imported'!$C$1:$D$800,2,False),"OOPS FIX ME"))</f>
        <v>cranders71</v>
      </c>
      <c r="B165" s="249" t="s">
        <v>10</v>
      </c>
      <c r="C165" s="250" t="s">
        <v>498</v>
      </c>
      <c r="D165" s="236" t="s">
        <v>1584</v>
      </c>
      <c r="E165" s="251">
        <v>44274.0</v>
      </c>
      <c r="F165" s="219" t="s">
        <v>499</v>
      </c>
      <c r="G165" s="170">
        <v>15.0</v>
      </c>
      <c r="H165" s="171">
        <v>25.0</v>
      </c>
      <c r="I165" s="171">
        <v>100.0</v>
      </c>
      <c r="J165" s="172">
        <f t="shared" si="2"/>
        <v>0.0007620654566</v>
      </c>
      <c r="K165" s="173">
        <f t="shared" si="6"/>
        <v>0.8509730932</v>
      </c>
      <c r="L165" s="174">
        <f t="shared" si="4"/>
        <v>16.17039619</v>
      </c>
      <c r="M165" s="175" t="str">
        <f t="shared" si="5"/>
        <v>cranders71</v>
      </c>
      <c r="N165" s="176">
        <f>IFERROR(__xludf.DUMMYFUNCTION("""COMPUTED_VALUE"""),11.0)</f>
        <v>11</v>
      </c>
      <c r="O165" s="176"/>
      <c r="P165" s="249" t="s">
        <v>5</v>
      </c>
      <c r="Q165" s="249" t="s">
        <v>10</v>
      </c>
      <c r="R165" s="176"/>
      <c r="S165" s="176"/>
      <c r="T165" s="176"/>
      <c r="U165" s="176"/>
      <c r="V165" s="176"/>
      <c r="W165" s="176"/>
      <c r="X165" s="176"/>
      <c r="Y165" s="176"/>
      <c r="Z165" s="176"/>
      <c r="AA165" s="176"/>
    </row>
    <row r="166">
      <c r="A166" s="165" t="str">
        <f>iferror(VLOOKUP(P166,'DO NOT TOUCH Imported'!$A$1:$D$800,4,False),iferror(VLOOKUP(P166,'DO NOT TOUCH Imported'!$C$1:$D$800,2,False),"OOPS FIX ME"))</f>
        <v>cranders71</v>
      </c>
      <c r="B166" s="249" t="s">
        <v>10</v>
      </c>
      <c r="C166" s="250" t="s">
        <v>500</v>
      </c>
      <c r="D166" s="236" t="s">
        <v>1584</v>
      </c>
      <c r="E166" s="251">
        <v>44275.0</v>
      </c>
      <c r="F166" s="219" t="s">
        <v>496</v>
      </c>
      <c r="G166" s="170">
        <v>15.0</v>
      </c>
      <c r="H166" s="171">
        <v>25.0</v>
      </c>
      <c r="I166" s="171">
        <v>100.0</v>
      </c>
      <c r="J166" s="172">
        <f t="shared" si="2"/>
        <v>0.0007620654566</v>
      </c>
      <c r="K166" s="173">
        <f t="shared" si="6"/>
        <v>0.8509730932</v>
      </c>
      <c r="L166" s="174">
        <f t="shared" si="4"/>
        <v>16.17039619</v>
      </c>
      <c r="M166" s="175" t="str">
        <f t="shared" si="5"/>
        <v>cranders71</v>
      </c>
      <c r="N166" s="176">
        <f>IFERROR(__xludf.DUMMYFUNCTION("""COMPUTED_VALUE"""),12.0)</f>
        <v>12</v>
      </c>
      <c r="O166" s="176"/>
      <c r="P166" s="249" t="s">
        <v>5</v>
      </c>
      <c r="Q166" s="249" t="s">
        <v>10</v>
      </c>
      <c r="R166" s="176"/>
      <c r="S166" s="176"/>
      <c r="T166" s="176"/>
      <c r="U166" s="176"/>
      <c r="V166" s="176"/>
      <c r="W166" s="176"/>
      <c r="X166" s="176"/>
      <c r="Y166" s="176"/>
      <c r="Z166" s="176"/>
      <c r="AA166" s="176"/>
    </row>
    <row r="167">
      <c r="A167" s="165" t="str">
        <f>iferror(VLOOKUP(P167,'DO NOT TOUCH Imported'!$A$1:$D$800,4,False),iferror(VLOOKUP(P167,'DO NOT TOUCH Imported'!$C$1:$D$800,2,False),"OOPS FIX ME"))</f>
        <v>metaverde</v>
      </c>
      <c r="B167" s="165" t="s">
        <v>441</v>
      </c>
      <c r="C167" s="170" t="s">
        <v>1653</v>
      </c>
      <c r="D167" s="236" t="s">
        <v>437</v>
      </c>
      <c r="E167" s="239">
        <v>44274.0</v>
      </c>
      <c r="F167" s="170" t="s">
        <v>439</v>
      </c>
      <c r="G167" s="170">
        <v>15.0</v>
      </c>
      <c r="H167" s="171">
        <v>200.0</v>
      </c>
      <c r="I167" s="171">
        <v>200.0</v>
      </c>
      <c r="J167" s="172">
        <f t="shared" si="2"/>
        <v>0.001916843528</v>
      </c>
      <c r="K167" s="173">
        <f t="shared" si="6"/>
        <v>2.140475273</v>
      </c>
      <c r="L167" s="174">
        <f t="shared" si="4"/>
        <v>15.92345896</v>
      </c>
      <c r="M167" s="175" t="str">
        <f t="shared" si="5"/>
        <v>metaverde</v>
      </c>
      <c r="N167" s="176">
        <f>IFERROR(__xludf.DUMMYFUNCTION("""COMPUTED_VALUE"""),1.0)</f>
        <v>1</v>
      </c>
      <c r="O167" s="176"/>
      <c r="P167" s="165" t="s">
        <v>718</v>
      </c>
      <c r="Q167" s="165" t="s">
        <v>441</v>
      </c>
      <c r="R167" s="176"/>
      <c r="S167" s="176"/>
      <c r="T167" s="176"/>
      <c r="U167" s="176"/>
      <c r="V167" s="176"/>
      <c r="W167" s="176"/>
      <c r="X167" s="176"/>
      <c r="Y167" s="176"/>
      <c r="Z167" s="176"/>
      <c r="AA167" s="176"/>
    </row>
    <row r="168">
      <c r="A168" s="165" t="str">
        <f>iferror(VLOOKUP(P168,'DO NOT TOUCH Imported'!$A$1:$D$800,4,False),iferror(VLOOKUP(P168,'DO NOT TOUCH Imported'!$C$1:$D$800,2,False),"OOPS FIX ME"))</f>
        <v>metaverde</v>
      </c>
      <c r="B168" s="165" t="s">
        <v>443</v>
      </c>
      <c r="C168" s="170" t="s">
        <v>1590</v>
      </c>
      <c r="D168" s="236" t="s">
        <v>437</v>
      </c>
      <c r="E168" s="239">
        <v>44273.0</v>
      </c>
      <c r="F168" s="170" t="s">
        <v>439</v>
      </c>
      <c r="G168" s="170">
        <v>45.0</v>
      </c>
      <c r="H168" s="171">
        <v>100.0</v>
      </c>
      <c r="I168" s="171">
        <v>100.0</v>
      </c>
      <c r="J168" s="172">
        <f t="shared" si="2"/>
        <v>0.001549857771</v>
      </c>
      <c r="K168" s="173">
        <f t="shared" si="6"/>
        <v>1.730674511</v>
      </c>
      <c r="L168" s="174">
        <f t="shared" si="4"/>
        <v>15.92345896</v>
      </c>
      <c r="M168" s="175" t="str">
        <f t="shared" si="5"/>
        <v>metaverde</v>
      </c>
      <c r="N168" s="176">
        <f>IFERROR(__xludf.DUMMYFUNCTION("""COMPUTED_VALUE"""),2.0)</f>
        <v>2</v>
      </c>
      <c r="O168" s="176"/>
      <c r="P168" s="165" t="s">
        <v>718</v>
      </c>
      <c r="Q168" s="165" t="s">
        <v>443</v>
      </c>
      <c r="R168" s="176"/>
      <c r="S168" s="176"/>
      <c r="T168" s="176"/>
      <c r="U168" s="176"/>
      <c r="V168" s="176"/>
      <c r="W168" s="176"/>
      <c r="X168" s="176"/>
      <c r="Y168" s="176"/>
      <c r="Z168" s="176"/>
      <c r="AA168" s="176"/>
    </row>
    <row r="169">
      <c r="A169" s="165" t="str">
        <f>iferror(VLOOKUP(P169,'DO NOT TOUCH Imported'!$A$1:$D$800,4,False),iferror(VLOOKUP(P169,'DO NOT TOUCH Imported'!$C$1:$D$800,2,False),"OOPS FIX ME"))</f>
        <v>metaverde</v>
      </c>
      <c r="B169" s="165" t="s">
        <v>441</v>
      </c>
      <c r="C169" s="170" t="s">
        <v>1679</v>
      </c>
      <c r="D169" s="236" t="s">
        <v>437</v>
      </c>
      <c r="E169" s="239">
        <v>44281.0</v>
      </c>
      <c r="F169" s="170" t="s">
        <v>439</v>
      </c>
      <c r="G169" s="170">
        <v>15.0</v>
      </c>
      <c r="H169" s="171">
        <v>200.0</v>
      </c>
      <c r="I169" s="171">
        <v>100.0</v>
      </c>
      <c r="J169" s="172">
        <f t="shared" si="2"/>
        <v>0.001496233644</v>
      </c>
      <c r="K169" s="173">
        <f t="shared" si="6"/>
        <v>1.670794236</v>
      </c>
      <c r="L169" s="174">
        <f t="shared" si="4"/>
        <v>15.92345896</v>
      </c>
      <c r="M169" s="175" t="str">
        <f t="shared" si="5"/>
        <v>metaverde</v>
      </c>
      <c r="N169" s="176">
        <f>IFERROR(__xludf.DUMMYFUNCTION("""COMPUTED_VALUE"""),3.0)</f>
        <v>3</v>
      </c>
      <c r="O169" s="176"/>
      <c r="P169" s="165" t="s">
        <v>718</v>
      </c>
      <c r="Q169" s="165" t="s">
        <v>441</v>
      </c>
      <c r="R169" s="176"/>
      <c r="S169" s="176"/>
      <c r="T169" s="176"/>
      <c r="U169" s="176"/>
      <c r="V169" s="176"/>
      <c r="W169" s="176"/>
      <c r="X169" s="176"/>
      <c r="Y169" s="176"/>
      <c r="Z169" s="176"/>
      <c r="AA169" s="176"/>
    </row>
    <row r="170">
      <c r="A170" s="165" t="str">
        <f>iferror(VLOOKUP(P170,'DO NOT TOUCH Imported'!$A$1:$D$800,4,False),iferror(VLOOKUP(P170,'DO NOT TOUCH Imported'!$C$1:$D$800,2,False),"OOPS FIX ME"))</f>
        <v>metaverde</v>
      </c>
      <c r="B170" s="165" t="s">
        <v>443</v>
      </c>
      <c r="C170" s="170" t="s">
        <v>1658</v>
      </c>
      <c r="D170" s="236" t="s">
        <v>437</v>
      </c>
      <c r="E170" s="239">
        <v>44273.0</v>
      </c>
      <c r="F170" s="170" t="s">
        <v>439</v>
      </c>
      <c r="G170" s="170">
        <v>15.0</v>
      </c>
      <c r="H170" s="171">
        <v>100.0</v>
      </c>
      <c r="I170" s="171">
        <v>200.0</v>
      </c>
      <c r="J170" s="172">
        <f t="shared" si="2"/>
        <v>0.00149731885</v>
      </c>
      <c r="K170" s="173">
        <f t="shared" si="6"/>
        <v>1.672006049</v>
      </c>
      <c r="L170" s="174">
        <f t="shared" si="4"/>
        <v>15.92345896</v>
      </c>
      <c r="M170" s="175" t="str">
        <f t="shared" si="5"/>
        <v>metaverde</v>
      </c>
      <c r="N170" s="176">
        <f>IFERROR(__xludf.DUMMYFUNCTION("""COMPUTED_VALUE"""),4.0)</f>
        <v>4</v>
      </c>
      <c r="O170" s="176"/>
      <c r="P170" s="165" t="s">
        <v>718</v>
      </c>
      <c r="Q170" s="165" t="s">
        <v>443</v>
      </c>
      <c r="R170" s="176"/>
      <c r="S170" s="176"/>
      <c r="T170" s="176"/>
      <c r="U170" s="176"/>
      <c r="V170" s="176"/>
      <c r="W170" s="176"/>
      <c r="X170" s="176"/>
      <c r="Y170" s="176"/>
      <c r="Z170" s="176"/>
      <c r="AA170" s="176"/>
    </row>
    <row r="171">
      <c r="A171" s="165" t="str">
        <f>iferror(VLOOKUP(P171,'DO NOT TOUCH Imported'!$A$1:$D$800,4,False),iferror(VLOOKUP(P171,'DO NOT TOUCH Imported'!$C$1:$D$800,2,False),"OOPS FIX ME"))</f>
        <v>metaverde</v>
      </c>
      <c r="B171" s="165" t="s">
        <v>441</v>
      </c>
      <c r="C171" s="170" t="s">
        <v>1593</v>
      </c>
      <c r="D171" s="236" t="s">
        <v>437</v>
      </c>
      <c r="E171" s="239">
        <v>44274.0</v>
      </c>
      <c r="F171" s="170" t="s">
        <v>439</v>
      </c>
      <c r="G171" s="170">
        <v>25.0</v>
      </c>
      <c r="H171" s="171">
        <v>150.0</v>
      </c>
      <c r="I171" s="171">
        <v>100.0</v>
      </c>
      <c r="J171" s="172">
        <f t="shared" si="2"/>
        <v>0.001444187573</v>
      </c>
      <c r="K171" s="173">
        <f t="shared" si="6"/>
        <v>1.612676123</v>
      </c>
      <c r="L171" s="174">
        <f t="shared" si="4"/>
        <v>15.92345896</v>
      </c>
      <c r="M171" s="175" t="str">
        <f t="shared" si="5"/>
        <v>metaverde</v>
      </c>
      <c r="N171" s="176">
        <f>IFERROR(__xludf.DUMMYFUNCTION("""COMPUTED_VALUE"""),5.0)</f>
        <v>5</v>
      </c>
      <c r="O171" s="176"/>
      <c r="P171" s="165" t="s">
        <v>718</v>
      </c>
      <c r="Q171" s="165" t="s">
        <v>441</v>
      </c>
      <c r="R171" s="176"/>
      <c r="S171" s="176"/>
      <c r="T171" s="176"/>
      <c r="U171" s="176"/>
      <c r="V171" s="176"/>
      <c r="W171" s="176"/>
      <c r="X171" s="176"/>
      <c r="Y171" s="176"/>
      <c r="Z171" s="176"/>
      <c r="AA171" s="176"/>
    </row>
    <row r="172">
      <c r="A172" s="165" t="str">
        <f>iferror(VLOOKUP(P172,'DO NOT TOUCH Imported'!$A$1:$D$800,4,False),iferror(VLOOKUP(P172,'DO NOT TOUCH Imported'!$C$1:$D$800,2,False),"OOPS FIX ME"))</f>
        <v>metaverde</v>
      </c>
      <c r="B172" s="165" t="s">
        <v>441</v>
      </c>
      <c r="C172" s="170" t="s">
        <v>1680</v>
      </c>
      <c r="D172" s="236" t="s">
        <v>437</v>
      </c>
      <c r="E172" s="239">
        <v>44274.0</v>
      </c>
      <c r="F172" s="170" t="s">
        <v>439</v>
      </c>
      <c r="G172" s="170">
        <v>15.0</v>
      </c>
      <c r="H172" s="171">
        <v>150.0</v>
      </c>
      <c r="I172" s="171">
        <v>100.0</v>
      </c>
      <c r="J172" s="172">
        <f t="shared" si="2"/>
        <v>0.001286471305</v>
      </c>
      <c r="K172" s="173">
        <f t="shared" si="6"/>
        <v>1.436559624</v>
      </c>
      <c r="L172" s="174">
        <f t="shared" si="4"/>
        <v>15.92345896</v>
      </c>
      <c r="M172" s="175" t="str">
        <f t="shared" si="5"/>
        <v>metaverde</v>
      </c>
      <c r="N172" s="176">
        <f>IFERROR(__xludf.DUMMYFUNCTION("""COMPUTED_VALUE"""),6.0)</f>
        <v>6</v>
      </c>
      <c r="O172" s="176"/>
      <c r="P172" s="165" t="s">
        <v>718</v>
      </c>
      <c r="Q172" s="165" t="s">
        <v>441</v>
      </c>
      <c r="R172" s="176"/>
      <c r="S172" s="176"/>
      <c r="T172" s="176"/>
      <c r="U172" s="176"/>
      <c r="V172" s="176"/>
      <c r="W172" s="176"/>
      <c r="X172" s="176"/>
      <c r="Y172" s="176"/>
      <c r="Z172" s="176"/>
      <c r="AA172" s="176"/>
    </row>
    <row r="173">
      <c r="A173" s="165" t="str">
        <f>iferror(VLOOKUP(P173,'DO NOT TOUCH Imported'!$A$1:$D$800,4,False),iferror(VLOOKUP(P173,'DO NOT TOUCH Imported'!$C$1:$D$800,2,False),"OOPS FIX ME"))</f>
        <v>metaverde</v>
      </c>
      <c r="B173" s="249" t="s">
        <v>867</v>
      </c>
      <c r="C173" s="250" t="s">
        <v>1681</v>
      </c>
      <c r="D173" s="236" t="s">
        <v>1584</v>
      </c>
      <c r="E173" s="251">
        <v>44270.0</v>
      </c>
      <c r="F173" s="219" t="s">
        <v>496</v>
      </c>
      <c r="G173" s="170">
        <v>25.0</v>
      </c>
      <c r="H173" s="171">
        <v>100.0</v>
      </c>
      <c r="I173" s="171">
        <v>100.0</v>
      </c>
      <c r="J173" s="172">
        <f t="shared" si="2"/>
        <v>0.001234425234</v>
      </c>
      <c r="K173" s="173">
        <f t="shared" si="6"/>
        <v>1.378441511</v>
      </c>
      <c r="L173" s="174">
        <f t="shared" si="4"/>
        <v>15.92345896</v>
      </c>
      <c r="M173" s="175" t="str">
        <f t="shared" si="5"/>
        <v>metaverde</v>
      </c>
      <c r="N173" s="176">
        <f>IFERROR(__xludf.DUMMYFUNCTION("""COMPUTED_VALUE"""),7.0)</f>
        <v>7</v>
      </c>
      <c r="O173" s="176"/>
      <c r="P173" s="249" t="s">
        <v>12</v>
      </c>
      <c r="Q173" s="249" t="s">
        <v>867</v>
      </c>
      <c r="R173" s="176"/>
      <c r="S173" s="176"/>
      <c r="T173" s="176"/>
      <c r="U173" s="176"/>
      <c r="V173" s="176"/>
      <c r="W173" s="176"/>
      <c r="X173" s="176"/>
      <c r="Y173" s="176"/>
      <c r="Z173" s="176"/>
      <c r="AA173" s="176"/>
    </row>
    <row r="174">
      <c r="A174" s="165" t="str">
        <f>iferror(VLOOKUP(P174,'DO NOT TOUCH Imported'!$A$1:$D$800,4,False),iferror(VLOOKUP(P174,'DO NOT TOUCH Imported'!$C$1:$D$800,2,False),"OOPS FIX ME"))</f>
        <v>metaverde</v>
      </c>
      <c r="B174" s="165" t="s">
        <v>443</v>
      </c>
      <c r="C174" s="170" t="s">
        <v>1603</v>
      </c>
      <c r="D174" s="236" t="s">
        <v>437</v>
      </c>
      <c r="E174" s="239">
        <v>44277.0</v>
      </c>
      <c r="F174" s="170" t="s">
        <v>439</v>
      </c>
      <c r="G174" s="170">
        <v>15.0</v>
      </c>
      <c r="H174" s="171">
        <v>100.0</v>
      </c>
      <c r="I174" s="171">
        <v>100.0</v>
      </c>
      <c r="J174" s="172">
        <f t="shared" si="2"/>
        <v>0.001076708966</v>
      </c>
      <c r="K174" s="173">
        <f t="shared" si="6"/>
        <v>1.202325011</v>
      </c>
      <c r="L174" s="174">
        <f t="shared" si="4"/>
        <v>15.92345896</v>
      </c>
      <c r="M174" s="175" t="str">
        <f t="shared" si="5"/>
        <v>metaverde</v>
      </c>
      <c r="N174" s="176">
        <f>IFERROR(__xludf.DUMMYFUNCTION("""COMPUTED_VALUE"""),8.0)</f>
        <v>8</v>
      </c>
      <c r="O174" s="176"/>
      <c r="P174" s="165" t="s">
        <v>718</v>
      </c>
      <c r="Q174" s="165" t="s">
        <v>443</v>
      </c>
      <c r="R174" s="176"/>
      <c r="S174" s="176"/>
      <c r="T174" s="176"/>
      <c r="U174" s="176"/>
      <c r="V174" s="176"/>
      <c r="W174" s="176"/>
      <c r="X174" s="176"/>
      <c r="Y174" s="176"/>
      <c r="Z174" s="176"/>
      <c r="AA174" s="176"/>
    </row>
    <row r="175">
      <c r="A175" s="165" t="str">
        <f>iferror(VLOOKUP(P175,'DO NOT TOUCH Imported'!$A$1:$D$800,4,False),iferror(VLOOKUP(P175,'DO NOT TOUCH Imported'!$C$1:$D$800,2,False),"OOPS FIX ME"))</f>
        <v>metaverde</v>
      </c>
      <c r="B175" s="165" t="s">
        <v>443</v>
      </c>
      <c r="C175" s="170" t="s">
        <v>1652</v>
      </c>
      <c r="D175" s="236" t="s">
        <v>437</v>
      </c>
      <c r="E175" s="239">
        <v>44279.0</v>
      </c>
      <c r="F175" s="170" t="s">
        <v>439</v>
      </c>
      <c r="G175" s="170">
        <v>15.0</v>
      </c>
      <c r="H175" s="171">
        <v>100.0</v>
      </c>
      <c r="I175" s="171">
        <v>100.0</v>
      </c>
      <c r="J175" s="172">
        <f t="shared" si="2"/>
        <v>0.001076708966</v>
      </c>
      <c r="K175" s="173">
        <f t="shared" si="6"/>
        <v>1.202325011</v>
      </c>
      <c r="L175" s="174">
        <f t="shared" si="4"/>
        <v>15.92345896</v>
      </c>
      <c r="M175" s="175" t="str">
        <f t="shared" si="5"/>
        <v>metaverde</v>
      </c>
      <c r="N175" s="176">
        <f>IFERROR(__xludf.DUMMYFUNCTION("""COMPUTED_VALUE"""),9.0)</f>
        <v>9</v>
      </c>
      <c r="O175" s="176"/>
      <c r="P175" s="165" t="s">
        <v>718</v>
      </c>
      <c r="Q175" s="165" t="s">
        <v>443</v>
      </c>
      <c r="R175" s="176"/>
      <c r="S175" s="176"/>
      <c r="T175" s="176"/>
      <c r="U175" s="176"/>
      <c r="V175" s="176"/>
      <c r="W175" s="176"/>
      <c r="X175" s="176"/>
      <c r="Y175" s="176"/>
      <c r="Z175" s="176"/>
      <c r="AA175" s="176"/>
    </row>
    <row r="176">
      <c r="A176" s="165" t="str">
        <f>iferror(VLOOKUP(P176,'DO NOT TOUCH Imported'!$A$1:$D$800,4,False),iferror(VLOOKUP(P176,'DO NOT TOUCH Imported'!$C$1:$D$800,2,False),"OOPS FIX ME"))</f>
        <v>metaverde</v>
      </c>
      <c r="B176" s="165" t="s">
        <v>443</v>
      </c>
      <c r="C176" s="170" t="s">
        <v>1616</v>
      </c>
      <c r="D176" s="236" t="s">
        <v>437</v>
      </c>
      <c r="E176" s="239">
        <v>44280.0</v>
      </c>
      <c r="F176" s="170" t="s">
        <v>439</v>
      </c>
      <c r="G176" s="170">
        <v>5.0</v>
      </c>
      <c r="H176" s="171">
        <v>100.0</v>
      </c>
      <c r="I176" s="171">
        <v>100.0</v>
      </c>
      <c r="J176" s="172">
        <f t="shared" si="2"/>
        <v>0.0009189926971</v>
      </c>
      <c r="K176" s="173">
        <f t="shared" si="6"/>
        <v>1.026208512</v>
      </c>
      <c r="L176" s="174">
        <f t="shared" si="4"/>
        <v>15.92345896</v>
      </c>
      <c r="M176" s="175" t="str">
        <f t="shared" si="5"/>
        <v>metaverde</v>
      </c>
      <c r="N176" s="176">
        <f>IFERROR(__xludf.DUMMYFUNCTION("""COMPUTED_VALUE"""),10.0)</f>
        <v>10</v>
      </c>
      <c r="O176" s="176"/>
      <c r="P176" s="165" t="s">
        <v>718</v>
      </c>
      <c r="Q176" s="165" t="s">
        <v>443</v>
      </c>
      <c r="R176" s="176"/>
      <c r="S176" s="176"/>
      <c r="T176" s="176"/>
      <c r="U176" s="176"/>
      <c r="V176" s="176"/>
      <c r="W176" s="176"/>
      <c r="X176" s="176"/>
      <c r="Y176" s="176"/>
      <c r="Z176" s="176"/>
      <c r="AA176" s="176"/>
    </row>
    <row r="177">
      <c r="A177" s="165" t="str">
        <f>iferror(VLOOKUP(P177,'DO NOT TOUCH Imported'!$A$1:$D$800,4,False),iferror(VLOOKUP(P177,'DO NOT TOUCH Imported'!$C$1:$D$800,2,False),"OOPS FIX ME"))</f>
        <v>metaverde</v>
      </c>
      <c r="B177" s="249" t="s">
        <v>10</v>
      </c>
      <c r="C177" s="250" t="s">
        <v>498</v>
      </c>
      <c r="D177" s="236" t="s">
        <v>1584</v>
      </c>
      <c r="E177" s="251">
        <v>44274.0</v>
      </c>
      <c r="F177" s="219" t="s">
        <v>499</v>
      </c>
      <c r="G177" s="170">
        <v>15.0</v>
      </c>
      <c r="H177" s="171">
        <v>25.0</v>
      </c>
      <c r="I177" s="171">
        <v>100.0</v>
      </c>
      <c r="J177" s="172">
        <f t="shared" si="2"/>
        <v>0.0007620654566</v>
      </c>
      <c r="K177" s="173">
        <f t="shared" si="6"/>
        <v>0.8509730932</v>
      </c>
      <c r="L177" s="174">
        <f t="shared" si="4"/>
        <v>15.92345896</v>
      </c>
      <c r="M177" s="175" t="str">
        <f t="shared" si="5"/>
        <v>metaverde</v>
      </c>
      <c r="N177" s="176">
        <f>IFERROR(__xludf.DUMMYFUNCTION("""COMPUTED_VALUE"""),11.0)</f>
        <v>11</v>
      </c>
      <c r="O177" s="176"/>
      <c r="P177" s="249" t="s">
        <v>12</v>
      </c>
      <c r="Q177" s="249" t="s">
        <v>10</v>
      </c>
      <c r="R177" s="176"/>
      <c r="S177" s="176"/>
      <c r="T177" s="176"/>
      <c r="U177" s="176"/>
      <c r="V177" s="176"/>
      <c r="W177" s="176"/>
      <c r="X177" s="176"/>
      <c r="Y177" s="176"/>
      <c r="Z177" s="176"/>
      <c r="AA177" s="176"/>
    </row>
    <row r="178">
      <c r="A178" s="165" t="str">
        <f>iferror(VLOOKUP(P178,'DO NOT TOUCH Imported'!$A$1:$D$800,4,False),iferror(VLOOKUP(P178,'DO NOT TOUCH Imported'!$C$1:$D$800,2,False),"OOPS FIX ME"))</f>
        <v>Vyvy-vi#5040</v>
      </c>
      <c r="B178" s="165" t="s">
        <v>441</v>
      </c>
      <c r="C178" s="170" t="s">
        <v>1682</v>
      </c>
      <c r="D178" s="236" t="s">
        <v>437</v>
      </c>
      <c r="E178" s="239">
        <v>44281.0</v>
      </c>
      <c r="F178" s="170" t="s">
        <v>439</v>
      </c>
      <c r="G178" s="170">
        <v>200.0</v>
      </c>
      <c r="H178" s="171">
        <v>150.0</v>
      </c>
      <c r="I178" s="171">
        <v>200.0</v>
      </c>
      <c r="J178" s="172">
        <f t="shared" si="2"/>
        <v>0.004624832155</v>
      </c>
      <c r="K178" s="173">
        <f t="shared" si="6"/>
        <v>5.164395907</v>
      </c>
      <c r="L178" s="174">
        <f t="shared" si="4"/>
        <v>13.9921228</v>
      </c>
      <c r="M178" s="175" t="str">
        <f t="shared" si="5"/>
        <v>Vyvy-vi#5040</v>
      </c>
      <c r="N178" s="176">
        <f>IFERROR(__xludf.DUMMYFUNCTION("""COMPUTED_VALUE"""),1.0)</f>
        <v>1</v>
      </c>
      <c r="O178" s="176"/>
      <c r="P178" s="165" t="s">
        <v>20</v>
      </c>
      <c r="Q178" s="165" t="s">
        <v>441</v>
      </c>
      <c r="R178" s="176"/>
      <c r="S178" s="176"/>
      <c r="T178" s="176"/>
      <c r="U178" s="176"/>
      <c r="V178" s="176"/>
      <c r="W178" s="176"/>
      <c r="X178" s="176"/>
      <c r="Y178" s="176"/>
      <c r="Z178" s="176"/>
      <c r="AA178" s="176"/>
    </row>
    <row r="179">
      <c r="A179" s="165" t="str">
        <f>iferror(VLOOKUP(P179,'DO NOT TOUCH Imported'!$A$1:$D$800,4,False),iferror(VLOOKUP(P179,'DO NOT TOUCH Imported'!$C$1:$D$800,2,False),"OOPS FIX ME"))</f>
        <v>Vyvy-vi#5040</v>
      </c>
      <c r="B179" s="249" t="s">
        <v>18</v>
      </c>
      <c r="C179" s="250" t="s">
        <v>1683</v>
      </c>
      <c r="D179" s="236" t="s">
        <v>1584</v>
      </c>
      <c r="E179" s="251">
        <v>44279.0</v>
      </c>
      <c r="F179" s="219" t="s">
        <v>496</v>
      </c>
      <c r="G179" s="170">
        <v>100.0</v>
      </c>
      <c r="H179" s="171">
        <v>200.0</v>
      </c>
      <c r="I179" s="171">
        <v>100.0</v>
      </c>
      <c r="J179" s="172">
        <f t="shared" si="2"/>
        <v>0.002836821926</v>
      </c>
      <c r="K179" s="173">
        <f t="shared" si="6"/>
        <v>3.167784484</v>
      </c>
      <c r="L179" s="174">
        <f t="shared" si="4"/>
        <v>13.9921228</v>
      </c>
      <c r="M179" s="175" t="str">
        <f t="shared" si="5"/>
        <v>Vyvy-vi#5040</v>
      </c>
      <c r="N179" s="176">
        <f>IFERROR(__xludf.DUMMYFUNCTION("""COMPUTED_VALUE"""),2.0)</f>
        <v>2</v>
      </c>
      <c r="O179" s="176"/>
      <c r="P179" s="249" t="s">
        <v>790</v>
      </c>
      <c r="Q179" s="249" t="s">
        <v>18</v>
      </c>
      <c r="R179" s="176"/>
      <c r="S179" s="176"/>
      <c r="T179" s="176"/>
      <c r="U179" s="176"/>
      <c r="V179" s="176"/>
      <c r="W179" s="176"/>
      <c r="X179" s="176"/>
      <c r="Y179" s="176"/>
      <c r="Z179" s="176"/>
      <c r="AA179" s="176"/>
    </row>
    <row r="180">
      <c r="A180" s="165" t="str">
        <f>iferror(VLOOKUP(P180,'DO NOT TOUCH Imported'!$A$1:$D$800,4,False),iferror(VLOOKUP(P180,'DO NOT TOUCH Imported'!$C$1:$D$800,2,False),"OOPS FIX ME"))</f>
        <v>Vyvy-vi#5040</v>
      </c>
      <c r="B180" s="165" t="s">
        <v>441</v>
      </c>
      <c r="C180" s="170" t="s">
        <v>1684</v>
      </c>
      <c r="D180" s="236" t="s">
        <v>437</v>
      </c>
      <c r="E180" s="239">
        <v>44281.0</v>
      </c>
      <c r="F180" s="170" t="s">
        <v>439</v>
      </c>
      <c r="G180" s="170">
        <v>50.0</v>
      </c>
      <c r="H180" s="171">
        <v>100.0</v>
      </c>
      <c r="I180" s="171">
        <v>100.0</v>
      </c>
      <c r="J180" s="172">
        <f t="shared" si="2"/>
        <v>0.001628715905</v>
      </c>
      <c r="K180" s="173">
        <f t="shared" si="6"/>
        <v>1.818732761</v>
      </c>
      <c r="L180" s="174">
        <f t="shared" si="4"/>
        <v>13.9921228</v>
      </c>
      <c r="M180" s="175" t="str">
        <f t="shared" si="5"/>
        <v>Vyvy-vi#5040</v>
      </c>
      <c r="N180" s="176">
        <f>IFERROR(__xludf.DUMMYFUNCTION("""COMPUTED_VALUE"""),3.0)</f>
        <v>3</v>
      </c>
      <c r="O180" s="176"/>
      <c r="P180" s="165" t="s">
        <v>20</v>
      </c>
      <c r="Q180" s="165" t="s">
        <v>441</v>
      </c>
      <c r="R180" s="176"/>
      <c r="S180" s="176"/>
      <c r="T180" s="176"/>
      <c r="U180" s="176"/>
      <c r="V180" s="176"/>
      <c r="W180" s="176"/>
      <c r="X180" s="176"/>
      <c r="Y180" s="176"/>
      <c r="Z180" s="176"/>
      <c r="AA180" s="176"/>
    </row>
    <row r="181">
      <c r="A181" s="165" t="str">
        <f>iferror(VLOOKUP(P181,'DO NOT TOUCH Imported'!$A$1:$D$800,4,False),iferror(VLOOKUP(P181,'DO NOT TOUCH Imported'!$C$1:$D$800,2,False),"OOPS FIX ME"))</f>
        <v>Vyvy-vi#5040</v>
      </c>
      <c r="B181" s="165" t="s">
        <v>530</v>
      </c>
      <c r="C181" s="170" t="s">
        <v>1685</v>
      </c>
      <c r="D181" s="236" t="s">
        <v>499</v>
      </c>
      <c r="E181" s="239">
        <v>44277.0</v>
      </c>
      <c r="F181" s="170" t="s">
        <v>503</v>
      </c>
      <c r="G181" s="170">
        <v>15.0</v>
      </c>
      <c r="H181" s="171">
        <v>150.0</v>
      </c>
      <c r="I181" s="171">
        <v>100.0</v>
      </c>
      <c r="J181" s="172">
        <f t="shared" si="2"/>
        <v>0.001286471305</v>
      </c>
      <c r="K181" s="173">
        <f t="shared" si="6"/>
        <v>1.436559624</v>
      </c>
      <c r="L181" s="174">
        <f t="shared" si="4"/>
        <v>13.9921228</v>
      </c>
      <c r="M181" s="175" t="str">
        <f t="shared" si="5"/>
        <v>Vyvy-vi#5040</v>
      </c>
      <c r="N181" s="176">
        <f>IFERROR(__xludf.DUMMYFUNCTION("""COMPUTED_VALUE"""),4.0)</f>
        <v>4</v>
      </c>
      <c r="O181" s="176"/>
      <c r="P181" s="165" t="s">
        <v>20</v>
      </c>
      <c r="Q181" s="165" t="s">
        <v>530</v>
      </c>
      <c r="R181" s="176"/>
      <c r="S181" s="176"/>
      <c r="T181" s="176"/>
      <c r="U181" s="176"/>
      <c r="V181" s="176"/>
      <c r="W181" s="176"/>
      <c r="X181" s="176"/>
      <c r="Y181" s="176"/>
      <c r="Z181" s="176"/>
      <c r="AA181" s="176"/>
    </row>
    <row r="182">
      <c r="A182" s="165" t="str">
        <f>iferror(VLOOKUP(P182,'DO NOT TOUCH Imported'!$A$1:$D$800,4,False),iferror(VLOOKUP(P182,'DO NOT TOUCH Imported'!$C$1:$D$800,2,False),"OOPS FIX ME"))</f>
        <v>Vyvy-vi#5040</v>
      </c>
      <c r="B182" s="165" t="s">
        <v>443</v>
      </c>
      <c r="C182" s="170" t="s">
        <v>1603</v>
      </c>
      <c r="D182" s="236" t="s">
        <v>437</v>
      </c>
      <c r="E182" s="239">
        <v>44277.0</v>
      </c>
      <c r="F182" s="170" t="s">
        <v>439</v>
      </c>
      <c r="G182" s="170">
        <v>15.0</v>
      </c>
      <c r="H182" s="171">
        <v>100.0</v>
      </c>
      <c r="I182" s="171">
        <v>100.0</v>
      </c>
      <c r="J182" s="172">
        <f t="shared" si="2"/>
        <v>0.001076708966</v>
      </c>
      <c r="K182" s="173">
        <f t="shared" si="6"/>
        <v>1.202325011</v>
      </c>
      <c r="L182" s="174">
        <f t="shared" si="4"/>
        <v>13.9921228</v>
      </c>
      <c r="M182" s="175" t="str">
        <f t="shared" si="5"/>
        <v>Vyvy-vi#5040</v>
      </c>
      <c r="N182" s="176">
        <f>IFERROR(__xludf.DUMMYFUNCTION("""COMPUTED_VALUE"""),5.0)</f>
        <v>5</v>
      </c>
      <c r="O182" s="176"/>
      <c r="P182" s="165" t="s">
        <v>20</v>
      </c>
      <c r="Q182" s="165" t="s">
        <v>443</v>
      </c>
      <c r="R182" s="176"/>
      <c r="S182" s="176"/>
      <c r="T182" s="176"/>
      <c r="U182" s="176"/>
      <c r="V182" s="176"/>
      <c r="W182" s="176"/>
      <c r="X182" s="176"/>
      <c r="Y182" s="176"/>
      <c r="Z182" s="176"/>
      <c r="AA182" s="176"/>
    </row>
    <row r="183">
      <c r="A183" s="165" t="str">
        <f>iferror(VLOOKUP(P183,'DO NOT TOUCH Imported'!$A$1:$D$800,4,False),iferror(VLOOKUP(P183,'DO NOT TOUCH Imported'!$C$1:$D$800,2,False),"OOPS FIX ME"))</f>
        <v>Vyvy-vi#5040</v>
      </c>
      <c r="B183" s="165" t="s">
        <v>443</v>
      </c>
      <c r="C183" s="170" t="s">
        <v>1652</v>
      </c>
      <c r="D183" s="236" t="s">
        <v>437</v>
      </c>
      <c r="E183" s="239">
        <v>44279.0</v>
      </c>
      <c r="F183" s="170" t="s">
        <v>439</v>
      </c>
      <c r="G183" s="170">
        <v>15.0</v>
      </c>
      <c r="H183" s="171">
        <v>100.0</v>
      </c>
      <c r="I183" s="171">
        <v>100.0</v>
      </c>
      <c r="J183" s="172">
        <f t="shared" si="2"/>
        <v>0.001076708966</v>
      </c>
      <c r="K183" s="173">
        <f t="shared" si="6"/>
        <v>1.202325011</v>
      </c>
      <c r="L183" s="174">
        <f t="shared" si="4"/>
        <v>13.9921228</v>
      </c>
      <c r="M183" s="175" t="str">
        <f t="shared" si="5"/>
        <v>Vyvy-vi#5040</v>
      </c>
      <c r="N183" s="176">
        <f>IFERROR(__xludf.DUMMYFUNCTION("""COMPUTED_VALUE"""),6.0)</f>
        <v>6</v>
      </c>
      <c r="O183" s="176"/>
      <c r="P183" s="165" t="s">
        <v>20</v>
      </c>
      <c r="Q183" s="165" t="s">
        <v>443</v>
      </c>
      <c r="R183" s="176"/>
      <c r="S183" s="176"/>
      <c r="T183" s="176"/>
      <c r="U183" s="176"/>
      <c r="V183" s="176"/>
      <c r="W183" s="176"/>
      <c r="X183" s="176"/>
      <c r="Y183" s="176"/>
      <c r="Z183" s="176"/>
      <c r="AA183" s="176"/>
    </row>
    <row r="184">
      <c r="A184" s="165" t="str">
        <f>iferror(VLOOKUP(P184,'DO NOT TOUCH Imported'!$A$1:$D$800,4,False),iferror(VLOOKUP(P184,'DO NOT TOUCH Imported'!$C$1:$D$800,2,False),"OOPS FIX ME"))</f>
        <v>shawn_westrick</v>
      </c>
      <c r="B184" s="165" t="s">
        <v>441</v>
      </c>
      <c r="C184" s="170" t="s">
        <v>1686</v>
      </c>
      <c r="D184" s="236" t="s">
        <v>437</v>
      </c>
      <c r="E184" s="239">
        <v>44281.0</v>
      </c>
      <c r="F184" s="170" t="s">
        <v>439</v>
      </c>
      <c r="G184" s="170">
        <v>100.0</v>
      </c>
      <c r="H184" s="171">
        <v>200.0</v>
      </c>
      <c r="I184" s="171">
        <v>100.0</v>
      </c>
      <c r="J184" s="172">
        <f t="shared" si="2"/>
        <v>0.002836821926</v>
      </c>
      <c r="K184" s="173">
        <f t="shared" si="6"/>
        <v>3.167784484</v>
      </c>
      <c r="L184" s="174">
        <f t="shared" si="4"/>
        <v>12.84505304</v>
      </c>
      <c r="M184" s="175" t="str">
        <f t="shared" si="5"/>
        <v>shawn_westrick</v>
      </c>
      <c r="N184" s="176">
        <f>IFERROR(__xludf.DUMMYFUNCTION("""COMPUTED_VALUE"""),1.0)</f>
        <v>1</v>
      </c>
      <c r="O184" s="176"/>
      <c r="P184" s="165" t="s">
        <v>620</v>
      </c>
      <c r="Q184" s="165" t="s">
        <v>441</v>
      </c>
      <c r="R184" s="176"/>
      <c r="S184" s="176"/>
      <c r="T184" s="176"/>
      <c r="U184" s="176"/>
      <c r="V184" s="176"/>
      <c r="W184" s="176"/>
      <c r="X184" s="176"/>
      <c r="Y184" s="176"/>
      <c r="Z184" s="176"/>
      <c r="AA184" s="176"/>
    </row>
    <row r="185">
      <c r="A185" s="165" t="str">
        <f>iferror(VLOOKUP(P185,'DO NOT TOUCH Imported'!$A$1:$D$800,4,False),iferror(VLOOKUP(P185,'DO NOT TOUCH Imported'!$C$1:$D$800,2,False),"OOPS FIX ME"))</f>
        <v>shawn_westrick</v>
      </c>
      <c r="B185" s="165" t="s">
        <v>441</v>
      </c>
      <c r="C185" s="170" t="s">
        <v>1687</v>
      </c>
      <c r="D185" s="236" t="s">
        <v>437</v>
      </c>
      <c r="E185" s="239">
        <v>44274.0</v>
      </c>
      <c r="F185" s="170" t="s">
        <v>439</v>
      </c>
      <c r="G185" s="170">
        <v>50.0</v>
      </c>
      <c r="H185" s="171">
        <v>200.0</v>
      </c>
      <c r="I185" s="171">
        <v>100.0</v>
      </c>
      <c r="J185" s="172">
        <f t="shared" si="2"/>
        <v>0.002048240584</v>
      </c>
      <c r="K185" s="173">
        <f t="shared" si="6"/>
        <v>2.287201985</v>
      </c>
      <c r="L185" s="174">
        <f t="shared" si="4"/>
        <v>12.84505304</v>
      </c>
      <c r="M185" s="175" t="str">
        <f t="shared" si="5"/>
        <v>shawn_westrick</v>
      </c>
      <c r="N185" s="176">
        <f>IFERROR(__xludf.DUMMYFUNCTION("""COMPUTED_VALUE"""),2.0)</f>
        <v>2</v>
      </c>
      <c r="O185" s="176"/>
      <c r="P185" s="165" t="s">
        <v>620</v>
      </c>
      <c r="Q185" s="165" t="s">
        <v>441</v>
      </c>
      <c r="R185" s="176"/>
      <c r="S185" s="176"/>
      <c r="T185" s="176"/>
      <c r="U185" s="176"/>
      <c r="V185" s="176"/>
      <c r="W185" s="176"/>
      <c r="X185" s="176"/>
      <c r="Y185" s="176"/>
      <c r="Z185" s="176"/>
      <c r="AA185" s="176"/>
    </row>
    <row r="186">
      <c r="A186" s="165" t="str">
        <f>iferror(VLOOKUP(P186,'DO NOT TOUCH Imported'!$A$1:$D$800,4,False),iferror(VLOOKUP(P186,'DO NOT TOUCH Imported'!$C$1:$D$800,2,False),"OOPS FIX ME"))</f>
        <v>shawn_westrick</v>
      </c>
      <c r="B186" s="165" t="s">
        <v>576</v>
      </c>
      <c r="C186" s="170" t="s">
        <v>1688</v>
      </c>
      <c r="D186" s="236" t="s">
        <v>437</v>
      </c>
      <c r="E186" s="239">
        <v>44281.0</v>
      </c>
      <c r="F186" s="170" t="s">
        <v>439</v>
      </c>
      <c r="G186" s="170">
        <v>15.0</v>
      </c>
      <c r="H186" s="171">
        <v>200.0</v>
      </c>
      <c r="I186" s="171">
        <v>100.0</v>
      </c>
      <c r="J186" s="172">
        <f t="shared" si="2"/>
        <v>0.001496233644</v>
      </c>
      <c r="K186" s="173">
        <f t="shared" si="6"/>
        <v>1.670794236</v>
      </c>
      <c r="L186" s="174">
        <f t="shared" si="4"/>
        <v>12.84505304</v>
      </c>
      <c r="M186" s="175" t="str">
        <f t="shared" si="5"/>
        <v>shawn_westrick</v>
      </c>
      <c r="N186" s="176">
        <f>IFERROR(__xludf.DUMMYFUNCTION("""COMPUTED_VALUE"""),3.0)</f>
        <v>3</v>
      </c>
      <c r="O186" s="176"/>
      <c r="P186" s="165" t="s">
        <v>620</v>
      </c>
      <c r="Q186" s="165" t="s">
        <v>576</v>
      </c>
      <c r="R186" s="176"/>
      <c r="S186" s="176"/>
      <c r="T186" s="176"/>
      <c r="U186" s="176"/>
      <c r="V186" s="176"/>
      <c r="W186" s="176"/>
      <c r="X186" s="176"/>
      <c r="Y186" s="176"/>
      <c r="Z186" s="176"/>
      <c r="AA186" s="176"/>
    </row>
    <row r="187">
      <c r="A187" s="165" t="str">
        <f>iferror(VLOOKUP(P187,'DO NOT TOUCH Imported'!$A$1:$D$800,4,False),iferror(VLOOKUP(P187,'DO NOT TOUCH Imported'!$C$1:$D$800,2,False),"OOPS FIX ME"))</f>
        <v>shawn_westrick</v>
      </c>
      <c r="B187" s="249" t="s">
        <v>18</v>
      </c>
      <c r="C187" s="250" t="s">
        <v>1625</v>
      </c>
      <c r="D187" s="236" t="s">
        <v>1584</v>
      </c>
      <c r="E187" s="251">
        <v>44271.0</v>
      </c>
      <c r="F187" s="219" t="s">
        <v>496</v>
      </c>
      <c r="G187" s="170">
        <v>25.0</v>
      </c>
      <c r="H187" s="171">
        <v>100.0</v>
      </c>
      <c r="I187" s="171">
        <v>100.0</v>
      </c>
      <c r="J187" s="172">
        <f t="shared" si="2"/>
        <v>0.001234425234</v>
      </c>
      <c r="K187" s="173">
        <f t="shared" si="6"/>
        <v>1.378441511</v>
      </c>
      <c r="L187" s="174">
        <f t="shared" si="4"/>
        <v>12.84505304</v>
      </c>
      <c r="M187" s="175" t="str">
        <f t="shared" si="5"/>
        <v>shawn_westrick</v>
      </c>
      <c r="N187" s="176">
        <f>IFERROR(__xludf.DUMMYFUNCTION("""COMPUTED_VALUE"""),4.0)</f>
        <v>4</v>
      </c>
      <c r="O187" s="176"/>
      <c r="P187" s="249" t="s">
        <v>21</v>
      </c>
      <c r="Q187" s="249" t="s">
        <v>18</v>
      </c>
      <c r="R187" s="176"/>
      <c r="S187" s="176"/>
      <c r="T187" s="176"/>
      <c r="U187" s="176"/>
      <c r="V187" s="176"/>
      <c r="W187" s="176"/>
      <c r="X187" s="176"/>
      <c r="Y187" s="176"/>
      <c r="Z187" s="176"/>
      <c r="AA187" s="176"/>
    </row>
    <row r="188">
      <c r="A188" s="165" t="str">
        <f>iferror(VLOOKUP(P188,'DO NOT TOUCH Imported'!$A$1:$D$800,4,False),iferror(VLOOKUP(P188,'DO NOT TOUCH Imported'!$C$1:$D$800,2,False),"OOPS FIX ME"))</f>
        <v>shawn_westrick</v>
      </c>
      <c r="B188" s="165" t="s">
        <v>443</v>
      </c>
      <c r="C188" s="170" t="s">
        <v>1603</v>
      </c>
      <c r="D188" s="236" t="s">
        <v>437</v>
      </c>
      <c r="E188" s="239">
        <v>44277.0</v>
      </c>
      <c r="F188" s="170" t="s">
        <v>439</v>
      </c>
      <c r="G188" s="170">
        <v>15.0</v>
      </c>
      <c r="H188" s="171">
        <v>100.0</v>
      </c>
      <c r="I188" s="171">
        <v>100.0</v>
      </c>
      <c r="J188" s="172">
        <f t="shared" si="2"/>
        <v>0.001076708966</v>
      </c>
      <c r="K188" s="173">
        <f t="shared" si="6"/>
        <v>1.202325011</v>
      </c>
      <c r="L188" s="174">
        <f t="shared" si="4"/>
        <v>12.84505304</v>
      </c>
      <c r="M188" s="175" t="str">
        <f t="shared" si="5"/>
        <v>shawn_westrick</v>
      </c>
      <c r="N188" s="176">
        <f>IFERROR(__xludf.DUMMYFUNCTION("""COMPUTED_VALUE"""),5.0)</f>
        <v>5</v>
      </c>
      <c r="O188" s="176"/>
      <c r="P188" s="165" t="s">
        <v>620</v>
      </c>
      <c r="Q188" s="165" t="s">
        <v>443</v>
      </c>
      <c r="R188" s="176"/>
      <c r="S188" s="176"/>
      <c r="T188" s="176"/>
      <c r="U188" s="176"/>
      <c r="V188" s="176"/>
      <c r="W188" s="176"/>
      <c r="X188" s="176"/>
      <c r="Y188" s="176"/>
      <c r="Z188" s="176"/>
      <c r="AA188" s="176"/>
    </row>
    <row r="189">
      <c r="A189" s="165" t="str">
        <f>iferror(VLOOKUP(P189,'DO NOT TOUCH Imported'!$A$1:$D$800,4,False),iferror(VLOOKUP(P189,'DO NOT TOUCH Imported'!$C$1:$D$800,2,False),"OOPS FIX ME"))</f>
        <v>shawn_westrick</v>
      </c>
      <c r="B189" s="165" t="s">
        <v>576</v>
      </c>
      <c r="C189" s="170" t="s">
        <v>1613</v>
      </c>
      <c r="D189" s="236" t="s">
        <v>437</v>
      </c>
      <c r="E189" s="239">
        <v>44274.0</v>
      </c>
      <c r="F189" s="170" t="s">
        <v>439</v>
      </c>
      <c r="G189" s="170">
        <v>15.0</v>
      </c>
      <c r="H189" s="171">
        <v>70.0</v>
      </c>
      <c r="I189" s="171">
        <v>100.0</v>
      </c>
      <c r="J189" s="172">
        <f t="shared" si="2"/>
        <v>0.000950851562</v>
      </c>
      <c r="K189" s="173">
        <f t="shared" si="6"/>
        <v>1.061784244</v>
      </c>
      <c r="L189" s="174">
        <f t="shared" si="4"/>
        <v>12.84505304</v>
      </c>
      <c r="M189" s="175" t="str">
        <f t="shared" si="5"/>
        <v>shawn_westrick</v>
      </c>
      <c r="N189" s="176">
        <f>IFERROR(__xludf.DUMMYFUNCTION("""COMPUTED_VALUE"""),6.0)</f>
        <v>6</v>
      </c>
      <c r="O189" s="176"/>
      <c r="P189" s="165" t="s">
        <v>620</v>
      </c>
      <c r="Q189" s="165" t="s">
        <v>576</v>
      </c>
      <c r="R189" s="176"/>
      <c r="S189" s="176"/>
      <c r="T189" s="176"/>
      <c r="U189" s="176"/>
      <c r="V189" s="176"/>
      <c r="W189" s="176"/>
      <c r="X189" s="176"/>
      <c r="Y189" s="176"/>
      <c r="Z189" s="176"/>
      <c r="AA189" s="176"/>
    </row>
    <row r="190">
      <c r="A190" s="165" t="str">
        <f>iferror(VLOOKUP(P190,'DO NOT TOUCH Imported'!$A$1:$D$800,4,False),iferror(VLOOKUP(P190,'DO NOT TOUCH Imported'!$C$1:$D$800,2,False),"OOPS FIX ME"))</f>
        <v>shawn_westrick</v>
      </c>
      <c r="B190" s="165" t="s">
        <v>576</v>
      </c>
      <c r="C190" s="170" t="s">
        <v>1615</v>
      </c>
      <c r="D190" s="236" t="s">
        <v>437</v>
      </c>
      <c r="E190" s="239">
        <v>44281.0</v>
      </c>
      <c r="F190" s="170" t="s">
        <v>439</v>
      </c>
      <c r="G190" s="170">
        <v>15.0</v>
      </c>
      <c r="H190" s="171">
        <v>70.0</v>
      </c>
      <c r="I190" s="171">
        <v>100.0</v>
      </c>
      <c r="J190" s="172">
        <f t="shared" si="2"/>
        <v>0.000950851562</v>
      </c>
      <c r="K190" s="173">
        <f t="shared" si="6"/>
        <v>1.061784244</v>
      </c>
      <c r="L190" s="174">
        <f t="shared" si="4"/>
        <v>12.84505304</v>
      </c>
      <c r="M190" s="175" t="str">
        <f t="shared" si="5"/>
        <v>shawn_westrick</v>
      </c>
      <c r="N190" s="176">
        <f>IFERROR(__xludf.DUMMYFUNCTION("""COMPUTED_VALUE"""),7.0)</f>
        <v>7</v>
      </c>
      <c r="O190" s="176"/>
      <c r="P190" s="165" t="s">
        <v>620</v>
      </c>
      <c r="Q190" s="165" t="s">
        <v>576</v>
      </c>
      <c r="R190" s="176"/>
      <c r="S190" s="176"/>
      <c r="T190" s="176"/>
      <c r="U190" s="176"/>
      <c r="V190" s="176"/>
      <c r="W190" s="176"/>
      <c r="X190" s="176"/>
      <c r="Y190" s="176"/>
      <c r="Z190" s="176"/>
      <c r="AA190" s="176"/>
    </row>
    <row r="191">
      <c r="A191" s="165" t="str">
        <f>iferror(VLOOKUP(P191,'DO NOT TOUCH Imported'!$A$1:$D$800,4,False),iferror(VLOOKUP(P191,'DO NOT TOUCH Imported'!$C$1:$D$800,2,False),"OOPS FIX ME"))</f>
        <v>shawn_westrick</v>
      </c>
      <c r="B191" s="165" t="s">
        <v>441</v>
      </c>
      <c r="C191" s="170" t="s">
        <v>1620</v>
      </c>
      <c r="D191" s="236" t="s">
        <v>437</v>
      </c>
      <c r="E191" s="239">
        <v>44274.0</v>
      </c>
      <c r="F191" s="170" t="s">
        <v>439</v>
      </c>
      <c r="G191" s="170">
        <v>15.0</v>
      </c>
      <c r="H191" s="171">
        <v>60.0</v>
      </c>
      <c r="I191" s="171">
        <v>100.0</v>
      </c>
      <c r="J191" s="172">
        <f t="shared" si="2"/>
        <v>0.0009088990941</v>
      </c>
      <c r="K191" s="173">
        <f t="shared" si="6"/>
        <v>1.014937322</v>
      </c>
      <c r="L191" s="174">
        <f t="shared" si="4"/>
        <v>12.84505304</v>
      </c>
      <c r="M191" s="175" t="str">
        <f t="shared" si="5"/>
        <v>shawn_westrick</v>
      </c>
      <c r="N191" s="176">
        <f>IFERROR(__xludf.DUMMYFUNCTION("""COMPUTED_VALUE"""),8.0)</f>
        <v>8</v>
      </c>
      <c r="O191" s="176"/>
      <c r="P191" s="165" t="s">
        <v>620</v>
      </c>
      <c r="Q191" s="165" t="s">
        <v>441</v>
      </c>
      <c r="R191" s="176"/>
      <c r="S191" s="176"/>
      <c r="T191" s="176"/>
      <c r="U191" s="176"/>
      <c r="V191" s="176"/>
      <c r="W191" s="176"/>
      <c r="X191" s="176"/>
      <c r="Y191" s="176"/>
      <c r="Z191" s="176"/>
      <c r="AA191" s="176"/>
    </row>
    <row r="192">
      <c r="A192" s="165" t="str">
        <f>iferror(VLOOKUP(P192,'DO NOT TOUCH Imported'!$A$1:$D$800,4,False),iferror(VLOOKUP(P192,'DO NOT TOUCH Imported'!$C$1:$D$800,2,False),"OOPS FIX ME"))</f>
        <v>MerlinEgalite</v>
      </c>
      <c r="B192" s="249" t="s">
        <v>10</v>
      </c>
      <c r="C192" s="250" t="s">
        <v>1689</v>
      </c>
      <c r="D192" s="236" t="s">
        <v>1584</v>
      </c>
      <c r="E192" s="251">
        <v>44274.0</v>
      </c>
      <c r="F192" s="219" t="s">
        <v>496</v>
      </c>
      <c r="G192" s="170">
        <v>100.0</v>
      </c>
      <c r="H192" s="171">
        <v>100.0</v>
      </c>
      <c r="I192" s="171">
        <v>100.0</v>
      </c>
      <c r="J192" s="172">
        <f t="shared" si="2"/>
        <v>0.002417297247</v>
      </c>
      <c r="K192" s="173">
        <f t="shared" si="6"/>
        <v>2.699315259</v>
      </c>
      <c r="L192" s="174">
        <f t="shared" si="4"/>
        <v>12.20399164</v>
      </c>
      <c r="M192" s="175" t="str">
        <f t="shared" si="5"/>
        <v>MerlinEgalite</v>
      </c>
      <c r="N192" s="176">
        <f>IFERROR(__xludf.DUMMYFUNCTION("""COMPUTED_VALUE"""),1.0)</f>
        <v>1</v>
      </c>
      <c r="O192" s="176"/>
      <c r="P192" s="249" t="s">
        <v>27</v>
      </c>
      <c r="Q192" s="249" t="s">
        <v>10</v>
      </c>
      <c r="R192" s="176"/>
      <c r="S192" s="176"/>
      <c r="T192" s="176"/>
      <c r="U192" s="176"/>
      <c r="V192" s="176"/>
      <c r="W192" s="176"/>
      <c r="X192" s="176"/>
      <c r="Y192" s="176"/>
      <c r="Z192" s="176"/>
      <c r="AA192" s="176"/>
    </row>
    <row r="193">
      <c r="A193" s="165" t="str">
        <f>iferror(VLOOKUP(P193,'DO NOT TOUCH Imported'!$A$1:$D$800,4,False),iferror(VLOOKUP(P193,'DO NOT TOUCH Imported'!$C$1:$D$800,2,False),"OOPS FIX ME"))</f>
        <v>MerlinEgalite</v>
      </c>
      <c r="B193" s="165" t="s">
        <v>566</v>
      </c>
      <c r="C193" s="170" t="s">
        <v>1690</v>
      </c>
      <c r="D193" s="236" t="s">
        <v>499</v>
      </c>
      <c r="E193" s="239">
        <v>44281.0</v>
      </c>
      <c r="F193" s="170" t="s">
        <v>503</v>
      </c>
      <c r="G193" s="170">
        <v>100.0</v>
      </c>
      <c r="H193" s="171">
        <v>100.0</v>
      </c>
      <c r="I193" s="171">
        <v>100.0</v>
      </c>
      <c r="J193" s="172">
        <f t="shared" si="2"/>
        <v>0.002417297247</v>
      </c>
      <c r="K193" s="173">
        <f t="shared" si="6"/>
        <v>2.699315259</v>
      </c>
      <c r="L193" s="174">
        <f t="shared" si="4"/>
        <v>12.20399164</v>
      </c>
      <c r="M193" s="175" t="str">
        <f t="shared" si="5"/>
        <v>MerlinEgalite</v>
      </c>
      <c r="N193" s="176">
        <f>IFERROR(__xludf.DUMMYFUNCTION("""COMPUTED_VALUE"""),2.0)</f>
        <v>2</v>
      </c>
      <c r="O193" s="176"/>
      <c r="P193" s="165" t="s">
        <v>1062</v>
      </c>
      <c r="Q193" s="165" t="s">
        <v>566</v>
      </c>
      <c r="R193" s="176"/>
      <c r="S193" s="176"/>
      <c r="T193" s="176"/>
      <c r="U193" s="176"/>
      <c r="V193" s="176"/>
      <c r="W193" s="176"/>
      <c r="X193" s="176"/>
      <c r="Y193" s="176"/>
      <c r="Z193" s="176"/>
      <c r="AA193" s="176"/>
    </row>
    <row r="194">
      <c r="A194" s="165" t="str">
        <f>iferror(VLOOKUP(P194,'DO NOT TOUCH Imported'!$A$1:$D$800,4,False),iferror(VLOOKUP(P194,'DO NOT TOUCH Imported'!$C$1:$D$800,2,False),"OOPS FIX ME"))</f>
        <v>MerlinEgalite</v>
      </c>
      <c r="B194" s="165" t="s">
        <v>10</v>
      </c>
      <c r="C194" s="170" t="s">
        <v>1668</v>
      </c>
      <c r="D194" s="236" t="s">
        <v>1584</v>
      </c>
      <c r="E194" s="239">
        <v>44281.0</v>
      </c>
      <c r="F194" s="170" t="s">
        <v>496</v>
      </c>
      <c r="G194" s="170">
        <v>25.0</v>
      </c>
      <c r="H194" s="171">
        <v>100.0</v>
      </c>
      <c r="I194" s="171">
        <v>100.0</v>
      </c>
      <c r="J194" s="172">
        <f t="shared" si="2"/>
        <v>0.001234425234</v>
      </c>
      <c r="K194" s="173">
        <f t="shared" si="6"/>
        <v>1.378441511</v>
      </c>
      <c r="L194" s="174">
        <f t="shared" si="4"/>
        <v>12.20399164</v>
      </c>
      <c r="M194" s="175" t="str">
        <f t="shared" si="5"/>
        <v>MerlinEgalite</v>
      </c>
      <c r="N194" s="176">
        <f>IFERROR(__xludf.DUMMYFUNCTION("""COMPUTED_VALUE"""),3.0)</f>
        <v>3</v>
      </c>
      <c r="O194" s="176"/>
      <c r="P194" s="165" t="s">
        <v>27</v>
      </c>
      <c r="Q194" s="165" t="s">
        <v>10</v>
      </c>
      <c r="R194" s="176"/>
      <c r="S194" s="176"/>
      <c r="T194" s="176"/>
      <c r="U194" s="176"/>
      <c r="V194" s="176"/>
      <c r="W194" s="176"/>
      <c r="X194" s="176"/>
      <c r="Y194" s="176"/>
      <c r="Z194" s="176"/>
      <c r="AA194" s="176"/>
    </row>
    <row r="195">
      <c r="A195" s="165" t="str">
        <f>iferror(VLOOKUP(P195,'DO NOT TOUCH Imported'!$A$1:$D$800,4,False),iferror(VLOOKUP(P195,'DO NOT TOUCH Imported'!$C$1:$D$800,2,False),"OOPS FIX ME"))</f>
        <v>MerlinEgalite</v>
      </c>
      <c r="B195" s="165" t="s">
        <v>10</v>
      </c>
      <c r="C195" s="170" t="s">
        <v>1691</v>
      </c>
      <c r="D195" s="236" t="s">
        <v>1584</v>
      </c>
      <c r="E195" s="239">
        <v>44281.0</v>
      </c>
      <c r="F195" s="170" t="s">
        <v>496</v>
      </c>
      <c r="G195" s="170">
        <v>25.0</v>
      </c>
      <c r="H195" s="171">
        <v>100.0</v>
      </c>
      <c r="I195" s="171">
        <v>100.0</v>
      </c>
      <c r="J195" s="172">
        <f t="shared" si="2"/>
        <v>0.001234425234</v>
      </c>
      <c r="K195" s="173">
        <f t="shared" si="6"/>
        <v>1.378441511</v>
      </c>
      <c r="L195" s="174">
        <f t="shared" si="4"/>
        <v>12.20399164</v>
      </c>
      <c r="M195" s="175" t="str">
        <f t="shared" si="5"/>
        <v>MerlinEgalite</v>
      </c>
      <c r="N195" s="176">
        <f>IFERROR(__xludf.DUMMYFUNCTION("""COMPUTED_VALUE"""),4.0)</f>
        <v>4</v>
      </c>
      <c r="O195" s="176"/>
      <c r="P195" s="165" t="s">
        <v>27</v>
      </c>
      <c r="Q195" s="165" t="s">
        <v>10</v>
      </c>
      <c r="R195" s="176"/>
      <c r="S195" s="176"/>
      <c r="T195" s="176"/>
      <c r="U195" s="176"/>
      <c r="V195" s="176"/>
      <c r="W195" s="176"/>
      <c r="X195" s="176"/>
      <c r="Y195" s="176"/>
      <c r="Z195" s="176"/>
      <c r="AA195" s="176"/>
    </row>
    <row r="196">
      <c r="A196" s="165" t="str">
        <f>iferror(VLOOKUP(P196,'DO NOT TOUCH Imported'!$A$1:$D$800,4,False),iferror(VLOOKUP(P196,'DO NOT TOUCH Imported'!$C$1:$D$800,2,False),"OOPS FIX ME"))</f>
        <v>MerlinEgalite</v>
      </c>
      <c r="B196" s="165" t="s">
        <v>10</v>
      </c>
      <c r="C196" s="170" t="s">
        <v>1669</v>
      </c>
      <c r="D196" s="236" t="s">
        <v>1584</v>
      </c>
      <c r="E196" s="239">
        <v>44281.0</v>
      </c>
      <c r="F196" s="170" t="s">
        <v>496</v>
      </c>
      <c r="G196" s="170">
        <v>25.0</v>
      </c>
      <c r="H196" s="171">
        <v>80.0</v>
      </c>
      <c r="I196" s="171">
        <v>100.0</v>
      </c>
      <c r="J196" s="172">
        <f t="shared" si="2"/>
        <v>0.001150520298</v>
      </c>
      <c r="K196" s="173">
        <f t="shared" si="6"/>
        <v>1.284747666</v>
      </c>
      <c r="L196" s="174">
        <f t="shared" si="4"/>
        <v>12.20399164</v>
      </c>
      <c r="M196" s="175" t="str">
        <f t="shared" si="5"/>
        <v>MerlinEgalite</v>
      </c>
      <c r="N196" s="176">
        <f>IFERROR(__xludf.DUMMYFUNCTION("""COMPUTED_VALUE"""),5.0)</f>
        <v>5</v>
      </c>
      <c r="O196" s="176"/>
      <c r="P196" s="165" t="s">
        <v>27</v>
      </c>
      <c r="Q196" s="165" t="s">
        <v>10</v>
      </c>
      <c r="R196" s="176"/>
      <c r="S196" s="176"/>
      <c r="T196" s="176"/>
      <c r="U196" s="176"/>
      <c r="V196" s="176"/>
      <c r="W196" s="176"/>
      <c r="X196" s="176"/>
      <c r="Y196" s="176"/>
      <c r="Z196" s="176"/>
      <c r="AA196" s="176"/>
    </row>
    <row r="197">
      <c r="A197" s="165" t="str">
        <f>iferror(VLOOKUP(P197,'DO NOT TOUCH Imported'!$A$1:$D$800,4,False),iferror(VLOOKUP(P197,'DO NOT TOUCH Imported'!$C$1:$D$800,2,False),"OOPS FIX ME"))</f>
        <v>MerlinEgalite</v>
      </c>
      <c r="B197" s="249" t="s">
        <v>519</v>
      </c>
      <c r="C197" s="250" t="s">
        <v>1692</v>
      </c>
      <c r="D197" s="236" t="s">
        <v>1584</v>
      </c>
      <c r="E197" s="251">
        <v>44279.0</v>
      </c>
      <c r="F197" s="219" t="s">
        <v>521</v>
      </c>
      <c r="G197" s="170">
        <v>15.0</v>
      </c>
      <c r="H197" s="171">
        <v>70.0</v>
      </c>
      <c r="I197" s="171">
        <v>100.0</v>
      </c>
      <c r="J197" s="172">
        <f t="shared" si="2"/>
        <v>0.000950851562</v>
      </c>
      <c r="K197" s="173">
        <f t="shared" si="6"/>
        <v>1.061784244</v>
      </c>
      <c r="L197" s="174">
        <f t="shared" si="4"/>
        <v>12.20399164</v>
      </c>
      <c r="M197" s="175" t="str">
        <f t="shared" si="5"/>
        <v>MerlinEgalite</v>
      </c>
      <c r="N197" s="176">
        <f>IFERROR(__xludf.DUMMYFUNCTION("""COMPUTED_VALUE"""),6.0)</f>
        <v>6</v>
      </c>
      <c r="O197" s="176"/>
      <c r="P197" s="249" t="s">
        <v>27</v>
      </c>
      <c r="Q197" s="249" t="s">
        <v>519</v>
      </c>
      <c r="R197" s="176"/>
      <c r="S197" s="176"/>
      <c r="T197" s="176"/>
      <c r="U197" s="176"/>
      <c r="V197" s="176"/>
      <c r="W197" s="176"/>
      <c r="X197" s="176"/>
      <c r="Y197" s="176"/>
      <c r="Z197" s="176"/>
      <c r="AA197" s="176"/>
    </row>
    <row r="198">
      <c r="A198" s="165" t="str">
        <f>iferror(VLOOKUP(P198,'DO NOT TOUCH Imported'!$A$1:$D$800,4,False),iferror(VLOOKUP(P198,'DO NOT TOUCH Imported'!$C$1:$D$800,2,False),"OOPS FIX ME"))</f>
        <v>MerlinEgalite</v>
      </c>
      <c r="B198" s="249" t="s">
        <v>10</v>
      </c>
      <c r="C198" s="250" t="s">
        <v>498</v>
      </c>
      <c r="D198" s="236" t="s">
        <v>1584</v>
      </c>
      <c r="E198" s="251">
        <v>44274.0</v>
      </c>
      <c r="F198" s="219" t="s">
        <v>499</v>
      </c>
      <c r="G198" s="170">
        <v>15.0</v>
      </c>
      <c r="H198" s="171">
        <v>25.0</v>
      </c>
      <c r="I198" s="171">
        <v>100.0</v>
      </c>
      <c r="J198" s="172">
        <f t="shared" si="2"/>
        <v>0.0007620654566</v>
      </c>
      <c r="K198" s="173">
        <f t="shared" si="6"/>
        <v>0.8509730932</v>
      </c>
      <c r="L198" s="174">
        <f t="shared" si="4"/>
        <v>12.20399164</v>
      </c>
      <c r="M198" s="175" t="str">
        <f t="shared" si="5"/>
        <v>MerlinEgalite</v>
      </c>
      <c r="N198" s="176">
        <f>IFERROR(__xludf.DUMMYFUNCTION("""COMPUTED_VALUE"""),7.0)</f>
        <v>7</v>
      </c>
      <c r="O198" s="176"/>
      <c r="P198" s="249" t="s">
        <v>27</v>
      </c>
      <c r="Q198" s="249" t="s">
        <v>10</v>
      </c>
      <c r="R198" s="176"/>
      <c r="S198" s="176"/>
      <c r="T198" s="176"/>
      <c r="U198" s="176"/>
      <c r="V198" s="176"/>
      <c r="W198" s="176"/>
      <c r="X198" s="176"/>
      <c r="Y198" s="176"/>
      <c r="Z198" s="176"/>
      <c r="AA198" s="176"/>
    </row>
    <row r="199">
      <c r="A199" s="165" t="str">
        <f>iferror(VLOOKUP(P199,'DO NOT TOUCH Imported'!$A$1:$D$800,4,False),iferror(VLOOKUP(P199,'DO NOT TOUCH Imported'!$C$1:$D$800,2,False),"OOPS FIX ME"))</f>
        <v>MerlinEgalite</v>
      </c>
      <c r="B199" s="249" t="s">
        <v>10</v>
      </c>
      <c r="C199" s="250" t="s">
        <v>500</v>
      </c>
      <c r="D199" s="236" t="s">
        <v>1584</v>
      </c>
      <c r="E199" s="251">
        <v>44275.0</v>
      </c>
      <c r="F199" s="219" t="s">
        <v>496</v>
      </c>
      <c r="G199" s="170">
        <v>15.0</v>
      </c>
      <c r="H199" s="171">
        <v>25.0</v>
      </c>
      <c r="I199" s="171">
        <v>100.0</v>
      </c>
      <c r="J199" s="172">
        <f t="shared" si="2"/>
        <v>0.0007620654566</v>
      </c>
      <c r="K199" s="173">
        <f t="shared" si="6"/>
        <v>0.8509730932</v>
      </c>
      <c r="L199" s="174">
        <f t="shared" si="4"/>
        <v>12.20399164</v>
      </c>
      <c r="M199" s="175" t="str">
        <f t="shared" si="5"/>
        <v>MerlinEgalite</v>
      </c>
      <c r="N199" s="176">
        <f>IFERROR(__xludf.DUMMYFUNCTION("""COMPUTED_VALUE"""),8.0)</f>
        <v>8</v>
      </c>
      <c r="O199" s="176"/>
      <c r="P199" s="249" t="s">
        <v>27</v>
      </c>
      <c r="Q199" s="249" t="s">
        <v>10</v>
      </c>
      <c r="R199" s="176"/>
      <c r="S199" s="176"/>
      <c r="T199" s="176"/>
      <c r="U199" s="176"/>
      <c r="V199" s="176"/>
      <c r="W199" s="176"/>
      <c r="X199" s="176"/>
      <c r="Y199" s="176"/>
      <c r="Z199" s="176"/>
      <c r="AA199" s="176"/>
    </row>
    <row r="200">
      <c r="A200" s="165" t="str">
        <f>iferror(VLOOKUP(P200,'DO NOT TOUCH Imported'!$A$1:$D$800,4,False),iferror(VLOOKUP(P200,'DO NOT TOUCH Imported'!$C$1:$D$800,2,False),"OOPS FIX ME"))</f>
        <v>Mount Manu#3530</v>
      </c>
      <c r="B200" s="165" t="s">
        <v>486</v>
      </c>
      <c r="C200" s="170" t="s">
        <v>1693</v>
      </c>
      <c r="D200" s="236" t="s">
        <v>437</v>
      </c>
      <c r="E200" s="239">
        <v>44274.0</v>
      </c>
      <c r="F200" s="170" t="s">
        <v>911</v>
      </c>
      <c r="G200" s="170">
        <v>15.0</v>
      </c>
      <c r="H200" s="171">
        <v>100.0</v>
      </c>
      <c r="I200" s="171">
        <v>400.0</v>
      </c>
      <c r="J200" s="172">
        <f t="shared" si="2"/>
        <v>0.002338538619</v>
      </c>
      <c r="K200" s="173">
        <f t="shared" si="6"/>
        <v>2.611368124</v>
      </c>
      <c r="L200" s="174">
        <f t="shared" si="4"/>
        <v>9.985078257</v>
      </c>
      <c r="M200" s="175" t="str">
        <f t="shared" si="5"/>
        <v>Mount Manu#3530</v>
      </c>
      <c r="N200" s="176">
        <f>IFERROR(__xludf.DUMMYFUNCTION("""COMPUTED_VALUE"""),1.0)</f>
        <v>1</v>
      </c>
      <c r="O200" s="176"/>
      <c r="P200" s="165" t="s">
        <v>32</v>
      </c>
      <c r="Q200" s="165" t="s">
        <v>486</v>
      </c>
      <c r="R200" s="176"/>
      <c r="S200" s="176"/>
      <c r="T200" s="176"/>
      <c r="U200" s="176"/>
      <c r="V200" s="176"/>
      <c r="W200" s="176"/>
      <c r="X200" s="176"/>
      <c r="Y200" s="176"/>
      <c r="Z200" s="176"/>
      <c r="AA200" s="176"/>
    </row>
    <row r="201">
      <c r="A201" s="165" t="str">
        <f>iferror(VLOOKUP(P201,'DO NOT TOUCH Imported'!$A$1:$D$800,4,False),iferror(VLOOKUP(P201,'DO NOT TOUCH Imported'!$C$1:$D$800,2,False),"OOPS FIX ME"))</f>
        <v>Mount Manu#3530</v>
      </c>
      <c r="B201" s="165" t="s">
        <v>486</v>
      </c>
      <c r="C201" s="170" t="s">
        <v>1694</v>
      </c>
      <c r="D201" s="236" t="s">
        <v>437</v>
      </c>
      <c r="E201" s="239">
        <v>44273.0</v>
      </c>
      <c r="F201" s="170" t="s">
        <v>911</v>
      </c>
      <c r="G201" s="170">
        <v>50.0</v>
      </c>
      <c r="H201" s="171">
        <v>100.0</v>
      </c>
      <c r="I201" s="171">
        <v>100.0</v>
      </c>
      <c r="J201" s="172">
        <f t="shared" si="2"/>
        <v>0.001628715905</v>
      </c>
      <c r="K201" s="173">
        <f t="shared" si="6"/>
        <v>1.818732761</v>
      </c>
      <c r="L201" s="174">
        <f t="shared" si="4"/>
        <v>9.985078257</v>
      </c>
      <c r="M201" s="175" t="str">
        <f t="shared" si="5"/>
        <v>Mount Manu#3530</v>
      </c>
      <c r="N201" s="176">
        <f>IFERROR(__xludf.DUMMYFUNCTION("""COMPUTED_VALUE"""),2.0)</f>
        <v>2</v>
      </c>
      <c r="O201" s="176"/>
      <c r="P201" s="165" t="s">
        <v>32</v>
      </c>
      <c r="Q201" s="165" t="s">
        <v>486</v>
      </c>
      <c r="R201" s="176"/>
      <c r="S201" s="176"/>
      <c r="T201" s="176"/>
      <c r="U201" s="176"/>
      <c r="V201" s="176"/>
      <c r="W201" s="176"/>
      <c r="X201" s="176"/>
      <c r="Y201" s="176"/>
      <c r="Z201" s="176"/>
      <c r="AA201" s="176"/>
    </row>
    <row r="202">
      <c r="A202" s="165" t="str">
        <f>iferror(VLOOKUP(P202,'DO NOT TOUCH Imported'!$A$1:$D$800,4,False),iferror(VLOOKUP(P202,'DO NOT TOUCH Imported'!$C$1:$D$800,2,False),"OOPS FIX ME"))</f>
        <v>Mount Manu#3530</v>
      </c>
      <c r="B202" s="165" t="s">
        <v>441</v>
      </c>
      <c r="C202" s="170" t="s">
        <v>1695</v>
      </c>
      <c r="D202" s="236" t="s">
        <v>437</v>
      </c>
      <c r="E202" s="239">
        <v>44274.0</v>
      </c>
      <c r="F202" s="170" t="s">
        <v>439</v>
      </c>
      <c r="G202" s="170">
        <v>50.0</v>
      </c>
      <c r="H202" s="171">
        <v>100.0</v>
      </c>
      <c r="I202" s="171">
        <v>100.0</v>
      </c>
      <c r="J202" s="172">
        <f t="shared" si="2"/>
        <v>0.001628715905</v>
      </c>
      <c r="K202" s="173">
        <f t="shared" si="6"/>
        <v>1.818732761</v>
      </c>
      <c r="L202" s="174">
        <f t="shared" si="4"/>
        <v>9.985078257</v>
      </c>
      <c r="M202" s="175" t="str">
        <f t="shared" si="5"/>
        <v>Mount Manu#3530</v>
      </c>
      <c r="N202" s="176">
        <f>IFERROR(__xludf.DUMMYFUNCTION("""COMPUTED_VALUE"""),3.0)</f>
        <v>3</v>
      </c>
      <c r="O202" s="176"/>
      <c r="P202" s="165" t="s">
        <v>32</v>
      </c>
      <c r="Q202" s="165" t="s">
        <v>441</v>
      </c>
      <c r="R202" s="176"/>
      <c r="S202" s="176"/>
      <c r="T202" s="176"/>
      <c r="U202" s="176"/>
      <c r="V202" s="176"/>
      <c r="W202" s="176"/>
      <c r="X202" s="176"/>
      <c r="Y202" s="176"/>
      <c r="Z202" s="176"/>
      <c r="AA202" s="176"/>
    </row>
    <row r="203">
      <c r="A203" s="165" t="str">
        <f>iferror(VLOOKUP(P203,'DO NOT TOUCH Imported'!$A$1:$D$800,4,False),iferror(VLOOKUP(P203,'DO NOT TOUCH Imported'!$C$1:$D$800,2,False),"OOPS FIX ME"))</f>
        <v>Mount Manu#3530</v>
      </c>
      <c r="B203" s="249" t="s">
        <v>519</v>
      </c>
      <c r="C203" s="250" t="s">
        <v>1696</v>
      </c>
      <c r="D203" s="236" t="s">
        <v>1584</v>
      </c>
      <c r="E203" s="251">
        <v>44272.0</v>
      </c>
      <c r="F203" s="219" t="s">
        <v>496</v>
      </c>
      <c r="G203" s="170">
        <v>25.0</v>
      </c>
      <c r="H203" s="171">
        <v>150.0</v>
      </c>
      <c r="I203" s="171">
        <v>100.0</v>
      </c>
      <c r="J203" s="172">
        <f t="shared" si="2"/>
        <v>0.001444187573</v>
      </c>
      <c r="K203" s="173">
        <f t="shared" si="6"/>
        <v>1.612676123</v>
      </c>
      <c r="L203" s="174">
        <f t="shared" si="4"/>
        <v>9.985078257</v>
      </c>
      <c r="M203" s="175" t="str">
        <f t="shared" si="5"/>
        <v>Mount Manu#3530</v>
      </c>
      <c r="N203" s="176">
        <f>IFERROR(__xludf.DUMMYFUNCTION("""COMPUTED_VALUE"""),4.0)</f>
        <v>4</v>
      </c>
      <c r="O203" s="176"/>
      <c r="P203" s="249" t="s">
        <v>1697</v>
      </c>
      <c r="Q203" s="249" t="s">
        <v>519</v>
      </c>
      <c r="R203" s="176"/>
      <c r="S203" s="176"/>
      <c r="T203" s="176"/>
      <c r="U203" s="176"/>
      <c r="V203" s="176"/>
      <c r="W203" s="176"/>
      <c r="X203" s="176"/>
      <c r="Y203" s="176"/>
      <c r="Z203" s="176"/>
      <c r="AA203" s="176"/>
    </row>
    <row r="204">
      <c r="A204" s="165" t="str">
        <f>iferror(VLOOKUP(P204,'DO NOT TOUCH Imported'!$A$1:$D$800,4,False),iferror(VLOOKUP(P204,'DO NOT TOUCH Imported'!$C$1:$D$800,2,False),"OOPS FIX ME"))</f>
        <v>Mount Manu#3530</v>
      </c>
      <c r="B204" s="165" t="s">
        <v>435</v>
      </c>
      <c r="C204" s="170" t="s">
        <v>1610</v>
      </c>
      <c r="D204" s="236" t="s">
        <v>437</v>
      </c>
      <c r="E204" s="239">
        <v>44272.0</v>
      </c>
      <c r="F204" s="170" t="s">
        <v>439</v>
      </c>
      <c r="G204" s="170">
        <v>15.0</v>
      </c>
      <c r="H204" s="171">
        <v>80.0</v>
      </c>
      <c r="I204" s="171">
        <v>100.0</v>
      </c>
      <c r="J204" s="172">
        <f t="shared" si="2"/>
        <v>0.0009928040298</v>
      </c>
      <c r="K204" s="173">
        <f t="shared" si="6"/>
        <v>1.108631167</v>
      </c>
      <c r="L204" s="174">
        <f t="shared" si="4"/>
        <v>9.985078257</v>
      </c>
      <c r="M204" s="175" t="str">
        <f t="shared" si="5"/>
        <v>Mount Manu#3530</v>
      </c>
      <c r="N204" s="176">
        <f>IFERROR(__xludf.DUMMYFUNCTION("""COMPUTED_VALUE"""),5.0)</f>
        <v>5</v>
      </c>
      <c r="O204" s="176"/>
      <c r="P204" s="165" t="s">
        <v>32</v>
      </c>
      <c r="Q204" s="165" t="s">
        <v>435</v>
      </c>
      <c r="R204" s="176"/>
      <c r="S204" s="176"/>
      <c r="T204" s="176"/>
      <c r="U204" s="176"/>
      <c r="V204" s="176"/>
      <c r="W204" s="176"/>
      <c r="X204" s="176"/>
      <c r="Y204" s="176"/>
      <c r="Z204" s="176"/>
      <c r="AA204" s="176"/>
    </row>
    <row r="205">
      <c r="A205" s="165" t="str">
        <f>iferror(VLOOKUP(P205,'DO NOT TOUCH Imported'!$A$1:$D$800,4,False),iferror(VLOOKUP(P205,'DO NOT TOUCH Imported'!$C$1:$D$800,2,False),"OOPS FIX ME"))</f>
        <v>Mount Manu#3530</v>
      </c>
      <c r="B205" s="165" t="s">
        <v>441</v>
      </c>
      <c r="C205" s="170" t="s">
        <v>1620</v>
      </c>
      <c r="D205" s="236" t="s">
        <v>437</v>
      </c>
      <c r="E205" s="239">
        <v>44274.0</v>
      </c>
      <c r="F205" s="170" t="s">
        <v>439</v>
      </c>
      <c r="G205" s="170">
        <v>15.0</v>
      </c>
      <c r="H205" s="171">
        <v>60.0</v>
      </c>
      <c r="I205" s="171">
        <v>100.0</v>
      </c>
      <c r="J205" s="172">
        <f t="shared" si="2"/>
        <v>0.0009088990941</v>
      </c>
      <c r="K205" s="173">
        <f t="shared" si="6"/>
        <v>1.014937322</v>
      </c>
      <c r="L205" s="174">
        <f t="shared" si="4"/>
        <v>9.985078257</v>
      </c>
      <c r="M205" s="175" t="str">
        <f t="shared" si="5"/>
        <v>Mount Manu#3530</v>
      </c>
      <c r="N205" s="176">
        <f>IFERROR(__xludf.DUMMYFUNCTION("""COMPUTED_VALUE"""),6.0)</f>
        <v>6</v>
      </c>
      <c r="O205" s="176"/>
      <c r="P205" s="165" t="s">
        <v>32</v>
      </c>
      <c r="Q205" s="165" t="s">
        <v>441</v>
      </c>
      <c r="R205" s="176"/>
      <c r="S205" s="176"/>
      <c r="T205" s="176"/>
      <c r="U205" s="176"/>
      <c r="V205" s="176"/>
      <c r="W205" s="176"/>
      <c r="X205" s="176"/>
      <c r="Y205" s="176"/>
      <c r="Z205" s="176"/>
      <c r="AA205" s="176"/>
    </row>
    <row r="206">
      <c r="A206" s="249" t="s">
        <v>25</v>
      </c>
      <c r="B206" s="249" t="s">
        <v>867</v>
      </c>
      <c r="C206" s="250" t="s">
        <v>1681</v>
      </c>
      <c r="D206" s="252" t="s">
        <v>495</v>
      </c>
      <c r="E206" s="251">
        <v>44270.0</v>
      </c>
      <c r="F206" s="219" t="s">
        <v>496</v>
      </c>
      <c r="G206" s="219"/>
      <c r="H206" s="243"/>
      <c r="I206" s="243"/>
      <c r="J206" s="172">
        <f t="shared" si="2"/>
        <v>0</v>
      </c>
      <c r="K206" s="218">
        <v>1.6277939747327528</v>
      </c>
      <c r="L206" s="174">
        <f t="shared" si="4"/>
        <v>9.68973309</v>
      </c>
      <c r="M206" s="175" t="str">
        <f t="shared" si="5"/>
        <v>freedumbs00</v>
      </c>
      <c r="N206" s="176">
        <f>IFERROR(__xludf.DUMMYFUNCTION("""COMPUTED_VALUE"""),1.0)</f>
        <v>1</v>
      </c>
      <c r="O206" s="176"/>
      <c r="P206" s="243"/>
      <c r="Q206" s="243"/>
      <c r="R206" s="176"/>
      <c r="S206" s="176"/>
      <c r="T206" s="176"/>
      <c r="U206" s="176"/>
      <c r="V206" s="176"/>
      <c r="W206" s="176"/>
      <c r="X206" s="176"/>
      <c r="Y206" s="176"/>
      <c r="Z206" s="176"/>
      <c r="AA206" s="176"/>
    </row>
    <row r="207">
      <c r="A207" s="249" t="s">
        <v>25</v>
      </c>
      <c r="B207" s="249" t="s">
        <v>18</v>
      </c>
      <c r="C207" s="250" t="s">
        <v>1625</v>
      </c>
      <c r="D207" s="252" t="s">
        <v>495</v>
      </c>
      <c r="E207" s="251">
        <v>44271.0</v>
      </c>
      <c r="F207" s="219" t="s">
        <v>496</v>
      </c>
      <c r="G207" s="219"/>
      <c r="H207" s="243"/>
      <c r="I207" s="243"/>
      <c r="J207" s="172">
        <f t="shared" si="2"/>
        <v>0</v>
      </c>
      <c r="K207" s="218">
        <v>1.6277939747327528</v>
      </c>
      <c r="L207" s="174">
        <f t="shared" si="4"/>
        <v>9.68973309</v>
      </c>
      <c r="M207" s="175" t="str">
        <f t="shared" si="5"/>
        <v>freedumbs00</v>
      </c>
      <c r="N207" s="176">
        <f>IFERROR(__xludf.DUMMYFUNCTION("""COMPUTED_VALUE"""),2.0)</f>
        <v>2</v>
      </c>
      <c r="O207" s="176"/>
      <c r="P207" s="243"/>
      <c r="Q207" s="243"/>
      <c r="R207" s="176"/>
      <c r="S207" s="176"/>
      <c r="T207" s="176"/>
      <c r="U207" s="176"/>
      <c r="V207" s="176"/>
      <c r="W207" s="176"/>
      <c r="X207" s="176"/>
      <c r="Y207" s="176"/>
      <c r="Z207" s="176"/>
      <c r="AA207" s="176"/>
    </row>
    <row r="208">
      <c r="A208" s="249" t="s">
        <v>25</v>
      </c>
      <c r="B208" s="249" t="s">
        <v>867</v>
      </c>
      <c r="C208" s="250" t="s">
        <v>1644</v>
      </c>
      <c r="D208" s="252" t="s">
        <v>495</v>
      </c>
      <c r="E208" s="251">
        <v>44271.0</v>
      </c>
      <c r="F208" s="219" t="s">
        <v>496</v>
      </c>
      <c r="G208" s="219"/>
      <c r="H208" s="243"/>
      <c r="I208" s="243"/>
      <c r="J208" s="172">
        <f t="shared" si="2"/>
        <v>0</v>
      </c>
      <c r="K208" s="218">
        <v>1.6277939747327528</v>
      </c>
      <c r="L208" s="174">
        <f t="shared" si="4"/>
        <v>9.68973309</v>
      </c>
      <c r="M208" s="175" t="str">
        <f t="shared" si="5"/>
        <v>freedumbs00</v>
      </c>
      <c r="N208" s="176">
        <f>IFERROR(__xludf.DUMMYFUNCTION("""COMPUTED_VALUE"""),3.0)</f>
        <v>3</v>
      </c>
      <c r="O208" s="176"/>
      <c r="P208" s="243"/>
      <c r="Q208" s="243"/>
      <c r="R208" s="176"/>
      <c r="S208" s="176"/>
      <c r="T208" s="176"/>
      <c r="U208" s="176"/>
      <c r="V208" s="176"/>
      <c r="W208" s="176"/>
      <c r="X208" s="176"/>
      <c r="Y208" s="176"/>
      <c r="Z208" s="176"/>
      <c r="AA208" s="176"/>
    </row>
    <row r="209">
      <c r="A209" s="249" t="s">
        <v>25</v>
      </c>
      <c r="B209" s="249" t="s">
        <v>18</v>
      </c>
      <c r="C209" s="250" t="s">
        <v>1618</v>
      </c>
      <c r="D209" s="252" t="s">
        <v>495</v>
      </c>
      <c r="E209" s="251">
        <v>44273.0</v>
      </c>
      <c r="F209" s="219" t="s">
        <v>496</v>
      </c>
      <c r="G209" s="219"/>
      <c r="H209" s="243"/>
      <c r="I209" s="243"/>
      <c r="J209" s="172">
        <f t="shared" si="2"/>
        <v>0</v>
      </c>
      <c r="K209" s="218">
        <v>1.6277939747327528</v>
      </c>
      <c r="L209" s="174">
        <f t="shared" si="4"/>
        <v>9.68973309</v>
      </c>
      <c r="M209" s="175" t="str">
        <f t="shared" si="5"/>
        <v>freedumbs00</v>
      </c>
      <c r="N209" s="176">
        <f>IFERROR(__xludf.DUMMYFUNCTION("""COMPUTED_VALUE"""),4.0)</f>
        <v>4</v>
      </c>
      <c r="O209" s="176"/>
      <c r="P209" s="243"/>
      <c r="Q209" s="243"/>
      <c r="R209" s="176"/>
      <c r="S209" s="176"/>
      <c r="T209" s="176"/>
      <c r="U209" s="176"/>
      <c r="V209" s="176"/>
      <c r="W209" s="176"/>
      <c r="X209" s="176"/>
      <c r="Y209" s="176"/>
      <c r="Z209" s="176"/>
      <c r="AA209" s="176"/>
    </row>
    <row r="210">
      <c r="A210" s="249" t="s">
        <v>25</v>
      </c>
      <c r="B210" s="249" t="s">
        <v>10</v>
      </c>
      <c r="C210" s="250" t="s">
        <v>498</v>
      </c>
      <c r="D210" s="252" t="s">
        <v>495</v>
      </c>
      <c r="E210" s="251">
        <v>44274.0</v>
      </c>
      <c r="F210" s="219" t="s">
        <v>499</v>
      </c>
      <c r="G210" s="219"/>
      <c r="H210" s="243"/>
      <c r="I210" s="243"/>
      <c r="J210" s="172">
        <f t="shared" si="2"/>
        <v>0</v>
      </c>
      <c r="K210" s="218">
        <v>1.6277939747327528</v>
      </c>
      <c r="L210" s="174">
        <f t="shared" si="4"/>
        <v>9.68973309</v>
      </c>
      <c r="M210" s="175" t="str">
        <f t="shared" si="5"/>
        <v>freedumbs00</v>
      </c>
      <c r="N210" s="176">
        <f>IFERROR(__xludf.DUMMYFUNCTION("""COMPUTED_VALUE"""),5.0)</f>
        <v>5</v>
      </c>
      <c r="O210" s="176"/>
      <c r="P210" s="243"/>
      <c r="Q210" s="243"/>
      <c r="R210" s="176"/>
      <c r="S210" s="176"/>
      <c r="T210" s="176"/>
      <c r="U210" s="176"/>
      <c r="V210" s="176"/>
      <c r="W210" s="176"/>
      <c r="X210" s="176"/>
      <c r="Y210" s="176"/>
      <c r="Z210" s="176"/>
      <c r="AA210" s="176"/>
    </row>
    <row r="211">
      <c r="A211" s="249" t="s">
        <v>25</v>
      </c>
      <c r="B211" s="249" t="s">
        <v>10</v>
      </c>
      <c r="C211" s="250" t="s">
        <v>500</v>
      </c>
      <c r="D211" s="252" t="s">
        <v>495</v>
      </c>
      <c r="E211" s="251">
        <v>44275.0</v>
      </c>
      <c r="F211" s="219" t="s">
        <v>496</v>
      </c>
      <c r="G211" s="219"/>
      <c r="H211" s="243"/>
      <c r="I211" s="243"/>
      <c r="J211" s="172">
        <f t="shared" si="2"/>
        <v>0</v>
      </c>
      <c r="K211" s="218">
        <v>1.6277939747327528</v>
      </c>
      <c r="L211" s="174">
        <f t="shared" si="4"/>
        <v>9.68973309</v>
      </c>
      <c r="M211" s="175" t="str">
        <f t="shared" si="5"/>
        <v>freedumbs00</v>
      </c>
      <c r="N211" s="176">
        <f>IFERROR(__xludf.DUMMYFUNCTION("""COMPUTED_VALUE"""),6.0)</f>
        <v>6</v>
      </c>
      <c r="O211" s="176"/>
      <c r="P211" s="243"/>
      <c r="Q211" s="243"/>
      <c r="R211" s="176"/>
      <c r="S211" s="176"/>
      <c r="T211" s="176"/>
      <c r="U211" s="176"/>
      <c r="V211" s="176"/>
      <c r="W211" s="176"/>
      <c r="X211" s="176"/>
      <c r="Y211" s="176"/>
      <c r="Z211" s="176"/>
      <c r="AA211" s="176"/>
    </row>
    <row r="212">
      <c r="A212" s="249" t="s">
        <v>25</v>
      </c>
      <c r="B212" s="249" t="s">
        <v>10</v>
      </c>
      <c r="C212" s="250" t="s">
        <v>494</v>
      </c>
      <c r="D212" s="252" t="s">
        <v>495</v>
      </c>
      <c r="E212" s="251">
        <v>44275.0</v>
      </c>
      <c r="F212" s="219" t="s">
        <v>496</v>
      </c>
      <c r="G212" s="219"/>
      <c r="H212" s="243"/>
      <c r="I212" s="243"/>
      <c r="J212" s="172">
        <f t="shared" si="2"/>
        <v>0</v>
      </c>
      <c r="K212" s="218">
        <v>1.6277939747327528</v>
      </c>
      <c r="L212" s="174">
        <f t="shared" si="4"/>
        <v>9.68973309</v>
      </c>
      <c r="M212" s="175" t="str">
        <f t="shared" si="5"/>
        <v>freedumbs00</v>
      </c>
      <c r="N212" s="176">
        <f>IFERROR(__xludf.DUMMYFUNCTION("""COMPUTED_VALUE"""),7.0)</f>
        <v>7</v>
      </c>
      <c r="O212" s="176"/>
      <c r="P212" s="243"/>
      <c r="Q212" s="243"/>
      <c r="R212" s="176"/>
      <c r="S212" s="176"/>
      <c r="T212" s="176"/>
      <c r="U212" s="176"/>
      <c r="V212" s="176"/>
      <c r="W212" s="176"/>
      <c r="X212" s="176"/>
      <c r="Y212" s="176"/>
      <c r="Z212" s="176"/>
      <c r="AA212" s="176"/>
    </row>
    <row r="213">
      <c r="A213" s="249" t="s">
        <v>25</v>
      </c>
      <c r="B213" s="249" t="s">
        <v>43</v>
      </c>
      <c r="C213" s="250" t="s">
        <v>1698</v>
      </c>
      <c r="D213" s="252" t="s">
        <v>495</v>
      </c>
      <c r="E213" s="251">
        <v>44276.0</v>
      </c>
      <c r="F213" s="219" t="s">
        <v>496</v>
      </c>
      <c r="G213" s="219"/>
      <c r="H213" s="243"/>
      <c r="I213" s="243"/>
      <c r="J213" s="172">
        <f t="shared" si="2"/>
        <v>0</v>
      </c>
      <c r="K213" s="218">
        <v>1.6277939747327528</v>
      </c>
      <c r="L213" s="174">
        <f t="shared" si="4"/>
        <v>9.68973309</v>
      </c>
      <c r="M213" s="175" t="str">
        <f t="shared" si="5"/>
        <v>freedumbs00</v>
      </c>
      <c r="N213" s="176">
        <f>IFERROR(__xludf.DUMMYFUNCTION("""COMPUTED_VALUE"""),8.0)</f>
        <v>8</v>
      </c>
      <c r="O213" s="176"/>
      <c r="P213" s="243"/>
      <c r="Q213" s="243"/>
      <c r="R213" s="176"/>
      <c r="S213" s="176"/>
      <c r="T213" s="176"/>
      <c r="U213" s="176"/>
      <c r="V213" s="176"/>
      <c r="W213" s="176"/>
      <c r="X213" s="176"/>
      <c r="Y213" s="176"/>
      <c r="Z213" s="176"/>
      <c r="AA213" s="176"/>
    </row>
    <row r="214">
      <c r="A214" s="249" t="s">
        <v>25</v>
      </c>
      <c r="B214" s="249" t="s">
        <v>6</v>
      </c>
      <c r="C214" s="250" t="s">
        <v>1597</v>
      </c>
      <c r="D214" s="252" t="s">
        <v>495</v>
      </c>
      <c r="E214" s="251">
        <v>44276.0</v>
      </c>
      <c r="F214" s="219" t="s">
        <v>496</v>
      </c>
      <c r="G214" s="219"/>
      <c r="H214" s="243"/>
      <c r="I214" s="243"/>
      <c r="J214" s="172">
        <f t="shared" si="2"/>
        <v>0</v>
      </c>
      <c r="K214" s="218">
        <v>1.6277939747327528</v>
      </c>
      <c r="L214" s="174">
        <f t="shared" si="4"/>
        <v>9.68973309</v>
      </c>
      <c r="M214" s="175" t="str">
        <f t="shared" si="5"/>
        <v>freedumbs00</v>
      </c>
      <c r="N214" s="176">
        <f>IFERROR(__xludf.DUMMYFUNCTION("""COMPUTED_VALUE"""),9.0)</f>
        <v>9</v>
      </c>
      <c r="O214" s="176"/>
      <c r="P214" s="243"/>
      <c r="Q214" s="243"/>
      <c r="R214" s="176"/>
      <c r="S214" s="176"/>
      <c r="T214" s="176"/>
      <c r="U214" s="176"/>
      <c r="V214" s="176"/>
      <c r="W214" s="176"/>
      <c r="X214" s="176"/>
      <c r="Y214" s="176"/>
      <c r="Z214" s="176"/>
      <c r="AA214" s="176"/>
    </row>
    <row r="215">
      <c r="A215" s="249" t="s">
        <v>25</v>
      </c>
      <c r="B215" s="249" t="s">
        <v>63</v>
      </c>
      <c r="C215" s="250" t="s">
        <v>1699</v>
      </c>
      <c r="D215" s="252" t="s">
        <v>495</v>
      </c>
      <c r="E215" s="251">
        <v>44279.0</v>
      </c>
      <c r="F215" s="219" t="s">
        <v>496</v>
      </c>
      <c r="G215" s="219"/>
      <c r="H215" s="243"/>
      <c r="I215" s="243"/>
      <c r="J215" s="172">
        <f t="shared" si="2"/>
        <v>0</v>
      </c>
      <c r="K215" s="218">
        <v>1.6277939747327528</v>
      </c>
      <c r="L215" s="174">
        <f t="shared" si="4"/>
        <v>9.68973309</v>
      </c>
      <c r="M215" s="175" t="str">
        <f t="shared" si="5"/>
        <v>freedumbs00</v>
      </c>
      <c r="N215" s="176">
        <f>IFERROR(__xludf.DUMMYFUNCTION("""COMPUTED_VALUE"""),10.0)</f>
        <v>10</v>
      </c>
      <c r="O215" s="176"/>
      <c r="P215" s="243"/>
      <c r="Q215" s="243"/>
      <c r="R215" s="176"/>
      <c r="S215" s="176"/>
      <c r="T215" s="176"/>
      <c r="U215" s="176"/>
      <c r="V215" s="176"/>
      <c r="W215" s="176"/>
      <c r="X215" s="176"/>
      <c r="Y215" s="176"/>
      <c r="Z215" s="176"/>
      <c r="AA215" s="176"/>
    </row>
    <row r="216">
      <c r="A216" s="249" t="s">
        <v>25</v>
      </c>
      <c r="B216" s="249" t="s">
        <v>18</v>
      </c>
      <c r="C216" s="250" t="s">
        <v>1609</v>
      </c>
      <c r="D216" s="252" t="s">
        <v>495</v>
      </c>
      <c r="E216" s="251">
        <v>44279.0</v>
      </c>
      <c r="F216" s="219" t="s">
        <v>496</v>
      </c>
      <c r="G216" s="219"/>
      <c r="H216" s="243"/>
      <c r="I216" s="243"/>
      <c r="J216" s="172">
        <f t="shared" si="2"/>
        <v>0</v>
      </c>
      <c r="K216" s="218">
        <f>6</f>
        <v>6</v>
      </c>
      <c r="L216" s="174">
        <f t="shared" si="4"/>
        <v>9.68973309</v>
      </c>
      <c r="M216" s="175" t="str">
        <f t="shared" si="5"/>
        <v>freedumbs00</v>
      </c>
      <c r="N216" s="176">
        <f>IFERROR(__xludf.DUMMYFUNCTION("""COMPUTED_VALUE"""),11.0)</f>
        <v>11</v>
      </c>
      <c r="O216" s="176"/>
      <c r="P216" s="243"/>
      <c r="Q216" s="243"/>
      <c r="R216" s="176"/>
      <c r="S216" s="176"/>
      <c r="T216" s="176"/>
      <c r="U216" s="176"/>
      <c r="V216" s="176"/>
      <c r="W216" s="176"/>
      <c r="X216" s="176"/>
      <c r="Y216" s="176"/>
      <c r="Z216" s="176"/>
      <c r="AA216" s="176"/>
    </row>
    <row r="217">
      <c r="A217" s="249" t="s">
        <v>25</v>
      </c>
      <c r="B217" s="249" t="s">
        <v>18</v>
      </c>
      <c r="C217" s="250" t="s">
        <v>1700</v>
      </c>
      <c r="D217" s="252" t="s">
        <v>495</v>
      </c>
      <c r="E217" s="251">
        <v>44279.0</v>
      </c>
      <c r="F217" s="219" t="s">
        <v>496</v>
      </c>
      <c r="G217" s="219"/>
      <c r="H217" s="243"/>
      <c r="I217" s="243"/>
      <c r="J217" s="172">
        <f t="shared" si="2"/>
        <v>0</v>
      </c>
      <c r="K217" s="218">
        <v>1.6277939747327528</v>
      </c>
      <c r="L217" s="174">
        <f t="shared" si="4"/>
        <v>9.68973309</v>
      </c>
      <c r="M217" s="175" t="str">
        <f t="shared" si="5"/>
        <v>freedumbs00</v>
      </c>
      <c r="N217" s="176">
        <f>IFERROR(__xludf.DUMMYFUNCTION("""COMPUTED_VALUE"""),12.0)</f>
        <v>12</v>
      </c>
      <c r="O217" s="176"/>
      <c r="P217" s="243"/>
      <c r="Q217" s="243"/>
      <c r="R217" s="176"/>
      <c r="S217" s="176"/>
      <c r="T217" s="176"/>
      <c r="U217" s="176"/>
      <c r="V217" s="176"/>
      <c r="W217" s="176"/>
      <c r="X217" s="176"/>
      <c r="Y217" s="176"/>
      <c r="Z217" s="176"/>
      <c r="AA217" s="176"/>
    </row>
    <row r="218">
      <c r="A218" s="165" t="s">
        <v>25</v>
      </c>
      <c r="B218" s="165" t="s">
        <v>18</v>
      </c>
      <c r="C218" s="170" t="s">
        <v>1667</v>
      </c>
      <c r="D218" s="236" t="s">
        <v>495</v>
      </c>
      <c r="E218" s="239">
        <v>44281.0</v>
      </c>
      <c r="F218" s="170" t="s">
        <v>496</v>
      </c>
      <c r="G218" s="219"/>
      <c r="H218" s="243"/>
      <c r="I218" s="243"/>
      <c r="J218" s="172">
        <f t="shared" si="2"/>
        <v>0</v>
      </c>
      <c r="K218" s="218">
        <v>1.6277939747327528</v>
      </c>
      <c r="L218" s="174">
        <f t="shared" si="4"/>
        <v>9.68973309</v>
      </c>
      <c r="M218" s="175" t="str">
        <f t="shared" si="5"/>
        <v>freedumbs00</v>
      </c>
      <c r="N218" s="176">
        <f>IFERROR(__xludf.DUMMYFUNCTION("""COMPUTED_VALUE"""),13.0)</f>
        <v>13</v>
      </c>
      <c r="O218" s="176"/>
      <c r="P218" s="243"/>
      <c r="Q218" s="243"/>
      <c r="R218" s="176"/>
      <c r="S218" s="176"/>
      <c r="T218" s="176"/>
      <c r="U218" s="176"/>
      <c r="V218" s="176"/>
      <c r="W218" s="176"/>
      <c r="X218" s="176"/>
      <c r="Y218" s="176"/>
      <c r="Z218" s="176"/>
      <c r="AA218" s="176"/>
    </row>
    <row r="219">
      <c r="A219" s="165" t="s">
        <v>25</v>
      </c>
      <c r="B219" s="165" t="s">
        <v>867</v>
      </c>
      <c r="C219" s="170" t="s">
        <v>1701</v>
      </c>
      <c r="D219" s="236" t="s">
        <v>495</v>
      </c>
      <c r="E219" s="239">
        <v>44281.0</v>
      </c>
      <c r="F219" s="170" t="s">
        <v>496</v>
      </c>
      <c r="G219" s="219"/>
      <c r="H219" s="243"/>
      <c r="I219" s="243"/>
      <c r="J219" s="172">
        <f t="shared" si="2"/>
        <v>0</v>
      </c>
      <c r="K219" s="218">
        <v>1.6277939747327528</v>
      </c>
      <c r="L219" s="174">
        <f t="shared" si="4"/>
        <v>9.68973309</v>
      </c>
      <c r="M219" s="175" t="str">
        <f t="shared" si="5"/>
        <v>freedumbs00</v>
      </c>
      <c r="N219" s="176">
        <f>IFERROR(__xludf.DUMMYFUNCTION("""COMPUTED_VALUE"""),14.0)</f>
        <v>14</v>
      </c>
      <c r="O219" s="176"/>
      <c r="P219" s="243"/>
      <c r="Q219" s="243"/>
      <c r="R219" s="176"/>
      <c r="S219" s="176"/>
      <c r="T219" s="176"/>
      <c r="U219" s="176"/>
      <c r="V219" s="176"/>
      <c r="W219" s="176"/>
      <c r="X219" s="176"/>
      <c r="Y219" s="176"/>
      <c r="Z219" s="176"/>
      <c r="AA219" s="176"/>
    </row>
    <row r="220">
      <c r="A220" s="165" t="str">
        <f>iferror(VLOOKUP(P220,'DO NOT TOUCH Imported'!$A$1:$D$800,4,False),iferror(VLOOKUP(P220,'DO NOT TOUCH Imported'!$C$1:$D$800,2,False),"OOPS FIX ME"))</f>
        <v>freedumbs00</v>
      </c>
      <c r="B220" s="165" t="s">
        <v>1702</v>
      </c>
      <c r="C220" s="170" t="s">
        <v>1703</v>
      </c>
      <c r="D220" s="236" t="s">
        <v>437</v>
      </c>
      <c r="E220" s="239">
        <v>44268.0</v>
      </c>
      <c r="F220" s="170" t="s">
        <v>1704</v>
      </c>
      <c r="G220" s="219"/>
      <c r="H220" s="243"/>
      <c r="I220" s="243"/>
      <c r="J220" s="172">
        <f t="shared" si="2"/>
        <v>0</v>
      </c>
      <c r="K220" s="218">
        <v>1.6277939747327528</v>
      </c>
      <c r="L220" s="174">
        <f t="shared" si="4"/>
        <v>9.68973309</v>
      </c>
      <c r="M220" s="175" t="str">
        <f t="shared" si="5"/>
        <v>freedumbs00</v>
      </c>
      <c r="N220" s="176">
        <f>IFERROR(__xludf.DUMMYFUNCTION("""COMPUTED_VALUE"""),15.0)</f>
        <v>15</v>
      </c>
      <c r="O220" s="176"/>
      <c r="P220" s="165" t="s">
        <v>1150</v>
      </c>
      <c r="Q220" s="165" t="s">
        <v>1702</v>
      </c>
      <c r="R220" s="176"/>
      <c r="S220" s="176"/>
      <c r="T220" s="176"/>
      <c r="U220" s="176"/>
      <c r="V220" s="176"/>
      <c r="W220" s="176"/>
      <c r="X220" s="176"/>
      <c r="Y220" s="176"/>
      <c r="Z220" s="176"/>
      <c r="AA220" s="176"/>
    </row>
    <row r="221">
      <c r="A221" s="165" t="str">
        <f>iferror(VLOOKUP(P221,'DO NOT TOUCH Imported'!$A$1:$D$800,4,False),iferror(VLOOKUP(P221,'DO NOT TOUCH Imported'!$C$1:$D$800,2,False),"OOPS FIX ME"))</f>
        <v>freedumbs00</v>
      </c>
      <c r="B221" s="165" t="s">
        <v>450</v>
      </c>
      <c r="C221" s="170" t="s">
        <v>1705</v>
      </c>
      <c r="D221" s="236" t="s">
        <v>437</v>
      </c>
      <c r="E221" s="239">
        <v>44271.0</v>
      </c>
      <c r="F221" s="170" t="s">
        <v>1558</v>
      </c>
      <c r="G221" s="219"/>
      <c r="H221" s="243"/>
      <c r="I221" s="243"/>
      <c r="J221" s="172">
        <f t="shared" si="2"/>
        <v>0</v>
      </c>
      <c r="K221" s="218">
        <v>1.6277939747327528</v>
      </c>
      <c r="L221" s="174">
        <f t="shared" si="4"/>
        <v>9.68973309</v>
      </c>
      <c r="M221" s="175" t="str">
        <f t="shared" si="5"/>
        <v>freedumbs00</v>
      </c>
      <c r="N221" s="176">
        <f>IFERROR(__xludf.DUMMYFUNCTION("""COMPUTED_VALUE"""),16.0)</f>
        <v>16</v>
      </c>
      <c r="O221" s="176"/>
      <c r="P221" s="165" t="s">
        <v>1150</v>
      </c>
      <c r="Q221" s="165" t="s">
        <v>450</v>
      </c>
      <c r="R221" s="176"/>
      <c r="S221" s="176"/>
      <c r="T221" s="176"/>
      <c r="U221" s="176"/>
      <c r="V221" s="176"/>
      <c r="W221" s="176"/>
      <c r="X221" s="176"/>
      <c r="Y221" s="176"/>
      <c r="Z221" s="176"/>
      <c r="AA221" s="176"/>
    </row>
    <row r="222">
      <c r="A222" s="165" t="str">
        <f>iferror(VLOOKUP(P222,'DO NOT TOUCH Imported'!$A$1:$D$800,4,False),iferror(VLOOKUP(P222,'DO NOT TOUCH Imported'!$C$1:$D$800,2,False),"OOPS FIX ME"))</f>
        <v>freedumbs00</v>
      </c>
      <c r="B222" s="165" t="s">
        <v>435</v>
      </c>
      <c r="C222" s="170" t="s">
        <v>1610</v>
      </c>
      <c r="D222" s="236" t="s">
        <v>437</v>
      </c>
      <c r="E222" s="239">
        <v>44272.0</v>
      </c>
      <c r="F222" s="170" t="s">
        <v>439</v>
      </c>
      <c r="G222" s="219"/>
      <c r="H222" s="243"/>
      <c r="I222" s="243"/>
      <c r="J222" s="172">
        <f t="shared" si="2"/>
        <v>0</v>
      </c>
      <c r="K222" s="218">
        <v>1.6277939747327528</v>
      </c>
      <c r="L222" s="174">
        <f t="shared" si="4"/>
        <v>9.68973309</v>
      </c>
      <c r="M222" s="175" t="str">
        <f t="shared" si="5"/>
        <v>freedumbs00</v>
      </c>
      <c r="N222" s="176">
        <f>IFERROR(__xludf.DUMMYFUNCTION("""COMPUTED_VALUE"""),17.0)</f>
        <v>17</v>
      </c>
      <c r="O222" s="176"/>
      <c r="P222" s="165" t="s">
        <v>1150</v>
      </c>
      <c r="Q222" s="165" t="s">
        <v>435</v>
      </c>
      <c r="R222" s="176"/>
      <c r="S222" s="176"/>
      <c r="T222" s="176"/>
      <c r="U222" s="176"/>
      <c r="V222" s="176"/>
      <c r="W222" s="176"/>
      <c r="X222" s="176"/>
      <c r="Y222" s="176"/>
      <c r="Z222" s="176"/>
      <c r="AA222" s="176"/>
    </row>
    <row r="223">
      <c r="A223" s="165" t="str">
        <f>iferror(VLOOKUP(P223,'DO NOT TOUCH Imported'!$A$1:$D$800,4,False),iferror(VLOOKUP(P223,'DO NOT TOUCH Imported'!$C$1:$D$800,2,False),"OOPS FIX ME"))</f>
        <v>freedumbs00</v>
      </c>
      <c r="B223" s="165" t="s">
        <v>441</v>
      </c>
      <c r="C223" s="170" t="s">
        <v>1706</v>
      </c>
      <c r="D223" s="236" t="s">
        <v>437</v>
      </c>
      <c r="E223" s="239">
        <v>44274.0</v>
      </c>
      <c r="F223" s="170" t="s">
        <v>439</v>
      </c>
      <c r="G223" s="219"/>
      <c r="H223" s="243"/>
      <c r="I223" s="243"/>
      <c r="J223" s="172">
        <f t="shared" si="2"/>
        <v>0</v>
      </c>
      <c r="K223" s="218">
        <v>1.6277939747327528</v>
      </c>
      <c r="L223" s="174">
        <f t="shared" si="4"/>
        <v>9.68973309</v>
      </c>
      <c r="M223" s="175" t="str">
        <f t="shared" si="5"/>
        <v>freedumbs00</v>
      </c>
      <c r="N223" s="176">
        <f>IFERROR(__xludf.DUMMYFUNCTION("""COMPUTED_VALUE"""),18.0)</f>
        <v>18</v>
      </c>
      <c r="O223" s="176"/>
      <c r="P223" s="165" t="s">
        <v>1150</v>
      </c>
      <c r="Q223" s="165" t="s">
        <v>441</v>
      </c>
      <c r="R223" s="176"/>
      <c r="S223" s="176"/>
      <c r="T223" s="176"/>
      <c r="U223" s="176"/>
      <c r="V223" s="176"/>
      <c r="W223" s="176"/>
      <c r="X223" s="176"/>
      <c r="Y223" s="176"/>
      <c r="Z223" s="176"/>
      <c r="AA223" s="176"/>
    </row>
    <row r="224">
      <c r="A224" s="165" t="str">
        <f>iferror(VLOOKUP(P224,'DO NOT TOUCH Imported'!$A$1:$D$800,4,False),iferror(VLOOKUP(P224,'DO NOT TOUCH Imported'!$C$1:$D$800,2,False),"OOPS FIX ME"))</f>
        <v>freedumbs00</v>
      </c>
      <c r="B224" s="165" t="s">
        <v>441</v>
      </c>
      <c r="C224" s="170" t="s">
        <v>1591</v>
      </c>
      <c r="D224" s="236" t="s">
        <v>437</v>
      </c>
      <c r="E224" s="239">
        <v>44274.0</v>
      </c>
      <c r="F224" s="170" t="s">
        <v>439</v>
      </c>
      <c r="G224" s="219"/>
      <c r="H224" s="243"/>
      <c r="I224" s="243"/>
      <c r="J224" s="172">
        <f t="shared" si="2"/>
        <v>0</v>
      </c>
      <c r="K224" s="218">
        <v>1.6277939747327528</v>
      </c>
      <c r="L224" s="174">
        <f t="shared" si="4"/>
        <v>9.68973309</v>
      </c>
      <c r="M224" s="175" t="str">
        <f t="shared" si="5"/>
        <v>freedumbs00</v>
      </c>
      <c r="N224" s="176">
        <f>IFERROR(__xludf.DUMMYFUNCTION("""COMPUTED_VALUE"""),19.0)</f>
        <v>19</v>
      </c>
      <c r="O224" s="176"/>
      <c r="P224" s="165" t="s">
        <v>1150</v>
      </c>
      <c r="Q224" s="165" t="s">
        <v>441</v>
      </c>
      <c r="R224" s="176"/>
      <c r="S224" s="176"/>
      <c r="T224" s="176"/>
      <c r="U224" s="176"/>
      <c r="V224" s="176"/>
      <c r="W224" s="176"/>
      <c r="X224" s="176"/>
      <c r="Y224" s="176"/>
      <c r="Z224" s="176"/>
      <c r="AA224" s="176"/>
    </row>
    <row r="225">
      <c r="A225" s="165" t="str">
        <f>iferror(VLOOKUP(P225,'DO NOT TOUCH Imported'!$A$1:$D$800,4,False),iferror(VLOOKUP(P225,'DO NOT TOUCH Imported'!$C$1:$D$800,2,False),"OOPS FIX ME"))</f>
        <v>freedumbs00</v>
      </c>
      <c r="B225" s="165" t="s">
        <v>441</v>
      </c>
      <c r="C225" s="170" t="s">
        <v>1620</v>
      </c>
      <c r="D225" s="236" t="s">
        <v>437</v>
      </c>
      <c r="E225" s="239">
        <v>44274.0</v>
      </c>
      <c r="F225" s="170" t="s">
        <v>439</v>
      </c>
      <c r="G225" s="219"/>
      <c r="H225" s="243"/>
      <c r="I225" s="243"/>
      <c r="J225" s="172">
        <f t="shared" si="2"/>
        <v>0</v>
      </c>
      <c r="K225" s="218">
        <v>1.6277939747327528</v>
      </c>
      <c r="L225" s="174">
        <f t="shared" si="4"/>
        <v>9.68973309</v>
      </c>
      <c r="M225" s="175" t="str">
        <f t="shared" si="5"/>
        <v>freedumbs00</v>
      </c>
      <c r="N225" s="176">
        <f>IFERROR(__xludf.DUMMYFUNCTION("""COMPUTED_VALUE"""),20.0)</f>
        <v>20</v>
      </c>
      <c r="O225" s="176"/>
      <c r="P225" s="165" t="s">
        <v>1150</v>
      </c>
      <c r="Q225" s="165" t="s">
        <v>441</v>
      </c>
      <c r="R225" s="176"/>
      <c r="S225" s="176"/>
      <c r="T225" s="176"/>
      <c r="U225" s="176"/>
      <c r="V225" s="176"/>
      <c r="W225" s="176"/>
      <c r="X225" s="176"/>
      <c r="Y225" s="176"/>
      <c r="Z225" s="176"/>
      <c r="AA225" s="176"/>
    </row>
    <row r="226">
      <c r="A226" s="165" t="str">
        <f>iferror(VLOOKUP(P226,'DO NOT TOUCH Imported'!$A$1:$D$800,4,False),iferror(VLOOKUP(P226,'DO NOT TOUCH Imported'!$C$1:$D$800,2,False),"OOPS FIX ME"))</f>
        <v>freedumbs00</v>
      </c>
      <c r="B226" s="165" t="s">
        <v>443</v>
      </c>
      <c r="C226" s="170" t="s">
        <v>1603</v>
      </c>
      <c r="D226" s="236" t="s">
        <v>437</v>
      </c>
      <c r="E226" s="239">
        <v>44277.0</v>
      </c>
      <c r="F226" s="170" t="s">
        <v>439</v>
      </c>
      <c r="G226" s="219"/>
      <c r="H226" s="243"/>
      <c r="I226" s="243"/>
      <c r="J226" s="172">
        <f t="shared" si="2"/>
        <v>0</v>
      </c>
      <c r="K226" s="218">
        <v>1.6277939747327528</v>
      </c>
      <c r="L226" s="174">
        <f t="shared" si="4"/>
        <v>9.68973309</v>
      </c>
      <c r="M226" s="175" t="str">
        <f t="shared" si="5"/>
        <v>freedumbs00</v>
      </c>
      <c r="N226" s="176">
        <f>IFERROR(__xludf.DUMMYFUNCTION("""COMPUTED_VALUE"""),21.0)</f>
        <v>21</v>
      </c>
      <c r="O226" s="176"/>
      <c r="P226" s="165" t="s">
        <v>1150</v>
      </c>
      <c r="Q226" s="165" t="s">
        <v>443</v>
      </c>
      <c r="R226" s="176"/>
      <c r="S226" s="176"/>
      <c r="T226" s="176"/>
      <c r="U226" s="176"/>
      <c r="V226" s="176"/>
      <c r="W226" s="176"/>
      <c r="X226" s="176"/>
      <c r="Y226" s="176"/>
      <c r="Z226" s="176"/>
      <c r="AA226" s="176"/>
    </row>
    <row r="227">
      <c r="A227" s="165" t="str">
        <f>iferror(VLOOKUP(P227,'DO NOT TOUCH Imported'!$A$1:$D$800,4,False),iferror(VLOOKUP(P227,'DO NOT TOUCH Imported'!$C$1:$D$800,2,False),"OOPS FIX ME"))</f>
        <v>freedumbs00</v>
      </c>
      <c r="B227" s="165" t="s">
        <v>441</v>
      </c>
      <c r="C227" s="170" t="s">
        <v>1604</v>
      </c>
      <c r="D227" s="236" t="s">
        <v>437</v>
      </c>
      <c r="E227" s="239">
        <v>44277.0</v>
      </c>
      <c r="F227" s="170" t="s">
        <v>439</v>
      </c>
      <c r="G227" s="219"/>
      <c r="H227" s="243"/>
      <c r="I227" s="243"/>
      <c r="J227" s="172">
        <f t="shared" si="2"/>
        <v>0</v>
      </c>
      <c r="K227" s="218">
        <v>1.6277939747327528</v>
      </c>
      <c r="L227" s="174">
        <f t="shared" si="4"/>
        <v>9.68973309</v>
      </c>
      <c r="M227" s="175" t="str">
        <f t="shared" si="5"/>
        <v>freedumbs00</v>
      </c>
      <c r="N227" s="176">
        <f>IFERROR(__xludf.DUMMYFUNCTION("""COMPUTED_VALUE"""),22.0)</f>
        <v>22</v>
      </c>
      <c r="O227" s="176"/>
      <c r="P227" s="165" t="s">
        <v>1150</v>
      </c>
      <c r="Q227" s="165" t="s">
        <v>441</v>
      </c>
      <c r="R227" s="176"/>
      <c r="S227" s="176"/>
      <c r="T227" s="176"/>
      <c r="U227" s="176"/>
      <c r="V227" s="176"/>
      <c r="W227" s="176"/>
      <c r="X227" s="176"/>
      <c r="Y227" s="176"/>
      <c r="Z227" s="176"/>
      <c r="AA227" s="176"/>
    </row>
    <row r="228">
      <c r="A228" s="165" t="str">
        <f>iferror(VLOOKUP(P228,'DO NOT TOUCH Imported'!$A$1:$D$800,4,False),iferror(VLOOKUP(P228,'DO NOT TOUCH Imported'!$C$1:$D$800,2,False),"OOPS FIX ME"))</f>
        <v>freedumbs00</v>
      </c>
      <c r="B228" s="165" t="s">
        <v>440</v>
      </c>
      <c r="C228" s="170" t="s">
        <v>1628</v>
      </c>
      <c r="D228" s="236" t="s">
        <v>437</v>
      </c>
      <c r="E228" s="239">
        <v>44277.0</v>
      </c>
      <c r="F228" s="170" t="s">
        <v>439</v>
      </c>
      <c r="G228" s="219"/>
      <c r="H228" s="243"/>
      <c r="I228" s="243"/>
      <c r="J228" s="172">
        <f t="shared" si="2"/>
        <v>0</v>
      </c>
      <c r="K228" s="218">
        <v>1.6277939747327528</v>
      </c>
      <c r="L228" s="174">
        <f t="shared" si="4"/>
        <v>9.68973309</v>
      </c>
      <c r="M228" s="175" t="str">
        <f t="shared" si="5"/>
        <v>freedumbs00</v>
      </c>
      <c r="N228" s="176">
        <f>IFERROR(__xludf.DUMMYFUNCTION("""COMPUTED_VALUE"""),23.0)</f>
        <v>23</v>
      </c>
      <c r="O228" s="176"/>
      <c r="P228" s="165" t="s">
        <v>1150</v>
      </c>
      <c r="Q228" s="165" t="s">
        <v>440</v>
      </c>
      <c r="R228" s="176"/>
      <c r="S228" s="176"/>
      <c r="T228" s="176"/>
      <c r="U228" s="176"/>
      <c r="V228" s="176"/>
      <c r="W228" s="176"/>
      <c r="X228" s="176"/>
      <c r="Y228" s="176"/>
      <c r="Z228" s="176"/>
      <c r="AA228" s="176"/>
    </row>
    <row r="229">
      <c r="A229" s="165" t="str">
        <f>iferror(VLOOKUP(P229,'DO NOT TOUCH Imported'!$A$1:$D$800,4,False),iferror(VLOOKUP(P229,'DO NOT TOUCH Imported'!$C$1:$D$800,2,False),"OOPS FIX ME"))</f>
        <v>freedumbs00</v>
      </c>
      <c r="B229" s="165" t="s">
        <v>490</v>
      </c>
      <c r="C229" s="170" t="s">
        <v>1707</v>
      </c>
      <c r="D229" s="236" t="s">
        <v>437</v>
      </c>
      <c r="E229" s="239">
        <v>44279.0</v>
      </c>
      <c r="F229" s="170" t="s">
        <v>439</v>
      </c>
      <c r="G229" s="219"/>
      <c r="H229" s="243"/>
      <c r="I229" s="243"/>
      <c r="J229" s="172">
        <f t="shared" si="2"/>
        <v>0</v>
      </c>
      <c r="K229" s="218">
        <v>1.6277939747327528</v>
      </c>
      <c r="L229" s="174">
        <f t="shared" si="4"/>
        <v>9.68973309</v>
      </c>
      <c r="M229" s="175" t="str">
        <f t="shared" si="5"/>
        <v>freedumbs00</v>
      </c>
      <c r="N229" s="176">
        <f>IFERROR(__xludf.DUMMYFUNCTION("""COMPUTED_VALUE"""),24.0)</f>
        <v>24</v>
      </c>
      <c r="O229" s="176"/>
      <c r="P229" s="165" t="s">
        <v>1150</v>
      </c>
      <c r="Q229" s="165" t="s">
        <v>490</v>
      </c>
      <c r="R229" s="176"/>
      <c r="S229" s="176"/>
      <c r="T229" s="176"/>
      <c r="U229" s="176"/>
      <c r="V229" s="176"/>
      <c r="W229" s="176"/>
      <c r="X229" s="176"/>
      <c r="Y229" s="176"/>
      <c r="Z229" s="176"/>
      <c r="AA229" s="176"/>
    </row>
    <row r="230">
      <c r="A230" s="165" t="str">
        <f>iferror(VLOOKUP(P230,'DO NOT TOUCH Imported'!$A$1:$D$800,4,False),iferror(VLOOKUP(P230,'DO NOT TOUCH Imported'!$C$1:$D$800,2,False),"OOPS FIX ME"))</f>
        <v>freedumbs00</v>
      </c>
      <c r="B230" s="165" t="s">
        <v>492</v>
      </c>
      <c r="C230" s="170" t="s">
        <v>1614</v>
      </c>
      <c r="D230" s="236" t="s">
        <v>437</v>
      </c>
      <c r="E230" s="239">
        <v>44279.0</v>
      </c>
      <c r="F230" s="170" t="s">
        <v>439</v>
      </c>
      <c r="G230" s="219"/>
      <c r="H230" s="243"/>
      <c r="I230" s="243"/>
      <c r="J230" s="172">
        <f t="shared" si="2"/>
        <v>0</v>
      </c>
      <c r="K230" s="218">
        <v>1.6277939747327528</v>
      </c>
      <c r="L230" s="174">
        <f t="shared" si="4"/>
        <v>9.68973309</v>
      </c>
      <c r="M230" s="175" t="str">
        <f t="shared" si="5"/>
        <v>freedumbs00</v>
      </c>
      <c r="N230" s="176">
        <f>IFERROR(__xludf.DUMMYFUNCTION("""COMPUTED_VALUE"""),25.0)</f>
        <v>25</v>
      </c>
      <c r="O230" s="176"/>
      <c r="P230" s="165" t="s">
        <v>1150</v>
      </c>
      <c r="Q230" s="165" t="s">
        <v>492</v>
      </c>
      <c r="R230" s="176"/>
      <c r="S230" s="176"/>
      <c r="T230" s="176"/>
      <c r="U230" s="176"/>
      <c r="V230" s="176"/>
      <c r="W230" s="176"/>
      <c r="X230" s="176"/>
      <c r="Y230" s="176"/>
      <c r="Z230" s="176"/>
      <c r="AA230" s="176"/>
    </row>
    <row r="231">
      <c r="A231" s="165" t="str">
        <f>iferror(VLOOKUP(P231,'DO NOT TOUCH Imported'!$A$1:$D$800,4,False),iferror(VLOOKUP(P231,'DO NOT TOUCH Imported'!$C$1:$D$800,2,False),"OOPS FIX ME"))</f>
        <v>freedumbs00</v>
      </c>
      <c r="B231" s="165" t="s">
        <v>492</v>
      </c>
      <c r="C231" s="170" t="s">
        <v>1708</v>
      </c>
      <c r="D231" s="236" t="s">
        <v>437</v>
      </c>
      <c r="E231" s="239">
        <v>44280.0</v>
      </c>
      <c r="F231" s="170" t="s">
        <v>439</v>
      </c>
      <c r="G231" s="219"/>
      <c r="H231" s="243"/>
      <c r="I231" s="243"/>
      <c r="J231" s="172">
        <f t="shared" si="2"/>
        <v>0</v>
      </c>
      <c r="K231" s="218">
        <v>1.6277939747327528</v>
      </c>
      <c r="L231" s="174">
        <f t="shared" si="4"/>
        <v>9.68973309</v>
      </c>
      <c r="M231" s="175" t="str">
        <f t="shared" si="5"/>
        <v>freedumbs00</v>
      </c>
      <c r="N231" s="176">
        <f>IFERROR(__xludf.DUMMYFUNCTION("""COMPUTED_VALUE"""),26.0)</f>
        <v>26</v>
      </c>
      <c r="O231" s="176"/>
      <c r="P231" s="165" t="s">
        <v>1150</v>
      </c>
      <c r="Q231" s="165" t="s">
        <v>492</v>
      </c>
      <c r="R231" s="176"/>
      <c r="S231" s="176"/>
      <c r="T231" s="176"/>
      <c r="U231" s="176"/>
      <c r="V231" s="176"/>
      <c r="W231" s="176"/>
      <c r="X231" s="176"/>
      <c r="Y231" s="176"/>
      <c r="Z231" s="176"/>
      <c r="AA231" s="176"/>
    </row>
    <row r="232">
      <c r="A232" s="165" t="str">
        <f>iferror(VLOOKUP(P232,'DO NOT TOUCH Imported'!$A$1:$D$800,4,False),iferror(VLOOKUP(P232,'DO NOT TOUCH Imported'!$C$1:$D$800,2,False),"OOPS FIX ME"))</f>
        <v>freedumbs00</v>
      </c>
      <c r="B232" s="165" t="s">
        <v>443</v>
      </c>
      <c r="C232" s="170" t="s">
        <v>1616</v>
      </c>
      <c r="D232" s="236" t="s">
        <v>437</v>
      </c>
      <c r="E232" s="239">
        <v>44280.0</v>
      </c>
      <c r="F232" s="170" t="s">
        <v>439</v>
      </c>
      <c r="G232" s="219"/>
      <c r="H232" s="243"/>
      <c r="I232" s="243"/>
      <c r="J232" s="172">
        <f t="shared" si="2"/>
        <v>0</v>
      </c>
      <c r="K232" s="218">
        <v>1.6277939747327528</v>
      </c>
      <c r="L232" s="174">
        <f t="shared" si="4"/>
        <v>9.68973309</v>
      </c>
      <c r="M232" s="175" t="str">
        <f t="shared" si="5"/>
        <v>freedumbs00</v>
      </c>
      <c r="N232" s="176">
        <f>IFERROR(__xludf.DUMMYFUNCTION("""COMPUTED_VALUE"""),27.0)</f>
        <v>27</v>
      </c>
      <c r="O232" s="176"/>
      <c r="P232" s="165" t="s">
        <v>1150</v>
      </c>
      <c r="Q232" s="165" t="s">
        <v>443</v>
      </c>
      <c r="R232" s="176"/>
      <c r="S232" s="176"/>
      <c r="T232" s="176"/>
      <c r="U232" s="176"/>
      <c r="V232" s="176"/>
      <c r="W232" s="176"/>
      <c r="X232" s="176"/>
      <c r="Y232" s="176"/>
      <c r="Z232" s="176"/>
      <c r="AA232" s="176"/>
    </row>
    <row r="233">
      <c r="A233" s="165" t="str">
        <f>iferror(VLOOKUP(P233,'DO NOT TOUCH Imported'!$A$1:$D$800,4,False),iferror(VLOOKUP(P233,'DO NOT TOUCH Imported'!$C$1:$D$800,2,False),"OOPS FIX ME"))</f>
        <v>freedumbs00</v>
      </c>
      <c r="B233" s="165" t="s">
        <v>46</v>
      </c>
      <c r="C233" s="170" t="s">
        <v>1611</v>
      </c>
      <c r="D233" s="236" t="s">
        <v>437</v>
      </c>
      <c r="E233" s="239">
        <v>44280.0</v>
      </c>
      <c r="F233" s="170" t="s">
        <v>439</v>
      </c>
      <c r="G233" s="219"/>
      <c r="H233" s="243"/>
      <c r="I233" s="243"/>
      <c r="J233" s="172">
        <f t="shared" si="2"/>
        <v>0</v>
      </c>
      <c r="K233" s="218">
        <v>1.6277939747327528</v>
      </c>
      <c r="L233" s="174">
        <f t="shared" si="4"/>
        <v>9.68973309</v>
      </c>
      <c r="M233" s="175" t="str">
        <f t="shared" si="5"/>
        <v>freedumbs00</v>
      </c>
      <c r="N233" s="176">
        <f>IFERROR(__xludf.DUMMYFUNCTION("""COMPUTED_VALUE"""),28.0)</f>
        <v>28</v>
      </c>
      <c r="O233" s="176"/>
      <c r="P233" s="165" t="s">
        <v>1150</v>
      </c>
      <c r="Q233" s="165" t="s">
        <v>46</v>
      </c>
      <c r="R233" s="176"/>
      <c r="S233" s="176"/>
      <c r="T233" s="176"/>
      <c r="U233" s="176"/>
      <c r="V233" s="176"/>
      <c r="W233" s="176"/>
      <c r="X233" s="176"/>
      <c r="Y233" s="176"/>
      <c r="Z233" s="176"/>
      <c r="AA233" s="176"/>
    </row>
    <row r="234">
      <c r="A234" s="165" t="str">
        <f>iferror(VLOOKUP(P234,'DO NOT TOUCH Imported'!$A$1:$D$800,4,False),iferror(VLOOKUP(P234,'DO NOT TOUCH Imported'!$C$1:$D$800,2,False),"OOPS FIX ME"))</f>
        <v>freedumbs00</v>
      </c>
      <c r="B234" s="165" t="s">
        <v>441</v>
      </c>
      <c r="C234" s="170" t="s">
        <v>1626</v>
      </c>
      <c r="D234" s="236" t="s">
        <v>437</v>
      </c>
      <c r="E234" s="239">
        <v>44281.0</v>
      </c>
      <c r="F234" s="170" t="s">
        <v>439</v>
      </c>
      <c r="G234" s="219"/>
      <c r="H234" s="243"/>
      <c r="I234" s="243"/>
      <c r="J234" s="172">
        <f t="shared" si="2"/>
        <v>0</v>
      </c>
      <c r="K234" s="218">
        <v>1.6277939747327528</v>
      </c>
      <c r="L234" s="174">
        <f t="shared" si="4"/>
        <v>9.68973309</v>
      </c>
      <c r="M234" s="175" t="str">
        <f t="shared" si="5"/>
        <v>freedumbs00</v>
      </c>
      <c r="N234" s="176">
        <f>IFERROR(__xludf.DUMMYFUNCTION("""COMPUTED_VALUE"""),29.0)</f>
        <v>29</v>
      </c>
      <c r="O234" s="176"/>
      <c r="P234" s="165" t="s">
        <v>1150</v>
      </c>
      <c r="Q234" s="165" t="s">
        <v>441</v>
      </c>
      <c r="R234" s="176"/>
      <c r="S234" s="176"/>
      <c r="T234" s="176"/>
      <c r="U234" s="176"/>
      <c r="V234" s="176"/>
      <c r="W234" s="176"/>
      <c r="X234" s="176"/>
      <c r="Y234" s="176"/>
      <c r="Z234" s="176"/>
      <c r="AA234" s="176"/>
    </row>
    <row r="235">
      <c r="A235" s="165" t="str">
        <f>iferror(VLOOKUP(P235,'DO NOT TOUCH Imported'!$A$1:$D$800,4,False),iferror(VLOOKUP(P235,'DO NOT TOUCH Imported'!$C$1:$D$800,2,False),"OOPS FIX ME"))</f>
        <v>freedumbs00</v>
      </c>
      <c r="B235" s="165" t="s">
        <v>441</v>
      </c>
      <c r="C235" s="170" t="s">
        <v>1595</v>
      </c>
      <c r="D235" s="236" t="s">
        <v>437</v>
      </c>
      <c r="E235" s="239">
        <v>44281.0</v>
      </c>
      <c r="F235" s="170" t="s">
        <v>439</v>
      </c>
      <c r="G235" s="219"/>
      <c r="H235" s="243"/>
      <c r="I235" s="243"/>
      <c r="J235" s="172">
        <f t="shared" si="2"/>
        <v>0</v>
      </c>
      <c r="K235" s="218">
        <v>1.6277939747327528</v>
      </c>
      <c r="L235" s="174">
        <f t="shared" si="4"/>
        <v>9.68973309</v>
      </c>
      <c r="M235" s="175" t="str">
        <f t="shared" si="5"/>
        <v>freedumbs00</v>
      </c>
      <c r="N235" s="176">
        <f>IFERROR(__xludf.DUMMYFUNCTION("""COMPUTED_VALUE"""),30.0)</f>
        <v>30</v>
      </c>
      <c r="O235" s="176"/>
      <c r="P235" s="165" t="s">
        <v>1150</v>
      </c>
      <c r="Q235" s="165" t="s">
        <v>441</v>
      </c>
      <c r="R235" s="176"/>
      <c r="S235" s="176"/>
      <c r="T235" s="176"/>
      <c r="U235" s="176"/>
      <c r="V235" s="176"/>
      <c r="W235" s="176"/>
      <c r="X235" s="176"/>
      <c r="Y235" s="176"/>
      <c r="Z235" s="176"/>
      <c r="AA235" s="176"/>
    </row>
    <row r="236">
      <c r="A236" s="165" t="str">
        <f>iferror(VLOOKUP(P236,'DO NOT TOUCH Imported'!$A$1:$D$800,4,False),iferror(VLOOKUP(P236,'DO NOT TOUCH Imported'!$C$1:$D$800,2,False),"OOPS FIX ME"))</f>
        <v>freedumbs00</v>
      </c>
      <c r="B236" s="165" t="s">
        <v>441</v>
      </c>
      <c r="C236" s="170" t="s">
        <v>1709</v>
      </c>
      <c r="D236" s="236" t="s">
        <v>437</v>
      </c>
      <c r="E236" s="239">
        <v>44281.0</v>
      </c>
      <c r="F236" s="170" t="s">
        <v>439</v>
      </c>
      <c r="G236" s="219"/>
      <c r="H236" s="243"/>
      <c r="I236" s="243"/>
      <c r="J236" s="172">
        <f t="shared" si="2"/>
        <v>0</v>
      </c>
      <c r="K236" s="218">
        <v>1.6277939747327528</v>
      </c>
      <c r="L236" s="174">
        <f t="shared" si="4"/>
        <v>9.68973309</v>
      </c>
      <c r="M236" s="175" t="str">
        <f t="shared" si="5"/>
        <v>freedumbs00</v>
      </c>
      <c r="N236" s="176">
        <f>IFERROR(__xludf.DUMMYFUNCTION("""COMPUTED_VALUE"""),31.0)</f>
        <v>31</v>
      </c>
      <c r="O236" s="176"/>
      <c r="P236" s="165" t="s">
        <v>1150</v>
      </c>
      <c r="Q236" s="165" t="s">
        <v>441</v>
      </c>
      <c r="R236" s="176"/>
      <c r="S236" s="176"/>
      <c r="T236" s="176"/>
      <c r="U236" s="176"/>
      <c r="V236" s="176"/>
      <c r="W236" s="176"/>
      <c r="X236" s="176"/>
      <c r="Y236" s="176"/>
      <c r="Z236" s="176"/>
      <c r="AA236" s="176"/>
    </row>
    <row r="237">
      <c r="A237" s="165" t="str">
        <f>iferror(VLOOKUP(P237,'DO NOT TOUCH Imported'!$A$1:$D$800,4,False),iferror(VLOOKUP(P237,'DO NOT TOUCH Imported'!$C$1:$D$800,2,False),"OOPS FIX ME"))</f>
        <v>freedumbs00</v>
      </c>
      <c r="B237" s="165" t="s">
        <v>441</v>
      </c>
      <c r="C237" s="170" t="s">
        <v>1710</v>
      </c>
      <c r="D237" s="236" t="s">
        <v>437</v>
      </c>
      <c r="E237" s="239">
        <v>44281.0</v>
      </c>
      <c r="F237" s="170" t="s">
        <v>439</v>
      </c>
      <c r="G237" s="219"/>
      <c r="H237" s="243"/>
      <c r="I237" s="243"/>
      <c r="J237" s="172">
        <f t="shared" si="2"/>
        <v>0</v>
      </c>
      <c r="K237" s="218">
        <v>1.6277939747327528</v>
      </c>
      <c r="L237" s="174">
        <f t="shared" si="4"/>
        <v>9.68973309</v>
      </c>
      <c r="M237" s="175" t="str">
        <f t="shared" si="5"/>
        <v>freedumbs00</v>
      </c>
      <c r="N237" s="176">
        <f>IFERROR(__xludf.DUMMYFUNCTION("""COMPUTED_VALUE"""),32.0)</f>
        <v>32</v>
      </c>
      <c r="O237" s="176"/>
      <c r="P237" s="165" t="s">
        <v>1150</v>
      </c>
      <c r="Q237" s="165" t="s">
        <v>441</v>
      </c>
      <c r="R237" s="176"/>
      <c r="S237" s="176"/>
      <c r="T237" s="176"/>
      <c r="U237" s="176"/>
      <c r="V237" s="176"/>
      <c r="W237" s="176"/>
      <c r="X237" s="176"/>
      <c r="Y237" s="176"/>
      <c r="Z237" s="176"/>
      <c r="AA237" s="176"/>
    </row>
    <row r="238">
      <c r="A238" s="165" t="str">
        <f>iferror(VLOOKUP(P238,'DO NOT TOUCH Imported'!$A$1:$D$800,4,False),iferror(VLOOKUP(P238,'DO NOT TOUCH Imported'!$C$1:$D$800,2,False),"OOPS FIX ME"))</f>
        <v>freedumbs00</v>
      </c>
      <c r="B238" s="165" t="s">
        <v>441</v>
      </c>
      <c r="C238" s="170" t="s">
        <v>1650</v>
      </c>
      <c r="D238" s="236" t="s">
        <v>437</v>
      </c>
      <c r="E238" s="239">
        <v>44281.0</v>
      </c>
      <c r="F238" s="170" t="s">
        <v>439</v>
      </c>
      <c r="G238" s="219"/>
      <c r="H238" s="243"/>
      <c r="I238" s="243"/>
      <c r="J238" s="172">
        <f t="shared" si="2"/>
        <v>0</v>
      </c>
      <c r="K238" s="218">
        <v>1.6277939747327528</v>
      </c>
      <c r="L238" s="174">
        <f t="shared" si="4"/>
        <v>9.68973309</v>
      </c>
      <c r="M238" s="175" t="str">
        <f t="shared" si="5"/>
        <v>freedumbs00</v>
      </c>
      <c r="N238" s="176">
        <f>IFERROR(__xludf.DUMMYFUNCTION("""COMPUTED_VALUE"""),33.0)</f>
        <v>33</v>
      </c>
      <c r="O238" s="176"/>
      <c r="P238" s="165" t="s">
        <v>1150</v>
      </c>
      <c r="Q238" s="165" t="s">
        <v>441</v>
      </c>
      <c r="R238" s="176"/>
      <c r="S238" s="176"/>
      <c r="T238" s="176"/>
      <c r="U238" s="176"/>
      <c r="V238" s="176"/>
      <c r="W238" s="176"/>
      <c r="X238" s="176"/>
      <c r="Y238" s="176"/>
      <c r="Z238" s="176"/>
      <c r="AA238" s="176"/>
    </row>
    <row r="239">
      <c r="A239" s="165" t="str">
        <f>iferror(VLOOKUP(P239,'DO NOT TOUCH Imported'!$A$1:$D$800,4,False),iferror(VLOOKUP(P239,'DO NOT TOUCH Imported'!$C$1:$D$800,2,False),"OOPS FIX ME"))</f>
        <v>freedumbs00</v>
      </c>
      <c r="B239" s="165" t="s">
        <v>441</v>
      </c>
      <c r="C239" s="170" t="s">
        <v>1711</v>
      </c>
      <c r="D239" s="236" t="s">
        <v>437</v>
      </c>
      <c r="E239" s="239">
        <v>44281.0</v>
      </c>
      <c r="F239" s="170" t="s">
        <v>439</v>
      </c>
      <c r="G239" s="219"/>
      <c r="H239" s="243"/>
      <c r="I239" s="243"/>
      <c r="J239" s="172">
        <f t="shared" si="2"/>
        <v>0</v>
      </c>
      <c r="K239" s="218">
        <v>1.6277939747327528</v>
      </c>
      <c r="L239" s="174">
        <f t="shared" si="4"/>
        <v>9.68973309</v>
      </c>
      <c r="M239" s="175" t="str">
        <f t="shared" si="5"/>
        <v>freedumbs00</v>
      </c>
      <c r="N239" s="176">
        <f>IFERROR(__xludf.DUMMYFUNCTION("""COMPUTED_VALUE"""),34.0)</f>
        <v>34</v>
      </c>
      <c r="O239" s="176"/>
      <c r="P239" s="165" t="s">
        <v>1150</v>
      </c>
      <c r="Q239" s="165" t="s">
        <v>441</v>
      </c>
      <c r="R239" s="176"/>
      <c r="S239" s="176"/>
      <c r="T239" s="176"/>
      <c r="U239" s="176"/>
      <c r="V239" s="176"/>
      <c r="W239" s="176"/>
      <c r="X239" s="176"/>
      <c r="Y239" s="176"/>
      <c r="Z239" s="176"/>
      <c r="AA239" s="176"/>
    </row>
    <row r="240">
      <c r="A240" s="165" t="str">
        <f>iferror(VLOOKUP(P240,'DO NOT TOUCH Imported'!$A$1:$D$800,4,False),iferror(VLOOKUP(P240,'DO NOT TOUCH Imported'!$C$1:$D$800,2,False),"OOPS FIX ME"))</f>
        <v>freedumbs00</v>
      </c>
      <c r="B240" s="165" t="s">
        <v>441</v>
      </c>
      <c r="C240" s="170" t="s">
        <v>1712</v>
      </c>
      <c r="D240" s="236" t="s">
        <v>437</v>
      </c>
      <c r="E240" s="239">
        <v>44281.0</v>
      </c>
      <c r="F240" s="170" t="s">
        <v>439</v>
      </c>
      <c r="G240" s="219"/>
      <c r="H240" s="243"/>
      <c r="I240" s="243"/>
      <c r="J240" s="172">
        <f t="shared" si="2"/>
        <v>0</v>
      </c>
      <c r="K240" s="218">
        <v>1.6277939747327528</v>
      </c>
      <c r="L240" s="174">
        <f t="shared" si="4"/>
        <v>9.68973309</v>
      </c>
      <c r="M240" s="175" t="str">
        <f t="shared" si="5"/>
        <v>freedumbs00</v>
      </c>
      <c r="N240" s="176">
        <f>IFERROR(__xludf.DUMMYFUNCTION("""COMPUTED_VALUE"""),35.0)</f>
        <v>35</v>
      </c>
      <c r="O240" s="176"/>
      <c r="P240" s="165" t="s">
        <v>1150</v>
      </c>
      <c r="Q240" s="165" t="s">
        <v>441</v>
      </c>
      <c r="R240" s="176"/>
      <c r="S240" s="176"/>
      <c r="T240" s="176"/>
      <c r="U240" s="176"/>
      <c r="V240" s="176"/>
      <c r="W240" s="176"/>
      <c r="X240" s="176"/>
      <c r="Y240" s="176"/>
      <c r="Z240" s="176"/>
      <c r="AA240" s="176"/>
    </row>
    <row r="241">
      <c r="A241" s="165" t="str">
        <f>iferror(VLOOKUP(P241,'DO NOT TOUCH Imported'!$A$1:$D$800,4,False),iferror(VLOOKUP(P241,'DO NOT TOUCH Imported'!$C$1:$D$800,2,False),"OOPS FIX ME"))</f>
        <v>freedumbs00</v>
      </c>
      <c r="B241" s="165" t="s">
        <v>441</v>
      </c>
      <c r="C241" s="170" t="s">
        <v>1612</v>
      </c>
      <c r="D241" s="236" t="s">
        <v>437</v>
      </c>
      <c r="E241" s="239">
        <v>44281.0</v>
      </c>
      <c r="F241" s="170" t="s">
        <v>439</v>
      </c>
      <c r="G241" s="219"/>
      <c r="H241" s="243"/>
      <c r="I241" s="243"/>
      <c r="J241" s="172">
        <f t="shared" si="2"/>
        <v>0</v>
      </c>
      <c r="K241" s="218">
        <v>1.6277939747327528</v>
      </c>
      <c r="L241" s="174">
        <f t="shared" si="4"/>
        <v>9.68973309</v>
      </c>
      <c r="M241" s="175" t="str">
        <f t="shared" si="5"/>
        <v>freedumbs00</v>
      </c>
      <c r="N241" s="176">
        <f>IFERROR(__xludf.DUMMYFUNCTION("""COMPUTED_VALUE"""),36.0)</f>
        <v>36</v>
      </c>
      <c r="O241" s="176"/>
      <c r="P241" s="165" t="s">
        <v>1150</v>
      </c>
      <c r="Q241" s="165" t="s">
        <v>441</v>
      </c>
      <c r="R241" s="176"/>
      <c r="S241" s="176"/>
      <c r="T241" s="176"/>
      <c r="U241" s="176"/>
      <c r="V241" s="176"/>
      <c r="W241" s="176"/>
      <c r="X241" s="176"/>
      <c r="Y241" s="176"/>
      <c r="Z241" s="176"/>
      <c r="AA241" s="176"/>
    </row>
    <row r="242">
      <c r="A242" s="165" t="str">
        <f>iferror(VLOOKUP(P242,'DO NOT TOUCH Imported'!$A$1:$D$800,4,False),iferror(VLOOKUP(P242,'DO NOT TOUCH Imported'!$C$1:$D$800,2,False),"OOPS FIX ME"))</f>
        <v>freedumbs00</v>
      </c>
      <c r="B242" s="165" t="s">
        <v>441</v>
      </c>
      <c r="C242" s="170" t="s">
        <v>1713</v>
      </c>
      <c r="D242" s="236" t="s">
        <v>437</v>
      </c>
      <c r="E242" s="239">
        <v>44281.0</v>
      </c>
      <c r="F242" s="170" t="s">
        <v>439</v>
      </c>
      <c r="G242" s="219"/>
      <c r="H242" s="243"/>
      <c r="I242" s="243"/>
      <c r="J242" s="172">
        <f t="shared" si="2"/>
        <v>0</v>
      </c>
      <c r="K242" s="218">
        <v>1.6277939747327528</v>
      </c>
      <c r="L242" s="174">
        <f t="shared" si="4"/>
        <v>9.68973309</v>
      </c>
      <c r="M242" s="175" t="str">
        <f t="shared" si="5"/>
        <v>freedumbs00</v>
      </c>
      <c r="N242" s="176">
        <f>IFERROR(__xludf.DUMMYFUNCTION("""COMPUTED_VALUE"""),37.0)</f>
        <v>37</v>
      </c>
      <c r="O242" s="176"/>
      <c r="P242" s="165" t="s">
        <v>1150</v>
      </c>
      <c r="Q242" s="165" t="s">
        <v>441</v>
      </c>
      <c r="R242" s="176"/>
      <c r="S242" s="176"/>
      <c r="T242" s="176"/>
      <c r="U242" s="176"/>
      <c r="V242" s="176"/>
      <c r="W242" s="176"/>
      <c r="X242" s="176"/>
      <c r="Y242" s="176"/>
      <c r="Z242" s="176"/>
      <c r="AA242" s="176"/>
    </row>
    <row r="243">
      <c r="A243" s="185" t="str">
        <f>iferror(VLOOKUP(P243,'DO NOT TOUCH Imported'!$A$1:$D$800,4,False),iferror(VLOOKUP(P243,'DO NOT TOUCH Imported'!$C$1:$D$800,2,False),"OOPS FIX ME"))</f>
        <v>freedumbs00</v>
      </c>
      <c r="B243" s="212" t="s">
        <v>534</v>
      </c>
      <c r="C243" s="186" t="s">
        <v>684</v>
      </c>
      <c r="D243" s="212"/>
      <c r="E243" s="214"/>
      <c r="F243" s="212"/>
      <c r="G243" s="212"/>
      <c r="H243" s="196"/>
      <c r="I243" s="196"/>
      <c r="J243" s="191">
        <f t="shared" si="2"/>
        <v>0</v>
      </c>
      <c r="K243" s="215">
        <f> 64.601 * - 0.85</f>
        <v>-54.91085</v>
      </c>
      <c r="L243" s="193">
        <f t="shared" si="4"/>
        <v>9.68973309</v>
      </c>
      <c r="M243" s="194" t="str">
        <f t="shared" si="5"/>
        <v>freedumbs00</v>
      </c>
      <c r="N243" s="187">
        <f>IFERROR(__xludf.DUMMYFUNCTION("""COMPUTED_VALUE"""),38.0)</f>
        <v>38</v>
      </c>
      <c r="O243" s="212"/>
      <c r="P243" s="195" t="s">
        <v>25</v>
      </c>
      <c r="Q243" s="195" t="s">
        <v>534</v>
      </c>
      <c r="R243" s="187">
        <v>36.89669088595067</v>
      </c>
      <c r="S243" s="212"/>
      <c r="T243" s="212"/>
      <c r="U243" s="212"/>
      <c r="V243" s="212"/>
      <c r="W243" s="212"/>
      <c r="X243" s="212"/>
      <c r="Y243" s="212"/>
      <c r="Z243" s="212"/>
      <c r="AA243" s="176"/>
    </row>
    <row r="244">
      <c r="A244" s="165" t="str">
        <f>iferror(VLOOKUP(P244,'DO NOT TOUCH Imported'!$A$1:$D$800,4,False),iferror(VLOOKUP(P244,'DO NOT TOUCH Imported'!$C$1:$D$800,2,False),"OOPS FIX ME"))</f>
        <v>GriffGreen</v>
      </c>
      <c r="B244" s="165" t="s">
        <v>441</v>
      </c>
      <c r="C244" s="170" t="s">
        <v>1710</v>
      </c>
      <c r="D244" s="236" t="s">
        <v>437</v>
      </c>
      <c r="E244" s="239">
        <v>44281.0</v>
      </c>
      <c r="F244" s="170" t="s">
        <v>439</v>
      </c>
      <c r="G244" s="170">
        <v>100.0</v>
      </c>
      <c r="H244" s="171">
        <v>100.0</v>
      </c>
      <c r="I244" s="171">
        <v>100.0</v>
      </c>
      <c r="J244" s="172">
        <f t="shared" si="2"/>
        <v>0.002417297247</v>
      </c>
      <c r="K244" s="173">
        <f t="shared" ref="K244:K286" si="7">J244*$J$1</f>
        <v>2.699315259</v>
      </c>
      <c r="L244" s="174">
        <f t="shared" si="4"/>
        <v>9.632016576</v>
      </c>
      <c r="M244" s="175" t="str">
        <f t="shared" si="5"/>
        <v>GriffGreen</v>
      </c>
      <c r="N244" s="176">
        <f>IFERROR(__xludf.DUMMYFUNCTION("""COMPUTED_VALUE"""),1.0)</f>
        <v>1</v>
      </c>
      <c r="O244" s="176"/>
      <c r="P244" s="165" t="s">
        <v>450</v>
      </c>
      <c r="Q244" s="165" t="s">
        <v>441</v>
      </c>
      <c r="R244" s="176"/>
      <c r="S244" s="176"/>
      <c r="T244" s="176"/>
      <c r="U244" s="176"/>
      <c r="V244" s="176"/>
      <c r="W244" s="176"/>
      <c r="X244" s="176"/>
      <c r="Y244" s="176"/>
      <c r="Z244" s="176"/>
      <c r="AA244" s="176"/>
    </row>
    <row r="245">
      <c r="A245" s="165" t="str">
        <f>iferror(VLOOKUP(P245,'DO NOT TOUCH Imported'!$A$1:$D$800,4,False),iferror(VLOOKUP(P245,'DO NOT TOUCH Imported'!$C$1:$D$800,2,False),"OOPS FIX ME"))</f>
        <v>GriffGreen</v>
      </c>
      <c r="B245" s="165" t="s">
        <v>441</v>
      </c>
      <c r="C245" s="170" t="s">
        <v>1714</v>
      </c>
      <c r="D245" s="236" t="s">
        <v>437</v>
      </c>
      <c r="E245" s="239">
        <v>44274.0</v>
      </c>
      <c r="F245" s="170" t="s">
        <v>439</v>
      </c>
      <c r="G245" s="170">
        <v>50.0</v>
      </c>
      <c r="H245" s="171">
        <v>200.0</v>
      </c>
      <c r="I245" s="171">
        <v>100.0</v>
      </c>
      <c r="J245" s="172">
        <f t="shared" si="2"/>
        <v>0.002048240584</v>
      </c>
      <c r="K245" s="173">
        <f t="shared" si="7"/>
        <v>2.287201985</v>
      </c>
      <c r="L245" s="174">
        <f t="shared" si="4"/>
        <v>9.632016576</v>
      </c>
      <c r="M245" s="175" t="str">
        <f t="shared" si="5"/>
        <v>GriffGreen</v>
      </c>
      <c r="N245" s="176">
        <f>IFERROR(__xludf.DUMMYFUNCTION("""COMPUTED_VALUE"""),2.0)</f>
        <v>2</v>
      </c>
      <c r="O245" s="176"/>
      <c r="P245" s="165" t="s">
        <v>450</v>
      </c>
      <c r="Q245" s="165" t="s">
        <v>441</v>
      </c>
      <c r="R245" s="176"/>
      <c r="S245" s="176"/>
      <c r="T245" s="176"/>
      <c r="U245" s="176"/>
      <c r="V245" s="176"/>
      <c r="W245" s="176"/>
      <c r="X245" s="176"/>
      <c r="Y245" s="176"/>
      <c r="Z245" s="176"/>
      <c r="AA245" s="176"/>
    </row>
    <row r="246">
      <c r="A246" s="165" t="str">
        <f>iferror(VLOOKUP(P246,'DO NOT TOUCH Imported'!$A$1:$D$800,4,False),iferror(VLOOKUP(P246,'DO NOT TOUCH Imported'!$C$1:$D$800,2,False),"OOPS FIX ME"))</f>
        <v>GriffGreen</v>
      </c>
      <c r="B246" s="165" t="s">
        <v>441</v>
      </c>
      <c r="C246" s="170" t="s">
        <v>1715</v>
      </c>
      <c r="D246" s="236" t="s">
        <v>437</v>
      </c>
      <c r="E246" s="239">
        <v>44274.0</v>
      </c>
      <c r="F246" s="170" t="s">
        <v>439</v>
      </c>
      <c r="G246" s="170">
        <v>15.0</v>
      </c>
      <c r="H246" s="171">
        <v>300.0</v>
      </c>
      <c r="I246" s="171">
        <v>100.0</v>
      </c>
      <c r="J246" s="172">
        <f t="shared" si="2"/>
        <v>0.001915758323</v>
      </c>
      <c r="K246" s="173">
        <f t="shared" si="7"/>
        <v>2.13926346</v>
      </c>
      <c r="L246" s="174">
        <f t="shared" si="4"/>
        <v>9.632016576</v>
      </c>
      <c r="M246" s="175" t="str">
        <f t="shared" si="5"/>
        <v>GriffGreen</v>
      </c>
      <c r="N246" s="176">
        <f>IFERROR(__xludf.DUMMYFUNCTION("""COMPUTED_VALUE"""),3.0)</f>
        <v>3</v>
      </c>
      <c r="O246" s="176"/>
      <c r="P246" s="165" t="s">
        <v>450</v>
      </c>
      <c r="Q246" s="165" t="s">
        <v>441</v>
      </c>
      <c r="R246" s="176"/>
      <c r="S246" s="176"/>
      <c r="T246" s="176"/>
      <c r="U246" s="176"/>
      <c r="V246" s="176"/>
      <c r="W246" s="176"/>
      <c r="X246" s="176"/>
      <c r="Y246" s="176"/>
      <c r="Z246" s="176"/>
      <c r="AA246" s="176"/>
    </row>
    <row r="247">
      <c r="A247" s="165" t="str">
        <f>iferror(VLOOKUP(P247,'DO NOT TOUCH Imported'!$A$1:$D$800,4,False),iferror(VLOOKUP(P247,'DO NOT TOUCH Imported'!$C$1:$D$800,2,False),"OOPS FIX ME"))</f>
        <v>GriffGreen</v>
      </c>
      <c r="B247" s="249" t="s">
        <v>6</v>
      </c>
      <c r="C247" s="250" t="s">
        <v>1716</v>
      </c>
      <c r="D247" s="236" t="s">
        <v>1584</v>
      </c>
      <c r="E247" s="251">
        <v>44270.0</v>
      </c>
      <c r="F247" s="219" t="s">
        <v>496</v>
      </c>
      <c r="G247" s="170">
        <v>50.0</v>
      </c>
      <c r="H247" s="171">
        <v>150.0</v>
      </c>
      <c r="I247" s="171">
        <v>100.0</v>
      </c>
      <c r="J247" s="172">
        <f t="shared" si="2"/>
        <v>0.001838478244</v>
      </c>
      <c r="K247" s="173">
        <f t="shared" si="7"/>
        <v>2.052967373</v>
      </c>
      <c r="L247" s="174">
        <f t="shared" si="4"/>
        <v>9.632016576</v>
      </c>
      <c r="M247" s="175" t="str">
        <f t="shared" si="5"/>
        <v>GriffGreen</v>
      </c>
      <c r="N247" s="176">
        <f>IFERROR(__xludf.DUMMYFUNCTION("""COMPUTED_VALUE"""),4.0)</f>
        <v>4</v>
      </c>
      <c r="O247" s="176"/>
      <c r="P247" s="249" t="s">
        <v>16</v>
      </c>
      <c r="Q247" s="249" t="s">
        <v>6</v>
      </c>
      <c r="R247" s="176"/>
      <c r="S247" s="176"/>
      <c r="T247" s="176"/>
      <c r="U247" s="176"/>
      <c r="V247" s="176"/>
      <c r="W247" s="176"/>
      <c r="X247" s="176"/>
      <c r="Y247" s="176"/>
      <c r="Z247" s="176"/>
      <c r="AA247" s="176"/>
    </row>
    <row r="248">
      <c r="A248" s="165" t="str">
        <f>iferror(VLOOKUP(P248,'DO NOT TOUCH Imported'!$A$1:$D$800,4,False),iferror(VLOOKUP(P248,'DO NOT TOUCH Imported'!$C$1:$D$800,2,False),"OOPS FIX ME"))</f>
        <v>GriffGreen</v>
      </c>
      <c r="B248" s="249" t="s">
        <v>18</v>
      </c>
      <c r="C248" s="250" t="s">
        <v>1717</v>
      </c>
      <c r="D248" s="236" t="s">
        <v>1584</v>
      </c>
      <c r="E248" s="251">
        <v>44280.0</v>
      </c>
      <c r="F248" s="219" t="s">
        <v>496</v>
      </c>
      <c r="G248" s="170">
        <v>50.0</v>
      </c>
      <c r="H248" s="171">
        <v>100.0</v>
      </c>
      <c r="I248" s="171">
        <v>100.0</v>
      </c>
      <c r="J248" s="172">
        <f t="shared" si="2"/>
        <v>0.001628715905</v>
      </c>
      <c r="K248" s="173">
        <f t="shared" si="7"/>
        <v>1.818732761</v>
      </c>
      <c r="L248" s="174">
        <f t="shared" si="4"/>
        <v>9.632016576</v>
      </c>
      <c r="M248" s="175" t="str">
        <f t="shared" si="5"/>
        <v>GriffGreen</v>
      </c>
      <c r="N248" s="176">
        <f>IFERROR(__xludf.DUMMYFUNCTION("""COMPUTED_VALUE"""),5.0)</f>
        <v>5</v>
      </c>
      <c r="O248" s="176"/>
      <c r="P248" s="249" t="s">
        <v>16</v>
      </c>
      <c r="Q248" s="249" t="s">
        <v>18</v>
      </c>
      <c r="R248" s="176"/>
      <c r="S248" s="176"/>
      <c r="T248" s="176"/>
      <c r="U248" s="176"/>
      <c r="V248" s="176"/>
      <c r="W248" s="176"/>
      <c r="X248" s="176"/>
      <c r="Y248" s="176"/>
      <c r="Z248" s="176"/>
      <c r="AA248" s="176"/>
    </row>
    <row r="249">
      <c r="A249" s="165" t="str">
        <f>iferror(VLOOKUP(P249,'DO NOT TOUCH Imported'!$A$1:$D$800,4,False),iferror(VLOOKUP(P249,'DO NOT TOUCH Imported'!$C$1:$D$800,2,False),"OOPS FIX ME"))</f>
        <v>GriffGreen</v>
      </c>
      <c r="B249" s="165" t="s">
        <v>519</v>
      </c>
      <c r="C249" s="170" t="s">
        <v>1632</v>
      </c>
      <c r="D249" s="236" t="s">
        <v>1584</v>
      </c>
      <c r="E249" s="239">
        <v>44281.0</v>
      </c>
      <c r="F249" s="170" t="s">
        <v>496</v>
      </c>
      <c r="G249" s="170">
        <v>50.0</v>
      </c>
      <c r="H249" s="171">
        <v>100.0</v>
      </c>
      <c r="I249" s="171">
        <v>100.0</v>
      </c>
      <c r="J249" s="172">
        <f t="shared" si="2"/>
        <v>0.001628715905</v>
      </c>
      <c r="K249" s="173">
        <f t="shared" si="7"/>
        <v>1.818732761</v>
      </c>
      <c r="L249" s="174">
        <f t="shared" si="4"/>
        <v>9.632016576</v>
      </c>
      <c r="M249" s="175" t="str">
        <f t="shared" si="5"/>
        <v>GriffGreen</v>
      </c>
      <c r="N249" s="176">
        <f>IFERROR(__xludf.DUMMYFUNCTION("""COMPUTED_VALUE"""),6.0)</f>
        <v>6</v>
      </c>
      <c r="O249" s="176"/>
      <c r="P249" s="165" t="s">
        <v>16</v>
      </c>
      <c r="Q249" s="165" t="s">
        <v>519</v>
      </c>
      <c r="R249" s="176"/>
      <c r="S249" s="176"/>
      <c r="T249" s="176"/>
      <c r="U249" s="176"/>
      <c r="V249" s="176"/>
      <c r="W249" s="176"/>
      <c r="X249" s="176"/>
      <c r="Y249" s="176"/>
      <c r="Z249" s="176"/>
      <c r="AA249" s="176"/>
    </row>
    <row r="250">
      <c r="A250" s="165" t="str">
        <f>iferror(VLOOKUP(P250,'DO NOT TOUCH Imported'!$A$1:$D$800,4,False),iferror(VLOOKUP(P250,'DO NOT TOUCH Imported'!$C$1:$D$800,2,False),"OOPS FIX ME"))</f>
        <v>GriffGreen</v>
      </c>
      <c r="B250" s="165" t="s">
        <v>443</v>
      </c>
      <c r="C250" s="170" t="s">
        <v>1590</v>
      </c>
      <c r="D250" s="236" t="s">
        <v>437</v>
      </c>
      <c r="E250" s="239">
        <v>44273.0</v>
      </c>
      <c r="F250" s="170" t="s">
        <v>439</v>
      </c>
      <c r="G250" s="170">
        <v>45.0</v>
      </c>
      <c r="H250" s="171">
        <v>100.0</v>
      </c>
      <c r="I250" s="171">
        <v>100.0</v>
      </c>
      <c r="J250" s="172">
        <f t="shared" si="2"/>
        <v>0.001549857771</v>
      </c>
      <c r="K250" s="173">
        <f t="shared" si="7"/>
        <v>1.730674511</v>
      </c>
      <c r="L250" s="174">
        <f t="shared" si="4"/>
        <v>9.632016576</v>
      </c>
      <c r="M250" s="175" t="str">
        <f t="shared" si="5"/>
        <v>GriffGreen</v>
      </c>
      <c r="N250" s="176">
        <f>IFERROR(__xludf.DUMMYFUNCTION("""COMPUTED_VALUE"""),7.0)</f>
        <v>7</v>
      </c>
      <c r="O250" s="176"/>
      <c r="P250" s="165" t="s">
        <v>450</v>
      </c>
      <c r="Q250" s="165" t="s">
        <v>443</v>
      </c>
      <c r="R250" s="176"/>
      <c r="S250" s="176"/>
      <c r="T250" s="176"/>
      <c r="U250" s="176"/>
      <c r="V250" s="176"/>
      <c r="W250" s="176"/>
      <c r="X250" s="176"/>
      <c r="Y250" s="176"/>
      <c r="Z250" s="176"/>
      <c r="AA250" s="176"/>
    </row>
    <row r="251">
      <c r="A251" s="165" t="str">
        <f>iferror(VLOOKUP(P251,'DO NOT TOUCH Imported'!$A$1:$D$800,4,False),iferror(VLOOKUP(P251,'DO NOT TOUCH Imported'!$C$1:$D$800,2,False),"OOPS FIX ME"))</f>
        <v>GriffGreen</v>
      </c>
      <c r="B251" s="165" t="s">
        <v>867</v>
      </c>
      <c r="C251" s="170" t="s">
        <v>1701</v>
      </c>
      <c r="D251" s="236" t="s">
        <v>1584</v>
      </c>
      <c r="E251" s="239">
        <v>44281.0</v>
      </c>
      <c r="F251" s="170" t="s">
        <v>496</v>
      </c>
      <c r="G251" s="170">
        <v>15.0</v>
      </c>
      <c r="H251" s="171">
        <v>200.0</v>
      </c>
      <c r="I251" s="171">
        <v>100.0</v>
      </c>
      <c r="J251" s="172">
        <f t="shared" si="2"/>
        <v>0.001496233644</v>
      </c>
      <c r="K251" s="173">
        <f t="shared" si="7"/>
        <v>1.670794236</v>
      </c>
      <c r="L251" s="174">
        <f t="shared" si="4"/>
        <v>9.632016576</v>
      </c>
      <c r="M251" s="175" t="str">
        <f t="shared" si="5"/>
        <v>GriffGreen</v>
      </c>
      <c r="N251" s="176">
        <f>IFERROR(__xludf.DUMMYFUNCTION("""COMPUTED_VALUE"""),8.0)</f>
        <v>8</v>
      </c>
      <c r="O251" s="176"/>
      <c r="P251" s="165" t="s">
        <v>16</v>
      </c>
      <c r="Q251" s="165" t="s">
        <v>867</v>
      </c>
      <c r="R251" s="176"/>
      <c r="S251" s="176"/>
      <c r="T251" s="176"/>
      <c r="U251" s="176"/>
      <c r="V251" s="176"/>
      <c r="W251" s="176"/>
      <c r="X251" s="176"/>
      <c r="Y251" s="176"/>
      <c r="Z251" s="176"/>
      <c r="AA251" s="176"/>
    </row>
    <row r="252">
      <c r="A252" s="165" t="str">
        <f>iferror(VLOOKUP(P252,'DO NOT TOUCH Imported'!$A$1:$D$800,4,False),iferror(VLOOKUP(P252,'DO NOT TOUCH Imported'!$C$1:$D$800,2,False),"OOPS FIX ME"))</f>
        <v>GriffGreen</v>
      </c>
      <c r="B252" s="165" t="s">
        <v>813</v>
      </c>
      <c r="C252" s="170" t="s">
        <v>1718</v>
      </c>
      <c r="D252" s="236" t="s">
        <v>437</v>
      </c>
      <c r="E252" s="239">
        <v>44273.0</v>
      </c>
      <c r="F252" s="170" t="s">
        <v>439</v>
      </c>
      <c r="G252" s="170">
        <v>15.0</v>
      </c>
      <c r="H252" s="171">
        <v>200.0</v>
      </c>
      <c r="I252" s="171">
        <v>100.0</v>
      </c>
      <c r="J252" s="172">
        <f t="shared" si="2"/>
        <v>0.001496233644</v>
      </c>
      <c r="K252" s="173">
        <f t="shared" si="7"/>
        <v>1.670794236</v>
      </c>
      <c r="L252" s="174">
        <f t="shared" si="4"/>
        <v>9.632016576</v>
      </c>
      <c r="M252" s="175" t="str">
        <f t="shared" si="5"/>
        <v>GriffGreen</v>
      </c>
      <c r="N252" s="176">
        <f>IFERROR(__xludf.DUMMYFUNCTION("""COMPUTED_VALUE"""),9.0)</f>
        <v>9</v>
      </c>
      <c r="O252" s="176"/>
      <c r="P252" s="165" t="s">
        <v>450</v>
      </c>
      <c r="Q252" s="165" t="s">
        <v>813</v>
      </c>
      <c r="R252" s="176"/>
      <c r="S252" s="176"/>
      <c r="T252" s="176"/>
      <c r="U252" s="176"/>
      <c r="V252" s="176"/>
      <c r="W252" s="176"/>
      <c r="X252" s="176"/>
      <c r="Y252" s="176"/>
      <c r="Z252" s="176"/>
      <c r="AA252" s="176"/>
    </row>
    <row r="253">
      <c r="A253" s="165" t="str">
        <f>iferror(VLOOKUP(P253,'DO NOT TOUCH Imported'!$A$1:$D$800,4,False),iferror(VLOOKUP(P253,'DO NOT TOUCH Imported'!$C$1:$D$800,2,False),"OOPS FIX ME"))</f>
        <v>GriffGreen</v>
      </c>
      <c r="B253" s="165" t="s">
        <v>441</v>
      </c>
      <c r="C253" s="170" t="s">
        <v>1656</v>
      </c>
      <c r="D253" s="236" t="s">
        <v>437</v>
      </c>
      <c r="E253" s="239">
        <v>44274.0</v>
      </c>
      <c r="F253" s="170" t="s">
        <v>439</v>
      </c>
      <c r="G253" s="170">
        <v>15.0</v>
      </c>
      <c r="H253" s="171">
        <v>200.0</v>
      </c>
      <c r="I253" s="171">
        <v>100.0</v>
      </c>
      <c r="J253" s="172">
        <f t="shared" si="2"/>
        <v>0.001496233644</v>
      </c>
      <c r="K253" s="173">
        <f t="shared" si="7"/>
        <v>1.670794236</v>
      </c>
      <c r="L253" s="174">
        <f t="shared" si="4"/>
        <v>9.632016576</v>
      </c>
      <c r="M253" s="175" t="str">
        <f t="shared" si="5"/>
        <v>GriffGreen</v>
      </c>
      <c r="N253" s="176">
        <f>IFERROR(__xludf.DUMMYFUNCTION("""COMPUTED_VALUE"""),10.0)</f>
        <v>10</v>
      </c>
      <c r="O253" s="176"/>
      <c r="P253" s="165" t="s">
        <v>450</v>
      </c>
      <c r="Q253" s="165" t="s">
        <v>441</v>
      </c>
      <c r="R253" s="176"/>
      <c r="S253" s="176"/>
      <c r="T253" s="176"/>
      <c r="U253" s="176"/>
      <c r="V253" s="176"/>
      <c r="W253" s="176"/>
      <c r="X253" s="176"/>
      <c r="Y253" s="176"/>
      <c r="Z253" s="176"/>
      <c r="AA253" s="176"/>
    </row>
    <row r="254">
      <c r="A254" s="165" t="str">
        <f>iferror(VLOOKUP(P254,'DO NOT TOUCH Imported'!$A$1:$D$800,4,False),iferror(VLOOKUP(P254,'DO NOT TOUCH Imported'!$C$1:$D$800,2,False),"OOPS FIX ME"))</f>
        <v>GriffGreen</v>
      </c>
      <c r="B254" s="165" t="s">
        <v>492</v>
      </c>
      <c r="C254" s="170" t="s">
        <v>1614</v>
      </c>
      <c r="D254" s="236" t="s">
        <v>437</v>
      </c>
      <c r="E254" s="239">
        <v>44279.0</v>
      </c>
      <c r="F254" s="170" t="s">
        <v>439</v>
      </c>
      <c r="G254" s="170">
        <v>15.0</v>
      </c>
      <c r="H254" s="171">
        <v>200.0</v>
      </c>
      <c r="I254" s="171">
        <v>100.0</v>
      </c>
      <c r="J254" s="172">
        <f t="shared" si="2"/>
        <v>0.001496233644</v>
      </c>
      <c r="K254" s="173">
        <f t="shared" si="7"/>
        <v>1.670794236</v>
      </c>
      <c r="L254" s="174">
        <f t="shared" si="4"/>
        <v>9.632016576</v>
      </c>
      <c r="M254" s="175" t="str">
        <f t="shared" si="5"/>
        <v>GriffGreen</v>
      </c>
      <c r="N254" s="176">
        <f>IFERROR(__xludf.DUMMYFUNCTION("""COMPUTED_VALUE"""),11.0)</f>
        <v>11</v>
      </c>
      <c r="O254" s="176"/>
      <c r="P254" s="165" t="s">
        <v>450</v>
      </c>
      <c r="Q254" s="165" t="s">
        <v>492</v>
      </c>
      <c r="R254" s="176"/>
      <c r="S254" s="176"/>
      <c r="T254" s="176"/>
      <c r="U254" s="176"/>
      <c r="V254" s="176"/>
      <c r="W254" s="176"/>
      <c r="X254" s="176"/>
      <c r="Y254" s="176"/>
      <c r="Z254" s="176"/>
      <c r="AA254" s="176"/>
    </row>
    <row r="255">
      <c r="A255" s="165" t="str">
        <f>iferror(VLOOKUP(P255,'DO NOT TOUCH Imported'!$A$1:$D$800,4,False),iferror(VLOOKUP(P255,'DO NOT TOUCH Imported'!$C$1:$D$800,2,False),"OOPS FIX ME"))</f>
        <v>GriffGreen</v>
      </c>
      <c r="B255" s="165" t="s">
        <v>443</v>
      </c>
      <c r="C255" s="170" t="s">
        <v>1658</v>
      </c>
      <c r="D255" s="236" t="s">
        <v>437</v>
      </c>
      <c r="E255" s="239">
        <v>44273.0</v>
      </c>
      <c r="F255" s="170" t="s">
        <v>439</v>
      </c>
      <c r="G255" s="170">
        <v>15.0</v>
      </c>
      <c r="H255" s="171">
        <v>100.0</v>
      </c>
      <c r="I255" s="171">
        <v>200.0</v>
      </c>
      <c r="J255" s="172">
        <f t="shared" si="2"/>
        <v>0.00149731885</v>
      </c>
      <c r="K255" s="173">
        <f t="shared" si="7"/>
        <v>1.672006049</v>
      </c>
      <c r="L255" s="174">
        <f t="shared" si="4"/>
        <v>9.632016576</v>
      </c>
      <c r="M255" s="175" t="str">
        <f t="shared" si="5"/>
        <v>GriffGreen</v>
      </c>
      <c r="N255" s="176">
        <f>IFERROR(__xludf.DUMMYFUNCTION("""COMPUTED_VALUE"""),12.0)</f>
        <v>12</v>
      </c>
      <c r="O255" s="176"/>
      <c r="P255" s="165" t="s">
        <v>450</v>
      </c>
      <c r="Q255" s="165" t="s">
        <v>443</v>
      </c>
      <c r="R255" s="176"/>
      <c r="S255" s="176"/>
      <c r="T255" s="176"/>
      <c r="U255" s="176"/>
      <c r="V255" s="176"/>
      <c r="W255" s="176"/>
      <c r="X255" s="176"/>
      <c r="Y255" s="176"/>
      <c r="Z255" s="176"/>
      <c r="AA255" s="176"/>
    </row>
    <row r="256">
      <c r="A256" s="165" t="str">
        <f>iferror(VLOOKUP(P256,'DO NOT TOUCH Imported'!$A$1:$D$800,4,False),iferror(VLOOKUP(P256,'DO NOT TOUCH Imported'!$C$1:$D$800,2,False),"OOPS FIX ME"))</f>
        <v>GriffGreen</v>
      </c>
      <c r="B256" s="249" t="s">
        <v>519</v>
      </c>
      <c r="C256" s="250" t="s">
        <v>1696</v>
      </c>
      <c r="D256" s="236" t="s">
        <v>1584</v>
      </c>
      <c r="E256" s="251">
        <v>44272.0</v>
      </c>
      <c r="F256" s="219" t="s">
        <v>496</v>
      </c>
      <c r="G256" s="170">
        <v>25.0</v>
      </c>
      <c r="H256" s="171">
        <v>150.0</v>
      </c>
      <c r="I256" s="171">
        <v>100.0</v>
      </c>
      <c r="J256" s="172">
        <f t="shared" si="2"/>
        <v>0.001444187573</v>
      </c>
      <c r="K256" s="173">
        <f t="shared" si="7"/>
        <v>1.612676123</v>
      </c>
      <c r="L256" s="174">
        <f t="shared" si="4"/>
        <v>9.632016576</v>
      </c>
      <c r="M256" s="175" t="str">
        <f t="shared" si="5"/>
        <v>GriffGreen</v>
      </c>
      <c r="N256" s="176">
        <f>IFERROR(__xludf.DUMMYFUNCTION("""COMPUTED_VALUE"""),13.0)</f>
        <v>13</v>
      </c>
      <c r="O256" s="176"/>
      <c r="P256" s="249" t="s">
        <v>16</v>
      </c>
      <c r="Q256" s="249" t="s">
        <v>519</v>
      </c>
      <c r="R256" s="176"/>
      <c r="S256" s="176"/>
      <c r="T256" s="176"/>
      <c r="U256" s="176"/>
      <c r="V256" s="176"/>
      <c r="W256" s="176"/>
      <c r="X256" s="176"/>
      <c r="Y256" s="176"/>
      <c r="Z256" s="176"/>
      <c r="AA256" s="176"/>
    </row>
    <row r="257">
      <c r="A257" s="165" t="str">
        <f>iferror(VLOOKUP(P257,'DO NOT TOUCH Imported'!$A$1:$D$800,4,False),iferror(VLOOKUP(P257,'DO NOT TOUCH Imported'!$C$1:$D$800,2,False),"OOPS FIX ME"))</f>
        <v>GriffGreen</v>
      </c>
      <c r="B257" s="165" t="s">
        <v>441</v>
      </c>
      <c r="C257" s="170" t="s">
        <v>1593</v>
      </c>
      <c r="D257" s="236" t="s">
        <v>437</v>
      </c>
      <c r="E257" s="239">
        <v>44274.0</v>
      </c>
      <c r="F257" s="170" t="s">
        <v>439</v>
      </c>
      <c r="G257" s="170">
        <v>25.0</v>
      </c>
      <c r="H257" s="171">
        <v>150.0</v>
      </c>
      <c r="I257" s="171">
        <v>100.0</v>
      </c>
      <c r="J257" s="172">
        <f t="shared" si="2"/>
        <v>0.001444187573</v>
      </c>
      <c r="K257" s="173">
        <f t="shared" si="7"/>
        <v>1.612676123</v>
      </c>
      <c r="L257" s="174">
        <f t="shared" si="4"/>
        <v>9.632016576</v>
      </c>
      <c r="M257" s="175" t="str">
        <f t="shared" si="5"/>
        <v>GriffGreen</v>
      </c>
      <c r="N257" s="176">
        <f>IFERROR(__xludf.DUMMYFUNCTION("""COMPUTED_VALUE"""),14.0)</f>
        <v>14</v>
      </c>
      <c r="O257" s="176"/>
      <c r="P257" s="165" t="s">
        <v>450</v>
      </c>
      <c r="Q257" s="165" t="s">
        <v>441</v>
      </c>
      <c r="R257" s="176"/>
      <c r="S257" s="176"/>
      <c r="T257" s="176"/>
      <c r="U257" s="176"/>
      <c r="V257" s="176"/>
      <c r="W257" s="176"/>
      <c r="X257" s="176"/>
      <c r="Y257" s="176"/>
      <c r="Z257" s="176"/>
      <c r="AA257" s="176"/>
    </row>
    <row r="258">
      <c r="A258" s="165" t="str">
        <f>iferror(VLOOKUP(P258,'DO NOT TOUCH Imported'!$A$1:$D$800,4,False),iferror(VLOOKUP(P258,'DO NOT TOUCH Imported'!$C$1:$D$800,2,False),"OOPS FIX ME"))</f>
        <v>GriffGreen</v>
      </c>
      <c r="B258" s="165" t="s">
        <v>486</v>
      </c>
      <c r="C258" s="170" t="s">
        <v>1719</v>
      </c>
      <c r="D258" s="236" t="s">
        <v>437</v>
      </c>
      <c r="E258" s="239">
        <v>44274.0</v>
      </c>
      <c r="F258" s="170" t="s">
        <v>911</v>
      </c>
      <c r="G258" s="170">
        <v>35.0</v>
      </c>
      <c r="H258" s="171">
        <v>100.0</v>
      </c>
      <c r="I258" s="171">
        <v>100.0</v>
      </c>
      <c r="J258" s="172">
        <f t="shared" si="2"/>
        <v>0.001392141502</v>
      </c>
      <c r="K258" s="173">
        <f t="shared" si="7"/>
        <v>1.554558011</v>
      </c>
      <c r="L258" s="174">
        <f t="shared" si="4"/>
        <v>9.632016576</v>
      </c>
      <c r="M258" s="175" t="str">
        <f t="shared" si="5"/>
        <v>GriffGreen</v>
      </c>
      <c r="N258" s="176">
        <f>IFERROR(__xludf.DUMMYFUNCTION("""COMPUTED_VALUE"""),15.0)</f>
        <v>15</v>
      </c>
      <c r="O258" s="176"/>
      <c r="P258" s="165" t="s">
        <v>450</v>
      </c>
      <c r="Q258" s="165" t="s">
        <v>486</v>
      </c>
      <c r="R258" s="176"/>
      <c r="S258" s="176"/>
      <c r="T258" s="176"/>
      <c r="U258" s="176"/>
      <c r="V258" s="176"/>
      <c r="W258" s="176"/>
      <c r="X258" s="176"/>
      <c r="Y258" s="176"/>
      <c r="Z258" s="176"/>
      <c r="AA258" s="176"/>
    </row>
    <row r="259">
      <c r="A259" s="165" t="str">
        <f>iferror(VLOOKUP(P259,'DO NOT TOUCH Imported'!$A$1:$D$800,4,False),iferror(VLOOKUP(P259,'DO NOT TOUCH Imported'!$C$1:$D$800,2,False),"OOPS FIX ME"))</f>
        <v>GriffGreen</v>
      </c>
      <c r="B259" s="165" t="s">
        <v>441</v>
      </c>
      <c r="C259" s="170" t="s">
        <v>1680</v>
      </c>
      <c r="D259" s="236" t="s">
        <v>437</v>
      </c>
      <c r="E259" s="239">
        <v>44274.0</v>
      </c>
      <c r="F259" s="170" t="s">
        <v>439</v>
      </c>
      <c r="G259" s="170">
        <v>15.0</v>
      </c>
      <c r="H259" s="171">
        <v>150.0</v>
      </c>
      <c r="I259" s="171">
        <v>100.0</v>
      </c>
      <c r="J259" s="172">
        <f t="shared" si="2"/>
        <v>0.001286471305</v>
      </c>
      <c r="K259" s="173">
        <f t="shared" si="7"/>
        <v>1.436559624</v>
      </c>
      <c r="L259" s="174">
        <f t="shared" si="4"/>
        <v>9.632016576</v>
      </c>
      <c r="M259" s="175" t="str">
        <f t="shared" si="5"/>
        <v>GriffGreen</v>
      </c>
      <c r="N259" s="176">
        <f>IFERROR(__xludf.DUMMYFUNCTION("""COMPUTED_VALUE"""),16.0)</f>
        <v>16</v>
      </c>
      <c r="O259" s="176"/>
      <c r="P259" s="165" t="s">
        <v>450</v>
      </c>
      <c r="Q259" s="165" t="s">
        <v>441</v>
      </c>
      <c r="R259" s="176"/>
      <c r="S259" s="176"/>
      <c r="T259" s="176"/>
      <c r="U259" s="176"/>
      <c r="V259" s="176"/>
      <c r="W259" s="176"/>
      <c r="X259" s="176"/>
      <c r="Y259" s="176"/>
      <c r="Z259" s="176"/>
      <c r="AA259" s="176"/>
    </row>
    <row r="260">
      <c r="A260" s="165" t="str">
        <f>iferror(VLOOKUP(P260,'DO NOT TOUCH Imported'!$A$1:$D$800,4,False),iferror(VLOOKUP(P260,'DO NOT TOUCH Imported'!$C$1:$D$800,2,False),"OOPS FIX ME"))</f>
        <v>GriffGreen</v>
      </c>
      <c r="B260" s="249" t="s">
        <v>867</v>
      </c>
      <c r="C260" s="250" t="s">
        <v>1681</v>
      </c>
      <c r="D260" s="236" t="s">
        <v>1584</v>
      </c>
      <c r="E260" s="251">
        <v>44270.0</v>
      </c>
      <c r="F260" s="219" t="s">
        <v>496</v>
      </c>
      <c r="G260" s="170">
        <v>25.0</v>
      </c>
      <c r="H260" s="171">
        <v>100.0</v>
      </c>
      <c r="I260" s="171">
        <v>100.0</v>
      </c>
      <c r="J260" s="172">
        <f t="shared" si="2"/>
        <v>0.001234425234</v>
      </c>
      <c r="K260" s="173">
        <f t="shared" si="7"/>
        <v>1.378441511</v>
      </c>
      <c r="L260" s="174">
        <f t="shared" si="4"/>
        <v>9.632016576</v>
      </c>
      <c r="M260" s="175" t="str">
        <f t="shared" si="5"/>
        <v>GriffGreen</v>
      </c>
      <c r="N260" s="176">
        <f>IFERROR(__xludf.DUMMYFUNCTION("""COMPUTED_VALUE"""),17.0)</f>
        <v>17</v>
      </c>
      <c r="O260" s="176"/>
      <c r="P260" s="249" t="s">
        <v>16</v>
      </c>
      <c r="Q260" s="249" t="s">
        <v>867</v>
      </c>
      <c r="R260" s="176"/>
      <c r="S260" s="176"/>
      <c r="T260" s="176"/>
      <c r="U260" s="176"/>
      <c r="V260" s="176"/>
      <c r="W260" s="176"/>
      <c r="X260" s="176"/>
      <c r="Y260" s="176"/>
      <c r="Z260" s="176"/>
      <c r="AA260" s="176"/>
    </row>
    <row r="261">
      <c r="A261" s="165" t="str">
        <f>iferror(VLOOKUP(P261,'DO NOT TOUCH Imported'!$A$1:$D$800,4,False),iferror(VLOOKUP(P261,'DO NOT TOUCH Imported'!$C$1:$D$800,2,False),"OOPS FIX ME"))</f>
        <v>GriffGreen</v>
      </c>
      <c r="B261" s="249" t="s">
        <v>18</v>
      </c>
      <c r="C261" s="250" t="s">
        <v>1625</v>
      </c>
      <c r="D261" s="236" t="s">
        <v>1584</v>
      </c>
      <c r="E261" s="251">
        <v>44271.0</v>
      </c>
      <c r="F261" s="219" t="s">
        <v>496</v>
      </c>
      <c r="G261" s="170">
        <v>25.0</v>
      </c>
      <c r="H261" s="171">
        <v>100.0</v>
      </c>
      <c r="I261" s="171">
        <v>100.0</v>
      </c>
      <c r="J261" s="172">
        <f t="shared" si="2"/>
        <v>0.001234425234</v>
      </c>
      <c r="K261" s="173">
        <f t="shared" si="7"/>
        <v>1.378441511</v>
      </c>
      <c r="L261" s="174">
        <f t="shared" si="4"/>
        <v>9.632016576</v>
      </c>
      <c r="M261" s="175" t="str">
        <f t="shared" si="5"/>
        <v>GriffGreen</v>
      </c>
      <c r="N261" s="176">
        <f>IFERROR(__xludf.DUMMYFUNCTION("""COMPUTED_VALUE"""),18.0)</f>
        <v>18</v>
      </c>
      <c r="O261" s="176"/>
      <c r="P261" s="249" t="s">
        <v>16</v>
      </c>
      <c r="Q261" s="249" t="s">
        <v>18</v>
      </c>
      <c r="R261" s="176"/>
      <c r="S261" s="176"/>
      <c r="T261" s="176"/>
      <c r="U261" s="176"/>
      <c r="V261" s="176"/>
      <c r="W261" s="176"/>
      <c r="X261" s="176"/>
      <c r="Y261" s="176"/>
      <c r="Z261" s="176"/>
      <c r="AA261" s="176"/>
    </row>
    <row r="262">
      <c r="A262" s="165" t="str">
        <f>iferror(VLOOKUP(P262,'DO NOT TOUCH Imported'!$A$1:$D$800,4,False),iferror(VLOOKUP(P262,'DO NOT TOUCH Imported'!$C$1:$D$800,2,False),"OOPS FIX ME"))</f>
        <v>GriffGreen</v>
      </c>
      <c r="B262" s="249" t="s">
        <v>867</v>
      </c>
      <c r="C262" s="250" t="s">
        <v>1644</v>
      </c>
      <c r="D262" s="236" t="s">
        <v>1584</v>
      </c>
      <c r="E262" s="251">
        <v>44271.0</v>
      </c>
      <c r="F262" s="219" t="s">
        <v>496</v>
      </c>
      <c r="G262" s="170">
        <v>25.0</v>
      </c>
      <c r="H262" s="171">
        <v>100.0</v>
      </c>
      <c r="I262" s="171">
        <v>100.0</v>
      </c>
      <c r="J262" s="172">
        <f t="shared" si="2"/>
        <v>0.001234425234</v>
      </c>
      <c r="K262" s="173">
        <f t="shared" si="7"/>
        <v>1.378441511</v>
      </c>
      <c r="L262" s="174">
        <f t="shared" si="4"/>
        <v>9.632016576</v>
      </c>
      <c r="M262" s="175" t="str">
        <f t="shared" si="5"/>
        <v>GriffGreen</v>
      </c>
      <c r="N262" s="176">
        <f>IFERROR(__xludf.DUMMYFUNCTION("""COMPUTED_VALUE"""),19.0)</f>
        <v>19</v>
      </c>
      <c r="O262" s="176"/>
      <c r="P262" s="249" t="s">
        <v>16</v>
      </c>
      <c r="Q262" s="249" t="s">
        <v>867</v>
      </c>
      <c r="R262" s="176"/>
      <c r="S262" s="176"/>
      <c r="T262" s="176"/>
      <c r="U262" s="176"/>
      <c r="V262" s="176"/>
      <c r="W262" s="176"/>
      <c r="X262" s="176"/>
      <c r="Y262" s="176"/>
      <c r="Z262" s="176"/>
      <c r="AA262" s="176"/>
    </row>
    <row r="263">
      <c r="A263" s="165" t="str">
        <f>iferror(VLOOKUP(P263,'DO NOT TOUCH Imported'!$A$1:$D$800,4,False),iferror(VLOOKUP(P263,'DO NOT TOUCH Imported'!$C$1:$D$800,2,False),"OOPS FIX ME"))</f>
        <v>GriffGreen</v>
      </c>
      <c r="B263" s="249" t="s">
        <v>18</v>
      </c>
      <c r="C263" s="250" t="s">
        <v>1720</v>
      </c>
      <c r="D263" s="236" t="s">
        <v>1584</v>
      </c>
      <c r="E263" s="251">
        <v>44278.0</v>
      </c>
      <c r="F263" s="219" t="s">
        <v>496</v>
      </c>
      <c r="G263" s="170">
        <v>25.0</v>
      </c>
      <c r="H263" s="171">
        <v>100.0</v>
      </c>
      <c r="I263" s="171">
        <v>100.0</v>
      </c>
      <c r="J263" s="172">
        <f t="shared" si="2"/>
        <v>0.001234425234</v>
      </c>
      <c r="K263" s="173">
        <f t="shared" si="7"/>
        <v>1.378441511</v>
      </c>
      <c r="L263" s="174">
        <f t="shared" si="4"/>
        <v>9.632016576</v>
      </c>
      <c r="M263" s="175" t="str">
        <f t="shared" si="5"/>
        <v>GriffGreen</v>
      </c>
      <c r="N263" s="176">
        <f>IFERROR(__xludf.DUMMYFUNCTION("""COMPUTED_VALUE"""),20.0)</f>
        <v>20</v>
      </c>
      <c r="O263" s="176"/>
      <c r="P263" s="249" t="s">
        <v>16</v>
      </c>
      <c r="Q263" s="249" t="s">
        <v>18</v>
      </c>
      <c r="R263" s="176"/>
      <c r="S263" s="176"/>
      <c r="T263" s="176"/>
      <c r="U263" s="176"/>
      <c r="V263" s="176"/>
      <c r="W263" s="176"/>
      <c r="X263" s="176"/>
      <c r="Y263" s="176"/>
      <c r="Z263" s="176"/>
      <c r="AA263" s="176"/>
    </row>
    <row r="264">
      <c r="A264" s="165" t="str">
        <f>iferror(VLOOKUP(P264,'DO NOT TOUCH Imported'!$A$1:$D$800,4,False),iferror(VLOOKUP(P264,'DO NOT TOUCH Imported'!$C$1:$D$800,2,False),"OOPS FIX ME"))</f>
        <v>GriffGreen</v>
      </c>
      <c r="B264" s="165" t="s">
        <v>450</v>
      </c>
      <c r="C264" s="170" t="s">
        <v>1645</v>
      </c>
      <c r="D264" s="236" t="s">
        <v>499</v>
      </c>
      <c r="E264" s="239">
        <v>44273.0</v>
      </c>
      <c r="F264" s="170" t="s">
        <v>1646</v>
      </c>
      <c r="G264" s="170">
        <v>25.0</v>
      </c>
      <c r="H264" s="171">
        <v>100.0</v>
      </c>
      <c r="I264" s="171">
        <v>100.0</v>
      </c>
      <c r="J264" s="172">
        <f t="shared" si="2"/>
        <v>0.001234425234</v>
      </c>
      <c r="K264" s="173">
        <f t="shared" si="7"/>
        <v>1.378441511</v>
      </c>
      <c r="L264" s="174">
        <f t="shared" si="4"/>
        <v>9.632016576</v>
      </c>
      <c r="M264" s="175" t="str">
        <f t="shared" si="5"/>
        <v>GriffGreen</v>
      </c>
      <c r="N264" s="176">
        <f>IFERROR(__xludf.DUMMYFUNCTION("""COMPUTED_VALUE"""),21.0)</f>
        <v>21</v>
      </c>
      <c r="O264" s="176"/>
      <c r="P264" s="165" t="s">
        <v>450</v>
      </c>
      <c r="Q264" s="165" t="s">
        <v>450</v>
      </c>
      <c r="R264" s="176"/>
      <c r="S264" s="176"/>
      <c r="T264" s="176"/>
      <c r="U264" s="176"/>
      <c r="V264" s="176"/>
      <c r="W264" s="176"/>
      <c r="X264" s="176"/>
      <c r="Y264" s="176"/>
      <c r="Z264" s="176"/>
      <c r="AA264" s="176"/>
    </row>
    <row r="265">
      <c r="A265" s="165" t="str">
        <f>iferror(VLOOKUP(P265,'DO NOT TOUCH Imported'!$A$1:$D$800,4,False),iferror(VLOOKUP(P265,'DO NOT TOUCH Imported'!$C$1:$D$800,2,False),"OOPS FIX ME"))</f>
        <v>GriffGreen</v>
      </c>
      <c r="B265" s="165" t="s">
        <v>512</v>
      </c>
      <c r="C265" s="170" t="s">
        <v>1721</v>
      </c>
      <c r="D265" s="236" t="s">
        <v>437</v>
      </c>
      <c r="E265" s="239">
        <v>44274.0</v>
      </c>
      <c r="F265" s="170" t="s">
        <v>1722</v>
      </c>
      <c r="G265" s="170">
        <v>25.0</v>
      </c>
      <c r="H265" s="171">
        <v>100.0</v>
      </c>
      <c r="I265" s="171">
        <v>100.0</v>
      </c>
      <c r="J265" s="172">
        <f t="shared" si="2"/>
        <v>0.001234425234</v>
      </c>
      <c r="K265" s="173">
        <f t="shared" si="7"/>
        <v>1.378441511</v>
      </c>
      <c r="L265" s="174">
        <f t="shared" si="4"/>
        <v>9.632016576</v>
      </c>
      <c r="M265" s="175" t="str">
        <f t="shared" si="5"/>
        <v>GriffGreen</v>
      </c>
      <c r="N265" s="176">
        <f>IFERROR(__xludf.DUMMYFUNCTION("""COMPUTED_VALUE"""),22.0)</f>
        <v>22</v>
      </c>
      <c r="O265" s="176"/>
      <c r="P265" s="165" t="s">
        <v>450</v>
      </c>
      <c r="Q265" s="165" t="s">
        <v>512</v>
      </c>
      <c r="R265" s="176"/>
      <c r="S265" s="176"/>
      <c r="T265" s="176"/>
      <c r="U265" s="176"/>
      <c r="V265" s="176"/>
      <c r="W265" s="176"/>
      <c r="X265" s="176"/>
      <c r="Y265" s="176"/>
      <c r="Z265" s="176"/>
      <c r="AA265" s="176"/>
    </row>
    <row r="266">
      <c r="A266" s="165" t="str">
        <f>iferror(VLOOKUP(P266,'DO NOT TOUCH Imported'!$A$1:$D$800,4,False),iferror(VLOOKUP(P266,'DO NOT TOUCH Imported'!$C$1:$D$800,2,False),"OOPS FIX ME"))</f>
        <v>GriffGreen</v>
      </c>
      <c r="B266" s="165" t="s">
        <v>486</v>
      </c>
      <c r="C266" s="170" t="s">
        <v>1723</v>
      </c>
      <c r="D266" s="236" t="s">
        <v>437</v>
      </c>
      <c r="E266" s="239">
        <v>44278.0</v>
      </c>
      <c r="F266" s="170" t="s">
        <v>439</v>
      </c>
      <c r="G266" s="170">
        <v>25.0</v>
      </c>
      <c r="H266" s="171">
        <v>100.0</v>
      </c>
      <c r="I266" s="171">
        <v>100.0</v>
      </c>
      <c r="J266" s="172">
        <f t="shared" si="2"/>
        <v>0.001234425234</v>
      </c>
      <c r="K266" s="173">
        <f t="shared" si="7"/>
        <v>1.378441511</v>
      </c>
      <c r="L266" s="174">
        <f t="shared" si="4"/>
        <v>9.632016576</v>
      </c>
      <c r="M266" s="175" t="str">
        <f t="shared" si="5"/>
        <v>GriffGreen</v>
      </c>
      <c r="N266" s="176">
        <f>IFERROR(__xludf.DUMMYFUNCTION("""COMPUTED_VALUE"""),23.0)</f>
        <v>23</v>
      </c>
      <c r="O266" s="176"/>
      <c r="P266" s="165" t="s">
        <v>450</v>
      </c>
      <c r="Q266" s="165" t="s">
        <v>486</v>
      </c>
      <c r="R266" s="176"/>
      <c r="S266" s="176"/>
      <c r="T266" s="176"/>
      <c r="U266" s="176"/>
      <c r="V266" s="176"/>
      <c r="W266" s="176"/>
      <c r="X266" s="176"/>
      <c r="Y266" s="176"/>
      <c r="Z266" s="176"/>
      <c r="AA266" s="176"/>
    </row>
    <row r="267">
      <c r="A267" s="165" t="str">
        <f>iferror(VLOOKUP(P267,'DO NOT TOUCH Imported'!$A$1:$D$800,4,False),iferror(VLOOKUP(P267,'DO NOT TOUCH Imported'!$C$1:$D$800,2,False),"OOPS FIX ME"))</f>
        <v>GriffGreen</v>
      </c>
      <c r="B267" s="165" t="s">
        <v>441</v>
      </c>
      <c r="C267" s="170" t="s">
        <v>1595</v>
      </c>
      <c r="D267" s="236" t="s">
        <v>437</v>
      </c>
      <c r="E267" s="239">
        <v>44281.0</v>
      </c>
      <c r="F267" s="170" t="s">
        <v>439</v>
      </c>
      <c r="G267" s="170">
        <v>25.0</v>
      </c>
      <c r="H267" s="171">
        <v>100.0</v>
      </c>
      <c r="I267" s="171">
        <v>100.0</v>
      </c>
      <c r="J267" s="172">
        <f t="shared" si="2"/>
        <v>0.001234425234</v>
      </c>
      <c r="K267" s="173">
        <f t="shared" si="7"/>
        <v>1.378441511</v>
      </c>
      <c r="L267" s="174">
        <f t="shared" si="4"/>
        <v>9.632016576</v>
      </c>
      <c r="M267" s="175" t="str">
        <f t="shared" si="5"/>
        <v>GriffGreen</v>
      </c>
      <c r="N267" s="176">
        <f>IFERROR(__xludf.DUMMYFUNCTION("""COMPUTED_VALUE"""),24.0)</f>
        <v>24</v>
      </c>
      <c r="O267" s="176"/>
      <c r="P267" s="165" t="s">
        <v>450</v>
      </c>
      <c r="Q267" s="165" t="s">
        <v>441</v>
      </c>
      <c r="R267" s="176"/>
      <c r="S267" s="176"/>
      <c r="T267" s="176"/>
      <c r="U267" s="176"/>
      <c r="V267" s="176"/>
      <c r="W267" s="176"/>
      <c r="X267" s="176"/>
      <c r="Y267" s="176"/>
      <c r="Z267" s="176"/>
      <c r="AA267" s="176"/>
    </row>
    <row r="268">
      <c r="A268" s="165" t="str">
        <f>iferror(VLOOKUP(P268,'DO NOT TOUCH Imported'!$A$1:$D$800,4,False),iferror(VLOOKUP(P268,'DO NOT TOUCH Imported'!$C$1:$D$800,2,False),"OOPS FIX ME"))</f>
        <v>GriffGreen</v>
      </c>
      <c r="B268" s="165" t="s">
        <v>441</v>
      </c>
      <c r="C268" s="170" t="s">
        <v>1596</v>
      </c>
      <c r="D268" s="236" t="s">
        <v>437</v>
      </c>
      <c r="E268" s="239">
        <v>44281.0</v>
      </c>
      <c r="F268" s="170" t="s">
        <v>439</v>
      </c>
      <c r="G268" s="170">
        <v>25.0</v>
      </c>
      <c r="H268" s="171">
        <v>100.0</v>
      </c>
      <c r="I268" s="171">
        <v>100.0</v>
      </c>
      <c r="J268" s="172">
        <f t="shared" si="2"/>
        <v>0.001234425234</v>
      </c>
      <c r="K268" s="173">
        <f t="shared" si="7"/>
        <v>1.378441511</v>
      </c>
      <c r="L268" s="174">
        <f t="shared" si="4"/>
        <v>9.632016576</v>
      </c>
      <c r="M268" s="175" t="str">
        <f t="shared" si="5"/>
        <v>GriffGreen</v>
      </c>
      <c r="N268" s="176">
        <f>IFERROR(__xludf.DUMMYFUNCTION("""COMPUTED_VALUE"""),25.0)</f>
        <v>25</v>
      </c>
      <c r="O268" s="176"/>
      <c r="P268" s="165" t="s">
        <v>450</v>
      </c>
      <c r="Q268" s="165" t="s">
        <v>441</v>
      </c>
      <c r="R268" s="176"/>
      <c r="S268" s="176"/>
      <c r="T268" s="176"/>
      <c r="U268" s="176"/>
      <c r="V268" s="176"/>
      <c r="W268" s="176"/>
      <c r="X268" s="176"/>
      <c r="Y268" s="176"/>
      <c r="Z268" s="176"/>
      <c r="AA268" s="176"/>
    </row>
    <row r="269">
      <c r="A269" s="165" t="str">
        <f>iferror(VLOOKUP(P269,'DO NOT TOUCH Imported'!$A$1:$D$800,4,False),iferror(VLOOKUP(P269,'DO NOT TOUCH Imported'!$C$1:$D$800,2,False),"OOPS FIX ME"))</f>
        <v>GriffGreen</v>
      </c>
      <c r="B269" s="165" t="s">
        <v>441</v>
      </c>
      <c r="C269" s="170" t="s">
        <v>1724</v>
      </c>
      <c r="D269" s="236" t="s">
        <v>437</v>
      </c>
      <c r="E269" s="239">
        <v>44274.0</v>
      </c>
      <c r="F269" s="170" t="s">
        <v>439</v>
      </c>
      <c r="G269" s="170">
        <v>15.0</v>
      </c>
      <c r="H269" s="171">
        <v>100.0</v>
      </c>
      <c r="I269" s="171">
        <v>100.0</v>
      </c>
      <c r="J269" s="172">
        <f t="shared" si="2"/>
        <v>0.001076708966</v>
      </c>
      <c r="K269" s="173">
        <f t="shared" si="7"/>
        <v>1.202325011</v>
      </c>
      <c r="L269" s="174">
        <f t="shared" si="4"/>
        <v>9.632016576</v>
      </c>
      <c r="M269" s="175" t="str">
        <f t="shared" si="5"/>
        <v>GriffGreen</v>
      </c>
      <c r="N269" s="176">
        <f>IFERROR(__xludf.DUMMYFUNCTION("""COMPUTED_VALUE"""),26.0)</f>
        <v>26</v>
      </c>
      <c r="O269" s="176"/>
      <c r="P269" s="165" t="s">
        <v>450</v>
      </c>
      <c r="Q269" s="165" t="s">
        <v>441</v>
      </c>
      <c r="R269" s="176"/>
      <c r="S269" s="176"/>
      <c r="T269" s="176"/>
      <c r="U269" s="176"/>
      <c r="V269" s="176"/>
      <c r="W269" s="176"/>
      <c r="X269" s="176"/>
      <c r="Y269" s="176"/>
      <c r="Z269" s="176"/>
      <c r="AA269" s="176"/>
    </row>
    <row r="270">
      <c r="A270" s="165" t="str">
        <f>iferror(VLOOKUP(P270,'DO NOT TOUCH Imported'!$A$1:$D$800,4,False),iferror(VLOOKUP(P270,'DO NOT TOUCH Imported'!$C$1:$D$800,2,False),"OOPS FIX ME"))</f>
        <v>GriffGreen</v>
      </c>
      <c r="B270" s="165" t="s">
        <v>443</v>
      </c>
      <c r="C270" s="170" t="s">
        <v>1603</v>
      </c>
      <c r="D270" s="236" t="s">
        <v>437</v>
      </c>
      <c r="E270" s="239">
        <v>44277.0</v>
      </c>
      <c r="F270" s="170" t="s">
        <v>439</v>
      </c>
      <c r="G270" s="170">
        <v>15.0</v>
      </c>
      <c r="H270" s="171">
        <v>100.0</v>
      </c>
      <c r="I270" s="171">
        <v>100.0</v>
      </c>
      <c r="J270" s="172">
        <f t="shared" si="2"/>
        <v>0.001076708966</v>
      </c>
      <c r="K270" s="173">
        <f t="shared" si="7"/>
        <v>1.202325011</v>
      </c>
      <c r="L270" s="174">
        <f t="shared" si="4"/>
        <v>9.632016576</v>
      </c>
      <c r="M270" s="175" t="str">
        <f t="shared" si="5"/>
        <v>GriffGreen</v>
      </c>
      <c r="N270" s="176">
        <f>IFERROR(__xludf.DUMMYFUNCTION("""COMPUTED_VALUE"""),27.0)</f>
        <v>27</v>
      </c>
      <c r="O270" s="176"/>
      <c r="P270" s="165" t="s">
        <v>450</v>
      </c>
      <c r="Q270" s="165" t="s">
        <v>443</v>
      </c>
      <c r="R270" s="176"/>
      <c r="S270" s="176"/>
      <c r="T270" s="176"/>
      <c r="U270" s="176"/>
      <c r="V270" s="176"/>
      <c r="W270" s="176"/>
      <c r="X270" s="176"/>
      <c r="Y270" s="176"/>
      <c r="Z270" s="176"/>
      <c r="AA270" s="176"/>
    </row>
    <row r="271">
      <c r="A271" s="165" t="str">
        <f>iferror(VLOOKUP(P271,'DO NOT TOUCH Imported'!$A$1:$D$800,4,False),iferror(VLOOKUP(P271,'DO NOT TOUCH Imported'!$C$1:$D$800,2,False),"OOPS FIX ME"))</f>
        <v>GriffGreen</v>
      </c>
      <c r="B271" s="165" t="s">
        <v>450</v>
      </c>
      <c r="C271" s="170" t="s">
        <v>1605</v>
      </c>
      <c r="D271" s="236" t="s">
        <v>437</v>
      </c>
      <c r="E271" s="239">
        <v>44277.0</v>
      </c>
      <c r="F271" s="170" t="s">
        <v>473</v>
      </c>
      <c r="G271" s="170">
        <v>15.0</v>
      </c>
      <c r="H271" s="171">
        <v>100.0</v>
      </c>
      <c r="I271" s="171">
        <v>100.0</v>
      </c>
      <c r="J271" s="172">
        <f t="shared" si="2"/>
        <v>0.001076708966</v>
      </c>
      <c r="K271" s="173">
        <f t="shared" si="7"/>
        <v>1.202325011</v>
      </c>
      <c r="L271" s="174">
        <f t="shared" si="4"/>
        <v>9.632016576</v>
      </c>
      <c r="M271" s="175" t="str">
        <f t="shared" si="5"/>
        <v>GriffGreen</v>
      </c>
      <c r="N271" s="176">
        <f>IFERROR(__xludf.DUMMYFUNCTION("""COMPUTED_VALUE"""),28.0)</f>
        <v>28</v>
      </c>
      <c r="O271" s="176"/>
      <c r="P271" s="165" t="s">
        <v>450</v>
      </c>
      <c r="Q271" s="165" t="s">
        <v>450</v>
      </c>
      <c r="R271" s="176"/>
      <c r="S271" s="176"/>
      <c r="T271" s="176"/>
      <c r="U271" s="176"/>
      <c r="V271" s="176"/>
      <c r="W271" s="176"/>
      <c r="X271" s="176"/>
      <c r="Y271" s="176"/>
      <c r="Z271" s="176"/>
      <c r="AA271" s="176"/>
    </row>
    <row r="272">
      <c r="A272" s="165" t="str">
        <f>iferror(VLOOKUP(P272,'DO NOT TOUCH Imported'!$A$1:$D$800,4,False),iferror(VLOOKUP(P272,'DO NOT TOUCH Imported'!$C$1:$D$800,2,False),"OOPS FIX ME"))</f>
        <v>GriffGreen</v>
      </c>
      <c r="B272" s="165" t="s">
        <v>443</v>
      </c>
      <c r="C272" s="170" t="s">
        <v>1652</v>
      </c>
      <c r="D272" s="236" t="s">
        <v>437</v>
      </c>
      <c r="E272" s="239">
        <v>44279.0</v>
      </c>
      <c r="F272" s="170" t="s">
        <v>439</v>
      </c>
      <c r="G272" s="170">
        <v>15.0</v>
      </c>
      <c r="H272" s="171">
        <v>100.0</v>
      </c>
      <c r="I272" s="171">
        <v>100.0</v>
      </c>
      <c r="J272" s="172">
        <f t="shared" si="2"/>
        <v>0.001076708966</v>
      </c>
      <c r="K272" s="173">
        <f t="shared" si="7"/>
        <v>1.202325011</v>
      </c>
      <c r="L272" s="174">
        <f t="shared" si="4"/>
        <v>9.632016576</v>
      </c>
      <c r="M272" s="175" t="str">
        <f t="shared" si="5"/>
        <v>GriffGreen</v>
      </c>
      <c r="N272" s="176">
        <f>IFERROR(__xludf.DUMMYFUNCTION("""COMPUTED_VALUE"""),29.0)</f>
        <v>29</v>
      </c>
      <c r="O272" s="176"/>
      <c r="P272" s="165" t="s">
        <v>450</v>
      </c>
      <c r="Q272" s="165" t="s">
        <v>443</v>
      </c>
      <c r="R272" s="176"/>
      <c r="S272" s="176"/>
      <c r="T272" s="176"/>
      <c r="U272" s="176"/>
      <c r="V272" s="176"/>
      <c r="W272" s="176"/>
      <c r="X272" s="176"/>
      <c r="Y272" s="176"/>
      <c r="Z272" s="176"/>
      <c r="AA272" s="176"/>
    </row>
    <row r="273">
      <c r="A273" s="165" t="str">
        <f>iferror(VLOOKUP(P273,'DO NOT TOUCH Imported'!$A$1:$D$800,4,False),iferror(VLOOKUP(P273,'DO NOT TOUCH Imported'!$C$1:$D$800,2,False),"OOPS FIX ME"))</f>
        <v>GriffGreen</v>
      </c>
      <c r="B273" s="249" t="s">
        <v>519</v>
      </c>
      <c r="C273" s="250" t="s">
        <v>1637</v>
      </c>
      <c r="D273" s="236" t="s">
        <v>1584</v>
      </c>
      <c r="E273" s="251">
        <v>44272.0</v>
      </c>
      <c r="F273" s="219" t="s">
        <v>521</v>
      </c>
      <c r="G273" s="170">
        <v>25.0</v>
      </c>
      <c r="H273" s="171">
        <v>60.0</v>
      </c>
      <c r="I273" s="171">
        <v>100.0</v>
      </c>
      <c r="J273" s="172">
        <f t="shared" si="2"/>
        <v>0.001066615363</v>
      </c>
      <c r="K273" s="173">
        <f t="shared" si="7"/>
        <v>1.191053822</v>
      </c>
      <c r="L273" s="174">
        <f t="shared" si="4"/>
        <v>9.632016576</v>
      </c>
      <c r="M273" s="175" t="str">
        <f t="shared" si="5"/>
        <v>GriffGreen</v>
      </c>
      <c r="N273" s="176">
        <f>IFERROR(__xludf.DUMMYFUNCTION("""COMPUTED_VALUE"""),30.0)</f>
        <v>30</v>
      </c>
      <c r="O273" s="176"/>
      <c r="P273" s="249" t="s">
        <v>16</v>
      </c>
      <c r="Q273" s="249" t="s">
        <v>519</v>
      </c>
      <c r="R273" s="176"/>
      <c r="S273" s="176"/>
      <c r="T273" s="176"/>
      <c r="U273" s="176"/>
      <c r="V273" s="176"/>
      <c r="W273" s="176"/>
      <c r="X273" s="176"/>
      <c r="Y273" s="176"/>
      <c r="Z273" s="176"/>
      <c r="AA273" s="176"/>
    </row>
    <row r="274">
      <c r="A274" s="165" t="str">
        <f>iferror(VLOOKUP(P274,'DO NOT TOUCH Imported'!$A$1:$D$800,4,False),iferror(VLOOKUP(P274,'DO NOT TOUCH Imported'!$C$1:$D$800,2,False),"OOPS FIX ME"))</f>
        <v>GriffGreen</v>
      </c>
      <c r="B274" s="249" t="s">
        <v>590</v>
      </c>
      <c r="C274" s="250" t="s">
        <v>1608</v>
      </c>
      <c r="D274" s="236" t="s">
        <v>1584</v>
      </c>
      <c r="E274" s="251">
        <v>44271.0</v>
      </c>
      <c r="F274" s="219" t="s">
        <v>496</v>
      </c>
      <c r="G274" s="170">
        <v>25.0</v>
      </c>
      <c r="H274" s="171">
        <v>50.0</v>
      </c>
      <c r="I274" s="171">
        <v>100.0</v>
      </c>
      <c r="J274" s="172">
        <f t="shared" si="2"/>
        <v>0.001024662895</v>
      </c>
      <c r="K274" s="173">
        <f t="shared" si="7"/>
        <v>1.144206899</v>
      </c>
      <c r="L274" s="174">
        <f t="shared" si="4"/>
        <v>9.632016576</v>
      </c>
      <c r="M274" s="175" t="str">
        <f t="shared" si="5"/>
        <v>GriffGreen</v>
      </c>
      <c r="N274" s="176">
        <f>IFERROR(__xludf.DUMMYFUNCTION("""COMPUTED_VALUE"""),31.0)</f>
        <v>31</v>
      </c>
      <c r="O274" s="176"/>
      <c r="P274" s="249" t="s">
        <v>16</v>
      </c>
      <c r="Q274" s="249" t="s">
        <v>590</v>
      </c>
      <c r="R274" s="176"/>
      <c r="S274" s="176"/>
      <c r="T274" s="176"/>
      <c r="U274" s="176"/>
      <c r="V274" s="176"/>
      <c r="W274" s="176"/>
      <c r="X274" s="176"/>
      <c r="Y274" s="176"/>
      <c r="Z274" s="176"/>
      <c r="AA274" s="176"/>
    </row>
    <row r="275">
      <c r="A275" s="165" t="str">
        <f>iferror(VLOOKUP(P275,'DO NOT TOUCH Imported'!$A$1:$D$800,4,False),iferror(VLOOKUP(P275,'DO NOT TOUCH Imported'!$C$1:$D$800,2,False),"OOPS FIX ME"))</f>
        <v>GriffGreen</v>
      </c>
      <c r="B275" s="165" t="s">
        <v>441</v>
      </c>
      <c r="C275" s="170" t="s">
        <v>1612</v>
      </c>
      <c r="D275" s="236" t="s">
        <v>437</v>
      </c>
      <c r="E275" s="239">
        <v>44281.0</v>
      </c>
      <c r="F275" s="170" t="s">
        <v>439</v>
      </c>
      <c r="G275" s="170">
        <v>15.0</v>
      </c>
      <c r="H275" s="171">
        <v>80.0</v>
      </c>
      <c r="I275" s="171">
        <v>100.0</v>
      </c>
      <c r="J275" s="172">
        <f t="shared" si="2"/>
        <v>0.0009928040298</v>
      </c>
      <c r="K275" s="173">
        <f t="shared" si="7"/>
        <v>1.108631167</v>
      </c>
      <c r="L275" s="174">
        <f t="shared" si="4"/>
        <v>9.632016576</v>
      </c>
      <c r="M275" s="175" t="str">
        <f t="shared" si="5"/>
        <v>GriffGreen</v>
      </c>
      <c r="N275" s="176">
        <f>IFERROR(__xludf.DUMMYFUNCTION("""COMPUTED_VALUE"""),32.0)</f>
        <v>32</v>
      </c>
      <c r="O275" s="176"/>
      <c r="P275" s="165" t="s">
        <v>450</v>
      </c>
      <c r="Q275" s="165" t="s">
        <v>441</v>
      </c>
      <c r="R275" s="176"/>
      <c r="S275" s="176"/>
      <c r="T275" s="176"/>
      <c r="U275" s="176"/>
      <c r="V275" s="176"/>
      <c r="W275" s="176"/>
      <c r="X275" s="176"/>
      <c r="Y275" s="176"/>
      <c r="Z275" s="176"/>
      <c r="AA275" s="176"/>
    </row>
    <row r="276">
      <c r="A276" s="165" t="str">
        <f>iferror(VLOOKUP(P276,'DO NOT TOUCH Imported'!$A$1:$D$800,4,False),iferror(VLOOKUP(P276,'DO NOT TOUCH Imported'!$C$1:$D$800,2,False),"OOPS FIX ME"))</f>
        <v>GriffGreen</v>
      </c>
      <c r="B276" s="249" t="s">
        <v>519</v>
      </c>
      <c r="C276" s="250" t="s">
        <v>1637</v>
      </c>
      <c r="D276" s="236" t="s">
        <v>1584</v>
      </c>
      <c r="E276" s="251">
        <v>44279.0</v>
      </c>
      <c r="F276" s="219" t="s">
        <v>521</v>
      </c>
      <c r="G276" s="170">
        <v>15.0</v>
      </c>
      <c r="H276" s="171">
        <v>70.0</v>
      </c>
      <c r="I276" s="171">
        <v>100.0</v>
      </c>
      <c r="J276" s="172">
        <f t="shared" si="2"/>
        <v>0.000950851562</v>
      </c>
      <c r="K276" s="173">
        <f t="shared" si="7"/>
        <v>1.061784244</v>
      </c>
      <c r="L276" s="174">
        <f t="shared" si="4"/>
        <v>9.632016576</v>
      </c>
      <c r="M276" s="175" t="str">
        <f t="shared" si="5"/>
        <v>GriffGreen</v>
      </c>
      <c r="N276" s="176">
        <f>IFERROR(__xludf.DUMMYFUNCTION("""COMPUTED_VALUE"""),33.0)</f>
        <v>33</v>
      </c>
      <c r="O276" s="176"/>
      <c r="P276" s="249" t="s">
        <v>16</v>
      </c>
      <c r="Q276" s="249" t="s">
        <v>519</v>
      </c>
      <c r="R276" s="176"/>
      <c r="S276" s="176"/>
      <c r="T276" s="176"/>
      <c r="U276" s="176"/>
      <c r="V276" s="176"/>
      <c r="W276" s="176"/>
      <c r="X276" s="176"/>
      <c r="Y276" s="176"/>
      <c r="Z276" s="176"/>
      <c r="AA276" s="176"/>
    </row>
    <row r="277">
      <c r="A277" s="165" t="str">
        <f>iferror(VLOOKUP(P277,'DO NOT TOUCH Imported'!$A$1:$D$800,4,False),iferror(VLOOKUP(P277,'DO NOT TOUCH Imported'!$C$1:$D$800,2,False),"OOPS FIX ME"))</f>
        <v>GriffGreen</v>
      </c>
      <c r="B277" s="165" t="s">
        <v>10</v>
      </c>
      <c r="C277" s="170" t="s">
        <v>1639</v>
      </c>
      <c r="D277" s="236" t="s">
        <v>1584</v>
      </c>
      <c r="E277" s="239">
        <v>44281.0</v>
      </c>
      <c r="F277" s="170" t="s">
        <v>496</v>
      </c>
      <c r="G277" s="170">
        <v>15.0</v>
      </c>
      <c r="H277" s="171">
        <v>70.0</v>
      </c>
      <c r="I277" s="171">
        <v>100.0</v>
      </c>
      <c r="J277" s="172">
        <f t="shared" si="2"/>
        <v>0.000950851562</v>
      </c>
      <c r="K277" s="173">
        <f t="shared" si="7"/>
        <v>1.061784244</v>
      </c>
      <c r="L277" s="174">
        <f t="shared" si="4"/>
        <v>9.632016576</v>
      </c>
      <c r="M277" s="175" t="str">
        <f t="shared" si="5"/>
        <v>GriffGreen</v>
      </c>
      <c r="N277" s="176">
        <f>IFERROR(__xludf.DUMMYFUNCTION("""COMPUTED_VALUE"""),34.0)</f>
        <v>34</v>
      </c>
      <c r="O277" s="176"/>
      <c r="P277" s="165" t="s">
        <v>16</v>
      </c>
      <c r="Q277" s="165" t="s">
        <v>10</v>
      </c>
      <c r="R277" s="176"/>
      <c r="S277" s="176"/>
      <c r="T277" s="176"/>
      <c r="U277" s="176"/>
      <c r="V277" s="176"/>
      <c r="W277" s="176"/>
      <c r="X277" s="176"/>
      <c r="Y277" s="176"/>
      <c r="Z277" s="176"/>
      <c r="AA277" s="176"/>
    </row>
    <row r="278">
      <c r="A278" s="165" t="str">
        <f>iferror(VLOOKUP(P278,'DO NOT TOUCH Imported'!$A$1:$D$800,4,False),iferror(VLOOKUP(P278,'DO NOT TOUCH Imported'!$C$1:$D$800,2,False),"OOPS FIX ME"))</f>
        <v>GriffGreen</v>
      </c>
      <c r="B278" s="165" t="s">
        <v>576</v>
      </c>
      <c r="C278" s="170" t="s">
        <v>1613</v>
      </c>
      <c r="D278" s="236" t="s">
        <v>437</v>
      </c>
      <c r="E278" s="239">
        <v>44274.0</v>
      </c>
      <c r="F278" s="170" t="s">
        <v>439</v>
      </c>
      <c r="G278" s="170">
        <v>15.0</v>
      </c>
      <c r="H278" s="171">
        <v>70.0</v>
      </c>
      <c r="I278" s="171">
        <v>100.0</v>
      </c>
      <c r="J278" s="172">
        <f t="shared" si="2"/>
        <v>0.000950851562</v>
      </c>
      <c r="K278" s="173">
        <f t="shared" si="7"/>
        <v>1.061784244</v>
      </c>
      <c r="L278" s="174">
        <f t="shared" si="4"/>
        <v>9.632016576</v>
      </c>
      <c r="M278" s="175" t="str">
        <f t="shared" si="5"/>
        <v>GriffGreen</v>
      </c>
      <c r="N278" s="176">
        <f>IFERROR(__xludf.DUMMYFUNCTION("""COMPUTED_VALUE"""),35.0)</f>
        <v>35</v>
      </c>
      <c r="O278" s="176"/>
      <c r="P278" s="165" t="s">
        <v>450</v>
      </c>
      <c r="Q278" s="165" t="s">
        <v>576</v>
      </c>
      <c r="R278" s="176"/>
      <c r="S278" s="176"/>
      <c r="T278" s="176"/>
      <c r="U278" s="176"/>
      <c r="V278" s="176"/>
      <c r="W278" s="176"/>
      <c r="X278" s="176"/>
      <c r="Y278" s="176"/>
      <c r="Z278" s="176"/>
      <c r="AA278" s="176"/>
    </row>
    <row r="279">
      <c r="A279" s="165" t="str">
        <f>iferror(VLOOKUP(P279,'DO NOT TOUCH Imported'!$A$1:$D$800,4,False),iferror(VLOOKUP(P279,'DO NOT TOUCH Imported'!$C$1:$D$800,2,False),"OOPS FIX ME"))</f>
        <v>GriffGreen</v>
      </c>
      <c r="B279" s="165" t="s">
        <v>576</v>
      </c>
      <c r="C279" s="170" t="s">
        <v>1615</v>
      </c>
      <c r="D279" s="236" t="s">
        <v>437</v>
      </c>
      <c r="E279" s="239">
        <v>44281.0</v>
      </c>
      <c r="F279" s="170" t="s">
        <v>439</v>
      </c>
      <c r="G279" s="170">
        <v>15.0</v>
      </c>
      <c r="H279" s="171">
        <v>70.0</v>
      </c>
      <c r="I279" s="171">
        <v>100.0</v>
      </c>
      <c r="J279" s="172">
        <f t="shared" si="2"/>
        <v>0.000950851562</v>
      </c>
      <c r="K279" s="173">
        <f t="shared" si="7"/>
        <v>1.061784244</v>
      </c>
      <c r="L279" s="174">
        <f t="shared" si="4"/>
        <v>9.632016576</v>
      </c>
      <c r="M279" s="175" t="str">
        <f t="shared" si="5"/>
        <v>GriffGreen</v>
      </c>
      <c r="N279" s="176">
        <f>IFERROR(__xludf.DUMMYFUNCTION("""COMPUTED_VALUE"""),36.0)</f>
        <v>36</v>
      </c>
      <c r="O279" s="176"/>
      <c r="P279" s="165" t="s">
        <v>450</v>
      </c>
      <c r="Q279" s="165" t="s">
        <v>576</v>
      </c>
      <c r="R279" s="176"/>
      <c r="S279" s="176"/>
      <c r="T279" s="176"/>
      <c r="U279" s="176"/>
      <c r="V279" s="176"/>
      <c r="W279" s="176"/>
      <c r="X279" s="176"/>
      <c r="Y279" s="176"/>
      <c r="Z279" s="176"/>
      <c r="AA279" s="176"/>
    </row>
    <row r="280">
      <c r="A280" s="165" t="str">
        <f>iferror(VLOOKUP(P280,'DO NOT TOUCH Imported'!$A$1:$D$800,4,False),iferror(VLOOKUP(P280,'DO NOT TOUCH Imported'!$C$1:$D$800,2,False),"OOPS FIX ME"))</f>
        <v>GriffGreen</v>
      </c>
      <c r="B280" s="165" t="s">
        <v>443</v>
      </c>
      <c r="C280" s="170" t="s">
        <v>1616</v>
      </c>
      <c r="D280" s="236" t="s">
        <v>437</v>
      </c>
      <c r="E280" s="239">
        <v>44280.0</v>
      </c>
      <c r="F280" s="170" t="s">
        <v>439</v>
      </c>
      <c r="G280" s="170">
        <v>5.0</v>
      </c>
      <c r="H280" s="171">
        <v>100.0</v>
      </c>
      <c r="I280" s="171">
        <v>100.0</v>
      </c>
      <c r="J280" s="172">
        <f t="shared" si="2"/>
        <v>0.0009189926971</v>
      </c>
      <c r="K280" s="173">
        <f t="shared" si="7"/>
        <v>1.026208512</v>
      </c>
      <c r="L280" s="174">
        <f t="shared" si="4"/>
        <v>9.632016576</v>
      </c>
      <c r="M280" s="175" t="str">
        <f t="shared" si="5"/>
        <v>GriffGreen</v>
      </c>
      <c r="N280" s="176">
        <f>IFERROR(__xludf.DUMMYFUNCTION("""COMPUTED_VALUE"""),37.0)</f>
        <v>37</v>
      </c>
      <c r="O280" s="176"/>
      <c r="P280" s="165" t="s">
        <v>450</v>
      </c>
      <c r="Q280" s="165" t="s">
        <v>443</v>
      </c>
      <c r="R280" s="176"/>
      <c r="S280" s="176"/>
      <c r="T280" s="176"/>
      <c r="U280" s="176"/>
      <c r="V280" s="176"/>
      <c r="W280" s="176"/>
      <c r="X280" s="176"/>
      <c r="Y280" s="176"/>
      <c r="Z280" s="176"/>
      <c r="AA280" s="176"/>
    </row>
    <row r="281">
      <c r="A281" s="165" t="str">
        <f>iferror(VLOOKUP(P281,'DO NOT TOUCH Imported'!$A$1:$D$800,4,False),iferror(VLOOKUP(P281,'DO NOT TOUCH Imported'!$C$1:$D$800,2,False),"OOPS FIX ME"))</f>
        <v>GriffGreen</v>
      </c>
      <c r="B281" s="249" t="s">
        <v>18</v>
      </c>
      <c r="C281" s="250" t="s">
        <v>1617</v>
      </c>
      <c r="D281" s="236" t="s">
        <v>1584</v>
      </c>
      <c r="E281" s="251">
        <v>44273.0</v>
      </c>
      <c r="F281" s="219" t="s">
        <v>496</v>
      </c>
      <c r="G281" s="170">
        <v>15.0</v>
      </c>
      <c r="H281" s="171">
        <v>60.0</v>
      </c>
      <c r="I281" s="171">
        <v>100.0</v>
      </c>
      <c r="J281" s="172">
        <f t="shared" si="2"/>
        <v>0.0009088990941</v>
      </c>
      <c r="K281" s="173">
        <f t="shared" si="7"/>
        <v>1.014937322</v>
      </c>
      <c r="L281" s="174">
        <f t="shared" si="4"/>
        <v>9.632016576</v>
      </c>
      <c r="M281" s="175" t="str">
        <f t="shared" si="5"/>
        <v>GriffGreen</v>
      </c>
      <c r="N281" s="176">
        <f>IFERROR(__xludf.DUMMYFUNCTION("""COMPUTED_VALUE"""),38.0)</f>
        <v>38</v>
      </c>
      <c r="O281" s="176"/>
      <c r="P281" s="249" t="s">
        <v>16</v>
      </c>
      <c r="Q281" s="249" t="s">
        <v>18</v>
      </c>
      <c r="R281" s="176"/>
      <c r="S281" s="176"/>
      <c r="T281" s="176"/>
      <c r="U281" s="176"/>
      <c r="V281" s="176"/>
      <c r="W281" s="176"/>
      <c r="X281" s="176"/>
      <c r="Y281" s="176"/>
      <c r="Z281" s="176"/>
      <c r="AA281" s="176"/>
    </row>
    <row r="282">
      <c r="A282" s="165" t="str">
        <f>iferror(VLOOKUP(P282,'DO NOT TOUCH Imported'!$A$1:$D$800,4,False),iferror(VLOOKUP(P282,'DO NOT TOUCH Imported'!$C$1:$D$800,2,False),"OOPS FIX ME"))</f>
        <v>GriffGreen</v>
      </c>
      <c r="B282" s="249" t="s">
        <v>18</v>
      </c>
      <c r="C282" s="250" t="s">
        <v>1618</v>
      </c>
      <c r="D282" s="236" t="s">
        <v>1584</v>
      </c>
      <c r="E282" s="251">
        <v>44273.0</v>
      </c>
      <c r="F282" s="219" t="s">
        <v>496</v>
      </c>
      <c r="G282" s="170">
        <v>15.0</v>
      </c>
      <c r="H282" s="171">
        <v>60.0</v>
      </c>
      <c r="I282" s="171">
        <v>100.0</v>
      </c>
      <c r="J282" s="172">
        <f t="shared" si="2"/>
        <v>0.0009088990941</v>
      </c>
      <c r="K282" s="173">
        <f t="shared" si="7"/>
        <v>1.014937322</v>
      </c>
      <c r="L282" s="174">
        <f t="shared" si="4"/>
        <v>9.632016576</v>
      </c>
      <c r="M282" s="175" t="str">
        <f t="shared" si="5"/>
        <v>GriffGreen</v>
      </c>
      <c r="N282" s="176">
        <f>IFERROR(__xludf.DUMMYFUNCTION("""COMPUTED_VALUE"""),39.0)</f>
        <v>39</v>
      </c>
      <c r="O282" s="176"/>
      <c r="P282" s="249" t="s">
        <v>16</v>
      </c>
      <c r="Q282" s="249" t="s">
        <v>18</v>
      </c>
      <c r="R282" s="176"/>
      <c r="S282" s="176"/>
      <c r="T282" s="176"/>
      <c r="U282" s="176"/>
      <c r="V282" s="176"/>
      <c r="W282" s="176"/>
      <c r="X282" s="176"/>
      <c r="Y282" s="176"/>
      <c r="Z282" s="176"/>
      <c r="AA282" s="176"/>
    </row>
    <row r="283">
      <c r="A283" s="165" t="str">
        <f>iferror(VLOOKUP(P283,'DO NOT TOUCH Imported'!$A$1:$D$800,4,False),iferror(VLOOKUP(P283,'DO NOT TOUCH Imported'!$C$1:$D$800,2,False),"OOPS FIX ME"))</f>
        <v>GriffGreen</v>
      </c>
      <c r="B283" s="249" t="s">
        <v>590</v>
      </c>
      <c r="C283" s="250" t="s">
        <v>1619</v>
      </c>
      <c r="D283" s="236" t="s">
        <v>1584</v>
      </c>
      <c r="E283" s="251">
        <v>44278.0</v>
      </c>
      <c r="F283" s="219" t="s">
        <v>496</v>
      </c>
      <c r="G283" s="170">
        <v>15.0</v>
      </c>
      <c r="H283" s="171">
        <v>60.0</v>
      </c>
      <c r="I283" s="171">
        <v>100.0</v>
      </c>
      <c r="J283" s="172">
        <f t="shared" si="2"/>
        <v>0.0009088990941</v>
      </c>
      <c r="K283" s="173">
        <f t="shared" si="7"/>
        <v>1.014937322</v>
      </c>
      <c r="L283" s="174">
        <f t="shared" si="4"/>
        <v>9.632016576</v>
      </c>
      <c r="M283" s="175" t="str">
        <f t="shared" si="5"/>
        <v>GriffGreen</v>
      </c>
      <c r="N283" s="176">
        <f>IFERROR(__xludf.DUMMYFUNCTION("""COMPUTED_VALUE"""),40.0)</f>
        <v>40</v>
      </c>
      <c r="O283" s="176"/>
      <c r="P283" s="249" t="s">
        <v>16</v>
      </c>
      <c r="Q283" s="249" t="s">
        <v>590</v>
      </c>
      <c r="R283" s="176"/>
      <c r="S283" s="176"/>
      <c r="T283" s="176"/>
      <c r="U283" s="176"/>
      <c r="V283" s="176"/>
      <c r="W283" s="176"/>
      <c r="X283" s="176"/>
      <c r="Y283" s="176"/>
      <c r="Z283" s="176"/>
      <c r="AA283" s="176"/>
    </row>
    <row r="284">
      <c r="A284" s="165" t="str">
        <f>iferror(VLOOKUP(P284,'DO NOT TOUCH Imported'!$A$1:$D$800,4,False),iferror(VLOOKUP(P284,'DO NOT TOUCH Imported'!$C$1:$D$800,2,False),"OOPS FIX ME"))</f>
        <v>GriffGreen</v>
      </c>
      <c r="B284" s="165" t="s">
        <v>441</v>
      </c>
      <c r="C284" s="170" t="s">
        <v>1620</v>
      </c>
      <c r="D284" s="236" t="s">
        <v>437</v>
      </c>
      <c r="E284" s="239">
        <v>44274.0</v>
      </c>
      <c r="F284" s="170" t="s">
        <v>439</v>
      </c>
      <c r="G284" s="170">
        <v>15.0</v>
      </c>
      <c r="H284" s="171">
        <v>60.0</v>
      </c>
      <c r="I284" s="171">
        <v>100.0</v>
      </c>
      <c r="J284" s="172">
        <f t="shared" si="2"/>
        <v>0.0009088990941</v>
      </c>
      <c r="K284" s="173">
        <f t="shared" si="7"/>
        <v>1.014937322</v>
      </c>
      <c r="L284" s="174">
        <f t="shared" si="4"/>
        <v>9.632016576</v>
      </c>
      <c r="M284" s="175" t="str">
        <f t="shared" si="5"/>
        <v>GriffGreen</v>
      </c>
      <c r="N284" s="176">
        <f>IFERROR(__xludf.DUMMYFUNCTION("""COMPUTED_VALUE"""),41.0)</f>
        <v>41</v>
      </c>
      <c r="O284" s="176"/>
      <c r="P284" s="165" t="s">
        <v>450</v>
      </c>
      <c r="Q284" s="165" t="s">
        <v>441</v>
      </c>
      <c r="R284" s="176"/>
      <c r="S284" s="176"/>
      <c r="T284" s="176"/>
      <c r="U284" s="176"/>
      <c r="V284" s="176"/>
      <c r="W284" s="176"/>
      <c r="X284" s="176"/>
      <c r="Y284" s="176"/>
      <c r="Z284" s="176"/>
      <c r="AA284" s="176"/>
    </row>
    <row r="285">
      <c r="A285" s="165" t="str">
        <f>iferror(VLOOKUP(P285,'DO NOT TOUCH Imported'!$A$1:$D$800,4,False),iferror(VLOOKUP(P285,'DO NOT TOUCH Imported'!$C$1:$D$800,2,False),"OOPS FIX ME"))</f>
        <v>GriffGreen</v>
      </c>
      <c r="B285" s="249" t="s">
        <v>10</v>
      </c>
      <c r="C285" s="250" t="s">
        <v>498</v>
      </c>
      <c r="D285" s="236" t="s">
        <v>1584</v>
      </c>
      <c r="E285" s="251">
        <v>44274.0</v>
      </c>
      <c r="F285" s="219" t="s">
        <v>499</v>
      </c>
      <c r="G285" s="170">
        <v>15.0</v>
      </c>
      <c r="H285" s="171">
        <v>25.0</v>
      </c>
      <c r="I285" s="171">
        <v>100.0</v>
      </c>
      <c r="J285" s="172">
        <f t="shared" si="2"/>
        <v>0.0007620654566</v>
      </c>
      <c r="K285" s="173">
        <f t="shared" si="7"/>
        <v>0.8509730932</v>
      </c>
      <c r="L285" s="174">
        <f t="shared" si="4"/>
        <v>9.632016576</v>
      </c>
      <c r="M285" s="175" t="str">
        <f t="shared" si="5"/>
        <v>GriffGreen</v>
      </c>
      <c r="N285" s="176">
        <f>IFERROR(__xludf.DUMMYFUNCTION("""COMPUTED_VALUE"""),42.0)</f>
        <v>42</v>
      </c>
      <c r="O285" s="176"/>
      <c r="P285" s="249" t="s">
        <v>16</v>
      </c>
      <c r="Q285" s="249" t="s">
        <v>10</v>
      </c>
      <c r="R285" s="176"/>
      <c r="S285" s="176"/>
      <c r="T285" s="176"/>
      <c r="U285" s="176"/>
      <c r="V285" s="176"/>
      <c r="W285" s="176"/>
      <c r="X285" s="176"/>
      <c r="Y285" s="176"/>
      <c r="Z285" s="176"/>
      <c r="AA285" s="176"/>
    </row>
    <row r="286">
      <c r="A286" s="165" t="str">
        <f>iferror(VLOOKUP(P286,'DO NOT TOUCH Imported'!$A$1:$D$800,4,False),iferror(VLOOKUP(P286,'DO NOT TOUCH Imported'!$C$1:$D$800,2,False),"OOPS FIX ME"))</f>
        <v>GriffGreen</v>
      </c>
      <c r="B286" s="249" t="s">
        <v>10</v>
      </c>
      <c r="C286" s="250" t="s">
        <v>500</v>
      </c>
      <c r="D286" s="236" t="s">
        <v>1584</v>
      </c>
      <c r="E286" s="251">
        <v>44275.0</v>
      </c>
      <c r="F286" s="219" t="s">
        <v>496</v>
      </c>
      <c r="G286" s="170">
        <v>15.0</v>
      </c>
      <c r="H286" s="171">
        <v>25.0</v>
      </c>
      <c r="I286" s="171">
        <v>100.0</v>
      </c>
      <c r="J286" s="172">
        <f t="shared" si="2"/>
        <v>0.0007620654566</v>
      </c>
      <c r="K286" s="173">
        <f t="shared" si="7"/>
        <v>0.8509730932</v>
      </c>
      <c r="L286" s="174">
        <f t="shared" si="4"/>
        <v>9.632016576</v>
      </c>
      <c r="M286" s="175" t="str">
        <f t="shared" si="5"/>
        <v>GriffGreen</v>
      </c>
      <c r="N286" s="176">
        <f>IFERROR(__xludf.DUMMYFUNCTION("""COMPUTED_VALUE"""),43.0)</f>
        <v>43</v>
      </c>
      <c r="O286" s="176"/>
      <c r="P286" s="249" t="s">
        <v>16</v>
      </c>
      <c r="Q286" s="249" t="s">
        <v>10</v>
      </c>
      <c r="R286" s="176"/>
      <c r="S286" s="176"/>
      <c r="T286" s="176"/>
      <c r="U286" s="176"/>
      <c r="V286" s="176"/>
      <c r="W286" s="176"/>
      <c r="X286" s="176"/>
      <c r="Y286" s="176"/>
      <c r="Z286" s="176"/>
      <c r="AA286" s="176"/>
    </row>
    <row r="287">
      <c r="A287" s="185" t="str">
        <f>iferror(VLOOKUP(P287,'DO NOT TOUCH Imported'!$A$1:$D$800,4,False),iferror(VLOOKUP(P287,'DO NOT TOUCH Imported'!$C$1:$D$800,2,False),"OOPS FIX ME"))</f>
        <v>GriffGreen</v>
      </c>
      <c r="B287" s="185" t="s">
        <v>534</v>
      </c>
      <c r="C287" s="213" t="s">
        <v>684</v>
      </c>
      <c r="D287" s="212"/>
      <c r="E287" s="214"/>
      <c r="F287" s="212"/>
      <c r="G287" s="196"/>
      <c r="H287" s="196"/>
      <c r="I287" s="196"/>
      <c r="J287" s="191">
        <f t="shared" si="2"/>
        <v>0</v>
      </c>
      <c r="K287" s="215">
        <f>64.215 * -0.85</f>
        <v>-54.58275</v>
      </c>
      <c r="L287" s="193">
        <f t="shared" si="4"/>
        <v>9.632016576</v>
      </c>
      <c r="M287" s="194" t="str">
        <f t="shared" si="5"/>
        <v>GriffGreen</v>
      </c>
      <c r="N287" s="212">
        <f>IFERROR(__xludf.DUMMYFUNCTION("""COMPUTED_VALUE"""),44.0)</f>
        <v>44</v>
      </c>
      <c r="O287" s="212"/>
      <c r="P287" s="195" t="s">
        <v>16</v>
      </c>
      <c r="Q287" s="195" t="s">
        <v>534</v>
      </c>
      <c r="R287" s="212"/>
      <c r="S287" s="212"/>
      <c r="T287" s="212"/>
      <c r="U287" s="212"/>
      <c r="V287" s="212"/>
      <c r="W287" s="212"/>
      <c r="X287" s="212"/>
      <c r="Y287" s="212"/>
      <c r="Z287" s="212"/>
      <c r="AA287" s="176"/>
    </row>
    <row r="288">
      <c r="A288" s="165" t="str">
        <f>iferror(VLOOKUP(P288,'DO NOT TOUCH Imported'!$A$1:$D$800,4,False),iferror(VLOOKUP(P288,'DO NOT TOUCH Imported'!$C$1:$D$800,2,False),"OOPS FIX ME"))</f>
        <v>GriffGreen</v>
      </c>
      <c r="B288" s="165" t="s">
        <v>441</v>
      </c>
      <c r="C288" s="170" t="s">
        <v>1725</v>
      </c>
      <c r="D288" s="236" t="s">
        <v>437</v>
      </c>
      <c r="E288" s="239">
        <v>44281.0</v>
      </c>
      <c r="F288" s="170" t="s">
        <v>439</v>
      </c>
      <c r="G288" s="170">
        <v>100.0</v>
      </c>
      <c r="H288" s="171">
        <v>250.0</v>
      </c>
      <c r="I288" s="171">
        <v>100.0</v>
      </c>
      <c r="J288" s="172">
        <f t="shared" si="2"/>
        <v>0.003046584265</v>
      </c>
      <c r="K288" s="173">
        <f t="shared" ref="K288:K327" si="8">J288*$J$1</f>
        <v>3.402019096</v>
      </c>
      <c r="L288" s="174">
        <f t="shared" si="4"/>
        <v>9.632016576</v>
      </c>
      <c r="M288" s="175" t="str">
        <f t="shared" si="5"/>
        <v>GriffGreen</v>
      </c>
      <c r="N288" s="176">
        <f>IFERROR(__xludf.DUMMYFUNCTION("""COMPUTED_VALUE"""),45.0)</f>
        <v>45</v>
      </c>
      <c r="O288" s="176"/>
      <c r="P288" s="165" t="s">
        <v>450</v>
      </c>
      <c r="Q288" s="165" t="s">
        <v>441</v>
      </c>
      <c r="R288" s="176"/>
      <c r="S288" s="176"/>
      <c r="T288" s="176"/>
      <c r="U288" s="176"/>
      <c r="V288" s="176"/>
      <c r="W288" s="176"/>
      <c r="X288" s="176"/>
      <c r="Y288" s="176"/>
      <c r="Z288" s="176"/>
      <c r="AA288" s="176"/>
    </row>
    <row r="289">
      <c r="A289" s="165" t="str">
        <f>iferror(VLOOKUP(P289,'DO NOT TOUCH Imported'!$A$1:$D$800,4,False),iferror(VLOOKUP(P289,'DO NOT TOUCH Imported'!$C$1:$D$800,2,False),"OOPS FIX ME"))</f>
        <v>liviade</v>
      </c>
      <c r="B289" s="165" t="s">
        <v>813</v>
      </c>
      <c r="C289" s="170" t="s">
        <v>1726</v>
      </c>
      <c r="D289" s="236" t="s">
        <v>437</v>
      </c>
      <c r="E289" s="239">
        <v>44273.0</v>
      </c>
      <c r="F289" s="170" t="s">
        <v>439</v>
      </c>
      <c r="G289" s="170">
        <v>15.0</v>
      </c>
      <c r="H289" s="171">
        <v>200.0</v>
      </c>
      <c r="I289" s="171">
        <v>400.0</v>
      </c>
      <c r="J289" s="172">
        <f t="shared" si="2"/>
        <v>0.002758063297</v>
      </c>
      <c r="K289" s="173">
        <f t="shared" si="8"/>
        <v>3.079837348</v>
      </c>
      <c r="L289" s="174">
        <f t="shared" si="4"/>
        <v>8.963435776</v>
      </c>
      <c r="M289" s="175" t="str">
        <f t="shared" si="5"/>
        <v>liviade</v>
      </c>
      <c r="N289" s="176">
        <f>IFERROR(__xludf.DUMMYFUNCTION("""COMPUTED_VALUE"""),1.0)</f>
        <v>1</v>
      </c>
      <c r="O289" s="176"/>
      <c r="P289" s="165" t="s">
        <v>490</v>
      </c>
      <c r="Q289" s="165" t="s">
        <v>813</v>
      </c>
      <c r="R289" s="176"/>
      <c r="S289" s="176"/>
      <c r="T289" s="176"/>
      <c r="U289" s="176"/>
      <c r="V289" s="176"/>
      <c r="W289" s="176"/>
      <c r="X289" s="176"/>
      <c r="Y289" s="176"/>
      <c r="Z289" s="176"/>
      <c r="AA289" s="176"/>
    </row>
    <row r="290">
      <c r="A290" s="165" t="str">
        <f>iferror(VLOOKUP(P290,'DO NOT TOUCH Imported'!$A$1:$D$800,4,False),iferror(VLOOKUP(P290,'DO NOT TOUCH Imported'!$C$1:$D$800,2,False),"OOPS FIX ME"))</f>
        <v>liviade</v>
      </c>
      <c r="B290" s="165" t="s">
        <v>441</v>
      </c>
      <c r="C290" s="170" t="s">
        <v>1727</v>
      </c>
      <c r="D290" s="236" t="s">
        <v>437</v>
      </c>
      <c r="E290" s="239">
        <v>44274.0</v>
      </c>
      <c r="F290" s="170" t="s">
        <v>439</v>
      </c>
      <c r="G290" s="170">
        <v>35.0</v>
      </c>
      <c r="H290" s="171">
        <v>200.0</v>
      </c>
      <c r="I290" s="171">
        <v>100.0</v>
      </c>
      <c r="J290" s="172">
        <f t="shared" si="2"/>
        <v>0.001811666181</v>
      </c>
      <c r="K290" s="173">
        <f t="shared" si="8"/>
        <v>2.023027235</v>
      </c>
      <c r="L290" s="174">
        <f t="shared" si="4"/>
        <v>8.963435776</v>
      </c>
      <c r="M290" s="175" t="str">
        <f t="shared" si="5"/>
        <v>liviade</v>
      </c>
      <c r="N290" s="176">
        <f>IFERROR(__xludf.DUMMYFUNCTION("""COMPUTED_VALUE"""),2.0)</f>
        <v>2</v>
      </c>
      <c r="O290" s="176"/>
      <c r="P290" s="165" t="s">
        <v>490</v>
      </c>
      <c r="Q290" s="165" t="s">
        <v>441</v>
      </c>
      <c r="R290" s="176"/>
      <c r="S290" s="176"/>
      <c r="T290" s="176"/>
      <c r="U290" s="176"/>
      <c r="V290" s="176"/>
      <c r="W290" s="176"/>
      <c r="X290" s="176"/>
      <c r="Y290" s="176"/>
      <c r="Z290" s="176"/>
      <c r="AA290" s="176"/>
    </row>
    <row r="291">
      <c r="A291" s="165" t="str">
        <f>iferror(VLOOKUP(P291,'DO NOT TOUCH Imported'!$A$1:$D$800,4,False),iferror(VLOOKUP(P291,'DO NOT TOUCH Imported'!$C$1:$D$800,2,False),"OOPS FIX ME"))</f>
        <v>liviade</v>
      </c>
      <c r="B291" s="165" t="s">
        <v>450</v>
      </c>
      <c r="C291" s="170" t="s">
        <v>1728</v>
      </c>
      <c r="D291" s="236" t="s">
        <v>437</v>
      </c>
      <c r="E291" s="239">
        <v>44278.0</v>
      </c>
      <c r="F291" s="170" t="s">
        <v>439</v>
      </c>
      <c r="G291" s="170">
        <v>15.0</v>
      </c>
      <c r="H291" s="171">
        <v>250.0</v>
      </c>
      <c r="I291" s="171">
        <v>100.0</v>
      </c>
      <c r="J291" s="172">
        <f t="shared" si="2"/>
        <v>0.001705995983</v>
      </c>
      <c r="K291" s="173">
        <f t="shared" si="8"/>
        <v>1.905028848</v>
      </c>
      <c r="L291" s="174">
        <f t="shared" si="4"/>
        <v>8.963435776</v>
      </c>
      <c r="M291" s="175" t="str">
        <f t="shared" si="5"/>
        <v>liviade</v>
      </c>
      <c r="N291" s="176">
        <f>IFERROR(__xludf.DUMMYFUNCTION("""COMPUTED_VALUE"""),3.0)</f>
        <v>3</v>
      </c>
      <c r="O291" s="176"/>
      <c r="P291" s="165" t="s">
        <v>490</v>
      </c>
      <c r="Q291" s="165" t="s">
        <v>450</v>
      </c>
      <c r="R291" s="176"/>
      <c r="S291" s="176"/>
      <c r="T291" s="176"/>
      <c r="U291" s="176"/>
      <c r="V291" s="176"/>
      <c r="W291" s="176"/>
      <c r="X291" s="176"/>
      <c r="Y291" s="176"/>
      <c r="Z291" s="176"/>
      <c r="AA291" s="176"/>
    </row>
    <row r="292">
      <c r="A292" s="165" t="str">
        <f>iferror(VLOOKUP(P292,'DO NOT TOUCH Imported'!$A$1:$D$800,4,False),iferror(VLOOKUP(P292,'DO NOT TOUCH Imported'!$C$1:$D$800,2,False),"OOPS FIX ME"))</f>
        <v>liviade</v>
      </c>
      <c r="B292" s="249" t="s">
        <v>867</v>
      </c>
      <c r="C292" s="250" t="s">
        <v>1729</v>
      </c>
      <c r="D292" s="236" t="s">
        <v>1584</v>
      </c>
      <c r="E292" s="251">
        <v>44271.0</v>
      </c>
      <c r="F292" s="219" t="s">
        <v>496</v>
      </c>
      <c r="G292" s="170">
        <v>25.0</v>
      </c>
      <c r="H292" s="171">
        <v>200.0</v>
      </c>
      <c r="I292" s="171">
        <v>100.0</v>
      </c>
      <c r="J292" s="172">
        <f t="shared" si="2"/>
        <v>0.001653949912</v>
      </c>
      <c r="K292" s="173">
        <f t="shared" si="8"/>
        <v>1.846910736</v>
      </c>
      <c r="L292" s="174">
        <f t="shared" si="4"/>
        <v>8.963435776</v>
      </c>
      <c r="M292" s="175" t="str">
        <f t="shared" si="5"/>
        <v>liviade</v>
      </c>
      <c r="N292" s="176">
        <f>IFERROR(__xludf.DUMMYFUNCTION("""COMPUTED_VALUE"""),4.0)</f>
        <v>4</v>
      </c>
      <c r="O292" s="176"/>
      <c r="P292" s="249" t="s">
        <v>18</v>
      </c>
      <c r="Q292" s="249" t="s">
        <v>867</v>
      </c>
      <c r="R292" s="176"/>
      <c r="S292" s="176"/>
      <c r="T292" s="176"/>
      <c r="U292" s="176"/>
      <c r="V292" s="176"/>
      <c r="W292" s="176"/>
      <c r="X292" s="176"/>
      <c r="Y292" s="176"/>
      <c r="Z292" s="176"/>
      <c r="AA292" s="176"/>
    </row>
    <row r="293">
      <c r="A293" s="165" t="str">
        <f>iferror(VLOOKUP(P293,'DO NOT TOUCH Imported'!$A$1:$D$800,4,False),iferror(VLOOKUP(P293,'DO NOT TOUCH Imported'!$C$1:$D$800,2,False),"OOPS FIX ME"))</f>
        <v>liviade</v>
      </c>
      <c r="B293" s="249" t="s">
        <v>867</v>
      </c>
      <c r="C293" s="250" t="s">
        <v>1730</v>
      </c>
      <c r="D293" s="236" t="s">
        <v>1584</v>
      </c>
      <c r="E293" s="251">
        <v>44277.0</v>
      </c>
      <c r="F293" s="219" t="s">
        <v>496</v>
      </c>
      <c r="G293" s="170">
        <v>25.0</v>
      </c>
      <c r="H293" s="171">
        <v>200.0</v>
      </c>
      <c r="I293" s="171">
        <v>100.0</v>
      </c>
      <c r="J293" s="172">
        <f t="shared" si="2"/>
        <v>0.001653949912</v>
      </c>
      <c r="K293" s="173">
        <f t="shared" si="8"/>
        <v>1.846910736</v>
      </c>
      <c r="L293" s="174">
        <f t="shared" si="4"/>
        <v>8.963435776</v>
      </c>
      <c r="M293" s="175" t="str">
        <f t="shared" si="5"/>
        <v>liviade</v>
      </c>
      <c r="N293" s="176">
        <f>IFERROR(__xludf.DUMMYFUNCTION("""COMPUTED_VALUE"""),5.0)</f>
        <v>5</v>
      </c>
      <c r="O293" s="176"/>
      <c r="P293" s="249" t="s">
        <v>18</v>
      </c>
      <c r="Q293" s="249" t="s">
        <v>867</v>
      </c>
      <c r="R293" s="176"/>
      <c r="S293" s="176"/>
      <c r="T293" s="176"/>
      <c r="U293" s="176"/>
      <c r="V293" s="176"/>
      <c r="W293" s="176"/>
      <c r="X293" s="176"/>
      <c r="Y293" s="176"/>
      <c r="Z293" s="176"/>
      <c r="AA293" s="176"/>
    </row>
    <row r="294">
      <c r="A294" s="165" t="str">
        <f>iferror(VLOOKUP(P294,'DO NOT TOUCH Imported'!$A$1:$D$800,4,False),iferror(VLOOKUP(P294,'DO NOT TOUCH Imported'!$C$1:$D$800,2,False),"OOPS FIX ME"))</f>
        <v>liviade</v>
      </c>
      <c r="B294" s="165" t="s">
        <v>450</v>
      </c>
      <c r="C294" s="170" t="s">
        <v>1731</v>
      </c>
      <c r="D294" s="236" t="s">
        <v>437</v>
      </c>
      <c r="E294" s="239">
        <v>44280.0</v>
      </c>
      <c r="F294" s="170" t="s">
        <v>1732</v>
      </c>
      <c r="G294" s="170">
        <v>25.0</v>
      </c>
      <c r="H294" s="171">
        <v>200.0</v>
      </c>
      <c r="I294" s="171">
        <v>100.0</v>
      </c>
      <c r="J294" s="172">
        <f t="shared" si="2"/>
        <v>0.001653949912</v>
      </c>
      <c r="K294" s="173">
        <f t="shared" si="8"/>
        <v>1.846910736</v>
      </c>
      <c r="L294" s="174">
        <f t="shared" si="4"/>
        <v>8.963435776</v>
      </c>
      <c r="M294" s="175" t="str">
        <f t="shared" si="5"/>
        <v>liviade</v>
      </c>
      <c r="N294" s="176">
        <f>IFERROR(__xludf.DUMMYFUNCTION("""COMPUTED_VALUE"""),6.0)</f>
        <v>6</v>
      </c>
      <c r="O294" s="176"/>
      <c r="P294" s="165" t="s">
        <v>490</v>
      </c>
      <c r="Q294" s="165" t="s">
        <v>450</v>
      </c>
      <c r="R294" s="176"/>
      <c r="S294" s="176"/>
      <c r="T294" s="176"/>
      <c r="U294" s="176"/>
      <c r="V294" s="176"/>
      <c r="W294" s="176"/>
      <c r="X294" s="176"/>
      <c r="Y294" s="176"/>
      <c r="Z294" s="176"/>
      <c r="AA294" s="176"/>
    </row>
    <row r="295">
      <c r="A295" s="165" t="str">
        <f>iferror(VLOOKUP(P295,'DO NOT TOUCH Imported'!$A$1:$D$800,4,False),iferror(VLOOKUP(P295,'DO NOT TOUCH Imported'!$C$1:$D$800,2,False),"OOPS FIX ME"))</f>
        <v>liviade</v>
      </c>
      <c r="B295" s="165" t="s">
        <v>566</v>
      </c>
      <c r="C295" s="170" t="s">
        <v>1733</v>
      </c>
      <c r="D295" s="236" t="s">
        <v>499</v>
      </c>
      <c r="E295" s="239">
        <v>44281.0</v>
      </c>
      <c r="F295" s="170" t="s">
        <v>503</v>
      </c>
      <c r="G295" s="170">
        <v>25.0</v>
      </c>
      <c r="H295" s="171">
        <v>200.0</v>
      </c>
      <c r="I295" s="171">
        <v>100.0</v>
      </c>
      <c r="J295" s="172">
        <f t="shared" si="2"/>
        <v>0.001653949912</v>
      </c>
      <c r="K295" s="173">
        <f t="shared" si="8"/>
        <v>1.846910736</v>
      </c>
      <c r="L295" s="174">
        <f t="shared" si="4"/>
        <v>8.963435776</v>
      </c>
      <c r="M295" s="175" t="str">
        <f t="shared" si="5"/>
        <v>liviade</v>
      </c>
      <c r="N295" s="176">
        <f>IFERROR(__xludf.DUMMYFUNCTION("""COMPUTED_VALUE"""),7.0)</f>
        <v>7</v>
      </c>
      <c r="O295" s="176"/>
      <c r="P295" s="165" t="s">
        <v>490</v>
      </c>
      <c r="Q295" s="165" t="s">
        <v>566</v>
      </c>
      <c r="R295" s="176"/>
      <c r="S295" s="176"/>
      <c r="T295" s="176"/>
      <c r="U295" s="176"/>
      <c r="V295" s="176"/>
      <c r="W295" s="176"/>
      <c r="X295" s="176"/>
      <c r="Y295" s="176"/>
      <c r="Z295" s="176"/>
      <c r="AA295" s="176"/>
    </row>
    <row r="296">
      <c r="A296" s="165" t="str">
        <f>iferror(VLOOKUP(P296,'DO NOT TOUCH Imported'!$A$1:$D$800,4,False),iferror(VLOOKUP(P296,'DO NOT TOUCH Imported'!$C$1:$D$800,2,False),"OOPS FIX ME"))</f>
        <v>liviade</v>
      </c>
      <c r="B296" s="165" t="s">
        <v>443</v>
      </c>
      <c r="C296" s="170" t="s">
        <v>1590</v>
      </c>
      <c r="D296" s="236" t="s">
        <v>437</v>
      </c>
      <c r="E296" s="239">
        <v>44273.0</v>
      </c>
      <c r="F296" s="170" t="s">
        <v>439</v>
      </c>
      <c r="G296" s="170">
        <v>45.0</v>
      </c>
      <c r="H296" s="171">
        <v>100.0</v>
      </c>
      <c r="I296" s="171">
        <v>100.0</v>
      </c>
      <c r="J296" s="172">
        <f t="shared" si="2"/>
        <v>0.001549857771</v>
      </c>
      <c r="K296" s="173">
        <f t="shared" si="8"/>
        <v>1.730674511</v>
      </c>
      <c r="L296" s="174">
        <f t="shared" si="4"/>
        <v>8.963435776</v>
      </c>
      <c r="M296" s="175" t="str">
        <f t="shared" si="5"/>
        <v>liviade</v>
      </c>
      <c r="N296" s="176">
        <f>IFERROR(__xludf.DUMMYFUNCTION("""COMPUTED_VALUE"""),8.0)</f>
        <v>8</v>
      </c>
      <c r="O296" s="176"/>
      <c r="P296" s="165" t="s">
        <v>490</v>
      </c>
      <c r="Q296" s="165" t="s">
        <v>443</v>
      </c>
      <c r="R296" s="176"/>
      <c r="S296" s="176"/>
      <c r="T296" s="176"/>
      <c r="U296" s="176"/>
      <c r="V296" s="176"/>
      <c r="W296" s="176"/>
      <c r="X296" s="176"/>
      <c r="Y296" s="176"/>
      <c r="Z296" s="176"/>
      <c r="AA296" s="176"/>
    </row>
    <row r="297">
      <c r="A297" s="165" t="str">
        <f>iferror(VLOOKUP(P297,'DO NOT TOUCH Imported'!$A$1:$D$800,4,False),iferror(VLOOKUP(P297,'DO NOT TOUCH Imported'!$C$1:$D$800,2,False),"OOPS FIX ME"))</f>
        <v>liviade</v>
      </c>
      <c r="B297" s="165" t="s">
        <v>867</v>
      </c>
      <c r="C297" s="170" t="s">
        <v>1701</v>
      </c>
      <c r="D297" s="236" t="s">
        <v>1584</v>
      </c>
      <c r="E297" s="239">
        <v>44281.0</v>
      </c>
      <c r="F297" s="170" t="s">
        <v>496</v>
      </c>
      <c r="G297" s="170">
        <v>15.0</v>
      </c>
      <c r="H297" s="171">
        <v>200.0</v>
      </c>
      <c r="I297" s="171">
        <v>100.0</v>
      </c>
      <c r="J297" s="172">
        <f t="shared" si="2"/>
        <v>0.001496233644</v>
      </c>
      <c r="K297" s="173">
        <f t="shared" si="8"/>
        <v>1.670794236</v>
      </c>
      <c r="L297" s="174">
        <f t="shared" si="4"/>
        <v>8.963435776</v>
      </c>
      <c r="M297" s="175" t="str">
        <f t="shared" si="5"/>
        <v>liviade</v>
      </c>
      <c r="N297" s="176">
        <f>IFERROR(__xludf.DUMMYFUNCTION("""COMPUTED_VALUE"""),9.0)</f>
        <v>9</v>
      </c>
      <c r="O297" s="176"/>
      <c r="P297" s="165" t="s">
        <v>18</v>
      </c>
      <c r="Q297" s="165" t="s">
        <v>867</v>
      </c>
      <c r="R297" s="176"/>
      <c r="S297" s="176"/>
      <c r="T297" s="176"/>
      <c r="U297" s="176"/>
      <c r="V297" s="176"/>
      <c r="W297" s="176"/>
      <c r="X297" s="176"/>
      <c r="Y297" s="176"/>
      <c r="Z297" s="176"/>
      <c r="AA297" s="176"/>
    </row>
    <row r="298">
      <c r="A298" s="165" t="str">
        <f>iferror(VLOOKUP(P298,'DO NOT TOUCH Imported'!$A$1:$D$800,4,False),iferror(VLOOKUP(P298,'DO NOT TOUCH Imported'!$C$1:$D$800,2,False),"OOPS FIX ME"))</f>
        <v>liviade</v>
      </c>
      <c r="B298" s="165" t="s">
        <v>441</v>
      </c>
      <c r="C298" s="170" t="s">
        <v>1649</v>
      </c>
      <c r="D298" s="236" t="s">
        <v>437</v>
      </c>
      <c r="E298" s="239">
        <v>44274.0</v>
      </c>
      <c r="F298" s="170" t="s">
        <v>439</v>
      </c>
      <c r="G298" s="170">
        <v>15.0</v>
      </c>
      <c r="H298" s="171">
        <v>200.0</v>
      </c>
      <c r="I298" s="171">
        <v>100.0</v>
      </c>
      <c r="J298" s="172">
        <f t="shared" si="2"/>
        <v>0.001496233644</v>
      </c>
      <c r="K298" s="173">
        <f t="shared" si="8"/>
        <v>1.670794236</v>
      </c>
      <c r="L298" s="174">
        <f t="shared" si="4"/>
        <v>8.963435776</v>
      </c>
      <c r="M298" s="175" t="str">
        <f t="shared" si="5"/>
        <v>liviade</v>
      </c>
      <c r="N298" s="176">
        <f>IFERROR(__xludf.DUMMYFUNCTION("""COMPUTED_VALUE"""),10.0)</f>
        <v>10</v>
      </c>
      <c r="O298" s="176"/>
      <c r="P298" s="165" t="s">
        <v>490</v>
      </c>
      <c r="Q298" s="165" t="s">
        <v>441</v>
      </c>
      <c r="R298" s="176"/>
      <c r="S298" s="176"/>
      <c r="T298" s="176"/>
      <c r="U298" s="176"/>
      <c r="V298" s="176"/>
      <c r="W298" s="176"/>
      <c r="X298" s="176"/>
      <c r="Y298" s="176"/>
      <c r="Z298" s="176"/>
      <c r="AA298" s="176"/>
    </row>
    <row r="299">
      <c r="A299" s="165" t="str">
        <f>iferror(VLOOKUP(P299,'DO NOT TOUCH Imported'!$A$1:$D$800,4,False),iferror(VLOOKUP(P299,'DO NOT TOUCH Imported'!$C$1:$D$800,2,False),"OOPS FIX ME"))</f>
        <v>liviade</v>
      </c>
      <c r="B299" s="165" t="s">
        <v>441</v>
      </c>
      <c r="C299" s="170" t="s">
        <v>1734</v>
      </c>
      <c r="D299" s="236" t="s">
        <v>437</v>
      </c>
      <c r="E299" s="239">
        <v>44274.0</v>
      </c>
      <c r="F299" s="170" t="s">
        <v>439</v>
      </c>
      <c r="G299" s="170">
        <v>15.0</v>
      </c>
      <c r="H299" s="171">
        <v>200.0</v>
      </c>
      <c r="I299" s="171">
        <v>100.0</v>
      </c>
      <c r="J299" s="172">
        <f t="shared" si="2"/>
        <v>0.001496233644</v>
      </c>
      <c r="K299" s="173">
        <f t="shared" si="8"/>
        <v>1.670794236</v>
      </c>
      <c r="L299" s="174">
        <f t="shared" si="4"/>
        <v>8.963435776</v>
      </c>
      <c r="M299" s="175" t="str">
        <f t="shared" si="5"/>
        <v>liviade</v>
      </c>
      <c r="N299" s="176">
        <f>IFERROR(__xludf.DUMMYFUNCTION("""COMPUTED_VALUE"""),11.0)</f>
        <v>11</v>
      </c>
      <c r="O299" s="176"/>
      <c r="P299" s="165" t="s">
        <v>490</v>
      </c>
      <c r="Q299" s="165" t="s">
        <v>441</v>
      </c>
      <c r="R299" s="176"/>
      <c r="S299" s="176"/>
      <c r="T299" s="176"/>
      <c r="U299" s="176"/>
      <c r="V299" s="176"/>
      <c r="W299" s="176"/>
      <c r="X299" s="176"/>
      <c r="Y299" s="176"/>
      <c r="Z299" s="176"/>
      <c r="AA299" s="176"/>
    </row>
    <row r="300">
      <c r="A300" s="165" t="str">
        <f>iferror(VLOOKUP(P300,'DO NOT TOUCH Imported'!$A$1:$D$800,4,False),iferror(VLOOKUP(P300,'DO NOT TOUCH Imported'!$C$1:$D$800,2,False),"OOPS FIX ME"))</f>
        <v>liviade</v>
      </c>
      <c r="B300" s="165" t="s">
        <v>441</v>
      </c>
      <c r="C300" s="170" t="s">
        <v>1735</v>
      </c>
      <c r="D300" s="236" t="s">
        <v>437</v>
      </c>
      <c r="E300" s="239">
        <v>44274.0</v>
      </c>
      <c r="F300" s="170" t="s">
        <v>439</v>
      </c>
      <c r="G300" s="170">
        <v>15.0</v>
      </c>
      <c r="H300" s="171">
        <v>200.0</v>
      </c>
      <c r="I300" s="171">
        <v>100.0</v>
      </c>
      <c r="J300" s="172">
        <f t="shared" si="2"/>
        <v>0.001496233644</v>
      </c>
      <c r="K300" s="173">
        <f t="shared" si="8"/>
        <v>1.670794236</v>
      </c>
      <c r="L300" s="174">
        <f t="shared" si="4"/>
        <v>8.963435776</v>
      </c>
      <c r="M300" s="175" t="str">
        <f t="shared" si="5"/>
        <v>liviade</v>
      </c>
      <c r="N300" s="176">
        <f>IFERROR(__xludf.DUMMYFUNCTION("""COMPUTED_VALUE"""),12.0)</f>
        <v>12</v>
      </c>
      <c r="O300" s="176"/>
      <c r="P300" s="165" t="s">
        <v>490</v>
      </c>
      <c r="Q300" s="165" t="s">
        <v>441</v>
      </c>
      <c r="R300" s="176"/>
      <c r="S300" s="176"/>
      <c r="T300" s="176"/>
      <c r="U300" s="176"/>
      <c r="V300" s="176"/>
      <c r="W300" s="176"/>
      <c r="X300" s="176"/>
      <c r="Y300" s="176"/>
      <c r="Z300" s="176"/>
      <c r="AA300" s="176"/>
    </row>
    <row r="301">
      <c r="A301" s="165" t="str">
        <f>iferror(VLOOKUP(P301,'DO NOT TOUCH Imported'!$A$1:$D$800,4,False),iferror(VLOOKUP(P301,'DO NOT TOUCH Imported'!$C$1:$D$800,2,False),"OOPS FIX ME"))</f>
        <v>liviade</v>
      </c>
      <c r="B301" s="165" t="s">
        <v>492</v>
      </c>
      <c r="C301" s="170" t="s">
        <v>1614</v>
      </c>
      <c r="D301" s="236" t="s">
        <v>437</v>
      </c>
      <c r="E301" s="239">
        <v>44279.0</v>
      </c>
      <c r="F301" s="170" t="s">
        <v>439</v>
      </c>
      <c r="G301" s="170">
        <v>15.0</v>
      </c>
      <c r="H301" s="171">
        <v>200.0</v>
      </c>
      <c r="I301" s="171">
        <v>100.0</v>
      </c>
      <c r="J301" s="172">
        <f t="shared" si="2"/>
        <v>0.001496233644</v>
      </c>
      <c r="K301" s="173">
        <f t="shared" si="8"/>
        <v>1.670794236</v>
      </c>
      <c r="L301" s="174">
        <f t="shared" si="4"/>
        <v>8.963435776</v>
      </c>
      <c r="M301" s="175" t="str">
        <f t="shared" si="5"/>
        <v>liviade</v>
      </c>
      <c r="N301" s="176">
        <f>IFERROR(__xludf.DUMMYFUNCTION("""COMPUTED_VALUE"""),13.0)</f>
        <v>13</v>
      </c>
      <c r="O301" s="176"/>
      <c r="P301" s="165" t="s">
        <v>490</v>
      </c>
      <c r="Q301" s="165" t="s">
        <v>492</v>
      </c>
      <c r="R301" s="176"/>
      <c r="S301" s="176"/>
      <c r="T301" s="176"/>
      <c r="U301" s="176"/>
      <c r="V301" s="176"/>
      <c r="W301" s="176"/>
      <c r="X301" s="176"/>
      <c r="Y301" s="176"/>
      <c r="Z301" s="176"/>
      <c r="AA301" s="176"/>
    </row>
    <row r="302">
      <c r="A302" s="165" t="str">
        <f>iferror(VLOOKUP(P302,'DO NOT TOUCH Imported'!$A$1:$D$800,4,False),iferror(VLOOKUP(P302,'DO NOT TOUCH Imported'!$C$1:$D$800,2,False),"OOPS FIX ME"))</f>
        <v>liviade</v>
      </c>
      <c r="B302" s="165" t="s">
        <v>441</v>
      </c>
      <c r="C302" s="170" t="s">
        <v>1650</v>
      </c>
      <c r="D302" s="236" t="s">
        <v>437</v>
      </c>
      <c r="E302" s="239">
        <v>44281.0</v>
      </c>
      <c r="F302" s="170" t="s">
        <v>439</v>
      </c>
      <c r="G302" s="170">
        <v>15.0</v>
      </c>
      <c r="H302" s="171">
        <v>200.0</v>
      </c>
      <c r="I302" s="171">
        <v>100.0</v>
      </c>
      <c r="J302" s="172">
        <f t="shared" si="2"/>
        <v>0.001496233644</v>
      </c>
      <c r="K302" s="173">
        <f t="shared" si="8"/>
        <v>1.670794236</v>
      </c>
      <c r="L302" s="174">
        <f t="shared" si="4"/>
        <v>8.963435776</v>
      </c>
      <c r="M302" s="175" t="str">
        <f t="shared" si="5"/>
        <v>liviade</v>
      </c>
      <c r="N302" s="176">
        <f>IFERROR(__xludf.DUMMYFUNCTION("""COMPUTED_VALUE"""),14.0)</f>
        <v>14</v>
      </c>
      <c r="O302" s="176"/>
      <c r="P302" s="165" t="s">
        <v>490</v>
      </c>
      <c r="Q302" s="165" t="s">
        <v>441</v>
      </c>
      <c r="R302" s="176"/>
      <c r="S302" s="176"/>
      <c r="T302" s="176"/>
      <c r="U302" s="176"/>
      <c r="V302" s="176"/>
      <c r="W302" s="176"/>
      <c r="X302" s="176"/>
      <c r="Y302" s="176"/>
      <c r="Z302" s="176"/>
      <c r="AA302" s="176"/>
    </row>
    <row r="303">
      <c r="A303" s="165" t="str">
        <f>iferror(VLOOKUP(P303,'DO NOT TOUCH Imported'!$A$1:$D$800,4,False),iferror(VLOOKUP(P303,'DO NOT TOUCH Imported'!$C$1:$D$800,2,False),"OOPS FIX ME"))</f>
        <v>liviade</v>
      </c>
      <c r="B303" s="249" t="s">
        <v>845</v>
      </c>
      <c r="C303" s="250" t="s">
        <v>1736</v>
      </c>
      <c r="D303" s="236" t="s">
        <v>1584</v>
      </c>
      <c r="E303" s="251">
        <v>44271.0</v>
      </c>
      <c r="F303" s="219" t="s">
        <v>496</v>
      </c>
      <c r="G303" s="170">
        <v>25.0</v>
      </c>
      <c r="H303" s="171">
        <v>150.0</v>
      </c>
      <c r="I303" s="171">
        <v>100.0</v>
      </c>
      <c r="J303" s="172">
        <f t="shared" si="2"/>
        <v>0.001444187573</v>
      </c>
      <c r="K303" s="173">
        <f t="shared" si="8"/>
        <v>1.612676123</v>
      </c>
      <c r="L303" s="174">
        <f t="shared" si="4"/>
        <v>8.963435776</v>
      </c>
      <c r="M303" s="175" t="str">
        <f t="shared" si="5"/>
        <v>liviade</v>
      </c>
      <c r="N303" s="176">
        <f>IFERROR(__xludf.DUMMYFUNCTION("""COMPUTED_VALUE"""),15.0)</f>
        <v>15</v>
      </c>
      <c r="O303" s="176"/>
      <c r="P303" s="249" t="s">
        <v>18</v>
      </c>
      <c r="Q303" s="249" t="s">
        <v>845</v>
      </c>
      <c r="R303" s="176"/>
      <c r="S303" s="176"/>
      <c r="T303" s="176"/>
      <c r="U303" s="176"/>
      <c r="V303" s="176"/>
      <c r="W303" s="176"/>
      <c r="X303" s="176"/>
      <c r="Y303" s="176"/>
      <c r="Z303" s="176"/>
      <c r="AA303" s="176"/>
    </row>
    <row r="304">
      <c r="A304" s="165" t="str">
        <f>iferror(VLOOKUP(P304,'DO NOT TOUCH Imported'!$A$1:$D$800,4,False),iferror(VLOOKUP(P304,'DO NOT TOUCH Imported'!$C$1:$D$800,2,False),"OOPS FIX ME"))</f>
        <v>liviade</v>
      </c>
      <c r="B304" s="165" t="s">
        <v>441</v>
      </c>
      <c r="C304" s="170" t="s">
        <v>1593</v>
      </c>
      <c r="D304" s="236" t="s">
        <v>437</v>
      </c>
      <c r="E304" s="239">
        <v>44274.0</v>
      </c>
      <c r="F304" s="170" t="s">
        <v>439</v>
      </c>
      <c r="G304" s="170">
        <v>25.0</v>
      </c>
      <c r="H304" s="171">
        <v>150.0</v>
      </c>
      <c r="I304" s="171">
        <v>100.0</v>
      </c>
      <c r="J304" s="172">
        <f t="shared" si="2"/>
        <v>0.001444187573</v>
      </c>
      <c r="K304" s="173">
        <f t="shared" si="8"/>
        <v>1.612676123</v>
      </c>
      <c r="L304" s="174">
        <f t="shared" si="4"/>
        <v>8.963435776</v>
      </c>
      <c r="M304" s="175" t="str">
        <f t="shared" si="5"/>
        <v>liviade</v>
      </c>
      <c r="N304" s="176">
        <f>IFERROR(__xludf.DUMMYFUNCTION("""COMPUTED_VALUE"""),16.0)</f>
        <v>16</v>
      </c>
      <c r="O304" s="176"/>
      <c r="P304" s="165" t="s">
        <v>490</v>
      </c>
      <c r="Q304" s="165" t="s">
        <v>441</v>
      </c>
      <c r="R304" s="176"/>
      <c r="S304" s="176"/>
      <c r="T304" s="176"/>
      <c r="U304" s="176"/>
      <c r="V304" s="176"/>
      <c r="W304" s="176"/>
      <c r="X304" s="176"/>
      <c r="Y304" s="176"/>
      <c r="Z304" s="176"/>
      <c r="AA304" s="176"/>
    </row>
    <row r="305">
      <c r="A305" s="165" t="str">
        <f>iferror(VLOOKUP(P305,'DO NOT TOUCH Imported'!$A$1:$D$800,4,False),iferror(VLOOKUP(P305,'DO NOT TOUCH Imported'!$C$1:$D$800,2,False),"OOPS FIX ME"))</f>
        <v>liviade</v>
      </c>
      <c r="B305" s="249" t="s">
        <v>18</v>
      </c>
      <c r="C305" s="250" t="s">
        <v>1625</v>
      </c>
      <c r="D305" s="236" t="s">
        <v>1584</v>
      </c>
      <c r="E305" s="251">
        <v>44271.0</v>
      </c>
      <c r="F305" s="219" t="s">
        <v>496</v>
      </c>
      <c r="G305" s="170">
        <v>25.0</v>
      </c>
      <c r="H305" s="171">
        <v>100.0</v>
      </c>
      <c r="I305" s="171">
        <v>100.0</v>
      </c>
      <c r="J305" s="172">
        <f t="shared" si="2"/>
        <v>0.001234425234</v>
      </c>
      <c r="K305" s="173">
        <f t="shared" si="8"/>
        <v>1.378441511</v>
      </c>
      <c r="L305" s="174">
        <f t="shared" si="4"/>
        <v>8.963435776</v>
      </c>
      <c r="M305" s="175" t="str">
        <f t="shared" si="5"/>
        <v>liviade</v>
      </c>
      <c r="N305" s="176">
        <f>IFERROR(__xludf.DUMMYFUNCTION("""COMPUTED_VALUE"""),17.0)</f>
        <v>17</v>
      </c>
      <c r="O305" s="176"/>
      <c r="P305" s="249" t="s">
        <v>18</v>
      </c>
      <c r="Q305" s="249" t="s">
        <v>18</v>
      </c>
      <c r="R305" s="176"/>
      <c r="S305" s="176"/>
      <c r="T305" s="176"/>
      <c r="U305" s="176"/>
      <c r="V305" s="176"/>
      <c r="W305" s="176"/>
      <c r="X305" s="176"/>
      <c r="Y305" s="176"/>
      <c r="Z305" s="176"/>
      <c r="AA305" s="176"/>
    </row>
    <row r="306">
      <c r="A306" s="165" t="str">
        <f>iferror(VLOOKUP(P306,'DO NOT TOUCH Imported'!$A$1:$D$800,4,False),iferror(VLOOKUP(P306,'DO NOT TOUCH Imported'!$C$1:$D$800,2,False),"OOPS FIX ME"))</f>
        <v>liviade</v>
      </c>
      <c r="B306" s="249" t="s">
        <v>867</v>
      </c>
      <c r="C306" s="250" t="s">
        <v>1644</v>
      </c>
      <c r="D306" s="236" t="s">
        <v>1584</v>
      </c>
      <c r="E306" s="251">
        <v>44271.0</v>
      </c>
      <c r="F306" s="219" t="s">
        <v>496</v>
      </c>
      <c r="G306" s="170">
        <v>25.0</v>
      </c>
      <c r="H306" s="171">
        <v>100.0</v>
      </c>
      <c r="I306" s="171">
        <v>100.0</v>
      </c>
      <c r="J306" s="172">
        <f t="shared" si="2"/>
        <v>0.001234425234</v>
      </c>
      <c r="K306" s="173">
        <f t="shared" si="8"/>
        <v>1.378441511</v>
      </c>
      <c r="L306" s="174">
        <f t="shared" si="4"/>
        <v>8.963435776</v>
      </c>
      <c r="M306" s="175" t="str">
        <f t="shared" si="5"/>
        <v>liviade</v>
      </c>
      <c r="N306" s="176">
        <f>IFERROR(__xludf.DUMMYFUNCTION("""COMPUTED_VALUE"""),18.0)</f>
        <v>18</v>
      </c>
      <c r="O306" s="176"/>
      <c r="P306" s="249" t="s">
        <v>18</v>
      </c>
      <c r="Q306" s="249" t="s">
        <v>867</v>
      </c>
      <c r="R306" s="176"/>
      <c r="S306" s="176"/>
      <c r="T306" s="176"/>
      <c r="U306" s="176"/>
      <c r="V306" s="176"/>
      <c r="W306" s="176"/>
      <c r="X306" s="176"/>
      <c r="Y306" s="176"/>
      <c r="Z306" s="176"/>
      <c r="AA306" s="176"/>
    </row>
    <row r="307">
      <c r="A307" s="165" t="str">
        <f>iferror(VLOOKUP(P307,'DO NOT TOUCH Imported'!$A$1:$D$800,4,False),iferror(VLOOKUP(P307,'DO NOT TOUCH Imported'!$C$1:$D$800,2,False),"OOPS FIX ME"))</f>
        <v>liviade</v>
      </c>
      <c r="B307" s="165" t="s">
        <v>450</v>
      </c>
      <c r="C307" s="170" t="s">
        <v>1645</v>
      </c>
      <c r="D307" s="236" t="s">
        <v>499</v>
      </c>
      <c r="E307" s="239">
        <v>44273.0</v>
      </c>
      <c r="F307" s="170" t="s">
        <v>1646</v>
      </c>
      <c r="G307" s="170">
        <v>25.0</v>
      </c>
      <c r="H307" s="171">
        <v>100.0</v>
      </c>
      <c r="I307" s="171">
        <v>100.0</v>
      </c>
      <c r="J307" s="172">
        <f t="shared" si="2"/>
        <v>0.001234425234</v>
      </c>
      <c r="K307" s="173">
        <f t="shared" si="8"/>
        <v>1.378441511</v>
      </c>
      <c r="L307" s="174">
        <f t="shared" si="4"/>
        <v>8.963435776</v>
      </c>
      <c r="M307" s="175" t="str">
        <f t="shared" si="5"/>
        <v>liviade</v>
      </c>
      <c r="N307" s="176">
        <f>IFERROR(__xludf.DUMMYFUNCTION("""COMPUTED_VALUE"""),19.0)</f>
        <v>19</v>
      </c>
      <c r="O307" s="176"/>
      <c r="P307" s="165" t="s">
        <v>490</v>
      </c>
      <c r="Q307" s="165" t="s">
        <v>450</v>
      </c>
      <c r="R307" s="176"/>
      <c r="S307" s="176"/>
      <c r="T307" s="176"/>
      <c r="U307" s="176"/>
      <c r="V307" s="176"/>
      <c r="W307" s="176"/>
      <c r="X307" s="176"/>
      <c r="Y307" s="176"/>
      <c r="Z307" s="176"/>
      <c r="AA307" s="176"/>
    </row>
    <row r="308">
      <c r="A308" s="165" t="str">
        <f>iferror(VLOOKUP(P308,'DO NOT TOUCH Imported'!$A$1:$D$800,4,False),iferror(VLOOKUP(P308,'DO NOT TOUCH Imported'!$C$1:$D$800,2,False),"OOPS FIX ME"))</f>
        <v>liviade</v>
      </c>
      <c r="B308" s="165" t="s">
        <v>441</v>
      </c>
      <c r="C308" s="170" t="s">
        <v>1595</v>
      </c>
      <c r="D308" s="236" t="s">
        <v>437</v>
      </c>
      <c r="E308" s="239">
        <v>44281.0</v>
      </c>
      <c r="F308" s="170" t="s">
        <v>439</v>
      </c>
      <c r="G308" s="170">
        <v>25.0</v>
      </c>
      <c r="H308" s="171">
        <v>100.0</v>
      </c>
      <c r="I308" s="171">
        <v>100.0</v>
      </c>
      <c r="J308" s="172">
        <f t="shared" si="2"/>
        <v>0.001234425234</v>
      </c>
      <c r="K308" s="173">
        <f t="shared" si="8"/>
        <v>1.378441511</v>
      </c>
      <c r="L308" s="174">
        <f t="shared" si="4"/>
        <v>8.963435776</v>
      </c>
      <c r="M308" s="175" t="str">
        <f t="shared" si="5"/>
        <v>liviade</v>
      </c>
      <c r="N308" s="176">
        <f>IFERROR(__xludf.DUMMYFUNCTION("""COMPUTED_VALUE"""),20.0)</f>
        <v>20</v>
      </c>
      <c r="O308" s="176"/>
      <c r="P308" s="165" t="s">
        <v>490</v>
      </c>
      <c r="Q308" s="165" t="s">
        <v>441</v>
      </c>
      <c r="R308" s="176"/>
      <c r="S308" s="176"/>
      <c r="T308" s="176"/>
      <c r="U308" s="176"/>
      <c r="V308" s="176"/>
      <c r="W308" s="176"/>
      <c r="X308" s="176"/>
      <c r="Y308" s="176"/>
      <c r="Z308" s="176"/>
      <c r="AA308" s="176"/>
    </row>
    <row r="309">
      <c r="A309" s="165" t="str">
        <f>iferror(VLOOKUP(P309,'DO NOT TOUCH Imported'!$A$1:$D$800,4,False),iferror(VLOOKUP(P309,'DO NOT TOUCH Imported'!$C$1:$D$800,2,False),"OOPS FIX ME"))</f>
        <v>liviade</v>
      </c>
      <c r="B309" s="165" t="s">
        <v>490</v>
      </c>
      <c r="C309" s="170" t="s">
        <v>1707</v>
      </c>
      <c r="D309" s="236" t="s">
        <v>437</v>
      </c>
      <c r="E309" s="239">
        <v>44279.0</v>
      </c>
      <c r="F309" s="170" t="s">
        <v>439</v>
      </c>
      <c r="G309" s="170">
        <v>25.0</v>
      </c>
      <c r="H309" s="171">
        <v>70.0</v>
      </c>
      <c r="I309" s="171">
        <v>100.0</v>
      </c>
      <c r="J309" s="172">
        <f t="shared" si="2"/>
        <v>0.00110856783</v>
      </c>
      <c r="K309" s="173">
        <f t="shared" si="8"/>
        <v>1.237900744</v>
      </c>
      <c r="L309" s="174">
        <f t="shared" si="4"/>
        <v>8.963435776</v>
      </c>
      <c r="M309" s="175" t="str">
        <f t="shared" si="5"/>
        <v>liviade</v>
      </c>
      <c r="N309" s="176">
        <f>IFERROR(__xludf.DUMMYFUNCTION("""COMPUTED_VALUE"""),21.0)</f>
        <v>21</v>
      </c>
      <c r="O309" s="176"/>
      <c r="P309" s="165" t="s">
        <v>490</v>
      </c>
      <c r="Q309" s="165" t="s">
        <v>490</v>
      </c>
      <c r="R309" s="176"/>
      <c r="S309" s="176"/>
      <c r="T309" s="176"/>
      <c r="U309" s="176"/>
      <c r="V309" s="176"/>
      <c r="W309" s="176"/>
      <c r="X309" s="176"/>
      <c r="Y309" s="176"/>
      <c r="Z309" s="176"/>
      <c r="AA309" s="176"/>
    </row>
    <row r="310">
      <c r="A310" s="165" t="str">
        <f>iferror(VLOOKUP(P310,'DO NOT TOUCH Imported'!$A$1:$D$800,4,False),iferror(VLOOKUP(P310,'DO NOT TOUCH Imported'!$C$1:$D$800,2,False),"OOPS FIX ME"))</f>
        <v>liviade</v>
      </c>
      <c r="B310" s="165" t="s">
        <v>441</v>
      </c>
      <c r="C310" s="170" t="s">
        <v>1713</v>
      </c>
      <c r="D310" s="236" t="s">
        <v>437</v>
      </c>
      <c r="E310" s="239">
        <v>44281.0</v>
      </c>
      <c r="F310" s="170" t="s">
        <v>439</v>
      </c>
      <c r="G310" s="170">
        <v>25.0</v>
      </c>
      <c r="H310" s="171">
        <v>70.0</v>
      </c>
      <c r="I310" s="171">
        <v>100.0</v>
      </c>
      <c r="J310" s="172">
        <f t="shared" si="2"/>
        <v>0.00110856783</v>
      </c>
      <c r="K310" s="173">
        <f t="shared" si="8"/>
        <v>1.237900744</v>
      </c>
      <c r="L310" s="174">
        <f t="shared" si="4"/>
        <v>8.963435776</v>
      </c>
      <c r="M310" s="175" t="str">
        <f t="shared" si="5"/>
        <v>liviade</v>
      </c>
      <c r="N310" s="176">
        <f>IFERROR(__xludf.DUMMYFUNCTION("""COMPUTED_VALUE"""),22.0)</f>
        <v>22</v>
      </c>
      <c r="O310" s="176"/>
      <c r="P310" s="165" t="s">
        <v>490</v>
      </c>
      <c r="Q310" s="165" t="s">
        <v>441</v>
      </c>
      <c r="R310" s="176"/>
      <c r="S310" s="176"/>
      <c r="T310" s="176"/>
      <c r="U310" s="176"/>
      <c r="V310" s="176"/>
      <c r="W310" s="176"/>
      <c r="X310" s="176"/>
      <c r="Y310" s="176"/>
      <c r="Z310" s="176"/>
      <c r="AA310" s="176"/>
    </row>
    <row r="311">
      <c r="A311" s="165" t="str">
        <f>iferror(VLOOKUP(P311,'DO NOT TOUCH Imported'!$A$1:$D$800,4,False),iferror(VLOOKUP(P311,'DO NOT TOUCH Imported'!$C$1:$D$800,2,False),"OOPS FIX ME"))</f>
        <v>liviade</v>
      </c>
      <c r="B311" s="249" t="s">
        <v>519</v>
      </c>
      <c r="C311" s="250" t="s">
        <v>1737</v>
      </c>
      <c r="D311" s="236" t="s">
        <v>1584</v>
      </c>
      <c r="E311" s="251">
        <v>44277.0</v>
      </c>
      <c r="F311" s="219" t="s">
        <v>499</v>
      </c>
      <c r="G311" s="170">
        <v>15.0</v>
      </c>
      <c r="H311" s="171">
        <v>100.0</v>
      </c>
      <c r="I311" s="171">
        <v>100.0</v>
      </c>
      <c r="J311" s="172">
        <f t="shared" si="2"/>
        <v>0.001076708966</v>
      </c>
      <c r="K311" s="173">
        <f t="shared" si="8"/>
        <v>1.202325011</v>
      </c>
      <c r="L311" s="174">
        <f t="shared" si="4"/>
        <v>8.963435776</v>
      </c>
      <c r="M311" s="175" t="str">
        <f t="shared" si="5"/>
        <v>liviade</v>
      </c>
      <c r="N311" s="176">
        <f>IFERROR(__xludf.DUMMYFUNCTION("""COMPUTED_VALUE"""),23.0)</f>
        <v>23</v>
      </c>
      <c r="O311" s="176"/>
      <c r="P311" s="249" t="s">
        <v>18</v>
      </c>
      <c r="Q311" s="249" t="s">
        <v>519</v>
      </c>
      <c r="R311" s="176"/>
      <c r="S311" s="176"/>
      <c r="T311" s="176"/>
      <c r="U311" s="176"/>
      <c r="V311" s="176"/>
      <c r="W311" s="176"/>
      <c r="X311" s="176"/>
      <c r="Y311" s="176"/>
      <c r="Z311" s="176"/>
      <c r="AA311" s="176"/>
    </row>
    <row r="312">
      <c r="A312" s="165" t="str">
        <f>iferror(VLOOKUP(P312,'DO NOT TOUCH Imported'!$A$1:$D$800,4,False),iferror(VLOOKUP(P312,'DO NOT TOUCH Imported'!$C$1:$D$800,2,False),"OOPS FIX ME"))</f>
        <v>liviade</v>
      </c>
      <c r="B312" s="165" t="s">
        <v>463</v>
      </c>
      <c r="C312" s="170" t="s">
        <v>1601</v>
      </c>
      <c r="D312" s="236" t="s">
        <v>437</v>
      </c>
      <c r="E312" s="239">
        <v>44272.0</v>
      </c>
      <c r="F312" s="170" t="s">
        <v>439</v>
      </c>
      <c r="G312" s="170">
        <v>15.0</v>
      </c>
      <c r="H312" s="171">
        <v>100.0</v>
      </c>
      <c r="I312" s="171">
        <v>100.0</v>
      </c>
      <c r="J312" s="172">
        <f t="shared" si="2"/>
        <v>0.001076708966</v>
      </c>
      <c r="K312" s="173">
        <f t="shared" si="8"/>
        <v>1.202325011</v>
      </c>
      <c r="L312" s="174">
        <f t="shared" si="4"/>
        <v>8.963435776</v>
      </c>
      <c r="M312" s="175" t="str">
        <f t="shared" si="5"/>
        <v>liviade</v>
      </c>
      <c r="N312" s="176">
        <f>IFERROR(__xludf.DUMMYFUNCTION("""COMPUTED_VALUE"""),24.0)</f>
        <v>24</v>
      </c>
      <c r="O312" s="176"/>
      <c r="P312" s="165" t="s">
        <v>490</v>
      </c>
      <c r="Q312" s="165" t="s">
        <v>463</v>
      </c>
      <c r="R312" s="176"/>
      <c r="S312" s="176"/>
      <c r="T312" s="176"/>
      <c r="U312" s="176"/>
      <c r="V312" s="176"/>
      <c r="W312" s="176"/>
      <c r="X312" s="176"/>
      <c r="Y312" s="176"/>
      <c r="Z312" s="176"/>
      <c r="AA312" s="176"/>
    </row>
    <row r="313">
      <c r="A313" s="165" t="str">
        <f>iferror(VLOOKUP(P313,'DO NOT TOUCH Imported'!$A$1:$D$800,4,False),iferror(VLOOKUP(P313,'DO NOT TOUCH Imported'!$C$1:$D$800,2,False),"OOPS FIX ME"))</f>
        <v>liviade</v>
      </c>
      <c r="B313" s="165" t="s">
        <v>441</v>
      </c>
      <c r="C313" s="170" t="s">
        <v>1724</v>
      </c>
      <c r="D313" s="236" t="s">
        <v>437</v>
      </c>
      <c r="E313" s="239">
        <v>44274.0</v>
      </c>
      <c r="F313" s="170" t="s">
        <v>439</v>
      </c>
      <c r="G313" s="170">
        <v>15.0</v>
      </c>
      <c r="H313" s="171">
        <v>100.0</v>
      </c>
      <c r="I313" s="171">
        <v>100.0</v>
      </c>
      <c r="J313" s="172">
        <f t="shared" si="2"/>
        <v>0.001076708966</v>
      </c>
      <c r="K313" s="173">
        <f t="shared" si="8"/>
        <v>1.202325011</v>
      </c>
      <c r="L313" s="174">
        <f t="shared" si="4"/>
        <v>8.963435776</v>
      </c>
      <c r="M313" s="175" t="str">
        <f t="shared" si="5"/>
        <v>liviade</v>
      </c>
      <c r="N313" s="176">
        <f>IFERROR(__xludf.DUMMYFUNCTION("""COMPUTED_VALUE"""),25.0)</f>
        <v>25</v>
      </c>
      <c r="O313" s="176"/>
      <c r="P313" s="165" t="s">
        <v>490</v>
      </c>
      <c r="Q313" s="165" t="s">
        <v>441</v>
      </c>
      <c r="R313" s="176"/>
      <c r="S313" s="176"/>
      <c r="T313" s="176"/>
      <c r="U313" s="176"/>
      <c r="V313" s="176"/>
      <c r="W313" s="176"/>
      <c r="X313" s="176"/>
      <c r="Y313" s="176"/>
      <c r="Z313" s="176"/>
      <c r="AA313" s="176"/>
    </row>
    <row r="314">
      <c r="A314" s="165" t="str">
        <f>iferror(VLOOKUP(P314,'DO NOT TOUCH Imported'!$A$1:$D$800,4,False),iferror(VLOOKUP(P314,'DO NOT TOUCH Imported'!$C$1:$D$800,2,False),"OOPS FIX ME"))</f>
        <v>liviade</v>
      </c>
      <c r="B314" s="165" t="s">
        <v>443</v>
      </c>
      <c r="C314" s="170" t="s">
        <v>1603</v>
      </c>
      <c r="D314" s="236" t="s">
        <v>437</v>
      </c>
      <c r="E314" s="239">
        <v>44277.0</v>
      </c>
      <c r="F314" s="170" t="s">
        <v>439</v>
      </c>
      <c r="G314" s="170">
        <v>15.0</v>
      </c>
      <c r="H314" s="171">
        <v>100.0</v>
      </c>
      <c r="I314" s="171">
        <v>100.0</v>
      </c>
      <c r="J314" s="172">
        <f t="shared" si="2"/>
        <v>0.001076708966</v>
      </c>
      <c r="K314" s="173">
        <f t="shared" si="8"/>
        <v>1.202325011</v>
      </c>
      <c r="L314" s="174">
        <f t="shared" si="4"/>
        <v>8.963435776</v>
      </c>
      <c r="M314" s="175" t="str">
        <f t="shared" si="5"/>
        <v>liviade</v>
      </c>
      <c r="N314" s="176">
        <f>IFERROR(__xludf.DUMMYFUNCTION("""COMPUTED_VALUE"""),26.0)</f>
        <v>26</v>
      </c>
      <c r="O314" s="176"/>
      <c r="P314" s="165" t="s">
        <v>490</v>
      </c>
      <c r="Q314" s="165" t="s">
        <v>443</v>
      </c>
      <c r="R314" s="176"/>
      <c r="S314" s="176"/>
      <c r="T314" s="176"/>
      <c r="U314" s="176"/>
      <c r="V314" s="176"/>
      <c r="W314" s="176"/>
      <c r="X314" s="176"/>
      <c r="Y314" s="176"/>
      <c r="Z314" s="176"/>
      <c r="AA314" s="176"/>
    </row>
    <row r="315">
      <c r="A315" s="165" t="str">
        <f>iferror(VLOOKUP(P315,'DO NOT TOUCH Imported'!$A$1:$D$800,4,False),iferror(VLOOKUP(P315,'DO NOT TOUCH Imported'!$C$1:$D$800,2,False),"OOPS FIX ME"))</f>
        <v>liviade</v>
      </c>
      <c r="B315" s="165" t="s">
        <v>490</v>
      </c>
      <c r="C315" s="170" t="s">
        <v>1738</v>
      </c>
      <c r="D315" s="236" t="s">
        <v>437</v>
      </c>
      <c r="E315" s="239">
        <v>44277.0</v>
      </c>
      <c r="F315" s="170" t="s">
        <v>439</v>
      </c>
      <c r="G315" s="170">
        <v>15.0</v>
      </c>
      <c r="H315" s="171">
        <v>100.0</v>
      </c>
      <c r="I315" s="171">
        <v>100.0</v>
      </c>
      <c r="J315" s="172">
        <f t="shared" si="2"/>
        <v>0.001076708966</v>
      </c>
      <c r="K315" s="173">
        <f t="shared" si="8"/>
        <v>1.202325011</v>
      </c>
      <c r="L315" s="174">
        <f t="shared" si="4"/>
        <v>8.963435776</v>
      </c>
      <c r="M315" s="175" t="str">
        <f t="shared" si="5"/>
        <v>liviade</v>
      </c>
      <c r="N315" s="176">
        <f>IFERROR(__xludf.DUMMYFUNCTION("""COMPUTED_VALUE"""),27.0)</f>
        <v>27</v>
      </c>
      <c r="O315" s="176"/>
      <c r="P315" s="165" t="s">
        <v>490</v>
      </c>
      <c r="Q315" s="165" t="s">
        <v>490</v>
      </c>
      <c r="R315" s="176"/>
      <c r="S315" s="176"/>
      <c r="T315" s="176"/>
      <c r="U315" s="176"/>
      <c r="V315" s="176"/>
      <c r="W315" s="176"/>
      <c r="X315" s="176"/>
      <c r="Y315" s="176"/>
      <c r="Z315" s="176"/>
      <c r="AA315" s="176"/>
    </row>
    <row r="316">
      <c r="A316" s="165" t="str">
        <f>iferror(VLOOKUP(P316,'DO NOT TOUCH Imported'!$A$1:$D$800,4,False),iferror(VLOOKUP(P316,'DO NOT TOUCH Imported'!$C$1:$D$800,2,False),"OOPS FIX ME"))</f>
        <v>liviade</v>
      </c>
      <c r="B316" s="165" t="s">
        <v>435</v>
      </c>
      <c r="C316" s="170" t="s">
        <v>1739</v>
      </c>
      <c r="D316" s="236" t="s">
        <v>499</v>
      </c>
      <c r="E316" s="239">
        <v>44277.0</v>
      </c>
      <c r="F316" s="170" t="s">
        <v>503</v>
      </c>
      <c r="G316" s="170">
        <v>15.0</v>
      </c>
      <c r="H316" s="171">
        <v>100.0</v>
      </c>
      <c r="I316" s="171">
        <v>100.0</v>
      </c>
      <c r="J316" s="172">
        <f t="shared" si="2"/>
        <v>0.001076708966</v>
      </c>
      <c r="K316" s="173">
        <f t="shared" si="8"/>
        <v>1.202325011</v>
      </c>
      <c r="L316" s="174">
        <f t="shared" si="4"/>
        <v>8.963435776</v>
      </c>
      <c r="M316" s="175" t="str">
        <f t="shared" si="5"/>
        <v>liviade</v>
      </c>
      <c r="N316" s="176">
        <f>IFERROR(__xludf.DUMMYFUNCTION("""COMPUTED_VALUE"""),28.0)</f>
        <v>28</v>
      </c>
      <c r="O316" s="176"/>
      <c r="P316" s="165" t="s">
        <v>490</v>
      </c>
      <c r="Q316" s="165" t="s">
        <v>435</v>
      </c>
      <c r="R316" s="176"/>
      <c r="S316" s="176"/>
      <c r="T316" s="176"/>
      <c r="U316" s="176"/>
      <c r="V316" s="176"/>
      <c r="W316" s="176"/>
      <c r="X316" s="176"/>
      <c r="Y316" s="176"/>
      <c r="Z316" s="176"/>
      <c r="AA316" s="176"/>
    </row>
    <row r="317">
      <c r="A317" s="165" t="str">
        <f>iferror(VLOOKUP(P317,'DO NOT TOUCH Imported'!$A$1:$D$800,4,False),iferror(VLOOKUP(P317,'DO NOT TOUCH Imported'!$C$1:$D$800,2,False),"OOPS FIX ME"))</f>
        <v>liviade</v>
      </c>
      <c r="B317" s="165" t="s">
        <v>443</v>
      </c>
      <c r="C317" s="170" t="s">
        <v>1652</v>
      </c>
      <c r="D317" s="236" t="s">
        <v>437</v>
      </c>
      <c r="E317" s="239">
        <v>44279.0</v>
      </c>
      <c r="F317" s="170" t="s">
        <v>439</v>
      </c>
      <c r="G317" s="170">
        <v>15.0</v>
      </c>
      <c r="H317" s="171">
        <v>100.0</v>
      </c>
      <c r="I317" s="171">
        <v>100.0</v>
      </c>
      <c r="J317" s="172">
        <f t="shared" si="2"/>
        <v>0.001076708966</v>
      </c>
      <c r="K317" s="173">
        <f t="shared" si="8"/>
        <v>1.202325011</v>
      </c>
      <c r="L317" s="174">
        <f t="shared" si="4"/>
        <v>8.963435776</v>
      </c>
      <c r="M317" s="175" t="str">
        <f t="shared" si="5"/>
        <v>liviade</v>
      </c>
      <c r="N317" s="176">
        <f>IFERROR(__xludf.DUMMYFUNCTION("""COMPUTED_VALUE"""),29.0)</f>
        <v>29</v>
      </c>
      <c r="O317" s="176"/>
      <c r="P317" s="165" t="s">
        <v>490</v>
      </c>
      <c r="Q317" s="165" t="s">
        <v>443</v>
      </c>
      <c r="R317" s="176"/>
      <c r="S317" s="176"/>
      <c r="T317" s="176"/>
      <c r="U317" s="176"/>
      <c r="V317" s="176"/>
      <c r="W317" s="176"/>
      <c r="X317" s="176"/>
      <c r="Y317" s="176"/>
      <c r="Z317" s="176"/>
      <c r="AA317" s="176"/>
    </row>
    <row r="318">
      <c r="A318" s="165" t="str">
        <f>iferror(VLOOKUP(P318,'DO NOT TOUCH Imported'!$A$1:$D$800,4,False),iferror(VLOOKUP(P318,'DO NOT TOUCH Imported'!$C$1:$D$800,2,False),"OOPS FIX ME"))</f>
        <v>liviade</v>
      </c>
      <c r="B318" s="249" t="s">
        <v>590</v>
      </c>
      <c r="C318" s="250" t="s">
        <v>1608</v>
      </c>
      <c r="D318" s="236" t="s">
        <v>1584</v>
      </c>
      <c r="E318" s="251">
        <v>44271.0</v>
      </c>
      <c r="F318" s="219" t="s">
        <v>496</v>
      </c>
      <c r="G318" s="170">
        <v>25.0</v>
      </c>
      <c r="H318" s="171">
        <v>50.0</v>
      </c>
      <c r="I318" s="171">
        <v>100.0</v>
      </c>
      <c r="J318" s="172">
        <f t="shared" si="2"/>
        <v>0.001024662895</v>
      </c>
      <c r="K318" s="173">
        <f t="shared" si="8"/>
        <v>1.144206899</v>
      </c>
      <c r="L318" s="174">
        <f t="shared" si="4"/>
        <v>8.963435776</v>
      </c>
      <c r="M318" s="175" t="str">
        <f t="shared" si="5"/>
        <v>liviade</v>
      </c>
      <c r="N318" s="176">
        <f>IFERROR(__xludf.DUMMYFUNCTION("""COMPUTED_VALUE"""),30.0)</f>
        <v>30</v>
      </c>
      <c r="O318" s="176"/>
      <c r="P318" s="249" t="s">
        <v>18</v>
      </c>
      <c r="Q318" s="249" t="s">
        <v>590</v>
      </c>
      <c r="R318" s="176"/>
      <c r="S318" s="176"/>
      <c r="T318" s="176"/>
      <c r="U318" s="176"/>
      <c r="V318" s="176"/>
      <c r="W318" s="176"/>
      <c r="X318" s="176"/>
      <c r="Y318" s="176"/>
      <c r="Z318" s="176"/>
      <c r="AA318" s="176"/>
    </row>
    <row r="319">
      <c r="A319" s="165" t="str">
        <f>iferror(VLOOKUP(P319,'DO NOT TOUCH Imported'!$A$1:$D$800,4,False),iferror(VLOOKUP(P319,'DO NOT TOUCH Imported'!$C$1:$D$800,2,False),"OOPS FIX ME"))</f>
        <v>liviade</v>
      </c>
      <c r="B319" s="165" t="s">
        <v>435</v>
      </c>
      <c r="C319" s="170" t="s">
        <v>1610</v>
      </c>
      <c r="D319" s="236" t="s">
        <v>437</v>
      </c>
      <c r="E319" s="239">
        <v>44272.0</v>
      </c>
      <c r="F319" s="170" t="s">
        <v>439</v>
      </c>
      <c r="G319" s="170">
        <v>15.0</v>
      </c>
      <c r="H319" s="171">
        <v>80.0</v>
      </c>
      <c r="I319" s="171">
        <v>100.0</v>
      </c>
      <c r="J319" s="172">
        <f t="shared" si="2"/>
        <v>0.0009928040298</v>
      </c>
      <c r="K319" s="173">
        <f t="shared" si="8"/>
        <v>1.108631167</v>
      </c>
      <c r="L319" s="174">
        <f t="shared" si="4"/>
        <v>8.963435776</v>
      </c>
      <c r="M319" s="175" t="str">
        <f t="shared" si="5"/>
        <v>liviade</v>
      </c>
      <c r="N319" s="176">
        <f>IFERROR(__xludf.DUMMYFUNCTION("""COMPUTED_VALUE"""),31.0)</f>
        <v>31</v>
      </c>
      <c r="O319" s="176"/>
      <c r="P319" s="165" t="s">
        <v>490</v>
      </c>
      <c r="Q319" s="165" t="s">
        <v>435</v>
      </c>
      <c r="R319" s="176"/>
      <c r="S319" s="176"/>
      <c r="T319" s="176"/>
      <c r="U319" s="176"/>
      <c r="V319" s="176"/>
      <c r="W319" s="176"/>
      <c r="X319" s="176"/>
      <c r="Y319" s="176"/>
      <c r="Z319" s="176"/>
      <c r="AA319" s="176"/>
    </row>
    <row r="320">
      <c r="A320" s="165" t="str">
        <f>iferror(VLOOKUP(P320,'DO NOT TOUCH Imported'!$A$1:$D$800,4,False),iferror(VLOOKUP(P320,'DO NOT TOUCH Imported'!$C$1:$D$800,2,False),"OOPS FIX ME"))</f>
        <v>liviade</v>
      </c>
      <c r="B320" s="165" t="s">
        <v>46</v>
      </c>
      <c r="C320" s="170" t="s">
        <v>1611</v>
      </c>
      <c r="D320" s="236" t="s">
        <v>437</v>
      </c>
      <c r="E320" s="239">
        <v>44280.0</v>
      </c>
      <c r="F320" s="170" t="s">
        <v>439</v>
      </c>
      <c r="G320" s="170">
        <v>15.0</v>
      </c>
      <c r="H320" s="171">
        <v>80.0</v>
      </c>
      <c r="I320" s="171">
        <v>100.0</v>
      </c>
      <c r="J320" s="172">
        <f t="shared" si="2"/>
        <v>0.0009928040298</v>
      </c>
      <c r="K320" s="173">
        <f t="shared" si="8"/>
        <v>1.108631167</v>
      </c>
      <c r="L320" s="174">
        <f t="shared" si="4"/>
        <v>8.963435776</v>
      </c>
      <c r="M320" s="175" t="str">
        <f t="shared" si="5"/>
        <v>liviade</v>
      </c>
      <c r="N320" s="176">
        <f>IFERROR(__xludf.DUMMYFUNCTION("""COMPUTED_VALUE"""),32.0)</f>
        <v>32</v>
      </c>
      <c r="O320" s="176"/>
      <c r="P320" s="165" t="s">
        <v>490</v>
      </c>
      <c r="Q320" s="165" t="s">
        <v>46</v>
      </c>
      <c r="R320" s="176"/>
      <c r="S320" s="176"/>
      <c r="T320" s="176"/>
      <c r="U320" s="176"/>
      <c r="V320" s="176"/>
      <c r="W320" s="176"/>
      <c r="X320" s="176"/>
      <c r="Y320" s="176"/>
      <c r="Z320" s="176"/>
      <c r="AA320" s="176"/>
    </row>
    <row r="321">
      <c r="A321" s="165" t="str">
        <f>iferror(VLOOKUP(P321,'DO NOT TOUCH Imported'!$A$1:$D$800,4,False),iferror(VLOOKUP(P321,'DO NOT TOUCH Imported'!$C$1:$D$800,2,False),"OOPS FIX ME"))</f>
        <v>liviade</v>
      </c>
      <c r="B321" s="165" t="s">
        <v>441</v>
      </c>
      <c r="C321" s="170" t="s">
        <v>1612</v>
      </c>
      <c r="D321" s="236" t="s">
        <v>437</v>
      </c>
      <c r="E321" s="239">
        <v>44281.0</v>
      </c>
      <c r="F321" s="170" t="s">
        <v>439</v>
      </c>
      <c r="G321" s="170">
        <v>15.0</v>
      </c>
      <c r="H321" s="171">
        <v>80.0</v>
      </c>
      <c r="I321" s="171">
        <v>100.0</v>
      </c>
      <c r="J321" s="172">
        <f t="shared" si="2"/>
        <v>0.0009928040298</v>
      </c>
      <c r="K321" s="173">
        <f t="shared" si="8"/>
        <v>1.108631167</v>
      </c>
      <c r="L321" s="174">
        <f t="shared" si="4"/>
        <v>8.963435776</v>
      </c>
      <c r="M321" s="175" t="str">
        <f t="shared" si="5"/>
        <v>liviade</v>
      </c>
      <c r="N321" s="176">
        <f>IFERROR(__xludf.DUMMYFUNCTION("""COMPUTED_VALUE"""),33.0)</f>
        <v>33</v>
      </c>
      <c r="O321" s="176"/>
      <c r="P321" s="165" t="s">
        <v>490</v>
      </c>
      <c r="Q321" s="165" t="s">
        <v>441</v>
      </c>
      <c r="R321" s="176"/>
      <c r="S321" s="176"/>
      <c r="T321" s="176"/>
      <c r="U321" s="176"/>
      <c r="V321" s="176"/>
      <c r="W321" s="176"/>
      <c r="X321" s="176"/>
      <c r="Y321" s="176"/>
      <c r="Z321" s="176"/>
      <c r="AA321" s="176"/>
    </row>
    <row r="322">
      <c r="A322" s="165" t="str">
        <f>iferror(VLOOKUP(P322,'DO NOT TOUCH Imported'!$A$1:$D$800,4,False),iferror(VLOOKUP(P322,'DO NOT TOUCH Imported'!$C$1:$D$800,2,False),"OOPS FIX ME"))</f>
        <v>liviade</v>
      </c>
      <c r="B322" s="165" t="s">
        <v>576</v>
      </c>
      <c r="C322" s="170" t="s">
        <v>1613</v>
      </c>
      <c r="D322" s="236" t="s">
        <v>437</v>
      </c>
      <c r="E322" s="239">
        <v>44274.0</v>
      </c>
      <c r="F322" s="170" t="s">
        <v>439</v>
      </c>
      <c r="G322" s="170">
        <v>15.0</v>
      </c>
      <c r="H322" s="171">
        <v>70.0</v>
      </c>
      <c r="I322" s="171">
        <v>100.0</v>
      </c>
      <c r="J322" s="172">
        <f t="shared" si="2"/>
        <v>0.000950851562</v>
      </c>
      <c r="K322" s="173">
        <f t="shared" si="8"/>
        <v>1.061784244</v>
      </c>
      <c r="L322" s="174">
        <f t="shared" si="4"/>
        <v>8.963435776</v>
      </c>
      <c r="M322" s="175" t="str">
        <f t="shared" si="5"/>
        <v>liviade</v>
      </c>
      <c r="N322" s="176">
        <f>IFERROR(__xludf.DUMMYFUNCTION("""COMPUTED_VALUE"""),34.0)</f>
        <v>34</v>
      </c>
      <c r="O322" s="176"/>
      <c r="P322" s="165" t="s">
        <v>490</v>
      </c>
      <c r="Q322" s="165" t="s">
        <v>576</v>
      </c>
      <c r="R322" s="176"/>
      <c r="S322" s="176"/>
      <c r="T322" s="176"/>
      <c r="U322" s="176"/>
      <c r="V322" s="176"/>
      <c r="W322" s="176"/>
      <c r="X322" s="176"/>
      <c r="Y322" s="176"/>
      <c r="Z322" s="176"/>
      <c r="AA322" s="176"/>
    </row>
    <row r="323">
      <c r="A323" s="165" t="str">
        <f>iferror(VLOOKUP(P323,'DO NOT TOUCH Imported'!$A$1:$D$800,4,False),iferror(VLOOKUP(P323,'DO NOT TOUCH Imported'!$C$1:$D$800,2,False),"OOPS FIX ME"))</f>
        <v>liviade</v>
      </c>
      <c r="B323" s="165" t="s">
        <v>443</v>
      </c>
      <c r="C323" s="170" t="s">
        <v>1616</v>
      </c>
      <c r="D323" s="236" t="s">
        <v>437</v>
      </c>
      <c r="E323" s="239">
        <v>44280.0</v>
      </c>
      <c r="F323" s="170" t="s">
        <v>439</v>
      </c>
      <c r="G323" s="170">
        <v>5.0</v>
      </c>
      <c r="H323" s="171">
        <v>100.0</v>
      </c>
      <c r="I323" s="171">
        <v>100.0</v>
      </c>
      <c r="J323" s="172">
        <f t="shared" si="2"/>
        <v>0.0009189926971</v>
      </c>
      <c r="K323" s="173">
        <f t="shared" si="8"/>
        <v>1.026208512</v>
      </c>
      <c r="L323" s="174">
        <f t="shared" si="4"/>
        <v>8.963435776</v>
      </c>
      <c r="M323" s="175" t="str">
        <f t="shared" si="5"/>
        <v>liviade</v>
      </c>
      <c r="N323" s="176">
        <f>IFERROR(__xludf.DUMMYFUNCTION("""COMPUTED_VALUE"""),35.0)</f>
        <v>35</v>
      </c>
      <c r="O323" s="176"/>
      <c r="P323" s="165" t="s">
        <v>490</v>
      </c>
      <c r="Q323" s="165" t="s">
        <v>443</v>
      </c>
      <c r="R323" s="176"/>
      <c r="S323" s="176"/>
      <c r="T323" s="176"/>
      <c r="U323" s="176"/>
      <c r="V323" s="176"/>
      <c r="W323" s="176"/>
      <c r="X323" s="176"/>
      <c r="Y323" s="176"/>
      <c r="Z323" s="176"/>
      <c r="AA323" s="176"/>
    </row>
    <row r="324">
      <c r="A324" s="165" t="str">
        <f>iferror(VLOOKUP(P324,'DO NOT TOUCH Imported'!$A$1:$D$800,4,False),iferror(VLOOKUP(P324,'DO NOT TOUCH Imported'!$C$1:$D$800,2,False),"OOPS FIX ME"))</f>
        <v>liviade</v>
      </c>
      <c r="B324" s="249" t="s">
        <v>18</v>
      </c>
      <c r="C324" s="250" t="s">
        <v>1617</v>
      </c>
      <c r="D324" s="236" t="s">
        <v>1584</v>
      </c>
      <c r="E324" s="251">
        <v>44273.0</v>
      </c>
      <c r="F324" s="219" t="s">
        <v>496</v>
      </c>
      <c r="G324" s="170">
        <v>15.0</v>
      </c>
      <c r="H324" s="171">
        <v>60.0</v>
      </c>
      <c r="I324" s="171">
        <v>100.0</v>
      </c>
      <c r="J324" s="172">
        <f t="shared" si="2"/>
        <v>0.0009088990941</v>
      </c>
      <c r="K324" s="173">
        <f t="shared" si="8"/>
        <v>1.014937322</v>
      </c>
      <c r="L324" s="174">
        <f t="shared" si="4"/>
        <v>8.963435776</v>
      </c>
      <c r="M324" s="175" t="str">
        <f t="shared" si="5"/>
        <v>liviade</v>
      </c>
      <c r="N324" s="176">
        <f>IFERROR(__xludf.DUMMYFUNCTION("""COMPUTED_VALUE"""),36.0)</f>
        <v>36</v>
      </c>
      <c r="O324" s="176"/>
      <c r="P324" s="249" t="s">
        <v>18</v>
      </c>
      <c r="Q324" s="249" t="s">
        <v>18</v>
      </c>
      <c r="R324" s="176"/>
      <c r="S324" s="176"/>
      <c r="T324" s="176"/>
      <c r="U324" s="176"/>
      <c r="V324" s="176"/>
      <c r="W324" s="176"/>
      <c r="X324" s="176"/>
      <c r="Y324" s="176"/>
      <c r="Z324" s="176"/>
      <c r="AA324" s="176"/>
    </row>
    <row r="325">
      <c r="A325" s="165" t="str">
        <f>iferror(VLOOKUP(P325,'DO NOT TOUCH Imported'!$A$1:$D$800,4,False),iferror(VLOOKUP(P325,'DO NOT TOUCH Imported'!$C$1:$D$800,2,False),"OOPS FIX ME"))</f>
        <v>liviade</v>
      </c>
      <c r="B325" s="249" t="s">
        <v>18</v>
      </c>
      <c r="C325" s="250" t="s">
        <v>1618</v>
      </c>
      <c r="D325" s="236" t="s">
        <v>1584</v>
      </c>
      <c r="E325" s="251">
        <v>44273.0</v>
      </c>
      <c r="F325" s="219" t="s">
        <v>496</v>
      </c>
      <c r="G325" s="170">
        <v>15.0</v>
      </c>
      <c r="H325" s="171">
        <v>60.0</v>
      </c>
      <c r="I325" s="171">
        <v>100.0</v>
      </c>
      <c r="J325" s="172">
        <f t="shared" si="2"/>
        <v>0.0009088990941</v>
      </c>
      <c r="K325" s="173">
        <f t="shared" si="8"/>
        <v>1.014937322</v>
      </c>
      <c r="L325" s="174">
        <f t="shared" si="4"/>
        <v>8.963435776</v>
      </c>
      <c r="M325" s="175" t="str">
        <f t="shared" si="5"/>
        <v>liviade</v>
      </c>
      <c r="N325" s="176">
        <f>IFERROR(__xludf.DUMMYFUNCTION("""COMPUTED_VALUE"""),37.0)</f>
        <v>37</v>
      </c>
      <c r="O325" s="176"/>
      <c r="P325" s="249" t="s">
        <v>18</v>
      </c>
      <c r="Q325" s="249" t="s">
        <v>18</v>
      </c>
      <c r="R325" s="176"/>
      <c r="S325" s="176"/>
      <c r="T325" s="176"/>
      <c r="U325" s="176"/>
      <c r="V325" s="176"/>
      <c r="W325" s="176"/>
      <c r="X325" s="176"/>
      <c r="Y325" s="176"/>
      <c r="Z325" s="176"/>
      <c r="AA325" s="176"/>
    </row>
    <row r="326">
      <c r="A326" s="165" t="str">
        <f>iferror(VLOOKUP(P326,'DO NOT TOUCH Imported'!$A$1:$D$800,4,False),iferror(VLOOKUP(P326,'DO NOT TOUCH Imported'!$C$1:$D$800,2,False),"OOPS FIX ME"))</f>
        <v>liviade</v>
      </c>
      <c r="B326" s="165" t="s">
        <v>441</v>
      </c>
      <c r="C326" s="170" t="s">
        <v>1620</v>
      </c>
      <c r="D326" s="236" t="s">
        <v>437</v>
      </c>
      <c r="E326" s="239">
        <v>44274.0</v>
      </c>
      <c r="F326" s="170" t="s">
        <v>439</v>
      </c>
      <c r="G326" s="170">
        <v>15.0</v>
      </c>
      <c r="H326" s="171">
        <v>60.0</v>
      </c>
      <c r="I326" s="171">
        <v>100.0</v>
      </c>
      <c r="J326" s="172">
        <f t="shared" si="2"/>
        <v>0.0009088990941</v>
      </c>
      <c r="K326" s="173">
        <f t="shared" si="8"/>
        <v>1.014937322</v>
      </c>
      <c r="L326" s="174">
        <f t="shared" si="4"/>
        <v>8.963435776</v>
      </c>
      <c r="M326" s="175" t="str">
        <f t="shared" si="5"/>
        <v>liviade</v>
      </c>
      <c r="N326" s="176">
        <f>IFERROR(__xludf.DUMMYFUNCTION("""COMPUTED_VALUE"""),38.0)</f>
        <v>38</v>
      </c>
      <c r="O326" s="176"/>
      <c r="P326" s="165" t="s">
        <v>490</v>
      </c>
      <c r="Q326" s="165" t="s">
        <v>441</v>
      </c>
      <c r="R326" s="176"/>
      <c r="S326" s="176"/>
      <c r="T326" s="176"/>
      <c r="U326" s="176"/>
      <c r="V326" s="176"/>
      <c r="W326" s="176"/>
      <c r="X326" s="176"/>
      <c r="Y326" s="176"/>
      <c r="Z326" s="176"/>
      <c r="AA326" s="176"/>
    </row>
    <row r="327">
      <c r="A327" s="165" t="str">
        <f>iferror(VLOOKUP(P327,'DO NOT TOUCH Imported'!$A$1:$D$800,4,False),iferror(VLOOKUP(P327,'DO NOT TOUCH Imported'!$C$1:$D$800,2,False),"OOPS FIX ME"))</f>
        <v>liviade</v>
      </c>
      <c r="B327" s="249" t="s">
        <v>10</v>
      </c>
      <c r="C327" s="250" t="s">
        <v>494</v>
      </c>
      <c r="D327" s="236" t="s">
        <v>1584</v>
      </c>
      <c r="E327" s="251">
        <v>44275.0</v>
      </c>
      <c r="F327" s="219" t="s">
        <v>496</v>
      </c>
      <c r="G327" s="170">
        <v>15.0</v>
      </c>
      <c r="H327" s="171">
        <v>50.0</v>
      </c>
      <c r="I327" s="171">
        <v>100.0</v>
      </c>
      <c r="J327" s="172">
        <f t="shared" si="2"/>
        <v>0.0008669466263</v>
      </c>
      <c r="K327" s="173">
        <f t="shared" si="8"/>
        <v>0.9680903993</v>
      </c>
      <c r="L327" s="174">
        <f t="shared" si="4"/>
        <v>8.963435776</v>
      </c>
      <c r="M327" s="175" t="str">
        <f t="shared" si="5"/>
        <v>liviade</v>
      </c>
      <c r="N327" s="176">
        <f>IFERROR(__xludf.DUMMYFUNCTION("""COMPUTED_VALUE"""),39.0)</f>
        <v>39</v>
      </c>
      <c r="O327" s="176"/>
      <c r="P327" s="249" t="s">
        <v>18</v>
      </c>
      <c r="Q327" s="249" t="s">
        <v>10</v>
      </c>
      <c r="R327" s="176"/>
      <c r="S327" s="176"/>
      <c r="T327" s="176"/>
      <c r="U327" s="176"/>
      <c r="V327" s="176"/>
      <c r="W327" s="176"/>
      <c r="X327" s="176"/>
      <c r="Y327" s="176"/>
      <c r="Z327" s="176"/>
      <c r="AA327" s="176"/>
    </row>
    <row r="328">
      <c r="A328" s="185" t="str">
        <f>iferror(VLOOKUP(P328,'DO NOT TOUCH Imported'!$A$1:$D$800,4,False),iferror(VLOOKUP(P328,'DO NOT TOUCH Imported'!$C$1:$D$800,2,False),"OOPS FIX ME"))</f>
        <v>liviade</v>
      </c>
      <c r="B328" s="185" t="s">
        <v>534</v>
      </c>
      <c r="C328" s="186" t="s">
        <v>741</v>
      </c>
      <c r="D328" s="187"/>
      <c r="E328" s="188"/>
      <c r="F328" s="189"/>
      <c r="G328" s="190"/>
      <c r="H328" s="190"/>
      <c r="I328" s="190"/>
      <c r="J328" s="191">
        <f t="shared" si="2"/>
        <v>0</v>
      </c>
      <c r="K328" s="192">
        <f> 59.755 * -0.85</f>
        <v>-50.79175</v>
      </c>
      <c r="L328" s="193">
        <f t="shared" si="4"/>
        <v>8.963435776</v>
      </c>
      <c r="M328" s="194" t="str">
        <f t="shared" si="5"/>
        <v>liviade</v>
      </c>
      <c r="N328" s="195">
        <f>IFERROR(__xludf.DUMMYFUNCTION("""COMPUTED_VALUE"""),40.0)</f>
        <v>40</v>
      </c>
      <c r="O328" s="195"/>
      <c r="P328" s="196" t="s">
        <v>18</v>
      </c>
      <c r="Q328" s="185" t="s">
        <v>534</v>
      </c>
      <c r="R328" s="195"/>
      <c r="S328" s="195"/>
      <c r="T328" s="195"/>
      <c r="U328" s="195"/>
      <c r="V328" s="195"/>
      <c r="W328" s="195"/>
      <c r="X328" s="195"/>
      <c r="Y328" s="195"/>
      <c r="Z328" s="195"/>
      <c r="AA328" s="176"/>
    </row>
    <row r="329">
      <c r="A329" s="165" t="str">
        <f>iferror(VLOOKUP(P329,'DO NOT TOUCH Imported'!$A$1:$D$800,4,False),iferror(VLOOKUP(P329,'DO NOT TOUCH Imported'!$C$1:$D$800,2,False),"OOPS FIX ME"))</f>
        <v>liviade</v>
      </c>
      <c r="B329" s="165" t="s">
        <v>441</v>
      </c>
      <c r="C329" s="170" t="s">
        <v>1740</v>
      </c>
      <c r="D329" s="236" t="s">
        <v>437</v>
      </c>
      <c r="E329" s="239">
        <v>44281.0</v>
      </c>
      <c r="F329" s="170" t="s">
        <v>439</v>
      </c>
      <c r="G329" s="170">
        <v>100.0</v>
      </c>
      <c r="H329" s="171">
        <v>250.0</v>
      </c>
      <c r="I329" s="171">
        <v>100.0</v>
      </c>
      <c r="J329" s="172">
        <f t="shared" si="2"/>
        <v>0.003046584265</v>
      </c>
      <c r="K329" s="173">
        <f t="shared" ref="K329:K348" si="9">J329*$J$1</f>
        <v>3.402019096</v>
      </c>
      <c r="L329" s="174">
        <f t="shared" si="4"/>
        <v>8.963435776</v>
      </c>
      <c r="M329" s="175" t="str">
        <f t="shared" si="5"/>
        <v>liviade</v>
      </c>
      <c r="N329" s="176">
        <f>IFERROR(__xludf.DUMMYFUNCTION("""COMPUTED_VALUE"""),41.0)</f>
        <v>41</v>
      </c>
      <c r="O329" s="176"/>
      <c r="P329" s="165" t="s">
        <v>490</v>
      </c>
      <c r="Q329" s="165" t="s">
        <v>441</v>
      </c>
      <c r="R329" s="176"/>
      <c r="S329" s="176"/>
      <c r="T329" s="176"/>
      <c r="U329" s="176"/>
      <c r="V329" s="176"/>
      <c r="W329" s="176"/>
      <c r="X329" s="176"/>
      <c r="Y329" s="176"/>
      <c r="Z329" s="176"/>
      <c r="AA329" s="176"/>
    </row>
    <row r="330">
      <c r="A330" s="165" t="str">
        <f>iferror(VLOOKUP(P330,'DO NOT TOUCH Imported'!$A$1:$D$800,4,False),iferror(VLOOKUP(P330,'DO NOT TOUCH Imported'!$C$1:$D$800,2,False),"OOPS FIX ME"))</f>
        <v>sembrestels</v>
      </c>
      <c r="B330" s="165" t="s">
        <v>6</v>
      </c>
      <c r="C330" s="170" t="s">
        <v>1741</v>
      </c>
      <c r="D330" s="236" t="s">
        <v>1584</v>
      </c>
      <c r="E330" s="239">
        <v>44281.0</v>
      </c>
      <c r="F330" s="170" t="s">
        <v>627</v>
      </c>
      <c r="G330" s="170">
        <v>200.0</v>
      </c>
      <c r="H330" s="171">
        <v>300.0</v>
      </c>
      <c r="I330" s="171">
        <v>400.0</v>
      </c>
      <c r="J330" s="172">
        <f t="shared" si="2"/>
        <v>0.006095338942</v>
      </c>
      <c r="K330" s="173">
        <f t="shared" si="9"/>
        <v>6.806461818</v>
      </c>
      <c r="L330" s="174">
        <f t="shared" si="4"/>
        <v>8.926152969</v>
      </c>
      <c r="M330" s="175" t="str">
        <f t="shared" si="5"/>
        <v>sembrestels</v>
      </c>
      <c r="N330" s="176">
        <f>IFERROR(__xludf.DUMMYFUNCTION("""COMPUTED_VALUE"""),1.0)</f>
        <v>1</v>
      </c>
      <c r="O330" s="176"/>
      <c r="P330" s="165" t="s">
        <v>6</v>
      </c>
      <c r="Q330" s="165" t="s">
        <v>6</v>
      </c>
      <c r="R330" s="176"/>
      <c r="S330" s="176"/>
      <c r="T330" s="176"/>
      <c r="U330" s="176"/>
      <c r="V330" s="176"/>
      <c r="W330" s="176"/>
      <c r="X330" s="176"/>
      <c r="Y330" s="176"/>
      <c r="Z330" s="176"/>
      <c r="AA330" s="176"/>
    </row>
    <row r="331">
      <c r="A331" s="165" t="str">
        <f>iferror(VLOOKUP(P331,'DO NOT TOUCH Imported'!$A$1:$D$800,4,False),iferror(VLOOKUP(P331,'DO NOT TOUCH Imported'!$C$1:$D$800,2,False),"OOPS FIX ME"))</f>
        <v>sembrestels</v>
      </c>
      <c r="B331" s="249" t="s">
        <v>6</v>
      </c>
      <c r="C331" s="250" t="s">
        <v>1742</v>
      </c>
      <c r="D331" s="236" t="s">
        <v>1584</v>
      </c>
      <c r="E331" s="251">
        <v>44268.0</v>
      </c>
      <c r="F331" s="219" t="s">
        <v>627</v>
      </c>
      <c r="G331" s="170">
        <v>200.0</v>
      </c>
      <c r="H331" s="171">
        <v>250.0</v>
      </c>
      <c r="I331" s="171">
        <v>400.0</v>
      </c>
      <c r="J331" s="172">
        <f t="shared" si="2"/>
        <v>0.005885576602</v>
      </c>
      <c r="K331" s="173">
        <f t="shared" si="9"/>
        <v>6.572227206</v>
      </c>
      <c r="L331" s="174">
        <f t="shared" si="4"/>
        <v>8.926152969</v>
      </c>
      <c r="M331" s="175" t="str">
        <f t="shared" si="5"/>
        <v>sembrestels</v>
      </c>
      <c r="N331" s="176">
        <f>IFERROR(__xludf.DUMMYFUNCTION("""COMPUTED_VALUE"""),2.0)</f>
        <v>2</v>
      </c>
      <c r="O331" s="176"/>
      <c r="P331" s="249" t="s">
        <v>6</v>
      </c>
      <c r="Q331" s="249" t="s">
        <v>6</v>
      </c>
      <c r="R331" s="176"/>
      <c r="S331" s="176"/>
      <c r="T331" s="176"/>
      <c r="U331" s="176"/>
      <c r="V331" s="176"/>
      <c r="W331" s="176"/>
      <c r="X331" s="176"/>
      <c r="Y331" s="176"/>
      <c r="Z331" s="176"/>
      <c r="AA331" s="176"/>
    </row>
    <row r="332">
      <c r="A332" s="165" t="str">
        <f>iferror(VLOOKUP(P332,'DO NOT TOUCH Imported'!$A$1:$D$800,4,False),iferror(VLOOKUP(P332,'DO NOT TOUCH Imported'!$C$1:$D$800,2,False),"OOPS FIX ME"))</f>
        <v>sembrestels</v>
      </c>
      <c r="B332" s="249" t="s">
        <v>6</v>
      </c>
      <c r="C332" s="250" t="s">
        <v>1743</v>
      </c>
      <c r="D332" s="236" t="s">
        <v>1584</v>
      </c>
      <c r="E332" s="251">
        <v>44270.0</v>
      </c>
      <c r="F332" s="219" t="s">
        <v>627</v>
      </c>
      <c r="G332" s="170">
        <v>200.0</v>
      </c>
      <c r="H332" s="171">
        <v>200.0</v>
      </c>
      <c r="I332" s="171">
        <v>400.0</v>
      </c>
      <c r="J332" s="172">
        <f t="shared" si="2"/>
        <v>0.005675814263</v>
      </c>
      <c r="K332" s="173">
        <f t="shared" si="9"/>
        <v>6.337992594</v>
      </c>
      <c r="L332" s="174">
        <f t="shared" si="4"/>
        <v>8.926152969</v>
      </c>
      <c r="M332" s="175" t="str">
        <f t="shared" si="5"/>
        <v>sembrestels</v>
      </c>
      <c r="N332" s="176">
        <f>IFERROR(__xludf.DUMMYFUNCTION("""COMPUTED_VALUE"""),3.0)</f>
        <v>3</v>
      </c>
      <c r="O332" s="176"/>
      <c r="P332" s="249" t="s">
        <v>6</v>
      </c>
      <c r="Q332" s="249" t="s">
        <v>6</v>
      </c>
      <c r="R332" s="176"/>
      <c r="S332" s="176"/>
      <c r="T332" s="176"/>
      <c r="U332" s="176"/>
      <c r="V332" s="176"/>
      <c r="W332" s="176"/>
      <c r="X332" s="176"/>
      <c r="Y332" s="176"/>
      <c r="Z332" s="176"/>
      <c r="AA332" s="176"/>
    </row>
    <row r="333">
      <c r="A333" s="165" t="str">
        <f>iferror(VLOOKUP(P333,'DO NOT TOUCH Imported'!$A$1:$D$800,4,False),iferror(VLOOKUP(P333,'DO NOT TOUCH Imported'!$C$1:$D$800,2,False),"OOPS FIX ME"))</f>
        <v>sembrestels</v>
      </c>
      <c r="B333" s="249" t="s">
        <v>6</v>
      </c>
      <c r="C333" s="250" t="s">
        <v>1744</v>
      </c>
      <c r="D333" s="236" t="s">
        <v>1584</v>
      </c>
      <c r="E333" s="251">
        <v>44268.0</v>
      </c>
      <c r="F333" s="219" t="s">
        <v>627</v>
      </c>
      <c r="G333" s="170">
        <v>200.0</v>
      </c>
      <c r="H333" s="171">
        <v>200.0</v>
      </c>
      <c r="I333" s="171">
        <v>300.0</v>
      </c>
      <c r="J333" s="172">
        <f t="shared" si="2"/>
        <v>0.005255204379</v>
      </c>
      <c r="K333" s="173">
        <f t="shared" si="9"/>
        <v>5.868311556</v>
      </c>
      <c r="L333" s="174">
        <f t="shared" si="4"/>
        <v>8.926152969</v>
      </c>
      <c r="M333" s="175" t="str">
        <f t="shared" si="5"/>
        <v>sembrestels</v>
      </c>
      <c r="N333" s="176">
        <f>IFERROR(__xludf.DUMMYFUNCTION("""COMPUTED_VALUE"""),4.0)</f>
        <v>4</v>
      </c>
      <c r="O333" s="176"/>
      <c r="P333" s="249" t="s">
        <v>6</v>
      </c>
      <c r="Q333" s="249" t="s">
        <v>6</v>
      </c>
      <c r="R333" s="176"/>
      <c r="S333" s="176"/>
      <c r="T333" s="176"/>
      <c r="U333" s="176"/>
      <c r="V333" s="176"/>
      <c r="W333" s="176"/>
      <c r="X333" s="176"/>
      <c r="Y333" s="176"/>
      <c r="Z333" s="176"/>
      <c r="AA333" s="176"/>
    </row>
    <row r="334">
      <c r="A334" s="165" t="str">
        <f>iferror(VLOOKUP(P334,'DO NOT TOUCH Imported'!$A$1:$D$800,4,False),iferror(VLOOKUP(P334,'DO NOT TOUCH Imported'!$C$1:$D$800,2,False),"OOPS FIX ME"))</f>
        <v>sembrestels</v>
      </c>
      <c r="B334" s="249" t="s">
        <v>6</v>
      </c>
      <c r="C334" s="250" t="s">
        <v>1745</v>
      </c>
      <c r="D334" s="236" t="s">
        <v>1584</v>
      </c>
      <c r="E334" s="251">
        <v>44279.0</v>
      </c>
      <c r="F334" s="219" t="s">
        <v>627</v>
      </c>
      <c r="G334" s="170">
        <v>50.0</v>
      </c>
      <c r="H334" s="171">
        <v>400.0</v>
      </c>
      <c r="I334" s="171">
        <v>400.0</v>
      </c>
      <c r="J334" s="172">
        <f t="shared" si="2"/>
        <v>0.004149119594</v>
      </c>
      <c r="K334" s="173">
        <f t="shared" si="9"/>
        <v>4.633183546</v>
      </c>
      <c r="L334" s="174">
        <f t="shared" si="4"/>
        <v>8.926152969</v>
      </c>
      <c r="M334" s="175" t="str">
        <f t="shared" si="5"/>
        <v>sembrestels</v>
      </c>
      <c r="N334" s="176">
        <f>IFERROR(__xludf.DUMMYFUNCTION("""COMPUTED_VALUE"""),5.0)</f>
        <v>5</v>
      </c>
      <c r="O334" s="176"/>
      <c r="P334" s="249" t="s">
        <v>6</v>
      </c>
      <c r="Q334" s="249" t="s">
        <v>6</v>
      </c>
      <c r="R334" s="176"/>
      <c r="S334" s="176"/>
      <c r="T334" s="176"/>
      <c r="U334" s="176"/>
      <c r="V334" s="176"/>
      <c r="W334" s="176"/>
      <c r="X334" s="176"/>
      <c r="Y334" s="176"/>
      <c r="Z334" s="176"/>
      <c r="AA334" s="176"/>
    </row>
    <row r="335">
      <c r="A335" s="165" t="str">
        <f>iferror(VLOOKUP(P335,'DO NOT TOUCH Imported'!$A$1:$D$800,4,False),iferror(VLOOKUP(P335,'DO NOT TOUCH Imported'!$C$1:$D$800,2,False),"OOPS FIX ME"))</f>
        <v>sembrestels</v>
      </c>
      <c r="B335" s="249" t="s">
        <v>6</v>
      </c>
      <c r="C335" s="250" t="s">
        <v>1746</v>
      </c>
      <c r="D335" s="236" t="s">
        <v>1584</v>
      </c>
      <c r="E335" s="251">
        <v>44268.0</v>
      </c>
      <c r="F335" s="219" t="s">
        <v>627</v>
      </c>
      <c r="G335" s="170">
        <v>100.0</v>
      </c>
      <c r="H335" s="171">
        <v>100.0</v>
      </c>
      <c r="I335" s="171">
        <v>100.0</v>
      </c>
      <c r="J335" s="172">
        <f t="shared" si="2"/>
        <v>0.002417297247</v>
      </c>
      <c r="K335" s="173">
        <f t="shared" si="9"/>
        <v>2.699315259</v>
      </c>
      <c r="L335" s="174">
        <f t="shared" si="4"/>
        <v>8.926152969</v>
      </c>
      <c r="M335" s="175" t="str">
        <f t="shared" si="5"/>
        <v>sembrestels</v>
      </c>
      <c r="N335" s="176">
        <f>IFERROR(__xludf.DUMMYFUNCTION("""COMPUTED_VALUE"""),6.0)</f>
        <v>6</v>
      </c>
      <c r="O335" s="176"/>
      <c r="P335" s="249" t="s">
        <v>6</v>
      </c>
      <c r="Q335" s="249" t="s">
        <v>6</v>
      </c>
      <c r="R335" s="176"/>
      <c r="S335" s="176"/>
      <c r="T335" s="176"/>
      <c r="U335" s="176"/>
      <c r="V335" s="176"/>
      <c r="W335" s="176"/>
      <c r="X335" s="176"/>
      <c r="Y335" s="176"/>
      <c r="Z335" s="176"/>
      <c r="AA335" s="176"/>
    </row>
    <row r="336">
      <c r="A336" s="165" t="str">
        <f>iferror(VLOOKUP(P336,'DO NOT TOUCH Imported'!$A$1:$D$800,4,False),iferror(VLOOKUP(P336,'DO NOT TOUCH Imported'!$C$1:$D$800,2,False),"OOPS FIX ME"))</f>
        <v>sembrestels</v>
      </c>
      <c r="B336" s="165" t="s">
        <v>441</v>
      </c>
      <c r="C336" s="170" t="s">
        <v>1714</v>
      </c>
      <c r="D336" s="236" t="s">
        <v>437</v>
      </c>
      <c r="E336" s="239">
        <v>44274.0</v>
      </c>
      <c r="F336" s="170" t="s">
        <v>439</v>
      </c>
      <c r="G336" s="170">
        <v>50.0</v>
      </c>
      <c r="H336" s="171">
        <v>200.0</v>
      </c>
      <c r="I336" s="171">
        <v>100.0</v>
      </c>
      <c r="J336" s="172">
        <f t="shared" si="2"/>
        <v>0.002048240584</v>
      </c>
      <c r="K336" s="173">
        <f t="shared" si="9"/>
        <v>2.287201985</v>
      </c>
      <c r="L336" s="174">
        <f t="shared" si="4"/>
        <v>8.926152969</v>
      </c>
      <c r="M336" s="175" t="str">
        <f t="shared" si="5"/>
        <v>sembrestels</v>
      </c>
      <c r="N336" s="176">
        <f>IFERROR(__xludf.DUMMYFUNCTION("""COMPUTED_VALUE"""),7.0)</f>
        <v>7</v>
      </c>
      <c r="O336" s="176"/>
      <c r="P336" s="165" t="s">
        <v>476</v>
      </c>
      <c r="Q336" s="165" t="s">
        <v>441</v>
      </c>
      <c r="R336" s="176"/>
      <c r="S336" s="176"/>
      <c r="T336" s="176"/>
      <c r="U336" s="176"/>
      <c r="V336" s="176"/>
      <c r="W336" s="176"/>
      <c r="X336" s="176"/>
      <c r="Y336" s="176"/>
      <c r="Z336" s="176"/>
      <c r="AA336" s="176"/>
    </row>
    <row r="337">
      <c r="A337" s="165" t="str">
        <f>iferror(VLOOKUP(P337,'DO NOT TOUCH Imported'!$A$1:$D$800,4,False),iferror(VLOOKUP(P337,'DO NOT TOUCH Imported'!$C$1:$D$800,2,False),"OOPS FIX ME"))</f>
        <v>sembrestels</v>
      </c>
      <c r="B337" s="165" t="s">
        <v>441</v>
      </c>
      <c r="C337" s="170" t="s">
        <v>1747</v>
      </c>
      <c r="D337" s="236" t="s">
        <v>437</v>
      </c>
      <c r="E337" s="239">
        <v>44281.0</v>
      </c>
      <c r="F337" s="170" t="s">
        <v>439</v>
      </c>
      <c r="G337" s="170">
        <v>50.0</v>
      </c>
      <c r="H337" s="171">
        <v>200.0</v>
      </c>
      <c r="I337" s="171">
        <v>100.0</v>
      </c>
      <c r="J337" s="172">
        <f t="shared" si="2"/>
        <v>0.002048240584</v>
      </c>
      <c r="K337" s="173">
        <f t="shared" si="9"/>
        <v>2.287201985</v>
      </c>
      <c r="L337" s="174">
        <f t="shared" si="4"/>
        <v>8.926152969</v>
      </c>
      <c r="M337" s="175" t="str">
        <f t="shared" si="5"/>
        <v>sembrestels</v>
      </c>
      <c r="N337" s="176">
        <f>IFERROR(__xludf.DUMMYFUNCTION("""COMPUTED_VALUE"""),8.0)</f>
        <v>8</v>
      </c>
      <c r="O337" s="176"/>
      <c r="P337" s="165" t="s">
        <v>476</v>
      </c>
      <c r="Q337" s="165" t="s">
        <v>441</v>
      </c>
      <c r="R337" s="176"/>
      <c r="S337" s="176"/>
      <c r="T337" s="176"/>
      <c r="U337" s="176"/>
      <c r="V337" s="176"/>
      <c r="W337" s="176"/>
      <c r="X337" s="176"/>
      <c r="Y337" s="176"/>
      <c r="Z337" s="176"/>
      <c r="AA337" s="176"/>
    </row>
    <row r="338">
      <c r="A338" s="165" t="str">
        <f>iferror(VLOOKUP(P338,'DO NOT TOUCH Imported'!$A$1:$D$800,4,False),iferror(VLOOKUP(P338,'DO NOT TOUCH Imported'!$C$1:$D$800,2,False),"OOPS FIX ME"))</f>
        <v>sembrestels</v>
      </c>
      <c r="B338" s="165" t="s">
        <v>441</v>
      </c>
      <c r="C338" s="170" t="s">
        <v>1748</v>
      </c>
      <c r="D338" s="236" t="s">
        <v>437</v>
      </c>
      <c r="E338" s="239">
        <v>44274.0</v>
      </c>
      <c r="F338" s="170" t="s">
        <v>439</v>
      </c>
      <c r="G338" s="170">
        <v>50.0</v>
      </c>
      <c r="H338" s="171">
        <v>150.0</v>
      </c>
      <c r="I338" s="171">
        <v>100.0</v>
      </c>
      <c r="J338" s="172">
        <f t="shared" si="2"/>
        <v>0.001838478244</v>
      </c>
      <c r="K338" s="173">
        <f t="shared" si="9"/>
        <v>2.052967373</v>
      </c>
      <c r="L338" s="174">
        <f t="shared" si="4"/>
        <v>8.926152969</v>
      </c>
      <c r="M338" s="175" t="str">
        <f t="shared" si="5"/>
        <v>sembrestels</v>
      </c>
      <c r="N338" s="176">
        <f>IFERROR(__xludf.DUMMYFUNCTION("""COMPUTED_VALUE"""),9.0)</f>
        <v>9</v>
      </c>
      <c r="O338" s="176"/>
      <c r="P338" s="165" t="s">
        <v>476</v>
      </c>
      <c r="Q338" s="165" t="s">
        <v>441</v>
      </c>
      <c r="R338" s="176"/>
      <c r="S338" s="176"/>
      <c r="T338" s="176"/>
      <c r="U338" s="176"/>
      <c r="V338" s="176"/>
      <c r="W338" s="176"/>
      <c r="X338" s="176"/>
      <c r="Y338" s="176"/>
      <c r="Z338" s="176"/>
      <c r="AA338" s="176"/>
    </row>
    <row r="339">
      <c r="A339" s="165" t="str">
        <f>iferror(VLOOKUP(P339,'DO NOT TOUCH Imported'!$A$1:$D$800,4,False),iferror(VLOOKUP(P339,'DO NOT TOUCH Imported'!$C$1:$D$800,2,False),"OOPS FIX ME"))</f>
        <v>sembrestels</v>
      </c>
      <c r="B339" s="165" t="s">
        <v>450</v>
      </c>
      <c r="C339" s="170" t="s">
        <v>1728</v>
      </c>
      <c r="D339" s="236" t="s">
        <v>437</v>
      </c>
      <c r="E339" s="239">
        <v>44278.0</v>
      </c>
      <c r="F339" s="170" t="s">
        <v>439</v>
      </c>
      <c r="G339" s="170">
        <v>15.0</v>
      </c>
      <c r="H339" s="171">
        <v>250.0</v>
      </c>
      <c r="I339" s="171">
        <v>100.0</v>
      </c>
      <c r="J339" s="172">
        <f t="shared" si="2"/>
        <v>0.001705995983</v>
      </c>
      <c r="K339" s="173">
        <f t="shared" si="9"/>
        <v>1.905028848</v>
      </c>
      <c r="L339" s="174">
        <f t="shared" si="4"/>
        <v>8.926152969</v>
      </c>
      <c r="M339" s="175" t="str">
        <f t="shared" si="5"/>
        <v>sembrestels</v>
      </c>
      <c r="N339" s="176">
        <f>IFERROR(__xludf.DUMMYFUNCTION("""COMPUTED_VALUE"""),10.0)</f>
        <v>10</v>
      </c>
      <c r="O339" s="176"/>
      <c r="P339" s="165" t="s">
        <v>476</v>
      </c>
      <c r="Q339" s="165" t="s">
        <v>450</v>
      </c>
      <c r="R339" s="176"/>
      <c r="S339" s="176"/>
      <c r="T339" s="176"/>
      <c r="U339" s="176"/>
      <c r="V339" s="176"/>
      <c r="W339" s="176"/>
      <c r="X339" s="176"/>
      <c r="Y339" s="176"/>
      <c r="Z339" s="176"/>
      <c r="AA339" s="176"/>
    </row>
    <row r="340">
      <c r="A340" s="165" t="str">
        <f>iferror(VLOOKUP(P340,'DO NOT TOUCH Imported'!$A$1:$D$800,4,False),iferror(VLOOKUP(P340,'DO NOT TOUCH Imported'!$C$1:$D$800,2,False),"OOPS FIX ME"))</f>
        <v>sembrestels</v>
      </c>
      <c r="B340" s="165" t="s">
        <v>6</v>
      </c>
      <c r="C340" s="170" t="s">
        <v>1749</v>
      </c>
      <c r="D340" s="236" t="s">
        <v>1584</v>
      </c>
      <c r="E340" s="239">
        <v>44281.0</v>
      </c>
      <c r="F340" s="170" t="s">
        <v>627</v>
      </c>
      <c r="G340" s="170">
        <v>50.0</v>
      </c>
      <c r="H340" s="171">
        <v>100.0</v>
      </c>
      <c r="I340" s="171">
        <v>100.0</v>
      </c>
      <c r="J340" s="172">
        <f t="shared" si="2"/>
        <v>0.001628715905</v>
      </c>
      <c r="K340" s="173">
        <f t="shared" si="9"/>
        <v>1.818732761</v>
      </c>
      <c r="L340" s="174">
        <f t="shared" si="4"/>
        <v>8.926152969</v>
      </c>
      <c r="M340" s="175" t="str">
        <f t="shared" si="5"/>
        <v>sembrestels</v>
      </c>
      <c r="N340" s="176">
        <f>IFERROR(__xludf.DUMMYFUNCTION("""COMPUTED_VALUE"""),11.0)</f>
        <v>11</v>
      </c>
      <c r="O340" s="176"/>
      <c r="P340" s="165" t="s">
        <v>6</v>
      </c>
      <c r="Q340" s="165" t="s">
        <v>6</v>
      </c>
      <c r="R340" s="176"/>
      <c r="S340" s="176"/>
      <c r="T340" s="176"/>
      <c r="U340" s="176"/>
      <c r="V340" s="176"/>
      <c r="W340" s="176"/>
      <c r="X340" s="176"/>
      <c r="Y340" s="176"/>
      <c r="Z340" s="176"/>
      <c r="AA340" s="176"/>
    </row>
    <row r="341">
      <c r="A341" s="165" t="str">
        <f>iferror(VLOOKUP(P341,'DO NOT TOUCH Imported'!$A$1:$D$800,4,False),iferror(VLOOKUP(P341,'DO NOT TOUCH Imported'!$C$1:$D$800,2,False),"OOPS FIX ME"))</f>
        <v>sembrestels</v>
      </c>
      <c r="B341" s="249" t="s">
        <v>63</v>
      </c>
      <c r="C341" s="250" t="s">
        <v>1750</v>
      </c>
      <c r="D341" s="236" t="s">
        <v>1584</v>
      </c>
      <c r="E341" s="251">
        <v>44278.0</v>
      </c>
      <c r="F341" s="219" t="s">
        <v>627</v>
      </c>
      <c r="G341" s="170">
        <v>50.0</v>
      </c>
      <c r="H341" s="171">
        <v>80.0</v>
      </c>
      <c r="I341" s="171">
        <v>100.0</v>
      </c>
      <c r="J341" s="172">
        <f t="shared" si="2"/>
        <v>0.001544810969</v>
      </c>
      <c r="K341" s="173">
        <f t="shared" si="9"/>
        <v>1.725038916</v>
      </c>
      <c r="L341" s="174">
        <f t="shared" si="4"/>
        <v>8.926152969</v>
      </c>
      <c r="M341" s="175" t="str">
        <f t="shared" si="5"/>
        <v>sembrestels</v>
      </c>
      <c r="N341" s="176">
        <f>IFERROR(__xludf.DUMMYFUNCTION("""COMPUTED_VALUE"""),12.0)</f>
        <v>12</v>
      </c>
      <c r="O341" s="176"/>
      <c r="P341" s="249" t="s">
        <v>6</v>
      </c>
      <c r="Q341" s="249" t="s">
        <v>63</v>
      </c>
      <c r="R341" s="176"/>
      <c r="S341" s="176"/>
      <c r="T341" s="176"/>
      <c r="U341" s="176"/>
      <c r="V341" s="176"/>
      <c r="W341" s="176"/>
      <c r="X341" s="176"/>
      <c r="Y341" s="176"/>
      <c r="Z341" s="176"/>
      <c r="AA341" s="176"/>
    </row>
    <row r="342">
      <c r="A342" s="165" t="str">
        <f>iferror(VLOOKUP(P342,'DO NOT TOUCH Imported'!$A$1:$D$800,4,False),iferror(VLOOKUP(P342,'DO NOT TOUCH Imported'!$C$1:$D$800,2,False),"OOPS FIX ME"))</f>
        <v>sembrestels</v>
      </c>
      <c r="B342" s="249" t="s">
        <v>25</v>
      </c>
      <c r="C342" s="250" t="s">
        <v>1751</v>
      </c>
      <c r="D342" s="236" t="s">
        <v>1584</v>
      </c>
      <c r="E342" s="251">
        <v>44276.0</v>
      </c>
      <c r="F342" s="219" t="s">
        <v>496</v>
      </c>
      <c r="G342" s="170">
        <v>15.0</v>
      </c>
      <c r="H342" s="171">
        <v>150.0</v>
      </c>
      <c r="I342" s="171">
        <v>100.0</v>
      </c>
      <c r="J342" s="172">
        <f t="shared" si="2"/>
        <v>0.001286471305</v>
      </c>
      <c r="K342" s="173">
        <f t="shared" si="9"/>
        <v>1.436559624</v>
      </c>
      <c r="L342" s="174">
        <f t="shared" si="4"/>
        <v>8.926152969</v>
      </c>
      <c r="M342" s="175" t="str">
        <f t="shared" si="5"/>
        <v>sembrestels</v>
      </c>
      <c r="N342" s="176">
        <f>IFERROR(__xludf.DUMMYFUNCTION("""COMPUTED_VALUE"""),13.0)</f>
        <v>13</v>
      </c>
      <c r="O342" s="176"/>
      <c r="P342" s="249" t="s">
        <v>6</v>
      </c>
      <c r="Q342" s="249" t="s">
        <v>25</v>
      </c>
      <c r="R342" s="176"/>
      <c r="S342" s="176"/>
      <c r="T342" s="176"/>
      <c r="U342" s="176"/>
      <c r="V342" s="176"/>
      <c r="W342" s="176"/>
      <c r="X342" s="176"/>
      <c r="Y342" s="176"/>
      <c r="Z342" s="176"/>
      <c r="AA342" s="176"/>
    </row>
    <row r="343">
      <c r="A343" s="165" t="str">
        <f>iferror(VLOOKUP(P343,'DO NOT TOUCH Imported'!$A$1:$D$800,4,False),iferror(VLOOKUP(P343,'DO NOT TOUCH Imported'!$C$1:$D$800,2,False),"OOPS FIX ME"))</f>
        <v>sembrestels</v>
      </c>
      <c r="B343" s="165" t="s">
        <v>1702</v>
      </c>
      <c r="C343" s="170" t="s">
        <v>1703</v>
      </c>
      <c r="D343" s="236" t="s">
        <v>437</v>
      </c>
      <c r="E343" s="239">
        <v>44268.0</v>
      </c>
      <c r="F343" s="170" t="s">
        <v>1704</v>
      </c>
      <c r="G343" s="170">
        <v>25.0</v>
      </c>
      <c r="H343" s="171">
        <v>100.0</v>
      </c>
      <c r="I343" s="171">
        <v>100.0</v>
      </c>
      <c r="J343" s="172">
        <f t="shared" si="2"/>
        <v>0.001234425234</v>
      </c>
      <c r="K343" s="173">
        <f t="shared" si="9"/>
        <v>1.378441511</v>
      </c>
      <c r="L343" s="174">
        <f t="shared" si="4"/>
        <v>8.926152969</v>
      </c>
      <c r="M343" s="175" t="str">
        <f t="shared" si="5"/>
        <v>sembrestels</v>
      </c>
      <c r="N343" s="176">
        <f>IFERROR(__xludf.DUMMYFUNCTION("""COMPUTED_VALUE"""),14.0)</f>
        <v>14</v>
      </c>
      <c r="O343" s="176"/>
      <c r="P343" s="165" t="s">
        <v>476</v>
      </c>
      <c r="Q343" s="165" t="s">
        <v>1702</v>
      </c>
      <c r="R343" s="176"/>
      <c r="S343" s="176"/>
      <c r="T343" s="176"/>
      <c r="U343" s="176"/>
      <c r="V343" s="176"/>
      <c r="W343" s="176"/>
      <c r="X343" s="176"/>
      <c r="Y343" s="176"/>
      <c r="Z343" s="176"/>
      <c r="AA343" s="176"/>
    </row>
    <row r="344">
      <c r="A344" s="165" t="str">
        <f>iferror(VLOOKUP(P344,'DO NOT TOUCH Imported'!$A$1:$D$800,4,False),iferror(VLOOKUP(P344,'DO NOT TOUCH Imported'!$C$1:$D$800,2,False),"OOPS FIX ME"))</f>
        <v>sembrestels</v>
      </c>
      <c r="B344" s="165" t="s">
        <v>441</v>
      </c>
      <c r="C344" s="170" t="s">
        <v>1752</v>
      </c>
      <c r="D344" s="236" t="s">
        <v>437</v>
      </c>
      <c r="E344" s="239">
        <v>44274.0</v>
      </c>
      <c r="F344" s="170" t="s">
        <v>439</v>
      </c>
      <c r="G344" s="170">
        <v>25.0</v>
      </c>
      <c r="H344" s="171">
        <v>100.0</v>
      </c>
      <c r="I344" s="171">
        <v>100.0</v>
      </c>
      <c r="J344" s="172">
        <f t="shared" si="2"/>
        <v>0.001234425234</v>
      </c>
      <c r="K344" s="173">
        <f t="shared" si="9"/>
        <v>1.378441511</v>
      </c>
      <c r="L344" s="174">
        <f t="shared" si="4"/>
        <v>8.926152969</v>
      </c>
      <c r="M344" s="175" t="str">
        <f t="shared" si="5"/>
        <v>sembrestels</v>
      </c>
      <c r="N344" s="176">
        <f>IFERROR(__xludf.DUMMYFUNCTION("""COMPUTED_VALUE"""),15.0)</f>
        <v>15</v>
      </c>
      <c r="O344" s="176"/>
      <c r="P344" s="165" t="s">
        <v>476</v>
      </c>
      <c r="Q344" s="165" t="s">
        <v>441</v>
      </c>
      <c r="R344" s="176"/>
      <c r="S344" s="176"/>
      <c r="T344" s="176"/>
      <c r="U344" s="176"/>
      <c r="V344" s="176"/>
      <c r="W344" s="176"/>
      <c r="X344" s="176"/>
      <c r="Y344" s="176"/>
      <c r="Z344" s="176"/>
      <c r="AA344" s="176"/>
    </row>
    <row r="345">
      <c r="A345" s="165" t="str">
        <f>iferror(VLOOKUP(P345,'DO NOT TOUCH Imported'!$A$1:$D$800,4,False),iferror(VLOOKUP(P345,'DO NOT TOUCH Imported'!$C$1:$D$800,2,False),"OOPS FIX ME"))</f>
        <v>sembrestels</v>
      </c>
      <c r="B345" s="165" t="s">
        <v>441</v>
      </c>
      <c r="C345" s="170" t="s">
        <v>1595</v>
      </c>
      <c r="D345" s="236" t="s">
        <v>437</v>
      </c>
      <c r="E345" s="239">
        <v>44281.0</v>
      </c>
      <c r="F345" s="170" t="s">
        <v>439</v>
      </c>
      <c r="G345" s="170">
        <v>25.0</v>
      </c>
      <c r="H345" s="171">
        <v>100.0</v>
      </c>
      <c r="I345" s="171">
        <v>100.0</v>
      </c>
      <c r="J345" s="172">
        <f t="shared" si="2"/>
        <v>0.001234425234</v>
      </c>
      <c r="K345" s="173">
        <f t="shared" si="9"/>
        <v>1.378441511</v>
      </c>
      <c r="L345" s="174">
        <f t="shared" si="4"/>
        <v>8.926152969</v>
      </c>
      <c r="M345" s="175" t="str">
        <f t="shared" si="5"/>
        <v>sembrestels</v>
      </c>
      <c r="N345" s="176">
        <f>IFERROR(__xludf.DUMMYFUNCTION("""COMPUTED_VALUE"""),16.0)</f>
        <v>16</v>
      </c>
      <c r="O345" s="176"/>
      <c r="P345" s="165" t="s">
        <v>476</v>
      </c>
      <c r="Q345" s="165" t="s">
        <v>441</v>
      </c>
      <c r="R345" s="176"/>
      <c r="S345" s="176"/>
      <c r="T345" s="176"/>
      <c r="U345" s="176"/>
      <c r="V345" s="176"/>
      <c r="W345" s="176"/>
      <c r="X345" s="176"/>
      <c r="Y345" s="176"/>
      <c r="Z345" s="176"/>
      <c r="AA345" s="176"/>
    </row>
    <row r="346">
      <c r="A346" s="165" t="str">
        <f>iferror(VLOOKUP(P346,'DO NOT TOUCH Imported'!$A$1:$D$800,4,False),iferror(VLOOKUP(P346,'DO NOT TOUCH Imported'!$C$1:$D$800,2,False),"OOPS FIX ME"))</f>
        <v>sembrestels</v>
      </c>
      <c r="B346" s="165" t="s">
        <v>443</v>
      </c>
      <c r="C346" s="170" t="s">
        <v>1603</v>
      </c>
      <c r="D346" s="236" t="s">
        <v>437</v>
      </c>
      <c r="E346" s="239">
        <v>44277.0</v>
      </c>
      <c r="F346" s="170" t="s">
        <v>439</v>
      </c>
      <c r="G346" s="170">
        <v>15.0</v>
      </c>
      <c r="H346" s="171">
        <v>100.0</v>
      </c>
      <c r="I346" s="171">
        <v>100.0</v>
      </c>
      <c r="J346" s="172">
        <f t="shared" si="2"/>
        <v>0.001076708966</v>
      </c>
      <c r="K346" s="173">
        <f t="shared" si="9"/>
        <v>1.202325011</v>
      </c>
      <c r="L346" s="174">
        <f t="shared" si="4"/>
        <v>8.926152969</v>
      </c>
      <c r="M346" s="175" t="str">
        <f t="shared" si="5"/>
        <v>sembrestels</v>
      </c>
      <c r="N346" s="176">
        <f>IFERROR(__xludf.DUMMYFUNCTION("""COMPUTED_VALUE"""),17.0)</f>
        <v>17</v>
      </c>
      <c r="O346" s="176"/>
      <c r="P346" s="165" t="s">
        <v>476</v>
      </c>
      <c r="Q346" s="165" t="s">
        <v>443</v>
      </c>
      <c r="R346" s="176"/>
      <c r="S346" s="176"/>
      <c r="T346" s="176"/>
      <c r="U346" s="176"/>
      <c r="V346" s="176"/>
      <c r="W346" s="176"/>
      <c r="X346" s="176"/>
      <c r="Y346" s="176"/>
      <c r="Z346" s="176"/>
      <c r="AA346" s="176"/>
    </row>
    <row r="347">
      <c r="A347" s="165" t="str">
        <f>iferror(VLOOKUP(P347,'DO NOT TOUCH Imported'!$A$1:$D$800,4,False),iferror(VLOOKUP(P347,'DO NOT TOUCH Imported'!$C$1:$D$800,2,False),"OOPS FIX ME"))</f>
        <v>sembrestels</v>
      </c>
      <c r="B347" s="165" t="s">
        <v>443</v>
      </c>
      <c r="C347" s="170" t="s">
        <v>1616</v>
      </c>
      <c r="D347" s="236" t="s">
        <v>437</v>
      </c>
      <c r="E347" s="239">
        <v>44280.0</v>
      </c>
      <c r="F347" s="170" t="s">
        <v>439</v>
      </c>
      <c r="G347" s="170">
        <v>5.0</v>
      </c>
      <c r="H347" s="171">
        <v>100.0</v>
      </c>
      <c r="I347" s="171">
        <v>100.0</v>
      </c>
      <c r="J347" s="172">
        <f t="shared" si="2"/>
        <v>0.0009189926971</v>
      </c>
      <c r="K347" s="173">
        <f t="shared" si="9"/>
        <v>1.026208512</v>
      </c>
      <c r="L347" s="174">
        <f t="shared" si="4"/>
        <v>8.926152969</v>
      </c>
      <c r="M347" s="175" t="str">
        <f t="shared" si="5"/>
        <v>sembrestels</v>
      </c>
      <c r="N347" s="176">
        <f>IFERROR(__xludf.DUMMYFUNCTION("""COMPUTED_VALUE"""),18.0)</f>
        <v>18</v>
      </c>
      <c r="O347" s="176"/>
      <c r="P347" s="165" t="s">
        <v>476</v>
      </c>
      <c r="Q347" s="165" t="s">
        <v>443</v>
      </c>
      <c r="R347" s="176"/>
      <c r="S347" s="176"/>
      <c r="T347" s="176"/>
      <c r="U347" s="176"/>
      <c r="V347" s="176"/>
      <c r="W347" s="176"/>
      <c r="X347" s="176"/>
      <c r="Y347" s="176"/>
      <c r="Z347" s="176"/>
      <c r="AA347" s="176"/>
    </row>
    <row r="348">
      <c r="A348" s="165" t="str">
        <f>iferror(VLOOKUP(P348,'DO NOT TOUCH Imported'!$A$1:$D$800,4,False),iferror(VLOOKUP(P348,'DO NOT TOUCH Imported'!$C$1:$D$800,2,False),"OOPS FIX ME"))</f>
        <v>sembrestels</v>
      </c>
      <c r="B348" s="249" t="s">
        <v>10</v>
      </c>
      <c r="C348" s="250" t="s">
        <v>494</v>
      </c>
      <c r="D348" s="236" t="s">
        <v>1584</v>
      </c>
      <c r="E348" s="251">
        <v>44275.0</v>
      </c>
      <c r="F348" s="219" t="s">
        <v>496</v>
      </c>
      <c r="G348" s="170">
        <v>15.0</v>
      </c>
      <c r="H348" s="171">
        <v>50.0</v>
      </c>
      <c r="I348" s="171">
        <v>100.0</v>
      </c>
      <c r="J348" s="172">
        <f t="shared" si="2"/>
        <v>0.0008669466263</v>
      </c>
      <c r="K348" s="173">
        <f t="shared" si="9"/>
        <v>0.9680903993</v>
      </c>
      <c r="L348" s="174">
        <f t="shared" si="4"/>
        <v>8.926152969</v>
      </c>
      <c r="M348" s="175" t="str">
        <f t="shared" si="5"/>
        <v>sembrestels</v>
      </c>
      <c r="N348" s="176">
        <f>IFERROR(__xludf.DUMMYFUNCTION("""COMPUTED_VALUE"""),19.0)</f>
        <v>19</v>
      </c>
      <c r="O348" s="176"/>
      <c r="P348" s="249" t="s">
        <v>6</v>
      </c>
      <c r="Q348" s="249" t="s">
        <v>10</v>
      </c>
      <c r="R348" s="176"/>
      <c r="S348" s="176"/>
      <c r="T348" s="176"/>
      <c r="U348" s="176"/>
      <c r="V348" s="176"/>
      <c r="W348" s="176"/>
      <c r="X348" s="176"/>
      <c r="Y348" s="176"/>
      <c r="Z348" s="176"/>
      <c r="AA348" s="176"/>
    </row>
    <row r="349">
      <c r="A349" s="185" t="str">
        <f>iferror(VLOOKUP(P349,'DO NOT TOUCH Imported'!$A$1:$D$800,4,False),iferror(VLOOKUP(P349,'DO NOT TOUCH Imported'!$C$1:$D$800,2,False),"OOPS FIX ME"))</f>
        <v>sembrestels</v>
      </c>
      <c r="B349" s="185" t="s">
        <v>534</v>
      </c>
      <c r="C349" s="210" t="s">
        <v>646</v>
      </c>
      <c r="D349" s="187"/>
      <c r="E349" s="188"/>
      <c r="F349" s="189"/>
      <c r="G349" s="190"/>
      <c r="H349" s="190"/>
      <c r="I349" s="190"/>
      <c r="J349" s="191">
        <f t="shared" si="2"/>
        <v>0</v>
      </c>
      <c r="K349" s="192">
        <f> 61.307 * -0.85</f>
        <v>-52.11095</v>
      </c>
      <c r="L349" s="193">
        <f t="shared" si="4"/>
        <v>8.926152969</v>
      </c>
      <c r="M349" s="194" t="str">
        <f t="shared" si="5"/>
        <v>sembrestels</v>
      </c>
      <c r="N349" s="211">
        <f>IFERROR(__xludf.DUMMYFUNCTION("""COMPUTED_VALUE"""),20.0)</f>
        <v>20</v>
      </c>
      <c r="O349" s="195"/>
      <c r="P349" s="212" t="s">
        <v>6</v>
      </c>
      <c r="Q349" s="185" t="s">
        <v>534</v>
      </c>
      <c r="R349" s="195">
        <v>57.049855624848725</v>
      </c>
      <c r="S349" s="195"/>
      <c r="T349" s="195"/>
      <c r="U349" s="195"/>
      <c r="V349" s="195"/>
      <c r="W349" s="195"/>
      <c r="X349" s="195"/>
      <c r="Y349" s="195"/>
      <c r="Z349" s="195"/>
      <c r="AA349" s="176"/>
    </row>
    <row r="350">
      <c r="A350" s="165" t="str">
        <f>iferror(VLOOKUP(P350,'DO NOT TOUCH Imported'!$A$1:$D$800,4,False),iferror(VLOOKUP(P350,'DO NOT TOUCH Imported'!$C$1:$D$800,2,False),"OOPS FIX ME"))</f>
        <v>sembrestels</v>
      </c>
      <c r="B350" s="165" t="s">
        <v>441</v>
      </c>
      <c r="C350" s="170" t="s">
        <v>1753</v>
      </c>
      <c r="D350" s="236" t="s">
        <v>437</v>
      </c>
      <c r="E350" s="239">
        <v>44274.0</v>
      </c>
      <c r="F350" s="170" t="s">
        <v>439</v>
      </c>
      <c r="G350" s="170">
        <v>200.0</v>
      </c>
      <c r="H350" s="171">
        <v>400.0</v>
      </c>
      <c r="I350" s="171">
        <v>400.0</v>
      </c>
      <c r="J350" s="172">
        <f t="shared" si="2"/>
        <v>0.00651486362</v>
      </c>
      <c r="K350" s="173">
        <f t="shared" ref="K350:K361" si="10">J350*$J$1</f>
        <v>7.274931042</v>
      </c>
      <c r="L350" s="174">
        <f t="shared" si="4"/>
        <v>8.926152969</v>
      </c>
      <c r="M350" s="175" t="str">
        <f t="shared" si="5"/>
        <v>sembrestels</v>
      </c>
      <c r="N350" s="176">
        <f>IFERROR(__xludf.DUMMYFUNCTION("""COMPUTED_VALUE"""),21.0)</f>
        <v>21</v>
      </c>
      <c r="O350" s="176"/>
      <c r="P350" s="165" t="s">
        <v>476</v>
      </c>
      <c r="Q350" s="165" t="s">
        <v>441</v>
      </c>
      <c r="R350" s="176"/>
      <c r="S350" s="176"/>
      <c r="T350" s="176"/>
      <c r="U350" s="176"/>
      <c r="V350" s="176"/>
      <c r="W350" s="176"/>
      <c r="X350" s="176"/>
      <c r="Y350" s="176"/>
      <c r="Z350" s="176"/>
      <c r="AA350" s="176"/>
    </row>
    <row r="351">
      <c r="A351" s="165" t="str">
        <f>iferror(VLOOKUP(P351,'DO NOT TOUCH Imported'!$A$1:$D$800,4,False),iferror(VLOOKUP(P351,'DO NOT TOUCH Imported'!$C$1:$D$800,2,False),"OOPS FIX ME"))</f>
        <v>paulo_c2d</v>
      </c>
      <c r="B351" s="165" t="s">
        <v>441</v>
      </c>
      <c r="C351" s="170" t="s">
        <v>1753</v>
      </c>
      <c r="D351" s="236" t="s">
        <v>437</v>
      </c>
      <c r="E351" s="239">
        <v>44274.0</v>
      </c>
      <c r="F351" s="170" t="s">
        <v>439</v>
      </c>
      <c r="G351" s="170">
        <v>200.0</v>
      </c>
      <c r="H351" s="171">
        <v>400.0</v>
      </c>
      <c r="I351" s="171">
        <v>400.0</v>
      </c>
      <c r="J351" s="172">
        <f t="shared" si="2"/>
        <v>0.00651486362</v>
      </c>
      <c r="K351" s="173">
        <f t="shared" si="10"/>
        <v>7.274931042</v>
      </c>
      <c r="L351" s="174">
        <f t="shared" si="4"/>
        <v>8.619213757</v>
      </c>
      <c r="M351" s="175" t="str">
        <f t="shared" si="5"/>
        <v>paulo_c2d</v>
      </c>
      <c r="N351" s="176">
        <f>IFERROR(__xludf.DUMMYFUNCTION("""COMPUTED_VALUE"""),1.0)</f>
        <v>1</v>
      </c>
      <c r="O351" s="176"/>
      <c r="P351" s="165" t="s">
        <v>651</v>
      </c>
      <c r="Q351" s="165" t="s">
        <v>441</v>
      </c>
      <c r="R351" s="176"/>
      <c r="S351" s="176"/>
      <c r="T351" s="176"/>
      <c r="U351" s="176"/>
      <c r="V351" s="176"/>
      <c r="W351" s="176"/>
      <c r="X351" s="176"/>
      <c r="Y351" s="176"/>
      <c r="Z351" s="176"/>
      <c r="AA351" s="176"/>
    </row>
    <row r="352">
      <c r="A352" s="165" t="str">
        <f>iferror(VLOOKUP(P352,'DO NOT TOUCH Imported'!$A$1:$D$800,4,False),iferror(VLOOKUP(P352,'DO NOT TOUCH Imported'!$C$1:$D$800,2,False),"OOPS FIX ME"))</f>
        <v>paulo_c2d</v>
      </c>
      <c r="B352" s="249" t="s">
        <v>30</v>
      </c>
      <c r="C352" s="250" t="s">
        <v>1754</v>
      </c>
      <c r="D352" s="236" t="s">
        <v>1584</v>
      </c>
      <c r="E352" s="251">
        <v>44271.0</v>
      </c>
      <c r="F352" s="219" t="s">
        <v>627</v>
      </c>
      <c r="G352" s="170">
        <v>200.0</v>
      </c>
      <c r="H352" s="171">
        <v>300.0</v>
      </c>
      <c r="I352" s="171">
        <v>400.0</v>
      </c>
      <c r="J352" s="172">
        <f t="shared" si="2"/>
        <v>0.006095338942</v>
      </c>
      <c r="K352" s="173">
        <f t="shared" si="10"/>
        <v>6.806461818</v>
      </c>
      <c r="L352" s="174">
        <f t="shared" si="4"/>
        <v>8.619213757</v>
      </c>
      <c r="M352" s="175" t="str">
        <f t="shared" si="5"/>
        <v>paulo_c2d</v>
      </c>
      <c r="N352" s="176">
        <f>IFERROR(__xludf.DUMMYFUNCTION("""COMPUTED_VALUE"""),2.0)</f>
        <v>2</v>
      </c>
      <c r="O352" s="176"/>
      <c r="P352" s="249" t="s">
        <v>30</v>
      </c>
      <c r="Q352" s="249" t="s">
        <v>30</v>
      </c>
      <c r="R352" s="176"/>
      <c r="S352" s="176"/>
      <c r="T352" s="176"/>
      <c r="U352" s="176"/>
      <c r="V352" s="176"/>
      <c r="W352" s="176"/>
      <c r="X352" s="176"/>
      <c r="Y352" s="176"/>
      <c r="Z352" s="176"/>
      <c r="AA352" s="176"/>
    </row>
    <row r="353">
      <c r="A353" s="165" t="str">
        <f>iferror(VLOOKUP(P353,'DO NOT TOUCH Imported'!$A$1:$D$800,4,False),iferror(VLOOKUP(P353,'DO NOT TOUCH Imported'!$C$1:$D$800,2,False),"OOPS FIX ME"))</f>
        <v>paulo_c2d</v>
      </c>
      <c r="B353" s="249" t="s">
        <v>30</v>
      </c>
      <c r="C353" s="250" t="s">
        <v>1755</v>
      </c>
      <c r="D353" s="236" t="s">
        <v>1584</v>
      </c>
      <c r="E353" s="251">
        <v>44268.0</v>
      </c>
      <c r="F353" s="219" t="s">
        <v>627</v>
      </c>
      <c r="G353" s="170">
        <v>200.0</v>
      </c>
      <c r="H353" s="171">
        <v>200.0</v>
      </c>
      <c r="I353" s="171">
        <v>400.0</v>
      </c>
      <c r="J353" s="172">
        <f t="shared" si="2"/>
        <v>0.005675814263</v>
      </c>
      <c r="K353" s="173">
        <f t="shared" si="10"/>
        <v>6.337992594</v>
      </c>
      <c r="L353" s="174">
        <f t="shared" si="4"/>
        <v>8.619213757</v>
      </c>
      <c r="M353" s="175" t="str">
        <f t="shared" si="5"/>
        <v>paulo_c2d</v>
      </c>
      <c r="N353" s="176">
        <f>IFERROR(__xludf.DUMMYFUNCTION("""COMPUTED_VALUE"""),3.0)</f>
        <v>3</v>
      </c>
      <c r="O353" s="176"/>
      <c r="P353" s="249" t="s">
        <v>30</v>
      </c>
      <c r="Q353" s="249" t="s">
        <v>30</v>
      </c>
      <c r="R353" s="176"/>
      <c r="S353" s="176"/>
      <c r="T353" s="176"/>
      <c r="U353" s="176"/>
      <c r="V353" s="176"/>
      <c r="W353" s="176"/>
      <c r="X353" s="176"/>
      <c r="Y353" s="176"/>
      <c r="Z353" s="176"/>
      <c r="AA353" s="176"/>
    </row>
    <row r="354">
      <c r="A354" s="165" t="str">
        <f>iferror(VLOOKUP(P354,'DO NOT TOUCH Imported'!$A$1:$D$800,4,False),iferror(VLOOKUP(P354,'DO NOT TOUCH Imported'!$C$1:$D$800,2,False),"OOPS FIX ME"))</f>
        <v>paulo_c2d</v>
      </c>
      <c r="B354" s="249" t="s">
        <v>30</v>
      </c>
      <c r="C354" s="250" t="s">
        <v>1756</v>
      </c>
      <c r="D354" s="236" t="s">
        <v>1584</v>
      </c>
      <c r="E354" s="251">
        <v>44268.0</v>
      </c>
      <c r="F354" s="219" t="s">
        <v>627</v>
      </c>
      <c r="G354" s="170">
        <v>200.0</v>
      </c>
      <c r="H354" s="171">
        <v>200.0</v>
      </c>
      <c r="I354" s="171">
        <v>400.0</v>
      </c>
      <c r="J354" s="172">
        <f t="shared" si="2"/>
        <v>0.005675814263</v>
      </c>
      <c r="K354" s="173">
        <f t="shared" si="10"/>
        <v>6.337992594</v>
      </c>
      <c r="L354" s="174">
        <f t="shared" si="4"/>
        <v>8.619213757</v>
      </c>
      <c r="M354" s="175" t="str">
        <f t="shared" si="5"/>
        <v>paulo_c2d</v>
      </c>
      <c r="N354" s="176">
        <f>IFERROR(__xludf.DUMMYFUNCTION("""COMPUTED_VALUE"""),4.0)</f>
        <v>4</v>
      </c>
      <c r="O354" s="176"/>
      <c r="P354" s="249" t="s">
        <v>30</v>
      </c>
      <c r="Q354" s="249" t="s">
        <v>30</v>
      </c>
      <c r="R354" s="176"/>
      <c r="S354" s="176"/>
      <c r="T354" s="176"/>
      <c r="U354" s="176"/>
      <c r="V354" s="176"/>
      <c r="W354" s="176"/>
      <c r="X354" s="176"/>
      <c r="Y354" s="176"/>
      <c r="Z354" s="176"/>
      <c r="AA354" s="176"/>
    </row>
    <row r="355">
      <c r="A355" s="165" t="str">
        <f>iferror(VLOOKUP(P355,'DO NOT TOUCH Imported'!$A$1:$D$800,4,False),iferror(VLOOKUP(P355,'DO NOT TOUCH Imported'!$C$1:$D$800,2,False),"OOPS FIX ME"))</f>
        <v>paulo_c2d</v>
      </c>
      <c r="B355" s="249" t="s">
        <v>30</v>
      </c>
      <c r="C355" s="250" t="s">
        <v>1757</v>
      </c>
      <c r="D355" s="236" t="s">
        <v>1584</v>
      </c>
      <c r="E355" s="251">
        <v>44269.0</v>
      </c>
      <c r="F355" s="219" t="s">
        <v>627</v>
      </c>
      <c r="G355" s="170">
        <v>200.0</v>
      </c>
      <c r="H355" s="171">
        <v>200.0</v>
      </c>
      <c r="I355" s="171">
        <v>400.0</v>
      </c>
      <c r="J355" s="172">
        <f t="shared" si="2"/>
        <v>0.005675814263</v>
      </c>
      <c r="K355" s="173">
        <f t="shared" si="10"/>
        <v>6.337992594</v>
      </c>
      <c r="L355" s="174">
        <f t="shared" si="4"/>
        <v>8.619213757</v>
      </c>
      <c r="M355" s="175" t="str">
        <f t="shared" si="5"/>
        <v>paulo_c2d</v>
      </c>
      <c r="N355" s="176">
        <f>IFERROR(__xludf.DUMMYFUNCTION("""COMPUTED_VALUE"""),5.0)</f>
        <v>5</v>
      </c>
      <c r="O355" s="176"/>
      <c r="P355" s="249" t="s">
        <v>30</v>
      </c>
      <c r="Q355" s="249" t="s">
        <v>30</v>
      </c>
      <c r="R355" s="176"/>
      <c r="S355" s="176"/>
      <c r="T355" s="176"/>
      <c r="U355" s="176"/>
      <c r="V355" s="176"/>
      <c r="W355" s="176"/>
      <c r="X355" s="176"/>
      <c r="Y355" s="176"/>
      <c r="Z355" s="176"/>
      <c r="AA355" s="176"/>
    </row>
    <row r="356">
      <c r="A356" s="165" t="str">
        <f>iferror(VLOOKUP(P356,'DO NOT TOUCH Imported'!$A$1:$D$800,4,False),iferror(VLOOKUP(P356,'DO NOT TOUCH Imported'!$C$1:$D$800,2,False),"OOPS FIX ME"))</f>
        <v>paulo_c2d</v>
      </c>
      <c r="B356" s="249" t="s">
        <v>30</v>
      </c>
      <c r="C356" s="250" t="s">
        <v>1758</v>
      </c>
      <c r="D356" s="236" t="s">
        <v>1584</v>
      </c>
      <c r="E356" s="251">
        <v>44268.0</v>
      </c>
      <c r="F356" s="219" t="s">
        <v>627</v>
      </c>
      <c r="G356" s="170">
        <v>100.0</v>
      </c>
      <c r="H356" s="171">
        <v>150.0</v>
      </c>
      <c r="I356" s="171">
        <v>200.0</v>
      </c>
      <c r="J356" s="172">
        <f t="shared" si="2"/>
        <v>0.003047669471</v>
      </c>
      <c r="K356" s="173">
        <f t="shared" si="10"/>
        <v>3.403230909</v>
      </c>
      <c r="L356" s="174">
        <f t="shared" si="4"/>
        <v>8.619213757</v>
      </c>
      <c r="M356" s="175" t="str">
        <f t="shared" si="5"/>
        <v>paulo_c2d</v>
      </c>
      <c r="N356" s="176">
        <f>IFERROR(__xludf.DUMMYFUNCTION("""COMPUTED_VALUE"""),6.0)</f>
        <v>6</v>
      </c>
      <c r="O356" s="176"/>
      <c r="P356" s="249" t="s">
        <v>30</v>
      </c>
      <c r="Q356" s="249" t="s">
        <v>30</v>
      </c>
      <c r="R356" s="176"/>
      <c r="S356" s="176"/>
      <c r="T356" s="176"/>
      <c r="U356" s="176"/>
      <c r="V356" s="176"/>
      <c r="W356" s="176"/>
      <c r="X356" s="176"/>
      <c r="Y356" s="176"/>
      <c r="Z356" s="176"/>
      <c r="AA356" s="176"/>
    </row>
    <row r="357">
      <c r="A357" s="165" t="str">
        <f>iferror(VLOOKUP(P357,'DO NOT TOUCH Imported'!$A$1:$D$800,4,False),iferror(VLOOKUP(P357,'DO NOT TOUCH Imported'!$C$1:$D$800,2,False),"OOPS FIX ME"))</f>
        <v>paulo_c2d</v>
      </c>
      <c r="B357" s="249" t="s">
        <v>30</v>
      </c>
      <c r="C357" s="250" t="s">
        <v>1759</v>
      </c>
      <c r="D357" s="236" t="s">
        <v>1584</v>
      </c>
      <c r="E357" s="251">
        <v>44268.0</v>
      </c>
      <c r="F357" s="219" t="s">
        <v>627</v>
      </c>
      <c r="G357" s="170">
        <v>100.0</v>
      </c>
      <c r="H357" s="171">
        <v>200.0</v>
      </c>
      <c r="I357" s="171">
        <v>100.0</v>
      </c>
      <c r="J357" s="172">
        <f t="shared" si="2"/>
        <v>0.002836821926</v>
      </c>
      <c r="K357" s="173">
        <f t="shared" si="10"/>
        <v>3.167784484</v>
      </c>
      <c r="L357" s="174">
        <f t="shared" si="4"/>
        <v>8.619213757</v>
      </c>
      <c r="M357" s="175" t="str">
        <f t="shared" si="5"/>
        <v>paulo_c2d</v>
      </c>
      <c r="N357" s="176">
        <f>IFERROR(__xludf.DUMMYFUNCTION("""COMPUTED_VALUE"""),7.0)</f>
        <v>7</v>
      </c>
      <c r="O357" s="176"/>
      <c r="P357" s="249" t="s">
        <v>30</v>
      </c>
      <c r="Q357" s="249" t="s">
        <v>30</v>
      </c>
      <c r="R357" s="176"/>
      <c r="S357" s="176"/>
      <c r="T357" s="176"/>
      <c r="U357" s="176"/>
      <c r="V357" s="176"/>
      <c r="W357" s="176"/>
      <c r="X357" s="176"/>
      <c r="Y357" s="176"/>
      <c r="Z357" s="176"/>
      <c r="AA357" s="176"/>
    </row>
    <row r="358">
      <c r="A358" s="165" t="str">
        <f>iferror(VLOOKUP(P358,'DO NOT TOUCH Imported'!$A$1:$D$800,4,False),iferror(VLOOKUP(P358,'DO NOT TOUCH Imported'!$C$1:$D$800,2,False),"OOPS FIX ME"))</f>
        <v>paulo_c2d</v>
      </c>
      <c r="B358" s="249" t="s">
        <v>30</v>
      </c>
      <c r="C358" s="250" t="s">
        <v>1760</v>
      </c>
      <c r="D358" s="236" t="s">
        <v>1584</v>
      </c>
      <c r="E358" s="251">
        <v>44268.0</v>
      </c>
      <c r="F358" s="219" t="s">
        <v>627</v>
      </c>
      <c r="G358" s="170">
        <v>100.0</v>
      </c>
      <c r="H358" s="171">
        <v>100.0</v>
      </c>
      <c r="I358" s="171">
        <v>150.0</v>
      </c>
      <c r="J358" s="172">
        <f t="shared" si="2"/>
        <v>0.002627602189</v>
      </c>
      <c r="K358" s="173">
        <f t="shared" si="10"/>
        <v>2.934155778</v>
      </c>
      <c r="L358" s="174">
        <f t="shared" si="4"/>
        <v>8.619213757</v>
      </c>
      <c r="M358" s="175" t="str">
        <f t="shared" si="5"/>
        <v>paulo_c2d</v>
      </c>
      <c r="N358" s="176">
        <f>IFERROR(__xludf.DUMMYFUNCTION("""COMPUTED_VALUE"""),8.0)</f>
        <v>8</v>
      </c>
      <c r="O358" s="176"/>
      <c r="P358" s="249" t="s">
        <v>30</v>
      </c>
      <c r="Q358" s="249" t="s">
        <v>30</v>
      </c>
      <c r="R358" s="176"/>
      <c r="S358" s="176"/>
      <c r="T358" s="176"/>
      <c r="U358" s="176"/>
      <c r="V358" s="176"/>
      <c r="W358" s="176"/>
      <c r="X358" s="176"/>
      <c r="Y358" s="176"/>
      <c r="Z358" s="176"/>
      <c r="AA358" s="176"/>
    </row>
    <row r="359">
      <c r="A359" s="165" t="str">
        <f>iferror(VLOOKUP(P359,'DO NOT TOUCH Imported'!$A$1:$D$800,4,False),iferror(VLOOKUP(P359,'DO NOT TOUCH Imported'!$C$1:$D$800,2,False),"OOPS FIX ME"))</f>
        <v>paulo_c2d</v>
      </c>
      <c r="B359" s="165" t="s">
        <v>441</v>
      </c>
      <c r="C359" s="170" t="s">
        <v>1714</v>
      </c>
      <c r="D359" s="236" t="s">
        <v>437</v>
      </c>
      <c r="E359" s="239">
        <v>44274.0</v>
      </c>
      <c r="F359" s="170" t="s">
        <v>439</v>
      </c>
      <c r="G359" s="170">
        <v>50.0</v>
      </c>
      <c r="H359" s="171">
        <v>200.0</v>
      </c>
      <c r="I359" s="171">
        <v>100.0</v>
      </c>
      <c r="J359" s="172">
        <f t="shared" si="2"/>
        <v>0.002048240584</v>
      </c>
      <c r="K359" s="173">
        <f t="shared" si="10"/>
        <v>2.287201985</v>
      </c>
      <c r="L359" s="174">
        <f t="shared" si="4"/>
        <v>8.619213757</v>
      </c>
      <c r="M359" s="175" t="str">
        <f t="shared" si="5"/>
        <v>paulo_c2d</v>
      </c>
      <c r="N359" s="176">
        <f>IFERROR(__xludf.DUMMYFUNCTION("""COMPUTED_VALUE"""),9.0)</f>
        <v>9</v>
      </c>
      <c r="O359" s="176"/>
      <c r="P359" s="165" t="s">
        <v>651</v>
      </c>
      <c r="Q359" s="165" t="s">
        <v>441</v>
      </c>
      <c r="R359" s="176"/>
      <c r="S359" s="176"/>
      <c r="T359" s="176"/>
      <c r="U359" s="176"/>
      <c r="V359" s="176"/>
      <c r="W359" s="176"/>
      <c r="X359" s="176"/>
      <c r="Y359" s="176"/>
      <c r="Z359" s="176"/>
      <c r="AA359" s="176"/>
    </row>
    <row r="360">
      <c r="A360" s="165" t="str">
        <f>iferror(VLOOKUP(P360,'DO NOT TOUCH Imported'!$A$1:$D$800,4,False),iferror(VLOOKUP(P360,'DO NOT TOUCH Imported'!$C$1:$D$800,2,False),"OOPS FIX ME"))</f>
        <v>paulo_c2d</v>
      </c>
      <c r="B360" s="165" t="s">
        <v>441</v>
      </c>
      <c r="C360" s="170" t="s">
        <v>1748</v>
      </c>
      <c r="D360" s="236" t="s">
        <v>437</v>
      </c>
      <c r="E360" s="239">
        <v>44274.0</v>
      </c>
      <c r="F360" s="170" t="s">
        <v>439</v>
      </c>
      <c r="G360" s="170">
        <v>50.0</v>
      </c>
      <c r="H360" s="171">
        <v>150.0</v>
      </c>
      <c r="I360" s="171">
        <v>100.0</v>
      </c>
      <c r="J360" s="172">
        <f t="shared" si="2"/>
        <v>0.001838478244</v>
      </c>
      <c r="K360" s="173">
        <f t="shared" si="10"/>
        <v>2.052967373</v>
      </c>
      <c r="L360" s="174">
        <f t="shared" si="4"/>
        <v>8.619213757</v>
      </c>
      <c r="M360" s="175" t="str">
        <f t="shared" si="5"/>
        <v>paulo_c2d</v>
      </c>
      <c r="N360" s="176">
        <f>IFERROR(__xludf.DUMMYFUNCTION("""COMPUTED_VALUE"""),10.0)</f>
        <v>10</v>
      </c>
      <c r="O360" s="176"/>
      <c r="P360" s="165" t="s">
        <v>651</v>
      </c>
      <c r="Q360" s="165" t="s">
        <v>441</v>
      </c>
      <c r="R360" s="176"/>
      <c r="S360" s="176"/>
      <c r="T360" s="176"/>
      <c r="U360" s="176"/>
      <c r="V360" s="176"/>
      <c r="W360" s="176"/>
      <c r="X360" s="176"/>
      <c r="Y360" s="176"/>
      <c r="Z360" s="176"/>
      <c r="AA360" s="176"/>
    </row>
    <row r="361">
      <c r="A361" s="165" t="str">
        <f>iferror(VLOOKUP(P361,'DO NOT TOUCH Imported'!$A$1:$D$800,4,False),iferror(VLOOKUP(P361,'DO NOT TOUCH Imported'!$C$1:$D$800,2,False),"OOPS FIX ME"))</f>
        <v>paulo_c2d</v>
      </c>
      <c r="B361" s="165" t="s">
        <v>441</v>
      </c>
      <c r="C361" s="170" t="s">
        <v>1620</v>
      </c>
      <c r="D361" s="236" t="s">
        <v>437</v>
      </c>
      <c r="E361" s="239">
        <v>44274.0</v>
      </c>
      <c r="F361" s="170" t="s">
        <v>439</v>
      </c>
      <c r="G361" s="170">
        <v>15.0</v>
      </c>
      <c r="H361" s="171">
        <v>60.0</v>
      </c>
      <c r="I361" s="171">
        <v>100.0</v>
      </c>
      <c r="J361" s="172">
        <f t="shared" si="2"/>
        <v>0.0009088990941</v>
      </c>
      <c r="K361" s="173">
        <f t="shared" si="10"/>
        <v>1.014937322</v>
      </c>
      <c r="L361" s="174">
        <f t="shared" si="4"/>
        <v>8.619213757</v>
      </c>
      <c r="M361" s="175" t="str">
        <f t="shared" si="5"/>
        <v>paulo_c2d</v>
      </c>
      <c r="N361" s="176">
        <f>IFERROR(__xludf.DUMMYFUNCTION("""COMPUTED_VALUE"""),11.0)</f>
        <v>11</v>
      </c>
      <c r="O361" s="176"/>
      <c r="P361" s="165" t="s">
        <v>651</v>
      </c>
      <c r="Q361" s="165" t="s">
        <v>441</v>
      </c>
      <c r="R361" s="176"/>
      <c r="S361" s="176"/>
      <c r="T361" s="176"/>
      <c r="U361" s="176"/>
      <c r="V361" s="176"/>
      <c r="W361" s="176"/>
      <c r="X361" s="176"/>
      <c r="Y361" s="176"/>
      <c r="Z361" s="176"/>
      <c r="AA361" s="176"/>
    </row>
    <row r="362">
      <c r="A362" s="185" t="str">
        <f>iferror(VLOOKUP(P362,'DO NOT TOUCH Imported'!$A$1:$D$800,4,False),iferror(VLOOKUP(P362,'DO NOT TOUCH Imported'!$C$1:$D$800,2,False),"OOPS FIX ME"))</f>
        <v>paulo_c2d</v>
      </c>
      <c r="B362" s="185" t="s">
        <v>534</v>
      </c>
      <c r="C362" s="210" t="s">
        <v>655</v>
      </c>
      <c r="D362" s="187"/>
      <c r="E362" s="188"/>
      <c r="F362" s="189"/>
      <c r="G362" s="190"/>
      <c r="H362" s="190"/>
      <c r="I362" s="190"/>
      <c r="J362" s="191">
        <f t="shared" si="2"/>
        <v>0</v>
      </c>
      <c r="K362" s="192">
        <f>57.46 * -0.85</f>
        <v>-48.841</v>
      </c>
      <c r="L362" s="193">
        <f t="shared" si="4"/>
        <v>8.619213757</v>
      </c>
      <c r="M362" s="194" t="str">
        <f t="shared" si="5"/>
        <v>paulo_c2d</v>
      </c>
      <c r="N362" s="195">
        <f>IFERROR(__xludf.DUMMYFUNCTION("""COMPUTED_VALUE"""),12.0)</f>
        <v>12</v>
      </c>
      <c r="O362" s="195"/>
      <c r="P362" s="185" t="s">
        <v>30</v>
      </c>
      <c r="Q362" s="185" t="s">
        <v>534</v>
      </c>
      <c r="R362" s="195">
        <v>51.99833903635589</v>
      </c>
      <c r="S362" s="195"/>
      <c r="T362" s="195"/>
      <c r="U362" s="195"/>
      <c r="V362" s="195"/>
      <c r="W362" s="195"/>
      <c r="X362" s="195"/>
      <c r="Y362" s="195"/>
      <c r="Z362" s="195"/>
      <c r="AA362" s="176"/>
    </row>
    <row r="363">
      <c r="A363" s="165" t="str">
        <f>iferror(VLOOKUP(P363,'DO NOT TOUCH Imported'!$A$1:$D$800,4,False),iferror(VLOOKUP(P363,'DO NOT TOUCH Imported'!$C$1:$D$800,2,False),"OOPS FIX ME"))</f>
        <v>paulo_c2d</v>
      </c>
      <c r="B363" s="249" t="s">
        <v>30</v>
      </c>
      <c r="C363" s="250" t="s">
        <v>1761</v>
      </c>
      <c r="D363" s="236" t="s">
        <v>1584</v>
      </c>
      <c r="E363" s="251">
        <v>44268.0</v>
      </c>
      <c r="F363" s="219" t="s">
        <v>627</v>
      </c>
      <c r="G363" s="170">
        <v>300.0</v>
      </c>
      <c r="H363" s="171">
        <v>500.0</v>
      </c>
      <c r="I363" s="171">
        <v>400.0</v>
      </c>
      <c r="J363" s="172">
        <f t="shared" si="2"/>
        <v>0.008511550983</v>
      </c>
      <c r="K363" s="173">
        <f t="shared" ref="K363:K380" si="11">J363*$J$1</f>
        <v>9.504565264</v>
      </c>
      <c r="L363" s="174">
        <f t="shared" si="4"/>
        <v>8.619213757</v>
      </c>
      <c r="M363" s="175" t="str">
        <f t="shared" si="5"/>
        <v>paulo_c2d</v>
      </c>
      <c r="N363" s="176">
        <f>IFERROR(__xludf.DUMMYFUNCTION("""COMPUTED_VALUE"""),13.0)</f>
        <v>13</v>
      </c>
      <c r="O363" s="176"/>
      <c r="P363" s="249" t="s">
        <v>30</v>
      </c>
      <c r="Q363" s="249" t="s">
        <v>30</v>
      </c>
      <c r="R363" s="176"/>
      <c r="S363" s="176"/>
      <c r="T363" s="176"/>
      <c r="U363" s="176"/>
      <c r="V363" s="176"/>
      <c r="W363" s="176"/>
      <c r="X363" s="176"/>
      <c r="Y363" s="176"/>
      <c r="Z363" s="176"/>
      <c r="AA363" s="176"/>
    </row>
    <row r="364">
      <c r="A364" s="165" t="str">
        <f>iferror(VLOOKUP(P364,'DO NOT TOUCH Imported'!$A$1:$D$800,4,False),iferror(VLOOKUP(P364,'DO NOT TOUCH Imported'!$C$1:$D$800,2,False),"OOPS FIX ME"))</f>
        <v>baartch#5796</v>
      </c>
      <c r="B364" s="165" t="s">
        <v>441</v>
      </c>
      <c r="C364" s="170" t="s">
        <v>1762</v>
      </c>
      <c r="D364" s="236" t="s">
        <v>437</v>
      </c>
      <c r="E364" s="239">
        <v>44281.0</v>
      </c>
      <c r="F364" s="170" t="s">
        <v>439</v>
      </c>
      <c r="G364" s="170">
        <v>35.0</v>
      </c>
      <c r="H364" s="171">
        <v>100.0</v>
      </c>
      <c r="I364" s="171">
        <v>100.0</v>
      </c>
      <c r="J364" s="172">
        <f t="shared" si="2"/>
        <v>0.001392141502</v>
      </c>
      <c r="K364" s="173">
        <f t="shared" si="11"/>
        <v>1.554558011</v>
      </c>
      <c r="L364" s="174">
        <f t="shared" si="4"/>
        <v>8.605424933</v>
      </c>
      <c r="M364" s="175" t="str">
        <f t="shared" si="5"/>
        <v>baartch#5796</v>
      </c>
      <c r="N364" s="176">
        <f>IFERROR(__xludf.DUMMYFUNCTION("""COMPUTED_VALUE"""),1.0)</f>
        <v>1</v>
      </c>
      <c r="O364" s="176"/>
      <c r="P364" s="165" t="s">
        <v>90</v>
      </c>
      <c r="Q364" s="165" t="s">
        <v>441</v>
      </c>
      <c r="R364" s="176"/>
      <c r="S364" s="176"/>
      <c r="T364" s="176"/>
      <c r="U364" s="176"/>
      <c r="V364" s="176"/>
      <c r="W364" s="176"/>
      <c r="X364" s="176"/>
      <c r="Y364" s="176"/>
      <c r="Z364" s="176"/>
      <c r="AA364" s="176"/>
    </row>
    <row r="365">
      <c r="A365" s="165" t="str">
        <f>iferror(VLOOKUP(P365,'DO NOT TOUCH Imported'!$A$1:$D$800,4,False),iferror(VLOOKUP(P365,'DO NOT TOUCH Imported'!$C$1:$D$800,2,False),"OOPS FIX ME"))</f>
        <v>baartch#5796</v>
      </c>
      <c r="B365" s="165" t="s">
        <v>512</v>
      </c>
      <c r="C365" s="170" t="s">
        <v>1721</v>
      </c>
      <c r="D365" s="236" t="s">
        <v>437</v>
      </c>
      <c r="E365" s="239">
        <v>44274.0</v>
      </c>
      <c r="F365" s="170" t="s">
        <v>1722</v>
      </c>
      <c r="G365" s="170">
        <v>25.0</v>
      </c>
      <c r="H365" s="171">
        <v>100.0</v>
      </c>
      <c r="I365" s="171">
        <v>100.0</v>
      </c>
      <c r="J365" s="172">
        <f t="shared" si="2"/>
        <v>0.001234425234</v>
      </c>
      <c r="K365" s="173">
        <f t="shared" si="11"/>
        <v>1.378441511</v>
      </c>
      <c r="L365" s="174">
        <f t="shared" si="4"/>
        <v>8.605424933</v>
      </c>
      <c r="M365" s="175" t="str">
        <f t="shared" si="5"/>
        <v>baartch#5796</v>
      </c>
      <c r="N365" s="176">
        <f>IFERROR(__xludf.DUMMYFUNCTION("""COMPUTED_VALUE"""),2.0)</f>
        <v>2</v>
      </c>
      <c r="O365" s="176"/>
      <c r="P365" s="165" t="s">
        <v>90</v>
      </c>
      <c r="Q365" s="165" t="s">
        <v>512</v>
      </c>
      <c r="R365" s="176"/>
      <c r="S365" s="176"/>
      <c r="T365" s="176"/>
      <c r="U365" s="176"/>
      <c r="V365" s="176"/>
      <c r="W365" s="176"/>
      <c r="X365" s="176"/>
      <c r="Y365" s="176"/>
      <c r="Z365" s="176"/>
      <c r="AA365" s="176"/>
    </row>
    <row r="366">
      <c r="A366" s="165" t="str">
        <f>iferror(VLOOKUP(P366,'DO NOT TOUCH Imported'!$A$1:$D$800,4,False),iferror(VLOOKUP(P366,'DO NOT TOUCH Imported'!$C$1:$D$800,2,False),"OOPS FIX ME"))</f>
        <v>baartch#5796</v>
      </c>
      <c r="B366" s="165" t="s">
        <v>490</v>
      </c>
      <c r="C366" s="170" t="s">
        <v>1763</v>
      </c>
      <c r="D366" s="236" t="s">
        <v>437</v>
      </c>
      <c r="E366" s="239">
        <v>44277.0</v>
      </c>
      <c r="F366" s="170" t="s">
        <v>439</v>
      </c>
      <c r="G366" s="170">
        <v>25.0</v>
      </c>
      <c r="H366" s="171">
        <v>100.0</v>
      </c>
      <c r="I366" s="171">
        <v>100.0</v>
      </c>
      <c r="J366" s="172">
        <f t="shared" si="2"/>
        <v>0.001234425234</v>
      </c>
      <c r="K366" s="173">
        <f t="shared" si="11"/>
        <v>1.378441511</v>
      </c>
      <c r="L366" s="174">
        <f t="shared" si="4"/>
        <v>8.605424933</v>
      </c>
      <c r="M366" s="175" t="str">
        <f t="shared" si="5"/>
        <v>baartch#5796</v>
      </c>
      <c r="N366" s="176">
        <f>IFERROR(__xludf.DUMMYFUNCTION("""COMPUTED_VALUE"""),3.0)</f>
        <v>3</v>
      </c>
      <c r="O366" s="176"/>
      <c r="P366" s="165" t="s">
        <v>90</v>
      </c>
      <c r="Q366" s="165" t="s">
        <v>490</v>
      </c>
      <c r="R366" s="176"/>
      <c r="S366" s="176"/>
      <c r="T366" s="176"/>
      <c r="U366" s="176"/>
      <c r="V366" s="176"/>
      <c r="W366" s="176"/>
      <c r="X366" s="176"/>
      <c r="Y366" s="176"/>
      <c r="Z366" s="176"/>
      <c r="AA366" s="176"/>
    </row>
    <row r="367">
      <c r="A367" s="165" t="str">
        <f>iferror(VLOOKUP(P367,'DO NOT TOUCH Imported'!$A$1:$D$800,4,False),iferror(VLOOKUP(P367,'DO NOT TOUCH Imported'!$C$1:$D$800,2,False),"OOPS FIX ME"))</f>
        <v>baartch#5796</v>
      </c>
      <c r="B367" s="165" t="s">
        <v>435</v>
      </c>
      <c r="C367" s="170" t="s">
        <v>1610</v>
      </c>
      <c r="D367" s="236" t="s">
        <v>437</v>
      </c>
      <c r="E367" s="239">
        <v>44272.0</v>
      </c>
      <c r="F367" s="170" t="s">
        <v>439</v>
      </c>
      <c r="G367" s="170">
        <v>15.0</v>
      </c>
      <c r="H367" s="171">
        <v>80.0</v>
      </c>
      <c r="I367" s="171">
        <v>100.0</v>
      </c>
      <c r="J367" s="172">
        <f t="shared" si="2"/>
        <v>0.0009928040298</v>
      </c>
      <c r="K367" s="173">
        <f t="shared" si="11"/>
        <v>1.108631167</v>
      </c>
      <c r="L367" s="174">
        <f t="shared" si="4"/>
        <v>8.605424933</v>
      </c>
      <c r="M367" s="175" t="str">
        <f t="shared" si="5"/>
        <v>baartch#5796</v>
      </c>
      <c r="N367" s="176">
        <f>IFERROR(__xludf.DUMMYFUNCTION("""COMPUTED_VALUE"""),4.0)</f>
        <v>4</v>
      </c>
      <c r="O367" s="176"/>
      <c r="P367" s="165" t="s">
        <v>90</v>
      </c>
      <c r="Q367" s="165" t="s">
        <v>435</v>
      </c>
      <c r="R367" s="176"/>
      <c r="S367" s="176"/>
      <c r="T367" s="176"/>
      <c r="U367" s="176"/>
      <c r="V367" s="176"/>
      <c r="W367" s="176"/>
      <c r="X367" s="176"/>
      <c r="Y367" s="176"/>
      <c r="Z367" s="176"/>
      <c r="AA367" s="176"/>
    </row>
    <row r="368">
      <c r="A368" s="165" t="str">
        <f>iferror(VLOOKUP(P368,'DO NOT TOUCH Imported'!$A$1:$D$800,4,False),iferror(VLOOKUP(P368,'DO NOT TOUCH Imported'!$C$1:$D$800,2,False),"OOPS FIX ME"))</f>
        <v>baartch#5796</v>
      </c>
      <c r="B368" s="165" t="s">
        <v>441</v>
      </c>
      <c r="C368" s="170" t="s">
        <v>1612</v>
      </c>
      <c r="D368" s="236" t="s">
        <v>437</v>
      </c>
      <c r="E368" s="239">
        <v>44281.0</v>
      </c>
      <c r="F368" s="170" t="s">
        <v>439</v>
      </c>
      <c r="G368" s="170">
        <v>15.0</v>
      </c>
      <c r="H368" s="171">
        <v>80.0</v>
      </c>
      <c r="I368" s="171">
        <v>100.0</v>
      </c>
      <c r="J368" s="172">
        <f t="shared" si="2"/>
        <v>0.0009928040298</v>
      </c>
      <c r="K368" s="173">
        <f t="shared" si="11"/>
        <v>1.108631167</v>
      </c>
      <c r="L368" s="174">
        <f t="shared" si="4"/>
        <v>8.605424933</v>
      </c>
      <c r="M368" s="175" t="str">
        <f t="shared" si="5"/>
        <v>baartch#5796</v>
      </c>
      <c r="N368" s="176">
        <f>IFERROR(__xludf.DUMMYFUNCTION("""COMPUTED_VALUE"""),5.0)</f>
        <v>5</v>
      </c>
      <c r="O368" s="176"/>
      <c r="P368" s="165" t="s">
        <v>90</v>
      </c>
      <c r="Q368" s="165" t="s">
        <v>441</v>
      </c>
      <c r="R368" s="176"/>
      <c r="S368" s="176"/>
      <c r="T368" s="176"/>
      <c r="U368" s="176"/>
      <c r="V368" s="176"/>
      <c r="W368" s="176"/>
      <c r="X368" s="176"/>
      <c r="Y368" s="176"/>
      <c r="Z368" s="176"/>
      <c r="AA368" s="176"/>
    </row>
    <row r="369">
      <c r="A369" s="165" t="str">
        <f>iferror(VLOOKUP(P369,'DO NOT TOUCH Imported'!$A$1:$D$800,4,False),iferror(VLOOKUP(P369,'DO NOT TOUCH Imported'!$C$1:$D$800,2,False),"OOPS FIX ME"))</f>
        <v>baartch#5796</v>
      </c>
      <c r="B369" s="165" t="s">
        <v>441</v>
      </c>
      <c r="C369" s="170" t="s">
        <v>1764</v>
      </c>
      <c r="D369" s="236" t="s">
        <v>437</v>
      </c>
      <c r="E369" s="239">
        <v>44274.0</v>
      </c>
      <c r="F369" s="170" t="s">
        <v>439</v>
      </c>
      <c r="G369" s="170">
        <v>15.0</v>
      </c>
      <c r="H369" s="171">
        <v>70.0</v>
      </c>
      <c r="I369" s="171">
        <v>100.0</v>
      </c>
      <c r="J369" s="172">
        <f t="shared" si="2"/>
        <v>0.000950851562</v>
      </c>
      <c r="K369" s="173">
        <f t="shared" si="11"/>
        <v>1.061784244</v>
      </c>
      <c r="L369" s="174">
        <f t="shared" si="4"/>
        <v>8.605424933</v>
      </c>
      <c r="M369" s="175" t="str">
        <f t="shared" si="5"/>
        <v>baartch#5796</v>
      </c>
      <c r="N369" s="176">
        <f>IFERROR(__xludf.DUMMYFUNCTION("""COMPUTED_VALUE"""),6.0)</f>
        <v>6</v>
      </c>
      <c r="O369" s="176"/>
      <c r="P369" s="165" t="s">
        <v>90</v>
      </c>
      <c r="Q369" s="165" t="s">
        <v>441</v>
      </c>
      <c r="R369" s="176"/>
      <c r="S369" s="176"/>
      <c r="T369" s="176"/>
      <c r="U369" s="176"/>
      <c r="V369" s="176"/>
      <c r="W369" s="176"/>
      <c r="X369" s="176"/>
      <c r="Y369" s="176"/>
      <c r="Z369" s="176"/>
      <c r="AA369" s="176"/>
    </row>
    <row r="370">
      <c r="A370" s="165" t="str">
        <f>iferror(VLOOKUP(P370,'DO NOT TOUCH Imported'!$A$1:$D$800,4,False),iferror(VLOOKUP(P370,'DO NOT TOUCH Imported'!$C$1:$D$800,2,False),"OOPS FIX ME"))</f>
        <v>baartch#5796</v>
      </c>
      <c r="B370" s="165" t="s">
        <v>492</v>
      </c>
      <c r="C370" s="170" t="s">
        <v>1708</v>
      </c>
      <c r="D370" s="236" t="s">
        <v>437</v>
      </c>
      <c r="E370" s="239">
        <v>44280.0</v>
      </c>
      <c r="F370" s="170" t="s">
        <v>439</v>
      </c>
      <c r="G370" s="170">
        <v>15.0</v>
      </c>
      <c r="H370" s="171">
        <v>60.0</v>
      </c>
      <c r="I370" s="171">
        <v>100.0</v>
      </c>
      <c r="J370" s="172">
        <f t="shared" si="2"/>
        <v>0.0009088990941</v>
      </c>
      <c r="K370" s="173">
        <f t="shared" si="11"/>
        <v>1.014937322</v>
      </c>
      <c r="L370" s="174">
        <f t="shared" si="4"/>
        <v>8.605424933</v>
      </c>
      <c r="M370" s="175" t="str">
        <f t="shared" si="5"/>
        <v>baartch#5796</v>
      </c>
      <c r="N370" s="176">
        <f>IFERROR(__xludf.DUMMYFUNCTION("""COMPUTED_VALUE"""),7.0)</f>
        <v>7</v>
      </c>
      <c r="O370" s="176"/>
      <c r="P370" s="165" t="s">
        <v>90</v>
      </c>
      <c r="Q370" s="165" t="s">
        <v>492</v>
      </c>
      <c r="R370" s="176"/>
      <c r="S370" s="176"/>
      <c r="T370" s="176"/>
      <c r="U370" s="176"/>
      <c r="V370" s="176"/>
      <c r="W370" s="176"/>
      <c r="X370" s="176"/>
      <c r="Y370" s="176"/>
      <c r="Z370" s="176"/>
      <c r="AA370" s="176"/>
    </row>
    <row r="371">
      <c r="A371" s="165" t="str">
        <f>iferror(VLOOKUP(P371,'DO NOT TOUCH Imported'!$A$1:$D$800,4,False),iferror(VLOOKUP(P371,'DO NOT TOUCH Imported'!$C$1:$D$800,2,False),"OOPS FIX ME"))</f>
        <v>TannrA</v>
      </c>
      <c r="B371" s="165" t="s">
        <v>490</v>
      </c>
      <c r="C371" s="170" t="s">
        <v>1765</v>
      </c>
      <c r="D371" s="236" t="s">
        <v>499</v>
      </c>
      <c r="E371" s="239">
        <v>44277.0</v>
      </c>
      <c r="F371" s="170" t="s">
        <v>503</v>
      </c>
      <c r="G371" s="170">
        <v>50.0</v>
      </c>
      <c r="H371" s="171">
        <v>150.0</v>
      </c>
      <c r="I371" s="171">
        <v>100.0</v>
      </c>
      <c r="J371" s="172">
        <f t="shared" si="2"/>
        <v>0.001838478244</v>
      </c>
      <c r="K371" s="173">
        <f t="shared" si="11"/>
        <v>2.052967373</v>
      </c>
      <c r="L371" s="174">
        <f t="shared" si="4"/>
        <v>8.035202642</v>
      </c>
      <c r="M371" s="175" t="str">
        <f t="shared" si="5"/>
        <v>TannrA</v>
      </c>
      <c r="N371" s="176">
        <f>IFERROR(__xludf.DUMMYFUNCTION("""COMPUTED_VALUE"""),1.0)</f>
        <v>1</v>
      </c>
      <c r="O371" s="176"/>
      <c r="P371" s="165" t="s">
        <v>1207</v>
      </c>
      <c r="Q371" s="165" t="s">
        <v>490</v>
      </c>
      <c r="R371" s="176"/>
      <c r="S371" s="176"/>
      <c r="T371" s="176"/>
      <c r="U371" s="176"/>
      <c r="V371" s="176"/>
      <c r="W371" s="176"/>
      <c r="X371" s="176"/>
      <c r="Y371" s="176"/>
      <c r="Z371" s="176"/>
      <c r="AA371" s="176"/>
    </row>
    <row r="372">
      <c r="A372" s="165" t="str">
        <f>iferror(VLOOKUP(P372,'DO NOT TOUCH Imported'!$A$1:$D$800,4,False),iferror(VLOOKUP(P372,'DO NOT TOUCH Imported'!$C$1:$D$800,2,False),"OOPS FIX ME"))</f>
        <v>TannrA</v>
      </c>
      <c r="B372" s="249" t="s">
        <v>845</v>
      </c>
      <c r="C372" s="250" t="s">
        <v>1736</v>
      </c>
      <c r="D372" s="236" t="s">
        <v>1584</v>
      </c>
      <c r="E372" s="251">
        <v>44271.0</v>
      </c>
      <c r="F372" s="219" t="s">
        <v>496</v>
      </c>
      <c r="G372" s="170">
        <v>25.0</v>
      </c>
      <c r="H372" s="171">
        <v>150.0</v>
      </c>
      <c r="I372" s="171">
        <v>100.0</v>
      </c>
      <c r="J372" s="172">
        <f t="shared" si="2"/>
        <v>0.001444187573</v>
      </c>
      <c r="K372" s="173">
        <f t="shared" si="11"/>
        <v>1.612676123</v>
      </c>
      <c r="L372" s="174">
        <f t="shared" si="4"/>
        <v>8.035202642</v>
      </c>
      <c r="M372" s="175" t="str">
        <f t="shared" si="5"/>
        <v>TannrA</v>
      </c>
      <c r="N372" s="176">
        <f>IFERROR(__xludf.DUMMYFUNCTION("""COMPUTED_VALUE"""),2.0)</f>
        <v>2</v>
      </c>
      <c r="O372" s="176"/>
      <c r="P372" s="249" t="s">
        <v>42</v>
      </c>
      <c r="Q372" s="249" t="s">
        <v>845</v>
      </c>
      <c r="R372" s="176"/>
      <c r="S372" s="176"/>
      <c r="T372" s="176"/>
      <c r="U372" s="176"/>
      <c r="V372" s="176"/>
      <c r="W372" s="176"/>
      <c r="X372" s="176"/>
      <c r="Y372" s="176"/>
      <c r="Z372" s="176"/>
      <c r="AA372" s="176"/>
    </row>
    <row r="373">
      <c r="A373" s="165" t="str">
        <f>iferror(VLOOKUP(P373,'DO NOT TOUCH Imported'!$A$1:$D$800,4,False),iferror(VLOOKUP(P373,'DO NOT TOUCH Imported'!$C$1:$D$800,2,False),"OOPS FIX ME"))</f>
        <v>TannrA</v>
      </c>
      <c r="B373" s="165" t="s">
        <v>566</v>
      </c>
      <c r="C373" s="170" t="s">
        <v>1766</v>
      </c>
      <c r="D373" s="236" t="s">
        <v>499</v>
      </c>
      <c r="E373" s="239">
        <v>44277.0</v>
      </c>
      <c r="F373" s="170" t="s">
        <v>503</v>
      </c>
      <c r="G373" s="170">
        <v>25.0</v>
      </c>
      <c r="H373" s="171">
        <v>150.0</v>
      </c>
      <c r="I373" s="171">
        <v>100.0</v>
      </c>
      <c r="J373" s="172">
        <f t="shared" si="2"/>
        <v>0.001444187573</v>
      </c>
      <c r="K373" s="173">
        <f t="shared" si="11"/>
        <v>1.612676123</v>
      </c>
      <c r="L373" s="174">
        <f t="shared" si="4"/>
        <v>8.035202642</v>
      </c>
      <c r="M373" s="175" t="str">
        <f t="shared" si="5"/>
        <v>TannrA</v>
      </c>
      <c r="N373" s="176">
        <f>IFERROR(__xludf.DUMMYFUNCTION("""COMPUTED_VALUE"""),3.0)</f>
        <v>3</v>
      </c>
      <c r="O373" s="176"/>
      <c r="P373" s="165" t="s">
        <v>1207</v>
      </c>
      <c r="Q373" s="165" t="s">
        <v>566</v>
      </c>
      <c r="R373" s="176"/>
      <c r="S373" s="176"/>
      <c r="T373" s="176"/>
      <c r="U373" s="176"/>
      <c r="V373" s="176"/>
      <c r="W373" s="176"/>
      <c r="X373" s="176"/>
      <c r="Y373" s="176"/>
      <c r="Z373" s="176"/>
      <c r="AA373" s="176"/>
    </row>
    <row r="374">
      <c r="A374" s="165" t="str">
        <f>iferror(VLOOKUP(P374,'DO NOT TOUCH Imported'!$A$1:$D$800,4,False),iferror(VLOOKUP(P374,'DO NOT TOUCH Imported'!$C$1:$D$800,2,False),"OOPS FIX ME"))</f>
        <v>TannrA</v>
      </c>
      <c r="B374" s="249" t="s">
        <v>10</v>
      </c>
      <c r="C374" s="250" t="s">
        <v>1767</v>
      </c>
      <c r="D374" s="236" t="s">
        <v>1584</v>
      </c>
      <c r="E374" s="251">
        <v>44274.0</v>
      </c>
      <c r="F374" s="219" t="s">
        <v>496</v>
      </c>
      <c r="G374" s="170">
        <v>35.0</v>
      </c>
      <c r="H374" s="171">
        <v>100.0</v>
      </c>
      <c r="I374" s="171">
        <v>100.0</v>
      </c>
      <c r="J374" s="172">
        <f t="shared" si="2"/>
        <v>0.001392141502</v>
      </c>
      <c r="K374" s="173">
        <f t="shared" si="11"/>
        <v>1.554558011</v>
      </c>
      <c r="L374" s="174">
        <f t="shared" si="4"/>
        <v>8.035202642</v>
      </c>
      <c r="M374" s="175" t="str">
        <f t="shared" si="5"/>
        <v>TannrA</v>
      </c>
      <c r="N374" s="176">
        <f>IFERROR(__xludf.DUMMYFUNCTION("""COMPUTED_VALUE"""),4.0)</f>
        <v>4</v>
      </c>
      <c r="O374" s="176"/>
      <c r="P374" s="249" t="s">
        <v>42</v>
      </c>
      <c r="Q374" s="249" t="s">
        <v>10</v>
      </c>
      <c r="R374" s="176"/>
      <c r="S374" s="176"/>
      <c r="T374" s="176"/>
      <c r="U374" s="176"/>
      <c r="V374" s="176"/>
      <c r="W374" s="176"/>
      <c r="X374" s="176"/>
      <c r="Y374" s="176"/>
      <c r="Z374" s="176"/>
      <c r="AA374" s="176"/>
    </row>
    <row r="375">
      <c r="A375" s="165" t="str">
        <f>iferror(VLOOKUP(P375,'DO NOT TOUCH Imported'!$A$1:$D$800,4,False),iferror(VLOOKUP(P375,'DO NOT TOUCH Imported'!$C$1:$D$800,2,False),"OOPS FIX ME"))</f>
        <v>TannrA</v>
      </c>
      <c r="B375" s="165" t="s">
        <v>435</v>
      </c>
      <c r="C375" s="170" t="s">
        <v>1739</v>
      </c>
      <c r="D375" s="236" t="s">
        <v>499</v>
      </c>
      <c r="E375" s="239">
        <v>44277.0</v>
      </c>
      <c r="F375" s="170" t="s">
        <v>503</v>
      </c>
      <c r="G375" s="170">
        <v>15.0</v>
      </c>
      <c r="H375" s="171">
        <v>100.0</v>
      </c>
      <c r="I375" s="171">
        <v>100.0</v>
      </c>
      <c r="J375" s="172">
        <f t="shared" si="2"/>
        <v>0.001076708966</v>
      </c>
      <c r="K375" s="173">
        <f t="shared" si="11"/>
        <v>1.202325011</v>
      </c>
      <c r="L375" s="174">
        <f t="shared" si="4"/>
        <v>8.035202642</v>
      </c>
      <c r="M375" s="175" t="str">
        <f t="shared" si="5"/>
        <v>TannrA</v>
      </c>
      <c r="N375" s="176">
        <f>IFERROR(__xludf.DUMMYFUNCTION("""COMPUTED_VALUE"""),5.0)</f>
        <v>5</v>
      </c>
      <c r="O375" s="176"/>
      <c r="P375" s="165" t="s">
        <v>1207</v>
      </c>
      <c r="Q375" s="165" t="s">
        <v>435</v>
      </c>
      <c r="R375" s="176"/>
      <c r="S375" s="176"/>
      <c r="T375" s="176"/>
      <c r="U375" s="176"/>
      <c r="V375" s="176"/>
      <c r="W375" s="176"/>
      <c r="X375" s="176"/>
      <c r="Y375" s="176"/>
      <c r="Z375" s="176"/>
      <c r="AA375" s="176"/>
    </row>
    <row r="376">
      <c r="A376" s="165" t="str">
        <f>iferror(VLOOKUP(P376,'DO NOT TOUCH Imported'!$A$1:$D$800,4,False),iferror(VLOOKUP(P376,'DO NOT TOUCH Imported'!$C$1:$D$800,2,False),"OOPS FIX ME"))</f>
        <v>geleeroyale</v>
      </c>
      <c r="B376" s="165" t="s">
        <v>566</v>
      </c>
      <c r="C376" s="170" t="s">
        <v>1768</v>
      </c>
      <c r="D376" s="236" t="s">
        <v>499</v>
      </c>
      <c r="E376" s="239">
        <v>44281.0</v>
      </c>
      <c r="F376" s="170" t="s">
        <v>503</v>
      </c>
      <c r="G376" s="170">
        <v>50.0</v>
      </c>
      <c r="H376" s="171">
        <v>200.0</v>
      </c>
      <c r="I376" s="171">
        <v>100.0</v>
      </c>
      <c r="J376" s="172">
        <f t="shared" si="2"/>
        <v>0.002048240584</v>
      </c>
      <c r="K376" s="173">
        <f t="shared" si="11"/>
        <v>2.287201985</v>
      </c>
      <c r="L376" s="174">
        <f t="shared" si="4"/>
        <v>7.977965611</v>
      </c>
      <c r="M376" s="175" t="str">
        <f t="shared" si="5"/>
        <v>geleeroyale</v>
      </c>
      <c r="N376" s="176">
        <f>IFERROR(__xludf.DUMMYFUNCTION("""COMPUTED_VALUE"""),1.0)</f>
        <v>1</v>
      </c>
      <c r="O376" s="176"/>
      <c r="P376" s="165" t="s">
        <v>804</v>
      </c>
      <c r="Q376" s="165" t="s">
        <v>566</v>
      </c>
      <c r="R376" s="176"/>
      <c r="S376" s="176"/>
      <c r="T376" s="176"/>
      <c r="U376" s="176"/>
      <c r="V376" s="176"/>
      <c r="W376" s="176"/>
      <c r="X376" s="176"/>
      <c r="Y376" s="176"/>
      <c r="Z376" s="176"/>
      <c r="AA376" s="176"/>
    </row>
    <row r="377">
      <c r="A377" s="165" t="str">
        <f>iferror(VLOOKUP(P377,'DO NOT TOUCH Imported'!$A$1:$D$800,4,False),iferror(VLOOKUP(P377,'DO NOT TOUCH Imported'!$C$1:$D$800,2,False),"OOPS FIX ME"))</f>
        <v>geleeroyale</v>
      </c>
      <c r="B377" s="249" t="s">
        <v>870</v>
      </c>
      <c r="C377" s="250" t="s">
        <v>1769</v>
      </c>
      <c r="D377" s="236" t="s">
        <v>1584</v>
      </c>
      <c r="E377" s="251">
        <v>44270.0</v>
      </c>
      <c r="F377" s="219" t="s">
        <v>521</v>
      </c>
      <c r="G377" s="170">
        <v>50.0</v>
      </c>
      <c r="H377" s="171">
        <v>100.0</v>
      </c>
      <c r="I377" s="171">
        <v>100.0</v>
      </c>
      <c r="J377" s="172">
        <f t="shared" si="2"/>
        <v>0.001628715905</v>
      </c>
      <c r="K377" s="173">
        <f t="shared" si="11"/>
        <v>1.818732761</v>
      </c>
      <c r="L377" s="174">
        <f t="shared" si="4"/>
        <v>7.977965611</v>
      </c>
      <c r="M377" s="175" t="str">
        <f t="shared" si="5"/>
        <v>geleeroyale</v>
      </c>
      <c r="N377" s="176">
        <f>IFERROR(__xludf.DUMMYFUNCTION("""COMPUTED_VALUE"""),2.0)</f>
        <v>2</v>
      </c>
      <c r="O377" s="176"/>
      <c r="P377" s="249" t="s">
        <v>50</v>
      </c>
      <c r="Q377" s="249" t="s">
        <v>870</v>
      </c>
      <c r="R377" s="176"/>
      <c r="S377" s="176"/>
      <c r="T377" s="176"/>
      <c r="U377" s="176"/>
      <c r="V377" s="176"/>
      <c r="W377" s="176"/>
      <c r="X377" s="176"/>
      <c r="Y377" s="176"/>
      <c r="Z377" s="176"/>
      <c r="AA377" s="176"/>
    </row>
    <row r="378">
      <c r="A378" s="165" t="str">
        <f>iferror(VLOOKUP(P378,'DO NOT TOUCH Imported'!$A$1:$D$800,4,False),iferror(VLOOKUP(P378,'DO NOT TOUCH Imported'!$C$1:$D$800,2,False),"OOPS FIX ME"))</f>
        <v>geleeroyale</v>
      </c>
      <c r="B378" s="165" t="s">
        <v>519</v>
      </c>
      <c r="C378" s="170" t="s">
        <v>1632</v>
      </c>
      <c r="D378" s="236" t="s">
        <v>1584</v>
      </c>
      <c r="E378" s="239">
        <v>44281.0</v>
      </c>
      <c r="F378" s="170" t="s">
        <v>496</v>
      </c>
      <c r="G378" s="170">
        <v>50.0</v>
      </c>
      <c r="H378" s="171">
        <v>100.0</v>
      </c>
      <c r="I378" s="171">
        <v>100.0</v>
      </c>
      <c r="J378" s="172">
        <f t="shared" si="2"/>
        <v>0.001628715905</v>
      </c>
      <c r="K378" s="173">
        <f t="shared" si="11"/>
        <v>1.818732761</v>
      </c>
      <c r="L378" s="174">
        <f t="shared" si="4"/>
        <v>7.977965611</v>
      </c>
      <c r="M378" s="175" t="str">
        <f t="shared" si="5"/>
        <v>geleeroyale</v>
      </c>
      <c r="N378" s="176">
        <f>IFERROR(__xludf.DUMMYFUNCTION("""COMPUTED_VALUE"""),3.0)</f>
        <v>3</v>
      </c>
      <c r="O378" s="176"/>
      <c r="P378" s="165" t="s">
        <v>50</v>
      </c>
      <c r="Q378" s="165" t="s">
        <v>519</v>
      </c>
      <c r="R378" s="176"/>
      <c r="S378" s="176"/>
      <c r="T378" s="176"/>
      <c r="U378" s="176"/>
      <c r="V378" s="176"/>
      <c r="W378" s="176"/>
      <c r="X378" s="176"/>
      <c r="Y378" s="176"/>
      <c r="Z378" s="176"/>
      <c r="AA378" s="176"/>
    </row>
    <row r="379">
      <c r="A379" s="165" t="str">
        <f>iferror(VLOOKUP(P379,'DO NOT TOUCH Imported'!$A$1:$D$800,4,False),iferror(VLOOKUP(P379,'DO NOT TOUCH Imported'!$C$1:$D$800,2,False),"OOPS FIX ME"))</f>
        <v>geleeroyale</v>
      </c>
      <c r="B379" s="165" t="s">
        <v>435</v>
      </c>
      <c r="C379" s="170" t="s">
        <v>1770</v>
      </c>
      <c r="D379" s="236" t="s">
        <v>437</v>
      </c>
      <c r="E379" s="239">
        <v>44279.0</v>
      </c>
      <c r="F379" s="170" t="s">
        <v>911</v>
      </c>
      <c r="G379" s="170">
        <v>15.0</v>
      </c>
      <c r="H379" s="171">
        <v>100.0</v>
      </c>
      <c r="I379" s="171">
        <v>100.0</v>
      </c>
      <c r="J379" s="172">
        <f t="shared" si="2"/>
        <v>0.001076708966</v>
      </c>
      <c r="K379" s="173">
        <f t="shared" si="11"/>
        <v>1.202325011</v>
      </c>
      <c r="L379" s="174">
        <f t="shared" si="4"/>
        <v>7.977965611</v>
      </c>
      <c r="M379" s="175" t="str">
        <f t="shared" si="5"/>
        <v>geleeroyale</v>
      </c>
      <c r="N379" s="176">
        <f>IFERROR(__xludf.DUMMYFUNCTION("""COMPUTED_VALUE"""),4.0)</f>
        <v>4</v>
      </c>
      <c r="O379" s="176"/>
      <c r="P379" s="165" t="s">
        <v>804</v>
      </c>
      <c r="Q379" s="165" t="s">
        <v>435</v>
      </c>
      <c r="R379" s="176"/>
      <c r="S379" s="176"/>
      <c r="T379" s="176"/>
      <c r="U379" s="176"/>
      <c r="V379" s="176"/>
      <c r="W379" s="176"/>
      <c r="X379" s="176"/>
      <c r="Y379" s="176"/>
      <c r="Z379" s="176"/>
      <c r="AA379" s="176"/>
    </row>
    <row r="380">
      <c r="A380" s="165" t="str">
        <f>iferror(VLOOKUP(P380,'DO NOT TOUCH Imported'!$A$1:$D$800,4,False),iferror(VLOOKUP(P380,'DO NOT TOUCH Imported'!$C$1:$D$800,2,False),"OOPS FIX ME"))</f>
        <v>geleeroyale</v>
      </c>
      <c r="B380" s="249" t="s">
        <v>10</v>
      </c>
      <c r="C380" s="250" t="s">
        <v>498</v>
      </c>
      <c r="D380" s="236" t="s">
        <v>1584</v>
      </c>
      <c r="E380" s="251">
        <v>44274.0</v>
      </c>
      <c r="F380" s="219" t="s">
        <v>499</v>
      </c>
      <c r="G380" s="170">
        <v>15.0</v>
      </c>
      <c r="H380" s="171">
        <v>25.0</v>
      </c>
      <c r="I380" s="171">
        <v>100.0</v>
      </c>
      <c r="J380" s="172">
        <f t="shared" si="2"/>
        <v>0.0007620654566</v>
      </c>
      <c r="K380" s="173">
        <f t="shared" si="11"/>
        <v>0.8509730932</v>
      </c>
      <c r="L380" s="174">
        <f t="shared" si="4"/>
        <v>7.977965611</v>
      </c>
      <c r="M380" s="175" t="str">
        <f t="shared" si="5"/>
        <v>geleeroyale</v>
      </c>
      <c r="N380" s="176">
        <f>IFERROR(__xludf.DUMMYFUNCTION("""COMPUTED_VALUE"""),5.0)</f>
        <v>5</v>
      </c>
      <c r="O380" s="176"/>
      <c r="P380" s="249" t="s">
        <v>50</v>
      </c>
      <c r="Q380" s="249" t="s">
        <v>10</v>
      </c>
      <c r="R380" s="176"/>
      <c r="S380" s="176"/>
      <c r="T380" s="176"/>
      <c r="U380" s="176"/>
      <c r="V380" s="176"/>
      <c r="W380" s="176"/>
      <c r="X380" s="176"/>
      <c r="Y380" s="176"/>
      <c r="Z380" s="176"/>
      <c r="AA380" s="176"/>
    </row>
    <row r="381">
      <c r="A381" s="185" t="str">
        <f>iferror(VLOOKUP(P381,'DO NOT TOUCH Imported'!$A$1:$D$800,4,False),iferror(VLOOKUP(P381,'DO NOT TOUCH Imported'!$C$1:$D$800,2,False),"OOPS FIX ME"))</f>
        <v>geleeroyale</v>
      </c>
      <c r="B381" s="185" t="s">
        <v>534</v>
      </c>
      <c r="C381" s="186" t="s">
        <v>688</v>
      </c>
      <c r="D381" s="187"/>
      <c r="E381" s="188"/>
      <c r="F381" s="189"/>
      <c r="G381" s="190"/>
      <c r="H381" s="190"/>
      <c r="I381" s="190"/>
      <c r="J381" s="191">
        <f t="shared" si="2"/>
        <v>0</v>
      </c>
      <c r="K381" s="192"/>
      <c r="L381" s="193">
        <f t="shared" si="4"/>
        <v>7.977965611</v>
      </c>
      <c r="M381" s="194" t="str">
        <f t="shared" si="5"/>
        <v>geleeroyale</v>
      </c>
      <c r="N381" s="195">
        <f>IFERROR(__xludf.DUMMYFUNCTION("""COMPUTED_VALUE"""),6.0)</f>
        <v>6</v>
      </c>
      <c r="O381" s="195"/>
      <c r="P381" s="185" t="s">
        <v>50</v>
      </c>
      <c r="Q381" s="185" t="s">
        <v>534</v>
      </c>
      <c r="R381" s="195">
        <v>18.802169413641863</v>
      </c>
      <c r="S381" s="195"/>
      <c r="T381" s="195"/>
      <c r="U381" s="195"/>
      <c r="V381" s="195"/>
      <c r="W381" s="195"/>
      <c r="X381" s="195"/>
      <c r="Y381" s="195"/>
      <c r="Z381" s="195"/>
      <c r="AA381" s="176"/>
    </row>
    <row r="382">
      <c r="A382" s="165" t="str">
        <f>iferror(VLOOKUP(P382,'DO NOT TOUCH Imported'!$A$1:$D$800,4,False),iferror(VLOOKUP(P382,'DO NOT TOUCH Imported'!$C$1:$D$800,2,False),"OOPS FIX ME"))</f>
        <v>Tam2140</v>
      </c>
      <c r="B382" s="249" t="s">
        <v>18</v>
      </c>
      <c r="C382" s="250" t="s">
        <v>1771</v>
      </c>
      <c r="D382" s="236" t="s">
        <v>1584</v>
      </c>
      <c r="E382" s="251">
        <v>44277.0</v>
      </c>
      <c r="F382" s="219" t="s">
        <v>496</v>
      </c>
      <c r="G382" s="170">
        <v>25.0</v>
      </c>
      <c r="H382" s="171">
        <v>200.0</v>
      </c>
      <c r="I382" s="171">
        <v>100.0</v>
      </c>
      <c r="J382" s="172">
        <f t="shared" si="2"/>
        <v>0.001653949912</v>
      </c>
      <c r="K382" s="173">
        <f t="shared" ref="K382:K414" si="12">J382*$J$1</f>
        <v>1.846910736</v>
      </c>
      <c r="L382" s="174">
        <f t="shared" si="4"/>
        <v>7.63087726</v>
      </c>
      <c r="M382" s="175" t="str">
        <f t="shared" si="5"/>
        <v>Tam2140</v>
      </c>
      <c r="N382" s="176">
        <f>IFERROR(__xludf.DUMMYFUNCTION("""COMPUTED_VALUE"""),1.0)</f>
        <v>1</v>
      </c>
      <c r="O382" s="176"/>
      <c r="P382" s="249" t="s">
        <v>28</v>
      </c>
      <c r="Q382" s="249" t="s">
        <v>18</v>
      </c>
      <c r="R382" s="176"/>
      <c r="S382" s="176"/>
      <c r="T382" s="176"/>
      <c r="U382" s="176"/>
      <c r="V382" s="176"/>
      <c r="W382" s="176"/>
      <c r="X382" s="176"/>
      <c r="Y382" s="176"/>
      <c r="Z382" s="176"/>
      <c r="AA382" s="176"/>
    </row>
    <row r="383">
      <c r="A383" s="165" t="str">
        <f>iferror(VLOOKUP(P383,'DO NOT TOUCH Imported'!$A$1:$D$800,4,False),iferror(VLOOKUP(P383,'DO NOT TOUCH Imported'!$C$1:$D$800,2,False),"OOPS FIX ME"))</f>
        <v>Tam2140</v>
      </c>
      <c r="B383" s="165" t="s">
        <v>18</v>
      </c>
      <c r="C383" s="170" t="s">
        <v>1772</v>
      </c>
      <c r="D383" s="236" t="s">
        <v>1584</v>
      </c>
      <c r="E383" s="239">
        <v>44281.0</v>
      </c>
      <c r="F383" s="170" t="s">
        <v>496</v>
      </c>
      <c r="G383" s="170">
        <v>50.0</v>
      </c>
      <c r="H383" s="171">
        <v>100.0</v>
      </c>
      <c r="I383" s="171">
        <v>100.0</v>
      </c>
      <c r="J383" s="172">
        <f t="shared" si="2"/>
        <v>0.001628715905</v>
      </c>
      <c r="K383" s="173">
        <f t="shared" si="12"/>
        <v>1.818732761</v>
      </c>
      <c r="L383" s="174">
        <f t="shared" si="4"/>
        <v>7.63087726</v>
      </c>
      <c r="M383" s="175" t="str">
        <f t="shared" si="5"/>
        <v>Tam2140</v>
      </c>
      <c r="N383" s="176">
        <f>IFERROR(__xludf.DUMMYFUNCTION("""COMPUTED_VALUE"""),2.0)</f>
        <v>2</v>
      </c>
      <c r="O383" s="176"/>
      <c r="P383" s="165" t="s">
        <v>28</v>
      </c>
      <c r="Q383" s="165" t="s">
        <v>18</v>
      </c>
      <c r="R383" s="176"/>
      <c r="S383" s="176"/>
      <c r="T383" s="176"/>
      <c r="U383" s="176"/>
      <c r="V383" s="176"/>
      <c r="W383" s="176"/>
      <c r="X383" s="176"/>
      <c r="Y383" s="176"/>
      <c r="Z383" s="176"/>
      <c r="AA383" s="176"/>
    </row>
    <row r="384">
      <c r="A384" s="165" t="str">
        <f>iferror(VLOOKUP(P384,'DO NOT TOUCH Imported'!$A$1:$D$800,4,False),iferror(VLOOKUP(P384,'DO NOT TOUCH Imported'!$C$1:$D$800,2,False),"OOPS FIX ME"))</f>
        <v>Tam2140</v>
      </c>
      <c r="B384" s="165" t="s">
        <v>443</v>
      </c>
      <c r="C384" s="170" t="s">
        <v>1590</v>
      </c>
      <c r="D384" s="236" t="s">
        <v>437</v>
      </c>
      <c r="E384" s="239">
        <v>44273.0</v>
      </c>
      <c r="F384" s="170" t="s">
        <v>439</v>
      </c>
      <c r="G384" s="170">
        <v>45.0</v>
      </c>
      <c r="H384" s="171">
        <v>100.0</v>
      </c>
      <c r="I384" s="171">
        <v>100.0</v>
      </c>
      <c r="J384" s="172">
        <f t="shared" si="2"/>
        <v>0.001549857771</v>
      </c>
      <c r="K384" s="173">
        <f t="shared" si="12"/>
        <v>1.730674511</v>
      </c>
      <c r="L384" s="174">
        <f t="shared" si="4"/>
        <v>7.63087726</v>
      </c>
      <c r="M384" s="175" t="str">
        <f t="shared" si="5"/>
        <v>Tam2140</v>
      </c>
      <c r="N384" s="176">
        <f>IFERROR(__xludf.DUMMYFUNCTION("""COMPUTED_VALUE"""),3.0)</f>
        <v>3</v>
      </c>
      <c r="O384" s="176"/>
      <c r="P384" s="165" t="s">
        <v>435</v>
      </c>
      <c r="Q384" s="165" t="s">
        <v>443</v>
      </c>
      <c r="R384" s="176"/>
      <c r="S384" s="176"/>
      <c r="T384" s="176"/>
      <c r="U384" s="176"/>
      <c r="V384" s="176"/>
      <c r="W384" s="176"/>
      <c r="X384" s="176"/>
      <c r="Y384" s="176"/>
      <c r="Z384" s="176"/>
      <c r="AA384" s="176"/>
    </row>
    <row r="385">
      <c r="A385" s="165" t="str">
        <f>iferror(VLOOKUP(P385,'DO NOT TOUCH Imported'!$A$1:$D$800,4,False),iferror(VLOOKUP(P385,'DO NOT TOUCH Imported'!$C$1:$D$800,2,False),"OOPS FIX ME"))</f>
        <v>Tam2140</v>
      </c>
      <c r="B385" s="165" t="s">
        <v>441</v>
      </c>
      <c r="C385" s="170" t="s">
        <v>1773</v>
      </c>
      <c r="D385" s="236" t="s">
        <v>437</v>
      </c>
      <c r="E385" s="239">
        <v>44274.0</v>
      </c>
      <c r="F385" s="170" t="s">
        <v>439</v>
      </c>
      <c r="G385" s="170">
        <v>15.0</v>
      </c>
      <c r="H385" s="171">
        <v>200.0</v>
      </c>
      <c r="I385" s="171">
        <v>100.0</v>
      </c>
      <c r="J385" s="172">
        <f t="shared" si="2"/>
        <v>0.001496233644</v>
      </c>
      <c r="K385" s="173">
        <f t="shared" si="12"/>
        <v>1.670794236</v>
      </c>
      <c r="L385" s="174">
        <f t="shared" si="4"/>
        <v>7.63087726</v>
      </c>
      <c r="M385" s="175" t="str">
        <f t="shared" si="5"/>
        <v>Tam2140</v>
      </c>
      <c r="N385" s="176">
        <f>IFERROR(__xludf.DUMMYFUNCTION("""COMPUTED_VALUE"""),4.0)</f>
        <v>4</v>
      </c>
      <c r="O385" s="176"/>
      <c r="P385" s="165" t="s">
        <v>435</v>
      </c>
      <c r="Q385" s="165" t="s">
        <v>441</v>
      </c>
      <c r="R385" s="176"/>
      <c r="S385" s="176"/>
      <c r="T385" s="176"/>
      <c r="U385" s="176"/>
      <c r="V385" s="176"/>
      <c r="W385" s="176"/>
      <c r="X385" s="176"/>
      <c r="Y385" s="176"/>
      <c r="Z385" s="176"/>
      <c r="AA385" s="176"/>
    </row>
    <row r="386">
      <c r="A386" s="165" t="str">
        <f>iferror(VLOOKUP(P386,'DO NOT TOUCH Imported'!$A$1:$D$800,4,False),iferror(VLOOKUP(P386,'DO NOT TOUCH Imported'!$C$1:$D$800,2,False),"OOPS FIX ME"))</f>
        <v>Tam2140</v>
      </c>
      <c r="B386" s="165" t="s">
        <v>441</v>
      </c>
      <c r="C386" s="170" t="s">
        <v>1591</v>
      </c>
      <c r="D386" s="236" t="s">
        <v>437</v>
      </c>
      <c r="E386" s="239">
        <v>44274.0</v>
      </c>
      <c r="F386" s="170" t="s">
        <v>439</v>
      </c>
      <c r="G386" s="170">
        <v>15.0</v>
      </c>
      <c r="H386" s="171">
        <v>200.0</v>
      </c>
      <c r="I386" s="171">
        <v>100.0</v>
      </c>
      <c r="J386" s="172">
        <f t="shared" si="2"/>
        <v>0.001496233644</v>
      </c>
      <c r="K386" s="173">
        <f t="shared" si="12"/>
        <v>1.670794236</v>
      </c>
      <c r="L386" s="174">
        <f t="shared" si="4"/>
        <v>7.63087726</v>
      </c>
      <c r="M386" s="175" t="str">
        <f t="shared" si="5"/>
        <v>Tam2140</v>
      </c>
      <c r="N386" s="176">
        <f>IFERROR(__xludf.DUMMYFUNCTION("""COMPUTED_VALUE"""),5.0)</f>
        <v>5</v>
      </c>
      <c r="O386" s="176"/>
      <c r="P386" s="165" t="s">
        <v>435</v>
      </c>
      <c r="Q386" s="165" t="s">
        <v>441</v>
      </c>
      <c r="R386" s="176"/>
      <c r="S386" s="176"/>
      <c r="T386" s="176"/>
      <c r="U386" s="176"/>
      <c r="V386" s="176"/>
      <c r="W386" s="176"/>
      <c r="X386" s="176"/>
      <c r="Y386" s="176"/>
      <c r="Z386" s="176"/>
      <c r="AA386" s="176"/>
    </row>
    <row r="387">
      <c r="A387" s="165" t="str">
        <f>iferror(VLOOKUP(P387,'DO NOT TOUCH Imported'!$A$1:$D$800,4,False),iferror(VLOOKUP(P387,'DO NOT TOUCH Imported'!$C$1:$D$800,2,False),"OOPS FIX ME"))</f>
        <v>Tam2140</v>
      </c>
      <c r="B387" s="165" t="s">
        <v>443</v>
      </c>
      <c r="C387" s="170" t="s">
        <v>1603</v>
      </c>
      <c r="D387" s="236" t="s">
        <v>437</v>
      </c>
      <c r="E387" s="239">
        <v>44277.0</v>
      </c>
      <c r="F387" s="170" t="s">
        <v>439</v>
      </c>
      <c r="G387" s="170">
        <v>15.0</v>
      </c>
      <c r="H387" s="171">
        <v>200.0</v>
      </c>
      <c r="I387" s="171">
        <v>100.0</v>
      </c>
      <c r="J387" s="172">
        <f t="shared" si="2"/>
        <v>0.001496233644</v>
      </c>
      <c r="K387" s="173">
        <f t="shared" si="12"/>
        <v>1.670794236</v>
      </c>
      <c r="L387" s="174">
        <f t="shared" si="4"/>
        <v>7.63087726</v>
      </c>
      <c r="M387" s="175" t="str">
        <f t="shared" si="5"/>
        <v>Tam2140</v>
      </c>
      <c r="N387" s="176">
        <f>IFERROR(__xludf.DUMMYFUNCTION("""COMPUTED_VALUE"""),6.0)</f>
        <v>6</v>
      </c>
      <c r="O387" s="176"/>
      <c r="P387" s="165" t="s">
        <v>435</v>
      </c>
      <c r="Q387" s="165" t="s">
        <v>443</v>
      </c>
      <c r="R387" s="176"/>
      <c r="S387" s="176"/>
      <c r="T387" s="176"/>
      <c r="U387" s="176"/>
      <c r="V387" s="176"/>
      <c r="W387" s="176"/>
      <c r="X387" s="176"/>
      <c r="Y387" s="176"/>
      <c r="Z387" s="176"/>
      <c r="AA387" s="176"/>
    </row>
    <row r="388">
      <c r="A388" s="165" t="str">
        <f>iferror(VLOOKUP(P388,'DO NOT TOUCH Imported'!$A$1:$D$800,4,False),iferror(VLOOKUP(P388,'DO NOT TOUCH Imported'!$C$1:$D$800,2,False),"OOPS FIX ME"))</f>
        <v>Tam2140</v>
      </c>
      <c r="B388" s="165" t="s">
        <v>441</v>
      </c>
      <c r="C388" s="170" t="s">
        <v>1650</v>
      </c>
      <c r="D388" s="236" t="s">
        <v>437</v>
      </c>
      <c r="E388" s="239">
        <v>44281.0</v>
      </c>
      <c r="F388" s="170" t="s">
        <v>439</v>
      </c>
      <c r="G388" s="170">
        <v>15.0</v>
      </c>
      <c r="H388" s="171">
        <v>200.0</v>
      </c>
      <c r="I388" s="171">
        <v>100.0</v>
      </c>
      <c r="J388" s="172">
        <f t="shared" si="2"/>
        <v>0.001496233644</v>
      </c>
      <c r="K388" s="173">
        <f t="shared" si="12"/>
        <v>1.670794236</v>
      </c>
      <c r="L388" s="174">
        <f t="shared" si="4"/>
        <v>7.63087726</v>
      </c>
      <c r="M388" s="175" t="str">
        <f t="shared" si="5"/>
        <v>Tam2140</v>
      </c>
      <c r="N388" s="176">
        <f>IFERROR(__xludf.DUMMYFUNCTION("""COMPUTED_VALUE"""),7.0)</f>
        <v>7</v>
      </c>
      <c r="O388" s="176"/>
      <c r="P388" s="165" t="s">
        <v>435</v>
      </c>
      <c r="Q388" s="165" t="s">
        <v>441</v>
      </c>
      <c r="R388" s="176"/>
      <c r="S388" s="176"/>
      <c r="T388" s="176"/>
      <c r="U388" s="176"/>
      <c r="V388" s="176"/>
      <c r="W388" s="176"/>
      <c r="X388" s="176"/>
      <c r="Y388" s="176"/>
      <c r="Z388" s="176"/>
      <c r="AA388" s="176"/>
    </row>
    <row r="389">
      <c r="A389" s="165" t="str">
        <f>iferror(VLOOKUP(P389,'DO NOT TOUCH Imported'!$A$1:$D$800,4,False),iferror(VLOOKUP(P389,'DO NOT TOUCH Imported'!$C$1:$D$800,2,False),"OOPS FIX ME"))</f>
        <v>Tam2140</v>
      </c>
      <c r="B389" s="165" t="s">
        <v>486</v>
      </c>
      <c r="C389" s="170" t="s">
        <v>1774</v>
      </c>
      <c r="D389" s="236" t="s">
        <v>437</v>
      </c>
      <c r="E389" s="239">
        <v>44273.0</v>
      </c>
      <c r="F389" s="170" t="s">
        <v>911</v>
      </c>
      <c r="G389" s="170">
        <v>15.0</v>
      </c>
      <c r="H389" s="171">
        <v>100.0</v>
      </c>
      <c r="I389" s="171">
        <v>200.0</v>
      </c>
      <c r="J389" s="172">
        <f t="shared" si="2"/>
        <v>0.00149731885</v>
      </c>
      <c r="K389" s="173">
        <f t="shared" si="12"/>
        <v>1.672006049</v>
      </c>
      <c r="L389" s="174">
        <f t="shared" si="4"/>
        <v>7.63087726</v>
      </c>
      <c r="M389" s="175" t="str">
        <f t="shared" si="5"/>
        <v>Tam2140</v>
      </c>
      <c r="N389" s="176">
        <f>IFERROR(__xludf.DUMMYFUNCTION("""COMPUTED_VALUE"""),8.0)</f>
        <v>8</v>
      </c>
      <c r="O389" s="176"/>
      <c r="P389" s="165" t="s">
        <v>435</v>
      </c>
      <c r="Q389" s="165" t="s">
        <v>486</v>
      </c>
      <c r="R389" s="176"/>
      <c r="S389" s="176"/>
      <c r="T389" s="176"/>
      <c r="U389" s="176"/>
      <c r="V389" s="176"/>
      <c r="W389" s="176"/>
      <c r="X389" s="176"/>
      <c r="Y389" s="176"/>
      <c r="Z389" s="176"/>
      <c r="AA389" s="176"/>
    </row>
    <row r="390">
      <c r="A390" s="165" t="str">
        <f>iferror(VLOOKUP(P390,'DO NOT TOUCH Imported'!$A$1:$D$800,4,False),iferror(VLOOKUP(P390,'DO NOT TOUCH Imported'!$C$1:$D$800,2,False),"OOPS FIX ME"))</f>
        <v>Tam2140</v>
      </c>
      <c r="B390" s="165" t="s">
        <v>441</v>
      </c>
      <c r="C390" s="170" t="s">
        <v>1593</v>
      </c>
      <c r="D390" s="236" t="s">
        <v>437</v>
      </c>
      <c r="E390" s="239">
        <v>44274.0</v>
      </c>
      <c r="F390" s="170" t="s">
        <v>439</v>
      </c>
      <c r="G390" s="170">
        <v>25.0</v>
      </c>
      <c r="H390" s="171">
        <v>150.0</v>
      </c>
      <c r="I390" s="171">
        <v>100.0</v>
      </c>
      <c r="J390" s="172">
        <f t="shared" si="2"/>
        <v>0.001444187573</v>
      </c>
      <c r="K390" s="173">
        <f t="shared" si="12"/>
        <v>1.612676123</v>
      </c>
      <c r="L390" s="174">
        <f t="shared" si="4"/>
        <v>7.63087726</v>
      </c>
      <c r="M390" s="175" t="str">
        <f t="shared" si="5"/>
        <v>Tam2140</v>
      </c>
      <c r="N390" s="176">
        <f>IFERROR(__xludf.DUMMYFUNCTION("""COMPUTED_VALUE"""),9.0)</f>
        <v>9</v>
      </c>
      <c r="O390" s="176"/>
      <c r="P390" s="165" t="s">
        <v>435</v>
      </c>
      <c r="Q390" s="165" t="s">
        <v>441</v>
      </c>
      <c r="R390" s="176"/>
      <c r="S390" s="176"/>
      <c r="T390" s="176"/>
      <c r="U390" s="176"/>
      <c r="V390" s="176"/>
      <c r="W390" s="176"/>
      <c r="X390" s="176"/>
      <c r="Y390" s="176"/>
      <c r="Z390" s="176"/>
      <c r="AA390" s="176"/>
    </row>
    <row r="391">
      <c r="A391" s="165" t="str">
        <f>iferror(VLOOKUP(P391,'DO NOT TOUCH Imported'!$A$1:$D$800,4,False),iferror(VLOOKUP(P391,'DO NOT TOUCH Imported'!$C$1:$D$800,2,False),"OOPS FIX ME"))</f>
        <v>Tam2140</v>
      </c>
      <c r="B391" s="165" t="s">
        <v>486</v>
      </c>
      <c r="C391" s="170" t="s">
        <v>1775</v>
      </c>
      <c r="D391" s="236" t="s">
        <v>437</v>
      </c>
      <c r="E391" s="239">
        <v>44274.0</v>
      </c>
      <c r="F391" s="170" t="s">
        <v>911</v>
      </c>
      <c r="G391" s="170">
        <v>35.0</v>
      </c>
      <c r="H391" s="171">
        <v>100.0</v>
      </c>
      <c r="I391" s="171">
        <v>100.0</v>
      </c>
      <c r="J391" s="172">
        <f t="shared" si="2"/>
        <v>0.001392141502</v>
      </c>
      <c r="K391" s="173">
        <f t="shared" si="12"/>
        <v>1.554558011</v>
      </c>
      <c r="L391" s="174">
        <f t="shared" si="4"/>
        <v>7.63087726</v>
      </c>
      <c r="M391" s="175" t="str">
        <f t="shared" si="5"/>
        <v>Tam2140</v>
      </c>
      <c r="N391" s="176">
        <f>IFERROR(__xludf.DUMMYFUNCTION("""COMPUTED_VALUE"""),10.0)</f>
        <v>10</v>
      </c>
      <c r="O391" s="176"/>
      <c r="P391" s="165" t="s">
        <v>435</v>
      </c>
      <c r="Q391" s="165" t="s">
        <v>486</v>
      </c>
      <c r="R391" s="176"/>
      <c r="S391" s="176"/>
      <c r="T391" s="176"/>
      <c r="U391" s="176"/>
      <c r="V391" s="176"/>
      <c r="W391" s="176"/>
      <c r="X391" s="176"/>
      <c r="Y391" s="176"/>
      <c r="Z391" s="176"/>
      <c r="AA391" s="176"/>
    </row>
    <row r="392">
      <c r="A392" s="165" t="str">
        <f>iferror(VLOOKUP(P392,'DO NOT TOUCH Imported'!$A$1:$D$800,4,False),iferror(VLOOKUP(P392,'DO NOT TOUCH Imported'!$C$1:$D$800,2,False),"OOPS FIX ME"))</f>
        <v>Tam2140</v>
      </c>
      <c r="B392" s="165" t="s">
        <v>492</v>
      </c>
      <c r="C392" s="170" t="s">
        <v>1614</v>
      </c>
      <c r="D392" s="236" t="s">
        <v>437</v>
      </c>
      <c r="E392" s="239">
        <v>44279.0</v>
      </c>
      <c r="F392" s="170" t="s">
        <v>439</v>
      </c>
      <c r="G392" s="170">
        <v>15.0</v>
      </c>
      <c r="H392" s="171">
        <v>150.0</v>
      </c>
      <c r="I392" s="171">
        <v>100.0</v>
      </c>
      <c r="J392" s="172">
        <f t="shared" si="2"/>
        <v>0.001286471305</v>
      </c>
      <c r="K392" s="173">
        <f t="shared" si="12"/>
        <v>1.436559624</v>
      </c>
      <c r="L392" s="174">
        <f t="shared" si="4"/>
        <v>7.63087726</v>
      </c>
      <c r="M392" s="175" t="str">
        <f t="shared" si="5"/>
        <v>Tam2140</v>
      </c>
      <c r="N392" s="176">
        <f>IFERROR(__xludf.DUMMYFUNCTION("""COMPUTED_VALUE"""),11.0)</f>
        <v>11</v>
      </c>
      <c r="O392" s="176"/>
      <c r="P392" s="165" t="s">
        <v>435</v>
      </c>
      <c r="Q392" s="165" t="s">
        <v>492</v>
      </c>
      <c r="R392" s="176"/>
      <c r="S392" s="176"/>
      <c r="T392" s="176"/>
      <c r="U392" s="176"/>
      <c r="V392" s="176"/>
      <c r="W392" s="176"/>
      <c r="X392" s="176"/>
      <c r="Y392" s="176"/>
      <c r="Z392" s="176"/>
      <c r="AA392" s="176"/>
    </row>
    <row r="393">
      <c r="A393" s="165" t="str">
        <f>iferror(VLOOKUP(P393,'DO NOT TOUCH Imported'!$A$1:$D$800,4,False),iferror(VLOOKUP(P393,'DO NOT TOUCH Imported'!$C$1:$D$800,2,False),"OOPS FIX ME"))</f>
        <v>Tam2140</v>
      </c>
      <c r="B393" s="249" t="s">
        <v>867</v>
      </c>
      <c r="C393" s="250" t="s">
        <v>1644</v>
      </c>
      <c r="D393" s="236" t="s">
        <v>1584</v>
      </c>
      <c r="E393" s="251">
        <v>44271.0</v>
      </c>
      <c r="F393" s="219" t="s">
        <v>496</v>
      </c>
      <c r="G393" s="170">
        <v>25.0</v>
      </c>
      <c r="H393" s="171">
        <v>100.0</v>
      </c>
      <c r="I393" s="171">
        <v>100.0</v>
      </c>
      <c r="J393" s="172">
        <f t="shared" si="2"/>
        <v>0.001234425234</v>
      </c>
      <c r="K393" s="173">
        <f t="shared" si="12"/>
        <v>1.378441511</v>
      </c>
      <c r="L393" s="174">
        <f t="shared" si="4"/>
        <v>7.63087726</v>
      </c>
      <c r="M393" s="175" t="str">
        <f t="shared" si="5"/>
        <v>Tam2140</v>
      </c>
      <c r="N393" s="176">
        <f>IFERROR(__xludf.DUMMYFUNCTION("""COMPUTED_VALUE"""),12.0)</f>
        <v>12</v>
      </c>
      <c r="O393" s="176"/>
      <c r="P393" s="249" t="s">
        <v>28</v>
      </c>
      <c r="Q393" s="249" t="s">
        <v>867</v>
      </c>
      <c r="R393" s="176"/>
      <c r="S393" s="176"/>
      <c r="T393" s="176"/>
      <c r="U393" s="176"/>
      <c r="V393" s="176"/>
      <c r="W393" s="176"/>
      <c r="X393" s="176"/>
      <c r="Y393" s="176"/>
      <c r="Z393" s="176"/>
      <c r="AA393" s="176"/>
    </row>
    <row r="394">
      <c r="A394" s="165" t="str">
        <f>iferror(VLOOKUP(P394,'DO NOT TOUCH Imported'!$A$1:$D$800,4,False),iferror(VLOOKUP(P394,'DO NOT TOUCH Imported'!$C$1:$D$800,2,False),"OOPS FIX ME"))</f>
        <v>Tam2140</v>
      </c>
      <c r="B394" s="249" t="s">
        <v>25</v>
      </c>
      <c r="C394" s="250" t="s">
        <v>1776</v>
      </c>
      <c r="D394" s="236" t="s">
        <v>1584</v>
      </c>
      <c r="E394" s="251">
        <v>44276.0</v>
      </c>
      <c r="F394" s="219" t="s">
        <v>496</v>
      </c>
      <c r="G394" s="170">
        <v>25.0</v>
      </c>
      <c r="H394" s="171">
        <v>100.0</v>
      </c>
      <c r="I394" s="171">
        <v>100.0</v>
      </c>
      <c r="J394" s="172">
        <f t="shared" si="2"/>
        <v>0.001234425234</v>
      </c>
      <c r="K394" s="173">
        <f t="shared" si="12"/>
        <v>1.378441511</v>
      </c>
      <c r="L394" s="174">
        <f t="shared" si="4"/>
        <v>7.63087726</v>
      </c>
      <c r="M394" s="175" t="str">
        <f t="shared" si="5"/>
        <v>Tam2140</v>
      </c>
      <c r="N394" s="176">
        <f>IFERROR(__xludf.DUMMYFUNCTION("""COMPUTED_VALUE"""),13.0)</f>
        <v>13</v>
      </c>
      <c r="O394" s="176"/>
      <c r="P394" s="249" t="s">
        <v>28</v>
      </c>
      <c r="Q394" s="249" t="s">
        <v>25</v>
      </c>
      <c r="R394" s="176"/>
      <c r="S394" s="176"/>
      <c r="T394" s="176"/>
      <c r="U394" s="176"/>
      <c r="V394" s="176"/>
      <c r="W394" s="176"/>
      <c r="X394" s="176"/>
      <c r="Y394" s="176"/>
      <c r="Z394" s="176"/>
      <c r="AA394" s="176"/>
    </row>
    <row r="395">
      <c r="A395" s="165" t="str">
        <f>iferror(VLOOKUP(P395,'DO NOT TOUCH Imported'!$A$1:$D$800,4,False),iferror(VLOOKUP(P395,'DO NOT TOUCH Imported'!$C$1:$D$800,2,False),"OOPS FIX ME"))</f>
        <v>Tam2140</v>
      </c>
      <c r="B395" s="165" t="s">
        <v>486</v>
      </c>
      <c r="C395" s="170" t="s">
        <v>1777</v>
      </c>
      <c r="D395" s="236" t="s">
        <v>437</v>
      </c>
      <c r="E395" s="239">
        <v>44271.0</v>
      </c>
      <c r="F395" s="170" t="s">
        <v>1600</v>
      </c>
      <c r="G395" s="170">
        <v>25.0</v>
      </c>
      <c r="H395" s="171">
        <v>100.0</v>
      </c>
      <c r="I395" s="171">
        <v>100.0</v>
      </c>
      <c r="J395" s="172">
        <f t="shared" si="2"/>
        <v>0.001234425234</v>
      </c>
      <c r="K395" s="173">
        <f t="shared" si="12"/>
        <v>1.378441511</v>
      </c>
      <c r="L395" s="174">
        <f t="shared" si="4"/>
        <v>7.63087726</v>
      </c>
      <c r="M395" s="175" t="str">
        <f t="shared" si="5"/>
        <v>Tam2140</v>
      </c>
      <c r="N395" s="176">
        <f>IFERROR(__xludf.DUMMYFUNCTION("""COMPUTED_VALUE"""),14.0)</f>
        <v>14</v>
      </c>
      <c r="O395" s="176"/>
      <c r="P395" s="165" t="s">
        <v>435</v>
      </c>
      <c r="Q395" s="165" t="s">
        <v>486</v>
      </c>
      <c r="R395" s="176"/>
      <c r="S395" s="176"/>
      <c r="T395" s="176"/>
      <c r="U395" s="176"/>
      <c r="V395" s="176"/>
      <c r="W395" s="176"/>
      <c r="X395" s="176"/>
      <c r="Y395" s="176"/>
      <c r="Z395" s="176"/>
      <c r="AA395" s="176"/>
    </row>
    <row r="396">
      <c r="A396" s="165" t="str">
        <f>iferror(VLOOKUP(P396,'DO NOT TOUCH Imported'!$A$1:$D$800,4,False),iferror(VLOOKUP(P396,'DO NOT TOUCH Imported'!$C$1:$D$800,2,False),"OOPS FIX ME"))</f>
        <v>Tam2140</v>
      </c>
      <c r="B396" s="165" t="s">
        <v>450</v>
      </c>
      <c r="C396" s="170" t="s">
        <v>1645</v>
      </c>
      <c r="D396" s="236" t="s">
        <v>499</v>
      </c>
      <c r="E396" s="239">
        <v>44273.0</v>
      </c>
      <c r="F396" s="170" t="s">
        <v>1646</v>
      </c>
      <c r="G396" s="170">
        <v>25.0</v>
      </c>
      <c r="H396" s="171">
        <v>100.0</v>
      </c>
      <c r="I396" s="171">
        <v>100.0</v>
      </c>
      <c r="J396" s="172">
        <f t="shared" si="2"/>
        <v>0.001234425234</v>
      </c>
      <c r="K396" s="173">
        <f t="shared" si="12"/>
        <v>1.378441511</v>
      </c>
      <c r="L396" s="174">
        <f t="shared" si="4"/>
        <v>7.63087726</v>
      </c>
      <c r="M396" s="175" t="str">
        <f t="shared" si="5"/>
        <v>Tam2140</v>
      </c>
      <c r="N396" s="176">
        <f>IFERROR(__xludf.DUMMYFUNCTION("""COMPUTED_VALUE"""),15.0)</f>
        <v>15</v>
      </c>
      <c r="O396" s="176"/>
      <c r="P396" s="165" t="s">
        <v>435</v>
      </c>
      <c r="Q396" s="165" t="s">
        <v>450</v>
      </c>
      <c r="R396" s="176"/>
      <c r="S396" s="176"/>
      <c r="T396" s="176"/>
      <c r="U396" s="176"/>
      <c r="V396" s="176"/>
      <c r="W396" s="176"/>
      <c r="X396" s="176"/>
      <c r="Y396" s="176"/>
      <c r="Z396" s="176"/>
      <c r="AA396" s="176"/>
    </row>
    <row r="397">
      <c r="A397" s="165" t="str">
        <f>iferror(VLOOKUP(P397,'DO NOT TOUCH Imported'!$A$1:$D$800,4,False),iferror(VLOOKUP(P397,'DO NOT TOUCH Imported'!$C$1:$D$800,2,False),"OOPS FIX ME"))</f>
        <v>Tam2140</v>
      </c>
      <c r="B397" s="165" t="s">
        <v>440</v>
      </c>
      <c r="C397" s="170" t="s">
        <v>1778</v>
      </c>
      <c r="D397" s="236" t="s">
        <v>437</v>
      </c>
      <c r="E397" s="239">
        <v>44278.0</v>
      </c>
      <c r="F397" s="170" t="s">
        <v>911</v>
      </c>
      <c r="G397" s="170">
        <v>25.0</v>
      </c>
      <c r="H397" s="171">
        <v>100.0</v>
      </c>
      <c r="I397" s="171">
        <v>100.0</v>
      </c>
      <c r="J397" s="172">
        <f t="shared" si="2"/>
        <v>0.001234425234</v>
      </c>
      <c r="K397" s="173">
        <f t="shared" si="12"/>
        <v>1.378441511</v>
      </c>
      <c r="L397" s="174">
        <f t="shared" si="4"/>
        <v>7.63087726</v>
      </c>
      <c r="M397" s="175" t="str">
        <f t="shared" si="5"/>
        <v>Tam2140</v>
      </c>
      <c r="N397" s="176">
        <f>IFERROR(__xludf.DUMMYFUNCTION("""COMPUTED_VALUE"""),16.0)</f>
        <v>16</v>
      </c>
      <c r="O397" s="176"/>
      <c r="P397" s="165" t="s">
        <v>435</v>
      </c>
      <c r="Q397" s="165" t="s">
        <v>440</v>
      </c>
      <c r="R397" s="176"/>
      <c r="S397" s="176"/>
      <c r="T397" s="176"/>
      <c r="U397" s="176"/>
      <c r="V397" s="176"/>
      <c r="W397" s="176"/>
      <c r="X397" s="176"/>
      <c r="Y397" s="176"/>
      <c r="Z397" s="176"/>
      <c r="AA397" s="176"/>
    </row>
    <row r="398">
      <c r="A398" s="165" t="str">
        <f>iferror(VLOOKUP(P398,'DO NOT TOUCH Imported'!$A$1:$D$800,4,False),iferror(VLOOKUP(P398,'DO NOT TOUCH Imported'!$C$1:$D$800,2,False),"OOPS FIX ME"))</f>
        <v>Tam2140</v>
      </c>
      <c r="B398" s="165" t="s">
        <v>441</v>
      </c>
      <c r="C398" s="170" t="s">
        <v>1779</v>
      </c>
      <c r="D398" s="236" t="s">
        <v>437</v>
      </c>
      <c r="E398" s="239">
        <v>44281.0</v>
      </c>
      <c r="F398" s="170" t="s">
        <v>439</v>
      </c>
      <c r="G398" s="170">
        <v>25.0</v>
      </c>
      <c r="H398" s="171">
        <v>100.0</v>
      </c>
      <c r="I398" s="171">
        <v>100.0</v>
      </c>
      <c r="J398" s="172">
        <f t="shared" si="2"/>
        <v>0.001234425234</v>
      </c>
      <c r="K398" s="173">
        <f t="shared" si="12"/>
        <v>1.378441511</v>
      </c>
      <c r="L398" s="174">
        <f t="shared" si="4"/>
        <v>7.63087726</v>
      </c>
      <c r="M398" s="175" t="str">
        <f t="shared" si="5"/>
        <v>Tam2140</v>
      </c>
      <c r="N398" s="176">
        <f>IFERROR(__xludf.DUMMYFUNCTION("""COMPUTED_VALUE"""),17.0)</f>
        <v>17</v>
      </c>
      <c r="O398" s="176"/>
      <c r="P398" s="165" t="s">
        <v>435</v>
      </c>
      <c r="Q398" s="165" t="s">
        <v>441</v>
      </c>
      <c r="R398" s="176"/>
      <c r="S398" s="176"/>
      <c r="T398" s="176"/>
      <c r="U398" s="176"/>
      <c r="V398" s="176"/>
      <c r="W398" s="176"/>
      <c r="X398" s="176"/>
      <c r="Y398" s="176"/>
      <c r="Z398" s="176"/>
      <c r="AA398" s="176"/>
    </row>
    <row r="399">
      <c r="A399" s="165" t="str">
        <f>iferror(VLOOKUP(P399,'DO NOT TOUCH Imported'!$A$1:$D$800,4,False),iferror(VLOOKUP(P399,'DO NOT TOUCH Imported'!$C$1:$D$800,2,False),"OOPS FIX ME"))</f>
        <v>Tam2140</v>
      </c>
      <c r="B399" s="165" t="s">
        <v>441</v>
      </c>
      <c r="C399" s="170" t="s">
        <v>1595</v>
      </c>
      <c r="D399" s="236" t="s">
        <v>437</v>
      </c>
      <c r="E399" s="239">
        <v>44281.0</v>
      </c>
      <c r="F399" s="170" t="s">
        <v>439</v>
      </c>
      <c r="G399" s="170">
        <v>25.0</v>
      </c>
      <c r="H399" s="171">
        <v>100.0</v>
      </c>
      <c r="I399" s="171">
        <v>100.0</v>
      </c>
      <c r="J399" s="172">
        <f t="shared" si="2"/>
        <v>0.001234425234</v>
      </c>
      <c r="K399" s="173">
        <f t="shared" si="12"/>
        <v>1.378441511</v>
      </c>
      <c r="L399" s="174">
        <f t="shared" si="4"/>
        <v>7.63087726</v>
      </c>
      <c r="M399" s="175" t="str">
        <f t="shared" si="5"/>
        <v>Tam2140</v>
      </c>
      <c r="N399" s="176">
        <f>IFERROR(__xludf.DUMMYFUNCTION("""COMPUTED_VALUE"""),18.0)</f>
        <v>18</v>
      </c>
      <c r="O399" s="176"/>
      <c r="P399" s="165" t="s">
        <v>435</v>
      </c>
      <c r="Q399" s="165" t="s">
        <v>441</v>
      </c>
      <c r="R399" s="176"/>
      <c r="S399" s="176"/>
      <c r="T399" s="176"/>
      <c r="U399" s="176"/>
      <c r="V399" s="176"/>
      <c r="W399" s="176"/>
      <c r="X399" s="176"/>
      <c r="Y399" s="176"/>
      <c r="Z399" s="176"/>
      <c r="AA399" s="176"/>
    </row>
    <row r="400">
      <c r="A400" s="165" t="str">
        <f>iferror(VLOOKUP(P400,'DO NOT TOUCH Imported'!$A$1:$D$800,4,False),iferror(VLOOKUP(P400,'DO NOT TOUCH Imported'!$C$1:$D$800,2,False),"OOPS FIX ME"))</f>
        <v>Tam2140</v>
      </c>
      <c r="B400" s="165" t="s">
        <v>441</v>
      </c>
      <c r="C400" s="170" t="s">
        <v>1596</v>
      </c>
      <c r="D400" s="236" t="s">
        <v>437</v>
      </c>
      <c r="E400" s="239">
        <v>44281.0</v>
      </c>
      <c r="F400" s="170" t="s">
        <v>439</v>
      </c>
      <c r="G400" s="170">
        <v>25.0</v>
      </c>
      <c r="H400" s="171">
        <v>100.0</v>
      </c>
      <c r="I400" s="171">
        <v>100.0</v>
      </c>
      <c r="J400" s="172">
        <f t="shared" si="2"/>
        <v>0.001234425234</v>
      </c>
      <c r="K400" s="173">
        <f t="shared" si="12"/>
        <v>1.378441511</v>
      </c>
      <c r="L400" s="174">
        <f t="shared" si="4"/>
        <v>7.63087726</v>
      </c>
      <c r="M400" s="175" t="str">
        <f t="shared" si="5"/>
        <v>Tam2140</v>
      </c>
      <c r="N400" s="176">
        <f>IFERROR(__xludf.DUMMYFUNCTION("""COMPUTED_VALUE"""),19.0)</f>
        <v>19</v>
      </c>
      <c r="O400" s="176"/>
      <c r="P400" s="165" t="s">
        <v>435</v>
      </c>
      <c r="Q400" s="165" t="s">
        <v>441</v>
      </c>
      <c r="R400" s="176"/>
      <c r="S400" s="176"/>
      <c r="T400" s="176"/>
      <c r="U400" s="176"/>
      <c r="V400" s="176"/>
      <c r="W400" s="176"/>
      <c r="X400" s="176"/>
      <c r="Y400" s="176"/>
      <c r="Z400" s="176"/>
      <c r="AA400" s="176"/>
    </row>
    <row r="401">
      <c r="A401" s="165" t="str">
        <f>iferror(VLOOKUP(P401,'DO NOT TOUCH Imported'!$A$1:$D$800,4,False),iferror(VLOOKUP(P401,'DO NOT TOUCH Imported'!$C$1:$D$800,2,False),"OOPS FIX ME"))</f>
        <v>Tam2140</v>
      </c>
      <c r="B401" s="165" t="s">
        <v>441</v>
      </c>
      <c r="C401" s="170" t="s">
        <v>1713</v>
      </c>
      <c r="D401" s="236" t="s">
        <v>437</v>
      </c>
      <c r="E401" s="239">
        <v>44281.0</v>
      </c>
      <c r="F401" s="170" t="s">
        <v>439</v>
      </c>
      <c r="G401" s="170">
        <v>25.0</v>
      </c>
      <c r="H401" s="171">
        <v>100.0</v>
      </c>
      <c r="I401" s="171">
        <v>100.0</v>
      </c>
      <c r="J401" s="172">
        <f t="shared" si="2"/>
        <v>0.001234425234</v>
      </c>
      <c r="K401" s="173">
        <f t="shared" si="12"/>
        <v>1.378441511</v>
      </c>
      <c r="L401" s="174">
        <f t="shared" si="4"/>
        <v>7.63087726</v>
      </c>
      <c r="M401" s="175" t="str">
        <f t="shared" si="5"/>
        <v>Tam2140</v>
      </c>
      <c r="N401" s="176">
        <f>IFERROR(__xludf.DUMMYFUNCTION("""COMPUTED_VALUE"""),20.0)</f>
        <v>20</v>
      </c>
      <c r="O401" s="176"/>
      <c r="P401" s="165" t="s">
        <v>435</v>
      </c>
      <c r="Q401" s="165" t="s">
        <v>441</v>
      </c>
      <c r="R401" s="176"/>
      <c r="S401" s="176"/>
      <c r="T401" s="176"/>
      <c r="U401" s="176"/>
      <c r="V401" s="176"/>
      <c r="W401" s="176"/>
      <c r="X401" s="176"/>
      <c r="Y401" s="176"/>
      <c r="Z401" s="176"/>
      <c r="AA401" s="176"/>
    </row>
    <row r="402">
      <c r="A402" s="165" t="str">
        <f>iferror(VLOOKUP(P402,'DO NOT TOUCH Imported'!$A$1:$D$800,4,False),iferror(VLOOKUP(P402,'DO NOT TOUCH Imported'!$C$1:$D$800,2,False),"OOPS FIX ME"))</f>
        <v>Tam2140</v>
      </c>
      <c r="B402" s="249" t="s">
        <v>18</v>
      </c>
      <c r="C402" s="250" t="s">
        <v>1617</v>
      </c>
      <c r="D402" s="236" t="s">
        <v>1584</v>
      </c>
      <c r="E402" s="251">
        <v>44273.0</v>
      </c>
      <c r="F402" s="219" t="s">
        <v>496</v>
      </c>
      <c r="G402" s="170">
        <v>15.0</v>
      </c>
      <c r="H402" s="171">
        <v>200.0</v>
      </c>
      <c r="I402" s="171">
        <v>100.0</v>
      </c>
      <c r="J402" s="172">
        <f t="shared" si="2"/>
        <v>0.001496233644</v>
      </c>
      <c r="K402" s="173">
        <f t="shared" si="12"/>
        <v>1.670794236</v>
      </c>
      <c r="L402" s="174">
        <f t="shared" si="4"/>
        <v>7.63087726</v>
      </c>
      <c r="M402" s="175" t="str">
        <f t="shared" si="5"/>
        <v>Tam2140</v>
      </c>
      <c r="N402" s="176">
        <f>IFERROR(__xludf.DUMMYFUNCTION("""COMPUTED_VALUE"""),21.0)</f>
        <v>21</v>
      </c>
      <c r="O402" s="176"/>
      <c r="P402" s="249" t="s">
        <v>28</v>
      </c>
      <c r="Q402" s="249" t="s">
        <v>18</v>
      </c>
      <c r="R402" s="176"/>
      <c r="S402" s="176"/>
      <c r="T402" s="176"/>
      <c r="U402" s="176"/>
      <c r="V402" s="176"/>
      <c r="W402" s="176"/>
      <c r="X402" s="176"/>
      <c r="Y402" s="176"/>
      <c r="Z402" s="176"/>
      <c r="AA402" s="176"/>
    </row>
    <row r="403">
      <c r="A403" s="165" t="str">
        <f>iferror(VLOOKUP(P403,'DO NOT TOUCH Imported'!$A$1:$D$800,4,False),iferror(VLOOKUP(P403,'DO NOT TOUCH Imported'!$C$1:$D$800,2,False),"OOPS FIX ME"))</f>
        <v>Tam2140</v>
      </c>
      <c r="B403" s="249" t="s">
        <v>6</v>
      </c>
      <c r="C403" s="250" t="s">
        <v>1597</v>
      </c>
      <c r="D403" s="236" t="s">
        <v>1584</v>
      </c>
      <c r="E403" s="251">
        <v>44276.0</v>
      </c>
      <c r="F403" s="219" t="s">
        <v>496</v>
      </c>
      <c r="G403" s="170">
        <v>15.0</v>
      </c>
      <c r="H403" s="171">
        <v>100.0</v>
      </c>
      <c r="I403" s="171">
        <v>100.0</v>
      </c>
      <c r="J403" s="172">
        <f t="shared" si="2"/>
        <v>0.001076708966</v>
      </c>
      <c r="K403" s="173">
        <f t="shared" si="12"/>
        <v>1.202325011</v>
      </c>
      <c r="L403" s="174">
        <f t="shared" si="4"/>
        <v>7.63087726</v>
      </c>
      <c r="M403" s="175" t="str">
        <f t="shared" si="5"/>
        <v>Tam2140</v>
      </c>
      <c r="N403" s="176">
        <f>IFERROR(__xludf.DUMMYFUNCTION("""COMPUTED_VALUE"""),22.0)</f>
        <v>22</v>
      </c>
      <c r="O403" s="176"/>
      <c r="P403" s="249" t="s">
        <v>28</v>
      </c>
      <c r="Q403" s="249" t="s">
        <v>6</v>
      </c>
      <c r="R403" s="176"/>
      <c r="S403" s="176"/>
      <c r="T403" s="176"/>
      <c r="U403" s="176"/>
      <c r="V403" s="176"/>
      <c r="W403" s="176"/>
      <c r="X403" s="176"/>
      <c r="Y403" s="176"/>
      <c r="Z403" s="176"/>
      <c r="AA403" s="176"/>
    </row>
    <row r="404">
      <c r="A404" s="165" t="str">
        <f>iferror(VLOOKUP(P404,'DO NOT TOUCH Imported'!$A$1:$D$800,4,False),iferror(VLOOKUP(P404,'DO NOT TOUCH Imported'!$C$1:$D$800,2,False),"OOPS FIX ME"))</f>
        <v>Tam2140</v>
      </c>
      <c r="B404" s="165" t="s">
        <v>463</v>
      </c>
      <c r="C404" s="170" t="s">
        <v>1601</v>
      </c>
      <c r="D404" s="236" t="s">
        <v>437</v>
      </c>
      <c r="E404" s="239">
        <v>44272.0</v>
      </c>
      <c r="F404" s="170" t="s">
        <v>439</v>
      </c>
      <c r="G404" s="170">
        <v>15.0</v>
      </c>
      <c r="H404" s="171">
        <v>100.0</v>
      </c>
      <c r="I404" s="171">
        <v>100.0</v>
      </c>
      <c r="J404" s="172">
        <f t="shared" si="2"/>
        <v>0.001076708966</v>
      </c>
      <c r="K404" s="173">
        <f t="shared" si="12"/>
        <v>1.202325011</v>
      </c>
      <c r="L404" s="174">
        <f t="shared" si="4"/>
        <v>7.63087726</v>
      </c>
      <c r="M404" s="175" t="str">
        <f t="shared" si="5"/>
        <v>Tam2140</v>
      </c>
      <c r="N404" s="176">
        <f>IFERROR(__xludf.DUMMYFUNCTION("""COMPUTED_VALUE"""),23.0)</f>
        <v>23</v>
      </c>
      <c r="O404" s="176"/>
      <c r="P404" s="165" t="s">
        <v>435</v>
      </c>
      <c r="Q404" s="165" t="s">
        <v>463</v>
      </c>
      <c r="R404" s="176"/>
      <c r="S404" s="176"/>
      <c r="T404" s="176"/>
      <c r="U404" s="176"/>
      <c r="V404" s="176"/>
      <c r="W404" s="176"/>
      <c r="X404" s="176"/>
      <c r="Y404" s="176"/>
      <c r="Z404" s="176"/>
      <c r="AA404" s="176"/>
    </row>
    <row r="405">
      <c r="A405" s="165" t="str">
        <f>iferror(VLOOKUP(P405,'DO NOT TOUCH Imported'!$A$1:$D$800,4,False),iferror(VLOOKUP(P405,'DO NOT TOUCH Imported'!$C$1:$D$800,2,False),"OOPS FIX ME"))</f>
        <v>Tam2140</v>
      </c>
      <c r="B405" s="165" t="s">
        <v>440</v>
      </c>
      <c r="C405" s="170" t="s">
        <v>1780</v>
      </c>
      <c r="D405" s="236" t="s">
        <v>437</v>
      </c>
      <c r="E405" s="239">
        <v>44274.0</v>
      </c>
      <c r="F405" s="170" t="s">
        <v>439</v>
      </c>
      <c r="G405" s="170">
        <v>15.0</v>
      </c>
      <c r="H405" s="171">
        <v>100.0</v>
      </c>
      <c r="I405" s="171">
        <v>100.0</v>
      </c>
      <c r="J405" s="172">
        <f t="shared" si="2"/>
        <v>0.001076708966</v>
      </c>
      <c r="K405" s="173">
        <f t="shared" si="12"/>
        <v>1.202325011</v>
      </c>
      <c r="L405" s="174">
        <f t="shared" si="4"/>
        <v>7.63087726</v>
      </c>
      <c r="M405" s="175" t="str">
        <f t="shared" si="5"/>
        <v>Tam2140</v>
      </c>
      <c r="N405" s="176">
        <f>IFERROR(__xludf.DUMMYFUNCTION("""COMPUTED_VALUE"""),24.0)</f>
        <v>24</v>
      </c>
      <c r="O405" s="176"/>
      <c r="P405" s="165" t="s">
        <v>435</v>
      </c>
      <c r="Q405" s="165" t="s">
        <v>440</v>
      </c>
      <c r="R405" s="176"/>
      <c r="S405" s="176"/>
      <c r="T405" s="176"/>
      <c r="U405" s="176"/>
      <c r="V405" s="176"/>
      <c r="W405" s="176"/>
      <c r="X405" s="176"/>
      <c r="Y405" s="176"/>
      <c r="Z405" s="176"/>
      <c r="AA405" s="176"/>
    </row>
    <row r="406">
      <c r="A406" s="165" t="str">
        <f>iferror(VLOOKUP(P406,'DO NOT TOUCH Imported'!$A$1:$D$800,4,False),iferror(VLOOKUP(P406,'DO NOT TOUCH Imported'!$C$1:$D$800,2,False),"OOPS FIX ME"))</f>
        <v>Tam2140</v>
      </c>
      <c r="B406" s="165" t="s">
        <v>486</v>
      </c>
      <c r="C406" s="170" t="s">
        <v>1781</v>
      </c>
      <c r="D406" s="236" t="s">
        <v>437</v>
      </c>
      <c r="E406" s="239">
        <v>44278.0</v>
      </c>
      <c r="F406" s="170" t="s">
        <v>439</v>
      </c>
      <c r="G406" s="170">
        <v>15.0</v>
      </c>
      <c r="H406" s="171">
        <v>200.0</v>
      </c>
      <c r="I406" s="171">
        <v>100.0</v>
      </c>
      <c r="J406" s="172">
        <f t="shared" si="2"/>
        <v>0.001496233644</v>
      </c>
      <c r="K406" s="173">
        <f t="shared" si="12"/>
        <v>1.670794236</v>
      </c>
      <c r="L406" s="174">
        <f t="shared" si="4"/>
        <v>7.63087726</v>
      </c>
      <c r="M406" s="175" t="str">
        <f t="shared" si="5"/>
        <v>Tam2140</v>
      </c>
      <c r="N406" s="176">
        <f>IFERROR(__xludf.DUMMYFUNCTION("""COMPUTED_VALUE"""),25.0)</f>
        <v>25</v>
      </c>
      <c r="O406" s="176"/>
      <c r="P406" s="165" t="s">
        <v>435</v>
      </c>
      <c r="Q406" s="165" t="s">
        <v>486</v>
      </c>
      <c r="R406" s="176"/>
      <c r="S406" s="176"/>
      <c r="T406" s="176"/>
      <c r="U406" s="176"/>
      <c r="V406" s="176"/>
      <c r="W406" s="176"/>
      <c r="X406" s="176"/>
      <c r="Y406" s="176"/>
      <c r="Z406" s="176"/>
      <c r="AA406" s="176"/>
    </row>
    <row r="407">
      <c r="A407" s="165" t="str">
        <f>iferror(VLOOKUP(P407,'DO NOT TOUCH Imported'!$A$1:$D$800,4,False),iferror(VLOOKUP(P407,'DO NOT TOUCH Imported'!$C$1:$D$800,2,False),"OOPS FIX ME"))</f>
        <v>Tam2140</v>
      </c>
      <c r="B407" s="165" t="s">
        <v>443</v>
      </c>
      <c r="C407" s="170" t="s">
        <v>1652</v>
      </c>
      <c r="D407" s="236" t="s">
        <v>437</v>
      </c>
      <c r="E407" s="239">
        <v>44279.0</v>
      </c>
      <c r="F407" s="170" t="s">
        <v>439</v>
      </c>
      <c r="G407" s="170">
        <v>15.0</v>
      </c>
      <c r="H407" s="171">
        <v>100.0</v>
      </c>
      <c r="I407" s="171">
        <v>100.0</v>
      </c>
      <c r="J407" s="172">
        <f t="shared" si="2"/>
        <v>0.001076708966</v>
      </c>
      <c r="K407" s="173">
        <f t="shared" si="12"/>
        <v>1.202325011</v>
      </c>
      <c r="L407" s="174">
        <f t="shared" si="4"/>
        <v>7.63087726</v>
      </c>
      <c r="M407" s="175" t="str">
        <f t="shared" si="5"/>
        <v>Tam2140</v>
      </c>
      <c r="N407" s="176">
        <f>IFERROR(__xludf.DUMMYFUNCTION("""COMPUTED_VALUE"""),26.0)</f>
        <v>26</v>
      </c>
      <c r="O407" s="176"/>
      <c r="P407" s="165" t="s">
        <v>435</v>
      </c>
      <c r="Q407" s="165" t="s">
        <v>443</v>
      </c>
      <c r="R407" s="176"/>
      <c r="S407" s="176"/>
      <c r="T407" s="176"/>
      <c r="U407" s="176"/>
      <c r="V407" s="176"/>
      <c r="W407" s="176"/>
      <c r="X407" s="176"/>
      <c r="Y407" s="176"/>
      <c r="Z407" s="176"/>
      <c r="AA407" s="176"/>
    </row>
    <row r="408">
      <c r="A408" s="165" t="str">
        <f>iferror(VLOOKUP(P408,'DO NOT TOUCH Imported'!$A$1:$D$800,4,False),iferror(VLOOKUP(P408,'DO NOT TOUCH Imported'!$C$1:$D$800,2,False),"OOPS FIX ME"))</f>
        <v>Tam2140</v>
      </c>
      <c r="B408" s="249" t="s">
        <v>590</v>
      </c>
      <c r="C408" s="250" t="s">
        <v>1608</v>
      </c>
      <c r="D408" s="236" t="s">
        <v>1584</v>
      </c>
      <c r="E408" s="251">
        <v>44271.0</v>
      </c>
      <c r="F408" s="219" t="s">
        <v>496</v>
      </c>
      <c r="G408" s="170">
        <v>25.0</v>
      </c>
      <c r="H408" s="171">
        <v>50.0</v>
      </c>
      <c r="I408" s="171">
        <v>100.0</v>
      </c>
      <c r="J408" s="172">
        <f t="shared" si="2"/>
        <v>0.001024662895</v>
      </c>
      <c r="K408" s="173">
        <f t="shared" si="12"/>
        <v>1.144206899</v>
      </c>
      <c r="L408" s="174">
        <f t="shared" si="4"/>
        <v>7.63087726</v>
      </c>
      <c r="M408" s="175" t="str">
        <f t="shared" si="5"/>
        <v>Tam2140</v>
      </c>
      <c r="N408" s="176">
        <f>IFERROR(__xludf.DUMMYFUNCTION("""COMPUTED_VALUE"""),27.0)</f>
        <v>27</v>
      </c>
      <c r="O408" s="176"/>
      <c r="P408" s="249" t="s">
        <v>28</v>
      </c>
      <c r="Q408" s="249" t="s">
        <v>590</v>
      </c>
      <c r="R408" s="176"/>
      <c r="S408" s="176"/>
      <c r="T408" s="176"/>
      <c r="U408" s="176"/>
      <c r="V408" s="176"/>
      <c r="W408" s="176"/>
      <c r="X408" s="176"/>
      <c r="Y408" s="176"/>
      <c r="Z408" s="176"/>
      <c r="AA408" s="176"/>
    </row>
    <row r="409">
      <c r="A409" s="165" t="str">
        <f>iferror(VLOOKUP(P409,'DO NOT TOUCH Imported'!$A$1:$D$800,4,False),iferror(VLOOKUP(P409,'DO NOT TOUCH Imported'!$C$1:$D$800,2,False),"OOPS FIX ME"))</f>
        <v>Tam2140</v>
      </c>
      <c r="B409" s="249" t="s">
        <v>18</v>
      </c>
      <c r="C409" s="250" t="s">
        <v>1609</v>
      </c>
      <c r="D409" s="236" t="s">
        <v>1584</v>
      </c>
      <c r="E409" s="251">
        <v>44279.0</v>
      </c>
      <c r="F409" s="219" t="s">
        <v>496</v>
      </c>
      <c r="G409" s="170">
        <v>15.0</v>
      </c>
      <c r="H409" s="171">
        <v>80.0</v>
      </c>
      <c r="I409" s="171">
        <v>100.0</v>
      </c>
      <c r="J409" s="172">
        <f t="shared" si="2"/>
        <v>0.0009928040298</v>
      </c>
      <c r="K409" s="173">
        <f t="shared" si="12"/>
        <v>1.108631167</v>
      </c>
      <c r="L409" s="174">
        <f t="shared" si="4"/>
        <v>7.63087726</v>
      </c>
      <c r="M409" s="175" t="str">
        <f t="shared" si="5"/>
        <v>Tam2140</v>
      </c>
      <c r="N409" s="176">
        <f>IFERROR(__xludf.DUMMYFUNCTION("""COMPUTED_VALUE"""),28.0)</f>
        <v>28</v>
      </c>
      <c r="O409" s="176"/>
      <c r="P409" s="249" t="s">
        <v>28</v>
      </c>
      <c r="Q409" s="249" t="s">
        <v>18</v>
      </c>
      <c r="R409" s="176"/>
      <c r="S409" s="176"/>
      <c r="T409" s="176"/>
      <c r="U409" s="176"/>
      <c r="V409" s="176"/>
      <c r="W409" s="176"/>
      <c r="X409" s="176"/>
      <c r="Y409" s="176"/>
      <c r="Z409" s="176"/>
      <c r="AA409" s="176"/>
    </row>
    <row r="410">
      <c r="A410" s="165" t="str">
        <f>iferror(VLOOKUP(P410,'DO NOT TOUCH Imported'!$A$1:$D$800,4,False),iferror(VLOOKUP(P410,'DO NOT TOUCH Imported'!$C$1:$D$800,2,False),"OOPS FIX ME"))</f>
        <v>Tam2140</v>
      </c>
      <c r="B410" s="165" t="s">
        <v>441</v>
      </c>
      <c r="C410" s="170" t="s">
        <v>1612</v>
      </c>
      <c r="D410" s="236" t="s">
        <v>437</v>
      </c>
      <c r="E410" s="239">
        <v>44281.0</v>
      </c>
      <c r="F410" s="170" t="s">
        <v>439</v>
      </c>
      <c r="G410" s="170">
        <v>15.0</v>
      </c>
      <c r="H410" s="171">
        <v>80.0</v>
      </c>
      <c r="I410" s="171">
        <v>100.0</v>
      </c>
      <c r="J410" s="172">
        <f t="shared" si="2"/>
        <v>0.0009928040298</v>
      </c>
      <c r="K410" s="173">
        <f t="shared" si="12"/>
        <v>1.108631167</v>
      </c>
      <c r="L410" s="174">
        <f t="shared" si="4"/>
        <v>7.63087726</v>
      </c>
      <c r="M410" s="175" t="str">
        <f t="shared" si="5"/>
        <v>Tam2140</v>
      </c>
      <c r="N410" s="176">
        <f>IFERROR(__xludf.DUMMYFUNCTION("""COMPUTED_VALUE"""),29.0)</f>
        <v>29</v>
      </c>
      <c r="O410" s="176"/>
      <c r="P410" s="165" t="s">
        <v>435</v>
      </c>
      <c r="Q410" s="165" t="s">
        <v>441</v>
      </c>
      <c r="R410" s="176"/>
      <c r="S410" s="176"/>
      <c r="T410" s="176"/>
      <c r="U410" s="176"/>
      <c r="V410" s="176"/>
      <c r="W410" s="176"/>
      <c r="X410" s="176"/>
      <c r="Y410" s="176"/>
      <c r="Z410" s="176"/>
      <c r="AA410" s="176"/>
    </row>
    <row r="411">
      <c r="A411" s="165" t="str">
        <f>iferror(VLOOKUP(P411,'DO NOT TOUCH Imported'!$A$1:$D$800,4,False),iferror(VLOOKUP(P411,'DO NOT TOUCH Imported'!$C$1:$D$800,2,False),"OOPS FIX ME"))</f>
        <v>Tam2140</v>
      </c>
      <c r="B411" s="165" t="s">
        <v>443</v>
      </c>
      <c r="C411" s="170" t="s">
        <v>1616</v>
      </c>
      <c r="D411" s="236" t="s">
        <v>437</v>
      </c>
      <c r="E411" s="239">
        <v>44280.0</v>
      </c>
      <c r="F411" s="170" t="s">
        <v>439</v>
      </c>
      <c r="G411" s="170">
        <v>5.0</v>
      </c>
      <c r="H411" s="171">
        <v>100.0</v>
      </c>
      <c r="I411" s="171">
        <v>100.0</v>
      </c>
      <c r="J411" s="172">
        <f t="shared" si="2"/>
        <v>0.0009189926971</v>
      </c>
      <c r="K411" s="173">
        <f t="shared" si="12"/>
        <v>1.026208512</v>
      </c>
      <c r="L411" s="174">
        <f t="shared" si="4"/>
        <v>7.63087726</v>
      </c>
      <c r="M411" s="175" t="str">
        <f t="shared" si="5"/>
        <v>Tam2140</v>
      </c>
      <c r="N411" s="176">
        <f>IFERROR(__xludf.DUMMYFUNCTION("""COMPUTED_VALUE"""),30.0)</f>
        <v>30</v>
      </c>
      <c r="O411" s="176"/>
      <c r="P411" s="165" t="s">
        <v>435</v>
      </c>
      <c r="Q411" s="165" t="s">
        <v>443</v>
      </c>
      <c r="R411" s="176"/>
      <c r="S411" s="176"/>
      <c r="T411" s="176"/>
      <c r="U411" s="176"/>
      <c r="V411" s="176"/>
      <c r="W411" s="176"/>
      <c r="X411" s="176"/>
      <c r="Y411" s="176"/>
      <c r="Z411" s="176"/>
      <c r="AA411" s="176"/>
    </row>
    <row r="412">
      <c r="A412" s="165" t="str">
        <f>iferror(VLOOKUP(P412,'DO NOT TOUCH Imported'!$A$1:$D$800,4,False),iferror(VLOOKUP(P412,'DO NOT TOUCH Imported'!$C$1:$D$800,2,False),"OOPS FIX ME"))</f>
        <v>Tam2140</v>
      </c>
      <c r="B412" s="165" t="s">
        <v>441</v>
      </c>
      <c r="C412" s="170" t="s">
        <v>1620</v>
      </c>
      <c r="D412" s="236" t="s">
        <v>437</v>
      </c>
      <c r="E412" s="239">
        <v>44274.0</v>
      </c>
      <c r="F412" s="170" t="s">
        <v>439</v>
      </c>
      <c r="G412" s="170">
        <v>15.0</v>
      </c>
      <c r="H412" s="171">
        <v>60.0</v>
      </c>
      <c r="I412" s="171">
        <v>100.0</v>
      </c>
      <c r="J412" s="172">
        <f t="shared" si="2"/>
        <v>0.0009088990941</v>
      </c>
      <c r="K412" s="173">
        <f t="shared" si="12"/>
        <v>1.014937322</v>
      </c>
      <c r="L412" s="174">
        <f t="shared" si="4"/>
        <v>7.63087726</v>
      </c>
      <c r="M412" s="175" t="str">
        <f t="shared" si="5"/>
        <v>Tam2140</v>
      </c>
      <c r="N412" s="176">
        <f>IFERROR(__xludf.DUMMYFUNCTION("""COMPUTED_VALUE"""),31.0)</f>
        <v>31</v>
      </c>
      <c r="O412" s="176"/>
      <c r="P412" s="165" t="s">
        <v>435</v>
      </c>
      <c r="Q412" s="165" t="s">
        <v>441</v>
      </c>
      <c r="R412" s="176"/>
      <c r="S412" s="176"/>
      <c r="T412" s="176"/>
      <c r="U412" s="176"/>
      <c r="V412" s="176"/>
      <c r="W412" s="176"/>
      <c r="X412" s="176"/>
      <c r="Y412" s="176"/>
      <c r="Z412" s="176"/>
      <c r="AA412" s="176"/>
    </row>
    <row r="413">
      <c r="A413" s="165" t="str">
        <f>iferror(VLOOKUP(P413,'DO NOT TOUCH Imported'!$A$1:$D$800,4,False),iferror(VLOOKUP(P413,'DO NOT TOUCH Imported'!$C$1:$D$800,2,False),"OOPS FIX ME"))</f>
        <v>Tam2140</v>
      </c>
      <c r="B413" s="165" t="s">
        <v>492</v>
      </c>
      <c r="C413" s="170" t="s">
        <v>1708</v>
      </c>
      <c r="D413" s="236" t="s">
        <v>437</v>
      </c>
      <c r="E413" s="239">
        <v>44280.0</v>
      </c>
      <c r="F413" s="170" t="s">
        <v>439</v>
      </c>
      <c r="G413" s="170">
        <v>15.0</v>
      </c>
      <c r="H413" s="171">
        <v>60.0</v>
      </c>
      <c r="I413" s="171">
        <v>100.0</v>
      </c>
      <c r="J413" s="172">
        <f t="shared" si="2"/>
        <v>0.0009088990941</v>
      </c>
      <c r="K413" s="173">
        <f t="shared" si="12"/>
        <v>1.014937322</v>
      </c>
      <c r="L413" s="174">
        <f t="shared" si="4"/>
        <v>7.63087726</v>
      </c>
      <c r="M413" s="175" t="str">
        <f t="shared" si="5"/>
        <v>Tam2140</v>
      </c>
      <c r="N413" s="176">
        <f>IFERROR(__xludf.DUMMYFUNCTION("""COMPUTED_VALUE"""),32.0)</f>
        <v>32</v>
      </c>
      <c r="O413" s="176"/>
      <c r="P413" s="165" t="s">
        <v>435</v>
      </c>
      <c r="Q413" s="165" t="s">
        <v>492</v>
      </c>
      <c r="R413" s="176"/>
      <c r="S413" s="176"/>
      <c r="T413" s="176"/>
      <c r="U413" s="176"/>
      <c r="V413" s="176"/>
      <c r="W413" s="176"/>
      <c r="X413" s="176"/>
      <c r="Y413" s="176"/>
      <c r="Z413" s="176"/>
      <c r="AA413" s="176"/>
    </row>
    <row r="414">
      <c r="A414" s="165" t="str">
        <f>iferror(VLOOKUP(P414,'DO NOT TOUCH Imported'!$A$1:$D$800,4,False),iferror(VLOOKUP(P414,'DO NOT TOUCH Imported'!$C$1:$D$800,2,False),"OOPS FIX ME"))</f>
        <v>Tam2140</v>
      </c>
      <c r="B414" s="249" t="s">
        <v>10</v>
      </c>
      <c r="C414" s="250" t="s">
        <v>494</v>
      </c>
      <c r="D414" s="236" t="s">
        <v>1584</v>
      </c>
      <c r="E414" s="251">
        <v>44275.0</v>
      </c>
      <c r="F414" s="219" t="s">
        <v>496</v>
      </c>
      <c r="G414" s="170">
        <v>15.0</v>
      </c>
      <c r="H414" s="171">
        <v>50.0</v>
      </c>
      <c r="I414" s="171">
        <v>100.0</v>
      </c>
      <c r="J414" s="172">
        <f t="shared" si="2"/>
        <v>0.0008669466263</v>
      </c>
      <c r="K414" s="173">
        <f t="shared" si="12"/>
        <v>0.9680903993</v>
      </c>
      <c r="L414" s="174">
        <f t="shared" si="4"/>
        <v>7.63087726</v>
      </c>
      <c r="M414" s="175" t="str">
        <f t="shared" si="5"/>
        <v>Tam2140</v>
      </c>
      <c r="N414" s="176">
        <f>IFERROR(__xludf.DUMMYFUNCTION("""COMPUTED_VALUE"""),33.0)</f>
        <v>33</v>
      </c>
      <c r="O414" s="176"/>
      <c r="P414" s="249" t="s">
        <v>28</v>
      </c>
      <c r="Q414" s="249" t="s">
        <v>10</v>
      </c>
      <c r="R414" s="176"/>
      <c r="S414" s="176"/>
      <c r="T414" s="176"/>
      <c r="U414" s="176"/>
      <c r="V414" s="176"/>
      <c r="W414" s="176"/>
      <c r="X414" s="176"/>
      <c r="Y414" s="176"/>
      <c r="Z414" s="176"/>
      <c r="AA414" s="176"/>
    </row>
    <row r="415">
      <c r="A415" s="185" t="str">
        <f>iferror(VLOOKUP(P415,'DO NOT TOUCH Imported'!$A$1:$D$800,4,False),iferror(VLOOKUP(P415,'DO NOT TOUCH Imported'!$C$1:$D$800,2,False),"OOPS FIX ME"))</f>
        <v>Tam2140</v>
      </c>
      <c r="B415" s="185" t="s">
        <v>534</v>
      </c>
      <c r="C415" s="186" t="s">
        <v>781</v>
      </c>
      <c r="D415" s="187"/>
      <c r="E415" s="188"/>
      <c r="F415" s="189"/>
      <c r="G415" s="223"/>
      <c r="H415" s="190"/>
      <c r="I415" s="190"/>
      <c r="J415" s="191">
        <f t="shared" si="2"/>
        <v>0</v>
      </c>
      <c r="K415" s="192">
        <f>50.875 * -0.85</f>
        <v>-43.24375</v>
      </c>
      <c r="L415" s="193">
        <f t="shared" si="4"/>
        <v>7.63087726</v>
      </c>
      <c r="M415" s="194" t="str">
        <f t="shared" si="5"/>
        <v>Tam2140</v>
      </c>
      <c r="N415" s="195">
        <f>IFERROR(__xludf.DUMMYFUNCTION("""COMPUTED_VALUE"""),34.0)</f>
        <v>34</v>
      </c>
      <c r="O415" s="195"/>
      <c r="P415" s="185" t="s">
        <v>28</v>
      </c>
      <c r="Q415" s="185" t="s">
        <v>534</v>
      </c>
      <c r="R415" s="195">
        <v>27.866735844582376</v>
      </c>
      <c r="S415" s="195"/>
      <c r="T415" s="195"/>
      <c r="U415" s="195"/>
      <c r="V415" s="195"/>
      <c r="W415" s="195"/>
      <c r="X415" s="195"/>
      <c r="Y415" s="195"/>
      <c r="Z415" s="195"/>
      <c r="AA415" s="176"/>
    </row>
    <row r="416">
      <c r="A416" s="165" t="str">
        <f>iferror(VLOOKUP(P416,'DO NOT TOUCH Imported'!$A$1:$D$800,4,False),iferror(VLOOKUP(P416,'DO NOT TOUCH Imported'!$C$1:$D$800,2,False),"OOPS FIX ME"))</f>
        <v>Tam2140</v>
      </c>
      <c r="B416" s="165" t="s">
        <v>441</v>
      </c>
      <c r="C416" s="170" t="s">
        <v>1782</v>
      </c>
      <c r="D416" s="236" t="s">
        <v>437</v>
      </c>
      <c r="E416" s="239">
        <v>44281.0</v>
      </c>
      <c r="F416" s="170" t="s">
        <v>439</v>
      </c>
      <c r="G416" s="170">
        <v>100.0</v>
      </c>
      <c r="H416" s="171">
        <v>200.0</v>
      </c>
      <c r="I416" s="171">
        <v>400.0</v>
      </c>
      <c r="J416" s="172">
        <f t="shared" si="2"/>
        <v>0.004098651579</v>
      </c>
      <c r="K416" s="173">
        <f t="shared" ref="K416:K426" si="13">J416*$J$1</f>
        <v>4.576827596</v>
      </c>
      <c r="L416" s="174">
        <f t="shared" si="4"/>
        <v>7.63087726</v>
      </c>
      <c r="M416" s="175" t="str">
        <f t="shared" si="5"/>
        <v>Tam2140</v>
      </c>
      <c r="N416" s="176">
        <f>IFERROR(__xludf.DUMMYFUNCTION("""COMPUTED_VALUE"""),35.0)</f>
        <v>35</v>
      </c>
      <c r="O416" s="176"/>
      <c r="P416" s="165" t="s">
        <v>435</v>
      </c>
      <c r="Q416" s="165" t="s">
        <v>441</v>
      </c>
      <c r="R416" s="176"/>
      <c r="S416" s="176"/>
      <c r="T416" s="176"/>
      <c r="U416" s="176"/>
      <c r="V416" s="176"/>
      <c r="W416" s="176"/>
      <c r="X416" s="176"/>
      <c r="Y416" s="176"/>
      <c r="Z416" s="176"/>
      <c r="AA416" s="176"/>
    </row>
    <row r="417">
      <c r="A417" s="165" t="str">
        <f>iferror(VLOOKUP(P417,'DO NOT TOUCH Imported'!$A$1:$D$800,4,False),iferror(VLOOKUP(P417,'DO NOT TOUCH Imported'!$C$1:$D$800,2,False),"OOPS FIX ME"))</f>
        <v>mzargham</v>
      </c>
      <c r="B417" s="165" t="s">
        <v>566</v>
      </c>
      <c r="C417" s="170" t="s">
        <v>1783</v>
      </c>
      <c r="D417" s="236" t="s">
        <v>499</v>
      </c>
      <c r="E417" s="239">
        <v>44281.0</v>
      </c>
      <c r="F417" s="170" t="s">
        <v>503</v>
      </c>
      <c r="G417" s="170">
        <v>50.0</v>
      </c>
      <c r="H417" s="171">
        <v>100.0</v>
      </c>
      <c r="I417" s="171">
        <v>200.0</v>
      </c>
      <c r="J417" s="172">
        <f t="shared" si="2"/>
        <v>0.002049325789</v>
      </c>
      <c r="K417" s="173">
        <f t="shared" si="13"/>
        <v>2.288413798</v>
      </c>
      <c r="L417" s="174">
        <f t="shared" si="4"/>
        <v>7.044019514</v>
      </c>
      <c r="M417" s="175" t="str">
        <f t="shared" si="5"/>
        <v>mzargham</v>
      </c>
      <c r="N417" s="176">
        <f>IFERROR(__xludf.DUMMYFUNCTION("""COMPUTED_VALUE"""),1.0)</f>
        <v>1</v>
      </c>
      <c r="O417" s="176"/>
      <c r="P417" s="165" t="s">
        <v>1106</v>
      </c>
      <c r="Q417" s="165" t="s">
        <v>566</v>
      </c>
      <c r="R417" s="176"/>
      <c r="S417" s="176"/>
      <c r="T417" s="176"/>
      <c r="U417" s="176"/>
      <c r="V417" s="176"/>
      <c r="W417" s="176"/>
      <c r="X417" s="176"/>
      <c r="Y417" s="176"/>
      <c r="Z417" s="176"/>
      <c r="AA417" s="176"/>
    </row>
    <row r="418">
      <c r="A418" s="165" t="str">
        <f>iferror(VLOOKUP(P418,'DO NOT TOUCH Imported'!$A$1:$D$800,4,False),iferror(VLOOKUP(P418,'DO NOT TOUCH Imported'!$C$1:$D$800,2,False),"OOPS FIX ME"))</f>
        <v>mzargham</v>
      </c>
      <c r="B418" s="249" t="s">
        <v>590</v>
      </c>
      <c r="C418" s="250" t="s">
        <v>1784</v>
      </c>
      <c r="D418" s="236" t="s">
        <v>1584</v>
      </c>
      <c r="E418" s="251">
        <v>44270.0</v>
      </c>
      <c r="F418" s="219" t="s">
        <v>499</v>
      </c>
      <c r="G418" s="170">
        <v>25.0</v>
      </c>
      <c r="H418" s="171">
        <v>200.0</v>
      </c>
      <c r="I418" s="171">
        <v>100.0</v>
      </c>
      <c r="J418" s="172">
        <f t="shared" si="2"/>
        <v>0.001653949912</v>
      </c>
      <c r="K418" s="173">
        <f t="shared" si="13"/>
        <v>1.846910736</v>
      </c>
      <c r="L418" s="174">
        <f t="shared" si="4"/>
        <v>7.044019514</v>
      </c>
      <c r="M418" s="175" t="str">
        <f t="shared" si="5"/>
        <v>mzargham</v>
      </c>
      <c r="N418" s="176">
        <f>IFERROR(__xludf.DUMMYFUNCTION("""COMPUTED_VALUE"""),2.0)</f>
        <v>2</v>
      </c>
      <c r="O418" s="176"/>
      <c r="P418" s="249" t="s">
        <v>19</v>
      </c>
      <c r="Q418" s="249" t="s">
        <v>590</v>
      </c>
      <c r="R418" s="176"/>
      <c r="S418" s="176"/>
      <c r="T418" s="176"/>
      <c r="U418" s="176"/>
      <c r="V418" s="176"/>
      <c r="W418" s="176"/>
      <c r="X418" s="176"/>
      <c r="Y418" s="176"/>
      <c r="Z418" s="176"/>
      <c r="AA418" s="176"/>
    </row>
    <row r="419">
      <c r="A419" s="165" t="str">
        <f>iferror(VLOOKUP(P419,'DO NOT TOUCH Imported'!$A$1:$D$800,4,False),iferror(VLOOKUP(P419,'DO NOT TOUCH Imported'!$C$1:$D$800,2,False),"OOPS FIX ME"))</f>
        <v>mzargham</v>
      </c>
      <c r="B419" s="249" t="s">
        <v>590</v>
      </c>
      <c r="C419" s="250" t="s">
        <v>1785</v>
      </c>
      <c r="D419" s="236" t="s">
        <v>1584</v>
      </c>
      <c r="E419" s="251">
        <v>44270.0</v>
      </c>
      <c r="F419" s="219" t="s">
        <v>499</v>
      </c>
      <c r="G419" s="170">
        <v>25.0</v>
      </c>
      <c r="H419" s="171">
        <v>200.0</v>
      </c>
      <c r="I419" s="171">
        <v>100.0</v>
      </c>
      <c r="J419" s="172">
        <f t="shared" si="2"/>
        <v>0.001653949912</v>
      </c>
      <c r="K419" s="173">
        <f t="shared" si="13"/>
        <v>1.846910736</v>
      </c>
      <c r="L419" s="174">
        <f t="shared" si="4"/>
        <v>7.044019514</v>
      </c>
      <c r="M419" s="175" t="str">
        <f t="shared" si="5"/>
        <v>mzargham</v>
      </c>
      <c r="N419" s="176">
        <f>IFERROR(__xludf.DUMMYFUNCTION("""COMPUTED_VALUE"""),3.0)</f>
        <v>3</v>
      </c>
      <c r="O419" s="176"/>
      <c r="P419" s="249" t="s">
        <v>19</v>
      </c>
      <c r="Q419" s="249" t="s">
        <v>590</v>
      </c>
      <c r="R419" s="176"/>
      <c r="S419" s="176"/>
      <c r="T419" s="176"/>
      <c r="U419" s="176"/>
      <c r="V419" s="176"/>
      <c r="W419" s="176"/>
      <c r="X419" s="176"/>
      <c r="Y419" s="176"/>
      <c r="Z419" s="176"/>
      <c r="AA419" s="176"/>
    </row>
    <row r="420">
      <c r="A420" s="165" t="str">
        <f>iferror(VLOOKUP(P420,'DO NOT TOUCH Imported'!$A$1:$D$800,4,False),iferror(VLOOKUP(P420,'DO NOT TOUCH Imported'!$C$1:$D$800,2,False),"OOPS FIX ME"))</f>
        <v>mzargham</v>
      </c>
      <c r="B420" s="165" t="s">
        <v>10</v>
      </c>
      <c r="C420" s="170" t="s">
        <v>1639</v>
      </c>
      <c r="D420" s="236" t="s">
        <v>1584</v>
      </c>
      <c r="E420" s="239">
        <v>44281.0</v>
      </c>
      <c r="F420" s="170" t="s">
        <v>496</v>
      </c>
      <c r="G420" s="170">
        <v>15.0</v>
      </c>
      <c r="H420" s="171">
        <v>70.0</v>
      </c>
      <c r="I420" s="171">
        <v>100.0</v>
      </c>
      <c r="J420" s="172">
        <f t="shared" si="2"/>
        <v>0.000950851562</v>
      </c>
      <c r="K420" s="173">
        <f t="shared" si="13"/>
        <v>1.061784244</v>
      </c>
      <c r="L420" s="174">
        <f t="shared" si="4"/>
        <v>7.044019514</v>
      </c>
      <c r="M420" s="175" t="str">
        <f t="shared" si="5"/>
        <v>mzargham</v>
      </c>
      <c r="N420" s="176">
        <f>IFERROR(__xludf.DUMMYFUNCTION("""COMPUTED_VALUE"""),4.0)</f>
        <v>4</v>
      </c>
      <c r="O420" s="176"/>
      <c r="P420" s="165" t="s">
        <v>19</v>
      </c>
      <c r="Q420" s="165" t="s">
        <v>10</v>
      </c>
      <c r="R420" s="176"/>
      <c r="S420" s="176"/>
      <c r="T420" s="176"/>
      <c r="U420" s="176"/>
      <c r="V420" s="176"/>
      <c r="W420" s="176"/>
      <c r="X420" s="176"/>
      <c r="Y420" s="176"/>
      <c r="Z420" s="176"/>
      <c r="AA420" s="176"/>
    </row>
    <row r="421">
      <c r="A421" s="165" t="str">
        <f>iferror(VLOOKUP(P421,'DO NOT TOUCH Imported'!$A$1:$D$800,4,False),iferror(VLOOKUP(P421,'DO NOT TOUCH Imported'!$C$1:$D$800,2,False),"OOPS FIX ME"))</f>
        <v>danibelle</v>
      </c>
      <c r="B421" s="165" t="s">
        <v>519</v>
      </c>
      <c r="C421" s="170" t="s">
        <v>1632</v>
      </c>
      <c r="D421" s="236" t="s">
        <v>1584</v>
      </c>
      <c r="E421" s="239">
        <v>44281.0</v>
      </c>
      <c r="F421" s="170" t="s">
        <v>496</v>
      </c>
      <c r="G421" s="170">
        <v>50.0</v>
      </c>
      <c r="H421" s="171">
        <v>100.0</v>
      </c>
      <c r="I421" s="171">
        <v>100.0</v>
      </c>
      <c r="J421" s="172">
        <f t="shared" si="2"/>
        <v>0.001628715905</v>
      </c>
      <c r="K421" s="173">
        <f t="shared" si="13"/>
        <v>1.818732761</v>
      </c>
      <c r="L421" s="174">
        <f t="shared" si="4"/>
        <v>6.975842024</v>
      </c>
      <c r="M421" s="175" t="str">
        <f t="shared" si="5"/>
        <v>danibelle</v>
      </c>
      <c r="N421" s="176">
        <f>IFERROR(__xludf.DUMMYFUNCTION("""COMPUTED_VALUE"""),1.0)</f>
        <v>1</v>
      </c>
      <c r="O421" s="176"/>
      <c r="P421" s="165" t="s">
        <v>38</v>
      </c>
      <c r="Q421" s="165" t="s">
        <v>519</v>
      </c>
      <c r="R421" s="176"/>
      <c r="S421" s="176"/>
      <c r="T421" s="176"/>
      <c r="U421" s="176"/>
      <c r="V421" s="176"/>
      <c r="W421" s="176"/>
      <c r="X421" s="176"/>
      <c r="Y421" s="176"/>
      <c r="Z421" s="176"/>
      <c r="AA421" s="176"/>
    </row>
    <row r="422">
      <c r="A422" s="165" t="str">
        <f>iferror(VLOOKUP(P422,'DO NOT TOUCH Imported'!$A$1:$D$800,4,False),iferror(VLOOKUP(P422,'DO NOT TOUCH Imported'!$C$1:$D$800,2,False),"OOPS FIX ME"))</f>
        <v>danibelle</v>
      </c>
      <c r="B422" s="165" t="s">
        <v>450</v>
      </c>
      <c r="C422" s="170" t="s">
        <v>1605</v>
      </c>
      <c r="D422" s="236" t="s">
        <v>437</v>
      </c>
      <c r="E422" s="239">
        <v>44277.0</v>
      </c>
      <c r="F422" s="170" t="s">
        <v>473</v>
      </c>
      <c r="G422" s="170">
        <v>15.0</v>
      </c>
      <c r="H422" s="171">
        <v>100.0</v>
      </c>
      <c r="I422" s="171">
        <v>100.0</v>
      </c>
      <c r="J422" s="172">
        <f t="shared" si="2"/>
        <v>0.001076708966</v>
      </c>
      <c r="K422" s="173">
        <f t="shared" si="13"/>
        <v>1.202325011</v>
      </c>
      <c r="L422" s="174">
        <f t="shared" si="4"/>
        <v>6.975842024</v>
      </c>
      <c r="M422" s="175" t="str">
        <f t="shared" si="5"/>
        <v>danibelle</v>
      </c>
      <c r="N422" s="176">
        <f>IFERROR(__xludf.DUMMYFUNCTION("""COMPUTED_VALUE"""),2.0)</f>
        <v>2</v>
      </c>
      <c r="O422" s="176"/>
      <c r="P422" s="165" t="s">
        <v>831</v>
      </c>
      <c r="Q422" s="165" t="s">
        <v>450</v>
      </c>
      <c r="R422" s="176"/>
      <c r="S422" s="176"/>
      <c r="T422" s="176"/>
      <c r="U422" s="176"/>
      <c r="V422" s="176"/>
      <c r="W422" s="176"/>
      <c r="X422" s="176"/>
      <c r="Y422" s="176"/>
      <c r="Z422" s="176"/>
      <c r="AA422" s="176"/>
    </row>
    <row r="423">
      <c r="A423" s="165" t="str">
        <f>iferror(VLOOKUP(P423,'DO NOT TOUCH Imported'!$A$1:$D$800,4,False),iferror(VLOOKUP(P423,'DO NOT TOUCH Imported'!$C$1:$D$800,2,False),"OOPS FIX ME"))</f>
        <v>danibelle</v>
      </c>
      <c r="B423" s="249" t="s">
        <v>519</v>
      </c>
      <c r="C423" s="250" t="s">
        <v>1637</v>
      </c>
      <c r="D423" s="236" t="s">
        <v>1584</v>
      </c>
      <c r="E423" s="251">
        <v>44272.0</v>
      </c>
      <c r="F423" s="219" t="s">
        <v>521</v>
      </c>
      <c r="G423" s="170">
        <v>25.0</v>
      </c>
      <c r="H423" s="171">
        <v>60.0</v>
      </c>
      <c r="I423" s="171">
        <v>100.0</v>
      </c>
      <c r="J423" s="172">
        <f t="shared" si="2"/>
        <v>0.001066615363</v>
      </c>
      <c r="K423" s="173">
        <f t="shared" si="13"/>
        <v>1.191053822</v>
      </c>
      <c r="L423" s="174">
        <f t="shared" si="4"/>
        <v>6.975842024</v>
      </c>
      <c r="M423" s="175" t="str">
        <f t="shared" si="5"/>
        <v>danibelle</v>
      </c>
      <c r="N423" s="176">
        <f>IFERROR(__xludf.DUMMYFUNCTION("""COMPUTED_VALUE"""),3.0)</f>
        <v>3</v>
      </c>
      <c r="O423" s="176"/>
      <c r="P423" s="249" t="s">
        <v>38</v>
      </c>
      <c r="Q423" s="249" t="s">
        <v>519</v>
      </c>
      <c r="R423" s="176"/>
      <c r="S423" s="176"/>
      <c r="T423" s="176"/>
      <c r="U423" s="176"/>
      <c r="V423" s="176"/>
      <c r="W423" s="176"/>
      <c r="X423" s="176"/>
      <c r="Y423" s="176"/>
      <c r="Z423" s="176"/>
      <c r="AA423" s="176"/>
    </row>
    <row r="424">
      <c r="A424" s="165" t="str">
        <f>iferror(VLOOKUP(P424,'DO NOT TOUCH Imported'!$A$1:$D$800,4,False),iferror(VLOOKUP(P424,'DO NOT TOUCH Imported'!$C$1:$D$800,2,False),"OOPS FIX ME"))</f>
        <v>danibelle</v>
      </c>
      <c r="B424" s="249" t="s">
        <v>519</v>
      </c>
      <c r="C424" s="250" t="s">
        <v>1637</v>
      </c>
      <c r="D424" s="236" t="s">
        <v>1584</v>
      </c>
      <c r="E424" s="251">
        <v>44279.0</v>
      </c>
      <c r="F424" s="219" t="s">
        <v>521</v>
      </c>
      <c r="G424" s="170">
        <v>15.0</v>
      </c>
      <c r="H424" s="171">
        <v>70.0</v>
      </c>
      <c r="I424" s="171">
        <v>100.0</v>
      </c>
      <c r="J424" s="172">
        <f t="shared" si="2"/>
        <v>0.000950851562</v>
      </c>
      <c r="K424" s="173">
        <f t="shared" si="13"/>
        <v>1.061784244</v>
      </c>
      <c r="L424" s="174">
        <f t="shared" si="4"/>
        <v>6.975842024</v>
      </c>
      <c r="M424" s="175" t="str">
        <f t="shared" si="5"/>
        <v>danibelle</v>
      </c>
      <c r="N424" s="176">
        <f>IFERROR(__xludf.DUMMYFUNCTION("""COMPUTED_VALUE"""),4.0)</f>
        <v>4</v>
      </c>
      <c r="O424" s="176"/>
      <c r="P424" s="249" t="s">
        <v>38</v>
      </c>
      <c r="Q424" s="249" t="s">
        <v>519</v>
      </c>
      <c r="R424" s="176"/>
      <c r="S424" s="176"/>
      <c r="T424" s="176"/>
      <c r="U424" s="176"/>
      <c r="V424" s="176"/>
      <c r="W424" s="176"/>
      <c r="X424" s="176"/>
      <c r="Y424" s="176"/>
      <c r="Z424" s="176"/>
      <c r="AA424" s="176"/>
    </row>
    <row r="425">
      <c r="A425" s="165" t="str">
        <f>iferror(VLOOKUP(P425,'DO NOT TOUCH Imported'!$A$1:$D$800,4,False),iferror(VLOOKUP(P425,'DO NOT TOUCH Imported'!$C$1:$D$800,2,False),"OOPS FIX ME"))</f>
        <v>danibelle</v>
      </c>
      <c r="B425" s="249" t="s">
        <v>10</v>
      </c>
      <c r="C425" s="250" t="s">
        <v>498</v>
      </c>
      <c r="D425" s="236" t="s">
        <v>1584</v>
      </c>
      <c r="E425" s="251">
        <v>44274.0</v>
      </c>
      <c r="F425" s="219" t="s">
        <v>499</v>
      </c>
      <c r="G425" s="170">
        <v>15.0</v>
      </c>
      <c r="H425" s="171">
        <v>25.0</v>
      </c>
      <c r="I425" s="171">
        <v>100.0</v>
      </c>
      <c r="J425" s="172">
        <f t="shared" si="2"/>
        <v>0.0007620654566</v>
      </c>
      <c r="K425" s="173">
        <f t="shared" si="13"/>
        <v>0.8509730932</v>
      </c>
      <c r="L425" s="174">
        <f t="shared" si="4"/>
        <v>6.975842024</v>
      </c>
      <c r="M425" s="175" t="str">
        <f t="shared" si="5"/>
        <v>danibelle</v>
      </c>
      <c r="N425" s="176">
        <f>IFERROR(__xludf.DUMMYFUNCTION("""COMPUTED_VALUE"""),5.0)</f>
        <v>5</v>
      </c>
      <c r="O425" s="176"/>
      <c r="P425" s="249" t="s">
        <v>38</v>
      </c>
      <c r="Q425" s="249" t="s">
        <v>10</v>
      </c>
      <c r="R425" s="176"/>
      <c r="S425" s="176"/>
      <c r="T425" s="176"/>
      <c r="U425" s="176"/>
      <c r="V425" s="176"/>
      <c r="W425" s="176"/>
      <c r="X425" s="176"/>
      <c r="Y425" s="176"/>
      <c r="Z425" s="176"/>
      <c r="AA425" s="176"/>
    </row>
    <row r="426">
      <c r="A426" s="165" t="str">
        <f>iferror(VLOOKUP(P426,'DO NOT TOUCH Imported'!$A$1:$D$800,4,False),iferror(VLOOKUP(P426,'DO NOT TOUCH Imported'!$C$1:$D$800,2,False),"OOPS FIX ME"))</f>
        <v>danibelle</v>
      </c>
      <c r="B426" s="249" t="s">
        <v>10</v>
      </c>
      <c r="C426" s="250" t="s">
        <v>500</v>
      </c>
      <c r="D426" s="236" t="s">
        <v>1584</v>
      </c>
      <c r="E426" s="251">
        <v>44275.0</v>
      </c>
      <c r="F426" s="219" t="s">
        <v>496</v>
      </c>
      <c r="G426" s="170">
        <v>15.0</v>
      </c>
      <c r="H426" s="171">
        <v>25.0</v>
      </c>
      <c r="I426" s="171">
        <v>100.0</v>
      </c>
      <c r="J426" s="172">
        <f t="shared" si="2"/>
        <v>0.0007620654566</v>
      </c>
      <c r="K426" s="173">
        <f t="shared" si="13"/>
        <v>0.8509730932</v>
      </c>
      <c r="L426" s="174">
        <f t="shared" si="4"/>
        <v>6.975842024</v>
      </c>
      <c r="M426" s="175" t="str">
        <f t="shared" si="5"/>
        <v>danibelle</v>
      </c>
      <c r="N426" s="176">
        <f>IFERROR(__xludf.DUMMYFUNCTION("""COMPUTED_VALUE"""),6.0)</f>
        <v>6</v>
      </c>
      <c r="O426" s="176"/>
      <c r="P426" s="249" t="s">
        <v>38</v>
      </c>
      <c r="Q426" s="249" t="s">
        <v>10</v>
      </c>
      <c r="R426" s="176"/>
      <c r="S426" s="176"/>
      <c r="T426" s="176"/>
      <c r="U426" s="176"/>
      <c r="V426" s="176"/>
      <c r="W426" s="176"/>
      <c r="X426" s="176"/>
      <c r="Y426" s="176"/>
      <c r="Z426" s="176"/>
      <c r="AA426" s="176"/>
    </row>
    <row r="427">
      <c r="A427" s="249" t="s">
        <v>15</v>
      </c>
      <c r="B427" s="249" t="s">
        <v>590</v>
      </c>
      <c r="C427" s="250" t="s">
        <v>1608</v>
      </c>
      <c r="D427" s="252" t="s">
        <v>495</v>
      </c>
      <c r="E427" s="251">
        <v>44271.0</v>
      </c>
      <c r="F427" s="219" t="s">
        <v>496</v>
      </c>
      <c r="G427" s="219"/>
      <c r="H427" s="243"/>
      <c r="I427" s="243"/>
      <c r="J427" s="172">
        <f t="shared" si="2"/>
        <v>0</v>
      </c>
      <c r="K427" s="218">
        <v>1.6277939747327528</v>
      </c>
      <c r="L427" s="174">
        <f t="shared" si="4"/>
        <v>6.592937318</v>
      </c>
      <c r="M427" s="175" t="str">
        <f t="shared" si="5"/>
        <v>juankbell</v>
      </c>
      <c r="N427" s="176">
        <f>IFERROR(__xludf.DUMMYFUNCTION("""COMPUTED_VALUE"""),1.0)</f>
        <v>1</v>
      </c>
      <c r="O427" s="176"/>
      <c r="P427" s="243"/>
      <c r="Q427" s="243"/>
      <c r="R427" s="176"/>
      <c r="S427" s="176"/>
      <c r="T427" s="176"/>
      <c r="U427" s="176"/>
      <c r="V427" s="176"/>
      <c r="W427" s="176"/>
      <c r="X427" s="176"/>
      <c r="Y427" s="176"/>
      <c r="Z427" s="176"/>
      <c r="AA427" s="176"/>
    </row>
    <row r="428">
      <c r="A428" s="249" t="s">
        <v>15</v>
      </c>
      <c r="B428" s="249" t="s">
        <v>867</v>
      </c>
      <c r="C428" s="250" t="s">
        <v>1644</v>
      </c>
      <c r="D428" s="252" t="s">
        <v>495</v>
      </c>
      <c r="E428" s="251">
        <v>44271.0</v>
      </c>
      <c r="F428" s="219" t="s">
        <v>496</v>
      </c>
      <c r="G428" s="219"/>
      <c r="H428" s="243"/>
      <c r="I428" s="243"/>
      <c r="J428" s="172">
        <f t="shared" si="2"/>
        <v>0</v>
      </c>
      <c r="K428" s="218">
        <v>1.6277939747327528</v>
      </c>
      <c r="L428" s="174">
        <f t="shared" si="4"/>
        <v>6.592937318</v>
      </c>
      <c r="M428" s="175" t="str">
        <f t="shared" si="5"/>
        <v>juankbell</v>
      </c>
      <c r="N428" s="176">
        <f>IFERROR(__xludf.DUMMYFUNCTION("""COMPUTED_VALUE"""),2.0)</f>
        <v>2</v>
      </c>
      <c r="O428" s="176"/>
      <c r="P428" s="243"/>
      <c r="Q428" s="243"/>
      <c r="R428" s="176"/>
      <c r="S428" s="176"/>
      <c r="T428" s="176"/>
      <c r="U428" s="176"/>
      <c r="V428" s="176"/>
      <c r="W428" s="176"/>
      <c r="X428" s="176"/>
      <c r="Y428" s="176"/>
      <c r="Z428" s="176"/>
      <c r="AA428" s="176"/>
    </row>
    <row r="429">
      <c r="A429" s="249" t="s">
        <v>15</v>
      </c>
      <c r="B429" s="249" t="s">
        <v>18</v>
      </c>
      <c r="C429" s="250" t="s">
        <v>1786</v>
      </c>
      <c r="D429" s="252" t="s">
        <v>495</v>
      </c>
      <c r="E429" s="251">
        <v>44273.0</v>
      </c>
      <c r="F429" s="219" t="s">
        <v>496</v>
      </c>
      <c r="G429" s="219"/>
      <c r="H429" s="243"/>
      <c r="I429" s="243"/>
      <c r="J429" s="172">
        <f t="shared" si="2"/>
        <v>0</v>
      </c>
      <c r="K429" s="218">
        <v>1.6277939747327528</v>
      </c>
      <c r="L429" s="174">
        <f t="shared" si="4"/>
        <v>6.592937318</v>
      </c>
      <c r="M429" s="175" t="str">
        <f t="shared" si="5"/>
        <v>juankbell</v>
      </c>
      <c r="N429" s="176">
        <f>IFERROR(__xludf.DUMMYFUNCTION("""COMPUTED_VALUE"""),3.0)</f>
        <v>3</v>
      </c>
      <c r="O429" s="176"/>
      <c r="P429" s="243"/>
      <c r="Q429" s="243"/>
      <c r="R429" s="176"/>
      <c r="S429" s="176"/>
      <c r="T429" s="176"/>
      <c r="U429" s="176"/>
      <c r="V429" s="176"/>
      <c r="W429" s="176"/>
      <c r="X429" s="176"/>
      <c r="Y429" s="176"/>
      <c r="Z429" s="176"/>
      <c r="AA429" s="176"/>
    </row>
    <row r="430">
      <c r="A430" s="249" t="s">
        <v>15</v>
      </c>
      <c r="B430" s="249" t="s">
        <v>18</v>
      </c>
      <c r="C430" s="250" t="s">
        <v>1617</v>
      </c>
      <c r="D430" s="252" t="s">
        <v>495</v>
      </c>
      <c r="E430" s="251">
        <v>44273.0</v>
      </c>
      <c r="F430" s="219" t="s">
        <v>496</v>
      </c>
      <c r="G430" s="219"/>
      <c r="H430" s="243"/>
      <c r="I430" s="243"/>
      <c r="J430" s="172">
        <f t="shared" si="2"/>
        <v>0</v>
      </c>
      <c r="K430" s="218">
        <v>1.6277939747327528</v>
      </c>
      <c r="L430" s="174">
        <f t="shared" si="4"/>
        <v>6.592937318</v>
      </c>
      <c r="M430" s="175" t="str">
        <f t="shared" si="5"/>
        <v>juankbell</v>
      </c>
      <c r="N430" s="176">
        <f>IFERROR(__xludf.DUMMYFUNCTION("""COMPUTED_VALUE"""),4.0)</f>
        <v>4</v>
      </c>
      <c r="O430" s="176"/>
      <c r="P430" s="243"/>
      <c r="Q430" s="243"/>
      <c r="R430" s="176"/>
      <c r="S430" s="176"/>
      <c r="T430" s="176"/>
      <c r="U430" s="176"/>
      <c r="V430" s="176"/>
      <c r="W430" s="176"/>
      <c r="X430" s="176"/>
      <c r="Y430" s="176"/>
      <c r="Z430" s="176"/>
      <c r="AA430" s="176"/>
    </row>
    <row r="431">
      <c r="A431" s="249" t="s">
        <v>15</v>
      </c>
      <c r="B431" s="249" t="s">
        <v>18</v>
      </c>
      <c r="C431" s="250" t="s">
        <v>1618</v>
      </c>
      <c r="D431" s="252" t="s">
        <v>495</v>
      </c>
      <c r="E431" s="251">
        <v>44273.0</v>
      </c>
      <c r="F431" s="219" t="s">
        <v>496</v>
      </c>
      <c r="G431" s="219"/>
      <c r="H431" s="243"/>
      <c r="I431" s="243"/>
      <c r="J431" s="172">
        <f t="shared" si="2"/>
        <v>0</v>
      </c>
      <c r="K431" s="218">
        <v>1.6277939747327528</v>
      </c>
      <c r="L431" s="174">
        <f t="shared" si="4"/>
        <v>6.592937318</v>
      </c>
      <c r="M431" s="175" t="str">
        <f t="shared" si="5"/>
        <v>juankbell</v>
      </c>
      <c r="N431" s="176">
        <f>IFERROR(__xludf.DUMMYFUNCTION("""COMPUTED_VALUE"""),5.0)</f>
        <v>5</v>
      </c>
      <c r="O431" s="176"/>
      <c r="P431" s="243"/>
      <c r="Q431" s="243"/>
      <c r="R431" s="176"/>
      <c r="S431" s="176"/>
      <c r="T431" s="176"/>
      <c r="U431" s="176"/>
      <c r="V431" s="176"/>
      <c r="W431" s="176"/>
      <c r="X431" s="176"/>
      <c r="Y431" s="176"/>
      <c r="Z431" s="176"/>
      <c r="AA431" s="176"/>
    </row>
    <row r="432">
      <c r="A432" s="249" t="s">
        <v>15</v>
      </c>
      <c r="B432" s="249" t="s">
        <v>10</v>
      </c>
      <c r="C432" s="250" t="s">
        <v>494</v>
      </c>
      <c r="D432" s="252" t="s">
        <v>495</v>
      </c>
      <c r="E432" s="251">
        <v>44275.0</v>
      </c>
      <c r="F432" s="219" t="s">
        <v>496</v>
      </c>
      <c r="G432" s="219"/>
      <c r="H432" s="243"/>
      <c r="I432" s="243"/>
      <c r="J432" s="172">
        <f t="shared" si="2"/>
        <v>0</v>
      </c>
      <c r="K432" s="218">
        <v>1.6277939747327528</v>
      </c>
      <c r="L432" s="174">
        <f t="shared" si="4"/>
        <v>6.592937318</v>
      </c>
      <c r="M432" s="175" t="str">
        <f t="shared" si="5"/>
        <v>juankbell</v>
      </c>
      <c r="N432" s="176">
        <f>IFERROR(__xludf.DUMMYFUNCTION("""COMPUTED_VALUE"""),6.0)</f>
        <v>6</v>
      </c>
      <c r="O432" s="176"/>
      <c r="P432" s="243"/>
      <c r="Q432" s="243"/>
      <c r="R432" s="176"/>
      <c r="S432" s="176"/>
      <c r="T432" s="176"/>
      <c r="U432" s="176"/>
      <c r="V432" s="176"/>
      <c r="W432" s="176"/>
      <c r="X432" s="176"/>
      <c r="Y432" s="176"/>
      <c r="Z432" s="176"/>
      <c r="AA432" s="176"/>
    </row>
    <row r="433">
      <c r="A433" s="249" t="s">
        <v>15</v>
      </c>
      <c r="B433" s="249" t="s">
        <v>590</v>
      </c>
      <c r="C433" s="250" t="s">
        <v>1619</v>
      </c>
      <c r="D433" s="252" t="s">
        <v>495</v>
      </c>
      <c r="E433" s="251">
        <v>44278.0</v>
      </c>
      <c r="F433" s="219" t="s">
        <v>496</v>
      </c>
      <c r="G433" s="219"/>
      <c r="H433" s="243"/>
      <c r="I433" s="243"/>
      <c r="J433" s="172">
        <f t="shared" si="2"/>
        <v>0</v>
      </c>
      <c r="K433" s="218">
        <v>1.6277939747327528</v>
      </c>
      <c r="L433" s="174">
        <f t="shared" si="4"/>
        <v>6.592937318</v>
      </c>
      <c r="M433" s="175" t="str">
        <f t="shared" si="5"/>
        <v>juankbell</v>
      </c>
      <c r="N433" s="176">
        <f>IFERROR(__xludf.DUMMYFUNCTION("""COMPUTED_VALUE"""),7.0)</f>
        <v>7</v>
      </c>
      <c r="O433" s="176"/>
      <c r="P433" s="243"/>
      <c r="Q433" s="243"/>
      <c r="R433" s="176"/>
      <c r="S433" s="176"/>
      <c r="T433" s="176"/>
      <c r="U433" s="176"/>
      <c r="V433" s="176"/>
      <c r="W433" s="176"/>
      <c r="X433" s="176"/>
      <c r="Y433" s="176"/>
      <c r="Z433" s="176"/>
      <c r="AA433" s="176"/>
    </row>
    <row r="434">
      <c r="A434" s="249" t="s">
        <v>15</v>
      </c>
      <c r="B434" s="249" t="s">
        <v>590</v>
      </c>
      <c r="C434" s="250" t="s">
        <v>1787</v>
      </c>
      <c r="D434" s="252" t="s">
        <v>495</v>
      </c>
      <c r="E434" s="251">
        <v>44279.0</v>
      </c>
      <c r="F434" s="219" t="s">
        <v>496</v>
      </c>
      <c r="G434" s="219"/>
      <c r="H434" s="243"/>
      <c r="I434" s="243"/>
      <c r="J434" s="172">
        <f t="shared" si="2"/>
        <v>0</v>
      </c>
      <c r="K434" s="218">
        <v>1.6277939747327528</v>
      </c>
      <c r="L434" s="174">
        <f t="shared" si="4"/>
        <v>6.592937318</v>
      </c>
      <c r="M434" s="175" t="str">
        <f t="shared" si="5"/>
        <v>juankbell</v>
      </c>
      <c r="N434" s="176">
        <f>IFERROR(__xludf.DUMMYFUNCTION("""COMPUTED_VALUE"""),8.0)</f>
        <v>8</v>
      </c>
      <c r="O434" s="176"/>
      <c r="P434" s="243"/>
      <c r="Q434" s="243"/>
      <c r="R434" s="176"/>
      <c r="S434" s="176"/>
      <c r="T434" s="176"/>
      <c r="U434" s="176"/>
      <c r="V434" s="176"/>
      <c r="W434" s="176"/>
      <c r="X434" s="176"/>
      <c r="Y434" s="176"/>
      <c r="Z434" s="176"/>
      <c r="AA434" s="176"/>
    </row>
    <row r="435">
      <c r="A435" s="249" t="s">
        <v>15</v>
      </c>
      <c r="B435" s="249" t="s">
        <v>18</v>
      </c>
      <c r="C435" s="250" t="s">
        <v>1788</v>
      </c>
      <c r="D435" s="252" t="s">
        <v>495</v>
      </c>
      <c r="E435" s="251">
        <v>44279.0</v>
      </c>
      <c r="F435" s="219" t="s">
        <v>496</v>
      </c>
      <c r="G435" s="219"/>
      <c r="H435" s="243"/>
      <c r="I435" s="243"/>
      <c r="J435" s="172">
        <f t="shared" si="2"/>
        <v>0</v>
      </c>
      <c r="K435" s="218">
        <v>1.6277939747327528</v>
      </c>
      <c r="L435" s="174">
        <f t="shared" si="4"/>
        <v>6.592937318</v>
      </c>
      <c r="M435" s="175" t="str">
        <f t="shared" si="5"/>
        <v>juankbell</v>
      </c>
      <c r="N435" s="176">
        <f>IFERROR(__xludf.DUMMYFUNCTION("""COMPUTED_VALUE"""),9.0)</f>
        <v>9</v>
      </c>
      <c r="O435" s="176"/>
      <c r="P435" s="243"/>
      <c r="Q435" s="243"/>
      <c r="R435" s="176"/>
      <c r="S435" s="176"/>
      <c r="T435" s="176"/>
      <c r="U435" s="176"/>
      <c r="V435" s="176"/>
      <c r="W435" s="176"/>
      <c r="X435" s="176"/>
      <c r="Y435" s="176"/>
      <c r="Z435" s="176"/>
      <c r="AA435" s="176"/>
    </row>
    <row r="436">
      <c r="A436" s="165" t="str">
        <f>iferror(VLOOKUP(P436,'DO NOT TOUCH Imported'!$A$1:$D$800,4,False),iferror(VLOOKUP(P436,'DO NOT TOUCH Imported'!$C$1:$D$800,2,False),"OOPS FIX ME"))</f>
        <v>JuankBell</v>
      </c>
      <c r="B436" s="165" t="s">
        <v>463</v>
      </c>
      <c r="C436" s="170" t="s">
        <v>1601</v>
      </c>
      <c r="D436" s="236" t="s">
        <v>437</v>
      </c>
      <c r="E436" s="239">
        <v>44272.0</v>
      </c>
      <c r="F436" s="170" t="s">
        <v>439</v>
      </c>
      <c r="G436" s="219"/>
      <c r="H436" s="243"/>
      <c r="I436" s="243"/>
      <c r="J436" s="172">
        <f t="shared" si="2"/>
        <v>0</v>
      </c>
      <c r="K436" s="218">
        <v>1.6277939747327528</v>
      </c>
      <c r="L436" s="174">
        <f t="shared" si="4"/>
        <v>6.592937318</v>
      </c>
      <c r="M436" s="175" t="str">
        <f t="shared" si="5"/>
        <v>JuankBell</v>
      </c>
      <c r="N436" s="176">
        <f>IFERROR(__xludf.DUMMYFUNCTION("""COMPUTED_VALUE"""),10.0)</f>
        <v>10</v>
      </c>
      <c r="O436" s="176"/>
      <c r="P436" s="165" t="s">
        <v>443</v>
      </c>
      <c r="Q436" s="165" t="s">
        <v>463</v>
      </c>
      <c r="R436" s="176"/>
      <c r="S436" s="176"/>
      <c r="T436" s="176"/>
      <c r="U436" s="176"/>
      <c r="V436" s="176"/>
      <c r="W436" s="176"/>
      <c r="X436" s="176"/>
      <c r="Y436" s="176"/>
      <c r="Z436" s="176"/>
      <c r="AA436" s="176"/>
    </row>
    <row r="437">
      <c r="A437" s="165" t="str">
        <f>iferror(VLOOKUP(P437,'DO NOT TOUCH Imported'!$A$1:$D$800,4,False),iferror(VLOOKUP(P437,'DO NOT TOUCH Imported'!$C$1:$D$800,2,False),"OOPS FIX ME"))</f>
        <v>JuankBell</v>
      </c>
      <c r="B437" s="165" t="s">
        <v>441</v>
      </c>
      <c r="C437" s="170" t="s">
        <v>1602</v>
      </c>
      <c r="D437" s="236" t="s">
        <v>437</v>
      </c>
      <c r="E437" s="239">
        <v>44272.0</v>
      </c>
      <c r="F437" s="170" t="s">
        <v>439</v>
      </c>
      <c r="G437" s="219"/>
      <c r="H437" s="243"/>
      <c r="I437" s="243"/>
      <c r="J437" s="172">
        <f t="shared" si="2"/>
        <v>0</v>
      </c>
      <c r="K437" s="218">
        <v>1.6277939747327528</v>
      </c>
      <c r="L437" s="174">
        <f t="shared" si="4"/>
        <v>6.592937318</v>
      </c>
      <c r="M437" s="175" t="str">
        <f t="shared" si="5"/>
        <v>JuankBell</v>
      </c>
      <c r="N437" s="176">
        <f>IFERROR(__xludf.DUMMYFUNCTION("""COMPUTED_VALUE"""),11.0)</f>
        <v>11</v>
      </c>
      <c r="O437" s="176"/>
      <c r="P437" s="165" t="s">
        <v>443</v>
      </c>
      <c r="Q437" s="165" t="s">
        <v>441</v>
      </c>
      <c r="R437" s="176"/>
      <c r="S437" s="176"/>
      <c r="T437" s="176"/>
      <c r="U437" s="176"/>
      <c r="V437" s="176"/>
      <c r="W437" s="176"/>
      <c r="X437" s="176"/>
      <c r="Y437" s="176"/>
      <c r="Z437" s="176"/>
      <c r="AA437" s="176"/>
    </row>
    <row r="438">
      <c r="A438" s="165" t="str">
        <f>iferror(VLOOKUP(P438,'DO NOT TOUCH Imported'!$A$1:$D$800,4,False),iferror(VLOOKUP(P438,'DO NOT TOUCH Imported'!$C$1:$D$800,2,False),"OOPS FIX ME"))</f>
        <v>JuankBell</v>
      </c>
      <c r="B438" s="165" t="s">
        <v>443</v>
      </c>
      <c r="C438" s="170" t="s">
        <v>1590</v>
      </c>
      <c r="D438" s="236" t="s">
        <v>437</v>
      </c>
      <c r="E438" s="239">
        <v>44273.0</v>
      </c>
      <c r="F438" s="170" t="s">
        <v>439</v>
      </c>
      <c r="G438" s="219"/>
      <c r="H438" s="243"/>
      <c r="I438" s="243"/>
      <c r="J438" s="172">
        <f t="shared" si="2"/>
        <v>0</v>
      </c>
      <c r="K438" s="173">
        <f>J438*$J$1</f>
        <v>0</v>
      </c>
      <c r="L438" s="174">
        <f t="shared" si="4"/>
        <v>6.592937318</v>
      </c>
      <c r="M438" s="175" t="str">
        <f t="shared" si="5"/>
        <v>JuankBell</v>
      </c>
      <c r="N438" s="176">
        <f>IFERROR(__xludf.DUMMYFUNCTION("""COMPUTED_VALUE"""),12.0)</f>
        <v>12</v>
      </c>
      <c r="O438" s="176"/>
      <c r="P438" s="165" t="s">
        <v>443</v>
      </c>
      <c r="Q438" s="165" t="s">
        <v>443</v>
      </c>
      <c r="R438" s="176"/>
      <c r="S438" s="176"/>
      <c r="T438" s="176"/>
      <c r="U438" s="176"/>
      <c r="V438" s="176"/>
      <c r="W438" s="176"/>
      <c r="X438" s="176"/>
      <c r="Y438" s="176"/>
      <c r="Z438" s="176"/>
      <c r="AA438" s="176"/>
    </row>
    <row r="439">
      <c r="A439" s="165" t="str">
        <f>iferror(VLOOKUP(P439,'DO NOT TOUCH Imported'!$A$1:$D$800,4,False),iferror(VLOOKUP(P439,'DO NOT TOUCH Imported'!$C$1:$D$800,2,False),"OOPS FIX ME"))</f>
        <v>JuankBell</v>
      </c>
      <c r="B439" s="165" t="s">
        <v>441</v>
      </c>
      <c r="C439" s="170" t="s">
        <v>1647</v>
      </c>
      <c r="D439" s="236" t="s">
        <v>437</v>
      </c>
      <c r="E439" s="239">
        <v>44274.0</v>
      </c>
      <c r="F439" s="170" t="s">
        <v>439</v>
      </c>
      <c r="G439" s="219"/>
      <c r="H439" s="243"/>
      <c r="I439" s="243"/>
      <c r="J439" s="172">
        <f t="shared" si="2"/>
        <v>0</v>
      </c>
      <c r="K439" s="218">
        <v>1.6277939747327528</v>
      </c>
      <c r="L439" s="174">
        <f t="shared" si="4"/>
        <v>6.592937318</v>
      </c>
      <c r="M439" s="175" t="str">
        <f t="shared" si="5"/>
        <v>JuankBell</v>
      </c>
      <c r="N439" s="176">
        <f>IFERROR(__xludf.DUMMYFUNCTION("""COMPUTED_VALUE"""),13.0)</f>
        <v>13</v>
      </c>
      <c r="O439" s="176"/>
      <c r="P439" s="165" t="s">
        <v>443</v>
      </c>
      <c r="Q439" s="165" t="s">
        <v>441</v>
      </c>
      <c r="R439" s="176"/>
      <c r="S439" s="176"/>
      <c r="T439" s="176"/>
      <c r="U439" s="176"/>
      <c r="V439" s="176"/>
      <c r="W439" s="176"/>
      <c r="X439" s="176"/>
      <c r="Y439" s="176"/>
      <c r="Z439" s="176"/>
      <c r="AA439" s="176"/>
    </row>
    <row r="440">
      <c r="A440" s="165" t="str">
        <f>iferror(VLOOKUP(P440,'DO NOT TOUCH Imported'!$A$1:$D$800,4,False),iferror(VLOOKUP(P440,'DO NOT TOUCH Imported'!$C$1:$D$800,2,False),"OOPS FIX ME"))</f>
        <v>JuankBell</v>
      </c>
      <c r="B440" s="165" t="s">
        <v>441</v>
      </c>
      <c r="C440" s="170" t="s">
        <v>1735</v>
      </c>
      <c r="D440" s="236" t="s">
        <v>437</v>
      </c>
      <c r="E440" s="239">
        <v>44274.0</v>
      </c>
      <c r="F440" s="170" t="s">
        <v>439</v>
      </c>
      <c r="G440" s="219"/>
      <c r="H440" s="243"/>
      <c r="I440" s="243"/>
      <c r="J440" s="172">
        <f t="shared" si="2"/>
        <v>0</v>
      </c>
      <c r="K440" s="218">
        <v>1.6277939747327528</v>
      </c>
      <c r="L440" s="174">
        <f t="shared" si="4"/>
        <v>6.592937318</v>
      </c>
      <c r="M440" s="175" t="str">
        <f t="shared" si="5"/>
        <v>JuankBell</v>
      </c>
      <c r="N440" s="176">
        <f>IFERROR(__xludf.DUMMYFUNCTION("""COMPUTED_VALUE"""),14.0)</f>
        <v>14</v>
      </c>
      <c r="O440" s="176"/>
      <c r="P440" s="165" t="s">
        <v>443</v>
      </c>
      <c r="Q440" s="165" t="s">
        <v>441</v>
      </c>
      <c r="R440" s="176"/>
      <c r="S440" s="176"/>
      <c r="T440" s="176"/>
      <c r="U440" s="176"/>
      <c r="V440" s="176"/>
      <c r="W440" s="176"/>
      <c r="X440" s="176"/>
      <c r="Y440" s="176"/>
      <c r="Z440" s="176"/>
      <c r="AA440" s="176"/>
    </row>
    <row r="441">
      <c r="A441" s="165" t="str">
        <f>iferror(VLOOKUP(P441,'DO NOT TOUCH Imported'!$A$1:$D$800,4,False),iferror(VLOOKUP(P441,'DO NOT TOUCH Imported'!$C$1:$D$800,2,False),"OOPS FIX ME"))</f>
        <v>JuankBell</v>
      </c>
      <c r="B441" s="165" t="s">
        <v>441</v>
      </c>
      <c r="C441" s="170" t="s">
        <v>1593</v>
      </c>
      <c r="D441" s="236" t="s">
        <v>437</v>
      </c>
      <c r="E441" s="239">
        <v>44274.0</v>
      </c>
      <c r="F441" s="170" t="s">
        <v>439</v>
      </c>
      <c r="G441" s="219"/>
      <c r="H441" s="243"/>
      <c r="I441" s="243"/>
      <c r="J441" s="172">
        <f t="shared" si="2"/>
        <v>0</v>
      </c>
      <c r="K441" s="218">
        <v>1.6277939747327528</v>
      </c>
      <c r="L441" s="174">
        <f t="shared" si="4"/>
        <v>6.592937318</v>
      </c>
      <c r="M441" s="175" t="str">
        <f t="shared" si="5"/>
        <v>JuankBell</v>
      </c>
      <c r="N441" s="176">
        <f>IFERROR(__xludf.DUMMYFUNCTION("""COMPUTED_VALUE"""),15.0)</f>
        <v>15</v>
      </c>
      <c r="O441" s="176"/>
      <c r="P441" s="165" t="s">
        <v>443</v>
      </c>
      <c r="Q441" s="165" t="s">
        <v>441</v>
      </c>
      <c r="R441" s="176"/>
      <c r="S441" s="176"/>
      <c r="T441" s="176"/>
      <c r="U441" s="176"/>
      <c r="V441" s="176"/>
      <c r="W441" s="176"/>
      <c r="X441" s="176"/>
      <c r="Y441" s="176"/>
      <c r="Z441" s="176"/>
      <c r="AA441" s="176"/>
    </row>
    <row r="442">
      <c r="A442" s="165" t="str">
        <f>iferror(VLOOKUP(P442,'DO NOT TOUCH Imported'!$A$1:$D$800,4,False),iferror(VLOOKUP(P442,'DO NOT TOUCH Imported'!$C$1:$D$800,2,False),"OOPS FIX ME"))</f>
        <v>JuankBell</v>
      </c>
      <c r="B442" s="165" t="s">
        <v>441</v>
      </c>
      <c r="C442" s="170" t="s">
        <v>1620</v>
      </c>
      <c r="D442" s="236" t="s">
        <v>437</v>
      </c>
      <c r="E442" s="239">
        <v>44274.0</v>
      </c>
      <c r="F442" s="170" t="s">
        <v>439</v>
      </c>
      <c r="G442" s="219"/>
      <c r="H442" s="243"/>
      <c r="I442" s="243"/>
      <c r="J442" s="172">
        <f t="shared" si="2"/>
        <v>0</v>
      </c>
      <c r="K442" s="218">
        <v>1.6277939747327528</v>
      </c>
      <c r="L442" s="174">
        <f t="shared" si="4"/>
        <v>6.592937318</v>
      </c>
      <c r="M442" s="175" t="str">
        <f t="shared" si="5"/>
        <v>JuankBell</v>
      </c>
      <c r="N442" s="176">
        <f>IFERROR(__xludf.DUMMYFUNCTION("""COMPUTED_VALUE"""),16.0)</f>
        <v>16</v>
      </c>
      <c r="O442" s="176"/>
      <c r="P442" s="165" t="s">
        <v>443</v>
      </c>
      <c r="Q442" s="165" t="s">
        <v>441</v>
      </c>
      <c r="R442" s="176"/>
      <c r="S442" s="176"/>
      <c r="T442" s="176"/>
      <c r="U442" s="176"/>
      <c r="V442" s="176"/>
      <c r="W442" s="176"/>
      <c r="X442" s="176"/>
      <c r="Y442" s="176"/>
      <c r="Z442" s="176"/>
      <c r="AA442" s="176"/>
    </row>
    <row r="443">
      <c r="A443" s="165" t="str">
        <f>iferror(VLOOKUP(P443,'DO NOT TOUCH Imported'!$A$1:$D$800,4,False),iferror(VLOOKUP(P443,'DO NOT TOUCH Imported'!$C$1:$D$800,2,False),"OOPS FIX ME"))</f>
        <v>JuankBell</v>
      </c>
      <c r="B443" s="165" t="s">
        <v>576</v>
      </c>
      <c r="C443" s="170" t="s">
        <v>1613</v>
      </c>
      <c r="D443" s="236" t="s">
        <v>437</v>
      </c>
      <c r="E443" s="239">
        <v>44274.0</v>
      </c>
      <c r="F443" s="170" t="s">
        <v>439</v>
      </c>
      <c r="G443" s="219"/>
      <c r="H443" s="243"/>
      <c r="I443" s="243"/>
      <c r="J443" s="172">
        <f t="shared" si="2"/>
        <v>0</v>
      </c>
      <c r="K443" s="218">
        <v>1.6277939747327528</v>
      </c>
      <c r="L443" s="174">
        <f t="shared" si="4"/>
        <v>6.592937318</v>
      </c>
      <c r="M443" s="175" t="str">
        <f t="shared" si="5"/>
        <v>JuankBell</v>
      </c>
      <c r="N443" s="176">
        <f>IFERROR(__xludf.DUMMYFUNCTION("""COMPUTED_VALUE"""),17.0)</f>
        <v>17</v>
      </c>
      <c r="O443" s="176"/>
      <c r="P443" s="165" t="s">
        <v>443</v>
      </c>
      <c r="Q443" s="165" t="s">
        <v>576</v>
      </c>
      <c r="R443" s="176"/>
      <c r="S443" s="176"/>
      <c r="T443" s="176"/>
      <c r="U443" s="176"/>
      <c r="V443" s="176"/>
      <c r="W443" s="176"/>
      <c r="X443" s="176"/>
      <c r="Y443" s="176"/>
      <c r="Z443" s="176"/>
      <c r="AA443" s="176"/>
    </row>
    <row r="444">
      <c r="A444" s="165" t="str">
        <f>iferror(VLOOKUP(P444,'DO NOT TOUCH Imported'!$A$1:$D$800,4,False),iferror(VLOOKUP(P444,'DO NOT TOUCH Imported'!$C$1:$D$800,2,False),"OOPS FIX ME"))</f>
        <v>JuankBell</v>
      </c>
      <c r="B444" s="165" t="s">
        <v>441</v>
      </c>
      <c r="C444" s="170" t="s">
        <v>1604</v>
      </c>
      <c r="D444" s="236" t="s">
        <v>437</v>
      </c>
      <c r="E444" s="239">
        <v>44277.0</v>
      </c>
      <c r="F444" s="170" t="s">
        <v>439</v>
      </c>
      <c r="G444" s="219"/>
      <c r="H444" s="243"/>
      <c r="I444" s="243"/>
      <c r="J444" s="172">
        <f t="shared" si="2"/>
        <v>0</v>
      </c>
      <c r="K444" s="218">
        <v>1.6277939747327528</v>
      </c>
      <c r="L444" s="174">
        <f t="shared" si="4"/>
        <v>6.592937318</v>
      </c>
      <c r="M444" s="175" t="str">
        <f t="shared" si="5"/>
        <v>JuankBell</v>
      </c>
      <c r="N444" s="176">
        <f>IFERROR(__xludf.DUMMYFUNCTION("""COMPUTED_VALUE"""),18.0)</f>
        <v>18</v>
      </c>
      <c r="O444" s="176"/>
      <c r="P444" s="165" t="s">
        <v>443</v>
      </c>
      <c r="Q444" s="165" t="s">
        <v>441</v>
      </c>
      <c r="R444" s="176"/>
      <c r="S444" s="176"/>
      <c r="T444" s="176"/>
      <c r="U444" s="176"/>
      <c r="V444" s="176"/>
      <c r="W444" s="176"/>
      <c r="X444" s="176"/>
      <c r="Y444" s="176"/>
      <c r="Z444" s="176"/>
      <c r="AA444" s="176"/>
    </row>
    <row r="445">
      <c r="A445" s="165" t="str">
        <f>iferror(VLOOKUP(P445,'DO NOT TOUCH Imported'!$A$1:$D$800,4,False),iferror(VLOOKUP(P445,'DO NOT TOUCH Imported'!$C$1:$D$800,2,False),"OOPS FIX ME"))</f>
        <v>JuankBell</v>
      </c>
      <c r="B445" s="165" t="s">
        <v>490</v>
      </c>
      <c r="C445" s="170" t="s">
        <v>1738</v>
      </c>
      <c r="D445" s="236" t="s">
        <v>437</v>
      </c>
      <c r="E445" s="239">
        <v>44277.0</v>
      </c>
      <c r="F445" s="170" t="s">
        <v>439</v>
      </c>
      <c r="G445" s="219"/>
      <c r="H445" s="243"/>
      <c r="I445" s="243"/>
      <c r="J445" s="172">
        <f t="shared" si="2"/>
        <v>0</v>
      </c>
      <c r="K445" s="218">
        <v>1.6277939747327528</v>
      </c>
      <c r="L445" s="174">
        <f t="shared" si="4"/>
        <v>6.592937318</v>
      </c>
      <c r="M445" s="175" t="str">
        <f t="shared" si="5"/>
        <v>JuankBell</v>
      </c>
      <c r="N445" s="176">
        <f>IFERROR(__xludf.DUMMYFUNCTION("""COMPUTED_VALUE"""),19.0)</f>
        <v>19</v>
      </c>
      <c r="O445" s="176"/>
      <c r="P445" s="165" t="s">
        <v>443</v>
      </c>
      <c r="Q445" s="165" t="s">
        <v>490</v>
      </c>
      <c r="R445" s="176"/>
      <c r="S445" s="176"/>
      <c r="T445" s="176"/>
      <c r="U445" s="176"/>
      <c r="V445" s="176"/>
      <c r="W445" s="176"/>
      <c r="X445" s="176"/>
      <c r="Y445" s="176"/>
      <c r="Z445" s="176"/>
      <c r="AA445" s="176"/>
    </row>
    <row r="446">
      <c r="A446" s="165" t="str">
        <f>iferror(VLOOKUP(P446,'DO NOT TOUCH Imported'!$A$1:$D$800,4,False),iferror(VLOOKUP(P446,'DO NOT TOUCH Imported'!$C$1:$D$800,2,False),"OOPS FIX ME"))</f>
        <v>JuankBell</v>
      </c>
      <c r="B446" s="165" t="s">
        <v>566</v>
      </c>
      <c r="C446" s="170" t="s">
        <v>1789</v>
      </c>
      <c r="D446" s="236" t="s">
        <v>499</v>
      </c>
      <c r="E446" s="239">
        <v>44277.0</v>
      </c>
      <c r="F446" s="170" t="s">
        <v>503</v>
      </c>
      <c r="G446" s="219"/>
      <c r="H446" s="243"/>
      <c r="I446" s="243"/>
      <c r="J446" s="172">
        <f t="shared" si="2"/>
        <v>0</v>
      </c>
      <c r="K446" s="218">
        <v>1.6277939747327528</v>
      </c>
      <c r="L446" s="174">
        <f t="shared" si="4"/>
        <v>6.592937318</v>
      </c>
      <c r="M446" s="175" t="str">
        <f t="shared" si="5"/>
        <v>JuankBell</v>
      </c>
      <c r="N446" s="176">
        <f>IFERROR(__xludf.DUMMYFUNCTION("""COMPUTED_VALUE"""),20.0)</f>
        <v>20</v>
      </c>
      <c r="O446" s="176"/>
      <c r="P446" s="165" t="s">
        <v>443</v>
      </c>
      <c r="Q446" s="165" t="s">
        <v>566</v>
      </c>
      <c r="R446" s="176"/>
      <c r="S446" s="176"/>
      <c r="T446" s="176"/>
      <c r="U446" s="176"/>
      <c r="V446" s="176"/>
      <c r="W446" s="176"/>
      <c r="X446" s="176"/>
      <c r="Y446" s="176"/>
      <c r="Z446" s="176"/>
      <c r="AA446" s="176"/>
    </row>
    <row r="447">
      <c r="A447" s="165" t="str">
        <f>iferror(VLOOKUP(P447,'DO NOT TOUCH Imported'!$A$1:$D$800,4,False),iferror(VLOOKUP(P447,'DO NOT TOUCH Imported'!$C$1:$D$800,2,False),"OOPS FIX ME"))</f>
        <v>JuankBell</v>
      </c>
      <c r="B447" s="165" t="s">
        <v>440</v>
      </c>
      <c r="C447" s="170" t="s">
        <v>1790</v>
      </c>
      <c r="D447" s="236" t="s">
        <v>437</v>
      </c>
      <c r="E447" s="239">
        <v>44277.0</v>
      </c>
      <c r="F447" s="170" t="s">
        <v>439</v>
      </c>
      <c r="G447" s="219"/>
      <c r="H447" s="243"/>
      <c r="I447" s="243"/>
      <c r="J447" s="172">
        <f t="shared" si="2"/>
        <v>0</v>
      </c>
      <c r="K447" s="218">
        <v>1.6277939747327528</v>
      </c>
      <c r="L447" s="174">
        <f t="shared" si="4"/>
        <v>6.592937318</v>
      </c>
      <c r="M447" s="175" t="str">
        <f t="shared" si="5"/>
        <v>JuankBell</v>
      </c>
      <c r="N447" s="176">
        <f>IFERROR(__xludf.DUMMYFUNCTION("""COMPUTED_VALUE"""),21.0)</f>
        <v>21</v>
      </c>
      <c r="O447" s="176"/>
      <c r="P447" s="165" t="s">
        <v>443</v>
      </c>
      <c r="Q447" s="165" t="s">
        <v>440</v>
      </c>
      <c r="R447" s="176"/>
      <c r="S447" s="176"/>
      <c r="T447" s="176"/>
      <c r="U447" s="176"/>
      <c r="V447" s="176"/>
      <c r="W447" s="176"/>
      <c r="X447" s="176"/>
      <c r="Y447" s="176"/>
      <c r="Z447" s="176"/>
      <c r="AA447" s="176"/>
    </row>
    <row r="448">
      <c r="A448" s="165" t="str">
        <f>iferror(VLOOKUP(P448,'DO NOT TOUCH Imported'!$A$1:$D$800,4,False),iferror(VLOOKUP(P448,'DO NOT TOUCH Imported'!$C$1:$D$800,2,False),"OOPS FIX ME"))</f>
        <v>JuankBell</v>
      </c>
      <c r="B448" s="165" t="s">
        <v>486</v>
      </c>
      <c r="C448" s="170" t="s">
        <v>1791</v>
      </c>
      <c r="D448" s="236" t="s">
        <v>437</v>
      </c>
      <c r="E448" s="239">
        <v>44278.0</v>
      </c>
      <c r="F448" s="170" t="s">
        <v>439</v>
      </c>
      <c r="G448" s="219"/>
      <c r="H448" s="243"/>
      <c r="I448" s="243"/>
      <c r="J448" s="172">
        <f t="shared" si="2"/>
        <v>0</v>
      </c>
      <c r="K448" s="218">
        <v>1.6277939747327528</v>
      </c>
      <c r="L448" s="174">
        <f t="shared" si="4"/>
        <v>6.592937318</v>
      </c>
      <c r="M448" s="175" t="str">
        <f t="shared" si="5"/>
        <v>JuankBell</v>
      </c>
      <c r="N448" s="176">
        <f>IFERROR(__xludf.DUMMYFUNCTION("""COMPUTED_VALUE"""),22.0)</f>
        <v>22</v>
      </c>
      <c r="O448" s="176"/>
      <c r="P448" s="165" t="s">
        <v>443</v>
      </c>
      <c r="Q448" s="165" t="s">
        <v>486</v>
      </c>
      <c r="R448" s="176"/>
      <c r="S448" s="176"/>
      <c r="T448" s="176"/>
      <c r="U448" s="176"/>
      <c r="V448" s="176"/>
      <c r="W448" s="176"/>
      <c r="X448" s="176"/>
      <c r="Y448" s="176"/>
      <c r="Z448" s="176"/>
      <c r="AA448" s="176"/>
    </row>
    <row r="449">
      <c r="A449" s="165" t="str">
        <f>iferror(VLOOKUP(P449,'DO NOT TOUCH Imported'!$A$1:$D$800,4,False),iferror(VLOOKUP(P449,'DO NOT TOUCH Imported'!$C$1:$D$800,2,False),"OOPS FIX ME"))</f>
        <v>JuankBell</v>
      </c>
      <c r="B449" s="165" t="s">
        <v>443</v>
      </c>
      <c r="C449" s="170" t="s">
        <v>1652</v>
      </c>
      <c r="D449" s="236" t="s">
        <v>437</v>
      </c>
      <c r="E449" s="239">
        <v>44279.0</v>
      </c>
      <c r="F449" s="170" t="s">
        <v>439</v>
      </c>
      <c r="G449" s="219"/>
      <c r="H449" s="243"/>
      <c r="I449" s="243"/>
      <c r="J449" s="172">
        <f t="shared" si="2"/>
        <v>0</v>
      </c>
      <c r="K449" s="173">
        <f>J449*$J$1</f>
        <v>0</v>
      </c>
      <c r="L449" s="174">
        <f t="shared" si="4"/>
        <v>6.592937318</v>
      </c>
      <c r="M449" s="175" t="str">
        <f t="shared" si="5"/>
        <v>JuankBell</v>
      </c>
      <c r="N449" s="176">
        <f>IFERROR(__xludf.DUMMYFUNCTION("""COMPUTED_VALUE"""),23.0)</f>
        <v>23</v>
      </c>
      <c r="O449" s="176"/>
      <c r="P449" s="165" t="s">
        <v>443</v>
      </c>
      <c r="Q449" s="165" t="s">
        <v>443</v>
      </c>
      <c r="R449" s="176"/>
      <c r="S449" s="176"/>
      <c r="T449" s="176"/>
      <c r="U449" s="176"/>
      <c r="V449" s="176"/>
      <c r="W449" s="176"/>
      <c r="X449" s="176"/>
      <c r="Y449" s="176"/>
      <c r="Z449" s="176"/>
      <c r="AA449" s="176"/>
    </row>
    <row r="450">
      <c r="A450" s="165" t="str">
        <f>iferror(VLOOKUP(P450,'DO NOT TOUCH Imported'!$A$1:$D$800,4,False),iferror(VLOOKUP(P450,'DO NOT TOUCH Imported'!$C$1:$D$800,2,False),"OOPS FIX ME"))</f>
        <v>JuankBell</v>
      </c>
      <c r="B450" s="165" t="s">
        <v>46</v>
      </c>
      <c r="C450" s="170" t="s">
        <v>1792</v>
      </c>
      <c r="D450" s="236" t="s">
        <v>437</v>
      </c>
      <c r="E450" s="239">
        <v>44280.0</v>
      </c>
      <c r="F450" s="170" t="s">
        <v>439</v>
      </c>
      <c r="G450" s="219"/>
      <c r="H450" s="243"/>
      <c r="I450" s="243"/>
      <c r="J450" s="172">
        <f t="shared" si="2"/>
        <v>0</v>
      </c>
      <c r="K450" s="218">
        <v>1.6277939747327528</v>
      </c>
      <c r="L450" s="174">
        <f t="shared" si="4"/>
        <v>6.592937318</v>
      </c>
      <c r="M450" s="175" t="str">
        <f t="shared" si="5"/>
        <v>JuankBell</v>
      </c>
      <c r="N450" s="176">
        <f>IFERROR(__xludf.DUMMYFUNCTION("""COMPUTED_VALUE"""),24.0)</f>
        <v>24</v>
      </c>
      <c r="O450" s="176"/>
      <c r="P450" s="165" t="s">
        <v>443</v>
      </c>
      <c r="Q450" s="165" t="s">
        <v>46</v>
      </c>
      <c r="R450" s="176"/>
      <c r="S450" s="176"/>
      <c r="T450" s="176"/>
      <c r="U450" s="176"/>
      <c r="V450" s="176"/>
      <c r="W450" s="176"/>
      <c r="X450" s="176"/>
      <c r="Y450" s="176"/>
      <c r="Z450" s="176"/>
      <c r="AA450" s="176"/>
    </row>
    <row r="451">
      <c r="A451" s="165" t="str">
        <f>iferror(VLOOKUP(P451,'DO NOT TOUCH Imported'!$A$1:$D$800,4,False),iferror(VLOOKUP(P451,'DO NOT TOUCH Imported'!$C$1:$D$800,2,False),"OOPS FIX ME"))</f>
        <v>JuankBell</v>
      </c>
      <c r="B451" s="165" t="s">
        <v>441</v>
      </c>
      <c r="C451" s="170" t="s">
        <v>1793</v>
      </c>
      <c r="D451" s="236" t="s">
        <v>437</v>
      </c>
      <c r="E451" s="239">
        <v>44281.0</v>
      </c>
      <c r="F451" s="170" t="s">
        <v>439</v>
      </c>
      <c r="G451" s="219"/>
      <c r="H451" s="243"/>
      <c r="I451" s="243"/>
      <c r="J451" s="172">
        <f t="shared" si="2"/>
        <v>0</v>
      </c>
      <c r="K451" s="218">
        <v>1.6277939747327528</v>
      </c>
      <c r="L451" s="174">
        <f t="shared" si="4"/>
        <v>6.592937318</v>
      </c>
      <c r="M451" s="175" t="str">
        <f t="shared" si="5"/>
        <v>JuankBell</v>
      </c>
      <c r="N451" s="176">
        <f>IFERROR(__xludf.DUMMYFUNCTION("""COMPUTED_VALUE"""),25.0)</f>
        <v>25</v>
      </c>
      <c r="O451" s="176"/>
      <c r="P451" s="165" t="s">
        <v>443</v>
      </c>
      <c r="Q451" s="165" t="s">
        <v>441</v>
      </c>
      <c r="R451" s="176"/>
      <c r="S451" s="176"/>
      <c r="T451" s="176"/>
      <c r="U451" s="176"/>
      <c r="V451" s="176"/>
      <c r="W451" s="176"/>
      <c r="X451" s="176"/>
      <c r="Y451" s="176"/>
      <c r="Z451" s="176"/>
      <c r="AA451" s="176"/>
    </row>
    <row r="452">
      <c r="A452" s="165" t="str">
        <f>iferror(VLOOKUP(P452,'DO NOT TOUCH Imported'!$A$1:$D$800,4,False),iferror(VLOOKUP(P452,'DO NOT TOUCH Imported'!$C$1:$D$800,2,False),"OOPS FIX ME"))</f>
        <v>JuankBell</v>
      </c>
      <c r="B452" s="165" t="s">
        <v>441</v>
      </c>
      <c r="C452" s="170" t="s">
        <v>1595</v>
      </c>
      <c r="D452" s="236" t="s">
        <v>437</v>
      </c>
      <c r="E452" s="239">
        <v>44281.0</v>
      </c>
      <c r="F452" s="170" t="s">
        <v>439</v>
      </c>
      <c r="G452" s="219"/>
      <c r="H452" s="243"/>
      <c r="I452" s="243"/>
      <c r="J452" s="172">
        <f t="shared" si="2"/>
        <v>0</v>
      </c>
      <c r="K452" s="218">
        <v>1.6277939747327528</v>
      </c>
      <c r="L452" s="174">
        <f t="shared" si="4"/>
        <v>6.592937318</v>
      </c>
      <c r="M452" s="175" t="str">
        <f t="shared" si="5"/>
        <v>JuankBell</v>
      </c>
      <c r="N452" s="176">
        <f>IFERROR(__xludf.DUMMYFUNCTION("""COMPUTED_VALUE"""),26.0)</f>
        <v>26</v>
      </c>
      <c r="O452" s="176"/>
      <c r="P452" s="165" t="s">
        <v>443</v>
      </c>
      <c r="Q452" s="165" t="s">
        <v>441</v>
      </c>
      <c r="R452" s="176"/>
      <c r="S452" s="176"/>
      <c r="T452" s="176"/>
      <c r="U452" s="176"/>
      <c r="V452" s="176"/>
      <c r="W452" s="176"/>
      <c r="X452" s="176"/>
      <c r="Y452" s="176"/>
      <c r="Z452" s="176"/>
      <c r="AA452" s="176"/>
    </row>
    <row r="453">
      <c r="A453" s="165" t="str">
        <f>iferror(VLOOKUP(P453,'DO NOT TOUCH Imported'!$A$1:$D$800,4,False),iferror(VLOOKUP(P453,'DO NOT TOUCH Imported'!$C$1:$D$800,2,False),"OOPS FIX ME"))</f>
        <v>JuankBell</v>
      </c>
      <c r="B453" s="165" t="s">
        <v>441</v>
      </c>
      <c r="C453" s="170" t="s">
        <v>1596</v>
      </c>
      <c r="D453" s="236" t="s">
        <v>437</v>
      </c>
      <c r="E453" s="239">
        <v>44281.0</v>
      </c>
      <c r="F453" s="170" t="s">
        <v>439</v>
      </c>
      <c r="G453" s="219"/>
      <c r="H453" s="243"/>
      <c r="I453" s="243"/>
      <c r="J453" s="172">
        <f t="shared" si="2"/>
        <v>0</v>
      </c>
      <c r="K453" s="218">
        <v>1.6277939747327528</v>
      </c>
      <c r="L453" s="174">
        <f t="shared" si="4"/>
        <v>6.592937318</v>
      </c>
      <c r="M453" s="175" t="str">
        <f t="shared" si="5"/>
        <v>JuankBell</v>
      </c>
      <c r="N453" s="176">
        <f>IFERROR(__xludf.DUMMYFUNCTION("""COMPUTED_VALUE"""),27.0)</f>
        <v>27</v>
      </c>
      <c r="O453" s="176"/>
      <c r="P453" s="165" t="s">
        <v>443</v>
      </c>
      <c r="Q453" s="165" t="s">
        <v>441</v>
      </c>
      <c r="R453" s="176"/>
      <c r="S453" s="176"/>
      <c r="T453" s="176"/>
      <c r="U453" s="176"/>
      <c r="V453" s="176"/>
      <c r="W453" s="176"/>
      <c r="X453" s="176"/>
      <c r="Y453" s="176"/>
      <c r="Z453" s="176"/>
      <c r="AA453" s="176"/>
    </row>
    <row r="454">
      <c r="A454" s="165" t="str">
        <f>iferror(VLOOKUP(P454,'DO NOT TOUCH Imported'!$A$1:$D$800,4,False),iferror(VLOOKUP(P454,'DO NOT TOUCH Imported'!$C$1:$D$800,2,False),"OOPS FIX ME"))</f>
        <v>JuankBell</v>
      </c>
      <c r="B454" s="165" t="s">
        <v>441</v>
      </c>
      <c r="C454" s="170" t="s">
        <v>1612</v>
      </c>
      <c r="D454" s="236" t="s">
        <v>437</v>
      </c>
      <c r="E454" s="239">
        <v>44281.0</v>
      </c>
      <c r="F454" s="170" t="s">
        <v>439</v>
      </c>
      <c r="G454" s="219"/>
      <c r="H454" s="243"/>
      <c r="I454" s="243"/>
      <c r="J454" s="172">
        <f t="shared" si="2"/>
        <v>0</v>
      </c>
      <c r="K454" s="218">
        <v>1.6277939747327528</v>
      </c>
      <c r="L454" s="174">
        <f t="shared" si="4"/>
        <v>6.592937318</v>
      </c>
      <c r="M454" s="175" t="str">
        <f t="shared" si="5"/>
        <v>JuankBell</v>
      </c>
      <c r="N454" s="176">
        <f>IFERROR(__xludf.DUMMYFUNCTION("""COMPUTED_VALUE"""),28.0)</f>
        <v>28</v>
      </c>
      <c r="O454" s="176"/>
      <c r="P454" s="165" t="s">
        <v>443</v>
      </c>
      <c r="Q454" s="165" t="s">
        <v>441</v>
      </c>
      <c r="R454" s="176"/>
      <c r="S454" s="176"/>
      <c r="T454" s="176"/>
      <c r="U454" s="176"/>
      <c r="V454" s="176"/>
      <c r="W454" s="176"/>
      <c r="X454" s="176"/>
      <c r="Y454" s="176"/>
      <c r="Z454" s="176"/>
      <c r="AA454" s="176"/>
    </row>
    <row r="455">
      <c r="A455" s="165" t="str">
        <f>iferror(VLOOKUP(P455,'DO NOT TOUCH Imported'!$A$1:$D$800,4,False),iferror(VLOOKUP(P455,'DO NOT TOUCH Imported'!$C$1:$D$800,2,False),"OOPS FIX ME"))</f>
        <v>JuankBell</v>
      </c>
      <c r="B455" s="165" t="s">
        <v>576</v>
      </c>
      <c r="C455" s="170" t="s">
        <v>1615</v>
      </c>
      <c r="D455" s="236" t="s">
        <v>437</v>
      </c>
      <c r="E455" s="239">
        <v>44281.0</v>
      </c>
      <c r="F455" s="170" t="s">
        <v>439</v>
      </c>
      <c r="G455" s="219"/>
      <c r="H455" s="243"/>
      <c r="I455" s="243"/>
      <c r="J455" s="172">
        <f t="shared" si="2"/>
        <v>0</v>
      </c>
      <c r="K455" s="218">
        <v>1.6277939747327528</v>
      </c>
      <c r="L455" s="174">
        <f t="shared" si="4"/>
        <v>6.592937318</v>
      </c>
      <c r="M455" s="175" t="str">
        <f t="shared" si="5"/>
        <v>JuankBell</v>
      </c>
      <c r="N455" s="176">
        <f>IFERROR(__xludf.DUMMYFUNCTION("""COMPUTED_VALUE"""),29.0)</f>
        <v>29</v>
      </c>
      <c r="O455" s="176"/>
      <c r="P455" s="165" t="s">
        <v>443</v>
      </c>
      <c r="Q455" s="165" t="s">
        <v>576</v>
      </c>
      <c r="R455" s="176"/>
      <c r="S455" s="176"/>
      <c r="T455" s="176"/>
      <c r="U455" s="176"/>
      <c r="V455" s="176"/>
      <c r="W455" s="176"/>
      <c r="X455" s="176"/>
      <c r="Y455" s="176"/>
      <c r="Z455" s="176"/>
      <c r="AA455" s="176"/>
    </row>
    <row r="456">
      <c r="A456" s="185" t="str">
        <f>iferror(VLOOKUP(P456,'DO NOT TOUCH Imported'!$A$1:$D$800,4,False),iferror(VLOOKUP(P456,'DO NOT TOUCH Imported'!$C$1:$D$800,2,False),"OOPS FIX ME"))</f>
        <v>JuankBell</v>
      </c>
      <c r="B456" s="185" t="s">
        <v>534</v>
      </c>
      <c r="C456" s="186" t="s">
        <v>684</v>
      </c>
      <c r="D456" s="187"/>
      <c r="E456" s="188"/>
      <c r="F456" s="189"/>
      <c r="G456" s="190"/>
      <c r="H456" s="190"/>
      <c r="I456" s="190"/>
      <c r="J456" s="191">
        <f t="shared" si="2"/>
        <v>0</v>
      </c>
      <c r="K456" s="192">
        <f>43.95 * -0.85</f>
        <v>-37.3575</v>
      </c>
      <c r="L456" s="193">
        <f t="shared" si="4"/>
        <v>6.592937318</v>
      </c>
      <c r="M456" s="194" t="str">
        <f t="shared" si="5"/>
        <v>JuankBell</v>
      </c>
      <c r="N456" s="195">
        <f>IFERROR(__xludf.DUMMYFUNCTION("""COMPUTED_VALUE"""),30.0)</f>
        <v>30</v>
      </c>
      <c r="O456" s="195"/>
      <c r="P456" s="185" t="s">
        <v>15</v>
      </c>
      <c r="Q456" s="185" t="s">
        <v>534</v>
      </c>
      <c r="R456" s="195">
        <v>36.89669088595067</v>
      </c>
      <c r="S456" s="195"/>
      <c r="T456" s="195"/>
      <c r="U456" s="195"/>
      <c r="V456" s="195"/>
      <c r="W456" s="195"/>
      <c r="X456" s="195"/>
      <c r="Y456" s="195"/>
      <c r="Z456" s="195"/>
      <c r="AA456" s="176"/>
    </row>
    <row r="457">
      <c r="A457" s="165" t="str">
        <f>iferror(VLOOKUP(P457,'DO NOT TOUCH Imported'!$A$1:$D$800,4,False),iferror(VLOOKUP(P457,'DO NOT TOUCH Imported'!$C$1:$D$800,2,False),"OOPS FIX ME"))</f>
        <v>naynaysoo</v>
      </c>
      <c r="B457" s="165" t="s">
        <v>486</v>
      </c>
      <c r="C457" s="170" t="s">
        <v>1794</v>
      </c>
      <c r="D457" s="236" t="s">
        <v>437</v>
      </c>
      <c r="E457" s="239">
        <v>44271.0</v>
      </c>
      <c r="F457" s="170" t="s">
        <v>1600</v>
      </c>
      <c r="G457" s="170">
        <v>45.0</v>
      </c>
      <c r="H457" s="171">
        <v>200.0</v>
      </c>
      <c r="I457" s="171">
        <v>200.0</v>
      </c>
      <c r="J457" s="172">
        <f t="shared" si="2"/>
        <v>0.002389992334</v>
      </c>
      <c r="K457" s="173">
        <f t="shared" ref="K457:K483" si="14">J457*$J$1</f>
        <v>2.668824773</v>
      </c>
      <c r="L457" s="174">
        <f t="shared" si="4"/>
        <v>6.528198081</v>
      </c>
      <c r="M457" s="175" t="str">
        <f t="shared" si="5"/>
        <v>naynaysoo</v>
      </c>
      <c r="N457" s="176">
        <f>IFERROR(__xludf.DUMMYFUNCTION("""COMPUTED_VALUE"""),1.0)</f>
        <v>1</v>
      </c>
      <c r="O457" s="176"/>
      <c r="P457" s="165" t="s">
        <v>528</v>
      </c>
      <c r="Q457" s="165" t="s">
        <v>486</v>
      </c>
      <c r="R457" s="176"/>
      <c r="S457" s="176"/>
      <c r="T457" s="176"/>
      <c r="U457" s="176"/>
      <c r="V457" s="176"/>
      <c r="W457" s="176"/>
      <c r="X457" s="176"/>
      <c r="Y457" s="176"/>
      <c r="Z457" s="176"/>
      <c r="AA457" s="176"/>
    </row>
    <row r="458">
      <c r="A458" s="165" t="str">
        <f>iferror(VLOOKUP(P458,'DO NOT TOUCH Imported'!$A$1:$D$800,4,False),iferror(VLOOKUP(P458,'DO NOT TOUCH Imported'!$C$1:$D$800,2,False),"OOPS FIX ME"))</f>
        <v>naynaysoo</v>
      </c>
      <c r="B458" s="165" t="s">
        <v>530</v>
      </c>
      <c r="C458" s="170" t="s">
        <v>1795</v>
      </c>
      <c r="D458" s="236" t="s">
        <v>499</v>
      </c>
      <c r="E458" s="239">
        <v>44271.0</v>
      </c>
      <c r="F458" s="170" t="s">
        <v>1646</v>
      </c>
      <c r="G458" s="170">
        <v>15.0</v>
      </c>
      <c r="H458" s="171">
        <v>150.0</v>
      </c>
      <c r="I458" s="171">
        <v>300.0</v>
      </c>
      <c r="J458" s="172">
        <f t="shared" si="2"/>
        <v>0.002127691073</v>
      </c>
      <c r="K458" s="173">
        <f t="shared" si="14"/>
        <v>2.375921699</v>
      </c>
      <c r="L458" s="174">
        <f t="shared" si="4"/>
        <v>6.528198081</v>
      </c>
      <c r="M458" s="175" t="str">
        <f t="shared" si="5"/>
        <v>naynaysoo</v>
      </c>
      <c r="N458" s="176">
        <f>IFERROR(__xludf.DUMMYFUNCTION("""COMPUTED_VALUE"""),2.0)</f>
        <v>2</v>
      </c>
      <c r="O458" s="176"/>
      <c r="P458" s="165" t="s">
        <v>528</v>
      </c>
      <c r="Q458" s="165" t="s">
        <v>530</v>
      </c>
      <c r="R458" s="176"/>
      <c r="S458" s="176"/>
      <c r="T458" s="176"/>
      <c r="U458" s="176"/>
      <c r="V458" s="176"/>
      <c r="W458" s="176"/>
      <c r="X458" s="176"/>
      <c r="Y458" s="176"/>
      <c r="Z458" s="176"/>
      <c r="AA458" s="176"/>
    </row>
    <row r="459">
      <c r="A459" s="165" t="str">
        <f>iferror(VLOOKUP(P459,'DO NOT TOUCH Imported'!$A$1:$D$800,4,False),iferror(VLOOKUP(P459,'DO NOT TOUCH Imported'!$C$1:$D$800,2,False),"OOPS FIX ME"))</f>
        <v>naynaysoo</v>
      </c>
      <c r="B459" s="165" t="s">
        <v>566</v>
      </c>
      <c r="C459" s="170" t="s">
        <v>1796</v>
      </c>
      <c r="D459" s="236" t="s">
        <v>499</v>
      </c>
      <c r="E459" s="239">
        <v>44271.0</v>
      </c>
      <c r="F459" s="170" t="s">
        <v>1646</v>
      </c>
      <c r="G459" s="170">
        <v>50.0</v>
      </c>
      <c r="H459" s="171">
        <v>100.0</v>
      </c>
      <c r="I459" s="171">
        <v>200.0</v>
      </c>
      <c r="J459" s="172">
        <f t="shared" si="2"/>
        <v>0.002049325789</v>
      </c>
      <c r="K459" s="173">
        <f t="shared" si="14"/>
        <v>2.288413798</v>
      </c>
      <c r="L459" s="174">
        <f t="shared" si="4"/>
        <v>6.528198081</v>
      </c>
      <c r="M459" s="175" t="str">
        <f t="shared" si="5"/>
        <v>naynaysoo</v>
      </c>
      <c r="N459" s="176">
        <f>IFERROR(__xludf.DUMMYFUNCTION("""COMPUTED_VALUE"""),3.0)</f>
        <v>3</v>
      </c>
      <c r="O459" s="176"/>
      <c r="P459" s="165" t="s">
        <v>528</v>
      </c>
      <c r="Q459" s="165" t="s">
        <v>566</v>
      </c>
      <c r="R459" s="176"/>
      <c r="S459" s="176"/>
      <c r="T459" s="176"/>
      <c r="U459" s="176"/>
      <c r="V459" s="176"/>
      <c r="W459" s="176"/>
      <c r="X459" s="176"/>
      <c r="Y459" s="176"/>
      <c r="Z459" s="176"/>
      <c r="AA459" s="176"/>
    </row>
    <row r="460">
      <c r="A460" s="165" t="str">
        <f>iferror(VLOOKUP(P460,'DO NOT TOUCH Imported'!$A$1:$D$800,4,False),iferror(VLOOKUP(P460,'DO NOT TOUCH Imported'!$C$1:$D$800,2,False),"OOPS FIX ME"))</f>
        <v>naynaysoo</v>
      </c>
      <c r="B460" s="165" t="s">
        <v>441</v>
      </c>
      <c r="C460" s="170" t="s">
        <v>1797</v>
      </c>
      <c r="D460" s="236" t="s">
        <v>437</v>
      </c>
      <c r="E460" s="239">
        <v>44281.0</v>
      </c>
      <c r="F460" s="170" t="s">
        <v>439</v>
      </c>
      <c r="G460" s="170">
        <v>50.0</v>
      </c>
      <c r="H460" s="171">
        <v>150.0</v>
      </c>
      <c r="I460" s="171">
        <v>200.0</v>
      </c>
      <c r="J460" s="172">
        <f t="shared" si="2"/>
        <v>0.002259088129</v>
      </c>
      <c r="K460" s="173">
        <f t="shared" si="14"/>
        <v>2.52264841</v>
      </c>
      <c r="L460" s="174">
        <f t="shared" si="4"/>
        <v>6.528198081</v>
      </c>
      <c r="M460" s="175" t="str">
        <f t="shared" si="5"/>
        <v>naynaysoo</v>
      </c>
      <c r="N460" s="176">
        <f>IFERROR(__xludf.DUMMYFUNCTION("""COMPUTED_VALUE"""),4.0)</f>
        <v>4</v>
      </c>
      <c r="O460" s="176"/>
      <c r="P460" s="165" t="s">
        <v>528</v>
      </c>
      <c r="Q460" s="165" t="s">
        <v>441</v>
      </c>
      <c r="R460" s="176"/>
      <c r="S460" s="176"/>
      <c r="T460" s="176"/>
      <c r="U460" s="176"/>
      <c r="V460" s="176"/>
      <c r="W460" s="176"/>
      <c r="X460" s="176"/>
      <c r="Y460" s="176"/>
      <c r="Z460" s="176"/>
      <c r="AA460" s="176"/>
    </row>
    <row r="461">
      <c r="A461" s="165" t="str">
        <f>iferror(VLOOKUP(P461,'DO NOT TOUCH Imported'!$A$1:$D$800,4,False),iferror(VLOOKUP(P461,'DO NOT TOUCH Imported'!$C$1:$D$800,2,False),"OOPS FIX ME"))</f>
        <v>naynaysoo</v>
      </c>
      <c r="B461" s="249" t="s">
        <v>18</v>
      </c>
      <c r="C461" s="250" t="s">
        <v>1583</v>
      </c>
      <c r="D461" s="236" t="s">
        <v>1584</v>
      </c>
      <c r="E461" s="251">
        <v>44271.0</v>
      </c>
      <c r="F461" s="219" t="s">
        <v>496</v>
      </c>
      <c r="G461" s="170">
        <v>50.0</v>
      </c>
      <c r="H461" s="171">
        <v>150.0</v>
      </c>
      <c r="I461" s="171">
        <v>100.0</v>
      </c>
      <c r="J461" s="172">
        <f t="shared" si="2"/>
        <v>0.001838478244</v>
      </c>
      <c r="K461" s="173">
        <f t="shared" si="14"/>
        <v>2.052967373</v>
      </c>
      <c r="L461" s="174">
        <f t="shared" si="4"/>
        <v>6.528198081</v>
      </c>
      <c r="M461" s="175" t="str">
        <f t="shared" si="5"/>
        <v>naynaysoo</v>
      </c>
      <c r="N461" s="176">
        <f>IFERROR(__xludf.DUMMYFUNCTION("""COMPUTED_VALUE"""),5.0)</f>
        <v>5</v>
      </c>
      <c r="O461" s="176"/>
      <c r="P461" s="249" t="s">
        <v>22</v>
      </c>
      <c r="Q461" s="249" t="s">
        <v>18</v>
      </c>
      <c r="R461" s="176"/>
      <c r="S461" s="176"/>
      <c r="T461" s="176"/>
      <c r="U461" s="176"/>
      <c r="V461" s="176"/>
      <c r="W461" s="176"/>
      <c r="X461" s="176"/>
      <c r="Y461" s="176"/>
      <c r="Z461" s="176"/>
      <c r="AA461" s="176"/>
    </row>
    <row r="462">
      <c r="A462" s="165" t="str">
        <f>iferror(VLOOKUP(P462,'DO NOT TOUCH Imported'!$A$1:$D$800,4,False),iferror(VLOOKUP(P462,'DO NOT TOUCH Imported'!$C$1:$D$800,2,False),"OOPS FIX ME"))</f>
        <v>naynaysoo</v>
      </c>
      <c r="B462" s="165" t="s">
        <v>486</v>
      </c>
      <c r="C462" s="170" t="s">
        <v>1798</v>
      </c>
      <c r="D462" s="236" t="s">
        <v>437</v>
      </c>
      <c r="E462" s="239">
        <v>44278.0</v>
      </c>
      <c r="F462" s="170" t="s">
        <v>439</v>
      </c>
      <c r="G462" s="170">
        <v>50.0</v>
      </c>
      <c r="H462" s="171">
        <v>150.0</v>
      </c>
      <c r="I462" s="171">
        <v>100.0</v>
      </c>
      <c r="J462" s="172">
        <f t="shared" si="2"/>
        <v>0.001838478244</v>
      </c>
      <c r="K462" s="173">
        <f t="shared" si="14"/>
        <v>2.052967373</v>
      </c>
      <c r="L462" s="174">
        <f t="shared" si="4"/>
        <v>6.528198081</v>
      </c>
      <c r="M462" s="175" t="str">
        <f t="shared" si="5"/>
        <v>naynaysoo</v>
      </c>
      <c r="N462" s="176">
        <f>IFERROR(__xludf.DUMMYFUNCTION("""COMPUTED_VALUE"""),6.0)</f>
        <v>6</v>
      </c>
      <c r="O462" s="176"/>
      <c r="P462" s="165" t="s">
        <v>528</v>
      </c>
      <c r="Q462" s="165" t="s">
        <v>486</v>
      </c>
      <c r="R462" s="176"/>
      <c r="S462" s="176"/>
      <c r="T462" s="176"/>
      <c r="U462" s="176"/>
      <c r="V462" s="176"/>
      <c r="W462" s="176"/>
      <c r="X462" s="176"/>
      <c r="Y462" s="176"/>
      <c r="Z462" s="176"/>
      <c r="AA462" s="176"/>
    </row>
    <row r="463">
      <c r="A463" s="165" t="str">
        <f>iferror(VLOOKUP(P463,'DO NOT TOUCH Imported'!$A$1:$D$800,4,False),iferror(VLOOKUP(P463,'DO NOT TOUCH Imported'!$C$1:$D$800,2,False),"OOPS FIX ME"))</f>
        <v>naynaysoo</v>
      </c>
      <c r="B463" s="165" t="s">
        <v>18</v>
      </c>
      <c r="C463" s="170" t="s">
        <v>1799</v>
      </c>
      <c r="D463" s="236" t="s">
        <v>1584</v>
      </c>
      <c r="E463" s="239">
        <v>44281.0</v>
      </c>
      <c r="F463" s="170" t="s">
        <v>496</v>
      </c>
      <c r="G463" s="170">
        <v>15.0</v>
      </c>
      <c r="H463" s="171">
        <v>200.0</v>
      </c>
      <c r="I463" s="171">
        <v>100.0</v>
      </c>
      <c r="J463" s="172">
        <f t="shared" si="2"/>
        <v>0.001496233644</v>
      </c>
      <c r="K463" s="173">
        <f t="shared" si="14"/>
        <v>1.670794236</v>
      </c>
      <c r="L463" s="174">
        <f t="shared" si="4"/>
        <v>6.528198081</v>
      </c>
      <c r="M463" s="175" t="str">
        <f t="shared" si="5"/>
        <v>naynaysoo</v>
      </c>
      <c r="N463" s="176">
        <f>IFERROR(__xludf.DUMMYFUNCTION("""COMPUTED_VALUE"""),7.0)</f>
        <v>7</v>
      </c>
      <c r="O463" s="176"/>
      <c r="P463" s="165" t="s">
        <v>22</v>
      </c>
      <c r="Q463" s="165" t="s">
        <v>18</v>
      </c>
      <c r="R463" s="176"/>
      <c r="S463" s="176"/>
      <c r="T463" s="176"/>
      <c r="U463" s="176"/>
      <c r="V463" s="176"/>
      <c r="W463" s="176"/>
      <c r="X463" s="176"/>
      <c r="Y463" s="176"/>
      <c r="Z463" s="176"/>
      <c r="AA463" s="176"/>
    </row>
    <row r="464">
      <c r="A464" s="165" t="str">
        <f>iferror(VLOOKUP(P464,'DO NOT TOUCH Imported'!$A$1:$D$800,4,False),iferror(VLOOKUP(P464,'DO NOT TOUCH Imported'!$C$1:$D$800,2,False),"OOPS FIX ME"))</f>
        <v>naynaysoo</v>
      </c>
      <c r="B464" s="165" t="s">
        <v>530</v>
      </c>
      <c r="C464" s="170" t="s">
        <v>1800</v>
      </c>
      <c r="D464" s="236" t="s">
        <v>499</v>
      </c>
      <c r="E464" s="239">
        <v>44271.0</v>
      </c>
      <c r="F464" s="170" t="s">
        <v>1646</v>
      </c>
      <c r="G464" s="170">
        <v>15.0</v>
      </c>
      <c r="H464" s="171">
        <v>200.0</v>
      </c>
      <c r="I464" s="171">
        <v>100.0</v>
      </c>
      <c r="J464" s="172">
        <f t="shared" si="2"/>
        <v>0.001496233644</v>
      </c>
      <c r="K464" s="173">
        <f t="shared" si="14"/>
        <v>1.670794236</v>
      </c>
      <c r="L464" s="174">
        <f t="shared" si="4"/>
        <v>6.528198081</v>
      </c>
      <c r="M464" s="175" t="str">
        <f t="shared" si="5"/>
        <v>naynaysoo</v>
      </c>
      <c r="N464" s="176">
        <f>IFERROR(__xludf.DUMMYFUNCTION("""COMPUTED_VALUE"""),8.0)</f>
        <v>8</v>
      </c>
      <c r="O464" s="176"/>
      <c r="P464" s="165" t="s">
        <v>528</v>
      </c>
      <c r="Q464" s="165" t="s">
        <v>530</v>
      </c>
      <c r="R464" s="176"/>
      <c r="S464" s="176"/>
      <c r="T464" s="176"/>
      <c r="U464" s="176"/>
      <c r="V464" s="176"/>
      <c r="W464" s="176"/>
      <c r="X464" s="176"/>
      <c r="Y464" s="176"/>
      <c r="Z464" s="176"/>
      <c r="AA464" s="176"/>
    </row>
    <row r="465">
      <c r="A465" s="165" t="str">
        <f>iferror(VLOOKUP(P465,'DO NOT TOUCH Imported'!$A$1:$D$800,4,False),iferror(VLOOKUP(P465,'DO NOT TOUCH Imported'!$C$1:$D$800,2,False),"OOPS FIX ME"))</f>
        <v>naynaysoo</v>
      </c>
      <c r="B465" s="165" t="s">
        <v>486</v>
      </c>
      <c r="C465" s="170" t="s">
        <v>1801</v>
      </c>
      <c r="D465" s="236" t="s">
        <v>437</v>
      </c>
      <c r="E465" s="239">
        <v>44274.0</v>
      </c>
      <c r="F465" s="170" t="s">
        <v>911</v>
      </c>
      <c r="G465" s="170">
        <v>35.0</v>
      </c>
      <c r="H465" s="171">
        <v>100.0</v>
      </c>
      <c r="I465" s="171">
        <v>100.0</v>
      </c>
      <c r="J465" s="172">
        <f t="shared" si="2"/>
        <v>0.001392141502</v>
      </c>
      <c r="K465" s="173">
        <f t="shared" si="14"/>
        <v>1.554558011</v>
      </c>
      <c r="L465" s="174">
        <f t="shared" si="4"/>
        <v>6.528198081</v>
      </c>
      <c r="M465" s="175" t="str">
        <f t="shared" si="5"/>
        <v>naynaysoo</v>
      </c>
      <c r="N465" s="176">
        <f>IFERROR(__xludf.DUMMYFUNCTION("""COMPUTED_VALUE"""),9.0)</f>
        <v>9</v>
      </c>
      <c r="O465" s="176"/>
      <c r="P465" s="165" t="s">
        <v>528</v>
      </c>
      <c r="Q465" s="165" t="s">
        <v>486</v>
      </c>
      <c r="R465" s="176"/>
      <c r="S465" s="176"/>
      <c r="T465" s="176"/>
      <c r="U465" s="176"/>
      <c r="V465" s="176"/>
      <c r="W465" s="176"/>
      <c r="X465" s="176"/>
      <c r="Y465" s="176"/>
      <c r="Z465" s="176"/>
      <c r="AA465" s="176"/>
    </row>
    <row r="466">
      <c r="A466" s="165" t="str">
        <f>iferror(VLOOKUP(P466,'DO NOT TOUCH Imported'!$A$1:$D$800,4,False),iferror(VLOOKUP(P466,'DO NOT TOUCH Imported'!$C$1:$D$800,2,False),"OOPS FIX ME"))</f>
        <v>naynaysoo</v>
      </c>
      <c r="B466" s="165" t="s">
        <v>441</v>
      </c>
      <c r="C466" s="170" t="s">
        <v>1802</v>
      </c>
      <c r="D466" s="236" t="s">
        <v>437</v>
      </c>
      <c r="E466" s="239">
        <v>44274.0</v>
      </c>
      <c r="F466" s="170" t="s">
        <v>439</v>
      </c>
      <c r="G466" s="170">
        <v>25.0</v>
      </c>
      <c r="H466" s="171">
        <v>100.0</v>
      </c>
      <c r="I466" s="171">
        <v>100.0</v>
      </c>
      <c r="J466" s="172">
        <f t="shared" si="2"/>
        <v>0.001234425234</v>
      </c>
      <c r="K466" s="173">
        <f t="shared" si="14"/>
        <v>1.378441511</v>
      </c>
      <c r="L466" s="174">
        <f t="shared" si="4"/>
        <v>6.528198081</v>
      </c>
      <c r="M466" s="175" t="str">
        <f t="shared" si="5"/>
        <v>naynaysoo</v>
      </c>
      <c r="N466" s="176">
        <f>IFERROR(__xludf.DUMMYFUNCTION("""COMPUTED_VALUE"""),10.0)</f>
        <v>10</v>
      </c>
      <c r="O466" s="176"/>
      <c r="P466" s="165" t="s">
        <v>528</v>
      </c>
      <c r="Q466" s="165" t="s">
        <v>441</v>
      </c>
      <c r="R466" s="176"/>
      <c r="S466" s="176"/>
      <c r="T466" s="176"/>
      <c r="U466" s="176"/>
      <c r="V466" s="176"/>
      <c r="W466" s="176"/>
      <c r="X466" s="176"/>
      <c r="Y466" s="176"/>
      <c r="Z466" s="176"/>
      <c r="AA466" s="176"/>
    </row>
    <row r="467">
      <c r="A467" s="165" t="str">
        <f>iferror(VLOOKUP(P467,'DO NOT TOUCH Imported'!$A$1:$D$800,4,False),iferror(VLOOKUP(P467,'DO NOT TOUCH Imported'!$C$1:$D$800,2,False),"OOPS FIX ME"))</f>
        <v>naynaysoo</v>
      </c>
      <c r="B467" s="165" t="s">
        <v>441</v>
      </c>
      <c r="C467" s="170" t="s">
        <v>1803</v>
      </c>
      <c r="D467" s="236" t="s">
        <v>437</v>
      </c>
      <c r="E467" s="239">
        <v>44274.0</v>
      </c>
      <c r="F467" s="170" t="s">
        <v>439</v>
      </c>
      <c r="G467" s="170">
        <v>25.0</v>
      </c>
      <c r="H467" s="171">
        <v>100.0</v>
      </c>
      <c r="I467" s="171">
        <v>100.0</v>
      </c>
      <c r="J467" s="172">
        <f t="shared" si="2"/>
        <v>0.001234425234</v>
      </c>
      <c r="K467" s="173">
        <f t="shared" si="14"/>
        <v>1.378441511</v>
      </c>
      <c r="L467" s="174">
        <f t="shared" si="4"/>
        <v>6.528198081</v>
      </c>
      <c r="M467" s="175" t="str">
        <f t="shared" si="5"/>
        <v>naynaysoo</v>
      </c>
      <c r="N467" s="176">
        <f>IFERROR(__xludf.DUMMYFUNCTION("""COMPUTED_VALUE"""),11.0)</f>
        <v>11</v>
      </c>
      <c r="O467" s="176"/>
      <c r="P467" s="165" t="s">
        <v>528</v>
      </c>
      <c r="Q467" s="165" t="s">
        <v>441</v>
      </c>
      <c r="R467" s="176"/>
      <c r="S467" s="176"/>
      <c r="T467" s="176"/>
      <c r="U467" s="176"/>
      <c r="V467" s="176"/>
      <c r="W467" s="176"/>
      <c r="X467" s="176"/>
      <c r="Y467" s="176"/>
      <c r="Z467" s="176"/>
      <c r="AA467" s="176"/>
    </row>
    <row r="468">
      <c r="A468" s="165" t="str">
        <f>iferror(VLOOKUP(P468,'DO NOT TOUCH Imported'!$A$1:$D$800,4,False),iferror(VLOOKUP(P468,'DO NOT TOUCH Imported'!$C$1:$D$800,2,False),"OOPS FIX ME"))</f>
        <v>naynaysoo</v>
      </c>
      <c r="B468" s="165" t="s">
        <v>566</v>
      </c>
      <c r="C468" s="170" t="s">
        <v>1804</v>
      </c>
      <c r="D468" s="236" t="s">
        <v>499</v>
      </c>
      <c r="E468" s="239">
        <v>44277.0</v>
      </c>
      <c r="F468" s="170" t="s">
        <v>503</v>
      </c>
      <c r="G468" s="170">
        <v>25.0</v>
      </c>
      <c r="H468" s="171">
        <v>100.0</v>
      </c>
      <c r="I468" s="171">
        <v>100.0</v>
      </c>
      <c r="J468" s="172">
        <f t="shared" si="2"/>
        <v>0.001234425234</v>
      </c>
      <c r="K468" s="173">
        <f t="shared" si="14"/>
        <v>1.378441511</v>
      </c>
      <c r="L468" s="174">
        <f t="shared" si="4"/>
        <v>6.528198081</v>
      </c>
      <c r="M468" s="175" t="str">
        <f t="shared" si="5"/>
        <v>naynaysoo</v>
      </c>
      <c r="N468" s="176">
        <f>IFERROR(__xludf.DUMMYFUNCTION("""COMPUTED_VALUE"""),12.0)</f>
        <v>12</v>
      </c>
      <c r="O468" s="176"/>
      <c r="P468" s="165" t="s">
        <v>528</v>
      </c>
      <c r="Q468" s="165" t="s">
        <v>566</v>
      </c>
      <c r="R468" s="176"/>
      <c r="S468" s="176"/>
      <c r="T468" s="176"/>
      <c r="U468" s="176"/>
      <c r="V468" s="176"/>
      <c r="W468" s="176"/>
      <c r="X468" s="176"/>
      <c r="Y468" s="176"/>
      <c r="Z468" s="176"/>
      <c r="AA468" s="176"/>
    </row>
    <row r="469">
      <c r="A469" s="165" t="str">
        <f>iferror(VLOOKUP(P469,'DO NOT TOUCH Imported'!$A$1:$D$800,4,False),iferror(VLOOKUP(P469,'DO NOT TOUCH Imported'!$C$1:$D$800,2,False),"OOPS FIX ME"))</f>
        <v>naynaysoo</v>
      </c>
      <c r="B469" s="165" t="s">
        <v>441</v>
      </c>
      <c r="C469" s="170" t="s">
        <v>1595</v>
      </c>
      <c r="D469" s="236" t="s">
        <v>437</v>
      </c>
      <c r="E469" s="239">
        <v>44281.0</v>
      </c>
      <c r="F469" s="170" t="s">
        <v>439</v>
      </c>
      <c r="G469" s="170">
        <v>25.0</v>
      </c>
      <c r="H469" s="171">
        <v>100.0</v>
      </c>
      <c r="I469" s="171">
        <v>100.0</v>
      </c>
      <c r="J469" s="172">
        <f t="shared" si="2"/>
        <v>0.001234425234</v>
      </c>
      <c r="K469" s="173">
        <f t="shared" si="14"/>
        <v>1.378441511</v>
      </c>
      <c r="L469" s="174">
        <f t="shared" si="4"/>
        <v>6.528198081</v>
      </c>
      <c r="M469" s="175" t="str">
        <f t="shared" si="5"/>
        <v>naynaysoo</v>
      </c>
      <c r="N469" s="176">
        <f>IFERROR(__xludf.DUMMYFUNCTION("""COMPUTED_VALUE"""),13.0)</f>
        <v>13</v>
      </c>
      <c r="O469" s="176"/>
      <c r="P469" s="165" t="s">
        <v>528</v>
      </c>
      <c r="Q469" s="165" t="s">
        <v>441</v>
      </c>
      <c r="R469" s="176"/>
      <c r="S469" s="176"/>
      <c r="T469" s="176"/>
      <c r="U469" s="176"/>
      <c r="V469" s="176"/>
      <c r="W469" s="176"/>
      <c r="X469" s="176"/>
      <c r="Y469" s="176"/>
      <c r="Z469" s="176"/>
      <c r="AA469" s="176"/>
    </row>
    <row r="470">
      <c r="A470" s="165" t="str">
        <f>iferror(VLOOKUP(P470,'DO NOT TOUCH Imported'!$A$1:$D$800,4,False),iferror(VLOOKUP(P470,'DO NOT TOUCH Imported'!$C$1:$D$800,2,False),"OOPS FIX ME"))</f>
        <v>naynaysoo</v>
      </c>
      <c r="B470" s="165" t="s">
        <v>441</v>
      </c>
      <c r="C470" s="170" t="s">
        <v>1596</v>
      </c>
      <c r="D470" s="236" t="s">
        <v>437</v>
      </c>
      <c r="E470" s="239">
        <v>44281.0</v>
      </c>
      <c r="F470" s="170" t="s">
        <v>439</v>
      </c>
      <c r="G470" s="170">
        <v>25.0</v>
      </c>
      <c r="H470" s="171">
        <v>100.0</v>
      </c>
      <c r="I470" s="171">
        <v>100.0</v>
      </c>
      <c r="J470" s="172">
        <f t="shared" si="2"/>
        <v>0.001234425234</v>
      </c>
      <c r="K470" s="173">
        <f t="shared" si="14"/>
        <v>1.378441511</v>
      </c>
      <c r="L470" s="174">
        <f t="shared" si="4"/>
        <v>6.528198081</v>
      </c>
      <c r="M470" s="175" t="str">
        <f t="shared" si="5"/>
        <v>naynaysoo</v>
      </c>
      <c r="N470" s="176">
        <f>IFERROR(__xludf.DUMMYFUNCTION("""COMPUTED_VALUE"""),14.0)</f>
        <v>14</v>
      </c>
      <c r="O470" s="176"/>
      <c r="P470" s="165" t="s">
        <v>528</v>
      </c>
      <c r="Q470" s="165" t="s">
        <v>441</v>
      </c>
      <c r="R470" s="176"/>
      <c r="S470" s="176"/>
      <c r="T470" s="176"/>
      <c r="U470" s="176"/>
      <c r="V470" s="176"/>
      <c r="W470" s="176"/>
      <c r="X470" s="176"/>
      <c r="Y470" s="176"/>
      <c r="Z470" s="176"/>
      <c r="AA470" s="176"/>
    </row>
    <row r="471">
      <c r="A471" s="165" t="str">
        <f>iferror(VLOOKUP(P471,'DO NOT TOUCH Imported'!$A$1:$D$800,4,False),iferror(VLOOKUP(P471,'DO NOT TOUCH Imported'!$C$1:$D$800,2,False),"OOPS FIX ME"))</f>
        <v>naynaysoo</v>
      </c>
      <c r="B471" s="165" t="s">
        <v>441</v>
      </c>
      <c r="C471" s="170" t="s">
        <v>1627</v>
      </c>
      <c r="D471" s="236" t="s">
        <v>437</v>
      </c>
      <c r="E471" s="239">
        <v>44274.0</v>
      </c>
      <c r="F471" s="170" t="s">
        <v>439</v>
      </c>
      <c r="G471" s="170">
        <v>15.0</v>
      </c>
      <c r="H471" s="171">
        <v>100.0</v>
      </c>
      <c r="I471" s="171">
        <v>100.0</v>
      </c>
      <c r="J471" s="172">
        <f t="shared" si="2"/>
        <v>0.001076708966</v>
      </c>
      <c r="K471" s="173">
        <f t="shared" si="14"/>
        <v>1.202325011</v>
      </c>
      <c r="L471" s="174">
        <f t="shared" si="4"/>
        <v>6.528198081</v>
      </c>
      <c r="M471" s="175" t="str">
        <f t="shared" si="5"/>
        <v>naynaysoo</v>
      </c>
      <c r="N471" s="176">
        <f>IFERROR(__xludf.DUMMYFUNCTION("""COMPUTED_VALUE"""),15.0)</f>
        <v>15</v>
      </c>
      <c r="O471" s="176"/>
      <c r="P471" s="165" t="s">
        <v>528</v>
      </c>
      <c r="Q471" s="165" t="s">
        <v>441</v>
      </c>
      <c r="R471" s="176"/>
      <c r="S471" s="176"/>
      <c r="T471" s="176"/>
      <c r="U471" s="176"/>
      <c r="V471" s="176"/>
      <c r="W471" s="176"/>
      <c r="X471" s="176"/>
      <c r="Y471" s="176"/>
      <c r="Z471" s="176"/>
      <c r="AA471" s="176"/>
    </row>
    <row r="472">
      <c r="A472" s="165" t="str">
        <f>iferror(VLOOKUP(P472,'DO NOT TOUCH Imported'!$A$1:$D$800,4,False),iferror(VLOOKUP(P472,'DO NOT TOUCH Imported'!$C$1:$D$800,2,False),"OOPS FIX ME"))</f>
        <v>naynaysoo</v>
      </c>
      <c r="B472" s="165" t="s">
        <v>443</v>
      </c>
      <c r="C472" s="170" t="s">
        <v>1603</v>
      </c>
      <c r="D472" s="236" t="s">
        <v>437</v>
      </c>
      <c r="E472" s="239">
        <v>44277.0</v>
      </c>
      <c r="F472" s="170" t="s">
        <v>439</v>
      </c>
      <c r="G472" s="170">
        <v>15.0</v>
      </c>
      <c r="H472" s="171">
        <v>100.0</v>
      </c>
      <c r="I472" s="171">
        <v>100.0</v>
      </c>
      <c r="J472" s="172">
        <f t="shared" si="2"/>
        <v>0.001076708966</v>
      </c>
      <c r="K472" s="173">
        <f t="shared" si="14"/>
        <v>1.202325011</v>
      </c>
      <c r="L472" s="174">
        <f t="shared" si="4"/>
        <v>6.528198081</v>
      </c>
      <c r="M472" s="175" t="str">
        <f t="shared" si="5"/>
        <v>naynaysoo</v>
      </c>
      <c r="N472" s="176">
        <f>IFERROR(__xludf.DUMMYFUNCTION("""COMPUTED_VALUE"""),16.0)</f>
        <v>16</v>
      </c>
      <c r="O472" s="176"/>
      <c r="P472" s="165" t="s">
        <v>528</v>
      </c>
      <c r="Q472" s="165" t="s">
        <v>443</v>
      </c>
      <c r="R472" s="176"/>
      <c r="S472" s="176"/>
      <c r="T472" s="176"/>
      <c r="U472" s="176"/>
      <c r="V472" s="176"/>
      <c r="W472" s="176"/>
      <c r="X472" s="176"/>
      <c r="Y472" s="176"/>
      <c r="Z472" s="176"/>
      <c r="AA472" s="176"/>
    </row>
    <row r="473">
      <c r="A473" s="165" t="str">
        <f>iferror(VLOOKUP(P473,'DO NOT TOUCH Imported'!$A$1:$D$800,4,False),iferror(VLOOKUP(P473,'DO NOT TOUCH Imported'!$C$1:$D$800,2,False),"OOPS FIX ME"))</f>
        <v>naynaysoo</v>
      </c>
      <c r="B473" s="165" t="s">
        <v>486</v>
      </c>
      <c r="C473" s="170" t="s">
        <v>1805</v>
      </c>
      <c r="D473" s="236" t="s">
        <v>437</v>
      </c>
      <c r="E473" s="239">
        <v>44277.0</v>
      </c>
      <c r="F473" s="170" t="s">
        <v>439</v>
      </c>
      <c r="G473" s="170">
        <v>15.0</v>
      </c>
      <c r="H473" s="171">
        <v>100.0</v>
      </c>
      <c r="I473" s="171">
        <v>100.0</v>
      </c>
      <c r="J473" s="172">
        <f t="shared" si="2"/>
        <v>0.001076708966</v>
      </c>
      <c r="K473" s="173">
        <f t="shared" si="14"/>
        <v>1.202325011</v>
      </c>
      <c r="L473" s="174">
        <f t="shared" si="4"/>
        <v>6.528198081</v>
      </c>
      <c r="M473" s="175" t="str">
        <f t="shared" si="5"/>
        <v>naynaysoo</v>
      </c>
      <c r="N473" s="176">
        <f>IFERROR(__xludf.DUMMYFUNCTION("""COMPUTED_VALUE"""),17.0)</f>
        <v>17</v>
      </c>
      <c r="O473" s="176"/>
      <c r="P473" s="165" t="s">
        <v>528</v>
      </c>
      <c r="Q473" s="165" t="s">
        <v>486</v>
      </c>
      <c r="R473" s="176"/>
      <c r="S473" s="176"/>
      <c r="T473" s="176"/>
      <c r="U473" s="176"/>
      <c r="V473" s="176"/>
      <c r="W473" s="176"/>
      <c r="X473" s="176"/>
      <c r="Y473" s="176"/>
      <c r="Z473" s="176"/>
      <c r="AA473" s="176"/>
    </row>
    <row r="474">
      <c r="A474" s="165" t="str">
        <f>iferror(VLOOKUP(P474,'DO NOT TOUCH Imported'!$A$1:$D$800,4,False),iferror(VLOOKUP(P474,'DO NOT TOUCH Imported'!$C$1:$D$800,2,False),"OOPS FIX ME"))</f>
        <v>naynaysoo</v>
      </c>
      <c r="B474" s="165" t="s">
        <v>440</v>
      </c>
      <c r="C474" s="170" t="s">
        <v>1806</v>
      </c>
      <c r="D474" s="236" t="s">
        <v>437</v>
      </c>
      <c r="E474" s="239">
        <v>44277.0</v>
      </c>
      <c r="F474" s="170" t="s">
        <v>439</v>
      </c>
      <c r="G474" s="170">
        <v>15.0</v>
      </c>
      <c r="H474" s="171">
        <v>100.0</v>
      </c>
      <c r="I474" s="171">
        <v>100.0</v>
      </c>
      <c r="J474" s="172">
        <f t="shared" si="2"/>
        <v>0.001076708966</v>
      </c>
      <c r="K474" s="173">
        <f t="shared" si="14"/>
        <v>1.202325011</v>
      </c>
      <c r="L474" s="174">
        <f t="shared" si="4"/>
        <v>6.528198081</v>
      </c>
      <c r="M474" s="175" t="str">
        <f t="shared" si="5"/>
        <v>naynaysoo</v>
      </c>
      <c r="N474" s="176">
        <f>IFERROR(__xludf.DUMMYFUNCTION("""COMPUTED_VALUE"""),18.0)</f>
        <v>18</v>
      </c>
      <c r="O474" s="176"/>
      <c r="P474" s="165" t="s">
        <v>528</v>
      </c>
      <c r="Q474" s="165" t="s">
        <v>440</v>
      </c>
      <c r="R474" s="176"/>
      <c r="S474" s="176"/>
      <c r="T474" s="176"/>
      <c r="U474" s="176"/>
      <c r="V474" s="176"/>
      <c r="W474" s="176"/>
      <c r="X474" s="176"/>
      <c r="Y474" s="176"/>
      <c r="Z474" s="176"/>
      <c r="AA474" s="176"/>
    </row>
    <row r="475">
      <c r="A475" s="165" t="str">
        <f>iferror(VLOOKUP(P475,'DO NOT TOUCH Imported'!$A$1:$D$800,4,False),iferror(VLOOKUP(P475,'DO NOT TOUCH Imported'!$C$1:$D$800,2,False),"OOPS FIX ME"))</f>
        <v>naynaysoo</v>
      </c>
      <c r="B475" s="165" t="s">
        <v>566</v>
      </c>
      <c r="C475" s="170" t="s">
        <v>1807</v>
      </c>
      <c r="D475" s="236" t="s">
        <v>499</v>
      </c>
      <c r="E475" s="239">
        <v>44278.0</v>
      </c>
      <c r="F475" s="170" t="s">
        <v>503</v>
      </c>
      <c r="G475" s="170">
        <v>15.0</v>
      </c>
      <c r="H475" s="171">
        <v>100.0</v>
      </c>
      <c r="I475" s="171">
        <v>100.0</v>
      </c>
      <c r="J475" s="172">
        <f t="shared" si="2"/>
        <v>0.001076708966</v>
      </c>
      <c r="K475" s="173">
        <f t="shared" si="14"/>
        <v>1.202325011</v>
      </c>
      <c r="L475" s="174">
        <f t="shared" si="4"/>
        <v>6.528198081</v>
      </c>
      <c r="M475" s="175" t="str">
        <f t="shared" si="5"/>
        <v>naynaysoo</v>
      </c>
      <c r="N475" s="176">
        <f>IFERROR(__xludf.DUMMYFUNCTION("""COMPUTED_VALUE"""),19.0)</f>
        <v>19</v>
      </c>
      <c r="O475" s="176"/>
      <c r="P475" s="165" t="s">
        <v>528</v>
      </c>
      <c r="Q475" s="165" t="s">
        <v>566</v>
      </c>
      <c r="R475" s="176"/>
      <c r="S475" s="176"/>
      <c r="T475" s="176"/>
      <c r="U475" s="176"/>
      <c r="V475" s="176"/>
      <c r="W475" s="176"/>
      <c r="X475" s="176"/>
      <c r="Y475" s="176"/>
      <c r="Z475" s="176"/>
      <c r="AA475" s="176"/>
    </row>
    <row r="476">
      <c r="A476" s="165" t="str">
        <f>iferror(VLOOKUP(P476,'DO NOT TOUCH Imported'!$A$1:$D$800,4,False),iferror(VLOOKUP(P476,'DO NOT TOUCH Imported'!$C$1:$D$800,2,False),"OOPS FIX ME"))</f>
        <v>naynaysoo</v>
      </c>
      <c r="B476" s="249" t="s">
        <v>590</v>
      </c>
      <c r="C476" s="250" t="s">
        <v>1608</v>
      </c>
      <c r="D476" s="236" t="s">
        <v>1584</v>
      </c>
      <c r="E476" s="251">
        <v>44271.0</v>
      </c>
      <c r="F476" s="219" t="s">
        <v>496</v>
      </c>
      <c r="G476" s="170">
        <v>25.0</v>
      </c>
      <c r="H476" s="171">
        <v>50.0</v>
      </c>
      <c r="I476" s="171">
        <v>100.0</v>
      </c>
      <c r="J476" s="172">
        <f t="shared" si="2"/>
        <v>0.001024662895</v>
      </c>
      <c r="K476" s="173">
        <f t="shared" si="14"/>
        <v>1.144206899</v>
      </c>
      <c r="L476" s="174">
        <f t="shared" si="4"/>
        <v>6.528198081</v>
      </c>
      <c r="M476" s="175" t="str">
        <f t="shared" si="5"/>
        <v>naynaysoo</v>
      </c>
      <c r="N476" s="176">
        <f>IFERROR(__xludf.DUMMYFUNCTION("""COMPUTED_VALUE"""),20.0)</f>
        <v>20</v>
      </c>
      <c r="O476" s="176"/>
      <c r="P476" s="249" t="s">
        <v>22</v>
      </c>
      <c r="Q476" s="249" t="s">
        <v>590</v>
      </c>
      <c r="R476" s="176"/>
      <c r="S476" s="176"/>
      <c r="T476" s="176"/>
      <c r="U476" s="176"/>
      <c r="V476" s="176"/>
      <c r="W476" s="176"/>
      <c r="X476" s="176"/>
      <c r="Y476" s="176"/>
      <c r="Z476" s="176"/>
      <c r="AA476" s="176"/>
    </row>
    <row r="477">
      <c r="A477" s="165" t="str">
        <f>iferror(VLOOKUP(P477,'DO NOT TOUCH Imported'!$A$1:$D$800,4,False),iferror(VLOOKUP(P477,'DO NOT TOUCH Imported'!$C$1:$D$800,2,False),"OOPS FIX ME"))</f>
        <v>naynaysoo</v>
      </c>
      <c r="B477" s="165" t="s">
        <v>435</v>
      </c>
      <c r="C477" s="170" t="s">
        <v>1610</v>
      </c>
      <c r="D477" s="236" t="s">
        <v>437</v>
      </c>
      <c r="E477" s="239">
        <v>44272.0</v>
      </c>
      <c r="F477" s="170" t="s">
        <v>439</v>
      </c>
      <c r="G477" s="170">
        <v>15.0</v>
      </c>
      <c r="H477" s="171">
        <v>80.0</v>
      </c>
      <c r="I477" s="171">
        <v>100.0</v>
      </c>
      <c r="J477" s="172">
        <f t="shared" si="2"/>
        <v>0.0009928040298</v>
      </c>
      <c r="K477" s="173">
        <f t="shared" si="14"/>
        <v>1.108631167</v>
      </c>
      <c r="L477" s="174">
        <f t="shared" si="4"/>
        <v>6.528198081</v>
      </c>
      <c r="M477" s="175" t="str">
        <f t="shared" si="5"/>
        <v>naynaysoo</v>
      </c>
      <c r="N477" s="176">
        <f>IFERROR(__xludf.DUMMYFUNCTION("""COMPUTED_VALUE"""),21.0)</f>
        <v>21</v>
      </c>
      <c r="O477" s="176"/>
      <c r="P477" s="165" t="s">
        <v>528</v>
      </c>
      <c r="Q477" s="165" t="s">
        <v>435</v>
      </c>
      <c r="R477" s="176"/>
      <c r="S477" s="176"/>
      <c r="T477" s="176"/>
      <c r="U477" s="176"/>
      <c r="V477" s="176"/>
      <c r="W477" s="176"/>
      <c r="X477" s="176"/>
      <c r="Y477" s="176"/>
      <c r="Z477" s="176"/>
      <c r="AA477" s="176"/>
    </row>
    <row r="478">
      <c r="A478" s="165" t="str">
        <f>iferror(VLOOKUP(P478,'DO NOT TOUCH Imported'!$A$1:$D$800,4,False),iferror(VLOOKUP(P478,'DO NOT TOUCH Imported'!$C$1:$D$800,2,False),"OOPS FIX ME"))</f>
        <v>naynaysoo</v>
      </c>
      <c r="B478" s="165" t="s">
        <v>46</v>
      </c>
      <c r="C478" s="170" t="s">
        <v>1611</v>
      </c>
      <c r="D478" s="236" t="s">
        <v>437</v>
      </c>
      <c r="E478" s="239">
        <v>44280.0</v>
      </c>
      <c r="F478" s="170" t="s">
        <v>439</v>
      </c>
      <c r="G478" s="170">
        <v>15.0</v>
      </c>
      <c r="H478" s="171">
        <v>80.0</v>
      </c>
      <c r="I478" s="171">
        <v>100.0</v>
      </c>
      <c r="J478" s="172">
        <f t="shared" si="2"/>
        <v>0.0009928040298</v>
      </c>
      <c r="K478" s="173">
        <f t="shared" si="14"/>
        <v>1.108631167</v>
      </c>
      <c r="L478" s="174">
        <f t="shared" si="4"/>
        <v>6.528198081</v>
      </c>
      <c r="M478" s="175" t="str">
        <f t="shared" si="5"/>
        <v>naynaysoo</v>
      </c>
      <c r="N478" s="176">
        <f>IFERROR(__xludf.DUMMYFUNCTION("""COMPUTED_VALUE"""),22.0)</f>
        <v>22</v>
      </c>
      <c r="O478" s="176"/>
      <c r="P478" s="165" t="s">
        <v>528</v>
      </c>
      <c r="Q478" s="165" t="s">
        <v>46</v>
      </c>
      <c r="R478" s="176"/>
      <c r="S478" s="176"/>
      <c r="T478" s="176"/>
      <c r="U478" s="176"/>
      <c r="V478" s="176"/>
      <c r="W478" s="176"/>
      <c r="X478" s="176"/>
      <c r="Y478" s="176"/>
      <c r="Z478" s="176"/>
      <c r="AA478" s="176"/>
    </row>
    <row r="479">
      <c r="A479" s="165" t="str">
        <f>iferror(VLOOKUP(P479,'DO NOT TOUCH Imported'!$A$1:$D$800,4,False),iferror(VLOOKUP(P479,'DO NOT TOUCH Imported'!$C$1:$D$800,2,False),"OOPS FIX ME"))</f>
        <v>naynaysoo</v>
      </c>
      <c r="B479" s="165" t="s">
        <v>441</v>
      </c>
      <c r="C479" s="170" t="s">
        <v>1612</v>
      </c>
      <c r="D479" s="236" t="s">
        <v>437</v>
      </c>
      <c r="E479" s="239">
        <v>44281.0</v>
      </c>
      <c r="F479" s="170" t="s">
        <v>439</v>
      </c>
      <c r="G479" s="170">
        <v>15.0</v>
      </c>
      <c r="H479" s="171">
        <v>80.0</v>
      </c>
      <c r="I479" s="171">
        <v>100.0</v>
      </c>
      <c r="J479" s="172">
        <f t="shared" si="2"/>
        <v>0.0009928040298</v>
      </c>
      <c r="K479" s="173">
        <f t="shared" si="14"/>
        <v>1.108631167</v>
      </c>
      <c r="L479" s="174">
        <f t="shared" si="4"/>
        <v>6.528198081</v>
      </c>
      <c r="M479" s="175" t="str">
        <f t="shared" si="5"/>
        <v>naynaysoo</v>
      </c>
      <c r="N479" s="176">
        <f>IFERROR(__xludf.DUMMYFUNCTION("""COMPUTED_VALUE"""),23.0)</f>
        <v>23</v>
      </c>
      <c r="O479" s="176"/>
      <c r="P479" s="165" t="s">
        <v>528</v>
      </c>
      <c r="Q479" s="165" t="s">
        <v>441</v>
      </c>
      <c r="R479" s="176"/>
      <c r="S479" s="176"/>
      <c r="T479" s="176"/>
      <c r="U479" s="176"/>
      <c r="V479" s="176"/>
      <c r="W479" s="176"/>
      <c r="X479" s="176"/>
      <c r="Y479" s="176"/>
      <c r="Z479" s="176"/>
      <c r="AA479" s="176"/>
    </row>
    <row r="480">
      <c r="A480" s="165" t="str">
        <f>iferror(VLOOKUP(P480,'DO NOT TOUCH Imported'!$A$1:$D$800,4,False),iferror(VLOOKUP(P480,'DO NOT TOUCH Imported'!$C$1:$D$800,2,False),"OOPS FIX ME"))</f>
        <v>naynaysoo</v>
      </c>
      <c r="B480" s="249" t="s">
        <v>18</v>
      </c>
      <c r="C480" s="250" t="s">
        <v>1617</v>
      </c>
      <c r="D480" s="236" t="s">
        <v>1584</v>
      </c>
      <c r="E480" s="251">
        <v>44273.0</v>
      </c>
      <c r="F480" s="219" t="s">
        <v>496</v>
      </c>
      <c r="G480" s="170">
        <v>15.0</v>
      </c>
      <c r="H480" s="171">
        <v>60.0</v>
      </c>
      <c r="I480" s="171">
        <v>100.0</v>
      </c>
      <c r="J480" s="172">
        <f t="shared" si="2"/>
        <v>0.0009088990941</v>
      </c>
      <c r="K480" s="173">
        <f t="shared" si="14"/>
        <v>1.014937322</v>
      </c>
      <c r="L480" s="174">
        <f t="shared" si="4"/>
        <v>6.528198081</v>
      </c>
      <c r="M480" s="175" t="str">
        <f t="shared" si="5"/>
        <v>naynaysoo</v>
      </c>
      <c r="N480" s="176">
        <f>IFERROR(__xludf.DUMMYFUNCTION("""COMPUTED_VALUE"""),24.0)</f>
        <v>24</v>
      </c>
      <c r="O480" s="176"/>
      <c r="P480" s="249" t="s">
        <v>22</v>
      </c>
      <c r="Q480" s="249" t="s">
        <v>18</v>
      </c>
      <c r="R480" s="176"/>
      <c r="S480" s="176"/>
      <c r="T480" s="176"/>
      <c r="U480" s="176"/>
      <c r="V480" s="176"/>
      <c r="W480" s="176"/>
      <c r="X480" s="176"/>
      <c r="Y480" s="176"/>
      <c r="Z480" s="176"/>
      <c r="AA480" s="176"/>
    </row>
    <row r="481">
      <c r="A481" s="165" t="str">
        <f>iferror(VLOOKUP(P481,'DO NOT TOUCH Imported'!$A$1:$D$800,4,False),iferror(VLOOKUP(P481,'DO NOT TOUCH Imported'!$C$1:$D$800,2,False),"OOPS FIX ME"))</f>
        <v>naynaysoo</v>
      </c>
      <c r="B481" s="249" t="s">
        <v>18</v>
      </c>
      <c r="C481" s="250" t="s">
        <v>1618</v>
      </c>
      <c r="D481" s="236" t="s">
        <v>1584</v>
      </c>
      <c r="E481" s="251">
        <v>44273.0</v>
      </c>
      <c r="F481" s="219" t="s">
        <v>496</v>
      </c>
      <c r="G481" s="170">
        <v>15.0</v>
      </c>
      <c r="H481" s="171">
        <v>60.0</v>
      </c>
      <c r="I481" s="171">
        <v>100.0</v>
      </c>
      <c r="J481" s="172">
        <f t="shared" si="2"/>
        <v>0.0009088990941</v>
      </c>
      <c r="K481" s="173">
        <f t="shared" si="14"/>
        <v>1.014937322</v>
      </c>
      <c r="L481" s="174">
        <f t="shared" si="4"/>
        <v>6.528198081</v>
      </c>
      <c r="M481" s="175" t="str">
        <f t="shared" si="5"/>
        <v>naynaysoo</v>
      </c>
      <c r="N481" s="176">
        <f>IFERROR(__xludf.DUMMYFUNCTION("""COMPUTED_VALUE"""),25.0)</f>
        <v>25</v>
      </c>
      <c r="O481" s="176"/>
      <c r="P481" s="249" t="s">
        <v>22</v>
      </c>
      <c r="Q481" s="249" t="s">
        <v>18</v>
      </c>
      <c r="R481" s="176"/>
      <c r="S481" s="176"/>
      <c r="T481" s="176"/>
      <c r="U481" s="176"/>
      <c r="V481" s="176"/>
      <c r="W481" s="176"/>
      <c r="X481" s="176"/>
      <c r="Y481" s="176"/>
      <c r="Z481" s="176"/>
      <c r="AA481" s="176"/>
    </row>
    <row r="482">
      <c r="A482" s="165" t="str">
        <f>iferror(VLOOKUP(P482,'DO NOT TOUCH Imported'!$A$1:$D$800,4,False),iferror(VLOOKUP(P482,'DO NOT TOUCH Imported'!$C$1:$D$800,2,False),"OOPS FIX ME"))</f>
        <v>naynaysoo</v>
      </c>
      <c r="B482" s="249" t="s">
        <v>590</v>
      </c>
      <c r="C482" s="250" t="s">
        <v>1619</v>
      </c>
      <c r="D482" s="236" t="s">
        <v>1584</v>
      </c>
      <c r="E482" s="251">
        <v>44278.0</v>
      </c>
      <c r="F482" s="219" t="s">
        <v>496</v>
      </c>
      <c r="G482" s="170">
        <v>15.0</v>
      </c>
      <c r="H482" s="171">
        <v>60.0</v>
      </c>
      <c r="I482" s="171">
        <v>100.0</v>
      </c>
      <c r="J482" s="172">
        <f t="shared" si="2"/>
        <v>0.0009088990941</v>
      </c>
      <c r="K482" s="173">
        <f t="shared" si="14"/>
        <v>1.014937322</v>
      </c>
      <c r="L482" s="174">
        <f t="shared" si="4"/>
        <v>6.528198081</v>
      </c>
      <c r="M482" s="175" t="str">
        <f t="shared" si="5"/>
        <v>naynaysoo</v>
      </c>
      <c r="N482" s="176">
        <f>IFERROR(__xludf.DUMMYFUNCTION("""COMPUTED_VALUE"""),26.0)</f>
        <v>26</v>
      </c>
      <c r="O482" s="176"/>
      <c r="P482" s="249" t="s">
        <v>22</v>
      </c>
      <c r="Q482" s="249" t="s">
        <v>590</v>
      </c>
      <c r="R482" s="176"/>
      <c r="S482" s="176"/>
      <c r="T482" s="176"/>
      <c r="U482" s="176"/>
      <c r="V482" s="176"/>
      <c r="W482" s="176"/>
      <c r="X482" s="176"/>
      <c r="Y482" s="176"/>
      <c r="Z482" s="176"/>
      <c r="AA482" s="176"/>
    </row>
    <row r="483">
      <c r="A483" s="165" t="str">
        <f>iferror(VLOOKUP(P483,'DO NOT TOUCH Imported'!$A$1:$D$800,4,False),iferror(VLOOKUP(P483,'DO NOT TOUCH Imported'!$C$1:$D$800,2,False),"OOPS FIX ME"))</f>
        <v>naynaysoo</v>
      </c>
      <c r="B483" s="165" t="s">
        <v>441</v>
      </c>
      <c r="C483" s="170" t="s">
        <v>1620</v>
      </c>
      <c r="D483" s="236" t="s">
        <v>437</v>
      </c>
      <c r="E483" s="239">
        <v>44274.0</v>
      </c>
      <c r="F483" s="170" t="s">
        <v>439</v>
      </c>
      <c r="G483" s="170">
        <v>15.0</v>
      </c>
      <c r="H483" s="171">
        <v>60.0</v>
      </c>
      <c r="I483" s="171">
        <v>100.0</v>
      </c>
      <c r="J483" s="172">
        <f t="shared" si="2"/>
        <v>0.0009088990941</v>
      </c>
      <c r="K483" s="173">
        <f t="shared" si="14"/>
        <v>1.014937322</v>
      </c>
      <c r="L483" s="174">
        <f t="shared" si="4"/>
        <v>6.528198081</v>
      </c>
      <c r="M483" s="175" t="str">
        <f t="shared" si="5"/>
        <v>naynaysoo</v>
      </c>
      <c r="N483" s="176">
        <f>IFERROR(__xludf.DUMMYFUNCTION("""COMPUTED_VALUE"""),27.0)</f>
        <v>27</v>
      </c>
      <c r="O483" s="176"/>
      <c r="P483" s="165" t="s">
        <v>528</v>
      </c>
      <c r="Q483" s="165" t="s">
        <v>441</v>
      </c>
      <c r="R483" s="176"/>
      <c r="S483" s="176"/>
      <c r="T483" s="176"/>
      <c r="U483" s="176"/>
      <c r="V483" s="176"/>
      <c r="W483" s="176"/>
      <c r="X483" s="176"/>
      <c r="Y483" s="176"/>
      <c r="Z483" s="176"/>
      <c r="AA483" s="176"/>
    </row>
    <row r="484">
      <c r="A484" s="185" t="s">
        <v>22</v>
      </c>
      <c r="B484" s="185" t="s">
        <v>534</v>
      </c>
      <c r="C484" s="186" t="s">
        <v>684</v>
      </c>
      <c r="D484" s="187"/>
      <c r="E484" s="188"/>
      <c r="F484" s="186"/>
      <c r="G484" s="190"/>
      <c r="H484" s="190"/>
      <c r="I484" s="190"/>
      <c r="J484" s="191">
        <f t="shared" si="2"/>
        <v>0</v>
      </c>
      <c r="K484" s="192">
        <f> 43.519 * -0.85</f>
        <v>-36.99115</v>
      </c>
      <c r="L484" s="193">
        <f t="shared" si="4"/>
        <v>6.528198081</v>
      </c>
      <c r="M484" s="194" t="str">
        <f t="shared" si="5"/>
        <v>naynaysoo</v>
      </c>
      <c r="N484" s="195">
        <f>IFERROR(__xludf.DUMMYFUNCTION("""COMPUTED_VALUE"""),28.0)</f>
        <v>28</v>
      </c>
      <c r="O484" s="195"/>
      <c r="P484" s="196" t="s">
        <v>7</v>
      </c>
      <c r="Q484" s="185" t="s">
        <v>534</v>
      </c>
      <c r="R484" s="195"/>
      <c r="S484" s="195"/>
      <c r="T484" s="195"/>
      <c r="U484" s="195"/>
      <c r="V484" s="195"/>
      <c r="W484" s="195"/>
      <c r="X484" s="195"/>
      <c r="Y484" s="195"/>
      <c r="Z484" s="195"/>
      <c r="AA484" s="176"/>
    </row>
    <row r="485">
      <c r="A485" s="165" t="str">
        <f>iferror(VLOOKUP(P485,'DO NOT TOUCH Imported'!$A$1:$D$800,4,False),iferror(VLOOKUP(P485,'DO NOT TOUCH Imported'!$C$1:$D$800,2,False),"OOPS FIX ME"))</f>
        <v>naynaysoo</v>
      </c>
      <c r="B485" s="165" t="s">
        <v>441</v>
      </c>
      <c r="C485" s="170" t="s">
        <v>1634</v>
      </c>
      <c r="D485" s="236" t="s">
        <v>437</v>
      </c>
      <c r="E485" s="239">
        <v>44281.0</v>
      </c>
      <c r="F485" s="170" t="s">
        <v>439</v>
      </c>
      <c r="G485" s="170">
        <v>50.0</v>
      </c>
      <c r="H485" s="171">
        <v>100.0</v>
      </c>
      <c r="I485" s="171">
        <v>400.0</v>
      </c>
      <c r="J485" s="172">
        <f t="shared" si="2"/>
        <v>0.002890545558</v>
      </c>
      <c r="K485" s="173">
        <f t="shared" ref="K485:K508" si="15">J485*$J$1</f>
        <v>3.227775873</v>
      </c>
      <c r="L485" s="174">
        <f t="shared" si="4"/>
        <v>6.528198081</v>
      </c>
      <c r="M485" s="175" t="str">
        <f t="shared" si="5"/>
        <v>naynaysoo</v>
      </c>
      <c r="N485" s="176">
        <f>IFERROR(__xludf.DUMMYFUNCTION("""COMPUTED_VALUE"""),29.0)</f>
        <v>29</v>
      </c>
      <c r="O485" s="176"/>
      <c r="P485" s="165" t="s">
        <v>528</v>
      </c>
      <c r="Q485" s="165" t="s">
        <v>441</v>
      </c>
      <c r="R485" s="176"/>
      <c r="S485" s="176"/>
      <c r="T485" s="176"/>
      <c r="U485" s="176"/>
      <c r="V485" s="176"/>
      <c r="W485" s="176"/>
      <c r="X485" s="176"/>
      <c r="Y485" s="176"/>
      <c r="Z485" s="176"/>
      <c r="AA485" s="176"/>
    </row>
    <row r="486">
      <c r="A486" s="165" t="str">
        <f>iferror(VLOOKUP(P486,'DO NOT TOUCH Imported'!$A$1:$D$800,4,False),iferror(VLOOKUP(P486,'DO NOT TOUCH Imported'!$C$1:$D$800,2,False),"OOPS FIX ME"))</f>
        <v>ygganderson</v>
      </c>
      <c r="B486" s="249" t="s">
        <v>925</v>
      </c>
      <c r="C486" s="250" t="s">
        <v>1808</v>
      </c>
      <c r="D486" s="236" t="s">
        <v>1584</v>
      </c>
      <c r="E486" s="251">
        <v>44269.0</v>
      </c>
      <c r="F486" s="219" t="s">
        <v>627</v>
      </c>
      <c r="G486" s="170">
        <v>100.0</v>
      </c>
      <c r="H486" s="171">
        <v>100.0</v>
      </c>
      <c r="I486" s="171">
        <v>300.0</v>
      </c>
      <c r="J486" s="172">
        <f t="shared" si="2"/>
        <v>0.003258517016</v>
      </c>
      <c r="K486" s="173">
        <f t="shared" si="15"/>
        <v>3.638677334</v>
      </c>
      <c r="L486" s="174">
        <f t="shared" si="4"/>
        <v>6.174108384</v>
      </c>
      <c r="M486" s="175" t="str">
        <f t="shared" si="5"/>
        <v>ygganderson</v>
      </c>
      <c r="N486" s="176">
        <f>IFERROR(__xludf.DUMMYFUNCTION("""COMPUTED_VALUE"""),1.0)</f>
        <v>1</v>
      </c>
      <c r="O486" s="176"/>
      <c r="P486" s="249" t="s">
        <v>7</v>
      </c>
      <c r="Q486" s="249" t="s">
        <v>925</v>
      </c>
      <c r="R486" s="176"/>
      <c r="S486" s="176"/>
      <c r="T486" s="176"/>
      <c r="U486" s="176"/>
      <c r="V486" s="176"/>
      <c r="W486" s="176"/>
      <c r="X486" s="176"/>
      <c r="Y486" s="176"/>
      <c r="Z486" s="176"/>
      <c r="AA486" s="176"/>
    </row>
    <row r="487">
      <c r="A487" s="165" t="str">
        <f>iferror(VLOOKUP(P487,'DO NOT TOUCH Imported'!$A$1:$D$800,4,False),iferror(VLOOKUP(P487,'DO NOT TOUCH Imported'!$C$1:$D$800,2,False),"OOPS FIX ME"))</f>
        <v>ygganderson</v>
      </c>
      <c r="B487" s="249" t="s">
        <v>925</v>
      </c>
      <c r="C487" s="250" t="s">
        <v>1809</v>
      </c>
      <c r="D487" s="236" t="s">
        <v>1584</v>
      </c>
      <c r="E487" s="251">
        <v>44274.0</v>
      </c>
      <c r="F487" s="219" t="s">
        <v>627</v>
      </c>
      <c r="G487" s="170">
        <v>100.0</v>
      </c>
      <c r="H487" s="171">
        <v>100.0</v>
      </c>
      <c r="I487" s="171">
        <v>200.0</v>
      </c>
      <c r="J487" s="172">
        <f t="shared" si="2"/>
        <v>0.002837907132</v>
      </c>
      <c r="K487" s="173">
        <f t="shared" si="15"/>
        <v>3.168996297</v>
      </c>
      <c r="L487" s="174">
        <f t="shared" si="4"/>
        <v>6.174108384</v>
      </c>
      <c r="M487" s="175" t="str">
        <f t="shared" si="5"/>
        <v>ygganderson</v>
      </c>
      <c r="N487" s="176">
        <f>IFERROR(__xludf.DUMMYFUNCTION("""COMPUTED_VALUE"""),2.0)</f>
        <v>2</v>
      </c>
      <c r="O487" s="176"/>
      <c r="P487" s="249" t="s">
        <v>7</v>
      </c>
      <c r="Q487" s="249" t="s">
        <v>925</v>
      </c>
      <c r="R487" s="176"/>
      <c r="S487" s="176"/>
      <c r="T487" s="176"/>
      <c r="U487" s="176"/>
      <c r="V487" s="176"/>
      <c r="W487" s="176"/>
      <c r="X487" s="176"/>
      <c r="Y487" s="176"/>
      <c r="Z487" s="176"/>
      <c r="AA487" s="176"/>
    </row>
    <row r="488">
      <c r="A488" s="165" t="str">
        <f>iferror(VLOOKUP(P488,'DO NOT TOUCH Imported'!$A$1:$D$800,4,False),iferror(VLOOKUP(P488,'DO NOT TOUCH Imported'!$C$1:$D$800,2,False),"OOPS FIX ME"))</f>
        <v>ygganderson</v>
      </c>
      <c r="B488" s="165" t="s">
        <v>441</v>
      </c>
      <c r="C488" s="170" t="s">
        <v>1810</v>
      </c>
      <c r="D488" s="236" t="s">
        <v>437</v>
      </c>
      <c r="E488" s="239">
        <v>44281.0</v>
      </c>
      <c r="F488" s="170" t="s">
        <v>439</v>
      </c>
      <c r="G488" s="170">
        <v>25.0</v>
      </c>
      <c r="H488" s="171">
        <v>100.0</v>
      </c>
      <c r="I488" s="171">
        <v>200.0</v>
      </c>
      <c r="J488" s="172">
        <f t="shared" si="2"/>
        <v>0.001655035118</v>
      </c>
      <c r="K488" s="173">
        <f t="shared" si="15"/>
        <v>1.848122549</v>
      </c>
      <c r="L488" s="174">
        <f t="shared" si="4"/>
        <v>6.174108384</v>
      </c>
      <c r="M488" s="175" t="str">
        <f t="shared" si="5"/>
        <v>ygganderson</v>
      </c>
      <c r="N488" s="176">
        <f>IFERROR(__xludf.DUMMYFUNCTION("""COMPUTED_VALUE"""),3.0)</f>
        <v>3</v>
      </c>
      <c r="O488" s="176"/>
      <c r="P488" s="165" t="s">
        <v>512</v>
      </c>
      <c r="Q488" s="165" t="s">
        <v>441</v>
      </c>
      <c r="R488" s="176"/>
      <c r="S488" s="176"/>
      <c r="T488" s="176"/>
      <c r="U488" s="176"/>
      <c r="V488" s="176"/>
      <c r="W488" s="176"/>
      <c r="X488" s="176"/>
      <c r="Y488" s="176"/>
      <c r="Z488" s="176"/>
      <c r="AA488" s="176"/>
    </row>
    <row r="489">
      <c r="A489" s="165" t="str">
        <f>iferror(VLOOKUP(P489,'DO NOT TOUCH Imported'!$A$1:$D$800,4,False),iferror(VLOOKUP(P489,'DO NOT TOUCH Imported'!$C$1:$D$800,2,False),"OOPS FIX ME"))</f>
        <v>ygganderson</v>
      </c>
      <c r="B489" s="165" t="s">
        <v>441</v>
      </c>
      <c r="C489" s="170" t="s">
        <v>1582</v>
      </c>
      <c r="D489" s="236" t="s">
        <v>437</v>
      </c>
      <c r="E489" s="239">
        <v>44281.0</v>
      </c>
      <c r="F489" s="170" t="s">
        <v>439</v>
      </c>
      <c r="G489" s="170">
        <v>25.0</v>
      </c>
      <c r="H489" s="171">
        <v>100.0</v>
      </c>
      <c r="I489" s="171">
        <v>200.0</v>
      </c>
      <c r="J489" s="172">
        <f t="shared" si="2"/>
        <v>0.001655035118</v>
      </c>
      <c r="K489" s="173">
        <f t="shared" si="15"/>
        <v>1.848122549</v>
      </c>
      <c r="L489" s="174">
        <f t="shared" si="4"/>
        <v>6.174108384</v>
      </c>
      <c r="M489" s="175" t="str">
        <f t="shared" si="5"/>
        <v>ygganderson</v>
      </c>
      <c r="N489" s="176">
        <f>IFERROR(__xludf.DUMMYFUNCTION("""COMPUTED_VALUE"""),4.0)</f>
        <v>4</v>
      </c>
      <c r="O489" s="176"/>
      <c r="P489" s="165" t="s">
        <v>512</v>
      </c>
      <c r="Q489" s="165" t="s">
        <v>441</v>
      </c>
      <c r="R489" s="176"/>
      <c r="S489" s="176"/>
      <c r="T489" s="176"/>
      <c r="U489" s="176"/>
      <c r="V489" s="176"/>
      <c r="W489" s="176"/>
      <c r="X489" s="176"/>
      <c r="Y489" s="176"/>
      <c r="Z489" s="176"/>
      <c r="AA489" s="176"/>
    </row>
    <row r="490">
      <c r="A490" s="165" t="str">
        <f>iferror(VLOOKUP(P490,'DO NOT TOUCH Imported'!$A$1:$D$800,4,False),iferror(VLOOKUP(P490,'DO NOT TOUCH Imported'!$C$1:$D$800,2,False),"OOPS FIX ME"))</f>
        <v>ygganderson</v>
      </c>
      <c r="B490" s="165" t="s">
        <v>718</v>
      </c>
      <c r="C490" s="170" t="s">
        <v>1811</v>
      </c>
      <c r="D490" s="236" t="s">
        <v>437</v>
      </c>
      <c r="E490" s="239">
        <v>44281.0</v>
      </c>
      <c r="F490" s="170" t="s">
        <v>439</v>
      </c>
      <c r="G490" s="170">
        <v>25.0</v>
      </c>
      <c r="H490" s="171">
        <v>100.0</v>
      </c>
      <c r="I490" s="171">
        <v>200.0</v>
      </c>
      <c r="J490" s="172">
        <f t="shared" si="2"/>
        <v>0.001655035118</v>
      </c>
      <c r="K490" s="173">
        <f t="shared" si="15"/>
        <v>1.848122549</v>
      </c>
      <c r="L490" s="174">
        <f t="shared" si="4"/>
        <v>6.174108384</v>
      </c>
      <c r="M490" s="175" t="str">
        <f t="shared" si="5"/>
        <v>ygganderson</v>
      </c>
      <c r="N490" s="176">
        <f>IFERROR(__xludf.DUMMYFUNCTION("""COMPUTED_VALUE"""),5.0)</f>
        <v>5</v>
      </c>
      <c r="O490" s="176"/>
      <c r="P490" s="165" t="s">
        <v>512</v>
      </c>
      <c r="Q490" s="165" t="s">
        <v>718</v>
      </c>
      <c r="R490" s="176"/>
      <c r="S490" s="176"/>
      <c r="T490" s="176"/>
      <c r="U490" s="176"/>
      <c r="V490" s="176"/>
      <c r="W490" s="176"/>
      <c r="X490" s="176"/>
      <c r="Y490" s="176"/>
      <c r="Z490" s="176"/>
      <c r="AA490" s="176"/>
    </row>
    <row r="491">
      <c r="A491" s="165" t="str">
        <f>iferror(VLOOKUP(P491,'DO NOT TOUCH Imported'!$A$1:$D$800,4,False),iferror(VLOOKUP(P491,'DO NOT TOUCH Imported'!$C$1:$D$800,2,False),"OOPS FIX ME"))</f>
        <v>ygganderson</v>
      </c>
      <c r="B491" s="165" t="s">
        <v>450</v>
      </c>
      <c r="C491" s="170" t="s">
        <v>1705</v>
      </c>
      <c r="D491" s="236" t="s">
        <v>437</v>
      </c>
      <c r="E491" s="239">
        <v>44271.0</v>
      </c>
      <c r="F491" s="170" t="s">
        <v>1558</v>
      </c>
      <c r="G491" s="170">
        <v>50.0</v>
      </c>
      <c r="H491" s="171">
        <v>100.0</v>
      </c>
      <c r="I491" s="171">
        <v>100.0</v>
      </c>
      <c r="J491" s="172">
        <f t="shared" si="2"/>
        <v>0.001628715905</v>
      </c>
      <c r="K491" s="173">
        <f t="shared" si="15"/>
        <v>1.818732761</v>
      </c>
      <c r="L491" s="174">
        <f t="shared" si="4"/>
        <v>6.174108384</v>
      </c>
      <c r="M491" s="175" t="str">
        <f t="shared" si="5"/>
        <v>ygganderson</v>
      </c>
      <c r="N491" s="176">
        <f>IFERROR(__xludf.DUMMYFUNCTION("""COMPUTED_VALUE"""),6.0)</f>
        <v>6</v>
      </c>
      <c r="O491" s="176"/>
      <c r="P491" s="165" t="s">
        <v>512</v>
      </c>
      <c r="Q491" s="165" t="s">
        <v>450</v>
      </c>
      <c r="R491" s="176"/>
      <c r="S491" s="176"/>
      <c r="T491" s="176"/>
      <c r="U491" s="176"/>
      <c r="V491" s="176"/>
      <c r="W491" s="176"/>
      <c r="X491" s="176"/>
      <c r="Y491" s="176"/>
      <c r="Z491" s="176"/>
      <c r="AA491" s="176"/>
    </row>
    <row r="492">
      <c r="A492" s="165" t="str">
        <f>iferror(VLOOKUP(P492,'DO NOT TOUCH Imported'!$A$1:$D$800,4,False),iferror(VLOOKUP(P492,'DO NOT TOUCH Imported'!$C$1:$D$800,2,False),"OOPS FIX ME"))</f>
        <v>ygganderson</v>
      </c>
      <c r="B492" s="165" t="s">
        <v>443</v>
      </c>
      <c r="C492" s="170" t="s">
        <v>1590</v>
      </c>
      <c r="D492" s="236" t="s">
        <v>437</v>
      </c>
      <c r="E492" s="239">
        <v>44273.0</v>
      </c>
      <c r="F492" s="170" t="s">
        <v>439</v>
      </c>
      <c r="G492" s="170">
        <v>45.0</v>
      </c>
      <c r="H492" s="171">
        <v>100.0</v>
      </c>
      <c r="I492" s="171">
        <v>100.0</v>
      </c>
      <c r="J492" s="172">
        <f t="shared" si="2"/>
        <v>0.001549857771</v>
      </c>
      <c r="K492" s="173">
        <f t="shared" si="15"/>
        <v>1.730674511</v>
      </c>
      <c r="L492" s="174">
        <f t="shared" si="4"/>
        <v>6.174108384</v>
      </c>
      <c r="M492" s="175" t="str">
        <f t="shared" si="5"/>
        <v>ygganderson</v>
      </c>
      <c r="N492" s="176">
        <f>IFERROR(__xludf.DUMMYFUNCTION("""COMPUTED_VALUE"""),7.0)</f>
        <v>7</v>
      </c>
      <c r="O492" s="176"/>
      <c r="P492" s="165" t="s">
        <v>512</v>
      </c>
      <c r="Q492" s="165" t="s">
        <v>443</v>
      </c>
      <c r="R492" s="176"/>
      <c r="S492" s="176"/>
      <c r="T492" s="176"/>
      <c r="U492" s="176"/>
      <c r="V492" s="176"/>
      <c r="W492" s="176"/>
      <c r="X492" s="176"/>
      <c r="Y492" s="176"/>
      <c r="Z492" s="176"/>
      <c r="AA492" s="176"/>
    </row>
    <row r="493">
      <c r="A493" s="165" t="str">
        <f>iferror(VLOOKUP(P493,'DO NOT TOUCH Imported'!$A$1:$D$800,4,False),iferror(VLOOKUP(P493,'DO NOT TOUCH Imported'!$C$1:$D$800,2,False),"OOPS FIX ME"))</f>
        <v>ygganderson</v>
      </c>
      <c r="B493" s="165" t="s">
        <v>441</v>
      </c>
      <c r="C493" s="170" t="s">
        <v>1643</v>
      </c>
      <c r="D493" s="236" t="s">
        <v>437</v>
      </c>
      <c r="E493" s="239">
        <v>44281.0</v>
      </c>
      <c r="F493" s="170" t="s">
        <v>439</v>
      </c>
      <c r="G493" s="170">
        <v>15.0</v>
      </c>
      <c r="H493" s="171">
        <v>100.0</v>
      </c>
      <c r="I493" s="171">
        <v>200.0</v>
      </c>
      <c r="J493" s="172">
        <f t="shared" si="2"/>
        <v>0.00149731885</v>
      </c>
      <c r="K493" s="173">
        <f t="shared" si="15"/>
        <v>1.672006049</v>
      </c>
      <c r="L493" s="174">
        <f t="shared" si="4"/>
        <v>6.174108384</v>
      </c>
      <c r="M493" s="175" t="str">
        <f t="shared" si="5"/>
        <v>ygganderson</v>
      </c>
      <c r="N493" s="176">
        <f>IFERROR(__xludf.DUMMYFUNCTION("""COMPUTED_VALUE"""),8.0)</f>
        <v>8</v>
      </c>
      <c r="O493" s="176"/>
      <c r="P493" s="165" t="s">
        <v>512</v>
      </c>
      <c r="Q493" s="165" t="s">
        <v>441</v>
      </c>
      <c r="R493" s="176"/>
      <c r="S493" s="176"/>
      <c r="T493" s="176"/>
      <c r="U493" s="176"/>
      <c r="V493" s="176"/>
      <c r="W493" s="176"/>
      <c r="X493" s="176"/>
      <c r="Y493" s="176"/>
      <c r="Z493" s="176"/>
      <c r="AA493" s="176"/>
    </row>
    <row r="494">
      <c r="A494" s="165" t="str">
        <f>iferror(VLOOKUP(P494,'DO NOT TOUCH Imported'!$A$1:$D$800,4,False),iferror(VLOOKUP(P494,'DO NOT TOUCH Imported'!$C$1:$D$800,2,False),"OOPS FIX ME"))</f>
        <v>ygganderson</v>
      </c>
      <c r="B494" s="249" t="s">
        <v>867</v>
      </c>
      <c r="C494" s="250" t="s">
        <v>1644</v>
      </c>
      <c r="D494" s="236" t="s">
        <v>1584</v>
      </c>
      <c r="E494" s="251">
        <v>44271.0</v>
      </c>
      <c r="F494" s="219" t="s">
        <v>496</v>
      </c>
      <c r="G494" s="170">
        <v>25.0</v>
      </c>
      <c r="H494" s="171">
        <v>100.0</v>
      </c>
      <c r="I494" s="171">
        <v>100.0</v>
      </c>
      <c r="J494" s="172">
        <f t="shared" si="2"/>
        <v>0.001234425234</v>
      </c>
      <c r="K494" s="173">
        <f t="shared" si="15"/>
        <v>1.378441511</v>
      </c>
      <c r="L494" s="174">
        <f t="shared" si="4"/>
        <v>6.174108384</v>
      </c>
      <c r="M494" s="175" t="str">
        <f t="shared" si="5"/>
        <v>ygganderson</v>
      </c>
      <c r="N494" s="176">
        <f>IFERROR(__xludf.DUMMYFUNCTION("""COMPUTED_VALUE"""),9.0)</f>
        <v>9</v>
      </c>
      <c r="O494" s="176"/>
      <c r="P494" s="249" t="s">
        <v>7</v>
      </c>
      <c r="Q494" s="249" t="s">
        <v>867</v>
      </c>
      <c r="R494" s="176"/>
      <c r="S494" s="176"/>
      <c r="T494" s="176"/>
      <c r="U494" s="176"/>
      <c r="V494" s="176"/>
      <c r="W494" s="176"/>
      <c r="X494" s="176"/>
      <c r="Y494" s="176"/>
      <c r="Z494" s="176"/>
      <c r="AA494" s="176"/>
    </row>
    <row r="495">
      <c r="A495" s="165" t="str">
        <f>iferror(VLOOKUP(P495,'DO NOT TOUCH Imported'!$A$1:$D$800,4,False),iferror(VLOOKUP(P495,'DO NOT TOUCH Imported'!$C$1:$D$800,2,False),"OOPS FIX ME"))</f>
        <v>ygganderson</v>
      </c>
      <c r="B495" s="165" t="s">
        <v>1702</v>
      </c>
      <c r="C495" s="170" t="s">
        <v>1703</v>
      </c>
      <c r="D495" s="236" t="s">
        <v>437</v>
      </c>
      <c r="E495" s="239">
        <v>44268.0</v>
      </c>
      <c r="F495" s="170" t="s">
        <v>1704</v>
      </c>
      <c r="G495" s="170">
        <v>25.0</v>
      </c>
      <c r="H495" s="171">
        <v>100.0</v>
      </c>
      <c r="I495" s="171">
        <v>100.0</v>
      </c>
      <c r="J495" s="172">
        <f t="shared" si="2"/>
        <v>0.001234425234</v>
      </c>
      <c r="K495" s="173">
        <f t="shared" si="15"/>
        <v>1.378441511</v>
      </c>
      <c r="L495" s="174">
        <f t="shared" si="4"/>
        <v>6.174108384</v>
      </c>
      <c r="M495" s="175" t="str">
        <f t="shared" si="5"/>
        <v>ygganderson</v>
      </c>
      <c r="N495" s="176">
        <f>IFERROR(__xludf.DUMMYFUNCTION("""COMPUTED_VALUE"""),10.0)</f>
        <v>10</v>
      </c>
      <c r="O495" s="176"/>
      <c r="P495" s="165" t="s">
        <v>512</v>
      </c>
      <c r="Q495" s="165" t="s">
        <v>1702</v>
      </c>
      <c r="R495" s="176"/>
      <c r="S495" s="176"/>
      <c r="T495" s="176"/>
      <c r="U495" s="176"/>
      <c r="V495" s="176"/>
      <c r="W495" s="176"/>
      <c r="X495" s="176"/>
      <c r="Y495" s="176"/>
      <c r="Z495" s="176"/>
      <c r="AA495" s="176"/>
    </row>
    <row r="496">
      <c r="A496" s="165" t="str">
        <f>iferror(VLOOKUP(P496,'DO NOT TOUCH Imported'!$A$1:$D$800,4,False),iferror(VLOOKUP(P496,'DO NOT TOUCH Imported'!$C$1:$D$800,2,False),"OOPS FIX ME"))</f>
        <v>ygganderson</v>
      </c>
      <c r="B496" s="165" t="s">
        <v>450</v>
      </c>
      <c r="C496" s="170" t="s">
        <v>1812</v>
      </c>
      <c r="D496" s="236" t="s">
        <v>437</v>
      </c>
      <c r="E496" s="239">
        <v>44269.0</v>
      </c>
      <c r="F496" s="170" t="s">
        <v>453</v>
      </c>
      <c r="G496" s="170">
        <v>25.0</v>
      </c>
      <c r="H496" s="171">
        <v>100.0</v>
      </c>
      <c r="I496" s="171">
        <v>100.0</v>
      </c>
      <c r="J496" s="172">
        <f t="shared" si="2"/>
        <v>0.001234425234</v>
      </c>
      <c r="K496" s="173">
        <f t="shared" si="15"/>
        <v>1.378441511</v>
      </c>
      <c r="L496" s="174">
        <f t="shared" si="4"/>
        <v>6.174108384</v>
      </c>
      <c r="M496" s="175" t="str">
        <f t="shared" si="5"/>
        <v>ygganderson</v>
      </c>
      <c r="N496" s="176">
        <f>IFERROR(__xludf.DUMMYFUNCTION("""COMPUTED_VALUE"""),11.0)</f>
        <v>11</v>
      </c>
      <c r="O496" s="176"/>
      <c r="P496" s="165" t="s">
        <v>512</v>
      </c>
      <c r="Q496" s="165" t="s">
        <v>450</v>
      </c>
      <c r="R496" s="176"/>
      <c r="S496" s="176"/>
      <c r="T496" s="176"/>
      <c r="U496" s="176"/>
      <c r="V496" s="176"/>
      <c r="W496" s="176"/>
      <c r="X496" s="176"/>
      <c r="Y496" s="176"/>
      <c r="Z496" s="176"/>
      <c r="AA496" s="176"/>
    </row>
    <row r="497">
      <c r="A497" s="165" t="str">
        <f>iferror(VLOOKUP(P497,'DO NOT TOUCH Imported'!$A$1:$D$800,4,False),iferror(VLOOKUP(P497,'DO NOT TOUCH Imported'!$C$1:$D$800,2,False),"OOPS FIX ME"))</f>
        <v>ygganderson</v>
      </c>
      <c r="B497" s="165" t="s">
        <v>441</v>
      </c>
      <c r="C497" s="170" t="s">
        <v>1813</v>
      </c>
      <c r="D497" s="236" t="s">
        <v>437</v>
      </c>
      <c r="E497" s="239">
        <v>44274.0</v>
      </c>
      <c r="F497" s="170" t="s">
        <v>439</v>
      </c>
      <c r="G497" s="170">
        <v>25.0</v>
      </c>
      <c r="H497" s="171">
        <v>100.0</v>
      </c>
      <c r="I497" s="171">
        <v>100.0</v>
      </c>
      <c r="J497" s="172">
        <f t="shared" si="2"/>
        <v>0.001234425234</v>
      </c>
      <c r="K497" s="173">
        <f t="shared" si="15"/>
        <v>1.378441511</v>
      </c>
      <c r="L497" s="174">
        <f t="shared" si="4"/>
        <v>6.174108384</v>
      </c>
      <c r="M497" s="175" t="str">
        <f t="shared" si="5"/>
        <v>ygganderson</v>
      </c>
      <c r="N497" s="176">
        <f>IFERROR(__xludf.DUMMYFUNCTION("""COMPUTED_VALUE"""),12.0)</f>
        <v>12</v>
      </c>
      <c r="O497" s="176"/>
      <c r="P497" s="165" t="s">
        <v>512</v>
      </c>
      <c r="Q497" s="165" t="s">
        <v>441</v>
      </c>
      <c r="R497" s="176"/>
      <c r="S497" s="176"/>
      <c r="T497" s="176"/>
      <c r="U497" s="176"/>
      <c r="V497" s="176"/>
      <c r="W497" s="176"/>
      <c r="X497" s="176"/>
      <c r="Y497" s="176"/>
      <c r="Z497" s="176"/>
      <c r="AA497" s="176"/>
    </row>
    <row r="498">
      <c r="A498" s="165" t="str">
        <f>iferror(VLOOKUP(P498,'DO NOT TOUCH Imported'!$A$1:$D$800,4,False),iferror(VLOOKUP(P498,'DO NOT TOUCH Imported'!$C$1:$D$800,2,False),"OOPS FIX ME"))</f>
        <v>ygganderson</v>
      </c>
      <c r="B498" s="165" t="s">
        <v>441</v>
      </c>
      <c r="C498" s="170" t="s">
        <v>1593</v>
      </c>
      <c r="D498" s="236" t="s">
        <v>437</v>
      </c>
      <c r="E498" s="239">
        <v>44274.0</v>
      </c>
      <c r="F498" s="170" t="s">
        <v>439</v>
      </c>
      <c r="G498" s="170">
        <v>25.0</v>
      </c>
      <c r="H498" s="171">
        <v>100.0</v>
      </c>
      <c r="I498" s="171">
        <v>100.0</v>
      </c>
      <c r="J498" s="172">
        <f t="shared" si="2"/>
        <v>0.001234425234</v>
      </c>
      <c r="K498" s="173">
        <f t="shared" si="15"/>
        <v>1.378441511</v>
      </c>
      <c r="L498" s="174">
        <f t="shared" si="4"/>
        <v>6.174108384</v>
      </c>
      <c r="M498" s="175" t="str">
        <f t="shared" si="5"/>
        <v>ygganderson</v>
      </c>
      <c r="N498" s="176">
        <f>IFERROR(__xludf.DUMMYFUNCTION("""COMPUTED_VALUE"""),13.0)</f>
        <v>13</v>
      </c>
      <c r="O498" s="176"/>
      <c r="P498" s="165" t="s">
        <v>512</v>
      </c>
      <c r="Q498" s="165" t="s">
        <v>441</v>
      </c>
      <c r="R498" s="176"/>
      <c r="S498" s="176"/>
      <c r="T498" s="176"/>
      <c r="U498" s="176"/>
      <c r="V498" s="176"/>
      <c r="W498" s="176"/>
      <c r="X498" s="176"/>
      <c r="Y498" s="176"/>
      <c r="Z498" s="176"/>
      <c r="AA498" s="176"/>
    </row>
    <row r="499">
      <c r="A499" s="165" t="str">
        <f>iferror(VLOOKUP(P499,'DO NOT TOUCH Imported'!$A$1:$D$800,4,False),iferror(VLOOKUP(P499,'DO NOT TOUCH Imported'!$C$1:$D$800,2,False),"OOPS FIX ME"))</f>
        <v>ygganderson</v>
      </c>
      <c r="B499" s="165" t="s">
        <v>512</v>
      </c>
      <c r="C499" s="170" t="s">
        <v>1721</v>
      </c>
      <c r="D499" s="236" t="s">
        <v>437</v>
      </c>
      <c r="E499" s="239">
        <v>44274.0</v>
      </c>
      <c r="F499" s="170" t="s">
        <v>1722</v>
      </c>
      <c r="G499" s="170">
        <v>25.0</v>
      </c>
      <c r="H499" s="171">
        <v>100.0</v>
      </c>
      <c r="I499" s="171">
        <v>100.0</v>
      </c>
      <c r="J499" s="172">
        <f t="shared" si="2"/>
        <v>0.001234425234</v>
      </c>
      <c r="K499" s="173">
        <f t="shared" si="15"/>
        <v>1.378441511</v>
      </c>
      <c r="L499" s="174">
        <f t="shared" si="4"/>
        <v>6.174108384</v>
      </c>
      <c r="M499" s="175" t="str">
        <f t="shared" si="5"/>
        <v>ygganderson</v>
      </c>
      <c r="N499" s="176">
        <f>IFERROR(__xludf.DUMMYFUNCTION("""COMPUTED_VALUE"""),14.0)</f>
        <v>14</v>
      </c>
      <c r="O499" s="176"/>
      <c r="P499" s="165" t="s">
        <v>512</v>
      </c>
      <c r="Q499" s="165" t="s">
        <v>512</v>
      </c>
      <c r="R499" s="176"/>
      <c r="S499" s="176"/>
      <c r="T499" s="176"/>
      <c r="U499" s="176"/>
      <c r="V499" s="176"/>
      <c r="W499" s="176"/>
      <c r="X499" s="176"/>
      <c r="Y499" s="176"/>
      <c r="Z499" s="176"/>
      <c r="AA499" s="176"/>
    </row>
    <row r="500">
      <c r="A500" s="165" t="str">
        <f>iferror(VLOOKUP(P500,'DO NOT TOUCH Imported'!$A$1:$D$800,4,False),iferror(VLOOKUP(P500,'DO NOT TOUCH Imported'!$C$1:$D$800,2,False),"OOPS FIX ME"))</f>
        <v>ygganderson</v>
      </c>
      <c r="B500" s="165" t="s">
        <v>566</v>
      </c>
      <c r="C500" s="170" t="s">
        <v>1814</v>
      </c>
      <c r="D500" s="236" t="s">
        <v>499</v>
      </c>
      <c r="E500" s="239">
        <v>44281.0</v>
      </c>
      <c r="F500" s="170" t="s">
        <v>503</v>
      </c>
      <c r="G500" s="170">
        <v>25.0</v>
      </c>
      <c r="H500" s="171">
        <v>100.0</v>
      </c>
      <c r="I500" s="171">
        <v>100.0</v>
      </c>
      <c r="J500" s="172">
        <f t="shared" si="2"/>
        <v>0.001234425234</v>
      </c>
      <c r="K500" s="173">
        <f t="shared" si="15"/>
        <v>1.378441511</v>
      </c>
      <c r="L500" s="174">
        <f t="shared" si="4"/>
        <v>6.174108384</v>
      </c>
      <c r="M500" s="175" t="str">
        <f t="shared" si="5"/>
        <v>ygganderson</v>
      </c>
      <c r="N500" s="176">
        <f>IFERROR(__xludf.DUMMYFUNCTION("""COMPUTED_VALUE"""),15.0)</f>
        <v>15</v>
      </c>
      <c r="O500" s="176"/>
      <c r="P500" s="165" t="s">
        <v>512</v>
      </c>
      <c r="Q500" s="165" t="s">
        <v>566</v>
      </c>
      <c r="R500" s="176"/>
      <c r="S500" s="176"/>
      <c r="T500" s="176"/>
      <c r="U500" s="176"/>
      <c r="V500" s="176"/>
      <c r="W500" s="176"/>
      <c r="X500" s="176"/>
      <c r="Y500" s="176"/>
      <c r="Z500" s="176"/>
      <c r="AA500" s="176"/>
    </row>
    <row r="501">
      <c r="A501" s="165" t="str">
        <f>iferror(VLOOKUP(P501,'DO NOT TOUCH Imported'!$A$1:$D$800,4,False),iferror(VLOOKUP(P501,'DO NOT TOUCH Imported'!$C$1:$D$800,2,False),"OOPS FIX ME"))</f>
        <v>ygganderson</v>
      </c>
      <c r="B501" s="165" t="s">
        <v>441</v>
      </c>
      <c r="C501" s="170" t="s">
        <v>1713</v>
      </c>
      <c r="D501" s="236" t="s">
        <v>437</v>
      </c>
      <c r="E501" s="239">
        <v>44281.0</v>
      </c>
      <c r="F501" s="170" t="s">
        <v>439</v>
      </c>
      <c r="G501" s="170">
        <v>25.0</v>
      </c>
      <c r="H501" s="171">
        <v>70.0</v>
      </c>
      <c r="I501" s="171">
        <v>100.0</v>
      </c>
      <c r="J501" s="172">
        <f t="shared" si="2"/>
        <v>0.00110856783</v>
      </c>
      <c r="K501" s="173">
        <f t="shared" si="15"/>
        <v>1.237900744</v>
      </c>
      <c r="L501" s="174">
        <f t="shared" si="4"/>
        <v>6.174108384</v>
      </c>
      <c r="M501" s="175" t="str">
        <f t="shared" si="5"/>
        <v>ygganderson</v>
      </c>
      <c r="N501" s="176">
        <f>IFERROR(__xludf.DUMMYFUNCTION("""COMPUTED_VALUE"""),16.0)</f>
        <v>16</v>
      </c>
      <c r="O501" s="176"/>
      <c r="P501" s="165" t="s">
        <v>512</v>
      </c>
      <c r="Q501" s="165" t="s">
        <v>441</v>
      </c>
      <c r="R501" s="176"/>
      <c r="S501" s="176"/>
      <c r="T501" s="176"/>
      <c r="U501" s="176"/>
      <c r="V501" s="176"/>
      <c r="W501" s="176"/>
      <c r="X501" s="176"/>
      <c r="Y501" s="176"/>
      <c r="Z501" s="176"/>
      <c r="AA501" s="176"/>
    </row>
    <row r="502">
      <c r="A502" s="165" t="str">
        <f>iferror(VLOOKUP(P502,'DO NOT TOUCH Imported'!$A$1:$D$800,4,False),iferror(VLOOKUP(P502,'DO NOT TOUCH Imported'!$C$1:$D$800,2,False),"OOPS FIX ME"))</f>
        <v>ygganderson</v>
      </c>
      <c r="B502" s="249" t="s">
        <v>10</v>
      </c>
      <c r="C502" s="250" t="s">
        <v>494</v>
      </c>
      <c r="D502" s="236" t="s">
        <v>1584</v>
      </c>
      <c r="E502" s="251">
        <v>44275.0</v>
      </c>
      <c r="F502" s="219" t="s">
        <v>496</v>
      </c>
      <c r="G502" s="170">
        <v>15.0</v>
      </c>
      <c r="H502" s="171">
        <v>100.0</v>
      </c>
      <c r="I502" s="171">
        <v>100.0</v>
      </c>
      <c r="J502" s="172">
        <f t="shared" si="2"/>
        <v>0.001076708966</v>
      </c>
      <c r="K502" s="173">
        <f t="shared" si="15"/>
        <v>1.202325011</v>
      </c>
      <c r="L502" s="174">
        <f t="shared" si="4"/>
        <v>6.174108384</v>
      </c>
      <c r="M502" s="175" t="str">
        <f t="shared" si="5"/>
        <v>ygganderson</v>
      </c>
      <c r="N502" s="176">
        <f>IFERROR(__xludf.DUMMYFUNCTION("""COMPUTED_VALUE"""),17.0)</f>
        <v>17</v>
      </c>
      <c r="O502" s="176"/>
      <c r="P502" s="249" t="s">
        <v>7</v>
      </c>
      <c r="Q502" s="249" t="s">
        <v>10</v>
      </c>
      <c r="R502" s="176"/>
      <c r="S502" s="176"/>
      <c r="T502" s="176"/>
      <c r="U502" s="176"/>
      <c r="V502" s="176"/>
      <c r="W502" s="176"/>
      <c r="X502" s="176"/>
      <c r="Y502" s="176"/>
      <c r="Z502" s="176"/>
      <c r="AA502" s="176"/>
    </row>
    <row r="503">
      <c r="A503" s="165" t="str">
        <f>iferror(VLOOKUP(P503,'DO NOT TOUCH Imported'!$A$1:$D$800,4,False),iferror(VLOOKUP(P503,'DO NOT TOUCH Imported'!$C$1:$D$800,2,False),"OOPS FIX ME"))</f>
        <v>ygganderson</v>
      </c>
      <c r="B503" s="165" t="s">
        <v>443</v>
      </c>
      <c r="C503" s="170" t="s">
        <v>1603</v>
      </c>
      <c r="D503" s="236" t="s">
        <v>437</v>
      </c>
      <c r="E503" s="239">
        <v>44277.0</v>
      </c>
      <c r="F503" s="170" t="s">
        <v>439</v>
      </c>
      <c r="G503" s="170">
        <v>15.0</v>
      </c>
      <c r="H503" s="171">
        <v>100.0</v>
      </c>
      <c r="I503" s="171">
        <v>100.0</v>
      </c>
      <c r="J503" s="172">
        <f t="shared" si="2"/>
        <v>0.001076708966</v>
      </c>
      <c r="K503" s="173">
        <f t="shared" si="15"/>
        <v>1.202325011</v>
      </c>
      <c r="L503" s="174">
        <f t="shared" si="4"/>
        <v>6.174108384</v>
      </c>
      <c r="M503" s="175" t="str">
        <f t="shared" si="5"/>
        <v>ygganderson</v>
      </c>
      <c r="N503" s="176">
        <f>IFERROR(__xludf.DUMMYFUNCTION("""COMPUTED_VALUE"""),18.0)</f>
        <v>18</v>
      </c>
      <c r="O503" s="176"/>
      <c r="P503" s="165" t="s">
        <v>512</v>
      </c>
      <c r="Q503" s="165" t="s">
        <v>443</v>
      </c>
      <c r="R503" s="176"/>
      <c r="S503" s="176"/>
      <c r="T503" s="176"/>
      <c r="U503" s="176"/>
      <c r="V503" s="176"/>
      <c r="W503" s="176"/>
      <c r="X503" s="176"/>
      <c r="Y503" s="176"/>
      <c r="Z503" s="176"/>
      <c r="AA503" s="176"/>
    </row>
    <row r="504">
      <c r="A504" s="165" t="str">
        <f>iferror(VLOOKUP(P504,'DO NOT TOUCH Imported'!$A$1:$D$800,4,False),iferror(VLOOKUP(P504,'DO NOT TOUCH Imported'!$C$1:$D$800,2,False),"OOPS FIX ME"))</f>
        <v>ygganderson</v>
      </c>
      <c r="B504" s="165" t="s">
        <v>441</v>
      </c>
      <c r="C504" s="170" t="s">
        <v>1660</v>
      </c>
      <c r="D504" s="236" t="s">
        <v>437</v>
      </c>
      <c r="E504" s="239">
        <v>44281.0</v>
      </c>
      <c r="F504" s="170" t="s">
        <v>439</v>
      </c>
      <c r="G504" s="170">
        <v>15.0</v>
      </c>
      <c r="H504" s="171">
        <v>100.0</v>
      </c>
      <c r="I504" s="171">
        <v>100.0</v>
      </c>
      <c r="J504" s="172">
        <f t="shared" si="2"/>
        <v>0.001076708966</v>
      </c>
      <c r="K504" s="173">
        <f t="shared" si="15"/>
        <v>1.202325011</v>
      </c>
      <c r="L504" s="174">
        <f t="shared" si="4"/>
        <v>6.174108384</v>
      </c>
      <c r="M504" s="175" t="str">
        <f t="shared" si="5"/>
        <v>ygganderson</v>
      </c>
      <c r="N504" s="176">
        <f>IFERROR(__xludf.DUMMYFUNCTION("""COMPUTED_VALUE"""),19.0)</f>
        <v>19</v>
      </c>
      <c r="O504" s="176"/>
      <c r="P504" s="165" t="s">
        <v>512</v>
      </c>
      <c r="Q504" s="165" t="s">
        <v>441</v>
      </c>
      <c r="R504" s="176"/>
      <c r="S504" s="176"/>
      <c r="T504" s="176"/>
      <c r="U504" s="176"/>
      <c r="V504" s="176"/>
      <c r="W504" s="176"/>
      <c r="X504" s="176"/>
      <c r="Y504" s="176"/>
      <c r="Z504" s="176"/>
      <c r="AA504" s="176"/>
    </row>
    <row r="505">
      <c r="A505" s="165" t="str">
        <f>iferror(VLOOKUP(P505,'DO NOT TOUCH Imported'!$A$1:$D$800,4,False),iferror(VLOOKUP(P505,'DO NOT TOUCH Imported'!$C$1:$D$800,2,False),"OOPS FIX ME"))</f>
        <v>ygganderson</v>
      </c>
      <c r="B505" s="165" t="s">
        <v>441</v>
      </c>
      <c r="C505" s="170" t="s">
        <v>1612</v>
      </c>
      <c r="D505" s="236" t="s">
        <v>437</v>
      </c>
      <c r="E505" s="239">
        <v>44281.0</v>
      </c>
      <c r="F505" s="170" t="s">
        <v>439</v>
      </c>
      <c r="G505" s="170">
        <v>15.0</v>
      </c>
      <c r="H505" s="171">
        <v>80.0</v>
      </c>
      <c r="I505" s="171">
        <v>100.0</v>
      </c>
      <c r="J505" s="172">
        <f t="shared" si="2"/>
        <v>0.0009928040298</v>
      </c>
      <c r="K505" s="173">
        <f t="shared" si="15"/>
        <v>1.108631167</v>
      </c>
      <c r="L505" s="174">
        <f t="shared" si="4"/>
        <v>6.174108384</v>
      </c>
      <c r="M505" s="175" t="str">
        <f t="shared" si="5"/>
        <v>ygganderson</v>
      </c>
      <c r="N505" s="176">
        <f>IFERROR(__xludf.DUMMYFUNCTION("""COMPUTED_VALUE"""),20.0)</f>
        <v>20</v>
      </c>
      <c r="O505" s="176"/>
      <c r="P505" s="165" t="s">
        <v>512</v>
      </c>
      <c r="Q505" s="165" t="s">
        <v>441</v>
      </c>
      <c r="R505" s="176"/>
      <c r="S505" s="176"/>
      <c r="T505" s="176"/>
      <c r="U505" s="176"/>
      <c r="V505" s="176"/>
      <c r="W505" s="176"/>
      <c r="X505" s="176"/>
      <c r="Y505" s="176"/>
      <c r="Z505" s="176"/>
      <c r="AA505" s="176"/>
    </row>
    <row r="506">
      <c r="A506" s="165" t="str">
        <f>iferror(VLOOKUP(P506,'DO NOT TOUCH Imported'!$A$1:$D$800,4,False),iferror(VLOOKUP(P506,'DO NOT TOUCH Imported'!$C$1:$D$800,2,False),"OOPS FIX ME"))</f>
        <v>ygganderson</v>
      </c>
      <c r="B506" s="165" t="s">
        <v>443</v>
      </c>
      <c r="C506" s="170" t="s">
        <v>1616</v>
      </c>
      <c r="D506" s="236" t="s">
        <v>437</v>
      </c>
      <c r="E506" s="239">
        <v>44280.0</v>
      </c>
      <c r="F506" s="170" t="s">
        <v>439</v>
      </c>
      <c r="G506" s="170">
        <v>5.0</v>
      </c>
      <c r="H506" s="171">
        <v>70.0</v>
      </c>
      <c r="I506" s="171">
        <v>100.0</v>
      </c>
      <c r="J506" s="172">
        <f t="shared" si="2"/>
        <v>0.0007931352935</v>
      </c>
      <c r="K506" s="173">
        <f t="shared" si="15"/>
        <v>0.8856677444</v>
      </c>
      <c r="L506" s="174">
        <f t="shared" si="4"/>
        <v>6.174108384</v>
      </c>
      <c r="M506" s="175" t="str">
        <f t="shared" si="5"/>
        <v>ygganderson</v>
      </c>
      <c r="N506" s="176">
        <f>IFERROR(__xludf.DUMMYFUNCTION("""COMPUTED_VALUE"""),21.0)</f>
        <v>21</v>
      </c>
      <c r="O506" s="176"/>
      <c r="P506" s="165" t="s">
        <v>512</v>
      </c>
      <c r="Q506" s="165" t="s">
        <v>443</v>
      </c>
      <c r="R506" s="176"/>
      <c r="S506" s="176"/>
      <c r="T506" s="176"/>
      <c r="U506" s="176"/>
      <c r="V506" s="176"/>
      <c r="W506" s="176"/>
      <c r="X506" s="176"/>
      <c r="Y506" s="176"/>
      <c r="Z506" s="176"/>
      <c r="AA506" s="176"/>
    </row>
    <row r="507">
      <c r="A507" s="165" t="str">
        <f>iferror(VLOOKUP(P507,'DO NOT TOUCH Imported'!$A$1:$D$800,4,False),iferror(VLOOKUP(P507,'DO NOT TOUCH Imported'!$C$1:$D$800,2,False),"OOPS FIX ME"))</f>
        <v>ygganderson</v>
      </c>
      <c r="B507" s="249" t="s">
        <v>10</v>
      </c>
      <c r="C507" s="250" t="s">
        <v>498</v>
      </c>
      <c r="D507" s="236" t="s">
        <v>1584</v>
      </c>
      <c r="E507" s="251">
        <v>44274.0</v>
      </c>
      <c r="F507" s="219" t="s">
        <v>499</v>
      </c>
      <c r="G507" s="170">
        <v>15.0</v>
      </c>
      <c r="H507" s="171">
        <v>25.0</v>
      </c>
      <c r="I507" s="171">
        <v>100.0</v>
      </c>
      <c r="J507" s="172">
        <f t="shared" si="2"/>
        <v>0.0007620654566</v>
      </c>
      <c r="K507" s="173">
        <f t="shared" si="15"/>
        <v>0.8509730932</v>
      </c>
      <c r="L507" s="174">
        <f t="shared" si="4"/>
        <v>6.174108384</v>
      </c>
      <c r="M507" s="175" t="str">
        <f t="shared" si="5"/>
        <v>ygganderson</v>
      </c>
      <c r="N507" s="176">
        <f>IFERROR(__xludf.DUMMYFUNCTION("""COMPUTED_VALUE"""),22.0)</f>
        <v>22</v>
      </c>
      <c r="O507" s="176"/>
      <c r="P507" s="249" t="s">
        <v>7</v>
      </c>
      <c r="Q507" s="249" t="s">
        <v>10</v>
      </c>
      <c r="R507" s="176"/>
      <c r="S507" s="176"/>
      <c r="T507" s="176"/>
      <c r="U507" s="176"/>
      <c r="V507" s="176"/>
      <c r="W507" s="176"/>
      <c r="X507" s="176"/>
      <c r="Y507" s="176"/>
      <c r="Z507" s="176"/>
      <c r="AA507" s="176"/>
    </row>
    <row r="508">
      <c r="A508" s="165" t="str">
        <f>iferror(VLOOKUP(P508,'DO NOT TOUCH Imported'!$A$1:$D$800,4,False),iferror(VLOOKUP(P508,'DO NOT TOUCH Imported'!$C$1:$D$800,2,False),"OOPS FIX ME"))</f>
        <v>ygganderson</v>
      </c>
      <c r="B508" s="249" t="s">
        <v>10</v>
      </c>
      <c r="C508" s="250" t="s">
        <v>500</v>
      </c>
      <c r="D508" s="236" t="s">
        <v>1584</v>
      </c>
      <c r="E508" s="251">
        <v>44275.0</v>
      </c>
      <c r="F508" s="219" t="s">
        <v>496</v>
      </c>
      <c r="G508" s="170">
        <v>15.0</v>
      </c>
      <c r="H508" s="171">
        <v>25.0</v>
      </c>
      <c r="I508" s="171">
        <v>100.0</v>
      </c>
      <c r="J508" s="172">
        <f t="shared" si="2"/>
        <v>0.0007620654566</v>
      </c>
      <c r="K508" s="173">
        <f t="shared" si="15"/>
        <v>0.8509730932</v>
      </c>
      <c r="L508" s="174">
        <f t="shared" si="4"/>
        <v>6.174108384</v>
      </c>
      <c r="M508" s="175" t="str">
        <f t="shared" si="5"/>
        <v>ygganderson</v>
      </c>
      <c r="N508" s="176">
        <f>IFERROR(__xludf.DUMMYFUNCTION("""COMPUTED_VALUE"""),23.0)</f>
        <v>23</v>
      </c>
      <c r="O508" s="176"/>
      <c r="P508" s="249" t="s">
        <v>7</v>
      </c>
      <c r="Q508" s="249" t="s">
        <v>10</v>
      </c>
      <c r="R508" s="176"/>
      <c r="S508" s="176"/>
      <c r="T508" s="176"/>
      <c r="U508" s="176"/>
      <c r="V508" s="176"/>
      <c r="W508" s="176"/>
      <c r="X508" s="176"/>
      <c r="Y508" s="176"/>
      <c r="Z508" s="176"/>
      <c r="AA508" s="176"/>
    </row>
    <row r="509">
      <c r="A509" s="185" t="str">
        <f>iferror(VLOOKUP(P509,'DO NOT TOUCH Imported'!$A$1:$D$800,4,False),iferror(VLOOKUP(P509,'DO NOT TOUCH Imported'!$C$1:$D$800,2,False),"OOPS FIX ME"))</f>
        <v>ygganderson</v>
      </c>
      <c r="B509" s="185" t="s">
        <v>534</v>
      </c>
      <c r="C509" s="186" t="s">
        <v>1815</v>
      </c>
      <c r="D509" s="187"/>
      <c r="E509" s="188"/>
      <c r="F509" s="186"/>
      <c r="G509" s="190"/>
      <c r="H509" s="190"/>
      <c r="I509" s="190"/>
      <c r="J509" s="191">
        <f t="shared" si="2"/>
        <v>0</v>
      </c>
      <c r="K509" s="192">
        <f> 41.164 * -0.85</f>
        <v>-34.9894</v>
      </c>
      <c r="L509" s="193">
        <f t="shared" si="4"/>
        <v>6.174108384</v>
      </c>
      <c r="M509" s="194" t="str">
        <f t="shared" si="5"/>
        <v>ygganderson</v>
      </c>
      <c r="N509" s="195">
        <f>IFERROR(__xludf.DUMMYFUNCTION("""COMPUTED_VALUE"""),24.0)</f>
        <v>24</v>
      </c>
      <c r="O509" s="195"/>
      <c r="P509" s="196" t="s">
        <v>7</v>
      </c>
      <c r="Q509" s="185" t="s">
        <v>534</v>
      </c>
      <c r="R509" s="195"/>
      <c r="S509" s="195"/>
      <c r="T509" s="195"/>
      <c r="U509" s="195"/>
      <c r="V509" s="195"/>
      <c r="W509" s="195"/>
      <c r="X509" s="195"/>
      <c r="Y509" s="195"/>
      <c r="Z509" s="195"/>
      <c r="AA509" s="176"/>
    </row>
    <row r="510">
      <c r="A510" s="165" t="str">
        <f>iferror(VLOOKUP(P510,'DO NOT TOUCH Imported'!$A$1:$D$800,4,False),iferror(VLOOKUP(P510,'DO NOT TOUCH Imported'!$C$1:$D$800,2,False),"OOPS FIX ME"))</f>
        <v>ygganderson</v>
      </c>
      <c r="B510" s="249" t="s">
        <v>925</v>
      </c>
      <c r="C510" s="250" t="s">
        <v>1816</v>
      </c>
      <c r="D510" s="236" t="s">
        <v>1584</v>
      </c>
      <c r="E510" s="251">
        <v>44268.0</v>
      </c>
      <c r="F510" s="219" t="s">
        <v>627</v>
      </c>
      <c r="G510" s="170">
        <v>200.0</v>
      </c>
      <c r="H510" s="171">
        <v>100.0</v>
      </c>
      <c r="I510" s="171">
        <v>300.0</v>
      </c>
      <c r="J510" s="172">
        <f t="shared" si="2"/>
        <v>0.0048356797</v>
      </c>
      <c r="K510" s="173">
        <f t="shared" ref="K510:K517" si="16">J510*$J$1</f>
        <v>5.399842332</v>
      </c>
      <c r="L510" s="174">
        <f t="shared" si="4"/>
        <v>6.174108384</v>
      </c>
      <c r="M510" s="175" t="str">
        <f t="shared" si="5"/>
        <v>ygganderson</v>
      </c>
      <c r="N510" s="176">
        <f>IFERROR(__xludf.DUMMYFUNCTION("""COMPUTED_VALUE"""),25.0)</f>
        <v>25</v>
      </c>
      <c r="O510" s="176"/>
      <c r="P510" s="249" t="s">
        <v>7</v>
      </c>
      <c r="Q510" s="249" t="s">
        <v>925</v>
      </c>
      <c r="R510" s="176"/>
      <c r="S510" s="176"/>
      <c r="T510" s="176"/>
      <c r="U510" s="176"/>
      <c r="V510" s="176"/>
      <c r="W510" s="176"/>
      <c r="X510" s="176"/>
      <c r="Y510" s="176"/>
      <c r="Z510" s="176"/>
      <c r="AA510" s="176"/>
    </row>
    <row r="511">
      <c r="A511" s="165" t="str">
        <f>iferror(VLOOKUP(P511,'DO NOT TOUCH Imported'!$A$1:$D$800,4,False),iferror(VLOOKUP(P511,'DO NOT TOUCH Imported'!$C$1:$D$800,2,False),"OOPS FIX ME"))</f>
        <v>JoseVicente1</v>
      </c>
      <c r="B511" s="165" t="s">
        <v>443</v>
      </c>
      <c r="C511" s="170" t="s">
        <v>1590</v>
      </c>
      <c r="D511" s="236" t="s">
        <v>437</v>
      </c>
      <c r="E511" s="239">
        <v>44273.0</v>
      </c>
      <c r="F511" s="170" t="s">
        <v>439</v>
      </c>
      <c r="G511" s="170">
        <v>45.0</v>
      </c>
      <c r="H511" s="171">
        <v>100.0</v>
      </c>
      <c r="I511" s="171">
        <v>100.0</v>
      </c>
      <c r="J511" s="172">
        <f t="shared" si="2"/>
        <v>0.001549857771</v>
      </c>
      <c r="K511" s="173">
        <f t="shared" si="16"/>
        <v>1.730674511</v>
      </c>
      <c r="L511" s="174">
        <f t="shared" si="4"/>
        <v>6.040353382</v>
      </c>
      <c r="M511" s="175" t="str">
        <f t="shared" si="5"/>
        <v>JoseVicente1</v>
      </c>
      <c r="N511" s="176">
        <f>IFERROR(__xludf.DUMMYFUNCTION("""COMPUTED_VALUE"""),1.0)</f>
        <v>1</v>
      </c>
      <c r="O511" s="176"/>
      <c r="P511" s="165" t="s">
        <v>412</v>
      </c>
      <c r="Q511" s="165" t="s">
        <v>443</v>
      </c>
      <c r="R511" s="176"/>
      <c r="S511" s="176"/>
      <c r="T511" s="176"/>
      <c r="U511" s="176"/>
      <c r="V511" s="176"/>
      <c r="W511" s="176"/>
      <c r="X511" s="176"/>
      <c r="Y511" s="176"/>
      <c r="Z511" s="176"/>
      <c r="AA511" s="176"/>
    </row>
    <row r="512">
      <c r="A512" s="165" t="str">
        <f>iferror(VLOOKUP(P512,'DO NOT TOUCH Imported'!$A$1:$D$800,4,False),iferror(VLOOKUP(P512,'DO NOT TOUCH Imported'!$C$1:$D$800,2,False),"OOPS FIX ME"))</f>
        <v>JoseVicente1</v>
      </c>
      <c r="B512" s="165" t="s">
        <v>441</v>
      </c>
      <c r="C512" s="170" t="s">
        <v>1593</v>
      </c>
      <c r="D512" s="236" t="s">
        <v>437</v>
      </c>
      <c r="E512" s="239">
        <v>44274.0</v>
      </c>
      <c r="F512" s="170" t="s">
        <v>439</v>
      </c>
      <c r="G512" s="170">
        <v>25.0</v>
      </c>
      <c r="H512" s="171">
        <v>150.0</v>
      </c>
      <c r="I512" s="171">
        <v>100.0</v>
      </c>
      <c r="J512" s="172">
        <f t="shared" si="2"/>
        <v>0.001444187573</v>
      </c>
      <c r="K512" s="173">
        <f t="shared" si="16"/>
        <v>1.612676123</v>
      </c>
      <c r="L512" s="174">
        <f t="shared" si="4"/>
        <v>6.040353382</v>
      </c>
      <c r="M512" s="175" t="str">
        <f t="shared" si="5"/>
        <v>JoseVicente1</v>
      </c>
      <c r="N512" s="176">
        <f>IFERROR(__xludf.DUMMYFUNCTION("""COMPUTED_VALUE"""),2.0)</f>
        <v>2</v>
      </c>
      <c r="O512" s="176"/>
      <c r="P512" s="165" t="s">
        <v>412</v>
      </c>
      <c r="Q512" s="165" t="s">
        <v>441</v>
      </c>
      <c r="R512" s="176"/>
      <c r="S512" s="176"/>
      <c r="T512" s="176"/>
      <c r="U512" s="176"/>
      <c r="V512" s="176"/>
      <c r="W512" s="176"/>
      <c r="X512" s="176"/>
      <c r="Y512" s="176"/>
      <c r="Z512" s="176"/>
      <c r="AA512" s="176"/>
    </row>
    <row r="513">
      <c r="A513" s="165" t="str">
        <f>iferror(VLOOKUP(P513,'DO NOT TOUCH Imported'!$A$1:$D$800,4,False),iferror(VLOOKUP(P513,'DO NOT TOUCH Imported'!$C$1:$D$800,2,False),"OOPS FIX ME"))</f>
        <v>JoseVicente1</v>
      </c>
      <c r="B513" s="165" t="s">
        <v>443</v>
      </c>
      <c r="C513" s="170" t="s">
        <v>1616</v>
      </c>
      <c r="D513" s="236" t="s">
        <v>437</v>
      </c>
      <c r="E513" s="239">
        <v>44280.0</v>
      </c>
      <c r="F513" s="170" t="s">
        <v>439</v>
      </c>
      <c r="G513" s="170">
        <v>5.0</v>
      </c>
      <c r="H513" s="171">
        <v>200.0</v>
      </c>
      <c r="I513" s="171">
        <v>100.0</v>
      </c>
      <c r="J513" s="172">
        <f t="shared" si="2"/>
        <v>0.001338517376</v>
      </c>
      <c r="K513" s="173">
        <f t="shared" si="16"/>
        <v>1.494677736</v>
      </c>
      <c r="L513" s="174">
        <f t="shared" si="4"/>
        <v>6.040353382</v>
      </c>
      <c r="M513" s="175" t="str">
        <f t="shared" si="5"/>
        <v>JoseVicente1</v>
      </c>
      <c r="N513" s="176">
        <f>IFERROR(__xludf.DUMMYFUNCTION("""COMPUTED_VALUE"""),3.0)</f>
        <v>3</v>
      </c>
      <c r="O513" s="176"/>
      <c r="P513" s="165" t="s">
        <v>412</v>
      </c>
      <c r="Q513" s="165" t="s">
        <v>443</v>
      </c>
      <c r="R513" s="176"/>
      <c r="S513" s="176"/>
      <c r="T513" s="176"/>
      <c r="U513" s="176"/>
      <c r="V513" s="176"/>
      <c r="W513" s="176"/>
      <c r="X513" s="176"/>
      <c r="Y513" s="176"/>
      <c r="Z513" s="176"/>
      <c r="AA513" s="176"/>
    </row>
    <row r="514">
      <c r="A514" s="165" t="str">
        <f>iferror(VLOOKUP(P514,'DO NOT TOUCH Imported'!$A$1:$D$800,4,False),iferror(VLOOKUP(P514,'DO NOT TOUCH Imported'!$C$1:$D$800,2,False),"OOPS FIX ME"))</f>
        <v>JoseVicente1</v>
      </c>
      <c r="B514" s="165" t="s">
        <v>443</v>
      </c>
      <c r="C514" s="170" t="s">
        <v>1603</v>
      </c>
      <c r="D514" s="236" t="s">
        <v>437</v>
      </c>
      <c r="E514" s="239">
        <v>44277.0</v>
      </c>
      <c r="F514" s="170" t="s">
        <v>439</v>
      </c>
      <c r="G514" s="170">
        <v>15.0</v>
      </c>
      <c r="H514" s="171">
        <v>100.0</v>
      </c>
      <c r="I514" s="171">
        <v>100.0</v>
      </c>
      <c r="J514" s="172">
        <f t="shared" si="2"/>
        <v>0.001076708966</v>
      </c>
      <c r="K514" s="173">
        <f t="shared" si="16"/>
        <v>1.202325011</v>
      </c>
      <c r="L514" s="174">
        <f t="shared" si="4"/>
        <v>6.040353382</v>
      </c>
      <c r="M514" s="175" t="str">
        <f t="shared" si="5"/>
        <v>JoseVicente1</v>
      </c>
      <c r="N514" s="176">
        <f>IFERROR(__xludf.DUMMYFUNCTION("""COMPUTED_VALUE"""),4.0)</f>
        <v>4</v>
      </c>
      <c r="O514" s="176"/>
      <c r="P514" s="165" t="s">
        <v>412</v>
      </c>
      <c r="Q514" s="165" t="s">
        <v>443</v>
      </c>
      <c r="R514" s="176"/>
      <c r="S514" s="176"/>
      <c r="T514" s="176"/>
      <c r="U514" s="176"/>
      <c r="V514" s="176"/>
      <c r="W514" s="176"/>
      <c r="X514" s="176"/>
      <c r="Y514" s="176"/>
      <c r="Z514" s="176"/>
      <c r="AA514" s="176"/>
    </row>
    <row r="515">
      <c r="A515" s="165" t="str">
        <f>iferror(VLOOKUP(P515,'DO NOT TOUCH Imported'!$A$1:$D$800,4,False),iferror(VLOOKUP(P515,'DO NOT TOUCH Imported'!$C$1:$D$800,2,False),"OOPS FIX ME"))</f>
        <v>xgabi</v>
      </c>
      <c r="B515" s="165" t="s">
        <v>441</v>
      </c>
      <c r="C515" s="170" t="s">
        <v>1714</v>
      </c>
      <c r="D515" s="236" t="s">
        <v>437</v>
      </c>
      <c r="E515" s="239">
        <v>44274.0</v>
      </c>
      <c r="F515" s="170" t="s">
        <v>439</v>
      </c>
      <c r="G515" s="170">
        <v>50.0</v>
      </c>
      <c r="H515" s="171">
        <v>200.0</v>
      </c>
      <c r="I515" s="171">
        <v>100.0</v>
      </c>
      <c r="J515" s="172">
        <f t="shared" si="2"/>
        <v>0.002048240584</v>
      </c>
      <c r="K515" s="173">
        <f t="shared" si="16"/>
        <v>2.287201985</v>
      </c>
      <c r="L515" s="174">
        <f t="shared" si="4"/>
        <v>5.894727369</v>
      </c>
      <c r="M515" s="175" t="str">
        <f t="shared" si="5"/>
        <v>xgabi</v>
      </c>
      <c r="N515" s="176">
        <f>IFERROR(__xludf.DUMMYFUNCTION("""COMPUTED_VALUE"""),1.0)</f>
        <v>1</v>
      </c>
      <c r="O515" s="176"/>
      <c r="P515" s="165" t="s">
        <v>766</v>
      </c>
      <c r="Q515" s="165" t="s">
        <v>441</v>
      </c>
      <c r="R515" s="176"/>
      <c r="S515" s="176"/>
      <c r="T515" s="176"/>
      <c r="U515" s="176"/>
      <c r="V515" s="176"/>
      <c r="W515" s="176"/>
      <c r="X515" s="176"/>
      <c r="Y515" s="176"/>
      <c r="Z515" s="176"/>
      <c r="AA515" s="176"/>
    </row>
    <row r="516">
      <c r="A516" s="165" t="str">
        <f>iferror(VLOOKUP(P516,'DO NOT TOUCH Imported'!$A$1:$D$800,4,False),iferror(VLOOKUP(P516,'DO NOT TOUCH Imported'!$C$1:$D$800,2,False),"OOPS FIX ME"))</f>
        <v>xgabi</v>
      </c>
      <c r="B516" s="165" t="s">
        <v>441</v>
      </c>
      <c r="C516" s="170" t="s">
        <v>1748</v>
      </c>
      <c r="D516" s="236" t="s">
        <v>437</v>
      </c>
      <c r="E516" s="239">
        <v>44274.0</v>
      </c>
      <c r="F516" s="170" t="s">
        <v>439</v>
      </c>
      <c r="G516" s="170">
        <v>50.0</v>
      </c>
      <c r="H516" s="171">
        <v>150.0</v>
      </c>
      <c r="I516" s="171">
        <v>100.0</v>
      </c>
      <c r="J516" s="172">
        <f t="shared" si="2"/>
        <v>0.001838478244</v>
      </c>
      <c r="K516" s="173">
        <f t="shared" si="16"/>
        <v>2.052967373</v>
      </c>
      <c r="L516" s="174">
        <f t="shared" si="4"/>
        <v>5.894727369</v>
      </c>
      <c r="M516" s="175" t="str">
        <f t="shared" si="5"/>
        <v>xgabi</v>
      </c>
      <c r="N516" s="176">
        <f>IFERROR(__xludf.DUMMYFUNCTION("""COMPUTED_VALUE"""),2.0)</f>
        <v>2</v>
      </c>
      <c r="O516" s="176"/>
      <c r="P516" s="165" t="s">
        <v>766</v>
      </c>
      <c r="Q516" s="165" t="s">
        <v>441</v>
      </c>
      <c r="R516" s="176"/>
      <c r="S516" s="176"/>
      <c r="T516" s="176"/>
      <c r="U516" s="176"/>
      <c r="V516" s="176"/>
      <c r="W516" s="176"/>
      <c r="X516" s="176"/>
      <c r="Y516" s="176"/>
      <c r="Z516" s="176"/>
      <c r="AA516" s="176"/>
    </row>
    <row r="517">
      <c r="A517" s="165" t="str">
        <f>iferror(VLOOKUP(P517,'DO NOT TOUCH Imported'!$A$1:$D$800,4,False),iferror(VLOOKUP(P517,'DO NOT TOUCH Imported'!$C$1:$D$800,2,False),"OOPS FIX ME"))</f>
        <v>xgabi</v>
      </c>
      <c r="B517" s="249" t="s">
        <v>6</v>
      </c>
      <c r="C517" s="250" t="s">
        <v>1817</v>
      </c>
      <c r="D517" s="236" t="s">
        <v>1584</v>
      </c>
      <c r="E517" s="251">
        <v>44274.0</v>
      </c>
      <c r="F517" s="219" t="s">
        <v>627</v>
      </c>
      <c r="G517" s="170">
        <v>35.0</v>
      </c>
      <c r="H517" s="171">
        <v>100.0</v>
      </c>
      <c r="I517" s="171">
        <v>100.0</v>
      </c>
      <c r="J517" s="172">
        <f t="shared" si="2"/>
        <v>0.001392141502</v>
      </c>
      <c r="K517" s="173">
        <f t="shared" si="16"/>
        <v>1.554558011</v>
      </c>
      <c r="L517" s="174">
        <f t="shared" si="4"/>
        <v>5.894727369</v>
      </c>
      <c r="M517" s="175" t="str">
        <f t="shared" si="5"/>
        <v>xgabi</v>
      </c>
      <c r="N517" s="176">
        <f>IFERROR(__xludf.DUMMYFUNCTION("""COMPUTED_VALUE"""),3.0)</f>
        <v>3</v>
      </c>
      <c r="O517" s="176"/>
      <c r="P517" s="249" t="s">
        <v>34</v>
      </c>
      <c r="Q517" s="249" t="s">
        <v>6</v>
      </c>
      <c r="R517" s="176"/>
      <c r="S517" s="176"/>
      <c r="T517" s="176"/>
      <c r="U517" s="176"/>
      <c r="V517" s="176"/>
      <c r="W517" s="176"/>
      <c r="X517" s="176"/>
      <c r="Y517" s="176"/>
      <c r="Z517" s="176"/>
      <c r="AA517" s="176"/>
    </row>
    <row r="518">
      <c r="A518" s="185" t="s">
        <v>34</v>
      </c>
      <c r="B518" s="185" t="s">
        <v>534</v>
      </c>
      <c r="C518" s="210" t="s">
        <v>646</v>
      </c>
      <c r="D518" s="187"/>
      <c r="E518" s="188"/>
      <c r="F518" s="189"/>
      <c r="G518" s="190"/>
      <c r="H518" s="190"/>
      <c r="I518" s="190"/>
      <c r="J518" s="191">
        <f t="shared" si="2"/>
        <v>0</v>
      </c>
      <c r="K518" s="192"/>
      <c r="L518" s="193">
        <f t="shared" si="4"/>
        <v>5.894727369</v>
      </c>
      <c r="M518" s="194" t="str">
        <f t="shared" si="5"/>
        <v>xgabi</v>
      </c>
      <c r="N518" s="211">
        <f>IFERROR(__xludf.DUMMYFUNCTION("""COMPUTED_VALUE"""),4.0)</f>
        <v>4</v>
      </c>
      <c r="O518" s="195"/>
      <c r="P518" s="212" t="s">
        <v>6</v>
      </c>
      <c r="Q518" s="185" t="s">
        <v>534</v>
      </c>
      <c r="R518" s="195">
        <v>57.049855624848725</v>
      </c>
      <c r="S518" s="195"/>
      <c r="T518" s="195"/>
      <c r="U518" s="195"/>
      <c r="V518" s="195"/>
      <c r="W518" s="195"/>
      <c r="X518" s="195"/>
      <c r="Y518" s="195"/>
      <c r="Z518" s="195"/>
      <c r="AA518" s="176"/>
    </row>
    <row r="519">
      <c r="A519" s="165" t="str">
        <f>iferror(VLOOKUP(P519,'DO NOT TOUCH Imported'!$A$1:$D$800,4,False),iferror(VLOOKUP(P519,'DO NOT TOUCH Imported'!$C$1:$D$800,2,False),"OOPS FIX ME"))</f>
        <v>wslyvh</v>
      </c>
      <c r="B519" s="249" t="s">
        <v>18</v>
      </c>
      <c r="C519" s="250" t="s">
        <v>1700</v>
      </c>
      <c r="D519" s="236" t="s">
        <v>1584</v>
      </c>
      <c r="E519" s="251">
        <v>44279.0</v>
      </c>
      <c r="F519" s="219" t="s">
        <v>496</v>
      </c>
      <c r="G519" s="170">
        <v>15.0</v>
      </c>
      <c r="H519" s="171">
        <v>300.0</v>
      </c>
      <c r="I519" s="171">
        <v>100.0</v>
      </c>
      <c r="J519" s="172">
        <f t="shared" si="2"/>
        <v>0.001915758323</v>
      </c>
      <c r="K519" s="173">
        <f t="shared" ref="K519:K526" si="17">J519*$J$1</f>
        <v>2.13926346</v>
      </c>
      <c r="L519" s="174">
        <f t="shared" si="4"/>
        <v>5.833084931</v>
      </c>
      <c r="M519" s="175" t="str">
        <f t="shared" si="5"/>
        <v>wslyvh</v>
      </c>
      <c r="N519" s="176">
        <f>IFERROR(__xludf.DUMMYFUNCTION("""COMPUTED_VALUE"""),1.0)</f>
        <v>1</v>
      </c>
      <c r="O519" s="176"/>
      <c r="P519" s="249" t="s">
        <v>36</v>
      </c>
      <c r="Q519" s="249" t="s">
        <v>18</v>
      </c>
      <c r="R519" s="176"/>
      <c r="S519" s="176"/>
      <c r="T519" s="176"/>
      <c r="U519" s="176"/>
      <c r="V519" s="176"/>
      <c r="W519" s="176"/>
      <c r="X519" s="176"/>
      <c r="Y519" s="176"/>
      <c r="Z519" s="176"/>
      <c r="AA519" s="176"/>
    </row>
    <row r="520">
      <c r="A520" s="165" t="str">
        <f>iferror(VLOOKUP(P520,'DO NOT TOUCH Imported'!$A$1:$D$800,4,False),iferror(VLOOKUP(P520,'DO NOT TOUCH Imported'!$C$1:$D$800,2,False),"OOPS FIX ME"))</f>
        <v>wslyvh</v>
      </c>
      <c r="B520" s="165" t="s">
        <v>18</v>
      </c>
      <c r="C520" s="170" t="s">
        <v>1667</v>
      </c>
      <c r="D520" s="236" t="s">
        <v>1584</v>
      </c>
      <c r="E520" s="239">
        <v>44281.0</v>
      </c>
      <c r="F520" s="170" t="s">
        <v>496</v>
      </c>
      <c r="G520" s="170">
        <v>25.0</v>
      </c>
      <c r="H520" s="171">
        <v>200.0</v>
      </c>
      <c r="I520" s="171">
        <v>100.0</v>
      </c>
      <c r="J520" s="172">
        <f t="shared" si="2"/>
        <v>0.001653949912</v>
      </c>
      <c r="K520" s="173">
        <f t="shared" si="17"/>
        <v>1.846910736</v>
      </c>
      <c r="L520" s="174">
        <f t="shared" si="4"/>
        <v>5.833084931</v>
      </c>
      <c r="M520" s="175" t="str">
        <f t="shared" si="5"/>
        <v>wslyvh</v>
      </c>
      <c r="N520" s="176">
        <f>IFERROR(__xludf.DUMMYFUNCTION("""COMPUTED_VALUE"""),2.0)</f>
        <v>2</v>
      </c>
      <c r="O520" s="176"/>
      <c r="P520" s="165" t="s">
        <v>36</v>
      </c>
      <c r="Q520" s="165" t="s">
        <v>18</v>
      </c>
      <c r="R520" s="176"/>
      <c r="S520" s="176"/>
      <c r="T520" s="176"/>
      <c r="U520" s="176"/>
      <c r="V520" s="176"/>
      <c r="W520" s="176"/>
      <c r="X520" s="176"/>
      <c r="Y520" s="176"/>
      <c r="Z520" s="176"/>
      <c r="AA520" s="176"/>
    </row>
    <row r="521">
      <c r="A521" s="165" t="str">
        <f>iferror(VLOOKUP(P521,'DO NOT TOUCH Imported'!$A$1:$D$800,4,False),iferror(VLOOKUP(P521,'DO NOT TOUCH Imported'!$C$1:$D$800,2,False),"OOPS FIX ME"))</f>
        <v>wslyvh</v>
      </c>
      <c r="B521" s="165" t="s">
        <v>441</v>
      </c>
      <c r="C521" s="170" t="s">
        <v>1711</v>
      </c>
      <c r="D521" s="236" t="s">
        <v>437</v>
      </c>
      <c r="E521" s="239">
        <v>44281.0</v>
      </c>
      <c r="F521" s="170" t="s">
        <v>439</v>
      </c>
      <c r="G521" s="170">
        <v>25.0</v>
      </c>
      <c r="H521" s="171">
        <v>200.0</v>
      </c>
      <c r="I521" s="171">
        <v>100.0</v>
      </c>
      <c r="J521" s="172">
        <f t="shared" si="2"/>
        <v>0.001653949912</v>
      </c>
      <c r="K521" s="173">
        <f t="shared" si="17"/>
        <v>1.846910736</v>
      </c>
      <c r="L521" s="174">
        <f t="shared" si="4"/>
        <v>5.833084931</v>
      </c>
      <c r="M521" s="175" t="str">
        <f t="shared" si="5"/>
        <v>wslyvh</v>
      </c>
      <c r="N521" s="176">
        <f>IFERROR(__xludf.DUMMYFUNCTION("""COMPUTED_VALUE"""),3.0)</f>
        <v>3</v>
      </c>
      <c r="O521" s="176"/>
      <c r="P521" s="165" t="s">
        <v>823</v>
      </c>
      <c r="Q521" s="165" t="s">
        <v>441</v>
      </c>
      <c r="R521" s="176"/>
      <c r="S521" s="176"/>
      <c r="T521" s="176"/>
      <c r="U521" s="176"/>
      <c r="V521" s="176"/>
      <c r="W521" s="176"/>
      <c r="X521" s="176"/>
      <c r="Y521" s="176"/>
      <c r="Z521" s="176"/>
      <c r="AA521" s="176"/>
    </row>
    <row r="522">
      <c r="A522" s="165" t="str">
        <f>iferror(VLOOKUP(P522,'DO NOT TOUCH Imported'!$A$1:$D$800,4,False),iferror(VLOOKUP(P522,'DO NOT TOUCH Imported'!$C$1:$D$800,2,False),"OOPS FIX ME"))</f>
        <v>sgonzt</v>
      </c>
      <c r="B522" s="165" t="s">
        <v>441</v>
      </c>
      <c r="C522" s="170" t="s">
        <v>1818</v>
      </c>
      <c r="D522" s="236" t="s">
        <v>437</v>
      </c>
      <c r="E522" s="239">
        <v>44281.0</v>
      </c>
      <c r="F522" s="170" t="s">
        <v>439</v>
      </c>
      <c r="G522" s="170">
        <v>100.0</v>
      </c>
      <c r="H522" s="171">
        <v>200.0</v>
      </c>
      <c r="I522" s="171">
        <v>100.0</v>
      </c>
      <c r="J522" s="172">
        <f t="shared" si="2"/>
        <v>0.002836821926</v>
      </c>
      <c r="K522" s="173">
        <f t="shared" si="17"/>
        <v>3.167784484</v>
      </c>
      <c r="L522" s="174">
        <f t="shared" si="4"/>
        <v>5.675976</v>
      </c>
      <c r="M522" s="175" t="str">
        <f t="shared" si="5"/>
        <v>sgonzt</v>
      </c>
      <c r="N522" s="176">
        <f>IFERROR(__xludf.DUMMYFUNCTION("""COMPUTED_VALUE"""),1.0)</f>
        <v>1</v>
      </c>
      <c r="O522" s="176"/>
      <c r="P522" s="165" t="s">
        <v>796</v>
      </c>
      <c r="Q522" s="165" t="s">
        <v>441</v>
      </c>
      <c r="R522" s="176"/>
      <c r="S522" s="176"/>
      <c r="T522" s="176"/>
      <c r="U522" s="176"/>
      <c r="V522" s="176"/>
      <c r="W522" s="176"/>
      <c r="X522" s="176"/>
      <c r="Y522" s="176"/>
      <c r="Z522" s="176"/>
      <c r="AA522" s="176"/>
    </row>
    <row r="523">
      <c r="A523" s="165" t="str">
        <f>iferror(VLOOKUP(P523,'DO NOT TOUCH Imported'!$A$1:$D$800,4,False),iferror(VLOOKUP(P523,'DO NOT TOUCH Imported'!$C$1:$D$800,2,False),"OOPS FIX ME"))</f>
        <v>sgonzt</v>
      </c>
      <c r="B523" s="165" t="s">
        <v>576</v>
      </c>
      <c r="C523" s="170" t="s">
        <v>1819</v>
      </c>
      <c r="D523" s="236" t="s">
        <v>437</v>
      </c>
      <c r="E523" s="239">
        <v>44278.0</v>
      </c>
      <c r="F523" s="170" t="s">
        <v>439</v>
      </c>
      <c r="G523" s="170">
        <v>100.0</v>
      </c>
      <c r="H523" s="171">
        <v>100.0</v>
      </c>
      <c r="I523" s="171">
        <v>100.0</v>
      </c>
      <c r="J523" s="172">
        <f t="shared" si="2"/>
        <v>0.002417297247</v>
      </c>
      <c r="K523" s="173">
        <f t="shared" si="17"/>
        <v>2.699315259</v>
      </c>
      <c r="L523" s="174">
        <f t="shared" si="4"/>
        <v>5.675976</v>
      </c>
      <c r="M523" s="175" t="str">
        <f t="shared" si="5"/>
        <v>sgonzt</v>
      </c>
      <c r="N523" s="176">
        <f>IFERROR(__xludf.DUMMYFUNCTION("""COMPUTED_VALUE"""),2.0)</f>
        <v>2</v>
      </c>
      <c r="O523" s="176"/>
      <c r="P523" s="165" t="s">
        <v>796</v>
      </c>
      <c r="Q523" s="165" t="s">
        <v>576</v>
      </c>
      <c r="R523" s="176"/>
      <c r="S523" s="176"/>
      <c r="T523" s="176"/>
      <c r="U523" s="176"/>
      <c r="V523" s="176"/>
      <c r="W523" s="176"/>
      <c r="X523" s="176"/>
      <c r="Y523" s="176"/>
      <c r="Z523" s="176"/>
      <c r="AA523" s="176"/>
    </row>
    <row r="524">
      <c r="A524" s="165" t="str">
        <f>iferror(VLOOKUP(P524,'DO NOT TOUCH Imported'!$A$1:$D$800,4,False),iferror(VLOOKUP(P524,'DO NOT TOUCH Imported'!$C$1:$D$800,2,False),"OOPS FIX ME"))</f>
        <v>sgonzt</v>
      </c>
      <c r="B524" s="165" t="s">
        <v>441</v>
      </c>
      <c r="C524" s="170" t="s">
        <v>1820</v>
      </c>
      <c r="D524" s="236" t="s">
        <v>437</v>
      </c>
      <c r="E524" s="239">
        <v>44274.0</v>
      </c>
      <c r="F524" s="170" t="s">
        <v>439</v>
      </c>
      <c r="G524" s="170">
        <v>25.0</v>
      </c>
      <c r="H524" s="171">
        <v>200.0</v>
      </c>
      <c r="I524" s="171">
        <v>100.0</v>
      </c>
      <c r="J524" s="172">
        <f t="shared" si="2"/>
        <v>0.001653949912</v>
      </c>
      <c r="K524" s="173">
        <f t="shared" si="17"/>
        <v>1.846910736</v>
      </c>
      <c r="L524" s="174">
        <f t="shared" si="4"/>
        <v>5.675976</v>
      </c>
      <c r="M524" s="175" t="str">
        <f t="shared" si="5"/>
        <v>sgonzt</v>
      </c>
      <c r="N524" s="176">
        <f>IFERROR(__xludf.DUMMYFUNCTION("""COMPUTED_VALUE"""),3.0)</f>
        <v>3</v>
      </c>
      <c r="O524" s="176"/>
      <c r="P524" s="165" t="s">
        <v>796</v>
      </c>
      <c r="Q524" s="165" t="s">
        <v>441</v>
      </c>
      <c r="R524" s="176"/>
      <c r="S524" s="176"/>
      <c r="T524" s="176"/>
      <c r="U524" s="176"/>
      <c r="V524" s="176"/>
      <c r="W524" s="176"/>
      <c r="X524" s="176"/>
      <c r="Y524" s="176"/>
      <c r="Z524" s="176"/>
      <c r="AA524" s="176"/>
    </row>
    <row r="525">
      <c r="A525" s="165" t="str">
        <f>iferror(VLOOKUP(P525,'DO NOT TOUCH Imported'!$A$1:$D$800,4,False),iferror(VLOOKUP(P525,'DO NOT TOUCH Imported'!$C$1:$D$800,2,False),"OOPS FIX ME"))</f>
        <v>sgonzt</v>
      </c>
      <c r="B525" s="249" t="s">
        <v>870</v>
      </c>
      <c r="C525" s="250" t="s">
        <v>1769</v>
      </c>
      <c r="D525" s="236" t="s">
        <v>1584</v>
      </c>
      <c r="E525" s="251">
        <v>44270.0</v>
      </c>
      <c r="F525" s="219" t="s">
        <v>521</v>
      </c>
      <c r="G525" s="170">
        <v>50.0</v>
      </c>
      <c r="H525" s="171">
        <v>100.0</v>
      </c>
      <c r="I525" s="171">
        <v>100.0</v>
      </c>
      <c r="J525" s="172">
        <f t="shared" si="2"/>
        <v>0.001628715905</v>
      </c>
      <c r="K525" s="173">
        <f t="shared" si="17"/>
        <v>1.818732761</v>
      </c>
      <c r="L525" s="174">
        <f t="shared" si="4"/>
        <v>5.675976</v>
      </c>
      <c r="M525" s="175" t="str">
        <f t="shared" si="5"/>
        <v>sgonzt</v>
      </c>
      <c r="N525" s="176">
        <f>IFERROR(__xludf.DUMMYFUNCTION("""COMPUTED_VALUE"""),4.0)</f>
        <v>4</v>
      </c>
      <c r="O525" s="176"/>
      <c r="P525" s="249" t="s">
        <v>26</v>
      </c>
      <c r="Q525" s="249" t="s">
        <v>870</v>
      </c>
      <c r="R525" s="176"/>
      <c r="S525" s="176"/>
      <c r="T525" s="176"/>
      <c r="U525" s="176"/>
      <c r="V525" s="176"/>
      <c r="W525" s="176"/>
      <c r="X525" s="176"/>
      <c r="Y525" s="176"/>
      <c r="Z525" s="176"/>
      <c r="AA525" s="176"/>
    </row>
    <row r="526">
      <c r="A526" s="165" t="str">
        <f>iferror(VLOOKUP(P526,'DO NOT TOUCH Imported'!$A$1:$D$800,4,False),iferror(VLOOKUP(P526,'DO NOT TOUCH Imported'!$C$1:$D$800,2,False),"OOPS FIX ME"))</f>
        <v>sgonzt</v>
      </c>
      <c r="B526" s="165" t="s">
        <v>450</v>
      </c>
      <c r="C526" s="170" t="s">
        <v>1705</v>
      </c>
      <c r="D526" s="236" t="s">
        <v>437</v>
      </c>
      <c r="E526" s="239">
        <v>44271.0</v>
      </c>
      <c r="F526" s="170" t="s">
        <v>1558</v>
      </c>
      <c r="G526" s="170">
        <v>50.0</v>
      </c>
      <c r="H526" s="171">
        <v>100.0</v>
      </c>
      <c r="I526" s="171">
        <v>100.0</v>
      </c>
      <c r="J526" s="172">
        <f t="shared" si="2"/>
        <v>0.001628715905</v>
      </c>
      <c r="K526" s="173">
        <f t="shared" si="17"/>
        <v>1.818732761</v>
      </c>
      <c r="L526" s="174">
        <f t="shared" si="4"/>
        <v>5.675976</v>
      </c>
      <c r="M526" s="175" t="str">
        <f t="shared" si="5"/>
        <v>sgonzt</v>
      </c>
      <c r="N526" s="176">
        <f>IFERROR(__xludf.DUMMYFUNCTION("""COMPUTED_VALUE"""),5.0)</f>
        <v>5</v>
      </c>
      <c r="O526" s="176"/>
      <c r="P526" s="165" t="s">
        <v>796</v>
      </c>
      <c r="Q526" s="165" t="s">
        <v>450</v>
      </c>
      <c r="R526" s="176"/>
      <c r="S526" s="176"/>
      <c r="T526" s="176"/>
      <c r="U526" s="176"/>
      <c r="V526" s="176"/>
      <c r="W526" s="176"/>
      <c r="X526" s="176"/>
      <c r="Y526" s="176"/>
      <c r="Z526" s="176"/>
      <c r="AA526" s="176"/>
    </row>
    <row r="527">
      <c r="A527" s="185" t="s">
        <v>26</v>
      </c>
      <c r="B527" s="185" t="s">
        <v>534</v>
      </c>
      <c r="C527" s="186" t="s">
        <v>797</v>
      </c>
      <c r="D527" s="187"/>
      <c r="E527" s="188"/>
      <c r="F527" s="189"/>
      <c r="G527" s="190"/>
      <c r="H527" s="190"/>
      <c r="I527" s="190"/>
      <c r="J527" s="191">
        <f t="shared" si="2"/>
        <v>0</v>
      </c>
      <c r="K527" s="192">
        <f>-0.5*11.351</f>
        <v>-5.6755</v>
      </c>
      <c r="L527" s="193">
        <f t="shared" si="4"/>
        <v>5.675976</v>
      </c>
      <c r="M527" s="194" t="str">
        <f t="shared" si="5"/>
        <v>sgonzt</v>
      </c>
      <c r="N527" s="195">
        <f>IFERROR(__xludf.DUMMYFUNCTION("""COMPUTED_VALUE"""),6.0)</f>
        <v>6</v>
      </c>
      <c r="O527" s="195"/>
      <c r="P527" s="185" t="s">
        <v>10</v>
      </c>
      <c r="Q527" s="185" t="s">
        <v>534</v>
      </c>
      <c r="R527" s="195">
        <v>18.802169413641863</v>
      </c>
      <c r="S527" s="195"/>
      <c r="T527" s="195"/>
      <c r="U527" s="195"/>
      <c r="V527" s="195"/>
      <c r="W527" s="195"/>
      <c r="X527" s="195"/>
      <c r="Y527" s="195"/>
      <c r="Z527" s="195"/>
      <c r="AA527" s="176"/>
    </row>
    <row r="528">
      <c r="A528" s="165" t="str">
        <f>iferror(VLOOKUP(P528,'DO NOT TOUCH Imported'!$A$1:$D$800,4,False),iferror(VLOOKUP(P528,'DO NOT TOUCH Imported'!$C$1:$D$800,2,False),"OOPS FIX ME"))</f>
        <v>ddan#2489</v>
      </c>
      <c r="B528" s="165" t="s">
        <v>443</v>
      </c>
      <c r="C528" s="170" t="s">
        <v>1590</v>
      </c>
      <c r="D528" s="236" t="s">
        <v>437</v>
      </c>
      <c r="E528" s="239">
        <v>44273.0</v>
      </c>
      <c r="F528" s="170" t="s">
        <v>439</v>
      </c>
      <c r="G528" s="170">
        <v>45.0</v>
      </c>
      <c r="H528" s="171">
        <v>100.0</v>
      </c>
      <c r="I528" s="171">
        <v>100.0</v>
      </c>
      <c r="J528" s="172">
        <f t="shared" si="2"/>
        <v>0.001549857771</v>
      </c>
      <c r="K528" s="173">
        <f t="shared" ref="K528:K553" si="18">J528*$J$1</f>
        <v>1.730674511</v>
      </c>
      <c r="L528" s="174">
        <f t="shared" si="4"/>
        <v>9.167588002</v>
      </c>
      <c r="M528" s="175" t="str">
        <f t="shared" si="5"/>
        <v>ddan#2489</v>
      </c>
      <c r="N528" s="176">
        <f>IFERROR(__xludf.DUMMYFUNCTION("""COMPUTED_VALUE"""),1.0)</f>
        <v>1</v>
      </c>
      <c r="O528" s="176"/>
      <c r="P528" s="165" t="s">
        <v>1821</v>
      </c>
      <c r="Q528" s="165" t="s">
        <v>443</v>
      </c>
      <c r="R528" s="176"/>
      <c r="S528" s="176"/>
      <c r="T528" s="176"/>
      <c r="U528" s="176"/>
      <c r="V528" s="176"/>
      <c r="W528" s="176"/>
      <c r="X528" s="176"/>
      <c r="Y528" s="176"/>
      <c r="Z528" s="176"/>
      <c r="AA528" s="176"/>
    </row>
    <row r="529">
      <c r="A529" s="165" t="str">
        <f>iferror(VLOOKUP(P529,'DO NOT TOUCH Imported'!$A$1:$D$800,4,False),iferror(VLOOKUP(P529,'DO NOT TOUCH Imported'!$C$1:$D$800,2,False),"OOPS FIX ME"))</f>
        <v>ddan#2489</v>
      </c>
      <c r="B529" s="165" t="s">
        <v>441</v>
      </c>
      <c r="C529" s="170" t="s">
        <v>1593</v>
      </c>
      <c r="D529" s="236" t="s">
        <v>437</v>
      </c>
      <c r="E529" s="239">
        <v>44274.0</v>
      </c>
      <c r="F529" s="170" t="s">
        <v>439</v>
      </c>
      <c r="G529" s="170">
        <v>25.0</v>
      </c>
      <c r="H529" s="171">
        <v>150.0</v>
      </c>
      <c r="I529" s="171">
        <v>100.0</v>
      </c>
      <c r="J529" s="172">
        <f t="shared" si="2"/>
        <v>0.001444187573</v>
      </c>
      <c r="K529" s="173">
        <f t="shared" si="18"/>
        <v>1.612676123</v>
      </c>
      <c r="L529" s="174">
        <f t="shared" si="4"/>
        <v>9.167588002</v>
      </c>
      <c r="M529" s="175" t="str">
        <f t="shared" si="5"/>
        <v>ddan#2489</v>
      </c>
      <c r="N529" s="176">
        <f>IFERROR(__xludf.DUMMYFUNCTION("""COMPUTED_VALUE"""),2.0)</f>
        <v>2</v>
      </c>
      <c r="O529" s="176"/>
      <c r="P529" s="165" t="s">
        <v>1821</v>
      </c>
      <c r="Q529" s="165" t="s">
        <v>441</v>
      </c>
      <c r="R529" s="176"/>
      <c r="S529" s="176"/>
      <c r="T529" s="176"/>
      <c r="U529" s="176"/>
      <c r="V529" s="176"/>
      <c r="W529" s="176"/>
      <c r="X529" s="176"/>
      <c r="Y529" s="176"/>
      <c r="Z529" s="176"/>
      <c r="AA529" s="176"/>
    </row>
    <row r="530">
      <c r="A530" s="165" t="str">
        <f>iferror(VLOOKUP(P530,'DO NOT TOUCH Imported'!$A$1:$D$800,4,False),iferror(VLOOKUP(P530,'DO NOT TOUCH Imported'!$C$1:$D$800,2,False),"OOPS FIX ME"))</f>
        <v>ddan#2489</v>
      </c>
      <c r="B530" s="165" t="s">
        <v>443</v>
      </c>
      <c r="C530" s="170" t="s">
        <v>1603</v>
      </c>
      <c r="D530" s="236" t="s">
        <v>437</v>
      </c>
      <c r="E530" s="239">
        <v>44277.0</v>
      </c>
      <c r="F530" s="170" t="s">
        <v>439</v>
      </c>
      <c r="G530" s="170">
        <v>15.0</v>
      </c>
      <c r="H530" s="171">
        <v>100.0</v>
      </c>
      <c r="I530" s="171">
        <v>100.0</v>
      </c>
      <c r="J530" s="172">
        <f t="shared" si="2"/>
        <v>0.001076708966</v>
      </c>
      <c r="K530" s="173">
        <f t="shared" si="18"/>
        <v>1.202325011</v>
      </c>
      <c r="L530" s="174">
        <f t="shared" si="4"/>
        <v>9.167588002</v>
      </c>
      <c r="M530" s="175" t="str">
        <f t="shared" si="5"/>
        <v>ddan#2489</v>
      </c>
      <c r="N530" s="176">
        <f>IFERROR(__xludf.DUMMYFUNCTION("""COMPUTED_VALUE"""),3.0)</f>
        <v>3</v>
      </c>
      <c r="O530" s="176"/>
      <c r="P530" s="165" t="s">
        <v>1821</v>
      </c>
      <c r="Q530" s="165" t="s">
        <v>443</v>
      </c>
      <c r="R530" s="176"/>
      <c r="S530" s="176"/>
      <c r="T530" s="176"/>
      <c r="U530" s="176"/>
      <c r="V530" s="176"/>
      <c r="W530" s="176"/>
      <c r="X530" s="176"/>
      <c r="Y530" s="176"/>
      <c r="Z530" s="176"/>
      <c r="AA530" s="176"/>
    </row>
    <row r="531">
      <c r="A531" s="165" t="str">
        <f>iferror(VLOOKUP(P531,'DO NOT TOUCH Imported'!$A$1:$D$800,4,False),iferror(VLOOKUP(P531,'DO NOT TOUCH Imported'!$C$1:$D$800,2,False),"OOPS FIX ME"))</f>
        <v>ddan#2489</v>
      </c>
      <c r="B531" s="165" t="s">
        <v>441</v>
      </c>
      <c r="C531" s="170" t="s">
        <v>1620</v>
      </c>
      <c r="D531" s="236" t="s">
        <v>437</v>
      </c>
      <c r="E531" s="239">
        <v>44274.0</v>
      </c>
      <c r="F531" s="170" t="s">
        <v>439</v>
      </c>
      <c r="G531" s="170">
        <v>15.0</v>
      </c>
      <c r="H531" s="171">
        <v>60.0</v>
      </c>
      <c r="I531" s="171">
        <v>100.0</v>
      </c>
      <c r="J531" s="172">
        <f t="shared" si="2"/>
        <v>0.0009088990941</v>
      </c>
      <c r="K531" s="173">
        <f t="shared" si="18"/>
        <v>1.014937322</v>
      </c>
      <c r="L531" s="174">
        <f t="shared" si="4"/>
        <v>9.167588002</v>
      </c>
      <c r="M531" s="175" t="str">
        <f t="shared" si="5"/>
        <v>ddan#2489</v>
      </c>
      <c r="N531" s="176">
        <f>IFERROR(__xludf.DUMMYFUNCTION("""COMPUTED_VALUE"""),4.0)</f>
        <v>4</v>
      </c>
      <c r="O531" s="176"/>
      <c r="P531" s="165" t="s">
        <v>1821</v>
      </c>
      <c r="Q531" s="165" t="s">
        <v>441</v>
      </c>
      <c r="R531" s="176"/>
      <c r="S531" s="176"/>
      <c r="T531" s="176"/>
      <c r="U531" s="176"/>
      <c r="V531" s="176"/>
      <c r="W531" s="176"/>
      <c r="X531" s="176"/>
      <c r="Y531" s="176"/>
      <c r="Z531" s="176"/>
      <c r="AA531" s="176"/>
    </row>
    <row r="532">
      <c r="A532" s="165" t="str">
        <f>iferror(VLOOKUP(P532,'DO NOT TOUCH Imported'!$A$1:$D$800,4,False),iferror(VLOOKUP(P532,'DO NOT TOUCH Imported'!$C$1:$D$800,2,False),"OOPS FIX ME"))</f>
        <v>JessicaZartler</v>
      </c>
      <c r="B532" s="249" t="s">
        <v>870</v>
      </c>
      <c r="C532" s="250" t="s">
        <v>1822</v>
      </c>
      <c r="D532" s="236" t="s">
        <v>1584</v>
      </c>
      <c r="E532" s="251">
        <v>44270.0</v>
      </c>
      <c r="F532" s="219" t="s">
        <v>499</v>
      </c>
      <c r="G532" s="170">
        <v>50.0</v>
      </c>
      <c r="H532" s="171">
        <v>200.0</v>
      </c>
      <c r="I532" s="171">
        <v>100.0</v>
      </c>
      <c r="J532" s="172">
        <f t="shared" si="2"/>
        <v>0.002048240584</v>
      </c>
      <c r="K532" s="173">
        <f t="shared" si="18"/>
        <v>2.287201985</v>
      </c>
      <c r="L532" s="174">
        <f t="shared" si="4"/>
        <v>5.463329685</v>
      </c>
      <c r="M532" s="175" t="str">
        <f t="shared" si="5"/>
        <v>JessicaZartler</v>
      </c>
      <c r="N532" s="176">
        <f>IFERROR(__xludf.DUMMYFUNCTION("""COMPUTED_VALUE"""),1.0)</f>
        <v>1</v>
      </c>
      <c r="O532" s="176"/>
      <c r="P532" s="249" t="s">
        <v>14</v>
      </c>
      <c r="Q532" s="249" t="s">
        <v>870</v>
      </c>
      <c r="R532" s="176"/>
      <c r="S532" s="176"/>
      <c r="T532" s="176"/>
      <c r="U532" s="176"/>
      <c r="V532" s="176"/>
      <c r="W532" s="176"/>
      <c r="X532" s="176"/>
      <c r="Y532" s="176"/>
      <c r="Z532" s="176"/>
      <c r="AA532" s="176"/>
    </row>
    <row r="533">
      <c r="A533" s="165" t="str">
        <f>iferror(VLOOKUP(P533,'DO NOT TOUCH Imported'!$A$1:$D$800,4,False),iferror(VLOOKUP(P533,'DO NOT TOUCH Imported'!$C$1:$D$800,2,False),"OOPS FIX ME"))</f>
        <v>JessicaZartler</v>
      </c>
      <c r="B533" s="165" t="s">
        <v>530</v>
      </c>
      <c r="C533" s="170" t="s">
        <v>1823</v>
      </c>
      <c r="D533" s="236" t="s">
        <v>499</v>
      </c>
      <c r="E533" s="239">
        <v>44271.0</v>
      </c>
      <c r="F533" s="170" t="s">
        <v>1646</v>
      </c>
      <c r="G533" s="170">
        <v>50.0</v>
      </c>
      <c r="H533" s="171">
        <v>100.0</v>
      </c>
      <c r="I533" s="171">
        <v>200.0</v>
      </c>
      <c r="J533" s="172">
        <f t="shared" si="2"/>
        <v>0.002049325789</v>
      </c>
      <c r="K533" s="173">
        <f t="shared" si="18"/>
        <v>2.288413798</v>
      </c>
      <c r="L533" s="174">
        <f t="shared" si="4"/>
        <v>5.463329685</v>
      </c>
      <c r="M533" s="175" t="str">
        <f t="shared" si="5"/>
        <v>JessicaZartler</v>
      </c>
      <c r="N533" s="176">
        <f>IFERROR(__xludf.DUMMYFUNCTION("""COMPUTED_VALUE"""),2.0)</f>
        <v>2</v>
      </c>
      <c r="O533" s="176"/>
      <c r="P533" s="165" t="s">
        <v>566</v>
      </c>
      <c r="Q533" s="165" t="s">
        <v>530</v>
      </c>
      <c r="R533" s="176"/>
      <c r="S533" s="176"/>
      <c r="T533" s="176"/>
      <c r="U533" s="176"/>
      <c r="V533" s="176"/>
      <c r="W533" s="176"/>
      <c r="X533" s="176"/>
      <c r="Y533" s="176"/>
      <c r="Z533" s="176"/>
      <c r="AA533" s="176"/>
    </row>
    <row r="534">
      <c r="A534" s="165" t="str">
        <f>iferror(VLOOKUP(P534,'DO NOT TOUCH Imported'!$A$1:$D$800,4,False),iferror(VLOOKUP(P534,'DO NOT TOUCH Imported'!$C$1:$D$800,2,False),"OOPS FIX ME"))</f>
        <v>JessicaZartler</v>
      </c>
      <c r="B534" s="165" t="s">
        <v>486</v>
      </c>
      <c r="C534" s="170" t="s">
        <v>1824</v>
      </c>
      <c r="D534" s="236" t="s">
        <v>437</v>
      </c>
      <c r="E534" s="239">
        <v>44271.0</v>
      </c>
      <c r="F534" s="170" t="s">
        <v>1600</v>
      </c>
      <c r="G534" s="170">
        <v>25.0</v>
      </c>
      <c r="H534" s="171">
        <v>100.0</v>
      </c>
      <c r="I534" s="171">
        <v>200.0</v>
      </c>
      <c r="J534" s="172">
        <f t="shared" si="2"/>
        <v>0.001655035118</v>
      </c>
      <c r="K534" s="173">
        <f t="shared" si="18"/>
        <v>1.848122549</v>
      </c>
      <c r="L534" s="174">
        <f t="shared" si="4"/>
        <v>5.463329685</v>
      </c>
      <c r="M534" s="175" t="str">
        <f t="shared" si="5"/>
        <v>JessicaZartler</v>
      </c>
      <c r="N534" s="176">
        <f>IFERROR(__xludf.DUMMYFUNCTION("""COMPUTED_VALUE"""),3.0)</f>
        <v>3</v>
      </c>
      <c r="O534" s="176"/>
      <c r="P534" s="165" t="s">
        <v>566</v>
      </c>
      <c r="Q534" s="165" t="s">
        <v>486</v>
      </c>
      <c r="R534" s="176"/>
      <c r="S534" s="176"/>
      <c r="T534" s="176"/>
      <c r="U534" s="176"/>
      <c r="V534" s="176"/>
      <c r="W534" s="176"/>
      <c r="X534" s="176"/>
      <c r="Y534" s="176"/>
      <c r="Z534" s="176"/>
      <c r="AA534" s="176"/>
    </row>
    <row r="535">
      <c r="A535" s="165" t="str">
        <f>iferror(VLOOKUP(P535,'DO NOT TOUCH Imported'!$A$1:$D$800,4,False),iferror(VLOOKUP(P535,'DO NOT TOUCH Imported'!$C$1:$D$800,2,False),"OOPS FIX ME"))</f>
        <v>JessicaZartler</v>
      </c>
      <c r="B535" s="165" t="s">
        <v>443</v>
      </c>
      <c r="C535" s="170" t="s">
        <v>1590</v>
      </c>
      <c r="D535" s="236" t="s">
        <v>437</v>
      </c>
      <c r="E535" s="239">
        <v>44273.0</v>
      </c>
      <c r="F535" s="170" t="s">
        <v>439</v>
      </c>
      <c r="G535" s="170">
        <v>45.0</v>
      </c>
      <c r="H535" s="171">
        <v>100.0</v>
      </c>
      <c r="I535" s="171">
        <v>100.0</v>
      </c>
      <c r="J535" s="172">
        <f t="shared" si="2"/>
        <v>0.001549857771</v>
      </c>
      <c r="K535" s="173">
        <f t="shared" si="18"/>
        <v>1.730674511</v>
      </c>
      <c r="L535" s="174">
        <f t="shared" si="4"/>
        <v>5.463329685</v>
      </c>
      <c r="M535" s="175" t="str">
        <f t="shared" si="5"/>
        <v>JessicaZartler</v>
      </c>
      <c r="N535" s="176">
        <f>IFERROR(__xludf.DUMMYFUNCTION("""COMPUTED_VALUE"""),4.0)</f>
        <v>4</v>
      </c>
      <c r="O535" s="176"/>
      <c r="P535" s="165" t="s">
        <v>566</v>
      </c>
      <c r="Q535" s="165" t="s">
        <v>443</v>
      </c>
      <c r="R535" s="176"/>
      <c r="S535" s="176"/>
      <c r="T535" s="176"/>
      <c r="U535" s="176"/>
      <c r="V535" s="176"/>
      <c r="W535" s="176"/>
      <c r="X535" s="176"/>
      <c r="Y535" s="176"/>
      <c r="Z535" s="176"/>
      <c r="AA535" s="176"/>
    </row>
    <row r="536">
      <c r="A536" s="165" t="str">
        <f>iferror(VLOOKUP(P536,'DO NOT TOUCH Imported'!$A$1:$D$800,4,False),iferror(VLOOKUP(P536,'DO NOT TOUCH Imported'!$C$1:$D$800,2,False),"OOPS FIX ME"))</f>
        <v>JessicaZartler</v>
      </c>
      <c r="B536" s="165" t="s">
        <v>813</v>
      </c>
      <c r="C536" s="170" t="s">
        <v>1718</v>
      </c>
      <c r="D536" s="236" t="s">
        <v>437</v>
      </c>
      <c r="E536" s="239">
        <v>44273.0</v>
      </c>
      <c r="F536" s="170" t="s">
        <v>439</v>
      </c>
      <c r="G536" s="170">
        <v>15.0</v>
      </c>
      <c r="H536" s="171">
        <v>200.0</v>
      </c>
      <c r="I536" s="171">
        <v>100.0</v>
      </c>
      <c r="J536" s="172">
        <f t="shared" si="2"/>
        <v>0.001496233644</v>
      </c>
      <c r="K536" s="173">
        <f t="shared" si="18"/>
        <v>1.670794236</v>
      </c>
      <c r="L536" s="174">
        <f t="shared" si="4"/>
        <v>5.463329685</v>
      </c>
      <c r="M536" s="175" t="str">
        <f t="shared" si="5"/>
        <v>JessicaZartler</v>
      </c>
      <c r="N536" s="176">
        <f>IFERROR(__xludf.DUMMYFUNCTION("""COMPUTED_VALUE"""),5.0)</f>
        <v>5</v>
      </c>
      <c r="O536" s="176"/>
      <c r="P536" s="165" t="s">
        <v>566</v>
      </c>
      <c r="Q536" s="165" t="s">
        <v>813</v>
      </c>
      <c r="R536" s="176"/>
      <c r="S536" s="176"/>
      <c r="T536" s="176"/>
      <c r="U536" s="176"/>
      <c r="V536" s="176"/>
      <c r="W536" s="176"/>
      <c r="X536" s="176"/>
      <c r="Y536" s="176"/>
      <c r="Z536" s="176"/>
      <c r="AA536" s="176"/>
    </row>
    <row r="537">
      <c r="A537" s="165" t="str">
        <f>iferror(VLOOKUP(P537,'DO NOT TOUCH Imported'!$A$1:$D$800,4,False),iferror(VLOOKUP(P537,'DO NOT TOUCH Imported'!$C$1:$D$800,2,False),"OOPS FIX ME"))</f>
        <v>JessicaZartler</v>
      </c>
      <c r="B537" s="165" t="s">
        <v>441</v>
      </c>
      <c r="C537" s="170" t="s">
        <v>1724</v>
      </c>
      <c r="D537" s="236" t="s">
        <v>437</v>
      </c>
      <c r="E537" s="239">
        <v>44274.0</v>
      </c>
      <c r="F537" s="170" t="s">
        <v>439</v>
      </c>
      <c r="G537" s="170">
        <v>15.0</v>
      </c>
      <c r="H537" s="171">
        <v>200.0</v>
      </c>
      <c r="I537" s="171">
        <v>100.0</v>
      </c>
      <c r="J537" s="172">
        <f t="shared" si="2"/>
        <v>0.001496233644</v>
      </c>
      <c r="K537" s="173">
        <f t="shared" si="18"/>
        <v>1.670794236</v>
      </c>
      <c r="L537" s="174">
        <f t="shared" si="4"/>
        <v>5.463329685</v>
      </c>
      <c r="M537" s="175" t="str">
        <f t="shared" si="5"/>
        <v>JessicaZartler</v>
      </c>
      <c r="N537" s="176">
        <f>IFERROR(__xludf.DUMMYFUNCTION("""COMPUTED_VALUE"""),6.0)</f>
        <v>6</v>
      </c>
      <c r="O537" s="176"/>
      <c r="P537" s="165" t="s">
        <v>566</v>
      </c>
      <c r="Q537" s="165" t="s">
        <v>441</v>
      </c>
      <c r="R537" s="176"/>
      <c r="S537" s="176"/>
      <c r="T537" s="176"/>
      <c r="U537" s="176"/>
      <c r="V537" s="176"/>
      <c r="W537" s="176"/>
      <c r="X537" s="176"/>
      <c r="Y537" s="176"/>
      <c r="Z537" s="176"/>
      <c r="AA537" s="176"/>
    </row>
    <row r="538">
      <c r="A538" s="165" t="str">
        <f>iferror(VLOOKUP(P538,'DO NOT TOUCH Imported'!$A$1:$D$800,4,False),iferror(VLOOKUP(P538,'DO NOT TOUCH Imported'!$C$1:$D$800,2,False),"OOPS FIX ME"))</f>
        <v>JessicaZartler</v>
      </c>
      <c r="B538" s="165" t="s">
        <v>441</v>
      </c>
      <c r="C538" s="170" t="s">
        <v>1825</v>
      </c>
      <c r="D538" s="236" t="s">
        <v>437</v>
      </c>
      <c r="E538" s="239">
        <v>44274.0</v>
      </c>
      <c r="F538" s="170" t="s">
        <v>439</v>
      </c>
      <c r="G538" s="170">
        <v>15.0</v>
      </c>
      <c r="H538" s="171">
        <v>200.0</v>
      </c>
      <c r="I538" s="171">
        <v>100.0</v>
      </c>
      <c r="J538" s="172">
        <f t="shared" si="2"/>
        <v>0.001496233644</v>
      </c>
      <c r="K538" s="173">
        <f t="shared" si="18"/>
        <v>1.670794236</v>
      </c>
      <c r="L538" s="174">
        <f t="shared" si="4"/>
        <v>5.463329685</v>
      </c>
      <c r="M538" s="175" t="str">
        <f t="shared" si="5"/>
        <v>JessicaZartler</v>
      </c>
      <c r="N538" s="176">
        <f>IFERROR(__xludf.DUMMYFUNCTION("""COMPUTED_VALUE"""),7.0)</f>
        <v>7</v>
      </c>
      <c r="O538" s="176"/>
      <c r="P538" s="165" t="s">
        <v>566</v>
      </c>
      <c r="Q538" s="165" t="s">
        <v>441</v>
      </c>
      <c r="R538" s="176"/>
      <c r="S538" s="176"/>
      <c r="T538" s="176"/>
      <c r="U538" s="176"/>
      <c r="V538" s="176"/>
      <c r="W538" s="176"/>
      <c r="X538" s="176"/>
      <c r="Y538" s="176"/>
      <c r="Z538" s="176"/>
      <c r="AA538" s="176"/>
    </row>
    <row r="539">
      <c r="A539" s="165" t="str">
        <f>iferror(VLOOKUP(P539,'DO NOT TOUCH Imported'!$A$1:$D$800,4,False),iferror(VLOOKUP(P539,'DO NOT TOUCH Imported'!$C$1:$D$800,2,False),"OOPS FIX ME"))</f>
        <v>JessicaZartler</v>
      </c>
      <c r="B539" s="165" t="s">
        <v>441</v>
      </c>
      <c r="C539" s="170" t="s">
        <v>1656</v>
      </c>
      <c r="D539" s="236" t="s">
        <v>437</v>
      </c>
      <c r="E539" s="239">
        <v>44274.0</v>
      </c>
      <c r="F539" s="170" t="s">
        <v>439</v>
      </c>
      <c r="G539" s="170">
        <v>15.0</v>
      </c>
      <c r="H539" s="171">
        <v>200.0</v>
      </c>
      <c r="I539" s="171">
        <v>100.0</v>
      </c>
      <c r="J539" s="172">
        <f t="shared" si="2"/>
        <v>0.001496233644</v>
      </c>
      <c r="K539" s="173">
        <f t="shared" si="18"/>
        <v>1.670794236</v>
      </c>
      <c r="L539" s="174">
        <f t="shared" si="4"/>
        <v>5.463329685</v>
      </c>
      <c r="M539" s="175" t="str">
        <f t="shared" si="5"/>
        <v>JessicaZartler</v>
      </c>
      <c r="N539" s="176">
        <f>IFERROR(__xludf.DUMMYFUNCTION("""COMPUTED_VALUE"""),8.0)</f>
        <v>8</v>
      </c>
      <c r="O539" s="176"/>
      <c r="P539" s="165" t="s">
        <v>566</v>
      </c>
      <c r="Q539" s="165" t="s">
        <v>441</v>
      </c>
      <c r="R539" s="176"/>
      <c r="S539" s="176"/>
      <c r="T539" s="176"/>
      <c r="U539" s="176"/>
      <c r="V539" s="176"/>
      <c r="W539" s="176"/>
      <c r="X539" s="176"/>
      <c r="Y539" s="176"/>
      <c r="Z539" s="176"/>
      <c r="AA539" s="176"/>
    </row>
    <row r="540">
      <c r="A540" s="165" t="str">
        <f>iferror(VLOOKUP(P540,'DO NOT TOUCH Imported'!$A$1:$D$800,4,False),iferror(VLOOKUP(P540,'DO NOT TOUCH Imported'!$C$1:$D$800,2,False),"OOPS FIX ME"))</f>
        <v>JessicaZartler</v>
      </c>
      <c r="B540" s="165" t="s">
        <v>441</v>
      </c>
      <c r="C540" s="170" t="s">
        <v>1591</v>
      </c>
      <c r="D540" s="236" t="s">
        <v>437</v>
      </c>
      <c r="E540" s="239">
        <v>44274.0</v>
      </c>
      <c r="F540" s="170" t="s">
        <v>439</v>
      </c>
      <c r="G540" s="170">
        <v>15.0</v>
      </c>
      <c r="H540" s="171">
        <v>200.0</v>
      </c>
      <c r="I540" s="171">
        <v>100.0</v>
      </c>
      <c r="J540" s="172">
        <f t="shared" si="2"/>
        <v>0.001496233644</v>
      </c>
      <c r="K540" s="173">
        <f t="shared" si="18"/>
        <v>1.670794236</v>
      </c>
      <c r="L540" s="174">
        <f t="shared" si="4"/>
        <v>5.463329685</v>
      </c>
      <c r="M540" s="175" t="str">
        <f t="shared" si="5"/>
        <v>JessicaZartler</v>
      </c>
      <c r="N540" s="176">
        <f>IFERROR(__xludf.DUMMYFUNCTION("""COMPUTED_VALUE"""),9.0)</f>
        <v>9</v>
      </c>
      <c r="O540" s="176"/>
      <c r="P540" s="165" t="s">
        <v>566</v>
      </c>
      <c r="Q540" s="165" t="s">
        <v>441</v>
      </c>
      <c r="R540" s="176"/>
      <c r="S540" s="176"/>
      <c r="T540" s="176"/>
      <c r="U540" s="176"/>
      <c r="V540" s="176"/>
      <c r="W540" s="176"/>
      <c r="X540" s="176"/>
      <c r="Y540" s="176"/>
      <c r="Z540" s="176"/>
      <c r="AA540" s="176"/>
    </row>
    <row r="541">
      <c r="A541" s="165" t="str">
        <f>iferror(VLOOKUP(P541,'DO NOT TOUCH Imported'!$A$1:$D$800,4,False),iferror(VLOOKUP(P541,'DO NOT TOUCH Imported'!$C$1:$D$800,2,False),"OOPS FIX ME"))</f>
        <v>JessicaZartler</v>
      </c>
      <c r="B541" s="165" t="s">
        <v>441</v>
      </c>
      <c r="C541" s="170" t="s">
        <v>1593</v>
      </c>
      <c r="D541" s="236" t="s">
        <v>437</v>
      </c>
      <c r="E541" s="239">
        <v>44274.0</v>
      </c>
      <c r="F541" s="170" t="s">
        <v>439</v>
      </c>
      <c r="G541" s="170">
        <v>25.0</v>
      </c>
      <c r="H541" s="171">
        <v>150.0</v>
      </c>
      <c r="I541" s="171">
        <v>100.0</v>
      </c>
      <c r="J541" s="172">
        <f t="shared" si="2"/>
        <v>0.001444187573</v>
      </c>
      <c r="K541" s="173">
        <f t="shared" si="18"/>
        <v>1.612676123</v>
      </c>
      <c r="L541" s="174">
        <f t="shared" si="4"/>
        <v>5.463329685</v>
      </c>
      <c r="M541" s="175" t="str">
        <f t="shared" si="5"/>
        <v>JessicaZartler</v>
      </c>
      <c r="N541" s="176">
        <f>IFERROR(__xludf.DUMMYFUNCTION("""COMPUTED_VALUE"""),10.0)</f>
        <v>10</v>
      </c>
      <c r="O541" s="176"/>
      <c r="P541" s="165" t="s">
        <v>566</v>
      </c>
      <c r="Q541" s="165" t="s">
        <v>441</v>
      </c>
      <c r="R541" s="176"/>
      <c r="S541" s="176"/>
      <c r="T541" s="176"/>
      <c r="U541" s="176"/>
      <c r="V541" s="176"/>
      <c r="W541" s="176"/>
      <c r="X541" s="176"/>
      <c r="Y541" s="176"/>
      <c r="Z541" s="176"/>
      <c r="AA541" s="176"/>
    </row>
    <row r="542">
      <c r="A542" s="165" t="str">
        <f>iferror(VLOOKUP(P542,'DO NOT TOUCH Imported'!$A$1:$D$800,4,False),iferror(VLOOKUP(P542,'DO NOT TOUCH Imported'!$C$1:$D$800,2,False),"OOPS FIX ME"))</f>
        <v>JessicaZartler</v>
      </c>
      <c r="B542" s="165" t="s">
        <v>441</v>
      </c>
      <c r="C542" s="170" t="s">
        <v>1680</v>
      </c>
      <c r="D542" s="236" t="s">
        <v>437</v>
      </c>
      <c r="E542" s="239">
        <v>44274.0</v>
      </c>
      <c r="F542" s="170" t="s">
        <v>439</v>
      </c>
      <c r="G542" s="170">
        <v>15.0</v>
      </c>
      <c r="H542" s="171">
        <v>150.0</v>
      </c>
      <c r="I542" s="171">
        <v>100.0</v>
      </c>
      <c r="J542" s="172">
        <f t="shared" si="2"/>
        <v>0.001286471305</v>
      </c>
      <c r="K542" s="173">
        <f t="shared" si="18"/>
        <v>1.436559624</v>
      </c>
      <c r="L542" s="174">
        <f t="shared" si="4"/>
        <v>5.463329685</v>
      </c>
      <c r="M542" s="175" t="str">
        <f t="shared" si="5"/>
        <v>JessicaZartler</v>
      </c>
      <c r="N542" s="176">
        <f>IFERROR(__xludf.DUMMYFUNCTION("""COMPUTED_VALUE"""),11.0)</f>
        <v>11</v>
      </c>
      <c r="O542" s="176"/>
      <c r="P542" s="165" t="s">
        <v>566</v>
      </c>
      <c r="Q542" s="165" t="s">
        <v>441</v>
      </c>
      <c r="R542" s="176"/>
      <c r="S542" s="176"/>
      <c r="T542" s="176"/>
      <c r="U542" s="176"/>
      <c r="V542" s="176"/>
      <c r="W542" s="176"/>
      <c r="X542" s="176"/>
      <c r="Y542" s="176"/>
      <c r="Z542" s="176"/>
      <c r="AA542" s="176"/>
    </row>
    <row r="543">
      <c r="A543" s="165" t="str">
        <f>iferror(VLOOKUP(P543,'DO NOT TOUCH Imported'!$A$1:$D$800,4,False),iferror(VLOOKUP(P543,'DO NOT TOUCH Imported'!$C$1:$D$800,2,False),"OOPS FIX ME"))</f>
        <v>JessicaZartler</v>
      </c>
      <c r="B543" s="165" t="s">
        <v>441</v>
      </c>
      <c r="C543" s="170" t="s">
        <v>1826</v>
      </c>
      <c r="D543" s="236" t="s">
        <v>437</v>
      </c>
      <c r="E543" s="239">
        <v>44274.0</v>
      </c>
      <c r="F543" s="170" t="s">
        <v>439</v>
      </c>
      <c r="G543" s="170">
        <v>15.0</v>
      </c>
      <c r="H543" s="171">
        <v>150.0</v>
      </c>
      <c r="I543" s="171">
        <v>100.0</v>
      </c>
      <c r="J543" s="172">
        <f t="shared" si="2"/>
        <v>0.001286471305</v>
      </c>
      <c r="K543" s="173">
        <f t="shared" si="18"/>
        <v>1.436559624</v>
      </c>
      <c r="L543" s="174">
        <f t="shared" si="4"/>
        <v>5.463329685</v>
      </c>
      <c r="M543" s="175" t="str">
        <f t="shared" si="5"/>
        <v>JessicaZartler</v>
      </c>
      <c r="N543" s="176">
        <f>IFERROR(__xludf.DUMMYFUNCTION("""COMPUTED_VALUE"""),12.0)</f>
        <v>12</v>
      </c>
      <c r="O543" s="176"/>
      <c r="P543" s="165" t="s">
        <v>566</v>
      </c>
      <c r="Q543" s="165" t="s">
        <v>441</v>
      </c>
      <c r="R543" s="176"/>
      <c r="S543" s="176"/>
      <c r="T543" s="176"/>
      <c r="U543" s="176"/>
      <c r="V543" s="176"/>
      <c r="W543" s="176"/>
      <c r="X543" s="176"/>
      <c r="Y543" s="176"/>
      <c r="Z543" s="176"/>
      <c r="AA543" s="176"/>
    </row>
    <row r="544">
      <c r="A544" s="165" t="str">
        <f>iferror(VLOOKUP(P544,'DO NOT TOUCH Imported'!$A$1:$D$800,4,False),iferror(VLOOKUP(P544,'DO NOT TOUCH Imported'!$C$1:$D$800,2,False),"OOPS FIX ME"))</f>
        <v>JessicaZartler</v>
      </c>
      <c r="B544" s="165" t="s">
        <v>435</v>
      </c>
      <c r="C544" s="170" t="s">
        <v>1827</v>
      </c>
      <c r="D544" s="236" t="s">
        <v>499</v>
      </c>
      <c r="E544" s="239">
        <v>44278.0</v>
      </c>
      <c r="F544" s="170" t="s">
        <v>503</v>
      </c>
      <c r="G544" s="170">
        <v>15.0</v>
      </c>
      <c r="H544" s="171">
        <v>150.0</v>
      </c>
      <c r="I544" s="171">
        <v>100.0</v>
      </c>
      <c r="J544" s="172">
        <f t="shared" si="2"/>
        <v>0.001286471305</v>
      </c>
      <c r="K544" s="173">
        <f t="shared" si="18"/>
        <v>1.436559624</v>
      </c>
      <c r="L544" s="174">
        <f t="shared" si="4"/>
        <v>5.463329685</v>
      </c>
      <c r="M544" s="175" t="str">
        <f t="shared" si="5"/>
        <v>JessicaZartler</v>
      </c>
      <c r="N544" s="176">
        <f>IFERROR(__xludf.DUMMYFUNCTION("""COMPUTED_VALUE"""),13.0)</f>
        <v>13</v>
      </c>
      <c r="O544" s="176"/>
      <c r="P544" s="165" t="s">
        <v>566</v>
      </c>
      <c r="Q544" s="165" t="s">
        <v>435</v>
      </c>
      <c r="R544" s="176"/>
      <c r="S544" s="176"/>
      <c r="T544" s="176"/>
      <c r="U544" s="176"/>
      <c r="V544" s="176"/>
      <c r="W544" s="176"/>
      <c r="X544" s="176"/>
      <c r="Y544" s="176"/>
      <c r="Z544" s="176"/>
      <c r="AA544" s="176"/>
    </row>
    <row r="545">
      <c r="A545" s="165" t="str">
        <f>iferror(VLOOKUP(P545,'DO NOT TOUCH Imported'!$A$1:$D$800,4,False),iferror(VLOOKUP(P545,'DO NOT TOUCH Imported'!$C$1:$D$800,2,False),"OOPS FIX ME"))</f>
        <v>JessicaZartler</v>
      </c>
      <c r="B545" s="165" t="s">
        <v>450</v>
      </c>
      <c r="C545" s="170" t="s">
        <v>1645</v>
      </c>
      <c r="D545" s="236" t="s">
        <v>499</v>
      </c>
      <c r="E545" s="239">
        <v>44273.0</v>
      </c>
      <c r="F545" s="170" t="s">
        <v>1646</v>
      </c>
      <c r="G545" s="170">
        <v>25.0</v>
      </c>
      <c r="H545" s="171">
        <v>100.0</v>
      </c>
      <c r="I545" s="171">
        <v>100.0</v>
      </c>
      <c r="J545" s="172">
        <f t="shared" si="2"/>
        <v>0.001234425234</v>
      </c>
      <c r="K545" s="173">
        <f t="shared" si="18"/>
        <v>1.378441511</v>
      </c>
      <c r="L545" s="174">
        <f t="shared" si="4"/>
        <v>5.463329685</v>
      </c>
      <c r="M545" s="175" t="str">
        <f t="shared" si="5"/>
        <v>JessicaZartler</v>
      </c>
      <c r="N545" s="176">
        <f>IFERROR(__xludf.DUMMYFUNCTION("""COMPUTED_VALUE"""),14.0)</f>
        <v>14</v>
      </c>
      <c r="O545" s="176"/>
      <c r="P545" s="165" t="s">
        <v>566</v>
      </c>
      <c r="Q545" s="165" t="s">
        <v>450</v>
      </c>
      <c r="R545" s="176"/>
      <c r="S545" s="176"/>
      <c r="T545" s="176"/>
      <c r="U545" s="176"/>
      <c r="V545" s="176"/>
      <c r="W545" s="176"/>
      <c r="X545" s="176"/>
      <c r="Y545" s="176"/>
      <c r="Z545" s="176"/>
      <c r="AA545" s="176"/>
    </row>
    <row r="546">
      <c r="A546" s="165" t="str">
        <f>iferror(VLOOKUP(P546,'DO NOT TOUCH Imported'!$A$1:$D$800,4,False),iferror(VLOOKUP(P546,'DO NOT TOUCH Imported'!$C$1:$D$800,2,False),"OOPS FIX ME"))</f>
        <v>JessicaZartler</v>
      </c>
      <c r="B546" s="165" t="s">
        <v>441</v>
      </c>
      <c r="C546" s="170" t="s">
        <v>1595</v>
      </c>
      <c r="D546" s="236" t="s">
        <v>437</v>
      </c>
      <c r="E546" s="239">
        <v>44281.0</v>
      </c>
      <c r="F546" s="170" t="s">
        <v>439</v>
      </c>
      <c r="G546" s="170">
        <v>25.0</v>
      </c>
      <c r="H546" s="171">
        <v>100.0</v>
      </c>
      <c r="I546" s="171">
        <v>100.0</v>
      </c>
      <c r="J546" s="172">
        <f t="shared" si="2"/>
        <v>0.001234425234</v>
      </c>
      <c r="K546" s="173">
        <f t="shared" si="18"/>
        <v>1.378441511</v>
      </c>
      <c r="L546" s="174">
        <f t="shared" si="4"/>
        <v>5.463329685</v>
      </c>
      <c r="M546" s="175" t="str">
        <f t="shared" si="5"/>
        <v>JessicaZartler</v>
      </c>
      <c r="N546" s="176">
        <f>IFERROR(__xludf.DUMMYFUNCTION("""COMPUTED_VALUE"""),15.0)</f>
        <v>15</v>
      </c>
      <c r="O546" s="176"/>
      <c r="P546" s="165" t="s">
        <v>566</v>
      </c>
      <c r="Q546" s="165" t="s">
        <v>441</v>
      </c>
      <c r="R546" s="176"/>
      <c r="S546" s="176"/>
      <c r="T546" s="176"/>
      <c r="U546" s="176"/>
      <c r="V546" s="176"/>
      <c r="W546" s="176"/>
      <c r="X546" s="176"/>
      <c r="Y546" s="176"/>
      <c r="Z546" s="176"/>
      <c r="AA546" s="176"/>
    </row>
    <row r="547">
      <c r="A547" s="165" t="str">
        <f>iferror(VLOOKUP(P547,'DO NOT TOUCH Imported'!$A$1:$D$800,4,False),iferror(VLOOKUP(P547,'DO NOT TOUCH Imported'!$C$1:$D$800,2,False),"OOPS FIX ME"))</f>
        <v>JessicaZartler</v>
      </c>
      <c r="B547" s="249" t="s">
        <v>867</v>
      </c>
      <c r="C547" s="250" t="s">
        <v>1828</v>
      </c>
      <c r="D547" s="236" t="s">
        <v>1584</v>
      </c>
      <c r="E547" s="251">
        <v>44277.0</v>
      </c>
      <c r="F547" s="219" t="s">
        <v>545</v>
      </c>
      <c r="G547" s="170">
        <v>15.0</v>
      </c>
      <c r="H547" s="171">
        <v>100.0</v>
      </c>
      <c r="I547" s="171">
        <v>100.0</v>
      </c>
      <c r="J547" s="172">
        <f t="shared" si="2"/>
        <v>0.001076708966</v>
      </c>
      <c r="K547" s="173">
        <f t="shared" si="18"/>
        <v>1.202325011</v>
      </c>
      <c r="L547" s="174">
        <f t="shared" si="4"/>
        <v>5.463329685</v>
      </c>
      <c r="M547" s="175" t="str">
        <f t="shared" si="5"/>
        <v>JessicaZartler</v>
      </c>
      <c r="N547" s="176">
        <f>IFERROR(__xludf.DUMMYFUNCTION("""COMPUTED_VALUE"""),16.0)</f>
        <v>16</v>
      </c>
      <c r="O547" s="176"/>
      <c r="P547" s="249" t="s">
        <v>14</v>
      </c>
      <c r="Q547" s="249" t="s">
        <v>867</v>
      </c>
      <c r="R547" s="176"/>
      <c r="S547" s="176"/>
      <c r="T547" s="176"/>
      <c r="U547" s="176"/>
      <c r="V547" s="176"/>
      <c r="W547" s="176"/>
      <c r="X547" s="176"/>
      <c r="Y547" s="176"/>
      <c r="Z547" s="176"/>
      <c r="AA547" s="176"/>
    </row>
    <row r="548">
      <c r="A548" s="165" t="str">
        <f>iferror(VLOOKUP(P548,'DO NOT TOUCH Imported'!$A$1:$D$800,4,False),iferror(VLOOKUP(P548,'DO NOT TOUCH Imported'!$C$1:$D$800,2,False),"OOPS FIX ME"))</f>
        <v>JessicaZartler</v>
      </c>
      <c r="B548" s="165" t="s">
        <v>443</v>
      </c>
      <c r="C548" s="170" t="s">
        <v>1603</v>
      </c>
      <c r="D548" s="236" t="s">
        <v>437</v>
      </c>
      <c r="E548" s="239">
        <v>44277.0</v>
      </c>
      <c r="F548" s="170" t="s">
        <v>439</v>
      </c>
      <c r="G548" s="170">
        <v>15.0</v>
      </c>
      <c r="H548" s="171">
        <v>100.0</v>
      </c>
      <c r="I548" s="171">
        <v>100.0</v>
      </c>
      <c r="J548" s="172">
        <f t="shared" si="2"/>
        <v>0.001076708966</v>
      </c>
      <c r="K548" s="173">
        <f t="shared" si="18"/>
        <v>1.202325011</v>
      </c>
      <c r="L548" s="174">
        <f t="shared" si="4"/>
        <v>5.463329685</v>
      </c>
      <c r="M548" s="175" t="str">
        <f t="shared" si="5"/>
        <v>JessicaZartler</v>
      </c>
      <c r="N548" s="176">
        <f>IFERROR(__xludf.DUMMYFUNCTION("""COMPUTED_VALUE"""),17.0)</f>
        <v>17</v>
      </c>
      <c r="O548" s="176"/>
      <c r="P548" s="165" t="s">
        <v>566</v>
      </c>
      <c r="Q548" s="165" t="s">
        <v>443</v>
      </c>
      <c r="R548" s="176"/>
      <c r="S548" s="176"/>
      <c r="T548" s="176"/>
      <c r="U548" s="176"/>
      <c r="V548" s="176"/>
      <c r="W548" s="176"/>
      <c r="X548" s="176"/>
      <c r="Y548" s="176"/>
      <c r="Z548" s="176"/>
      <c r="AA548" s="176"/>
    </row>
    <row r="549">
      <c r="A549" s="165" t="str">
        <f>iferror(VLOOKUP(P549,'DO NOT TOUCH Imported'!$A$1:$D$800,4,False),iferror(VLOOKUP(P549,'DO NOT TOUCH Imported'!$C$1:$D$800,2,False),"OOPS FIX ME"))</f>
        <v>JessicaZartler</v>
      </c>
      <c r="B549" s="165" t="s">
        <v>443</v>
      </c>
      <c r="C549" s="170" t="s">
        <v>1652</v>
      </c>
      <c r="D549" s="236" t="s">
        <v>437</v>
      </c>
      <c r="E549" s="239">
        <v>44279.0</v>
      </c>
      <c r="F549" s="170" t="s">
        <v>439</v>
      </c>
      <c r="G549" s="170">
        <v>15.0</v>
      </c>
      <c r="H549" s="171">
        <v>100.0</v>
      </c>
      <c r="I549" s="171">
        <v>100.0</v>
      </c>
      <c r="J549" s="172">
        <f t="shared" si="2"/>
        <v>0.001076708966</v>
      </c>
      <c r="K549" s="173">
        <f t="shared" si="18"/>
        <v>1.202325011</v>
      </c>
      <c r="L549" s="174">
        <f t="shared" si="4"/>
        <v>5.463329685</v>
      </c>
      <c r="M549" s="175" t="str">
        <f t="shared" si="5"/>
        <v>JessicaZartler</v>
      </c>
      <c r="N549" s="176">
        <f>IFERROR(__xludf.DUMMYFUNCTION("""COMPUTED_VALUE"""),18.0)</f>
        <v>18</v>
      </c>
      <c r="O549" s="176"/>
      <c r="P549" s="165" t="s">
        <v>566</v>
      </c>
      <c r="Q549" s="165" t="s">
        <v>443</v>
      </c>
      <c r="R549" s="176"/>
      <c r="S549" s="176"/>
      <c r="T549" s="176"/>
      <c r="U549" s="176"/>
      <c r="V549" s="176"/>
      <c r="W549" s="176"/>
      <c r="X549" s="176"/>
      <c r="Y549" s="176"/>
      <c r="Z549" s="176"/>
      <c r="AA549" s="176"/>
    </row>
    <row r="550">
      <c r="A550" s="165" t="str">
        <f>iferror(VLOOKUP(P550,'DO NOT TOUCH Imported'!$A$1:$D$800,4,False),iferror(VLOOKUP(P550,'DO NOT TOUCH Imported'!$C$1:$D$800,2,False),"OOPS FIX ME"))</f>
        <v>JessicaZartler</v>
      </c>
      <c r="B550" s="165" t="s">
        <v>441</v>
      </c>
      <c r="C550" s="170" t="s">
        <v>1612</v>
      </c>
      <c r="D550" s="236" t="s">
        <v>437</v>
      </c>
      <c r="E550" s="239">
        <v>44281.0</v>
      </c>
      <c r="F550" s="170" t="s">
        <v>439</v>
      </c>
      <c r="G550" s="170">
        <v>15.0</v>
      </c>
      <c r="H550" s="171">
        <v>100.0</v>
      </c>
      <c r="I550" s="171">
        <v>100.0</v>
      </c>
      <c r="J550" s="172">
        <f t="shared" si="2"/>
        <v>0.001076708966</v>
      </c>
      <c r="K550" s="173">
        <f t="shared" si="18"/>
        <v>1.202325011</v>
      </c>
      <c r="L550" s="174">
        <f t="shared" si="4"/>
        <v>5.463329685</v>
      </c>
      <c r="M550" s="175" t="str">
        <f t="shared" si="5"/>
        <v>JessicaZartler</v>
      </c>
      <c r="N550" s="176">
        <f>IFERROR(__xludf.DUMMYFUNCTION("""COMPUTED_VALUE"""),19.0)</f>
        <v>19</v>
      </c>
      <c r="O550" s="176"/>
      <c r="P550" s="165" t="s">
        <v>566</v>
      </c>
      <c r="Q550" s="165" t="s">
        <v>441</v>
      </c>
      <c r="R550" s="176"/>
      <c r="S550" s="176"/>
      <c r="T550" s="176"/>
      <c r="U550" s="176"/>
      <c r="V550" s="176"/>
      <c r="W550" s="176"/>
      <c r="X550" s="176"/>
      <c r="Y550" s="176"/>
      <c r="Z550" s="176"/>
      <c r="AA550" s="176"/>
    </row>
    <row r="551">
      <c r="A551" s="165" t="str">
        <f>iferror(VLOOKUP(P551,'DO NOT TOUCH Imported'!$A$1:$D$800,4,False),iferror(VLOOKUP(P551,'DO NOT TOUCH Imported'!$C$1:$D$800,2,False),"OOPS FIX ME"))</f>
        <v>JessicaZartler</v>
      </c>
      <c r="B551" s="249" t="s">
        <v>590</v>
      </c>
      <c r="C551" s="250" t="s">
        <v>1608</v>
      </c>
      <c r="D551" s="236" t="s">
        <v>1584</v>
      </c>
      <c r="E551" s="251">
        <v>44271.0</v>
      </c>
      <c r="F551" s="219" t="s">
        <v>496</v>
      </c>
      <c r="G551" s="170">
        <v>25.0</v>
      </c>
      <c r="H551" s="171">
        <v>50.0</v>
      </c>
      <c r="I551" s="171">
        <v>100.0</v>
      </c>
      <c r="J551" s="172">
        <f t="shared" si="2"/>
        <v>0.001024662895</v>
      </c>
      <c r="K551" s="173">
        <f t="shared" si="18"/>
        <v>1.144206899</v>
      </c>
      <c r="L551" s="174">
        <f t="shared" si="4"/>
        <v>5.463329685</v>
      </c>
      <c r="M551" s="175" t="str">
        <f t="shared" si="5"/>
        <v>JessicaZartler</v>
      </c>
      <c r="N551" s="176">
        <f>IFERROR(__xludf.DUMMYFUNCTION("""COMPUTED_VALUE"""),20.0)</f>
        <v>20</v>
      </c>
      <c r="O551" s="176"/>
      <c r="P551" s="249" t="s">
        <v>14</v>
      </c>
      <c r="Q551" s="249" t="s">
        <v>590</v>
      </c>
      <c r="R551" s="176"/>
      <c r="S551" s="176"/>
      <c r="T551" s="176"/>
      <c r="U551" s="176"/>
      <c r="V551" s="176"/>
      <c r="W551" s="176"/>
      <c r="X551" s="176"/>
      <c r="Y551" s="176"/>
      <c r="Z551" s="176"/>
      <c r="AA551" s="176"/>
    </row>
    <row r="552">
      <c r="A552" s="165" t="str">
        <f>iferror(VLOOKUP(P552,'DO NOT TOUCH Imported'!$A$1:$D$800,4,False),iferror(VLOOKUP(P552,'DO NOT TOUCH Imported'!$C$1:$D$800,2,False),"OOPS FIX ME"))</f>
        <v>JessicaZartler</v>
      </c>
      <c r="B552" s="165" t="s">
        <v>443</v>
      </c>
      <c r="C552" s="170" t="s">
        <v>1616</v>
      </c>
      <c r="D552" s="236" t="s">
        <v>437</v>
      </c>
      <c r="E552" s="239">
        <v>44280.0</v>
      </c>
      <c r="F552" s="170" t="s">
        <v>439</v>
      </c>
      <c r="G552" s="170">
        <v>5.0</v>
      </c>
      <c r="H552" s="171">
        <v>100.0</v>
      </c>
      <c r="I552" s="171">
        <v>100.0</v>
      </c>
      <c r="J552" s="172">
        <f t="shared" si="2"/>
        <v>0.0009189926971</v>
      </c>
      <c r="K552" s="173">
        <f t="shared" si="18"/>
        <v>1.026208512</v>
      </c>
      <c r="L552" s="174">
        <f t="shared" si="4"/>
        <v>5.463329685</v>
      </c>
      <c r="M552" s="175" t="str">
        <f t="shared" si="5"/>
        <v>JessicaZartler</v>
      </c>
      <c r="N552" s="176">
        <f>IFERROR(__xludf.DUMMYFUNCTION("""COMPUTED_VALUE"""),21.0)</f>
        <v>21</v>
      </c>
      <c r="O552" s="176"/>
      <c r="P552" s="165" t="s">
        <v>566</v>
      </c>
      <c r="Q552" s="165" t="s">
        <v>443</v>
      </c>
      <c r="R552" s="176"/>
      <c r="S552" s="176"/>
      <c r="T552" s="176"/>
      <c r="U552" s="176"/>
      <c r="V552" s="176"/>
      <c r="W552" s="176"/>
      <c r="X552" s="176"/>
      <c r="Y552" s="176"/>
      <c r="Z552" s="176"/>
      <c r="AA552" s="176"/>
    </row>
    <row r="553">
      <c r="A553" s="165" t="str">
        <f>iferror(VLOOKUP(P553,'DO NOT TOUCH Imported'!$A$1:$D$800,4,False),iferror(VLOOKUP(P553,'DO NOT TOUCH Imported'!$C$1:$D$800,2,False),"OOPS FIX ME"))</f>
        <v>JessicaZartler</v>
      </c>
      <c r="B553" s="249" t="s">
        <v>10</v>
      </c>
      <c r="C553" s="250" t="s">
        <v>498</v>
      </c>
      <c r="D553" s="236" t="s">
        <v>1584</v>
      </c>
      <c r="E553" s="251">
        <v>44274.0</v>
      </c>
      <c r="F553" s="219" t="s">
        <v>499</v>
      </c>
      <c r="G553" s="170">
        <v>15.0</v>
      </c>
      <c r="H553" s="171">
        <v>25.0</v>
      </c>
      <c r="I553" s="171">
        <v>100.0</v>
      </c>
      <c r="J553" s="172">
        <f t="shared" si="2"/>
        <v>0.0007620654566</v>
      </c>
      <c r="K553" s="173">
        <f t="shared" si="18"/>
        <v>0.8509730932</v>
      </c>
      <c r="L553" s="174">
        <f t="shared" si="4"/>
        <v>5.463329685</v>
      </c>
      <c r="M553" s="175" t="str">
        <f t="shared" si="5"/>
        <v>JessicaZartler</v>
      </c>
      <c r="N553" s="176">
        <f>IFERROR(__xludf.DUMMYFUNCTION("""COMPUTED_VALUE"""),22.0)</f>
        <v>22</v>
      </c>
      <c r="O553" s="176"/>
      <c r="P553" s="249" t="s">
        <v>14</v>
      </c>
      <c r="Q553" s="249" t="s">
        <v>10</v>
      </c>
      <c r="R553" s="176"/>
      <c r="S553" s="176"/>
      <c r="T553" s="176"/>
      <c r="U553" s="176"/>
      <c r="V553" s="176"/>
      <c r="W553" s="176"/>
      <c r="X553" s="176"/>
      <c r="Y553" s="176"/>
      <c r="Z553" s="176"/>
      <c r="AA553" s="176"/>
    </row>
    <row r="554">
      <c r="A554" s="185" t="str">
        <f>iferror(VLOOKUP(P554,'DO NOT TOUCH Imported'!$A$1:$D$800,4,False),iferror(VLOOKUP(P554,'DO NOT TOUCH Imported'!$C$1:$D$800,2,False),"OOPS FIX ME"))</f>
        <v>JessicaZartler</v>
      </c>
      <c r="B554" s="185" t="s">
        <v>534</v>
      </c>
      <c r="C554" s="186" t="s">
        <v>741</v>
      </c>
      <c r="D554" s="187"/>
      <c r="E554" s="188"/>
      <c r="F554" s="189"/>
      <c r="G554" s="190"/>
      <c r="H554" s="190"/>
      <c r="I554" s="190"/>
      <c r="J554" s="191">
        <f t="shared" si="2"/>
        <v>0</v>
      </c>
      <c r="K554" s="192">
        <f>36.42*-0.85</f>
        <v>-30.957</v>
      </c>
      <c r="L554" s="193">
        <f t="shared" si="4"/>
        <v>5.463329685</v>
      </c>
      <c r="M554" s="194" t="str">
        <f t="shared" si="5"/>
        <v>JessicaZartler</v>
      </c>
      <c r="N554" s="195">
        <f>IFERROR(__xludf.DUMMYFUNCTION("""COMPUTED_VALUE"""),23.0)</f>
        <v>23</v>
      </c>
      <c r="O554" s="195"/>
      <c r="P554" s="185" t="s">
        <v>14</v>
      </c>
      <c r="Q554" s="185" t="s">
        <v>534</v>
      </c>
      <c r="R554" s="195"/>
      <c r="S554" s="195"/>
      <c r="T554" s="195"/>
      <c r="U554" s="195"/>
      <c r="V554" s="195"/>
      <c r="W554" s="195"/>
      <c r="X554" s="195"/>
      <c r="Y554" s="195"/>
      <c r="Z554" s="195"/>
      <c r="AA554" s="176"/>
    </row>
    <row r="555">
      <c r="A555" s="165" t="str">
        <f>iferror(VLOOKUP(P555,'DO NOT TOUCH Imported'!$A$1:$D$800,4,False),iferror(VLOOKUP(P555,'DO NOT TOUCH Imported'!$C$1:$D$800,2,False),"OOPS FIX ME"))</f>
        <v>JessicaZartler</v>
      </c>
      <c r="B555" s="165" t="s">
        <v>441</v>
      </c>
      <c r="C555" s="170" t="s">
        <v>1829</v>
      </c>
      <c r="D555" s="236" t="s">
        <v>437</v>
      </c>
      <c r="E555" s="239">
        <v>44281.0</v>
      </c>
      <c r="F555" s="170" t="s">
        <v>439</v>
      </c>
      <c r="G555" s="170">
        <v>100.0</v>
      </c>
      <c r="H555" s="171">
        <v>250.0</v>
      </c>
      <c r="I555" s="171">
        <v>100.0</v>
      </c>
      <c r="J555" s="172">
        <f t="shared" si="2"/>
        <v>0.003046584265</v>
      </c>
      <c r="K555" s="173">
        <f t="shared" ref="K555:K560" si="19">J555*$J$1</f>
        <v>3.402019096</v>
      </c>
      <c r="L555" s="174">
        <f t="shared" si="4"/>
        <v>5.463329685</v>
      </c>
      <c r="M555" s="175" t="str">
        <f t="shared" si="5"/>
        <v>JessicaZartler</v>
      </c>
      <c r="N555" s="176">
        <f>IFERROR(__xludf.DUMMYFUNCTION("""COMPUTED_VALUE"""),24.0)</f>
        <v>24</v>
      </c>
      <c r="O555" s="176"/>
      <c r="P555" s="165" t="s">
        <v>566</v>
      </c>
      <c r="Q555" s="165" t="s">
        <v>441</v>
      </c>
      <c r="R555" s="176"/>
      <c r="S555" s="176"/>
      <c r="T555" s="176"/>
      <c r="U555" s="176"/>
      <c r="V555" s="176"/>
      <c r="W555" s="176"/>
      <c r="X555" s="176"/>
      <c r="Y555" s="176"/>
      <c r="Z555" s="176"/>
      <c r="AA555" s="176"/>
    </row>
    <row r="556">
      <c r="A556" s="165" t="str">
        <f>iferror(VLOOKUP(P556,'DO NOT TOUCH Imported'!$A$1:$D$800,4,False),iferror(VLOOKUP(P556,'DO NOT TOUCH Imported'!$C$1:$D$800,2,False),"OOPS FIX ME"))</f>
        <v>melvera</v>
      </c>
      <c r="B556" s="165" t="s">
        <v>768</v>
      </c>
      <c r="C556" s="170" t="s">
        <v>1830</v>
      </c>
      <c r="D556" s="236" t="s">
        <v>499</v>
      </c>
      <c r="E556" s="239">
        <v>44272.0</v>
      </c>
      <c r="F556" s="170" t="s">
        <v>1646</v>
      </c>
      <c r="G556" s="170">
        <v>25.0</v>
      </c>
      <c r="H556" s="171">
        <v>100.0</v>
      </c>
      <c r="I556" s="171">
        <v>100.0</v>
      </c>
      <c r="J556" s="172">
        <f t="shared" si="2"/>
        <v>0.001234425234</v>
      </c>
      <c r="K556" s="173">
        <f t="shared" si="19"/>
        <v>1.378441511</v>
      </c>
      <c r="L556" s="174">
        <f t="shared" si="4"/>
        <v>5.450343069</v>
      </c>
      <c r="M556" s="175" t="str">
        <f t="shared" si="5"/>
        <v>melvera</v>
      </c>
      <c r="N556" s="176">
        <f>IFERROR(__xludf.DUMMYFUNCTION("""COMPUTED_VALUE"""),1.0)</f>
        <v>1</v>
      </c>
      <c r="O556" s="176"/>
      <c r="P556" s="165" t="s">
        <v>1831</v>
      </c>
      <c r="Q556" s="165" t="s">
        <v>768</v>
      </c>
      <c r="R556" s="176"/>
      <c r="S556" s="176"/>
      <c r="T556" s="176"/>
      <c r="U556" s="176"/>
      <c r="V556" s="176"/>
      <c r="W556" s="176"/>
      <c r="X556" s="176"/>
      <c r="Y556" s="176"/>
      <c r="Z556" s="176"/>
      <c r="AA556" s="176"/>
    </row>
    <row r="557">
      <c r="A557" s="165" t="str">
        <f>iferror(VLOOKUP(P557,'DO NOT TOUCH Imported'!$A$1:$D$800,4,False),iferror(VLOOKUP(P557,'DO NOT TOUCH Imported'!$C$1:$D$800,2,False),"OOPS FIX ME"))</f>
        <v>melvera</v>
      </c>
      <c r="B557" s="249" t="s">
        <v>879</v>
      </c>
      <c r="C557" s="250" t="s">
        <v>1832</v>
      </c>
      <c r="D557" s="236" t="s">
        <v>1584</v>
      </c>
      <c r="E557" s="251">
        <v>44273.0</v>
      </c>
      <c r="F557" s="219" t="s">
        <v>499</v>
      </c>
      <c r="G557" s="170">
        <v>25.0</v>
      </c>
      <c r="H557" s="171">
        <v>70.0</v>
      </c>
      <c r="I557" s="171">
        <v>100.0</v>
      </c>
      <c r="J557" s="172">
        <f t="shared" si="2"/>
        <v>0.00110856783</v>
      </c>
      <c r="K557" s="173">
        <f t="shared" si="19"/>
        <v>1.237900744</v>
      </c>
      <c r="L557" s="174">
        <f t="shared" si="4"/>
        <v>5.450343069</v>
      </c>
      <c r="M557" s="175" t="str">
        <f t="shared" si="5"/>
        <v>melvera</v>
      </c>
      <c r="N557" s="176">
        <f>IFERROR(__xludf.DUMMYFUNCTION("""COMPUTED_VALUE"""),2.0)</f>
        <v>2</v>
      </c>
      <c r="O557" s="176"/>
      <c r="P557" s="249" t="s">
        <v>158</v>
      </c>
      <c r="Q557" s="249" t="s">
        <v>879</v>
      </c>
      <c r="R557" s="176"/>
      <c r="S557" s="176"/>
      <c r="T557" s="176"/>
      <c r="U557" s="176"/>
      <c r="V557" s="176"/>
      <c r="W557" s="176"/>
      <c r="X557" s="176"/>
      <c r="Y557" s="176"/>
      <c r="Z557" s="176"/>
      <c r="AA557" s="176"/>
    </row>
    <row r="558">
      <c r="A558" s="165" t="str">
        <f>iferror(VLOOKUP(P558,'DO NOT TOUCH Imported'!$A$1:$D$800,4,False),iferror(VLOOKUP(P558,'DO NOT TOUCH Imported'!$C$1:$D$800,2,False),"OOPS FIX ME"))</f>
        <v>melvera</v>
      </c>
      <c r="B558" s="165" t="s">
        <v>530</v>
      </c>
      <c r="C558" s="170" t="s">
        <v>1800</v>
      </c>
      <c r="D558" s="236" t="s">
        <v>499</v>
      </c>
      <c r="E558" s="239">
        <v>44271.0</v>
      </c>
      <c r="F558" s="170" t="s">
        <v>1646</v>
      </c>
      <c r="G558" s="170">
        <v>15.0</v>
      </c>
      <c r="H558" s="171">
        <v>60.0</v>
      </c>
      <c r="I558" s="171">
        <v>100.0</v>
      </c>
      <c r="J558" s="172">
        <f t="shared" si="2"/>
        <v>0.0009088990941</v>
      </c>
      <c r="K558" s="173">
        <f t="shared" si="19"/>
        <v>1.014937322</v>
      </c>
      <c r="L558" s="174">
        <f t="shared" si="4"/>
        <v>5.450343069</v>
      </c>
      <c r="M558" s="175" t="str">
        <f t="shared" si="5"/>
        <v>melvera</v>
      </c>
      <c r="N558" s="176">
        <f>IFERROR(__xludf.DUMMYFUNCTION("""COMPUTED_VALUE"""),3.0)</f>
        <v>3</v>
      </c>
      <c r="O558" s="176"/>
      <c r="P558" s="165" t="s">
        <v>1831</v>
      </c>
      <c r="Q558" s="165" t="s">
        <v>530</v>
      </c>
      <c r="R558" s="176"/>
      <c r="S558" s="176"/>
      <c r="T558" s="176"/>
      <c r="U558" s="176"/>
      <c r="V558" s="176"/>
      <c r="W558" s="176"/>
      <c r="X558" s="176"/>
      <c r="Y558" s="176"/>
      <c r="Z558" s="176"/>
      <c r="AA558" s="176"/>
    </row>
    <row r="559">
      <c r="A559" s="165" t="str">
        <f>iferror(VLOOKUP(P559,'DO NOT TOUCH Imported'!$A$1:$D$800,4,False),iferror(VLOOKUP(P559,'DO NOT TOUCH Imported'!$C$1:$D$800,2,False),"OOPS FIX ME"))</f>
        <v>melvera</v>
      </c>
      <c r="B559" s="165" t="s">
        <v>530</v>
      </c>
      <c r="C559" s="170" t="s">
        <v>1833</v>
      </c>
      <c r="D559" s="236" t="s">
        <v>499</v>
      </c>
      <c r="E559" s="239">
        <v>44273.0</v>
      </c>
      <c r="F559" s="170" t="s">
        <v>1646</v>
      </c>
      <c r="G559" s="170">
        <v>15.0</v>
      </c>
      <c r="H559" s="171">
        <v>50.0</v>
      </c>
      <c r="I559" s="171">
        <v>100.0</v>
      </c>
      <c r="J559" s="172">
        <f t="shared" si="2"/>
        <v>0.0008669466263</v>
      </c>
      <c r="K559" s="173">
        <f t="shared" si="19"/>
        <v>0.9680903993</v>
      </c>
      <c r="L559" s="174">
        <f t="shared" si="4"/>
        <v>5.450343069</v>
      </c>
      <c r="M559" s="175" t="str">
        <f t="shared" si="5"/>
        <v>melvera</v>
      </c>
      <c r="N559" s="176">
        <f>IFERROR(__xludf.DUMMYFUNCTION("""COMPUTED_VALUE"""),4.0)</f>
        <v>4</v>
      </c>
      <c r="O559" s="176"/>
      <c r="P559" s="165" t="s">
        <v>1831</v>
      </c>
      <c r="Q559" s="165" t="s">
        <v>530</v>
      </c>
      <c r="R559" s="176"/>
      <c r="S559" s="176"/>
      <c r="T559" s="176"/>
      <c r="U559" s="176"/>
      <c r="V559" s="176"/>
      <c r="W559" s="176"/>
      <c r="X559" s="176"/>
      <c r="Y559" s="176"/>
      <c r="Z559" s="176"/>
      <c r="AA559" s="176"/>
    </row>
    <row r="560">
      <c r="A560" s="165" t="str">
        <f>iferror(VLOOKUP(P560,'DO NOT TOUCH Imported'!$A$1:$D$800,4,False),iferror(VLOOKUP(P560,'DO NOT TOUCH Imported'!$C$1:$D$800,2,False),"OOPS FIX ME"))</f>
        <v>melvera</v>
      </c>
      <c r="B560" s="249" t="s">
        <v>10</v>
      </c>
      <c r="C560" s="250" t="s">
        <v>498</v>
      </c>
      <c r="D560" s="236" t="s">
        <v>1584</v>
      </c>
      <c r="E560" s="251">
        <v>44274.0</v>
      </c>
      <c r="F560" s="219" t="s">
        <v>499</v>
      </c>
      <c r="G560" s="170">
        <v>15.0</v>
      </c>
      <c r="H560" s="171">
        <v>25.0</v>
      </c>
      <c r="I560" s="171">
        <v>100.0</v>
      </c>
      <c r="J560" s="172">
        <f t="shared" si="2"/>
        <v>0.0007620654566</v>
      </c>
      <c r="K560" s="173">
        <f t="shared" si="19"/>
        <v>0.8509730932</v>
      </c>
      <c r="L560" s="174">
        <f t="shared" si="4"/>
        <v>5.450343069</v>
      </c>
      <c r="M560" s="175" t="str">
        <f t="shared" si="5"/>
        <v>melvera</v>
      </c>
      <c r="N560" s="176">
        <f>IFERROR(__xludf.DUMMYFUNCTION("""COMPUTED_VALUE"""),5.0)</f>
        <v>5</v>
      </c>
      <c r="O560" s="176"/>
      <c r="P560" s="249" t="s">
        <v>158</v>
      </c>
      <c r="Q560" s="249" t="s">
        <v>10</v>
      </c>
      <c r="R560" s="176"/>
      <c r="S560" s="176"/>
      <c r="T560" s="176"/>
      <c r="U560" s="176"/>
      <c r="V560" s="176"/>
      <c r="W560" s="176"/>
      <c r="X560" s="176"/>
      <c r="Y560" s="176"/>
      <c r="Z560" s="176"/>
      <c r="AA560" s="176"/>
    </row>
    <row r="561">
      <c r="A561" s="249" t="s">
        <v>33</v>
      </c>
      <c r="B561" s="249" t="s">
        <v>590</v>
      </c>
      <c r="C561" s="250" t="s">
        <v>1608</v>
      </c>
      <c r="D561" s="252" t="s">
        <v>495</v>
      </c>
      <c r="E561" s="251">
        <v>44271.0</v>
      </c>
      <c r="F561" s="219" t="s">
        <v>496</v>
      </c>
      <c r="G561" s="219"/>
      <c r="H561" s="243"/>
      <c r="I561" s="243"/>
      <c r="J561" s="172">
        <f t="shared" si="2"/>
        <v>0</v>
      </c>
      <c r="K561" s="218">
        <v>1.6277939747327528</v>
      </c>
      <c r="L561" s="174">
        <f t="shared" si="4"/>
        <v>5.372117444</v>
      </c>
      <c r="M561" s="175" t="str">
        <f t="shared" si="5"/>
        <v>vegayp</v>
      </c>
      <c r="N561" s="176">
        <f>IFERROR(__xludf.DUMMYFUNCTION("""COMPUTED_VALUE"""),1.0)</f>
        <v>1</v>
      </c>
      <c r="O561" s="176"/>
      <c r="P561" s="243"/>
      <c r="Q561" s="243"/>
      <c r="R561" s="176"/>
      <c r="S561" s="176"/>
      <c r="T561" s="176"/>
      <c r="U561" s="176"/>
      <c r="V561" s="176"/>
      <c r="W561" s="176"/>
      <c r="X561" s="176"/>
      <c r="Y561" s="176"/>
      <c r="Z561" s="176"/>
      <c r="AA561" s="176"/>
    </row>
    <row r="562">
      <c r="A562" s="249" t="s">
        <v>33</v>
      </c>
      <c r="B562" s="249" t="s">
        <v>867</v>
      </c>
      <c r="C562" s="250" t="s">
        <v>1644</v>
      </c>
      <c r="D562" s="252" t="s">
        <v>495</v>
      </c>
      <c r="E562" s="251">
        <v>44271.0</v>
      </c>
      <c r="F562" s="219" t="s">
        <v>496</v>
      </c>
      <c r="G562" s="219"/>
      <c r="H562" s="243"/>
      <c r="I562" s="243"/>
      <c r="J562" s="172">
        <f t="shared" si="2"/>
        <v>0</v>
      </c>
      <c r="K562" s="218">
        <v>1.6277939747327528</v>
      </c>
      <c r="L562" s="174">
        <f t="shared" si="4"/>
        <v>5.372117444</v>
      </c>
      <c r="M562" s="175" t="str">
        <f t="shared" si="5"/>
        <v>vegayp</v>
      </c>
      <c r="N562" s="176">
        <f>IFERROR(__xludf.DUMMYFUNCTION("""COMPUTED_VALUE"""),2.0)</f>
        <v>2</v>
      </c>
      <c r="O562" s="176"/>
      <c r="P562" s="243"/>
      <c r="Q562" s="243"/>
      <c r="R562" s="176"/>
      <c r="S562" s="176"/>
      <c r="T562" s="176"/>
      <c r="U562" s="176"/>
      <c r="V562" s="176"/>
      <c r="W562" s="176"/>
      <c r="X562" s="176"/>
      <c r="Y562" s="176"/>
      <c r="Z562" s="176"/>
      <c r="AA562" s="176"/>
    </row>
    <row r="563">
      <c r="A563" s="249" t="s">
        <v>33</v>
      </c>
      <c r="B563" s="249" t="s">
        <v>10</v>
      </c>
      <c r="C563" s="250" t="s">
        <v>498</v>
      </c>
      <c r="D563" s="252" t="s">
        <v>495</v>
      </c>
      <c r="E563" s="251">
        <v>44274.0</v>
      </c>
      <c r="F563" s="219" t="s">
        <v>499</v>
      </c>
      <c r="G563" s="219"/>
      <c r="H563" s="243"/>
      <c r="I563" s="243"/>
      <c r="J563" s="172">
        <f t="shared" si="2"/>
        <v>0</v>
      </c>
      <c r="K563" s="218">
        <v>1.6277939747327528</v>
      </c>
      <c r="L563" s="174">
        <f t="shared" si="4"/>
        <v>5.372117444</v>
      </c>
      <c r="M563" s="175" t="str">
        <f t="shared" si="5"/>
        <v>vegayp</v>
      </c>
      <c r="N563" s="176">
        <f>IFERROR(__xludf.DUMMYFUNCTION("""COMPUTED_VALUE"""),3.0)</f>
        <v>3</v>
      </c>
      <c r="O563" s="176"/>
      <c r="P563" s="243"/>
      <c r="Q563" s="243"/>
      <c r="R563" s="176"/>
      <c r="S563" s="176"/>
      <c r="T563" s="176"/>
      <c r="U563" s="176"/>
      <c r="V563" s="176"/>
      <c r="W563" s="176"/>
      <c r="X563" s="176"/>
      <c r="Y563" s="176"/>
      <c r="Z563" s="176"/>
      <c r="AA563" s="176"/>
    </row>
    <row r="564">
      <c r="A564" s="249" t="s">
        <v>33</v>
      </c>
      <c r="B564" s="249" t="s">
        <v>590</v>
      </c>
      <c r="C564" s="250" t="s">
        <v>1619</v>
      </c>
      <c r="D564" s="252" t="s">
        <v>495</v>
      </c>
      <c r="E564" s="251">
        <v>44278.0</v>
      </c>
      <c r="F564" s="219" t="s">
        <v>496</v>
      </c>
      <c r="G564" s="219"/>
      <c r="H564" s="243"/>
      <c r="I564" s="243"/>
      <c r="J564" s="172">
        <f t="shared" si="2"/>
        <v>0</v>
      </c>
      <c r="K564" s="218">
        <v>1.6277939747327528</v>
      </c>
      <c r="L564" s="174">
        <f t="shared" si="4"/>
        <v>5.372117444</v>
      </c>
      <c r="M564" s="175" t="str">
        <f t="shared" si="5"/>
        <v>vegayp</v>
      </c>
      <c r="N564" s="176">
        <f>IFERROR(__xludf.DUMMYFUNCTION("""COMPUTED_VALUE"""),4.0)</f>
        <v>4</v>
      </c>
      <c r="O564" s="176"/>
      <c r="P564" s="243"/>
      <c r="Q564" s="243"/>
      <c r="R564" s="176"/>
      <c r="S564" s="176"/>
      <c r="T564" s="176"/>
      <c r="U564" s="176"/>
      <c r="V564" s="176"/>
      <c r="W564" s="176"/>
      <c r="X564" s="176"/>
      <c r="Y564" s="176"/>
      <c r="Z564" s="176"/>
      <c r="AA564" s="176"/>
    </row>
    <row r="565">
      <c r="A565" s="165" t="str">
        <f>iferror(VLOOKUP(P565,'DO NOT TOUCH Imported'!$A$1:$D$800,4,False),iferror(VLOOKUP(P565,'DO NOT TOUCH Imported'!$C$1:$D$800,2,False),"OOPS FIX ME"))</f>
        <v>vegayp</v>
      </c>
      <c r="B565" s="165" t="s">
        <v>486</v>
      </c>
      <c r="C565" s="170" t="s">
        <v>1834</v>
      </c>
      <c r="D565" s="236" t="s">
        <v>437</v>
      </c>
      <c r="E565" s="239">
        <v>44271.0</v>
      </c>
      <c r="F565" s="170" t="s">
        <v>1600</v>
      </c>
      <c r="G565" s="219"/>
      <c r="H565" s="243"/>
      <c r="I565" s="243"/>
      <c r="J565" s="172">
        <f t="shared" si="2"/>
        <v>0</v>
      </c>
      <c r="K565" s="218">
        <v>1.6277939747327528</v>
      </c>
      <c r="L565" s="174">
        <f t="shared" si="4"/>
        <v>5.372117444</v>
      </c>
      <c r="M565" s="175" t="str">
        <f t="shared" si="5"/>
        <v>vegayp</v>
      </c>
      <c r="N565" s="176">
        <f>IFERROR(__xludf.DUMMYFUNCTION("""COMPUTED_VALUE"""),5.0)</f>
        <v>5</v>
      </c>
      <c r="O565" s="176"/>
      <c r="P565" s="165" t="s">
        <v>492</v>
      </c>
      <c r="Q565" s="165" t="s">
        <v>486</v>
      </c>
      <c r="R565" s="176"/>
      <c r="S565" s="176"/>
      <c r="T565" s="176"/>
      <c r="U565" s="176"/>
      <c r="V565" s="176"/>
      <c r="W565" s="176"/>
      <c r="X565" s="176"/>
      <c r="Y565" s="176"/>
      <c r="Z565" s="176"/>
      <c r="AA565" s="176"/>
    </row>
    <row r="566">
      <c r="A566" s="165" t="str">
        <f>iferror(VLOOKUP(P566,'DO NOT TOUCH Imported'!$A$1:$D$800,4,False),iferror(VLOOKUP(P566,'DO NOT TOUCH Imported'!$C$1:$D$800,2,False),"OOPS FIX ME"))</f>
        <v>vegayp</v>
      </c>
      <c r="B566" s="165" t="s">
        <v>813</v>
      </c>
      <c r="C566" s="170" t="s">
        <v>1718</v>
      </c>
      <c r="D566" s="236" t="s">
        <v>437</v>
      </c>
      <c r="E566" s="239">
        <v>44273.0</v>
      </c>
      <c r="F566" s="170" t="s">
        <v>439</v>
      </c>
      <c r="G566" s="219"/>
      <c r="H566" s="243"/>
      <c r="I566" s="243"/>
      <c r="J566" s="172">
        <f t="shared" si="2"/>
        <v>0</v>
      </c>
      <c r="K566" s="218">
        <v>1.6277939747327528</v>
      </c>
      <c r="L566" s="174">
        <f t="shared" si="4"/>
        <v>5.372117444</v>
      </c>
      <c r="M566" s="175" t="str">
        <f t="shared" si="5"/>
        <v>vegayp</v>
      </c>
      <c r="N566" s="176">
        <f>IFERROR(__xludf.DUMMYFUNCTION("""COMPUTED_VALUE"""),6.0)</f>
        <v>6</v>
      </c>
      <c r="O566" s="176"/>
      <c r="P566" s="165" t="s">
        <v>492</v>
      </c>
      <c r="Q566" s="165" t="s">
        <v>813</v>
      </c>
      <c r="R566" s="176"/>
      <c r="S566" s="176"/>
      <c r="T566" s="176"/>
      <c r="U566" s="176"/>
      <c r="V566" s="176"/>
      <c r="W566" s="176"/>
      <c r="X566" s="176"/>
      <c r="Y566" s="176"/>
      <c r="Z566" s="176"/>
      <c r="AA566" s="176"/>
    </row>
    <row r="567">
      <c r="A567" s="165" t="str">
        <f>iferror(VLOOKUP(P567,'DO NOT TOUCH Imported'!$A$1:$D$800,4,False),iferror(VLOOKUP(P567,'DO NOT TOUCH Imported'!$C$1:$D$800,2,False),"OOPS FIX ME"))</f>
        <v>vegayp</v>
      </c>
      <c r="B567" s="165" t="s">
        <v>441</v>
      </c>
      <c r="C567" s="170" t="s">
        <v>1835</v>
      </c>
      <c r="D567" s="236" t="s">
        <v>437</v>
      </c>
      <c r="E567" s="239">
        <v>44274.0</v>
      </c>
      <c r="F567" s="170" t="s">
        <v>439</v>
      </c>
      <c r="G567" s="219"/>
      <c r="H567" s="243"/>
      <c r="I567" s="243"/>
      <c r="J567" s="172">
        <f t="shared" si="2"/>
        <v>0</v>
      </c>
      <c r="K567" s="218">
        <v>1.6277939747327528</v>
      </c>
      <c r="L567" s="174">
        <f t="shared" si="4"/>
        <v>5.372117444</v>
      </c>
      <c r="M567" s="175" t="str">
        <f t="shared" si="5"/>
        <v>vegayp</v>
      </c>
      <c r="N567" s="176">
        <f>IFERROR(__xludf.DUMMYFUNCTION("""COMPUTED_VALUE"""),7.0)</f>
        <v>7</v>
      </c>
      <c r="O567" s="176"/>
      <c r="P567" s="165" t="s">
        <v>492</v>
      </c>
      <c r="Q567" s="165" t="s">
        <v>441</v>
      </c>
      <c r="R567" s="176"/>
      <c r="S567" s="176"/>
      <c r="T567" s="176"/>
      <c r="U567" s="176"/>
      <c r="V567" s="176"/>
      <c r="W567" s="176"/>
      <c r="X567" s="176"/>
      <c r="Y567" s="176"/>
      <c r="Z567" s="176"/>
      <c r="AA567" s="176"/>
    </row>
    <row r="568">
      <c r="A568" s="165" t="str">
        <f>iferror(VLOOKUP(P568,'DO NOT TOUCH Imported'!$A$1:$D$800,4,False),iferror(VLOOKUP(P568,'DO NOT TOUCH Imported'!$C$1:$D$800,2,False),"OOPS FIX ME"))</f>
        <v>vegayp</v>
      </c>
      <c r="B568" s="165" t="s">
        <v>441</v>
      </c>
      <c r="C568" s="170" t="s">
        <v>1724</v>
      </c>
      <c r="D568" s="236" t="s">
        <v>437</v>
      </c>
      <c r="E568" s="239">
        <v>44274.0</v>
      </c>
      <c r="F568" s="170" t="s">
        <v>439</v>
      </c>
      <c r="G568" s="219"/>
      <c r="H568" s="243"/>
      <c r="I568" s="243"/>
      <c r="J568" s="172">
        <f t="shared" si="2"/>
        <v>0</v>
      </c>
      <c r="K568" s="218">
        <v>1.6277939747327528</v>
      </c>
      <c r="L568" s="174">
        <f t="shared" si="4"/>
        <v>5.372117444</v>
      </c>
      <c r="M568" s="175" t="str">
        <f t="shared" si="5"/>
        <v>vegayp</v>
      </c>
      <c r="N568" s="176">
        <f>IFERROR(__xludf.DUMMYFUNCTION("""COMPUTED_VALUE"""),8.0)</f>
        <v>8</v>
      </c>
      <c r="O568" s="176"/>
      <c r="P568" s="165" t="s">
        <v>492</v>
      </c>
      <c r="Q568" s="165" t="s">
        <v>441</v>
      </c>
      <c r="R568" s="176"/>
      <c r="S568" s="176"/>
      <c r="T568" s="176"/>
      <c r="U568" s="176"/>
      <c r="V568" s="176"/>
      <c r="W568" s="176"/>
      <c r="X568" s="176"/>
      <c r="Y568" s="176"/>
      <c r="Z568" s="176"/>
      <c r="AA568" s="176"/>
    </row>
    <row r="569">
      <c r="A569" s="165" t="str">
        <f>iferror(VLOOKUP(P569,'DO NOT TOUCH Imported'!$A$1:$D$800,4,False),iferror(VLOOKUP(P569,'DO NOT TOUCH Imported'!$C$1:$D$800,2,False),"OOPS FIX ME"))</f>
        <v>vegayp</v>
      </c>
      <c r="B569" s="165" t="s">
        <v>441</v>
      </c>
      <c r="C569" s="170" t="s">
        <v>1649</v>
      </c>
      <c r="D569" s="236" t="s">
        <v>437</v>
      </c>
      <c r="E569" s="239">
        <v>44274.0</v>
      </c>
      <c r="F569" s="170" t="s">
        <v>439</v>
      </c>
      <c r="G569" s="219"/>
      <c r="H569" s="243"/>
      <c r="I569" s="243"/>
      <c r="J569" s="172">
        <f t="shared" si="2"/>
        <v>0</v>
      </c>
      <c r="K569" s="218">
        <v>1.6277939747327528</v>
      </c>
      <c r="L569" s="174">
        <f t="shared" si="4"/>
        <v>5.372117444</v>
      </c>
      <c r="M569" s="175" t="str">
        <f t="shared" si="5"/>
        <v>vegayp</v>
      </c>
      <c r="N569" s="176">
        <f>IFERROR(__xludf.DUMMYFUNCTION("""COMPUTED_VALUE"""),9.0)</f>
        <v>9</v>
      </c>
      <c r="O569" s="176"/>
      <c r="P569" s="165" t="s">
        <v>492</v>
      </c>
      <c r="Q569" s="165" t="s">
        <v>441</v>
      </c>
      <c r="R569" s="176"/>
      <c r="S569" s="176"/>
      <c r="T569" s="176"/>
      <c r="U569" s="176"/>
      <c r="V569" s="176"/>
      <c r="W569" s="176"/>
      <c r="X569" s="176"/>
      <c r="Y569" s="176"/>
      <c r="Z569" s="176"/>
      <c r="AA569" s="176"/>
    </row>
    <row r="570">
      <c r="A570" s="165" t="str">
        <f>iferror(VLOOKUP(P570,'DO NOT TOUCH Imported'!$A$1:$D$800,4,False),iferror(VLOOKUP(P570,'DO NOT TOUCH Imported'!$C$1:$D$800,2,False),"OOPS FIX ME"))</f>
        <v>vegayp</v>
      </c>
      <c r="B570" s="165" t="s">
        <v>441</v>
      </c>
      <c r="C570" s="170" t="s">
        <v>1620</v>
      </c>
      <c r="D570" s="236" t="s">
        <v>437</v>
      </c>
      <c r="E570" s="239">
        <v>44274.0</v>
      </c>
      <c r="F570" s="170" t="s">
        <v>439</v>
      </c>
      <c r="G570" s="219"/>
      <c r="H570" s="243"/>
      <c r="I570" s="243"/>
      <c r="J570" s="172">
        <f t="shared" si="2"/>
        <v>0</v>
      </c>
      <c r="K570" s="218">
        <v>1.6277939747327528</v>
      </c>
      <c r="L570" s="174">
        <f t="shared" si="4"/>
        <v>5.372117444</v>
      </c>
      <c r="M570" s="175" t="str">
        <f t="shared" si="5"/>
        <v>vegayp</v>
      </c>
      <c r="N570" s="176">
        <f>IFERROR(__xludf.DUMMYFUNCTION("""COMPUTED_VALUE"""),10.0)</f>
        <v>10</v>
      </c>
      <c r="O570" s="176"/>
      <c r="P570" s="165" t="s">
        <v>492</v>
      </c>
      <c r="Q570" s="165" t="s">
        <v>441</v>
      </c>
      <c r="R570" s="176"/>
      <c r="S570" s="176"/>
      <c r="T570" s="176"/>
      <c r="U570" s="176"/>
      <c r="V570" s="176"/>
      <c r="W570" s="176"/>
      <c r="X570" s="176"/>
      <c r="Y570" s="176"/>
      <c r="Z570" s="176"/>
      <c r="AA570" s="176"/>
    </row>
    <row r="571">
      <c r="A571" s="165" t="str">
        <f>iferror(VLOOKUP(P571,'DO NOT TOUCH Imported'!$A$1:$D$800,4,False),iferror(VLOOKUP(P571,'DO NOT TOUCH Imported'!$C$1:$D$800,2,False),"OOPS FIX ME"))</f>
        <v>vegayp</v>
      </c>
      <c r="B571" s="165" t="s">
        <v>486</v>
      </c>
      <c r="C571" s="170" t="s">
        <v>1836</v>
      </c>
      <c r="D571" s="236" t="s">
        <v>437</v>
      </c>
      <c r="E571" s="239">
        <v>44274.0</v>
      </c>
      <c r="F571" s="170" t="s">
        <v>911</v>
      </c>
      <c r="G571" s="219"/>
      <c r="H571" s="243"/>
      <c r="I571" s="243"/>
      <c r="J571" s="172">
        <f t="shared" si="2"/>
        <v>0</v>
      </c>
      <c r="K571" s="218">
        <v>1.6277939747327528</v>
      </c>
      <c r="L571" s="174">
        <f t="shared" si="4"/>
        <v>5.372117444</v>
      </c>
      <c r="M571" s="175" t="str">
        <f t="shared" si="5"/>
        <v>vegayp</v>
      </c>
      <c r="N571" s="176">
        <f>IFERROR(__xludf.DUMMYFUNCTION("""COMPUTED_VALUE"""),11.0)</f>
        <v>11</v>
      </c>
      <c r="O571" s="176"/>
      <c r="P571" s="165" t="s">
        <v>492</v>
      </c>
      <c r="Q571" s="165" t="s">
        <v>486</v>
      </c>
      <c r="R571" s="176"/>
      <c r="S571" s="176"/>
      <c r="T571" s="176"/>
      <c r="U571" s="176"/>
      <c r="V571" s="176"/>
      <c r="W571" s="176"/>
      <c r="X571" s="176"/>
      <c r="Y571" s="176"/>
      <c r="Z571" s="176"/>
      <c r="AA571" s="176"/>
    </row>
    <row r="572">
      <c r="A572" s="165" t="str">
        <f>iferror(VLOOKUP(P572,'DO NOT TOUCH Imported'!$A$1:$D$800,4,False),iferror(VLOOKUP(P572,'DO NOT TOUCH Imported'!$C$1:$D$800,2,False),"OOPS FIX ME"))</f>
        <v>vegayp</v>
      </c>
      <c r="B572" s="165" t="s">
        <v>443</v>
      </c>
      <c r="C572" s="170" t="s">
        <v>1603</v>
      </c>
      <c r="D572" s="236" t="s">
        <v>437</v>
      </c>
      <c r="E572" s="239">
        <v>44277.0</v>
      </c>
      <c r="F572" s="170" t="s">
        <v>439</v>
      </c>
      <c r="G572" s="219"/>
      <c r="H572" s="243"/>
      <c r="I572" s="243"/>
      <c r="J572" s="172">
        <f t="shared" si="2"/>
        <v>0</v>
      </c>
      <c r="K572" s="218">
        <v>1.6277939747327528</v>
      </c>
      <c r="L572" s="174">
        <f t="shared" si="4"/>
        <v>5.372117444</v>
      </c>
      <c r="M572" s="175" t="str">
        <f t="shared" si="5"/>
        <v>vegayp</v>
      </c>
      <c r="N572" s="176">
        <f>IFERROR(__xludf.DUMMYFUNCTION("""COMPUTED_VALUE"""),12.0)</f>
        <v>12</v>
      </c>
      <c r="O572" s="176"/>
      <c r="P572" s="165" t="s">
        <v>492</v>
      </c>
      <c r="Q572" s="165" t="s">
        <v>443</v>
      </c>
      <c r="R572" s="176"/>
      <c r="S572" s="176"/>
      <c r="T572" s="176"/>
      <c r="U572" s="176"/>
      <c r="V572" s="176"/>
      <c r="W572" s="176"/>
      <c r="X572" s="176"/>
      <c r="Y572" s="176"/>
      <c r="Z572" s="176"/>
      <c r="AA572" s="176"/>
    </row>
    <row r="573">
      <c r="A573" s="165" t="str">
        <f>iferror(VLOOKUP(P573,'DO NOT TOUCH Imported'!$A$1:$D$800,4,False),iferror(VLOOKUP(P573,'DO NOT TOUCH Imported'!$C$1:$D$800,2,False),"OOPS FIX ME"))</f>
        <v>vegayp</v>
      </c>
      <c r="B573" s="165" t="s">
        <v>441</v>
      </c>
      <c r="C573" s="170" t="s">
        <v>1604</v>
      </c>
      <c r="D573" s="236" t="s">
        <v>437</v>
      </c>
      <c r="E573" s="239">
        <v>44277.0</v>
      </c>
      <c r="F573" s="170" t="s">
        <v>439</v>
      </c>
      <c r="G573" s="219"/>
      <c r="H573" s="243"/>
      <c r="I573" s="243"/>
      <c r="J573" s="172">
        <f t="shared" si="2"/>
        <v>0</v>
      </c>
      <c r="K573" s="218">
        <v>1.6277939747327528</v>
      </c>
      <c r="L573" s="174">
        <f t="shared" si="4"/>
        <v>5.372117444</v>
      </c>
      <c r="M573" s="175" t="str">
        <f t="shared" si="5"/>
        <v>vegayp</v>
      </c>
      <c r="N573" s="176">
        <f>IFERROR(__xludf.DUMMYFUNCTION("""COMPUTED_VALUE"""),13.0)</f>
        <v>13</v>
      </c>
      <c r="O573" s="176"/>
      <c r="P573" s="165" t="s">
        <v>492</v>
      </c>
      <c r="Q573" s="165" t="s">
        <v>441</v>
      </c>
      <c r="R573" s="176"/>
      <c r="S573" s="176"/>
      <c r="T573" s="176"/>
      <c r="U573" s="176"/>
      <c r="V573" s="176"/>
      <c r="W573" s="176"/>
      <c r="X573" s="176"/>
      <c r="Y573" s="176"/>
      <c r="Z573" s="176"/>
      <c r="AA573" s="176"/>
    </row>
    <row r="574">
      <c r="A574" s="165" t="str">
        <f>iferror(VLOOKUP(P574,'DO NOT TOUCH Imported'!$A$1:$D$800,4,False),iferror(VLOOKUP(P574,'DO NOT TOUCH Imported'!$C$1:$D$800,2,False),"OOPS FIX ME"))</f>
        <v>vegayp</v>
      </c>
      <c r="B574" s="165" t="s">
        <v>486</v>
      </c>
      <c r="C574" s="170" t="s">
        <v>924</v>
      </c>
      <c r="D574" s="236" t="s">
        <v>437</v>
      </c>
      <c r="E574" s="239">
        <v>44278.0</v>
      </c>
      <c r="F574" s="170" t="s">
        <v>439</v>
      </c>
      <c r="G574" s="219"/>
      <c r="H574" s="243"/>
      <c r="I574" s="243"/>
      <c r="J574" s="172">
        <f t="shared" si="2"/>
        <v>0</v>
      </c>
      <c r="K574" s="218">
        <v>1.6277939747327528</v>
      </c>
      <c r="L574" s="174">
        <f t="shared" si="4"/>
        <v>5.372117444</v>
      </c>
      <c r="M574" s="175" t="str">
        <f t="shared" si="5"/>
        <v>vegayp</v>
      </c>
      <c r="N574" s="176">
        <f>IFERROR(__xludf.DUMMYFUNCTION("""COMPUTED_VALUE"""),14.0)</f>
        <v>14</v>
      </c>
      <c r="O574" s="176"/>
      <c r="P574" s="165" t="s">
        <v>492</v>
      </c>
      <c r="Q574" s="165" t="s">
        <v>486</v>
      </c>
      <c r="R574" s="176"/>
      <c r="S574" s="176"/>
      <c r="T574" s="176"/>
      <c r="U574" s="176"/>
      <c r="V574" s="176"/>
      <c r="W574" s="176"/>
      <c r="X574" s="176"/>
      <c r="Y574" s="176"/>
      <c r="Z574" s="176"/>
      <c r="AA574" s="176"/>
    </row>
    <row r="575">
      <c r="A575" s="165" t="str">
        <f>iferror(VLOOKUP(P575,'DO NOT TOUCH Imported'!$A$1:$D$800,4,False),iferror(VLOOKUP(P575,'DO NOT TOUCH Imported'!$C$1:$D$800,2,False),"OOPS FIX ME"))</f>
        <v>vegayp</v>
      </c>
      <c r="B575" s="165" t="s">
        <v>490</v>
      </c>
      <c r="C575" s="170" t="s">
        <v>1707</v>
      </c>
      <c r="D575" s="236" t="s">
        <v>437</v>
      </c>
      <c r="E575" s="239">
        <v>44279.0</v>
      </c>
      <c r="F575" s="170" t="s">
        <v>439</v>
      </c>
      <c r="G575" s="219"/>
      <c r="H575" s="243"/>
      <c r="I575" s="243"/>
      <c r="J575" s="172">
        <f t="shared" si="2"/>
        <v>0</v>
      </c>
      <c r="K575" s="218">
        <v>1.6277939747327528</v>
      </c>
      <c r="L575" s="174">
        <f t="shared" si="4"/>
        <v>5.372117444</v>
      </c>
      <c r="M575" s="175" t="str">
        <f t="shared" si="5"/>
        <v>vegayp</v>
      </c>
      <c r="N575" s="176">
        <f>IFERROR(__xludf.DUMMYFUNCTION("""COMPUTED_VALUE"""),15.0)</f>
        <v>15</v>
      </c>
      <c r="O575" s="176"/>
      <c r="P575" s="165" t="s">
        <v>492</v>
      </c>
      <c r="Q575" s="165" t="s">
        <v>490</v>
      </c>
      <c r="R575" s="176"/>
      <c r="S575" s="176"/>
      <c r="T575" s="176"/>
      <c r="U575" s="176"/>
      <c r="V575" s="176"/>
      <c r="W575" s="176"/>
      <c r="X575" s="176"/>
      <c r="Y575" s="176"/>
      <c r="Z575" s="176"/>
      <c r="AA575" s="176"/>
    </row>
    <row r="576">
      <c r="A576" s="165" t="str">
        <f>iferror(VLOOKUP(P576,'DO NOT TOUCH Imported'!$A$1:$D$800,4,False),iferror(VLOOKUP(P576,'DO NOT TOUCH Imported'!$C$1:$D$800,2,False),"OOPS FIX ME"))</f>
        <v>vegayp</v>
      </c>
      <c r="B576" s="165" t="s">
        <v>443</v>
      </c>
      <c r="C576" s="170" t="s">
        <v>1616</v>
      </c>
      <c r="D576" s="236" t="s">
        <v>437</v>
      </c>
      <c r="E576" s="239">
        <v>44280.0</v>
      </c>
      <c r="F576" s="170" t="s">
        <v>439</v>
      </c>
      <c r="G576" s="219"/>
      <c r="H576" s="243"/>
      <c r="I576" s="243"/>
      <c r="J576" s="172">
        <f t="shared" si="2"/>
        <v>0</v>
      </c>
      <c r="K576" s="218">
        <v>1.6277939747327528</v>
      </c>
      <c r="L576" s="174">
        <f t="shared" si="4"/>
        <v>5.372117444</v>
      </c>
      <c r="M576" s="175" t="str">
        <f t="shared" si="5"/>
        <v>vegayp</v>
      </c>
      <c r="N576" s="176">
        <f>IFERROR(__xludf.DUMMYFUNCTION("""COMPUTED_VALUE"""),16.0)</f>
        <v>16</v>
      </c>
      <c r="O576" s="176"/>
      <c r="P576" s="165" t="s">
        <v>492</v>
      </c>
      <c r="Q576" s="165" t="s">
        <v>443</v>
      </c>
      <c r="R576" s="176"/>
      <c r="S576" s="176"/>
      <c r="T576" s="176"/>
      <c r="U576" s="176"/>
      <c r="V576" s="176"/>
      <c r="W576" s="176"/>
      <c r="X576" s="176"/>
      <c r="Y576" s="176"/>
      <c r="Z576" s="176"/>
      <c r="AA576" s="176"/>
    </row>
    <row r="577">
      <c r="A577" s="165" t="str">
        <f>iferror(VLOOKUP(P577,'DO NOT TOUCH Imported'!$A$1:$D$800,4,False),iferror(VLOOKUP(P577,'DO NOT TOUCH Imported'!$C$1:$D$800,2,False),"OOPS FIX ME"))</f>
        <v>vegayp</v>
      </c>
      <c r="B577" s="165" t="s">
        <v>440</v>
      </c>
      <c r="C577" s="170" t="s">
        <v>1837</v>
      </c>
      <c r="D577" s="236" t="s">
        <v>437</v>
      </c>
      <c r="E577" s="239">
        <v>44280.0</v>
      </c>
      <c r="F577" s="170" t="s">
        <v>439</v>
      </c>
      <c r="G577" s="219"/>
      <c r="H577" s="243"/>
      <c r="I577" s="243"/>
      <c r="J577" s="172">
        <f t="shared" si="2"/>
        <v>0</v>
      </c>
      <c r="K577" s="218">
        <v>1.6277939747327528</v>
      </c>
      <c r="L577" s="174">
        <f t="shared" si="4"/>
        <v>5.372117444</v>
      </c>
      <c r="M577" s="175" t="str">
        <f t="shared" si="5"/>
        <v>vegayp</v>
      </c>
      <c r="N577" s="176">
        <f>IFERROR(__xludf.DUMMYFUNCTION("""COMPUTED_VALUE"""),17.0)</f>
        <v>17</v>
      </c>
      <c r="O577" s="176"/>
      <c r="P577" s="165" t="s">
        <v>492</v>
      </c>
      <c r="Q577" s="165" t="s">
        <v>440</v>
      </c>
      <c r="R577" s="176"/>
      <c r="S577" s="176"/>
      <c r="T577" s="176"/>
      <c r="U577" s="176"/>
      <c r="V577" s="176"/>
      <c r="W577" s="176"/>
      <c r="X577" s="176"/>
      <c r="Y577" s="176"/>
      <c r="Z577" s="176"/>
      <c r="AA577" s="176"/>
    </row>
    <row r="578">
      <c r="A578" s="165" t="str">
        <f>iferror(VLOOKUP(P578,'DO NOT TOUCH Imported'!$A$1:$D$800,4,False),iferror(VLOOKUP(P578,'DO NOT TOUCH Imported'!$C$1:$D$800,2,False),"OOPS FIX ME"))</f>
        <v>vegayp</v>
      </c>
      <c r="B578" s="165" t="s">
        <v>441</v>
      </c>
      <c r="C578" s="170" t="s">
        <v>1634</v>
      </c>
      <c r="D578" s="236" t="s">
        <v>437</v>
      </c>
      <c r="E578" s="239">
        <v>44281.0</v>
      </c>
      <c r="F578" s="170" t="s">
        <v>439</v>
      </c>
      <c r="G578" s="219"/>
      <c r="H578" s="243"/>
      <c r="I578" s="243"/>
      <c r="J578" s="172">
        <f t="shared" si="2"/>
        <v>0</v>
      </c>
      <c r="K578" s="218">
        <v>1.6277939747327528</v>
      </c>
      <c r="L578" s="174">
        <f t="shared" si="4"/>
        <v>5.372117444</v>
      </c>
      <c r="M578" s="175" t="str">
        <f t="shared" si="5"/>
        <v>vegayp</v>
      </c>
      <c r="N578" s="176">
        <f>IFERROR(__xludf.DUMMYFUNCTION("""COMPUTED_VALUE"""),18.0)</f>
        <v>18</v>
      </c>
      <c r="O578" s="176"/>
      <c r="P578" s="165" t="s">
        <v>492</v>
      </c>
      <c r="Q578" s="165" t="s">
        <v>441</v>
      </c>
      <c r="R578" s="176"/>
      <c r="S578" s="176"/>
      <c r="T578" s="176"/>
      <c r="U578" s="176"/>
      <c r="V578" s="176"/>
      <c r="W578" s="176"/>
      <c r="X578" s="176"/>
      <c r="Y578" s="176"/>
      <c r="Z578" s="176"/>
      <c r="AA578" s="176"/>
    </row>
    <row r="579">
      <c r="A579" s="165" t="str">
        <f>iferror(VLOOKUP(P579,'DO NOT TOUCH Imported'!$A$1:$D$800,4,False),iferror(VLOOKUP(P579,'DO NOT TOUCH Imported'!$C$1:$D$800,2,False),"OOPS FIX ME"))</f>
        <v>vegayp</v>
      </c>
      <c r="B579" s="165" t="s">
        <v>441</v>
      </c>
      <c r="C579" s="170" t="s">
        <v>1595</v>
      </c>
      <c r="D579" s="236" t="s">
        <v>437</v>
      </c>
      <c r="E579" s="239">
        <v>44281.0</v>
      </c>
      <c r="F579" s="170" t="s">
        <v>439</v>
      </c>
      <c r="G579" s="219"/>
      <c r="H579" s="243"/>
      <c r="I579" s="243"/>
      <c r="J579" s="172">
        <f t="shared" si="2"/>
        <v>0</v>
      </c>
      <c r="K579" s="218">
        <v>1.6277939747327528</v>
      </c>
      <c r="L579" s="174">
        <f t="shared" si="4"/>
        <v>5.372117444</v>
      </c>
      <c r="M579" s="175" t="str">
        <f t="shared" si="5"/>
        <v>vegayp</v>
      </c>
      <c r="N579" s="176">
        <f>IFERROR(__xludf.DUMMYFUNCTION("""COMPUTED_VALUE"""),19.0)</f>
        <v>19</v>
      </c>
      <c r="O579" s="176"/>
      <c r="P579" s="165" t="s">
        <v>492</v>
      </c>
      <c r="Q579" s="165" t="s">
        <v>441</v>
      </c>
      <c r="R579" s="176"/>
      <c r="S579" s="176"/>
      <c r="T579" s="176"/>
      <c r="U579" s="176"/>
      <c r="V579" s="176"/>
      <c r="W579" s="176"/>
      <c r="X579" s="176"/>
      <c r="Y579" s="176"/>
      <c r="Z579" s="176"/>
      <c r="AA579" s="176"/>
    </row>
    <row r="580">
      <c r="A580" s="165" t="str">
        <f>iferror(VLOOKUP(P580,'DO NOT TOUCH Imported'!$A$1:$D$800,4,False),iferror(VLOOKUP(P580,'DO NOT TOUCH Imported'!$C$1:$D$800,2,False),"OOPS FIX ME"))</f>
        <v>vegayp</v>
      </c>
      <c r="B580" s="165" t="s">
        <v>441</v>
      </c>
      <c r="C580" s="170" t="s">
        <v>1838</v>
      </c>
      <c r="D580" s="236" t="s">
        <v>437</v>
      </c>
      <c r="E580" s="239">
        <v>44281.0</v>
      </c>
      <c r="F580" s="170" t="s">
        <v>439</v>
      </c>
      <c r="G580" s="219"/>
      <c r="H580" s="243"/>
      <c r="I580" s="243"/>
      <c r="J580" s="172">
        <f t="shared" si="2"/>
        <v>0</v>
      </c>
      <c r="K580" s="218">
        <v>1.6277939747327528</v>
      </c>
      <c r="L580" s="174">
        <f t="shared" si="4"/>
        <v>5.372117444</v>
      </c>
      <c r="M580" s="175" t="str">
        <f t="shared" si="5"/>
        <v>vegayp</v>
      </c>
      <c r="N580" s="176">
        <f>IFERROR(__xludf.DUMMYFUNCTION("""COMPUTED_VALUE"""),20.0)</f>
        <v>20</v>
      </c>
      <c r="O580" s="176"/>
      <c r="P580" s="165" t="s">
        <v>492</v>
      </c>
      <c r="Q580" s="165" t="s">
        <v>441</v>
      </c>
      <c r="R580" s="176"/>
      <c r="S580" s="176"/>
      <c r="T580" s="176"/>
      <c r="U580" s="176"/>
      <c r="V580" s="176"/>
      <c r="W580" s="176"/>
      <c r="X580" s="176"/>
      <c r="Y580" s="176"/>
      <c r="Z580" s="176"/>
      <c r="AA580" s="176"/>
    </row>
    <row r="581">
      <c r="A581" s="165" t="str">
        <f>iferror(VLOOKUP(P581,'DO NOT TOUCH Imported'!$A$1:$D$800,4,False),iferror(VLOOKUP(P581,'DO NOT TOUCH Imported'!$C$1:$D$800,2,False),"OOPS FIX ME"))</f>
        <v>vegayp</v>
      </c>
      <c r="B581" s="165" t="s">
        <v>441</v>
      </c>
      <c r="C581" s="170" t="s">
        <v>1612</v>
      </c>
      <c r="D581" s="236" t="s">
        <v>437</v>
      </c>
      <c r="E581" s="239">
        <v>44281.0</v>
      </c>
      <c r="F581" s="170" t="s">
        <v>439</v>
      </c>
      <c r="G581" s="219"/>
      <c r="H581" s="243"/>
      <c r="I581" s="243"/>
      <c r="J581" s="172">
        <f t="shared" si="2"/>
        <v>0</v>
      </c>
      <c r="K581" s="218">
        <v>1.6277939747327528</v>
      </c>
      <c r="L581" s="174">
        <f t="shared" si="4"/>
        <v>5.372117444</v>
      </c>
      <c r="M581" s="175" t="str">
        <f t="shared" si="5"/>
        <v>vegayp</v>
      </c>
      <c r="N581" s="176">
        <f>IFERROR(__xludf.DUMMYFUNCTION("""COMPUTED_VALUE"""),21.0)</f>
        <v>21</v>
      </c>
      <c r="O581" s="176"/>
      <c r="P581" s="165" t="s">
        <v>492</v>
      </c>
      <c r="Q581" s="165" t="s">
        <v>441</v>
      </c>
      <c r="R581" s="176"/>
      <c r="S581" s="176"/>
      <c r="T581" s="176"/>
      <c r="U581" s="176"/>
      <c r="V581" s="176"/>
      <c r="W581" s="176"/>
      <c r="X581" s="176"/>
      <c r="Y581" s="176"/>
      <c r="Z581" s="176"/>
      <c r="AA581" s="176"/>
    </row>
    <row r="582">
      <c r="A582" s="165" t="str">
        <f>iferror(VLOOKUP(P582,'DO NOT TOUCH Imported'!$A$1:$D$800,4,False),iferror(VLOOKUP(P582,'DO NOT TOUCH Imported'!$C$1:$D$800,2,False),"OOPS FIX ME"))</f>
        <v>vegayp</v>
      </c>
      <c r="B582" s="165" t="s">
        <v>441</v>
      </c>
      <c r="C582" s="170" t="s">
        <v>1713</v>
      </c>
      <c r="D582" s="236" t="s">
        <v>437</v>
      </c>
      <c r="E582" s="239">
        <v>44281.0</v>
      </c>
      <c r="F582" s="170" t="s">
        <v>439</v>
      </c>
      <c r="G582" s="219"/>
      <c r="H582" s="243"/>
      <c r="I582" s="243"/>
      <c r="J582" s="172">
        <f t="shared" si="2"/>
        <v>0</v>
      </c>
      <c r="K582" s="218">
        <v>1.6277939747327528</v>
      </c>
      <c r="L582" s="174">
        <f t="shared" si="4"/>
        <v>5.372117444</v>
      </c>
      <c r="M582" s="175" t="str">
        <f t="shared" si="5"/>
        <v>vegayp</v>
      </c>
      <c r="N582" s="176">
        <f>IFERROR(__xludf.DUMMYFUNCTION("""COMPUTED_VALUE"""),22.0)</f>
        <v>22</v>
      </c>
      <c r="O582" s="176"/>
      <c r="P582" s="165" t="s">
        <v>492</v>
      </c>
      <c r="Q582" s="165" t="s">
        <v>441</v>
      </c>
      <c r="R582" s="176"/>
      <c r="S582" s="176"/>
      <c r="T582" s="176"/>
      <c r="U582" s="176"/>
      <c r="V582" s="176"/>
      <c r="W582" s="176"/>
      <c r="X582" s="176"/>
      <c r="Y582" s="176"/>
      <c r="Z582" s="176"/>
      <c r="AA582" s="176"/>
    </row>
    <row r="583">
      <c r="A583" s="185" t="str">
        <f>iferror(VLOOKUP(P583,'DO NOT TOUCH Imported'!$A$1:$D$800,4,False),iferror(VLOOKUP(P583,'DO NOT TOUCH Imported'!$C$1:$D$800,2,False),"OOPS FIX ME"))</f>
        <v>vegayp</v>
      </c>
      <c r="B583" s="185" t="s">
        <v>534</v>
      </c>
      <c r="C583" s="186" t="s">
        <v>810</v>
      </c>
      <c r="D583" s="187"/>
      <c r="E583" s="188"/>
      <c r="F583" s="189"/>
      <c r="G583" s="190"/>
      <c r="H583" s="190"/>
      <c r="I583" s="190"/>
      <c r="J583" s="191">
        <f t="shared" si="2"/>
        <v>0</v>
      </c>
      <c r="K583" s="192">
        <f>35.811*-0.85</f>
        <v>-30.43935</v>
      </c>
      <c r="L583" s="193">
        <f t="shared" si="4"/>
        <v>5.372117444</v>
      </c>
      <c r="M583" s="194" t="str">
        <f t="shared" si="5"/>
        <v>vegayp</v>
      </c>
      <c r="N583" s="195">
        <f>IFERROR(__xludf.DUMMYFUNCTION("""COMPUTED_VALUE"""),23.0)</f>
        <v>23</v>
      </c>
      <c r="O583" s="195"/>
      <c r="P583" s="185" t="s">
        <v>33</v>
      </c>
      <c r="Q583" s="185" t="s">
        <v>534</v>
      </c>
      <c r="R583" s="195">
        <v>18.802169413641863</v>
      </c>
      <c r="S583" s="195"/>
      <c r="T583" s="195"/>
      <c r="U583" s="195"/>
      <c r="V583" s="195"/>
      <c r="W583" s="195"/>
      <c r="X583" s="195"/>
      <c r="Y583" s="195"/>
      <c r="Z583" s="195"/>
      <c r="AA583" s="176"/>
    </row>
    <row r="584">
      <c r="A584" s="165" t="str">
        <f>iferror(VLOOKUP(P584,'DO NOT TOUCH Imported'!$A$1:$D$800,4,False),iferror(VLOOKUP(P584,'DO NOT TOUCH Imported'!$C$1:$D$800,2,False),"OOPS FIX ME"))</f>
        <v>Letty#5399</v>
      </c>
      <c r="B584" s="165" t="s">
        <v>441</v>
      </c>
      <c r="C584" s="170" t="s">
        <v>1839</v>
      </c>
      <c r="D584" s="236" t="s">
        <v>437</v>
      </c>
      <c r="E584" s="239">
        <v>44281.0</v>
      </c>
      <c r="F584" s="170" t="s">
        <v>439</v>
      </c>
      <c r="G584" s="170">
        <v>15.0</v>
      </c>
      <c r="H584" s="171">
        <v>150.0</v>
      </c>
      <c r="I584" s="171">
        <v>100.0</v>
      </c>
      <c r="J584" s="172">
        <f t="shared" si="2"/>
        <v>0.001286471305</v>
      </c>
      <c r="K584" s="173">
        <f t="shared" ref="K584:K608" si="20">J584*$J$1</f>
        <v>1.436559624</v>
      </c>
      <c r="L584" s="174">
        <f t="shared" si="4"/>
        <v>4.949840813</v>
      </c>
      <c r="M584" s="175" t="str">
        <f t="shared" si="5"/>
        <v>Letty#5399</v>
      </c>
      <c r="N584" s="176">
        <f>IFERROR(__xludf.DUMMYFUNCTION("""COMPUTED_VALUE"""),1.0)</f>
        <v>1</v>
      </c>
      <c r="O584" s="176"/>
      <c r="P584" s="165" t="s">
        <v>75</v>
      </c>
      <c r="Q584" s="165" t="s">
        <v>441</v>
      </c>
      <c r="R584" s="176"/>
      <c r="S584" s="176"/>
      <c r="T584" s="176"/>
      <c r="U584" s="176"/>
      <c r="V584" s="176"/>
      <c r="W584" s="176"/>
      <c r="X584" s="176"/>
      <c r="Y584" s="176"/>
      <c r="Z584" s="176"/>
      <c r="AA584" s="176"/>
    </row>
    <row r="585">
      <c r="A585" s="165" t="str">
        <f>iferror(VLOOKUP(P585,'DO NOT TOUCH Imported'!$A$1:$D$800,4,False),iferror(VLOOKUP(P585,'DO NOT TOUCH Imported'!$C$1:$D$800,2,False),"OOPS FIX ME"))</f>
        <v>Letty#5399</v>
      </c>
      <c r="B585" s="165" t="s">
        <v>5</v>
      </c>
      <c r="C585" s="170" t="s">
        <v>1840</v>
      </c>
      <c r="D585" s="236" t="s">
        <v>1584</v>
      </c>
      <c r="E585" s="239">
        <v>44281.0</v>
      </c>
      <c r="F585" s="170" t="s">
        <v>496</v>
      </c>
      <c r="G585" s="170">
        <v>15.0</v>
      </c>
      <c r="H585" s="171">
        <v>100.0</v>
      </c>
      <c r="I585" s="171">
        <v>100.0</v>
      </c>
      <c r="J585" s="172">
        <f t="shared" si="2"/>
        <v>0.001076708966</v>
      </c>
      <c r="K585" s="173">
        <f t="shared" si="20"/>
        <v>1.202325011</v>
      </c>
      <c r="L585" s="174">
        <f t="shared" si="4"/>
        <v>4.949840813</v>
      </c>
      <c r="M585" s="175" t="str">
        <f t="shared" si="5"/>
        <v>Letty#5399</v>
      </c>
      <c r="N585" s="176">
        <f>IFERROR(__xludf.DUMMYFUNCTION("""COMPUTED_VALUE"""),2.0)</f>
        <v>2</v>
      </c>
      <c r="O585" s="176"/>
      <c r="P585" s="165" t="s">
        <v>1841</v>
      </c>
      <c r="Q585" s="165" t="s">
        <v>5</v>
      </c>
      <c r="R585" s="176"/>
      <c r="S585" s="176"/>
      <c r="T585" s="176"/>
      <c r="U585" s="176"/>
      <c r="V585" s="176"/>
      <c r="W585" s="176"/>
      <c r="X585" s="176"/>
      <c r="Y585" s="176"/>
      <c r="Z585" s="176"/>
      <c r="AA585" s="176"/>
    </row>
    <row r="586">
      <c r="A586" s="165" t="str">
        <f>iferror(VLOOKUP(P586,'DO NOT TOUCH Imported'!$A$1:$D$800,4,False),iferror(VLOOKUP(P586,'DO NOT TOUCH Imported'!$C$1:$D$800,2,False),"OOPS FIX ME"))</f>
        <v>Letty#5399</v>
      </c>
      <c r="B586" s="165" t="s">
        <v>463</v>
      </c>
      <c r="C586" s="170" t="s">
        <v>1601</v>
      </c>
      <c r="D586" s="236" t="s">
        <v>437</v>
      </c>
      <c r="E586" s="239">
        <v>44272.0</v>
      </c>
      <c r="F586" s="170" t="s">
        <v>439</v>
      </c>
      <c r="G586" s="170">
        <v>15.0</v>
      </c>
      <c r="H586" s="171">
        <v>100.0</v>
      </c>
      <c r="I586" s="171">
        <v>100.0</v>
      </c>
      <c r="J586" s="172">
        <f t="shared" si="2"/>
        <v>0.001076708966</v>
      </c>
      <c r="K586" s="173">
        <f t="shared" si="20"/>
        <v>1.202325011</v>
      </c>
      <c r="L586" s="174">
        <f t="shared" si="4"/>
        <v>4.949840813</v>
      </c>
      <c r="M586" s="175" t="str">
        <f t="shared" si="5"/>
        <v>Letty#5399</v>
      </c>
      <c r="N586" s="176">
        <f>IFERROR(__xludf.DUMMYFUNCTION("""COMPUTED_VALUE"""),3.0)</f>
        <v>3</v>
      </c>
      <c r="O586" s="176"/>
      <c r="P586" s="165" t="s">
        <v>75</v>
      </c>
      <c r="Q586" s="165" t="s">
        <v>463</v>
      </c>
      <c r="R586" s="176"/>
      <c r="S586" s="176"/>
      <c r="T586" s="176"/>
      <c r="U586" s="176"/>
      <c r="V586" s="176"/>
      <c r="W586" s="176"/>
      <c r="X586" s="176"/>
      <c r="Y586" s="176"/>
      <c r="Z586" s="176"/>
      <c r="AA586" s="176"/>
    </row>
    <row r="587">
      <c r="A587" s="165" t="str">
        <f>iferror(VLOOKUP(P587,'DO NOT TOUCH Imported'!$A$1:$D$800,4,False),iferror(VLOOKUP(P587,'DO NOT TOUCH Imported'!$C$1:$D$800,2,False),"OOPS FIX ME"))</f>
        <v>Letty#5399</v>
      </c>
      <c r="B587" s="165" t="s">
        <v>441</v>
      </c>
      <c r="C587" s="170" t="s">
        <v>1612</v>
      </c>
      <c r="D587" s="236" t="s">
        <v>437</v>
      </c>
      <c r="E587" s="239">
        <v>44281.0</v>
      </c>
      <c r="F587" s="170" t="s">
        <v>439</v>
      </c>
      <c r="G587" s="170">
        <v>15.0</v>
      </c>
      <c r="H587" s="171">
        <v>80.0</v>
      </c>
      <c r="I587" s="171">
        <v>100.0</v>
      </c>
      <c r="J587" s="172">
        <f t="shared" si="2"/>
        <v>0.0009928040298</v>
      </c>
      <c r="K587" s="173">
        <f t="shared" si="20"/>
        <v>1.108631167</v>
      </c>
      <c r="L587" s="174">
        <f t="shared" si="4"/>
        <v>4.949840813</v>
      </c>
      <c r="M587" s="175" t="str">
        <f t="shared" si="5"/>
        <v>Letty#5399</v>
      </c>
      <c r="N587" s="176">
        <f>IFERROR(__xludf.DUMMYFUNCTION("""COMPUTED_VALUE"""),4.0)</f>
        <v>4</v>
      </c>
      <c r="O587" s="176"/>
      <c r="P587" s="165" t="s">
        <v>75</v>
      </c>
      <c r="Q587" s="165" t="s">
        <v>441</v>
      </c>
      <c r="R587" s="176"/>
      <c r="S587" s="176"/>
      <c r="T587" s="176"/>
      <c r="U587" s="176"/>
      <c r="V587" s="176"/>
      <c r="W587" s="176"/>
      <c r="X587" s="176"/>
      <c r="Y587" s="176"/>
      <c r="Z587" s="176"/>
      <c r="AA587" s="176"/>
    </row>
    <row r="588">
      <c r="A588" s="165" t="str">
        <f>iferror(VLOOKUP(P588,'DO NOT TOUCH Imported'!$A$1:$D$800,4,False),iferror(VLOOKUP(P588,'DO NOT TOUCH Imported'!$C$1:$D$800,2,False),"OOPS FIX ME"))</f>
        <v>markop</v>
      </c>
      <c r="B588" s="165" t="s">
        <v>441</v>
      </c>
      <c r="C588" s="170" t="s">
        <v>1842</v>
      </c>
      <c r="D588" s="236" t="s">
        <v>437</v>
      </c>
      <c r="E588" s="239">
        <v>44281.0</v>
      </c>
      <c r="F588" s="170" t="s">
        <v>439</v>
      </c>
      <c r="G588" s="170">
        <v>25.0</v>
      </c>
      <c r="H588" s="171">
        <v>200.0</v>
      </c>
      <c r="I588" s="171">
        <v>100.0</v>
      </c>
      <c r="J588" s="172">
        <f t="shared" si="2"/>
        <v>0.001653949912</v>
      </c>
      <c r="K588" s="173">
        <f t="shared" si="20"/>
        <v>1.846910736</v>
      </c>
      <c r="L588" s="174">
        <f t="shared" si="4"/>
        <v>4.522869831</v>
      </c>
      <c r="M588" s="175" t="str">
        <f t="shared" si="5"/>
        <v>markop</v>
      </c>
      <c r="N588" s="176">
        <f>IFERROR(__xludf.DUMMYFUNCTION("""COMPUTED_VALUE"""),1.0)</f>
        <v>1</v>
      </c>
      <c r="O588" s="176"/>
      <c r="P588" s="165" t="s">
        <v>486</v>
      </c>
      <c r="Q588" s="165" t="s">
        <v>441</v>
      </c>
      <c r="R588" s="176"/>
      <c r="S588" s="176"/>
      <c r="T588" s="176"/>
      <c r="U588" s="176"/>
      <c r="V588" s="176"/>
      <c r="W588" s="176"/>
      <c r="X588" s="176"/>
      <c r="Y588" s="176"/>
      <c r="Z588" s="176"/>
      <c r="AA588" s="176"/>
    </row>
    <row r="589">
      <c r="A589" s="165" t="str">
        <f>iferror(VLOOKUP(P589,'DO NOT TOUCH Imported'!$A$1:$D$800,4,False),iferror(VLOOKUP(P589,'DO NOT TOUCH Imported'!$C$1:$D$800,2,False),"OOPS FIX ME"))</f>
        <v>markop</v>
      </c>
      <c r="B589" s="165" t="s">
        <v>519</v>
      </c>
      <c r="C589" s="170" t="s">
        <v>1632</v>
      </c>
      <c r="D589" s="236" t="s">
        <v>1584</v>
      </c>
      <c r="E589" s="239">
        <v>44281.0</v>
      </c>
      <c r="F589" s="170" t="s">
        <v>496</v>
      </c>
      <c r="G589" s="170">
        <v>50.0</v>
      </c>
      <c r="H589" s="171">
        <v>100.0</v>
      </c>
      <c r="I589" s="171">
        <v>100.0</v>
      </c>
      <c r="J589" s="172">
        <f t="shared" si="2"/>
        <v>0.001628715905</v>
      </c>
      <c r="K589" s="173">
        <f t="shared" si="20"/>
        <v>1.818732761</v>
      </c>
      <c r="L589" s="174">
        <f t="shared" si="4"/>
        <v>4.522869831</v>
      </c>
      <c r="M589" s="175" t="str">
        <f t="shared" si="5"/>
        <v>markop</v>
      </c>
      <c r="N589" s="176">
        <f>IFERROR(__xludf.DUMMYFUNCTION("""COMPUTED_VALUE"""),2.0)</f>
        <v>2</v>
      </c>
      <c r="O589" s="176"/>
      <c r="P589" s="165" t="s">
        <v>43</v>
      </c>
      <c r="Q589" s="165" t="s">
        <v>519</v>
      </c>
      <c r="R589" s="176"/>
      <c r="S589" s="176"/>
      <c r="T589" s="176"/>
      <c r="U589" s="176"/>
      <c r="V589" s="176"/>
      <c r="W589" s="176"/>
      <c r="X589" s="176"/>
      <c r="Y589" s="176"/>
      <c r="Z589" s="176"/>
      <c r="AA589" s="176"/>
    </row>
    <row r="590">
      <c r="A590" s="165" t="str">
        <f>iferror(VLOOKUP(P590,'DO NOT TOUCH Imported'!$A$1:$D$800,4,False),iferror(VLOOKUP(P590,'DO NOT TOUCH Imported'!$C$1:$D$800,2,False),"OOPS FIX ME"))</f>
        <v>markop</v>
      </c>
      <c r="B590" s="165" t="s">
        <v>441</v>
      </c>
      <c r="C590" s="170" t="s">
        <v>1826</v>
      </c>
      <c r="D590" s="236" t="s">
        <v>437</v>
      </c>
      <c r="E590" s="239">
        <v>44274.0</v>
      </c>
      <c r="F590" s="170" t="s">
        <v>439</v>
      </c>
      <c r="G590" s="170">
        <v>15.0</v>
      </c>
      <c r="H590" s="171">
        <v>150.0</v>
      </c>
      <c r="I590" s="171">
        <v>100.0</v>
      </c>
      <c r="J590" s="172">
        <f t="shared" si="2"/>
        <v>0.001286471305</v>
      </c>
      <c r="K590" s="173">
        <f t="shared" si="20"/>
        <v>1.436559624</v>
      </c>
      <c r="L590" s="174">
        <f t="shared" si="4"/>
        <v>4.522869831</v>
      </c>
      <c r="M590" s="175" t="str">
        <f t="shared" si="5"/>
        <v>markop</v>
      </c>
      <c r="N590" s="176">
        <f>IFERROR(__xludf.DUMMYFUNCTION("""COMPUTED_VALUE"""),3.0)</f>
        <v>3</v>
      </c>
      <c r="O590" s="176"/>
      <c r="P590" s="165" t="s">
        <v>486</v>
      </c>
      <c r="Q590" s="165" t="s">
        <v>441</v>
      </c>
      <c r="R590" s="176"/>
      <c r="S590" s="176"/>
      <c r="T590" s="176"/>
      <c r="U590" s="176"/>
      <c r="V590" s="176"/>
      <c r="W590" s="176"/>
      <c r="X590" s="176"/>
      <c r="Y590" s="176"/>
      <c r="Z590" s="176"/>
      <c r="AA590" s="176"/>
    </row>
    <row r="591">
      <c r="A591" s="165" t="str">
        <f>iferror(VLOOKUP(P591,'DO NOT TOUCH Imported'!$A$1:$D$800,4,False),iferror(VLOOKUP(P591,'DO NOT TOUCH Imported'!$C$1:$D$800,2,False),"OOPS FIX ME"))</f>
        <v>markop</v>
      </c>
      <c r="B591" s="249" t="s">
        <v>25</v>
      </c>
      <c r="C591" s="250" t="s">
        <v>1843</v>
      </c>
      <c r="D591" s="236" t="s">
        <v>1584</v>
      </c>
      <c r="E591" s="251">
        <v>44276.0</v>
      </c>
      <c r="F591" s="219" t="s">
        <v>496</v>
      </c>
      <c r="G591" s="170">
        <v>25.0</v>
      </c>
      <c r="H591" s="171">
        <v>100.0</v>
      </c>
      <c r="I591" s="171">
        <v>100.0</v>
      </c>
      <c r="J591" s="172">
        <f t="shared" si="2"/>
        <v>0.001234425234</v>
      </c>
      <c r="K591" s="173">
        <f t="shared" si="20"/>
        <v>1.378441511</v>
      </c>
      <c r="L591" s="174">
        <f t="shared" si="4"/>
        <v>4.522869831</v>
      </c>
      <c r="M591" s="175" t="str">
        <f t="shared" si="5"/>
        <v>markop</v>
      </c>
      <c r="N591" s="176">
        <f>IFERROR(__xludf.DUMMYFUNCTION("""COMPUTED_VALUE"""),4.0)</f>
        <v>4</v>
      </c>
      <c r="O591" s="176"/>
      <c r="P591" s="249" t="s">
        <v>43</v>
      </c>
      <c r="Q591" s="249" t="s">
        <v>25</v>
      </c>
      <c r="R591" s="176"/>
      <c r="S591" s="176"/>
      <c r="T591" s="176"/>
      <c r="U591" s="176"/>
      <c r="V591" s="176"/>
      <c r="W591" s="176"/>
      <c r="X591" s="176"/>
      <c r="Y591" s="176"/>
      <c r="Z591" s="176"/>
      <c r="AA591" s="176"/>
    </row>
    <row r="592">
      <c r="A592" s="165" t="str">
        <f>iferror(VLOOKUP(P592,'DO NOT TOUCH Imported'!$A$1:$D$800,4,False),iferror(VLOOKUP(P592,'DO NOT TOUCH Imported'!$C$1:$D$800,2,False),"OOPS FIX ME"))</f>
        <v>markop</v>
      </c>
      <c r="B592" s="165" t="s">
        <v>440</v>
      </c>
      <c r="C592" s="170" t="s">
        <v>1844</v>
      </c>
      <c r="D592" s="236" t="s">
        <v>437</v>
      </c>
      <c r="E592" s="239">
        <v>44277.0</v>
      </c>
      <c r="F592" s="170" t="s">
        <v>439</v>
      </c>
      <c r="G592" s="170">
        <v>25.0</v>
      </c>
      <c r="H592" s="171">
        <v>200.0</v>
      </c>
      <c r="I592" s="171">
        <v>100.0</v>
      </c>
      <c r="J592" s="172">
        <f t="shared" si="2"/>
        <v>0.001653949912</v>
      </c>
      <c r="K592" s="173">
        <f t="shared" si="20"/>
        <v>1.846910736</v>
      </c>
      <c r="L592" s="174">
        <f t="shared" si="4"/>
        <v>4.522869831</v>
      </c>
      <c r="M592" s="175" t="str">
        <f t="shared" si="5"/>
        <v>markop</v>
      </c>
      <c r="N592" s="176">
        <f>IFERROR(__xludf.DUMMYFUNCTION("""COMPUTED_VALUE"""),5.0)</f>
        <v>5</v>
      </c>
      <c r="O592" s="176"/>
      <c r="P592" s="165" t="s">
        <v>486</v>
      </c>
      <c r="Q592" s="165" t="s">
        <v>440</v>
      </c>
      <c r="R592" s="176"/>
      <c r="S592" s="176"/>
      <c r="T592" s="176"/>
      <c r="U592" s="176"/>
      <c r="V592" s="176"/>
      <c r="W592" s="176"/>
      <c r="X592" s="176"/>
      <c r="Y592" s="176"/>
      <c r="Z592" s="176"/>
      <c r="AA592" s="176"/>
    </row>
    <row r="593">
      <c r="A593" s="165" t="str">
        <f>iferror(VLOOKUP(P593,'DO NOT TOUCH Imported'!$A$1:$D$800,4,False),iferror(VLOOKUP(P593,'DO NOT TOUCH Imported'!$C$1:$D$800,2,False),"OOPS FIX ME"))</f>
        <v>markop</v>
      </c>
      <c r="B593" s="165" t="s">
        <v>441</v>
      </c>
      <c r="C593" s="170" t="s">
        <v>1595</v>
      </c>
      <c r="D593" s="236" t="s">
        <v>437</v>
      </c>
      <c r="E593" s="239">
        <v>44281.0</v>
      </c>
      <c r="F593" s="170" t="s">
        <v>439</v>
      </c>
      <c r="G593" s="170">
        <v>25.0</v>
      </c>
      <c r="H593" s="171">
        <v>100.0</v>
      </c>
      <c r="I593" s="171">
        <v>100.0</v>
      </c>
      <c r="J593" s="172">
        <f t="shared" si="2"/>
        <v>0.001234425234</v>
      </c>
      <c r="K593" s="173">
        <f t="shared" si="20"/>
        <v>1.378441511</v>
      </c>
      <c r="L593" s="174">
        <f t="shared" si="4"/>
        <v>4.522869831</v>
      </c>
      <c r="M593" s="175" t="str">
        <f t="shared" si="5"/>
        <v>markop</v>
      </c>
      <c r="N593" s="176">
        <f>IFERROR(__xludf.DUMMYFUNCTION("""COMPUTED_VALUE"""),6.0)</f>
        <v>6</v>
      </c>
      <c r="O593" s="176"/>
      <c r="P593" s="165" t="s">
        <v>486</v>
      </c>
      <c r="Q593" s="165" t="s">
        <v>441</v>
      </c>
      <c r="R593" s="176"/>
      <c r="S593" s="176"/>
      <c r="T593" s="176"/>
      <c r="U593" s="176"/>
      <c r="V593" s="176"/>
      <c r="W593" s="176"/>
      <c r="X593" s="176"/>
      <c r="Y593" s="176"/>
      <c r="Z593" s="176"/>
      <c r="AA593" s="176"/>
    </row>
    <row r="594">
      <c r="A594" s="165" t="str">
        <f>iferror(VLOOKUP(P594,'DO NOT TOUCH Imported'!$A$1:$D$800,4,False),iferror(VLOOKUP(P594,'DO NOT TOUCH Imported'!$C$1:$D$800,2,False),"OOPS FIX ME"))</f>
        <v>markop</v>
      </c>
      <c r="B594" s="249" t="s">
        <v>6</v>
      </c>
      <c r="C594" s="250" t="s">
        <v>1597</v>
      </c>
      <c r="D594" s="236" t="s">
        <v>1584</v>
      </c>
      <c r="E594" s="251">
        <v>44276.0</v>
      </c>
      <c r="F594" s="219" t="s">
        <v>496</v>
      </c>
      <c r="G594" s="170">
        <v>15.0</v>
      </c>
      <c r="H594" s="171">
        <v>200.0</v>
      </c>
      <c r="I594" s="171">
        <v>100.0</v>
      </c>
      <c r="J594" s="172">
        <f t="shared" si="2"/>
        <v>0.001496233644</v>
      </c>
      <c r="K594" s="173">
        <f t="shared" si="20"/>
        <v>1.670794236</v>
      </c>
      <c r="L594" s="174">
        <f t="shared" si="4"/>
        <v>4.522869831</v>
      </c>
      <c r="M594" s="175" t="str">
        <f t="shared" si="5"/>
        <v>markop</v>
      </c>
      <c r="N594" s="176">
        <f>IFERROR(__xludf.DUMMYFUNCTION("""COMPUTED_VALUE"""),7.0)</f>
        <v>7</v>
      </c>
      <c r="O594" s="176"/>
      <c r="P594" s="249" t="s">
        <v>43</v>
      </c>
      <c r="Q594" s="249" t="s">
        <v>6</v>
      </c>
      <c r="R594" s="176"/>
      <c r="S594" s="176"/>
      <c r="T594" s="176"/>
      <c r="U594" s="176"/>
      <c r="V594" s="176"/>
      <c r="W594" s="176"/>
      <c r="X594" s="176"/>
      <c r="Y594" s="176"/>
      <c r="Z594" s="176"/>
      <c r="AA594" s="176"/>
    </row>
    <row r="595">
      <c r="A595" s="165" t="str">
        <f>iferror(VLOOKUP(P595,'DO NOT TOUCH Imported'!$A$1:$D$800,4,False),iferror(VLOOKUP(P595,'DO NOT TOUCH Imported'!$C$1:$D$800,2,False),"OOPS FIX ME"))</f>
        <v>markop</v>
      </c>
      <c r="B595" s="165" t="s">
        <v>440</v>
      </c>
      <c r="C595" s="170" t="s">
        <v>1845</v>
      </c>
      <c r="D595" s="236" t="s">
        <v>437</v>
      </c>
      <c r="E595" s="239">
        <v>44271.0</v>
      </c>
      <c r="F595" s="170" t="s">
        <v>439</v>
      </c>
      <c r="G595" s="170">
        <v>15.0</v>
      </c>
      <c r="H595" s="171">
        <v>100.0</v>
      </c>
      <c r="I595" s="171">
        <v>100.0</v>
      </c>
      <c r="J595" s="172">
        <f t="shared" si="2"/>
        <v>0.001076708966</v>
      </c>
      <c r="K595" s="173">
        <f t="shared" si="20"/>
        <v>1.202325011</v>
      </c>
      <c r="L595" s="174">
        <f t="shared" si="4"/>
        <v>4.522869831</v>
      </c>
      <c r="M595" s="175" t="str">
        <f t="shared" si="5"/>
        <v>markop</v>
      </c>
      <c r="N595" s="176">
        <f>IFERROR(__xludf.DUMMYFUNCTION("""COMPUTED_VALUE"""),8.0)</f>
        <v>8</v>
      </c>
      <c r="O595" s="176"/>
      <c r="P595" s="165" t="s">
        <v>486</v>
      </c>
      <c r="Q595" s="165" t="s">
        <v>440</v>
      </c>
      <c r="R595" s="176"/>
      <c r="S595" s="176"/>
      <c r="T595" s="176"/>
      <c r="U595" s="176"/>
      <c r="V595" s="176"/>
      <c r="W595" s="176"/>
      <c r="X595" s="176"/>
      <c r="Y595" s="176"/>
      <c r="Z595" s="176"/>
      <c r="AA595" s="176"/>
    </row>
    <row r="596">
      <c r="A596" s="165" t="str">
        <f>iferror(VLOOKUP(P596,'DO NOT TOUCH Imported'!$A$1:$D$800,4,False),iferror(VLOOKUP(P596,'DO NOT TOUCH Imported'!$C$1:$D$800,2,False),"OOPS FIX ME"))</f>
        <v>markop</v>
      </c>
      <c r="B596" s="165" t="s">
        <v>440</v>
      </c>
      <c r="C596" s="170" t="s">
        <v>1846</v>
      </c>
      <c r="D596" s="236" t="s">
        <v>437</v>
      </c>
      <c r="E596" s="239">
        <v>44274.0</v>
      </c>
      <c r="F596" s="170" t="s">
        <v>439</v>
      </c>
      <c r="G596" s="170">
        <v>15.0</v>
      </c>
      <c r="H596" s="171">
        <v>200.0</v>
      </c>
      <c r="I596" s="171">
        <v>100.0</v>
      </c>
      <c r="J596" s="172">
        <f t="shared" si="2"/>
        <v>0.001496233644</v>
      </c>
      <c r="K596" s="173">
        <f t="shared" si="20"/>
        <v>1.670794236</v>
      </c>
      <c r="L596" s="174">
        <f t="shared" si="4"/>
        <v>4.522869831</v>
      </c>
      <c r="M596" s="175" t="str">
        <f t="shared" si="5"/>
        <v>markop</v>
      </c>
      <c r="N596" s="176">
        <f>IFERROR(__xludf.DUMMYFUNCTION("""COMPUTED_VALUE"""),9.0)</f>
        <v>9</v>
      </c>
      <c r="O596" s="176"/>
      <c r="P596" s="165" t="s">
        <v>486</v>
      </c>
      <c r="Q596" s="165" t="s">
        <v>440</v>
      </c>
      <c r="R596" s="176"/>
      <c r="S596" s="176"/>
      <c r="T596" s="176"/>
      <c r="U596" s="176"/>
      <c r="V596" s="176"/>
      <c r="W596" s="176"/>
      <c r="X596" s="176"/>
      <c r="Y596" s="176"/>
      <c r="Z596" s="176"/>
      <c r="AA596" s="176"/>
    </row>
    <row r="597">
      <c r="A597" s="165" t="str">
        <f>iferror(VLOOKUP(P597,'DO NOT TOUCH Imported'!$A$1:$D$800,4,False),iferror(VLOOKUP(P597,'DO NOT TOUCH Imported'!$C$1:$D$800,2,False),"OOPS FIX ME"))</f>
        <v>markop</v>
      </c>
      <c r="B597" s="165" t="s">
        <v>443</v>
      </c>
      <c r="C597" s="170" t="s">
        <v>1603</v>
      </c>
      <c r="D597" s="236" t="s">
        <v>437</v>
      </c>
      <c r="E597" s="239">
        <v>44277.0</v>
      </c>
      <c r="F597" s="170" t="s">
        <v>439</v>
      </c>
      <c r="G597" s="170">
        <v>15.0</v>
      </c>
      <c r="H597" s="171">
        <v>150.0</v>
      </c>
      <c r="I597" s="171">
        <v>100.0</v>
      </c>
      <c r="J597" s="172">
        <f t="shared" si="2"/>
        <v>0.001286471305</v>
      </c>
      <c r="K597" s="173">
        <f t="shared" si="20"/>
        <v>1.436559624</v>
      </c>
      <c r="L597" s="174">
        <f t="shared" si="4"/>
        <v>4.522869831</v>
      </c>
      <c r="M597" s="175" t="str">
        <f t="shared" si="5"/>
        <v>markop</v>
      </c>
      <c r="N597" s="176">
        <f>IFERROR(__xludf.DUMMYFUNCTION("""COMPUTED_VALUE"""),10.0)</f>
        <v>10</v>
      </c>
      <c r="O597" s="176"/>
      <c r="P597" s="165" t="s">
        <v>486</v>
      </c>
      <c r="Q597" s="165" t="s">
        <v>443</v>
      </c>
      <c r="R597" s="176"/>
      <c r="S597" s="176"/>
      <c r="T597" s="176"/>
      <c r="U597" s="176"/>
      <c r="V597" s="176"/>
      <c r="W597" s="176"/>
      <c r="X597" s="176"/>
      <c r="Y597" s="176"/>
      <c r="Z597" s="176"/>
      <c r="AA597" s="176"/>
    </row>
    <row r="598">
      <c r="A598" s="165" t="str">
        <f>iferror(VLOOKUP(P598,'DO NOT TOUCH Imported'!$A$1:$D$800,4,False),iferror(VLOOKUP(P598,'DO NOT TOUCH Imported'!$C$1:$D$800,2,False),"OOPS FIX ME"))</f>
        <v>markop</v>
      </c>
      <c r="B598" s="165" t="s">
        <v>435</v>
      </c>
      <c r="C598" s="170" t="s">
        <v>1847</v>
      </c>
      <c r="D598" s="236" t="s">
        <v>437</v>
      </c>
      <c r="E598" s="239">
        <v>44281.0</v>
      </c>
      <c r="F598" s="170" t="s">
        <v>911</v>
      </c>
      <c r="G598" s="170">
        <v>15.0</v>
      </c>
      <c r="H598" s="171">
        <v>100.0</v>
      </c>
      <c r="I598" s="171">
        <v>100.0</v>
      </c>
      <c r="J598" s="172">
        <f t="shared" si="2"/>
        <v>0.001076708966</v>
      </c>
      <c r="K598" s="173">
        <f t="shared" si="20"/>
        <v>1.202325011</v>
      </c>
      <c r="L598" s="174">
        <f t="shared" si="4"/>
        <v>4.522869831</v>
      </c>
      <c r="M598" s="175" t="str">
        <f t="shared" si="5"/>
        <v>markop</v>
      </c>
      <c r="N598" s="176">
        <f>IFERROR(__xludf.DUMMYFUNCTION("""COMPUTED_VALUE"""),11.0)</f>
        <v>11</v>
      </c>
      <c r="O598" s="176"/>
      <c r="P598" s="165" t="s">
        <v>486</v>
      </c>
      <c r="Q598" s="165" t="s">
        <v>435</v>
      </c>
      <c r="R598" s="176"/>
      <c r="S598" s="176"/>
      <c r="T598" s="176"/>
      <c r="U598" s="176"/>
      <c r="V598" s="176"/>
      <c r="W598" s="176"/>
      <c r="X598" s="176"/>
      <c r="Y598" s="176"/>
      <c r="Z598" s="176"/>
      <c r="AA598" s="176"/>
    </row>
    <row r="599">
      <c r="A599" s="165" t="str">
        <f>iferror(VLOOKUP(P599,'DO NOT TOUCH Imported'!$A$1:$D$800,4,False),iferror(VLOOKUP(P599,'DO NOT TOUCH Imported'!$C$1:$D$800,2,False),"OOPS FIX ME"))</f>
        <v>markop</v>
      </c>
      <c r="B599" s="249" t="s">
        <v>519</v>
      </c>
      <c r="C599" s="250" t="s">
        <v>1637</v>
      </c>
      <c r="D599" s="236" t="s">
        <v>1584</v>
      </c>
      <c r="E599" s="251">
        <v>44272.0</v>
      </c>
      <c r="F599" s="219" t="s">
        <v>521</v>
      </c>
      <c r="G599" s="170">
        <v>25.0</v>
      </c>
      <c r="H599" s="171">
        <v>60.0</v>
      </c>
      <c r="I599" s="171">
        <v>100.0</v>
      </c>
      <c r="J599" s="172">
        <f t="shared" si="2"/>
        <v>0.001066615363</v>
      </c>
      <c r="K599" s="173">
        <f t="shared" si="20"/>
        <v>1.191053822</v>
      </c>
      <c r="L599" s="174">
        <f t="shared" si="4"/>
        <v>4.522869831</v>
      </c>
      <c r="M599" s="175" t="str">
        <f t="shared" si="5"/>
        <v>markop</v>
      </c>
      <c r="N599" s="176">
        <f>IFERROR(__xludf.DUMMYFUNCTION("""COMPUTED_VALUE"""),12.0)</f>
        <v>12</v>
      </c>
      <c r="O599" s="176"/>
      <c r="P599" s="249" t="s">
        <v>43</v>
      </c>
      <c r="Q599" s="249" t="s">
        <v>519</v>
      </c>
      <c r="R599" s="176"/>
      <c r="S599" s="176"/>
      <c r="T599" s="176"/>
      <c r="U599" s="176"/>
      <c r="V599" s="176"/>
      <c r="W599" s="176"/>
      <c r="X599" s="176"/>
      <c r="Y599" s="176"/>
      <c r="Z599" s="176"/>
      <c r="AA599" s="176"/>
    </row>
    <row r="600">
      <c r="A600" s="165" t="str">
        <f>iferror(VLOOKUP(P600,'DO NOT TOUCH Imported'!$A$1:$D$800,4,False),iferror(VLOOKUP(P600,'DO NOT TOUCH Imported'!$C$1:$D$800,2,False),"OOPS FIX ME"))</f>
        <v>markop</v>
      </c>
      <c r="B600" s="249" t="s">
        <v>25</v>
      </c>
      <c r="C600" s="250" t="s">
        <v>1607</v>
      </c>
      <c r="D600" s="236" t="s">
        <v>1584</v>
      </c>
      <c r="E600" s="251">
        <v>44276.0</v>
      </c>
      <c r="F600" s="219" t="s">
        <v>496</v>
      </c>
      <c r="G600" s="170">
        <v>25.0</v>
      </c>
      <c r="H600" s="171">
        <v>60.0</v>
      </c>
      <c r="I600" s="171">
        <v>100.0</v>
      </c>
      <c r="J600" s="172">
        <f t="shared" si="2"/>
        <v>0.001066615363</v>
      </c>
      <c r="K600" s="173">
        <f t="shared" si="20"/>
        <v>1.191053822</v>
      </c>
      <c r="L600" s="174">
        <f t="shared" si="4"/>
        <v>4.522869831</v>
      </c>
      <c r="M600" s="175" t="str">
        <f t="shared" si="5"/>
        <v>markop</v>
      </c>
      <c r="N600" s="176">
        <f>IFERROR(__xludf.DUMMYFUNCTION("""COMPUTED_VALUE"""),13.0)</f>
        <v>13</v>
      </c>
      <c r="O600" s="176"/>
      <c r="P600" s="249" t="s">
        <v>43</v>
      </c>
      <c r="Q600" s="249" t="s">
        <v>25</v>
      </c>
      <c r="R600" s="176"/>
      <c r="S600" s="176"/>
      <c r="T600" s="176"/>
      <c r="U600" s="176"/>
      <c r="V600" s="176"/>
      <c r="W600" s="176"/>
      <c r="X600" s="176"/>
      <c r="Y600" s="176"/>
      <c r="Z600" s="176"/>
      <c r="AA600" s="176"/>
    </row>
    <row r="601">
      <c r="A601" s="165" t="str">
        <f>iferror(VLOOKUP(P601,'DO NOT TOUCH Imported'!$A$1:$D$800,4,False),iferror(VLOOKUP(P601,'DO NOT TOUCH Imported'!$C$1:$D$800,2,False),"OOPS FIX ME"))</f>
        <v>markop</v>
      </c>
      <c r="B601" s="249" t="s">
        <v>590</v>
      </c>
      <c r="C601" s="250" t="s">
        <v>1608</v>
      </c>
      <c r="D601" s="236" t="s">
        <v>1584</v>
      </c>
      <c r="E601" s="251">
        <v>44271.0</v>
      </c>
      <c r="F601" s="219" t="s">
        <v>496</v>
      </c>
      <c r="G601" s="170">
        <v>25.0</v>
      </c>
      <c r="H601" s="171">
        <v>50.0</v>
      </c>
      <c r="I601" s="171">
        <v>100.0</v>
      </c>
      <c r="J601" s="172">
        <f t="shared" si="2"/>
        <v>0.001024662895</v>
      </c>
      <c r="K601" s="173">
        <f t="shared" si="20"/>
        <v>1.144206899</v>
      </c>
      <c r="L601" s="174">
        <f t="shared" si="4"/>
        <v>4.522869831</v>
      </c>
      <c r="M601" s="175" t="str">
        <f t="shared" si="5"/>
        <v>markop</v>
      </c>
      <c r="N601" s="176">
        <f>IFERROR(__xludf.DUMMYFUNCTION("""COMPUTED_VALUE"""),14.0)</f>
        <v>14</v>
      </c>
      <c r="O601" s="176"/>
      <c r="P601" s="249" t="s">
        <v>43</v>
      </c>
      <c r="Q601" s="249" t="s">
        <v>590</v>
      </c>
      <c r="R601" s="176"/>
      <c r="S601" s="176"/>
      <c r="T601" s="176"/>
      <c r="U601" s="176"/>
      <c r="V601" s="176"/>
      <c r="W601" s="176"/>
      <c r="X601" s="176"/>
      <c r="Y601" s="176"/>
      <c r="Z601" s="176"/>
      <c r="AA601" s="176"/>
    </row>
    <row r="602">
      <c r="A602" s="165" t="str">
        <f>iferror(VLOOKUP(P602,'DO NOT TOUCH Imported'!$A$1:$D$800,4,False),iferror(VLOOKUP(P602,'DO NOT TOUCH Imported'!$C$1:$D$800,2,False),"OOPS FIX ME"))</f>
        <v>markop</v>
      </c>
      <c r="B602" s="165" t="s">
        <v>486</v>
      </c>
      <c r="C602" s="170" t="s">
        <v>1848</v>
      </c>
      <c r="D602" s="236" t="s">
        <v>437</v>
      </c>
      <c r="E602" s="239">
        <v>44271.0</v>
      </c>
      <c r="F602" s="170" t="s">
        <v>1600</v>
      </c>
      <c r="G602" s="170">
        <v>10.0</v>
      </c>
      <c r="H602" s="171">
        <v>100.0</v>
      </c>
      <c r="I602" s="171">
        <v>100.0</v>
      </c>
      <c r="J602" s="172">
        <f t="shared" si="2"/>
        <v>0.0009978508313</v>
      </c>
      <c r="K602" s="173">
        <f t="shared" si="20"/>
        <v>1.114266762</v>
      </c>
      <c r="L602" s="174">
        <f t="shared" si="4"/>
        <v>4.522869831</v>
      </c>
      <c r="M602" s="175" t="str">
        <f t="shared" si="5"/>
        <v>markop</v>
      </c>
      <c r="N602" s="176">
        <f>IFERROR(__xludf.DUMMYFUNCTION("""COMPUTED_VALUE"""),15.0)</f>
        <v>15</v>
      </c>
      <c r="O602" s="176"/>
      <c r="P602" s="165" t="s">
        <v>486</v>
      </c>
      <c r="Q602" s="165" t="s">
        <v>486</v>
      </c>
      <c r="R602" s="176"/>
      <c r="S602" s="176"/>
      <c r="T602" s="176"/>
      <c r="U602" s="176"/>
      <c r="V602" s="176"/>
      <c r="W602" s="176"/>
      <c r="X602" s="176"/>
      <c r="Y602" s="176"/>
      <c r="Z602" s="176"/>
      <c r="AA602" s="176"/>
    </row>
    <row r="603">
      <c r="A603" s="165" t="str">
        <f>iferror(VLOOKUP(P603,'DO NOT TOUCH Imported'!$A$1:$D$800,4,False),iferror(VLOOKUP(P603,'DO NOT TOUCH Imported'!$C$1:$D$800,2,False),"OOPS FIX ME"))</f>
        <v>markop</v>
      </c>
      <c r="B603" s="165" t="s">
        <v>441</v>
      </c>
      <c r="C603" s="170" t="s">
        <v>1612</v>
      </c>
      <c r="D603" s="236" t="s">
        <v>437</v>
      </c>
      <c r="E603" s="239">
        <v>44281.0</v>
      </c>
      <c r="F603" s="170" t="s">
        <v>439</v>
      </c>
      <c r="G603" s="170">
        <v>15.0</v>
      </c>
      <c r="H603" s="171">
        <v>80.0</v>
      </c>
      <c r="I603" s="171">
        <v>100.0</v>
      </c>
      <c r="J603" s="172">
        <f t="shared" si="2"/>
        <v>0.0009928040298</v>
      </c>
      <c r="K603" s="173">
        <f t="shared" si="20"/>
        <v>1.108631167</v>
      </c>
      <c r="L603" s="174">
        <f t="shared" si="4"/>
        <v>4.522869831</v>
      </c>
      <c r="M603" s="175" t="str">
        <f t="shared" si="5"/>
        <v>markop</v>
      </c>
      <c r="N603" s="176">
        <f>IFERROR(__xludf.DUMMYFUNCTION("""COMPUTED_VALUE"""),16.0)</f>
        <v>16</v>
      </c>
      <c r="O603" s="176"/>
      <c r="P603" s="165" t="s">
        <v>486</v>
      </c>
      <c r="Q603" s="165" t="s">
        <v>441</v>
      </c>
      <c r="R603" s="176"/>
      <c r="S603" s="176"/>
      <c r="T603" s="176"/>
      <c r="U603" s="176"/>
      <c r="V603" s="176"/>
      <c r="W603" s="176"/>
      <c r="X603" s="176"/>
      <c r="Y603" s="176"/>
      <c r="Z603" s="176"/>
      <c r="AA603" s="176"/>
    </row>
    <row r="604">
      <c r="A604" s="165" t="str">
        <f>iferror(VLOOKUP(P604,'DO NOT TOUCH Imported'!$A$1:$D$800,4,False),iferror(VLOOKUP(P604,'DO NOT TOUCH Imported'!$C$1:$D$800,2,False),"OOPS FIX ME"))</f>
        <v>markop</v>
      </c>
      <c r="B604" s="249" t="s">
        <v>867</v>
      </c>
      <c r="C604" s="250" t="s">
        <v>1828</v>
      </c>
      <c r="D604" s="236" t="s">
        <v>1584</v>
      </c>
      <c r="E604" s="251">
        <v>44277.0</v>
      </c>
      <c r="F604" s="219" t="s">
        <v>545</v>
      </c>
      <c r="G604" s="170">
        <v>15.0</v>
      </c>
      <c r="H604" s="171">
        <v>70.0</v>
      </c>
      <c r="I604" s="171">
        <v>100.0</v>
      </c>
      <c r="J604" s="172">
        <f t="shared" si="2"/>
        <v>0.000950851562</v>
      </c>
      <c r="K604" s="173">
        <f t="shared" si="20"/>
        <v>1.061784244</v>
      </c>
      <c r="L604" s="174">
        <f t="shared" si="4"/>
        <v>4.522869831</v>
      </c>
      <c r="M604" s="175" t="str">
        <f t="shared" si="5"/>
        <v>markop</v>
      </c>
      <c r="N604" s="176">
        <f>IFERROR(__xludf.DUMMYFUNCTION("""COMPUTED_VALUE"""),17.0)</f>
        <v>17</v>
      </c>
      <c r="O604" s="176"/>
      <c r="P604" s="249" t="s">
        <v>43</v>
      </c>
      <c r="Q604" s="249" t="s">
        <v>867</v>
      </c>
      <c r="R604" s="176"/>
      <c r="S604" s="176"/>
      <c r="T604" s="176"/>
      <c r="U604" s="176"/>
      <c r="V604" s="176"/>
      <c r="W604" s="176"/>
      <c r="X604" s="176"/>
      <c r="Y604" s="176"/>
      <c r="Z604" s="176"/>
      <c r="AA604" s="176"/>
    </row>
    <row r="605">
      <c r="A605" s="165" t="str">
        <f>iferror(VLOOKUP(P605,'DO NOT TOUCH Imported'!$A$1:$D$800,4,False),iferror(VLOOKUP(P605,'DO NOT TOUCH Imported'!$C$1:$D$800,2,False),"OOPS FIX ME"))</f>
        <v>markop</v>
      </c>
      <c r="B605" s="249" t="s">
        <v>519</v>
      </c>
      <c r="C605" s="250" t="s">
        <v>1637</v>
      </c>
      <c r="D605" s="236" t="s">
        <v>1584</v>
      </c>
      <c r="E605" s="251">
        <v>44279.0</v>
      </c>
      <c r="F605" s="219" t="s">
        <v>521</v>
      </c>
      <c r="G605" s="170">
        <v>15.0</v>
      </c>
      <c r="H605" s="171">
        <v>70.0</v>
      </c>
      <c r="I605" s="171">
        <v>100.0</v>
      </c>
      <c r="J605" s="172">
        <f t="shared" si="2"/>
        <v>0.000950851562</v>
      </c>
      <c r="K605" s="173">
        <f t="shared" si="20"/>
        <v>1.061784244</v>
      </c>
      <c r="L605" s="174">
        <f t="shared" si="4"/>
        <v>4.522869831</v>
      </c>
      <c r="M605" s="175" t="str">
        <f t="shared" si="5"/>
        <v>markop</v>
      </c>
      <c r="N605" s="176">
        <f>IFERROR(__xludf.DUMMYFUNCTION("""COMPUTED_VALUE"""),18.0)</f>
        <v>18</v>
      </c>
      <c r="O605" s="176"/>
      <c r="P605" s="249" t="s">
        <v>43</v>
      </c>
      <c r="Q605" s="249" t="s">
        <v>519</v>
      </c>
      <c r="R605" s="176"/>
      <c r="S605" s="176"/>
      <c r="T605" s="176"/>
      <c r="U605" s="176"/>
      <c r="V605" s="176"/>
      <c r="W605" s="176"/>
      <c r="X605" s="176"/>
      <c r="Y605" s="176"/>
      <c r="Z605" s="176"/>
      <c r="AA605" s="176"/>
    </row>
    <row r="606">
      <c r="A606" s="165" t="str">
        <f>iferror(VLOOKUP(P606,'DO NOT TOUCH Imported'!$A$1:$D$800,4,False),iferror(VLOOKUP(P606,'DO NOT TOUCH Imported'!$C$1:$D$800,2,False),"OOPS FIX ME"))</f>
        <v>markop</v>
      </c>
      <c r="B606" s="165" t="s">
        <v>10</v>
      </c>
      <c r="C606" s="170" t="s">
        <v>1639</v>
      </c>
      <c r="D606" s="236" t="s">
        <v>1584</v>
      </c>
      <c r="E606" s="239">
        <v>44281.0</v>
      </c>
      <c r="F606" s="170" t="s">
        <v>496</v>
      </c>
      <c r="G606" s="170">
        <v>15.0</v>
      </c>
      <c r="H606" s="171">
        <v>70.0</v>
      </c>
      <c r="I606" s="171">
        <v>100.0</v>
      </c>
      <c r="J606" s="172">
        <f t="shared" si="2"/>
        <v>0.000950851562</v>
      </c>
      <c r="K606" s="173">
        <f t="shared" si="20"/>
        <v>1.061784244</v>
      </c>
      <c r="L606" s="174">
        <f t="shared" si="4"/>
        <v>4.522869831</v>
      </c>
      <c r="M606" s="175" t="str">
        <f t="shared" si="5"/>
        <v>markop</v>
      </c>
      <c r="N606" s="176">
        <f>IFERROR(__xludf.DUMMYFUNCTION("""COMPUTED_VALUE"""),19.0)</f>
        <v>19</v>
      </c>
      <c r="O606" s="176"/>
      <c r="P606" s="165" t="s">
        <v>43</v>
      </c>
      <c r="Q606" s="165" t="s">
        <v>10</v>
      </c>
      <c r="R606" s="176"/>
      <c r="S606" s="176"/>
      <c r="T606" s="176"/>
      <c r="U606" s="176"/>
      <c r="V606" s="176"/>
      <c r="W606" s="176"/>
      <c r="X606" s="176"/>
      <c r="Y606" s="176"/>
      <c r="Z606" s="176"/>
      <c r="AA606" s="176"/>
    </row>
    <row r="607">
      <c r="A607" s="165" t="str">
        <f>iferror(VLOOKUP(P607,'DO NOT TOUCH Imported'!$A$1:$D$800,4,False),iferror(VLOOKUP(P607,'DO NOT TOUCH Imported'!$C$1:$D$800,2,False),"OOPS FIX ME"))</f>
        <v>markop</v>
      </c>
      <c r="B607" s="165" t="s">
        <v>443</v>
      </c>
      <c r="C607" s="170" t="s">
        <v>1616</v>
      </c>
      <c r="D607" s="236" t="s">
        <v>437</v>
      </c>
      <c r="E607" s="239">
        <v>44280.0</v>
      </c>
      <c r="F607" s="170" t="s">
        <v>439</v>
      </c>
      <c r="G607" s="170">
        <v>5.0</v>
      </c>
      <c r="H607" s="171">
        <v>100.0</v>
      </c>
      <c r="I607" s="171">
        <v>100.0</v>
      </c>
      <c r="J607" s="172">
        <f t="shared" si="2"/>
        <v>0.0009189926971</v>
      </c>
      <c r="K607" s="173">
        <f t="shared" si="20"/>
        <v>1.026208512</v>
      </c>
      <c r="L607" s="174">
        <f t="shared" si="4"/>
        <v>4.522869831</v>
      </c>
      <c r="M607" s="175" t="str">
        <f t="shared" si="5"/>
        <v>markop</v>
      </c>
      <c r="N607" s="176">
        <f>IFERROR(__xludf.DUMMYFUNCTION("""COMPUTED_VALUE"""),20.0)</f>
        <v>20</v>
      </c>
      <c r="O607" s="176"/>
      <c r="P607" s="165" t="s">
        <v>486</v>
      </c>
      <c r="Q607" s="165" t="s">
        <v>443</v>
      </c>
      <c r="R607" s="176"/>
      <c r="S607" s="176"/>
      <c r="T607" s="176"/>
      <c r="U607" s="176"/>
      <c r="V607" s="176"/>
      <c r="W607" s="176"/>
      <c r="X607" s="176"/>
      <c r="Y607" s="176"/>
      <c r="Z607" s="176"/>
      <c r="AA607" s="176"/>
    </row>
    <row r="608">
      <c r="A608" s="165" t="str">
        <f>iferror(VLOOKUP(P608,'DO NOT TOUCH Imported'!$A$1:$D$800,4,False),iferror(VLOOKUP(P608,'DO NOT TOUCH Imported'!$C$1:$D$800,2,False),"OOPS FIX ME"))</f>
        <v>markop</v>
      </c>
      <c r="B608" s="249" t="s">
        <v>590</v>
      </c>
      <c r="C608" s="250" t="s">
        <v>1619</v>
      </c>
      <c r="D608" s="236" t="s">
        <v>1584</v>
      </c>
      <c r="E608" s="251">
        <v>44278.0</v>
      </c>
      <c r="F608" s="219" t="s">
        <v>496</v>
      </c>
      <c r="G608" s="170">
        <v>15.0</v>
      </c>
      <c r="H608" s="171">
        <v>60.0</v>
      </c>
      <c r="I608" s="171">
        <v>100.0</v>
      </c>
      <c r="J608" s="172">
        <f t="shared" si="2"/>
        <v>0.0009088990941</v>
      </c>
      <c r="K608" s="173">
        <f t="shared" si="20"/>
        <v>1.014937322</v>
      </c>
      <c r="L608" s="174">
        <f t="shared" si="4"/>
        <v>4.522869831</v>
      </c>
      <c r="M608" s="175" t="str">
        <f t="shared" si="5"/>
        <v>markop</v>
      </c>
      <c r="N608" s="176">
        <f>IFERROR(__xludf.DUMMYFUNCTION("""COMPUTED_VALUE"""),21.0)</f>
        <v>21</v>
      </c>
      <c r="O608" s="176"/>
      <c r="P608" s="249" t="s">
        <v>43</v>
      </c>
      <c r="Q608" s="249" t="s">
        <v>590</v>
      </c>
      <c r="R608" s="176"/>
      <c r="S608" s="176"/>
      <c r="T608" s="176"/>
      <c r="U608" s="176"/>
      <c r="V608" s="176"/>
      <c r="W608" s="176"/>
      <c r="X608" s="176"/>
      <c r="Y608" s="176"/>
      <c r="Z608" s="176"/>
      <c r="AA608" s="176"/>
    </row>
    <row r="609">
      <c r="A609" s="185" t="str">
        <f>iferror(VLOOKUP(P609,'DO NOT TOUCH Imported'!$A$1:$D$800,4,False),iferror(VLOOKUP(P609,'DO NOT TOUCH Imported'!$C$1:$D$800,2,False),"OOPS FIX ME"))</f>
        <v>markop</v>
      </c>
      <c r="B609" s="185" t="s">
        <v>534</v>
      </c>
      <c r="C609" s="186" t="s">
        <v>794</v>
      </c>
      <c r="D609" s="187"/>
      <c r="E609" s="188"/>
      <c r="F609" s="189"/>
      <c r="G609" s="190"/>
      <c r="H609" s="190"/>
      <c r="I609" s="190"/>
      <c r="J609" s="191">
        <f t="shared" si="2"/>
        <v>0</v>
      </c>
      <c r="K609" s="192">
        <f>30.153*-0.85</f>
        <v>-25.63005</v>
      </c>
      <c r="L609" s="193">
        <f t="shared" si="4"/>
        <v>4.522869831</v>
      </c>
      <c r="M609" s="194" t="str">
        <f t="shared" si="5"/>
        <v>markop</v>
      </c>
      <c r="N609" s="195">
        <f>IFERROR(__xludf.DUMMYFUNCTION("""COMPUTED_VALUE"""),22.0)</f>
        <v>22</v>
      </c>
      <c r="O609" s="195"/>
      <c r="P609" s="212" t="s">
        <v>43</v>
      </c>
      <c r="Q609" s="185" t="s">
        <v>534</v>
      </c>
      <c r="R609" s="195">
        <v>18.848124090566696</v>
      </c>
      <c r="S609" s="195"/>
      <c r="T609" s="195"/>
      <c r="U609" s="195"/>
      <c r="V609" s="195"/>
      <c r="W609" s="195"/>
      <c r="X609" s="195"/>
      <c r="Y609" s="195"/>
      <c r="Z609" s="195"/>
      <c r="AA609" s="176"/>
    </row>
    <row r="610">
      <c r="A610" s="165" t="str">
        <f>iferror(VLOOKUP(P610,'DO NOT TOUCH Imported'!$A$1:$D$800,4,False),iferror(VLOOKUP(P610,'DO NOT TOUCH Imported'!$C$1:$D$800,2,False),"OOPS FIX ME"))</f>
        <v>markop</v>
      </c>
      <c r="B610" s="165" t="s">
        <v>441</v>
      </c>
      <c r="C610" s="170" t="s">
        <v>1662</v>
      </c>
      <c r="D610" s="236" t="s">
        <v>437</v>
      </c>
      <c r="E610" s="239">
        <v>44281.0</v>
      </c>
      <c r="F610" s="170" t="s">
        <v>439</v>
      </c>
      <c r="G610" s="170">
        <v>50.0</v>
      </c>
      <c r="H610" s="171">
        <v>100.0</v>
      </c>
      <c r="I610" s="171">
        <v>200.0</v>
      </c>
      <c r="J610" s="172">
        <f t="shared" si="2"/>
        <v>0.002049325789</v>
      </c>
      <c r="K610" s="173">
        <f t="shared" ref="K610:K627" si="21">J610*$J$1</f>
        <v>2.288413798</v>
      </c>
      <c r="L610" s="174">
        <f t="shared" si="4"/>
        <v>4.522869831</v>
      </c>
      <c r="M610" s="175" t="str">
        <f t="shared" si="5"/>
        <v>markop</v>
      </c>
      <c r="N610" s="176">
        <f>IFERROR(__xludf.DUMMYFUNCTION("""COMPUTED_VALUE"""),23.0)</f>
        <v>23</v>
      </c>
      <c r="O610" s="176"/>
      <c r="P610" s="165" t="s">
        <v>486</v>
      </c>
      <c r="Q610" s="165" t="s">
        <v>441</v>
      </c>
      <c r="R610" s="176"/>
      <c r="S610" s="176"/>
      <c r="T610" s="176"/>
      <c r="U610" s="176"/>
      <c r="V610" s="176"/>
      <c r="W610" s="176"/>
      <c r="X610" s="176"/>
      <c r="Y610" s="176"/>
      <c r="Z610" s="176"/>
      <c r="AA610" s="176"/>
    </row>
    <row r="611">
      <c r="A611" s="165" t="str">
        <f>iferror(VLOOKUP(P611,'DO NOT TOUCH Imported'!$A$1:$D$800,4,False),iferror(VLOOKUP(P611,'DO NOT TOUCH Imported'!$C$1:$D$800,2,False),"OOPS FIX ME"))</f>
        <v>divine_comedian</v>
      </c>
      <c r="B611" s="165" t="s">
        <v>441</v>
      </c>
      <c r="C611" s="170" t="s">
        <v>1634</v>
      </c>
      <c r="D611" s="236" t="s">
        <v>437</v>
      </c>
      <c r="E611" s="239">
        <v>44281.0</v>
      </c>
      <c r="F611" s="170" t="s">
        <v>439</v>
      </c>
      <c r="G611" s="170">
        <v>50.0</v>
      </c>
      <c r="H611" s="171">
        <v>100.0</v>
      </c>
      <c r="I611" s="171">
        <v>400.0</v>
      </c>
      <c r="J611" s="172">
        <f t="shared" si="2"/>
        <v>0.002890545558</v>
      </c>
      <c r="K611" s="173">
        <f t="shared" si="21"/>
        <v>3.227775873</v>
      </c>
      <c r="L611" s="174">
        <f t="shared" si="4"/>
        <v>4.427583805</v>
      </c>
      <c r="M611" s="175" t="str">
        <f t="shared" si="5"/>
        <v>divine_comedian</v>
      </c>
      <c r="N611" s="176">
        <f>IFERROR(__xludf.DUMMYFUNCTION("""COMPUTED_VALUE"""),1.0)</f>
        <v>1</v>
      </c>
      <c r="O611" s="176"/>
      <c r="P611" s="165" t="s">
        <v>813</v>
      </c>
      <c r="Q611" s="165" t="s">
        <v>441</v>
      </c>
      <c r="R611" s="176"/>
      <c r="S611" s="176"/>
      <c r="T611" s="176"/>
      <c r="U611" s="176"/>
      <c r="V611" s="176"/>
      <c r="W611" s="176"/>
      <c r="X611" s="176"/>
      <c r="Y611" s="176"/>
      <c r="Z611" s="176"/>
      <c r="AA611" s="176"/>
    </row>
    <row r="612">
      <c r="A612" s="165" t="str">
        <f>iferror(VLOOKUP(P612,'DO NOT TOUCH Imported'!$A$1:$D$800,4,False),iferror(VLOOKUP(P612,'DO NOT TOUCH Imported'!$C$1:$D$800,2,False),"OOPS FIX ME"))</f>
        <v>divine_comedian</v>
      </c>
      <c r="B612" s="165" t="s">
        <v>441</v>
      </c>
      <c r="C612" s="170" t="s">
        <v>1849</v>
      </c>
      <c r="D612" s="236" t="s">
        <v>437</v>
      </c>
      <c r="E612" s="239">
        <v>44274.0</v>
      </c>
      <c r="F612" s="170" t="s">
        <v>439</v>
      </c>
      <c r="G612" s="170">
        <v>100.0</v>
      </c>
      <c r="H612" s="171">
        <v>200.0</v>
      </c>
      <c r="I612" s="171">
        <v>100.0</v>
      </c>
      <c r="J612" s="172">
        <f t="shared" si="2"/>
        <v>0.002836821926</v>
      </c>
      <c r="K612" s="173">
        <f t="shared" si="21"/>
        <v>3.167784484</v>
      </c>
      <c r="L612" s="174">
        <f t="shared" si="4"/>
        <v>4.427583805</v>
      </c>
      <c r="M612" s="175" t="str">
        <f t="shared" si="5"/>
        <v>divine_comedian</v>
      </c>
      <c r="N612" s="176">
        <f>IFERROR(__xludf.DUMMYFUNCTION("""COMPUTED_VALUE"""),2.0)</f>
        <v>2</v>
      </c>
      <c r="O612" s="176"/>
      <c r="P612" s="165" t="s">
        <v>813</v>
      </c>
      <c r="Q612" s="165" t="s">
        <v>441</v>
      </c>
      <c r="R612" s="176"/>
      <c r="S612" s="176"/>
      <c r="T612" s="176"/>
      <c r="U612" s="176"/>
      <c r="V612" s="176"/>
      <c r="W612" s="176"/>
      <c r="X612" s="176"/>
      <c r="Y612" s="176"/>
      <c r="Z612" s="176"/>
      <c r="AA612" s="176"/>
    </row>
    <row r="613">
      <c r="A613" s="165" t="str">
        <f>iferror(VLOOKUP(P613,'DO NOT TOUCH Imported'!$A$1:$D$800,4,False),iferror(VLOOKUP(P613,'DO NOT TOUCH Imported'!$C$1:$D$800,2,False),"OOPS FIX ME"))</f>
        <v>divine_comedian</v>
      </c>
      <c r="B613" s="249" t="s">
        <v>867</v>
      </c>
      <c r="C613" s="250" t="s">
        <v>1850</v>
      </c>
      <c r="D613" s="236" t="s">
        <v>1584</v>
      </c>
      <c r="E613" s="251">
        <v>44272.0</v>
      </c>
      <c r="F613" s="219" t="s">
        <v>496</v>
      </c>
      <c r="G613" s="170">
        <v>100.0</v>
      </c>
      <c r="H613" s="171">
        <v>100.0</v>
      </c>
      <c r="I613" s="171">
        <v>100.0</v>
      </c>
      <c r="J613" s="172">
        <f t="shared" si="2"/>
        <v>0.002417297247</v>
      </c>
      <c r="K613" s="173">
        <f t="shared" si="21"/>
        <v>2.699315259</v>
      </c>
      <c r="L613" s="174">
        <f t="shared" si="4"/>
        <v>4.427583805</v>
      </c>
      <c r="M613" s="175" t="str">
        <f t="shared" si="5"/>
        <v>divine_comedian</v>
      </c>
      <c r="N613" s="176">
        <f>IFERROR(__xludf.DUMMYFUNCTION("""COMPUTED_VALUE"""),3.0)</f>
        <v>3</v>
      </c>
      <c r="O613" s="176"/>
      <c r="P613" s="249" t="s">
        <v>48</v>
      </c>
      <c r="Q613" s="249" t="s">
        <v>867</v>
      </c>
      <c r="R613" s="176"/>
      <c r="S613" s="176"/>
      <c r="T613" s="176"/>
      <c r="U613" s="176"/>
      <c r="V613" s="176"/>
      <c r="W613" s="176"/>
      <c r="X613" s="176"/>
      <c r="Y613" s="176"/>
      <c r="Z613" s="176"/>
      <c r="AA613" s="176"/>
    </row>
    <row r="614">
      <c r="A614" s="165" t="str">
        <f>iferror(VLOOKUP(P614,'DO NOT TOUCH Imported'!$A$1:$D$800,4,False),iferror(VLOOKUP(P614,'DO NOT TOUCH Imported'!$C$1:$D$800,2,False),"OOPS FIX ME"))</f>
        <v>divine_comedian</v>
      </c>
      <c r="B614" s="165" t="s">
        <v>441</v>
      </c>
      <c r="C614" s="170" t="s">
        <v>1633</v>
      </c>
      <c r="D614" s="236" t="s">
        <v>437</v>
      </c>
      <c r="E614" s="239">
        <v>44281.0</v>
      </c>
      <c r="F614" s="170" t="s">
        <v>439</v>
      </c>
      <c r="G614" s="170">
        <v>100.0</v>
      </c>
      <c r="H614" s="171">
        <v>70.0</v>
      </c>
      <c r="I614" s="171">
        <v>100.0</v>
      </c>
      <c r="J614" s="172">
        <f t="shared" si="2"/>
        <v>0.002291439844</v>
      </c>
      <c r="K614" s="173">
        <f t="shared" si="21"/>
        <v>2.558774492</v>
      </c>
      <c r="L614" s="174">
        <f t="shared" si="4"/>
        <v>4.427583805</v>
      </c>
      <c r="M614" s="175" t="str">
        <f t="shared" si="5"/>
        <v>divine_comedian</v>
      </c>
      <c r="N614" s="176">
        <f>IFERROR(__xludf.DUMMYFUNCTION("""COMPUTED_VALUE"""),4.0)</f>
        <v>4</v>
      </c>
      <c r="O614" s="176"/>
      <c r="P614" s="165" t="s">
        <v>813</v>
      </c>
      <c r="Q614" s="165" t="s">
        <v>441</v>
      </c>
      <c r="R614" s="176"/>
      <c r="S614" s="176"/>
      <c r="T614" s="176"/>
      <c r="U614" s="176"/>
      <c r="V614" s="176"/>
      <c r="W614" s="176"/>
      <c r="X614" s="176"/>
      <c r="Y614" s="176"/>
      <c r="Z614" s="176"/>
      <c r="AA614" s="176"/>
    </row>
    <row r="615">
      <c r="A615" s="165" t="str">
        <f>iferror(VLOOKUP(P615,'DO NOT TOUCH Imported'!$A$1:$D$800,4,False),iferror(VLOOKUP(P615,'DO NOT TOUCH Imported'!$C$1:$D$800,2,False),"OOPS FIX ME"))</f>
        <v>divine_comedian</v>
      </c>
      <c r="B615" s="249" t="s">
        <v>18</v>
      </c>
      <c r="C615" s="250" t="s">
        <v>1851</v>
      </c>
      <c r="D615" s="236" t="s">
        <v>1584</v>
      </c>
      <c r="E615" s="251">
        <v>44271.0</v>
      </c>
      <c r="F615" s="219" t="s">
        <v>496</v>
      </c>
      <c r="G615" s="170">
        <v>50.0</v>
      </c>
      <c r="H615" s="171">
        <v>100.0</v>
      </c>
      <c r="I615" s="171">
        <v>100.0</v>
      </c>
      <c r="J615" s="172">
        <f t="shared" si="2"/>
        <v>0.001628715905</v>
      </c>
      <c r="K615" s="173">
        <f t="shared" si="21"/>
        <v>1.818732761</v>
      </c>
      <c r="L615" s="174">
        <f t="shared" si="4"/>
        <v>4.427583805</v>
      </c>
      <c r="M615" s="175" t="str">
        <f t="shared" si="5"/>
        <v>divine_comedian</v>
      </c>
      <c r="N615" s="176">
        <f>IFERROR(__xludf.DUMMYFUNCTION("""COMPUTED_VALUE"""),5.0)</f>
        <v>5</v>
      </c>
      <c r="O615" s="176"/>
      <c r="P615" s="249" t="s">
        <v>48</v>
      </c>
      <c r="Q615" s="249" t="s">
        <v>18</v>
      </c>
      <c r="R615" s="176"/>
      <c r="S615" s="176"/>
      <c r="T615" s="176"/>
      <c r="U615" s="176"/>
      <c r="V615" s="176"/>
      <c r="W615" s="176"/>
      <c r="X615" s="176"/>
      <c r="Y615" s="176"/>
      <c r="Z615" s="176"/>
      <c r="AA615" s="176"/>
    </row>
    <row r="616">
      <c r="A616" s="165" t="str">
        <f>iferror(VLOOKUP(P616,'DO NOT TOUCH Imported'!$A$1:$D$800,4,False),iferror(VLOOKUP(P616,'DO NOT TOUCH Imported'!$C$1:$D$800,2,False),"OOPS FIX ME"))</f>
        <v>divine_comedian</v>
      </c>
      <c r="B616" s="165" t="s">
        <v>519</v>
      </c>
      <c r="C616" s="170" t="s">
        <v>1632</v>
      </c>
      <c r="D616" s="236" t="s">
        <v>1584</v>
      </c>
      <c r="E616" s="239">
        <v>44281.0</v>
      </c>
      <c r="F616" s="170" t="s">
        <v>496</v>
      </c>
      <c r="G616" s="170">
        <v>50.0</v>
      </c>
      <c r="H616" s="171">
        <v>100.0</v>
      </c>
      <c r="I616" s="171">
        <v>100.0</v>
      </c>
      <c r="J616" s="172">
        <f t="shared" si="2"/>
        <v>0.001628715905</v>
      </c>
      <c r="K616" s="173">
        <f t="shared" si="21"/>
        <v>1.818732761</v>
      </c>
      <c r="L616" s="174">
        <f t="shared" si="4"/>
        <v>4.427583805</v>
      </c>
      <c r="M616" s="175" t="str">
        <f t="shared" si="5"/>
        <v>divine_comedian</v>
      </c>
      <c r="N616" s="176">
        <f>IFERROR(__xludf.DUMMYFUNCTION("""COMPUTED_VALUE"""),6.0)</f>
        <v>6</v>
      </c>
      <c r="O616" s="176"/>
      <c r="P616" s="165" t="s">
        <v>48</v>
      </c>
      <c r="Q616" s="165" t="s">
        <v>519</v>
      </c>
      <c r="R616" s="176"/>
      <c r="S616" s="176"/>
      <c r="T616" s="176"/>
      <c r="U616" s="176"/>
      <c r="V616" s="176"/>
      <c r="W616" s="176"/>
      <c r="X616" s="176"/>
      <c r="Y616" s="176"/>
      <c r="Z616" s="176"/>
      <c r="AA616" s="176"/>
    </row>
    <row r="617">
      <c r="A617" s="165" t="str">
        <f>iferror(VLOOKUP(P617,'DO NOT TOUCH Imported'!$A$1:$D$800,4,False),iferror(VLOOKUP(P617,'DO NOT TOUCH Imported'!$C$1:$D$800,2,False),"OOPS FIX ME"))</f>
        <v>divine_comedian</v>
      </c>
      <c r="B617" s="165" t="s">
        <v>486</v>
      </c>
      <c r="C617" s="170" t="s">
        <v>1852</v>
      </c>
      <c r="D617" s="236" t="s">
        <v>437</v>
      </c>
      <c r="E617" s="239">
        <v>44271.0</v>
      </c>
      <c r="F617" s="170" t="s">
        <v>1600</v>
      </c>
      <c r="G617" s="170">
        <v>50.0</v>
      </c>
      <c r="H617" s="171">
        <v>100.0</v>
      </c>
      <c r="I617" s="171">
        <v>100.0</v>
      </c>
      <c r="J617" s="172">
        <f t="shared" si="2"/>
        <v>0.001628715905</v>
      </c>
      <c r="K617" s="173">
        <f t="shared" si="21"/>
        <v>1.818732761</v>
      </c>
      <c r="L617" s="174">
        <f t="shared" si="4"/>
        <v>4.427583805</v>
      </c>
      <c r="M617" s="175" t="str">
        <f t="shared" si="5"/>
        <v>divine_comedian</v>
      </c>
      <c r="N617" s="176">
        <f>IFERROR(__xludf.DUMMYFUNCTION("""COMPUTED_VALUE"""),7.0)</f>
        <v>7</v>
      </c>
      <c r="O617" s="176"/>
      <c r="P617" s="165" t="s">
        <v>813</v>
      </c>
      <c r="Q617" s="165" t="s">
        <v>486</v>
      </c>
      <c r="R617" s="176"/>
      <c r="S617" s="176"/>
      <c r="T617" s="176"/>
      <c r="U617" s="176"/>
      <c r="V617" s="176"/>
      <c r="W617" s="176"/>
      <c r="X617" s="176"/>
      <c r="Y617" s="176"/>
      <c r="Z617" s="176"/>
      <c r="AA617" s="176"/>
    </row>
    <row r="618">
      <c r="A618" s="165" t="str">
        <f>iferror(VLOOKUP(P618,'DO NOT TOUCH Imported'!$A$1:$D$800,4,False),iferror(VLOOKUP(P618,'DO NOT TOUCH Imported'!$C$1:$D$800,2,False),"OOPS FIX ME"))</f>
        <v>divine_comedian</v>
      </c>
      <c r="B618" s="165" t="s">
        <v>441</v>
      </c>
      <c r="C618" s="170" t="s">
        <v>1636</v>
      </c>
      <c r="D618" s="236" t="s">
        <v>437</v>
      </c>
      <c r="E618" s="239">
        <v>44274.0</v>
      </c>
      <c r="F618" s="170" t="s">
        <v>439</v>
      </c>
      <c r="G618" s="170">
        <v>50.0</v>
      </c>
      <c r="H618" s="171">
        <v>100.0</v>
      </c>
      <c r="I618" s="171">
        <v>100.0</v>
      </c>
      <c r="J618" s="172">
        <f t="shared" si="2"/>
        <v>0.001628715905</v>
      </c>
      <c r="K618" s="173">
        <f t="shared" si="21"/>
        <v>1.818732761</v>
      </c>
      <c r="L618" s="174">
        <f t="shared" si="4"/>
        <v>4.427583805</v>
      </c>
      <c r="M618" s="175" t="str">
        <f t="shared" si="5"/>
        <v>divine_comedian</v>
      </c>
      <c r="N618" s="176">
        <f>IFERROR(__xludf.DUMMYFUNCTION("""COMPUTED_VALUE"""),8.0)</f>
        <v>8</v>
      </c>
      <c r="O618" s="176"/>
      <c r="P618" s="165" t="s">
        <v>813</v>
      </c>
      <c r="Q618" s="165" t="s">
        <v>441</v>
      </c>
      <c r="R618" s="176"/>
      <c r="S618" s="176"/>
      <c r="T618" s="176"/>
      <c r="U618" s="176"/>
      <c r="V618" s="176"/>
      <c r="W618" s="176"/>
      <c r="X618" s="176"/>
      <c r="Y618" s="176"/>
      <c r="Z618" s="176"/>
      <c r="AA618" s="176"/>
    </row>
    <row r="619">
      <c r="A619" s="165" t="str">
        <f>iferror(VLOOKUP(P619,'DO NOT TOUCH Imported'!$A$1:$D$800,4,False),iferror(VLOOKUP(P619,'DO NOT TOUCH Imported'!$C$1:$D$800,2,False),"OOPS FIX ME"))</f>
        <v>divine_comedian</v>
      </c>
      <c r="B619" s="165" t="s">
        <v>441</v>
      </c>
      <c r="C619" s="170" t="s">
        <v>1802</v>
      </c>
      <c r="D619" s="236" t="s">
        <v>437</v>
      </c>
      <c r="E619" s="239">
        <v>44274.0</v>
      </c>
      <c r="F619" s="170" t="s">
        <v>439</v>
      </c>
      <c r="G619" s="170">
        <v>25.0</v>
      </c>
      <c r="H619" s="171">
        <v>100.0</v>
      </c>
      <c r="I619" s="171">
        <v>100.0</v>
      </c>
      <c r="J619" s="172">
        <f t="shared" si="2"/>
        <v>0.001234425234</v>
      </c>
      <c r="K619" s="173">
        <f t="shared" si="21"/>
        <v>1.378441511</v>
      </c>
      <c r="L619" s="174">
        <f t="shared" si="4"/>
        <v>4.427583805</v>
      </c>
      <c r="M619" s="175" t="str">
        <f t="shared" si="5"/>
        <v>divine_comedian</v>
      </c>
      <c r="N619" s="176">
        <f>IFERROR(__xludf.DUMMYFUNCTION("""COMPUTED_VALUE"""),9.0)</f>
        <v>9</v>
      </c>
      <c r="O619" s="176"/>
      <c r="P619" s="165" t="s">
        <v>813</v>
      </c>
      <c r="Q619" s="165" t="s">
        <v>441</v>
      </c>
      <c r="R619" s="176"/>
      <c r="S619" s="176"/>
      <c r="T619" s="176"/>
      <c r="U619" s="176"/>
      <c r="V619" s="176"/>
      <c r="W619" s="176"/>
      <c r="X619" s="176"/>
      <c r="Y619" s="176"/>
      <c r="Z619" s="176"/>
      <c r="AA619" s="176"/>
    </row>
    <row r="620">
      <c r="A620" s="165" t="str">
        <f>iferror(VLOOKUP(P620,'DO NOT TOUCH Imported'!$A$1:$D$800,4,False),iferror(VLOOKUP(P620,'DO NOT TOUCH Imported'!$C$1:$D$800,2,False),"OOPS FIX ME"))</f>
        <v>divine_comedian</v>
      </c>
      <c r="B620" s="165" t="s">
        <v>441</v>
      </c>
      <c r="C620" s="170" t="s">
        <v>1779</v>
      </c>
      <c r="D620" s="236" t="s">
        <v>437</v>
      </c>
      <c r="E620" s="239">
        <v>44281.0</v>
      </c>
      <c r="F620" s="170" t="s">
        <v>439</v>
      </c>
      <c r="G620" s="170">
        <v>25.0</v>
      </c>
      <c r="H620" s="171">
        <v>100.0</v>
      </c>
      <c r="I620" s="171">
        <v>100.0</v>
      </c>
      <c r="J620" s="172">
        <f t="shared" si="2"/>
        <v>0.001234425234</v>
      </c>
      <c r="K620" s="173">
        <f t="shared" si="21"/>
        <v>1.378441511</v>
      </c>
      <c r="L620" s="174">
        <f t="shared" si="4"/>
        <v>4.427583805</v>
      </c>
      <c r="M620" s="175" t="str">
        <f t="shared" si="5"/>
        <v>divine_comedian</v>
      </c>
      <c r="N620" s="176">
        <f>IFERROR(__xludf.DUMMYFUNCTION("""COMPUTED_VALUE"""),10.0)</f>
        <v>10</v>
      </c>
      <c r="O620" s="176"/>
      <c r="P620" s="165" t="s">
        <v>813</v>
      </c>
      <c r="Q620" s="165" t="s">
        <v>441</v>
      </c>
      <c r="R620" s="176"/>
      <c r="S620" s="176"/>
      <c r="T620" s="176"/>
      <c r="U620" s="176"/>
      <c r="V620" s="176"/>
      <c r="W620" s="176"/>
      <c r="X620" s="176"/>
      <c r="Y620" s="176"/>
      <c r="Z620" s="176"/>
      <c r="AA620" s="176"/>
    </row>
    <row r="621">
      <c r="A621" s="165" t="str">
        <f>iferror(VLOOKUP(P621,'DO NOT TOUCH Imported'!$A$1:$D$800,4,False),iferror(VLOOKUP(P621,'DO NOT TOUCH Imported'!$C$1:$D$800,2,False),"OOPS FIX ME"))</f>
        <v>divine_comedian</v>
      </c>
      <c r="B621" s="165" t="s">
        <v>441</v>
      </c>
      <c r="C621" s="170" t="s">
        <v>1853</v>
      </c>
      <c r="D621" s="236" t="s">
        <v>437</v>
      </c>
      <c r="E621" s="239">
        <v>44281.0</v>
      </c>
      <c r="F621" s="170" t="s">
        <v>439</v>
      </c>
      <c r="G621" s="170">
        <v>25.0</v>
      </c>
      <c r="H621" s="171">
        <v>100.0</v>
      </c>
      <c r="I621" s="171">
        <v>100.0</v>
      </c>
      <c r="J621" s="172">
        <f t="shared" si="2"/>
        <v>0.001234425234</v>
      </c>
      <c r="K621" s="173">
        <f t="shared" si="21"/>
        <v>1.378441511</v>
      </c>
      <c r="L621" s="174">
        <f t="shared" si="4"/>
        <v>4.427583805</v>
      </c>
      <c r="M621" s="175" t="str">
        <f t="shared" si="5"/>
        <v>divine_comedian</v>
      </c>
      <c r="N621" s="176">
        <f>IFERROR(__xludf.DUMMYFUNCTION("""COMPUTED_VALUE"""),11.0)</f>
        <v>11</v>
      </c>
      <c r="O621" s="176"/>
      <c r="P621" s="165" t="s">
        <v>813</v>
      </c>
      <c r="Q621" s="165" t="s">
        <v>441</v>
      </c>
      <c r="R621" s="176"/>
      <c r="S621" s="176"/>
      <c r="T621" s="176"/>
      <c r="U621" s="176"/>
      <c r="V621" s="176"/>
      <c r="W621" s="176"/>
      <c r="X621" s="176"/>
      <c r="Y621" s="176"/>
      <c r="Z621" s="176"/>
      <c r="AA621" s="176"/>
    </row>
    <row r="622">
      <c r="A622" s="165" t="str">
        <f>iferror(VLOOKUP(P622,'DO NOT TOUCH Imported'!$A$1:$D$800,4,False),iferror(VLOOKUP(P622,'DO NOT TOUCH Imported'!$C$1:$D$800,2,False),"OOPS FIX ME"))</f>
        <v>divine_comedian</v>
      </c>
      <c r="B622" s="165" t="s">
        <v>486</v>
      </c>
      <c r="C622" s="170" t="s">
        <v>1854</v>
      </c>
      <c r="D622" s="236" t="s">
        <v>437</v>
      </c>
      <c r="E622" s="239">
        <v>44278.0</v>
      </c>
      <c r="F622" s="170" t="s">
        <v>439</v>
      </c>
      <c r="G622" s="170">
        <v>15.0</v>
      </c>
      <c r="H622" s="171">
        <v>100.0</v>
      </c>
      <c r="I622" s="171">
        <v>100.0</v>
      </c>
      <c r="J622" s="172">
        <f t="shared" si="2"/>
        <v>0.001076708966</v>
      </c>
      <c r="K622" s="173">
        <f t="shared" si="21"/>
        <v>1.202325011</v>
      </c>
      <c r="L622" s="174">
        <f t="shared" si="4"/>
        <v>4.427583805</v>
      </c>
      <c r="M622" s="175" t="str">
        <f t="shared" si="5"/>
        <v>divine_comedian</v>
      </c>
      <c r="N622" s="176">
        <f>IFERROR(__xludf.DUMMYFUNCTION("""COMPUTED_VALUE"""),12.0)</f>
        <v>12</v>
      </c>
      <c r="O622" s="176"/>
      <c r="P622" s="165" t="s">
        <v>813</v>
      </c>
      <c r="Q622" s="165" t="s">
        <v>486</v>
      </c>
      <c r="R622" s="176"/>
      <c r="S622" s="176"/>
      <c r="T622" s="176"/>
      <c r="U622" s="176"/>
      <c r="V622" s="176"/>
      <c r="W622" s="176"/>
      <c r="X622" s="176"/>
      <c r="Y622" s="176"/>
      <c r="Z622" s="176"/>
      <c r="AA622" s="176"/>
    </row>
    <row r="623">
      <c r="A623" s="165" t="str">
        <f>iferror(VLOOKUP(P623,'DO NOT TOUCH Imported'!$A$1:$D$800,4,False),iferror(VLOOKUP(P623,'DO NOT TOUCH Imported'!$C$1:$D$800,2,False),"OOPS FIX ME"))</f>
        <v>divine_comedian</v>
      </c>
      <c r="B623" s="249" t="s">
        <v>590</v>
      </c>
      <c r="C623" s="250" t="s">
        <v>1608</v>
      </c>
      <c r="D623" s="236" t="s">
        <v>1584</v>
      </c>
      <c r="E623" s="251">
        <v>44271.0</v>
      </c>
      <c r="F623" s="219" t="s">
        <v>496</v>
      </c>
      <c r="G623" s="170">
        <v>25.0</v>
      </c>
      <c r="H623" s="171">
        <v>50.0</v>
      </c>
      <c r="I623" s="171">
        <v>100.0</v>
      </c>
      <c r="J623" s="172">
        <f t="shared" si="2"/>
        <v>0.001024662895</v>
      </c>
      <c r="K623" s="173">
        <f t="shared" si="21"/>
        <v>1.144206899</v>
      </c>
      <c r="L623" s="174">
        <f t="shared" si="4"/>
        <v>4.427583805</v>
      </c>
      <c r="M623" s="175" t="str">
        <f t="shared" si="5"/>
        <v>divine_comedian</v>
      </c>
      <c r="N623" s="176">
        <f>IFERROR(__xludf.DUMMYFUNCTION("""COMPUTED_VALUE"""),13.0)</f>
        <v>13</v>
      </c>
      <c r="O623" s="176"/>
      <c r="P623" s="249" t="s">
        <v>48</v>
      </c>
      <c r="Q623" s="249" t="s">
        <v>590</v>
      </c>
      <c r="R623" s="176"/>
      <c r="S623" s="176"/>
      <c r="T623" s="176"/>
      <c r="U623" s="176"/>
      <c r="V623" s="176"/>
      <c r="W623" s="176"/>
      <c r="X623" s="176"/>
      <c r="Y623" s="176"/>
      <c r="Z623" s="176"/>
      <c r="AA623" s="176"/>
    </row>
    <row r="624">
      <c r="A624" s="165" t="str">
        <f>iferror(VLOOKUP(P624,'DO NOT TOUCH Imported'!$A$1:$D$800,4,False),iferror(VLOOKUP(P624,'DO NOT TOUCH Imported'!$C$1:$D$800,2,False),"OOPS FIX ME"))</f>
        <v>divine_comedian</v>
      </c>
      <c r="B624" s="165" t="s">
        <v>441</v>
      </c>
      <c r="C624" s="170" t="s">
        <v>1612</v>
      </c>
      <c r="D624" s="236" t="s">
        <v>437</v>
      </c>
      <c r="E624" s="239">
        <v>44281.0</v>
      </c>
      <c r="F624" s="170" t="s">
        <v>439</v>
      </c>
      <c r="G624" s="170">
        <v>15.0</v>
      </c>
      <c r="H624" s="171">
        <v>80.0</v>
      </c>
      <c r="I624" s="171">
        <v>100.0</v>
      </c>
      <c r="J624" s="172">
        <f t="shared" si="2"/>
        <v>0.0009928040298</v>
      </c>
      <c r="K624" s="173">
        <f t="shared" si="21"/>
        <v>1.108631167</v>
      </c>
      <c r="L624" s="174">
        <f t="shared" si="4"/>
        <v>4.427583805</v>
      </c>
      <c r="M624" s="175" t="str">
        <f t="shared" si="5"/>
        <v>divine_comedian</v>
      </c>
      <c r="N624" s="176">
        <f>IFERROR(__xludf.DUMMYFUNCTION("""COMPUTED_VALUE"""),14.0)</f>
        <v>14</v>
      </c>
      <c r="O624" s="176"/>
      <c r="P624" s="165" t="s">
        <v>813</v>
      </c>
      <c r="Q624" s="165" t="s">
        <v>441</v>
      </c>
      <c r="R624" s="176"/>
      <c r="S624" s="176"/>
      <c r="T624" s="176"/>
      <c r="U624" s="176"/>
      <c r="V624" s="176"/>
      <c r="W624" s="176"/>
      <c r="X624" s="176"/>
      <c r="Y624" s="176"/>
      <c r="Z624" s="176"/>
      <c r="AA624" s="176"/>
    </row>
    <row r="625">
      <c r="A625" s="165" t="str">
        <f>iferror(VLOOKUP(P625,'DO NOT TOUCH Imported'!$A$1:$D$800,4,False),iferror(VLOOKUP(P625,'DO NOT TOUCH Imported'!$C$1:$D$800,2,False),"OOPS FIX ME"))</f>
        <v>divine_comedian</v>
      </c>
      <c r="B625" s="249" t="s">
        <v>590</v>
      </c>
      <c r="C625" s="250" t="s">
        <v>1619</v>
      </c>
      <c r="D625" s="236" t="s">
        <v>1584</v>
      </c>
      <c r="E625" s="251">
        <v>44278.0</v>
      </c>
      <c r="F625" s="219" t="s">
        <v>496</v>
      </c>
      <c r="G625" s="170">
        <v>15.0</v>
      </c>
      <c r="H625" s="171">
        <v>60.0</v>
      </c>
      <c r="I625" s="171">
        <v>100.0</v>
      </c>
      <c r="J625" s="172">
        <f t="shared" si="2"/>
        <v>0.0009088990941</v>
      </c>
      <c r="K625" s="173">
        <f t="shared" si="21"/>
        <v>1.014937322</v>
      </c>
      <c r="L625" s="174">
        <f t="shared" si="4"/>
        <v>4.427583805</v>
      </c>
      <c r="M625" s="175" t="str">
        <f t="shared" si="5"/>
        <v>divine_comedian</v>
      </c>
      <c r="N625" s="176">
        <f>IFERROR(__xludf.DUMMYFUNCTION("""COMPUTED_VALUE"""),15.0)</f>
        <v>15</v>
      </c>
      <c r="O625" s="176"/>
      <c r="P625" s="249" t="s">
        <v>48</v>
      </c>
      <c r="Q625" s="249" t="s">
        <v>590</v>
      </c>
      <c r="R625" s="176"/>
      <c r="S625" s="176"/>
      <c r="T625" s="176"/>
      <c r="U625" s="176"/>
      <c r="V625" s="176"/>
      <c r="W625" s="176"/>
      <c r="X625" s="176"/>
      <c r="Y625" s="176"/>
      <c r="Z625" s="176"/>
      <c r="AA625" s="176"/>
    </row>
    <row r="626">
      <c r="A626" s="165" t="str">
        <f>iferror(VLOOKUP(P626,'DO NOT TOUCH Imported'!$A$1:$D$800,4,False),iferror(VLOOKUP(P626,'DO NOT TOUCH Imported'!$C$1:$D$800,2,False),"OOPS FIX ME"))</f>
        <v>divine_comedian</v>
      </c>
      <c r="B626" s="165" t="s">
        <v>441</v>
      </c>
      <c r="C626" s="170" t="s">
        <v>1620</v>
      </c>
      <c r="D626" s="236" t="s">
        <v>437</v>
      </c>
      <c r="E626" s="239">
        <v>44274.0</v>
      </c>
      <c r="F626" s="170" t="s">
        <v>439</v>
      </c>
      <c r="G626" s="170">
        <v>15.0</v>
      </c>
      <c r="H626" s="171">
        <v>60.0</v>
      </c>
      <c r="I626" s="171">
        <v>100.0</v>
      </c>
      <c r="J626" s="172">
        <f t="shared" si="2"/>
        <v>0.0009088990941</v>
      </c>
      <c r="K626" s="173">
        <f t="shared" si="21"/>
        <v>1.014937322</v>
      </c>
      <c r="L626" s="174">
        <f t="shared" si="4"/>
        <v>4.427583805</v>
      </c>
      <c r="M626" s="175" t="str">
        <f t="shared" si="5"/>
        <v>divine_comedian</v>
      </c>
      <c r="N626" s="176">
        <f>IFERROR(__xludf.DUMMYFUNCTION("""COMPUTED_VALUE"""),16.0)</f>
        <v>16</v>
      </c>
      <c r="O626" s="176"/>
      <c r="P626" s="165" t="s">
        <v>813</v>
      </c>
      <c r="Q626" s="165" t="s">
        <v>441</v>
      </c>
      <c r="R626" s="176"/>
      <c r="S626" s="176"/>
      <c r="T626" s="176"/>
      <c r="U626" s="176"/>
      <c r="V626" s="176"/>
      <c r="W626" s="176"/>
      <c r="X626" s="176"/>
      <c r="Y626" s="176"/>
      <c r="Z626" s="176"/>
      <c r="AA626" s="176"/>
    </row>
    <row r="627">
      <c r="A627" s="165" t="str">
        <f>iferror(VLOOKUP(P627,'DO NOT TOUCH Imported'!$A$1:$D$800,4,False),iferror(VLOOKUP(P627,'DO NOT TOUCH Imported'!$C$1:$D$800,2,False),"OOPS FIX ME"))</f>
        <v>divine_comedian</v>
      </c>
      <c r="B627" s="249" t="s">
        <v>10</v>
      </c>
      <c r="C627" s="250" t="s">
        <v>494</v>
      </c>
      <c r="D627" s="236" t="s">
        <v>1584</v>
      </c>
      <c r="E627" s="251">
        <v>44275.0</v>
      </c>
      <c r="F627" s="219" t="s">
        <v>496</v>
      </c>
      <c r="G627" s="170">
        <v>15.0</v>
      </c>
      <c r="H627" s="171">
        <v>50.0</v>
      </c>
      <c r="I627" s="171">
        <v>100.0</v>
      </c>
      <c r="J627" s="172">
        <f t="shared" si="2"/>
        <v>0.0008669466263</v>
      </c>
      <c r="K627" s="173">
        <f t="shared" si="21"/>
        <v>0.9680903993</v>
      </c>
      <c r="L627" s="174">
        <f t="shared" si="4"/>
        <v>4.427583805</v>
      </c>
      <c r="M627" s="175" t="str">
        <f t="shared" si="5"/>
        <v>divine_comedian</v>
      </c>
      <c r="N627" s="176">
        <f>IFERROR(__xludf.DUMMYFUNCTION("""COMPUTED_VALUE"""),17.0)</f>
        <v>17</v>
      </c>
      <c r="O627" s="176"/>
      <c r="P627" s="249" t="s">
        <v>48</v>
      </c>
      <c r="Q627" s="249" t="s">
        <v>10</v>
      </c>
      <c r="R627" s="176"/>
      <c r="S627" s="176"/>
      <c r="T627" s="176"/>
      <c r="U627" s="176"/>
      <c r="V627" s="176"/>
      <c r="W627" s="176"/>
      <c r="X627" s="176"/>
      <c r="Y627" s="176"/>
      <c r="Z627" s="176"/>
      <c r="AA627" s="176"/>
    </row>
    <row r="628">
      <c r="A628" s="185" t="s">
        <v>48</v>
      </c>
      <c r="B628" s="212" t="s">
        <v>534</v>
      </c>
      <c r="C628" s="186" t="s">
        <v>816</v>
      </c>
      <c r="D628" s="212"/>
      <c r="E628" s="214"/>
      <c r="F628" s="212"/>
      <c r="G628" s="212"/>
      <c r="H628" s="196"/>
      <c r="I628" s="196"/>
      <c r="J628" s="191">
        <f t="shared" si="2"/>
        <v>0</v>
      </c>
      <c r="K628" s="192">
        <f>29.517*-0.85</f>
        <v>-25.08945</v>
      </c>
      <c r="L628" s="193">
        <f t="shared" si="4"/>
        <v>4.427583805</v>
      </c>
      <c r="M628" s="194" t="str">
        <f t="shared" si="5"/>
        <v>divine_comedian</v>
      </c>
      <c r="N628" s="187">
        <f>IFERROR(__xludf.DUMMYFUNCTION("""COMPUTED_VALUE"""),18.0)</f>
        <v>18</v>
      </c>
      <c r="O628" s="212"/>
      <c r="P628" s="227" t="s">
        <v>25</v>
      </c>
      <c r="Q628" s="227" t="s">
        <v>534</v>
      </c>
      <c r="R628" s="187">
        <v>36.89669088595067</v>
      </c>
      <c r="S628" s="212"/>
      <c r="T628" s="212"/>
      <c r="U628" s="212"/>
      <c r="V628" s="212"/>
      <c r="W628" s="212"/>
      <c r="X628" s="212"/>
      <c r="Y628" s="212"/>
      <c r="Z628" s="212"/>
      <c r="AA628" s="226"/>
    </row>
    <row r="629">
      <c r="A629" s="165" t="str">
        <f>iferror(VLOOKUP(P629,'DO NOT TOUCH Imported'!$A$1:$D$800,4,False),iferror(VLOOKUP(P629,'DO NOT TOUCH Imported'!$C$1:$D$800,2,False),"OOPS FIX ME"))</f>
        <v>knobsDAO</v>
      </c>
      <c r="B629" s="165" t="s">
        <v>450</v>
      </c>
      <c r="C629" s="170" t="s">
        <v>1645</v>
      </c>
      <c r="D629" s="236" t="s">
        <v>499</v>
      </c>
      <c r="E629" s="239">
        <v>44273.0</v>
      </c>
      <c r="F629" s="170" t="s">
        <v>1646</v>
      </c>
      <c r="G629" s="170">
        <v>25.0</v>
      </c>
      <c r="H629" s="171">
        <v>100.0</v>
      </c>
      <c r="I629" s="171">
        <v>100.0</v>
      </c>
      <c r="J629" s="172">
        <f t="shared" si="2"/>
        <v>0.001234425234</v>
      </c>
      <c r="K629" s="173">
        <f t="shared" ref="K629:K634" si="22">J629*$J$1</f>
        <v>1.378441511</v>
      </c>
      <c r="L629" s="174">
        <f t="shared" si="4"/>
        <v>4.232003084</v>
      </c>
      <c r="M629" s="175" t="str">
        <f t="shared" si="5"/>
        <v>knobsDAO</v>
      </c>
      <c r="N629" s="176">
        <f>IFERROR(__xludf.DUMMYFUNCTION("""COMPUTED_VALUE"""),1.0)</f>
        <v>1</v>
      </c>
      <c r="O629" s="176"/>
      <c r="P629" s="165" t="s">
        <v>768</v>
      </c>
      <c r="Q629" s="165" t="s">
        <v>450</v>
      </c>
      <c r="R629" s="176"/>
      <c r="S629" s="176"/>
      <c r="T629" s="176"/>
      <c r="U629" s="176"/>
      <c r="V629" s="176"/>
      <c r="W629" s="176"/>
      <c r="X629" s="176"/>
      <c r="Y629" s="176"/>
      <c r="Z629" s="176"/>
      <c r="AA629" s="176"/>
    </row>
    <row r="630">
      <c r="A630" s="165" t="str">
        <f>iferror(VLOOKUP(P630,'DO NOT TOUCH Imported'!$A$1:$D$800,4,False),iferror(VLOOKUP(P630,'DO NOT TOUCH Imported'!$C$1:$D$800,2,False),"OOPS FIX ME"))</f>
        <v>knobsDAO</v>
      </c>
      <c r="B630" s="165" t="s">
        <v>443</v>
      </c>
      <c r="C630" s="170" t="s">
        <v>1603</v>
      </c>
      <c r="D630" s="236" t="s">
        <v>437</v>
      </c>
      <c r="E630" s="239">
        <v>44277.0</v>
      </c>
      <c r="F630" s="170" t="s">
        <v>439</v>
      </c>
      <c r="G630" s="170">
        <v>15.0</v>
      </c>
      <c r="H630" s="171">
        <v>100.0</v>
      </c>
      <c r="I630" s="171">
        <v>100.0</v>
      </c>
      <c r="J630" s="172">
        <f t="shared" si="2"/>
        <v>0.001076708966</v>
      </c>
      <c r="K630" s="173">
        <f t="shared" si="22"/>
        <v>1.202325011</v>
      </c>
      <c r="L630" s="174">
        <f t="shared" si="4"/>
        <v>4.232003084</v>
      </c>
      <c r="M630" s="175" t="str">
        <f t="shared" si="5"/>
        <v>knobsDAO</v>
      </c>
      <c r="N630" s="176">
        <f>IFERROR(__xludf.DUMMYFUNCTION("""COMPUTED_VALUE"""),2.0)</f>
        <v>2</v>
      </c>
      <c r="O630" s="176"/>
      <c r="P630" s="165" t="s">
        <v>768</v>
      </c>
      <c r="Q630" s="165" t="s">
        <v>443</v>
      </c>
      <c r="R630" s="176"/>
      <c r="S630" s="176"/>
      <c r="T630" s="176"/>
      <c r="U630" s="176"/>
      <c r="V630" s="176"/>
      <c r="W630" s="176"/>
      <c r="X630" s="176"/>
      <c r="Y630" s="176"/>
      <c r="Z630" s="176"/>
      <c r="AA630" s="176"/>
    </row>
    <row r="631">
      <c r="A631" s="165" t="str">
        <f>iferror(VLOOKUP(P631,'DO NOT TOUCH Imported'!$A$1:$D$800,4,False),iferror(VLOOKUP(P631,'DO NOT TOUCH Imported'!$C$1:$D$800,2,False),"OOPS FIX ME"))</f>
        <v>knobsDAO</v>
      </c>
      <c r="B631" s="249" t="s">
        <v>590</v>
      </c>
      <c r="C631" s="250" t="s">
        <v>1608</v>
      </c>
      <c r="D631" s="236" t="s">
        <v>1584</v>
      </c>
      <c r="E631" s="251">
        <v>44271.0</v>
      </c>
      <c r="F631" s="219" t="s">
        <v>496</v>
      </c>
      <c r="G631" s="170">
        <v>25.0</v>
      </c>
      <c r="H631" s="171">
        <v>50.0</v>
      </c>
      <c r="I631" s="171">
        <v>100.0</v>
      </c>
      <c r="J631" s="172">
        <f t="shared" si="2"/>
        <v>0.001024662895</v>
      </c>
      <c r="K631" s="173">
        <f t="shared" si="22"/>
        <v>1.144206899</v>
      </c>
      <c r="L631" s="174">
        <f t="shared" si="4"/>
        <v>4.232003084</v>
      </c>
      <c r="M631" s="175" t="str">
        <f t="shared" si="5"/>
        <v>knobsDAO</v>
      </c>
      <c r="N631" s="176">
        <f>IFERROR(__xludf.DUMMYFUNCTION("""COMPUTED_VALUE"""),3.0)</f>
        <v>3</v>
      </c>
      <c r="O631" s="176"/>
      <c r="P631" s="249" t="s">
        <v>49</v>
      </c>
      <c r="Q631" s="249" t="s">
        <v>590</v>
      </c>
      <c r="R631" s="176"/>
      <c r="S631" s="176"/>
      <c r="T631" s="176"/>
      <c r="U631" s="176"/>
      <c r="V631" s="176"/>
      <c r="W631" s="176"/>
      <c r="X631" s="176"/>
      <c r="Y631" s="176"/>
      <c r="Z631" s="176"/>
      <c r="AA631" s="176"/>
    </row>
    <row r="632">
      <c r="A632" s="165" t="str">
        <f>iferror(VLOOKUP(P632,'DO NOT TOUCH Imported'!$A$1:$D$800,4,False),iferror(VLOOKUP(P632,'DO NOT TOUCH Imported'!$C$1:$D$800,2,False),"OOPS FIX ME"))</f>
        <v>knobsDAO</v>
      </c>
      <c r="B632" s="165" t="s">
        <v>435</v>
      </c>
      <c r="C632" s="170" t="s">
        <v>1610</v>
      </c>
      <c r="D632" s="236" t="s">
        <v>437</v>
      </c>
      <c r="E632" s="239">
        <v>44272.0</v>
      </c>
      <c r="F632" s="170" t="s">
        <v>439</v>
      </c>
      <c r="G632" s="170">
        <v>15.0</v>
      </c>
      <c r="H632" s="171">
        <v>80.0</v>
      </c>
      <c r="I632" s="171">
        <v>100.0</v>
      </c>
      <c r="J632" s="172">
        <f t="shared" si="2"/>
        <v>0.0009928040298</v>
      </c>
      <c r="K632" s="173">
        <f t="shared" si="22"/>
        <v>1.108631167</v>
      </c>
      <c r="L632" s="174">
        <f t="shared" si="4"/>
        <v>4.232003084</v>
      </c>
      <c r="M632" s="175" t="str">
        <f t="shared" si="5"/>
        <v>knobsDAO</v>
      </c>
      <c r="N632" s="176">
        <f>IFERROR(__xludf.DUMMYFUNCTION("""COMPUTED_VALUE"""),4.0)</f>
        <v>4</v>
      </c>
      <c r="O632" s="176"/>
      <c r="P632" s="165" t="s">
        <v>768</v>
      </c>
      <c r="Q632" s="165" t="s">
        <v>435</v>
      </c>
      <c r="R632" s="176"/>
      <c r="S632" s="176"/>
      <c r="T632" s="176"/>
      <c r="U632" s="176"/>
      <c r="V632" s="176"/>
      <c r="W632" s="176"/>
      <c r="X632" s="176"/>
      <c r="Y632" s="176"/>
      <c r="Z632" s="176"/>
      <c r="AA632" s="176"/>
    </row>
    <row r="633">
      <c r="A633" s="165" t="str">
        <f>iferror(VLOOKUP(P633,'DO NOT TOUCH Imported'!$A$1:$D$800,4,False),iferror(VLOOKUP(P633,'DO NOT TOUCH Imported'!$C$1:$D$800,2,False),"OOPS FIX ME"))</f>
        <v>knobsDAO</v>
      </c>
      <c r="B633" s="165" t="s">
        <v>441</v>
      </c>
      <c r="C633" s="170" t="s">
        <v>1612</v>
      </c>
      <c r="D633" s="236" t="s">
        <v>437</v>
      </c>
      <c r="E633" s="239">
        <v>44281.0</v>
      </c>
      <c r="F633" s="170" t="s">
        <v>439</v>
      </c>
      <c r="G633" s="170">
        <v>15.0</v>
      </c>
      <c r="H633" s="171">
        <v>80.0</v>
      </c>
      <c r="I633" s="171">
        <v>100.0</v>
      </c>
      <c r="J633" s="172">
        <f t="shared" si="2"/>
        <v>0.0009928040298</v>
      </c>
      <c r="K633" s="173">
        <f t="shared" si="22"/>
        <v>1.108631167</v>
      </c>
      <c r="L633" s="174">
        <f t="shared" si="4"/>
        <v>4.232003084</v>
      </c>
      <c r="M633" s="175" t="str">
        <f t="shared" si="5"/>
        <v>knobsDAO</v>
      </c>
      <c r="N633" s="176">
        <f>IFERROR(__xludf.DUMMYFUNCTION("""COMPUTED_VALUE"""),5.0)</f>
        <v>5</v>
      </c>
      <c r="O633" s="176"/>
      <c r="P633" s="165" t="s">
        <v>768</v>
      </c>
      <c r="Q633" s="165" t="s">
        <v>441</v>
      </c>
      <c r="R633" s="176"/>
      <c r="S633" s="176"/>
      <c r="T633" s="176"/>
      <c r="U633" s="176"/>
      <c r="V633" s="176"/>
      <c r="W633" s="176"/>
      <c r="X633" s="176"/>
      <c r="Y633" s="176"/>
      <c r="Z633" s="176"/>
      <c r="AA633" s="176"/>
    </row>
    <row r="634">
      <c r="A634" s="165" t="str">
        <f>iferror(VLOOKUP(P634,'DO NOT TOUCH Imported'!$A$1:$D$800,4,False),iferror(VLOOKUP(P634,'DO NOT TOUCH Imported'!$C$1:$D$800,2,False),"OOPS FIX ME"))</f>
        <v>knobsDAO</v>
      </c>
      <c r="B634" s="249" t="s">
        <v>10</v>
      </c>
      <c r="C634" s="250" t="s">
        <v>498</v>
      </c>
      <c r="D634" s="236" t="s">
        <v>1584</v>
      </c>
      <c r="E634" s="251">
        <v>44274.0</v>
      </c>
      <c r="F634" s="219" t="s">
        <v>499</v>
      </c>
      <c r="G634" s="170">
        <v>15.0</v>
      </c>
      <c r="H634" s="171">
        <v>25.0</v>
      </c>
      <c r="I634" s="171">
        <v>100.0</v>
      </c>
      <c r="J634" s="172">
        <f t="shared" si="2"/>
        <v>0.0007620654566</v>
      </c>
      <c r="K634" s="173">
        <f t="shared" si="22"/>
        <v>0.8509730932</v>
      </c>
      <c r="L634" s="174">
        <f t="shared" si="4"/>
        <v>4.232003084</v>
      </c>
      <c r="M634" s="175" t="str">
        <f t="shared" si="5"/>
        <v>knobsDAO</v>
      </c>
      <c r="N634" s="176">
        <f>IFERROR(__xludf.DUMMYFUNCTION("""COMPUTED_VALUE"""),6.0)</f>
        <v>6</v>
      </c>
      <c r="O634" s="176"/>
      <c r="P634" s="249" t="s">
        <v>49</v>
      </c>
      <c r="Q634" s="249" t="s">
        <v>10</v>
      </c>
      <c r="R634" s="176"/>
      <c r="S634" s="176"/>
      <c r="T634" s="176"/>
      <c r="U634" s="176"/>
      <c r="V634" s="176"/>
      <c r="W634" s="176"/>
      <c r="X634" s="176"/>
      <c r="Y634" s="176"/>
      <c r="Z634" s="176"/>
      <c r="AA634" s="176"/>
    </row>
    <row r="635">
      <c r="A635" s="185" t="str">
        <f>iferror(VLOOKUP(P635,'DO NOT TOUCH Imported'!$A$1:$D$800,4,False),iferror(VLOOKUP(P635,'DO NOT TOUCH Imported'!$C$1:$D$800,2,False),"OOPS FIX ME"))</f>
        <v>knobsDAO</v>
      </c>
      <c r="B635" s="185" t="s">
        <v>534</v>
      </c>
      <c r="C635" s="186" t="s">
        <v>684</v>
      </c>
      <c r="D635" s="187"/>
      <c r="E635" s="188"/>
      <c r="F635" s="189"/>
      <c r="G635" s="190"/>
      <c r="H635" s="190"/>
      <c r="I635" s="190"/>
      <c r="J635" s="191">
        <f t="shared" si="2"/>
        <v>0</v>
      </c>
      <c r="K635" s="192">
        <f>8.464*-0.5</f>
        <v>-4.232</v>
      </c>
      <c r="L635" s="193">
        <f t="shared" si="4"/>
        <v>4.232003084</v>
      </c>
      <c r="M635" s="194" t="str">
        <f t="shared" si="5"/>
        <v>knobsDAO</v>
      </c>
      <c r="N635" s="195">
        <f>IFERROR(__xludf.DUMMYFUNCTION("""COMPUTED_VALUE"""),7.0)</f>
        <v>7</v>
      </c>
      <c r="O635" s="195"/>
      <c r="P635" s="185" t="s">
        <v>49</v>
      </c>
      <c r="Q635" s="185" t="s">
        <v>534</v>
      </c>
      <c r="R635" s="195">
        <v>15.224018051145396</v>
      </c>
      <c r="S635" s="195"/>
      <c r="T635" s="195"/>
      <c r="U635" s="195"/>
      <c r="V635" s="195"/>
      <c r="W635" s="195"/>
      <c r="X635" s="195"/>
      <c r="Y635" s="195"/>
      <c r="Z635" s="195"/>
      <c r="AA635" s="176"/>
    </row>
    <row r="636">
      <c r="A636" s="165" t="str">
        <f>iferror(VLOOKUP(P636,'DO NOT TOUCH Imported'!$A$1:$D$800,4,False),iferror(VLOOKUP(P636,'DO NOT TOUCH Imported'!$C$1:$D$800,2,False),"OOPS FIX ME"))</f>
        <v>knobsDAO</v>
      </c>
      <c r="B636" s="165" t="s">
        <v>530</v>
      </c>
      <c r="C636" s="170" t="s">
        <v>1855</v>
      </c>
      <c r="D636" s="236" t="s">
        <v>499</v>
      </c>
      <c r="E636" s="239">
        <v>44273.0</v>
      </c>
      <c r="F636" s="170" t="s">
        <v>1646</v>
      </c>
      <c r="G636" s="170">
        <v>15.0</v>
      </c>
      <c r="H636" s="171">
        <v>200.0</v>
      </c>
      <c r="I636" s="171">
        <v>100.0</v>
      </c>
      <c r="J636" s="172">
        <f t="shared" si="2"/>
        <v>0.001496233644</v>
      </c>
      <c r="K636" s="173">
        <f t="shared" ref="K636:K640" si="23">J636*$J$1</f>
        <v>1.670794236</v>
      </c>
      <c r="L636" s="174">
        <f t="shared" si="4"/>
        <v>4.232003084</v>
      </c>
      <c r="M636" s="175" t="str">
        <f t="shared" si="5"/>
        <v>knobsDAO</v>
      </c>
      <c r="N636" s="176">
        <f>IFERROR(__xludf.DUMMYFUNCTION("""COMPUTED_VALUE"""),8.0)</f>
        <v>8</v>
      </c>
      <c r="O636" s="176"/>
      <c r="P636" s="165" t="s">
        <v>768</v>
      </c>
      <c r="Q636" s="165" t="s">
        <v>530</v>
      </c>
      <c r="R636" s="176"/>
      <c r="S636" s="176"/>
      <c r="T636" s="176"/>
      <c r="U636" s="176"/>
      <c r="V636" s="176"/>
      <c r="W636" s="176"/>
      <c r="X636" s="176"/>
      <c r="Y636" s="176"/>
      <c r="Z636" s="176"/>
      <c r="AA636" s="176"/>
    </row>
    <row r="637">
      <c r="A637" s="165" t="str">
        <f>iferror(VLOOKUP(P637,'DO NOT TOUCH Imported'!$A$1:$D$800,4,False),iferror(VLOOKUP(P637,'DO NOT TOUCH Imported'!$C$1:$D$800,2,False),"OOPS FIX ME"))</f>
        <v>fabiosmendes</v>
      </c>
      <c r="B637" s="165" t="s">
        <v>450</v>
      </c>
      <c r="C637" s="170" t="s">
        <v>1705</v>
      </c>
      <c r="D637" s="236" t="s">
        <v>437</v>
      </c>
      <c r="E637" s="239">
        <v>44271.0</v>
      </c>
      <c r="F637" s="170" t="s">
        <v>1558</v>
      </c>
      <c r="G637" s="170">
        <v>50.0</v>
      </c>
      <c r="H637" s="171">
        <v>100.0</v>
      </c>
      <c r="I637" s="171">
        <v>100.0</v>
      </c>
      <c r="J637" s="172">
        <f t="shared" si="2"/>
        <v>0.001628715905</v>
      </c>
      <c r="K637" s="173">
        <f t="shared" si="23"/>
        <v>1.818732761</v>
      </c>
      <c r="L637" s="174">
        <f t="shared" si="4"/>
        <v>4.10339536</v>
      </c>
      <c r="M637" s="175" t="str">
        <f t="shared" si="5"/>
        <v>fabiosmendes</v>
      </c>
      <c r="N637" s="176">
        <f>IFERROR(__xludf.DUMMYFUNCTION("""COMPUTED_VALUE"""),1.0)</f>
        <v>1</v>
      </c>
      <c r="O637" s="176"/>
      <c r="P637" s="165" t="s">
        <v>773</v>
      </c>
      <c r="Q637" s="165" t="s">
        <v>450</v>
      </c>
      <c r="R637" s="176"/>
      <c r="S637" s="176"/>
      <c r="T637" s="176"/>
      <c r="U637" s="176"/>
      <c r="V637" s="176"/>
      <c r="W637" s="176"/>
      <c r="X637" s="176"/>
      <c r="Y637" s="176"/>
      <c r="Z637" s="176"/>
      <c r="AA637" s="176"/>
    </row>
    <row r="638">
      <c r="A638" s="165" t="str">
        <f>iferror(VLOOKUP(P638,'DO NOT TOUCH Imported'!$A$1:$D$800,4,False),iferror(VLOOKUP(P638,'DO NOT TOUCH Imported'!$C$1:$D$800,2,False),"OOPS FIX ME"))</f>
        <v>fabiosmendes</v>
      </c>
      <c r="B638" s="165" t="s">
        <v>441</v>
      </c>
      <c r="C638" s="170" t="s">
        <v>1856</v>
      </c>
      <c r="D638" s="236" t="s">
        <v>437</v>
      </c>
      <c r="E638" s="239">
        <v>44274.0</v>
      </c>
      <c r="F638" s="170" t="s">
        <v>439</v>
      </c>
      <c r="G638" s="170">
        <v>25.0</v>
      </c>
      <c r="H638" s="171">
        <v>100.0</v>
      </c>
      <c r="I638" s="171">
        <v>100.0</v>
      </c>
      <c r="J638" s="172">
        <f t="shared" si="2"/>
        <v>0.001234425234</v>
      </c>
      <c r="K638" s="173">
        <f t="shared" si="23"/>
        <v>1.378441511</v>
      </c>
      <c r="L638" s="174">
        <f t="shared" si="4"/>
        <v>4.10339536</v>
      </c>
      <c r="M638" s="175" t="str">
        <f t="shared" si="5"/>
        <v>fabiosmendes</v>
      </c>
      <c r="N638" s="176">
        <f>IFERROR(__xludf.DUMMYFUNCTION("""COMPUTED_VALUE"""),2.0)</f>
        <v>2</v>
      </c>
      <c r="O638" s="176"/>
      <c r="P638" s="165" t="s">
        <v>773</v>
      </c>
      <c r="Q638" s="165" t="s">
        <v>441</v>
      </c>
      <c r="R638" s="176"/>
      <c r="S638" s="176"/>
      <c r="T638" s="176"/>
      <c r="U638" s="176"/>
      <c r="V638" s="176"/>
      <c r="W638" s="176"/>
      <c r="X638" s="176"/>
      <c r="Y638" s="176"/>
      <c r="Z638" s="176"/>
      <c r="AA638" s="176"/>
    </row>
    <row r="639">
      <c r="A639" s="165" t="str">
        <f>iferror(VLOOKUP(P639,'DO NOT TOUCH Imported'!$A$1:$D$800,4,False),iferror(VLOOKUP(P639,'DO NOT TOUCH Imported'!$C$1:$D$800,2,False),"OOPS FIX ME"))</f>
        <v>fabiosmendes</v>
      </c>
      <c r="B639" s="249" t="s">
        <v>519</v>
      </c>
      <c r="C639" s="250" t="s">
        <v>1637</v>
      </c>
      <c r="D639" s="236" t="s">
        <v>1584</v>
      </c>
      <c r="E639" s="251">
        <v>44272.0</v>
      </c>
      <c r="F639" s="219" t="s">
        <v>521</v>
      </c>
      <c r="G639" s="170">
        <v>25.0</v>
      </c>
      <c r="H639" s="171">
        <v>60.0</v>
      </c>
      <c r="I639" s="171">
        <v>100.0</v>
      </c>
      <c r="J639" s="172">
        <f t="shared" si="2"/>
        <v>0.001066615363</v>
      </c>
      <c r="K639" s="173">
        <f t="shared" si="23"/>
        <v>1.191053822</v>
      </c>
      <c r="L639" s="174">
        <f t="shared" si="4"/>
        <v>4.10339536</v>
      </c>
      <c r="M639" s="175" t="str">
        <f t="shared" si="5"/>
        <v>fabiosmendes</v>
      </c>
      <c r="N639" s="176">
        <f>IFERROR(__xludf.DUMMYFUNCTION("""COMPUTED_VALUE"""),3.0)</f>
        <v>3</v>
      </c>
      <c r="O639" s="176"/>
      <c r="P639" s="249" t="s">
        <v>57</v>
      </c>
      <c r="Q639" s="249" t="s">
        <v>519</v>
      </c>
      <c r="R639" s="176"/>
      <c r="S639" s="176"/>
      <c r="T639" s="176"/>
      <c r="U639" s="176"/>
      <c r="V639" s="176"/>
      <c r="W639" s="176"/>
      <c r="X639" s="176"/>
      <c r="Y639" s="176"/>
      <c r="Z639" s="176"/>
      <c r="AA639" s="176"/>
    </row>
    <row r="640">
      <c r="A640" s="165" t="str">
        <f>iferror(VLOOKUP(P640,'DO NOT TOUCH Imported'!$A$1:$D$800,4,False),iferror(VLOOKUP(P640,'DO NOT TOUCH Imported'!$C$1:$D$800,2,False),"OOPS FIX ME"))</f>
        <v>fabiosmendes</v>
      </c>
      <c r="B640" s="249" t="s">
        <v>519</v>
      </c>
      <c r="C640" s="250" t="s">
        <v>1637</v>
      </c>
      <c r="D640" s="236" t="s">
        <v>1584</v>
      </c>
      <c r="E640" s="251">
        <v>44279.0</v>
      </c>
      <c r="F640" s="219" t="s">
        <v>521</v>
      </c>
      <c r="G640" s="170">
        <v>15.0</v>
      </c>
      <c r="H640" s="171">
        <v>70.0</v>
      </c>
      <c r="I640" s="171">
        <v>100.0</v>
      </c>
      <c r="J640" s="172">
        <f t="shared" si="2"/>
        <v>0.000950851562</v>
      </c>
      <c r="K640" s="173">
        <f t="shared" si="23"/>
        <v>1.061784244</v>
      </c>
      <c r="L640" s="174">
        <f t="shared" si="4"/>
        <v>4.10339536</v>
      </c>
      <c r="M640" s="175" t="str">
        <f t="shared" si="5"/>
        <v>fabiosmendes</v>
      </c>
      <c r="N640" s="176">
        <f>IFERROR(__xludf.DUMMYFUNCTION("""COMPUTED_VALUE"""),4.0)</f>
        <v>4</v>
      </c>
      <c r="O640" s="176"/>
      <c r="P640" s="249" t="s">
        <v>57</v>
      </c>
      <c r="Q640" s="249" t="s">
        <v>519</v>
      </c>
      <c r="R640" s="176"/>
      <c r="S640" s="176"/>
      <c r="T640" s="176"/>
      <c r="U640" s="176"/>
      <c r="V640" s="176"/>
      <c r="W640" s="176"/>
      <c r="X640" s="176"/>
      <c r="Y640" s="176"/>
      <c r="Z640" s="176"/>
      <c r="AA640" s="176"/>
    </row>
    <row r="641">
      <c r="A641" s="185" t="str">
        <f>iferror(VLOOKUP(P641,'DO NOT TOUCH Imported'!$A$1:$D$800,4,False),iferror(VLOOKUP(P641,'DO NOT TOUCH Imported'!$C$1:$D$800,2,False),"OOPS FIX ME"))</f>
        <v>fabiosmendes</v>
      </c>
      <c r="B641" s="196" t="s">
        <v>534</v>
      </c>
      <c r="C641" s="216" t="s">
        <v>693</v>
      </c>
      <c r="D641" s="212"/>
      <c r="E641" s="214"/>
      <c r="F641" s="212"/>
      <c r="G641" s="196"/>
      <c r="H641" s="196"/>
      <c r="I641" s="196"/>
      <c r="J641" s="191">
        <f t="shared" si="2"/>
        <v>0</v>
      </c>
      <c r="K641" s="192">
        <f>-0.5*8.207</f>
        <v>-4.1035</v>
      </c>
      <c r="L641" s="193">
        <f t="shared" si="4"/>
        <v>4.10339536</v>
      </c>
      <c r="M641" s="194" t="str">
        <f t="shared" si="5"/>
        <v>fabiosmendes</v>
      </c>
      <c r="N641" s="217">
        <f>IFERROR(__xludf.DUMMYFUNCTION("""COMPUTED_VALUE"""),5.0)</f>
        <v>5</v>
      </c>
      <c r="O641" s="212"/>
      <c r="P641" s="196" t="s">
        <v>57</v>
      </c>
      <c r="Q641" s="196" t="s">
        <v>534</v>
      </c>
      <c r="R641" s="187">
        <v>57.049855624848725</v>
      </c>
      <c r="S641" s="212"/>
      <c r="T641" s="212"/>
      <c r="U641" s="212"/>
      <c r="V641" s="212"/>
      <c r="W641" s="212"/>
      <c r="X641" s="212"/>
      <c r="Y641" s="212"/>
      <c r="Z641" s="212"/>
      <c r="AA641" s="176"/>
    </row>
    <row r="642">
      <c r="A642" s="165" t="str">
        <f>iferror(VLOOKUP(P642,'DO NOT TOUCH Imported'!$A$1:$D$800,4,False),iferror(VLOOKUP(P642,'DO NOT TOUCH Imported'!$C$1:$D$800,2,False),"OOPS FIX ME"))</f>
        <v>fabiosmendes</v>
      </c>
      <c r="B642" s="165" t="s">
        <v>441</v>
      </c>
      <c r="C642" s="170" t="s">
        <v>1857</v>
      </c>
      <c r="D642" s="236" t="s">
        <v>437</v>
      </c>
      <c r="E642" s="239">
        <v>44281.0</v>
      </c>
      <c r="F642" s="170" t="s">
        <v>439</v>
      </c>
      <c r="G642" s="170">
        <v>50.0</v>
      </c>
      <c r="H642" s="171">
        <v>200.0</v>
      </c>
      <c r="I642" s="171">
        <v>200.0</v>
      </c>
      <c r="J642" s="172">
        <f t="shared" si="2"/>
        <v>0.002468850468</v>
      </c>
      <c r="K642" s="173">
        <f t="shared" ref="K642:K647" si="24">J642*$J$1</f>
        <v>2.756883022</v>
      </c>
      <c r="L642" s="174">
        <f t="shared" si="4"/>
        <v>4.10339536</v>
      </c>
      <c r="M642" s="175" t="str">
        <f t="shared" si="5"/>
        <v>fabiosmendes</v>
      </c>
      <c r="N642" s="176">
        <f>IFERROR(__xludf.DUMMYFUNCTION("""COMPUTED_VALUE"""),6.0)</f>
        <v>6</v>
      </c>
      <c r="O642" s="176"/>
      <c r="P642" s="165" t="s">
        <v>773</v>
      </c>
      <c r="Q642" s="165" t="s">
        <v>441</v>
      </c>
      <c r="R642" s="176"/>
      <c r="S642" s="176"/>
      <c r="T642" s="176"/>
      <c r="U642" s="176"/>
      <c r="V642" s="176"/>
      <c r="W642" s="176"/>
      <c r="X642" s="176"/>
      <c r="Y642" s="176"/>
      <c r="Z642" s="176"/>
      <c r="AA642" s="176"/>
    </row>
    <row r="643">
      <c r="A643" s="165" t="str">
        <f>iferror(VLOOKUP(P643,'DO NOT TOUCH Imported'!$A$1:$D$800,4,False),iferror(VLOOKUP(P643,'DO NOT TOUCH Imported'!$C$1:$D$800,2,False),"OOPS FIX ME"))</f>
        <v>chuygarcia92</v>
      </c>
      <c r="B643" s="249" t="s">
        <v>63</v>
      </c>
      <c r="C643" s="250" t="s">
        <v>1750</v>
      </c>
      <c r="D643" s="236" t="s">
        <v>1584</v>
      </c>
      <c r="E643" s="251">
        <v>44278.0</v>
      </c>
      <c r="F643" s="219" t="s">
        <v>627</v>
      </c>
      <c r="G643" s="170">
        <v>50.0</v>
      </c>
      <c r="H643" s="171">
        <v>80.0</v>
      </c>
      <c r="I643" s="171">
        <v>100.0</v>
      </c>
      <c r="J643" s="172">
        <f t="shared" si="2"/>
        <v>0.001544810969</v>
      </c>
      <c r="K643" s="173">
        <f t="shared" si="24"/>
        <v>1.725038916</v>
      </c>
      <c r="L643" s="174">
        <f t="shared" si="4"/>
        <v>4.02682124</v>
      </c>
      <c r="M643" s="175" t="str">
        <f t="shared" si="5"/>
        <v>chuygarcia92</v>
      </c>
      <c r="N643" s="176">
        <f>IFERROR(__xludf.DUMMYFUNCTION("""COMPUTED_VALUE"""),1.0)</f>
        <v>1</v>
      </c>
      <c r="O643" s="176"/>
      <c r="P643" s="249" t="s">
        <v>63</v>
      </c>
      <c r="Q643" s="249" t="s">
        <v>63</v>
      </c>
      <c r="R643" s="176"/>
      <c r="S643" s="176"/>
      <c r="T643" s="176"/>
      <c r="U643" s="176"/>
      <c r="V643" s="176"/>
      <c r="W643" s="176"/>
      <c r="X643" s="176"/>
      <c r="Y643" s="176"/>
      <c r="Z643" s="176"/>
      <c r="AA643" s="176"/>
    </row>
    <row r="644">
      <c r="A644" s="165" t="str">
        <f>iferror(VLOOKUP(P644,'DO NOT TOUCH Imported'!$A$1:$D$800,4,False),iferror(VLOOKUP(P644,'DO NOT TOUCH Imported'!$C$1:$D$800,2,False),"OOPS FIX ME"))</f>
        <v>chuygarcia92</v>
      </c>
      <c r="B644" s="165" t="s">
        <v>443</v>
      </c>
      <c r="C644" s="170" t="s">
        <v>1603</v>
      </c>
      <c r="D644" s="236" t="s">
        <v>437</v>
      </c>
      <c r="E644" s="239">
        <v>44277.0</v>
      </c>
      <c r="F644" s="170" t="s">
        <v>439</v>
      </c>
      <c r="G644" s="170">
        <v>15.0</v>
      </c>
      <c r="H644" s="171">
        <v>100.0</v>
      </c>
      <c r="I644" s="171">
        <v>100.0</v>
      </c>
      <c r="J644" s="172">
        <f t="shared" si="2"/>
        <v>0.001076708966</v>
      </c>
      <c r="K644" s="173">
        <f t="shared" si="24"/>
        <v>1.202325011</v>
      </c>
      <c r="L644" s="174">
        <f t="shared" si="4"/>
        <v>4.02682124</v>
      </c>
      <c r="M644" s="175" t="str">
        <f t="shared" si="5"/>
        <v>chuygarcia92</v>
      </c>
      <c r="N644" s="176">
        <f>IFERROR(__xludf.DUMMYFUNCTION("""COMPUTED_VALUE"""),2.0)</f>
        <v>2</v>
      </c>
      <c r="O644" s="176"/>
      <c r="P644" s="165" t="s">
        <v>483</v>
      </c>
      <c r="Q644" s="165" t="s">
        <v>443</v>
      </c>
      <c r="R644" s="176"/>
      <c r="S644" s="176"/>
      <c r="T644" s="176"/>
      <c r="U644" s="176"/>
      <c r="V644" s="176"/>
      <c r="W644" s="176"/>
      <c r="X644" s="176"/>
      <c r="Y644" s="176"/>
      <c r="Z644" s="176"/>
      <c r="AA644" s="176"/>
    </row>
    <row r="645">
      <c r="A645" s="165" t="str">
        <f>iferror(VLOOKUP(P645,'DO NOT TOUCH Imported'!$A$1:$D$800,4,False),iferror(VLOOKUP(P645,'DO NOT TOUCH Imported'!$C$1:$D$800,2,False),"OOPS FIX ME"))</f>
        <v>chuygarcia92</v>
      </c>
      <c r="B645" s="165" t="s">
        <v>46</v>
      </c>
      <c r="C645" s="170" t="s">
        <v>1611</v>
      </c>
      <c r="D645" s="236" t="s">
        <v>437</v>
      </c>
      <c r="E645" s="239">
        <v>44280.0</v>
      </c>
      <c r="F645" s="170" t="s">
        <v>439</v>
      </c>
      <c r="G645" s="170">
        <v>15.0</v>
      </c>
      <c r="H645" s="171">
        <v>80.0</v>
      </c>
      <c r="I645" s="171">
        <v>100.0</v>
      </c>
      <c r="J645" s="172">
        <f t="shared" si="2"/>
        <v>0.0009928040298</v>
      </c>
      <c r="K645" s="173">
        <f t="shared" si="24"/>
        <v>1.108631167</v>
      </c>
      <c r="L645" s="174">
        <f t="shared" si="4"/>
        <v>4.02682124</v>
      </c>
      <c r="M645" s="175" t="str">
        <f t="shared" si="5"/>
        <v>chuygarcia92</v>
      </c>
      <c r="N645" s="176">
        <f>IFERROR(__xludf.DUMMYFUNCTION("""COMPUTED_VALUE"""),3.0)</f>
        <v>3</v>
      </c>
      <c r="O645" s="176"/>
      <c r="P645" s="165" t="s">
        <v>483</v>
      </c>
      <c r="Q645" s="165" t="s">
        <v>46</v>
      </c>
      <c r="R645" s="176"/>
      <c r="S645" s="176"/>
      <c r="T645" s="176"/>
      <c r="U645" s="176"/>
      <c r="V645" s="176"/>
      <c r="W645" s="176"/>
      <c r="X645" s="176"/>
      <c r="Y645" s="176"/>
      <c r="Z645" s="176"/>
      <c r="AA645" s="176"/>
    </row>
    <row r="646">
      <c r="A646" s="165" t="str">
        <f>iferror(VLOOKUP(P646,'DO NOT TOUCH Imported'!$A$1:$D$800,4,False),iferror(VLOOKUP(P646,'DO NOT TOUCH Imported'!$C$1:$D$800,2,False),"OOPS FIX ME"))</f>
        <v>chuygarcia92</v>
      </c>
      <c r="B646" s="165" t="s">
        <v>441</v>
      </c>
      <c r="C646" s="170" t="s">
        <v>1612</v>
      </c>
      <c r="D646" s="236" t="s">
        <v>437</v>
      </c>
      <c r="E646" s="239">
        <v>44281.0</v>
      </c>
      <c r="F646" s="170" t="s">
        <v>439</v>
      </c>
      <c r="G646" s="170">
        <v>15.0</v>
      </c>
      <c r="H646" s="171">
        <v>80.0</v>
      </c>
      <c r="I646" s="171">
        <v>100.0</v>
      </c>
      <c r="J646" s="172">
        <f t="shared" si="2"/>
        <v>0.0009928040298</v>
      </c>
      <c r="K646" s="173">
        <f t="shared" si="24"/>
        <v>1.108631167</v>
      </c>
      <c r="L646" s="174">
        <f t="shared" si="4"/>
        <v>4.02682124</v>
      </c>
      <c r="M646" s="175" t="str">
        <f t="shared" si="5"/>
        <v>chuygarcia92</v>
      </c>
      <c r="N646" s="176">
        <f>IFERROR(__xludf.DUMMYFUNCTION("""COMPUTED_VALUE"""),4.0)</f>
        <v>4</v>
      </c>
      <c r="O646" s="176"/>
      <c r="P646" s="165" t="s">
        <v>483</v>
      </c>
      <c r="Q646" s="165" t="s">
        <v>441</v>
      </c>
      <c r="R646" s="176"/>
      <c r="S646" s="176"/>
      <c r="T646" s="176"/>
      <c r="U646" s="176"/>
      <c r="V646" s="176"/>
      <c r="W646" s="176"/>
      <c r="X646" s="176"/>
      <c r="Y646" s="176"/>
      <c r="Z646" s="176"/>
      <c r="AA646" s="176"/>
    </row>
    <row r="647">
      <c r="A647" s="165" t="str">
        <f>iferror(VLOOKUP(P647,'DO NOT TOUCH Imported'!$A$1:$D$800,4,False),iferror(VLOOKUP(P647,'DO NOT TOUCH Imported'!$C$1:$D$800,2,False),"OOPS FIX ME"))</f>
        <v>chuygarcia92</v>
      </c>
      <c r="B647" s="165" t="s">
        <v>576</v>
      </c>
      <c r="C647" s="170" t="s">
        <v>1615</v>
      </c>
      <c r="D647" s="236" t="s">
        <v>437</v>
      </c>
      <c r="E647" s="239">
        <v>44281.0</v>
      </c>
      <c r="F647" s="170" t="s">
        <v>439</v>
      </c>
      <c r="G647" s="170">
        <v>15.0</v>
      </c>
      <c r="H647" s="171">
        <v>70.0</v>
      </c>
      <c r="I647" s="171">
        <v>100.0</v>
      </c>
      <c r="J647" s="172">
        <f t="shared" si="2"/>
        <v>0.000950851562</v>
      </c>
      <c r="K647" s="173">
        <f t="shared" si="24"/>
        <v>1.061784244</v>
      </c>
      <c r="L647" s="174">
        <f t="shared" si="4"/>
        <v>4.02682124</v>
      </c>
      <c r="M647" s="175" t="str">
        <f t="shared" si="5"/>
        <v>chuygarcia92</v>
      </c>
      <c r="N647" s="176">
        <f>IFERROR(__xludf.DUMMYFUNCTION("""COMPUTED_VALUE"""),5.0)</f>
        <v>5</v>
      </c>
      <c r="O647" s="176"/>
      <c r="P647" s="165" t="s">
        <v>483</v>
      </c>
      <c r="Q647" s="165" t="s">
        <v>576</v>
      </c>
      <c r="R647" s="176"/>
      <c r="S647" s="176"/>
      <c r="T647" s="176"/>
      <c r="U647" s="176"/>
      <c r="V647" s="176"/>
      <c r="W647" s="176"/>
      <c r="X647" s="176"/>
      <c r="Y647" s="176"/>
      <c r="Z647" s="176"/>
      <c r="AA647" s="176"/>
    </row>
    <row r="648">
      <c r="A648" s="185" t="str">
        <f>iferror(VLOOKUP(P648,'DO NOT TOUCH Imported'!$A$1:$D$800,4,False),iferror(VLOOKUP(P648,'DO NOT TOUCH Imported'!$C$1:$D$800,2,False),"OOPS FIX ME"))</f>
        <v>chuygarcia92</v>
      </c>
      <c r="B648" s="185" t="s">
        <v>534</v>
      </c>
      <c r="C648" s="210" t="s">
        <v>717</v>
      </c>
      <c r="D648" s="187"/>
      <c r="E648" s="188"/>
      <c r="F648" s="189"/>
      <c r="G648" s="190"/>
      <c r="H648" s="190"/>
      <c r="I648" s="190"/>
      <c r="J648" s="191">
        <f t="shared" si="2"/>
        <v>0</v>
      </c>
      <c r="K648" s="192">
        <f>-0.5*8.053</f>
        <v>-4.0265</v>
      </c>
      <c r="L648" s="193">
        <f t="shared" si="4"/>
        <v>4.02682124</v>
      </c>
      <c r="M648" s="194" t="str">
        <f t="shared" si="5"/>
        <v>chuygarcia92</v>
      </c>
      <c r="N648" s="211">
        <f>IFERROR(__xludf.DUMMYFUNCTION("""COMPUTED_VALUE"""),6.0)</f>
        <v>6</v>
      </c>
      <c r="O648" s="195"/>
      <c r="P648" s="185" t="s">
        <v>63</v>
      </c>
      <c r="Q648" s="185" t="s">
        <v>534</v>
      </c>
      <c r="R648" s="195">
        <v>57.049855624848725</v>
      </c>
      <c r="S648" s="195"/>
      <c r="T648" s="195"/>
      <c r="U648" s="195"/>
      <c r="V648" s="195"/>
      <c r="W648" s="195"/>
      <c r="X648" s="195"/>
      <c r="Y648" s="195"/>
      <c r="Z648" s="195"/>
      <c r="AA648" s="176"/>
    </row>
    <row r="649">
      <c r="A649" s="165" t="str">
        <f>iferror(VLOOKUP(P649,'DO NOT TOUCH Imported'!$A$1:$D$800,4,False),iferror(VLOOKUP(P649,'DO NOT TOUCH Imported'!$C$1:$D$800,2,False),"OOPS FIX ME"))</f>
        <v>chuygarcia92</v>
      </c>
      <c r="B649" s="165" t="s">
        <v>441</v>
      </c>
      <c r="C649" s="170" t="s">
        <v>1858</v>
      </c>
      <c r="D649" s="236" t="s">
        <v>437</v>
      </c>
      <c r="E649" s="239">
        <v>44281.0</v>
      </c>
      <c r="F649" s="170" t="s">
        <v>439</v>
      </c>
      <c r="G649" s="170">
        <v>25.0</v>
      </c>
      <c r="H649" s="171">
        <v>200.0</v>
      </c>
      <c r="I649" s="171">
        <v>100.0</v>
      </c>
      <c r="J649" s="172">
        <f t="shared" si="2"/>
        <v>0.001653949912</v>
      </c>
      <c r="K649" s="173">
        <f t="shared" ref="K649:K673" si="25">J649*$J$1</f>
        <v>1.846910736</v>
      </c>
      <c r="L649" s="174">
        <f t="shared" si="4"/>
        <v>4.02682124</v>
      </c>
      <c r="M649" s="175" t="str">
        <f t="shared" si="5"/>
        <v>chuygarcia92</v>
      </c>
      <c r="N649" s="176">
        <f>IFERROR(__xludf.DUMMYFUNCTION("""COMPUTED_VALUE"""),7.0)</f>
        <v>7</v>
      </c>
      <c r="O649" s="176"/>
      <c r="P649" s="165" t="s">
        <v>483</v>
      </c>
      <c r="Q649" s="165" t="s">
        <v>441</v>
      </c>
      <c r="R649" s="176"/>
      <c r="S649" s="176"/>
      <c r="T649" s="176"/>
      <c r="U649" s="176"/>
      <c r="V649" s="176"/>
      <c r="W649" s="176"/>
      <c r="X649" s="176"/>
      <c r="Y649" s="176"/>
      <c r="Z649" s="176"/>
      <c r="AA649" s="176"/>
    </row>
    <row r="650">
      <c r="A650" s="165" t="str">
        <f>iferror(VLOOKUP(P650,'DO NOT TOUCH Imported'!$A$1:$D$800,4,False),iferror(VLOOKUP(P650,'DO NOT TOUCH Imported'!$C$1:$D$800,2,False),"OOPS FIX ME"))</f>
        <v>papa_raw</v>
      </c>
      <c r="B650" s="249" t="s">
        <v>590</v>
      </c>
      <c r="C650" s="250" t="s">
        <v>1784</v>
      </c>
      <c r="D650" s="236" t="s">
        <v>1584</v>
      </c>
      <c r="E650" s="251">
        <v>44270.0</v>
      </c>
      <c r="F650" s="219" t="s">
        <v>499</v>
      </c>
      <c r="G650" s="170">
        <v>25.0</v>
      </c>
      <c r="H650" s="171">
        <v>200.0</v>
      </c>
      <c r="I650" s="171">
        <v>100.0</v>
      </c>
      <c r="J650" s="172">
        <f t="shared" si="2"/>
        <v>0.001653949912</v>
      </c>
      <c r="K650" s="173">
        <f t="shared" si="25"/>
        <v>1.846910736</v>
      </c>
      <c r="L650" s="174">
        <f t="shared" si="4"/>
        <v>3.693821471</v>
      </c>
      <c r="M650" s="175" t="str">
        <f t="shared" si="5"/>
        <v>papa_raw</v>
      </c>
      <c r="N650" s="176">
        <f>IFERROR(__xludf.DUMMYFUNCTION("""COMPUTED_VALUE"""),1.0)</f>
        <v>1</v>
      </c>
      <c r="O650" s="176"/>
      <c r="P650" s="249" t="s">
        <v>107</v>
      </c>
      <c r="Q650" s="249" t="s">
        <v>590</v>
      </c>
      <c r="R650" s="176"/>
      <c r="S650" s="176"/>
      <c r="T650" s="176"/>
      <c r="U650" s="176"/>
      <c r="V650" s="176"/>
      <c r="W650" s="176"/>
      <c r="X650" s="176"/>
      <c r="Y650" s="176"/>
      <c r="Z650" s="176"/>
      <c r="AA650" s="176"/>
    </row>
    <row r="651">
      <c r="A651" s="165" t="str">
        <f>iferror(VLOOKUP(P651,'DO NOT TOUCH Imported'!$A$1:$D$800,4,False),iferror(VLOOKUP(P651,'DO NOT TOUCH Imported'!$C$1:$D$800,2,False),"OOPS FIX ME"))</f>
        <v>papa_raw</v>
      </c>
      <c r="B651" s="165" t="s">
        <v>566</v>
      </c>
      <c r="C651" s="170" t="s">
        <v>1859</v>
      </c>
      <c r="D651" s="236" t="s">
        <v>499</v>
      </c>
      <c r="E651" s="239">
        <v>44281.0</v>
      </c>
      <c r="F651" s="170" t="s">
        <v>503</v>
      </c>
      <c r="G651" s="170">
        <v>25.0</v>
      </c>
      <c r="H651" s="171">
        <v>200.0</v>
      </c>
      <c r="I651" s="171">
        <v>100.0</v>
      </c>
      <c r="J651" s="172">
        <f t="shared" si="2"/>
        <v>0.001653949912</v>
      </c>
      <c r="K651" s="173">
        <f t="shared" si="25"/>
        <v>1.846910736</v>
      </c>
      <c r="L651" s="174">
        <f t="shared" si="4"/>
        <v>3.693821471</v>
      </c>
      <c r="M651" s="175" t="str">
        <f t="shared" si="5"/>
        <v>papa_raw</v>
      </c>
      <c r="N651" s="176">
        <f>IFERROR(__xludf.DUMMYFUNCTION("""COMPUTED_VALUE"""),2.0)</f>
        <v>2</v>
      </c>
      <c r="O651" s="176"/>
      <c r="P651" s="165" t="s">
        <v>1199</v>
      </c>
      <c r="Q651" s="165" t="s">
        <v>566</v>
      </c>
      <c r="R651" s="176"/>
      <c r="S651" s="176"/>
      <c r="T651" s="176"/>
      <c r="U651" s="176"/>
      <c r="V651" s="176"/>
      <c r="W651" s="176"/>
      <c r="X651" s="176"/>
      <c r="Y651" s="176"/>
      <c r="Z651" s="176"/>
      <c r="AA651" s="176"/>
    </row>
    <row r="652">
      <c r="A652" s="165" t="str">
        <f>iferror(VLOOKUP(P652,'DO NOT TOUCH Imported'!$A$1:$D$800,4,False),iferror(VLOOKUP(P652,'DO NOT TOUCH Imported'!$C$1:$D$800,2,False),"OOPS FIX ME"))</f>
        <v>sherminv</v>
      </c>
      <c r="B652" s="249" t="s">
        <v>590</v>
      </c>
      <c r="C652" s="250" t="s">
        <v>1784</v>
      </c>
      <c r="D652" s="236" t="s">
        <v>1584</v>
      </c>
      <c r="E652" s="251">
        <v>44270.0</v>
      </c>
      <c r="F652" s="219" t="s">
        <v>499</v>
      </c>
      <c r="G652" s="170">
        <v>25.0</v>
      </c>
      <c r="H652" s="171">
        <v>200.0</v>
      </c>
      <c r="I652" s="171">
        <v>100.0</v>
      </c>
      <c r="J652" s="172">
        <f t="shared" si="2"/>
        <v>0.001653949912</v>
      </c>
      <c r="K652" s="173">
        <f t="shared" si="25"/>
        <v>1.846910736</v>
      </c>
      <c r="L652" s="174">
        <f t="shared" si="4"/>
        <v>3.665974228</v>
      </c>
      <c r="M652" s="175" t="str">
        <f t="shared" si="5"/>
        <v>sherminv</v>
      </c>
      <c r="N652" s="176">
        <f>IFERROR(__xludf.DUMMYFUNCTION("""COMPUTED_VALUE"""),1.0)</f>
        <v>1</v>
      </c>
      <c r="O652" s="176"/>
      <c r="P652" s="249" t="s">
        <v>121</v>
      </c>
      <c r="Q652" s="249" t="s">
        <v>590</v>
      </c>
      <c r="R652" s="176"/>
      <c r="S652" s="176"/>
      <c r="T652" s="176"/>
      <c r="U652" s="176"/>
      <c r="V652" s="176"/>
      <c r="W652" s="176"/>
      <c r="X652" s="176"/>
      <c r="Y652" s="176"/>
      <c r="Z652" s="176"/>
      <c r="AA652" s="176"/>
    </row>
    <row r="653">
      <c r="A653" s="165" t="str">
        <f>iferror(VLOOKUP(P653,'DO NOT TOUCH Imported'!$A$1:$D$800,4,False),iferror(VLOOKUP(P653,'DO NOT TOUCH Imported'!$C$1:$D$800,2,False),"OOPS FIX ME"))</f>
        <v>sherminv</v>
      </c>
      <c r="B653" s="249" t="s">
        <v>10</v>
      </c>
      <c r="C653" s="250" t="s">
        <v>494</v>
      </c>
      <c r="D653" s="236" t="s">
        <v>1584</v>
      </c>
      <c r="E653" s="251">
        <v>44275.0</v>
      </c>
      <c r="F653" s="219" t="s">
        <v>496</v>
      </c>
      <c r="G653" s="170">
        <v>15.0</v>
      </c>
      <c r="H653" s="171">
        <v>50.0</v>
      </c>
      <c r="I653" s="171">
        <v>100.0</v>
      </c>
      <c r="J653" s="172">
        <f t="shared" si="2"/>
        <v>0.0008669466263</v>
      </c>
      <c r="K653" s="173">
        <f t="shared" si="25"/>
        <v>0.9680903993</v>
      </c>
      <c r="L653" s="174">
        <f t="shared" si="4"/>
        <v>3.665974228</v>
      </c>
      <c r="M653" s="175" t="str">
        <f t="shared" si="5"/>
        <v>sherminv</v>
      </c>
      <c r="N653" s="176">
        <f>IFERROR(__xludf.DUMMYFUNCTION("""COMPUTED_VALUE"""),2.0)</f>
        <v>2</v>
      </c>
      <c r="O653" s="176"/>
      <c r="P653" s="249" t="s">
        <v>121</v>
      </c>
      <c r="Q653" s="249" t="s">
        <v>10</v>
      </c>
      <c r="R653" s="176"/>
      <c r="S653" s="176"/>
      <c r="T653" s="176"/>
      <c r="U653" s="176"/>
      <c r="V653" s="176"/>
      <c r="W653" s="176"/>
      <c r="X653" s="176"/>
      <c r="Y653" s="176"/>
      <c r="Z653" s="176"/>
      <c r="AA653" s="176"/>
    </row>
    <row r="654">
      <c r="A654" s="165" t="str">
        <f>iferror(VLOOKUP(P654,'DO NOT TOUCH Imported'!$A$1:$D$800,4,False),iferror(VLOOKUP(P654,'DO NOT TOUCH Imported'!$C$1:$D$800,2,False),"OOPS FIX ME"))</f>
        <v>sherminv</v>
      </c>
      <c r="B654" s="249" t="s">
        <v>10</v>
      </c>
      <c r="C654" s="250" t="s">
        <v>500</v>
      </c>
      <c r="D654" s="236" t="s">
        <v>1584</v>
      </c>
      <c r="E654" s="251">
        <v>44275.0</v>
      </c>
      <c r="F654" s="219" t="s">
        <v>496</v>
      </c>
      <c r="G654" s="170">
        <v>15.0</v>
      </c>
      <c r="H654" s="171">
        <v>25.0</v>
      </c>
      <c r="I654" s="171">
        <v>100.0</v>
      </c>
      <c r="J654" s="172">
        <f t="shared" si="2"/>
        <v>0.0007620654566</v>
      </c>
      <c r="K654" s="173">
        <f t="shared" si="25"/>
        <v>0.8509730932</v>
      </c>
      <c r="L654" s="174">
        <f t="shared" si="4"/>
        <v>3.665974228</v>
      </c>
      <c r="M654" s="175" t="str">
        <f t="shared" si="5"/>
        <v>sherminv</v>
      </c>
      <c r="N654" s="176">
        <f>IFERROR(__xludf.DUMMYFUNCTION("""COMPUTED_VALUE"""),3.0)</f>
        <v>3</v>
      </c>
      <c r="O654" s="176"/>
      <c r="P654" s="249" t="s">
        <v>121</v>
      </c>
      <c r="Q654" s="249" t="s">
        <v>10</v>
      </c>
      <c r="R654" s="176"/>
      <c r="S654" s="176"/>
      <c r="T654" s="176"/>
      <c r="U654" s="176"/>
      <c r="V654" s="176"/>
      <c r="W654" s="176"/>
      <c r="X654" s="176"/>
      <c r="Y654" s="176"/>
      <c r="Z654" s="176"/>
      <c r="AA654" s="176"/>
    </row>
    <row r="655">
      <c r="A655" s="165" t="str">
        <f>iferror(VLOOKUP(P655,'DO NOT TOUCH Imported'!$A$1:$D$800,4,False),iferror(VLOOKUP(P655,'DO NOT TOUCH Imported'!$C$1:$D$800,2,False),"OOPS FIX ME"))</f>
        <v>niranb</v>
      </c>
      <c r="B655" s="165" t="s">
        <v>450</v>
      </c>
      <c r="C655" s="170" t="s">
        <v>1860</v>
      </c>
      <c r="D655" s="236" t="s">
        <v>499</v>
      </c>
      <c r="E655" s="239">
        <v>44277.0</v>
      </c>
      <c r="F655" s="170" t="s">
        <v>503</v>
      </c>
      <c r="G655" s="170">
        <v>25.0</v>
      </c>
      <c r="H655" s="171">
        <v>400.0</v>
      </c>
      <c r="I655" s="171">
        <v>100.0</v>
      </c>
      <c r="J655" s="172">
        <f t="shared" si="2"/>
        <v>0.00249299927</v>
      </c>
      <c r="K655" s="173">
        <f t="shared" si="25"/>
        <v>2.783849184</v>
      </c>
      <c r="L655" s="174">
        <f t="shared" si="4"/>
        <v>3.634822278</v>
      </c>
      <c r="M655" s="175" t="str">
        <f t="shared" si="5"/>
        <v>niranb</v>
      </c>
      <c r="N655" s="176">
        <f>IFERROR(__xludf.DUMMYFUNCTION("""COMPUTED_VALUE"""),1.0)</f>
        <v>1</v>
      </c>
      <c r="O655" s="176"/>
      <c r="P655" s="165" t="s">
        <v>825</v>
      </c>
      <c r="Q655" s="165" t="s">
        <v>450</v>
      </c>
      <c r="R655" s="176"/>
      <c r="S655" s="176"/>
      <c r="T655" s="176"/>
      <c r="U655" s="176"/>
      <c r="V655" s="176"/>
      <c r="W655" s="176"/>
      <c r="X655" s="176"/>
      <c r="Y655" s="176"/>
      <c r="Z655" s="176"/>
      <c r="AA655" s="176"/>
    </row>
    <row r="656">
      <c r="A656" s="165" t="str">
        <f>iferror(VLOOKUP(P656,'DO NOT TOUCH Imported'!$A$1:$D$800,4,False),iferror(VLOOKUP(P656,'DO NOT TOUCH Imported'!$C$1:$D$800,2,False),"OOPS FIX ME"))</f>
        <v>niranb</v>
      </c>
      <c r="B656" s="249" t="s">
        <v>10</v>
      </c>
      <c r="C656" s="250" t="s">
        <v>498</v>
      </c>
      <c r="D656" s="236" t="s">
        <v>1584</v>
      </c>
      <c r="E656" s="251">
        <v>44274.0</v>
      </c>
      <c r="F656" s="219" t="s">
        <v>499</v>
      </c>
      <c r="G656" s="170">
        <v>15.0</v>
      </c>
      <c r="H656" s="171">
        <v>25.0</v>
      </c>
      <c r="I656" s="171">
        <v>100.0</v>
      </c>
      <c r="J656" s="172">
        <f t="shared" si="2"/>
        <v>0.0007620654566</v>
      </c>
      <c r="K656" s="173">
        <f t="shared" si="25"/>
        <v>0.8509730932</v>
      </c>
      <c r="L656" s="174">
        <f t="shared" si="4"/>
        <v>3.634822278</v>
      </c>
      <c r="M656" s="175" t="str">
        <f t="shared" si="5"/>
        <v>niranb</v>
      </c>
      <c r="N656" s="176">
        <f>IFERROR(__xludf.DUMMYFUNCTION("""COMPUTED_VALUE"""),2.0)</f>
        <v>2</v>
      </c>
      <c r="O656" s="176"/>
      <c r="P656" s="249" t="s">
        <v>60</v>
      </c>
      <c r="Q656" s="249" t="s">
        <v>10</v>
      </c>
      <c r="R656" s="176"/>
      <c r="S656" s="176"/>
      <c r="T656" s="176"/>
      <c r="U656" s="176"/>
      <c r="V656" s="176"/>
      <c r="W656" s="176"/>
      <c r="X656" s="176"/>
      <c r="Y656" s="176"/>
      <c r="Z656" s="176"/>
      <c r="AA656" s="176"/>
    </row>
    <row r="657">
      <c r="A657" s="165" t="str">
        <f>iferror(VLOOKUP(P657,'DO NOT TOUCH Imported'!$A$1:$D$800,4,False),iferror(VLOOKUP(P657,'DO NOT TOUCH Imported'!$C$1:$D$800,2,False),"OOPS FIX ME"))</f>
        <v>ddan#2489</v>
      </c>
      <c r="B657" s="165" t="s">
        <v>450</v>
      </c>
      <c r="C657" s="170" t="s">
        <v>1861</v>
      </c>
      <c r="D657" s="236" t="s">
        <v>499</v>
      </c>
      <c r="E657" s="239">
        <v>44281.0</v>
      </c>
      <c r="F657" s="170" t="s">
        <v>1571</v>
      </c>
      <c r="G657" s="170">
        <v>25.0</v>
      </c>
      <c r="H657" s="171">
        <v>100.0</v>
      </c>
      <c r="I657" s="171">
        <v>100.0</v>
      </c>
      <c r="J657" s="172">
        <f t="shared" si="2"/>
        <v>0.001234425234</v>
      </c>
      <c r="K657" s="173">
        <f t="shared" si="25"/>
        <v>1.378441511</v>
      </c>
      <c r="L657" s="174">
        <f t="shared" si="4"/>
        <v>9.167588002</v>
      </c>
      <c r="M657" s="175" t="str">
        <f t="shared" si="5"/>
        <v>ddan#2489</v>
      </c>
      <c r="N657" s="176">
        <f>IFERROR(__xludf.DUMMYFUNCTION("""COMPUTED_VALUE"""),5.0)</f>
        <v>5</v>
      </c>
      <c r="O657" s="176"/>
      <c r="P657" s="165" t="s">
        <v>46</v>
      </c>
      <c r="Q657" s="165" t="s">
        <v>450</v>
      </c>
      <c r="R657" s="176"/>
      <c r="S657" s="176"/>
      <c r="T657" s="176"/>
      <c r="U657" s="176"/>
      <c r="V657" s="176"/>
      <c r="W657" s="176"/>
      <c r="X657" s="176"/>
      <c r="Y657" s="176"/>
      <c r="Z657" s="176"/>
      <c r="AA657" s="176"/>
    </row>
    <row r="658">
      <c r="A658" s="165" t="str">
        <f>iferror(VLOOKUP(P658,'DO NOT TOUCH Imported'!$A$1:$D$800,4,False),iferror(VLOOKUP(P658,'DO NOT TOUCH Imported'!$C$1:$D$800,2,False),"OOPS FIX ME"))</f>
        <v>ddan#2489</v>
      </c>
      <c r="B658" s="165" t="s">
        <v>443</v>
      </c>
      <c r="C658" s="170" t="s">
        <v>1652</v>
      </c>
      <c r="D658" s="236" t="s">
        <v>437</v>
      </c>
      <c r="E658" s="239">
        <v>44279.0</v>
      </c>
      <c r="F658" s="170" t="s">
        <v>439</v>
      </c>
      <c r="G658" s="170">
        <v>15.0</v>
      </c>
      <c r="H658" s="171">
        <v>100.0</v>
      </c>
      <c r="I658" s="171">
        <v>100.0</v>
      </c>
      <c r="J658" s="172">
        <f t="shared" si="2"/>
        <v>0.001076708966</v>
      </c>
      <c r="K658" s="173">
        <f t="shared" si="25"/>
        <v>1.202325011</v>
      </c>
      <c r="L658" s="174">
        <f t="shared" si="4"/>
        <v>9.167588002</v>
      </c>
      <c r="M658" s="175" t="str">
        <f t="shared" si="5"/>
        <v>ddan#2489</v>
      </c>
      <c r="N658" s="176">
        <f>IFERROR(__xludf.DUMMYFUNCTION("""COMPUTED_VALUE"""),6.0)</f>
        <v>6</v>
      </c>
      <c r="O658" s="176"/>
      <c r="P658" s="165" t="s">
        <v>46</v>
      </c>
      <c r="Q658" s="165" t="s">
        <v>443</v>
      </c>
      <c r="R658" s="176"/>
      <c r="S658" s="176"/>
      <c r="T658" s="176"/>
      <c r="U658" s="176"/>
      <c r="V658" s="176"/>
      <c r="W658" s="176"/>
      <c r="X658" s="176"/>
      <c r="Y658" s="176"/>
      <c r="Z658" s="176"/>
      <c r="AA658" s="176"/>
    </row>
    <row r="659">
      <c r="A659" s="165" t="str">
        <f>iferror(VLOOKUP(P659,'DO NOT TOUCH Imported'!$A$1:$D$800,4,False),iferror(VLOOKUP(P659,'DO NOT TOUCH Imported'!$C$1:$D$800,2,False),"OOPS FIX ME"))</f>
        <v>ddan#2489</v>
      </c>
      <c r="B659" s="165" t="s">
        <v>443</v>
      </c>
      <c r="C659" s="170" t="s">
        <v>1616</v>
      </c>
      <c r="D659" s="236" t="s">
        <v>437</v>
      </c>
      <c r="E659" s="239">
        <v>44280.0</v>
      </c>
      <c r="F659" s="170" t="s">
        <v>439</v>
      </c>
      <c r="G659" s="170">
        <v>5.0</v>
      </c>
      <c r="H659" s="171">
        <v>100.0</v>
      </c>
      <c r="I659" s="171">
        <v>100.0</v>
      </c>
      <c r="J659" s="172">
        <f t="shared" si="2"/>
        <v>0.0009189926971</v>
      </c>
      <c r="K659" s="173">
        <f t="shared" si="25"/>
        <v>1.026208512</v>
      </c>
      <c r="L659" s="174">
        <f t="shared" si="4"/>
        <v>9.167588002</v>
      </c>
      <c r="M659" s="175" t="str">
        <f t="shared" si="5"/>
        <v>ddan#2489</v>
      </c>
      <c r="N659" s="176">
        <f>IFERROR(__xludf.DUMMYFUNCTION("""COMPUTED_VALUE"""),7.0)</f>
        <v>7</v>
      </c>
      <c r="O659" s="176"/>
      <c r="P659" s="165" t="s">
        <v>46</v>
      </c>
      <c r="Q659" s="165" t="s">
        <v>443</v>
      </c>
      <c r="R659" s="176"/>
      <c r="S659" s="176"/>
      <c r="T659" s="176"/>
      <c r="U659" s="176"/>
      <c r="V659" s="176"/>
      <c r="W659" s="176"/>
      <c r="X659" s="176"/>
      <c r="Y659" s="176"/>
      <c r="Z659" s="176"/>
      <c r="AA659" s="176"/>
    </row>
    <row r="660">
      <c r="A660" s="165" t="str">
        <f>iferror(VLOOKUP(P660,'DO NOT TOUCH Imported'!$A$1:$D$800,4,False),iferror(VLOOKUP(P660,'DO NOT TOUCH Imported'!$C$1:$D$800,2,False),"OOPS FIX ME"))</f>
        <v>aleezagroks</v>
      </c>
      <c r="B660" s="165" t="s">
        <v>768</v>
      </c>
      <c r="C660" s="170" t="s">
        <v>1862</v>
      </c>
      <c r="D660" s="236" t="s">
        <v>499</v>
      </c>
      <c r="E660" s="239">
        <v>44278.0</v>
      </c>
      <c r="F660" s="170" t="s">
        <v>503</v>
      </c>
      <c r="G660" s="170">
        <v>25.0</v>
      </c>
      <c r="H660" s="171">
        <v>100.0</v>
      </c>
      <c r="I660" s="171">
        <v>100.0</v>
      </c>
      <c r="J660" s="172">
        <f t="shared" si="2"/>
        <v>0.001234425234</v>
      </c>
      <c r="K660" s="173">
        <f t="shared" si="25"/>
        <v>1.378441511</v>
      </c>
      <c r="L660" s="174">
        <f t="shared" si="4"/>
        <v>3.584432655</v>
      </c>
      <c r="M660" s="175" t="str">
        <f t="shared" si="5"/>
        <v>aleezagroks</v>
      </c>
      <c r="N660" s="176">
        <f>IFERROR(__xludf.DUMMYFUNCTION("""COMPUTED_VALUE"""),1.0)</f>
        <v>1</v>
      </c>
      <c r="O660" s="176"/>
      <c r="P660" s="165" t="s">
        <v>1863</v>
      </c>
      <c r="Q660" s="165" t="s">
        <v>768</v>
      </c>
      <c r="R660" s="176"/>
      <c r="S660" s="176"/>
      <c r="T660" s="176"/>
      <c r="U660" s="176"/>
      <c r="V660" s="176"/>
      <c r="W660" s="176"/>
      <c r="X660" s="176"/>
      <c r="Y660" s="176"/>
      <c r="Z660" s="176"/>
      <c r="AA660" s="176"/>
    </row>
    <row r="661">
      <c r="A661" s="165" t="str">
        <f>iferror(VLOOKUP(P661,'DO NOT TOUCH Imported'!$A$1:$D$800,4,False),iferror(VLOOKUP(P661,'DO NOT TOUCH Imported'!$C$1:$D$800,2,False),"OOPS FIX ME"))</f>
        <v>aleezagroks</v>
      </c>
      <c r="B661" s="249" t="s">
        <v>879</v>
      </c>
      <c r="C661" s="250" t="s">
        <v>1832</v>
      </c>
      <c r="D661" s="236" t="s">
        <v>1584</v>
      </c>
      <c r="E661" s="251">
        <v>44273.0</v>
      </c>
      <c r="F661" s="219" t="s">
        <v>499</v>
      </c>
      <c r="G661" s="170">
        <v>25.0</v>
      </c>
      <c r="H661" s="171">
        <v>70.0</v>
      </c>
      <c r="I661" s="171">
        <v>100.0</v>
      </c>
      <c r="J661" s="172">
        <f t="shared" si="2"/>
        <v>0.00110856783</v>
      </c>
      <c r="K661" s="173">
        <f t="shared" si="25"/>
        <v>1.237900744</v>
      </c>
      <c r="L661" s="174">
        <f t="shared" si="4"/>
        <v>3.584432655</v>
      </c>
      <c r="M661" s="175" t="str">
        <f t="shared" si="5"/>
        <v>aleezagroks</v>
      </c>
      <c r="N661" s="176">
        <f>IFERROR(__xludf.DUMMYFUNCTION("""COMPUTED_VALUE"""),2.0)</f>
        <v>2</v>
      </c>
      <c r="O661" s="176"/>
      <c r="P661" s="249" t="s">
        <v>187</v>
      </c>
      <c r="Q661" s="249" t="s">
        <v>879</v>
      </c>
      <c r="R661" s="176"/>
      <c r="S661" s="176"/>
      <c r="T661" s="176"/>
      <c r="U661" s="176"/>
      <c r="V661" s="176"/>
      <c r="W661" s="176"/>
      <c r="X661" s="176"/>
      <c r="Y661" s="176"/>
      <c r="Z661" s="176"/>
      <c r="AA661" s="176"/>
    </row>
    <row r="662">
      <c r="A662" s="165" t="str">
        <f>iferror(VLOOKUP(P662,'DO NOT TOUCH Imported'!$A$1:$D$800,4,False),iferror(VLOOKUP(P662,'DO NOT TOUCH Imported'!$C$1:$D$800,2,False),"OOPS FIX ME"))</f>
        <v>aleezagroks</v>
      </c>
      <c r="B662" s="165" t="s">
        <v>530</v>
      </c>
      <c r="C662" s="170" t="s">
        <v>1833</v>
      </c>
      <c r="D662" s="236" t="s">
        <v>499</v>
      </c>
      <c r="E662" s="239">
        <v>44273.0</v>
      </c>
      <c r="F662" s="170" t="s">
        <v>1646</v>
      </c>
      <c r="G662" s="170">
        <v>15.0</v>
      </c>
      <c r="H662" s="171">
        <v>50.0</v>
      </c>
      <c r="I662" s="171">
        <v>100.0</v>
      </c>
      <c r="J662" s="172">
        <f t="shared" si="2"/>
        <v>0.0008669466263</v>
      </c>
      <c r="K662" s="173">
        <f t="shared" si="25"/>
        <v>0.9680903993</v>
      </c>
      <c r="L662" s="174">
        <f t="shared" si="4"/>
        <v>3.584432655</v>
      </c>
      <c r="M662" s="175" t="str">
        <f t="shared" si="5"/>
        <v>aleezagroks</v>
      </c>
      <c r="N662" s="176">
        <f>IFERROR(__xludf.DUMMYFUNCTION("""COMPUTED_VALUE"""),3.0)</f>
        <v>3</v>
      </c>
      <c r="O662" s="176"/>
      <c r="P662" s="165" t="s">
        <v>1863</v>
      </c>
      <c r="Q662" s="165" t="s">
        <v>530</v>
      </c>
      <c r="R662" s="176"/>
      <c r="S662" s="176"/>
      <c r="T662" s="176"/>
      <c r="U662" s="176"/>
      <c r="V662" s="176"/>
      <c r="W662" s="176"/>
      <c r="X662" s="176"/>
      <c r="Y662" s="176"/>
      <c r="Z662" s="176"/>
      <c r="AA662" s="176"/>
    </row>
    <row r="663">
      <c r="A663" s="165" t="str">
        <f>iferror(VLOOKUP(P663,'DO NOT TOUCH Imported'!$A$1:$D$800,4,False),iferror(VLOOKUP(P663,'DO NOT TOUCH Imported'!$C$1:$D$800,2,False),"OOPS FIX ME"))</f>
        <v>VitorMarthendal</v>
      </c>
      <c r="B663" s="165" t="s">
        <v>441</v>
      </c>
      <c r="C663" s="170" t="s">
        <v>1857</v>
      </c>
      <c r="D663" s="236" t="s">
        <v>437</v>
      </c>
      <c r="E663" s="239">
        <v>44281.0</v>
      </c>
      <c r="F663" s="170" t="s">
        <v>439</v>
      </c>
      <c r="G663" s="170">
        <v>50.0</v>
      </c>
      <c r="H663" s="171">
        <v>200.0</v>
      </c>
      <c r="I663" s="171">
        <v>200.0</v>
      </c>
      <c r="J663" s="172">
        <f t="shared" si="2"/>
        <v>0.002468850468</v>
      </c>
      <c r="K663" s="173">
        <f t="shared" si="25"/>
        <v>2.756883022</v>
      </c>
      <c r="L663" s="174">
        <f t="shared" si="4"/>
        <v>3.465898093</v>
      </c>
      <c r="M663" s="175" t="str">
        <f t="shared" si="5"/>
        <v>VitorMarthendal</v>
      </c>
      <c r="N663" s="176">
        <f>IFERROR(__xludf.DUMMYFUNCTION("""COMPUTED_VALUE"""),1.0)</f>
        <v>1</v>
      </c>
      <c r="O663" s="176"/>
      <c r="P663" s="165" t="s">
        <v>690</v>
      </c>
      <c r="Q663" s="165" t="s">
        <v>441</v>
      </c>
      <c r="R663" s="176"/>
      <c r="S663" s="176"/>
      <c r="T663" s="176"/>
      <c r="U663" s="176"/>
      <c r="V663" s="176"/>
      <c r="W663" s="176"/>
      <c r="X663" s="176"/>
      <c r="Y663" s="176"/>
      <c r="Z663" s="176"/>
      <c r="AA663" s="176"/>
    </row>
    <row r="664">
      <c r="A664" s="165" t="str">
        <f>iferror(VLOOKUP(P664,'DO NOT TOUCH Imported'!$A$1:$D$800,4,False),iferror(VLOOKUP(P664,'DO NOT TOUCH Imported'!$C$1:$D$800,2,False),"OOPS FIX ME"))</f>
        <v>VitorMarthendal</v>
      </c>
      <c r="B664" s="165" t="s">
        <v>441</v>
      </c>
      <c r="C664" s="170" t="s">
        <v>1712</v>
      </c>
      <c r="D664" s="236" t="s">
        <v>437</v>
      </c>
      <c r="E664" s="239">
        <v>44281.0</v>
      </c>
      <c r="F664" s="170" t="s">
        <v>439</v>
      </c>
      <c r="G664" s="170">
        <v>50.0</v>
      </c>
      <c r="H664" s="171">
        <v>100.0</v>
      </c>
      <c r="I664" s="171">
        <v>200.0</v>
      </c>
      <c r="J664" s="172">
        <f t="shared" si="2"/>
        <v>0.002049325789</v>
      </c>
      <c r="K664" s="173">
        <f t="shared" si="25"/>
        <v>2.288413798</v>
      </c>
      <c r="L664" s="174">
        <f t="shared" si="4"/>
        <v>3.465898093</v>
      </c>
      <c r="M664" s="175" t="str">
        <f t="shared" si="5"/>
        <v>VitorMarthendal</v>
      </c>
      <c r="N664" s="176">
        <f>IFERROR(__xludf.DUMMYFUNCTION("""COMPUTED_VALUE"""),2.0)</f>
        <v>2</v>
      </c>
      <c r="O664" s="176"/>
      <c r="P664" s="165" t="s">
        <v>690</v>
      </c>
      <c r="Q664" s="165" t="s">
        <v>441</v>
      </c>
      <c r="R664" s="176"/>
      <c r="S664" s="176"/>
      <c r="T664" s="176"/>
      <c r="U664" s="176"/>
      <c r="V664" s="176"/>
      <c r="W664" s="176"/>
      <c r="X664" s="176"/>
      <c r="Y664" s="176"/>
      <c r="Z664" s="176"/>
      <c r="AA664" s="176"/>
    </row>
    <row r="665">
      <c r="A665" s="165" t="str">
        <f>iferror(VLOOKUP(P665,'DO NOT TOUCH Imported'!$A$1:$D$800,4,False),iferror(VLOOKUP(P665,'DO NOT TOUCH Imported'!$C$1:$D$800,2,False),"OOPS FIX ME"))</f>
        <v>VitorMarthendal</v>
      </c>
      <c r="B665" s="249" t="s">
        <v>870</v>
      </c>
      <c r="C665" s="250" t="s">
        <v>1769</v>
      </c>
      <c r="D665" s="236" t="s">
        <v>1584</v>
      </c>
      <c r="E665" s="251">
        <v>44270.0</v>
      </c>
      <c r="F665" s="219" t="s">
        <v>521</v>
      </c>
      <c r="G665" s="170">
        <v>50.0</v>
      </c>
      <c r="H665" s="171">
        <v>100.0</v>
      </c>
      <c r="I665" s="171">
        <v>100.0</v>
      </c>
      <c r="J665" s="172">
        <f t="shared" si="2"/>
        <v>0.001628715905</v>
      </c>
      <c r="K665" s="173">
        <f t="shared" si="25"/>
        <v>1.818732761</v>
      </c>
      <c r="L665" s="174">
        <f t="shared" si="4"/>
        <v>3.465898093</v>
      </c>
      <c r="M665" s="175" t="str">
        <f t="shared" si="5"/>
        <v>VitorMarthendal</v>
      </c>
      <c r="N665" s="176">
        <f>IFERROR(__xludf.DUMMYFUNCTION("""COMPUTED_VALUE"""),3.0)</f>
        <v>3</v>
      </c>
      <c r="O665" s="176"/>
      <c r="P665" s="249" t="s">
        <v>35</v>
      </c>
      <c r="Q665" s="249" t="s">
        <v>870</v>
      </c>
      <c r="R665" s="176"/>
      <c r="S665" s="176"/>
      <c r="T665" s="176"/>
      <c r="U665" s="176"/>
      <c r="V665" s="176"/>
      <c r="W665" s="176"/>
      <c r="X665" s="176"/>
      <c r="Y665" s="176"/>
      <c r="Z665" s="176"/>
      <c r="AA665" s="176"/>
    </row>
    <row r="666">
      <c r="A666" s="165" t="str">
        <f>iferror(VLOOKUP(P666,'DO NOT TOUCH Imported'!$A$1:$D$800,4,False),iferror(VLOOKUP(P666,'DO NOT TOUCH Imported'!$C$1:$D$800,2,False),"OOPS FIX ME"))</f>
        <v>VitorMarthendal</v>
      </c>
      <c r="B666" s="165" t="s">
        <v>450</v>
      </c>
      <c r="C666" s="170" t="s">
        <v>1705</v>
      </c>
      <c r="D666" s="236" t="s">
        <v>437</v>
      </c>
      <c r="E666" s="239">
        <v>44271.0</v>
      </c>
      <c r="F666" s="170" t="s">
        <v>1558</v>
      </c>
      <c r="G666" s="170">
        <v>50.0</v>
      </c>
      <c r="H666" s="171">
        <v>100.0</v>
      </c>
      <c r="I666" s="171">
        <v>100.0</v>
      </c>
      <c r="J666" s="172">
        <f t="shared" si="2"/>
        <v>0.001628715905</v>
      </c>
      <c r="K666" s="173">
        <f t="shared" si="25"/>
        <v>1.818732761</v>
      </c>
      <c r="L666" s="174">
        <f t="shared" si="4"/>
        <v>3.465898093</v>
      </c>
      <c r="M666" s="175" t="str">
        <f t="shared" si="5"/>
        <v>VitorMarthendal</v>
      </c>
      <c r="N666" s="176">
        <f>IFERROR(__xludf.DUMMYFUNCTION("""COMPUTED_VALUE"""),4.0)</f>
        <v>4</v>
      </c>
      <c r="O666" s="176"/>
      <c r="P666" s="165" t="s">
        <v>690</v>
      </c>
      <c r="Q666" s="165" t="s">
        <v>450</v>
      </c>
      <c r="R666" s="176"/>
      <c r="S666" s="176"/>
      <c r="T666" s="176"/>
      <c r="U666" s="176"/>
      <c r="V666" s="176"/>
      <c r="W666" s="176"/>
      <c r="X666" s="176"/>
      <c r="Y666" s="176"/>
      <c r="Z666" s="176"/>
      <c r="AA666" s="176"/>
    </row>
    <row r="667">
      <c r="A667" s="165" t="str">
        <f>iferror(VLOOKUP(P667,'DO NOT TOUCH Imported'!$A$1:$D$800,4,False),iferror(VLOOKUP(P667,'DO NOT TOUCH Imported'!$C$1:$D$800,2,False),"OOPS FIX ME"))</f>
        <v>VitorMarthendal</v>
      </c>
      <c r="B667" s="165" t="s">
        <v>566</v>
      </c>
      <c r="C667" s="170" t="s">
        <v>1864</v>
      </c>
      <c r="D667" s="236" t="s">
        <v>499</v>
      </c>
      <c r="E667" s="239">
        <v>44281.0</v>
      </c>
      <c r="F667" s="170" t="s">
        <v>503</v>
      </c>
      <c r="G667" s="170">
        <v>50.0</v>
      </c>
      <c r="H667" s="171">
        <v>100.0</v>
      </c>
      <c r="I667" s="171">
        <v>100.0</v>
      </c>
      <c r="J667" s="172">
        <f t="shared" si="2"/>
        <v>0.001628715905</v>
      </c>
      <c r="K667" s="173">
        <f t="shared" si="25"/>
        <v>1.818732761</v>
      </c>
      <c r="L667" s="174">
        <f t="shared" si="4"/>
        <v>3.465898093</v>
      </c>
      <c r="M667" s="175" t="str">
        <f t="shared" si="5"/>
        <v>VitorMarthendal</v>
      </c>
      <c r="N667" s="176">
        <f>IFERROR(__xludf.DUMMYFUNCTION("""COMPUTED_VALUE"""),5.0)</f>
        <v>5</v>
      </c>
      <c r="O667" s="176"/>
      <c r="P667" s="165" t="s">
        <v>690</v>
      </c>
      <c r="Q667" s="165" t="s">
        <v>566</v>
      </c>
      <c r="R667" s="176"/>
      <c r="S667" s="176"/>
      <c r="T667" s="176"/>
      <c r="U667" s="176"/>
      <c r="V667" s="176"/>
      <c r="W667" s="176"/>
      <c r="X667" s="176"/>
      <c r="Y667" s="176"/>
      <c r="Z667" s="176"/>
      <c r="AA667" s="176"/>
    </row>
    <row r="668">
      <c r="A668" s="165" t="str">
        <f>iferror(VLOOKUP(P668,'DO NOT TOUCH Imported'!$A$1:$D$800,4,False),iferror(VLOOKUP(P668,'DO NOT TOUCH Imported'!$C$1:$D$800,2,False),"OOPS FIX ME"))</f>
        <v>VitorMarthendal</v>
      </c>
      <c r="B668" s="249" t="s">
        <v>519</v>
      </c>
      <c r="C668" s="250" t="s">
        <v>1637</v>
      </c>
      <c r="D668" s="236" t="s">
        <v>1584</v>
      </c>
      <c r="E668" s="251">
        <v>44272.0</v>
      </c>
      <c r="F668" s="219" t="s">
        <v>521</v>
      </c>
      <c r="G668" s="170">
        <v>25.0</v>
      </c>
      <c r="H668" s="171">
        <v>60.0</v>
      </c>
      <c r="I668" s="171">
        <v>100.0</v>
      </c>
      <c r="J668" s="172">
        <f t="shared" si="2"/>
        <v>0.001066615363</v>
      </c>
      <c r="K668" s="173">
        <f t="shared" si="25"/>
        <v>1.191053822</v>
      </c>
      <c r="L668" s="174">
        <f t="shared" si="4"/>
        <v>3.465898093</v>
      </c>
      <c r="M668" s="175" t="str">
        <f t="shared" si="5"/>
        <v>VitorMarthendal</v>
      </c>
      <c r="N668" s="176">
        <f>IFERROR(__xludf.DUMMYFUNCTION("""COMPUTED_VALUE"""),6.0)</f>
        <v>6</v>
      </c>
      <c r="O668" s="176"/>
      <c r="P668" s="249" t="s">
        <v>35</v>
      </c>
      <c r="Q668" s="249" t="s">
        <v>519</v>
      </c>
      <c r="R668" s="176"/>
      <c r="S668" s="176"/>
      <c r="T668" s="176"/>
      <c r="U668" s="176"/>
      <c r="V668" s="176"/>
      <c r="W668" s="176"/>
      <c r="X668" s="176"/>
      <c r="Y668" s="176"/>
      <c r="Z668" s="176"/>
      <c r="AA668" s="176"/>
    </row>
    <row r="669">
      <c r="A669" s="165" t="str">
        <f>iferror(VLOOKUP(P669,'DO NOT TOUCH Imported'!$A$1:$D$800,4,False),iferror(VLOOKUP(P669,'DO NOT TOUCH Imported'!$C$1:$D$800,2,False),"OOPS FIX ME"))</f>
        <v>VitorMarthendal</v>
      </c>
      <c r="B669" s="249" t="s">
        <v>873</v>
      </c>
      <c r="C669" s="250" t="s">
        <v>1638</v>
      </c>
      <c r="D669" s="236" t="s">
        <v>1584</v>
      </c>
      <c r="E669" s="251">
        <v>44279.0</v>
      </c>
      <c r="F669" s="219" t="s">
        <v>521</v>
      </c>
      <c r="G669" s="170">
        <v>15.0</v>
      </c>
      <c r="H669" s="171">
        <v>80.0</v>
      </c>
      <c r="I669" s="171">
        <v>100.0</v>
      </c>
      <c r="J669" s="172">
        <f t="shared" si="2"/>
        <v>0.0009928040298</v>
      </c>
      <c r="K669" s="173">
        <f t="shared" si="25"/>
        <v>1.108631167</v>
      </c>
      <c r="L669" s="174">
        <f t="shared" si="4"/>
        <v>3.465898093</v>
      </c>
      <c r="M669" s="175" t="str">
        <f t="shared" si="5"/>
        <v>VitorMarthendal</v>
      </c>
      <c r="N669" s="176">
        <f>IFERROR(__xludf.DUMMYFUNCTION("""COMPUTED_VALUE"""),7.0)</f>
        <v>7</v>
      </c>
      <c r="O669" s="176"/>
      <c r="P669" s="249" t="s">
        <v>35</v>
      </c>
      <c r="Q669" s="249" t="s">
        <v>873</v>
      </c>
      <c r="R669" s="176"/>
      <c r="S669" s="176"/>
      <c r="T669" s="176"/>
      <c r="U669" s="176"/>
      <c r="V669" s="176"/>
      <c r="W669" s="176"/>
      <c r="X669" s="176"/>
      <c r="Y669" s="176"/>
      <c r="Z669" s="176"/>
      <c r="AA669" s="176"/>
    </row>
    <row r="670">
      <c r="A670" s="165" t="str">
        <f>iferror(VLOOKUP(P670,'DO NOT TOUCH Imported'!$A$1:$D$800,4,False),iferror(VLOOKUP(P670,'DO NOT TOUCH Imported'!$C$1:$D$800,2,False),"OOPS FIX ME"))</f>
        <v>VitorMarthendal</v>
      </c>
      <c r="B670" s="165" t="s">
        <v>441</v>
      </c>
      <c r="C670" s="170" t="s">
        <v>1612</v>
      </c>
      <c r="D670" s="236" t="s">
        <v>437</v>
      </c>
      <c r="E670" s="239">
        <v>44281.0</v>
      </c>
      <c r="F670" s="170" t="s">
        <v>439</v>
      </c>
      <c r="G670" s="170">
        <v>15.0</v>
      </c>
      <c r="H670" s="171">
        <v>80.0</v>
      </c>
      <c r="I670" s="171">
        <v>100.0</v>
      </c>
      <c r="J670" s="172">
        <f t="shared" si="2"/>
        <v>0.0009928040298</v>
      </c>
      <c r="K670" s="173">
        <f t="shared" si="25"/>
        <v>1.108631167</v>
      </c>
      <c r="L670" s="174">
        <f t="shared" si="4"/>
        <v>3.465898093</v>
      </c>
      <c r="M670" s="175" t="str">
        <f t="shared" si="5"/>
        <v>VitorMarthendal</v>
      </c>
      <c r="N670" s="176">
        <f>IFERROR(__xludf.DUMMYFUNCTION("""COMPUTED_VALUE"""),8.0)</f>
        <v>8</v>
      </c>
      <c r="O670" s="176"/>
      <c r="P670" s="165" t="s">
        <v>690</v>
      </c>
      <c r="Q670" s="165" t="s">
        <v>441</v>
      </c>
      <c r="R670" s="176"/>
      <c r="S670" s="176"/>
      <c r="T670" s="176"/>
      <c r="U670" s="176"/>
      <c r="V670" s="176"/>
      <c r="W670" s="176"/>
      <c r="X670" s="176"/>
      <c r="Y670" s="176"/>
      <c r="Z670" s="176"/>
      <c r="AA670" s="176"/>
    </row>
    <row r="671">
      <c r="A671" s="165" t="str">
        <f>iferror(VLOOKUP(P671,'DO NOT TOUCH Imported'!$A$1:$D$800,4,False),iferror(VLOOKUP(P671,'DO NOT TOUCH Imported'!$C$1:$D$800,2,False),"OOPS FIX ME"))</f>
        <v>VitorMarthendal</v>
      </c>
      <c r="B671" s="249" t="s">
        <v>519</v>
      </c>
      <c r="C671" s="250" t="s">
        <v>1637</v>
      </c>
      <c r="D671" s="236" t="s">
        <v>1584</v>
      </c>
      <c r="E671" s="251">
        <v>44279.0</v>
      </c>
      <c r="F671" s="219" t="s">
        <v>521</v>
      </c>
      <c r="G671" s="170">
        <v>15.0</v>
      </c>
      <c r="H671" s="171">
        <v>70.0</v>
      </c>
      <c r="I671" s="171">
        <v>100.0</v>
      </c>
      <c r="J671" s="172">
        <f t="shared" si="2"/>
        <v>0.000950851562</v>
      </c>
      <c r="K671" s="173">
        <f t="shared" si="25"/>
        <v>1.061784244</v>
      </c>
      <c r="L671" s="174">
        <f t="shared" si="4"/>
        <v>3.465898093</v>
      </c>
      <c r="M671" s="175" t="str">
        <f t="shared" si="5"/>
        <v>VitorMarthendal</v>
      </c>
      <c r="N671" s="176">
        <f>IFERROR(__xludf.DUMMYFUNCTION("""COMPUTED_VALUE"""),9.0)</f>
        <v>9</v>
      </c>
      <c r="O671" s="176"/>
      <c r="P671" s="249" t="s">
        <v>35</v>
      </c>
      <c r="Q671" s="249" t="s">
        <v>519</v>
      </c>
      <c r="R671" s="176"/>
      <c r="S671" s="176"/>
      <c r="T671" s="176"/>
      <c r="U671" s="176"/>
      <c r="V671" s="176"/>
      <c r="W671" s="176"/>
      <c r="X671" s="176"/>
      <c r="Y671" s="176"/>
      <c r="Z671" s="176"/>
      <c r="AA671" s="176"/>
    </row>
    <row r="672">
      <c r="A672" s="165" t="str">
        <f>iferror(VLOOKUP(P672,'DO NOT TOUCH Imported'!$A$1:$D$800,4,False),iferror(VLOOKUP(P672,'DO NOT TOUCH Imported'!$C$1:$D$800,2,False),"OOPS FIX ME"))</f>
        <v>VitorMarthendal</v>
      </c>
      <c r="B672" s="165" t="s">
        <v>10</v>
      </c>
      <c r="C672" s="170" t="s">
        <v>1639</v>
      </c>
      <c r="D672" s="236" t="s">
        <v>1584</v>
      </c>
      <c r="E672" s="239">
        <v>44281.0</v>
      </c>
      <c r="F672" s="170" t="s">
        <v>496</v>
      </c>
      <c r="G672" s="170">
        <v>15.0</v>
      </c>
      <c r="H672" s="171">
        <v>70.0</v>
      </c>
      <c r="I672" s="171">
        <v>100.0</v>
      </c>
      <c r="J672" s="172">
        <f t="shared" si="2"/>
        <v>0.000950851562</v>
      </c>
      <c r="K672" s="173">
        <f t="shared" si="25"/>
        <v>1.061784244</v>
      </c>
      <c r="L672" s="174">
        <f t="shared" si="4"/>
        <v>3.465898093</v>
      </c>
      <c r="M672" s="175" t="str">
        <f t="shared" si="5"/>
        <v>VitorMarthendal</v>
      </c>
      <c r="N672" s="176">
        <f>IFERROR(__xludf.DUMMYFUNCTION("""COMPUTED_VALUE"""),10.0)</f>
        <v>10</v>
      </c>
      <c r="O672" s="176"/>
      <c r="P672" s="165" t="s">
        <v>35</v>
      </c>
      <c r="Q672" s="165" t="s">
        <v>10</v>
      </c>
      <c r="R672" s="176"/>
      <c r="S672" s="176"/>
      <c r="T672" s="176"/>
      <c r="U672" s="176"/>
      <c r="V672" s="176"/>
      <c r="W672" s="176"/>
      <c r="X672" s="176"/>
      <c r="Y672" s="176"/>
      <c r="Z672" s="176"/>
      <c r="AA672" s="176"/>
    </row>
    <row r="673">
      <c r="A673" s="165" t="str">
        <f>iferror(VLOOKUP(P673,'DO NOT TOUCH Imported'!$A$1:$D$800,4,False),iferror(VLOOKUP(P673,'DO NOT TOUCH Imported'!$C$1:$D$800,2,False),"OOPS FIX ME"))</f>
        <v>VitorMarthendal</v>
      </c>
      <c r="B673" s="249" t="s">
        <v>10</v>
      </c>
      <c r="C673" s="250" t="s">
        <v>498</v>
      </c>
      <c r="D673" s="236" t="s">
        <v>1584</v>
      </c>
      <c r="E673" s="251">
        <v>44274.0</v>
      </c>
      <c r="F673" s="219" t="s">
        <v>499</v>
      </c>
      <c r="G673" s="170">
        <v>15.0</v>
      </c>
      <c r="H673" s="171">
        <v>25.0</v>
      </c>
      <c r="I673" s="171">
        <v>100.0</v>
      </c>
      <c r="J673" s="172">
        <f t="shared" si="2"/>
        <v>0.0007620654566</v>
      </c>
      <c r="K673" s="173">
        <f t="shared" si="25"/>
        <v>0.8509730932</v>
      </c>
      <c r="L673" s="174">
        <f t="shared" si="4"/>
        <v>3.465898093</v>
      </c>
      <c r="M673" s="175" t="str">
        <f t="shared" si="5"/>
        <v>VitorMarthendal</v>
      </c>
      <c r="N673" s="176">
        <f>IFERROR(__xludf.DUMMYFUNCTION("""COMPUTED_VALUE"""),11.0)</f>
        <v>11</v>
      </c>
      <c r="O673" s="176"/>
      <c r="P673" s="249" t="s">
        <v>35</v>
      </c>
      <c r="Q673" s="249" t="s">
        <v>10</v>
      </c>
      <c r="R673" s="176"/>
      <c r="S673" s="176"/>
      <c r="T673" s="176"/>
      <c r="U673" s="176"/>
      <c r="V673" s="176"/>
      <c r="W673" s="176"/>
      <c r="X673" s="176"/>
      <c r="Y673" s="176"/>
      <c r="Z673" s="176"/>
      <c r="AA673" s="176"/>
    </row>
    <row r="674">
      <c r="A674" s="185" t="str">
        <f>iferror(VLOOKUP(P674,'DO NOT TOUCH Imported'!$A$1:$D$800,4,False),iferror(VLOOKUP(P674,'DO NOT TOUCH Imported'!$C$1:$D$800,2,False),"OOPS FIX ME"))</f>
        <v>VitorMarthendal</v>
      </c>
      <c r="B674" s="196" t="s">
        <v>534</v>
      </c>
      <c r="C674" s="216" t="s">
        <v>693</v>
      </c>
      <c r="D674" s="212"/>
      <c r="E674" s="214"/>
      <c r="F674" s="212"/>
      <c r="G674" s="196"/>
      <c r="H674" s="196"/>
      <c r="I674" s="196"/>
      <c r="J674" s="191">
        <f t="shared" si="2"/>
        <v>0</v>
      </c>
      <c r="K674" s="192">
        <f>23.106*-0.85</f>
        <v>-19.6401</v>
      </c>
      <c r="L674" s="193">
        <f t="shared" si="4"/>
        <v>3.465898093</v>
      </c>
      <c r="M674" s="194" t="str">
        <f t="shared" si="5"/>
        <v>VitorMarthendal</v>
      </c>
      <c r="N674" s="217">
        <f>IFERROR(__xludf.DUMMYFUNCTION("""COMPUTED_VALUE"""),12.0)</f>
        <v>12</v>
      </c>
      <c r="O674" s="212"/>
      <c r="P674" s="196" t="s">
        <v>35</v>
      </c>
      <c r="Q674" s="196" t="s">
        <v>534</v>
      </c>
      <c r="R674" s="187">
        <v>57.049855624848725</v>
      </c>
      <c r="S674" s="212"/>
      <c r="T674" s="212"/>
      <c r="U674" s="212"/>
      <c r="V674" s="212"/>
      <c r="W674" s="212"/>
      <c r="X674" s="212"/>
      <c r="Y674" s="212"/>
      <c r="Z674" s="212"/>
      <c r="AA674" s="176"/>
    </row>
    <row r="675">
      <c r="A675" s="165" t="str">
        <f>iferror(VLOOKUP(P675,'DO NOT TOUCH Imported'!$A$1:$D$800,4,False),iferror(VLOOKUP(P675,'DO NOT TOUCH Imported'!$C$1:$D$800,2,False),"OOPS FIX ME"))</f>
        <v>VitorMarthendal</v>
      </c>
      <c r="B675" s="165" t="s">
        <v>441</v>
      </c>
      <c r="C675" s="170" t="s">
        <v>1865</v>
      </c>
      <c r="D675" s="236" t="s">
        <v>437</v>
      </c>
      <c r="E675" s="239">
        <v>44281.0</v>
      </c>
      <c r="F675" s="170" t="s">
        <v>439</v>
      </c>
      <c r="G675" s="170">
        <v>300.0</v>
      </c>
      <c r="H675" s="171">
        <v>100.0</v>
      </c>
      <c r="I675" s="171">
        <v>100.0</v>
      </c>
      <c r="J675" s="172">
        <f t="shared" si="2"/>
        <v>0.005571622616</v>
      </c>
      <c r="K675" s="173">
        <f t="shared" ref="K675:K702" si="26">J675*$J$1</f>
        <v>6.221645254</v>
      </c>
      <c r="L675" s="174">
        <f t="shared" si="4"/>
        <v>3.465898093</v>
      </c>
      <c r="M675" s="175" t="str">
        <f t="shared" si="5"/>
        <v>VitorMarthendal</v>
      </c>
      <c r="N675" s="176">
        <f>IFERROR(__xludf.DUMMYFUNCTION("""COMPUTED_VALUE"""),13.0)</f>
        <v>13</v>
      </c>
      <c r="O675" s="176"/>
      <c r="P675" s="165" t="s">
        <v>690</v>
      </c>
      <c r="Q675" s="165" t="s">
        <v>441</v>
      </c>
      <c r="R675" s="176"/>
      <c r="S675" s="176"/>
      <c r="T675" s="176"/>
      <c r="U675" s="176"/>
      <c r="V675" s="176"/>
      <c r="W675" s="176"/>
      <c r="X675" s="176"/>
      <c r="Y675" s="176"/>
      <c r="Z675" s="176"/>
      <c r="AA675" s="176"/>
    </row>
    <row r="676">
      <c r="A676" s="165" t="str">
        <f>iferror(VLOOKUP(P676,'DO NOT TOUCH Imported'!$A$1:$D$800,4,False),iferror(VLOOKUP(P676,'DO NOT TOUCH Imported'!$C$1:$D$800,2,False),"OOPS FIX ME"))</f>
        <v>Luukweber</v>
      </c>
      <c r="B676" s="249" t="s">
        <v>18</v>
      </c>
      <c r="C676" s="250" t="s">
        <v>1866</v>
      </c>
      <c r="D676" s="236" t="s">
        <v>1584</v>
      </c>
      <c r="E676" s="251">
        <v>44278.0</v>
      </c>
      <c r="F676" s="219" t="s">
        <v>499</v>
      </c>
      <c r="G676" s="170">
        <v>25.0</v>
      </c>
      <c r="H676" s="171">
        <v>200.0</v>
      </c>
      <c r="I676" s="171">
        <v>100.0</v>
      </c>
      <c r="J676" s="172">
        <f t="shared" si="2"/>
        <v>0.001653949912</v>
      </c>
      <c r="K676" s="173">
        <f t="shared" si="26"/>
        <v>1.846910736</v>
      </c>
      <c r="L676" s="174">
        <f t="shared" si="4"/>
        <v>3.459586859</v>
      </c>
      <c r="M676" s="175" t="str">
        <f t="shared" si="5"/>
        <v>Luukweber</v>
      </c>
      <c r="N676" s="176">
        <f>IFERROR(__xludf.DUMMYFUNCTION("""COMPUTED_VALUE"""),1.0)</f>
        <v>1</v>
      </c>
      <c r="O676" s="176"/>
      <c r="P676" s="249" t="s">
        <v>1867</v>
      </c>
      <c r="Q676" s="249" t="s">
        <v>18</v>
      </c>
      <c r="R676" s="176"/>
      <c r="S676" s="176"/>
      <c r="T676" s="176"/>
      <c r="U676" s="176"/>
      <c r="V676" s="176"/>
      <c r="W676" s="176"/>
      <c r="X676" s="176"/>
      <c r="Y676" s="176"/>
      <c r="Z676" s="176"/>
      <c r="AA676" s="176"/>
    </row>
    <row r="677">
      <c r="A677" s="165" t="str">
        <f>iferror(VLOOKUP(P677,'DO NOT TOUCH Imported'!$A$1:$D$800,4,False),iferror(VLOOKUP(P677,'DO NOT TOUCH Imported'!$C$1:$D$800,2,False),"OOPS FIX ME"))</f>
        <v>Luukweber</v>
      </c>
      <c r="B677" s="249" t="s">
        <v>590</v>
      </c>
      <c r="C677" s="250" t="s">
        <v>1868</v>
      </c>
      <c r="D677" s="236" t="s">
        <v>1584</v>
      </c>
      <c r="E677" s="251">
        <v>44278.0</v>
      </c>
      <c r="F677" s="219" t="s">
        <v>499</v>
      </c>
      <c r="G677" s="170">
        <v>25.0</v>
      </c>
      <c r="H677" s="171">
        <v>150.0</v>
      </c>
      <c r="I677" s="171">
        <v>100.0</v>
      </c>
      <c r="J677" s="172">
        <f t="shared" si="2"/>
        <v>0.001444187573</v>
      </c>
      <c r="K677" s="173">
        <f t="shared" si="26"/>
        <v>1.612676123</v>
      </c>
      <c r="L677" s="174">
        <f t="shared" si="4"/>
        <v>3.459586859</v>
      </c>
      <c r="M677" s="175" t="str">
        <f t="shared" si="5"/>
        <v>Luukweber</v>
      </c>
      <c r="N677" s="176">
        <f>IFERROR(__xludf.DUMMYFUNCTION("""COMPUTED_VALUE"""),2.0)</f>
        <v>2</v>
      </c>
      <c r="O677" s="176"/>
      <c r="P677" s="249" t="s">
        <v>1867</v>
      </c>
      <c r="Q677" s="249" t="s">
        <v>590</v>
      </c>
      <c r="R677" s="176"/>
      <c r="S677" s="176"/>
      <c r="T677" s="176"/>
      <c r="U677" s="176"/>
      <c r="V677" s="176"/>
      <c r="W677" s="176"/>
      <c r="X677" s="176"/>
      <c r="Y677" s="176"/>
      <c r="Z677" s="176"/>
      <c r="AA677" s="176"/>
    </row>
    <row r="678">
      <c r="A678" s="165" t="str">
        <f>iferror(VLOOKUP(P678,'DO NOT TOUCH Imported'!$A$1:$D$800,4,False),iferror(VLOOKUP(P678,'DO NOT TOUCH Imported'!$C$1:$D$800,2,False),"OOPS FIX ME"))</f>
        <v>rafaelcalcada#1402</v>
      </c>
      <c r="B678" s="165" t="s">
        <v>443</v>
      </c>
      <c r="C678" s="170" t="s">
        <v>1590</v>
      </c>
      <c r="D678" s="236" t="s">
        <v>437</v>
      </c>
      <c r="E678" s="239">
        <v>44273.0</v>
      </c>
      <c r="F678" s="170" t="s">
        <v>439</v>
      </c>
      <c r="G678" s="170">
        <v>45.0</v>
      </c>
      <c r="H678" s="171">
        <v>100.0</v>
      </c>
      <c r="I678" s="171">
        <v>100.0</v>
      </c>
      <c r="J678" s="172">
        <f t="shared" si="2"/>
        <v>0.001549857771</v>
      </c>
      <c r="K678" s="173">
        <f t="shared" si="26"/>
        <v>1.730674511</v>
      </c>
      <c r="L678" s="174">
        <f t="shared" si="4"/>
        <v>3.343350634</v>
      </c>
      <c r="M678" s="175" t="str">
        <f t="shared" si="5"/>
        <v>rafaelcalcada#1402</v>
      </c>
      <c r="N678" s="176">
        <f>IFERROR(__xludf.DUMMYFUNCTION("""COMPUTED_VALUE"""),1.0)</f>
        <v>1</v>
      </c>
      <c r="O678" s="176"/>
      <c r="P678" s="165" t="s">
        <v>162</v>
      </c>
      <c r="Q678" s="165" t="s">
        <v>443</v>
      </c>
      <c r="R678" s="176"/>
      <c r="S678" s="176"/>
      <c r="T678" s="176"/>
      <c r="U678" s="176"/>
      <c r="V678" s="176"/>
      <c r="W678" s="176"/>
      <c r="X678" s="176"/>
      <c r="Y678" s="176"/>
      <c r="Z678" s="176"/>
      <c r="AA678" s="176"/>
    </row>
    <row r="679">
      <c r="A679" s="165" t="str">
        <f>iferror(VLOOKUP(P679,'DO NOT TOUCH Imported'!$A$1:$D$800,4,False),iferror(VLOOKUP(P679,'DO NOT TOUCH Imported'!$C$1:$D$800,2,False),"OOPS FIX ME"))</f>
        <v>LeonS#5914</v>
      </c>
      <c r="B679" s="165" t="s">
        <v>443</v>
      </c>
      <c r="C679" s="170" t="s">
        <v>1590</v>
      </c>
      <c r="D679" s="236" t="s">
        <v>437</v>
      </c>
      <c r="E679" s="239">
        <v>44273.0</v>
      </c>
      <c r="F679" s="170" t="s">
        <v>439</v>
      </c>
      <c r="G679" s="170">
        <v>45.0</v>
      </c>
      <c r="H679" s="171">
        <v>100.0</v>
      </c>
      <c r="I679" s="171">
        <v>100.0</v>
      </c>
      <c r="J679" s="172">
        <f t="shared" si="2"/>
        <v>0.001549857771</v>
      </c>
      <c r="K679" s="173">
        <f t="shared" si="26"/>
        <v>1.730674511</v>
      </c>
      <c r="L679" s="174">
        <f t="shared" si="4"/>
        <v>3.343350634</v>
      </c>
      <c r="M679" s="175" t="str">
        <f t="shared" si="5"/>
        <v>LeonS#5914</v>
      </c>
      <c r="N679" s="176">
        <f>IFERROR(__xludf.DUMMYFUNCTION("""COMPUTED_VALUE"""),1.0)</f>
        <v>1</v>
      </c>
      <c r="O679" s="176"/>
      <c r="P679" s="165" t="s">
        <v>192</v>
      </c>
      <c r="Q679" s="165" t="s">
        <v>443</v>
      </c>
      <c r="R679" s="176"/>
      <c r="S679" s="176"/>
      <c r="T679" s="176"/>
      <c r="U679" s="176"/>
      <c r="V679" s="176"/>
      <c r="W679" s="176"/>
      <c r="X679" s="176"/>
      <c r="Y679" s="176"/>
      <c r="Z679" s="176"/>
      <c r="AA679" s="176"/>
    </row>
    <row r="680">
      <c r="A680" s="165" t="str">
        <f>iferror(VLOOKUP(P680,'DO NOT TOUCH Imported'!$A$1:$D$800,4,False),iferror(VLOOKUP(P680,'DO NOT TOUCH Imported'!$C$1:$D$800,2,False),"OOPS FIX ME"))</f>
        <v>rafaelcalcada#1402</v>
      </c>
      <c r="B680" s="165" t="s">
        <v>441</v>
      </c>
      <c r="C680" s="170" t="s">
        <v>1593</v>
      </c>
      <c r="D680" s="236" t="s">
        <v>437</v>
      </c>
      <c r="E680" s="239">
        <v>44274.0</v>
      </c>
      <c r="F680" s="170" t="s">
        <v>439</v>
      </c>
      <c r="G680" s="170">
        <v>25.0</v>
      </c>
      <c r="H680" s="171">
        <v>150.0</v>
      </c>
      <c r="I680" s="171">
        <v>100.0</v>
      </c>
      <c r="J680" s="172">
        <f t="shared" si="2"/>
        <v>0.001444187573</v>
      </c>
      <c r="K680" s="173">
        <f t="shared" si="26"/>
        <v>1.612676123</v>
      </c>
      <c r="L680" s="174">
        <f t="shared" si="4"/>
        <v>3.343350634</v>
      </c>
      <c r="M680" s="175" t="str">
        <f t="shared" si="5"/>
        <v>rafaelcalcada#1402</v>
      </c>
      <c r="N680" s="176">
        <f>IFERROR(__xludf.DUMMYFUNCTION("""COMPUTED_VALUE"""),2.0)</f>
        <v>2</v>
      </c>
      <c r="O680" s="176"/>
      <c r="P680" s="165" t="s">
        <v>162</v>
      </c>
      <c r="Q680" s="165" t="s">
        <v>441</v>
      </c>
      <c r="R680" s="176"/>
      <c r="S680" s="176"/>
      <c r="T680" s="176"/>
      <c r="U680" s="176"/>
      <c r="V680" s="176"/>
      <c r="W680" s="176"/>
      <c r="X680" s="176"/>
      <c r="Y680" s="176"/>
      <c r="Z680" s="176"/>
      <c r="AA680" s="176"/>
    </row>
    <row r="681">
      <c r="A681" s="165" t="str">
        <f>iferror(VLOOKUP(P681,'DO NOT TOUCH Imported'!$A$1:$D$800,4,False),iferror(VLOOKUP(P681,'DO NOT TOUCH Imported'!$C$1:$D$800,2,False),"OOPS FIX ME"))</f>
        <v>LeonS#5914</v>
      </c>
      <c r="B681" s="165" t="s">
        <v>441</v>
      </c>
      <c r="C681" s="170" t="s">
        <v>1593</v>
      </c>
      <c r="D681" s="236" t="s">
        <v>437</v>
      </c>
      <c r="E681" s="239">
        <v>44274.0</v>
      </c>
      <c r="F681" s="170" t="s">
        <v>439</v>
      </c>
      <c r="G681" s="170">
        <v>25.0</v>
      </c>
      <c r="H681" s="171">
        <v>150.0</v>
      </c>
      <c r="I681" s="171">
        <v>100.0</v>
      </c>
      <c r="J681" s="172">
        <f t="shared" si="2"/>
        <v>0.001444187573</v>
      </c>
      <c r="K681" s="173">
        <f t="shared" si="26"/>
        <v>1.612676123</v>
      </c>
      <c r="L681" s="174">
        <f t="shared" si="4"/>
        <v>3.343350634</v>
      </c>
      <c r="M681" s="175" t="str">
        <f t="shared" si="5"/>
        <v>LeonS#5914</v>
      </c>
      <c r="N681" s="176">
        <f>IFERROR(__xludf.DUMMYFUNCTION("""COMPUTED_VALUE"""),2.0)</f>
        <v>2</v>
      </c>
      <c r="O681" s="176"/>
      <c r="P681" s="165" t="s">
        <v>192</v>
      </c>
      <c r="Q681" s="165" t="s">
        <v>441</v>
      </c>
      <c r="R681" s="176"/>
      <c r="S681" s="176"/>
      <c r="T681" s="176"/>
      <c r="U681" s="176"/>
      <c r="V681" s="176"/>
      <c r="W681" s="176"/>
      <c r="X681" s="176"/>
      <c r="Y681" s="176"/>
      <c r="Z681" s="176"/>
      <c r="AA681" s="176"/>
    </row>
    <row r="682">
      <c r="A682" s="165" t="str">
        <f>iferror(VLOOKUP(P682,'DO NOT TOUCH Imported'!$A$1:$D$800,4,False),iferror(VLOOKUP(P682,'DO NOT TOUCH Imported'!$C$1:$D$800,2,False),"OOPS FIX ME"))</f>
        <v>akrtws</v>
      </c>
      <c r="B682" s="249" t="s">
        <v>10</v>
      </c>
      <c r="C682" s="250" t="s">
        <v>1767</v>
      </c>
      <c r="D682" s="236" t="s">
        <v>1584</v>
      </c>
      <c r="E682" s="251">
        <v>44274.0</v>
      </c>
      <c r="F682" s="219" t="s">
        <v>496</v>
      </c>
      <c r="G682" s="170">
        <v>35.0</v>
      </c>
      <c r="H682" s="171">
        <v>100.0</v>
      </c>
      <c r="I682" s="171">
        <v>100.0</v>
      </c>
      <c r="J682" s="172">
        <f t="shared" si="2"/>
        <v>0.001392141502</v>
      </c>
      <c r="K682" s="173">
        <f t="shared" si="26"/>
        <v>1.554558011</v>
      </c>
      <c r="L682" s="174">
        <f t="shared" si="4"/>
        <v>3.256504197</v>
      </c>
      <c r="M682" s="175" t="str">
        <f t="shared" si="5"/>
        <v>akrtws</v>
      </c>
      <c r="N682" s="176">
        <f>IFERROR(__xludf.DUMMYFUNCTION("""COMPUTED_VALUE"""),1.0)</f>
        <v>1</v>
      </c>
      <c r="O682" s="176"/>
      <c r="P682" s="249" t="s">
        <v>9</v>
      </c>
      <c r="Q682" s="249" t="s">
        <v>10</v>
      </c>
      <c r="R682" s="176"/>
      <c r="S682" s="176"/>
      <c r="T682" s="176"/>
      <c r="U682" s="176"/>
      <c r="V682" s="176"/>
      <c r="W682" s="176"/>
      <c r="X682" s="176"/>
      <c r="Y682" s="176"/>
      <c r="Z682" s="176"/>
      <c r="AA682" s="176"/>
    </row>
    <row r="683">
      <c r="A683" s="165" t="str">
        <f>iferror(VLOOKUP(P683,'DO NOT TOUCH Imported'!$A$1:$D$800,4,False),iferror(VLOOKUP(P683,'DO NOT TOUCH Imported'!$C$1:$D$800,2,False),"OOPS FIX ME"))</f>
        <v>akrtws</v>
      </c>
      <c r="B683" s="249" t="s">
        <v>10</v>
      </c>
      <c r="C683" s="250" t="s">
        <v>498</v>
      </c>
      <c r="D683" s="236" t="s">
        <v>1584</v>
      </c>
      <c r="E683" s="251">
        <v>44274.0</v>
      </c>
      <c r="F683" s="219" t="s">
        <v>499</v>
      </c>
      <c r="G683" s="170">
        <v>15.0</v>
      </c>
      <c r="H683" s="171">
        <v>25.0</v>
      </c>
      <c r="I683" s="171">
        <v>100.0</v>
      </c>
      <c r="J683" s="172">
        <f t="shared" si="2"/>
        <v>0.0007620654566</v>
      </c>
      <c r="K683" s="173">
        <f t="shared" si="26"/>
        <v>0.8509730932</v>
      </c>
      <c r="L683" s="174">
        <f t="shared" si="4"/>
        <v>3.256504197</v>
      </c>
      <c r="M683" s="175" t="str">
        <f t="shared" si="5"/>
        <v>akrtws</v>
      </c>
      <c r="N683" s="176">
        <f>IFERROR(__xludf.DUMMYFUNCTION("""COMPUTED_VALUE"""),2.0)</f>
        <v>2</v>
      </c>
      <c r="O683" s="176"/>
      <c r="P683" s="249" t="s">
        <v>9</v>
      </c>
      <c r="Q683" s="249" t="s">
        <v>10</v>
      </c>
      <c r="R683" s="176"/>
      <c r="S683" s="176"/>
      <c r="T683" s="176"/>
      <c r="U683" s="176"/>
      <c r="V683" s="176"/>
      <c r="W683" s="176"/>
      <c r="X683" s="176"/>
      <c r="Y683" s="176"/>
      <c r="Z683" s="176"/>
      <c r="AA683" s="176"/>
    </row>
    <row r="684">
      <c r="A684" s="165" t="str">
        <f>iferror(VLOOKUP(P684,'DO NOT TOUCH Imported'!$A$1:$D$800,4,False),iferror(VLOOKUP(P684,'DO NOT TOUCH Imported'!$C$1:$D$800,2,False),"OOPS FIX ME"))</f>
        <v>akrtws</v>
      </c>
      <c r="B684" s="249" t="s">
        <v>10</v>
      </c>
      <c r="C684" s="250" t="s">
        <v>500</v>
      </c>
      <c r="D684" s="236" t="s">
        <v>1584</v>
      </c>
      <c r="E684" s="251">
        <v>44275.0</v>
      </c>
      <c r="F684" s="219" t="s">
        <v>496</v>
      </c>
      <c r="G684" s="170">
        <v>15.0</v>
      </c>
      <c r="H684" s="171">
        <v>25.0</v>
      </c>
      <c r="I684" s="171">
        <v>100.0</v>
      </c>
      <c r="J684" s="172">
        <f t="shared" si="2"/>
        <v>0.0007620654566</v>
      </c>
      <c r="K684" s="173">
        <f t="shared" si="26"/>
        <v>0.8509730932</v>
      </c>
      <c r="L684" s="174">
        <f t="shared" si="4"/>
        <v>3.256504197</v>
      </c>
      <c r="M684" s="175" t="str">
        <f t="shared" si="5"/>
        <v>akrtws</v>
      </c>
      <c r="N684" s="176">
        <f>IFERROR(__xludf.DUMMYFUNCTION("""COMPUTED_VALUE"""),3.0)</f>
        <v>3</v>
      </c>
      <c r="O684" s="176"/>
      <c r="P684" s="249" t="s">
        <v>9</v>
      </c>
      <c r="Q684" s="249" t="s">
        <v>10</v>
      </c>
      <c r="R684" s="176"/>
      <c r="S684" s="176"/>
      <c r="T684" s="176"/>
      <c r="U684" s="176"/>
      <c r="V684" s="176"/>
      <c r="W684" s="176"/>
      <c r="X684" s="176"/>
      <c r="Y684" s="176"/>
      <c r="Z684" s="176"/>
      <c r="AA684" s="176"/>
    </row>
    <row r="685">
      <c r="A685" s="165" t="str">
        <f>iferror(VLOOKUP(P685,'DO NOT TOUCH Imported'!$A$1:$D$800,4,False),iferror(VLOOKUP(P685,'DO NOT TOUCH Imported'!$C$1:$D$800,2,False),"OOPS FIX ME"))</f>
        <v>felixfalafel</v>
      </c>
      <c r="B685" s="165" t="s">
        <v>566</v>
      </c>
      <c r="C685" s="170" t="s">
        <v>1869</v>
      </c>
      <c r="D685" s="236" t="s">
        <v>499</v>
      </c>
      <c r="E685" s="239">
        <v>44277.0</v>
      </c>
      <c r="F685" s="170" t="s">
        <v>503</v>
      </c>
      <c r="G685" s="170">
        <v>50.0</v>
      </c>
      <c r="H685" s="171">
        <v>150.0</v>
      </c>
      <c r="I685" s="171">
        <v>100.0</v>
      </c>
      <c r="J685" s="172">
        <f t="shared" si="2"/>
        <v>0.001838478244</v>
      </c>
      <c r="K685" s="173">
        <f t="shared" si="26"/>
        <v>2.052967373</v>
      </c>
      <c r="L685" s="174">
        <f t="shared" si="4"/>
        <v>3.255292384</v>
      </c>
      <c r="M685" s="175" t="str">
        <f t="shared" si="5"/>
        <v>felixfalafel</v>
      </c>
      <c r="N685" s="176">
        <f>IFERROR(__xludf.DUMMYFUNCTION("""COMPUTED_VALUE"""),1.0)</f>
        <v>1</v>
      </c>
      <c r="O685" s="176"/>
      <c r="P685" s="165" t="s">
        <v>836</v>
      </c>
      <c r="Q685" s="165" t="s">
        <v>566</v>
      </c>
      <c r="R685" s="176"/>
      <c r="S685" s="176"/>
      <c r="T685" s="176"/>
      <c r="U685" s="176"/>
      <c r="V685" s="176"/>
      <c r="W685" s="176"/>
      <c r="X685" s="176"/>
      <c r="Y685" s="176"/>
      <c r="Z685" s="176"/>
      <c r="AA685" s="176"/>
    </row>
    <row r="686">
      <c r="A686" s="165" t="str">
        <f>iferror(VLOOKUP(P686,'DO NOT TOUCH Imported'!$A$1:$D$800,4,False),iferror(VLOOKUP(P686,'DO NOT TOUCH Imported'!$C$1:$D$800,2,False),"OOPS FIX ME"))</f>
        <v>felixfalafel</v>
      </c>
      <c r="B686" s="165" t="s">
        <v>564</v>
      </c>
      <c r="C686" s="170" t="s">
        <v>1870</v>
      </c>
      <c r="D686" s="236" t="s">
        <v>499</v>
      </c>
      <c r="E686" s="239">
        <v>44270.0</v>
      </c>
      <c r="F686" s="170" t="s">
        <v>1646</v>
      </c>
      <c r="G686" s="170">
        <v>15.0</v>
      </c>
      <c r="H686" s="171">
        <v>100.0</v>
      </c>
      <c r="I686" s="171">
        <v>100.0</v>
      </c>
      <c r="J686" s="172">
        <f t="shared" si="2"/>
        <v>0.001076708966</v>
      </c>
      <c r="K686" s="173">
        <f t="shared" si="26"/>
        <v>1.202325011</v>
      </c>
      <c r="L686" s="174">
        <f t="shared" si="4"/>
        <v>3.255292384</v>
      </c>
      <c r="M686" s="175" t="str">
        <f t="shared" si="5"/>
        <v>felixfalafel</v>
      </c>
      <c r="N686" s="176">
        <f>IFERROR(__xludf.DUMMYFUNCTION("""COMPUTED_VALUE"""),2.0)</f>
        <v>2</v>
      </c>
      <c r="O686" s="176"/>
      <c r="P686" s="165" t="s">
        <v>836</v>
      </c>
      <c r="Q686" s="165" t="s">
        <v>564</v>
      </c>
      <c r="R686" s="176"/>
      <c r="S686" s="176"/>
      <c r="T686" s="176"/>
      <c r="U686" s="176"/>
      <c r="V686" s="176"/>
      <c r="W686" s="176"/>
      <c r="X686" s="176"/>
      <c r="Y686" s="176"/>
      <c r="Z686" s="176"/>
      <c r="AA686" s="176"/>
    </row>
    <row r="687">
      <c r="A687" s="165" t="str">
        <f>iferror(VLOOKUP(P687,'DO NOT TOUCH Imported'!$A$1:$D$800,4,False),iferror(VLOOKUP(P687,'DO NOT TOUCH Imported'!$C$1:$D$800,2,False),"OOPS FIX ME"))</f>
        <v>Typto</v>
      </c>
      <c r="B687" s="253" t="s">
        <v>590</v>
      </c>
      <c r="C687" s="254" t="s">
        <v>1871</v>
      </c>
      <c r="D687" s="241" t="s">
        <v>1584</v>
      </c>
      <c r="E687" s="255">
        <v>44271.0</v>
      </c>
      <c r="F687" s="256" t="s">
        <v>499</v>
      </c>
      <c r="G687" s="170">
        <v>25.0</v>
      </c>
      <c r="H687" s="171">
        <v>100.0</v>
      </c>
      <c r="I687" s="171">
        <v>100.0</v>
      </c>
      <c r="J687" s="172">
        <f t="shared" si="2"/>
        <v>0.001234425234</v>
      </c>
      <c r="K687" s="173">
        <f t="shared" si="26"/>
        <v>1.378441511</v>
      </c>
      <c r="L687" s="174">
        <f t="shared" si="4"/>
        <v>3.244351926</v>
      </c>
      <c r="M687" s="175" t="str">
        <f t="shared" si="5"/>
        <v>Typto</v>
      </c>
      <c r="N687" s="176">
        <f>IFERROR(__xludf.DUMMYFUNCTION("""COMPUTED_VALUE"""),1.0)</f>
        <v>1</v>
      </c>
      <c r="O687" s="176"/>
      <c r="P687" s="249" t="s">
        <v>844</v>
      </c>
      <c r="Q687" s="249" t="s">
        <v>590</v>
      </c>
      <c r="R687" s="176"/>
      <c r="S687" s="176"/>
      <c r="T687" s="176"/>
      <c r="U687" s="176"/>
      <c r="V687" s="176"/>
      <c r="W687" s="176"/>
      <c r="X687" s="176"/>
      <c r="Y687" s="176"/>
      <c r="Z687" s="176"/>
      <c r="AA687" s="176"/>
    </row>
    <row r="688">
      <c r="A688" s="165" t="str">
        <f>iferror(VLOOKUP(P688,'DO NOT TOUCH Imported'!$A$1:$D$800,4,False),iferror(VLOOKUP(P688,'DO NOT TOUCH Imported'!$C$1:$D$800,2,False),"OOPS FIX ME"))</f>
        <v>Typto</v>
      </c>
      <c r="B688" s="165" t="s">
        <v>566</v>
      </c>
      <c r="C688" s="170" t="s">
        <v>1872</v>
      </c>
      <c r="D688" s="236" t="s">
        <v>499</v>
      </c>
      <c r="E688" s="239">
        <v>44281.0</v>
      </c>
      <c r="F688" s="170" t="s">
        <v>503</v>
      </c>
      <c r="G688" s="170">
        <v>15.0</v>
      </c>
      <c r="H688" s="171">
        <v>60.0</v>
      </c>
      <c r="I688" s="171">
        <v>100.0</v>
      </c>
      <c r="J688" s="172">
        <f t="shared" si="2"/>
        <v>0.0009088990941</v>
      </c>
      <c r="K688" s="173">
        <f t="shared" si="26"/>
        <v>1.014937322</v>
      </c>
      <c r="L688" s="174">
        <f t="shared" si="4"/>
        <v>3.244351926</v>
      </c>
      <c r="M688" s="175" t="str">
        <f t="shared" si="5"/>
        <v>Typto</v>
      </c>
      <c r="N688" s="176">
        <f>IFERROR(__xludf.DUMMYFUNCTION("""COMPUTED_VALUE"""),2.0)</f>
        <v>2</v>
      </c>
      <c r="O688" s="176"/>
      <c r="P688" s="165" t="s">
        <v>843</v>
      </c>
      <c r="Q688" s="165" t="s">
        <v>566</v>
      </c>
      <c r="R688" s="176"/>
      <c r="S688" s="176"/>
      <c r="T688" s="176"/>
      <c r="U688" s="176"/>
      <c r="V688" s="176"/>
      <c r="W688" s="176"/>
      <c r="X688" s="176"/>
      <c r="Y688" s="176"/>
      <c r="Z688" s="176"/>
      <c r="AA688" s="176"/>
    </row>
    <row r="689">
      <c r="A689" s="165" t="str">
        <f>iferror(VLOOKUP(P689,'DO NOT TOUCH Imported'!$A$1:$D$800,4,False),iferror(VLOOKUP(P689,'DO NOT TOUCH Imported'!$C$1:$D$800,2,False),"OOPS FIX ME"))</f>
        <v>Typto</v>
      </c>
      <c r="B689" s="249" t="s">
        <v>10</v>
      </c>
      <c r="C689" s="250" t="s">
        <v>498</v>
      </c>
      <c r="D689" s="236" t="s">
        <v>1584</v>
      </c>
      <c r="E689" s="251">
        <v>44274.0</v>
      </c>
      <c r="F689" s="219" t="s">
        <v>499</v>
      </c>
      <c r="G689" s="170">
        <v>15.0</v>
      </c>
      <c r="H689" s="171">
        <v>25.0</v>
      </c>
      <c r="I689" s="171">
        <v>100.0</v>
      </c>
      <c r="J689" s="172">
        <f t="shared" si="2"/>
        <v>0.0007620654566</v>
      </c>
      <c r="K689" s="173">
        <f t="shared" si="26"/>
        <v>0.8509730932</v>
      </c>
      <c r="L689" s="174">
        <f t="shared" si="4"/>
        <v>3.244351926</v>
      </c>
      <c r="M689" s="175" t="str">
        <f t="shared" si="5"/>
        <v>Typto</v>
      </c>
      <c r="N689" s="176">
        <f>IFERROR(__xludf.DUMMYFUNCTION("""COMPUTED_VALUE"""),3.0)</f>
        <v>3</v>
      </c>
      <c r="O689" s="176"/>
      <c r="P689" s="249" t="s">
        <v>844</v>
      </c>
      <c r="Q689" s="249" t="s">
        <v>10</v>
      </c>
      <c r="R689" s="176"/>
      <c r="S689" s="176"/>
      <c r="T689" s="176"/>
      <c r="U689" s="176"/>
      <c r="V689" s="176"/>
      <c r="W689" s="176"/>
      <c r="X689" s="176"/>
      <c r="Y689" s="176"/>
      <c r="Z689" s="176"/>
      <c r="AA689" s="176"/>
    </row>
    <row r="690">
      <c r="A690" s="165" t="str">
        <f>iferror(VLOOKUP(P690,'DO NOT TOUCH Imported'!$A$1:$D$800,4,False),iferror(VLOOKUP(P690,'DO NOT TOUCH Imported'!$C$1:$D$800,2,False),"OOPS FIX ME"))</f>
        <v>Krisjones</v>
      </c>
      <c r="B690" s="165" t="s">
        <v>566</v>
      </c>
      <c r="C690" s="170" t="s">
        <v>1873</v>
      </c>
      <c r="D690" s="236" t="s">
        <v>499</v>
      </c>
      <c r="E690" s="239">
        <v>44271.0</v>
      </c>
      <c r="F690" s="170" t="s">
        <v>1646</v>
      </c>
      <c r="G690" s="170">
        <v>50.0</v>
      </c>
      <c r="H690" s="171">
        <v>100.0</v>
      </c>
      <c r="I690" s="171">
        <v>200.0</v>
      </c>
      <c r="J690" s="172">
        <f t="shared" si="2"/>
        <v>0.002049325789</v>
      </c>
      <c r="K690" s="173">
        <f t="shared" si="26"/>
        <v>2.288413798</v>
      </c>
      <c r="L690" s="174">
        <f t="shared" si="4"/>
        <v>3.095142073</v>
      </c>
      <c r="M690" s="175" t="str">
        <f t="shared" si="5"/>
        <v>Krisjones</v>
      </c>
      <c r="N690" s="176">
        <f>IFERROR(__xludf.DUMMYFUNCTION("""COMPUTED_VALUE"""),1.0)</f>
        <v>1</v>
      </c>
      <c r="O690" s="176"/>
      <c r="P690" s="165" t="s">
        <v>530</v>
      </c>
      <c r="Q690" s="165" t="s">
        <v>566</v>
      </c>
      <c r="R690" s="176"/>
      <c r="S690" s="176"/>
      <c r="T690" s="176"/>
      <c r="U690" s="176"/>
      <c r="V690" s="176"/>
      <c r="W690" s="176"/>
      <c r="X690" s="176"/>
      <c r="Y690" s="176"/>
      <c r="Z690" s="176"/>
      <c r="AA690" s="176"/>
    </row>
    <row r="691">
      <c r="A691" s="165" t="str">
        <f>iferror(VLOOKUP(P691,'DO NOT TOUCH Imported'!$A$1:$D$800,4,False),iferror(VLOOKUP(P691,'DO NOT TOUCH Imported'!$C$1:$D$800,2,False),"OOPS FIX ME"))</f>
        <v>Krisjones</v>
      </c>
      <c r="B691" s="249" t="s">
        <v>845</v>
      </c>
      <c r="C691" s="250" t="s">
        <v>1874</v>
      </c>
      <c r="D691" s="236" t="s">
        <v>1584</v>
      </c>
      <c r="E691" s="251">
        <v>44279.0</v>
      </c>
      <c r="F691" s="219" t="s">
        <v>496</v>
      </c>
      <c r="G691" s="170">
        <v>50.0</v>
      </c>
      <c r="H691" s="171">
        <v>100.0</v>
      </c>
      <c r="I691" s="171">
        <v>100.0</v>
      </c>
      <c r="J691" s="172">
        <f t="shared" si="2"/>
        <v>0.001628715905</v>
      </c>
      <c r="K691" s="173">
        <f t="shared" si="26"/>
        <v>1.818732761</v>
      </c>
      <c r="L691" s="174">
        <f t="shared" si="4"/>
        <v>3.095142073</v>
      </c>
      <c r="M691" s="175" t="str">
        <f t="shared" si="5"/>
        <v>Krisjones</v>
      </c>
      <c r="N691" s="176">
        <f>IFERROR(__xludf.DUMMYFUNCTION("""COMPUTED_VALUE"""),2.0)</f>
        <v>2</v>
      </c>
      <c r="O691" s="176"/>
      <c r="P691" s="249" t="s">
        <v>59</v>
      </c>
      <c r="Q691" s="249" t="s">
        <v>845</v>
      </c>
      <c r="R691" s="176"/>
      <c r="S691" s="176"/>
      <c r="T691" s="176"/>
      <c r="U691" s="176"/>
      <c r="V691" s="176"/>
      <c r="W691" s="176"/>
      <c r="X691" s="176"/>
      <c r="Y691" s="176"/>
      <c r="Z691" s="176"/>
      <c r="AA691" s="176"/>
    </row>
    <row r="692">
      <c r="A692" s="165" t="str">
        <f>iferror(VLOOKUP(P692,'DO NOT TOUCH Imported'!$A$1:$D$800,4,False),iferror(VLOOKUP(P692,'DO NOT TOUCH Imported'!$C$1:$D$800,2,False),"OOPS FIX ME"))</f>
        <v>Krisjones</v>
      </c>
      <c r="B692" s="165" t="s">
        <v>441</v>
      </c>
      <c r="C692" s="170" t="s">
        <v>1656</v>
      </c>
      <c r="D692" s="236" t="s">
        <v>437</v>
      </c>
      <c r="E692" s="239">
        <v>44274.0</v>
      </c>
      <c r="F692" s="170" t="s">
        <v>439</v>
      </c>
      <c r="G692" s="170">
        <v>15.0</v>
      </c>
      <c r="H692" s="171">
        <v>200.0</v>
      </c>
      <c r="I692" s="171">
        <v>100.0</v>
      </c>
      <c r="J692" s="172">
        <f t="shared" si="2"/>
        <v>0.001496233644</v>
      </c>
      <c r="K692" s="173">
        <f t="shared" si="26"/>
        <v>1.670794236</v>
      </c>
      <c r="L692" s="174">
        <f t="shared" si="4"/>
        <v>3.095142073</v>
      </c>
      <c r="M692" s="175" t="str">
        <f t="shared" si="5"/>
        <v>Krisjones</v>
      </c>
      <c r="N692" s="176">
        <f>IFERROR(__xludf.DUMMYFUNCTION("""COMPUTED_VALUE"""),3.0)</f>
        <v>3</v>
      </c>
      <c r="O692" s="176"/>
      <c r="P692" s="165" t="s">
        <v>530</v>
      </c>
      <c r="Q692" s="165" t="s">
        <v>441</v>
      </c>
      <c r="R692" s="176"/>
      <c r="S692" s="176"/>
      <c r="T692" s="176"/>
      <c r="U692" s="176"/>
      <c r="V692" s="176"/>
      <c r="W692" s="176"/>
      <c r="X692" s="176"/>
      <c r="Y692" s="176"/>
      <c r="Z692" s="176"/>
      <c r="AA692" s="176"/>
    </row>
    <row r="693">
      <c r="A693" s="165" t="str">
        <f>iferror(VLOOKUP(P693,'DO NOT TOUCH Imported'!$A$1:$D$800,4,False),iferror(VLOOKUP(P693,'DO NOT TOUCH Imported'!$C$1:$D$800,2,False),"OOPS FIX ME"))</f>
        <v>Krisjones</v>
      </c>
      <c r="B693" s="249" t="s">
        <v>519</v>
      </c>
      <c r="C693" s="250" t="s">
        <v>1696</v>
      </c>
      <c r="D693" s="236" t="s">
        <v>1584</v>
      </c>
      <c r="E693" s="251">
        <v>44272.0</v>
      </c>
      <c r="F693" s="219" t="s">
        <v>496</v>
      </c>
      <c r="G693" s="170">
        <v>25.0</v>
      </c>
      <c r="H693" s="171">
        <v>150.0</v>
      </c>
      <c r="I693" s="171">
        <v>100.0</v>
      </c>
      <c r="J693" s="172">
        <f t="shared" si="2"/>
        <v>0.001444187573</v>
      </c>
      <c r="K693" s="173">
        <f t="shared" si="26"/>
        <v>1.612676123</v>
      </c>
      <c r="L693" s="174">
        <f t="shared" si="4"/>
        <v>3.095142073</v>
      </c>
      <c r="M693" s="175" t="str">
        <f t="shared" si="5"/>
        <v>Krisjones</v>
      </c>
      <c r="N693" s="176">
        <f>IFERROR(__xludf.DUMMYFUNCTION("""COMPUTED_VALUE"""),4.0)</f>
        <v>4</v>
      </c>
      <c r="O693" s="176"/>
      <c r="P693" s="249" t="s">
        <v>59</v>
      </c>
      <c r="Q693" s="249" t="s">
        <v>519</v>
      </c>
      <c r="R693" s="176"/>
      <c r="S693" s="176"/>
      <c r="T693" s="176"/>
      <c r="U693" s="176"/>
      <c r="V693" s="176"/>
      <c r="W693" s="176"/>
      <c r="X693" s="176"/>
      <c r="Y693" s="176"/>
      <c r="Z693" s="176"/>
      <c r="AA693" s="176"/>
    </row>
    <row r="694">
      <c r="A694" s="165" t="str">
        <f>iferror(VLOOKUP(P694,'DO NOT TOUCH Imported'!$A$1:$D$800,4,False),iferror(VLOOKUP(P694,'DO NOT TOUCH Imported'!$C$1:$D$800,2,False),"OOPS FIX ME"))</f>
        <v>Krisjones</v>
      </c>
      <c r="B694" s="165" t="s">
        <v>566</v>
      </c>
      <c r="C694" s="170" t="s">
        <v>1875</v>
      </c>
      <c r="D694" s="236" t="s">
        <v>499</v>
      </c>
      <c r="E694" s="239">
        <v>44277.0</v>
      </c>
      <c r="F694" s="170" t="s">
        <v>503</v>
      </c>
      <c r="G694" s="170">
        <v>25.0</v>
      </c>
      <c r="H694" s="171">
        <v>150.0</v>
      </c>
      <c r="I694" s="171">
        <v>100.0</v>
      </c>
      <c r="J694" s="172">
        <f t="shared" si="2"/>
        <v>0.001444187573</v>
      </c>
      <c r="K694" s="173">
        <f t="shared" si="26"/>
        <v>1.612676123</v>
      </c>
      <c r="L694" s="174">
        <f t="shared" si="4"/>
        <v>3.095142073</v>
      </c>
      <c r="M694" s="175" t="str">
        <f t="shared" si="5"/>
        <v>Krisjones</v>
      </c>
      <c r="N694" s="176">
        <f>IFERROR(__xludf.DUMMYFUNCTION("""COMPUTED_VALUE"""),5.0)</f>
        <v>5</v>
      </c>
      <c r="O694" s="176"/>
      <c r="P694" s="165" t="s">
        <v>530</v>
      </c>
      <c r="Q694" s="165" t="s">
        <v>566</v>
      </c>
      <c r="R694" s="176"/>
      <c r="S694" s="176"/>
      <c r="T694" s="176"/>
      <c r="U694" s="176"/>
      <c r="V694" s="176"/>
      <c r="W694" s="176"/>
      <c r="X694" s="176"/>
      <c r="Y694" s="176"/>
      <c r="Z694" s="176"/>
      <c r="AA694" s="176"/>
    </row>
    <row r="695">
      <c r="A695" s="165" t="str">
        <f>iferror(VLOOKUP(P695,'DO NOT TOUCH Imported'!$A$1:$D$800,4,False),iferror(VLOOKUP(P695,'DO NOT TOUCH Imported'!$C$1:$D$800,2,False),"OOPS FIX ME"))</f>
        <v>Krisjones</v>
      </c>
      <c r="B695" s="165" t="s">
        <v>441</v>
      </c>
      <c r="C695" s="170" t="s">
        <v>1680</v>
      </c>
      <c r="D695" s="236" t="s">
        <v>437</v>
      </c>
      <c r="E695" s="239">
        <v>44274.0</v>
      </c>
      <c r="F695" s="170" t="s">
        <v>439</v>
      </c>
      <c r="G695" s="170">
        <v>15.0</v>
      </c>
      <c r="H695" s="171">
        <v>150.0</v>
      </c>
      <c r="I695" s="171">
        <v>100.0</v>
      </c>
      <c r="J695" s="172">
        <f t="shared" si="2"/>
        <v>0.001286471305</v>
      </c>
      <c r="K695" s="173">
        <f t="shared" si="26"/>
        <v>1.436559624</v>
      </c>
      <c r="L695" s="174">
        <f t="shared" si="4"/>
        <v>3.095142073</v>
      </c>
      <c r="M695" s="175" t="str">
        <f t="shared" si="5"/>
        <v>Krisjones</v>
      </c>
      <c r="N695" s="176">
        <f>IFERROR(__xludf.DUMMYFUNCTION("""COMPUTED_VALUE"""),6.0)</f>
        <v>6</v>
      </c>
      <c r="O695" s="176"/>
      <c r="P695" s="165" t="s">
        <v>530</v>
      </c>
      <c r="Q695" s="165" t="s">
        <v>441</v>
      </c>
      <c r="R695" s="176"/>
      <c r="S695" s="176"/>
      <c r="T695" s="176"/>
      <c r="U695" s="176"/>
      <c r="V695" s="176"/>
      <c r="W695" s="176"/>
      <c r="X695" s="176"/>
      <c r="Y695" s="176"/>
      <c r="Z695" s="176"/>
      <c r="AA695" s="176"/>
    </row>
    <row r="696">
      <c r="A696" s="165" t="str">
        <f>iferror(VLOOKUP(P696,'DO NOT TOUCH Imported'!$A$1:$D$800,4,False),iferror(VLOOKUP(P696,'DO NOT TOUCH Imported'!$C$1:$D$800,2,False),"OOPS FIX ME"))</f>
        <v>Krisjones</v>
      </c>
      <c r="B696" s="165" t="s">
        <v>450</v>
      </c>
      <c r="C696" s="170" t="s">
        <v>1645</v>
      </c>
      <c r="D696" s="236" t="s">
        <v>499</v>
      </c>
      <c r="E696" s="239">
        <v>44273.0</v>
      </c>
      <c r="F696" s="170" t="s">
        <v>1646</v>
      </c>
      <c r="G696" s="170">
        <v>25.0</v>
      </c>
      <c r="H696" s="171">
        <v>100.0</v>
      </c>
      <c r="I696" s="171">
        <v>100.0</v>
      </c>
      <c r="J696" s="172">
        <f t="shared" si="2"/>
        <v>0.001234425234</v>
      </c>
      <c r="K696" s="173">
        <f t="shared" si="26"/>
        <v>1.378441511</v>
      </c>
      <c r="L696" s="174">
        <f t="shared" si="4"/>
        <v>3.095142073</v>
      </c>
      <c r="M696" s="175" t="str">
        <f t="shared" si="5"/>
        <v>Krisjones</v>
      </c>
      <c r="N696" s="176">
        <f>IFERROR(__xludf.DUMMYFUNCTION("""COMPUTED_VALUE"""),7.0)</f>
        <v>7</v>
      </c>
      <c r="O696" s="176"/>
      <c r="P696" s="165" t="s">
        <v>530</v>
      </c>
      <c r="Q696" s="165" t="s">
        <v>450</v>
      </c>
      <c r="R696" s="176"/>
      <c r="S696" s="176"/>
      <c r="T696" s="176"/>
      <c r="U696" s="176"/>
      <c r="V696" s="176"/>
      <c r="W696" s="176"/>
      <c r="X696" s="176"/>
      <c r="Y696" s="176"/>
      <c r="Z696" s="176"/>
      <c r="AA696" s="176"/>
    </row>
    <row r="697">
      <c r="A697" s="165" t="str">
        <f>iferror(VLOOKUP(P697,'DO NOT TOUCH Imported'!$A$1:$D$800,4,False),iferror(VLOOKUP(P697,'DO NOT TOUCH Imported'!$C$1:$D$800,2,False),"OOPS FIX ME"))</f>
        <v>Krisjones</v>
      </c>
      <c r="B697" s="249" t="s">
        <v>879</v>
      </c>
      <c r="C697" s="250" t="s">
        <v>1832</v>
      </c>
      <c r="D697" s="236" t="s">
        <v>1584</v>
      </c>
      <c r="E697" s="251">
        <v>44273.0</v>
      </c>
      <c r="F697" s="219" t="s">
        <v>499</v>
      </c>
      <c r="G697" s="170">
        <v>25.0</v>
      </c>
      <c r="H697" s="171">
        <v>70.0</v>
      </c>
      <c r="I697" s="171">
        <v>100.0</v>
      </c>
      <c r="J697" s="172">
        <f t="shared" si="2"/>
        <v>0.00110856783</v>
      </c>
      <c r="K697" s="173">
        <f t="shared" si="26"/>
        <v>1.237900744</v>
      </c>
      <c r="L697" s="174">
        <f t="shared" si="4"/>
        <v>3.095142073</v>
      </c>
      <c r="M697" s="175" t="str">
        <f t="shared" si="5"/>
        <v>Krisjones</v>
      </c>
      <c r="N697" s="176">
        <f>IFERROR(__xludf.DUMMYFUNCTION("""COMPUTED_VALUE"""),8.0)</f>
        <v>8</v>
      </c>
      <c r="O697" s="176"/>
      <c r="P697" s="249" t="s">
        <v>59</v>
      </c>
      <c r="Q697" s="249" t="s">
        <v>879</v>
      </c>
      <c r="R697" s="176"/>
      <c r="S697" s="176"/>
      <c r="T697" s="176"/>
      <c r="U697" s="176"/>
      <c r="V697" s="176"/>
      <c r="W697" s="176"/>
      <c r="X697" s="176"/>
      <c r="Y697" s="176"/>
      <c r="Z697" s="176"/>
      <c r="AA697" s="176"/>
    </row>
    <row r="698">
      <c r="A698" s="165" t="str">
        <f>iferror(VLOOKUP(P698,'DO NOT TOUCH Imported'!$A$1:$D$800,4,False),iferror(VLOOKUP(P698,'DO NOT TOUCH Imported'!$C$1:$D$800,2,False),"OOPS FIX ME"))</f>
        <v>Krisjones</v>
      </c>
      <c r="B698" s="165" t="s">
        <v>450</v>
      </c>
      <c r="C698" s="170" t="s">
        <v>1605</v>
      </c>
      <c r="D698" s="236" t="s">
        <v>437</v>
      </c>
      <c r="E698" s="239">
        <v>44277.0</v>
      </c>
      <c r="F698" s="170" t="s">
        <v>473</v>
      </c>
      <c r="G698" s="170">
        <v>15.0</v>
      </c>
      <c r="H698" s="171">
        <v>100.0</v>
      </c>
      <c r="I698" s="171">
        <v>100.0</v>
      </c>
      <c r="J698" s="172">
        <f t="shared" si="2"/>
        <v>0.001076708966</v>
      </c>
      <c r="K698" s="173">
        <f t="shared" si="26"/>
        <v>1.202325011</v>
      </c>
      <c r="L698" s="174">
        <f t="shared" si="4"/>
        <v>3.095142073</v>
      </c>
      <c r="M698" s="175" t="str">
        <f t="shared" si="5"/>
        <v>Krisjones</v>
      </c>
      <c r="N698" s="176">
        <f>IFERROR(__xludf.DUMMYFUNCTION("""COMPUTED_VALUE"""),9.0)</f>
        <v>9</v>
      </c>
      <c r="O698" s="176"/>
      <c r="P698" s="165" t="s">
        <v>530</v>
      </c>
      <c r="Q698" s="165" t="s">
        <v>450</v>
      </c>
      <c r="R698" s="176"/>
      <c r="S698" s="176"/>
      <c r="T698" s="176"/>
      <c r="U698" s="176"/>
      <c r="V698" s="176"/>
      <c r="W698" s="176"/>
      <c r="X698" s="176"/>
      <c r="Y698" s="176"/>
      <c r="Z698" s="176"/>
      <c r="AA698" s="176"/>
    </row>
    <row r="699">
      <c r="A699" s="165" t="str">
        <f>iferror(VLOOKUP(P699,'DO NOT TOUCH Imported'!$A$1:$D$800,4,False),iferror(VLOOKUP(P699,'DO NOT TOUCH Imported'!$C$1:$D$800,2,False),"OOPS FIX ME"))</f>
        <v>Krisjones</v>
      </c>
      <c r="B699" s="165" t="s">
        <v>1831</v>
      </c>
      <c r="C699" s="170" t="s">
        <v>1876</v>
      </c>
      <c r="D699" s="236" t="s">
        <v>499</v>
      </c>
      <c r="E699" s="239">
        <v>44272.0</v>
      </c>
      <c r="F699" s="170" t="s">
        <v>1646</v>
      </c>
      <c r="G699" s="170">
        <v>10.0</v>
      </c>
      <c r="H699" s="171">
        <v>100.0</v>
      </c>
      <c r="I699" s="171">
        <v>100.0</v>
      </c>
      <c r="J699" s="172">
        <f t="shared" si="2"/>
        <v>0.0009978508313</v>
      </c>
      <c r="K699" s="173">
        <f t="shared" si="26"/>
        <v>1.114266762</v>
      </c>
      <c r="L699" s="174">
        <f t="shared" si="4"/>
        <v>3.095142073</v>
      </c>
      <c r="M699" s="175" t="str">
        <f t="shared" si="5"/>
        <v>Krisjones</v>
      </c>
      <c r="N699" s="176">
        <f>IFERROR(__xludf.DUMMYFUNCTION("""COMPUTED_VALUE"""),10.0)</f>
        <v>10</v>
      </c>
      <c r="O699" s="176"/>
      <c r="P699" s="165" t="s">
        <v>530</v>
      </c>
      <c r="Q699" s="165" t="s">
        <v>1831</v>
      </c>
      <c r="R699" s="176"/>
      <c r="S699" s="176"/>
      <c r="T699" s="176"/>
      <c r="U699" s="176"/>
      <c r="V699" s="176"/>
      <c r="W699" s="176"/>
      <c r="X699" s="176"/>
      <c r="Y699" s="176"/>
      <c r="Z699" s="176"/>
      <c r="AA699" s="176"/>
    </row>
    <row r="700">
      <c r="A700" s="165" t="str">
        <f>iferror(VLOOKUP(P700,'DO NOT TOUCH Imported'!$A$1:$D$800,4,False),iferror(VLOOKUP(P700,'DO NOT TOUCH Imported'!$C$1:$D$800,2,False),"OOPS FIX ME"))</f>
        <v>Krisjones</v>
      </c>
      <c r="B700" s="165" t="s">
        <v>441</v>
      </c>
      <c r="C700" s="170" t="s">
        <v>1612</v>
      </c>
      <c r="D700" s="236" t="s">
        <v>437</v>
      </c>
      <c r="E700" s="239">
        <v>44281.0</v>
      </c>
      <c r="F700" s="170" t="s">
        <v>439</v>
      </c>
      <c r="G700" s="170">
        <v>15.0</v>
      </c>
      <c r="H700" s="171">
        <v>80.0</v>
      </c>
      <c r="I700" s="171">
        <v>100.0</v>
      </c>
      <c r="J700" s="172">
        <f t="shared" si="2"/>
        <v>0.0009928040298</v>
      </c>
      <c r="K700" s="173">
        <f t="shared" si="26"/>
        <v>1.108631167</v>
      </c>
      <c r="L700" s="174">
        <f t="shared" si="4"/>
        <v>3.095142073</v>
      </c>
      <c r="M700" s="175" t="str">
        <f t="shared" si="5"/>
        <v>Krisjones</v>
      </c>
      <c r="N700" s="176">
        <f>IFERROR(__xludf.DUMMYFUNCTION("""COMPUTED_VALUE"""),11.0)</f>
        <v>11</v>
      </c>
      <c r="O700" s="176"/>
      <c r="P700" s="165" t="s">
        <v>530</v>
      </c>
      <c r="Q700" s="165" t="s">
        <v>441</v>
      </c>
      <c r="R700" s="176"/>
      <c r="S700" s="176"/>
      <c r="T700" s="176"/>
      <c r="U700" s="176"/>
      <c r="V700" s="176"/>
      <c r="W700" s="176"/>
      <c r="X700" s="176"/>
      <c r="Y700" s="176"/>
      <c r="Z700" s="176"/>
      <c r="AA700" s="176"/>
    </row>
    <row r="701">
      <c r="A701" s="165" t="str">
        <f>iferror(VLOOKUP(P701,'DO NOT TOUCH Imported'!$A$1:$D$800,4,False),iferror(VLOOKUP(P701,'DO NOT TOUCH Imported'!$C$1:$D$800,2,False),"OOPS FIX ME"))</f>
        <v>Krisjones</v>
      </c>
      <c r="B701" s="165" t="s">
        <v>441</v>
      </c>
      <c r="C701" s="170" t="s">
        <v>1620</v>
      </c>
      <c r="D701" s="236" t="s">
        <v>437</v>
      </c>
      <c r="E701" s="239">
        <v>44274.0</v>
      </c>
      <c r="F701" s="170" t="s">
        <v>439</v>
      </c>
      <c r="G701" s="170">
        <v>15.0</v>
      </c>
      <c r="H701" s="171">
        <v>60.0</v>
      </c>
      <c r="I701" s="171">
        <v>100.0</v>
      </c>
      <c r="J701" s="172">
        <f t="shared" si="2"/>
        <v>0.0009088990941</v>
      </c>
      <c r="K701" s="173">
        <f t="shared" si="26"/>
        <v>1.014937322</v>
      </c>
      <c r="L701" s="174">
        <f t="shared" si="4"/>
        <v>3.095142073</v>
      </c>
      <c r="M701" s="175" t="str">
        <f t="shared" si="5"/>
        <v>Krisjones</v>
      </c>
      <c r="N701" s="176">
        <f>IFERROR(__xludf.DUMMYFUNCTION("""COMPUTED_VALUE"""),12.0)</f>
        <v>12</v>
      </c>
      <c r="O701" s="176"/>
      <c r="P701" s="165" t="s">
        <v>530</v>
      </c>
      <c r="Q701" s="165" t="s">
        <v>441</v>
      </c>
      <c r="R701" s="176"/>
      <c r="S701" s="176"/>
      <c r="T701" s="176"/>
      <c r="U701" s="176"/>
      <c r="V701" s="176"/>
      <c r="W701" s="176"/>
      <c r="X701" s="176"/>
      <c r="Y701" s="176"/>
      <c r="Z701" s="176"/>
      <c r="AA701" s="176"/>
    </row>
    <row r="702">
      <c r="A702" s="165" t="str">
        <f>iferror(VLOOKUP(P702,'DO NOT TOUCH Imported'!$A$1:$D$800,4,False),iferror(VLOOKUP(P702,'DO NOT TOUCH Imported'!$C$1:$D$800,2,False),"OOPS FIX ME"))</f>
        <v>Krisjones</v>
      </c>
      <c r="B702" s="249" t="s">
        <v>10</v>
      </c>
      <c r="C702" s="250" t="s">
        <v>498</v>
      </c>
      <c r="D702" s="236" t="s">
        <v>1584</v>
      </c>
      <c r="E702" s="251">
        <v>44274.0</v>
      </c>
      <c r="F702" s="219" t="s">
        <v>499</v>
      </c>
      <c r="G702" s="170">
        <v>15.0</v>
      </c>
      <c r="H702" s="171">
        <v>25.0</v>
      </c>
      <c r="I702" s="171">
        <v>100.0</v>
      </c>
      <c r="J702" s="172">
        <f t="shared" si="2"/>
        <v>0.0007620654566</v>
      </c>
      <c r="K702" s="173">
        <f t="shared" si="26"/>
        <v>0.8509730932</v>
      </c>
      <c r="L702" s="174">
        <f t="shared" si="4"/>
        <v>3.095142073</v>
      </c>
      <c r="M702" s="175" t="str">
        <f t="shared" si="5"/>
        <v>Krisjones</v>
      </c>
      <c r="N702" s="176">
        <f>IFERROR(__xludf.DUMMYFUNCTION("""COMPUTED_VALUE"""),13.0)</f>
        <v>13</v>
      </c>
      <c r="O702" s="176"/>
      <c r="P702" s="249" t="s">
        <v>59</v>
      </c>
      <c r="Q702" s="249" t="s">
        <v>10</v>
      </c>
      <c r="R702" s="176"/>
      <c r="S702" s="176"/>
      <c r="T702" s="176"/>
      <c r="U702" s="176"/>
      <c r="V702" s="176"/>
      <c r="W702" s="176"/>
      <c r="X702" s="176"/>
      <c r="Y702" s="176"/>
      <c r="Z702" s="176"/>
      <c r="AA702" s="176"/>
    </row>
    <row r="703">
      <c r="A703" s="185" t="str">
        <f>iferror(VLOOKUP(P703,'DO NOT TOUCH Imported'!$A$1:$D$800,4,False),iferror(VLOOKUP(P703,'DO NOT TOUCH Imported'!$C$1:$D$800,2,False),"OOPS FIX ME"))</f>
        <v>Krisjones</v>
      </c>
      <c r="B703" s="185" t="s">
        <v>534</v>
      </c>
      <c r="C703" s="228" t="s">
        <v>810</v>
      </c>
      <c r="D703" s="187"/>
      <c r="E703" s="188"/>
      <c r="F703" s="189"/>
      <c r="G703" s="190"/>
      <c r="H703" s="190"/>
      <c r="I703" s="190"/>
      <c r="J703" s="191">
        <f t="shared" si="2"/>
        <v>0</v>
      </c>
      <c r="K703" s="192">
        <f>20.636*-0.85</f>
        <v>-17.5406</v>
      </c>
      <c r="L703" s="193">
        <f t="shared" si="4"/>
        <v>3.095142073</v>
      </c>
      <c r="M703" s="194" t="str">
        <f t="shared" si="5"/>
        <v>Krisjones</v>
      </c>
      <c r="N703" s="195">
        <f>IFERROR(__xludf.DUMMYFUNCTION("""COMPUTED_VALUE"""),14.0)</f>
        <v>14</v>
      </c>
      <c r="O703" s="195"/>
      <c r="P703" s="185" t="s">
        <v>59</v>
      </c>
      <c r="Q703" s="185" t="s">
        <v>534</v>
      </c>
      <c r="R703" s="195">
        <v>14.561258630642886</v>
      </c>
      <c r="S703" s="195"/>
      <c r="T703" s="195"/>
      <c r="U703" s="195"/>
      <c r="V703" s="195"/>
      <c r="W703" s="195"/>
      <c r="X703" s="195"/>
      <c r="Y703" s="195"/>
      <c r="Z703" s="195"/>
      <c r="AA703" s="176"/>
    </row>
    <row r="704">
      <c r="A704" s="165" t="str">
        <f>iferror(VLOOKUP(P704,'DO NOT TOUCH Imported'!$A$1:$D$800,4,False),iferror(VLOOKUP(P704,'DO NOT TOUCH Imported'!$C$1:$D$800,2,False),"OOPS FIX ME"))</f>
        <v>Krisjones</v>
      </c>
      <c r="B704" s="165" t="s">
        <v>530</v>
      </c>
      <c r="C704" s="170" t="s">
        <v>1877</v>
      </c>
      <c r="D704" s="236" t="s">
        <v>499</v>
      </c>
      <c r="E704" s="239">
        <v>44271.0</v>
      </c>
      <c r="F704" s="170" t="s">
        <v>1646</v>
      </c>
      <c r="G704" s="170">
        <v>50.0</v>
      </c>
      <c r="H704" s="171">
        <v>100.0</v>
      </c>
      <c r="I704" s="171">
        <v>200.0</v>
      </c>
      <c r="J704" s="172">
        <f t="shared" si="2"/>
        <v>0.002049325789</v>
      </c>
      <c r="K704" s="173">
        <f t="shared" ref="K704:K718" si="27">J704*$J$1</f>
        <v>2.288413798</v>
      </c>
      <c r="L704" s="174">
        <f t="shared" si="4"/>
        <v>3.095142073</v>
      </c>
      <c r="M704" s="175" t="str">
        <f t="shared" si="5"/>
        <v>Krisjones</v>
      </c>
      <c r="N704" s="176">
        <f>IFERROR(__xludf.DUMMYFUNCTION("""COMPUTED_VALUE"""),15.0)</f>
        <v>15</v>
      </c>
      <c r="O704" s="176"/>
      <c r="P704" s="165" t="s">
        <v>530</v>
      </c>
      <c r="Q704" s="165" t="s">
        <v>530</v>
      </c>
      <c r="R704" s="176"/>
      <c r="S704" s="176"/>
      <c r="T704" s="176"/>
      <c r="U704" s="176"/>
      <c r="V704" s="176"/>
      <c r="W704" s="176"/>
      <c r="X704" s="176"/>
      <c r="Y704" s="176"/>
      <c r="Z704" s="176"/>
      <c r="AA704" s="176"/>
    </row>
    <row r="705">
      <c r="A705" s="165" t="str">
        <f>iferror(VLOOKUP(P705,'DO NOT TOUCH Imported'!$A$1:$D$800,4,False),iferror(VLOOKUP(P705,'DO NOT TOUCH Imported'!$C$1:$D$800,2,False),"OOPS FIX ME"))</f>
        <v>petheth</v>
      </c>
      <c r="B705" s="165" t="s">
        <v>566</v>
      </c>
      <c r="C705" s="170" t="s">
        <v>1878</v>
      </c>
      <c r="D705" s="236" t="s">
        <v>499</v>
      </c>
      <c r="E705" s="239">
        <v>44281.0</v>
      </c>
      <c r="F705" s="170" t="s">
        <v>503</v>
      </c>
      <c r="G705" s="170">
        <v>25.0</v>
      </c>
      <c r="H705" s="171">
        <v>200.0</v>
      </c>
      <c r="I705" s="171">
        <v>100.0</v>
      </c>
      <c r="J705" s="172">
        <f t="shared" si="2"/>
        <v>0.001653949912</v>
      </c>
      <c r="K705" s="173">
        <f t="shared" si="27"/>
        <v>1.846910736</v>
      </c>
      <c r="L705" s="174">
        <f t="shared" si="4"/>
        <v>3.049235747</v>
      </c>
      <c r="M705" s="175" t="str">
        <f t="shared" si="5"/>
        <v>petheth</v>
      </c>
      <c r="N705" s="176">
        <f>IFERROR(__xludf.DUMMYFUNCTION("""COMPUTED_VALUE"""),1.0)</f>
        <v>1</v>
      </c>
      <c r="O705" s="176"/>
      <c r="P705" s="165" t="s">
        <v>1213</v>
      </c>
      <c r="Q705" s="165" t="s">
        <v>566</v>
      </c>
      <c r="R705" s="176"/>
      <c r="S705" s="176"/>
      <c r="T705" s="176"/>
      <c r="U705" s="176"/>
      <c r="V705" s="176"/>
      <c r="W705" s="176"/>
      <c r="X705" s="176"/>
      <c r="Y705" s="176"/>
      <c r="Z705" s="176"/>
      <c r="AA705" s="176"/>
    </row>
    <row r="706">
      <c r="A706" s="165" t="str">
        <f>iferror(VLOOKUP(P706,'DO NOT TOUCH Imported'!$A$1:$D$800,4,False),iferror(VLOOKUP(P706,'DO NOT TOUCH Imported'!$C$1:$D$800,2,False),"OOPS FIX ME"))</f>
        <v>petheth</v>
      </c>
      <c r="B706" s="165" t="s">
        <v>566</v>
      </c>
      <c r="C706" s="170" t="s">
        <v>1879</v>
      </c>
      <c r="D706" s="236" t="s">
        <v>499</v>
      </c>
      <c r="E706" s="239">
        <v>44270.0</v>
      </c>
      <c r="F706" s="170" t="s">
        <v>1646</v>
      </c>
      <c r="G706" s="170">
        <v>15.0</v>
      </c>
      <c r="H706" s="171">
        <v>100.0</v>
      </c>
      <c r="I706" s="171">
        <v>100.0</v>
      </c>
      <c r="J706" s="172">
        <f t="shared" si="2"/>
        <v>0.001076708966</v>
      </c>
      <c r="K706" s="173">
        <f t="shared" si="27"/>
        <v>1.202325011</v>
      </c>
      <c r="L706" s="174">
        <f t="shared" si="4"/>
        <v>3.049235747</v>
      </c>
      <c r="M706" s="175" t="str">
        <f t="shared" si="5"/>
        <v>petheth</v>
      </c>
      <c r="N706" s="176">
        <f>IFERROR(__xludf.DUMMYFUNCTION("""COMPUTED_VALUE"""),2.0)</f>
        <v>2</v>
      </c>
      <c r="O706" s="176"/>
      <c r="P706" s="165" t="s">
        <v>1213</v>
      </c>
      <c r="Q706" s="165" t="s">
        <v>566</v>
      </c>
      <c r="R706" s="176"/>
      <c r="S706" s="176"/>
      <c r="T706" s="176"/>
      <c r="U706" s="176"/>
      <c r="V706" s="176"/>
      <c r="W706" s="176"/>
      <c r="X706" s="176"/>
      <c r="Y706" s="176"/>
      <c r="Z706" s="176"/>
      <c r="AA706" s="176"/>
    </row>
    <row r="707">
      <c r="A707" s="165" t="str">
        <f>iferror(VLOOKUP(P707,'DO NOT TOUCH Imported'!$A$1:$D$800,4,False),iferror(VLOOKUP(P707,'DO NOT TOUCH Imported'!$C$1:$D$800,2,False),"OOPS FIX ME"))</f>
        <v>Sponnet2</v>
      </c>
      <c r="B707" s="249" t="s">
        <v>519</v>
      </c>
      <c r="C707" s="250" t="s">
        <v>1696</v>
      </c>
      <c r="D707" s="236" t="s">
        <v>1584</v>
      </c>
      <c r="E707" s="251">
        <v>44272.0</v>
      </c>
      <c r="F707" s="219" t="s">
        <v>496</v>
      </c>
      <c r="G707" s="170">
        <v>25.0</v>
      </c>
      <c r="H707" s="171">
        <v>150.0</v>
      </c>
      <c r="I707" s="171">
        <v>100.0</v>
      </c>
      <c r="J707" s="172">
        <f t="shared" si="2"/>
        <v>0.001444187573</v>
      </c>
      <c r="K707" s="173">
        <f t="shared" si="27"/>
        <v>1.612676123</v>
      </c>
      <c r="L707" s="174">
        <f t="shared" si="4"/>
        <v>2.991117635</v>
      </c>
      <c r="M707" s="175" t="str">
        <f t="shared" si="5"/>
        <v>Sponnet2</v>
      </c>
      <c r="N707" s="176">
        <f>IFERROR(__xludf.DUMMYFUNCTION("""COMPUTED_VALUE"""),1.0)</f>
        <v>1</v>
      </c>
      <c r="O707" s="176"/>
      <c r="P707" s="249" t="s">
        <v>31</v>
      </c>
      <c r="Q707" s="249" t="s">
        <v>519</v>
      </c>
      <c r="R707" s="176"/>
      <c r="S707" s="176"/>
      <c r="T707" s="176"/>
      <c r="U707" s="176"/>
      <c r="V707" s="176"/>
      <c r="W707" s="176"/>
      <c r="X707" s="176"/>
      <c r="Y707" s="176"/>
      <c r="Z707" s="176"/>
      <c r="AA707" s="176"/>
    </row>
    <row r="708">
      <c r="A708" s="165" t="str">
        <f>iferror(VLOOKUP(P708,'DO NOT TOUCH Imported'!$A$1:$D$800,4,False),iferror(VLOOKUP(P708,'DO NOT TOUCH Imported'!$C$1:$D$800,2,False),"OOPS FIX ME"))</f>
        <v>Sponnet2</v>
      </c>
      <c r="B708" s="249" t="s">
        <v>18</v>
      </c>
      <c r="C708" s="250" t="s">
        <v>1720</v>
      </c>
      <c r="D708" s="236" t="s">
        <v>1584</v>
      </c>
      <c r="E708" s="251">
        <v>44278.0</v>
      </c>
      <c r="F708" s="219" t="s">
        <v>496</v>
      </c>
      <c r="G708" s="170">
        <v>25.0</v>
      </c>
      <c r="H708" s="171">
        <v>100.0</v>
      </c>
      <c r="I708" s="171">
        <v>100.0</v>
      </c>
      <c r="J708" s="172">
        <f t="shared" si="2"/>
        <v>0.001234425234</v>
      </c>
      <c r="K708" s="173">
        <f t="shared" si="27"/>
        <v>1.378441511</v>
      </c>
      <c r="L708" s="174">
        <f t="shared" si="4"/>
        <v>2.991117635</v>
      </c>
      <c r="M708" s="175" t="str">
        <f t="shared" si="5"/>
        <v>Sponnet2</v>
      </c>
      <c r="N708" s="176">
        <f>IFERROR(__xludf.DUMMYFUNCTION("""COMPUTED_VALUE"""),2.0)</f>
        <v>2</v>
      </c>
      <c r="O708" s="176"/>
      <c r="P708" s="249" t="s">
        <v>31</v>
      </c>
      <c r="Q708" s="249" t="s">
        <v>18</v>
      </c>
      <c r="R708" s="176"/>
      <c r="S708" s="176"/>
      <c r="T708" s="176"/>
      <c r="U708" s="176"/>
      <c r="V708" s="176"/>
      <c r="W708" s="176"/>
      <c r="X708" s="176"/>
      <c r="Y708" s="176"/>
      <c r="Z708" s="176"/>
      <c r="AA708" s="176"/>
    </row>
    <row r="709">
      <c r="A709" s="165" t="str">
        <f>iferror(VLOOKUP(P709,'DO NOT TOUCH Imported'!$A$1:$D$800,4,False),iferror(VLOOKUP(P709,'DO NOT TOUCH Imported'!$C$1:$D$800,2,False),"OOPS FIX ME"))</f>
        <v>jeffemmett</v>
      </c>
      <c r="B709" s="165" t="s">
        <v>768</v>
      </c>
      <c r="C709" s="170" t="s">
        <v>1880</v>
      </c>
      <c r="D709" s="236" t="s">
        <v>499</v>
      </c>
      <c r="E709" s="239">
        <v>44272.0</v>
      </c>
      <c r="F709" s="170" t="s">
        <v>1646</v>
      </c>
      <c r="G709" s="170">
        <v>50.0</v>
      </c>
      <c r="H709" s="171">
        <v>250.0</v>
      </c>
      <c r="I709" s="171">
        <v>100.0</v>
      </c>
      <c r="J709" s="172">
        <f t="shared" si="2"/>
        <v>0.002258002923</v>
      </c>
      <c r="K709" s="173">
        <f t="shared" si="27"/>
        <v>2.521436597</v>
      </c>
      <c r="L709" s="174">
        <f t="shared" si="4"/>
        <v>2.981550818</v>
      </c>
      <c r="M709" s="175" t="str">
        <f t="shared" si="5"/>
        <v>jeffemmett</v>
      </c>
      <c r="N709" s="176">
        <f>IFERROR(__xludf.DUMMYFUNCTION("""COMPUTED_VALUE"""),1.0)</f>
        <v>1</v>
      </c>
      <c r="O709" s="176"/>
      <c r="P709" s="165" t="s">
        <v>564</v>
      </c>
      <c r="Q709" s="165" t="s">
        <v>768</v>
      </c>
      <c r="R709" s="176"/>
      <c r="S709" s="176"/>
      <c r="T709" s="176"/>
      <c r="U709" s="176"/>
      <c r="V709" s="176"/>
      <c r="W709" s="176"/>
      <c r="X709" s="176"/>
      <c r="Y709" s="176"/>
      <c r="Z709" s="176"/>
      <c r="AA709" s="176"/>
    </row>
    <row r="710">
      <c r="A710" s="165" t="str">
        <f>iferror(VLOOKUP(P710,'DO NOT TOUCH Imported'!$A$1:$D$800,4,False),iferror(VLOOKUP(P710,'DO NOT TOUCH Imported'!$C$1:$D$800,2,False),"OOPS FIX ME"))</f>
        <v>jeffemmett</v>
      </c>
      <c r="B710" s="165" t="s">
        <v>566</v>
      </c>
      <c r="C710" s="170" t="s">
        <v>1881</v>
      </c>
      <c r="D710" s="236" t="s">
        <v>499</v>
      </c>
      <c r="E710" s="239">
        <v>44271.0</v>
      </c>
      <c r="F710" s="170" t="s">
        <v>1646</v>
      </c>
      <c r="G710" s="170">
        <v>50.0</v>
      </c>
      <c r="H710" s="171">
        <v>200.0</v>
      </c>
      <c r="I710" s="171">
        <v>100.0</v>
      </c>
      <c r="J710" s="172">
        <f t="shared" si="2"/>
        <v>0.002048240584</v>
      </c>
      <c r="K710" s="173">
        <f t="shared" si="27"/>
        <v>2.287201985</v>
      </c>
      <c r="L710" s="174">
        <f t="shared" si="4"/>
        <v>2.981550818</v>
      </c>
      <c r="M710" s="175" t="str">
        <f t="shared" si="5"/>
        <v>jeffemmett</v>
      </c>
      <c r="N710" s="176">
        <f>IFERROR(__xludf.DUMMYFUNCTION("""COMPUTED_VALUE"""),2.0)</f>
        <v>2</v>
      </c>
      <c r="O710" s="176"/>
      <c r="P710" s="165" t="s">
        <v>564</v>
      </c>
      <c r="Q710" s="165" t="s">
        <v>566</v>
      </c>
      <c r="R710" s="176"/>
      <c r="S710" s="176"/>
      <c r="T710" s="176"/>
      <c r="U710" s="176"/>
      <c r="V710" s="176"/>
      <c r="W710" s="176"/>
      <c r="X710" s="176"/>
      <c r="Y710" s="176"/>
      <c r="Z710" s="176"/>
      <c r="AA710" s="176"/>
    </row>
    <row r="711">
      <c r="A711" s="165" t="str">
        <f>iferror(VLOOKUP(P711,'DO NOT TOUCH Imported'!$A$1:$D$800,4,False),iferror(VLOOKUP(P711,'DO NOT TOUCH Imported'!$C$1:$D$800,2,False),"OOPS FIX ME"))</f>
        <v>jeffemmett</v>
      </c>
      <c r="B711" s="249" t="s">
        <v>590</v>
      </c>
      <c r="C711" s="250" t="s">
        <v>1784</v>
      </c>
      <c r="D711" s="236" t="s">
        <v>1584</v>
      </c>
      <c r="E711" s="251">
        <v>44270.0</v>
      </c>
      <c r="F711" s="219" t="s">
        <v>499</v>
      </c>
      <c r="G711" s="170">
        <v>25.0</v>
      </c>
      <c r="H711" s="171">
        <v>200.0</v>
      </c>
      <c r="I711" s="171">
        <v>100.0</v>
      </c>
      <c r="J711" s="172">
        <f t="shared" si="2"/>
        <v>0.001653949912</v>
      </c>
      <c r="K711" s="173">
        <f t="shared" si="27"/>
        <v>1.846910736</v>
      </c>
      <c r="L711" s="174">
        <f t="shared" si="4"/>
        <v>2.981550818</v>
      </c>
      <c r="M711" s="175" t="str">
        <f t="shared" si="5"/>
        <v>jeffemmett</v>
      </c>
      <c r="N711" s="176">
        <f>IFERROR(__xludf.DUMMYFUNCTION("""COMPUTED_VALUE"""),3.0)</f>
        <v>3</v>
      </c>
      <c r="O711" s="176"/>
      <c r="P711" s="249" t="s">
        <v>29</v>
      </c>
      <c r="Q711" s="249" t="s">
        <v>590</v>
      </c>
      <c r="R711" s="176"/>
      <c r="S711" s="176"/>
      <c r="T711" s="176"/>
      <c r="U711" s="176"/>
      <c r="V711" s="176"/>
      <c r="W711" s="176"/>
      <c r="X711" s="176"/>
      <c r="Y711" s="176"/>
      <c r="Z711" s="176"/>
      <c r="AA711" s="176"/>
    </row>
    <row r="712">
      <c r="A712" s="165" t="str">
        <f>iferror(VLOOKUP(P712,'DO NOT TOUCH Imported'!$A$1:$D$800,4,False),iferror(VLOOKUP(P712,'DO NOT TOUCH Imported'!$C$1:$D$800,2,False),"OOPS FIX ME"))</f>
        <v>jeffemmett</v>
      </c>
      <c r="B712" s="249" t="s">
        <v>590</v>
      </c>
      <c r="C712" s="250" t="s">
        <v>1785</v>
      </c>
      <c r="D712" s="236" t="s">
        <v>1584</v>
      </c>
      <c r="E712" s="251">
        <v>44270.0</v>
      </c>
      <c r="F712" s="219" t="s">
        <v>499</v>
      </c>
      <c r="G712" s="170">
        <v>25.0</v>
      </c>
      <c r="H712" s="171">
        <v>200.0</v>
      </c>
      <c r="I712" s="171">
        <v>100.0</v>
      </c>
      <c r="J712" s="172">
        <f t="shared" si="2"/>
        <v>0.001653949912</v>
      </c>
      <c r="K712" s="173">
        <f t="shared" si="27"/>
        <v>1.846910736</v>
      </c>
      <c r="L712" s="174">
        <f t="shared" si="4"/>
        <v>2.981550818</v>
      </c>
      <c r="M712" s="175" t="str">
        <f t="shared" si="5"/>
        <v>jeffemmett</v>
      </c>
      <c r="N712" s="176">
        <f>IFERROR(__xludf.DUMMYFUNCTION("""COMPUTED_VALUE"""),4.0)</f>
        <v>4</v>
      </c>
      <c r="O712" s="176"/>
      <c r="P712" s="249" t="s">
        <v>29</v>
      </c>
      <c r="Q712" s="249" t="s">
        <v>590</v>
      </c>
      <c r="R712" s="176"/>
      <c r="S712" s="176"/>
      <c r="T712" s="176"/>
      <c r="U712" s="176"/>
      <c r="V712" s="176"/>
      <c r="W712" s="176"/>
      <c r="X712" s="176"/>
      <c r="Y712" s="176"/>
      <c r="Z712" s="176"/>
      <c r="AA712" s="176"/>
    </row>
    <row r="713">
      <c r="A713" s="165" t="str">
        <f>iferror(VLOOKUP(P713,'DO NOT TOUCH Imported'!$A$1:$D$800,4,False),iferror(VLOOKUP(P713,'DO NOT TOUCH Imported'!$C$1:$D$800,2,False),"OOPS FIX ME"))</f>
        <v>jeffemmett</v>
      </c>
      <c r="B713" s="165" t="s">
        <v>813</v>
      </c>
      <c r="C713" s="170" t="s">
        <v>1718</v>
      </c>
      <c r="D713" s="236" t="s">
        <v>437</v>
      </c>
      <c r="E713" s="239">
        <v>44273.0</v>
      </c>
      <c r="F713" s="170" t="s">
        <v>439</v>
      </c>
      <c r="G713" s="170">
        <v>15.0</v>
      </c>
      <c r="H713" s="171">
        <v>200.0</v>
      </c>
      <c r="I713" s="171">
        <v>100.0</v>
      </c>
      <c r="J713" s="172">
        <f t="shared" si="2"/>
        <v>0.001496233644</v>
      </c>
      <c r="K713" s="173">
        <f t="shared" si="27"/>
        <v>1.670794236</v>
      </c>
      <c r="L713" s="174">
        <f t="shared" si="4"/>
        <v>2.981550818</v>
      </c>
      <c r="M713" s="175" t="str">
        <f t="shared" si="5"/>
        <v>jeffemmett</v>
      </c>
      <c r="N713" s="176">
        <f>IFERROR(__xludf.DUMMYFUNCTION("""COMPUTED_VALUE"""),5.0)</f>
        <v>5</v>
      </c>
      <c r="O713" s="176"/>
      <c r="P713" s="165" t="s">
        <v>564</v>
      </c>
      <c r="Q713" s="165" t="s">
        <v>813</v>
      </c>
      <c r="R713" s="176"/>
      <c r="S713" s="176"/>
      <c r="T713" s="176"/>
      <c r="U713" s="176"/>
      <c r="V713" s="176"/>
      <c r="W713" s="176"/>
      <c r="X713" s="176"/>
      <c r="Y713" s="176"/>
      <c r="Z713" s="176"/>
      <c r="AA713" s="176"/>
    </row>
    <row r="714">
      <c r="A714" s="165" t="str">
        <f>iferror(VLOOKUP(P714,'DO NOT TOUCH Imported'!$A$1:$D$800,4,False),iferror(VLOOKUP(P714,'DO NOT TOUCH Imported'!$C$1:$D$800,2,False),"OOPS FIX ME"))</f>
        <v>jeffemmett</v>
      </c>
      <c r="B714" s="165" t="s">
        <v>441</v>
      </c>
      <c r="C714" s="170" t="s">
        <v>1656</v>
      </c>
      <c r="D714" s="236" t="s">
        <v>437</v>
      </c>
      <c r="E714" s="239">
        <v>44274.0</v>
      </c>
      <c r="F714" s="170" t="s">
        <v>439</v>
      </c>
      <c r="G714" s="170">
        <v>15.0</v>
      </c>
      <c r="H714" s="171">
        <v>200.0</v>
      </c>
      <c r="I714" s="171">
        <v>100.0</v>
      </c>
      <c r="J714" s="172">
        <f t="shared" si="2"/>
        <v>0.001496233644</v>
      </c>
      <c r="K714" s="173">
        <f t="shared" si="27"/>
        <v>1.670794236</v>
      </c>
      <c r="L714" s="174">
        <f t="shared" si="4"/>
        <v>2.981550818</v>
      </c>
      <c r="M714" s="175" t="str">
        <f t="shared" si="5"/>
        <v>jeffemmett</v>
      </c>
      <c r="N714" s="176">
        <f>IFERROR(__xludf.DUMMYFUNCTION("""COMPUTED_VALUE"""),6.0)</f>
        <v>6</v>
      </c>
      <c r="O714" s="176"/>
      <c r="P714" s="165" t="s">
        <v>564</v>
      </c>
      <c r="Q714" s="165" t="s">
        <v>441</v>
      </c>
      <c r="R714" s="176"/>
      <c r="S714" s="176"/>
      <c r="T714" s="176"/>
      <c r="U714" s="176"/>
      <c r="V714" s="176"/>
      <c r="W714" s="176"/>
      <c r="X714" s="176"/>
      <c r="Y714" s="176"/>
      <c r="Z714" s="176"/>
      <c r="AA714" s="176"/>
    </row>
    <row r="715">
      <c r="A715" s="165" t="str">
        <f>iferror(VLOOKUP(P715,'DO NOT TOUCH Imported'!$A$1:$D$800,4,False),iferror(VLOOKUP(P715,'DO NOT TOUCH Imported'!$C$1:$D$800,2,False),"OOPS FIX ME"))</f>
        <v>jeffemmett</v>
      </c>
      <c r="B715" s="165" t="s">
        <v>450</v>
      </c>
      <c r="C715" s="170" t="s">
        <v>1645</v>
      </c>
      <c r="D715" s="236" t="s">
        <v>499</v>
      </c>
      <c r="E715" s="239">
        <v>44273.0</v>
      </c>
      <c r="F715" s="170" t="s">
        <v>1646</v>
      </c>
      <c r="G715" s="170">
        <v>25.0</v>
      </c>
      <c r="H715" s="171">
        <v>100.0</v>
      </c>
      <c r="I715" s="171">
        <v>100.0</v>
      </c>
      <c r="J715" s="172">
        <f t="shared" si="2"/>
        <v>0.001234425234</v>
      </c>
      <c r="K715" s="173">
        <f t="shared" si="27"/>
        <v>1.378441511</v>
      </c>
      <c r="L715" s="174">
        <f t="shared" si="4"/>
        <v>2.981550818</v>
      </c>
      <c r="M715" s="175" t="str">
        <f t="shared" si="5"/>
        <v>jeffemmett</v>
      </c>
      <c r="N715" s="176">
        <f>IFERROR(__xludf.DUMMYFUNCTION("""COMPUTED_VALUE"""),7.0)</f>
        <v>7</v>
      </c>
      <c r="O715" s="176"/>
      <c r="P715" s="165" t="s">
        <v>564</v>
      </c>
      <c r="Q715" s="165" t="s">
        <v>450</v>
      </c>
      <c r="R715" s="176"/>
      <c r="S715" s="176"/>
      <c r="T715" s="176"/>
      <c r="U715" s="176"/>
      <c r="V715" s="176"/>
      <c r="W715" s="176"/>
      <c r="X715" s="176"/>
      <c r="Y715" s="176"/>
      <c r="Z715" s="176"/>
      <c r="AA715" s="176"/>
    </row>
    <row r="716">
      <c r="A716" s="165" t="str">
        <f>iferror(VLOOKUP(P716,'DO NOT TOUCH Imported'!$A$1:$D$800,4,False),iferror(VLOOKUP(P716,'DO NOT TOUCH Imported'!$C$1:$D$800,2,False),"OOPS FIX ME"))</f>
        <v>jeffemmett</v>
      </c>
      <c r="B716" s="165" t="s">
        <v>441</v>
      </c>
      <c r="C716" s="170" t="s">
        <v>1724</v>
      </c>
      <c r="D716" s="236" t="s">
        <v>437</v>
      </c>
      <c r="E716" s="239">
        <v>44274.0</v>
      </c>
      <c r="F716" s="170" t="s">
        <v>439</v>
      </c>
      <c r="G716" s="170">
        <v>15.0</v>
      </c>
      <c r="H716" s="171">
        <v>100.0</v>
      </c>
      <c r="I716" s="171">
        <v>100.0</v>
      </c>
      <c r="J716" s="172">
        <f t="shared" si="2"/>
        <v>0.001076708966</v>
      </c>
      <c r="K716" s="173">
        <f t="shared" si="27"/>
        <v>1.202325011</v>
      </c>
      <c r="L716" s="174">
        <f t="shared" si="4"/>
        <v>2.981550818</v>
      </c>
      <c r="M716" s="175" t="str">
        <f t="shared" si="5"/>
        <v>jeffemmett</v>
      </c>
      <c r="N716" s="176">
        <f>IFERROR(__xludf.DUMMYFUNCTION("""COMPUTED_VALUE"""),8.0)</f>
        <v>8</v>
      </c>
      <c r="O716" s="176"/>
      <c r="P716" s="165" t="s">
        <v>564</v>
      </c>
      <c r="Q716" s="165" t="s">
        <v>441</v>
      </c>
      <c r="R716" s="176"/>
      <c r="S716" s="176"/>
      <c r="T716" s="176"/>
      <c r="U716" s="176"/>
      <c r="V716" s="176"/>
      <c r="W716" s="176"/>
      <c r="X716" s="176"/>
      <c r="Y716" s="176"/>
      <c r="Z716" s="176"/>
      <c r="AA716" s="176"/>
    </row>
    <row r="717">
      <c r="A717" s="165" t="str">
        <f>iferror(VLOOKUP(P717,'DO NOT TOUCH Imported'!$A$1:$D$800,4,False),iferror(VLOOKUP(P717,'DO NOT TOUCH Imported'!$C$1:$D$800,2,False),"OOPS FIX ME"))</f>
        <v>jeffemmett</v>
      </c>
      <c r="B717" s="165" t="s">
        <v>10</v>
      </c>
      <c r="C717" s="170" t="s">
        <v>1639</v>
      </c>
      <c r="D717" s="236" t="s">
        <v>1584</v>
      </c>
      <c r="E717" s="239">
        <v>44281.0</v>
      </c>
      <c r="F717" s="170" t="s">
        <v>496</v>
      </c>
      <c r="G717" s="170">
        <v>15.0</v>
      </c>
      <c r="H717" s="171">
        <v>200.0</v>
      </c>
      <c r="I717" s="171">
        <v>100.0</v>
      </c>
      <c r="J717" s="172">
        <f t="shared" si="2"/>
        <v>0.001496233644</v>
      </c>
      <c r="K717" s="173">
        <f t="shared" si="27"/>
        <v>1.670794236</v>
      </c>
      <c r="L717" s="174">
        <f t="shared" si="4"/>
        <v>2.981550818</v>
      </c>
      <c r="M717" s="175" t="str">
        <f t="shared" si="5"/>
        <v>jeffemmett</v>
      </c>
      <c r="N717" s="176">
        <f>IFERROR(__xludf.DUMMYFUNCTION("""COMPUTED_VALUE"""),9.0)</f>
        <v>9</v>
      </c>
      <c r="O717" s="176"/>
      <c r="P717" s="165" t="s">
        <v>29</v>
      </c>
      <c r="Q717" s="165" t="s">
        <v>10</v>
      </c>
      <c r="R717" s="176"/>
      <c r="S717" s="176"/>
      <c r="T717" s="176"/>
      <c r="U717" s="176"/>
      <c r="V717" s="176"/>
      <c r="W717" s="176"/>
      <c r="X717" s="176"/>
      <c r="Y717" s="176"/>
      <c r="Z717" s="176"/>
      <c r="AA717" s="176"/>
    </row>
    <row r="718">
      <c r="A718" s="165" t="str">
        <f>iferror(VLOOKUP(P718,'DO NOT TOUCH Imported'!$A$1:$D$800,4,False),iferror(VLOOKUP(P718,'DO NOT TOUCH Imported'!$C$1:$D$800,2,False),"OOPS FIX ME"))</f>
        <v>jeffemmett</v>
      </c>
      <c r="B718" s="165" t="s">
        <v>443</v>
      </c>
      <c r="C718" s="170" t="s">
        <v>1616</v>
      </c>
      <c r="D718" s="236" t="s">
        <v>437</v>
      </c>
      <c r="E718" s="239">
        <v>44280.0</v>
      </c>
      <c r="F718" s="170" t="s">
        <v>439</v>
      </c>
      <c r="G718" s="170">
        <v>5.0</v>
      </c>
      <c r="H718" s="171">
        <v>100.0</v>
      </c>
      <c r="I718" s="171">
        <v>100.0</v>
      </c>
      <c r="J718" s="172">
        <f t="shared" si="2"/>
        <v>0.0009189926971</v>
      </c>
      <c r="K718" s="173">
        <f t="shared" si="27"/>
        <v>1.026208512</v>
      </c>
      <c r="L718" s="174">
        <f t="shared" si="4"/>
        <v>2.981550818</v>
      </c>
      <c r="M718" s="175" t="str">
        <f t="shared" si="5"/>
        <v>jeffemmett</v>
      </c>
      <c r="N718" s="176">
        <f>IFERROR(__xludf.DUMMYFUNCTION("""COMPUTED_VALUE"""),10.0)</f>
        <v>10</v>
      </c>
      <c r="O718" s="176"/>
      <c r="P718" s="165" t="s">
        <v>564</v>
      </c>
      <c r="Q718" s="165" t="s">
        <v>443</v>
      </c>
      <c r="R718" s="176"/>
      <c r="S718" s="176"/>
      <c r="T718" s="176"/>
      <c r="U718" s="176"/>
      <c r="V718" s="176"/>
      <c r="W718" s="176"/>
      <c r="X718" s="176"/>
      <c r="Y718" s="176"/>
      <c r="Z718" s="176"/>
      <c r="AA718" s="176"/>
    </row>
    <row r="719">
      <c r="A719" s="185" t="str">
        <f>iferror(VLOOKUP(P719,'DO NOT TOUCH Imported'!$A$1:$D$800,4,False),iferror(VLOOKUP(P719,'DO NOT TOUCH Imported'!$C$1:$D$800,2,False),"OOPS FIX ME"))</f>
        <v>jeffemmett</v>
      </c>
      <c r="B719" s="196" t="s">
        <v>534</v>
      </c>
      <c r="C719" s="213" t="s">
        <v>684</v>
      </c>
      <c r="D719" s="212"/>
      <c r="E719" s="214"/>
      <c r="F719" s="212"/>
      <c r="G719" s="196"/>
      <c r="H719" s="196"/>
      <c r="I719" s="196"/>
      <c r="J719" s="191">
        <f t="shared" si="2"/>
        <v>0</v>
      </c>
      <c r="K719" s="192">
        <f>19.879*-0.85</f>
        <v>-16.89715</v>
      </c>
      <c r="L719" s="193">
        <f t="shared" si="4"/>
        <v>2.981550818</v>
      </c>
      <c r="M719" s="194" t="str">
        <f t="shared" si="5"/>
        <v>jeffemmett</v>
      </c>
      <c r="N719" s="212">
        <f>IFERROR(__xludf.DUMMYFUNCTION("""COMPUTED_VALUE"""),11.0)</f>
        <v>11</v>
      </c>
      <c r="O719" s="212"/>
      <c r="P719" s="212" t="s">
        <v>29</v>
      </c>
      <c r="Q719" s="196" t="s">
        <v>534</v>
      </c>
      <c r="R719" s="212">
        <v>18.15686701513158</v>
      </c>
      <c r="S719" s="212"/>
      <c r="T719" s="212"/>
      <c r="U719" s="212"/>
      <c r="V719" s="212"/>
      <c r="W719" s="212"/>
      <c r="X719" s="212"/>
      <c r="Y719" s="212"/>
      <c r="Z719" s="212"/>
      <c r="AA719" s="176"/>
    </row>
    <row r="720">
      <c r="A720" s="165" t="str">
        <f>iferror(VLOOKUP(P720,'DO NOT TOUCH Imported'!$A$1:$D$800,4,False),iferror(VLOOKUP(P720,'DO NOT TOUCH Imported'!$C$1:$D$800,2,False),"OOPS FIX ME"))</f>
        <v>jeffemmett</v>
      </c>
      <c r="B720" s="165" t="s">
        <v>530</v>
      </c>
      <c r="C720" s="170" t="s">
        <v>1882</v>
      </c>
      <c r="D720" s="236" t="s">
        <v>499</v>
      </c>
      <c r="E720" s="239">
        <v>44271.0</v>
      </c>
      <c r="F720" s="170" t="s">
        <v>1646</v>
      </c>
      <c r="G720" s="170">
        <v>50.0</v>
      </c>
      <c r="H720" s="171">
        <v>200.0</v>
      </c>
      <c r="I720" s="171">
        <v>200.0</v>
      </c>
      <c r="J720" s="172">
        <f t="shared" si="2"/>
        <v>0.002468850468</v>
      </c>
      <c r="K720" s="173">
        <f t="shared" ref="K720:K727" si="28">J720*$J$1</f>
        <v>2.756883022</v>
      </c>
      <c r="L720" s="174">
        <f t="shared" si="4"/>
        <v>2.981550818</v>
      </c>
      <c r="M720" s="175" t="str">
        <f t="shared" si="5"/>
        <v>jeffemmett</v>
      </c>
      <c r="N720" s="176">
        <f>IFERROR(__xludf.DUMMYFUNCTION("""COMPUTED_VALUE"""),12.0)</f>
        <v>12</v>
      </c>
      <c r="O720" s="176"/>
      <c r="P720" s="165" t="s">
        <v>564</v>
      </c>
      <c r="Q720" s="165" t="s">
        <v>530</v>
      </c>
      <c r="R720" s="176"/>
      <c r="S720" s="176"/>
      <c r="T720" s="176"/>
      <c r="U720" s="176"/>
      <c r="V720" s="176"/>
      <c r="W720" s="176"/>
      <c r="X720" s="176"/>
      <c r="Y720" s="176"/>
      <c r="Z720" s="176"/>
      <c r="AA720" s="176"/>
    </row>
    <row r="721">
      <c r="A721" s="165" t="str">
        <f>iferror(VLOOKUP(P721,'DO NOT TOUCH Imported'!$A$1:$D$800,4,False),iferror(VLOOKUP(P721,'DO NOT TOUCH Imported'!$C$1:$D$800,2,False),"OOPS FIX ME"))</f>
        <v>blackboxdotart</v>
      </c>
      <c r="B721" s="165" t="s">
        <v>566</v>
      </c>
      <c r="C721" s="170" t="s">
        <v>1883</v>
      </c>
      <c r="D721" s="236" t="s">
        <v>499</v>
      </c>
      <c r="E721" s="239">
        <v>44277.0</v>
      </c>
      <c r="F721" s="170" t="s">
        <v>503</v>
      </c>
      <c r="G721" s="170">
        <v>15.0</v>
      </c>
      <c r="H721" s="171">
        <v>150.0</v>
      </c>
      <c r="I721" s="171">
        <v>100.0</v>
      </c>
      <c r="J721" s="172">
        <f t="shared" si="2"/>
        <v>0.001286471305</v>
      </c>
      <c r="K721" s="173">
        <f t="shared" si="28"/>
        <v>1.436559624</v>
      </c>
      <c r="L721" s="174">
        <f t="shared" si="4"/>
        <v>2.873119247</v>
      </c>
      <c r="M721" s="175" t="str">
        <f t="shared" si="5"/>
        <v>blackboxdotart</v>
      </c>
      <c r="N721" s="176">
        <f>IFERROR(__xludf.DUMMYFUNCTION("""COMPUTED_VALUE"""),1.0)</f>
        <v>1</v>
      </c>
      <c r="O721" s="176"/>
      <c r="P721" s="165" t="s">
        <v>1884</v>
      </c>
      <c r="Q721" s="165" t="s">
        <v>566</v>
      </c>
      <c r="R721" s="176"/>
      <c r="S721" s="176"/>
      <c r="T721" s="176"/>
      <c r="U721" s="176"/>
      <c r="V721" s="176"/>
      <c r="W721" s="176"/>
      <c r="X721" s="176"/>
      <c r="Y721" s="176"/>
      <c r="Z721" s="176"/>
      <c r="AA721" s="176"/>
    </row>
    <row r="722">
      <c r="A722" s="165" t="str">
        <f>iferror(VLOOKUP(P722,'DO NOT TOUCH Imported'!$A$1:$D$800,4,False),iferror(VLOOKUP(P722,'DO NOT TOUCH Imported'!$C$1:$D$800,2,False),"OOPS FIX ME"))</f>
        <v>blackboxdotart</v>
      </c>
      <c r="B722" s="165" t="s">
        <v>566</v>
      </c>
      <c r="C722" s="170" t="s">
        <v>1885</v>
      </c>
      <c r="D722" s="236" t="s">
        <v>499</v>
      </c>
      <c r="E722" s="239">
        <v>44281.0</v>
      </c>
      <c r="F722" s="170" t="s">
        <v>503</v>
      </c>
      <c r="G722" s="170">
        <v>15.0</v>
      </c>
      <c r="H722" s="171">
        <v>150.0</v>
      </c>
      <c r="I722" s="171">
        <v>100.0</v>
      </c>
      <c r="J722" s="172">
        <f t="shared" si="2"/>
        <v>0.001286471305</v>
      </c>
      <c r="K722" s="173">
        <f t="shared" si="28"/>
        <v>1.436559624</v>
      </c>
      <c r="L722" s="174">
        <f t="shared" si="4"/>
        <v>2.873119247</v>
      </c>
      <c r="M722" s="175" t="str">
        <f t="shared" si="5"/>
        <v>blackboxdotart</v>
      </c>
      <c r="N722" s="176">
        <f>IFERROR(__xludf.DUMMYFUNCTION("""COMPUTED_VALUE"""),2.0)</f>
        <v>2</v>
      </c>
      <c r="O722" s="176"/>
      <c r="P722" s="165" t="s">
        <v>1884</v>
      </c>
      <c r="Q722" s="165" t="s">
        <v>566</v>
      </c>
      <c r="R722" s="176"/>
      <c r="S722" s="176"/>
      <c r="T722" s="176"/>
      <c r="U722" s="176"/>
      <c r="V722" s="176"/>
      <c r="W722" s="176"/>
      <c r="X722" s="176"/>
      <c r="Y722" s="176"/>
      <c r="Z722" s="176"/>
      <c r="AA722" s="176"/>
    </row>
    <row r="723">
      <c r="A723" s="165" t="str">
        <f>iferror(VLOOKUP(P723,'DO NOT TOUCH Imported'!$A$1:$D$800,4,False),iferror(VLOOKUP(P723,'DO NOT TOUCH Imported'!$C$1:$D$800,2,False),"OOPS FIX ME"))</f>
        <v>fabimol</v>
      </c>
      <c r="B723" s="249" t="s">
        <v>1175</v>
      </c>
      <c r="C723" s="250" t="s">
        <v>1886</v>
      </c>
      <c r="D723" s="236" t="s">
        <v>1584</v>
      </c>
      <c r="E723" s="251">
        <v>44274.0</v>
      </c>
      <c r="F723" s="219" t="s">
        <v>627</v>
      </c>
      <c r="G723" s="170">
        <v>100.0</v>
      </c>
      <c r="H723" s="171">
        <v>200.0</v>
      </c>
      <c r="I723" s="171">
        <v>200.0</v>
      </c>
      <c r="J723" s="172">
        <f t="shared" si="2"/>
        <v>0.00325743181</v>
      </c>
      <c r="K723" s="173">
        <f t="shared" si="28"/>
        <v>3.637465521</v>
      </c>
      <c r="L723" s="174">
        <f t="shared" si="4"/>
        <v>2.735117074</v>
      </c>
      <c r="M723" s="175" t="str">
        <f t="shared" si="5"/>
        <v>fabimol</v>
      </c>
      <c r="N723" s="176">
        <f>IFERROR(__xludf.DUMMYFUNCTION("""COMPUTED_VALUE"""),1.0)</f>
        <v>1</v>
      </c>
      <c r="O723" s="176"/>
      <c r="P723" s="249" t="s">
        <v>61</v>
      </c>
      <c r="Q723" s="249" t="s">
        <v>1175</v>
      </c>
      <c r="R723" s="176"/>
      <c r="S723" s="176"/>
      <c r="T723" s="176"/>
      <c r="U723" s="176"/>
      <c r="V723" s="176"/>
      <c r="W723" s="176"/>
      <c r="X723" s="176"/>
      <c r="Y723" s="176"/>
      <c r="Z723" s="176"/>
      <c r="AA723" s="176"/>
    </row>
    <row r="724">
      <c r="A724" s="165" t="str">
        <f>iferror(VLOOKUP(P724,'DO NOT TOUCH Imported'!$A$1:$D$800,4,False),iferror(VLOOKUP(P724,'DO NOT TOUCH Imported'!$C$1:$D$800,2,False),"OOPS FIX ME"))</f>
        <v>fabimol</v>
      </c>
      <c r="B724" s="249" t="s">
        <v>1175</v>
      </c>
      <c r="C724" s="250" t="s">
        <v>1887</v>
      </c>
      <c r="D724" s="236" t="s">
        <v>1584</v>
      </c>
      <c r="E724" s="251">
        <v>44273.0</v>
      </c>
      <c r="F724" s="219" t="s">
        <v>627</v>
      </c>
      <c r="G724" s="170">
        <v>100.0</v>
      </c>
      <c r="H724" s="171">
        <v>100.0</v>
      </c>
      <c r="I724" s="171">
        <v>300.0</v>
      </c>
      <c r="J724" s="172">
        <f t="shared" si="2"/>
        <v>0.003258517016</v>
      </c>
      <c r="K724" s="173">
        <f t="shared" si="28"/>
        <v>3.638677334</v>
      </c>
      <c r="L724" s="174">
        <f t="shared" si="4"/>
        <v>2.735117074</v>
      </c>
      <c r="M724" s="175" t="str">
        <f t="shared" si="5"/>
        <v>fabimol</v>
      </c>
      <c r="N724" s="176">
        <f>IFERROR(__xludf.DUMMYFUNCTION("""COMPUTED_VALUE"""),2.0)</f>
        <v>2</v>
      </c>
      <c r="O724" s="176"/>
      <c r="P724" s="249" t="s">
        <v>61</v>
      </c>
      <c r="Q724" s="249" t="s">
        <v>1175</v>
      </c>
      <c r="R724" s="176"/>
      <c r="S724" s="176"/>
      <c r="T724" s="176"/>
      <c r="U724" s="176"/>
      <c r="V724" s="176"/>
      <c r="W724" s="176"/>
      <c r="X724" s="176"/>
      <c r="Y724" s="176"/>
      <c r="Z724" s="176"/>
      <c r="AA724" s="176"/>
    </row>
    <row r="725">
      <c r="A725" s="165" t="str">
        <f>iferror(VLOOKUP(P725,'DO NOT TOUCH Imported'!$A$1:$D$800,4,False),iferror(VLOOKUP(P725,'DO NOT TOUCH Imported'!$C$1:$D$800,2,False),"OOPS FIX ME"))</f>
        <v>fabimol</v>
      </c>
      <c r="B725" s="165" t="s">
        <v>441</v>
      </c>
      <c r="C725" s="170" t="s">
        <v>1714</v>
      </c>
      <c r="D725" s="236" t="s">
        <v>437</v>
      </c>
      <c r="E725" s="239">
        <v>44274.0</v>
      </c>
      <c r="F725" s="170" t="s">
        <v>439</v>
      </c>
      <c r="G725" s="170">
        <v>50.0</v>
      </c>
      <c r="H725" s="171">
        <v>200.0</v>
      </c>
      <c r="I725" s="171">
        <v>100.0</v>
      </c>
      <c r="J725" s="172">
        <f t="shared" si="2"/>
        <v>0.002048240584</v>
      </c>
      <c r="K725" s="173">
        <f t="shared" si="28"/>
        <v>2.287201985</v>
      </c>
      <c r="L725" s="174">
        <f t="shared" si="4"/>
        <v>2.735117074</v>
      </c>
      <c r="M725" s="175" t="str">
        <f t="shared" si="5"/>
        <v>fabimol</v>
      </c>
      <c r="N725" s="176">
        <f>IFERROR(__xludf.DUMMYFUNCTION("""COMPUTED_VALUE"""),3.0)</f>
        <v>3</v>
      </c>
      <c r="O725" s="176"/>
      <c r="P725" s="165" t="s">
        <v>828</v>
      </c>
      <c r="Q725" s="165" t="s">
        <v>441</v>
      </c>
      <c r="R725" s="176"/>
      <c r="S725" s="176"/>
      <c r="T725" s="176"/>
      <c r="U725" s="176"/>
      <c r="V725" s="176"/>
      <c r="W725" s="176"/>
      <c r="X725" s="176"/>
      <c r="Y725" s="176"/>
      <c r="Z725" s="176"/>
      <c r="AA725" s="176"/>
    </row>
    <row r="726">
      <c r="A726" s="165" t="str">
        <f>iferror(VLOOKUP(P726,'DO NOT TOUCH Imported'!$A$1:$D$800,4,False),iferror(VLOOKUP(P726,'DO NOT TOUCH Imported'!$C$1:$D$800,2,False),"OOPS FIX ME"))</f>
        <v>fabimol</v>
      </c>
      <c r="B726" s="165" t="s">
        <v>441</v>
      </c>
      <c r="C726" s="170" t="s">
        <v>1620</v>
      </c>
      <c r="D726" s="236" t="s">
        <v>437</v>
      </c>
      <c r="E726" s="239">
        <v>44274.0</v>
      </c>
      <c r="F726" s="170" t="s">
        <v>439</v>
      </c>
      <c r="G726" s="170">
        <v>15.0</v>
      </c>
      <c r="H726" s="171">
        <v>60.0</v>
      </c>
      <c r="I726" s="171">
        <v>100.0</v>
      </c>
      <c r="J726" s="172">
        <f t="shared" si="2"/>
        <v>0.0009088990941</v>
      </c>
      <c r="K726" s="173">
        <f t="shared" si="28"/>
        <v>1.014937322</v>
      </c>
      <c r="L726" s="174">
        <f t="shared" si="4"/>
        <v>2.735117074</v>
      </c>
      <c r="M726" s="175" t="str">
        <f t="shared" si="5"/>
        <v>fabimol</v>
      </c>
      <c r="N726" s="176">
        <f>IFERROR(__xludf.DUMMYFUNCTION("""COMPUTED_VALUE"""),4.0)</f>
        <v>4</v>
      </c>
      <c r="O726" s="176"/>
      <c r="P726" s="165" t="s">
        <v>828</v>
      </c>
      <c r="Q726" s="165" t="s">
        <v>441</v>
      </c>
      <c r="R726" s="176"/>
      <c r="S726" s="176"/>
      <c r="T726" s="176"/>
      <c r="U726" s="176"/>
      <c r="V726" s="176"/>
      <c r="W726" s="176"/>
      <c r="X726" s="176"/>
      <c r="Y726" s="176"/>
      <c r="Z726" s="176"/>
      <c r="AA726" s="176"/>
    </row>
    <row r="727">
      <c r="A727" s="165" t="str">
        <f>iferror(VLOOKUP(P727,'DO NOT TOUCH Imported'!$A$1:$D$800,4,False),iferror(VLOOKUP(P727,'DO NOT TOUCH Imported'!$C$1:$D$800,2,False),"OOPS FIX ME"))</f>
        <v>fabimol</v>
      </c>
      <c r="B727" s="249" t="s">
        <v>10</v>
      </c>
      <c r="C727" s="250" t="s">
        <v>498</v>
      </c>
      <c r="D727" s="236" t="s">
        <v>1584</v>
      </c>
      <c r="E727" s="251">
        <v>44274.0</v>
      </c>
      <c r="F727" s="219" t="s">
        <v>499</v>
      </c>
      <c r="G727" s="170">
        <v>15.0</v>
      </c>
      <c r="H727" s="171">
        <v>25.0</v>
      </c>
      <c r="I727" s="171">
        <v>100.0</v>
      </c>
      <c r="J727" s="172">
        <f t="shared" si="2"/>
        <v>0.0007620654566</v>
      </c>
      <c r="K727" s="173">
        <f t="shared" si="28"/>
        <v>0.8509730932</v>
      </c>
      <c r="L727" s="174">
        <f t="shared" si="4"/>
        <v>2.735117074</v>
      </c>
      <c r="M727" s="175" t="str">
        <f t="shared" si="5"/>
        <v>fabimol</v>
      </c>
      <c r="N727" s="176">
        <f>IFERROR(__xludf.DUMMYFUNCTION("""COMPUTED_VALUE"""),5.0)</f>
        <v>5</v>
      </c>
      <c r="O727" s="176"/>
      <c r="P727" s="249" t="s">
        <v>61</v>
      </c>
      <c r="Q727" s="249" t="s">
        <v>10</v>
      </c>
      <c r="R727" s="176"/>
      <c r="S727" s="176"/>
      <c r="T727" s="176"/>
      <c r="U727" s="176"/>
      <c r="V727" s="176"/>
      <c r="W727" s="176"/>
      <c r="X727" s="176"/>
      <c r="Y727" s="176"/>
      <c r="Z727" s="176"/>
      <c r="AA727" s="176"/>
    </row>
    <row r="728">
      <c r="A728" s="185" t="str">
        <f>iferror(VLOOKUP(P728,'DO NOT TOUCH Imported'!$A$1:$D$800,4,False),iferror(VLOOKUP(P728,'DO NOT TOUCH Imported'!$C$1:$D$800,2,False),"OOPS FIX ME"))</f>
        <v>fabimol</v>
      </c>
      <c r="B728" s="185" t="s">
        <v>534</v>
      </c>
      <c r="C728" s="210" t="s">
        <v>655</v>
      </c>
      <c r="D728" s="187"/>
      <c r="E728" s="188"/>
      <c r="F728" s="189"/>
      <c r="G728" s="190"/>
      <c r="H728" s="190"/>
      <c r="I728" s="190"/>
      <c r="J728" s="191">
        <f t="shared" si="2"/>
        <v>0</v>
      </c>
      <c r="K728" s="192">
        <f>18.236*-0.85</f>
        <v>-15.5006</v>
      </c>
      <c r="L728" s="193">
        <f t="shared" si="4"/>
        <v>2.735117074</v>
      </c>
      <c r="M728" s="194" t="str">
        <f t="shared" si="5"/>
        <v>fabimol</v>
      </c>
      <c r="N728" s="195">
        <f>IFERROR(__xludf.DUMMYFUNCTION("""COMPUTED_VALUE"""),6.0)</f>
        <v>6</v>
      </c>
      <c r="O728" s="195"/>
      <c r="P728" s="211" t="s">
        <v>61</v>
      </c>
      <c r="Q728" s="185" t="s">
        <v>534</v>
      </c>
      <c r="R728" s="195">
        <v>15.387070331364484</v>
      </c>
      <c r="S728" s="195"/>
      <c r="T728" s="195"/>
      <c r="U728" s="195"/>
      <c r="V728" s="195"/>
      <c r="W728" s="195"/>
      <c r="X728" s="195"/>
      <c r="Y728" s="195"/>
      <c r="Z728" s="195"/>
      <c r="AA728" s="176"/>
    </row>
    <row r="729">
      <c r="A729" s="165" t="str">
        <f>iferror(VLOOKUP(P729,'DO NOT TOUCH Imported'!$A$1:$D$800,4,False),iferror(VLOOKUP(P729,'DO NOT TOUCH Imported'!$C$1:$D$800,2,False),"OOPS FIX ME"))</f>
        <v>fabimol</v>
      </c>
      <c r="B729" s="165" t="s">
        <v>1175</v>
      </c>
      <c r="C729" s="170" t="s">
        <v>1888</v>
      </c>
      <c r="D729" s="236" t="s">
        <v>1584</v>
      </c>
      <c r="E729" s="239">
        <v>44281.0</v>
      </c>
      <c r="F729" s="170" t="s">
        <v>627</v>
      </c>
      <c r="G729" s="170">
        <v>200.0</v>
      </c>
      <c r="H729" s="171">
        <v>300.0</v>
      </c>
      <c r="I729" s="171">
        <v>400.0</v>
      </c>
      <c r="J729" s="172">
        <f t="shared" si="2"/>
        <v>0.006095338942</v>
      </c>
      <c r="K729" s="173">
        <f t="shared" ref="K729:K788" si="29">J729*$J$1</f>
        <v>6.806461818</v>
      </c>
      <c r="L729" s="174">
        <f t="shared" si="4"/>
        <v>2.735117074</v>
      </c>
      <c r="M729" s="175" t="str">
        <f t="shared" si="5"/>
        <v>fabimol</v>
      </c>
      <c r="N729" s="176">
        <f>IFERROR(__xludf.DUMMYFUNCTION("""COMPUTED_VALUE"""),7.0)</f>
        <v>7</v>
      </c>
      <c r="O729" s="176"/>
      <c r="P729" s="165" t="s">
        <v>61</v>
      </c>
      <c r="Q729" s="165" t="s">
        <v>1175</v>
      </c>
      <c r="R729" s="176"/>
      <c r="S729" s="176"/>
      <c r="T729" s="176"/>
      <c r="U729" s="176"/>
      <c r="V729" s="176"/>
      <c r="W729" s="176"/>
      <c r="X729" s="176"/>
      <c r="Y729" s="176"/>
      <c r="Z729" s="176"/>
      <c r="AA729" s="176"/>
    </row>
    <row r="730">
      <c r="A730" s="165" t="str">
        <f>iferror(VLOOKUP(P730,'DO NOT TOUCH Imported'!$A$1:$D$800,4,False),iferror(VLOOKUP(P730,'DO NOT TOUCH Imported'!$C$1:$D$800,2,False),"OOPS FIX ME"))</f>
        <v>mehigher</v>
      </c>
      <c r="B730" s="249" t="s">
        <v>590</v>
      </c>
      <c r="C730" s="250" t="s">
        <v>1889</v>
      </c>
      <c r="D730" s="236" t="s">
        <v>1584</v>
      </c>
      <c r="E730" s="251">
        <v>44277.0</v>
      </c>
      <c r="F730" s="219" t="s">
        <v>499</v>
      </c>
      <c r="G730" s="170">
        <v>25.0</v>
      </c>
      <c r="H730" s="171">
        <v>100.0</v>
      </c>
      <c r="I730" s="171">
        <v>100.0</v>
      </c>
      <c r="J730" s="172">
        <f t="shared" si="2"/>
        <v>0.001234425234</v>
      </c>
      <c r="K730" s="173">
        <f t="shared" si="29"/>
        <v>1.378441511</v>
      </c>
      <c r="L730" s="174">
        <f t="shared" si="4"/>
        <v>3.584432655</v>
      </c>
      <c r="M730" s="175" t="str">
        <f t="shared" si="5"/>
        <v>mehigher</v>
      </c>
      <c r="N730" s="176">
        <f>IFERROR(__xludf.DUMMYFUNCTION("""COMPUTED_VALUE"""),1.0)</f>
        <v>1</v>
      </c>
      <c r="O730" s="176"/>
      <c r="P730" s="249" t="s">
        <v>99</v>
      </c>
      <c r="Q730" s="249" t="s">
        <v>590</v>
      </c>
      <c r="R730" s="176"/>
      <c r="S730" s="176"/>
      <c r="T730" s="176"/>
      <c r="U730" s="176"/>
      <c r="V730" s="176"/>
      <c r="W730" s="176"/>
      <c r="X730" s="176"/>
      <c r="Y730" s="176"/>
      <c r="Z730" s="176"/>
      <c r="AA730" s="176"/>
    </row>
    <row r="731">
      <c r="A731" s="165" t="str">
        <f>iferror(VLOOKUP(P731,'DO NOT TOUCH Imported'!$A$1:$D$800,4,False),iferror(VLOOKUP(P731,'DO NOT TOUCH Imported'!$C$1:$D$800,2,False),"OOPS FIX ME"))</f>
        <v>mehigher</v>
      </c>
      <c r="B731" s="249" t="s">
        <v>879</v>
      </c>
      <c r="C731" s="250" t="s">
        <v>1832</v>
      </c>
      <c r="D731" s="236" t="s">
        <v>1584</v>
      </c>
      <c r="E731" s="251">
        <v>44273.0</v>
      </c>
      <c r="F731" s="219" t="s">
        <v>499</v>
      </c>
      <c r="G731" s="170">
        <v>25.0</v>
      </c>
      <c r="H731" s="171">
        <v>70.0</v>
      </c>
      <c r="I731" s="171">
        <v>100.0</v>
      </c>
      <c r="J731" s="172">
        <f t="shared" si="2"/>
        <v>0.00110856783</v>
      </c>
      <c r="K731" s="173">
        <f t="shared" si="29"/>
        <v>1.237900744</v>
      </c>
      <c r="L731" s="174">
        <f t="shared" si="4"/>
        <v>3.584432655</v>
      </c>
      <c r="M731" s="175" t="str">
        <f t="shared" si="5"/>
        <v>mehigher</v>
      </c>
      <c r="N731" s="176">
        <f>IFERROR(__xludf.DUMMYFUNCTION("""COMPUTED_VALUE"""),2.0)</f>
        <v>2</v>
      </c>
      <c r="O731" s="176"/>
      <c r="P731" s="249" t="s">
        <v>99</v>
      </c>
      <c r="Q731" s="249" t="s">
        <v>879</v>
      </c>
      <c r="R731" s="176"/>
      <c r="S731" s="176"/>
      <c r="T731" s="176"/>
      <c r="U731" s="176"/>
      <c r="V731" s="176"/>
      <c r="W731" s="176"/>
      <c r="X731" s="176"/>
      <c r="Y731" s="176"/>
      <c r="Z731" s="176"/>
      <c r="AA731" s="176"/>
    </row>
    <row r="732">
      <c r="A732" s="165" t="str">
        <f>iferror(VLOOKUP(P732,'DO NOT TOUCH Imported'!$A$1:$D$800,4,False),iferror(VLOOKUP(P732,'DO NOT TOUCH Imported'!$C$1:$D$800,2,False),"OOPS FIX ME"))</f>
        <v>Tonga2020</v>
      </c>
      <c r="B732" s="165" t="s">
        <v>512</v>
      </c>
      <c r="C732" s="170" t="s">
        <v>1721</v>
      </c>
      <c r="D732" s="236" t="s">
        <v>437</v>
      </c>
      <c r="E732" s="239">
        <v>44274.0</v>
      </c>
      <c r="F732" s="170" t="s">
        <v>1722</v>
      </c>
      <c r="G732" s="170">
        <v>25.0</v>
      </c>
      <c r="H732" s="171">
        <v>100.0</v>
      </c>
      <c r="I732" s="171">
        <v>100.0</v>
      </c>
      <c r="J732" s="172">
        <f t="shared" si="2"/>
        <v>0.001234425234</v>
      </c>
      <c r="K732" s="173">
        <f t="shared" si="29"/>
        <v>1.378441511</v>
      </c>
      <c r="L732" s="174">
        <f t="shared" si="4"/>
        <v>2.580766523</v>
      </c>
      <c r="M732" s="175" t="str">
        <f t="shared" si="5"/>
        <v>Tonga2020</v>
      </c>
      <c r="N732" s="176">
        <f>IFERROR(__xludf.DUMMYFUNCTION("""COMPUTED_VALUE"""),1.0)</f>
        <v>1</v>
      </c>
      <c r="O732" s="176"/>
      <c r="P732" s="165" t="s">
        <v>1890</v>
      </c>
      <c r="Q732" s="165" t="s">
        <v>512</v>
      </c>
      <c r="R732" s="176"/>
      <c r="S732" s="176"/>
      <c r="T732" s="176"/>
      <c r="U732" s="176"/>
      <c r="V732" s="176"/>
      <c r="W732" s="176"/>
      <c r="X732" s="176"/>
      <c r="Y732" s="176"/>
      <c r="Z732" s="176"/>
      <c r="AA732" s="176"/>
    </row>
    <row r="733">
      <c r="A733" s="165" t="str">
        <f>iferror(VLOOKUP(P733,'DO NOT TOUCH Imported'!$A$1:$D$800,4,False),iferror(VLOOKUP(P733,'DO NOT TOUCH Imported'!$C$1:$D$800,2,False),"OOPS FIX ME"))</f>
        <v>officialnico</v>
      </c>
      <c r="B733" s="165" t="s">
        <v>512</v>
      </c>
      <c r="C733" s="170" t="s">
        <v>1721</v>
      </c>
      <c r="D733" s="236" t="s">
        <v>437</v>
      </c>
      <c r="E733" s="239">
        <v>44274.0</v>
      </c>
      <c r="F733" s="170" t="s">
        <v>1722</v>
      </c>
      <c r="G733" s="170">
        <v>25.0</v>
      </c>
      <c r="H733" s="171">
        <v>100.0</v>
      </c>
      <c r="I733" s="171">
        <v>100.0</v>
      </c>
      <c r="J733" s="172">
        <f t="shared" si="2"/>
        <v>0.001234425234</v>
      </c>
      <c r="K733" s="173">
        <f t="shared" si="29"/>
        <v>1.378441511</v>
      </c>
      <c r="L733" s="174">
        <f t="shared" si="4"/>
        <v>2.580766523</v>
      </c>
      <c r="M733" s="175" t="str">
        <f t="shared" si="5"/>
        <v>officialnico</v>
      </c>
      <c r="N733" s="176">
        <f>IFERROR(__xludf.DUMMYFUNCTION("""COMPUTED_VALUE"""),1.0)</f>
        <v>1</v>
      </c>
      <c r="O733" s="176"/>
      <c r="P733" s="165" t="s">
        <v>1891</v>
      </c>
      <c r="Q733" s="165" t="s">
        <v>512</v>
      </c>
      <c r="R733" s="176"/>
      <c r="S733" s="176"/>
      <c r="T733" s="176"/>
      <c r="U733" s="176"/>
      <c r="V733" s="176"/>
      <c r="W733" s="176"/>
      <c r="X733" s="176"/>
      <c r="Y733" s="176"/>
      <c r="Z733" s="176"/>
      <c r="AA733" s="176"/>
    </row>
    <row r="734">
      <c r="A734" s="165" t="str">
        <f>iferror(VLOOKUP(P734,'DO NOT TOUCH Imported'!$A$1:$D$800,4,False),iferror(VLOOKUP(P734,'DO NOT TOUCH Imported'!$C$1:$D$800,2,False),"OOPS FIX ME"))</f>
        <v>heater03</v>
      </c>
      <c r="B734" s="165" t="s">
        <v>512</v>
      </c>
      <c r="C734" s="170" t="s">
        <v>1721</v>
      </c>
      <c r="D734" s="236" t="s">
        <v>437</v>
      </c>
      <c r="E734" s="239">
        <v>44274.0</v>
      </c>
      <c r="F734" s="170" t="s">
        <v>1722</v>
      </c>
      <c r="G734" s="170">
        <v>25.0</v>
      </c>
      <c r="H734" s="171">
        <v>100.0</v>
      </c>
      <c r="I734" s="171">
        <v>100.0</v>
      </c>
      <c r="J734" s="172">
        <f t="shared" si="2"/>
        <v>0.001234425234</v>
      </c>
      <c r="K734" s="173">
        <f t="shared" si="29"/>
        <v>1.378441511</v>
      </c>
      <c r="L734" s="174">
        <f t="shared" si="4"/>
        <v>2.580766523</v>
      </c>
      <c r="M734" s="175" t="str">
        <f t="shared" si="5"/>
        <v>heater03</v>
      </c>
      <c r="N734" s="176">
        <f>IFERROR(__xludf.DUMMYFUNCTION("""COMPUTED_VALUE"""),1.0)</f>
        <v>1</v>
      </c>
      <c r="O734" s="176"/>
      <c r="P734" s="165" t="s">
        <v>586</v>
      </c>
      <c r="Q734" s="165" t="s">
        <v>512</v>
      </c>
      <c r="R734" s="176"/>
      <c r="S734" s="176"/>
      <c r="T734" s="176"/>
      <c r="U734" s="176"/>
      <c r="V734" s="176"/>
      <c r="W734" s="176"/>
      <c r="X734" s="176"/>
      <c r="Y734" s="176"/>
      <c r="Z734" s="176"/>
      <c r="AA734" s="176"/>
    </row>
    <row r="735">
      <c r="A735" s="165" t="str">
        <f>iferror(VLOOKUP(P735,'DO NOT TOUCH Imported'!$A$1:$D$800,4,False),iferror(VLOOKUP(P735,'DO NOT TOUCH Imported'!$C$1:$D$800,2,False),"OOPS FIX ME"))</f>
        <v>Tonga2020</v>
      </c>
      <c r="B735" s="165" t="s">
        <v>441</v>
      </c>
      <c r="C735" s="170" t="s">
        <v>1892</v>
      </c>
      <c r="D735" s="236" t="s">
        <v>437</v>
      </c>
      <c r="E735" s="239">
        <v>44274.0</v>
      </c>
      <c r="F735" s="170" t="s">
        <v>439</v>
      </c>
      <c r="G735" s="170">
        <v>15.0</v>
      </c>
      <c r="H735" s="171">
        <v>100.0</v>
      </c>
      <c r="I735" s="171">
        <v>100.0</v>
      </c>
      <c r="J735" s="172">
        <f t="shared" si="2"/>
        <v>0.001076708966</v>
      </c>
      <c r="K735" s="173">
        <f t="shared" si="29"/>
        <v>1.202325011</v>
      </c>
      <c r="L735" s="174">
        <f t="shared" si="4"/>
        <v>2.580766523</v>
      </c>
      <c r="M735" s="175" t="str">
        <f t="shared" si="5"/>
        <v>Tonga2020</v>
      </c>
      <c r="N735" s="176">
        <f>IFERROR(__xludf.DUMMYFUNCTION("""COMPUTED_VALUE"""),2.0)</f>
        <v>2</v>
      </c>
      <c r="O735" s="176"/>
      <c r="P735" s="165" t="s">
        <v>1890</v>
      </c>
      <c r="Q735" s="165" t="s">
        <v>441</v>
      </c>
      <c r="R735" s="176"/>
      <c r="S735" s="176"/>
      <c r="T735" s="176"/>
      <c r="U735" s="176"/>
      <c r="V735" s="176"/>
      <c r="W735" s="176"/>
      <c r="X735" s="176"/>
      <c r="Y735" s="176"/>
      <c r="Z735" s="176"/>
      <c r="AA735" s="176"/>
    </row>
    <row r="736">
      <c r="A736" s="165" t="str">
        <f>iferror(VLOOKUP(P736,'DO NOT TOUCH Imported'!$A$1:$D$800,4,False),iferror(VLOOKUP(P736,'DO NOT TOUCH Imported'!$C$1:$D$800,2,False),"OOPS FIX ME"))</f>
        <v>heater03</v>
      </c>
      <c r="B736" s="165" t="s">
        <v>441</v>
      </c>
      <c r="C736" s="170" t="s">
        <v>1893</v>
      </c>
      <c r="D736" s="236" t="s">
        <v>437</v>
      </c>
      <c r="E736" s="239">
        <v>44274.0</v>
      </c>
      <c r="F736" s="170" t="s">
        <v>439</v>
      </c>
      <c r="G736" s="170">
        <v>15.0</v>
      </c>
      <c r="H736" s="171">
        <v>100.0</v>
      </c>
      <c r="I736" s="171">
        <v>100.0</v>
      </c>
      <c r="J736" s="172">
        <f t="shared" si="2"/>
        <v>0.001076708966</v>
      </c>
      <c r="K736" s="173">
        <f t="shared" si="29"/>
        <v>1.202325011</v>
      </c>
      <c r="L736" s="174">
        <f t="shared" si="4"/>
        <v>2.580766523</v>
      </c>
      <c r="M736" s="175" t="str">
        <f t="shared" si="5"/>
        <v>heater03</v>
      </c>
      <c r="N736" s="176">
        <f>IFERROR(__xludf.DUMMYFUNCTION("""COMPUTED_VALUE"""),2.0)</f>
        <v>2</v>
      </c>
      <c r="O736" s="176"/>
      <c r="P736" s="165" t="s">
        <v>586</v>
      </c>
      <c r="Q736" s="165" t="s">
        <v>441</v>
      </c>
      <c r="R736" s="176"/>
      <c r="S736" s="176"/>
      <c r="T736" s="176"/>
      <c r="U736" s="176"/>
      <c r="V736" s="176"/>
      <c r="W736" s="176"/>
      <c r="X736" s="176"/>
      <c r="Y736" s="176"/>
      <c r="Z736" s="176"/>
      <c r="AA736" s="176"/>
    </row>
    <row r="737">
      <c r="A737" s="165" t="str">
        <f>iferror(VLOOKUP(P737,'DO NOT TOUCH Imported'!$A$1:$D$800,4,False),iferror(VLOOKUP(P737,'DO NOT TOUCH Imported'!$C$1:$D$800,2,False),"OOPS FIX ME"))</f>
        <v>officialnico</v>
      </c>
      <c r="B737" s="165" t="s">
        <v>490</v>
      </c>
      <c r="C737" s="170" t="s">
        <v>1894</v>
      </c>
      <c r="D737" s="236" t="s">
        <v>437</v>
      </c>
      <c r="E737" s="239">
        <v>44277.0</v>
      </c>
      <c r="F737" s="170" t="s">
        <v>439</v>
      </c>
      <c r="G737" s="170">
        <v>15.0</v>
      </c>
      <c r="H737" s="171">
        <v>100.0</v>
      </c>
      <c r="I737" s="171">
        <v>100.0</v>
      </c>
      <c r="J737" s="172">
        <f t="shared" si="2"/>
        <v>0.001076708966</v>
      </c>
      <c r="K737" s="173">
        <f t="shared" si="29"/>
        <v>1.202325011</v>
      </c>
      <c r="L737" s="174">
        <f t="shared" si="4"/>
        <v>2.580766523</v>
      </c>
      <c r="M737" s="175" t="str">
        <f t="shared" si="5"/>
        <v>officialnico</v>
      </c>
      <c r="N737" s="176">
        <f>IFERROR(__xludf.DUMMYFUNCTION("""COMPUTED_VALUE"""),2.0)</f>
        <v>2</v>
      </c>
      <c r="O737" s="176"/>
      <c r="P737" s="165" t="s">
        <v>1891</v>
      </c>
      <c r="Q737" s="165" t="s">
        <v>490</v>
      </c>
      <c r="R737" s="176"/>
      <c r="S737" s="176"/>
      <c r="T737" s="176"/>
      <c r="U737" s="176"/>
      <c r="V737" s="176"/>
      <c r="W737" s="176"/>
      <c r="X737" s="176"/>
      <c r="Y737" s="176"/>
      <c r="Z737" s="176"/>
      <c r="AA737" s="176"/>
    </row>
    <row r="738">
      <c r="A738" s="165" t="str">
        <f>iferror(VLOOKUP(P738,'DO NOT TOUCH Imported'!$A$1:$D$800,4,False),iferror(VLOOKUP(P738,'DO NOT TOUCH Imported'!$C$1:$D$800,2,False),"OOPS FIX ME"))</f>
        <v>CoachB</v>
      </c>
      <c r="B738" s="249" t="s">
        <v>519</v>
      </c>
      <c r="C738" s="250" t="s">
        <v>1696</v>
      </c>
      <c r="D738" s="236" t="s">
        <v>1584</v>
      </c>
      <c r="E738" s="251">
        <v>44272.0</v>
      </c>
      <c r="F738" s="219" t="s">
        <v>496</v>
      </c>
      <c r="G738" s="170">
        <v>25.0</v>
      </c>
      <c r="H738" s="171">
        <v>150.0</v>
      </c>
      <c r="I738" s="171">
        <v>100.0</v>
      </c>
      <c r="J738" s="172">
        <f t="shared" si="2"/>
        <v>0.001444187573</v>
      </c>
      <c r="K738" s="173">
        <f t="shared" si="29"/>
        <v>1.612676123</v>
      </c>
      <c r="L738" s="174">
        <f t="shared" si="4"/>
        <v>2.463649217</v>
      </c>
      <c r="M738" s="175" t="str">
        <f t="shared" si="5"/>
        <v>CoachB</v>
      </c>
      <c r="N738" s="176">
        <f>IFERROR(__xludf.DUMMYFUNCTION("""COMPUTED_VALUE"""),1.0)</f>
        <v>1</v>
      </c>
      <c r="O738" s="176"/>
      <c r="P738" s="249" t="s">
        <v>104</v>
      </c>
      <c r="Q738" s="249" t="s">
        <v>519</v>
      </c>
      <c r="R738" s="176"/>
      <c r="S738" s="176"/>
      <c r="T738" s="176"/>
      <c r="U738" s="176"/>
      <c r="V738" s="176"/>
      <c r="W738" s="176"/>
      <c r="X738" s="176"/>
      <c r="Y738" s="176"/>
      <c r="Z738" s="176"/>
      <c r="AA738" s="176"/>
    </row>
    <row r="739">
      <c r="A739" s="165" t="str">
        <f>iferror(VLOOKUP(P739,'DO NOT TOUCH Imported'!$A$1:$D$800,4,False),iferror(VLOOKUP(P739,'DO NOT TOUCH Imported'!$C$1:$D$800,2,False),"OOPS FIX ME"))</f>
        <v>CoachB</v>
      </c>
      <c r="B739" s="249" t="s">
        <v>10</v>
      </c>
      <c r="C739" s="250" t="s">
        <v>498</v>
      </c>
      <c r="D739" s="236" t="s">
        <v>1584</v>
      </c>
      <c r="E739" s="251">
        <v>44274.0</v>
      </c>
      <c r="F739" s="219" t="s">
        <v>499</v>
      </c>
      <c r="G739" s="170">
        <v>15.0</v>
      </c>
      <c r="H739" s="171">
        <v>25.0</v>
      </c>
      <c r="I739" s="171">
        <v>100.0</v>
      </c>
      <c r="J739" s="172">
        <f t="shared" si="2"/>
        <v>0.0007620654566</v>
      </c>
      <c r="K739" s="173">
        <f t="shared" si="29"/>
        <v>0.8509730932</v>
      </c>
      <c r="L739" s="174">
        <f t="shared" si="4"/>
        <v>2.463649217</v>
      </c>
      <c r="M739" s="175" t="str">
        <f t="shared" si="5"/>
        <v>CoachB</v>
      </c>
      <c r="N739" s="176">
        <f>IFERROR(__xludf.DUMMYFUNCTION("""COMPUTED_VALUE"""),2.0)</f>
        <v>2</v>
      </c>
      <c r="O739" s="176"/>
      <c r="P739" s="249" t="s">
        <v>104</v>
      </c>
      <c r="Q739" s="249" t="s">
        <v>10</v>
      </c>
      <c r="R739" s="176"/>
      <c r="S739" s="176"/>
      <c r="T739" s="176"/>
      <c r="U739" s="176"/>
      <c r="V739" s="176"/>
      <c r="W739" s="176"/>
      <c r="X739" s="176"/>
      <c r="Y739" s="176"/>
      <c r="Z739" s="176"/>
      <c r="AA739" s="176"/>
    </row>
    <row r="740">
      <c r="A740" s="165" t="str">
        <f>iferror(VLOOKUP(P740,'DO NOT TOUCH Imported'!$A$1:$D$800,4,False),iferror(VLOOKUP(P740,'DO NOT TOUCH Imported'!$C$1:$D$800,2,False),"OOPS FIX ME"))</f>
        <v>tommy,🐙#3630</v>
      </c>
      <c r="B740" s="165" t="s">
        <v>566</v>
      </c>
      <c r="C740" s="170" t="s">
        <v>1879</v>
      </c>
      <c r="D740" s="236" t="s">
        <v>499</v>
      </c>
      <c r="E740" s="239">
        <v>44270.0</v>
      </c>
      <c r="F740" s="170" t="s">
        <v>1646</v>
      </c>
      <c r="G740" s="170">
        <v>15.0</v>
      </c>
      <c r="H740" s="171">
        <v>100.0</v>
      </c>
      <c r="I740" s="171">
        <v>100.0</v>
      </c>
      <c r="J740" s="172">
        <f t="shared" si="2"/>
        <v>0.001076708966</v>
      </c>
      <c r="K740" s="173">
        <f t="shared" si="29"/>
        <v>1.202325011</v>
      </c>
      <c r="L740" s="174">
        <f t="shared" si="4"/>
        <v>2.346531911</v>
      </c>
      <c r="M740" s="175" t="str">
        <f t="shared" si="5"/>
        <v>tommy,🐙#3630</v>
      </c>
      <c r="N740" s="176">
        <f>IFERROR(__xludf.DUMMYFUNCTION("""COMPUTED_VALUE"""),1.0)</f>
        <v>1</v>
      </c>
      <c r="O740" s="176"/>
      <c r="P740" s="165" t="s">
        <v>225</v>
      </c>
      <c r="Q740" s="165" t="s">
        <v>566</v>
      </c>
      <c r="R740" s="176"/>
      <c r="S740" s="176"/>
      <c r="T740" s="176"/>
      <c r="U740" s="176"/>
      <c r="V740" s="176"/>
      <c r="W740" s="176"/>
      <c r="X740" s="176"/>
      <c r="Y740" s="176"/>
      <c r="Z740" s="176"/>
      <c r="AA740" s="176"/>
    </row>
    <row r="741">
      <c r="A741" s="165" t="str">
        <f>iferror(VLOOKUP(P741,'DO NOT TOUCH Imported'!$A$1:$D$800,4,False),iferror(VLOOKUP(P741,'DO NOT TOUCH Imported'!$C$1:$D$800,2,False),"OOPS FIX ME"))</f>
        <v>tommy,🐙#3630</v>
      </c>
      <c r="B741" s="249" t="s">
        <v>590</v>
      </c>
      <c r="C741" s="250" t="s">
        <v>1895</v>
      </c>
      <c r="D741" s="236" t="s">
        <v>1584</v>
      </c>
      <c r="E741" s="251">
        <v>44270.0</v>
      </c>
      <c r="F741" s="219" t="s">
        <v>499</v>
      </c>
      <c r="G741" s="170">
        <v>25.0</v>
      </c>
      <c r="H741" s="171">
        <v>50.0</v>
      </c>
      <c r="I741" s="171">
        <v>100.0</v>
      </c>
      <c r="J741" s="172">
        <f t="shared" si="2"/>
        <v>0.001024662895</v>
      </c>
      <c r="K741" s="173">
        <f t="shared" si="29"/>
        <v>1.144206899</v>
      </c>
      <c r="L741" s="174">
        <f t="shared" si="4"/>
        <v>2.346531911</v>
      </c>
      <c r="M741" s="175" t="str">
        <f t="shared" si="5"/>
        <v>tommy,🐙#3630</v>
      </c>
      <c r="N741" s="176">
        <f>IFERROR(__xludf.DUMMYFUNCTION("""COMPUTED_VALUE"""),2.0)</f>
        <v>2</v>
      </c>
      <c r="O741" s="176"/>
      <c r="P741" s="249" t="s">
        <v>1896</v>
      </c>
      <c r="Q741" s="249" t="s">
        <v>590</v>
      </c>
      <c r="R741" s="176"/>
      <c r="S741" s="176"/>
      <c r="T741" s="176"/>
      <c r="U741" s="176"/>
      <c r="V741" s="176"/>
      <c r="W741" s="176"/>
      <c r="X741" s="176"/>
      <c r="Y741" s="176"/>
      <c r="Z741" s="176"/>
      <c r="AA741" s="176"/>
    </row>
    <row r="742">
      <c r="A742" s="165" t="str">
        <f>iferror(VLOOKUP(P742,'DO NOT TOUCH Imported'!$A$1:$D$800,4,False),iferror(VLOOKUP(P742,'DO NOT TOUCH Imported'!$C$1:$D$800,2,False),"OOPS FIX ME"))</f>
        <v>kalesalad#3511</v>
      </c>
      <c r="B742" s="165" t="s">
        <v>441</v>
      </c>
      <c r="C742" s="170" t="s">
        <v>1897</v>
      </c>
      <c r="D742" s="236" t="s">
        <v>437</v>
      </c>
      <c r="E742" s="239">
        <v>44281.0</v>
      </c>
      <c r="F742" s="170" t="s">
        <v>439</v>
      </c>
      <c r="G742" s="170">
        <v>25.0</v>
      </c>
      <c r="H742" s="171">
        <v>70.0</v>
      </c>
      <c r="I742" s="171">
        <v>100.0</v>
      </c>
      <c r="J742" s="172">
        <f t="shared" si="2"/>
        <v>0.00110856783</v>
      </c>
      <c r="K742" s="173">
        <f t="shared" si="29"/>
        <v>1.237900744</v>
      </c>
      <c r="L742" s="174">
        <f t="shared" si="4"/>
        <v>2.346531911</v>
      </c>
      <c r="M742" s="175" t="str">
        <f t="shared" si="5"/>
        <v>kalesalad#3511</v>
      </c>
      <c r="N742" s="176">
        <f>IFERROR(__xludf.DUMMYFUNCTION("""COMPUTED_VALUE"""),1.0)</f>
        <v>1</v>
      </c>
      <c r="O742" s="176"/>
      <c r="P742" s="165" t="s">
        <v>226</v>
      </c>
      <c r="Q742" s="165" t="s">
        <v>441</v>
      </c>
      <c r="R742" s="176"/>
      <c r="S742" s="176"/>
      <c r="T742" s="176"/>
      <c r="U742" s="176"/>
      <c r="V742" s="176"/>
      <c r="W742" s="176"/>
      <c r="X742" s="176"/>
      <c r="Y742" s="176"/>
      <c r="Z742" s="176"/>
      <c r="AA742" s="176"/>
    </row>
    <row r="743">
      <c r="A743" s="165" t="str">
        <f>iferror(VLOOKUP(P743,'DO NOT TOUCH Imported'!$A$1:$D$800,4,False),iferror(VLOOKUP(P743,'DO NOT TOUCH Imported'!$C$1:$D$800,2,False),"OOPS FIX ME"))</f>
        <v>kalesalad#3511</v>
      </c>
      <c r="B743" s="165" t="s">
        <v>441</v>
      </c>
      <c r="C743" s="170" t="s">
        <v>1612</v>
      </c>
      <c r="D743" s="236" t="s">
        <v>437</v>
      </c>
      <c r="E743" s="239">
        <v>44281.0</v>
      </c>
      <c r="F743" s="170" t="s">
        <v>439</v>
      </c>
      <c r="G743" s="170">
        <v>15.0</v>
      </c>
      <c r="H743" s="171">
        <v>80.0</v>
      </c>
      <c r="I743" s="171">
        <v>100.0</v>
      </c>
      <c r="J743" s="172">
        <f t="shared" si="2"/>
        <v>0.0009928040298</v>
      </c>
      <c r="K743" s="173">
        <f t="shared" si="29"/>
        <v>1.108631167</v>
      </c>
      <c r="L743" s="174">
        <f t="shared" si="4"/>
        <v>2.346531911</v>
      </c>
      <c r="M743" s="175" t="str">
        <f t="shared" si="5"/>
        <v>kalesalad#3511</v>
      </c>
      <c r="N743" s="176">
        <f>IFERROR(__xludf.DUMMYFUNCTION("""COMPUTED_VALUE"""),2.0)</f>
        <v>2</v>
      </c>
      <c r="O743" s="176"/>
      <c r="P743" s="165" t="s">
        <v>226</v>
      </c>
      <c r="Q743" s="165" t="s">
        <v>441</v>
      </c>
      <c r="R743" s="176"/>
      <c r="S743" s="176"/>
      <c r="T743" s="176"/>
      <c r="U743" s="176"/>
      <c r="V743" s="176"/>
      <c r="W743" s="176"/>
      <c r="X743" s="176"/>
      <c r="Y743" s="176"/>
      <c r="Z743" s="176"/>
      <c r="AA743" s="176"/>
    </row>
    <row r="744">
      <c r="A744" s="165" t="str">
        <f>iferror(VLOOKUP(P744,'DO NOT TOUCH Imported'!$A$1:$D$800,4,False),iferror(VLOOKUP(P744,'DO NOT TOUCH Imported'!$C$1:$D$800,2,False),"OOPS FIX ME"))</f>
        <v>rosamoc</v>
      </c>
      <c r="B744" s="165" t="s">
        <v>441</v>
      </c>
      <c r="C744" s="170" t="s">
        <v>1662</v>
      </c>
      <c r="D744" s="236" t="s">
        <v>437</v>
      </c>
      <c r="E744" s="239">
        <v>44281.0</v>
      </c>
      <c r="F744" s="170" t="s">
        <v>439</v>
      </c>
      <c r="G744" s="170">
        <v>50.0</v>
      </c>
      <c r="H744" s="171">
        <v>100.0</v>
      </c>
      <c r="I744" s="171">
        <v>200.0</v>
      </c>
      <c r="J744" s="172">
        <f t="shared" si="2"/>
        <v>0.002049325789</v>
      </c>
      <c r="K744" s="173">
        <f t="shared" si="29"/>
        <v>2.288413798</v>
      </c>
      <c r="L744" s="174">
        <f t="shared" si="4"/>
        <v>2.288413798</v>
      </c>
      <c r="M744" s="175" t="str">
        <f t="shared" si="5"/>
        <v>rosamoc</v>
      </c>
      <c r="N744" s="176">
        <f>IFERROR(__xludf.DUMMYFUNCTION("""COMPUTED_VALUE"""),1.0)</f>
        <v>1</v>
      </c>
      <c r="O744" s="176"/>
      <c r="P744" s="165" t="s">
        <v>1898</v>
      </c>
      <c r="Q744" s="165" t="s">
        <v>441</v>
      </c>
      <c r="R744" s="176"/>
      <c r="S744" s="176"/>
      <c r="T744" s="176"/>
      <c r="U744" s="176"/>
      <c r="V744" s="176"/>
      <c r="W744" s="176"/>
      <c r="X744" s="176"/>
      <c r="Y744" s="176"/>
      <c r="Z744" s="176"/>
      <c r="AA744" s="176"/>
    </row>
    <row r="745">
      <c r="A745" s="165" t="str">
        <f>iferror(VLOOKUP(P745,'DO NOT TOUCH Imported'!$A$1:$D$800,4,False),iferror(VLOOKUP(P745,'DO NOT TOUCH Imported'!$C$1:$D$800,2,False),"OOPS FIX ME"))</f>
        <v>jwaup</v>
      </c>
      <c r="B745" s="249" t="s">
        <v>590</v>
      </c>
      <c r="C745" s="250" t="s">
        <v>1899</v>
      </c>
      <c r="D745" s="236" t="s">
        <v>1584</v>
      </c>
      <c r="E745" s="251">
        <v>44277.0</v>
      </c>
      <c r="F745" s="219" t="s">
        <v>499</v>
      </c>
      <c r="G745" s="170">
        <v>25.0</v>
      </c>
      <c r="H745" s="171">
        <v>100.0</v>
      </c>
      <c r="I745" s="171">
        <v>100.0</v>
      </c>
      <c r="J745" s="172">
        <f t="shared" si="2"/>
        <v>0.001234425234</v>
      </c>
      <c r="K745" s="173">
        <f t="shared" si="29"/>
        <v>1.378441511</v>
      </c>
      <c r="L745" s="174">
        <f t="shared" si="4"/>
        <v>2.229414604</v>
      </c>
      <c r="M745" s="175" t="str">
        <f t="shared" si="5"/>
        <v>jwaup</v>
      </c>
      <c r="N745" s="176">
        <f>IFERROR(__xludf.DUMMYFUNCTION("""COMPUTED_VALUE"""),1.0)</f>
        <v>1</v>
      </c>
      <c r="O745" s="176"/>
      <c r="P745" s="249" t="s">
        <v>97</v>
      </c>
      <c r="Q745" s="249" t="s">
        <v>590</v>
      </c>
      <c r="R745" s="176"/>
      <c r="S745" s="176"/>
      <c r="T745" s="176"/>
      <c r="U745" s="176"/>
      <c r="V745" s="176"/>
      <c r="W745" s="176"/>
      <c r="X745" s="176"/>
      <c r="Y745" s="176"/>
      <c r="Z745" s="176"/>
      <c r="AA745" s="176"/>
    </row>
    <row r="746">
      <c r="A746" s="165" t="str">
        <f>iferror(VLOOKUP(P746,'DO NOT TOUCH Imported'!$A$1:$D$800,4,False),iferror(VLOOKUP(P746,'DO NOT TOUCH Imported'!$C$1:$D$800,2,False),"OOPS FIX ME"))</f>
        <v>jwaup</v>
      </c>
      <c r="B746" s="249" t="s">
        <v>10</v>
      </c>
      <c r="C746" s="250" t="s">
        <v>500</v>
      </c>
      <c r="D746" s="236" t="s">
        <v>1584</v>
      </c>
      <c r="E746" s="251">
        <v>44275.0</v>
      </c>
      <c r="F746" s="219" t="s">
        <v>496</v>
      </c>
      <c r="G746" s="170">
        <v>15.0</v>
      </c>
      <c r="H746" s="171">
        <v>25.0</v>
      </c>
      <c r="I746" s="171">
        <v>100.0</v>
      </c>
      <c r="J746" s="172">
        <f t="shared" si="2"/>
        <v>0.0007620654566</v>
      </c>
      <c r="K746" s="173">
        <f t="shared" si="29"/>
        <v>0.8509730932</v>
      </c>
      <c r="L746" s="174">
        <f t="shared" si="4"/>
        <v>2.229414604</v>
      </c>
      <c r="M746" s="175" t="str">
        <f t="shared" si="5"/>
        <v>jwaup</v>
      </c>
      <c r="N746" s="176">
        <f>IFERROR(__xludf.DUMMYFUNCTION("""COMPUTED_VALUE"""),2.0)</f>
        <v>2</v>
      </c>
      <c r="O746" s="176"/>
      <c r="P746" s="249" t="s">
        <v>97</v>
      </c>
      <c r="Q746" s="249" t="s">
        <v>10</v>
      </c>
      <c r="R746" s="176"/>
      <c r="S746" s="176"/>
      <c r="T746" s="176"/>
      <c r="U746" s="176"/>
      <c r="V746" s="176"/>
      <c r="W746" s="176"/>
      <c r="X746" s="176"/>
      <c r="Y746" s="176"/>
      <c r="Z746" s="176"/>
      <c r="AA746" s="176"/>
    </row>
    <row r="747">
      <c r="A747" s="165" t="str">
        <f>iferror(VLOOKUP(P747,'DO NOT TOUCH Imported'!$A$1:$D$800,4,False),iferror(VLOOKUP(P747,'DO NOT TOUCH Imported'!$C$1:$D$800,2,False),"OOPS FIX ME"))</f>
        <v>phil_h</v>
      </c>
      <c r="B747" s="249" t="s">
        <v>18</v>
      </c>
      <c r="C747" s="250" t="s">
        <v>1900</v>
      </c>
      <c r="D747" s="236" t="s">
        <v>1584</v>
      </c>
      <c r="E747" s="251">
        <v>44279.0</v>
      </c>
      <c r="F747" s="219" t="s">
        <v>499</v>
      </c>
      <c r="G747" s="170">
        <v>15.0</v>
      </c>
      <c r="H747" s="171">
        <v>100.0</v>
      </c>
      <c r="I747" s="171">
        <v>100.0</v>
      </c>
      <c r="J747" s="172">
        <f t="shared" si="2"/>
        <v>0.001076708966</v>
      </c>
      <c r="K747" s="173">
        <f t="shared" si="29"/>
        <v>1.202325011</v>
      </c>
      <c r="L747" s="174">
        <f t="shared" si="4"/>
        <v>2.228533523</v>
      </c>
      <c r="M747" s="175" t="str">
        <f t="shared" si="5"/>
        <v>phil_h</v>
      </c>
      <c r="N747" s="176">
        <f>IFERROR(__xludf.DUMMYFUNCTION("""COMPUTED_VALUE"""),1.0)</f>
        <v>1</v>
      </c>
      <c r="O747" s="176"/>
      <c r="P747" s="249" t="s">
        <v>88</v>
      </c>
      <c r="Q747" s="249" t="s">
        <v>18</v>
      </c>
      <c r="R747" s="176"/>
      <c r="S747" s="176"/>
      <c r="T747" s="176"/>
      <c r="U747" s="176"/>
      <c r="V747" s="176"/>
      <c r="W747" s="176"/>
      <c r="X747" s="176"/>
      <c r="Y747" s="176"/>
      <c r="Z747" s="176"/>
      <c r="AA747" s="176"/>
    </row>
    <row r="748">
      <c r="A748" s="165" t="str">
        <f>iferror(VLOOKUP(P748,'DO NOT TOUCH Imported'!$A$1:$D$800,4,False),iferror(VLOOKUP(P748,'DO NOT TOUCH Imported'!$C$1:$D$800,2,False),"OOPS FIX ME"))</f>
        <v>phil_h</v>
      </c>
      <c r="B748" s="165" t="s">
        <v>566</v>
      </c>
      <c r="C748" s="170" t="s">
        <v>1901</v>
      </c>
      <c r="D748" s="236" t="s">
        <v>499</v>
      </c>
      <c r="E748" s="239">
        <v>44281.0</v>
      </c>
      <c r="F748" s="170" t="s">
        <v>503</v>
      </c>
      <c r="G748" s="170">
        <v>5.0</v>
      </c>
      <c r="H748" s="171">
        <v>100.0</v>
      </c>
      <c r="I748" s="171">
        <v>100.0</v>
      </c>
      <c r="J748" s="172">
        <f t="shared" si="2"/>
        <v>0.0009189926971</v>
      </c>
      <c r="K748" s="173">
        <f t="shared" si="29"/>
        <v>1.026208512</v>
      </c>
      <c r="L748" s="174">
        <f t="shared" si="4"/>
        <v>2.228533523</v>
      </c>
      <c r="M748" s="175" t="str">
        <f t="shared" si="5"/>
        <v>phil_h</v>
      </c>
      <c r="N748" s="176">
        <f>IFERROR(__xludf.DUMMYFUNCTION("""COMPUTED_VALUE"""),2.0)</f>
        <v>2</v>
      </c>
      <c r="O748" s="176"/>
      <c r="P748" s="165" t="s">
        <v>1902</v>
      </c>
      <c r="Q748" s="165" t="s">
        <v>566</v>
      </c>
      <c r="R748" s="176"/>
      <c r="S748" s="176"/>
      <c r="T748" s="176"/>
      <c r="U748" s="176"/>
      <c r="V748" s="176"/>
      <c r="W748" s="176"/>
      <c r="X748" s="176"/>
      <c r="Y748" s="176"/>
      <c r="Z748" s="176"/>
      <c r="AA748" s="176"/>
    </row>
    <row r="749">
      <c r="A749" s="165" t="str">
        <f>iferror(VLOOKUP(P749,'DO NOT TOUCH Imported'!$A$1:$D$800,4,False),iferror(VLOOKUP(P749,'DO NOT TOUCH Imported'!$C$1:$D$800,2,False),"OOPS FIX ME"))</f>
        <v>pehkah</v>
      </c>
      <c r="B749" s="165" t="s">
        <v>566</v>
      </c>
      <c r="C749" s="170" t="s">
        <v>1903</v>
      </c>
      <c r="D749" s="236" t="s">
        <v>499</v>
      </c>
      <c r="E749" s="239">
        <v>44277.0</v>
      </c>
      <c r="F749" s="170" t="s">
        <v>503</v>
      </c>
      <c r="G749" s="170">
        <v>15.0</v>
      </c>
      <c r="H749" s="171">
        <v>100.0</v>
      </c>
      <c r="I749" s="171">
        <v>100.0</v>
      </c>
      <c r="J749" s="172">
        <f t="shared" si="2"/>
        <v>0.001076708966</v>
      </c>
      <c r="K749" s="173">
        <f t="shared" si="29"/>
        <v>1.202325011</v>
      </c>
      <c r="L749" s="174">
        <f t="shared" si="4"/>
        <v>2.217262333</v>
      </c>
      <c r="M749" s="175" t="str">
        <f t="shared" si="5"/>
        <v>pehkah</v>
      </c>
      <c r="N749" s="176">
        <f>IFERROR(__xludf.DUMMYFUNCTION("""COMPUTED_VALUE"""),1.0)</f>
        <v>1</v>
      </c>
      <c r="O749" s="176"/>
      <c r="P749" s="165" t="s">
        <v>1904</v>
      </c>
      <c r="Q749" s="165" t="s">
        <v>566</v>
      </c>
      <c r="R749" s="176"/>
      <c r="S749" s="176"/>
      <c r="T749" s="176"/>
      <c r="U749" s="176"/>
      <c r="V749" s="176"/>
      <c r="W749" s="176"/>
      <c r="X749" s="176"/>
      <c r="Y749" s="176"/>
      <c r="Z749" s="176"/>
      <c r="AA749" s="176"/>
    </row>
    <row r="750">
      <c r="A750" s="165" t="str">
        <f>iferror(VLOOKUP(P750,'DO NOT TOUCH Imported'!$A$1:$D$800,4,False),iferror(VLOOKUP(P750,'DO NOT TOUCH Imported'!$C$1:$D$800,2,False),"OOPS FIX ME"))</f>
        <v>pehkah</v>
      </c>
      <c r="B750" s="165" t="s">
        <v>450</v>
      </c>
      <c r="C750" s="170" t="s">
        <v>1905</v>
      </c>
      <c r="D750" s="236" t="s">
        <v>499</v>
      </c>
      <c r="E750" s="239">
        <v>44278.0</v>
      </c>
      <c r="F750" s="170" t="s">
        <v>503</v>
      </c>
      <c r="G750" s="170">
        <v>15.0</v>
      </c>
      <c r="H750" s="171">
        <v>60.0</v>
      </c>
      <c r="I750" s="171">
        <v>100.0</v>
      </c>
      <c r="J750" s="172">
        <f t="shared" si="2"/>
        <v>0.0009088990941</v>
      </c>
      <c r="K750" s="173">
        <f t="shared" si="29"/>
        <v>1.014937322</v>
      </c>
      <c r="L750" s="174">
        <f t="shared" si="4"/>
        <v>2.217262333</v>
      </c>
      <c r="M750" s="175" t="str">
        <f t="shared" si="5"/>
        <v>pehkah</v>
      </c>
      <c r="N750" s="176">
        <f>IFERROR(__xludf.DUMMYFUNCTION("""COMPUTED_VALUE"""),2.0)</f>
        <v>2</v>
      </c>
      <c r="O750" s="176"/>
      <c r="P750" s="165" t="s">
        <v>1904</v>
      </c>
      <c r="Q750" s="165" t="s">
        <v>450</v>
      </c>
      <c r="R750" s="176"/>
      <c r="S750" s="176"/>
      <c r="T750" s="176"/>
      <c r="U750" s="176"/>
      <c r="V750" s="176"/>
      <c r="W750" s="176"/>
      <c r="X750" s="176"/>
      <c r="Y750" s="176"/>
      <c r="Z750" s="176"/>
      <c r="AA750" s="176"/>
    </row>
    <row r="751">
      <c r="A751" s="165" t="str">
        <f>iferror(VLOOKUP(P751,'DO NOT TOUCH Imported'!$A$1:$D$800,4,False),iferror(VLOOKUP(P751,'DO NOT TOUCH Imported'!$C$1:$D$800,2,False),"OOPS FIX ME"))</f>
        <v>REOS#2250</v>
      </c>
      <c r="B751" s="249" t="s">
        <v>879</v>
      </c>
      <c r="C751" s="250" t="s">
        <v>1832</v>
      </c>
      <c r="D751" s="236" t="s">
        <v>1584</v>
      </c>
      <c r="E751" s="251">
        <v>44273.0</v>
      </c>
      <c r="F751" s="219" t="s">
        <v>499</v>
      </c>
      <c r="G751" s="170">
        <v>25.0</v>
      </c>
      <c r="H751" s="171">
        <v>70.0</v>
      </c>
      <c r="I751" s="171">
        <v>100.0</v>
      </c>
      <c r="J751" s="172">
        <f t="shared" si="2"/>
        <v>0.00110856783</v>
      </c>
      <c r="K751" s="173">
        <f t="shared" si="29"/>
        <v>1.237900744</v>
      </c>
      <c r="L751" s="174">
        <f t="shared" si="4"/>
        <v>2.205991143</v>
      </c>
      <c r="M751" s="175" t="str">
        <f t="shared" si="5"/>
        <v>REOS#2250</v>
      </c>
      <c r="N751" s="176">
        <f>IFERROR(__xludf.DUMMYFUNCTION("""COMPUTED_VALUE"""),1.0)</f>
        <v>1</v>
      </c>
      <c r="O751" s="176"/>
      <c r="P751" s="249" t="s">
        <v>1906</v>
      </c>
      <c r="Q751" s="249" t="s">
        <v>879</v>
      </c>
      <c r="R751" s="176"/>
      <c r="S751" s="176"/>
      <c r="T751" s="176"/>
      <c r="U751" s="176"/>
      <c r="V751" s="176"/>
      <c r="W751" s="176"/>
      <c r="X751" s="176"/>
      <c r="Y751" s="176"/>
      <c r="Z751" s="176"/>
      <c r="AA751" s="176"/>
    </row>
    <row r="752">
      <c r="A752" s="165" t="str">
        <f>iferror(VLOOKUP(P752,'DO NOT TOUCH Imported'!$A$1:$D$800,4,False),iferror(VLOOKUP(P752,'DO NOT TOUCH Imported'!$C$1:$D$800,2,False),"OOPS FIX ME"))</f>
        <v/>
      </c>
      <c r="B752" s="249" t="s">
        <v>879</v>
      </c>
      <c r="C752" s="250" t="s">
        <v>1832</v>
      </c>
      <c r="D752" s="236" t="s">
        <v>1584</v>
      </c>
      <c r="E752" s="251">
        <v>44273.0</v>
      </c>
      <c r="F752" s="219" t="s">
        <v>499</v>
      </c>
      <c r="G752" s="170">
        <v>25.0</v>
      </c>
      <c r="H752" s="171">
        <v>70.0</v>
      </c>
      <c r="I752" s="171">
        <v>100.0</v>
      </c>
      <c r="J752" s="172">
        <f t="shared" si="2"/>
        <v>0.00110856783</v>
      </c>
      <c r="K752" s="173">
        <f t="shared" si="29"/>
        <v>1.237900744</v>
      </c>
      <c r="L752" s="174">
        <f t="shared" si="4"/>
        <v>627.3207545</v>
      </c>
      <c r="M752" s="175" t="str">
        <f t="shared" si="5"/>
        <v/>
      </c>
      <c r="N752" s="176"/>
      <c r="O752" s="176"/>
      <c r="P752" s="249" t="s">
        <v>171</v>
      </c>
      <c r="Q752" s="249" t="s">
        <v>879</v>
      </c>
      <c r="R752" s="176"/>
      <c r="S752" s="176"/>
      <c r="T752" s="176"/>
      <c r="U752" s="176"/>
      <c r="V752" s="176"/>
      <c r="W752" s="176"/>
      <c r="X752" s="176"/>
      <c r="Y752" s="176"/>
      <c r="Z752" s="176"/>
      <c r="AA752" s="176"/>
    </row>
    <row r="753">
      <c r="A753" s="165" t="str">
        <f>iferror(VLOOKUP(P753,'DO NOT TOUCH Imported'!$A$1:$D$800,4,False),iferror(VLOOKUP(P753,'DO NOT TOUCH Imported'!$C$1:$D$800,2,False),"OOPS FIX ME"))</f>
        <v>REOS#2250</v>
      </c>
      <c r="B753" s="165" t="s">
        <v>530</v>
      </c>
      <c r="C753" s="170" t="s">
        <v>1833</v>
      </c>
      <c r="D753" s="236" t="s">
        <v>499</v>
      </c>
      <c r="E753" s="239">
        <v>44273.0</v>
      </c>
      <c r="F753" s="170" t="s">
        <v>1646</v>
      </c>
      <c r="G753" s="170">
        <v>15.0</v>
      </c>
      <c r="H753" s="171">
        <v>50.0</v>
      </c>
      <c r="I753" s="171">
        <v>100.0</v>
      </c>
      <c r="J753" s="172">
        <f t="shared" si="2"/>
        <v>0.0008669466263</v>
      </c>
      <c r="K753" s="173">
        <f t="shared" si="29"/>
        <v>0.9680903993</v>
      </c>
      <c r="L753" s="174">
        <f t="shared" si="4"/>
        <v>2.205991143</v>
      </c>
      <c r="M753" s="175" t="str">
        <f t="shared" si="5"/>
        <v>REOS#2250</v>
      </c>
      <c r="N753" s="176">
        <f>IFERROR(__xludf.DUMMYFUNCTION("""COMPUTED_VALUE"""),2.0)</f>
        <v>2</v>
      </c>
      <c r="O753" s="176"/>
      <c r="P753" s="165" t="s">
        <v>184</v>
      </c>
      <c r="Q753" s="165" t="s">
        <v>530</v>
      </c>
      <c r="R753" s="176"/>
      <c r="S753" s="176"/>
      <c r="T753" s="176"/>
      <c r="U753" s="176"/>
      <c r="V753" s="176"/>
      <c r="W753" s="176"/>
      <c r="X753" s="176"/>
      <c r="Y753" s="176"/>
      <c r="Z753" s="176"/>
      <c r="AA753" s="176"/>
    </row>
    <row r="754">
      <c r="A754" s="165" t="str">
        <f>iferror(VLOOKUP(P754,'DO NOT TOUCH Imported'!$A$1:$D$800,4,False),iferror(VLOOKUP(P754,'DO NOT TOUCH Imported'!$C$1:$D$800,2,False),"OOPS FIX ME"))</f>
        <v>mercedesrodsim</v>
      </c>
      <c r="B754" s="165" t="s">
        <v>530</v>
      </c>
      <c r="C754" s="170" t="s">
        <v>1833</v>
      </c>
      <c r="D754" s="236" t="s">
        <v>499</v>
      </c>
      <c r="E754" s="239">
        <v>44273.0</v>
      </c>
      <c r="F754" s="170" t="s">
        <v>1646</v>
      </c>
      <c r="G754" s="170">
        <v>15.0</v>
      </c>
      <c r="H754" s="171">
        <v>50.0</v>
      </c>
      <c r="I754" s="171">
        <v>100.0</v>
      </c>
      <c r="J754" s="172">
        <f t="shared" si="2"/>
        <v>0.0008669466263</v>
      </c>
      <c r="K754" s="173">
        <f t="shared" si="29"/>
        <v>0.9680903993</v>
      </c>
      <c r="L754" s="174">
        <f t="shared" si="4"/>
        <v>0.9680903993</v>
      </c>
      <c r="M754" s="175" t="str">
        <f t="shared" si="5"/>
        <v>mercedesrodsim</v>
      </c>
      <c r="N754" s="176">
        <f>IFERROR(__xludf.DUMMYFUNCTION("""COMPUTED_VALUE"""),1.0)</f>
        <v>1</v>
      </c>
      <c r="O754" s="176"/>
      <c r="P754" s="165" t="s">
        <v>1547</v>
      </c>
      <c r="Q754" s="165" t="s">
        <v>530</v>
      </c>
      <c r="R754" s="176"/>
      <c r="S754" s="176"/>
      <c r="T754" s="176"/>
      <c r="U754" s="176"/>
      <c r="V754" s="176"/>
      <c r="W754" s="176"/>
      <c r="X754" s="176"/>
      <c r="Y754" s="176"/>
      <c r="Z754" s="176"/>
      <c r="AA754" s="176"/>
    </row>
    <row r="755">
      <c r="A755" s="165" t="str">
        <f>iferror(VLOOKUP(P755,'DO NOT TOUCH Imported'!$A$1:$D$800,4,False),iferror(VLOOKUP(P755,'DO NOT TOUCH Imported'!$C$1:$D$800,2,False),"OOPS FIX ME"))</f>
        <v>oedth</v>
      </c>
      <c r="B755" s="165" t="s">
        <v>450</v>
      </c>
      <c r="C755" s="170" t="s">
        <v>1907</v>
      </c>
      <c r="D755" s="236" t="s">
        <v>499</v>
      </c>
      <c r="E755" s="239">
        <v>44277.0</v>
      </c>
      <c r="F755" s="170" t="s">
        <v>503</v>
      </c>
      <c r="G755" s="170">
        <v>50.0</v>
      </c>
      <c r="H755" s="171">
        <v>150.0</v>
      </c>
      <c r="I755" s="171">
        <v>100.0</v>
      </c>
      <c r="J755" s="172">
        <f t="shared" si="2"/>
        <v>0.001838478244</v>
      </c>
      <c r="K755" s="173">
        <f t="shared" si="29"/>
        <v>2.052967373</v>
      </c>
      <c r="L755" s="174">
        <f t="shared" si="4"/>
        <v>2.052967373</v>
      </c>
      <c r="M755" s="175" t="str">
        <f t="shared" si="5"/>
        <v>oedth</v>
      </c>
      <c r="N755" s="176">
        <f>IFERROR(__xludf.DUMMYFUNCTION("""COMPUTED_VALUE"""),1.0)</f>
        <v>1</v>
      </c>
      <c r="O755" s="176"/>
      <c r="P755" s="165" t="s">
        <v>1908</v>
      </c>
      <c r="Q755" s="165" t="s">
        <v>450</v>
      </c>
      <c r="R755" s="176"/>
      <c r="S755" s="176"/>
      <c r="T755" s="176"/>
      <c r="U755" s="176"/>
      <c r="V755" s="176"/>
      <c r="W755" s="176"/>
      <c r="X755" s="176"/>
      <c r="Y755" s="176"/>
      <c r="Z755" s="176"/>
      <c r="AA755" s="176"/>
    </row>
    <row r="756">
      <c r="A756" s="165" t="str">
        <f>iferror(VLOOKUP(P756,'DO NOT TOUCH Imported'!$A$1:$D$800,4,False),iferror(VLOOKUP(P756,'DO NOT TOUCH Imported'!$C$1:$D$800,2,False),"OOPS FIX ME"))</f>
        <v>Suga#8514</v>
      </c>
      <c r="B756" s="165" t="s">
        <v>441</v>
      </c>
      <c r="C756" s="170" t="s">
        <v>1620</v>
      </c>
      <c r="D756" s="236" t="s">
        <v>437</v>
      </c>
      <c r="E756" s="239">
        <v>44274.0</v>
      </c>
      <c r="F756" s="170" t="s">
        <v>439</v>
      </c>
      <c r="G756" s="170">
        <v>15.0</v>
      </c>
      <c r="H756" s="171">
        <v>60.0</v>
      </c>
      <c r="I756" s="171">
        <v>100.0</v>
      </c>
      <c r="J756" s="172">
        <f t="shared" si="2"/>
        <v>0.0009088990941</v>
      </c>
      <c r="K756" s="173">
        <f t="shared" si="29"/>
        <v>1.014937322</v>
      </c>
      <c r="L756" s="174">
        <f t="shared" si="4"/>
        <v>1.983027721</v>
      </c>
      <c r="M756" s="175" t="str">
        <f t="shared" si="5"/>
        <v>Suga#8514</v>
      </c>
      <c r="N756" s="176">
        <f>IFERROR(__xludf.DUMMYFUNCTION("""COMPUTED_VALUE"""),1.0)</f>
        <v>1</v>
      </c>
      <c r="O756" s="176"/>
      <c r="P756" s="165" t="s">
        <v>45</v>
      </c>
      <c r="Q756" s="165" t="s">
        <v>441</v>
      </c>
      <c r="R756" s="176"/>
      <c r="S756" s="176"/>
      <c r="T756" s="176"/>
      <c r="U756" s="176"/>
      <c r="V756" s="176"/>
      <c r="W756" s="176"/>
      <c r="X756" s="176"/>
      <c r="Y756" s="176"/>
      <c r="Z756" s="176"/>
      <c r="AA756" s="176"/>
    </row>
    <row r="757">
      <c r="A757" s="165" t="str">
        <f>iferror(VLOOKUP(P757,'DO NOT TOUCH Imported'!$A$1:$D$800,4,False),iferror(VLOOKUP(P757,'DO NOT TOUCH Imported'!$C$1:$D$800,2,False),"OOPS FIX ME"))</f>
        <v>Suga#8514</v>
      </c>
      <c r="B757" s="165" t="s">
        <v>441</v>
      </c>
      <c r="C757" s="170" t="s">
        <v>1909</v>
      </c>
      <c r="D757" s="236" t="s">
        <v>437</v>
      </c>
      <c r="E757" s="239">
        <v>44274.0</v>
      </c>
      <c r="F757" s="170" t="s">
        <v>439</v>
      </c>
      <c r="G757" s="170">
        <v>15.0</v>
      </c>
      <c r="H757" s="171">
        <v>50.0</v>
      </c>
      <c r="I757" s="171">
        <v>100.0</v>
      </c>
      <c r="J757" s="172">
        <f t="shared" si="2"/>
        <v>0.0008669466263</v>
      </c>
      <c r="K757" s="173">
        <f t="shared" si="29"/>
        <v>0.9680903993</v>
      </c>
      <c r="L757" s="174">
        <f t="shared" si="4"/>
        <v>1.983027721</v>
      </c>
      <c r="M757" s="175" t="str">
        <f t="shared" si="5"/>
        <v>Suga#8514</v>
      </c>
      <c r="N757" s="176">
        <f>IFERROR(__xludf.DUMMYFUNCTION("""COMPUTED_VALUE"""),2.0)</f>
        <v>2</v>
      </c>
      <c r="O757" s="176"/>
      <c r="P757" s="165" t="s">
        <v>45</v>
      </c>
      <c r="Q757" s="165" t="s">
        <v>441</v>
      </c>
      <c r="R757" s="176"/>
      <c r="S757" s="176"/>
      <c r="T757" s="176"/>
      <c r="U757" s="176"/>
      <c r="V757" s="176"/>
      <c r="W757" s="176"/>
      <c r="X757" s="176"/>
      <c r="Y757" s="176"/>
      <c r="Z757" s="176"/>
      <c r="AA757" s="176"/>
    </row>
    <row r="758">
      <c r="A758" s="165" t="str">
        <f>iferror(VLOOKUP(P758,'DO NOT TOUCH Imported'!$A$1:$D$800,4,False),iferror(VLOOKUP(P758,'DO NOT TOUCH Imported'!$C$1:$D$800,2,False),"OOPS FIX ME"))</f>
        <v>ryanchrypto</v>
      </c>
      <c r="B758" s="165" t="s">
        <v>450</v>
      </c>
      <c r="C758" s="170" t="s">
        <v>1905</v>
      </c>
      <c r="D758" s="236" t="s">
        <v>499</v>
      </c>
      <c r="E758" s="239">
        <v>44278.0</v>
      </c>
      <c r="F758" s="170" t="s">
        <v>503</v>
      </c>
      <c r="G758" s="170">
        <v>15.0</v>
      </c>
      <c r="H758" s="171">
        <v>60.0</v>
      </c>
      <c r="I758" s="171">
        <v>100.0</v>
      </c>
      <c r="J758" s="172">
        <f t="shared" si="2"/>
        <v>0.0009088990941</v>
      </c>
      <c r="K758" s="173">
        <f t="shared" si="29"/>
        <v>1.014937322</v>
      </c>
      <c r="L758" s="174">
        <f t="shared" si="4"/>
        <v>1.865910415</v>
      </c>
      <c r="M758" s="175" t="str">
        <f t="shared" si="5"/>
        <v>ryanchrypto</v>
      </c>
      <c r="N758" s="176">
        <f>IFERROR(__xludf.DUMMYFUNCTION("""COMPUTED_VALUE"""),1.0)</f>
        <v>1</v>
      </c>
      <c r="O758" s="176"/>
      <c r="P758" s="165" t="s">
        <v>1215</v>
      </c>
      <c r="Q758" s="165" t="s">
        <v>450</v>
      </c>
      <c r="R758" s="176"/>
      <c r="S758" s="176"/>
      <c r="T758" s="176"/>
      <c r="U758" s="176"/>
      <c r="V758" s="176"/>
      <c r="W758" s="176"/>
      <c r="X758" s="176"/>
      <c r="Y758" s="176"/>
      <c r="Z758" s="176"/>
      <c r="AA758" s="176"/>
    </row>
    <row r="759">
      <c r="A759" s="165" t="str">
        <f>iferror(VLOOKUP(P759,'DO NOT TOUCH Imported'!$A$1:$D$800,4,False),iferror(VLOOKUP(P759,'DO NOT TOUCH Imported'!$C$1:$D$800,2,False),"OOPS FIX ME"))</f>
        <v>ryanchrypto</v>
      </c>
      <c r="B759" s="249" t="s">
        <v>10</v>
      </c>
      <c r="C759" s="250" t="s">
        <v>498</v>
      </c>
      <c r="D759" s="236" t="s">
        <v>1584</v>
      </c>
      <c r="E759" s="251">
        <v>44274.0</v>
      </c>
      <c r="F759" s="219" t="s">
        <v>499</v>
      </c>
      <c r="G759" s="170">
        <v>15.0</v>
      </c>
      <c r="H759" s="171">
        <v>25.0</v>
      </c>
      <c r="I759" s="171">
        <v>100.0</v>
      </c>
      <c r="J759" s="172">
        <f t="shared" si="2"/>
        <v>0.0007620654566</v>
      </c>
      <c r="K759" s="173">
        <f t="shared" si="29"/>
        <v>0.8509730932</v>
      </c>
      <c r="L759" s="174">
        <f t="shared" si="4"/>
        <v>1.865910415</v>
      </c>
      <c r="M759" s="175" t="str">
        <f t="shared" si="5"/>
        <v>ryanchrypto</v>
      </c>
      <c r="N759" s="176">
        <f>IFERROR(__xludf.DUMMYFUNCTION("""COMPUTED_VALUE"""),2.0)</f>
        <v>2</v>
      </c>
      <c r="O759" s="176"/>
      <c r="P759" s="249" t="s">
        <v>167</v>
      </c>
      <c r="Q759" s="249" t="s">
        <v>10</v>
      </c>
      <c r="R759" s="176"/>
      <c r="S759" s="176"/>
      <c r="T759" s="176"/>
      <c r="U759" s="176"/>
      <c r="V759" s="176"/>
      <c r="W759" s="176"/>
      <c r="X759" s="176"/>
      <c r="Y759" s="176"/>
      <c r="Z759" s="176"/>
      <c r="AA759" s="176"/>
    </row>
    <row r="760">
      <c r="A760" s="165" t="str">
        <f>iferror(VLOOKUP(P760,'DO NOT TOUCH Imported'!$A$1:$D$800,4,False),iferror(VLOOKUP(P760,'DO NOT TOUCH Imported'!$C$1:$D$800,2,False),"OOPS FIX ME"))</f>
        <v>cemfd</v>
      </c>
      <c r="B760" s="249" t="s">
        <v>590</v>
      </c>
      <c r="C760" s="250" t="s">
        <v>1784</v>
      </c>
      <c r="D760" s="236" t="s">
        <v>1584</v>
      </c>
      <c r="E760" s="251">
        <v>44270.0</v>
      </c>
      <c r="F760" s="219" t="s">
        <v>499</v>
      </c>
      <c r="G760" s="170">
        <v>25.0</v>
      </c>
      <c r="H760" s="171">
        <v>200.0</v>
      </c>
      <c r="I760" s="171">
        <v>100.0</v>
      </c>
      <c r="J760" s="172">
        <f t="shared" si="2"/>
        <v>0.001653949912</v>
      </c>
      <c r="K760" s="173">
        <f t="shared" si="29"/>
        <v>1.846910736</v>
      </c>
      <c r="L760" s="174">
        <f t="shared" si="4"/>
        <v>1.846910736</v>
      </c>
      <c r="M760" s="175" t="str">
        <f t="shared" si="5"/>
        <v>cemfd</v>
      </c>
      <c r="N760" s="176">
        <f>IFERROR(__xludf.DUMMYFUNCTION("""COMPUTED_VALUE"""),1.0)</f>
        <v>1</v>
      </c>
      <c r="O760" s="176"/>
      <c r="P760" s="249" t="s">
        <v>206</v>
      </c>
      <c r="Q760" s="249" t="s">
        <v>590</v>
      </c>
      <c r="R760" s="176"/>
      <c r="S760" s="176"/>
      <c r="T760" s="176"/>
      <c r="U760" s="176"/>
      <c r="V760" s="176"/>
      <c r="W760" s="176"/>
      <c r="X760" s="176"/>
      <c r="Y760" s="176"/>
      <c r="Z760" s="176"/>
      <c r="AA760" s="176"/>
    </row>
    <row r="761">
      <c r="A761" s="165" t="str">
        <f>iferror(VLOOKUP(P761,'DO NOT TOUCH Imported'!$A$1:$D$800,4,False),iferror(VLOOKUP(P761,'DO NOT TOUCH Imported'!$C$1:$D$800,2,False),"OOPS FIX ME"))</f>
        <v>ludo_lb</v>
      </c>
      <c r="B761" s="249" t="s">
        <v>845</v>
      </c>
      <c r="C761" s="250" t="s">
        <v>1874</v>
      </c>
      <c r="D761" s="236" t="s">
        <v>1584</v>
      </c>
      <c r="E761" s="251">
        <v>44279.0</v>
      </c>
      <c r="F761" s="219" t="s">
        <v>496</v>
      </c>
      <c r="G761" s="170">
        <v>50.0</v>
      </c>
      <c r="H761" s="171">
        <v>100.0</v>
      </c>
      <c r="I761" s="171">
        <v>100.0</v>
      </c>
      <c r="J761" s="172">
        <f t="shared" si="2"/>
        <v>0.001628715905</v>
      </c>
      <c r="K761" s="173">
        <f t="shared" si="29"/>
        <v>1.818732761</v>
      </c>
      <c r="L761" s="174">
        <f t="shared" si="4"/>
        <v>1.818732761</v>
      </c>
      <c r="M761" s="175" t="str">
        <f t="shared" si="5"/>
        <v>ludo_lb</v>
      </c>
      <c r="N761" s="176">
        <f>IFERROR(__xludf.DUMMYFUNCTION("""COMPUTED_VALUE"""),1.0)</f>
        <v>1</v>
      </c>
      <c r="O761" s="176"/>
      <c r="P761" s="249" t="s">
        <v>91</v>
      </c>
      <c r="Q761" s="249" t="s">
        <v>845</v>
      </c>
      <c r="R761" s="176"/>
      <c r="S761" s="176"/>
      <c r="T761" s="176"/>
      <c r="U761" s="176"/>
      <c r="V761" s="176"/>
      <c r="W761" s="176"/>
      <c r="X761" s="176"/>
      <c r="Y761" s="176"/>
      <c r="Z761" s="176"/>
      <c r="AA761" s="176"/>
    </row>
    <row r="762">
      <c r="A762" s="165" t="str">
        <f>iferror(VLOOKUP(P762,'DO NOT TOUCH Imported'!$A$1:$D$800,4,False),iferror(VLOOKUP(P762,'DO NOT TOUCH Imported'!$C$1:$D$800,2,False),"OOPS FIX ME"))</f>
        <v>positonic</v>
      </c>
      <c r="B762" s="165" t="s">
        <v>519</v>
      </c>
      <c r="C762" s="170" t="s">
        <v>1632</v>
      </c>
      <c r="D762" s="236" t="s">
        <v>1584</v>
      </c>
      <c r="E762" s="239">
        <v>44281.0</v>
      </c>
      <c r="F762" s="170" t="s">
        <v>496</v>
      </c>
      <c r="G762" s="170">
        <v>50.0</v>
      </c>
      <c r="H762" s="171">
        <v>100.0</v>
      </c>
      <c r="I762" s="171">
        <v>100.0</v>
      </c>
      <c r="J762" s="172">
        <f t="shared" si="2"/>
        <v>0.001628715905</v>
      </c>
      <c r="K762" s="173">
        <f t="shared" si="29"/>
        <v>1.818732761</v>
      </c>
      <c r="L762" s="174">
        <f t="shared" si="4"/>
        <v>1.818732761</v>
      </c>
      <c r="M762" s="175" t="str">
        <f t="shared" si="5"/>
        <v>positonic</v>
      </c>
      <c r="N762" s="176">
        <f>IFERROR(__xludf.DUMMYFUNCTION("""COMPUTED_VALUE"""),1.0)</f>
        <v>1</v>
      </c>
      <c r="O762" s="176"/>
      <c r="P762" s="165" t="s">
        <v>159</v>
      </c>
      <c r="Q762" s="165" t="s">
        <v>519</v>
      </c>
      <c r="R762" s="176"/>
      <c r="S762" s="176"/>
      <c r="T762" s="176"/>
      <c r="U762" s="176"/>
      <c r="V762" s="176"/>
      <c r="W762" s="176"/>
      <c r="X762" s="176"/>
      <c r="Y762" s="176"/>
      <c r="Z762" s="176"/>
      <c r="AA762" s="176"/>
    </row>
    <row r="763">
      <c r="A763" s="165" t="str">
        <f>iferror(VLOOKUP(P763,'DO NOT TOUCH Imported'!$A$1:$D$800,4,False),iferror(VLOOKUP(P763,'DO NOT TOUCH Imported'!$C$1:$D$800,2,False),"OOPS FIX ME"))</f>
        <v>willyogo</v>
      </c>
      <c r="B763" s="165" t="s">
        <v>519</v>
      </c>
      <c r="C763" s="170" t="s">
        <v>1632</v>
      </c>
      <c r="D763" s="236" t="s">
        <v>1584</v>
      </c>
      <c r="E763" s="239">
        <v>44281.0</v>
      </c>
      <c r="F763" s="170" t="s">
        <v>496</v>
      </c>
      <c r="G763" s="170">
        <v>50.0</v>
      </c>
      <c r="H763" s="171">
        <v>100.0</v>
      </c>
      <c r="I763" s="171">
        <v>100.0</v>
      </c>
      <c r="J763" s="172">
        <f t="shared" si="2"/>
        <v>0.001628715905</v>
      </c>
      <c r="K763" s="173">
        <f t="shared" si="29"/>
        <v>1.818732761</v>
      </c>
      <c r="L763" s="174">
        <f t="shared" si="4"/>
        <v>1.818732761</v>
      </c>
      <c r="M763" s="175" t="str">
        <f t="shared" si="5"/>
        <v>willyogo</v>
      </c>
      <c r="N763" s="176">
        <f>IFERROR(__xludf.DUMMYFUNCTION("""COMPUTED_VALUE"""),1.0)</f>
        <v>1</v>
      </c>
      <c r="O763" s="176"/>
      <c r="P763" s="165" t="s">
        <v>238</v>
      </c>
      <c r="Q763" s="165" t="s">
        <v>519</v>
      </c>
      <c r="R763" s="176"/>
      <c r="S763" s="176"/>
      <c r="T763" s="176"/>
      <c r="U763" s="176"/>
      <c r="V763" s="176"/>
      <c r="W763" s="176"/>
      <c r="X763" s="176"/>
      <c r="Y763" s="176"/>
      <c r="Z763" s="176"/>
      <c r="AA763" s="176"/>
    </row>
    <row r="764">
      <c r="A764" s="165" t="str">
        <f>iferror(VLOOKUP(P764,'DO NOT TOUCH Imported'!$A$1:$D$800,4,False),iferror(VLOOKUP(P764,'DO NOT TOUCH Imported'!$C$1:$D$800,2,False),"OOPS FIX ME"))</f>
        <v>tjayrush</v>
      </c>
      <c r="B764" s="165" t="s">
        <v>566</v>
      </c>
      <c r="C764" s="170" t="s">
        <v>1910</v>
      </c>
      <c r="D764" s="236" t="s">
        <v>499</v>
      </c>
      <c r="E764" s="239">
        <v>44281.0</v>
      </c>
      <c r="F764" s="170" t="s">
        <v>503</v>
      </c>
      <c r="G764" s="170">
        <v>50.0</v>
      </c>
      <c r="H764" s="171">
        <v>100.0</v>
      </c>
      <c r="I764" s="171">
        <v>100.0</v>
      </c>
      <c r="J764" s="172">
        <f t="shared" si="2"/>
        <v>0.001628715905</v>
      </c>
      <c r="K764" s="173">
        <f t="shared" si="29"/>
        <v>1.818732761</v>
      </c>
      <c r="L764" s="174">
        <f t="shared" si="4"/>
        <v>1.818732761</v>
      </c>
      <c r="M764" s="175" t="str">
        <f t="shared" si="5"/>
        <v>tjayrush</v>
      </c>
      <c r="N764" s="176">
        <f>IFERROR(__xludf.DUMMYFUNCTION("""COMPUTED_VALUE"""),1.0)</f>
        <v>1</v>
      </c>
      <c r="O764" s="176"/>
      <c r="P764" s="165" t="s">
        <v>1194</v>
      </c>
      <c r="Q764" s="165" t="s">
        <v>566</v>
      </c>
      <c r="R764" s="176"/>
      <c r="S764" s="176"/>
      <c r="T764" s="176"/>
      <c r="U764" s="176"/>
      <c r="V764" s="176"/>
      <c r="W764" s="176"/>
      <c r="X764" s="176"/>
      <c r="Y764" s="176"/>
      <c r="Z764" s="176"/>
      <c r="AA764" s="176"/>
    </row>
    <row r="765">
      <c r="A765" s="165" t="str">
        <f>iferror(VLOOKUP(P765,'DO NOT TOUCH Imported'!$A$1:$D$800,4,False),iferror(VLOOKUP(P765,'DO NOT TOUCH Imported'!$C$1:$D$800,2,False),"OOPS FIX ME"))</f>
        <v>gyalbo</v>
      </c>
      <c r="B765" s="249" t="s">
        <v>10</v>
      </c>
      <c r="C765" s="250" t="s">
        <v>498</v>
      </c>
      <c r="D765" s="236" t="s">
        <v>1584</v>
      </c>
      <c r="E765" s="251">
        <v>44274.0</v>
      </c>
      <c r="F765" s="219" t="s">
        <v>499</v>
      </c>
      <c r="G765" s="170">
        <v>15.0</v>
      </c>
      <c r="H765" s="171">
        <v>25.0</v>
      </c>
      <c r="I765" s="171">
        <v>100.0</v>
      </c>
      <c r="J765" s="172">
        <f t="shared" si="2"/>
        <v>0.0007620654566</v>
      </c>
      <c r="K765" s="173">
        <f t="shared" si="29"/>
        <v>0.8509730932</v>
      </c>
      <c r="L765" s="174">
        <f t="shared" si="4"/>
        <v>1.701946186</v>
      </c>
      <c r="M765" s="175" t="str">
        <f t="shared" si="5"/>
        <v>gyalbo</v>
      </c>
      <c r="N765" s="176">
        <f>IFERROR(__xludf.DUMMYFUNCTION("""COMPUTED_VALUE"""),1.0)</f>
        <v>1</v>
      </c>
      <c r="O765" s="176"/>
      <c r="P765" s="249" t="s">
        <v>108</v>
      </c>
      <c r="Q765" s="249" t="s">
        <v>10</v>
      </c>
      <c r="R765" s="176"/>
      <c r="S765" s="176"/>
      <c r="T765" s="176"/>
      <c r="U765" s="176"/>
      <c r="V765" s="176"/>
      <c r="W765" s="176"/>
      <c r="X765" s="176"/>
      <c r="Y765" s="176"/>
      <c r="Z765" s="176"/>
      <c r="AA765" s="176"/>
    </row>
    <row r="766">
      <c r="A766" s="165" t="str">
        <f>iferror(VLOOKUP(P766,'DO NOT TOUCH Imported'!$A$1:$D$800,4,False),iferror(VLOOKUP(P766,'DO NOT TOUCH Imported'!$C$1:$D$800,2,False),"OOPS FIX ME"))</f>
        <v>MisterBoyfriend</v>
      </c>
      <c r="B766" s="249" t="s">
        <v>10</v>
      </c>
      <c r="C766" s="250" t="s">
        <v>498</v>
      </c>
      <c r="D766" s="236" t="s">
        <v>1584</v>
      </c>
      <c r="E766" s="251">
        <v>44274.0</v>
      </c>
      <c r="F766" s="219" t="s">
        <v>499</v>
      </c>
      <c r="G766" s="170">
        <v>15.0</v>
      </c>
      <c r="H766" s="171">
        <v>25.0</v>
      </c>
      <c r="I766" s="171">
        <v>100.0</v>
      </c>
      <c r="J766" s="172">
        <f t="shared" si="2"/>
        <v>0.0007620654566</v>
      </c>
      <c r="K766" s="173">
        <f t="shared" si="29"/>
        <v>0.8509730932</v>
      </c>
      <c r="L766" s="174">
        <f t="shared" si="4"/>
        <v>1.701946186</v>
      </c>
      <c r="M766" s="175" t="str">
        <f t="shared" si="5"/>
        <v>MisterBoyfriend</v>
      </c>
      <c r="N766" s="176">
        <f>IFERROR(__xludf.DUMMYFUNCTION("""COMPUTED_VALUE"""),1.0)</f>
        <v>1</v>
      </c>
      <c r="O766" s="176"/>
      <c r="P766" s="249" t="s">
        <v>86</v>
      </c>
      <c r="Q766" s="249" t="s">
        <v>10</v>
      </c>
      <c r="R766" s="176"/>
      <c r="S766" s="176"/>
      <c r="T766" s="176"/>
      <c r="U766" s="176"/>
      <c r="V766" s="176"/>
      <c r="W766" s="176"/>
      <c r="X766" s="176"/>
      <c r="Y766" s="176"/>
      <c r="Z766" s="176"/>
      <c r="AA766" s="176"/>
    </row>
    <row r="767">
      <c r="A767" s="165" t="str">
        <f>iferror(VLOOKUP(P767,'DO NOT TOUCH Imported'!$A$1:$D$800,4,False),iferror(VLOOKUP(P767,'DO NOT TOUCH Imported'!$C$1:$D$800,2,False),"OOPS FIX ME"))</f>
        <v>HBesso31</v>
      </c>
      <c r="B767" s="249" t="s">
        <v>10</v>
      </c>
      <c r="C767" s="250" t="s">
        <v>498</v>
      </c>
      <c r="D767" s="236" t="s">
        <v>1584</v>
      </c>
      <c r="E767" s="251">
        <v>44274.0</v>
      </c>
      <c r="F767" s="219" t="s">
        <v>499</v>
      </c>
      <c r="G767" s="170">
        <v>15.0</v>
      </c>
      <c r="H767" s="171">
        <v>25.0</v>
      </c>
      <c r="I767" s="171">
        <v>100.0</v>
      </c>
      <c r="J767" s="172">
        <f t="shared" si="2"/>
        <v>0.0007620654566</v>
      </c>
      <c r="K767" s="173">
        <f t="shared" si="29"/>
        <v>0.8509730932</v>
      </c>
      <c r="L767" s="174">
        <f t="shared" si="4"/>
        <v>1.701946186</v>
      </c>
      <c r="M767" s="175" t="str">
        <f t="shared" si="5"/>
        <v>HBesso31</v>
      </c>
      <c r="N767" s="176">
        <f>IFERROR(__xludf.DUMMYFUNCTION("""COMPUTED_VALUE"""),1.0)</f>
        <v>1</v>
      </c>
      <c r="O767" s="176"/>
      <c r="P767" s="249" t="s">
        <v>54</v>
      </c>
      <c r="Q767" s="249" t="s">
        <v>10</v>
      </c>
      <c r="R767" s="176"/>
      <c r="S767" s="176"/>
      <c r="T767" s="176"/>
      <c r="U767" s="176"/>
      <c r="V767" s="176"/>
      <c r="W767" s="176"/>
      <c r="X767" s="176"/>
      <c r="Y767" s="176"/>
      <c r="Z767" s="176"/>
      <c r="AA767" s="176"/>
    </row>
    <row r="768">
      <c r="A768" s="165" t="str">
        <f>iferror(VLOOKUP(P768,'DO NOT TOUCH Imported'!$A$1:$D$800,4,False),iferror(VLOOKUP(P768,'DO NOT TOUCH Imported'!$C$1:$D$800,2,False),"OOPS FIX ME"))</f>
        <v>Seedsalchemist</v>
      </c>
      <c r="B768" s="249" t="s">
        <v>10</v>
      </c>
      <c r="C768" s="250" t="s">
        <v>498</v>
      </c>
      <c r="D768" s="236" t="s">
        <v>1584</v>
      </c>
      <c r="E768" s="251">
        <v>44274.0</v>
      </c>
      <c r="F768" s="219" t="s">
        <v>499</v>
      </c>
      <c r="G768" s="170">
        <v>15.0</v>
      </c>
      <c r="H768" s="171">
        <v>25.0</v>
      </c>
      <c r="I768" s="171">
        <v>100.0</v>
      </c>
      <c r="J768" s="172">
        <f t="shared" si="2"/>
        <v>0.0007620654566</v>
      </c>
      <c r="K768" s="173">
        <f t="shared" si="29"/>
        <v>0.8509730932</v>
      </c>
      <c r="L768" s="174">
        <f t="shared" si="4"/>
        <v>1.701946186</v>
      </c>
      <c r="M768" s="175" t="str">
        <f t="shared" si="5"/>
        <v>Seedsalchemist</v>
      </c>
      <c r="N768" s="176">
        <f>IFERROR(__xludf.DUMMYFUNCTION("""COMPUTED_VALUE"""),1.0)</f>
        <v>1</v>
      </c>
      <c r="O768" s="176"/>
      <c r="P768" s="249" t="s">
        <v>223</v>
      </c>
      <c r="Q768" s="249" t="s">
        <v>10</v>
      </c>
      <c r="R768" s="176"/>
      <c r="S768" s="176"/>
      <c r="T768" s="176"/>
      <c r="U768" s="176"/>
      <c r="V768" s="176"/>
      <c r="W768" s="176"/>
      <c r="X768" s="176"/>
      <c r="Y768" s="176"/>
      <c r="Z768" s="176"/>
      <c r="AA768" s="176"/>
    </row>
    <row r="769">
      <c r="A769" s="165" t="str">
        <f>iferror(VLOOKUP(P769,'DO NOT TOUCH Imported'!$A$1:$D$800,4,False),iferror(VLOOKUP(P769,'DO NOT TOUCH Imported'!$C$1:$D$800,2,False),"OOPS FIX ME"))</f>
        <v>gyalbo</v>
      </c>
      <c r="B769" s="249" t="s">
        <v>10</v>
      </c>
      <c r="C769" s="250" t="s">
        <v>500</v>
      </c>
      <c r="D769" s="236" t="s">
        <v>1584</v>
      </c>
      <c r="E769" s="251">
        <v>44275.0</v>
      </c>
      <c r="F769" s="219" t="s">
        <v>496</v>
      </c>
      <c r="G769" s="170">
        <v>15.0</v>
      </c>
      <c r="H769" s="171">
        <v>25.0</v>
      </c>
      <c r="I769" s="171">
        <v>100.0</v>
      </c>
      <c r="J769" s="172">
        <f t="shared" si="2"/>
        <v>0.0007620654566</v>
      </c>
      <c r="K769" s="173">
        <f t="shared" si="29"/>
        <v>0.8509730932</v>
      </c>
      <c r="L769" s="174">
        <f t="shared" si="4"/>
        <v>1.701946186</v>
      </c>
      <c r="M769" s="175" t="str">
        <f t="shared" si="5"/>
        <v>gyalbo</v>
      </c>
      <c r="N769" s="176">
        <f>IFERROR(__xludf.DUMMYFUNCTION("""COMPUTED_VALUE"""),2.0)</f>
        <v>2</v>
      </c>
      <c r="O769" s="176"/>
      <c r="P769" s="249" t="s">
        <v>108</v>
      </c>
      <c r="Q769" s="249" t="s">
        <v>10</v>
      </c>
      <c r="R769" s="176"/>
      <c r="S769" s="176"/>
      <c r="T769" s="176"/>
      <c r="U769" s="176"/>
      <c r="V769" s="176"/>
      <c r="W769" s="176"/>
      <c r="X769" s="176"/>
      <c r="Y769" s="176"/>
      <c r="Z769" s="176"/>
      <c r="AA769" s="176"/>
    </row>
    <row r="770">
      <c r="A770" s="165" t="str">
        <f>iferror(VLOOKUP(P770,'DO NOT TOUCH Imported'!$A$1:$D$800,4,False),iferror(VLOOKUP(P770,'DO NOT TOUCH Imported'!$C$1:$D$800,2,False),"OOPS FIX ME"))</f>
        <v>MisterBoyfriend</v>
      </c>
      <c r="B770" s="249" t="s">
        <v>10</v>
      </c>
      <c r="C770" s="250" t="s">
        <v>500</v>
      </c>
      <c r="D770" s="236" t="s">
        <v>1584</v>
      </c>
      <c r="E770" s="251">
        <v>44275.0</v>
      </c>
      <c r="F770" s="219" t="s">
        <v>496</v>
      </c>
      <c r="G770" s="170">
        <v>15.0</v>
      </c>
      <c r="H770" s="171">
        <v>25.0</v>
      </c>
      <c r="I770" s="171">
        <v>100.0</v>
      </c>
      <c r="J770" s="172">
        <f t="shared" si="2"/>
        <v>0.0007620654566</v>
      </c>
      <c r="K770" s="173">
        <f t="shared" si="29"/>
        <v>0.8509730932</v>
      </c>
      <c r="L770" s="174">
        <f t="shared" si="4"/>
        <v>1.701946186</v>
      </c>
      <c r="M770" s="175" t="str">
        <f t="shared" si="5"/>
        <v>MisterBoyfriend</v>
      </c>
      <c r="N770" s="176">
        <f>IFERROR(__xludf.DUMMYFUNCTION("""COMPUTED_VALUE"""),2.0)</f>
        <v>2</v>
      </c>
      <c r="O770" s="176"/>
      <c r="P770" s="249" t="s">
        <v>86</v>
      </c>
      <c r="Q770" s="249" t="s">
        <v>10</v>
      </c>
      <c r="R770" s="176"/>
      <c r="S770" s="176"/>
      <c r="T770" s="176"/>
      <c r="U770" s="176"/>
      <c r="V770" s="176"/>
      <c r="W770" s="176"/>
      <c r="X770" s="176"/>
      <c r="Y770" s="176"/>
      <c r="Z770" s="176"/>
      <c r="AA770" s="176"/>
    </row>
    <row r="771">
      <c r="A771" s="165" t="str">
        <f>iferror(VLOOKUP(P771,'DO NOT TOUCH Imported'!$A$1:$D$800,4,False),iferror(VLOOKUP(P771,'DO NOT TOUCH Imported'!$C$1:$D$800,2,False),"OOPS FIX ME"))</f>
        <v>HBesso31</v>
      </c>
      <c r="B771" s="249" t="s">
        <v>10</v>
      </c>
      <c r="C771" s="250" t="s">
        <v>500</v>
      </c>
      <c r="D771" s="236" t="s">
        <v>1584</v>
      </c>
      <c r="E771" s="251">
        <v>44275.0</v>
      </c>
      <c r="F771" s="219" t="s">
        <v>496</v>
      </c>
      <c r="G771" s="170">
        <v>15.0</v>
      </c>
      <c r="H771" s="171">
        <v>25.0</v>
      </c>
      <c r="I771" s="171">
        <v>100.0</v>
      </c>
      <c r="J771" s="172">
        <f t="shared" si="2"/>
        <v>0.0007620654566</v>
      </c>
      <c r="K771" s="173">
        <f t="shared" si="29"/>
        <v>0.8509730932</v>
      </c>
      <c r="L771" s="174">
        <f t="shared" si="4"/>
        <v>1.701946186</v>
      </c>
      <c r="M771" s="175" t="str">
        <f t="shared" si="5"/>
        <v>HBesso31</v>
      </c>
      <c r="N771" s="176">
        <f>IFERROR(__xludf.DUMMYFUNCTION("""COMPUTED_VALUE"""),2.0)</f>
        <v>2</v>
      </c>
      <c r="O771" s="176"/>
      <c r="P771" s="249" t="s">
        <v>54</v>
      </c>
      <c r="Q771" s="249" t="s">
        <v>10</v>
      </c>
      <c r="R771" s="176"/>
      <c r="S771" s="176"/>
      <c r="T771" s="176"/>
      <c r="U771" s="176"/>
      <c r="V771" s="176"/>
      <c r="W771" s="176"/>
      <c r="X771" s="176"/>
      <c r="Y771" s="176"/>
      <c r="Z771" s="176"/>
      <c r="AA771" s="176"/>
    </row>
    <row r="772">
      <c r="A772" s="165" t="str">
        <f>iferror(VLOOKUP(P772,'DO NOT TOUCH Imported'!$A$1:$D$800,4,False),iferror(VLOOKUP(P772,'DO NOT TOUCH Imported'!$C$1:$D$800,2,False),"OOPS FIX ME"))</f>
        <v>Seedsalchemist</v>
      </c>
      <c r="B772" s="249" t="s">
        <v>10</v>
      </c>
      <c r="C772" s="250" t="s">
        <v>500</v>
      </c>
      <c r="D772" s="236" t="s">
        <v>1584</v>
      </c>
      <c r="E772" s="251">
        <v>44275.0</v>
      </c>
      <c r="F772" s="219" t="s">
        <v>496</v>
      </c>
      <c r="G772" s="170">
        <v>15.0</v>
      </c>
      <c r="H772" s="171">
        <v>25.0</v>
      </c>
      <c r="I772" s="171">
        <v>100.0</v>
      </c>
      <c r="J772" s="172">
        <f t="shared" si="2"/>
        <v>0.0007620654566</v>
      </c>
      <c r="K772" s="173">
        <f t="shared" si="29"/>
        <v>0.8509730932</v>
      </c>
      <c r="L772" s="174">
        <f t="shared" si="4"/>
        <v>1.701946186</v>
      </c>
      <c r="M772" s="175" t="str">
        <f t="shared" si="5"/>
        <v>Seedsalchemist</v>
      </c>
      <c r="N772" s="176">
        <f>IFERROR(__xludf.DUMMYFUNCTION("""COMPUTED_VALUE"""),2.0)</f>
        <v>2</v>
      </c>
      <c r="O772" s="176"/>
      <c r="P772" s="249" t="s">
        <v>223</v>
      </c>
      <c r="Q772" s="249" t="s">
        <v>10</v>
      </c>
      <c r="R772" s="176"/>
      <c r="S772" s="176"/>
      <c r="T772" s="176"/>
      <c r="U772" s="176"/>
      <c r="V772" s="176"/>
      <c r="W772" s="176"/>
      <c r="X772" s="176"/>
      <c r="Y772" s="176"/>
      <c r="Z772" s="176"/>
      <c r="AA772" s="176"/>
    </row>
    <row r="773">
      <c r="A773" s="165" t="str">
        <f>iferror(VLOOKUP(P773,'DO NOT TOUCH Imported'!$A$1:$D$800,4,False),iferror(VLOOKUP(P773,'DO NOT TOUCH Imported'!$C$1:$D$800,2,False),"OOPS FIX ME"))</f>
        <v>Kike Bell#8265</v>
      </c>
      <c r="B773" s="165" t="s">
        <v>443</v>
      </c>
      <c r="C773" s="170" t="s">
        <v>1652</v>
      </c>
      <c r="D773" s="236" t="s">
        <v>437</v>
      </c>
      <c r="E773" s="239">
        <v>44279.0</v>
      </c>
      <c r="F773" s="170" t="s">
        <v>439</v>
      </c>
      <c r="G773" s="170">
        <v>15.0</v>
      </c>
      <c r="H773" s="171">
        <v>200.0</v>
      </c>
      <c r="I773" s="171">
        <v>100.0</v>
      </c>
      <c r="J773" s="172">
        <f t="shared" si="2"/>
        <v>0.001496233644</v>
      </c>
      <c r="K773" s="173">
        <f t="shared" si="29"/>
        <v>1.670794236</v>
      </c>
      <c r="L773" s="174">
        <f t="shared" si="4"/>
        <v>1.670794236</v>
      </c>
      <c r="M773" s="175" t="str">
        <f t="shared" si="5"/>
        <v>Kike Bell#8265</v>
      </c>
      <c r="N773" s="176">
        <f>IFERROR(__xludf.DUMMYFUNCTION("""COMPUTED_VALUE"""),1.0)</f>
        <v>1</v>
      </c>
      <c r="O773" s="176"/>
      <c r="P773" s="165" t="s">
        <v>244</v>
      </c>
      <c r="Q773" s="165" t="s">
        <v>443</v>
      </c>
      <c r="R773" s="176"/>
      <c r="S773" s="176"/>
      <c r="T773" s="176"/>
      <c r="U773" s="176"/>
      <c r="V773" s="176"/>
      <c r="W773" s="176"/>
      <c r="X773" s="176"/>
      <c r="Y773" s="176"/>
      <c r="Z773" s="176"/>
      <c r="AA773" s="176"/>
    </row>
    <row r="774">
      <c r="A774" s="165" t="str">
        <f>iferror(VLOOKUP(P774,'DO NOT TOUCH Imported'!$A$1:$D$800,4,False),iferror(VLOOKUP(P774,'DO NOT TOUCH Imported'!$C$1:$D$800,2,False),"OOPS FIX ME"))</f>
        <v>anjablaj</v>
      </c>
      <c r="B774" s="249" t="s">
        <v>519</v>
      </c>
      <c r="C774" s="250" t="s">
        <v>1696</v>
      </c>
      <c r="D774" s="236" t="s">
        <v>1584</v>
      </c>
      <c r="E774" s="251">
        <v>44272.0</v>
      </c>
      <c r="F774" s="219" t="s">
        <v>496</v>
      </c>
      <c r="G774" s="170">
        <v>25.0</v>
      </c>
      <c r="H774" s="171">
        <v>150.0</v>
      </c>
      <c r="I774" s="171">
        <v>100.0</v>
      </c>
      <c r="J774" s="172">
        <f t="shared" si="2"/>
        <v>0.001444187573</v>
      </c>
      <c r="K774" s="173">
        <f t="shared" si="29"/>
        <v>1.612676123</v>
      </c>
      <c r="L774" s="174">
        <f t="shared" si="4"/>
        <v>1.612676123</v>
      </c>
      <c r="M774" s="175" t="str">
        <f t="shared" si="5"/>
        <v>anjablaj</v>
      </c>
      <c r="N774" s="176">
        <f>IFERROR(__xludf.DUMMYFUNCTION("""COMPUTED_VALUE"""),1.0)</f>
        <v>1</v>
      </c>
      <c r="O774" s="176"/>
      <c r="P774" s="249" t="s">
        <v>83</v>
      </c>
      <c r="Q774" s="249" t="s">
        <v>519</v>
      </c>
      <c r="R774" s="176"/>
      <c r="S774" s="176"/>
      <c r="T774" s="176"/>
      <c r="U774" s="176"/>
      <c r="V774" s="176"/>
      <c r="W774" s="176"/>
      <c r="X774" s="176"/>
      <c r="Y774" s="176"/>
      <c r="Z774" s="176"/>
      <c r="AA774" s="176"/>
    </row>
    <row r="775">
      <c r="A775" s="165" t="str">
        <f>iferror(VLOOKUP(P775,'DO NOT TOUCH Imported'!$A$1:$D$800,4,False),iferror(VLOOKUP(P775,'DO NOT TOUCH Imported'!$C$1:$D$800,2,False),"OOPS FIX ME"))</f>
        <v>sjdthree#8498</v>
      </c>
      <c r="B775" s="165" t="s">
        <v>441</v>
      </c>
      <c r="C775" s="170" t="s">
        <v>1593</v>
      </c>
      <c r="D775" s="236" t="s">
        <v>437</v>
      </c>
      <c r="E775" s="239">
        <v>44274.0</v>
      </c>
      <c r="F775" s="170" t="s">
        <v>439</v>
      </c>
      <c r="G775" s="170">
        <v>25.0</v>
      </c>
      <c r="H775" s="171">
        <v>150.0</v>
      </c>
      <c r="I775" s="171">
        <v>100.0</v>
      </c>
      <c r="J775" s="172">
        <f t="shared" si="2"/>
        <v>0.001444187573</v>
      </c>
      <c r="K775" s="173">
        <f t="shared" si="29"/>
        <v>1.612676123</v>
      </c>
      <c r="L775" s="174">
        <f t="shared" si="4"/>
        <v>1.612676123</v>
      </c>
      <c r="M775" s="175" t="str">
        <f t="shared" si="5"/>
        <v>sjdthree#8498</v>
      </c>
      <c r="N775" s="176">
        <f>IFERROR(__xludf.DUMMYFUNCTION("""COMPUTED_VALUE"""),1.0)</f>
        <v>1</v>
      </c>
      <c r="O775" s="176"/>
      <c r="P775" s="165" t="s">
        <v>102</v>
      </c>
      <c r="Q775" s="165" t="s">
        <v>441</v>
      </c>
      <c r="R775" s="176"/>
      <c r="S775" s="176"/>
      <c r="T775" s="176"/>
      <c r="U775" s="176"/>
      <c r="V775" s="176"/>
      <c r="W775" s="176"/>
      <c r="X775" s="176"/>
      <c r="Y775" s="176"/>
      <c r="Z775" s="176"/>
      <c r="AA775" s="176"/>
    </row>
    <row r="776">
      <c r="A776" s="165" t="str">
        <f>iferror(VLOOKUP(P776,'DO NOT TOUCH Imported'!$A$1:$D$800,4,False),iferror(VLOOKUP(P776,'DO NOT TOUCH Imported'!$C$1:$D$800,2,False),"OOPS FIX ME"))</f>
        <v>dysbulic 🐙#3391</v>
      </c>
      <c r="B776" s="165" t="s">
        <v>441</v>
      </c>
      <c r="C776" s="170" t="s">
        <v>1593</v>
      </c>
      <c r="D776" s="236" t="s">
        <v>437</v>
      </c>
      <c r="E776" s="239">
        <v>44274.0</v>
      </c>
      <c r="F776" s="170" t="s">
        <v>439</v>
      </c>
      <c r="G776" s="170">
        <v>25.0</v>
      </c>
      <c r="H776" s="171">
        <v>150.0</v>
      </c>
      <c r="I776" s="171">
        <v>100.0</v>
      </c>
      <c r="J776" s="172">
        <f t="shared" si="2"/>
        <v>0.001444187573</v>
      </c>
      <c r="K776" s="173">
        <f t="shared" si="29"/>
        <v>1.612676123</v>
      </c>
      <c r="L776" s="174">
        <f t="shared" si="4"/>
        <v>1.612676123</v>
      </c>
      <c r="M776" s="175" t="str">
        <f t="shared" si="5"/>
        <v>dysbulic 🐙#3391</v>
      </c>
      <c r="N776" s="176">
        <f>IFERROR(__xludf.DUMMYFUNCTION("""COMPUTED_VALUE"""),1.0)</f>
        <v>1</v>
      </c>
      <c r="O776" s="176"/>
      <c r="P776" s="165" t="s">
        <v>252</v>
      </c>
      <c r="Q776" s="165" t="s">
        <v>441</v>
      </c>
      <c r="R776" s="176"/>
      <c r="S776" s="176"/>
      <c r="T776" s="176"/>
      <c r="U776" s="176"/>
      <c r="V776" s="176"/>
      <c r="W776" s="176"/>
      <c r="X776" s="176"/>
      <c r="Y776" s="176"/>
      <c r="Z776" s="176"/>
      <c r="AA776" s="176"/>
    </row>
    <row r="777">
      <c r="A777" s="165" t="str">
        <f>iferror(VLOOKUP(P777,'DO NOT TOUCH Imported'!$A$1:$D$800,4,False),iferror(VLOOKUP(P777,'DO NOT TOUCH Imported'!$C$1:$D$800,2,False),"OOPS FIX ME"))</f>
        <v>davidhq</v>
      </c>
      <c r="B777" s="165" t="s">
        <v>450</v>
      </c>
      <c r="C777" s="170" t="s">
        <v>1911</v>
      </c>
      <c r="D777" s="236" t="s">
        <v>499</v>
      </c>
      <c r="E777" s="239">
        <v>44277.0</v>
      </c>
      <c r="F777" s="170" t="s">
        <v>503</v>
      </c>
      <c r="G777" s="170">
        <v>25.0</v>
      </c>
      <c r="H777" s="171">
        <v>150.0</v>
      </c>
      <c r="I777" s="171">
        <v>100.0</v>
      </c>
      <c r="J777" s="172">
        <f t="shared" si="2"/>
        <v>0.001444187573</v>
      </c>
      <c r="K777" s="173">
        <f t="shared" si="29"/>
        <v>1.612676123</v>
      </c>
      <c r="L777" s="174">
        <f t="shared" si="4"/>
        <v>1.612676123</v>
      </c>
      <c r="M777" s="175" t="str">
        <f t="shared" si="5"/>
        <v>davidhq</v>
      </c>
      <c r="N777" s="176">
        <f>IFERROR(__xludf.DUMMYFUNCTION("""COMPUTED_VALUE"""),1.0)</f>
        <v>1</v>
      </c>
      <c r="O777" s="176"/>
      <c r="P777" s="165" t="s">
        <v>1552</v>
      </c>
      <c r="Q777" s="165" t="s">
        <v>450</v>
      </c>
      <c r="R777" s="176"/>
      <c r="S777" s="176"/>
      <c r="T777" s="176"/>
      <c r="U777" s="176"/>
      <c r="V777" s="176"/>
      <c r="W777" s="176"/>
      <c r="X777" s="176"/>
      <c r="Y777" s="176"/>
      <c r="Z777" s="176"/>
      <c r="AA777" s="176"/>
    </row>
    <row r="778">
      <c r="A778" s="165" t="str">
        <f>iferror(VLOOKUP(P778,'DO NOT TOUCH Imported'!$A$1:$D$800,4,False),iferror(VLOOKUP(P778,'DO NOT TOUCH Imported'!$C$1:$D$800,2,False),"OOPS FIX ME"))</f>
        <v>magentaceiba</v>
      </c>
      <c r="B778" s="165" t="s">
        <v>566</v>
      </c>
      <c r="C778" s="170" t="s">
        <v>1912</v>
      </c>
      <c r="D778" s="236" t="s">
        <v>499</v>
      </c>
      <c r="E778" s="239">
        <v>44277.0</v>
      </c>
      <c r="F778" s="170" t="s">
        <v>503</v>
      </c>
      <c r="G778" s="170">
        <v>25.0</v>
      </c>
      <c r="H778" s="171">
        <v>150.0</v>
      </c>
      <c r="I778" s="171">
        <v>100.0</v>
      </c>
      <c r="J778" s="172">
        <f t="shared" si="2"/>
        <v>0.001444187573</v>
      </c>
      <c r="K778" s="173">
        <f t="shared" si="29"/>
        <v>1.612676123</v>
      </c>
      <c r="L778" s="174">
        <f t="shared" si="4"/>
        <v>1.612676123</v>
      </c>
      <c r="M778" s="175" t="str">
        <f t="shared" si="5"/>
        <v>magentaceiba</v>
      </c>
      <c r="N778" s="176">
        <f>IFERROR(__xludf.DUMMYFUNCTION("""COMPUTED_VALUE"""),1.0)</f>
        <v>1</v>
      </c>
      <c r="O778" s="176"/>
      <c r="P778" s="165" t="s">
        <v>1196</v>
      </c>
      <c r="Q778" s="165" t="s">
        <v>566</v>
      </c>
      <c r="R778" s="176"/>
      <c r="S778" s="176"/>
      <c r="T778" s="176"/>
      <c r="U778" s="176"/>
      <c r="V778" s="176"/>
      <c r="W778" s="176"/>
      <c r="X778" s="176"/>
      <c r="Y778" s="176"/>
      <c r="Z778" s="176"/>
      <c r="AA778" s="176"/>
    </row>
    <row r="779">
      <c r="A779" s="165" t="str">
        <f>iferror(VLOOKUP(P779,'DO NOT TOUCH Imported'!$A$1:$D$800,4,False),iferror(VLOOKUP(P779,'DO NOT TOUCH Imported'!$C$1:$D$800,2,False),"OOPS FIX ME"))</f>
        <v>fabianvb</v>
      </c>
      <c r="B779" s="249" t="s">
        <v>10</v>
      </c>
      <c r="C779" s="250" t="s">
        <v>1767</v>
      </c>
      <c r="D779" s="236" t="s">
        <v>1584</v>
      </c>
      <c r="E779" s="251">
        <v>44274.0</v>
      </c>
      <c r="F779" s="219" t="s">
        <v>496</v>
      </c>
      <c r="G779" s="170">
        <v>35.0</v>
      </c>
      <c r="H779" s="171">
        <v>100.0</v>
      </c>
      <c r="I779" s="171">
        <v>100.0</v>
      </c>
      <c r="J779" s="172">
        <f t="shared" si="2"/>
        <v>0.001392141502</v>
      </c>
      <c r="K779" s="173">
        <f t="shared" si="29"/>
        <v>1.554558011</v>
      </c>
      <c r="L779" s="174">
        <f t="shared" si="4"/>
        <v>1.554558011</v>
      </c>
      <c r="M779" s="175" t="str">
        <f t="shared" si="5"/>
        <v>fabianvb</v>
      </c>
      <c r="N779" s="176">
        <f>IFERROR(__xludf.DUMMYFUNCTION("""COMPUTED_VALUE"""),1.0)</f>
        <v>1</v>
      </c>
      <c r="O779" s="176"/>
      <c r="P779" s="249" t="s">
        <v>76</v>
      </c>
      <c r="Q779" s="249" t="s">
        <v>10</v>
      </c>
      <c r="R779" s="176"/>
      <c r="S779" s="176"/>
      <c r="T779" s="176"/>
      <c r="U779" s="176"/>
      <c r="V779" s="176"/>
      <c r="W779" s="176"/>
      <c r="X779" s="176"/>
      <c r="Y779" s="176"/>
      <c r="Z779" s="176"/>
      <c r="AA779" s="176"/>
    </row>
    <row r="780">
      <c r="A780" s="165" t="str">
        <f>iferror(VLOOKUP(P780,'DO NOT TOUCH Imported'!$A$1:$D$800,4,False),iferror(VLOOKUP(P780,'DO NOT TOUCH Imported'!$C$1:$D$800,2,False),"OOPS FIX ME"))</f>
        <v>freddbomba</v>
      </c>
      <c r="B780" s="257" t="s">
        <v>10</v>
      </c>
      <c r="C780" s="258" t="s">
        <v>1767</v>
      </c>
      <c r="D780" s="259" t="s">
        <v>1584</v>
      </c>
      <c r="E780" s="260">
        <v>44274.0</v>
      </c>
      <c r="F780" s="261" t="s">
        <v>496</v>
      </c>
      <c r="G780" s="170">
        <v>35.0</v>
      </c>
      <c r="H780" s="171">
        <v>100.0</v>
      </c>
      <c r="I780" s="171">
        <v>100.0</v>
      </c>
      <c r="J780" s="172">
        <f t="shared" si="2"/>
        <v>0.001392141502</v>
      </c>
      <c r="K780" s="173">
        <f t="shared" si="29"/>
        <v>1.554558011</v>
      </c>
      <c r="L780" s="174">
        <f t="shared" si="4"/>
        <v>1.554558011</v>
      </c>
      <c r="M780" s="175" t="str">
        <f t="shared" si="5"/>
        <v>freddbomba</v>
      </c>
      <c r="N780" s="176">
        <f>IFERROR(__xludf.DUMMYFUNCTION("""COMPUTED_VALUE"""),1.0)</f>
        <v>1</v>
      </c>
      <c r="O780" s="176"/>
      <c r="P780" s="257" t="s">
        <v>115</v>
      </c>
      <c r="Q780" s="257" t="s">
        <v>10</v>
      </c>
      <c r="R780" s="176"/>
      <c r="S780" s="176"/>
      <c r="T780" s="176"/>
      <c r="U780" s="176"/>
      <c r="V780" s="176"/>
      <c r="W780" s="176"/>
      <c r="X780" s="176"/>
      <c r="Y780" s="176"/>
      <c r="Z780" s="176"/>
      <c r="AA780" s="176"/>
    </row>
    <row r="781">
      <c r="A781" s="165" t="str">
        <f>iferror(VLOOKUP(P781,'DO NOT TOUCH Imported'!$A$1:$D$800,4,False),iferror(VLOOKUP(P781,'DO NOT TOUCH Imported'!$C$1:$D$800,2,False),"OOPS FIX ME"))</f>
        <v>tylerdmace</v>
      </c>
      <c r="B781" s="262" t="s">
        <v>566</v>
      </c>
      <c r="C781" s="263" t="s">
        <v>1913</v>
      </c>
      <c r="D781" s="259" t="s">
        <v>499</v>
      </c>
      <c r="E781" s="264">
        <v>44277.0</v>
      </c>
      <c r="F781" s="263" t="s">
        <v>503</v>
      </c>
      <c r="G781" s="170">
        <v>15.0</v>
      </c>
      <c r="H781" s="171">
        <v>150.0</v>
      </c>
      <c r="I781" s="171">
        <v>100.0</v>
      </c>
      <c r="J781" s="172">
        <f t="shared" si="2"/>
        <v>0.001286471305</v>
      </c>
      <c r="K781" s="173">
        <f t="shared" si="29"/>
        <v>1.436559624</v>
      </c>
      <c r="L781" s="174">
        <f t="shared" si="4"/>
        <v>1.436559624</v>
      </c>
      <c r="M781" s="175" t="str">
        <f t="shared" si="5"/>
        <v>tylerdmace</v>
      </c>
      <c r="N781" s="176">
        <f>IFERROR(__xludf.DUMMYFUNCTION("""COMPUTED_VALUE"""),1.0)</f>
        <v>1</v>
      </c>
      <c r="O781" s="176"/>
      <c r="P781" s="262" t="s">
        <v>1217</v>
      </c>
      <c r="Q781" s="262" t="s">
        <v>566</v>
      </c>
      <c r="R781" s="176"/>
      <c r="S781" s="176"/>
      <c r="T781" s="176"/>
      <c r="U781" s="176"/>
      <c r="V781" s="176"/>
      <c r="W781" s="176"/>
      <c r="X781" s="176"/>
      <c r="Y781" s="176"/>
      <c r="Z781" s="176"/>
      <c r="AA781" s="176"/>
    </row>
    <row r="782">
      <c r="A782" s="165" t="str">
        <f>iferror(VLOOKUP(P782,'DO NOT TOUCH Imported'!$A$1:$D$800,4,False),iferror(VLOOKUP(P782,'DO NOT TOUCH Imported'!$C$1:$D$800,2,False),"OOPS FIX ME"))</f>
        <v>Michal#7390</v>
      </c>
      <c r="B782" s="262" t="s">
        <v>441</v>
      </c>
      <c r="C782" s="263" t="s">
        <v>1839</v>
      </c>
      <c r="D782" s="259" t="s">
        <v>437</v>
      </c>
      <c r="E782" s="264">
        <v>44281.0</v>
      </c>
      <c r="F782" s="263" t="s">
        <v>439</v>
      </c>
      <c r="G782" s="170">
        <v>15.0</v>
      </c>
      <c r="H782" s="171">
        <v>150.0</v>
      </c>
      <c r="I782" s="171">
        <v>100.0</v>
      </c>
      <c r="J782" s="172">
        <f t="shared" si="2"/>
        <v>0.001286471305</v>
      </c>
      <c r="K782" s="173">
        <f t="shared" si="29"/>
        <v>1.436559624</v>
      </c>
      <c r="L782" s="174">
        <f t="shared" si="4"/>
        <v>1.436559624</v>
      </c>
      <c r="M782" s="175" t="str">
        <f t="shared" si="5"/>
        <v>Michal#7390</v>
      </c>
      <c r="N782" s="176">
        <f>IFERROR(__xludf.DUMMYFUNCTION("""COMPUTED_VALUE"""),1.0)</f>
        <v>1</v>
      </c>
      <c r="O782" s="176"/>
      <c r="P782" s="262" t="s">
        <v>173</v>
      </c>
      <c r="Q782" s="262" t="s">
        <v>441</v>
      </c>
      <c r="R782" s="176"/>
      <c r="S782" s="176"/>
      <c r="T782" s="176"/>
      <c r="U782" s="176"/>
      <c r="V782" s="176"/>
      <c r="W782" s="176"/>
      <c r="X782" s="176"/>
      <c r="Y782" s="176"/>
      <c r="Z782" s="176"/>
      <c r="AA782" s="176"/>
    </row>
    <row r="783">
      <c r="A783" s="165" t="str">
        <f>iferror(VLOOKUP(P783,'DO NOT TOUCH Imported'!$A$1:$D$800,4,False),iferror(VLOOKUP(P783,'DO NOT TOUCH Imported'!$C$1:$D$800,2,False),"OOPS FIX ME"))</f>
        <v>maxsong123</v>
      </c>
      <c r="B783" s="257" t="s">
        <v>590</v>
      </c>
      <c r="C783" s="258" t="s">
        <v>1889</v>
      </c>
      <c r="D783" s="259" t="s">
        <v>1584</v>
      </c>
      <c r="E783" s="260">
        <v>44277.0</v>
      </c>
      <c r="F783" s="261" t="s">
        <v>499</v>
      </c>
      <c r="G783" s="170">
        <v>25.0</v>
      </c>
      <c r="H783" s="171">
        <v>100.0</v>
      </c>
      <c r="I783" s="171">
        <v>100.0</v>
      </c>
      <c r="J783" s="172">
        <f t="shared" si="2"/>
        <v>0.001234425234</v>
      </c>
      <c r="K783" s="173">
        <f t="shared" si="29"/>
        <v>1.378441511</v>
      </c>
      <c r="L783" s="174">
        <f t="shared" si="4"/>
        <v>1.378441511</v>
      </c>
      <c r="M783" s="175" t="str">
        <f t="shared" si="5"/>
        <v>maxsong123</v>
      </c>
      <c r="N783" s="176">
        <f>IFERROR(__xludf.DUMMYFUNCTION("""COMPUTED_VALUE"""),1.0)</f>
        <v>1</v>
      </c>
      <c r="O783" s="176"/>
      <c r="P783" s="257" t="s">
        <v>163</v>
      </c>
      <c r="Q783" s="257" t="s">
        <v>590</v>
      </c>
      <c r="R783" s="176"/>
      <c r="S783" s="176"/>
      <c r="T783" s="176"/>
      <c r="U783" s="176"/>
      <c r="V783" s="176"/>
      <c r="W783" s="176"/>
      <c r="X783" s="176"/>
      <c r="Y783" s="176"/>
      <c r="Z783" s="176"/>
      <c r="AA783" s="176"/>
    </row>
    <row r="784">
      <c r="A784" s="165" t="str">
        <f>iferror(VLOOKUP(P784,'DO NOT TOUCH Imported'!$A$1:$D$800,4,False),iferror(VLOOKUP(P784,'DO NOT TOUCH Imported'!$C$1:$D$800,2,False),"OOPS FIX ME"))</f>
        <v>lanski13</v>
      </c>
      <c r="B784" s="262" t="s">
        <v>512</v>
      </c>
      <c r="C784" s="263" t="s">
        <v>1721</v>
      </c>
      <c r="D784" s="259" t="s">
        <v>437</v>
      </c>
      <c r="E784" s="239">
        <v>44274.0</v>
      </c>
      <c r="F784" s="263" t="s">
        <v>1722</v>
      </c>
      <c r="G784" s="170">
        <v>25.0</v>
      </c>
      <c r="H784" s="171">
        <v>100.0</v>
      </c>
      <c r="I784" s="171">
        <v>100.0</v>
      </c>
      <c r="J784" s="172">
        <f t="shared" si="2"/>
        <v>0.001234425234</v>
      </c>
      <c r="K784" s="173">
        <f t="shared" si="29"/>
        <v>1.378441511</v>
      </c>
      <c r="L784" s="174">
        <f t="shared" si="4"/>
        <v>1.378441511</v>
      </c>
      <c r="M784" s="175" t="str">
        <f t="shared" si="5"/>
        <v>lanski13</v>
      </c>
      <c r="N784" s="176">
        <f>IFERROR(__xludf.DUMMYFUNCTION("""COMPUTED_VALUE"""),1.0)</f>
        <v>1</v>
      </c>
      <c r="O784" s="176"/>
      <c r="P784" s="262" t="s">
        <v>1914</v>
      </c>
      <c r="Q784" s="262" t="s">
        <v>512</v>
      </c>
      <c r="R784" s="176"/>
      <c r="S784" s="176"/>
      <c r="T784" s="176"/>
      <c r="U784" s="176"/>
      <c r="V784" s="176"/>
      <c r="W784" s="176"/>
      <c r="X784" s="176"/>
      <c r="Y784" s="176"/>
      <c r="Z784" s="176"/>
      <c r="AA784" s="176"/>
    </row>
    <row r="785">
      <c r="A785" s="165" t="str">
        <f>iferror(VLOOKUP(P785,'DO NOT TOUCH Imported'!$A$1:$D$800,4,False),iferror(VLOOKUP(P785,'DO NOT TOUCH Imported'!$C$1:$D$800,2,False),"OOPS FIX ME"))</f>
        <v>maghaali#6154</v>
      </c>
      <c r="B785" s="262" t="s">
        <v>512</v>
      </c>
      <c r="C785" s="263" t="s">
        <v>1721</v>
      </c>
      <c r="D785" s="259" t="s">
        <v>437</v>
      </c>
      <c r="E785" s="239">
        <v>44274.0</v>
      </c>
      <c r="F785" s="263" t="s">
        <v>1722</v>
      </c>
      <c r="G785" s="170">
        <v>25.0</v>
      </c>
      <c r="H785" s="171">
        <v>100.0</v>
      </c>
      <c r="I785" s="171">
        <v>100.0</v>
      </c>
      <c r="J785" s="172">
        <f t="shared" si="2"/>
        <v>0.001234425234</v>
      </c>
      <c r="K785" s="173">
        <f t="shared" si="29"/>
        <v>1.378441511</v>
      </c>
      <c r="L785" s="174">
        <f t="shared" si="4"/>
        <v>1.378441511</v>
      </c>
      <c r="M785" s="175" t="str">
        <f t="shared" si="5"/>
        <v>maghaali#6154</v>
      </c>
      <c r="N785" s="176">
        <f>IFERROR(__xludf.DUMMYFUNCTION("""COMPUTED_VALUE"""),1.0)</f>
        <v>1</v>
      </c>
      <c r="O785" s="176"/>
      <c r="P785" s="262" t="s">
        <v>267</v>
      </c>
      <c r="Q785" s="262" t="s">
        <v>512</v>
      </c>
      <c r="R785" s="176"/>
      <c r="S785" s="176"/>
      <c r="T785" s="176"/>
      <c r="U785" s="176"/>
      <c r="V785" s="176"/>
      <c r="W785" s="176"/>
      <c r="X785" s="176"/>
      <c r="Y785" s="176"/>
      <c r="Z785" s="176"/>
      <c r="AA785" s="176"/>
    </row>
    <row r="786">
      <c r="A786" s="165" t="str">
        <f>iferror(VLOOKUP(P786,'DO NOT TOUCH Imported'!$A$1:$D$800,4,False),iferror(VLOOKUP(P786,'DO NOT TOUCH Imported'!$C$1:$D$800,2,False),"OOPS FIX ME"))</f>
        <v>johann#1308</v>
      </c>
      <c r="B786" s="262" t="s">
        <v>512</v>
      </c>
      <c r="C786" s="263" t="s">
        <v>1721</v>
      </c>
      <c r="D786" s="259" t="s">
        <v>437</v>
      </c>
      <c r="E786" s="239">
        <v>44274.0</v>
      </c>
      <c r="F786" s="263" t="s">
        <v>1722</v>
      </c>
      <c r="G786" s="170">
        <v>25.0</v>
      </c>
      <c r="H786" s="171">
        <v>100.0</v>
      </c>
      <c r="I786" s="171">
        <v>100.0</v>
      </c>
      <c r="J786" s="172">
        <f t="shared" si="2"/>
        <v>0.001234425234</v>
      </c>
      <c r="K786" s="173">
        <f t="shared" si="29"/>
        <v>1.378441511</v>
      </c>
      <c r="L786" s="174">
        <f t="shared" si="4"/>
        <v>1.378441511</v>
      </c>
      <c r="M786" s="175" t="str">
        <f t="shared" si="5"/>
        <v>johann#1308</v>
      </c>
      <c r="N786" s="176">
        <f>IFERROR(__xludf.DUMMYFUNCTION("""COMPUTED_VALUE"""),1.0)</f>
        <v>1</v>
      </c>
      <c r="O786" s="176"/>
      <c r="P786" s="262" t="s">
        <v>203</v>
      </c>
      <c r="Q786" s="262" t="s">
        <v>512</v>
      </c>
      <c r="R786" s="176"/>
      <c r="S786" s="176"/>
      <c r="T786" s="176"/>
      <c r="U786" s="176"/>
      <c r="V786" s="176"/>
      <c r="W786" s="176"/>
      <c r="X786" s="176"/>
      <c r="Y786" s="176"/>
      <c r="Z786" s="176"/>
      <c r="AA786" s="176"/>
    </row>
    <row r="787">
      <c r="A787" s="165" t="str">
        <f>iferror(VLOOKUP(P787,'DO NOT TOUCH Imported'!$A$1:$D$800,4,False),iferror(VLOOKUP(P787,'DO NOT TOUCH Imported'!$C$1:$D$800,2,False),"OOPS FIX ME"))</f>
        <v>BK#7471</v>
      </c>
      <c r="B787" s="262" t="s">
        <v>512</v>
      </c>
      <c r="C787" s="263" t="s">
        <v>1721</v>
      </c>
      <c r="D787" s="259" t="s">
        <v>437</v>
      </c>
      <c r="E787" s="239">
        <v>44274.0</v>
      </c>
      <c r="F787" s="263" t="s">
        <v>1722</v>
      </c>
      <c r="G787" s="170">
        <v>25.0</v>
      </c>
      <c r="H787" s="171">
        <v>100.0</v>
      </c>
      <c r="I787" s="171">
        <v>100.0</v>
      </c>
      <c r="J787" s="172">
        <f t="shared" si="2"/>
        <v>0.001234425234</v>
      </c>
      <c r="K787" s="173">
        <f t="shared" si="29"/>
        <v>1.378441511</v>
      </c>
      <c r="L787" s="174">
        <f t="shared" si="4"/>
        <v>1.378441511</v>
      </c>
      <c r="M787" s="175" t="str">
        <f t="shared" si="5"/>
        <v>BK#7471</v>
      </c>
      <c r="N787" s="176">
        <f>IFERROR(__xludf.DUMMYFUNCTION("""COMPUTED_VALUE"""),1.0)</f>
        <v>1</v>
      </c>
      <c r="O787" s="176"/>
      <c r="P787" s="262" t="s">
        <v>204</v>
      </c>
      <c r="Q787" s="262" t="s">
        <v>512</v>
      </c>
      <c r="R787" s="176"/>
      <c r="S787" s="176"/>
      <c r="T787" s="176"/>
      <c r="U787" s="176"/>
      <c r="V787" s="176"/>
      <c r="W787" s="176"/>
      <c r="X787" s="176"/>
      <c r="Y787" s="176"/>
      <c r="Z787" s="176"/>
      <c r="AA787" s="176"/>
    </row>
    <row r="788">
      <c r="A788" s="165" t="str">
        <f>iferror(VLOOKUP(P788,'DO NOT TOUCH Imported'!$A$1:$D$800,4,False),iferror(VLOOKUP(P788,'DO NOT TOUCH Imported'!$C$1:$D$800,2,False),"OOPS FIX ME"))</f>
        <v>aminlatifi</v>
      </c>
      <c r="B788" s="165" t="s">
        <v>10</v>
      </c>
      <c r="C788" s="170" t="s">
        <v>1669</v>
      </c>
      <c r="D788" s="236" t="s">
        <v>1584</v>
      </c>
      <c r="E788" s="239">
        <v>44281.0</v>
      </c>
      <c r="F788" s="170" t="s">
        <v>496</v>
      </c>
      <c r="G788" s="170">
        <v>25.0</v>
      </c>
      <c r="H788" s="171">
        <v>80.0</v>
      </c>
      <c r="I788" s="171">
        <v>100.0</v>
      </c>
      <c r="J788" s="172">
        <f t="shared" si="2"/>
        <v>0.001150520298</v>
      </c>
      <c r="K788" s="173">
        <f t="shared" si="29"/>
        <v>1.284747666</v>
      </c>
      <c r="L788" s="174">
        <f t="shared" si="4"/>
        <v>1.284747666</v>
      </c>
      <c r="M788" s="175" t="str">
        <f t="shared" si="5"/>
        <v>aminlatifi</v>
      </c>
      <c r="N788" s="176">
        <f>IFERROR(__xludf.DUMMYFUNCTION("""COMPUTED_VALUE"""),1.0)</f>
        <v>1</v>
      </c>
      <c r="O788" s="176"/>
      <c r="P788" s="165" t="s">
        <v>73</v>
      </c>
      <c r="Q788" s="165" t="s">
        <v>10</v>
      </c>
      <c r="R788" s="176"/>
      <c r="S788" s="176"/>
      <c r="T788" s="176"/>
      <c r="U788" s="176"/>
      <c r="V788" s="176"/>
      <c r="W788" s="176"/>
      <c r="X788" s="176"/>
      <c r="Y788" s="176"/>
      <c r="Z788" s="176"/>
      <c r="AA788" s="176"/>
    </row>
    <row r="789">
      <c r="A789" s="185" t="str">
        <f>iferror(VLOOKUP(P789,'DO NOT TOUCH Imported'!$A$1:$D$800,4,False),iferror(VLOOKUP(P789,'DO NOT TOUCH Imported'!$C$1:$D$800,2,False),"OOPS FIX ME"))</f>
        <v>aminlatifi</v>
      </c>
      <c r="B789" s="185" t="s">
        <v>534</v>
      </c>
      <c r="C789" s="186" t="s">
        <v>839</v>
      </c>
      <c r="D789" s="187"/>
      <c r="E789" s="188"/>
      <c r="F789" s="189"/>
      <c r="G789" s="190"/>
      <c r="H789" s="190"/>
      <c r="I789" s="190"/>
      <c r="J789" s="191">
        <f t="shared" si="2"/>
        <v>0</v>
      </c>
      <c r="K789" s="192"/>
      <c r="L789" s="193">
        <f t="shared" si="4"/>
        <v>1.284747666</v>
      </c>
      <c r="M789" s="194" t="str">
        <f t="shared" si="5"/>
        <v>aminlatifi</v>
      </c>
      <c r="N789" s="195">
        <f>IFERROR(__xludf.DUMMYFUNCTION("""COMPUTED_VALUE"""),2.0)</f>
        <v>2</v>
      </c>
      <c r="O789" s="195"/>
      <c r="P789" s="185" t="s">
        <v>73</v>
      </c>
      <c r="Q789" s="185" t="s">
        <v>534</v>
      </c>
      <c r="R789" s="195">
        <v>18.802169413641863</v>
      </c>
      <c r="S789" s="195"/>
      <c r="T789" s="195"/>
      <c r="U789" s="195"/>
      <c r="V789" s="195"/>
      <c r="W789" s="195"/>
      <c r="X789" s="195"/>
      <c r="Y789" s="195"/>
      <c r="Z789" s="195"/>
      <c r="AA789" s="176"/>
    </row>
    <row r="790">
      <c r="A790" s="165" t="str">
        <f>iferror(VLOOKUP(P790,'DO NOT TOUCH Imported'!$A$1:$D$800,4,False),iferror(VLOOKUP(P790,'DO NOT TOUCH Imported'!$C$1:$D$800,2,False),"OOPS FIX ME"))</f>
        <v>paul2#3057</v>
      </c>
      <c r="B790" s="165" t="s">
        <v>490</v>
      </c>
      <c r="C790" s="170" t="s">
        <v>1707</v>
      </c>
      <c r="D790" s="236" t="s">
        <v>437</v>
      </c>
      <c r="E790" s="239">
        <v>44279.0</v>
      </c>
      <c r="F790" s="170" t="s">
        <v>439</v>
      </c>
      <c r="G790" s="170">
        <v>25.0</v>
      </c>
      <c r="H790" s="171">
        <v>70.0</v>
      </c>
      <c r="I790" s="171">
        <v>100.0</v>
      </c>
      <c r="J790" s="172">
        <f t="shared" si="2"/>
        <v>0.00110856783</v>
      </c>
      <c r="K790" s="173">
        <f t="shared" ref="K790:K793" si="30">J790*$J$1</f>
        <v>1.237900744</v>
      </c>
      <c r="L790" s="174">
        <f t="shared" si="4"/>
        <v>1.237900744</v>
      </c>
      <c r="M790" s="175" t="str">
        <f t="shared" si="5"/>
        <v>paul2#3057</v>
      </c>
      <c r="N790" s="176">
        <f>IFERROR(__xludf.DUMMYFUNCTION("""COMPUTED_VALUE"""),1.0)</f>
        <v>1</v>
      </c>
      <c r="O790" s="176"/>
      <c r="P790" s="165" t="s">
        <v>276</v>
      </c>
      <c r="Q790" s="165" t="s">
        <v>490</v>
      </c>
      <c r="R790" s="176"/>
      <c r="S790" s="176"/>
      <c r="T790" s="176"/>
      <c r="U790" s="176"/>
      <c r="V790" s="176"/>
      <c r="W790" s="176"/>
      <c r="X790" s="176"/>
      <c r="Y790" s="176"/>
      <c r="Z790" s="176"/>
      <c r="AA790" s="176"/>
    </row>
    <row r="791">
      <c r="A791" s="165" t="str">
        <f>iferror(VLOOKUP(P791,'DO NOT TOUCH Imported'!$A$1:$D$800,4,False),iferror(VLOOKUP(P791,'DO NOT TOUCH Imported'!$C$1:$D$800,2,False),"OOPS FIX ME"))</f>
        <v>Lydia#2825</v>
      </c>
      <c r="B791" s="165" t="s">
        <v>463</v>
      </c>
      <c r="C791" s="170" t="s">
        <v>1601</v>
      </c>
      <c r="D791" s="236" t="s">
        <v>437</v>
      </c>
      <c r="E791" s="239">
        <v>44272.0</v>
      </c>
      <c r="F791" s="170" t="s">
        <v>439</v>
      </c>
      <c r="G791" s="170">
        <v>15.0</v>
      </c>
      <c r="H791" s="171">
        <v>100.0</v>
      </c>
      <c r="I791" s="171">
        <v>100.0</v>
      </c>
      <c r="J791" s="172">
        <f t="shared" si="2"/>
        <v>0.001076708966</v>
      </c>
      <c r="K791" s="173">
        <f t="shared" si="30"/>
        <v>1.202325011</v>
      </c>
      <c r="L791" s="174">
        <f t="shared" si="4"/>
        <v>1.202325011</v>
      </c>
      <c r="M791" s="175" t="str">
        <f t="shared" si="5"/>
        <v>Lydia#2825</v>
      </c>
      <c r="N791" s="176">
        <f>IFERROR(__xludf.DUMMYFUNCTION("""COMPUTED_VALUE"""),1.0)</f>
        <v>1</v>
      </c>
      <c r="O791" s="176"/>
      <c r="P791" s="165" t="s">
        <v>130</v>
      </c>
      <c r="Q791" s="165" t="s">
        <v>463</v>
      </c>
      <c r="R791" s="176"/>
      <c r="S791" s="176"/>
      <c r="T791" s="176"/>
      <c r="U791" s="176"/>
      <c r="V791" s="176"/>
      <c r="W791" s="176"/>
      <c r="X791" s="176"/>
      <c r="Y791" s="176"/>
      <c r="Z791" s="176"/>
      <c r="AA791" s="176"/>
    </row>
    <row r="792">
      <c r="A792" s="165" t="str">
        <f>iferror(VLOOKUP(P792,'DO NOT TOUCH Imported'!$A$1:$D$800,4,False),iferror(VLOOKUP(P792,'DO NOT TOUCH Imported'!$C$1:$D$800,2,False),"OOPS FIX ME"))</f>
        <v>rubenrussel7</v>
      </c>
      <c r="B792" s="165" t="s">
        <v>443</v>
      </c>
      <c r="C792" s="170" t="s">
        <v>1603</v>
      </c>
      <c r="D792" s="236" t="s">
        <v>437</v>
      </c>
      <c r="E792" s="239">
        <v>44277.0</v>
      </c>
      <c r="F792" s="170" t="s">
        <v>439</v>
      </c>
      <c r="G792" s="170">
        <v>15.0</v>
      </c>
      <c r="H792" s="171">
        <v>100.0</v>
      </c>
      <c r="I792" s="171">
        <v>100.0</v>
      </c>
      <c r="J792" s="172">
        <f t="shared" si="2"/>
        <v>0.001076708966</v>
      </c>
      <c r="K792" s="173">
        <f t="shared" si="30"/>
        <v>1.202325011</v>
      </c>
      <c r="L792" s="174">
        <f t="shared" si="4"/>
        <v>1.202325011</v>
      </c>
      <c r="M792" s="175" t="str">
        <f t="shared" si="5"/>
        <v>rubenrussel7</v>
      </c>
      <c r="N792" s="176">
        <f>IFERROR(__xludf.DUMMYFUNCTION("""COMPUTED_VALUE"""),1.0)</f>
        <v>1</v>
      </c>
      <c r="O792" s="176"/>
      <c r="P792" s="165" t="s">
        <v>821</v>
      </c>
      <c r="Q792" s="165" t="s">
        <v>443</v>
      </c>
      <c r="R792" s="176"/>
      <c r="S792" s="176"/>
      <c r="T792" s="176"/>
      <c r="U792" s="176"/>
      <c r="V792" s="176"/>
      <c r="W792" s="176"/>
      <c r="X792" s="176"/>
      <c r="Y792" s="176"/>
      <c r="Z792" s="176"/>
      <c r="AA792" s="176"/>
    </row>
    <row r="793">
      <c r="A793" s="165" t="str">
        <f>iferror(VLOOKUP(P793,'DO NOT TOUCH Imported'!$A$1:$D$800,4,False),iferror(VLOOKUP(P793,'DO NOT TOUCH Imported'!$C$1:$D$800,2,False),"OOPS FIX ME"))</f>
        <v>atacas</v>
      </c>
      <c r="B793" s="165" t="s">
        <v>443</v>
      </c>
      <c r="C793" s="170" t="s">
        <v>1603</v>
      </c>
      <c r="D793" s="236" t="s">
        <v>437</v>
      </c>
      <c r="E793" s="239">
        <v>44277.0</v>
      </c>
      <c r="F793" s="170" t="s">
        <v>439</v>
      </c>
      <c r="G793" s="170">
        <v>15.0</v>
      </c>
      <c r="H793" s="171">
        <v>100.0</v>
      </c>
      <c r="I793" s="171">
        <v>100.0</v>
      </c>
      <c r="J793" s="172">
        <f t="shared" si="2"/>
        <v>0.001076708966</v>
      </c>
      <c r="K793" s="173">
        <f t="shared" si="30"/>
        <v>1.202325011</v>
      </c>
      <c r="L793" s="174">
        <f t="shared" si="4"/>
        <v>1.202325011</v>
      </c>
      <c r="M793" s="175" t="str">
        <f t="shared" si="5"/>
        <v>atacas</v>
      </c>
      <c r="N793" s="176">
        <f>IFERROR(__xludf.DUMMYFUNCTION("""COMPUTED_VALUE"""),1.0)</f>
        <v>1</v>
      </c>
      <c r="O793" s="176"/>
      <c r="P793" s="165" t="s">
        <v>686</v>
      </c>
      <c r="Q793" s="165" t="s">
        <v>443</v>
      </c>
      <c r="R793" s="176"/>
      <c r="S793" s="176"/>
      <c r="T793" s="176"/>
      <c r="U793" s="176"/>
      <c r="V793" s="176"/>
      <c r="W793" s="176"/>
      <c r="X793" s="176"/>
      <c r="Y793" s="176"/>
      <c r="Z793" s="176"/>
      <c r="AA793" s="176"/>
    </row>
    <row r="794">
      <c r="A794" s="185" t="str">
        <f>iferror(VLOOKUP(P794,'DO NOT TOUCH Imported'!$A$1:$D$800,4,False),iferror(VLOOKUP(P794,'DO NOT TOUCH Imported'!$C$1:$D$800,2,False),"OOPS FIX ME"))</f>
        <v>atacas</v>
      </c>
      <c r="B794" s="185" t="s">
        <v>534</v>
      </c>
      <c r="C794" s="186" t="s">
        <v>688</v>
      </c>
      <c r="D794" s="187"/>
      <c r="E794" s="188"/>
      <c r="F794" s="189"/>
      <c r="G794" s="195"/>
      <c r="H794" s="190"/>
      <c r="I794" s="190"/>
      <c r="J794" s="191">
        <f t="shared" si="2"/>
        <v>0</v>
      </c>
      <c r="K794" s="192"/>
      <c r="L794" s="193">
        <f t="shared" si="4"/>
        <v>1.202325011</v>
      </c>
      <c r="M794" s="194" t="str">
        <f t="shared" si="5"/>
        <v>atacas</v>
      </c>
      <c r="N794" s="195">
        <f>IFERROR(__xludf.DUMMYFUNCTION("""COMPUTED_VALUE"""),2.0)</f>
        <v>2</v>
      </c>
      <c r="O794" s="195"/>
      <c r="P794" s="185" t="s">
        <v>55</v>
      </c>
      <c r="Q794" s="185" t="s">
        <v>534</v>
      </c>
      <c r="R794" s="195">
        <v>6.463920504925881</v>
      </c>
      <c r="S794" s="195"/>
      <c r="T794" s="195"/>
      <c r="U794" s="195"/>
      <c r="V794" s="195"/>
      <c r="W794" s="195"/>
      <c r="X794" s="195"/>
      <c r="Y794" s="195"/>
      <c r="Z794" s="195"/>
      <c r="AA794" s="176"/>
    </row>
    <row r="795">
      <c r="A795" s="165" t="str">
        <f>iferror(VLOOKUP(P795,'DO NOT TOUCH Imported'!$A$1:$D$800,4,False),iferror(VLOOKUP(P795,'DO NOT TOUCH Imported'!$C$1:$D$800,2,False),"OOPS FIX ME"))</f>
        <v>decentralizesdgs</v>
      </c>
      <c r="B795" s="165" t="s">
        <v>435</v>
      </c>
      <c r="C795" s="170" t="s">
        <v>1610</v>
      </c>
      <c r="D795" s="236" t="s">
        <v>437</v>
      </c>
      <c r="E795" s="239">
        <v>44272.0</v>
      </c>
      <c r="F795" s="170" t="s">
        <v>439</v>
      </c>
      <c r="G795" s="170">
        <v>15.0</v>
      </c>
      <c r="H795" s="171">
        <v>80.0</v>
      </c>
      <c r="I795" s="171">
        <v>100.0</v>
      </c>
      <c r="J795" s="172">
        <f t="shared" si="2"/>
        <v>0.0009928040298</v>
      </c>
      <c r="K795" s="173">
        <f t="shared" ref="K795:K803" si="31">J795*$J$1</f>
        <v>1.108631167</v>
      </c>
      <c r="L795" s="174">
        <f t="shared" si="4"/>
        <v>1.108631167</v>
      </c>
      <c r="M795" s="175" t="str">
        <f t="shared" si="5"/>
        <v>decentralizesdgs</v>
      </c>
      <c r="N795" s="176">
        <f>IFERROR(__xludf.DUMMYFUNCTION("""COMPUTED_VALUE"""),1.0)</f>
        <v>1</v>
      </c>
      <c r="O795" s="176"/>
      <c r="P795" s="165" t="s">
        <v>862</v>
      </c>
      <c r="Q795" s="165" t="s">
        <v>435</v>
      </c>
      <c r="R795" s="176"/>
      <c r="S795" s="176"/>
      <c r="T795" s="176"/>
      <c r="U795" s="176"/>
      <c r="V795" s="176"/>
      <c r="W795" s="176"/>
      <c r="X795" s="176"/>
      <c r="Y795" s="176"/>
      <c r="Z795" s="176"/>
      <c r="AA795" s="176"/>
    </row>
    <row r="796">
      <c r="A796" s="165" t="str">
        <f>iferror(VLOOKUP(P796,'DO NOT TOUCH Imported'!$A$1:$D$800,4,False),iferror(VLOOKUP(P796,'DO NOT TOUCH Imported'!$C$1:$D$800,2,False),"OOPS FIX ME"))</f>
        <v>sinsan#3757</v>
      </c>
      <c r="B796" s="165" t="s">
        <v>441</v>
      </c>
      <c r="C796" s="170" t="s">
        <v>1764</v>
      </c>
      <c r="D796" s="236" t="s">
        <v>437</v>
      </c>
      <c r="E796" s="239">
        <v>44274.0</v>
      </c>
      <c r="F796" s="170" t="s">
        <v>439</v>
      </c>
      <c r="G796" s="170">
        <v>15.0</v>
      </c>
      <c r="H796" s="171">
        <v>70.0</v>
      </c>
      <c r="I796" s="171">
        <v>100.0</v>
      </c>
      <c r="J796" s="172">
        <f t="shared" si="2"/>
        <v>0.000950851562</v>
      </c>
      <c r="K796" s="173">
        <f t="shared" si="31"/>
        <v>1.061784244</v>
      </c>
      <c r="L796" s="174">
        <f t="shared" si="4"/>
        <v>1.061784244</v>
      </c>
      <c r="M796" s="175" t="str">
        <f t="shared" si="5"/>
        <v>sinsan#3757</v>
      </c>
      <c r="N796" s="176">
        <f>IFERROR(__xludf.DUMMYFUNCTION("""COMPUTED_VALUE"""),1.0)</f>
        <v>1</v>
      </c>
      <c r="O796" s="176"/>
      <c r="P796" s="165" t="s">
        <v>289</v>
      </c>
      <c r="Q796" s="165" t="s">
        <v>441</v>
      </c>
      <c r="R796" s="176"/>
      <c r="S796" s="176"/>
      <c r="T796" s="176"/>
      <c r="U796" s="176"/>
      <c r="V796" s="176"/>
      <c r="W796" s="176"/>
      <c r="X796" s="176"/>
      <c r="Y796" s="176"/>
      <c r="Z796" s="176"/>
      <c r="AA796" s="176"/>
    </row>
    <row r="797">
      <c r="A797" s="165" t="str">
        <f>iferror(VLOOKUP(P797,'DO NOT TOUCH Imported'!$A$1:$D$800,4,False),iferror(VLOOKUP(P797,'DO NOT TOUCH Imported'!$C$1:$D$800,2,False),"OOPS FIX ME"))</f>
        <v>willjgriff</v>
      </c>
      <c r="B797" s="165" t="s">
        <v>566</v>
      </c>
      <c r="C797" s="170" t="s">
        <v>1915</v>
      </c>
      <c r="D797" s="236" t="s">
        <v>499</v>
      </c>
      <c r="E797" s="239">
        <v>44281.0</v>
      </c>
      <c r="F797" s="170" t="s">
        <v>503</v>
      </c>
      <c r="G797" s="170">
        <v>5.0</v>
      </c>
      <c r="H797" s="171">
        <v>100.0</v>
      </c>
      <c r="I797" s="171">
        <v>100.0</v>
      </c>
      <c r="J797" s="172">
        <f t="shared" si="2"/>
        <v>0.0009189926971</v>
      </c>
      <c r="K797" s="173">
        <f t="shared" si="31"/>
        <v>1.026208512</v>
      </c>
      <c r="L797" s="174">
        <f t="shared" si="4"/>
        <v>1.026208512</v>
      </c>
      <c r="M797" s="175" t="str">
        <f t="shared" si="5"/>
        <v>willjgriff</v>
      </c>
      <c r="N797" s="176">
        <f>IFERROR(__xludf.DUMMYFUNCTION("""COMPUTED_VALUE"""),1.0)</f>
        <v>1</v>
      </c>
      <c r="O797" s="176"/>
      <c r="P797" s="165" t="s">
        <v>1916</v>
      </c>
      <c r="Q797" s="165" t="s">
        <v>566</v>
      </c>
      <c r="R797" s="176"/>
      <c r="S797" s="176"/>
      <c r="T797" s="176"/>
      <c r="U797" s="176"/>
      <c r="V797" s="176"/>
      <c r="W797" s="176"/>
      <c r="X797" s="176"/>
      <c r="Y797" s="176"/>
      <c r="Z797" s="176"/>
      <c r="AA797" s="176"/>
    </row>
    <row r="798">
      <c r="A798" s="165" t="str">
        <f>iferror(VLOOKUP(P798,'DO NOT TOUCH Imported'!$A$1:$D$800,4,False),iferror(VLOOKUP(P798,'DO NOT TOUCH Imported'!$C$1:$D$800,2,False),"OOPS FIX ME"))</f>
        <v>mehigher</v>
      </c>
      <c r="B798" s="165" t="s">
        <v>530</v>
      </c>
      <c r="C798" s="170" t="s">
        <v>1833</v>
      </c>
      <c r="D798" s="236" t="s">
        <v>499</v>
      </c>
      <c r="E798" s="239">
        <v>44273.0</v>
      </c>
      <c r="F798" s="170" t="s">
        <v>1646</v>
      </c>
      <c r="G798" s="170">
        <v>15.0</v>
      </c>
      <c r="H798" s="171">
        <v>50.0</v>
      </c>
      <c r="I798" s="171">
        <v>100.0</v>
      </c>
      <c r="J798" s="172">
        <f t="shared" si="2"/>
        <v>0.0008669466263</v>
      </c>
      <c r="K798" s="173">
        <f t="shared" si="31"/>
        <v>0.9680903993</v>
      </c>
      <c r="L798" s="174">
        <f t="shared" si="4"/>
        <v>3.584432655</v>
      </c>
      <c r="M798" s="175" t="str">
        <f t="shared" si="5"/>
        <v>mehigher</v>
      </c>
      <c r="N798" s="176">
        <f>IFERROR(__xludf.DUMMYFUNCTION("""COMPUTED_VALUE"""),3.0)</f>
        <v>3</v>
      </c>
      <c r="O798" s="176"/>
      <c r="P798" s="165" t="s">
        <v>743</v>
      </c>
      <c r="Q798" s="165" t="s">
        <v>530</v>
      </c>
      <c r="R798" s="176"/>
      <c r="S798" s="176"/>
      <c r="T798" s="176"/>
      <c r="U798" s="176"/>
      <c r="V798" s="176"/>
      <c r="W798" s="176"/>
      <c r="X798" s="176"/>
      <c r="Y798" s="176"/>
      <c r="Z798" s="176"/>
      <c r="AA798" s="176"/>
    </row>
    <row r="799">
      <c r="A799" s="165" t="str">
        <f>iferror(VLOOKUP(P799,'DO NOT TOUCH Imported'!$A$1:$D$800,4,False),iferror(VLOOKUP(P799,'DO NOT TOUCH Imported'!$C$1:$D$800,2,False),"OOPS FIX ME"))</f>
        <v>nelsonm</v>
      </c>
      <c r="B799" s="249" t="s">
        <v>10</v>
      </c>
      <c r="C799" s="250" t="s">
        <v>498</v>
      </c>
      <c r="D799" s="236" t="s">
        <v>1584</v>
      </c>
      <c r="E799" s="251">
        <v>44274.0</v>
      </c>
      <c r="F799" s="219" t="s">
        <v>499</v>
      </c>
      <c r="G799" s="170">
        <v>15.0</v>
      </c>
      <c r="H799" s="171">
        <v>25.0</v>
      </c>
      <c r="I799" s="171">
        <v>100.0</v>
      </c>
      <c r="J799" s="172">
        <f t="shared" si="2"/>
        <v>0.0007620654566</v>
      </c>
      <c r="K799" s="173">
        <f t="shared" si="31"/>
        <v>0.8509730932</v>
      </c>
      <c r="L799" s="174">
        <f t="shared" si="4"/>
        <v>0.8509730932</v>
      </c>
      <c r="M799" s="175" t="str">
        <f t="shared" si="5"/>
        <v>nelsonm</v>
      </c>
      <c r="N799" s="176">
        <f>IFERROR(__xludf.DUMMYFUNCTION("""COMPUTED_VALUE"""),1.0)</f>
        <v>1</v>
      </c>
      <c r="O799" s="176"/>
      <c r="P799" s="249" t="s">
        <v>137</v>
      </c>
      <c r="Q799" s="249" t="s">
        <v>10</v>
      </c>
      <c r="R799" s="176"/>
      <c r="S799" s="176"/>
      <c r="T799" s="176"/>
      <c r="U799" s="176"/>
      <c r="V799" s="176"/>
      <c r="W799" s="176"/>
      <c r="X799" s="176"/>
      <c r="Y799" s="176"/>
      <c r="Z799" s="176"/>
      <c r="AA799" s="176"/>
    </row>
    <row r="800">
      <c r="A800" s="165" t="str">
        <f>iferror(VLOOKUP(P800,'DO NOT TOUCH Imported'!$A$1:$D$800,4,False),iferror(VLOOKUP(P800,'DO NOT TOUCH Imported'!$C$1:$D$800,2,False),"OOPS FIX ME"))</f>
        <v>Andfletcher</v>
      </c>
      <c r="B800" s="249" t="s">
        <v>10</v>
      </c>
      <c r="C800" s="250" t="s">
        <v>498</v>
      </c>
      <c r="D800" s="236" t="s">
        <v>1584</v>
      </c>
      <c r="E800" s="251">
        <v>44274.0</v>
      </c>
      <c r="F800" s="219" t="s">
        <v>499</v>
      </c>
      <c r="G800" s="170">
        <v>15.0</v>
      </c>
      <c r="H800" s="171">
        <v>25.0</v>
      </c>
      <c r="I800" s="171">
        <v>100.0</v>
      </c>
      <c r="J800" s="172">
        <f t="shared" si="2"/>
        <v>0.0007620654566</v>
      </c>
      <c r="K800" s="173">
        <f t="shared" si="31"/>
        <v>0.8509730932</v>
      </c>
      <c r="L800" s="174">
        <f t="shared" si="4"/>
        <v>0.8509730932</v>
      </c>
      <c r="M800" s="175" t="str">
        <f t="shared" si="5"/>
        <v>Andfletcher</v>
      </c>
      <c r="N800" s="176">
        <f>IFERROR(__xludf.DUMMYFUNCTION("""COMPUTED_VALUE"""),1.0)</f>
        <v>1</v>
      </c>
      <c r="O800" s="176"/>
      <c r="P800" s="249" t="s">
        <v>148</v>
      </c>
      <c r="Q800" s="249" t="s">
        <v>10</v>
      </c>
      <c r="R800" s="176"/>
      <c r="S800" s="176"/>
      <c r="T800" s="176"/>
      <c r="U800" s="176"/>
      <c r="V800" s="176"/>
      <c r="W800" s="176"/>
      <c r="X800" s="176"/>
      <c r="Y800" s="176"/>
      <c r="Z800" s="176"/>
      <c r="AA800" s="176"/>
    </row>
    <row r="801">
      <c r="A801" s="165" t="str">
        <f>iferror(VLOOKUP(P801,'DO NOT TOUCH Imported'!$A$1:$D$800,4,False),iferror(VLOOKUP(P801,'DO NOT TOUCH Imported'!$C$1:$D$800,2,False),"OOPS FIX ME"))</f>
        <v>Smokyish</v>
      </c>
      <c r="B801" s="249" t="s">
        <v>10</v>
      </c>
      <c r="C801" s="250" t="s">
        <v>498</v>
      </c>
      <c r="D801" s="236" t="s">
        <v>1584</v>
      </c>
      <c r="E801" s="251">
        <v>44274.0</v>
      </c>
      <c r="F801" s="219" t="s">
        <v>499</v>
      </c>
      <c r="G801" s="170">
        <v>15.0</v>
      </c>
      <c r="H801" s="171">
        <v>25.0</v>
      </c>
      <c r="I801" s="171">
        <v>100.0</v>
      </c>
      <c r="J801" s="172">
        <f t="shared" si="2"/>
        <v>0.0007620654566</v>
      </c>
      <c r="K801" s="173">
        <f t="shared" si="31"/>
        <v>0.8509730932</v>
      </c>
      <c r="L801" s="174">
        <f t="shared" si="4"/>
        <v>0.8509730932</v>
      </c>
      <c r="M801" s="175" t="str">
        <f t="shared" si="5"/>
        <v>Smokyish</v>
      </c>
      <c r="N801" s="176">
        <f>IFERROR(__xludf.DUMMYFUNCTION("""COMPUTED_VALUE"""),1.0)</f>
        <v>1</v>
      </c>
      <c r="O801" s="176"/>
      <c r="P801" s="249" t="s">
        <v>189</v>
      </c>
      <c r="Q801" s="249" t="s">
        <v>10</v>
      </c>
      <c r="R801" s="176"/>
      <c r="S801" s="176"/>
      <c r="T801" s="176"/>
      <c r="U801" s="176"/>
      <c r="V801" s="176"/>
      <c r="W801" s="176"/>
      <c r="X801" s="176"/>
      <c r="Y801" s="176"/>
      <c r="Z801" s="176"/>
      <c r="AA801" s="176"/>
    </row>
    <row r="802">
      <c r="A802" s="165" t="str">
        <f>iferror(VLOOKUP(P802,'DO NOT TOUCH Imported'!$A$1:$D$800,4,False),iferror(VLOOKUP(P802,'DO NOT TOUCH Imported'!$C$1:$D$800,2,False),"OOPS FIX ME"))</f>
        <v>unquaLe</v>
      </c>
      <c r="B802" s="249" t="s">
        <v>10</v>
      </c>
      <c r="C802" s="250" t="s">
        <v>498</v>
      </c>
      <c r="D802" s="236" t="s">
        <v>1584</v>
      </c>
      <c r="E802" s="251">
        <v>44274.0</v>
      </c>
      <c r="F802" s="219" t="s">
        <v>499</v>
      </c>
      <c r="G802" s="170">
        <v>15.0</v>
      </c>
      <c r="H802" s="171">
        <v>25.0</v>
      </c>
      <c r="I802" s="171">
        <v>100.0</v>
      </c>
      <c r="J802" s="172">
        <f t="shared" si="2"/>
        <v>0.0007620654566</v>
      </c>
      <c r="K802" s="173">
        <f t="shared" si="31"/>
        <v>0.8509730932</v>
      </c>
      <c r="L802" s="174">
        <f t="shared" si="4"/>
        <v>0.8509730932</v>
      </c>
      <c r="M802" s="175" t="str">
        <f t="shared" si="5"/>
        <v>unquaLe</v>
      </c>
      <c r="N802" s="176">
        <f>IFERROR(__xludf.DUMMYFUNCTION("""COMPUTED_VALUE"""),1.0)</f>
        <v>1</v>
      </c>
      <c r="O802" s="176"/>
      <c r="P802" s="249" t="s">
        <v>131</v>
      </c>
      <c r="Q802" s="249" t="s">
        <v>10</v>
      </c>
      <c r="R802" s="176"/>
      <c r="S802" s="176"/>
      <c r="T802" s="176"/>
      <c r="U802" s="176"/>
      <c r="V802" s="176"/>
      <c r="W802" s="176"/>
      <c r="X802" s="176"/>
      <c r="Y802" s="176"/>
      <c r="Z802" s="176"/>
      <c r="AA802" s="176"/>
    </row>
    <row r="803">
      <c r="A803" s="165" t="str">
        <f>iferror(VLOOKUP(P803,'DO NOT TOUCH Imported'!$A$1:$D$800,4,False),iferror(VLOOKUP(P803,'DO NOT TOUCH Imported'!$C$1:$D$800,2,False),"OOPS FIX ME"))</f>
        <v>owocki</v>
      </c>
      <c r="B803" s="249" t="s">
        <v>10</v>
      </c>
      <c r="C803" s="250" t="s">
        <v>500</v>
      </c>
      <c r="D803" s="236" t="s">
        <v>1584</v>
      </c>
      <c r="E803" s="251">
        <v>44275.0</v>
      </c>
      <c r="F803" s="219" t="s">
        <v>496</v>
      </c>
      <c r="G803" s="170">
        <v>15.0</v>
      </c>
      <c r="H803" s="171">
        <v>25.0</v>
      </c>
      <c r="I803" s="171">
        <v>100.0</v>
      </c>
      <c r="J803" s="172">
        <f t="shared" si="2"/>
        <v>0.0007620654566</v>
      </c>
      <c r="K803" s="173">
        <f t="shared" si="31"/>
        <v>0.8509730932</v>
      </c>
      <c r="L803" s="174">
        <f t="shared" si="4"/>
        <v>0.8509730932</v>
      </c>
      <c r="M803" s="175" t="str">
        <f t="shared" si="5"/>
        <v>owocki</v>
      </c>
      <c r="N803" s="176">
        <f>IFERROR(__xludf.DUMMYFUNCTION("""COMPUTED_VALUE"""),1.0)</f>
        <v>1</v>
      </c>
      <c r="O803" s="176"/>
      <c r="P803" s="249" t="s">
        <v>69</v>
      </c>
      <c r="Q803" s="249" t="s">
        <v>10</v>
      </c>
      <c r="R803" s="176"/>
      <c r="S803" s="176"/>
      <c r="T803" s="176"/>
      <c r="U803" s="176"/>
      <c r="V803" s="176"/>
      <c r="W803" s="176"/>
      <c r="X803" s="176"/>
      <c r="Y803" s="176"/>
      <c r="Z803" s="176"/>
      <c r="AA803" s="176"/>
    </row>
    <row r="804">
      <c r="A804" s="185" t="str">
        <f>iferror(VLOOKUP(P804,'DO NOT TOUCH Imported'!$A$1:$D$800,4,False),iferror(VLOOKUP(P804,'DO NOT TOUCH Imported'!$C$1:$D$800,2,False),"OOPS FIX ME"))</f>
        <v>fiorebotta</v>
      </c>
      <c r="B804" s="185" t="s">
        <v>534</v>
      </c>
      <c r="C804" s="210" t="s">
        <v>717</v>
      </c>
      <c r="D804" s="187"/>
      <c r="E804" s="188"/>
      <c r="F804" s="189"/>
      <c r="G804" s="190"/>
      <c r="H804" s="190"/>
      <c r="I804" s="190"/>
      <c r="J804" s="191">
        <f t="shared" si="2"/>
        <v>0</v>
      </c>
      <c r="K804" s="192"/>
      <c r="L804" s="193">
        <f t="shared" si="4"/>
        <v>0</v>
      </c>
      <c r="M804" s="194" t="str">
        <f t="shared" si="5"/>
        <v>fiorebotta</v>
      </c>
      <c r="N804" s="195">
        <f>IFERROR(__xludf.DUMMYFUNCTION("""COMPUTED_VALUE"""),1.0)</f>
        <v>1</v>
      </c>
      <c r="O804" s="195"/>
      <c r="P804" s="211" t="s">
        <v>62</v>
      </c>
      <c r="Q804" s="185" t="s">
        <v>534</v>
      </c>
      <c r="R804" s="195">
        <v>11.125055275694283</v>
      </c>
      <c r="S804" s="195"/>
      <c r="T804" s="195"/>
      <c r="U804" s="195"/>
      <c r="V804" s="195"/>
      <c r="W804" s="195"/>
      <c r="X804" s="195"/>
      <c r="Y804" s="195"/>
      <c r="Z804" s="195"/>
      <c r="AA804" s="176"/>
    </row>
    <row r="805">
      <c r="A805" s="185" t="str">
        <f>iferror(VLOOKUP(P805,'DO NOT TOUCH Imported'!$A$1:$D$800,4,False),iferror(VLOOKUP(P805,'DO NOT TOUCH Imported'!$C$1:$D$800,2,False),"OOPS FIX ME"))</f>
        <v>vivszaid</v>
      </c>
      <c r="B805" s="185" t="s">
        <v>534</v>
      </c>
      <c r="C805" s="210" t="s">
        <v>717</v>
      </c>
      <c r="D805" s="187"/>
      <c r="E805" s="188"/>
      <c r="F805" s="189"/>
      <c r="G805" s="190"/>
      <c r="H805" s="190"/>
      <c r="I805" s="190"/>
      <c r="J805" s="191">
        <f t="shared" si="2"/>
        <v>0</v>
      </c>
      <c r="K805" s="192"/>
      <c r="L805" s="193">
        <f t="shared" si="4"/>
        <v>0</v>
      </c>
      <c r="M805" s="194" t="str">
        <f t="shared" si="5"/>
        <v>vivszaid</v>
      </c>
      <c r="N805" s="195">
        <f>IFERROR(__xludf.DUMMYFUNCTION("""COMPUTED_VALUE"""),1.0)</f>
        <v>1</v>
      </c>
      <c r="O805" s="195"/>
      <c r="P805" s="185" t="s">
        <v>85</v>
      </c>
      <c r="Q805" s="185" t="s">
        <v>534</v>
      </c>
      <c r="R805" s="195">
        <v>14.130370493717818</v>
      </c>
      <c r="S805" s="195"/>
      <c r="T805" s="195"/>
      <c r="U805" s="195"/>
      <c r="V805" s="195"/>
      <c r="W805" s="195"/>
      <c r="X805" s="195"/>
      <c r="Y805" s="195"/>
      <c r="Z805" s="195"/>
      <c r="AA805" s="176"/>
    </row>
    <row r="806">
      <c r="A806" s="185" t="str">
        <f>iferror(VLOOKUP(P806,'DO NOT TOUCH Imported'!$A$1:$D$800,4,False),iferror(VLOOKUP(P806,'DO NOT TOUCH Imported'!$C$1:$D$800,2,False),"OOPS FIX ME"))</f>
        <v>anthonyoliai</v>
      </c>
      <c r="B806" s="185" t="s">
        <v>534</v>
      </c>
      <c r="C806" s="210" t="s">
        <v>655</v>
      </c>
      <c r="D806" s="187"/>
      <c r="E806" s="188"/>
      <c r="F806" s="189"/>
      <c r="G806" s="190"/>
      <c r="H806" s="190"/>
      <c r="I806" s="190"/>
      <c r="J806" s="191">
        <f t="shared" si="2"/>
        <v>0</v>
      </c>
      <c r="K806" s="192"/>
      <c r="L806" s="193">
        <f t="shared" si="4"/>
        <v>0</v>
      </c>
      <c r="M806" s="194" t="str">
        <f t="shared" si="5"/>
        <v>anthonyoliai</v>
      </c>
      <c r="N806" s="195">
        <f>IFERROR(__xludf.DUMMYFUNCTION("""COMPUTED_VALUE"""),1.0)</f>
        <v>1</v>
      </c>
      <c r="O806" s="195"/>
      <c r="P806" s="211" t="s">
        <v>122</v>
      </c>
      <c r="Q806" s="185" t="s">
        <v>534</v>
      </c>
      <c r="R806" s="195">
        <v>8.606119831199203</v>
      </c>
      <c r="S806" s="195"/>
      <c r="T806" s="195"/>
      <c r="U806" s="195"/>
      <c r="V806" s="195"/>
      <c r="W806" s="195"/>
      <c r="X806" s="195"/>
      <c r="Y806" s="195"/>
      <c r="Z806" s="195"/>
      <c r="AA806" s="176"/>
    </row>
    <row r="807">
      <c r="A807" s="185" t="str">
        <f>iferror(VLOOKUP(P807,'DO NOT TOUCH Imported'!$A$1:$D$800,4,False),iferror(VLOOKUP(P807,'DO NOT TOUCH Imported'!$C$1:$D$800,2,False),"OOPS FIX ME"))</f>
        <v>katalenacaban</v>
      </c>
      <c r="B807" s="185" t="s">
        <v>534</v>
      </c>
      <c r="C807" s="186" t="s">
        <v>781</v>
      </c>
      <c r="D807" s="187"/>
      <c r="E807" s="188"/>
      <c r="F807" s="189"/>
      <c r="G807" s="190"/>
      <c r="H807" s="190"/>
      <c r="I807" s="190"/>
      <c r="J807" s="191">
        <f t="shared" si="2"/>
        <v>0</v>
      </c>
      <c r="K807" s="192"/>
      <c r="L807" s="193">
        <f t="shared" si="4"/>
        <v>0</v>
      </c>
      <c r="M807" s="194" t="str">
        <f t="shared" si="5"/>
        <v>katalenacaban</v>
      </c>
      <c r="N807" s="195">
        <f>IFERROR(__xludf.DUMMYFUNCTION("""COMPUTED_VALUE"""),1.0)</f>
        <v>1</v>
      </c>
      <c r="O807" s="195"/>
      <c r="P807" s="185" t="s">
        <v>118</v>
      </c>
      <c r="Q807" s="185" t="s">
        <v>534</v>
      </c>
      <c r="R807" s="195">
        <v>36.89669088595067</v>
      </c>
      <c r="S807" s="195"/>
      <c r="T807" s="195"/>
      <c r="U807" s="195"/>
      <c r="V807" s="195"/>
      <c r="W807" s="195"/>
      <c r="X807" s="195"/>
      <c r="Y807" s="195"/>
      <c r="Z807" s="195"/>
      <c r="AA807" s="176"/>
    </row>
    <row r="808">
      <c r="A808" s="249"/>
      <c r="B808" s="249"/>
      <c r="C808" s="250"/>
      <c r="D808" s="252"/>
      <c r="E808" s="251"/>
      <c r="F808" s="219"/>
      <c r="G808" s="219"/>
      <c r="H808" s="243"/>
      <c r="I808" s="243"/>
      <c r="J808" s="265"/>
      <c r="K808" s="243"/>
      <c r="L808" s="266"/>
      <c r="M808" s="176"/>
      <c r="N808" s="176"/>
      <c r="O808" s="176"/>
      <c r="P808" s="243"/>
      <c r="Q808" s="243"/>
      <c r="R808" s="176"/>
      <c r="S808" s="176"/>
      <c r="T808" s="176"/>
      <c r="U808" s="176"/>
      <c r="V808" s="176"/>
      <c r="W808" s="176"/>
      <c r="X808" s="176"/>
      <c r="Y808" s="176"/>
      <c r="Z808" s="176"/>
      <c r="AA808" s="176"/>
    </row>
    <row r="809">
      <c r="A809" s="249"/>
      <c r="B809" s="249"/>
      <c r="C809" s="250"/>
      <c r="D809" s="252"/>
      <c r="E809" s="251"/>
      <c r="F809" s="219"/>
      <c r="G809" s="219"/>
      <c r="H809" s="243"/>
      <c r="I809" s="243"/>
      <c r="J809" s="265"/>
      <c r="K809" s="243"/>
      <c r="L809" s="266"/>
      <c r="M809" s="176"/>
      <c r="N809" s="176"/>
      <c r="O809" s="176"/>
      <c r="P809" s="243"/>
      <c r="Q809" s="243"/>
      <c r="R809" s="176"/>
      <c r="S809" s="176"/>
      <c r="T809" s="176"/>
      <c r="U809" s="176"/>
      <c r="V809" s="176"/>
      <c r="W809" s="176"/>
      <c r="X809" s="176"/>
      <c r="Y809" s="176"/>
      <c r="Z809" s="176"/>
      <c r="AA809" s="176"/>
    </row>
    <row r="810">
      <c r="A810" s="249"/>
      <c r="B810" s="249"/>
      <c r="C810" s="250"/>
      <c r="D810" s="252"/>
      <c r="E810" s="251"/>
      <c r="F810" s="219"/>
      <c r="G810" s="219"/>
      <c r="H810" s="243"/>
      <c r="I810" s="243"/>
      <c r="J810" s="265"/>
      <c r="K810" s="243"/>
      <c r="L810" s="266"/>
      <c r="M810" s="176"/>
      <c r="N810" s="176"/>
      <c r="O810" s="176"/>
      <c r="P810" s="243"/>
      <c r="Q810" s="243"/>
      <c r="R810" s="176"/>
      <c r="S810" s="176"/>
      <c r="T810" s="176"/>
      <c r="U810" s="176"/>
      <c r="V810" s="176"/>
      <c r="W810" s="176"/>
      <c r="X810" s="176"/>
      <c r="Y810" s="176"/>
      <c r="Z810" s="176"/>
      <c r="AA810" s="176"/>
    </row>
    <row r="811">
      <c r="A811" s="249"/>
      <c r="B811" s="249"/>
      <c r="C811" s="250"/>
      <c r="D811" s="252"/>
      <c r="E811" s="251"/>
      <c r="F811" s="219"/>
      <c r="G811" s="219"/>
      <c r="H811" s="243"/>
      <c r="I811" s="243"/>
      <c r="J811" s="265"/>
      <c r="K811" s="243"/>
      <c r="L811" s="266"/>
      <c r="M811" s="176"/>
      <c r="N811" s="176"/>
      <c r="O811" s="176"/>
      <c r="P811" s="243"/>
      <c r="Q811" s="243"/>
      <c r="R811" s="176"/>
      <c r="S811" s="176"/>
      <c r="T811" s="176"/>
      <c r="U811" s="176"/>
      <c r="V811" s="176"/>
      <c r="W811" s="176"/>
      <c r="X811" s="176"/>
      <c r="Y811" s="176"/>
      <c r="Z811" s="176"/>
      <c r="AA811" s="176"/>
    </row>
    <row r="812">
      <c r="A812" s="249"/>
      <c r="B812" s="249"/>
      <c r="C812" s="250"/>
      <c r="D812" s="252"/>
      <c r="E812" s="251"/>
      <c r="F812" s="219"/>
      <c r="G812" s="219"/>
      <c r="H812" s="243"/>
      <c r="I812" s="243"/>
      <c r="J812" s="265"/>
      <c r="K812" s="243"/>
      <c r="L812" s="266"/>
      <c r="M812" s="176"/>
      <c r="N812" s="176"/>
      <c r="O812" s="176"/>
      <c r="P812" s="243"/>
      <c r="Q812" s="243"/>
      <c r="R812" s="176"/>
      <c r="S812" s="176"/>
      <c r="T812" s="176"/>
      <c r="U812" s="176"/>
      <c r="V812" s="176"/>
      <c r="W812" s="176"/>
      <c r="X812" s="176"/>
      <c r="Y812" s="176"/>
      <c r="Z812" s="176"/>
      <c r="AA812" s="176"/>
    </row>
    <row r="813">
      <c r="A813" s="249"/>
      <c r="B813" s="249"/>
      <c r="C813" s="250"/>
      <c r="D813" s="252"/>
      <c r="E813" s="251"/>
      <c r="F813" s="219"/>
      <c r="G813" s="219"/>
      <c r="H813" s="243"/>
      <c r="I813" s="243"/>
      <c r="J813" s="265"/>
      <c r="K813" s="243"/>
      <c r="L813" s="266"/>
      <c r="M813" s="176"/>
      <c r="N813" s="176"/>
      <c r="O813" s="176"/>
      <c r="P813" s="243"/>
      <c r="Q813" s="243"/>
      <c r="R813" s="176"/>
      <c r="S813" s="176"/>
      <c r="T813" s="176"/>
      <c r="U813" s="176"/>
      <c r="V813" s="176"/>
      <c r="W813" s="176"/>
      <c r="X813" s="176"/>
      <c r="Y813" s="176"/>
      <c r="Z813" s="176"/>
      <c r="AA813" s="176"/>
    </row>
    <row r="814">
      <c r="A814" s="249"/>
      <c r="B814" s="249"/>
      <c r="C814" s="250"/>
      <c r="D814" s="252"/>
      <c r="E814" s="251"/>
      <c r="F814" s="219"/>
      <c r="G814" s="219"/>
      <c r="H814" s="243"/>
      <c r="I814" s="243"/>
      <c r="J814" s="265"/>
      <c r="K814" s="243"/>
      <c r="L814" s="266"/>
      <c r="M814" s="176"/>
      <c r="N814" s="176"/>
      <c r="O814" s="176"/>
      <c r="P814" s="243"/>
      <c r="Q814" s="243"/>
      <c r="R814" s="176"/>
      <c r="S814" s="176"/>
      <c r="T814" s="176"/>
      <c r="U814" s="176"/>
      <c r="V814" s="176"/>
      <c r="W814" s="176"/>
      <c r="X814" s="176"/>
      <c r="Y814" s="176"/>
      <c r="Z814" s="176"/>
      <c r="AA814" s="176"/>
    </row>
    <row r="815">
      <c r="A815" s="249"/>
      <c r="B815" s="249"/>
      <c r="C815" s="250"/>
      <c r="D815" s="252"/>
      <c r="E815" s="251"/>
      <c r="F815" s="219"/>
      <c r="G815" s="219"/>
      <c r="H815" s="243"/>
      <c r="I815" s="243"/>
      <c r="J815" s="265"/>
      <c r="K815" s="243"/>
      <c r="L815" s="266"/>
      <c r="M815" s="176"/>
      <c r="N815" s="176"/>
      <c r="O815" s="176"/>
      <c r="P815" s="243"/>
      <c r="Q815" s="243"/>
      <c r="R815" s="176"/>
      <c r="S815" s="176"/>
      <c r="T815" s="176"/>
      <c r="U815" s="176"/>
      <c r="V815" s="176"/>
      <c r="W815" s="176"/>
      <c r="X815" s="176"/>
      <c r="Y815" s="176"/>
      <c r="Z815" s="176"/>
      <c r="AA815" s="176"/>
    </row>
    <row r="816">
      <c r="A816" s="249"/>
      <c r="B816" s="249"/>
      <c r="C816" s="250"/>
      <c r="D816" s="252"/>
      <c r="E816" s="251"/>
      <c r="F816" s="219"/>
      <c r="G816" s="219"/>
      <c r="H816" s="243"/>
      <c r="I816" s="243"/>
      <c r="J816" s="265"/>
      <c r="K816" s="243"/>
      <c r="L816" s="266"/>
      <c r="M816" s="176"/>
      <c r="N816" s="176"/>
      <c r="O816" s="176"/>
      <c r="P816" s="243"/>
      <c r="Q816" s="243"/>
      <c r="R816" s="176"/>
      <c r="S816" s="176"/>
      <c r="T816" s="176"/>
      <c r="U816" s="176"/>
      <c r="V816" s="176"/>
      <c r="W816" s="176"/>
      <c r="X816" s="176"/>
      <c r="Y816" s="176"/>
      <c r="Z816" s="176"/>
      <c r="AA816" s="176"/>
    </row>
    <row r="817">
      <c r="A817" s="249"/>
      <c r="B817" s="249"/>
      <c r="C817" s="250"/>
      <c r="D817" s="252"/>
      <c r="E817" s="251"/>
      <c r="F817" s="219"/>
      <c r="G817" s="219"/>
      <c r="H817" s="243"/>
      <c r="I817" s="243"/>
      <c r="J817" s="265"/>
      <c r="K817" s="243"/>
      <c r="L817" s="266"/>
      <c r="M817" s="176"/>
      <c r="N817" s="176"/>
      <c r="O817" s="176"/>
      <c r="P817" s="243"/>
      <c r="Q817" s="243"/>
      <c r="R817" s="176"/>
      <c r="S817" s="176"/>
      <c r="T817" s="176"/>
      <c r="U817" s="176"/>
      <c r="V817" s="176"/>
      <c r="W817" s="176"/>
      <c r="X817" s="176"/>
      <c r="Y817" s="176"/>
      <c r="Z817" s="176"/>
      <c r="AA817" s="176"/>
    </row>
    <row r="818">
      <c r="A818" s="249"/>
      <c r="B818" s="249"/>
      <c r="C818" s="250"/>
      <c r="D818" s="252"/>
      <c r="E818" s="251"/>
      <c r="F818" s="219"/>
      <c r="G818" s="219"/>
      <c r="H818" s="243"/>
      <c r="I818" s="243"/>
      <c r="J818" s="265"/>
      <c r="K818" s="243"/>
      <c r="L818" s="266"/>
      <c r="M818" s="176"/>
      <c r="N818" s="176"/>
      <c r="O818" s="176"/>
      <c r="P818" s="243"/>
      <c r="Q818" s="243"/>
      <c r="R818" s="176"/>
      <c r="S818" s="176"/>
      <c r="T818" s="176"/>
      <c r="U818" s="176"/>
      <c r="V818" s="176"/>
      <c r="W818" s="176"/>
      <c r="X818" s="176"/>
      <c r="Y818" s="176"/>
      <c r="Z818" s="176"/>
      <c r="AA818" s="176"/>
    </row>
    <row r="819">
      <c r="A819" s="249"/>
      <c r="B819" s="249"/>
      <c r="C819" s="250"/>
      <c r="D819" s="252"/>
      <c r="E819" s="251"/>
      <c r="F819" s="219"/>
      <c r="G819" s="219"/>
      <c r="H819" s="243"/>
      <c r="I819" s="243"/>
      <c r="J819" s="265"/>
      <c r="K819" s="243"/>
      <c r="L819" s="266"/>
      <c r="M819" s="176"/>
      <c r="N819" s="176"/>
      <c r="O819" s="176"/>
      <c r="P819" s="243"/>
      <c r="Q819" s="243"/>
      <c r="R819" s="176"/>
      <c r="S819" s="176"/>
      <c r="T819" s="176"/>
      <c r="U819" s="176"/>
      <c r="V819" s="176"/>
      <c r="W819" s="176"/>
      <c r="X819" s="176"/>
      <c r="Y819" s="176"/>
      <c r="Z819" s="176"/>
      <c r="AA819" s="176"/>
    </row>
    <row r="820">
      <c r="A820" s="249"/>
      <c r="B820" s="249"/>
      <c r="C820" s="250"/>
      <c r="D820" s="252"/>
      <c r="E820" s="251"/>
      <c r="F820" s="219"/>
      <c r="G820" s="219"/>
      <c r="H820" s="243"/>
      <c r="I820" s="243"/>
      <c r="J820" s="265"/>
      <c r="K820" s="243"/>
      <c r="L820" s="266"/>
      <c r="M820" s="176"/>
      <c r="N820" s="176"/>
      <c r="O820" s="176"/>
      <c r="P820" s="243"/>
      <c r="Q820" s="243"/>
      <c r="R820" s="176"/>
      <c r="S820" s="176"/>
      <c r="T820" s="176"/>
      <c r="U820" s="176"/>
      <c r="V820" s="176"/>
      <c r="W820" s="176"/>
      <c r="X820" s="176"/>
      <c r="Y820" s="176"/>
      <c r="Z820" s="176"/>
      <c r="AA820" s="176"/>
    </row>
    <row r="821">
      <c r="A821" s="249"/>
      <c r="B821" s="249"/>
      <c r="C821" s="250"/>
      <c r="D821" s="252"/>
      <c r="E821" s="251"/>
      <c r="F821" s="219"/>
      <c r="G821" s="219"/>
      <c r="H821" s="243"/>
      <c r="I821" s="243"/>
      <c r="J821" s="265"/>
      <c r="K821" s="243"/>
      <c r="L821" s="266"/>
      <c r="M821" s="176"/>
      <c r="N821" s="176"/>
      <c r="O821" s="176"/>
      <c r="P821" s="243"/>
      <c r="Q821" s="243"/>
      <c r="R821" s="176"/>
      <c r="S821" s="176"/>
      <c r="T821" s="176"/>
      <c r="U821" s="176"/>
      <c r="V821" s="176"/>
      <c r="W821" s="176"/>
      <c r="X821" s="176"/>
      <c r="Y821" s="176"/>
      <c r="Z821" s="176"/>
      <c r="AA821" s="176"/>
    </row>
    <row r="822">
      <c r="A822" s="249"/>
      <c r="B822" s="249"/>
      <c r="C822" s="250"/>
      <c r="D822" s="252"/>
      <c r="E822" s="251"/>
      <c r="F822" s="219"/>
      <c r="G822" s="219"/>
      <c r="H822" s="243"/>
      <c r="I822" s="243"/>
      <c r="J822" s="265"/>
      <c r="K822" s="243"/>
      <c r="L822" s="266"/>
      <c r="M822" s="176"/>
      <c r="N822" s="176"/>
      <c r="O822" s="176"/>
      <c r="P822" s="243"/>
      <c r="Q822" s="243"/>
      <c r="R822" s="176"/>
      <c r="S822" s="176"/>
      <c r="T822" s="176"/>
      <c r="U822" s="176"/>
      <c r="V822" s="176"/>
      <c r="W822" s="176"/>
      <c r="X822" s="176"/>
      <c r="Y822" s="176"/>
      <c r="Z822" s="176"/>
      <c r="AA822" s="176"/>
    </row>
    <row r="823">
      <c r="A823" s="249"/>
      <c r="B823" s="249"/>
      <c r="C823" s="250"/>
      <c r="D823" s="252"/>
      <c r="E823" s="251"/>
      <c r="F823" s="219"/>
      <c r="G823" s="219"/>
      <c r="H823" s="243"/>
      <c r="I823" s="243"/>
      <c r="J823" s="265"/>
      <c r="K823" s="243"/>
      <c r="L823" s="266"/>
      <c r="M823" s="176"/>
      <c r="N823" s="176"/>
      <c r="O823" s="176"/>
      <c r="P823" s="243"/>
      <c r="Q823" s="243"/>
      <c r="R823" s="176"/>
      <c r="S823" s="176"/>
      <c r="T823" s="176"/>
      <c r="U823" s="176"/>
      <c r="V823" s="176"/>
      <c r="W823" s="176"/>
      <c r="X823" s="176"/>
      <c r="Y823" s="176"/>
      <c r="Z823" s="176"/>
      <c r="AA823" s="176"/>
    </row>
    <row r="824">
      <c r="A824" s="249"/>
      <c r="B824" s="249"/>
      <c r="C824" s="250"/>
      <c r="D824" s="252"/>
      <c r="E824" s="251"/>
      <c r="F824" s="219"/>
      <c r="G824" s="219"/>
      <c r="H824" s="243"/>
      <c r="I824" s="243"/>
      <c r="J824" s="265"/>
      <c r="K824" s="243"/>
      <c r="L824" s="266"/>
      <c r="M824" s="176"/>
      <c r="N824" s="176"/>
      <c r="O824" s="176"/>
      <c r="P824" s="243"/>
      <c r="Q824" s="243"/>
      <c r="R824" s="176"/>
      <c r="S824" s="176"/>
      <c r="T824" s="176"/>
      <c r="U824" s="176"/>
      <c r="V824" s="176"/>
      <c r="W824" s="176"/>
      <c r="X824" s="176"/>
      <c r="Y824" s="176"/>
      <c r="Z824" s="176"/>
      <c r="AA824" s="176"/>
    </row>
    <row r="825">
      <c r="A825" s="249"/>
      <c r="B825" s="249"/>
      <c r="C825" s="250"/>
      <c r="D825" s="252"/>
      <c r="E825" s="251"/>
      <c r="F825" s="219"/>
      <c r="G825" s="219"/>
      <c r="H825" s="243"/>
      <c r="I825" s="243"/>
      <c r="J825" s="265"/>
      <c r="K825" s="243"/>
      <c r="L825" s="266"/>
      <c r="M825" s="176"/>
      <c r="N825" s="176"/>
      <c r="O825" s="176"/>
      <c r="P825" s="243"/>
      <c r="Q825" s="243"/>
      <c r="R825" s="176"/>
      <c r="S825" s="176"/>
      <c r="T825" s="176"/>
      <c r="U825" s="176"/>
      <c r="V825" s="176"/>
      <c r="W825" s="176"/>
      <c r="X825" s="176"/>
      <c r="Y825" s="176"/>
      <c r="Z825" s="176"/>
      <c r="AA825" s="176"/>
    </row>
    <row r="826">
      <c r="A826" s="249"/>
      <c r="B826" s="249"/>
      <c r="C826" s="250"/>
      <c r="D826" s="252"/>
      <c r="E826" s="251"/>
      <c r="F826" s="219"/>
      <c r="G826" s="219"/>
      <c r="H826" s="243"/>
      <c r="I826" s="243"/>
      <c r="J826" s="265"/>
      <c r="K826" s="243"/>
      <c r="L826" s="266"/>
      <c r="M826" s="176"/>
      <c r="N826" s="176"/>
      <c r="O826" s="176"/>
      <c r="P826" s="243"/>
      <c r="Q826" s="243"/>
      <c r="R826" s="176"/>
      <c r="S826" s="176"/>
      <c r="T826" s="176"/>
      <c r="U826" s="176"/>
      <c r="V826" s="176"/>
      <c r="W826" s="176"/>
      <c r="X826" s="176"/>
      <c r="Y826" s="176"/>
      <c r="Z826" s="176"/>
      <c r="AA826" s="176"/>
    </row>
    <row r="827">
      <c r="A827" s="249"/>
      <c r="B827" s="249"/>
      <c r="C827" s="250"/>
      <c r="D827" s="252"/>
      <c r="E827" s="251"/>
      <c r="F827" s="219"/>
      <c r="G827" s="219"/>
      <c r="H827" s="243"/>
      <c r="I827" s="243"/>
      <c r="J827" s="265"/>
      <c r="K827" s="243"/>
      <c r="L827" s="266"/>
      <c r="M827" s="176"/>
      <c r="N827" s="176"/>
      <c r="O827" s="176"/>
      <c r="P827" s="243"/>
      <c r="Q827" s="243"/>
      <c r="R827" s="176"/>
      <c r="S827" s="176"/>
      <c r="T827" s="176"/>
      <c r="U827" s="176"/>
      <c r="V827" s="176"/>
      <c r="W827" s="176"/>
      <c r="X827" s="176"/>
      <c r="Y827" s="176"/>
      <c r="Z827" s="176"/>
      <c r="AA827" s="176"/>
    </row>
    <row r="828">
      <c r="A828" s="249"/>
      <c r="B828" s="249"/>
      <c r="C828" s="250"/>
      <c r="D828" s="252"/>
      <c r="E828" s="251"/>
      <c r="F828" s="219"/>
      <c r="G828" s="219"/>
      <c r="H828" s="243"/>
      <c r="I828" s="243"/>
      <c r="J828" s="265"/>
      <c r="K828" s="243"/>
      <c r="L828" s="266"/>
      <c r="M828" s="176"/>
      <c r="N828" s="176"/>
      <c r="O828" s="176"/>
      <c r="P828" s="243"/>
      <c r="Q828" s="243"/>
      <c r="R828" s="176"/>
      <c r="S828" s="176"/>
      <c r="T828" s="176"/>
      <c r="U828" s="176"/>
      <c r="V828" s="176"/>
      <c r="W828" s="176"/>
      <c r="X828" s="176"/>
      <c r="Y828" s="176"/>
      <c r="Z828" s="176"/>
      <c r="AA828" s="176"/>
    </row>
    <row r="829">
      <c r="A829" s="249"/>
      <c r="B829" s="249"/>
      <c r="C829" s="250"/>
      <c r="D829" s="252"/>
      <c r="E829" s="251"/>
      <c r="F829" s="219"/>
      <c r="G829" s="219"/>
      <c r="H829" s="243"/>
      <c r="I829" s="243"/>
      <c r="J829" s="265"/>
      <c r="K829" s="243"/>
      <c r="L829" s="266"/>
      <c r="M829" s="176"/>
      <c r="N829" s="176"/>
      <c r="O829" s="176"/>
      <c r="P829" s="243"/>
      <c r="Q829" s="243"/>
      <c r="R829" s="176"/>
      <c r="S829" s="176"/>
      <c r="T829" s="176"/>
      <c r="U829" s="176"/>
      <c r="V829" s="176"/>
      <c r="W829" s="176"/>
      <c r="X829" s="176"/>
      <c r="Y829" s="176"/>
      <c r="Z829" s="176"/>
      <c r="AA829" s="176"/>
    </row>
    <row r="830">
      <c r="A830" s="249"/>
      <c r="B830" s="249"/>
      <c r="C830" s="250"/>
      <c r="D830" s="252"/>
      <c r="E830" s="251"/>
      <c r="F830" s="219"/>
      <c r="G830" s="219"/>
      <c r="H830" s="243"/>
      <c r="I830" s="243"/>
      <c r="J830" s="265"/>
      <c r="K830" s="243"/>
      <c r="L830" s="266"/>
      <c r="M830" s="176"/>
      <c r="N830" s="176"/>
      <c r="O830" s="176"/>
      <c r="P830" s="243"/>
      <c r="Q830" s="243"/>
      <c r="R830" s="176"/>
      <c r="S830" s="176"/>
      <c r="T830" s="176"/>
      <c r="U830" s="176"/>
      <c r="V830" s="176"/>
      <c r="W830" s="176"/>
      <c r="X830" s="176"/>
      <c r="Y830" s="176"/>
      <c r="Z830" s="176"/>
      <c r="AA830" s="176"/>
    </row>
    <row r="831">
      <c r="A831" s="249"/>
      <c r="B831" s="249"/>
      <c r="C831" s="250"/>
      <c r="D831" s="252"/>
      <c r="E831" s="251"/>
      <c r="F831" s="219"/>
      <c r="G831" s="219"/>
      <c r="H831" s="243"/>
      <c r="I831" s="243"/>
      <c r="J831" s="265"/>
      <c r="K831" s="243"/>
      <c r="L831" s="266"/>
      <c r="M831" s="176"/>
      <c r="N831" s="176"/>
      <c r="O831" s="176"/>
      <c r="P831" s="243"/>
      <c r="Q831" s="243"/>
      <c r="R831" s="176"/>
      <c r="S831" s="176"/>
      <c r="T831" s="176"/>
      <c r="U831" s="176"/>
      <c r="V831" s="176"/>
      <c r="W831" s="176"/>
      <c r="X831" s="176"/>
      <c r="Y831" s="176"/>
      <c r="Z831" s="176"/>
      <c r="AA831" s="176"/>
    </row>
    <row r="832">
      <c r="A832" s="249"/>
      <c r="B832" s="249"/>
      <c r="C832" s="250"/>
      <c r="D832" s="252"/>
      <c r="E832" s="251"/>
      <c r="F832" s="219"/>
      <c r="G832" s="219"/>
      <c r="H832" s="243"/>
      <c r="I832" s="243"/>
      <c r="J832" s="265"/>
      <c r="K832" s="243"/>
      <c r="L832" s="266"/>
      <c r="M832" s="176"/>
      <c r="N832" s="176"/>
      <c r="O832" s="176"/>
      <c r="P832" s="243"/>
      <c r="Q832" s="243"/>
      <c r="R832" s="176"/>
      <c r="S832" s="176"/>
      <c r="T832" s="176"/>
      <c r="U832" s="176"/>
      <c r="V832" s="176"/>
      <c r="W832" s="176"/>
      <c r="X832" s="176"/>
      <c r="Y832" s="176"/>
      <c r="Z832" s="176"/>
      <c r="AA832" s="176"/>
    </row>
    <row r="833">
      <c r="A833" s="249"/>
      <c r="B833" s="249"/>
      <c r="C833" s="250"/>
      <c r="D833" s="252"/>
      <c r="E833" s="251"/>
      <c r="F833" s="219"/>
      <c r="G833" s="219"/>
      <c r="H833" s="243"/>
      <c r="I833" s="243"/>
      <c r="J833" s="265"/>
      <c r="K833" s="243"/>
      <c r="L833" s="266"/>
      <c r="M833" s="176"/>
      <c r="N833" s="176"/>
      <c r="O833" s="176"/>
      <c r="P833" s="243"/>
      <c r="Q833" s="243"/>
      <c r="R833" s="176"/>
      <c r="S833" s="176"/>
      <c r="T833" s="176"/>
      <c r="U833" s="176"/>
      <c r="V833" s="176"/>
      <c r="W833" s="176"/>
      <c r="X833" s="176"/>
      <c r="Y833" s="176"/>
      <c r="Z833" s="176"/>
      <c r="AA833" s="176"/>
    </row>
    <row r="834">
      <c r="A834" s="249"/>
      <c r="B834" s="249"/>
      <c r="C834" s="250"/>
      <c r="D834" s="252"/>
      <c r="E834" s="251"/>
      <c r="F834" s="219"/>
      <c r="G834" s="219"/>
      <c r="H834" s="243"/>
      <c r="I834" s="243"/>
      <c r="J834" s="265"/>
      <c r="K834" s="243"/>
      <c r="L834" s="266"/>
      <c r="M834" s="176"/>
      <c r="N834" s="176"/>
      <c r="O834" s="176"/>
      <c r="P834" s="243"/>
      <c r="Q834" s="243"/>
      <c r="R834" s="176"/>
      <c r="S834" s="176"/>
      <c r="T834" s="176"/>
      <c r="U834" s="176"/>
      <c r="V834" s="176"/>
      <c r="W834" s="176"/>
      <c r="X834" s="176"/>
      <c r="Y834" s="176"/>
      <c r="Z834" s="176"/>
      <c r="AA834" s="176"/>
    </row>
    <row r="835">
      <c r="A835" s="249"/>
      <c r="B835" s="249"/>
      <c r="C835" s="250"/>
      <c r="D835" s="252"/>
      <c r="E835" s="251"/>
      <c r="F835" s="219"/>
      <c r="G835" s="219"/>
      <c r="H835" s="243"/>
      <c r="I835" s="243"/>
      <c r="J835" s="265"/>
      <c r="K835" s="243"/>
      <c r="L835" s="266"/>
      <c r="M835" s="176"/>
      <c r="N835" s="176"/>
      <c r="O835" s="176"/>
      <c r="P835" s="243"/>
      <c r="Q835" s="243"/>
      <c r="R835" s="176"/>
      <c r="S835" s="176"/>
      <c r="T835" s="176"/>
      <c r="U835" s="176"/>
      <c r="V835" s="176"/>
      <c r="W835" s="176"/>
      <c r="X835" s="176"/>
      <c r="Y835" s="176"/>
      <c r="Z835" s="176"/>
      <c r="AA835" s="176"/>
    </row>
    <row r="836">
      <c r="A836" s="249"/>
      <c r="B836" s="249"/>
      <c r="C836" s="250"/>
      <c r="D836" s="252"/>
      <c r="E836" s="251"/>
      <c r="F836" s="219"/>
      <c r="G836" s="219"/>
      <c r="H836" s="243"/>
      <c r="I836" s="243"/>
      <c r="J836" s="265"/>
      <c r="K836" s="243"/>
      <c r="L836" s="266"/>
      <c r="M836" s="176"/>
      <c r="N836" s="176"/>
      <c r="O836" s="176"/>
      <c r="P836" s="243"/>
      <c r="Q836" s="243"/>
      <c r="R836" s="176"/>
      <c r="S836" s="176"/>
      <c r="T836" s="176"/>
      <c r="U836" s="176"/>
      <c r="V836" s="176"/>
      <c r="W836" s="176"/>
      <c r="X836" s="176"/>
      <c r="Y836" s="176"/>
      <c r="Z836" s="176"/>
      <c r="AA836" s="176"/>
    </row>
    <row r="837">
      <c r="A837" s="249"/>
      <c r="B837" s="249"/>
      <c r="C837" s="250"/>
      <c r="D837" s="252"/>
      <c r="E837" s="251"/>
      <c r="F837" s="219"/>
      <c r="G837" s="219"/>
      <c r="H837" s="243"/>
      <c r="I837" s="243"/>
      <c r="J837" s="265"/>
      <c r="K837" s="243"/>
      <c r="L837" s="266"/>
      <c r="M837" s="176"/>
      <c r="N837" s="176"/>
      <c r="O837" s="176"/>
      <c r="P837" s="243"/>
      <c r="Q837" s="243"/>
      <c r="R837" s="176"/>
      <c r="S837" s="176"/>
      <c r="T837" s="176"/>
      <c r="U837" s="176"/>
      <c r="V837" s="176"/>
      <c r="W837" s="176"/>
      <c r="X837" s="176"/>
      <c r="Y837" s="176"/>
      <c r="Z837" s="176"/>
      <c r="AA837" s="176"/>
    </row>
    <row r="838">
      <c r="A838" s="249"/>
      <c r="B838" s="249"/>
      <c r="C838" s="250"/>
      <c r="D838" s="252"/>
      <c r="E838" s="251"/>
      <c r="F838" s="219"/>
      <c r="G838" s="219"/>
      <c r="H838" s="243"/>
      <c r="I838" s="243"/>
      <c r="J838" s="265"/>
      <c r="K838" s="243"/>
      <c r="L838" s="266"/>
      <c r="M838" s="176"/>
      <c r="N838" s="176"/>
      <c r="O838" s="176"/>
      <c r="P838" s="243"/>
      <c r="Q838" s="243"/>
      <c r="R838" s="176"/>
      <c r="S838" s="176"/>
      <c r="T838" s="176"/>
      <c r="U838" s="176"/>
      <c r="V838" s="176"/>
      <c r="W838" s="176"/>
      <c r="X838" s="176"/>
      <c r="Y838" s="176"/>
      <c r="Z838" s="176"/>
      <c r="AA838" s="176"/>
    </row>
    <row r="839">
      <c r="A839" s="249"/>
      <c r="B839" s="249"/>
      <c r="C839" s="250"/>
      <c r="D839" s="252"/>
      <c r="E839" s="251"/>
      <c r="F839" s="219"/>
      <c r="G839" s="219"/>
      <c r="H839" s="243"/>
      <c r="I839" s="243"/>
      <c r="J839" s="265"/>
      <c r="K839" s="243"/>
      <c r="L839" s="266"/>
      <c r="M839" s="176"/>
      <c r="N839" s="176"/>
      <c r="O839" s="176"/>
      <c r="P839" s="243"/>
      <c r="Q839" s="243"/>
      <c r="R839" s="176"/>
      <c r="S839" s="176"/>
      <c r="T839" s="176"/>
      <c r="U839" s="176"/>
      <c r="V839" s="176"/>
      <c r="W839" s="176"/>
      <c r="X839" s="176"/>
      <c r="Y839" s="176"/>
      <c r="Z839" s="176"/>
      <c r="AA839" s="176"/>
    </row>
    <row r="840">
      <c r="A840" s="249"/>
      <c r="B840" s="249"/>
      <c r="C840" s="250"/>
      <c r="D840" s="252"/>
      <c r="E840" s="251"/>
      <c r="F840" s="219"/>
      <c r="G840" s="219"/>
      <c r="H840" s="243"/>
      <c r="I840" s="243"/>
      <c r="J840" s="265"/>
      <c r="K840" s="243"/>
      <c r="L840" s="266"/>
      <c r="M840" s="176"/>
      <c r="N840" s="176"/>
      <c r="O840" s="176"/>
      <c r="P840" s="243"/>
      <c r="Q840" s="243"/>
      <c r="R840" s="176"/>
      <c r="S840" s="176"/>
      <c r="T840" s="176"/>
      <c r="U840" s="176"/>
      <c r="V840" s="176"/>
      <c r="W840" s="176"/>
      <c r="X840" s="176"/>
      <c r="Y840" s="176"/>
      <c r="Z840" s="176"/>
      <c r="AA840" s="176"/>
    </row>
    <row r="841">
      <c r="A841" s="249"/>
      <c r="B841" s="249"/>
      <c r="C841" s="250"/>
      <c r="D841" s="252"/>
      <c r="E841" s="251"/>
      <c r="F841" s="219"/>
      <c r="G841" s="219"/>
      <c r="H841" s="243"/>
      <c r="I841" s="243"/>
      <c r="J841" s="265"/>
      <c r="K841" s="243"/>
      <c r="L841" s="266"/>
      <c r="M841" s="176"/>
      <c r="N841" s="176"/>
      <c r="O841" s="176"/>
      <c r="P841" s="243"/>
      <c r="Q841" s="243"/>
      <c r="R841" s="176"/>
      <c r="S841" s="176"/>
      <c r="T841" s="176"/>
      <c r="U841" s="176"/>
      <c r="V841" s="176"/>
      <c r="W841" s="176"/>
      <c r="X841" s="176"/>
      <c r="Y841" s="176"/>
      <c r="Z841" s="176"/>
      <c r="AA841" s="176"/>
    </row>
    <row r="842">
      <c r="A842" s="249"/>
      <c r="B842" s="249"/>
      <c r="C842" s="250"/>
      <c r="D842" s="252"/>
      <c r="E842" s="251"/>
      <c r="F842" s="219"/>
      <c r="G842" s="219"/>
      <c r="H842" s="243"/>
      <c r="I842" s="243"/>
      <c r="J842" s="265"/>
      <c r="K842" s="243"/>
      <c r="L842" s="266"/>
      <c r="M842" s="176"/>
      <c r="N842" s="176"/>
      <c r="O842" s="176"/>
      <c r="P842" s="243"/>
      <c r="Q842" s="243"/>
      <c r="R842" s="176"/>
      <c r="S842" s="176"/>
      <c r="T842" s="176"/>
      <c r="U842" s="176"/>
      <c r="V842" s="176"/>
      <c r="W842" s="176"/>
      <c r="X842" s="176"/>
      <c r="Y842" s="176"/>
      <c r="Z842" s="176"/>
      <c r="AA842" s="176"/>
    </row>
    <row r="843">
      <c r="A843" s="249"/>
      <c r="B843" s="249"/>
      <c r="C843" s="250"/>
      <c r="D843" s="252"/>
      <c r="E843" s="251"/>
      <c r="F843" s="219"/>
      <c r="G843" s="219"/>
      <c r="H843" s="243"/>
      <c r="I843" s="243"/>
      <c r="J843" s="265"/>
      <c r="K843" s="243"/>
      <c r="L843" s="266"/>
      <c r="M843" s="176"/>
      <c r="N843" s="176"/>
      <c r="O843" s="176"/>
      <c r="P843" s="243"/>
      <c r="Q843" s="243"/>
      <c r="R843" s="176"/>
      <c r="S843" s="176"/>
      <c r="T843" s="176"/>
      <c r="U843" s="176"/>
      <c r="V843" s="176"/>
      <c r="W843" s="176"/>
      <c r="X843" s="176"/>
      <c r="Y843" s="176"/>
      <c r="Z843" s="176"/>
      <c r="AA843" s="176"/>
    </row>
    <row r="844">
      <c r="A844" s="249"/>
      <c r="B844" s="249"/>
      <c r="C844" s="250"/>
      <c r="D844" s="252"/>
      <c r="E844" s="251"/>
      <c r="F844" s="219"/>
      <c r="G844" s="219"/>
      <c r="H844" s="243"/>
      <c r="I844" s="243"/>
      <c r="J844" s="265"/>
      <c r="K844" s="243"/>
      <c r="L844" s="266"/>
      <c r="M844" s="176"/>
      <c r="N844" s="176"/>
      <c r="O844" s="176"/>
      <c r="P844" s="243"/>
      <c r="Q844" s="243"/>
      <c r="R844" s="176"/>
      <c r="S844" s="176"/>
      <c r="T844" s="176"/>
      <c r="U844" s="176"/>
      <c r="V844" s="176"/>
      <c r="W844" s="176"/>
      <c r="X844" s="176"/>
      <c r="Y844" s="176"/>
      <c r="Z844" s="176"/>
      <c r="AA844" s="176"/>
    </row>
    <row r="845">
      <c r="A845" s="249"/>
      <c r="B845" s="249"/>
      <c r="C845" s="250"/>
      <c r="D845" s="252"/>
      <c r="E845" s="251"/>
      <c r="F845" s="219"/>
      <c r="G845" s="219"/>
      <c r="H845" s="243"/>
      <c r="I845" s="243"/>
      <c r="J845" s="265"/>
      <c r="K845" s="243"/>
      <c r="L845" s="266"/>
      <c r="M845" s="176"/>
      <c r="N845" s="176"/>
      <c r="O845" s="176"/>
      <c r="P845" s="243"/>
      <c r="Q845" s="243"/>
      <c r="R845" s="176"/>
      <c r="S845" s="176"/>
      <c r="T845" s="176"/>
      <c r="U845" s="176"/>
      <c r="V845" s="176"/>
      <c r="W845" s="176"/>
      <c r="X845" s="176"/>
      <c r="Y845" s="176"/>
      <c r="Z845" s="176"/>
      <c r="AA845" s="176"/>
    </row>
    <row r="846">
      <c r="A846" s="249"/>
      <c r="B846" s="249"/>
      <c r="C846" s="250"/>
      <c r="D846" s="252"/>
      <c r="E846" s="251"/>
      <c r="F846" s="219"/>
      <c r="G846" s="219"/>
      <c r="H846" s="243"/>
      <c r="I846" s="243"/>
      <c r="J846" s="265"/>
      <c r="K846" s="243"/>
      <c r="L846" s="266"/>
      <c r="M846" s="176"/>
      <c r="N846" s="176"/>
      <c r="O846" s="176"/>
      <c r="P846" s="243"/>
      <c r="Q846" s="243"/>
      <c r="R846" s="176"/>
      <c r="S846" s="176"/>
      <c r="T846" s="176"/>
      <c r="U846" s="176"/>
      <c r="V846" s="176"/>
      <c r="W846" s="176"/>
      <c r="X846" s="176"/>
      <c r="Y846" s="176"/>
      <c r="Z846" s="176"/>
      <c r="AA846" s="176"/>
    </row>
    <row r="847">
      <c r="A847" s="249"/>
      <c r="B847" s="249"/>
      <c r="C847" s="250"/>
      <c r="D847" s="252"/>
      <c r="E847" s="251"/>
      <c r="F847" s="219"/>
      <c r="G847" s="219"/>
      <c r="H847" s="243"/>
      <c r="I847" s="243"/>
      <c r="J847" s="265"/>
      <c r="K847" s="243"/>
      <c r="L847" s="266"/>
      <c r="M847" s="176"/>
      <c r="N847" s="176"/>
      <c r="O847" s="176"/>
      <c r="P847" s="243"/>
      <c r="Q847" s="243"/>
      <c r="R847" s="176"/>
      <c r="S847" s="176"/>
      <c r="T847" s="176"/>
      <c r="U847" s="176"/>
      <c r="V847" s="176"/>
      <c r="W847" s="176"/>
      <c r="X847" s="176"/>
      <c r="Y847" s="176"/>
      <c r="Z847" s="176"/>
      <c r="AA847" s="176"/>
    </row>
    <row r="848">
      <c r="A848" s="249"/>
      <c r="B848" s="249"/>
      <c r="C848" s="250"/>
      <c r="D848" s="252"/>
      <c r="E848" s="251"/>
      <c r="F848" s="219"/>
      <c r="G848" s="219"/>
      <c r="H848" s="243"/>
      <c r="I848" s="243"/>
      <c r="J848" s="265"/>
      <c r="K848" s="243"/>
      <c r="L848" s="266"/>
      <c r="M848" s="176"/>
      <c r="N848" s="176"/>
      <c r="O848" s="176"/>
      <c r="P848" s="243"/>
      <c r="Q848" s="243"/>
      <c r="R848" s="176"/>
      <c r="S848" s="176"/>
      <c r="T848" s="176"/>
      <c r="U848" s="176"/>
      <c r="V848" s="176"/>
      <c r="W848" s="176"/>
      <c r="X848" s="176"/>
      <c r="Y848" s="176"/>
      <c r="Z848" s="176"/>
      <c r="AA848" s="176"/>
    </row>
    <row r="849">
      <c r="A849" s="249"/>
      <c r="B849" s="249"/>
      <c r="C849" s="250"/>
      <c r="D849" s="252"/>
      <c r="E849" s="251"/>
      <c r="F849" s="219"/>
      <c r="G849" s="219"/>
      <c r="H849" s="243"/>
      <c r="I849" s="243"/>
      <c r="J849" s="265"/>
      <c r="K849" s="243"/>
      <c r="L849" s="266"/>
      <c r="M849" s="176"/>
      <c r="N849" s="176"/>
      <c r="O849" s="176"/>
      <c r="P849" s="243"/>
      <c r="Q849" s="243"/>
      <c r="R849" s="176"/>
      <c r="S849" s="176"/>
      <c r="T849" s="176"/>
      <c r="U849" s="176"/>
      <c r="V849" s="176"/>
      <c r="W849" s="176"/>
      <c r="X849" s="176"/>
      <c r="Y849" s="176"/>
      <c r="Z849" s="176"/>
      <c r="AA849" s="176"/>
    </row>
    <row r="850">
      <c r="A850" s="249"/>
      <c r="B850" s="249"/>
      <c r="C850" s="250"/>
      <c r="D850" s="252"/>
      <c r="E850" s="251"/>
      <c r="F850" s="219"/>
      <c r="G850" s="219"/>
      <c r="H850" s="243"/>
      <c r="I850" s="243"/>
      <c r="J850" s="265"/>
      <c r="K850" s="243"/>
      <c r="L850" s="266"/>
      <c r="M850" s="176"/>
      <c r="N850" s="176"/>
      <c r="O850" s="176"/>
      <c r="P850" s="243"/>
      <c r="Q850" s="243"/>
      <c r="R850" s="176"/>
      <c r="S850" s="176"/>
      <c r="T850" s="176"/>
      <c r="U850" s="176"/>
      <c r="V850" s="176"/>
      <c r="W850" s="176"/>
      <c r="X850" s="176"/>
      <c r="Y850" s="176"/>
      <c r="Z850" s="176"/>
      <c r="AA850" s="176"/>
    </row>
    <row r="851">
      <c r="A851" s="249"/>
      <c r="B851" s="249"/>
      <c r="C851" s="250"/>
      <c r="D851" s="252"/>
      <c r="E851" s="251"/>
      <c r="F851" s="219"/>
      <c r="G851" s="219"/>
      <c r="H851" s="243"/>
      <c r="I851" s="243"/>
      <c r="J851" s="265"/>
      <c r="K851" s="243"/>
      <c r="L851" s="266"/>
      <c r="M851" s="176"/>
      <c r="N851" s="176"/>
      <c r="O851" s="176"/>
      <c r="P851" s="243"/>
      <c r="Q851" s="243"/>
      <c r="R851" s="176"/>
      <c r="S851" s="176"/>
      <c r="T851" s="176"/>
      <c r="U851" s="176"/>
      <c r="V851" s="176"/>
      <c r="W851" s="176"/>
      <c r="X851" s="176"/>
      <c r="Y851" s="176"/>
      <c r="Z851" s="176"/>
      <c r="AA851" s="176"/>
    </row>
    <row r="852">
      <c r="A852" s="249"/>
      <c r="B852" s="249"/>
      <c r="C852" s="250"/>
      <c r="D852" s="252"/>
      <c r="E852" s="251"/>
      <c r="F852" s="219"/>
      <c r="G852" s="219"/>
      <c r="H852" s="243"/>
      <c r="I852" s="243"/>
      <c r="J852" s="265"/>
      <c r="K852" s="243"/>
      <c r="L852" s="266"/>
      <c r="M852" s="176"/>
      <c r="N852" s="176"/>
      <c r="O852" s="176"/>
      <c r="P852" s="243"/>
      <c r="Q852" s="243"/>
      <c r="R852" s="176"/>
      <c r="S852" s="176"/>
      <c r="T852" s="176"/>
      <c r="U852" s="176"/>
      <c r="V852" s="176"/>
      <c r="W852" s="176"/>
      <c r="X852" s="176"/>
      <c r="Y852" s="176"/>
      <c r="Z852" s="176"/>
      <c r="AA852" s="176"/>
    </row>
    <row r="853">
      <c r="A853" s="249"/>
      <c r="B853" s="249"/>
      <c r="C853" s="250"/>
      <c r="D853" s="252"/>
      <c r="E853" s="251"/>
      <c r="F853" s="219"/>
      <c r="G853" s="219"/>
      <c r="H853" s="243"/>
      <c r="I853" s="243"/>
      <c r="J853" s="265"/>
      <c r="K853" s="243"/>
      <c r="L853" s="266"/>
      <c r="M853" s="176"/>
      <c r="N853" s="176"/>
      <c r="O853" s="176"/>
      <c r="P853" s="243"/>
      <c r="Q853" s="243"/>
      <c r="R853" s="176"/>
      <c r="S853" s="176"/>
      <c r="T853" s="176"/>
      <c r="U853" s="176"/>
      <c r="V853" s="176"/>
      <c r="W853" s="176"/>
      <c r="X853" s="176"/>
      <c r="Y853" s="176"/>
      <c r="Z853" s="176"/>
      <c r="AA853" s="176"/>
    </row>
    <row r="854">
      <c r="A854" s="249"/>
      <c r="B854" s="249"/>
      <c r="C854" s="250"/>
      <c r="D854" s="252"/>
      <c r="E854" s="251"/>
      <c r="F854" s="219"/>
      <c r="G854" s="219"/>
      <c r="H854" s="243"/>
      <c r="I854" s="243"/>
      <c r="J854" s="265"/>
      <c r="K854" s="243"/>
      <c r="L854" s="266"/>
      <c r="M854" s="176"/>
      <c r="N854" s="176"/>
      <c r="O854" s="176"/>
      <c r="P854" s="243"/>
      <c r="Q854" s="243"/>
      <c r="R854" s="176"/>
      <c r="S854" s="176"/>
      <c r="T854" s="176"/>
      <c r="U854" s="176"/>
      <c r="V854" s="176"/>
      <c r="W854" s="176"/>
      <c r="X854" s="176"/>
      <c r="Y854" s="176"/>
      <c r="Z854" s="176"/>
      <c r="AA854" s="176"/>
    </row>
    <row r="855">
      <c r="A855" s="249"/>
      <c r="B855" s="249"/>
      <c r="C855" s="250"/>
      <c r="D855" s="252"/>
      <c r="E855" s="251"/>
      <c r="F855" s="219"/>
      <c r="G855" s="219"/>
      <c r="H855" s="243"/>
      <c r="I855" s="243"/>
      <c r="J855" s="265"/>
      <c r="K855" s="243"/>
      <c r="L855" s="266"/>
      <c r="M855" s="176"/>
      <c r="N855" s="176"/>
      <c r="O855" s="176"/>
      <c r="P855" s="243"/>
      <c r="Q855" s="243"/>
      <c r="R855" s="176"/>
      <c r="S855" s="176"/>
      <c r="T855" s="176"/>
      <c r="U855" s="176"/>
      <c r="V855" s="176"/>
      <c r="W855" s="176"/>
      <c r="X855" s="176"/>
      <c r="Y855" s="176"/>
      <c r="Z855" s="176"/>
      <c r="AA855" s="176"/>
    </row>
    <row r="856">
      <c r="A856" s="249"/>
      <c r="B856" s="249"/>
      <c r="C856" s="250"/>
      <c r="D856" s="252"/>
      <c r="E856" s="251"/>
      <c r="F856" s="219"/>
      <c r="G856" s="219"/>
      <c r="H856" s="243"/>
      <c r="I856" s="243"/>
      <c r="J856" s="265"/>
      <c r="K856" s="243"/>
      <c r="L856" s="266"/>
      <c r="M856" s="176"/>
      <c r="N856" s="176"/>
      <c r="O856" s="176"/>
      <c r="P856" s="243"/>
      <c r="Q856" s="243"/>
      <c r="R856" s="176"/>
      <c r="S856" s="176"/>
      <c r="T856" s="176"/>
      <c r="U856" s="176"/>
      <c r="V856" s="176"/>
      <c r="W856" s="176"/>
      <c r="X856" s="176"/>
      <c r="Y856" s="176"/>
      <c r="Z856" s="176"/>
      <c r="AA856" s="176"/>
    </row>
    <row r="857">
      <c r="A857" s="249"/>
      <c r="B857" s="249"/>
      <c r="C857" s="250"/>
      <c r="D857" s="252"/>
      <c r="E857" s="251"/>
      <c r="F857" s="219"/>
      <c r="G857" s="219"/>
      <c r="H857" s="243"/>
      <c r="I857" s="243"/>
      <c r="J857" s="265"/>
      <c r="K857" s="243"/>
      <c r="L857" s="266"/>
      <c r="M857" s="176"/>
      <c r="N857" s="176"/>
      <c r="O857" s="176"/>
      <c r="P857" s="243"/>
      <c r="Q857" s="243"/>
      <c r="R857" s="176"/>
      <c r="S857" s="176"/>
      <c r="T857" s="176"/>
      <c r="U857" s="176"/>
      <c r="V857" s="176"/>
      <c r="W857" s="176"/>
      <c r="X857" s="176"/>
      <c r="Y857" s="176"/>
      <c r="Z857" s="176"/>
      <c r="AA857" s="176"/>
    </row>
    <row r="858">
      <c r="A858" s="249"/>
      <c r="B858" s="249"/>
      <c r="C858" s="250"/>
      <c r="D858" s="252"/>
      <c r="E858" s="251"/>
      <c r="F858" s="219"/>
      <c r="G858" s="219"/>
      <c r="H858" s="243"/>
      <c r="I858" s="243"/>
      <c r="J858" s="265"/>
      <c r="K858" s="243"/>
      <c r="L858" s="266"/>
      <c r="M858" s="176"/>
      <c r="N858" s="176"/>
      <c r="O858" s="176"/>
      <c r="P858" s="243"/>
      <c r="Q858" s="243"/>
      <c r="R858" s="176"/>
      <c r="S858" s="176"/>
      <c r="T858" s="176"/>
      <c r="U858" s="176"/>
      <c r="V858" s="176"/>
      <c r="W858" s="176"/>
      <c r="X858" s="176"/>
      <c r="Y858" s="176"/>
      <c r="Z858" s="176"/>
      <c r="AA858" s="176"/>
    </row>
    <row r="859">
      <c r="A859" s="249"/>
      <c r="B859" s="249"/>
      <c r="C859" s="250"/>
      <c r="D859" s="252"/>
      <c r="E859" s="251"/>
      <c r="F859" s="219"/>
      <c r="G859" s="219"/>
      <c r="H859" s="243"/>
      <c r="I859" s="243"/>
      <c r="J859" s="265"/>
      <c r="K859" s="243"/>
      <c r="L859" s="266"/>
      <c r="M859" s="176"/>
      <c r="N859" s="176"/>
      <c r="O859" s="176"/>
      <c r="P859" s="243"/>
      <c r="Q859" s="243"/>
      <c r="R859" s="176"/>
      <c r="S859" s="176"/>
      <c r="T859" s="176"/>
      <c r="U859" s="176"/>
      <c r="V859" s="176"/>
      <c r="W859" s="176"/>
      <c r="X859" s="176"/>
      <c r="Y859" s="176"/>
      <c r="Z859" s="176"/>
      <c r="AA859" s="176"/>
    </row>
    <row r="860">
      <c r="A860" s="249"/>
      <c r="B860" s="249"/>
      <c r="C860" s="250"/>
      <c r="D860" s="252"/>
      <c r="E860" s="251"/>
      <c r="F860" s="219"/>
      <c r="G860" s="219"/>
      <c r="H860" s="243"/>
      <c r="I860" s="243"/>
      <c r="J860" s="265"/>
      <c r="K860" s="243"/>
      <c r="L860" s="266"/>
      <c r="M860" s="176"/>
      <c r="N860" s="176"/>
      <c r="O860" s="176"/>
      <c r="P860" s="243"/>
      <c r="Q860" s="243"/>
      <c r="R860" s="176"/>
      <c r="S860" s="176"/>
      <c r="T860" s="176"/>
      <c r="U860" s="176"/>
      <c r="V860" s="176"/>
      <c r="W860" s="176"/>
      <c r="X860" s="176"/>
      <c r="Y860" s="176"/>
      <c r="Z860" s="176"/>
      <c r="AA860" s="176"/>
    </row>
    <row r="861">
      <c r="A861" s="249"/>
      <c r="B861" s="249"/>
      <c r="C861" s="250"/>
      <c r="D861" s="252"/>
      <c r="E861" s="251"/>
      <c r="F861" s="219"/>
      <c r="G861" s="219"/>
      <c r="H861" s="243"/>
      <c r="I861" s="243"/>
      <c r="J861" s="265"/>
      <c r="K861" s="243"/>
      <c r="L861" s="266"/>
      <c r="M861" s="176"/>
      <c r="N861" s="176"/>
      <c r="O861" s="176"/>
      <c r="P861" s="243"/>
      <c r="Q861" s="243"/>
      <c r="R861" s="176"/>
      <c r="S861" s="176"/>
      <c r="T861" s="176"/>
      <c r="U861" s="176"/>
      <c r="V861" s="176"/>
      <c r="W861" s="176"/>
      <c r="X861" s="176"/>
      <c r="Y861" s="176"/>
      <c r="Z861" s="176"/>
      <c r="AA861" s="176"/>
    </row>
    <row r="862">
      <c r="A862" s="249"/>
      <c r="B862" s="249"/>
      <c r="C862" s="250"/>
      <c r="D862" s="252"/>
      <c r="E862" s="251"/>
      <c r="F862" s="219"/>
      <c r="G862" s="219"/>
      <c r="H862" s="243"/>
      <c r="I862" s="243"/>
      <c r="J862" s="265"/>
      <c r="K862" s="243"/>
      <c r="L862" s="266"/>
      <c r="M862" s="176"/>
      <c r="N862" s="176"/>
      <c r="O862" s="176"/>
      <c r="P862" s="243"/>
      <c r="Q862" s="243"/>
      <c r="R862" s="176"/>
      <c r="S862" s="176"/>
      <c r="T862" s="176"/>
      <c r="U862" s="176"/>
      <c r="V862" s="176"/>
      <c r="W862" s="176"/>
      <c r="X862" s="176"/>
      <c r="Y862" s="176"/>
      <c r="Z862" s="176"/>
      <c r="AA862" s="176"/>
    </row>
    <row r="863">
      <c r="A863" s="249"/>
      <c r="B863" s="249"/>
      <c r="C863" s="250"/>
      <c r="D863" s="252"/>
      <c r="E863" s="251"/>
      <c r="F863" s="219"/>
      <c r="G863" s="219"/>
      <c r="H863" s="243"/>
      <c r="I863" s="243"/>
      <c r="J863" s="265"/>
      <c r="K863" s="243"/>
      <c r="L863" s="266"/>
      <c r="M863" s="176"/>
      <c r="N863" s="176"/>
      <c r="O863" s="176"/>
      <c r="P863" s="243"/>
      <c r="Q863" s="243"/>
      <c r="R863" s="176"/>
      <c r="S863" s="176"/>
      <c r="T863" s="176"/>
      <c r="U863" s="176"/>
      <c r="V863" s="176"/>
      <c r="W863" s="176"/>
      <c r="X863" s="176"/>
      <c r="Y863" s="176"/>
      <c r="Z863" s="176"/>
      <c r="AA863" s="176"/>
    </row>
    <row r="864">
      <c r="A864" s="249"/>
      <c r="B864" s="249"/>
      <c r="C864" s="250"/>
      <c r="D864" s="252"/>
      <c r="E864" s="251"/>
      <c r="F864" s="219"/>
      <c r="G864" s="219"/>
      <c r="H864" s="243"/>
      <c r="I864" s="243"/>
      <c r="J864" s="265"/>
      <c r="K864" s="243"/>
      <c r="L864" s="266"/>
      <c r="M864" s="176"/>
      <c r="N864" s="176"/>
      <c r="O864" s="176"/>
      <c r="P864" s="243"/>
      <c r="Q864" s="243"/>
      <c r="R864" s="176"/>
      <c r="S864" s="176"/>
      <c r="T864" s="176"/>
      <c r="U864" s="176"/>
      <c r="V864" s="176"/>
      <c r="W864" s="176"/>
      <c r="X864" s="176"/>
      <c r="Y864" s="176"/>
      <c r="Z864" s="176"/>
      <c r="AA864" s="176"/>
    </row>
    <row r="865">
      <c r="A865" s="249"/>
      <c r="B865" s="249"/>
      <c r="C865" s="250"/>
      <c r="D865" s="252"/>
      <c r="E865" s="251"/>
      <c r="F865" s="219"/>
      <c r="G865" s="219"/>
      <c r="H865" s="243"/>
      <c r="I865" s="243"/>
      <c r="J865" s="265"/>
      <c r="K865" s="243"/>
      <c r="L865" s="266"/>
      <c r="M865" s="176"/>
      <c r="N865" s="176"/>
      <c r="O865" s="176"/>
      <c r="P865" s="243"/>
      <c r="Q865" s="243"/>
      <c r="R865" s="176"/>
      <c r="S865" s="176"/>
      <c r="T865" s="176"/>
      <c r="U865" s="176"/>
      <c r="V865" s="176"/>
      <c r="W865" s="176"/>
      <c r="X865" s="176"/>
      <c r="Y865" s="176"/>
      <c r="Z865" s="176"/>
      <c r="AA865" s="176"/>
    </row>
    <row r="866">
      <c r="A866" s="249"/>
      <c r="B866" s="249"/>
      <c r="C866" s="250"/>
      <c r="D866" s="252"/>
      <c r="E866" s="251"/>
      <c r="F866" s="219"/>
      <c r="G866" s="219"/>
      <c r="H866" s="243"/>
      <c r="I866" s="243"/>
      <c r="J866" s="265"/>
      <c r="K866" s="243"/>
      <c r="L866" s="266"/>
      <c r="M866" s="176"/>
      <c r="N866" s="176"/>
      <c r="O866" s="176"/>
      <c r="P866" s="243"/>
      <c r="Q866" s="243"/>
      <c r="R866" s="176"/>
      <c r="S866" s="176"/>
      <c r="T866" s="176"/>
      <c r="U866" s="176"/>
      <c r="V866" s="176"/>
      <c r="W866" s="176"/>
      <c r="X866" s="176"/>
      <c r="Y866" s="176"/>
      <c r="Z866" s="176"/>
      <c r="AA866" s="176"/>
    </row>
    <row r="867">
      <c r="A867" s="249"/>
      <c r="B867" s="249"/>
      <c r="C867" s="250"/>
      <c r="D867" s="252"/>
      <c r="E867" s="251"/>
      <c r="F867" s="219"/>
      <c r="G867" s="219"/>
      <c r="H867" s="243"/>
      <c r="I867" s="243"/>
      <c r="J867" s="265"/>
      <c r="K867" s="243"/>
      <c r="L867" s="266"/>
      <c r="M867" s="176"/>
      <c r="N867" s="176"/>
      <c r="O867" s="176"/>
      <c r="P867" s="243"/>
      <c r="Q867" s="243"/>
      <c r="R867" s="176"/>
      <c r="S867" s="176"/>
      <c r="T867" s="176"/>
      <c r="U867" s="176"/>
      <c r="V867" s="176"/>
      <c r="W867" s="176"/>
      <c r="X867" s="176"/>
      <c r="Y867" s="176"/>
      <c r="Z867" s="176"/>
      <c r="AA867" s="176"/>
    </row>
    <row r="868">
      <c r="A868" s="249"/>
      <c r="B868" s="249"/>
      <c r="C868" s="250"/>
      <c r="D868" s="252"/>
      <c r="E868" s="251"/>
      <c r="F868" s="219"/>
      <c r="G868" s="219"/>
      <c r="H868" s="243"/>
      <c r="I868" s="243"/>
      <c r="J868" s="265"/>
      <c r="K868" s="243"/>
      <c r="L868" s="266"/>
      <c r="M868" s="176"/>
      <c r="N868" s="176"/>
      <c r="O868" s="176"/>
      <c r="P868" s="243"/>
      <c r="Q868" s="243"/>
      <c r="R868" s="176"/>
      <c r="S868" s="176"/>
      <c r="T868" s="176"/>
      <c r="U868" s="176"/>
      <c r="V868" s="176"/>
      <c r="W868" s="176"/>
      <c r="X868" s="176"/>
      <c r="Y868" s="176"/>
      <c r="Z868" s="176"/>
      <c r="AA868" s="176"/>
    </row>
    <row r="869">
      <c r="A869" s="249"/>
      <c r="B869" s="249"/>
      <c r="C869" s="250"/>
      <c r="D869" s="252"/>
      <c r="E869" s="251"/>
      <c r="F869" s="219"/>
      <c r="G869" s="219"/>
      <c r="H869" s="243"/>
      <c r="I869" s="243"/>
      <c r="J869" s="265"/>
      <c r="K869" s="243"/>
      <c r="L869" s="266"/>
      <c r="M869" s="176"/>
      <c r="N869" s="176"/>
      <c r="O869" s="176"/>
      <c r="P869" s="243"/>
      <c r="Q869" s="243"/>
      <c r="R869" s="176"/>
      <c r="S869" s="176"/>
      <c r="T869" s="176"/>
      <c r="U869" s="176"/>
      <c r="V869" s="176"/>
      <c r="W869" s="176"/>
      <c r="X869" s="176"/>
      <c r="Y869" s="176"/>
      <c r="Z869" s="176"/>
      <c r="AA869" s="176"/>
    </row>
    <row r="870">
      <c r="A870" s="249"/>
      <c r="B870" s="249"/>
      <c r="C870" s="250"/>
      <c r="D870" s="252"/>
      <c r="E870" s="251"/>
      <c r="F870" s="219"/>
      <c r="G870" s="219"/>
      <c r="H870" s="243"/>
      <c r="I870" s="243"/>
      <c r="J870" s="265"/>
      <c r="K870" s="243"/>
      <c r="L870" s="266"/>
      <c r="M870" s="176"/>
      <c r="N870" s="176"/>
      <c r="O870" s="176"/>
      <c r="P870" s="243"/>
      <c r="Q870" s="243"/>
      <c r="R870" s="176"/>
      <c r="S870" s="176"/>
      <c r="T870" s="176"/>
      <c r="U870" s="176"/>
      <c r="V870" s="176"/>
      <c r="W870" s="176"/>
      <c r="X870" s="176"/>
      <c r="Y870" s="176"/>
      <c r="Z870" s="176"/>
      <c r="AA870" s="176"/>
    </row>
    <row r="871">
      <c r="A871" s="249"/>
      <c r="B871" s="249"/>
      <c r="C871" s="250"/>
      <c r="D871" s="252"/>
      <c r="E871" s="251"/>
      <c r="F871" s="219"/>
      <c r="G871" s="219"/>
      <c r="H871" s="243"/>
      <c r="I871" s="243"/>
      <c r="J871" s="265"/>
      <c r="K871" s="243"/>
      <c r="L871" s="266"/>
      <c r="M871" s="176"/>
      <c r="N871" s="176"/>
      <c r="O871" s="176"/>
      <c r="P871" s="243"/>
      <c r="Q871" s="243"/>
      <c r="R871" s="176"/>
      <c r="S871" s="176"/>
      <c r="T871" s="176"/>
      <c r="U871" s="176"/>
      <c r="V871" s="176"/>
      <c r="W871" s="176"/>
      <c r="X871" s="176"/>
      <c r="Y871" s="176"/>
      <c r="Z871" s="176"/>
      <c r="AA871" s="176"/>
    </row>
    <row r="872">
      <c r="A872" s="249"/>
      <c r="B872" s="249"/>
      <c r="C872" s="250"/>
      <c r="D872" s="252"/>
      <c r="E872" s="251"/>
      <c r="F872" s="219"/>
      <c r="G872" s="219"/>
      <c r="H872" s="243"/>
      <c r="I872" s="243"/>
      <c r="J872" s="265"/>
      <c r="K872" s="243"/>
      <c r="L872" s="266"/>
      <c r="M872" s="176"/>
      <c r="N872" s="176"/>
      <c r="O872" s="176"/>
      <c r="P872" s="243"/>
      <c r="Q872" s="243"/>
      <c r="R872" s="176"/>
      <c r="S872" s="176"/>
      <c r="T872" s="176"/>
      <c r="U872" s="176"/>
      <c r="V872" s="176"/>
      <c r="W872" s="176"/>
      <c r="X872" s="176"/>
      <c r="Y872" s="176"/>
      <c r="Z872" s="176"/>
      <c r="AA872" s="176"/>
    </row>
    <row r="873">
      <c r="A873" s="249"/>
      <c r="B873" s="249"/>
      <c r="C873" s="250"/>
      <c r="D873" s="252"/>
      <c r="E873" s="251"/>
      <c r="F873" s="219"/>
      <c r="G873" s="219"/>
      <c r="H873" s="243"/>
      <c r="I873" s="243"/>
      <c r="J873" s="265"/>
      <c r="K873" s="243"/>
      <c r="L873" s="266"/>
      <c r="M873" s="176"/>
      <c r="N873" s="176"/>
      <c r="O873" s="176"/>
      <c r="P873" s="243"/>
      <c r="Q873" s="243"/>
      <c r="R873" s="176"/>
      <c r="S873" s="176"/>
      <c r="T873" s="176"/>
      <c r="U873" s="176"/>
      <c r="V873" s="176"/>
      <c r="W873" s="176"/>
      <c r="X873" s="176"/>
      <c r="Y873" s="176"/>
      <c r="Z873" s="176"/>
      <c r="AA873" s="176"/>
    </row>
    <row r="874">
      <c r="A874" s="249"/>
      <c r="B874" s="249"/>
      <c r="C874" s="250"/>
      <c r="D874" s="252"/>
      <c r="E874" s="251"/>
      <c r="F874" s="219"/>
      <c r="G874" s="219"/>
      <c r="H874" s="243"/>
      <c r="I874" s="243"/>
      <c r="J874" s="265"/>
      <c r="K874" s="243"/>
      <c r="L874" s="266"/>
      <c r="M874" s="176"/>
      <c r="N874" s="176"/>
      <c r="O874" s="176"/>
      <c r="P874" s="243"/>
      <c r="Q874" s="243"/>
      <c r="R874" s="176"/>
      <c r="S874" s="176"/>
      <c r="T874" s="176"/>
      <c r="U874" s="176"/>
      <c r="V874" s="176"/>
      <c r="W874" s="176"/>
      <c r="X874" s="176"/>
      <c r="Y874" s="176"/>
      <c r="Z874" s="176"/>
      <c r="AA874" s="176"/>
    </row>
    <row r="875">
      <c r="A875" s="249"/>
      <c r="B875" s="249"/>
      <c r="C875" s="250"/>
      <c r="D875" s="252"/>
      <c r="E875" s="251"/>
      <c r="F875" s="219"/>
      <c r="G875" s="219"/>
      <c r="H875" s="243"/>
      <c r="I875" s="243"/>
      <c r="J875" s="265"/>
      <c r="K875" s="243"/>
      <c r="L875" s="266"/>
      <c r="M875" s="176"/>
      <c r="N875" s="176"/>
      <c r="O875" s="176"/>
      <c r="P875" s="243"/>
      <c r="Q875" s="243"/>
      <c r="R875" s="176"/>
      <c r="S875" s="176"/>
      <c r="T875" s="176"/>
      <c r="U875" s="176"/>
      <c r="V875" s="176"/>
      <c r="W875" s="176"/>
      <c r="X875" s="176"/>
      <c r="Y875" s="176"/>
      <c r="Z875" s="176"/>
      <c r="AA875" s="176"/>
    </row>
    <row r="876">
      <c r="A876" s="249"/>
      <c r="B876" s="249"/>
      <c r="C876" s="250"/>
      <c r="D876" s="252"/>
      <c r="E876" s="251"/>
      <c r="F876" s="219"/>
      <c r="G876" s="219"/>
      <c r="H876" s="243"/>
      <c r="I876" s="243"/>
      <c r="J876" s="265"/>
      <c r="K876" s="243"/>
      <c r="L876" s="266"/>
      <c r="M876" s="176"/>
      <c r="N876" s="176"/>
      <c r="O876" s="176"/>
      <c r="P876" s="243"/>
      <c r="Q876" s="243"/>
      <c r="R876" s="176"/>
      <c r="S876" s="176"/>
      <c r="T876" s="176"/>
      <c r="U876" s="176"/>
      <c r="V876" s="176"/>
      <c r="W876" s="176"/>
      <c r="X876" s="176"/>
      <c r="Y876" s="176"/>
      <c r="Z876" s="176"/>
      <c r="AA876" s="176"/>
    </row>
    <row r="877">
      <c r="A877" s="249"/>
      <c r="B877" s="249"/>
      <c r="C877" s="250"/>
      <c r="D877" s="252"/>
      <c r="E877" s="251"/>
      <c r="F877" s="219"/>
      <c r="G877" s="219"/>
      <c r="H877" s="243"/>
      <c r="I877" s="243"/>
      <c r="J877" s="265"/>
      <c r="K877" s="243"/>
      <c r="L877" s="266"/>
      <c r="M877" s="176"/>
      <c r="N877" s="176"/>
      <c r="O877" s="176"/>
      <c r="P877" s="243"/>
      <c r="Q877" s="243"/>
      <c r="R877" s="176"/>
      <c r="S877" s="176"/>
      <c r="T877" s="176"/>
      <c r="U877" s="176"/>
      <c r="V877" s="176"/>
      <c r="W877" s="176"/>
      <c r="X877" s="176"/>
      <c r="Y877" s="176"/>
      <c r="Z877" s="176"/>
      <c r="AA877" s="176"/>
    </row>
    <row r="878">
      <c r="A878" s="249"/>
      <c r="B878" s="249"/>
      <c r="C878" s="250"/>
      <c r="D878" s="252"/>
      <c r="E878" s="251"/>
      <c r="F878" s="219"/>
      <c r="G878" s="219"/>
      <c r="H878" s="243"/>
      <c r="I878" s="243"/>
      <c r="J878" s="265"/>
      <c r="K878" s="243"/>
      <c r="L878" s="266"/>
      <c r="M878" s="176"/>
      <c r="N878" s="176"/>
      <c r="O878" s="176"/>
      <c r="P878" s="243"/>
      <c r="Q878" s="243"/>
      <c r="R878" s="176"/>
      <c r="S878" s="176"/>
      <c r="T878" s="176"/>
      <c r="U878" s="176"/>
      <c r="V878" s="176"/>
      <c r="W878" s="176"/>
      <c r="X878" s="176"/>
      <c r="Y878" s="176"/>
      <c r="Z878" s="176"/>
      <c r="AA878" s="176"/>
    </row>
    <row r="879">
      <c r="A879" s="249"/>
      <c r="B879" s="249"/>
      <c r="C879" s="250"/>
      <c r="D879" s="252"/>
      <c r="E879" s="251"/>
      <c r="F879" s="219"/>
      <c r="G879" s="219"/>
      <c r="H879" s="243"/>
      <c r="I879" s="243"/>
      <c r="J879" s="265"/>
      <c r="K879" s="243"/>
      <c r="L879" s="266"/>
      <c r="M879" s="176"/>
      <c r="N879" s="176"/>
      <c r="O879" s="176"/>
      <c r="P879" s="243"/>
      <c r="Q879" s="243"/>
      <c r="R879" s="176"/>
      <c r="S879" s="176"/>
      <c r="T879" s="176"/>
      <c r="U879" s="176"/>
      <c r="V879" s="176"/>
      <c r="W879" s="176"/>
      <c r="X879" s="176"/>
      <c r="Y879" s="176"/>
      <c r="Z879" s="176"/>
      <c r="AA879" s="176"/>
    </row>
    <row r="880">
      <c r="A880" s="249"/>
      <c r="B880" s="249"/>
      <c r="C880" s="250"/>
      <c r="D880" s="252"/>
      <c r="E880" s="251"/>
      <c r="F880" s="219"/>
      <c r="G880" s="219"/>
      <c r="H880" s="243"/>
      <c r="I880" s="243"/>
      <c r="J880" s="265"/>
      <c r="K880" s="243"/>
      <c r="L880" s="266"/>
      <c r="M880" s="176"/>
      <c r="N880" s="176"/>
      <c r="O880" s="176"/>
      <c r="P880" s="243"/>
      <c r="Q880" s="243"/>
      <c r="R880" s="176"/>
      <c r="S880" s="176"/>
      <c r="T880" s="176"/>
      <c r="U880" s="176"/>
      <c r="V880" s="176"/>
      <c r="W880" s="176"/>
      <c r="X880" s="176"/>
      <c r="Y880" s="176"/>
      <c r="Z880" s="176"/>
      <c r="AA880" s="176"/>
    </row>
    <row r="881">
      <c r="A881" s="249"/>
      <c r="B881" s="249"/>
      <c r="C881" s="250"/>
      <c r="D881" s="252"/>
      <c r="E881" s="251"/>
      <c r="F881" s="219"/>
      <c r="G881" s="219"/>
      <c r="H881" s="243"/>
      <c r="I881" s="243"/>
      <c r="J881" s="265"/>
      <c r="K881" s="243"/>
      <c r="L881" s="266"/>
      <c r="M881" s="176"/>
      <c r="N881" s="176"/>
      <c r="O881" s="176"/>
      <c r="P881" s="243"/>
      <c r="Q881" s="243"/>
      <c r="R881" s="176"/>
      <c r="S881" s="176"/>
      <c r="T881" s="176"/>
      <c r="U881" s="176"/>
      <c r="V881" s="176"/>
      <c r="W881" s="176"/>
      <c r="X881" s="176"/>
      <c r="Y881" s="176"/>
      <c r="Z881" s="176"/>
      <c r="AA881" s="176"/>
    </row>
    <row r="882">
      <c r="A882" s="249"/>
      <c r="B882" s="249"/>
      <c r="C882" s="250"/>
      <c r="D882" s="252"/>
      <c r="E882" s="251"/>
      <c r="F882" s="219"/>
      <c r="G882" s="219"/>
      <c r="H882" s="243"/>
      <c r="I882" s="243"/>
      <c r="J882" s="265"/>
      <c r="K882" s="243"/>
      <c r="L882" s="266"/>
      <c r="M882" s="176"/>
      <c r="N882" s="176"/>
      <c r="O882" s="176"/>
      <c r="P882" s="243"/>
      <c r="Q882" s="243"/>
      <c r="R882" s="176"/>
      <c r="S882" s="176"/>
      <c r="T882" s="176"/>
      <c r="U882" s="176"/>
      <c r="V882" s="176"/>
      <c r="W882" s="176"/>
      <c r="X882" s="176"/>
      <c r="Y882" s="176"/>
      <c r="Z882" s="176"/>
      <c r="AA882" s="176"/>
    </row>
    <row r="883">
      <c r="A883" s="249"/>
      <c r="B883" s="249"/>
      <c r="C883" s="250"/>
      <c r="D883" s="252"/>
      <c r="E883" s="251"/>
      <c r="F883" s="219"/>
      <c r="G883" s="219"/>
      <c r="H883" s="243"/>
      <c r="I883" s="243"/>
      <c r="J883" s="265"/>
      <c r="K883" s="243"/>
      <c r="L883" s="266"/>
      <c r="M883" s="176"/>
      <c r="N883" s="176"/>
      <c r="O883" s="176"/>
      <c r="P883" s="243"/>
      <c r="Q883" s="243"/>
      <c r="R883" s="176"/>
      <c r="S883" s="176"/>
      <c r="T883" s="176"/>
      <c r="U883" s="176"/>
      <c r="V883" s="176"/>
      <c r="W883" s="176"/>
      <c r="X883" s="176"/>
      <c r="Y883" s="176"/>
      <c r="Z883" s="176"/>
      <c r="AA883" s="176"/>
    </row>
    <row r="884">
      <c r="A884" s="249"/>
      <c r="B884" s="249"/>
      <c r="C884" s="250"/>
      <c r="D884" s="252"/>
      <c r="E884" s="251"/>
      <c r="F884" s="219"/>
      <c r="G884" s="219"/>
      <c r="H884" s="243"/>
      <c r="I884" s="243"/>
      <c r="J884" s="265"/>
      <c r="K884" s="243"/>
      <c r="L884" s="266"/>
      <c r="M884" s="176"/>
      <c r="N884" s="176"/>
      <c r="O884" s="176"/>
      <c r="P884" s="243"/>
      <c r="Q884" s="243"/>
      <c r="R884" s="176"/>
      <c r="S884" s="176"/>
      <c r="T884" s="176"/>
      <c r="U884" s="176"/>
      <c r="V884" s="176"/>
      <c r="W884" s="176"/>
      <c r="X884" s="176"/>
      <c r="Y884" s="176"/>
      <c r="Z884" s="176"/>
      <c r="AA884" s="176"/>
    </row>
    <row r="885">
      <c r="A885" s="249"/>
      <c r="B885" s="249"/>
      <c r="C885" s="250"/>
      <c r="D885" s="252"/>
      <c r="E885" s="251"/>
      <c r="F885" s="219"/>
      <c r="G885" s="219"/>
      <c r="H885" s="243"/>
      <c r="I885" s="243"/>
      <c r="J885" s="265"/>
      <c r="K885" s="243"/>
      <c r="L885" s="266"/>
      <c r="M885" s="176"/>
      <c r="N885" s="176"/>
      <c r="O885" s="176"/>
      <c r="P885" s="243"/>
      <c r="Q885" s="243"/>
      <c r="R885" s="176"/>
      <c r="S885" s="176"/>
      <c r="T885" s="176"/>
      <c r="U885" s="176"/>
      <c r="V885" s="176"/>
      <c r="W885" s="176"/>
      <c r="X885" s="176"/>
      <c r="Y885" s="176"/>
      <c r="Z885" s="176"/>
      <c r="AA885" s="176"/>
    </row>
    <row r="886">
      <c r="A886" s="249"/>
      <c r="B886" s="249"/>
      <c r="C886" s="250"/>
      <c r="D886" s="252"/>
      <c r="E886" s="251"/>
      <c r="F886" s="219"/>
      <c r="G886" s="219"/>
      <c r="H886" s="243"/>
      <c r="I886" s="243"/>
      <c r="J886" s="265"/>
      <c r="K886" s="243"/>
      <c r="L886" s="266"/>
      <c r="M886" s="176"/>
      <c r="N886" s="176"/>
      <c r="O886" s="176"/>
      <c r="P886" s="243"/>
      <c r="Q886" s="243"/>
      <c r="R886" s="176"/>
      <c r="S886" s="176"/>
      <c r="T886" s="176"/>
      <c r="U886" s="176"/>
      <c r="V886" s="176"/>
      <c r="W886" s="176"/>
      <c r="X886" s="176"/>
      <c r="Y886" s="176"/>
      <c r="Z886" s="176"/>
      <c r="AA886" s="176"/>
    </row>
    <row r="887">
      <c r="A887" s="249"/>
      <c r="B887" s="249"/>
      <c r="C887" s="250"/>
      <c r="D887" s="252"/>
      <c r="E887" s="251"/>
      <c r="F887" s="219"/>
      <c r="G887" s="219"/>
      <c r="H887" s="243"/>
      <c r="I887" s="243"/>
      <c r="J887" s="265"/>
      <c r="K887" s="243"/>
      <c r="L887" s="266"/>
      <c r="M887" s="176"/>
      <c r="N887" s="176"/>
      <c r="O887" s="176"/>
      <c r="P887" s="243"/>
      <c r="Q887" s="243"/>
      <c r="R887" s="176"/>
      <c r="S887" s="176"/>
      <c r="T887" s="176"/>
      <c r="U887" s="176"/>
      <c r="V887" s="176"/>
      <c r="W887" s="176"/>
      <c r="X887" s="176"/>
      <c r="Y887" s="176"/>
      <c r="Z887" s="176"/>
      <c r="AA887" s="176"/>
    </row>
    <row r="888">
      <c r="A888" s="249"/>
      <c r="B888" s="249"/>
      <c r="C888" s="250"/>
      <c r="D888" s="252"/>
      <c r="E888" s="251"/>
      <c r="F888" s="219"/>
      <c r="G888" s="219"/>
      <c r="H888" s="243"/>
      <c r="I888" s="243"/>
      <c r="J888" s="265"/>
      <c r="K888" s="243"/>
      <c r="L888" s="266"/>
      <c r="M888" s="176"/>
      <c r="N888" s="176"/>
      <c r="O888" s="176"/>
      <c r="P888" s="243"/>
      <c r="Q888" s="243"/>
      <c r="R888" s="176"/>
      <c r="S888" s="176"/>
      <c r="T888" s="176"/>
      <c r="U888" s="176"/>
      <c r="V888" s="176"/>
      <c r="W888" s="176"/>
      <c r="X888" s="176"/>
      <c r="Y888" s="176"/>
      <c r="Z888" s="176"/>
      <c r="AA888" s="176"/>
    </row>
    <row r="889">
      <c r="A889" s="249"/>
      <c r="B889" s="249"/>
      <c r="C889" s="250"/>
      <c r="D889" s="252"/>
      <c r="E889" s="251"/>
      <c r="F889" s="219"/>
      <c r="G889" s="219"/>
      <c r="H889" s="243"/>
      <c r="I889" s="243"/>
      <c r="J889" s="265"/>
      <c r="K889" s="243"/>
      <c r="L889" s="266"/>
      <c r="M889" s="176"/>
      <c r="N889" s="176"/>
      <c r="O889" s="176"/>
      <c r="P889" s="243"/>
      <c r="Q889" s="243"/>
      <c r="R889" s="176"/>
      <c r="S889" s="176"/>
      <c r="T889" s="176"/>
      <c r="U889" s="176"/>
      <c r="V889" s="176"/>
      <c r="W889" s="176"/>
      <c r="X889" s="176"/>
      <c r="Y889" s="176"/>
      <c r="Z889" s="176"/>
      <c r="AA889" s="176"/>
    </row>
    <row r="890">
      <c r="A890" s="249"/>
      <c r="B890" s="249"/>
      <c r="C890" s="250"/>
      <c r="D890" s="252"/>
      <c r="E890" s="251"/>
      <c r="F890" s="219"/>
      <c r="G890" s="219"/>
      <c r="H890" s="243"/>
      <c r="I890" s="243"/>
      <c r="J890" s="265"/>
      <c r="K890" s="243"/>
      <c r="L890" s="266"/>
      <c r="M890" s="176"/>
      <c r="N890" s="176"/>
      <c r="O890" s="176"/>
      <c r="P890" s="243"/>
      <c r="Q890" s="243"/>
      <c r="R890" s="176"/>
      <c r="S890" s="176"/>
      <c r="T890" s="176"/>
      <c r="U890" s="176"/>
      <c r="V890" s="176"/>
      <c r="W890" s="176"/>
      <c r="X890" s="176"/>
      <c r="Y890" s="176"/>
      <c r="Z890" s="176"/>
      <c r="AA890" s="176"/>
    </row>
    <row r="891">
      <c r="A891" s="249"/>
      <c r="B891" s="249"/>
      <c r="C891" s="250"/>
      <c r="D891" s="252"/>
      <c r="E891" s="251"/>
      <c r="F891" s="219"/>
      <c r="G891" s="219"/>
      <c r="H891" s="243"/>
      <c r="I891" s="243"/>
      <c r="J891" s="265"/>
      <c r="K891" s="243"/>
      <c r="L891" s="266"/>
      <c r="M891" s="176"/>
      <c r="N891" s="176"/>
      <c r="O891" s="176"/>
      <c r="P891" s="243"/>
      <c r="Q891" s="243"/>
      <c r="R891" s="176"/>
      <c r="S891" s="176"/>
      <c r="T891" s="176"/>
      <c r="U891" s="176"/>
      <c r="V891" s="176"/>
      <c r="W891" s="176"/>
      <c r="X891" s="176"/>
      <c r="Y891" s="176"/>
      <c r="Z891" s="176"/>
      <c r="AA891" s="176"/>
    </row>
    <row r="892">
      <c r="A892" s="249"/>
      <c r="B892" s="249"/>
      <c r="C892" s="250"/>
      <c r="D892" s="252"/>
      <c r="E892" s="251"/>
      <c r="F892" s="219"/>
      <c r="G892" s="219"/>
      <c r="H892" s="243"/>
      <c r="I892" s="243"/>
      <c r="J892" s="265"/>
      <c r="K892" s="243"/>
      <c r="L892" s="266"/>
      <c r="M892" s="176"/>
      <c r="N892" s="176"/>
      <c r="O892" s="176"/>
      <c r="P892" s="243"/>
      <c r="Q892" s="243"/>
      <c r="R892" s="176"/>
      <c r="S892" s="176"/>
      <c r="T892" s="176"/>
      <c r="U892" s="176"/>
      <c r="V892" s="176"/>
      <c r="W892" s="176"/>
      <c r="X892" s="176"/>
      <c r="Y892" s="176"/>
      <c r="Z892" s="176"/>
      <c r="AA892" s="176"/>
    </row>
    <row r="893">
      <c r="A893" s="249"/>
      <c r="B893" s="249"/>
      <c r="C893" s="250"/>
      <c r="D893" s="252"/>
      <c r="E893" s="251"/>
      <c r="F893" s="219"/>
      <c r="G893" s="219"/>
      <c r="H893" s="243"/>
      <c r="I893" s="243"/>
      <c r="J893" s="265"/>
      <c r="K893" s="243"/>
      <c r="L893" s="266"/>
      <c r="M893" s="176"/>
      <c r="N893" s="176"/>
      <c r="O893" s="176"/>
      <c r="P893" s="243"/>
      <c r="Q893" s="243"/>
      <c r="R893" s="176"/>
      <c r="S893" s="176"/>
      <c r="T893" s="176"/>
      <c r="U893" s="176"/>
      <c r="V893" s="176"/>
      <c r="W893" s="176"/>
      <c r="X893" s="176"/>
      <c r="Y893" s="176"/>
      <c r="Z893" s="176"/>
      <c r="AA893" s="176"/>
    </row>
    <row r="894">
      <c r="A894" s="249"/>
      <c r="B894" s="249"/>
      <c r="C894" s="250"/>
      <c r="D894" s="252"/>
      <c r="E894" s="251"/>
      <c r="F894" s="219"/>
      <c r="G894" s="219"/>
      <c r="H894" s="243"/>
      <c r="I894" s="243"/>
      <c r="J894" s="265"/>
      <c r="K894" s="243"/>
      <c r="L894" s="266"/>
      <c r="M894" s="176"/>
      <c r="N894" s="176"/>
      <c r="O894" s="176"/>
      <c r="P894" s="243"/>
      <c r="Q894" s="243"/>
      <c r="R894" s="176"/>
      <c r="S894" s="176"/>
      <c r="T894" s="176"/>
      <c r="U894" s="176"/>
      <c r="V894" s="176"/>
      <c r="W894" s="176"/>
      <c r="X894" s="176"/>
      <c r="Y894" s="176"/>
      <c r="Z894" s="176"/>
      <c r="AA894" s="176"/>
    </row>
    <row r="895">
      <c r="A895" s="249"/>
      <c r="B895" s="249"/>
      <c r="C895" s="250"/>
      <c r="D895" s="252"/>
      <c r="E895" s="251"/>
      <c r="F895" s="219"/>
      <c r="G895" s="219"/>
      <c r="H895" s="243"/>
      <c r="I895" s="243"/>
      <c r="J895" s="265"/>
      <c r="K895" s="243"/>
      <c r="L895" s="266"/>
      <c r="M895" s="176"/>
      <c r="N895" s="176"/>
      <c r="O895" s="176"/>
      <c r="P895" s="243"/>
      <c r="Q895" s="243"/>
      <c r="R895" s="176"/>
      <c r="S895" s="176"/>
      <c r="T895" s="176"/>
      <c r="U895" s="176"/>
      <c r="V895" s="176"/>
      <c r="W895" s="176"/>
      <c r="X895" s="176"/>
      <c r="Y895" s="176"/>
      <c r="Z895" s="176"/>
      <c r="AA895" s="176"/>
    </row>
    <row r="896">
      <c r="A896" s="249"/>
      <c r="B896" s="249"/>
      <c r="C896" s="250"/>
      <c r="D896" s="252"/>
      <c r="E896" s="251"/>
      <c r="F896" s="219"/>
      <c r="G896" s="219"/>
      <c r="H896" s="243"/>
      <c r="I896" s="243"/>
      <c r="J896" s="265"/>
      <c r="K896" s="243"/>
      <c r="L896" s="266"/>
      <c r="M896" s="176"/>
      <c r="N896" s="176"/>
      <c r="O896" s="176"/>
      <c r="P896" s="243"/>
      <c r="Q896" s="243"/>
      <c r="R896" s="176"/>
      <c r="S896" s="176"/>
      <c r="T896" s="176"/>
      <c r="U896" s="176"/>
      <c r="V896" s="176"/>
      <c r="W896" s="176"/>
      <c r="X896" s="176"/>
      <c r="Y896" s="176"/>
      <c r="Z896" s="176"/>
      <c r="AA896" s="176"/>
    </row>
    <row r="897">
      <c r="A897" s="249"/>
      <c r="B897" s="249"/>
      <c r="C897" s="250"/>
      <c r="D897" s="252"/>
      <c r="E897" s="251"/>
      <c r="F897" s="219"/>
      <c r="G897" s="219"/>
      <c r="H897" s="243"/>
      <c r="I897" s="243"/>
      <c r="J897" s="265"/>
      <c r="K897" s="243"/>
      <c r="L897" s="266"/>
      <c r="M897" s="176"/>
      <c r="N897" s="176"/>
      <c r="O897" s="176"/>
      <c r="P897" s="243"/>
      <c r="Q897" s="243"/>
      <c r="R897" s="176"/>
      <c r="S897" s="176"/>
      <c r="T897" s="176"/>
      <c r="U897" s="176"/>
      <c r="V897" s="176"/>
      <c r="W897" s="176"/>
      <c r="X897" s="176"/>
      <c r="Y897" s="176"/>
      <c r="Z897" s="176"/>
      <c r="AA897" s="176"/>
    </row>
    <row r="898">
      <c r="A898" s="249"/>
      <c r="B898" s="249"/>
      <c r="C898" s="250"/>
      <c r="D898" s="252"/>
      <c r="E898" s="251"/>
      <c r="F898" s="219"/>
      <c r="G898" s="219"/>
      <c r="H898" s="243"/>
      <c r="I898" s="243"/>
      <c r="J898" s="265"/>
      <c r="K898" s="243"/>
      <c r="L898" s="266"/>
      <c r="M898" s="176"/>
      <c r="N898" s="176"/>
      <c r="O898" s="176"/>
      <c r="P898" s="243"/>
      <c r="Q898" s="243"/>
      <c r="R898" s="176"/>
      <c r="S898" s="176"/>
      <c r="T898" s="176"/>
      <c r="U898" s="176"/>
      <c r="V898" s="176"/>
      <c r="W898" s="176"/>
      <c r="X898" s="176"/>
      <c r="Y898" s="176"/>
      <c r="Z898" s="176"/>
      <c r="AA898" s="176"/>
    </row>
    <row r="899">
      <c r="A899" s="249"/>
      <c r="B899" s="249"/>
      <c r="C899" s="250"/>
      <c r="D899" s="252"/>
      <c r="E899" s="251"/>
      <c r="F899" s="219"/>
      <c r="G899" s="219"/>
      <c r="H899" s="243"/>
      <c r="I899" s="243"/>
      <c r="J899" s="265"/>
      <c r="K899" s="243"/>
      <c r="L899" s="266"/>
      <c r="M899" s="176"/>
      <c r="N899" s="176"/>
      <c r="O899" s="176"/>
      <c r="P899" s="243"/>
      <c r="Q899" s="243"/>
      <c r="R899" s="176"/>
      <c r="S899" s="176"/>
      <c r="T899" s="176"/>
      <c r="U899" s="176"/>
      <c r="V899" s="176"/>
      <c r="W899" s="176"/>
      <c r="X899" s="176"/>
      <c r="Y899" s="176"/>
      <c r="Z899" s="176"/>
      <c r="AA899" s="176"/>
    </row>
    <row r="900">
      <c r="A900" s="249"/>
      <c r="B900" s="249"/>
      <c r="C900" s="250"/>
      <c r="D900" s="252"/>
      <c r="E900" s="251"/>
      <c r="F900" s="219"/>
      <c r="G900" s="219"/>
      <c r="H900" s="243"/>
      <c r="I900" s="243"/>
      <c r="J900" s="265"/>
      <c r="K900" s="243"/>
      <c r="L900" s="266"/>
      <c r="M900" s="176"/>
      <c r="N900" s="176"/>
      <c r="O900" s="176"/>
      <c r="P900" s="243"/>
      <c r="Q900" s="243"/>
      <c r="R900" s="176"/>
      <c r="S900" s="176"/>
      <c r="T900" s="176"/>
      <c r="U900" s="176"/>
      <c r="V900" s="176"/>
      <c r="W900" s="176"/>
      <c r="X900" s="176"/>
      <c r="Y900" s="176"/>
      <c r="Z900" s="176"/>
      <c r="AA900" s="176"/>
    </row>
    <row r="901">
      <c r="A901" s="249"/>
      <c r="B901" s="249"/>
      <c r="C901" s="250"/>
      <c r="D901" s="252"/>
      <c r="E901" s="251"/>
      <c r="F901" s="219"/>
      <c r="G901" s="219"/>
      <c r="H901" s="243"/>
      <c r="I901" s="243"/>
      <c r="J901" s="265"/>
      <c r="K901" s="243"/>
      <c r="L901" s="266"/>
      <c r="M901" s="176"/>
      <c r="N901" s="176"/>
      <c r="O901" s="176"/>
      <c r="P901" s="243"/>
      <c r="Q901" s="243"/>
      <c r="R901" s="176"/>
      <c r="S901" s="176"/>
      <c r="T901" s="176"/>
      <c r="U901" s="176"/>
      <c r="V901" s="176"/>
      <c r="W901" s="176"/>
      <c r="X901" s="176"/>
      <c r="Y901" s="176"/>
      <c r="Z901" s="176"/>
      <c r="AA901" s="176"/>
    </row>
    <row r="902">
      <c r="A902" s="249"/>
      <c r="B902" s="249"/>
      <c r="C902" s="250"/>
      <c r="D902" s="252"/>
      <c r="E902" s="251"/>
      <c r="F902" s="219"/>
      <c r="G902" s="219"/>
      <c r="H902" s="243"/>
      <c r="I902" s="243"/>
      <c r="J902" s="265"/>
      <c r="K902" s="243"/>
      <c r="L902" s="266"/>
      <c r="M902" s="176"/>
      <c r="N902" s="176"/>
      <c r="O902" s="176"/>
      <c r="P902" s="243"/>
      <c r="Q902" s="243"/>
      <c r="R902" s="176"/>
      <c r="S902" s="176"/>
      <c r="T902" s="176"/>
      <c r="U902" s="176"/>
      <c r="V902" s="176"/>
      <c r="W902" s="176"/>
      <c r="X902" s="176"/>
      <c r="Y902" s="176"/>
      <c r="Z902" s="176"/>
      <c r="AA902" s="176"/>
    </row>
    <row r="903">
      <c r="A903" s="249"/>
      <c r="B903" s="249"/>
      <c r="C903" s="250"/>
      <c r="D903" s="252"/>
      <c r="E903" s="251"/>
      <c r="F903" s="219"/>
      <c r="G903" s="219"/>
      <c r="H903" s="243"/>
      <c r="I903" s="243"/>
      <c r="J903" s="265"/>
      <c r="K903" s="243"/>
      <c r="L903" s="266"/>
      <c r="M903" s="176"/>
      <c r="N903" s="176"/>
      <c r="O903" s="176"/>
      <c r="P903" s="243"/>
      <c r="Q903" s="243"/>
      <c r="R903" s="176"/>
      <c r="S903" s="176"/>
      <c r="T903" s="176"/>
      <c r="U903" s="176"/>
      <c r="V903" s="176"/>
      <c r="W903" s="176"/>
      <c r="X903" s="176"/>
      <c r="Y903" s="176"/>
      <c r="Z903" s="176"/>
      <c r="AA903" s="176"/>
    </row>
    <row r="904">
      <c r="A904" s="249"/>
      <c r="B904" s="249"/>
      <c r="C904" s="250"/>
      <c r="D904" s="252"/>
      <c r="E904" s="251"/>
      <c r="F904" s="219"/>
      <c r="G904" s="219"/>
      <c r="H904" s="243"/>
      <c r="I904" s="243"/>
      <c r="J904" s="265"/>
      <c r="K904" s="243"/>
      <c r="L904" s="266"/>
      <c r="M904" s="176"/>
      <c r="N904" s="176"/>
      <c r="O904" s="176"/>
      <c r="P904" s="243"/>
      <c r="Q904" s="243"/>
      <c r="R904" s="176"/>
      <c r="S904" s="176"/>
      <c r="T904" s="176"/>
      <c r="U904" s="176"/>
      <c r="V904" s="176"/>
      <c r="W904" s="176"/>
      <c r="X904" s="176"/>
      <c r="Y904" s="176"/>
      <c r="Z904" s="176"/>
      <c r="AA904" s="176"/>
    </row>
    <row r="905">
      <c r="A905" s="249"/>
      <c r="B905" s="249"/>
      <c r="C905" s="250"/>
      <c r="D905" s="252"/>
      <c r="E905" s="251"/>
      <c r="F905" s="219"/>
      <c r="G905" s="219"/>
      <c r="H905" s="243"/>
      <c r="I905" s="243"/>
      <c r="J905" s="265"/>
      <c r="K905" s="243"/>
      <c r="L905" s="266"/>
      <c r="M905" s="176"/>
      <c r="N905" s="176"/>
      <c r="O905" s="176"/>
      <c r="P905" s="243"/>
      <c r="Q905" s="243"/>
      <c r="R905" s="176"/>
      <c r="S905" s="176"/>
      <c r="T905" s="176"/>
      <c r="U905" s="176"/>
      <c r="V905" s="176"/>
      <c r="W905" s="176"/>
      <c r="X905" s="176"/>
      <c r="Y905" s="176"/>
      <c r="Z905" s="176"/>
      <c r="AA905" s="176"/>
    </row>
    <row r="906">
      <c r="A906" s="249"/>
      <c r="B906" s="249"/>
      <c r="C906" s="250"/>
      <c r="D906" s="252"/>
      <c r="E906" s="251"/>
      <c r="F906" s="219"/>
      <c r="G906" s="219"/>
      <c r="H906" s="243"/>
      <c r="I906" s="243"/>
      <c r="J906" s="265"/>
      <c r="K906" s="243"/>
      <c r="L906" s="266"/>
      <c r="M906" s="176"/>
      <c r="N906" s="176"/>
      <c r="O906" s="176"/>
      <c r="P906" s="243"/>
      <c r="Q906" s="243"/>
      <c r="R906" s="176"/>
      <c r="S906" s="176"/>
      <c r="T906" s="176"/>
      <c r="U906" s="176"/>
      <c r="V906" s="176"/>
      <c r="W906" s="176"/>
      <c r="X906" s="176"/>
      <c r="Y906" s="176"/>
      <c r="Z906" s="176"/>
      <c r="AA906" s="176"/>
    </row>
    <row r="907">
      <c r="A907" s="249"/>
      <c r="B907" s="249"/>
      <c r="C907" s="250"/>
      <c r="D907" s="252"/>
      <c r="E907" s="251"/>
      <c r="F907" s="219"/>
      <c r="G907" s="219"/>
      <c r="H907" s="243"/>
      <c r="I907" s="243"/>
      <c r="J907" s="265"/>
      <c r="K907" s="243"/>
      <c r="L907" s="266"/>
      <c r="M907" s="176"/>
      <c r="N907" s="176"/>
      <c r="O907" s="176"/>
      <c r="P907" s="243"/>
      <c r="Q907" s="243"/>
      <c r="R907" s="176"/>
      <c r="S907" s="176"/>
      <c r="T907" s="176"/>
      <c r="U907" s="176"/>
      <c r="V907" s="176"/>
      <c r="W907" s="176"/>
      <c r="X907" s="176"/>
      <c r="Y907" s="176"/>
      <c r="Z907" s="176"/>
      <c r="AA907" s="176"/>
    </row>
    <row r="908">
      <c r="A908" s="249"/>
      <c r="B908" s="249"/>
      <c r="C908" s="250"/>
      <c r="D908" s="252"/>
      <c r="E908" s="251"/>
      <c r="F908" s="219"/>
      <c r="G908" s="219"/>
      <c r="H908" s="243"/>
      <c r="I908" s="243"/>
      <c r="J908" s="265"/>
      <c r="K908" s="243"/>
      <c r="L908" s="266"/>
      <c r="M908" s="176"/>
      <c r="N908" s="176"/>
      <c r="O908" s="176"/>
      <c r="P908" s="243"/>
      <c r="Q908" s="243"/>
      <c r="R908" s="176"/>
      <c r="S908" s="176"/>
      <c r="T908" s="176"/>
      <c r="U908" s="176"/>
      <c r="V908" s="176"/>
      <c r="W908" s="176"/>
      <c r="X908" s="176"/>
      <c r="Y908" s="176"/>
      <c r="Z908" s="176"/>
      <c r="AA908" s="176"/>
    </row>
    <row r="909">
      <c r="A909" s="249"/>
      <c r="B909" s="249"/>
      <c r="C909" s="250"/>
      <c r="D909" s="252"/>
      <c r="E909" s="251"/>
      <c r="F909" s="219"/>
      <c r="G909" s="219"/>
      <c r="H909" s="243"/>
      <c r="I909" s="243"/>
      <c r="J909" s="265"/>
      <c r="K909" s="243"/>
      <c r="L909" s="266"/>
      <c r="M909" s="176"/>
      <c r="N909" s="176"/>
      <c r="O909" s="176"/>
      <c r="P909" s="243"/>
      <c r="Q909" s="243"/>
      <c r="R909" s="176"/>
      <c r="S909" s="176"/>
      <c r="T909" s="176"/>
      <c r="U909" s="176"/>
      <c r="V909" s="176"/>
      <c r="W909" s="176"/>
      <c r="X909" s="176"/>
      <c r="Y909" s="176"/>
      <c r="Z909" s="176"/>
      <c r="AA909" s="176"/>
    </row>
    <row r="910">
      <c r="A910" s="249"/>
      <c r="B910" s="249"/>
      <c r="C910" s="250"/>
      <c r="D910" s="252"/>
      <c r="E910" s="251"/>
      <c r="F910" s="219"/>
      <c r="G910" s="219"/>
      <c r="H910" s="243"/>
      <c r="I910" s="243"/>
      <c r="J910" s="265"/>
      <c r="K910" s="243"/>
      <c r="L910" s="266"/>
      <c r="M910" s="176"/>
      <c r="N910" s="176"/>
      <c r="O910" s="176"/>
      <c r="P910" s="243"/>
      <c r="Q910" s="243"/>
      <c r="R910" s="176"/>
      <c r="S910" s="176"/>
      <c r="T910" s="176"/>
      <c r="U910" s="176"/>
      <c r="V910" s="176"/>
      <c r="W910" s="176"/>
      <c r="X910" s="176"/>
      <c r="Y910" s="176"/>
      <c r="Z910" s="176"/>
      <c r="AA910" s="176"/>
    </row>
    <row r="911">
      <c r="A911" s="249"/>
      <c r="B911" s="249"/>
      <c r="C911" s="250"/>
      <c r="D911" s="252"/>
      <c r="E911" s="251"/>
      <c r="F911" s="219"/>
      <c r="G911" s="219"/>
      <c r="H911" s="243"/>
      <c r="I911" s="243"/>
      <c r="J911" s="265"/>
      <c r="K911" s="243"/>
      <c r="L911" s="266"/>
      <c r="M911" s="176"/>
      <c r="N911" s="176"/>
      <c r="O911" s="176"/>
      <c r="P911" s="243"/>
      <c r="Q911" s="243"/>
      <c r="R911" s="176"/>
      <c r="S911" s="176"/>
      <c r="T911" s="176"/>
      <c r="U911" s="176"/>
      <c r="V911" s="176"/>
      <c r="W911" s="176"/>
      <c r="X911" s="176"/>
      <c r="Y911" s="176"/>
      <c r="Z911" s="176"/>
      <c r="AA911" s="176"/>
    </row>
    <row r="912">
      <c r="A912" s="249"/>
      <c r="B912" s="249"/>
      <c r="C912" s="250"/>
      <c r="D912" s="252"/>
      <c r="E912" s="251"/>
      <c r="F912" s="219"/>
      <c r="G912" s="219"/>
      <c r="H912" s="243"/>
      <c r="I912" s="243"/>
      <c r="J912" s="265"/>
      <c r="K912" s="243"/>
      <c r="L912" s="266"/>
      <c r="M912" s="176"/>
      <c r="N912" s="176"/>
      <c r="O912" s="176"/>
      <c r="P912" s="243"/>
      <c r="Q912" s="243"/>
      <c r="R912" s="176"/>
      <c r="S912" s="176"/>
      <c r="T912" s="176"/>
      <c r="U912" s="176"/>
      <c r="V912" s="176"/>
      <c r="W912" s="176"/>
      <c r="X912" s="176"/>
      <c r="Y912" s="176"/>
      <c r="Z912" s="176"/>
      <c r="AA912" s="176"/>
    </row>
    <row r="913">
      <c r="A913" s="249"/>
      <c r="B913" s="249"/>
      <c r="C913" s="250"/>
      <c r="D913" s="252"/>
      <c r="E913" s="251"/>
      <c r="F913" s="219"/>
      <c r="G913" s="219"/>
      <c r="H913" s="243"/>
      <c r="I913" s="243"/>
      <c r="J913" s="265"/>
      <c r="K913" s="243"/>
      <c r="L913" s="266"/>
      <c r="M913" s="176"/>
      <c r="N913" s="176"/>
      <c r="O913" s="176"/>
      <c r="P913" s="243"/>
      <c r="Q913" s="243"/>
      <c r="R913" s="176"/>
      <c r="S913" s="176"/>
      <c r="T913" s="176"/>
      <c r="U913" s="176"/>
      <c r="V913" s="176"/>
      <c r="W913" s="176"/>
      <c r="X913" s="176"/>
      <c r="Y913" s="176"/>
      <c r="Z913" s="176"/>
      <c r="AA913" s="176"/>
    </row>
    <row r="914">
      <c r="A914" s="249"/>
      <c r="B914" s="249"/>
      <c r="C914" s="250"/>
      <c r="D914" s="252"/>
      <c r="E914" s="251"/>
      <c r="F914" s="219"/>
      <c r="G914" s="219"/>
      <c r="H914" s="243"/>
      <c r="I914" s="243"/>
      <c r="J914" s="265"/>
      <c r="K914" s="243"/>
      <c r="L914" s="266"/>
      <c r="M914" s="176"/>
      <c r="N914" s="176"/>
      <c r="O914" s="176"/>
      <c r="P914" s="243"/>
      <c r="Q914" s="243"/>
      <c r="R914" s="176"/>
      <c r="S914" s="176"/>
      <c r="T914" s="176"/>
      <c r="U914" s="176"/>
      <c r="V914" s="176"/>
      <c r="W914" s="176"/>
      <c r="X914" s="176"/>
      <c r="Y914" s="176"/>
      <c r="Z914" s="176"/>
      <c r="AA914" s="176"/>
    </row>
    <row r="915">
      <c r="A915" s="249"/>
      <c r="B915" s="249"/>
      <c r="C915" s="250"/>
      <c r="D915" s="252"/>
      <c r="E915" s="251"/>
      <c r="F915" s="219"/>
      <c r="G915" s="219"/>
      <c r="H915" s="243"/>
      <c r="I915" s="243"/>
      <c r="J915" s="265"/>
      <c r="K915" s="243"/>
      <c r="L915" s="266"/>
      <c r="M915" s="176"/>
      <c r="N915" s="176"/>
      <c r="O915" s="176"/>
      <c r="P915" s="243"/>
      <c r="Q915" s="243"/>
      <c r="R915" s="176"/>
      <c r="S915" s="176"/>
      <c r="T915" s="176"/>
      <c r="U915" s="176"/>
      <c r="V915" s="176"/>
      <c r="W915" s="176"/>
      <c r="X915" s="176"/>
      <c r="Y915" s="176"/>
      <c r="Z915" s="176"/>
      <c r="AA915" s="176"/>
    </row>
    <row r="916">
      <c r="A916" s="249"/>
      <c r="B916" s="249"/>
      <c r="C916" s="250"/>
      <c r="D916" s="252"/>
      <c r="E916" s="251"/>
      <c r="F916" s="219"/>
      <c r="G916" s="219"/>
      <c r="H916" s="243"/>
      <c r="I916" s="243"/>
      <c r="J916" s="265"/>
      <c r="K916" s="243"/>
      <c r="L916" s="266"/>
      <c r="M916" s="176"/>
      <c r="N916" s="176"/>
      <c r="O916" s="176"/>
      <c r="P916" s="243"/>
      <c r="Q916" s="243"/>
      <c r="R916" s="176"/>
      <c r="S916" s="176"/>
      <c r="T916" s="176"/>
      <c r="U916" s="176"/>
      <c r="V916" s="176"/>
      <c r="W916" s="176"/>
      <c r="X916" s="176"/>
      <c r="Y916" s="176"/>
      <c r="Z916" s="176"/>
      <c r="AA916" s="176"/>
    </row>
    <row r="917">
      <c r="A917" s="249"/>
      <c r="B917" s="249"/>
      <c r="C917" s="250"/>
      <c r="D917" s="252"/>
      <c r="E917" s="251"/>
      <c r="F917" s="219"/>
      <c r="G917" s="219"/>
      <c r="H917" s="243"/>
      <c r="I917" s="243"/>
      <c r="J917" s="265"/>
      <c r="K917" s="243"/>
      <c r="L917" s="266"/>
      <c r="M917" s="176"/>
      <c r="N917" s="176"/>
      <c r="O917" s="176"/>
      <c r="P917" s="243"/>
      <c r="Q917" s="243"/>
      <c r="R917" s="176"/>
      <c r="S917" s="176"/>
      <c r="T917" s="176"/>
      <c r="U917" s="176"/>
      <c r="V917" s="176"/>
      <c r="W917" s="176"/>
      <c r="X917" s="176"/>
      <c r="Y917" s="176"/>
      <c r="Z917" s="176"/>
      <c r="AA917" s="176"/>
    </row>
    <row r="918">
      <c r="A918" s="249"/>
      <c r="B918" s="249"/>
      <c r="C918" s="250"/>
      <c r="D918" s="252"/>
      <c r="E918" s="251"/>
      <c r="F918" s="219"/>
      <c r="G918" s="219"/>
      <c r="H918" s="243"/>
      <c r="I918" s="243"/>
      <c r="J918" s="265"/>
      <c r="K918" s="243"/>
      <c r="L918" s="266"/>
      <c r="M918" s="176"/>
      <c r="N918" s="176"/>
      <c r="O918" s="176"/>
      <c r="P918" s="243"/>
      <c r="Q918" s="243"/>
      <c r="R918" s="176"/>
      <c r="S918" s="176"/>
      <c r="T918" s="176"/>
      <c r="U918" s="176"/>
      <c r="V918" s="176"/>
      <c r="W918" s="176"/>
      <c r="X918" s="176"/>
      <c r="Y918" s="176"/>
      <c r="Z918" s="176"/>
      <c r="AA918" s="176"/>
    </row>
    <row r="919">
      <c r="A919" s="249"/>
      <c r="B919" s="249"/>
      <c r="C919" s="250"/>
      <c r="D919" s="252"/>
      <c r="E919" s="251"/>
      <c r="F919" s="219"/>
      <c r="G919" s="219"/>
      <c r="H919" s="243"/>
      <c r="I919" s="243"/>
      <c r="J919" s="265"/>
      <c r="K919" s="243"/>
      <c r="L919" s="266"/>
      <c r="M919" s="176"/>
      <c r="N919" s="176"/>
      <c r="O919" s="176"/>
      <c r="P919" s="243"/>
      <c r="Q919" s="243"/>
      <c r="R919" s="176"/>
      <c r="S919" s="176"/>
      <c r="T919" s="176"/>
      <c r="U919" s="176"/>
      <c r="V919" s="176"/>
      <c r="W919" s="176"/>
      <c r="X919" s="176"/>
      <c r="Y919" s="176"/>
      <c r="Z919" s="176"/>
      <c r="AA919" s="176"/>
    </row>
    <row r="920">
      <c r="A920" s="249"/>
      <c r="B920" s="249"/>
      <c r="C920" s="250"/>
      <c r="D920" s="252"/>
      <c r="E920" s="251"/>
      <c r="F920" s="219"/>
      <c r="G920" s="219"/>
      <c r="H920" s="243"/>
      <c r="I920" s="243"/>
      <c r="J920" s="265"/>
      <c r="K920" s="243"/>
      <c r="L920" s="266"/>
      <c r="M920" s="176"/>
      <c r="N920" s="176"/>
      <c r="O920" s="176"/>
      <c r="P920" s="243"/>
      <c r="Q920" s="243"/>
      <c r="R920" s="176"/>
      <c r="S920" s="176"/>
      <c r="T920" s="176"/>
      <c r="U920" s="176"/>
      <c r="V920" s="176"/>
      <c r="W920" s="176"/>
      <c r="X920" s="176"/>
      <c r="Y920" s="176"/>
      <c r="Z920" s="176"/>
      <c r="AA920" s="176"/>
    </row>
    <row r="921">
      <c r="A921" s="249"/>
      <c r="B921" s="249"/>
      <c r="C921" s="250"/>
      <c r="D921" s="252"/>
      <c r="E921" s="251"/>
      <c r="F921" s="219"/>
      <c r="G921" s="219"/>
      <c r="H921" s="243"/>
      <c r="I921" s="243"/>
      <c r="J921" s="265"/>
      <c r="K921" s="243"/>
      <c r="L921" s="266"/>
      <c r="M921" s="176"/>
      <c r="N921" s="176"/>
      <c r="O921" s="176"/>
      <c r="P921" s="243"/>
      <c r="Q921" s="243"/>
      <c r="R921" s="176"/>
      <c r="S921" s="176"/>
      <c r="T921" s="176"/>
      <c r="U921" s="176"/>
      <c r="V921" s="176"/>
      <c r="W921" s="176"/>
      <c r="X921" s="176"/>
      <c r="Y921" s="176"/>
      <c r="Z921" s="176"/>
      <c r="AA921" s="176"/>
    </row>
    <row r="922">
      <c r="A922" s="249"/>
      <c r="B922" s="249"/>
      <c r="C922" s="250"/>
      <c r="D922" s="252"/>
      <c r="E922" s="251"/>
      <c r="F922" s="219"/>
      <c r="G922" s="219"/>
      <c r="H922" s="243"/>
      <c r="I922" s="243"/>
      <c r="J922" s="265"/>
      <c r="K922" s="243"/>
      <c r="L922" s="266"/>
      <c r="M922" s="176"/>
      <c r="N922" s="176"/>
      <c r="O922" s="176"/>
      <c r="P922" s="243"/>
      <c r="Q922" s="243"/>
      <c r="R922" s="176"/>
      <c r="S922" s="176"/>
      <c r="T922" s="176"/>
      <c r="U922" s="176"/>
      <c r="V922" s="176"/>
      <c r="W922" s="176"/>
      <c r="X922" s="176"/>
      <c r="Y922" s="176"/>
      <c r="Z922" s="176"/>
      <c r="AA922" s="176"/>
    </row>
    <row r="923">
      <c r="A923" s="249"/>
      <c r="B923" s="249"/>
      <c r="C923" s="250"/>
      <c r="D923" s="252"/>
      <c r="E923" s="251"/>
      <c r="F923" s="219"/>
      <c r="G923" s="219"/>
      <c r="H923" s="243"/>
      <c r="I923" s="243"/>
      <c r="J923" s="265"/>
      <c r="K923" s="243"/>
      <c r="L923" s="266"/>
      <c r="M923" s="176"/>
      <c r="N923" s="176"/>
      <c r="O923" s="176"/>
      <c r="P923" s="243"/>
      <c r="Q923" s="243"/>
      <c r="R923" s="176"/>
      <c r="S923" s="176"/>
      <c r="T923" s="176"/>
      <c r="U923" s="176"/>
      <c r="V923" s="176"/>
      <c r="W923" s="176"/>
      <c r="X923" s="176"/>
      <c r="Y923" s="176"/>
      <c r="Z923" s="176"/>
      <c r="AA923" s="176"/>
    </row>
    <row r="924">
      <c r="A924" s="249"/>
      <c r="B924" s="249"/>
      <c r="C924" s="250"/>
      <c r="D924" s="252"/>
      <c r="E924" s="251"/>
      <c r="F924" s="219"/>
      <c r="G924" s="219"/>
      <c r="H924" s="243"/>
      <c r="I924" s="243"/>
      <c r="J924" s="265"/>
      <c r="K924" s="243"/>
      <c r="L924" s="266"/>
      <c r="M924" s="176"/>
      <c r="N924" s="176"/>
      <c r="O924" s="176"/>
      <c r="P924" s="243"/>
      <c r="Q924" s="243"/>
      <c r="R924" s="176"/>
      <c r="S924" s="176"/>
      <c r="T924" s="176"/>
      <c r="U924" s="176"/>
      <c r="V924" s="176"/>
      <c r="W924" s="176"/>
      <c r="X924" s="176"/>
      <c r="Y924" s="176"/>
      <c r="Z924" s="176"/>
      <c r="AA924" s="176"/>
    </row>
    <row r="925">
      <c r="A925" s="249"/>
      <c r="B925" s="249"/>
      <c r="C925" s="250"/>
      <c r="D925" s="252"/>
      <c r="E925" s="251"/>
      <c r="F925" s="219"/>
      <c r="G925" s="219"/>
      <c r="H925" s="243"/>
      <c r="I925" s="243"/>
      <c r="J925" s="265"/>
      <c r="K925" s="243"/>
      <c r="L925" s="266"/>
      <c r="M925" s="176"/>
      <c r="N925" s="176"/>
      <c r="O925" s="176"/>
      <c r="P925" s="243"/>
      <c r="Q925" s="243"/>
      <c r="R925" s="176"/>
      <c r="S925" s="176"/>
      <c r="T925" s="176"/>
      <c r="U925" s="176"/>
      <c r="V925" s="176"/>
      <c r="W925" s="176"/>
      <c r="X925" s="176"/>
      <c r="Y925" s="176"/>
      <c r="Z925" s="176"/>
      <c r="AA925" s="176"/>
    </row>
    <row r="926">
      <c r="A926" s="249"/>
      <c r="B926" s="249"/>
      <c r="C926" s="250"/>
      <c r="D926" s="252"/>
      <c r="E926" s="251"/>
      <c r="F926" s="219"/>
      <c r="G926" s="219"/>
      <c r="H926" s="243"/>
      <c r="I926" s="243"/>
      <c r="J926" s="265"/>
      <c r="K926" s="243"/>
      <c r="L926" s="266"/>
      <c r="M926" s="176"/>
      <c r="N926" s="176"/>
      <c r="O926" s="176"/>
      <c r="P926" s="243"/>
      <c r="Q926" s="243"/>
      <c r="R926" s="176"/>
      <c r="S926" s="176"/>
      <c r="T926" s="176"/>
      <c r="U926" s="176"/>
      <c r="V926" s="176"/>
      <c r="W926" s="176"/>
      <c r="X926" s="176"/>
      <c r="Y926" s="176"/>
      <c r="Z926" s="176"/>
      <c r="AA926" s="176"/>
    </row>
    <row r="927">
      <c r="A927" s="249"/>
      <c r="B927" s="249"/>
      <c r="C927" s="250"/>
      <c r="D927" s="252"/>
      <c r="E927" s="251"/>
      <c r="F927" s="219"/>
      <c r="G927" s="219"/>
      <c r="H927" s="243"/>
      <c r="I927" s="243"/>
      <c r="J927" s="265"/>
      <c r="K927" s="243"/>
      <c r="L927" s="266"/>
      <c r="M927" s="176"/>
      <c r="N927" s="176"/>
      <c r="O927" s="176"/>
      <c r="P927" s="243"/>
      <c r="Q927" s="243"/>
      <c r="R927" s="176"/>
      <c r="S927" s="176"/>
      <c r="T927" s="176"/>
      <c r="U927" s="176"/>
      <c r="V927" s="176"/>
      <c r="W927" s="176"/>
      <c r="X927" s="176"/>
      <c r="Y927" s="176"/>
      <c r="Z927" s="176"/>
      <c r="AA927" s="176"/>
    </row>
    <row r="928">
      <c r="A928" s="249"/>
      <c r="B928" s="249"/>
      <c r="C928" s="250"/>
      <c r="D928" s="252"/>
      <c r="E928" s="251"/>
      <c r="F928" s="219"/>
      <c r="G928" s="219"/>
      <c r="H928" s="243"/>
      <c r="I928" s="243"/>
      <c r="J928" s="265"/>
      <c r="K928" s="243"/>
      <c r="L928" s="266"/>
      <c r="M928" s="176"/>
      <c r="N928" s="176"/>
      <c r="O928" s="176"/>
      <c r="P928" s="243"/>
      <c r="Q928" s="243"/>
      <c r="R928" s="176"/>
      <c r="S928" s="176"/>
      <c r="T928" s="176"/>
      <c r="U928" s="176"/>
      <c r="V928" s="176"/>
      <c r="W928" s="176"/>
      <c r="X928" s="176"/>
      <c r="Y928" s="176"/>
      <c r="Z928" s="176"/>
      <c r="AA928" s="176"/>
    </row>
    <row r="929">
      <c r="A929" s="249"/>
      <c r="B929" s="249"/>
      <c r="C929" s="250"/>
      <c r="D929" s="252"/>
      <c r="E929" s="251"/>
      <c r="F929" s="219"/>
      <c r="G929" s="219"/>
      <c r="H929" s="243"/>
      <c r="I929" s="243"/>
      <c r="J929" s="265"/>
      <c r="K929" s="243"/>
      <c r="L929" s="266"/>
      <c r="M929" s="176"/>
      <c r="N929" s="176"/>
      <c r="O929" s="176"/>
      <c r="P929" s="243"/>
      <c r="Q929" s="243"/>
      <c r="R929" s="176"/>
      <c r="S929" s="176"/>
      <c r="T929" s="176"/>
      <c r="U929" s="176"/>
      <c r="V929" s="176"/>
      <c r="W929" s="176"/>
      <c r="X929" s="176"/>
      <c r="Y929" s="176"/>
      <c r="Z929" s="176"/>
      <c r="AA929" s="176"/>
    </row>
    <row r="930">
      <c r="A930" s="249"/>
      <c r="B930" s="249"/>
      <c r="C930" s="250"/>
      <c r="D930" s="252"/>
      <c r="E930" s="251"/>
      <c r="F930" s="219"/>
      <c r="G930" s="219"/>
      <c r="H930" s="243"/>
      <c r="I930" s="243"/>
      <c r="J930" s="265"/>
      <c r="K930" s="243"/>
      <c r="L930" s="266"/>
      <c r="M930" s="176"/>
      <c r="N930" s="176"/>
      <c r="O930" s="176"/>
      <c r="P930" s="243"/>
      <c r="Q930" s="243"/>
      <c r="R930" s="176"/>
      <c r="S930" s="176"/>
      <c r="T930" s="176"/>
      <c r="U930" s="176"/>
      <c r="V930" s="176"/>
      <c r="W930" s="176"/>
      <c r="X930" s="176"/>
      <c r="Y930" s="176"/>
      <c r="Z930" s="176"/>
      <c r="AA930" s="176"/>
    </row>
    <row r="931">
      <c r="A931" s="249"/>
      <c r="B931" s="249"/>
      <c r="C931" s="250"/>
      <c r="D931" s="252"/>
      <c r="E931" s="251"/>
      <c r="F931" s="219"/>
      <c r="G931" s="219"/>
      <c r="H931" s="243"/>
      <c r="I931" s="243"/>
      <c r="J931" s="265"/>
      <c r="K931" s="243"/>
      <c r="L931" s="266"/>
      <c r="M931" s="176"/>
      <c r="N931" s="176"/>
      <c r="O931" s="176"/>
      <c r="P931" s="243"/>
      <c r="Q931" s="243"/>
      <c r="R931" s="176"/>
      <c r="S931" s="176"/>
      <c r="T931" s="176"/>
      <c r="U931" s="176"/>
      <c r="V931" s="176"/>
      <c r="W931" s="176"/>
      <c r="X931" s="176"/>
      <c r="Y931" s="176"/>
      <c r="Z931" s="176"/>
      <c r="AA931" s="176"/>
    </row>
    <row r="932">
      <c r="A932" s="249"/>
      <c r="B932" s="249"/>
      <c r="C932" s="250"/>
      <c r="D932" s="252"/>
      <c r="E932" s="251"/>
      <c r="F932" s="219"/>
      <c r="G932" s="219"/>
      <c r="H932" s="243"/>
      <c r="I932" s="243"/>
      <c r="J932" s="265"/>
      <c r="K932" s="243"/>
      <c r="L932" s="266"/>
      <c r="M932" s="176"/>
      <c r="N932" s="176"/>
      <c r="O932" s="176"/>
      <c r="P932" s="243"/>
      <c r="Q932" s="243"/>
      <c r="R932" s="176"/>
      <c r="S932" s="176"/>
      <c r="T932" s="176"/>
      <c r="U932" s="176"/>
      <c r="V932" s="176"/>
      <c r="W932" s="176"/>
      <c r="X932" s="176"/>
      <c r="Y932" s="176"/>
      <c r="Z932" s="176"/>
      <c r="AA932" s="176"/>
    </row>
    <row r="933">
      <c r="A933" s="249"/>
      <c r="B933" s="249"/>
      <c r="C933" s="250"/>
      <c r="D933" s="252"/>
      <c r="E933" s="251"/>
      <c r="F933" s="219"/>
      <c r="G933" s="219"/>
      <c r="H933" s="243"/>
      <c r="I933" s="243"/>
      <c r="J933" s="265"/>
      <c r="K933" s="243"/>
      <c r="L933" s="266"/>
      <c r="M933" s="176"/>
      <c r="N933" s="176"/>
      <c r="O933" s="176"/>
      <c r="P933" s="243"/>
      <c r="Q933" s="243"/>
      <c r="R933" s="176"/>
      <c r="S933" s="176"/>
      <c r="T933" s="176"/>
      <c r="U933" s="176"/>
      <c r="V933" s="176"/>
      <c r="W933" s="176"/>
      <c r="X933" s="176"/>
      <c r="Y933" s="176"/>
      <c r="Z933" s="176"/>
      <c r="AA933" s="176"/>
    </row>
    <row r="934">
      <c r="A934" s="249"/>
      <c r="B934" s="249"/>
      <c r="C934" s="250"/>
      <c r="D934" s="252"/>
      <c r="E934" s="251"/>
      <c r="F934" s="219"/>
      <c r="G934" s="219"/>
      <c r="H934" s="243"/>
      <c r="I934" s="243"/>
      <c r="J934" s="265"/>
      <c r="K934" s="243"/>
      <c r="L934" s="266"/>
      <c r="M934" s="176"/>
      <c r="N934" s="176"/>
      <c r="O934" s="176"/>
      <c r="P934" s="243"/>
      <c r="Q934" s="243"/>
      <c r="R934" s="176"/>
      <c r="S934" s="176"/>
      <c r="T934" s="176"/>
      <c r="U934" s="176"/>
      <c r="V934" s="176"/>
      <c r="W934" s="176"/>
      <c r="X934" s="176"/>
      <c r="Y934" s="176"/>
      <c r="Z934" s="176"/>
      <c r="AA934" s="176"/>
    </row>
    <row r="935">
      <c r="A935" s="249"/>
      <c r="B935" s="249"/>
      <c r="C935" s="250"/>
      <c r="D935" s="252"/>
      <c r="E935" s="251"/>
      <c r="F935" s="219"/>
      <c r="G935" s="219"/>
      <c r="H935" s="243"/>
      <c r="I935" s="243"/>
      <c r="J935" s="265"/>
      <c r="K935" s="243"/>
      <c r="L935" s="266"/>
      <c r="M935" s="176"/>
      <c r="N935" s="176"/>
      <c r="O935" s="176"/>
      <c r="P935" s="243"/>
      <c r="Q935" s="243"/>
      <c r="R935" s="176"/>
      <c r="S935" s="176"/>
      <c r="T935" s="176"/>
      <c r="U935" s="176"/>
      <c r="V935" s="176"/>
      <c r="W935" s="176"/>
      <c r="X935" s="176"/>
      <c r="Y935" s="176"/>
      <c r="Z935" s="176"/>
      <c r="AA935" s="176"/>
    </row>
    <row r="936">
      <c r="A936" s="249"/>
      <c r="B936" s="249"/>
      <c r="C936" s="250"/>
      <c r="D936" s="252"/>
      <c r="E936" s="251"/>
      <c r="F936" s="219"/>
      <c r="G936" s="219"/>
      <c r="H936" s="243"/>
      <c r="I936" s="243"/>
      <c r="J936" s="265"/>
      <c r="K936" s="243"/>
      <c r="L936" s="266"/>
      <c r="M936" s="176"/>
      <c r="N936" s="176"/>
      <c r="O936" s="176"/>
      <c r="P936" s="243"/>
      <c r="Q936" s="243"/>
      <c r="R936" s="176"/>
      <c r="S936" s="176"/>
      <c r="T936" s="176"/>
      <c r="U936" s="176"/>
      <c r="V936" s="176"/>
      <c r="W936" s="176"/>
      <c r="X936" s="176"/>
      <c r="Y936" s="176"/>
      <c r="Z936" s="176"/>
      <c r="AA936" s="176"/>
    </row>
    <row r="937">
      <c r="A937" s="249"/>
      <c r="B937" s="249"/>
      <c r="C937" s="250"/>
      <c r="D937" s="252"/>
      <c r="E937" s="251"/>
      <c r="F937" s="219"/>
      <c r="G937" s="219"/>
      <c r="H937" s="243"/>
      <c r="I937" s="243"/>
      <c r="J937" s="265"/>
      <c r="K937" s="243"/>
      <c r="L937" s="266"/>
      <c r="M937" s="176"/>
      <c r="N937" s="176"/>
      <c r="O937" s="176"/>
      <c r="P937" s="243"/>
      <c r="Q937" s="243"/>
      <c r="R937" s="176"/>
      <c r="S937" s="176"/>
      <c r="T937" s="176"/>
      <c r="U937" s="176"/>
      <c r="V937" s="176"/>
      <c r="W937" s="176"/>
      <c r="X937" s="176"/>
      <c r="Y937" s="176"/>
      <c r="Z937" s="176"/>
      <c r="AA937" s="176"/>
    </row>
    <row r="938">
      <c r="A938" s="249"/>
      <c r="B938" s="249"/>
      <c r="C938" s="250"/>
      <c r="D938" s="252"/>
      <c r="E938" s="251"/>
      <c r="F938" s="219"/>
      <c r="G938" s="219"/>
      <c r="H938" s="243"/>
      <c r="I938" s="243"/>
      <c r="J938" s="265"/>
      <c r="K938" s="243"/>
      <c r="L938" s="266"/>
      <c r="M938" s="176"/>
      <c r="N938" s="176"/>
      <c r="O938" s="176"/>
      <c r="P938" s="243"/>
      <c r="Q938" s="243"/>
      <c r="R938" s="176"/>
      <c r="S938" s="176"/>
      <c r="T938" s="176"/>
      <c r="U938" s="176"/>
      <c r="V938" s="176"/>
      <c r="W938" s="176"/>
      <c r="X938" s="176"/>
      <c r="Y938" s="176"/>
      <c r="Z938" s="176"/>
      <c r="AA938" s="176"/>
    </row>
    <row r="939">
      <c r="A939" s="249"/>
      <c r="B939" s="249"/>
      <c r="C939" s="250"/>
      <c r="D939" s="252"/>
      <c r="E939" s="251"/>
      <c r="F939" s="219"/>
      <c r="G939" s="219"/>
      <c r="H939" s="243"/>
      <c r="I939" s="243"/>
      <c r="J939" s="265"/>
      <c r="K939" s="243"/>
      <c r="L939" s="266"/>
      <c r="M939" s="176"/>
      <c r="N939" s="176"/>
      <c r="O939" s="176"/>
      <c r="P939" s="243"/>
      <c r="Q939" s="243"/>
      <c r="R939" s="176"/>
      <c r="S939" s="176"/>
      <c r="T939" s="176"/>
      <c r="U939" s="176"/>
      <c r="V939" s="176"/>
      <c r="W939" s="176"/>
      <c r="X939" s="176"/>
      <c r="Y939" s="176"/>
      <c r="Z939" s="176"/>
      <c r="AA939" s="176"/>
    </row>
    <row r="940">
      <c r="A940" s="249"/>
      <c r="B940" s="249"/>
      <c r="C940" s="250"/>
      <c r="D940" s="252"/>
      <c r="E940" s="251"/>
      <c r="F940" s="219"/>
      <c r="G940" s="219"/>
      <c r="H940" s="243"/>
      <c r="I940" s="243"/>
      <c r="J940" s="265"/>
      <c r="K940" s="243"/>
      <c r="L940" s="266"/>
      <c r="M940" s="176"/>
      <c r="N940" s="176"/>
      <c r="O940" s="176"/>
      <c r="P940" s="243"/>
      <c r="Q940" s="243"/>
      <c r="R940" s="176"/>
      <c r="S940" s="176"/>
      <c r="T940" s="176"/>
      <c r="U940" s="176"/>
      <c r="V940" s="176"/>
      <c r="W940" s="176"/>
      <c r="X940" s="176"/>
      <c r="Y940" s="176"/>
      <c r="Z940" s="176"/>
      <c r="AA940" s="176"/>
    </row>
    <row r="941">
      <c r="A941" s="249"/>
      <c r="B941" s="249"/>
      <c r="C941" s="250"/>
      <c r="D941" s="252"/>
      <c r="E941" s="251"/>
      <c r="F941" s="219"/>
      <c r="G941" s="219"/>
      <c r="H941" s="243"/>
      <c r="I941" s="243"/>
      <c r="J941" s="265"/>
      <c r="K941" s="243"/>
      <c r="L941" s="266"/>
      <c r="M941" s="176"/>
      <c r="N941" s="176"/>
      <c r="O941" s="176"/>
      <c r="P941" s="243"/>
      <c r="Q941" s="243"/>
      <c r="R941" s="176"/>
      <c r="S941" s="176"/>
      <c r="T941" s="176"/>
      <c r="U941" s="176"/>
      <c r="V941" s="176"/>
      <c r="W941" s="176"/>
      <c r="X941" s="176"/>
      <c r="Y941" s="176"/>
      <c r="Z941" s="176"/>
      <c r="AA941" s="176"/>
    </row>
    <row r="942">
      <c r="A942" s="249"/>
      <c r="B942" s="249"/>
      <c r="C942" s="250"/>
      <c r="D942" s="252"/>
      <c r="E942" s="251"/>
      <c r="F942" s="219"/>
      <c r="G942" s="219"/>
      <c r="H942" s="243"/>
      <c r="I942" s="243"/>
      <c r="J942" s="265"/>
      <c r="K942" s="243"/>
      <c r="L942" s="266"/>
      <c r="M942" s="176"/>
      <c r="N942" s="176"/>
      <c r="O942" s="176"/>
      <c r="P942" s="243"/>
      <c r="Q942" s="243"/>
      <c r="R942" s="176"/>
      <c r="S942" s="176"/>
      <c r="T942" s="176"/>
      <c r="U942" s="176"/>
      <c r="V942" s="176"/>
      <c r="W942" s="176"/>
      <c r="X942" s="176"/>
      <c r="Y942" s="176"/>
      <c r="Z942" s="176"/>
      <c r="AA942" s="176"/>
    </row>
    <row r="943">
      <c r="A943" s="249"/>
      <c r="B943" s="249"/>
      <c r="C943" s="250"/>
      <c r="D943" s="252"/>
      <c r="E943" s="251"/>
      <c r="F943" s="219"/>
      <c r="G943" s="219"/>
      <c r="H943" s="243"/>
      <c r="I943" s="243"/>
      <c r="J943" s="265"/>
      <c r="K943" s="243"/>
      <c r="L943" s="266"/>
      <c r="M943" s="176"/>
      <c r="N943" s="176"/>
      <c r="O943" s="176"/>
      <c r="P943" s="243"/>
      <c r="Q943" s="243"/>
      <c r="R943" s="176"/>
      <c r="S943" s="176"/>
      <c r="T943" s="176"/>
      <c r="U943" s="176"/>
      <c r="V943" s="176"/>
      <c r="W943" s="176"/>
      <c r="X943" s="176"/>
      <c r="Y943" s="176"/>
      <c r="Z943" s="176"/>
      <c r="AA943" s="176"/>
    </row>
    <row r="944">
      <c r="A944" s="249"/>
      <c r="B944" s="249"/>
      <c r="C944" s="250"/>
      <c r="D944" s="252"/>
      <c r="E944" s="251"/>
      <c r="F944" s="219"/>
      <c r="G944" s="219"/>
      <c r="H944" s="243"/>
      <c r="I944" s="243"/>
      <c r="J944" s="265"/>
      <c r="K944" s="243"/>
      <c r="L944" s="266"/>
      <c r="M944" s="176"/>
      <c r="N944" s="176"/>
      <c r="O944" s="176"/>
      <c r="P944" s="243"/>
      <c r="Q944" s="243"/>
      <c r="R944" s="176"/>
      <c r="S944" s="176"/>
      <c r="T944" s="176"/>
      <c r="U944" s="176"/>
      <c r="V944" s="176"/>
      <c r="W944" s="176"/>
      <c r="X944" s="176"/>
      <c r="Y944" s="176"/>
      <c r="Z944" s="176"/>
      <c r="AA944" s="176"/>
    </row>
    <row r="945">
      <c r="A945" s="249"/>
      <c r="B945" s="249"/>
      <c r="C945" s="250"/>
      <c r="D945" s="252"/>
      <c r="E945" s="251"/>
      <c r="F945" s="219"/>
      <c r="G945" s="219"/>
      <c r="H945" s="243"/>
      <c r="I945" s="243"/>
      <c r="J945" s="265"/>
      <c r="K945" s="243"/>
      <c r="L945" s="266"/>
      <c r="M945" s="176"/>
      <c r="N945" s="176"/>
      <c r="O945" s="176"/>
      <c r="P945" s="243"/>
      <c r="Q945" s="243"/>
      <c r="R945" s="176"/>
      <c r="S945" s="176"/>
      <c r="T945" s="176"/>
      <c r="U945" s="176"/>
      <c r="V945" s="176"/>
      <c r="W945" s="176"/>
      <c r="X945" s="176"/>
      <c r="Y945" s="176"/>
      <c r="Z945" s="176"/>
      <c r="AA945" s="176"/>
    </row>
    <row r="946">
      <c r="A946" s="249"/>
      <c r="B946" s="249"/>
      <c r="C946" s="250"/>
      <c r="D946" s="252"/>
      <c r="E946" s="251"/>
      <c r="F946" s="219"/>
      <c r="G946" s="219"/>
      <c r="H946" s="243"/>
      <c r="I946" s="243"/>
      <c r="J946" s="265"/>
      <c r="K946" s="243"/>
      <c r="L946" s="266"/>
      <c r="M946" s="176"/>
      <c r="N946" s="176"/>
      <c r="O946" s="176"/>
      <c r="P946" s="243"/>
      <c r="Q946" s="243"/>
      <c r="R946" s="176"/>
      <c r="S946" s="176"/>
      <c r="T946" s="176"/>
      <c r="U946" s="176"/>
      <c r="V946" s="176"/>
      <c r="W946" s="176"/>
      <c r="X946" s="176"/>
      <c r="Y946" s="176"/>
      <c r="Z946" s="176"/>
      <c r="AA946" s="176"/>
    </row>
    <row r="947">
      <c r="A947" s="249"/>
      <c r="B947" s="249"/>
      <c r="C947" s="250"/>
      <c r="D947" s="252"/>
      <c r="E947" s="251"/>
      <c r="F947" s="219"/>
      <c r="G947" s="219"/>
      <c r="H947" s="243"/>
      <c r="I947" s="243"/>
      <c r="J947" s="265"/>
      <c r="K947" s="243"/>
      <c r="L947" s="266"/>
      <c r="M947" s="176"/>
      <c r="N947" s="176"/>
      <c r="O947" s="176"/>
      <c r="P947" s="243"/>
      <c r="Q947" s="243"/>
      <c r="R947" s="176"/>
      <c r="S947" s="176"/>
      <c r="T947" s="176"/>
      <c r="U947" s="176"/>
      <c r="V947" s="176"/>
      <c r="W947" s="176"/>
      <c r="X947" s="176"/>
      <c r="Y947" s="176"/>
      <c r="Z947" s="176"/>
      <c r="AA947" s="176"/>
    </row>
    <row r="948">
      <c r="A948" s="249"/>
      <c r="B948" s="249"/>
      <c r="C948" s="250"/>
      <c r="D948" s="252"/>
      <c r="E948" s="251"/>
      <c r="F948" s="219"/>
      <c r="G948" s="219"/>
      <c r="H948" s="243"/>
      <c r="I948" s="243"/>
      <c r="J948" s="265"/>
      <c r="K948" s="243"/>
      <c r="L948" s="266"/>
      <c r="M948" s="176"/>
      <c r="N948" s="176"/>
      <c r="O948" s="176"/>
      <c r="P948" s="243"/>
      <c r="Q948" s="243"/>
      <c r="R948" s="176"/>
      <c r="S948" s="176"/>
      <c r="T948" s="176"/>
      <c r="U948" s="176"/>
      <c r="V948" s="176"/>
      <c r="W948" s="176"/>
      <c r="X948" s="176"/>
      <c r="Y948" s="176"/>
      <c r="Z948" s="176"/>
      <c r="AA948" s="176"/>
    </row>
    <row r="949">
      <c r="A949" s="249"/>
      <c r="B949" s="249"/>
      <c r="C949" s="250"/>
      <c r="D949" s="252"/>
      <c r="E949" s="251"/>
      <c r="F949" s="219"/>
      <c r="G949" s="219"/>
      <c r="H949" s="243"/>
      <c r="I949" s="243"/>
      <c r="J949" s="265"/>
      <c r="K949" s="243"/>
      <c r="L949" s="266"/>
      <c r="M949" s="176"/>
      <c r="N949" s="176"/>
      <c r="O949" s="176"/>
      <c r="P949" s="243"/>
      <c r="Q949" s="243"/>
      <c r="R949" s="176"/>
      <c r="S949" s="176"/>
      <c r="T949" s="176"/>
      <c r="U949" s="176"/>
      <c r="V949" s="176"/>
      <c r="W949" s="176"/>
      <c r="X949" s="176"/>
      <c r="Y949" s="176"/>
      <c r="Z949" s="176"/>
      <c r="AA949" s="176"/>
    </row>
    <row r="950">
      <c r="A950" s="249"/>
      <c r="B950" s="249"/>
      <c r="C950" s="250"/>
      <c r="D950" s="252"/>
      <c r="E950" s="251"/>
      <c r="F950" s="219"/>
      <c r="G950" s="219"/>
      <c r="H950" s="243"/>
      <c r="I950" s="243"/>
      <c r="J950" s="265"/>
      <c r="K950" s="243"/>
      <c r="L950" s="266"/>
      <c r="M950" s="176"/>
      <c r="N950" s="176"/>
      <c r="O950" s="176"/>
      <c r="P950" s="243"/>
      <c r="Q950" s="243"/>
      <c r="R950" s="176"/>
      <c r="S950" s="176"/>
      <c r="T950" s="176"/>
      <c r="U950" s="176"/>
      <c r="V950" s="176"/>
      <c r="W950" s="176"/>
      <c r="X950" s="176"/>
      <c r="Y950" s="176"/>
      <c r="Z950" s="176"/>
      <c r="AA950" s="176"/>
    </row>
    <row r="951">
      <c r="A951" s="249"/>
      <c r="B951" s="249"/>
      <c r="C951" s="250"/>
      <c r="D951" s="252"/>
      <c r="E951" s="251"/>
      <c r="F951" s="219"/>
      <c r="G951" s="219"/>
      <c r="H951" s="243"/>
      <c r="I951" s="243"/>
      <c r="J951" s="265"/>
      <c r="K951" s="243"/>
      <c r="L951" s="266"/>
      <c r="M951" s="176"/>
      <c r="N951" s="176"/>
      <c r="O951" s="176"/>
      <c r="P951" s="243"/>
      <c r="Q951" s="243"/>
      <c r="R951" s="176"/>
      <c r="S951" s="176"/>
      <c r="T951" s="176"/>
      <c r="U951" s="176"/>
      <c r="V951" s="176"/>
      <c r="W951" s="176"/>
      <c r="X951" s="176"/>
      <c r="Y951" s="176"/>
      <c r="Z951" s="176"/>
      <c r="AA951" s="176"/>
    </row>
    <row r="952">
      <c r="A952" s="249"/>
      <c r="B952" s="249"/>
      <c r="C952" s="250"/>
      <c r="D952" s="252"/>
      <c r="E952" s="251"/>
      <c r="F952" s="219"/>
      <c r="G952" s="219"/>
      <c r="H952" s="243"/>
      <c r="I952" s="243"/>
      <c r="J952" s="265"/>
      <c r="K952" s="243"/>
      <c r="L952" s="266"/>
      <c r="M952" s="176"/>
      <c r="N952" s="176"/>
      <c r="O952" s="176"/>
      <c r="P952" s="243"/>
      <c r="Q952" s="243"/>
      <c r="R952" s="176"/>
      <c r="S952" s="176"/>
      <c r="T952" s="176"/>
      <c r="U952" s="176"/>
      <c r="V952" s="176"/>
      <c r="W952" s="176"/>
      <c r="X952" s="176"/>
      <c r="Y952" s="176"/>
      <c r="Z952" s="176"/>
      <c r="AA952" s="176"/>
    </row>
    <row r="953">
      <c r="A953" s="249"/>
      <c r="B953" s="249"/>
      <c r="C953" s="250"/>
      <c r="D953" s="252"/>
      <c r="E953" s="251"/>
      <c r="F953" s="219"/>
      <c r="G953" s="219"/>
      <c r="H953" s="243"/>
      <c r="I953" s="243"/>
      <c r="J953" s="265"/>
      <c r="K953" s="243"/>
      <c r="L953" s="266"/>
      <c r="M953" s="176"/>
      <c r="N953" s="176"/>
      <c r="O953" s="176"/>
      <c r="P953" s="243"/>
      <c r="Q953" s="243"/>
      <c r="R953" s="176"/>
      <c r="S953" s="176"/>
      <c r="T953" s="176"/>
      <c r="U953" s="176"/>
      <c r="V953" s="176"/>
      <c r="W953" s="176"/>
      <c r="X953" s="176"/>
      <c r="Y953" s="176"/>
      <c r="Z953" s="176"/>
      <c r="AA953" s="176"/>
    </row>
    <row r="954">
      <c r="A954" s="249"/>
      <c r="B954" s="249"/>
      <c r="C954" s="250"/>
      <c r="D954" s="252"/>
      <c r="E954" s="251"/>
      <c r="F954" s="219"/>
      <c r="G954" s="219"/>
      <c r="H954" s="243"/>
      <c r="I954" s="243"/>
      <c r="J954" s="265"/>
      <c r="K954" s="243"/>
      <c r="L954" s="266"/>
      <c r="M954" s="176"/>
      <c r="N954" s="176"/>
      <c r="O954" s="176"/>
      <c r="P954" s="243"/>
      <c r="Q954" s="243"/>
      <c r="R954" s="176"/>
      <c r="S954" s="176"/>
      <c r="T954" s="176"/>
      <c r="U954" s="176"/>
      <c r="V954" s="176"/>
      <c r="W954" s="176"/>
      <c r="X954" s="176"/>
      <c r="Y954" s="176"/>
      <c r="Z954" s="176"/>
      <c r="AA954" s="176"/>
    </row>
    <row r="955">
      <c r="A955" s="249"/>
      <c r="B955" s="249"/>
      <c r="C955" s="250"/>
      <c r="D955" s="252"/>
      <c r="E955" s="251"/>
      <c r="F955" s="219"/>
      <c r="G955" s="219"/>
      <c r="H955" s="243"/>
      <c r="I955" s="243"/>
      <c r="J955" s="265"/>
      <c r="K955" s="243"/>
      <c r="L955" s="266"/>
      <c r="M955" s="176"/>
      <c r="N955" s="176"/>
      <c r="O955" s="176"/>
      <c r="P955" s="243"/>
      <c r="Q955" s="243"/>
      <c r="R955" s="176"/>
      <c r="S955" s="176"/>
      <c r="T955" s="176"/>
      <c r="U955" s="176"/>
      <c r="V955" s="176"/>
      <c r="W955" s="176"/>
      <c r="X955" s="176"/>
      <c r="Y955" s="176"/>
      <c r="Z955" s="176"/>
      <c r="AA955" s="176"/>
    </row>
    <row r="956">
      <c r="A956" s="249"/>
      <c r="B956" s="249"/>
      <c r="C956" s="250"/>
      <c r="D956" s="252"/>
      <c r="E956" s="251"/>
      <c r="F956" s="219"/>
      <c r="G956" s="219"/>
      <c r="H956" s="243"/>
      <c r="I956" s="243"/>
      <c r="J956" s="265"/>
      <c r="K956" s="243"/>
      <c r="L956" s="266"/>
      <c r="M956" s="176"/>
      <c r="N956" s="176"/>
      <c r="O956" s="176"/>
      <c r="P956" s="243"/>
      <c r="Q956" s="243"/>
      <c r="R956" s="176"/>
      <c r="S956" s="176"/>
      <c r="T956" s="176"/>
      <c r="U956" s="176"/>
      <c r="V956" s="176"/>
      <c r="W956" s="176"/>
      <c r="X956" s="176"/>
      <c r="Y956" s="176"/>
      <c r="Z956" s="176"/>
      <c r="AA956" s="176"/>
    </row>
    <row r="957">
      <c r="A957" s="249"/>
      <c r="B957" s="249"/>
      <c r="C957" s="250"/>
      <c r="D957" s="252"/>
      <c r="E957" s="251"/>
      <c r="F957" s="219"/>
      <c r="G957" s="219"/>
      <c r="H957" s="243"/>
      <c r="I957" s="243"/>
      <c r="J957" s="265"/>
      <c r="K957" s="243"/>
      <c r="L957" s="266"/>
      <c r="M957" s="176"/>
      <c r="N957" s="176"/>
      <c r="O957" s="176"/>
      <c r="P957" s="243"/>
      <c r="Q957" s="243"/>
      <c r="R957" s="176"/>
      <c r="S957" s="176"/>
      <c r="T957" s="176"/>
      <c r="U957" s="176"/>
      <c r="V957" s="176"/>
      <c r="W957" s="176"/>
      <c r="X957" s="176"/>
      <c r="Y957" s="176"/>
      <c r="Z957" s="176"/>
      <c r="AA957" s="176"/>
    </row>
    <row r="958">
      <c r="A958" s="249"/>
      <c r="B958" s="249"/>
      <c r="C958" s="250"/>
      <c r="D958" s="252"/>
      <c r="E958" s="251"/>
      <c r="F958" s="219"/>
      <c r="G958" s="219"/>
      <c r="H958" s="243"/>
      <c r="I958" s="243"/>
      <c r="J958" s="265"/>
      <c r="K958" s="243"/>
      <c r="L958" s="266"/>
      <c r="M958" s="176"/>
      <c r="N958" s="176"/>
      <c r="O958" s="176"/>
      <c r="P958" s="243"/>
      <c r="Q958" s="243"/>
      <c r="R958" s="176"/>
      <c r="S958" s="176"/>
      <c r="T958" s="176"/>
      <c r="U958" s="176"/>
      <c r="V958" s="176"/>
      <c r="W958" s="176"/>
      <c r="X958" s="176"/>
      <c r="Y958" s="176"/>
      <c r="Z958" s="176"/>
      <c r="AA958" s="176"/>
    </row>
    <row r="959">
      <c r="A959" s="249"/>
      <c r="B959" s="249"/>
      <c r="C959" s="250"/>
      <c r="D959" s="252"/>
      <c r="E959" s="251"/>
      <c r="F959" s="219"/>
      <c r="G959" s="219"/>
      <c r="H959" s="243"/>
      <c r="I959" s="243"/>
      <c r="J959" s="265"/>
      <c r="K959" s="243"/>
      <c r="L959" s="266"/>
      <c r="M959" s="176"/>
      <c r="N959" s="176"/>
      <c r="O959" s="176"/>
      <c r="P959" s="243"/>
      <c r="Q959" s="243"/>
      <c r="R959" s="176"/>
      <c r="S959" s="176"/>
      <c r="T959" s="176"/>
      <c r="U959" s="176"/>
      <c r="V959" s="176"/>
      <c r="W959" s="176"/>
      <c r="X959" s="176"/>
      <c r="Y959" s="176"/>
      <c r="Z959" s="176"/>
      <c r="AA959" s="176"/>
    </row>
    <row r="960">
      <c r="A960" s="249"/>
      <c r="B960" s="249"/>
      <c r="C960" s="250"/>
      <c r="D960" s="252"/>
      <c r="E960" s="251"/>
      <c r="F960" s="219"/>
      <c r="G960" s="219"/>
      <c r="H960" s="243"/>
      <c r="I960" s="243"/>
      <c r="J960" s="265"/>
      <c r="K960" s="243"/>
      <c r="L960" s="266"/>
      <c r="M960" s="176"/>
      <c r="N960" s="176"/>
      <c r="O960" s="176"/>
      <c r="P960" s="243"/>
      <c r="Q960" s="243"/>
      <c r="R960" s="176"/>
      <c r="S960" s="176"/>
      <c r="T960" s="176"/>
      <c r="U960" s="176"/>
      <c r="V960" s="176"/>
      <c r="W960" s="176"/>
      <c r="X960" s="176"/>
      <c r="Y960" s="176"/>
      <c r="Z960" s="176"/>
      <c r="AA960" s="176"/>
    </row>
    <row r="961">
      <c r="A961" s="249"/>
      <c r="B961" s="249"/>
      <c r="C961" s="250"/>
      <c r="D961" s="252"/>
      <c r="E961" s="251"/>
      <c r="F961" s="219"/>
      <c r="G961" s="219"/>
      <c r="H961" s="243"/>
      <c r="I961" s="243"/>
      <c r="J961" s="265"/>
      <c r="K961" s="243"/>
      <c r="L961" s="266"/>
      <c r="M961" s="176"/>
      <c r="N961" s="176"/>
      <c r="O961" s="176"/>
      <c r="P961" s="243"/>
      <c r="Q961" s="243"/>
      <c r="R961" s="176"/>
      <c r="S961" s="176"/>
      <c r="T961" s="176"/>
      <c r="U961" s="176"/>
      <c r="V961" s="176"/>
      <c r="W961" s="176"/>
      <c r="X961" s="176"/>
      <c r="Y961" s="176"/>
      <c r="Z961" s="176"/>
      <c r="AA961" s="176"/>
    </row>
    <row r="962">
      <c r="A962" s="249"/>
      <c r="B962" s="249"/>
      <c r="C962" s="250"/>
      <c r="D962" s="252"/>
      <c r="E962" s="251"/>
      <c r="F962" s="219"/>
      <c r="G962" s="219"/>
      <c r="H962" s="243"/>
      <c r="I962" s="243"/>
      <c r="J962" s="265"/>
      <c r="K962" s="243"/>
      <c r="L962" s="266"/>
      <c r="M962" s="176"/>
      <c r="N962" s="176"/>
      <c r="O962" s="176"/>
      <c r="P962" s="243"/>
      <c r="Q962" s="243"/>
      <c r="R962" s="176"/>
      <c r="S962" s="176"/>
      <c r="T962" s="176"/>
      <c r="U962" s="176"/>
      <c r="V962" s="176"/>
      <c r="W962" s="176"/>
      <c r="X962" s="176"/>
      <c r="Y962" s="176"/>
      <c r="Z962" s="176"/>
      <c r="AA962" s="176"/>
    </row>
    <row r="963">
      <c r="A963" s="249"/>
      <c r="B963" s="249"/>
      <c r="C963" s="250"/>
      <c r="D963" s="252"/>
      <c r="E963" s="251"/>
      <c r="F963" s="219"/>
      <c r="G963" s="219"/>
      <c r="H963" s="243"/>
      <c r="I963" s="243"/>
      <c r="J963" s="265"/>
      <c r="K963" s="243"/>
      <c r="L963" s="266"/>
      <c r="M963" s="176"/>
      <c r="N963" s="176"/>
      <c r="O963" s="176"/>
      <c r="P963" s="243"/>
      <c r="Q963" s="243"/>
      <c r="R963" s="176"/>
      <c r="S963" s="176"/>
      <c r="T963" s="176"/>
      <c r="U963" s="176"/>
      <c r="V963" s="176"/>
      <c r="W963" s="176"/>
      <c r="X963" s="176"/>
      <c r="Y963" s="176"/>
      <c r="Z963" s="176"/>
      <c r="AA963" s="176"/>
    </row>
    <row r="964">
      <c r="A964" s="249"/>
      <c r="B964" s="249"/>
      <c r="C964" s="250"/>
      <c r="D964" s="252"/>
      <c r="E964" s="251"/>
      <c r="F964" s="219"/>
      <c r="G964" s="219"/>
      <c r="H964" s="243"/>
      <c r="I964" s="243"/>
      <c r="J964" s="265"/>
      <c r="K964" s="243"/>
      <c r="L964" s="266"/>
      <c r="M964" s="176"/>
      <c r="N964" s="176"/>
      <c r="O964" s="176"/>
      <c r="P964" s="243"/>
      <c r="Q964" s="243"/>
      <c r="R964" s="176"/>
      <c r="S964" s="176"/>
      <c r="T964" s="176"/>
      <c r="U964" s="176"/>
      <c r="V964" s="176"/>
      <c r="W964" s="176"/>
      <c r="X964" s="176"/>
      <c r="Y964" s="176"/>
      <c r="Z964" s="176"/>
      <c r="AA964" s="176"/>
    </row>
    <row r="965">
      <c r="A965" s="249"/>
      <c r="B965" s="249"/>
      <c r="C965" s="250"/>
      <c r="D965" s="252"/>
      <c r="E965" s="251"/>
      <c r="F965" s="219"/>
      <c r="G965" s="219"/>
      <c r="H965" s="243"/>
      <c r="I965" s="243"/>
      <c r="J965" s="265"/>
      <c r="K965" s="243"/>
      <c r="L965" s="266"/>
      <c r="M965" s="176"/>
      <c r="N965" s="176"/>
      <c r="O965" s="176"/>
      <c r="P965" s="243"/>
      <c r="Q965" s="243"/>
      <c r="R965" s="176"/>
      <c r="S965" s="176"/>
      <c r="T965" s="176"/>
      <c r="U965" s="176"/>
      <c r="V965" s="176"/>
      <c r="W965" s="176"/>
      <c r="X965" s="176"/>
      <c r="Y965" s="176"/>
      <c r="Z965" s="176"/>
      <c r="AA965" s="176"/>
    </row>
    <row r="966">
      <c r="A966" s="249"/>
      <c r="B966" s="249"/>
      <c r="C966" s="250"/>
      <c r="D966" s="252"/>
      <c r="E966" s="251"/>
      <c r="F966" s="219"/>
      <c r="G966" s="219"/>
      <c r="H966" s="243"/>
      <c r="I966" s="243"/>
      <c r="J966" s="265"/>
      <c r="K966" s="243"/>
      <c r="L966" s="266"/>
      <c r="M966" s="176"/>
      <c r="N966" s="176"/>
      <c r="O966" s="176"/>
      <c r="P966" s="243"/>
      <c r="Q966" s="243"/>
      <c r="R966" s="176"/>
      <c r="S966" s="176"/>
      <c r="T966" s="176"/>
      <c r="U966" s="176"/>
      <c r="V966" s="176"/>
      <c r="W966" s="176"/>
      <c r="X966" s="176"/>
      <c r="Y966" s="176"/>
      <c r="Z966" s="176"/>
      <c r="AA966" s="176"/>
    </row>
    <row r="967">
      <c r="A967" s="249"/>
      <c r="B967" s="249"/>
      <c r="C967" s="250"/>
      <c r="D967" s="252"/>
      <c r="E967" s="251"/>
      <c r="F967" s="219"/>
      <c r="G967" s="219"/>
      <c r="H967" s="243"/>
      <c r="I967" s="243"/>
      <c r="J967" s="265"/>
      <c r="K967" s="243"/>
      <c r="L967" s="266"/>
      <c r="M967" s="176"/>
      <c r="N967" s="176"/>
      <c r="O967" s="176"/>
      <c r="P967" s="243"/>
      <c r="Q967" s="243"/>
      <c r="R967" s="176"/>
      <c r="S967" s="176"/>
      <c r="T967" s="176"/>
      <c r="U967" s="176"/>
      <c r="V967" s="176"/>
      <c r="W967" s="176"/>
      <c r="X967" s="176"/>
      <c r="Y967" s="176"/>
      <c r="Z967" s="176"/>
      <c r="AA967" s="176"/>
    </row>
    <row r="968">
      <c r="A968" s="249"/>
      <c r="B968" s="249"/>
      <c r="C968" s="250"/>
      <c r="D968" s="252"/>
      <c r="E968" s="251"/>
      <c r="F968" s="219"/>
      <c r="G968" s="219"/>
      <c r="H968" s="243"/>
      <c r="I968" s="243"/>
      <c r="J968" s="265"/>
      <c r="K968" s="243"/>
      <c r="L968" s="266"/>
      <c r="M968" s="176"/>
      <c r="N968" s="176"/>
      <c r="O968" s="176"/>
      <c r="P968" s="243"/>
      <c r="Q968" s="243"/>
      <c r="R968" s="176"/>
      <c r="S968" s="176"/>
      <c r="T968" s="176"/>
      <c r="U968" s="176"/>
      <c r="V968" s="176"/>
      <c r="W968" s="176"/>
      <c r="X968" s="176"/>
      <c r="Y968" s="176"/>
      <c r="Z968" s="176"/>
      <c r="AA968" s="176"/>
    </row>
    <row r="969">
      <c r="A969" s="249"/>
      <c r="B969" s="249"/>
      <c r="C969" s="250"/>
      <c r="D969" s="252"/>
      <c r="E969" s="251"/>
      <c r="F969" s="219"/>
      <c r="G969" s="219"/>
      <c r="H969" s="243"/>
      <c r="I969" s="243"/>
      <c r="J969" s="265"/>
      <c r="K969" s="243"/>
      <c r="L969" s="266"/>
      <c r="M969" s="176"/>
      <c r="N969" s="176"/>
      <c r="O969" s="176"/>
      <c r="P969" s="243"/>
      <c r="Q969" s="243"/>
      <c r="R969" s="176"/>
      <c r="S969" s="176"/>
      <c r="T969" s="176"/>
      <c r="U969" s="176"/>
      <c r="V969" s="176"/>
      <c r="W969" s="176"/>
      <c r="X969" s="176"/>
      <c r="Y969" s="176"/>
      <c r="Z969" s="176"/>
      <c r="AA969" s="176"/>
    </row>
    <row r="970">
      <c r="A970" s="249"/>
      <c r="B970" s="249"/>
      <c r="C970" s="250"/>
      <c r="D970" s="252"/>
      <c r="E970" s="251"/>
      <c r="F970" s="219"/>
      <c r="G970" s="219"/>
      <c r="H970" s="243"/>
      <c r="I970" s="243"/>
      <c r="J970" s="265"/>
      <c r="K970" s="243"/>
      <c r="L970" s="266"/>
      <c r="M970" s="176"/>
      <c r="N970" s="176"/>
      <c r="O970" s="176"/>
      <c r="P970" s="243"/>
      <c r="Q970" s="243"/>
      <c r="R970" s="176"/>
      <c r="S970" s="176"/>
      <c r="T970" s="176"/>
      <c r="U970" s="176"/>
      <c r="V970" s="176"/>
      <c r="W970" s="176"/>
      <c r="X970" s="176"/>
      <c r="Y970" s="176"/>
      <c r="Z970" s="176"/>
      <c r="AA970" s="176"/>
    </row>
    <row r="971">
      <c r="A971" s="249"/>
      <c r="B971" s="249"/>
      <c r="C971" s="250"/>
      <c r="D971" s="252"/>
      <c r="E971" s="251"/>
      <c r="F971" s="219"/>
      <c r="G971" s="219"/>
      <c r="H971" s="243"/>
      <c r="I971" s="243"/>
      <c r="J971" s="265"/>
      <c r="K971" s="243"/>
      <c r="L971" s="266"/>
      <c r="M971" s="176"/>
      <c r="N971" s="176"/>
      <c r="O971" s="176"/>
      <c r="P971" s="243"/>
      <c r="Q971" s="243"/>
      <c r="R971" s="176"/>
      <c r="S971" s="176"/>
      <c r="T971" s="176"/>
      <c r="U971" s="176"/>
      <c r="V971" s="176"/>
      <c r="W971" s="176"/>
      <c r="X971" s="176"/>
      <c r="Y971" s="176"/>
      <c r="Z971" s="176"/>
      <c r="AA971" s="176"/>
    </row>
    <row r="972">
      <c r="A972" s="249"/>
      <c r="B972" s="249"/>
      <c r="C972" s="250"/>
      <c r="D972" s="252"/>
      <c r="E972" s="251"/>
      <c r="F972" s="219"/>
      <c r="G972" s="219"/>
      <c r="H972" s="243"/>
      <c r="I972" s="243"/>
      <c r="J972" s="265"/>
      <c r="K972" s="243"/>
      <c r="L972" s="266"/>
      <c r="M972" s="176"/>
      <c r="N972" s="176"/>
      <c r="O972" s="176"/>
      <c r="P972" s="243"/>
      <c r="Q972" s="243"/>
      <c r="R972" s="176"/>
      <c r="S972" s="176"/>
      <c r="T972" s="176"/>
      <c r="U972" s="176"/>
      <c r="V972" s="176"/>
      <c r="W972" s="176"/>
      <c r="X972" s="176"/>
      <c r="Y972" s="176"/>
      <c r="Z972" s="176"/>
      <c r="AA972" s="176"/>
    </row>
    <row r="973">
      <c r="A973" s="249"/>
      <c r="B973" s="249"/>
      <c r="C973" s="250"/>
      <c r="D973" s="252"/>
      <c r="E973" s="251"/>
      <c r="F973" s="219"/>
      <c r="G973" s="219"/>
      <c r="H973" s="243"/>
      <c r="I973" s="243"/>
      <c r="J973" s="265"/>
      <c r="K973" s="243"/>
      <c r="L973" s="266"/>
      <c r="M973" s="176"/>
      <c r="N973" s="176"/>
      <c r="O973" s="176"/>
      <c r="P973" s="243"/>
      <c r="Q973" s="243"/>
      <c r="R973" s="176"/>
      <c r="S973" s="176"/>
      <c r="T973" s="176"/>
      <c r="U973" s="176"/>
      <c r="V973" s="176"/>
      <c r="W973" s="176"/>
      <c r="X973" s="176"/>
      <c r="Y973" s="176"/>
      <c r="Z973" s="176"/>
      <c r="AA973" s="176"/>
    </row>
    <row r="974">
      <c r="A974" s="249"/>
      <c r="B974" s="249"/>
      <c r="C974" s="250"/>
      <c r="D974" s="252"/>
      <c r="E974" s="251"/>
      <c r="F974" s="219"/>
      <c r="G974" s="219"/>
      <c r="H974" s="243"/>
      <c r="I974" s="243"/>
      <c r="J974" s="265"/>
      <c r="K974" s="243"/>
      <c r="L974" s="266"/>
      <c r="M974" s="176"/>
      <c r="N974" s="176"/>
      <c r="O974" s="176"/>
      <c r="P974" s="243"/>
      <c r="Q974" s="243"/>
      <c r="R974" s="176"/>
      <c r="S974" s="176"/>
      <c r="T974" s="176"/>
      <c r="U974" s="176"/>
      <c r="V974" s="176"/>
      <c r="W974" s="176"/>
      <c r="X974" s="176"/>
      <c r="Y974" s="176"/>
      <c r="Z974" s="176"/>
      <c r="AA974" s="176"/>
    </row>
    <row r="975">
      <c r="A975" s="249"/>
      <c r="B975" s="249"/>
      <c r="C975" s="250"/>
      <c r="D975" s="252"/>
      <c r="E975" s="251"/>
      <c r="F975" s="219"/>
      <c r="G975" s="219"/>
      <c r="H975" s="243"/>
      <c r="I975" s="243"/>
      <c r="J975" s="265"/>
      <c r="K975" s="243"/>
      <c r="L975" s="266"/>
      <c r="M975" s="176"/>
      <c r="N975" s="176"/>
      <c r="O975" s="176"/>
      <c r="P975" s="243"/>
      <c r="Q975" s="243"/>
      <c r="R975" s="176"/>
      <c r="S975" s="176"/>
      <c r="T975" s="176"/>
      <c r="U975" s="176"/>
      <c r="V975" s="176"/>
      <c r="W975" s="176"/>
      <c r="X975" s="176"/>
      <c r="Y975" s="176"/>
      <c r="Z975" s="176"/>
      <c r="AA975" s="176"/>
    </row>
    <row r="976">
      <c r="A976" s="249"/>
      <c r="B976" s="249"/>
      <c r="C976" s="250"/>
      <c r="D976" s="252"/>
      <c r="E976" s="251"/>
      <c r="F976" s="219"/>
      <c r="G976" s="219"/>
      <c r="H976" s="243"/>
      <c r="I976" s="243"/>
      <c r="J976" s="265"/>
      <c r="K976" s="243"/>
      <c r="L976" s="266"/>
      <c r="M976" s="176"/>
      <c r="N976" s="176"/>
      <c r="O976" s="176"/>
      <c r="P976" s="243"/>
      <c r="Q976" s="243"/>
      <c r="R976" s="176"/>
      <c r="S976" s="176"/>
      <c r="T976" s="176"/>
      <c r="U976" s="176"/>
      <c r="V976" s="176"/>
      <c r="W976" s="176"/>
      <c r="X976" s="176"/>
      <c r="Y976" s="176"/>
      <c r="Z976" s="176"/>
      <c r="AA976" s="176"/>
    </row>
    <row r="977">
      <c r="A977" s="249"/>
      <c r="B977" s="249"/>
      <c r="C977" s="250"/>
      <c r="D977" s="252"/>
      <c r="E977" s="251"/>
      <c r="F977" s="219"/>
      <c r="G977" s="219"/>
      <c r="H977" s="243"/>
      <c r="I977" s="243"/>
      <c r="J977" s="265"/>
      <c r="K977" s="243"/>
      <c r="L977" s="266"/>
      <c r="M977" s="176"/>
      <c r="N977" s="176"/>
      <c r="O977" s="176"/>
      <c r="P977" s="243"/>
      <c r="Q977" s="243"/>
      <c r="R977" s="176"/>
      <c r="S977" s="176"/>
      <c r="T977" s="176"/>
      <c r="U977" s="176"/>
      <c r="V977" s="176"/>
      <c r="W977" s="176"/>
      <c r="X977" s="176"/>
      <c r="Y977" s="176"/>
      <c r="Z977" s="176"/>
      <c r="AA977" s="176"/>
    </row>
    <row r="978">
      <c r="A978" s="249"/>
      <c r="B978" s="249"/>
      <c r="C978" s="250"/>
      <c r="D978" s="252"/>
      <c r="E978" s="251"/>
      <c r="F978" s="219"/>
      <c r="G978" s="219"/>
      <c r="H978" s="243"/>
      <c r="I978" s="243"/>
      <c r="J978" s="265"/>
      <c r="K978" s="243"/>
      <c r="L978" s="266"/>
      <c r="M978" s="176"/>
      <c r="N978" s="176"/>
      <c r="O978" s="176"/>
      <c r="P978" s="243"/>
      <c r="Q978" s="243"/>
      <c r="R978" s="176"/>
      <c r="S978" s="176"/>
      <c r="T978" s="176"/>
      <c r="U978" s="176"/>
      <c r="V978" s="176"/>
      <c r="W978" s="176"/>
      <c r="X978" s="176"/>
      <c r="Y978" s="176"/>
      <c r="Z978" s="176"/>
      <c r="AA978" s="176"/>
    </row>
    <row r="979">
      <c r="A979" s="249"/>
      <c r="B979" s="249"/>
      <c r="C979" s="250"/>
      <c r="D979" s="252"/>
      <c r="E979" s="251"/>
      <c r="F979" s="219"/>
      <c r="G979" s="219"/>
      <c r="H979" s="243"/>
      <c r="I979" s="243"/>
      <c r="J979" s="265"/>
      <c r="K979" s="243"/>
      <c r="L979" s="266"/>
      <c r="M979" s="176"/>
      <c r="N979" s="176"/>
      <c r="O979" s="176"/>
      <c r="P979" s="243"/>
      <c r="Q979" s="243"/>
      <c r="R979" s="176"/>
      <c r="S979" s="176"/>
      <c r="T979" s="176"/>
      <c r="U979" s="176"/>
      <c r="V979" s="176"/>
      <c r="W979" s="176"/>
      <c r="X979" s="176"/>
      <c r="Y979" s="176"/>
      <c r="Z979" s="176"/>
      <c r="AA979" s="176"/>
    </row>
    <row r="980">
      <c r="A980" s="249"/>
      <c r="B980" s="249"/>
      <c r="C980" s="250"/>
      <c r="D980" s="252"/>
      <c r="E980" s="251"/>
      <c r="F980" s="219"/>
      <c r="G980" s="219"/>
      <c r="H980" s="243"/>
      <c r="I980" s="243"/>
      <c r="J980" s="265"/>
      <c r="K980" s="243"/>
      <c r="L980" s="266"/>
      <c r="M980" s="176"/>
      <c r="N980" s="176"/>
      <c r="O980" s="176"/>
      <c r="P980" s="243"/>
      <c r="Q980" s="243"/>
      <c r="R980" s="176"/>
      <c r="S980" s="176"/>
      <c r="T980" s="176"/>
      <c r="U980" s="176"/>
      <c r="V980" s="176"/>
      <c r="W980" s="176"/>
      <c r="X980" s="176"/>
      <c r="Y980" s="176"/>
      <c r="Z980" s="176"/>
      <c r="AA980" s="176"/>
    </row>
    <row r="981">
      <c r="A981" s="249"/>
      <c r="B981" s="249"/>
      <c r="C981" s="250"/>
      <c r="D981" s="252"/>
      <c r="E981" s="251"/>
      <c r="F981" s="219"/>
      <c r="G981" s="219"/>
      <c r="H981" s="243"/>
      <c r="I981" s="243"/>
      <c r="J981" s="265"/>
      <c r="K981" s="243"/>
      <c r="L981" s="266"/>
      <c r="M981" s="176"/>
      <c r="N981" s="176"/>
      <c r="O981" s="176"/>
      <c r="P981" s="243"/>
      <c r="Q981" s="243"/>
      <c r="R981" s="176"/>
      <c r="S981" s="176"/>
      <c r="T981" s="176"/>
      <c r="U981" s="176"/>
      <c r="V981" s="176"/>
      <c r="W981" s="176"/>
      <c r="X981" s="176"/>
      <c r="Y981" s="176"/>
      <c r="Z981" s="176"/>
      <c r="AA981" s="176"/>
    </row>
    <row r="982">
      <c r="A982" s="249"/>
      <c r="B982" s="249"/>
      <c r="C982" s="250"/>
      <c r="D982" s="252"/>
      <c r="E982" s="251"/>
      <c r="F982" s="219"/>
      <c r="G982" s="219"/>
      <c r="H982" s="243"/>
      <c r="I982" s="243"/>
      <c r="J982" s="265"/>
      <c r="K982" s="243"/>
      <c r="L982" s="266"/>
      <c r="M982" s="176"/>
      <c r="N982" s="176"/>
      <c r="O982" s="176"/>
      <c r="P982" s="243"/>
      <c r="Q982" s="243"/>
      <c r="R982" s="176"/>
      <c r="S982" s="176"/>
      <c r="T982" s="176"/>
      <c r="U982" s="176"/>
      <c r="V982" s="176"/>
      <c r="W982" s="176"/>
      <c r="X982" s="176"/>
      <c r="Y982" s="176"/>
      <c r="Z982" s="176"/>
      <c r="AA982" s="176"/>
    </row>
    <row r="983">
      <c r="A983" s="249"/>
      <c r="B983" s="249"/>
      <c r="C983" s="250"/>
      <c r="D983" s="252"/>
      <c r="E983" s="251"/>
      <c r="F983" s="219"/>
      <c r="G983" s="219"/>
      <c r="H983" s="243"/>
      <c r="I983" s="243"/>
      <c r="J983" s="265"/>
      <c r="K983" s="243"/>
      <c r="L983" s="266"/>
      <c r="M983" s="176"/>
      <c r="N983" s="176"/>
      <c r="O983" s="176"/>
      <c r="P983" s="243"/>
      <c r="Q983" s="243"/>
      <c r="R983" s="176"/>
      <c r="S983" s="176"/>
      <c r="T983" s="176"/>
      <c r="U983" s="176"/>
      <c r="V983" s="176"/>
      <c r="W983" s="176"/>
      <c r="X983" s="176"/>
      <c r="Y983" s="176"/>
      <c r="Z983" s="176"/>
      <c r="AA983" s="176"/>
    </row>
    <row r="984">
      <c r="A984" s="249"/>
      <c r="B984" s="249"/>
      <c r="C984" s="250"/>
      <c r="D984" s="252"/>
      <c r="E984" s="251"/>
      <c r="F984" s="219"/>
      <c r="G984" s="219"/>
      <c r="H984" s="243"/>
      <c r="I984" s="243"/>
      <c r="J984" s="265"/>
      <c r="K984" s="243"/>
      <c r="L984" s="266"/>
      <c r="M984" s="176"/>
      <c r="N984" s="176"/>
      <c r="O984" s="176"/>
      <c r="P984" s="243"/>
      <c r="Q984" s="243"/>
      <c r="R984" s="176"/>
      <c r="S984" s="176"/>
      <c r="T984" s="176"/>
      <c r="U984" s="176"/>
      <c r="V984" s="176"/>
      <c r="W984" s="176"/>
      <c r="X984" s="176"/>
      <c r="Y984" s="176"/>
      <c r="Z984" s="176"/>
      <c r="AA984" s="176"/>
    </row>
    <row r="985">
      <c r="A985" s="249"/>
      <c r="B985" s="249"/>
      <c r="C985" s="250"/>
      <c r="D985" s="252"/>
      <c r="E985" s="251"/>
      <c r="F985" s="219"/>
      <c r="G985" s="219"/>
      <c r="H985" s="243"/>
      <c r="I985" s="243"/>
      <c r="J985" s="265"/>
      <c r="K985" s="243"/>
      <c r="L985" s="266"/>
      <c r="M985" s="176"/>
      <c r="N985" s="176"/>
      <c r="O985" s="176"/>
      <c r="P985" s="243"/>
      <c r="Q985" s="243"/>
      <c r="R985" s="176"/>
      <c r="S985" s="176"/>
      <c r="T985" s="176"/>
      <c r="U985" s="176"/>
      <c r="V985" s="176"/>
      <c r="W985" s="176"/>
      <c r="X985" s="176"/>
      <c r="Y985" s="176"/>
      <c r="Z985" s="176"/>
      <c r="AA985" s="176"/>
    </row>
    <row r="986">
      <c r="A986" s="249"/>
      <c r="B986" s="249"/>
      <c r="C986" s="250"/>
      <c r="D986" s="252"/>
      <c r="E986" s="251"/>
      <c r="F986" s="219"/>
      <c r="G986" s="219"/>
      <c r="H986" s="243"/>
      <c r="I986" s="243"/>
      <c r="J986" s="265"/>
      <c r="K986" s="243"/>
      <c r="L986" s="266"/>
      <c r="M986" s="176"/>
      <c r="N986" s="176"/>
      <c r="O986" s="176"/>
      <c r="P986" s="243"/>
      <c r="Q986" s="243"/>
      <c r="R986" s="176"/>
      <c r="S986" s="176"/>
      <c r="T986" s="176"/>
      <c r="U986" s="176"/>
      <c r="V986" s="176"/>
      <c r="W986" s="176"/>
      <c r="X986" s="176"/>
      <c r="Y986" s="176"/>
      <c r="Z986" s="176"/>
      <c r="AA986" s="176"/>
    </row>
    <row r="987">
      <c r="A987" s="249"/>
      <c r="B987" s="249"/>
      <c r="C987" s="250"/>
      <c r="D987" s="252"/>
      <c r="E987" s="251"/>
      <c r="F987" s="219"/>
      <c r="G987" s="219"/>
      <c r="H987" s="243"/>
      <c r="I987" s="243"/>
      <c r="J987" s="265"/>
      <c r="K987" s="243"/>
      <c r="L987" s="266"/>
      <c r="M987" s="176"/>
      <c r="N987" s="176"/>
      <c r="O987" s="176"/>
      <c r="P987" s="243"/>
      <c r="Q987" s="243"/>
      <c r="R987" s="176"/>
      <c r="S987" s="176"/>
      <c r="T987" s="176"/>
      <c r="U987" s="176"/>
      <c r="V987" s="176"/>
      <c r="W987" s="176"/>
      <c r="X987" s="176"/>
      <c r="Y987" s="176"/>
      <c r="Z987" s="176"/>
      <c r="AA987" s="176"/>
    </row>
    <row r="988">
      <c r="A988" s="249"/>
      <c r="B988" s="249"/>
      <c r="C988" s="250"/>
      <c r="D988" s="252"/>
      <c r="E988" s="251"/>
      <c r="F988" s="219"/>
      <c r="G988" s="219"/>
      <c r="H988" s="243"/>
      <c r="I988" s="243"/>
      <c r="J988" s="265"/>
      <c r="K988" s="243"/>
      <c r="L988" s="266"/>
      <c r="M988" s="176"/>
      <c r="N988" s="176"/>
      <c r="O988" s="176"/>
      <c r="P988" s="243"/>
      <c r="Q988" s="243"/>
      <c r="R988" s="176"/>
      <c r="S988" s="176"/>
      <c r="T988" s="176"/>
      <c r="U988" s="176"/>
      <c r="V988" s="176"/>
      <c r="W988" s="176"/>
      <c r="X988" s="176"/>
      <c r="Y988" s="176"/>
      <c r="Z988" s="176"/>
      <c r="AA988" s="176"/>
    </row>
    <row r="989">
      <c r="A989" s="249"/>
      <c r="B989" s="249"/>
      <c r="C989" s="250"/>
      <c r="D989" s="252"/>
      <c r="E989" s="251"/>
      <c r="F989" s="219"/>
      <c r="G989" s="219"/>
      <c r="H989" s="243"/>
      <c r="I989" s="243"/>
      <c r="J989" s="265"/>
      <c r="K989" s="243"/>
      <c r="L989" s="266"/>
      <c r="M989" s="176"/>
      <c r="N989" s="176"/>
      <c r="O989" s="176"/>
      <c r="P989" s="243"/>
      <c r="Q989" s="243"/>
      <c r="R989" s="176"/>
      <c r="S989" s="176"/>
      <c r="T989" s="176"/>
      <c r="U989" s="176"/>
      <c r="V989" s="176"/>
      <c r="W989" s="176"/>
      <c r="X989" s="176"/>
      <c r="Y989" s="176"/>
      <c r="Z989" s="176"/>
      <c r="AA989" s="176"/>
    </row>
    <row r="990">
      <c r="A990" s="249"/>
      <c r="B990" s="249"/>
      <c r="C990" s="250"/>
      <c r="D990" s="252"/>
      <c r="E990" s="251"/>
      <c r="F990" s="219"/>
      <c r="G990" s="219"/>
      <c r="H990" s="243"/>
      <c r="I990" s="243"/>
      <c r="J990" s="265"/>
      <c r="K990" s="243"/>
      <c r="L990" s="266"/>
      <c r="M990" s="176"/>
      <c r="N990" s="176"/>
      <c r="O990" s="176"/>
      <c r="P990" s="243"/>
      <c r="Q990" s="243"/>
      <c r="R990" s="176"/>
      <c r="S990" s="176"/>
      <c r="T990" s="176"/>
      <c r="U990" s="176"/>
      <c r="V990" s="176"/>
      <c r="W990" s="176"/>
      <c r="X990" s="176"/>
      <c r="Y990" s="176"/>
      <c r="Z990" s="176"/>
      <c r="AA990" s="176"/>
    </row>
    <row r="991">
      <c r="A991" s="249"/>
      <c r="B991" s="249"/>
      <c r="C991" s="250"/>
      <c r="D991" s="252"/>
      <c r="E991" s="251"/>
      <c r="F991" s="219"/>
      <c r="G991" s="219"/>
      <c r="H991" s="243"/>
      <c r="I991" s="243"/>
      <c r="J991" s="265"/>
      <c r="K991" s="243"/>
      <c r="L991" s="266"/>
      <c r="M991" s="176"/>
      <c r="N991" s="176"/>
      <c r="O991" s="176"/>
      <c r="P991" s="243"/>
      <c r="Q991" s="243"/>
      <c r="R991" s="176"/>
      <c r="S991" s="176"/>
      <c r="T991" s="176"/>
      <c r="U991" s="176"/>
      <c r="V991" s="176"/>
      <c r="W991" s="176"/>
      <c r="X991" s="176"/>
      <c r="Y991" s="176"/>
      <c r="Z991" s="176"/>
      <c r="AA991" s="176"/>
    </row>
    <row r="992">
      <c r="A992" s="249"/>
      <c r="B992" s="249"/>
      <c r="C992" s="250"/>
      <c r="D992" s="252"/>
      <c r="E992" s="251"/>
      <c r="F992" s="219"/>
      <c r="G992" s="219"/>
      <c r="H992" s="243"/>
      <c r="I992" s="243"/>
      <c r="J992" s="265"/>
      <c r="K992" s="243"/>
      <c r="L992" s="266"/>
      <c r="M992" s="176"/>
      <c r="N992" s="176"/>
      <c r="O992" s="176"/>
      <c r="P992" s="243"/>
      <c r="Q992" s="243"/>
      <c r="R992" s="176"/>
      <c r="S992" s="176"/>
      <c r="T992" s="176"/>
      <c r="U992" s="176"/>
      <c r="V992" s="176"/>
      <c r="W992" s="176"/>
      <c r="X992" s="176"/>
      <c r="Y992" s="176"/>
      <c r="Z992" s="176"/>
      <c r="AA992" s="176"/>
    </row>
    <row r="993">
      <c r="A993" s="249"/>
      <c r="B993" s="249"/>
      <c r="C993" s="250"/>
      <c r="D993" s="252"/>
      <c r="E993" s="251"/>
      <c r="F993" s="219"/>
      <c r="G993" s="219"/>
      <c r="H993" s="243"/>
      <c r="I993" s="243"/>
      <c r="J993" s="265"/>
      <c r="K993" s="243"/>
      <c r="L993" s="266"/>
      <c r="M993" s="176"/>
      <c r="N993" s="176"/>
      <c r="O993" s="176"/>
      <c r="P993" s="243"/>
      <c r="Q993" s="243"/>
      <c r="R993" s="176"/>
      <c r="S993" s="176"/>
      <c r="T993" s="176"/>
      <c r="U993" s="176"/>
      <c r="V993" s="176"/>
      <c r="W993" s="176"/>
      <c r="X993" s="176"/>
      <c r="Y993" s="176"/>
      <c r="Z993" s="176"/>
      <c r="AA993" s="176"/>
    </row>
    <row r="994">
      <c r="A994" s="249"/>
      <c r="B994" s="249"/>
      <c r="C994" s="250"/>
      <c r="D994" s="252"/>
      <c r="E994" s="251"/>
      <c r="F994" s="219"/>
      <c r="G994" s="219"/>
      <c r="H994" s="243"/>
      <c r="I994" s="243"/>
      <c r="J994" s="265"/>
      <c r="K994" s="243"/>
      <c r="L994" s="266"/>
      <c r="M994" s="176"/>
      <c r="N994" s="176"/>
      <c r="O994" s="176"/>
      <c r="P994" s="243"/>
      <c r="Q994" s="243"/>
      <c r="R994" s="176"/>
      <c r="S994" s="176"/>
      <c r="T994" s="176"/>
      <c r="U994" s="176"/>
      <c r="V994" s="176"/>
      <c r="W994" s="176"/>
      <c r="X994" s="176"/>
      <c r="Y994" s="176"/>
      <c r="Z994" s="176"/>
      <c r="AA994" s="176"/>
    </row>
    <row r="995">
      <c r="A995" s="249"/>
      <c r="B995" s="249"/>
      <c r="C995" s="250"/>
      <c r="D995" s="252"/>
      <c r="E995" s="251"/>
      <c r="F995" s="219"/>
      <c r="G995" s="219"/>
      <c r="H995" s="243"/>
      <c r="I995" s="243"/>
      <c r="J995" s="265"/>
      <c r="K995" s="243"/>
      <c r="L995" s="266"/>
      <c r="M995" s="176"/>
      <c r="N995" s="176"/>
      <c r="O995" s="176"/>
      <c r="P995" s="243"/>
      <c r="Q995" s="243"/>
      <c r="R995" s="176"/>
      <c r="S995" s="176"/>
      <c r="T995" s="176"/>
      <c r="U995" s="176"/>
      <c r="V995" s="176"/>
      <c r="W995" s="176"/>
      <c r="X995" s="176"/>
      <c r="Y995" s="176"/>
      <c r="Z995" s="176"/>
      <c r="AA995" s="176"/>
    </row>
    <row r="996">
      <c r="A996" s="249"/>
      <c r="B996" s="249"/>
      <c r="C996" s="250"/>
      <c r="D996" s="252"/>
      <c r="E996" s="251"/>
      <c r="F996" s="219"/>
      <c r="G996" s="219"/>
      <c r="H996" s="243"/>
      <c r="I996" s="243"/>
      <c r="J996" s="265"/>
      <c r="K996" s="243"/>
      <c r="L996" s="266"/>
      <c r="M996" s="176"/>
      <c r="N996" s="176"/>
      <c r="O996" s="176"/>
      <c r="P996" s="243"/>
      <c r="Q996" s="243"/>
      <c r="R996" s="176"/>
      <c r="S996" s="176"/>
      <c r="T996" s="176"/>
      <c r="U996" s="176"/>
      <c r="V996" s="176"/>
      <c r="W996" s="176"/>
      <c r="X996" s="176"/>
      <c r="Y996" s="176"/>
      <c r="Z996" s="176"/>
      <c r="AA996" s="176"/>
    </row>
    <row r="997">
      <c r="A997" s="249"/>
      <c r="B997" s="249"/>
      <c r="C997" s="250"/>
      <c r="D997" s="252"/>
      <c r="E997" s="251"/>
      <c r="F997" s="219"/>
      <c r="G997" s="219"/>
      <c r="H997" s="243"/>
      <c r="I997" s="243"/>
      <c r="J997" s="265"/>
      <c r="K997" s="243"/>
      <c r="L997" s="266"/>
      <c r="M997" s="176"/>
      <c r="N997" s="176"/>
      <c r="O997" s="176"/>
      <c r="P997" s="243"/>
      <c r="Q997" s="243"/>
      <c r="R997" s="176"/>
      <c r="S997" s="176"/>
      <c r="T997" s="176"/>
      <c r="U997" s="176"/>
      <c r="V997" s="176"/>
      <c r="W997" s="176"/>
      <c r="X997" s="176"/>
      <c r="Y997" s="176"/>
      <c r="Z997" s="176"/>
      <c r="AA997" s="176"/>
    </row>
    <row r="998">
      <c r="A998" s="249"/>
      <c r="B998" s="249"/>
      <c r="C998" s="250"/>
      <c r="D998" s="252"/>
      <c r="E998" s="251"/>
      <c r="F998" s="219"/>
      <c r="G998" s="219"/>
      <c r="H998" s="243"/>
      <c r="I998" s="243"/>
      <c r="J998" s="265"/>
      <c r="K998" s="243"/>
      <c r="L998" s="266"/>
      <c r="M998" s="176"/>
      <c r="N998" s="176"/>
      <c r="O998" s="176"/>
      <c r="P998" s="243"/>
      <c r="Q998" s="243"/>
      <c r="R998" s="176"/>
      <c r="S998" s="176"/>
      <c r="T998" s="176"/>
      <c r="U998" s="176"/>
      <c r="V998" s="176"/>
      <c r="W998" s="176"/>
      <c r="X998" s="176"/>
      <c r="Y998" s="176"/>
      <c r="Z998" s="176"/>
      <c r="AA998" s="176"/>
    </row>
    <row r="999">
      <c r="A999" s="249"/>
      <c r="B999" s="249"/>
      <c r="C999" s="250"/>
      <c r="D999" s="252"/>
      <c r="E999" s="251"/>
      <c r="F999" s="219"/>
      <c r="G999" s="219"/>
      <c r="H999" s="243"/>
      <c r="I999" s="243"/>
      <c r="J999" s="265"/>
      <c r="K999" s="243"/>
      <c r="L999" s="266"/>
      <c r="M999" s="176"/>
      <c r="N999" s="176"/>
      <c r="O999" s="176"/>
      <c r="P999" s="243"/>
      <c r="Q999" s="243"/>
      <c r="R999" s="176"/>
      <c r="S999" s="176"/>
      <c r="T999" s="176"/>
      <c r="U999" s="176"/>
      <c r="V999" s="176"/>
      <c r="W999" s="176"/>
      <c r="X999" s="176"/>
      <c r="Y999" s="176"/>
      <c r="Z999" s="176"/>
      <c r="AA999" s="176"/>
    </row>
    <row r="1000">
      <c r="A1000" s="249"/>
      <c r="B1000" s="249"/>
      <c r="C1000" s="250"/>
      <c r="D1000" s="252"/>
      <c r="E1000" s="251"/>
      <c r="F1000" s="219"/>
      <c r="G1000" s="219"/>
      <c r="H1000" s="243"/>
      <c r="I1000" s="243"/>
      <c r="J1000" s="265"/>
      <c r="K1000" s="243"/>
      <c r="L1000" s="266"/>
      <c r="M1000" s="176"/>
      <c r="N1000" s="176"/>
      <c r="O1000" s="176"/>
      <c r="P1000" s="243"/>
      <c r="Q1000" s="243"/>
      <c r="R1000" s="176"/>
      <c r="S1000" s="176"/>
      <c r="T1000" s="176"/>
      <c r="U1000" s="176"/>
      <c r="V1000" s="176"/>
      <c r="W1000" s="176"/>
      <c r="X1000" s="176"/>
      <c r="Y1000" s="176"/>
      <c r="Z1000" s="176"/>
      <c r="AA1000" s="176"/>
    </row>
    <row r="1001">
      <c r="A1001" s="249"/>
      <c r="B1001" s="249"/>
      <c r="C1001" s="250"/>
      <c r="D1001" s="252"/>
      <c r="E1001" s="251"/>
      <c r="F1001" s="219"/>
      <c r="G1001" s="219"/>
      <c r="H1001" s="243"/>
      <c r="I1001" s="243"/>
      <c r="J1001" s="265"/>
      <c r="K1001" s="243"/>
      <c r="L1001" s="266"/>
      <c r="M1001" s="176"/>
      <c r="N1001" s="176"/>
      <c r="O1001" s="176"/>
      <c r="P1001" s="243"/>
      <c r="Q1001" s="243"/>
      <c r="R1001" s="176"/>
      <c r="S1001" s="176"/>
      <c r="T1001" s="176"/>
      <c r="U1001" s="176"/>
      <c r="V1001" s="176"/>
      <c r="W1001" s="176"/>
      <c r="X1001" s="176"/>
      <c r="Y1001" s="176"/>
      <c r="Z1001" s="176"/>
      <c r="AA1001" s="176"/>
    </row>
    <row r="1002">
      <c r="A1002" s="249"/>
      <c r="B1002" s="249"/>
      <c r="C1002" s="250"/>
      <c r="D1002" s="252"/>
      <c r="E1002" s="251"/>
      <c r="F1002" s="219"/>
      <c r="G1002" s="219"/>
      <c r="H1002" s="243"/>
      <c r="I1002" s="243"/>
      <c r="J1002" s="265"/>
      <c r="K1002" s="243"/>
      <c r="L1002" s="266"/>
      <c r="M1002" s="176"/>
      <c r="N1002" s="176"/>
      <c r="O1002" s="176"/>
      <c r="P1002" s="243"/>
      <c r="Q1002" s="243"/>
      <c r="R1002" s="176"/>
      <c r="S1002" s="176"/>
      <c r="T1002" s="176"/>
      <c r="U1002" s="176"/>
      <c r="V1002" s="176"/>
      <c r="W1002" s="176"/>
      <c r="X1002" s="176"/>
      <c r="Y1002" s="176"/>
      <c r="Z1002" s="176"/>
      <c r="AA1002" s="176"/>
    </row>
    <row r="1003">
      <c r="A1003" s="249"/>
      <c r="B1003" s="249"/>
      <c r="C1003" s="250"/>
      <c r="D1003" s="252"/>
      <c r="E1003" s="251"/>
      <c r="F1003" s="219"/>
      <c r="G1003" s="219"/>
      <c r="H1003" s="243"/>
      <c r="I1003" s="243"/>
      <c r="J1003" s="265"/>
      <c r="K1003" s="243"/>
      <c r="L1003" s="266"/>
      <c r="M1003" s="176"/>
      <c r="N1003" s="176"/>
      <c r="O1003" s="176"/>
      <c r="P1003" s="243"/>
      <c r="Q1003" s="243"/>
      <c r="R1003" s="176"/>
      <c r="S1003" s="176"/>
      <c r="T1003" s="176"/>
      <c r="U1003" s="176"/>
      <c r="V1003" s="176"/>
      <c r="W1003" s="176"/>
      <c r="X1003" s="176"/>
      <c r="Y1003" s="176"/>
      <c r="Z1003" s="176"/>
      <c r="AA1003" s="176"/>
    </row>
    <row r="1004">
      <c r="A1004" s="249"/>
      <c r="B1004" s="249"/>
      <c r="C1004" s="250"/>
      <c r="D1004" s="252"/>
      <c r="E1004" s="251"/>
      <c r="F1004" s="219"/>
      <c r="G1004" s="219"/>
      <c r="H1004" s="243"/>
      <c r="I1004" s="243"/>
      <c r="J1004" s="265"/>
      <c r="K1004" s="243"/>
      <c r="L1004" s="266"/>
      <c r="M1004" s="176"/>
      <c r="N1004" s="176"/>
      <c r="O1004" s="176"/>
      <c r="P1004" s="243"/>
      <c r="Q1004" s="243"/>
      <c r="R1004" s="176"/>
      <c r="S1004" s="176"/>
      <c r="T1004" s="176"/>
      <c r="U1004" s="176"/>
      <c r="V1004" s="176"/>
      <c r="W1004" s="176"/>
      <c r="X1004" s="176"/>
      <c r="Y1004" s="176"/>
      <c r="Z1004" s="176"/>
      <c r="AA1004" s="176"/>
    </row>
    <row r="1005">
      <c r="A1005" s="249"/>
      <c r="B1005" s="249"/>
      <c r="C1005" s="250"/>
      <c r="D1005" s="252"/>
      <c r="E1005" s="251"/>
      <c r="F1005" s="219"/>
      <c r="G1005" s="219"/>
      <c r="H1005" s="243"/>
      <c r="I1005" s="243"/>
      <c r="J1005" s="265"/>
      <c r="K1005" s="243"/>
      <c r="L1005" s="266"/>
      <c r="M1005" s="176"/>
      <c r="N1005" s="176"/>
      <c r="O1005" s="176"/>
      <c r="P1005" s="243"/>
      <c r="Q1005" s="243"/>
      <c r="R1005" s="176"/>
      <c r="S1005" s="176"/>
      <c r="T1005" s="176"/>
      <c r="U1005" s="176"/>
      <c r="V1005" s="176"/>
      <c r="W1005" s="176"/>
      <c r="X1005" s="176"/>
      <c r="Y1005" s="176"/>
      <c r="Z1005" s="176"/>
      <c r="AA1005" s="176"/>
    </row>
    <row r="1006">
      <c r="A1006" s="249"/>
      <c r="B1006" s="249"/>
      <c r="C1006" s="250"/>
      <c r="D1006" s="252"/>
      <c r="E1006" s="251"/>
      <c r="F1006" s="219"/>
      <c r="G1006" s="219"/>
      <c r="H1006" s="243"/>
      <c r="I1006" s="243"/>
      <c r="J1006" s="265"/>
      <c r="K1006" s="243"/>
      <c r="L1006" s="266"/>
      <c r="M1006" s="176"/>
      <c r="N1006" s="176"/>
      <c r="O1006" s="176"/>
      <c r="P1006" s="243"/>
      <c r="Q1006" s="243"/>
      <c r="R1006" s="176"/>
      <c r="S1006" s="176"/>
      <c r="T1006" s="176"/>
      <c r="U1006" s="176"/>
      <c r="V1006" s="176"/>
      <c r="W1006" s="176"/>
      <c r="X1006" s="176"/>
      <c r="Y1006" s="176"/>
      <c r="Z1006" s="176"/>
      <c r="AA1006" s="176"/>
    </row>
    <row r="1007">
      <c r="A1007" s="249"/>
      <c r="B1007" s="249"/>
      <c r="C1007" s="250"/>
      <c r="D1007" s="252"/>
      <c r="E1007" s="251"/>
      <c r="F1007" s="219"/>
      <c r="G1007" s="219"/>
      <c r="H1007" s="243"/>
      <c r="I1007" s="243"/>
      <c r="J1007" s="265"/>
      <c r="K1007" s="243"/>
      <c r="L1007" s="266"/>
      <c r="M1007" s="176"/>
      <c r="N1007" s="176"/>
      <c r="O1007" s="176"/>
      <c r="P1007" s="243"/>
      <c r="Q1007" s="243"/>
      <c r="R1007" s="176"/>
      <c r="S1007" s="176"/>
      <c r="T1007" s="176"/>
      <c r="U1007" s="176"/>
      <c r="V1007" s="176"/>
      <c r="W1007" s="176"/>
      <c r="X1007" s="176"/>
      <c r="Y1007" s="176"/>
      <c r="Z1007" s="176"/>
      <c r="AA1007" s="176"/>
    </row>
    <row r="1008">
      <c r="A1008" s="249"/>
      <c r="B1008" s="249"/>
      <c r="C1008" s="250"/>
      <c r="D1008" s="252"/>
      <c r="E1008" s="251"/>
      <c r="F1008" s="219"/>
      <c r="G1008" s="219"/>
      <c r="H1008" s="243"/>
      <c r="I1008" s="243"/>
      <c r="J1008" s="265"/>
      <c r="K1008" s="243"/>
      <c r="L1008" s="266"/>
      <c r="M1008" s="176"/>
      <c r="N1008" s="176"/>
      <c r="O1008" s="176"/>
      <c r="P1008" s="243"/>
      <c r="Q1008" s="243"/>
      <c r="R1008" s="176"/>
      <c r="S1008" s="176"/>
      <c r="T1008" s="176"/>
      <c r="U1008" s="176"/>
      <c r="V1008" s="176"/>
      <c r="W1008" s="176"/>
      <c r="X1008" s="176"/>
      <c r="Y1008" s="176"/>
      <c r="Z1008" s="176"/>
      <c r="AA1008" s="176"/>
    </row>
    <row r="1009">
      <c r="A1009" s="249"/>
      <c r="B1009" s="249"/>
      <c r="C1009" s="250"/>
      <c r="D1009" s="252"/>
      <c r="E1009" s="251"/>
      <c r="F1009" s="219"/>
      <c r="G1009" s="219"/>
      <c r="H1009" s="243"/>
      <c r="I1009" s="243"/>
      <c r="J1009" s="265"/>
      <c r="K1009" s="243"/>
      <c r="L1009" s="266"/>
      <c r="M1009" s="176"/>
      <c r="N1009" s="176"/>
      <c r="O1009" s="176"/>
      <c r="P1009" s="243"/>
      <c r="Q1009" s="243"/>
      <c r="R1009" s="176"/>
      <c r="S1009" s="176"/>
      <c r="T1009" s="176"/>
      <c r="U1009" s="176"/>
      <c r="V1009" s="176"/>
      <c r="W1009" s="176"/>
      <c r="X1009" s="176"/>
      <c r="Y1009" s="176"/>
      <c r="Z1009" s="176"/>
      <c r="AA1009" s="176"/>
    </row>
    <row r="1010">
      <c r="A1010" s="249"/>
      <c r="B1010" s="249"/>
      <c r="C1010" s="250"/>
      <c r="D1010" s="252"/>
      <c r="E1010" s="251"/>
      <c r="F1010" s="219"/>
      <c r="G1010" s="219"/>
      <c r="H1010" s="243"/>
      <c r="I1010" s="243"/>
      <c r="J1010" s="265"/>
      <c r="K1010" s="243"/>
      <c r="L1010" s="266"/>
      <c r="M1010" s="176"/>
      <c r="N1010" s="176"/>
      <c r="O1010" s="176"/>
      <c r="P1010" s="243"/>
      <c r="Q1010" s="243"/>
      <c r="R1010" s="176"/>
      <c r="S1010" s="176"/>
      <c r="T1010" s="176"/>
      <c r="U1010" s="176"/>
      <c r="V1010" s="176"/>
      <c r="W1010" s="176"/>
      <c r="X1010" s="176"/>
      <c r="Y1010" s="176"/>
      <c r="Z1010" s="176"/>
      <c r="AA1010" s="176"/>
    </row>
    <row r="1011">
      <c r="A1011" s="249"/>
      <c r="B1011" s="249"/>
      <c r="C1011" s="250"/>
      <c r="D1011" s="252"/>
      <c r="E1011" s="251"/>
      <c r="F1011" s="219"/>
      <c r="G1011" s="219"/>
      <c r="H1011" s="243"/>
      <c r="I1011" s="243"/>
      <c r="J1011" s="265"/>
      <c r="K1011" s="243"/>
      <c r="L1011" s="266"/>
      <c r="M1011" s="176"/>
      <c r="N1011" s="176"/>
      <c r="O1011" s="176"/>
      <c r="P1011" s="243"/>
      <c r="Q1011" s="243"/>
      <c r="R1011" s="176"/>
      <c r="S1011" s="176"/>
      <c r="T1011" s="176"/>
      <c r="U1011" s="176"/>
      <c r="V1011" s="176"/>
      <c r="W1011" s="176"/>
      <c r="X1011" s="176"/>
      <c r="Y1011" s="176"/>
      <c r="Z1011" s="176"/>
      <c r="AA1011" s="176"/>
    </row>
    <row r="1012">
      <c r="A1012" s="249"/>
      <c r="B1012" s="249"/>
      <c r="C1012" s="250"/>
      <c r="D1012" s="252"/>
      <c r="E1012" s="251"/>
      <c r="F1012" s="219"/>
      <c r="G1012" s="219"/>
      <c r="H1012" s="243"/>
      <c r="I1012" s="243"/>
      <c r="J1012" s="265"/>
      <c r="K1012" s="243"/>
      <c r="L1012" s="266"/>
      <c r="M1012" s="176"/>
      <c r="N1012" s="176"/>
      <c r="O1012" s="176"/>
      <c r="P1012" s="243"/>
      <c r="Q1012" s="243"/>
      <c r="R1012" s="176"/>
      <c r="S1012" s="176"/>
      <c r="T1012" s="176"/>
      <c r="U1012" s="176"/>
      <c r="V1012" s="176"/>
      <c r="W1012" s="176"/>
      <c r="X1012" s="176"/>
      <c r="Y1012" s="176"/>
      <c r="Z1012" s="176"/>
      <c r="AA1012" s="176"/>
    </row>
    <row r="1013">
      <c r="A1013" s="249"/>
      <c r="B1013" s="249"/>
      <c r="C1013" s="250"/>
      <c r="D1013" s="252"/>
      <c r="E1013" s="251"/>
      <c r="F1013" s="219"/>
      <c r="G1013" s="219"/>
      <c r="H1013" s="243"/>
      <c r="I1013" s="243"/>
      <c r="J1013" s="265"/>
      <c r="K1013" s="243"/>
      <c r="L1013" s="266"/>
      <c r="M1013" s="176"/>
      <c r="N1013" s="176"/>
      <c r="O1013" s="176"/>
      <c r="P1013" s="243"/>
      <c r="Q1013" s="243"/>
      <c r="R1013" s="176"/>
      <c r="S1013" s="176"/>
      <c r="T1013" s="176"/>
      <c r="U1013" s="176"/>
      <c r="V1013" s="176"/>
      <c r="W1013" s="176"/>
      <c r="X1013" s="176"/>
      <c r="Y1013" s="176"/>
      <c r="Z1013" s="176"/>
      <c r="AA1013" s="176"/>
    </row>
    <row r="1014">
      <c r="A1014" s="249"/>
      <c r="B1014" s="249"/>
      <c r="C1014" s="250"/>
      <c r="D1014" s="252"/>
      <c r="E1014" s="251"/>
      <c r="F1014" s="219"/>
      <c r="G1014" s="219"/>
      <c r="H1014" s="243"/>
      <c r="I1014" s="243"/>
      <c r="J1014" s="265"/>
      <c r="K1014" s="243"/>
      <c r="L1014" s="266"/>
      <c r="M1014" s="176"/>
      <c r="N1014" s="176"/>
      <c r="O1014" s="176"/>
      <c r="P1014" s="243"/>
      <c r="Q1014" s="243"/>
      <c r="R1014" s="176"/>
      <c r="S1014" s="176"/>
      <c r="T1014" s="176"/>
      <c r="U1014" s="176"/>
      <c r="V1014" s="176"/>
      <c r="W1014" s="176"/>
      <c r="X1014" s="176"/>
      <c r="Y1014" s="176"/>
      <c r="Z1014" s="176"/>
      <c r="AA1014" s="176"/>
    </row>
    <row r="1015">
      <c r="A1015" s="249"/>
      <c r="B1015" s="249"/>
      <c r="C1015" s="250"/>
      <c r="D1015" s="252"/>
      <c r="E1015" s="251"/>
      <c r="F1015" s="219"/>
      <c r="G1015" s="219"/>
      <c r="H1015" s="243"/>
      <c r="I1015" s="243"/>
      <c r="J1015" s="265"/>
      <c r="K1015" s="243"/>
      <c r="L1015" s="266"/>
      <c r="M1015" s="176"/>
      <c r="N1015" s="176"/>
      <c r="O1015" s="176"/>
      <c r="P1015" s="243"/>
      <c r="Q1015" s="243"/>
      <c r="R1015" s="176"/>
      <c r="S1015" s="176"/>
      <c r="T1015" s="176"/>
      <c r="U1015" s="176"/>
      <c r="V1015" s="176"/>
      <c r="W1015" s="176"/>
      <c r="X1015" s="176"/>
      <c r="Y1015" s="176"/>
      <c r="Z1015" s="176"/>
      <c r="AA1015" s="176"/>
    </row>
    <row r="1016">
      <c r="A1016" s="249"/>
      <c r="B1016" s="249"/>
      <c r="C1016" s="250"/>
      <c r="D1016" s="252"/>
      <c r="E1016" s="251"/>
      <c r="F1016" s="219"/>
      <c r="G1016" s="219"/>
      <c r="H1016" s="243"/>
      <c r="I1016" s="243"/>
      <c r="J1016" s="265"/>
      <c r="K1016" s="243"/>
      <c r="L1016" s="266"/>
      <c r="M1016" s="176"/>
      <c r="N1016" s="176"/>
      <c r="O1016" s="176"/>
      <c r="P1016" s="243"/>
      <c r="Q1016" s="243"/>
      <c r="R1016" s="176"/>
      <c r="S1016" s="176"/>
      <c r="T1016" s="176"/>
      <c r="U1016" s="176"/>
      <c r="V1016" s="176"/>
      <c r="W1016" s="176"/>
      <c r="X1016" s="176"/>
      <c r="Y1016" s="176"/>
      <c r="Z1016" s="176"/>
      <c r="AA1016" s="176"/>
    </row>
    <row r="1017">
      <c r="A1017" s="249"/>
      <c r="B1017" s="249"/>
      <c r="C1017" s="250"/>
      <c r="D1017" s="252"/>
      <c r="E1017" s="251"/>
      <c r="F1017" s="219"/>
      <c r="G1017" s="219"/>
      <c r="H1017" s="243"/>
      <c r="I1017" s="243"/>
      <c r="J1017" s="265"/>
      <c r="K1017" s="243"/>
      <c r="L1017" s="266"/>
      <c r="M1017" s="176"/>
      <c r="N1017" s="176"/>
      <c r="O1017" s="176"/>
      <c r="P1017" s="243"/>
      <c r="Q1017" s="243"/>
      <c r="R1017" s="176"/>
      <c r="S1017" s="176"/>
      <c r="T1017" s="176"/>
      <c r="U1017" s="176"/>
      <c r="V1017" s="176"/>
      <c r="W1017" s="176"/>
      <c r="X1017" s="176"/>
      <c r="Y1017" s="176"/>
      <c r="Z1017" s="176"/>
      <c r="AA1017" s="176"/>
    </row>
    <row r="1018">
      <c r="A1018" s="249"/>
      <c r="B1018" s="249"/>
      <c r="C1018" s="250"/>
      <c r="D1018" s="252"/>
      <c r="E1018" s="251"/>
      <c r="F1018" s="219"/>
      <c r="G1018" s="219"/>
      <c r="H1018" s="243"/>
      <c r="I1018" s="243"/>
      <c r="J1018" s="265"/>
      <c r="K1018" s="243"/>
      <c r="L1018" s="266"/>
      <c r="M1018" s="176"/>
      <c r="N1018" s="176"/>
      <c r="O1018" s="176"/>
      <c r="P1018" s="243"/>
      <c r="Q1018" s="243"/>
      <c r="R1018" s="176"/>
      <c r="S1018" s="176"/>
      <c r="T1018" s="176"/>
      <c r="U1018" s="176"/>
      <c r="V1018" s="176"/>
      <c r="W1018" s="176"/>
      <c r="X1018" s="176"/>
      <c r="Y1018" s="176"/>
      <c r="Z1018" s="176"/>
      <c r="AA1018" s="176"/>
    </row>
    <row r="1019">
      <c r="A1019" s="249"/>
      <c r="B1019" s="249"/>
      <c r="C1019" s="250"/>
      <c r="D1019" s="252"/>
      <c r="E1019" s="251"/>
      <c r="F1019" s="219"/>
      <c r="G1019" s="219"/>
      <c r="H1019" s="243"/>
      <c r="I1019" s="243"/>
      <c r="J1019" s="265"/>
      <c r="K1019" s="243"/>
      <c r="L1019" s="266"/>
      <c r="M1019" s="176"/>
      <c r="N1019" s="176"/>
      <c r="O1019" s="176"/>
      <c r="P1019" s="243"/>
      <c r="Q1019" s="243"/>
      <c r="R1019" s="176"/>
      <c r="S1019" s="176"/>
      <c r="T1019" s="176"/>
      <c r="U1019" s="176"/>
      <c r="V1019" s="176"/>
      <c r="W1019" s="176"/>
      <c r="X1019" s="176"/>
      <c r="Y1019" s="176"/>
      <c r="Z1019" s="176"/>
      <c r="AA1019" s="176"/>
    </row>
    <row r="1020">
      <c r="A1020" s="249"/>
      <c r="B1020" s="249"/>
      <c r="C1020" s="250"/>
      <c r="D1020" s="252"/>
      <c r="E1020" s="251"/>
      <c r="F1020" s="219"/>
      <c r="G1020" s="219"/>
      <c r="H1020" s="243"/>
      <c r="I1020" s="243"/>
      <c r="J1020" s="265"/>
      <c r="K1020" s="243"/>
      <c r="L1020" s="266"/>
      <c r="M1020" s="176"/>
      <c r="N1020" s="176"/>
      <c r="O1020" s="176"/>
      <c r="P1020" s="243"/>
      <c r="Q1020" s="243"/>
      <c r="R1020" s="176"/>
      <c r="S1020" s="176"/>
      <c r="T1020" s="176"/>
      <c r="U1020" s="176"/>
      <c r="V1020" s="176"/>
      <c r="W1020" s="176"/>
      <c r="X1020" s="176"/>
      <c r="Y1020" s="176"/>
      <c r="Z1020" s="176"/>
      <c r="AA1020" s="176"/>
    </row>
    <row r="1021">
      <c r="A1021" s="249"/>
      <c r="B1021" s="249"/>
      <c r="C1021" s="250"/>
      <c r="D1021" s="252"/>
      <c r="E1021" s="251"/>
      <c r="F1021" s="219"/>
      <c r="G1021" s="219"/>
      <c r="H1021" s="243"/>
      <c r="I1021" s="243"/>
      <c r="J1021" s="265"/>
      <c r="K1021" s="243"/>
      <c r="L1021" s="266"/>
      <c r="M1021" s="176"/>
      <c r="N1021" s="176"/>
      <c r="O1021" s="176"/>
      <c r="P1021" s="243"/>
      <c r="Q1021" s="243"/>
      <c r="R1021" s="176"/>
      <c r="S1021" s="176"/>
      <c r="T1021" s="176"/>
      <c r="U1021" s="176"/>
      <c r="V1021" s="176"/>
      <c r="W1021" s="176"/>
      <c r="X1021" s="176"/>
      <c r="Y1021" s="176"/>
      <c r="Z1021" s="176"/>
      <c r="AA1021" s="176"/>
    </row>
    <row r="1022">
      <c r="A1022" s="249"/>
      <c r="B1022" s="249"/>
      <c r="C1022" s="250"/>
      <c r="D1022" s="252"/>
      <c r="E1022" s="251"/>
      <c r="F1022" s="219"/>
      <c r="G1022" s="219"/>
      <c r="H1022" s="243"/>
      <c r="I1022" s="243"/>
      <c r="J1022" s="265"/>
      <c r="K1022" s="243"/>
      <c r="L1022" s="266"/>
      <c r="M1022" s="176"/>
      <c r="N1022" s="176"/>
      <c r="O1022" s="176"/>
      <c r="P1022" s="243"/>
      <c r="Q1022" s="243"/>
      <c r="R1022" s="176"/>
      <c r="S1022" s="176"/>
      <c r="T1022" s="176"/>
      <c r="U1022" s="176"/>
      <c r="V1022" s="176"/>
      <c r="W1022" s="176"/>
      <c r="X1022" s="176"/>
      <c r="Y1022" s="176"/>
      <c r="Z1022" s="176"/>
      <c r="AA1022" s="176"/>
    </row>
    <row r="1023">
      <c r="A1023" s="249"/>
      <c r="B1023" s="249"/>
      <c r="C1023" s="250"/>
      <c r="D1023" s="252"/>
      <c r="E1023" s="251"/>
      <c r="F1023" s="219"/>
      <c r="G1023" s="219"/>
      <c r="H1023" s="243"/>
      <c r="I1023" s="243"/>
      <c r="J1023" s="265"/>
      <c r="K1023" s="243"/>
      <c r="L1023" s="266"/>
      <c r="M1023" s="176"/>
      <c r="N1023" s="176"/>
      <c r="O1023" s="176"/>
      <c r="P1023" s="243"/>
      <c r="Q1023" s="243"/>
      <c r="R1023" s="176"/>
      <c r="S1023" s="176"/>
      <c r="T1023" s="176"/>
      <c r="U1023" s="176"/>
      <c r="V1023" s="176"/>
      <c r="W1023" s="176"/>
      <c r="X1023" s="176"/>
      <c r="Y1023" s="176"/>
      <c r="Z1023" s="176"/>
      <c r="AA1023" s="176"/>
    </row>
    <row r="1024">
      <c r="A1024" s="249"/>
      <c r="B1024" s="249"/>
      <c r="C1024" s="250"/>
      <c r="D1024" s="252"/>
      <c r="E1024" s="251"/>
      <c r="F1024" s="219"/>
      <c r="G1024" s="219"/>
      <c r="H1024" s="243"/>
      <c r="I1024" s="243"/>
      <c r="J1024" s="265"/>
      <c r="K1024" s="243"/>
      <c r="L1024" s="266"/>
      <c r="M1024" s="176"/>
      <c r="N1024" s="176"/>
      <c r="O1024" s="176"/>
      <c r="P1024" s="243"/>
      <c r="Q1024" s="243"/>
      <c r="R1024" s="176"/>
      <c r="S1024" s="176"/>
      <c r="T1024" s="176"/>
      <c r="U1024" s="176"/>
      <c r="V1024" s="176"/>
      <c r="W1024" s="176"/>
      <c r="X1024" s="176"/>
      <c r="Y1024" s="176"/>
      <c r="Z1024" s="176"/>
      <c r="AA1024" s="176"/>
    </row>
    <row r="1025">
      <c r="A1025" s="249"/>
      <c r="B1025" s="249"/>
      <c r="C1025" s="250"/>
      <c r="D1025" s="252"/>
      <c r="E1025" s="251"/>
      <c r="F1025" s="219"/>
      <c r="G1025" s="219"/>
      <c r="H1025" s="243"/>
      <c r="I1025" s="243"/>
      <c r="J1025" s="265"/>
      <c r="K1025" s="243"/>
      <c r="L1025" s="266"/>
      <c r="M1025" s="176"/>
      <c r="N1025" s="176"/>
      <c r="O1025" s="176"/>
      <c r="P1025" s="243"/>
      <c r="Q1025" s="243"/>
      <c r="R1025" s="176"/>
      <c r="S1025" s="176"/>
      <c r="T1025" s="176"/>
      <c r="U1025" s="176"/>
      <c r="V1025" s="176"/>
      <c r="W1025" s="176"/>
      <c r="X1025" s="176"/>
      <c r="Y1025" s="176"/>
      <c r="Z1025" s="176"/>
      <c r="AA1025" s="176"/>
    </row>
    <row r="1026">
      <c r="A1026" s="249"/>
      <c r="B1026" s="249"/>
      <c r="C1026" s="250"/>
      <c r="D1026" s="252"/>
      <c r="E1026" s="251"/>
      <c r="F1026" s="219"/>
      <c r="G1026" s="219"/>
      <c r="H1026" s="243"/>
      <c r="I1026" s="243"/>
      <c r="J1026" s="265"/>
      <c r="K1026" s="243"/>
      <c r="L1026" s="266"/>
      <c r="M1026" s="176"/>
      <c r="N1026" s="176"/>
      <c r="O1026" s="176"/>
      <c r="P1026" s="243"/>
      <c r="Q1026" s="243"/>
      <c r="R1026" s="176"/>
      <c r="S1026" s="176"/>
      <c r="T1026" s="176"/>
      <c r="U1026" s="176"/>
      <c r="V1026" s="176"/>
      <c r="W1026" s="176"/>
      <c r="X1026" s="176"/>
      <c r="Y1026" s="176"/>
      <c r="Z1026" s="176"/>
      <c r="AA1026" s="176"/>
    </row>
    <row r="1027">
      <c r="A1027" s="249"/>
      <c r="B1027" s="249"/>
      <c r="C1027" s="250"/>
      <c r="D1027" s="252"/>
      <c r="E1027" s="251"/>
      <c r="F1027" s="219"/>
      <c r="G1027" s="219"/>
      <c r="H1027" s="243"/>
      <c r="I1027" s="243"/>
      <c r="J1027" s="265"/>
      <c r="K1027" s="243"/>
      <c r="L1027" s="266"/>
      <c r="M1027" s="176"/>
      <c r="N1027" s="176"/>
      <c r="O1027" s="176"/>
      <c r="P1027" s="243"/>
      <c r="Q1027" s="243"/>
      <c r="R1027" s="176"/>
      <c r="S1027" s="176"/>
      <c r="T1027" s="176"/>
      <c r="U1027" s="176"/>
      <c r="V1027" s="176"/>
      <c r="W1027" s="176"/>
      <c r="X1027" s="176"/>
      <c r="Y1027" s="176"/>
      <c r="Z1027" s="176"/>
      <c r="AA1027" s="176"/>
    </row>
    <row r="1028">
      <c r="A1028" s="249"/>
      <c r="B1028" s="249"/>
      <c r="C1028" s="250"/>
      <c r="D1028" s="252"/>
      <c r="E1028" s="251"/>
      <c r="F1028" s="219"/>
      <c r="G1028" s="219"/>
      <c r="H1028" s="243"/>
      <c r="I1028" s="243"/>
      <c r="J1028" s="265"/>
      <c r="K1028" s="243"/>
      <c r="L1028" s="266"/>
      <c r="M1028" s="176"/>
      <c r="N1028" s="176"/>
      <c r="O1028" s="176"/>
      <c r="P1028" s="243"/>
      <c r="Q1028" s="243"/>
      <c r="R1028" s="176"/>
      <c r="S1028" s="176"/>
      <c r="T1028" s="176"/>
      <c r="U1028" s="176"/>
      <c r="V1028" s="176"/>
      <c r="W1028" s="176"/>
      <c r="X1028" s="176"/>
      <c r="Y1028" s="176"/>
      <c r="Z1028" s="176"/>
      <c r="AA1028" s="176"/>
    </row>
    <row r="1029">
      <c r="A1029" s="249"/>
      <c r="B1029" s="249"/>
      <c r="C1029" s="250"/>
      <c r="D1029" s="252"/>
      <c r="E1029" s="251"/>
      <c r="F1029" s="219"/>
      <c r="G1029" s="219"/>
      <c r="H1029" s="243"/>
      <c r="I1029" s="243"/>
      <c r="J1029" s="265"/>
      <c r="K1029" s="243"/>
      <c r="L1029" s="266"/>
      <c r="M1029" s="176"/>
      <c r="N1029" s="176"/>
      <c r="O1029" s="176"/>
      <c r="P1029" s="243"/>
      <c r="Q1029" s="243"/>
      <c r="R1029" s="176"/>
      <c r="S1029" s="176"/>
      <c r="T1029" s="176"/>
      <c r="U1029" s="176"/>
      <c r="V1029" s="176"/>
      <c r="W1029" s="176"/>
      <c r="X1029" s="176"/>
      <c r="Y1029" s="176"/>
      <c r="Z1029" s="176"/>
      <c r="AA1029" s="176"/>
    </row>
    <row r="1030">
      <c r="A1030" s="249"/>
      <c r="B1030" s="249"/>
      <c r="C1030" s="250"/>
      <c r="D1030" s="252"/>
      <c r="E1030" s="251"/>
      <c r="F1030" s="219"/>
      <c r="G1030" s="219"/>
      <c r="H1030" s="243"/>
      <c r="I1030" s="243"/>
      <c r="J1030" s="265"/>
      <c r="K1030" s="243"/>
      <c r="L1030" s="266"/>
      <c r="M1030" s="176"/>
      <c r="N1030" s="176"/>
      <c r="O1030" s="176"/>
      <c r="P1030" s="243"/>
      <c r="Q1030" s="243"/>
      <c r="R1030" s="176"/>
      <c r="S1030" s="176"/>
      <c r="T1030" s="176"/>
      <c r="U1030" s="176"/>
      <c r="V1030" s="176"/>
      <c r="W1030" s="176"/>
      <c r="X1030" s="176"/>
      <c r="Y1030" s="176"/>
      <c r="Z1030" s="176"/>
      <c r="AA1030" s="176"/>
    </row>
    <row r="1031">
      <c r="A1031" s="249"/>
      <c r="B1031" s="249"/>
      <c r="C1031" s="250"/>
      <c r="D1031" s="252"/>
      <c r="E1031" s="251"/>
      <c r="F1031" s="219"/>
      <c r="G1031" s="219"/>
      <c r="H1031" s="243"/>
      <c r="I1031" s="243"/>
      <c r="J1031" s="265"/>
      <c r="K1031" s="243"/>
      <c r="L1031" s="266"/>
      <c r="M1031" s="176"/>
      <c r="N1031" s="176"/>
      <c r="O1031" s="176"/>
      <c r="P1031" s="243"/>
      <c r="Q1031" s="243"/>
      <c r="R1031" s="176"/>
      <c r="S1031" s="176"/>
      <c r="T1031" s="176"/>
      <c r="U1031" s="176"/>
      <c r="V1031" s="176"/>
      <c r="W1031" s="176"/>
      <c r="X1031" s="176"/>
      <c r="Y1031" s="176"/>
      <c r="Z1031" s="176"/>
      <c r="AA1031" s="176"/>
    </row>
    <row r="1032">
      <c r="A1032" s="249"/>
      <c r="B1032" s="249"/>
      <c r="C1032" s="250"/>
      <c r="D1032" s="252"/>
      <c r="E1032" s="251"/>
      <c r="F1032" s="219"/>
      <c r="G1032" s="219"/>
      <c r="H1032" s="243"/>
      <c r="I1032" s="243"/>
      <c r="J1032" s="265"/>
      <c r="K1032" s="243"/>
      <c r="L1032" s="266"/>
      <c r="M1032" s="176"/>
      <c r="N1032" s="176"/>
      <c r="O1032" s="176"/>
      <c r="P1032" s="243"/>
      <c r="Q1032" s="243"/>
      <c r="R1032" s="176"/>
      <c r="S1032" s="176"/>
      <c r="T1032" s="176"/>
      <c r="U1032" s="176"/>
      <c r="V1032" s="176"/>
      <c r="W1032" s="176"/>
      <c r="X1032" s="176"/>
      <c r="Y1032" s="176"/>
      <c r="Z1032" s="176"/>
      <c r="AA1032" s="176"/>
    </row>
    <row r="1033">
      <c r="A1033" s="249"/>
      <c r="B1033" s="249"/>
      <c r="C1033" s="250"/>
      <c r="D1033" s="252"/>
      <c r="E1033" s="251"/>
      <c r="F1033" s="219"/>
      <c r="G1033" s="219"/>
      <c r="H1033" s="243"/>
      <c r="I1033" s="243"/>
      <c r="J1033" s="265"/>
      <c r="K1033" s="243"/>
      <c r="L1033" s="266"/>
      <c r="M1033" s="176"/>
      <c r="N1033" s="176"/>
      <c r="O1033" s="176"/>
      <c r="P1033" s="243"/>
      <c r="Q1033" s="243"/>
      <c r="R1033" s="176"/>
      <c r="S1033" s="176"/>
      <c r="T1033" s="176"/>
      <c r="U1033" s="176"/>
      <c r="V1033" s="176"/>
      <c r="W1033" s="176"/>
      <c r="X1033" s="176"/>
      <c r="Y1033" s="176"/>
      <c r="Z1033" s="176"/>
      <c r="AA1033" s="176"/>
    </row>
    <row r="1034">
      <c r="A1034" s="249"/>
      <c r="B1034" s="249"/>
      <c r="C1034" s="250"/>
      <c r="D1034" s="252"/>
      <c r="E1034" s="251"/>
      <c r="F1034" s="219"/>
      <c r="G1034" s="219"/>
      <c r="H1034" s="243"/>
      <c r="I1034" s="243"/>
      <c r="J1034" s="265"/>
      <c r="K1034" s="243"/>
      <c r="L1034" s="266"/>
      <c r="M1034" s="176"/>
      <c r="N1034" s="176"/>
      <c r="O1034" s="176"/>
      <c r="P1034" s="243"/>
      <c r="Q1034" s="243"/>
      <c r="R1034" s="176"/>
      <c r="S1034" s="176"/>
      <c r="T1034" s="176"/>
      <c r="U1034" s="176"/>
      <c r="V1034" s="176"/>
      <c r="W1034" s="176"/>
      <c r="X1034" s="176"/>
      <c r="Y1034" s="176"/>
      <c r="Z1034" s="176"/>
      <c r="AA1034" s="176"/>
    </row>
    <row r="1035">
      <c r="A1035" s="249"/>
      <c r="B1035" s="249"/>
      <c r="C1035" s="250"/>
      <c r="D1035" s="252"/>
      <c r="E1035" s="251"/>
      <c r="F1035" s="219"/>
      <c r="G1035" s="219"/>
      <c r="H1035" s="243"/>
      <c r="I1035" s="243"/>
      <c r="J1035" s="265"/>
      <c r="K1035" s="243"/>
      <c r="L1035" s="266"/>
      <c r="M1035" s="176"/>
      <c r="N1035" s="176"/>
      <c r="O1035" s="176"/>
      <c r="P1035" s="243"/>
      <c r="Q1035" s="243"/>
      <c r="R1035" s="176"/>
      <c r="S1035" s="176"/>
      <c r="T1035" s="176"/>
      <c r="U1035" s="176"/>
      <c r="V1035" s="176"/>
      <c r="W1035" s="176"/>
      <c r="X1035" s="176"/>
      <c r="Y1035" s="176"/>
      <c r="Z1035" s="176"/>
      <c r="AA1035" s="176"/>
    </row>
    <row r="1036">
      <c r="A1036" s="249"/>
      <c r="B1036" s="249"/>
      <c r="C1036" s="250"/>
      <c r="D1036" s="252"/>
      <c r="E1036" s="251"/>
      <c r="F1036" s="219"/>
      <c r="G1036" s="219"/>
      <c r="H1036" s="243"/>
      <c r="I1036" s="243"/>
      <c r="J1036" s="265"/>
      <c r="K1036" s="243"/>
      <c r="L1036" s="266"/>
      <c r="M1036" s="176"/>
      <c r="N1036" s="176"/>
      <c r="O1036" s="176"/>
      <c r="P1036" s="243"/>
      <c r="Q1036" s="243"/>
      <c r="R1036" s="176"/>
      <c r="S1036" s="176"/>
      <c r="T1036" s="176"/>
      <c r="U1036" s="176"/>
      <c r="V1036" s="176"/>
      <c r="W1036" s="176"/>
      <c r="X1036" s="176"/>
      <c r="Y1036" s="176"/>
      <c r="Z1036" s="176"/>
      <c r="AA1036" s="176"/>
    </row>
    <row r="1037">
      <c r="A1037" s="249"/>
      <c r="B1037" s="249"/>
      <c r="C1037" s="250"/>
      <c r="D1037" s="252"/>
      <c r="E1037" s="251"/>
      <c r="F1037" s="219"/>
      <c r="G1037" s="219"/>
      <c r="H1037" s="243"/>
      <c r="I1037" s="243"/>
      <c r="J1037" s="265"/>
      <c r="K1037" s="243"/>
      <c r="L1037" s="266"/>
      <c r="M1037" s="176"/>
      <c r="N1037" s="176"/>
      <c r="O1037" s="176"/>
      <c r="P1037" s="243"/>
      <c r="Q1037" s="243"/>
      <c r="R1037" s="176"/>
      <c r="S1037" s="176"/>
      <c r="T1037" s="176"/>
      <c r="U1037" s="176"/>
      <c r="V1037" s="176"/>
      <c r="W1037" s="176"/>
      <c r="X1037" s="176"/>
      <c r="Y1037" s="176"/>
      <c r="Z1037" s="176"/>
      <c r="AA1037" s="176"/>
    </row>
    <row r="1038">
      <c r="A1038" s="249"/>
      <c r="B1038" s="249"/>
      <c r="C1038" s="250"/>
      <c r="D1038" s="252"/>
      <c r="E1038" s="251"/>
      <c r="F1038" s="219"/>
      <c r="G1038" s="219"/>
      <c r="H1038" s="243"/>
      <c r="I1038" s="243"/>
      <c r="J1038" s="265"/>
      <c r="K1038" s="243"/>
      <c r="L1038" s="266"/>
      <c r="M1038" s="176"/>
      <c r="N1038" s="176"/>
      <c r="O1038" s="176"/>
      <c r="P1038" s="243"/>
      <c r="Q1038" s="243"/>
      <c r="R1038" s="176"/>
      <c r="S1038" s="176"/>
      <c r="T1038" s="176"/>
      <c r="U1038" s="176"/>
      <c r="V1038" s="176"/>
      <c r="W1038" s="176"/>
      <c r="X1038" s="176"/>
      <c r="Y1038" s="176"/>
      <c r="Z1038" s="176"/>
      <c r="AA1038" s="176"/>
    </row>
    <row r="1039">
      <c r="A1039" s="249"/>
      <c r="B1039" s="249"/>
      <c r="C1039" s="250"/>
      <c r="D1039" s="252"/>
      <c r="E1039" s="251"/>
      <c r="F1039" s="219"/>
      <c r="G1039" s="219"/>
      <c r="H1039" s="243"/>
      <c r="I1039" s="243"/>
      <c r="J1039" s="265"/>
      <c r="K1039" s="243"/>
      <c r="L1039" s="266"/>
      <c r="M1039" s="176"/>
      <c r="N1039" s="176"/>
      <c r="O1039" s="176"/>
      <c r="P1039" s="243"/>
      <c r="Q1039" s="243"/>
      <c r="R1039" s="176"/>
      <c r="S1039" s="176"/>
      <c r="T1039" s="176"/>
      <c r="U1039" s="176"/>
      <c r="V1039" s="176"/>
      <c r="W1039" s="176"/>
      <c r="X1039" s="176"/>
      <c r="Y1039" s="176"/>
      <c r="Z1039" s="176"/>
      <c r="AA1039" s="176"/>
    </row>
    <row r="1040">
      <c r="A1040" s="249"/>
      <c r="B1040" s="249"/>
      <c r="C1040" s="250"/>
      <c r="D1040" s="252"/>
      <c r="E1040" s="251"/>
      <c r="F1040" s="219"/>
      <c r="G1040" s="219"/>
      <c r="H1040" s="243"/>
      <c r="I1040" s="243"/>
      <c r="J1040" s="265"/>
      <c r="K1040" s="243"/>
      <c r="L1040" s="266"/>
      <c r="M1040" s="176"/>
      <c r="N1040" s="176"/>
      <c r="O1040" s="176"/>
      <c r="P1040" s="243"/>
      <c r="Q1040" s="243"/>
      <c r="R1040" s="176"/>
      <c r="S1040" s="176"/>
      <c r="T1040" s="176"/>
      <c r="U1040" s="176"/>
      <c r="V1040" s="176"/>
      <c r="W1040" s="176"/>
      <c r="X1040" s="176"/>
      <c r="Y1040" s="176"/>
      <c r="Z1040" s="176"/>
      <c r="AA1040" s="176"/>
    </row>
    <row r="1041">
      <c r="A1041" s="249"/>
      <c r="B1041" s="249"/>
      <c r="C1041" s="250"/>
      <c r="D1041" s="252"/>
      <c r="E1041" s="251"/>
      <c r="F1041" s="219"/>
      <c r="G1041" s="219"/>
      <c r="H1041" s="243"/>
      <c r="I1041" s="243"/>
      <c r="J1041" s="265"/>
      <c r="K1041" s="243"/>
      <c r="L1041" s="266"/>
      <c r="M1041" s="176"/>
      <c r="N1041" s="176"/>
      <c r="O1041" s="176"/>
      <c r="P1041" s="243"/>
      <c r="Q1041" s="243"/>
      <c r="R1041" s="176"/>
      <c r="S1041" s="176"/>
      <c r="T1041" s="176"/>
      <c r="U1041" s="176"/>
      <c r="V1041" s="176"/>
      <c r="W1041" s="176"/>
      <c r="X1041" s="176"/>
      <c r="Y1041" s="176"/>
      <c r="Z1041" s="176"/>
      <c r="AA1041" s="176"/>
    </row>
    <row r="1042">
      <c r="A1042" s="249"/>
      <c r="B1042" s="249"/>
      <c r="C1042" s="250"/>
      <c r="D1042" s="252"/>
      <c r="E1042" s="251"/>
      <c r="F1042" s="219"/>
      <c r="G1042" s="219"/>
      <c r="H1042" s="243"/>
      <c r="I1042" s="243"/>
      <c r="J1042" s="265"/>
      <c r="K1042" s="243"/>
      <c r="L1042" s="266"/>
      <c r="M1042" s="176"/>
      <c r="N1042" s="176"/>
      <c r="O1042" s="176"/>
      <c r="P1042" s="243"/>
      <c r="Q1042" s="243"/>
      <c r="R1042" s="176"/>
      <c r="S1042" s="176"/>
      <c r="T1042" s="176"/>
      <c r="U1042" s="176"/>
      <c r="V1042" s="176"/>
      <c r="W1042" s="176"/>
      <c r="X1042" s="176"/>
      <c r="Y1042" s="176"/>
      <c r="Z1042" s="176"/>
      <c r="AA1042" s="176"/>
    </row>
    <row r="1043">
      <c r="A1043" s="249"/>
      <c r="B1043" s="249"/>
      <c r="C1043" s="250"/>
      <c r="D1043" s="252"/>
      <c r="E1043" s="251"/>
      <c r="F1043" s="219"/>
      <c r="G1043" s="219"/>
      <c r="H1043" s="243"/>
      <c r="I1043" s="243"/>
      <c r="J1043" s="265"/>
      <c r="K1043" s="243"/>
      <c r="L1043" s="266"/>
      <c r="M1043" s="176"/>
      <c r="N1043" s="176"/>
      <c r="O1043" s="176"/>
      <c r="P1043" s="243"/>
      <c r="Q1043" s="243"/>
      <c r="R1043" s="176"/>
      <c r="S1043" s="176"/>
      <c r="T1043" s="176"/>
      <c r="U1043" s="176"/>
      <c r="V1043" s="176"/>
      <c r="W1043" s="176"/>
      <c r="X1043" s="176"/>
      <c r="Y1043" s="176"/>
      <c r="Z1043" s="176"/>
      <c r="AA1043" s="176"/>
    </row>
    <row r="1044">
      <c r="A1044" s="249"/>
      <c r="B1044" s="249"/>
      <c r="C1044" s="250"/>
      <c r="D1044" s="252"/>
      <c r="E1044" s="251"/>
      <c r="F1044" s="219"/>
      <c r="G1044" s="219"/>
      <c r="H1044" s="243"/>
      <c r="I1044" s="243"/>
      <c r="J1044" s="265"/>
      <c r="K1044" s="243"/>
      <c r="L1044" s="266"/>
      <c r="M1044" s="176"/>
      <c r="N1044" s="176"/>
      <c r="O1044" s="176"/>
      <c r="P1044" s="243"/>
      <c r="Q1044" s="243"/>
      <c r="R1044" s="176"/>
      <c r="S1044" s="176"/>
      <c r="T1044" s="176"/>
      <c r="U1044" s="176"/>
      <c r="V1044" s="176"/>
      <c r="W1044" s="176"/>
      <c r="X1044" s="176"/>
      <c r="Y1044" s="176"/>
      <c r="Z1044" s="176"/>
      <c r="AA1044" s="176"/>
    </row>
    <row r="1045">
      <c r="A1045" s="249"/>
      <c r="B1045" s="249"/>
      <c r="C1045" s="250"/>
      <c r="D1045" s="252"/>
      <c r="E1045" s="251"/>
      <c r="F1045" s="219"/>
      <c r="G1045" s="219"/>
      <c r="H1045" s="243"/>
      <c r="I1045" s="243"/>
      <c r="J1045" s="265"/>
      <c r="K1045" s="243"/>
      <c r="L1045" s="266"/>
      <c r="M1045" s="176"/>
      <c r="N1045" s="176"/>
      <c r="O1045" s="176"/>
      <c r="P1045" s="243"/>
      <c r="Q1045" s="243"/>
      <c r="R1045" s="176"/>
      <c r="S1045" s="176"/>
      <c r="T1045" s="176"/>
      <c r="U1045" s="176"/>
      <c r="V1045" s="176"/>
      <c r="W1045" s="176"/>
      <c r="X1045" s="176"/>
      <c r="Y1045" s="176"/>
      <c r="Z1045" s="176"/>
      <c r="AA1045" s="176"/>
    </row>
    <row r="1046">
      <c r="A1046" s="249"/>
      <c r="B1046" s="249"/>
      <c r="C1046" s="250"/>
      <c r="D1046" s="252"/>
      <c r="E1046" s="251"/>
      <c r="F1046" s="219"/>
      <c r="G1046" s="219"/>
      <c r="H1046" s="243"/>
      <c r="I1046" s="243"/>
      <c r="J1046" s="265"/>
      <c r="K1046" s="243"/>
      <c r="L1046" s="266"/>
      <c r="M1046" s="176"/>
      <c r="N1046" s="176"/>
      <c r="O1046" s="176"/>
      <c r="P1046" s="243"/>
      <c r="Q1046" s="243"/>
      <c r="R1046" s="176"/>
      <c r="S1046" s="176"/>
      <c r="T1046" s="176"/>
      <c r="U1046" s="176"/>
      <c r="V1046" s="176"/>
      <c r="W1046" s="176"/>
      <c r="X1046" s="176"/>
      <c r="Y1046" s="176"/>
      <c r="Z1046" s="176"/>
      <c r="AA1046" s="176"/>
    </row>
    <row r="1047">
      <c r="A1047" s="249"/>
      <c r="B1047" s="249"/>
      <c r="C1047" s="250"/>
      <c r="D1047" s="252"/>
      <c r="E1047" s="251"/>
      <c r="F1047" s="219"/>
      <c r="G1047" s="219"/>
      <c r="H1047" s="243"/>
      <c r="I1047" s="243"/>
      <c r="J1047" s="265"/>
      <c r="K1047" s="243"/>
      <c r="L1047" s="266"/>
      <c r="M1047" s="176"/>
      <c r="N1047" s="176"/>
      <c r="O1047" s="176"/>
      <c r="P1047" s="243"/>
      <c r="Q1047" s="243"/>
      <c r="R1047" s="176"/>
      <c r="S1047" s="176"/>
      <c r="T1047" s="176"/>
      <c r="U1047" s="176"/>
      <c r="V1047" s="176"/>
      <c r="W1047" s="176"/>
      <c r="X1047" s="176"/>
      <c r="Y1047" s="176"/>
      <c r="Z1047" s="176"/>
      <c r="AA1047" s="176"/>
    </row>
    <row r="1048">
      <c r="A1048" s="249"/>
      <c r="B1048" s="249"/>
      <c r="C1048" s="250"/>
      <c r="D1048" s="252"/>
      <c r="E1048" s="251"/>
      <c r="F1048" s="219"/>
      <c r="G1048" s="219"/>
      <c r="H1048" s="243"/>
      <c r="I1048" s="243"/>
      <c r="J1048" s="265"/>
      <c r="K1048" s="243"/>
      <c r="L1048" s="266"/>
      <c r="M1048" s="176"/>
      <c r="N1048" s="176"/>
      <c r="O1048" s="176"/>
      <c r="P1048" s="243"/>
      <c r="Q1048" s="243"/>
      <c r="R1048" s="176"/>
      <c r="S1048" s="176"/>
      <c r="T1048" s="176"/>
      <c r="U1048" s="176"/>
      <c r="V1048" s="176"/>
      <c r="W1048" s="176"/>
      <c r="X1048" s="176"/>
      <c r="Y1048" s="176"/>
      <c r="Z1048" s="176"/>
      <c r="AA1048" s="176"/>
    </row>
    <row r="1049">
      <c r="A1049" s="249"/>
      <c r="B1049" s="249"/>
      <c r="C1049" s="250"/>
      <c r="D1049" s="252"/>
      <c r="E1049" s="251"/>
      <c r="F1049" s="219"/>
      <c r="G1049" s="219"/>
      <c r="H1049" s="243"/>
      <c r="I1049" s="243"/>
      <c r="J1049" s="265"/>
      <c r="K1049" s="243"/>
      <c r="L1049" s="266"/>
      <c r="M1049" s="176"/>
      <c r="N1049" s="176"/>
      <c r="O1049" s="176"/>
      <c r="P1049" s="243"/>
      <c r="Q1049" s="243"/>
      <c r="R1049" s="176"/>
      <c r="S1049" s="176"/>
      <c r="T1049" s="176"/>
      <c r="U1049" s="176"/>
      <c r="V1049" s="176"/>
      <c r="W1049" s="176"/>
      <c r="X1049" s="176"/>
      <c r="Y1049" s="176"/>
      <c r="Z1049" s="176"/>
      <c r="AA1049" s="176"/>
    </row>
    <row r="1050">
      <c r="A1050" s="249"/>
      <c r="B1050" s="249"/>
      <c r="C1050" s="250"/>
      <c r="D1050" s="252"/>
      <c r="E1050" s="251"/>
      <c r="F1050" s="219"/>
      <c r="G1050" s="219"/>
      <c r="H1050" s="243"/>
      <c r="I1050" s="243"/>
      <c r="J1050" s="265"/>
      <c r="K1050" s="243"/>
      <c r="L1050" s="266"/>
      <c r="M1050" s="176"/>
      <c r="N1050" s="176"/>
      <c r="O1050" s="176"/>
      <c r="P1050" s="243"/>
      <c r="Q1050" s="243"/>
      <c r="R1050" s="176"/>
      <c r="S1050" s="176"/>
      <c r="T1050" s="176"/>
      <c r="U1050" s="176"/>
      <c r="V1050" s="176"/>
      <c r="W1050" s="176"/>
      <c r="X1050" s="176"/>
      <c r="Y1050" s="176"/>
      <c r="Z1050" s="176"/>
      <c r="AA1050" s="176"/>
    </row>
    <row r="1051">
      <c r="A1051" s="249"/>
      <c r="B1051" s="249"/>
      <c r="C1051" s="250"/>
      <c r="D1051" s="252"/>
      <c r="E1051" s="251"/>
      <c r="F1051" s="219"/>
      <c r="G1051" s="219"/>
      <c r="H1051" s="243"/>
      <c r="I1051" s="243"/>
      <c r="J1051" s="265"/>
      <c r="K1051" s="243"/>
      <c r="L1051" s="266"/>
      <c r="M1051" s="176"/>
      <c r="N1051" s="176"/>
      <c r="O1051" s="176"/>
      <c r="P1051" s="243"/>
      <c r="Q1051" s="243"/>
      <c r="R1051" s="176"/>
      <c r="S1051" s="176"/>
      <c r="T1051" s="176"/>
      <c r="U1051" s="176"/>
      <c r="V1051" s="176"/>
      <c r="W1051" s="176"/>
      <c r="X1051" s="176"/>
      <c r="Y1051" s="176"/>
      <c r="Z1051" s="176"/>
      <c r="AA1051" s="176"/>
    </row>
    <row r="1052">
      <c r="A1052" s="249"/>
      <c r="B1052" s="249"/>
      <c r="C1052" s="250"/>
      <c r="D1052" s="252"/>
      <c r="E1052" s="251"/>
      <c r="F1052" s="219"/>
      <c r="G1052" s="219"/>
      <c r="H1052" s="243"/>
      <c r="I1052" s="243"/>
      <c r="J1052" s="265"/>
      <c r="K1052" s="243"/>
      <c r="L1052" s="266"/>
      <c r="M1052" s="176"/>
      <c r="N1052" s="176"/>
      <c r="O1052" s="176"/>
      <c r="P1052" s="243"/>
      <c r="Q1052" s="243"/>
      <c r="R1052" s="176"/>
      <c r="S1052" s="176"/>
      <c r="T1052" s="176"/>
      <c r="U1052" s="176"/>
      <c r="V1052" s="176"/>
      <c r="W1052" s="176"/>
      <c r="X1052" s="176"/>
      <c r="Y1052" s="176"/>
      <c r="Z1052" s="176"/>
      <c r="AA1052" s="176"/>
    </row>
    <row r="1053">
      <c r="A1053" s="249"/>
      <c r="B1053" s="249"/>
      <c r="C1053" s="250"/>
      <c r="D1053" s="252"/>
      <c r="E1053" s="251"/>
      <c r="F1053" s="219"/>
      <c r="G1053" s="219"/>
      <c r="H1053" s="243"/>
      <c r="I1053" s="243"/>
      <c r="J1053" s="265"/>
      <c r="K1053" s="243"/>
      <c r="L1053" s="266"/>
      <c r="M1053" s="176"/>
      <c r="N1053" s="176"/>
      <c r="O1053" s="176"/>
      <c r="P1053" s="243"/>
      <c r="Q1053" s="243"/>
      <c r="R1053" s="176"/>
      <c r="S1053" s="176"/>
      <c r="T1053" s="176"/>
      <c r="U1053" s="176"/>
      <c r="V1053" s="176"/>
      <c r="W1053" s="176"/>
      <c r="X1053" s="176"/>
      <c r="Y1053" s="176"/>
      <c r="Z1053" s="176"/>
      <c r="AA1053" s="176"/>
    </row>
    <row r="1054">
      <c r="A1054" s="249"/>
      <c r="B1054" s="249"/>
      <c r="C1054" s="250"/>
      <c r="D1054" s="252"/>
      <c r="E1054" s="251"/>
      <c r="F1054" s="219"/>
      <c r="G1054" s="219"/>
      <c r="H1054" s="243"/>
      <c r="I1054" s="243"/>
      <c r="J1054" s="265"/>
      <c r="K1054" s="243"/>
      <c r="L1054" s="266"/>
      <c r="M1054" s="176"/>
      <c r="N1054" s="176"/>
      <c r="O1054" s="176"/>
      <c r="P1054" s="243"/>
      <c r="Q1054" s="243"/>
      <c r="R1054" s="176"/>
      <c r="S1054" s="176"/>
      <c r="T1054" s="176"/>
      <c r="U1054" s="176"/>
      <c r="V1054" s="176"/>
      <c r="W1054" s="176"/>
      <c r="X1054" s="176"/>
      <c r="Y1054" s="176"/>
      <c r="Z1054" s="176"/>
      <c r="AA1054" s="176"/>
    </row>
    <row r="1055">
      <c r="A1055" s="249"/>
      <c r="B1055" s="249"/>
      <c r="C1055" s="250"/>
      <c r="D1055" s="252"/>
      <c r="E1055" s="251"/>
      <c r="F1055" s="219"/>
      <c r="G1055" s="219"/>
      <c r="H1055" s="243"/>
      <c r="I1055" s="243"/>
      <c r="J1055" s="265"/>
      <c r="K1055" s="243"/>
      <c r="L1055" s="266"/>
      <c r="M1055" s="176"/>
      <c r="N1055" s="176"/>
      <c r="O1055" s="176"/>
      <c r="P1055" s="243"/>
      <c r="Q1055" s="243"/>
      <c r="R1055" s="176"/>
      <c r="S1055" s="176"/>
      <c r="T1055" s="176"/>
      <c r="U1055" s="176"/>
      <c r="V1055" s="176"/>
      <c r="W1055" s="176"/>
      <c r="X1055" s="176"/>
      <c r="Y1055" s="176"/>
      <c r="Z1055" s="176"/>
      <c r="AA1055" s="176"/>
    </row>
    <row r="1056">
      <c r="A1056" s="249"/>
      <c r="B1056" s="249"/>
      <c r="C1056" s="250"/>
      <c r="D1056" s="252"/>
      <c r="E1056" s="251"/>
      <c r="F1056" s="219"/>
      <c r="G1056" s="219"/>
      <c r="H1056" s="243"/>
      <c r="I1056" s="243"/>
      <c r="J1056" s="265"/>
      <c r="K1056" s="243"/>
      <c r="L1056" s="266"/>
      <c r="M1056" s="176"/>
      <c r="N1056" s="176"/>
      <c r="O1056" s="176"/>
      <c r="P1056" s="243"/>
      <c r="Q1056" s="243"/>
      <c r="R1056" s="176"/>
      <c r="S1056" s="176"/>
      <c r="T1056" s="176"/>
      <c r="U1056" s="176"/>
      <c r="V1056" s="176"/>
      <c r="W1056" s="176"/>
      <c r="X1056" s="176"/>
      <c r="Y1056" s="176"/>
      <c r="Z1056" s="176"/>
      <c r="AA1056" s="176"/>
    </row>
    <row r="1057">
      <c r="A1057" s="249"/>
      <c r="B1057" s="249"/>
      <c r="C1057" s="250"/>
      <c r="D1057" s="252"/>
      <c r="E1057" s="251"/>
      <c r="F1057" s="219"/>
      <c r="G1057" s="219"/>
      <c r="H1057" s="243"/>
      <c r="I1057" s="243"/>
      <c r="J1057" s="265"/>
      <c r="K1057" s="243"/>
      <c r="L1057" s="266"/>
      <c r="M1057" s="176"/>
      <c r="N1057" s="176"/>
      <c r="O1057" s="176"/>
      <c r="P1057" s="243"/>
      <c r="Q1057" s="243"/>
      <c r="R1057" s="176"/>
      <c r="S1057" s="176"/>
      <c r="T1057" s="176"/>
      <c r="U1057" s="176"/>
      <c r="V1057" s="176"/>
      <c r="W1057" s="176"/>
      <c r="X1057" s="176"/>
      <c r="Y1057" s="176"/>
      <c r="Z1057" s="176"/>
      <c r="AA1057" s="176"/>
    </row>
    <row r="1058">
      <c r="A1058" s="249"/>
      <c r="B1058" s="249"/>
      <c r="C1058" s="250"/>
      <c r="D1058" s="252"/>
      <c r="E1058" s="251"/>
      <c r="F1058" s="219"/>
      <c r="G1058" s="219"/>
      <c r="H1058" s="243"/>
      <c r="I1058" s="243"/>
      <c r="J1058" s="265"/>
      <c r="K1058" s="243"/>
      <c r="L1058" s="266"/>
      <c r="M1058" s="176"/>
      <c r="N1058" s="176"/>
      <c r="O1058" s="176"/>
      <c r="P1058" s="243"/>
      <c r="Q1058" s="243"/>
      <c r="R1058" s="176"/>
      <c r="S1058" s="176"/>
      <c r="T1058" s="176"/>
      <c r="U1058" s="176"/>
      <c r="V1058" s="176"/>
      <c r="W1058" s="176"/>
      <c r="X1058" s="176"/>
      <c r="Y1058" s="176"/>
      <c r="Z1058" s="176"/>
      <c r="AA1058" s="176"/>
    </row>
    <row r="1059">
      <c r="A1059" s="249"/>
      <c r="B1059" s="249"/>
      <c r="C1059" s="250"/>
      <c r="D1059" s="252"/>
      <c r="E1059" s="251"/>
      <c r="F1059" s="219"/>
      <c r="G1059" s="219"/>
      <c r="H1059" s="243"/>
      <c r="I1059" s="243"/>
      <c r="J1059" s="265"/>
      <c r="K1059" s="243"/>
      <c r="L1059" s="266"/>
      <c r="M1059" s="176"/>
      <c r="N1059" s="176"/>
      <c r="O1059" s="176"/>
      <c r="P1059" s="243"/>
      <c r="Q1059" s="243"/>
      <c r="R1059" s="176"/>
      <c r="S1059" s="176"/>
      <c r="T1059" s="176"/>
      <c r="U1059" s="176"/>
      <c r="V1059" s="176"/>
      <c r="W1059" s="176"/>
      <c r="X1059" s="176"/>
      <c r="Y1059" s="176"/>
      <c r="Z1059" s="176"/>
      <c r="AA1059" s="176"/>
    </row>
    <row r="1060">
      <c r="A1060" s="249"/>
      <c r="B1060" s="249"/>
      <c r="C1060" s="250"/>
      <c r="D1060" s="252"/>
      <c r="E1060" s="251"/>
      <c r="F1060" s="219"/>
      <c r="G1060" s="219"/>
      <c r="H1060" s="243"/>
      <c r="I1060" s="243"/>
      <c r="J1060" s="265"/>
      <c r="K1060" s="243"/>
      <c r="L1060" s="266"/>
      <c r="M1060" s="176"/>
      <c r="N1060" s="176"/>
      <c r="O1060" s="176"/>
      <c r="P1060" s="243"/>
      <c r="Q1060" s="243"/>
      <c r="R1060" s="176"/>
      <c r="S1060" s="176"/>
      <c r="T1060" s="176"/>
      <c r="U1060" s="176"/>
      <c r="V1060" s="176"/>
      <c r="W1060" s="176"/>
      <c r="X1060" s="176"/>
      <c r="Y1060" s="176"/>
      <c r="Z1060" s="176"/>
      <c r="AA1060" s="176"/>
    </row>
    <row r="1061">
      <c r="A1061" s="249"/>
      <c r="B1061" s="249"/>
      <c r="C1061" s="250"/>
      <c r="D1061" s="252"/>
      <c r="E1061" s="251"/>
      <c r="F1061" s="219"/>
      <c r="G1061" s="219"/>
      <c r="H1061" s="243"/>
      <c r="I1061" s="243"/>
      <c r="J1061" s="265"/>
      <c r="K1061" s="243"/>
      <c r="L1061" s="266"/>
      <c r="M1061" s="176"/>
      <c r="N1061" s="176"/>
      <c r="O1061" s="176"/>
      <c r="P1061" s="243"/>
      <c r="Q1061" s="243"/>
      <c r="R1061" s="176"/>
      <c r="S1061" s="176"/>
      <c r="T1061" s="176"/>
      <c r="U1061" s="176"/>
      <c r="V1061" s="176"/>
      <c r="W1061" s="176"/>
      <c r="X1061" s="176"/>
      <c r="Y1061" s="176"/>
      <c r="Z1061" s="176"/>
      <c r="AA1061" s="176"/>
    </row>
    <row r="1062">
      <c r="A1062" s="249"/>
      <c r="B1062" s="249"/>
      <c r="C1062" s="250"/>
      <c r="D1062" s="252"/>
      <c r="E1062" s="251"/>
      <c r="F1062" s="219"/>
      <c r="G1062" s="219"/>
      <c r="H1062" s="243"/>
      <c r="I1062" s="243"/>
      <c r="J1062" s="265"/>
      <c r="K1062" s="243"/>
      <c r="L1062" s="266"/>
      <c r="M1062" s="176"/>
      <c r="N1062" s="176"/>
      <c r="O1062" s="176"/>
      <c r="P1062" s="243"/>
      <c r="Q1062" s="243"/>
      <c r="R1062" s="176"/>
      <c r="S1062" s="176"/>
      <c r="T1062" s="176"/>
      <c r="U1062" s="176"/>
      <c r="V1062" s="176"/>
      <c r="W1062" s="176"/>
      <c r="X1062" s="176"/>
      <c r="Y1062" s="176"/>
      <c r="Z1062" s="176"/>
      <c r="AA1062" s="176"/>
    </row>
    <row r="1063">
      <c r="A1063" s="249"/>
      <c r="B1063" s="249"/>
      <c r="C1063" s="250"/>
      <c r="D1063" s="252"/>
      <c r="E1063" s="251"/>
      <c r="F1063" s="219"/>
      <c r="G1063" s="219"/>
      <c r="H1063" s="243"/>
      <c r="I1063" s="243"/>
      <c r="J1063" s="265"/>
      <c r="K1063" s="243"/>
      <c r="L1063" s="266"/>
      <c r="M1063" s="176"/>
      <c r="N1063" s="176"/>
      <c r="O1063" s="176"/>
      <c r="P1063" s="243"/>
      <c r="Q1063" s="243"/>
      <c r="R1063" s="176"/>
      <c r="S1063" s="176"/>
      <c r="T1063" s="176"/>
      <c r="U1063" s="176"/>
      <c r="V1063" s="176"/>
      <c r="W1063" s="176"/>
      <c r="X1063" s="176"/>
      <c r="Y1063" s="176"/>
      <c r="Z1063" s="176"/>
      <c r="AA1063" s="176"/>
    </row>
    <row r="1064">
      <c r="A1064" s="249"/>
      <c r="B1064" s="249"/>
      <c r="C1064" s="250"/>
      <c r="D1064" s="252"/>
      <c r="E1064" s="251"/>
      <c r="F1064" s="219"/>
      <c r="G1064" s="219"/>
      <c r="H1064" s="243"/>
      <c r="I1064" s="243"/>
      <c r="J1064" s="265"/>
      <c r="K1064" s="243"/>
      <c r="L1064" s="266"/>
      <c r="M1064" s="176"/>
      <c r="N1064" s="176"/>
      <c r="O1064" s="176"/>
      <c r="P1064" s="243"/>
      <c r="Q1064" s="243"/>
      <c r="R1064" s="176"/>
      <c r="S1064" s="176"/>
      <c r="T1064" s="176"/>
      <c r="U1064" s="176"/>
      <c r="V1064" s="176"/>
      <c r="W1064" s="176"/>
      <c r="X1064" s="176"/>
      <c r="Y1064" s="176"/>
      <c r="Z1064" s="176"/>
      <c r="AA1064" s="176"/>
    </row>
    <row r="1065">
      <c r="A1065" s="249"/>
      <c r="B1065" s="249"/>
      <c r="C1065" s="250"/>
      <c r="D1065" s="252"/>
      <c r="E1065" s="251"/>
      <c r="F1065" s="219"/>
      <c r="G1065" s="219"/>
      <c r="H1065" s="243"/>
      <c r="I1065" s="243"/>
      <c r="J1065" s="265"/>
      <c r="K1065" s="243"/>
      <c r="L1065" s="266"/>
      <c r="M1065" s="176"/>
      <c r="N1065" s="176"/>
      <c r="O1065" s="176"/>
      <c r="P1065" s="243"/>
      <c r="Q1065" s="243"/>
      <c r="R1065" s="176"/>
      <c r="S1065" s="176"/>
      <c r="T1065" s="176"/>
      <c r="U1065" s="176"/>
      <c r="V1065" s="176"/>
      <c r="W1065" s="176"/>
      <c r="X1065" s="176"/>
      <c r="Y1065" s="176"/>
      <c r="Z1065" s="176"/>
      <c r="AA1065" s="176"/>
    </row>
    <row r="1066">
      <c r="A1066" s="249"/>
      <c r="B1066" s="249"/>
      <c r="C1066" s="250"/>
      <c r="D1066" s="252"/>
      <c r="E1066" s="251"/>
      <c r="F1066" s="219"/>
      <c r="G1066" s="219"/>
      <c r="H1066" s="243"/>
      <c r="I1066" s="243"/>
      <c r="J1066" s="265"/>
      <c r="K1066" s="243"/>
      <c r="L1066" s="266"/>
      <c r="M1066" s="176"/>
      <c r="N1066" s="176"/>
      <c r="O1066" s="176"/>
      <c r="P1066" s="243"/>
      <c r="Q1066" s="243"/>
      <c r="R1066" s="176"/>
      <c r="S1066" s="176"/>
      <c r="T1066" s="176"/>
      <c r="U1066" s="176"/>
      <c r="V1066" s="176"/>
      <c r="W1066" s="176"/>
      <c r="X1066" s="176"/>
      <c r="Y1066" s="176"/>
      <c r="Z1066" s="176"/>
      <c r="AA1066" s="176"/>
    </row>
    <row r="1067">
      <c r="A1067" s="249"/>
      <c r="B1067" s="249"/>
      <c r="C1067" s="250"/>
      <c r="D1067" s="252"/>
      <c r="E1067" s="251"/>
      <c r="F1067" s="219"/>
      <c r="G1067" s="219"/>
      <c r="H1067" s="243"/>
      <c r="I1067" s="243"/>
      <c r="J1067" s="265"/>
      <c r="K1067" s="243"/>
      <c r="L1067" s="266"/>
      <c r="M1067" s="176"/>
      <c r="N1067" s="176"/>
      <c r="O1067" s="176"/>
      <c r="P1067" s="243"/>
      <c r="Q1067" s="243"/>
      <c r="R1067" s="176"/>
      <c r="S1067" s="176"/>
      <c r="T1067" s="176"/>
      <c r="U1067" s="176"/>
      <c r="V1067" s="176"/>
      <c r="W1067" s="176"/>
      <c r="X1067" s="176"/>
      <c r="Y1067" s="176"/>
      <c r="Z1067" s="176"/>
      <c r="AA1067" s="176"/>
    </row>
    <row r="1068">
      <c r="A1068" s="249"/>
      <c r="B1068" s="249"/>
      <c r="C1068" s="250"/>
      <c r="D1068" s="252"/>
      <c r="E1068" s="251"/>
      <c r="F1068" s="219"/>
      <c r="G1068" s="219"/>
      <c r="H1068" s="243"/>
      <c r="I1068" s="243"/>
      <c r="J1068" s="265"/>
      <c r="K1068" s="243"/>
      <c r="L1068" s="266"/>
      <c r="M1068" s="176"/>
      <c r="N1068" s="176"/>
      <c r="O1068" s="176"/>
      <c r="P1068" s="243"/>
      <c r="Q1068" s="243"/>
      <c r="R1068" s="176"/>
      <c r="S1068" s="176"/>
      <c r="T1068" s="176"/>
      <c r="U1068" s="176"/>
      <c r="V1068" s="176"/>
      <c r="W1068" s="176"/>
      <c r="X1068" s="176"/>
      <c r="Y1068" s="176"/>
      <c r="Z1068" s="176"/>
      <c r="AA1068" s="176"/>
    </row>
    <row r="1069">
      <c r="A1069" s="249"/>
      <c r="B1069" s="249"/>
      <c r="C1069" s="250"/>
      <c r="D1069" s="252"/>
      <c r="E1069" s="251"/>
      <c r="F1069" s="219"/>
      <c r="G1069" s="219"/>
      <c r="H1069" s="243"/>
      <c r="I1069" s="243"/>
      <c r="J1069" s="265"/>
      <c r="K1069" s="243"/>
      <c r="L1069" s="266"/>
      <c r="M1069" s="176"/>
      <c r="N1069" s="176"/>
      <c r="O1069" s="176"/>
      <c r="P1069" s="243"/>
      <c r="Q1069" s="243"/>
      <c r="R1069" s="176"/>
      <c r="S1069" s="176"/>
      <c r="T1069" s="176"/>
      <c r="U1069" s="176"/>
      <c r="V1069" s="176"/>
      <c r="W1069" s="176"/>
      <c r="X1069" s="176"/>
      <c r="Y1069" s="176"/>
      <c r="Z1069" s="176"/>
      <c r="AA1069" s="176"/>
    </row>
    <row r="1070">
      <c r="A1070" s="249"/>
      <c r="B1070" s="249"/>
      <c r="C1070" s="250"/>
      <c r="D1070" s="252"/>
      <c r="E1070" s="251"/>
      <c r="F1070" s="219"/>
      <c r="G1070" s="219"/>
      <c r="H1070" s="243"/>
      <c r="I1070" s="243"/>
      <c r="J1070" s="265"/>
      <c r="K1070" s="243"/>
      <c r="L1070" s="266"/>
      <c r="M1070" s="176"/>
      <c r="N1070" s="176"/>
      <c r="O1070" s="176"/>
      <c r="P1070" s="243"/>
      <c r="Q1070" s="243"/>
      <c r="R1070" s="176"/>
      <c r="S1070" s="176"/>
      <c r="T1070" s="176"/>
      <c r="U1070" s="176"/>
      <c r="V1070" s="176"/>
      <c r="W1070" s="176"/>
      <c r="X1070" s="176"/>
      <c r="Y1070" s="176"/>
      <c r="Z1070" s="176"/>
      <c r="AA1070" s="176"/>
    </row>
    <row r="1071">
      <c r="A1071" s="249"/>
      <c r="B1071" s="249"/>
      <c r="C1071" s="250"/>
      <c r="D1071" s="252"/>
      <c r="E1071" s="251"/>
      <c r="F1071" s="219"/>
      <c r="G1071" s="219"/>
      <c r="H1071" s="243"/>
      <c r="I1071" s="243"/>
      <c r="J1071" s="265"/>
      <c r="K1071" s="243"/>
      <c r="L1071" s="266"/>
      <c r="M1071" s="176"/>
      <c r="N1071" s="176"/>
      <c r="O1071" s="176"/>
      <c r="P1071" s="243"/>
      <c r="Q1071" s="243"/>
      <c r="R1071" s="176"/>
      <c r="S1071" s="176"/>
      <c r="T1071" s="176"/>
      <c r="U1071" s="176"/>
      <c r="V1071" s="176"/>
      <c r="W1071" s="176"/>
      <c r="X1071" s="176"/>
      <c r="Y1071" s="176"/>
      <c r="Z1071" s="176"/>
      <c r="AA1071" s="176"/>
    </row>
    <row r="1072">
      <c r="A1072" s="249"/>
      <c r="B1072" s="249"/>
      <c r="C1072" s="250"/>
      <c r="D1072" s="252"/>
      <c r="E1072" s="251"/>
      <c r="F1072" s="219"/>
      <c r="G1072" s="219"/>
      <c r="H1072" s="243"/>
      <c r="I1072" s="243"/>
      <c r="J1072" s="265"/>
      <c r="K1072" s="243"/>
      <c r="L1072" s="266"/>
      <c r="M1072" s="176"/>
      <c r="N1072" s="176"/>
      <c r="O1072" s="176"/>
      <c r="P1072" s="243"/>
      <c r="Q1072" s="243"/>
      <c r="R1072" s="176"/>
      <c r="S1072" s="176"/>
      <c r="T1072" s="176"/>
      <c r="U1072" s="176"/>
      <c r="V1072" s="176"/>
      <c r="W1072" s="176"/>
      <c r="X1072" s="176"/>
      <c r="Y1072" s="176"/>
      <c r="Z1072" s="176"/>
      <c r="AA1072" s="176"/>
    </row>
    <row r="1073">
      <c r="A1073" s="249"/>
      <c r="B1073" s="249"/>
      <c r="C1073" s="250"/>
      <c r="D1073" s="252"/>
      <c r="E1073" s="251"/>
      <c r="F1073" s="219"/>
      <c r="G1073" s="219"/>
      <c r="H1073" s="243"/>
      <c r="I1073" s="243"/>
      <c r="J1073" s="265"/>
      <c r="K1073" s="243"/>
      <c r="L1073" s="266"/>
      <c r="M1073" s="176"/>
      <c r="N1073" s="176"/>
      <c r="O1073" s="176"/>
      <c r="P1073" s="243"/>
      <c r="Q1073" s="243"/>
      <c r="R1073" s="176"/>
      <c r="S1073" s="176"/>
      <c r="T1073" s="176"/>
      <c r="U1073" s="176"/>
      <c r="V1073" s="176"/>
      <c r="W1073" s="176"/>
      <c r="X1073" s="176"/>
      <c r="Y1073" s="176"/>
      <c r="Z1073" s="176"/>
      <c r="AA1073" s="176"/>
    </row>
    <row r="1074">
      <c r="A1074" s="249"/>
      <c r="B1074" s="249"/>
      <c r="C1074" s="250"/>
      <c r="D1074" s="252"/>
      <c r="E1074" s="251"/>
      <c r="F1074" s="219"/>
      <c r="G1074" s="219"/>
      <c r="H1074" s="243"/>
      <c r="I1074" s="243"/>
      <c r="J1074" s="265"/>
      <c r="K1074" s="243"/>
      <c r="L1074" s="266"/>
      <c r="M1074" s="176"/>
      <c r="N1074" s="176"/>
      <c r="O1074" s="176"/>
      <c r="P1074" s="243"/>
      <c r="Q1074" s="243"/>
      <c r="R1074" s="176"/>
      <c r="S1074" s="176"/>
      <c r="T1074" s="176"/>
      <c r="U1074" s="176"/>
      <c r="V1074" s="176"/>
      <c r="W1074" s="176"/>
      <c r="X1074" s="176"/>
      <c r="Y1074" s="176"/>
      <c r="Z1074" s="176"/>
      <c r="AA1074" s="176"/>
    </row>
    <row r="1075">
      <c r="A1075" s="249"/>
      <c r="B1075" s="249"/>
      <c r="C1075" s="250"/>
      <c r="D1075" s="252"/>
      <c r="E1075" s="251"/>
      <c r="F1075" s="219"/>
      <c r="G1075" s="219"/>
      <c r="H1075" s="243"/>
      <c r="I1075" s="243"/>
      <c r="J1075" s="265"/>
      <c r="K1075" s="243"/>
      <c r="L1075" s="266"/>
      <c r="M1075" s="176"/>
      <c r="N1075" s="176"/>
      <c r="O1075" s="176"/>
      <c r="P1075" s="243"/>
      <c r="Q1075" s="243"/>
      <c r="R1075" s="176"/>
      <c r="S1075" s="176"/>
      <c r="T1075" s="176"/>
      <c r="U1075" s="176"/>
      <c r="V1075" s="176"/>
      <c r="W1075" s="176"/>
      <c r="X1075" s="176"/>
      <c r="Y1075" s="176"/>
      <c r="Z1075" s="176"/>
      <c r="AA1075" s="176"/>
    </row>
    <row r="1076">
      <c r="A1076" s="249"/>
      <c r="B1076" s="249"/>
      <c r="C1076" s="250"/>
      <c r="D1076" s="252"/>
      <c r="E1076" s="251"/>
      <c r="F1076" s="219"/>
      <c r="G1076" s="219"/>
      <c r="H1076" s="243"/>
      <c r="I1076" s="243"/>
      <c r="J1076" s="265"/>
      <c r="K1076" s="243"/>
      <c r="L1076" s="266"/>
      <c r="M1076" s="176"/>
      <c r="N1076" s="176"/>
      <c r="O1076" s="176"/>
      <c r="P1076" s="243"/>
      <c r="Q1076" s="243"/>
      <c r="R1076" s="176"/>
      <c r="S1076" s="176"/>
      <c r="T1076" s="176"/>
      <c r="U1076" s="176"/>
      <c r="V1076" s="176"/>
      <c r="W1076" s="176"/>
      <c r="X1076" s="176"/>
      <c r="Y1076" s="176"/>
      <c r="Z1076" s="176"/>
      <c r="AA1076" s="176"/>
    </row>
    <row r="1077">
      <c r="A1077" s="249"/>
      <c r="B1077" s="249"/>
      <c r="C1077" s="250"/>
      <c r="D1077" s="252"/>
      <c r="E1077" s="251"/>
      <c r="F1077" s="219"/>
      <c r="G1077" s="219"/>
      <c r="H1077" s="243"/>
      <c r="I1077" s="243"/>
      <c r="J1077" s="265"/>
      <c r="K1077" s="243"/>
      <c r="L1077" s="266"/>
      <c r="M1077" s="176"/>
      <c r="N1077" s="176"/>
      <c r="O1077" s="176"/>
      <c r="P1077" s="243"/>
      <c r="Q1077" s="243"/>
      <c r="R1077" s="176"/>
      <c r="S1077" s="176"/>
      <c r="T1077" s="176"/>
      <c r="U1077" s="176"/>
      <c r="V1077" s="176"/>
      <c r="W1077" s="176"/>
      <c r="X1077" s="176"/>
      <c r="Y1077" s="176"/>
      <c r="Z1077" s="176"/>
      <c r="AA1077" s="176"/>
    </row>
    <row r="1078">
      <c r="A1078" s="249"/>
      <c r="B1078" s="249"/>
      <c r="C1078" s="250"/>
      <c r="D1078" s="252"/>
      <c r="E1078" s="251"/>
      <c r="F1078" s="219"/>
      <c r="G1078" s="219"/>
      <c r="H1078" s="243"/>
      <c r="I1078" s="243"/>
      <c r="J1078" s="265"/>
      <c r="K1078" s="243"/>
      <c r="L1078" s="266"/>
      <c r="M1078" s="176"/>
      <c r="N1078" s="176"/>
      <c r="O1078" s="176"/>
      <c r="P1078" s="243"/>
      <c r="Q1078" s="243"/>
      <c r="R1078" s="176"/>
      <c r="S1078" s="176"/>
      <c r="T1078" s="176"/>
      <c r="U1078" s="176"/>
      <c r="V1078" s="176"/>
      <c r="W1078" s="176"/>
      <c r="X1078" s="176"/>
      <c r="Y1078" s="176"/>
      <c r="Z1078" s="176"/>
      <c r="AA1078" s="176"/>
    </row>
    <row r="1079">
      <c r="A1079" s="249"/>
      <c r="B1079" s="249"/>
      <c r="C1079" s="250"/>
      <c r="D1079" s="252"/>
      <c r="E1079" s="251"/>
      <c r="F1079" s="219"/>
      <c r="G1079" s="219"/>
      <c r="H1079" s="243"/>
      <c r="I1079" s="243"/>
      <c r="J1079" s="265"/>
      <c r="K1079" s="243"/>
      <c r="L1079" s="266"/>
      <c r="M1079" s="176"/>
      <c r="N1079" s="176"/>
      <c r="O1079" s="176"/>
      <c r="P1079" s="243"/>
      <c r="Q1079" s="243"/>
      <c r="R1079" s="176"/>
      <c r="S1079" s="176"/>
      <c r="T1079" s="176"/>
      <c r="U1079" s="176"/>
      <c r="V1079" s="176"/>
      <c r="W1079" s="176"/>
      <c r="X1079" s="176"/>
      <c r="Y1079" s="176"/>
      <c r="Z1079" s="176"/>
      <c r="AA1079" s="176"/>
    </row>
    <row r="1080">
      <c r="A1080" s="249"/>
      <c r="B1080" s="249"/>
      <c r="C1080" s="250"/>
      <c r="D1080" s="252"/>
      <c r="E1080" s="251"/>
      <c r="F1080" s="219"/>
      <c r="G1080" s="219"/>
      <c r="H1080" s="243"/>
      <c r="I1080" s="243"/>
      <c r="J1080" s="265"/>
      <c r="K1080" s="243"/>
      <c r="L1080" s="266"/>
      <c r="M1080" s="176"/>
      <c r="N1080" s="176"/>
      <c r="O1080" s="176"/>
      <c r="P1080" s="243"/>
      <c r="Q1080" s="243"/>
      <c r="R1080" s="176"/>
      <c r="S1080" s="176"/>
      <c r="T1080" s="176"/>
      <c r="U1080" s="176"/>
      <c r="V1080" s="176"/>
      <c r="W1080" s="176"/>
      <c r="X1080" s="176"/>
      <c r="Y1080" s="176"/>
      <c r="Z1080" s="176"/>
      <c r="AA1080" s="176"/>
    </row>
    <row r="1081">
      <c r="A1081" s="249"/>
      <c r="B1081" s="249"/>
      <c r="C1081" s="250"/>
      <c r="D1081" s="252"/>
      <c r="E1081" s="251"/>
      <c r="F1081" s="219"/>
      <c r="G1081" s="219"/>
      <c r="H1081" s="243"/>
      <c r="I1081" s="243"/>
      <c r="J1081" s="265"/>
      <c r="K1081" s="243"/>
      <c r="L1081" s="266"/>
      <c r="M1081" s="176"/>
      <c r="N1081" s="176"/>
      <c r="O1081" s="176"/>
      <c r="P1081" s="243"/>
      <c r="Q1081" s="243"/>
      <c r="R1081" s="176"/>
      <c r="S1081" s="176"/>
      <c r="T1081" s="176"/>
      <c r="U1081" s="176"/>
      <c r="V1081" s="176"/>
      <c r="W1081" s="176"/>
      <c r="X1081" s="176"/>
      <c r="Y1081" s="176"/>
      <c r="Z1081" s="176"/>
      <c r="AA1081" s="176"/>
    </row>
    <row r="1082">
      <c r="A1082" s="249"/>
      <c r="B1082" s="249"/>
      <c r="C1082" s="250"/>
      <c r="D1082" s="252"/>
      <c r="E1082" s="251"/>
      <c r="F1082" s="219"/>
      <c r="G1082" s="219"/>
      <c r="H1082" s="243"/>
      <c r="I1082" s="243"/>
      <c r="J1082" s="265"/>
      <c r="K1082" s="243"/>
      <c r="L1082" s="266"/>
      <c r="M1082" s="176"/>
      <c r="N1082" s="176"/>
      <c r="O1082" s="176"/>
      <c r="P1082" s="243"/>
      <c r="Q1082" s="243"/>
      <c r="R1082" s="176"/>
      <c r="S1082" s="176"/>
      <c r="T1082" s="176"/>
      <c r="U1082" s="176"/>
      <c r="V1082" s="176"/>
      <c r="W1082" s="176"/>
      <c r="X1082" s="176"/>
      <c r="Y1082" s="176"/>
      <c r="Z1082" s="176"/>
      <c r="AA1082" s="176"/>
    </row>
    <row r="1083">
      <c r="A1083" s="249"/>
      <c r="B1083" s="249"/>
      <c r="C1083" s="250"/>
      <c r="D1083" s="252"/>
      <c r="E1083" s="251"/>
      <c r="F1083" s="219"/>
      <c r="G1083" s="219"/>
      <c r="H1083" s="243"/>
      <c r="I1083" s="243"/>
      <c r="J1083" s="265"/>
      <c r="K1083" s="243"/>
      <c r="L1083" s="266"/>
      <c r="M1083" s="176"/>
      <c r="N1083" s="176"/>
      <c r="O1083" s="176"/>
      <c r="P1083" s="243"/>
      <c r="Q1083" s="243"/>
      <c r="R1083" s="176"/>
      <c r="S1083" s="176"/>
      <c r="T1083" s="176"/>
      <c r="U1083" s="176"/>
      <c r="V1083" s="176"/>
      <c r="W1083" s="176"/>
      <c r="X1083" s="176"/>
      <c r="Y1083" s="176"/>
      <c r="Z1083" s="176"/>
      <c r="AA1083" s="176"/>
    </row>
    <row r="1084">
      <c r="A1084" s="249"/>
      <c r="B1084" s="249"/>
      <c r="C1084" s="250"/>
      <c r="D1084" s="252"/>
      <c r="E1084" s="251"/>
      <c r="F1084" s="219"/>
      <c r="G1084" s="219"/>
      <c r="H1084" s="243"/>
      <c r="I1084" s="243"/>
      <c r="J1084" s="265"/>
      <c r="K1084" s="243"/>
      <c r="L1084" s="266"/>
      <c r="M1084" s="176"/>
      <c r="N1084" s="176"/>
      <c r="O1084" s="176"/>
      <c r="P1084" s="243"/>
      <c r="Q1084" s="243"/>
      <c r="R1084" s="176"/>
      <c r="S1084" s="176"/>
      <c r="T1084" s="176"/>
      <c r="U1084" s="176"/>
      <c r="V1084" s="176"/>
      <c r="W1084" s="176"/>
      <c r="X1084" s="176"/>
      <c r="Y1084" s="176"/>
      <c r="Z1084" s="176"/>
      <c r="AA1084" s="176"/>
    </row>
    <row r="1085">
      <c r="A1085" s="249"/>
      <c r="B1085" s="249"/>
      <c r="C1085" s="250"/>
      <c r="D1085" s="252"/>
      <c r="E1085" s="251"/>
      <c r="F1085" s="219"/>
      <c r="G1085" s="219"/>
      <c r="H1085" s="243"/>
      <c r="I1085" s="243"/>
      <c r="J1085" s="265"/>
      <c r="K1085" s="243"/>
      <c r="L1085" s="266"/>
      <c r="M1085" s="176"/>
      <c r="N1085" s="176"/>
      <c r="O1085" s="176"/>
      <c r="P1085" s="243"/>
      <c r="Q1085" s="243"/>
      <c r="R1085" s="176"/>
      <c r="S1085" s="176"/>
      <c r="T1085" s="176"/>
      <c r="U1085" s="176"/>
      <c r="V1085" s="176"/>
      <c r="W1085" s="176"/>
      <c r="X1085" s="176"/>
      <c r="Y1085" s="176"/>
      <c r="Z1085" s="176"/>
      <c r="AA1085" s="176"/>
    </row>
    <row r="1086">
      <c r="A1086" s="249"/>
      <c r="B1086" s="249"/>
      <c r="C1086" s="250"/>
      <c r="D1086" s="252"/>
      <c r="E1086" s="251"/>
      <c r="F1086" s="219"/>
      <c r="G1086" s="219"/>
      <c r="H1086" s="243"/>
      <c r="I1086" s="243"/>
      <c r="J1086" s="265"/>
      <c r="K1086" s="243"/>
      <c r="L1086" s="266"/>
      <c r="M1086" s="176"/>
      <c r="N1086" s="176"/>
      <c r="O1086" s="176"/>
      <c r="P1086" s="243"/>
      <c r="Q1086" s="243"/>
      <c r="R1086" s="176"/>
      <c r="S1086" s="176"/>
      <c r="T1086" s="176"/>
      <c r="U1086" s="176"/>
      <c r="V1086" s="176"/>
      <c r="W1086" s="176"/>
      <c r="X1086" s="176"/>
      <c r="Y1086" s="176"/>
      <c r="Z1086" s="176"/>
      <c r="AA1086" s="176"/>
    </row>
    <row r="1087">
      <c r="A1087" s="249"/>
      <c r="B1087" s="249"/>
      <c r="C1087" s="250"/>
      <c r="D1087" s="252"/>
      <c r="E1087" s="251"/>
      <c r="F1087" s="219"/>
      <c r="G1087" s="219"/>
      <c r="H1087" s="243"/>
      <c r="I1087" s="243"/>
      <c r="J1087" s="265"/>
      <c r="K1087" s="243"/>
      <c r="L1087" s="266"/>
      <c r="M1087" s="176"/>
      <c r="N1087" s="176"/>
      <c r="O1087" s="176"/>
      <c r="P1087" s="243"/>
      <c r="Q1087" s="243"/>
      <c r="R1087" s="176"/>
      <c r="S1087" s="176"/>
      <c r="T1087" s="176"/>
      <c r="U1087" s="176"/>
      <c r="V1087" s="176"/>
      <c r="W1087" s="176"/>
      <c r="X1087" s="176"/>
      <c r="Y1087" s="176"/>
      <c r="Z1087" s="176"/>
      <c r="AA1087" s="176"/>
    </row>
    <row r="1088">
      <c r="A1088" s="249"/>
      <c r="B1088" s="249"/>
      <c r="C1088" s="250"/>
      <c r="D1088" s="252"/>
      <c r="E1088" s="251"/>
      <c r="F1088" s="219"/>
      <c r="G1088" s="219"/>
      <c r="H1088" s="243"/>
      <c r="I1088" s="243"/>
      <c r="J1088" s="265"/>
      <c r="K1088" s="243"/>
      <c r="L1088" s="266"/>
      <c r="M1088" s="176"/>
      <c r="N1088" s="176"/>
      <c r="O1088" s="176"/>
      <c r="P1088" s="243"/>
      <c r="Q1088" s="243"/>
      <c r="R1088" s="176"/>
      <c r="S1088" s="176"/>
      <c r="T1088" s="176"/>
      <c r="U1088" s="176"/>
      <c r="V1088" s="176"/>
      <c r="W1088" s="176"/>
      <c r="X1088" s="176"/>
      <c r="Y1088" s="176"/>
      <c r="Z1088" s="176"/>
      <c r="AA1088" s="176"/>
    </row>
    <row r="1089">
      <c r="A1089" s="249"/>
      <c r="B1089" s="249"/>
      <c r="C1089" s="250"/>
      <c r="D1089" s="252"/>
      <c r="E1089" s="251"/>
      <c r="F1089" s="219"/>
      <c r="G1089" s="219"/>
      <c r="H1089" s="243"/>
      <c r="I1089" s="243"/>
      <c r="J1089" s="265"/>
      <c r="K1089" s="243"/>
      <c r="L1089" s="266"/>
      <c r="M1089" s="176"/>
      <c r="N1089" s="176"/>
      <c r="O1089" s="176"/>
      <c r="P1089" s="243"/>
      <c r="Q1089" s="243"/>
      <c r="R1089" s="176"/>
      <c r="S1089" s="176"/>
      <c r="T1089" s="176"/>
      <c r="U1089" s="176"/>
      <c r="V1089" s="176"/>
      <c r="W1089" s="176"/>
      <c r="X1089" s="176"/>
      <c r="Y1089" s="176"/>
      <c r="Z1089" s="176"/>
      <c r="AA1089" s="176"/>
    </row>
    <row r="1090">
      <c r="A1090" s="249"/>
      <c r="B1090" s="249"/>
      <c r="C1090" s="250"/>
      <c r="D1090" s="252"/>
      <c r="E1090" s="251"/>
      <c r="F1090" s="219"/>
      <c r="G1090" s="219"/>
      <c r="H1090" s="243"/>
      <c r="I1090" s="243"/>
      <c r="J1090" s="265"/>
      <c r="K1090" s="243"/>
      <c r="L1090" s="266"/>
      <c r="M1090" s="176"/>
      <c r="N1090" s="176"/>
      <c r="O1090" s="176"/>
      <c r="P1090" s="243"/>
      <c r="Q1090" s="243"/>
      <c r="R1090" s="176"/>
      <c r="S1090" s="176"/>
      <c r="T1090" s="176"/>
      <c r="U1090" s="176"/>
      <c r="V1090" s="176"/>
      <c r="W1090" s="176"/>
      <c r="X1090" s="176"/>
      <c r="Y1090" s="176"/>
      <c r="Z1090" s="176"/>
      <c r="AA1090" s="176"/>
    </row>
    <row r="1091">
      <c r="A1091" s="249"/>
      <c r="B1091" s="249"/>
      <c r="C1091" s="250"/>
      <c r="D1091" s="252"/>
      <c r="E1091" s="251"/>
      <c r="F1091" s="219"/>
      <c r="G1091" s="219"/>
      <c r="H1091" s="243"/>
      <c r="I1091" s="243"/>
      <c r="J1091" s="265"/>
      <c r="K1091" s="243"/>
      <c r="L1091" s="266"/>
      <c r="M1091" s="176"/>
      <c r="N1091" s="176"/>
      <c r="O1091" s="176"/>
      <c r="P1091" s="243"/>
      <c r="Q1091" s="243"/>
      <c r="R1091" s="176"/>
      <c r="S1091" s="176"/>
      <c r="T1091" s="176"/>
      <c r="U1091" s="176"/>
      <c r="V1091" s="176"/>
      <c r="W1091" s="176"/>
      <c r="X1091" s="176"/>
      <c r="Y1091" s="176"/>
      <c r="Z1091" s="176"/>
      <c r="AA1091" s="176"/>
    </row>
    <row r="1092">
      <c r="A1092" s="249"/>
      <c r="B1092" s="249"/>
      <c r="C1092" s="250"/>
      <c r="D1092" s="252"/>
      <c r="E1092" s="251"/>
      <c r="F1092" s="219"/>
      <c r="G1092" s="219"/>
      <c r="H1092" s="243"/>
      <c r="I1092" s="243"/>
      <c r="J1092" s="265"/>
      <c r="K1092" s="243"/>
      <c r="L1092" s="266"/>
      <c r="M1092" s="176"/>
      <c r="N1092" s="176"/>
      <c r="O1092" s="176"/>
      <c r="P1092" s="243"/>
      <c r="Q1092" s="243"/>
      <c r="R1092" s="176"/>
      <c r="S1092" s="176"/>
      <c r="T1092" s="176"/>
      <c r="U1092" s="176"/>
      <c r="V1092" s="176"/>
      <c r="W1092" s="176"/>
      <c r="X1092" s="176"/>
      <c r="Y1092" s="176"/>
      <c r="Z1092" s="176"/>
      <c r="AA1092" s="176"/>
    </row>
    <row r="1093">
      <c r="A1093" s="249"/>
      <c r="B1093" s="249"/>
      <c r="C1093" s="250"/>
      <c r="D1093" s="252"/>
      <c r="E1093" s="251"/>
      <c r="F1093" s="219"/>
      <c r="G1093" s="219"/>
      <c r="H1093" s="243"/>
      <c r="I1093" s="243"/>
      <c r="J1093" s="265"/>
      <c r="K1093" s="243"/>
      <c r="L1093" s="266"/>
      <c r="M1093" s="176"/>
      <c r="N1093" s="176"/>
      <c r="O1093" s="176"/>
      <c r="P1093" s="243"/>
      <c r="Q1093" s="243"/>
      <c r="R1093" s="176"/>
      <c r="S1093" s="176"/>
      <c r="T1093" s="176"/>
      <c r="U1093" s="176"/>
      <c r="V1093" s="176"/>
      <c r="W1093" s="176"/>
      <c r="X1093" s="176"/>
      <c r="Y1093" s="176"/>
      <c r="Z1093" s="176"/>
      <c r="AA1093" s="176"/>
    </row>
    <row r="1094">
      <c r="A1094" s="249"/>
      <c r="B1094" s="249"/>
      <c r="C1094" s="250"/>
      <c r="D1094" s="252"/>
      <c r="E1094" s="251"/>
      <c r="F1094" s="219"/>
      <c r="G1094" s="219"/>
      <c r="H1094" s="243"/>
      <c r="I1094" s="243"/>
      <c r="J1094" s="265"/>
      <c r="K1094" s="243"/>
      <c r="L1094" s="266"/>
      <c r="M1094" s="176"/>
      <c r="N1094" s="176"/>
      <c r="O1094" s="176"/>
      <c r="P1094" s="243"/>
      <c r="Q1094" s="243"/>
      <c r="R1094" s="176"/>
      <c r="S1094" s="176"/>
      <c r="T1094" s="176"/>
      <c r="U1094" s="176"/>
      <c r="V1094" s="176"/>
      <c r="W1094" s="176"/>
      <c r="X1094" s="176"/>
      <c r="Y1094" s="176"/>
      <c r="Z1094" s="176"/>
      <c r="AA1094" s="176"/>
    </row>
    <row r="1095">
      <c r="A1095" s="249"/>
      <c r="B1095" s="249"/>
      <c r="C1095" s="250"/>
      <c r="D1095" s="252"/>
      <c r="E1095" s="251"/>
      <c r="F1095" s="219"/>
      <c r="G1095" s="219"/>
      <c r="H1095" s="243"/>
      <c r="I1095" s="243"/>
      <c r="J1095" s="265"/>
      <c r="K1095" s="243"/>
      <c r="L1095" s="266"/>
      <c r="M1095" s="176"/>
      <c r="N1095" s="176"/>
      <c r="O1095" s="176"/>
      <c r="P1095" s="243"/>
      <c r="Q1095" s="243"/>
      <c r="R1095" s="176"/>
      <c r="S1095" s="176"/>
      <c r="T1095" s="176"/>
      <c r="U1095" s="176"/>
      <c r="V1095" s="176"/>
      <c r="W1095" s="176"/>
      <c r="X1095" s="176"/>
      <c r="Y1095" s="176"/>
      <c r="Z1095" s="176"/>
      <c r="AA1095" s="176"/>
    </row>
    <row r="1096">
      <c r="A1096" s="249"/>
      <c r="B1096" s="249"/>
      <c r="C1096" s="250"/>
      <c r="D1096" s="252"/>
      <c r="E1096" s="251"/>
      <c r="F1096" s="219"/>
      <c r="G1096" s="219"/>
      <c r="H1096" s="243"/>
      <c r="I1096" s="243"/>
      <c r="J1096" s="265"/>
      <c r="K1096" s="243"/>
      <c r="L1096" s="266"/>
      <c r="M1096" s="176"/>
      <c r="N1096" s="176"/>
      <c r="O1096" s="176"/>
      <c r="P1096" s="243"/>
      <c r="Q1096" s="243"/>
      <c r="R1096" s="176"/>
      <c r="S1096" s="176"/>
      <c r="T1096" s="176"/>
      <c r="U1096" s="176"/>
      <c r="V1096" s="176"/>
      <c r="W1096" s="176"/>
      <c r="X1096" s="176"/>
      <c r="Y1096" s="176"/>
      <c r="Z1096" s="176"/>
      <c r="AA1096" s="176"/>
    </row>
    <row r="1097">
      <c r="A1097" s="249"/>
      <c r="B1097" s="249"/>
      <c r="C1097" s="250"/>
      <c r="D1097" s="252"/>
      <c r="E1097" s="251"/>
      <c r="F1097" s="219"/>
      <c r="G1097" s="219"/>
      <c r="H1097" s="243"/>
      <c r="I1097" s="243"/>
      <c r="J1097" s="265"/>
      <c r="K1097" s="243"/>
      <c r="L1097" s="266"/>
      <c r="M1097" s="176"/>
      <c r="N1097" s="176"/>
      <c r="O1097" s="176"/>
      <c r="P1097" s="243"/>
      <c r="Q1097" s="243"/>
      <c r="R1097" s="176"/>
      <c r="S1097" s="176"/>
      <c r="T1097" s="176"/>
      <c r="U1097" s="176"/>
      <c r="V1097" s="176"/>
      <c r="W1097" s="176"/>
      <c r="X1097" s="176"/>
      <c r="Y1097" s="176"/>
      <c r="Z1097" s="176"/>
      <c r="AA1097" s="176"/>
    </row>
    <row r="1098">
      <c r="A1098" s="249"/>
      <c r="B1098" s="249"/>
      <c r="C1098" s="250"/>
      <c r="D1098" s="252"/>
      <c r="E1098" s="251"/>
      <c r="F1098" s="219"/>
      <c r="G1098" s="219"/>
      <c r="H1098" s="243"/>
      <c r="I1098" s="243"/>
      <c r="J1098" s="265"/>
      <c r="K1098" s="243"/>
      <c r="L1098" s="266"/>
      <c r="M1098" s="176"/>
      <c r="N1098" s="176"/>
      <c r="O1098" s="176"/>
      <c r="P1098" s="243"/>
      <c r="Q1098" s="243"/>
      <c r="R1098" s="176"/>
      <c r="S1098" s="176"/>
      <c r="T1098" s="176"/>
      <c r="U1098" s="176"/>
      <c r="V1098" s="176"/>
      <c r="W1098" s="176"/>
      <c r="X1098" s="176"/>
      <c r="Y1098" s="176"/>
      <c r="Z1098" s="176"/>
      <c r="AA1098" s="176"/>
    </row>
    <row r="1099">
      <c r="A1099" s="249"/>
      <c r="B1099" s="249"/>
      <c r="C1099" s="250"/>
      <c r="D1099" s="252"/>
      <c r="E1099" s="251"/>
      <c r="F1099" s="219"/>
      <c r="G1099" s="219"/>
      <c r="H1099" s="243"/>
      <c r="I1099" s="243"/>
      <c r="J1099" s="265"/>
      <c r="K1099" s="243"/>
      <c r="L1099" s="266"/>
      <c r="M1099" s="176"/>
      <c r="N1099" s="176"/>
      <c r="O1099" s="176"/>
      <c r="P1099" s="243"/>
      <c r="Q1099" s="243"/>
      <c r="R1099" s="176"/>
      <c r="S1099" s="176"/>
      <c r="T1099" s="176"/>
      <c r="U1099" s="176"/>
      <c r="V1099" s="176"/>
      <c r="W1099" s="176"/>
      <c r="X1099" s="176"/>
      <c r="Y1099" s="176"/>
      <c r="Z1099" s="176"/>
      <c r="AA1099" s="176"/>
    </row>
    <row r="1100">
      <c r="A1100" s="249"/>
      <c r="B1100" s="249"/>
      <c r="C1100" s="250"/>
      <c r="D1100" s="252"/>
      <c r="E1100" s="251"/>
      <c r="F1100" s="219"/>
      <c r="G1100" s="219"/>
      <c r="H1100" s="243"/>
      <c r="I1100" s="243"/>
      <c r="J1100" s="265"/>
      <c r="K1100" s="243"/>
      <c r="L1100" s="266"/>
      <c r="M1100" s="176"/>
      <c r="N1100" s="176"/>
      <c r="O1100" s="176"/>
      <c r="P1100" s="243"/>
      <c r="Q1100" s="243"/>
      <c r="R1100" s="176"/>
      <c r="S1100" s="176"/>
      <c r="T1100" s="176"/>
      <c r="U1100" s="176"/>
      <c r="V1100" s="176"/>
      <c r="W1100" s="176"/>
      <c r="X1100" s="176"/>
      <c r="Y1100" s="176"/>
      <c r="Z1100" s="176"/>
      <c r="AA1100" s="176"/>
    </row>
    <row r="1101">
      <c r="A1101" s="249"/>
      <c r="B1101" s="249"/>
      <c r="C1101" s="250"/>
      <c r="D1101" s="252"/>
      <c r="E1101" s="251"/>
      <c r="F1101" s="219"/>
      <c r="G1101" s="219"/>
      <c r="H1101" s="243"/>
      <c r="I1101" s="243"/>
      <c r="J1101" s="265"/>
      <c r="K1101" s="243"/>
      <c r="L1101" s="266"/>
      <c r="M1101" s="176"/>
      <c r="N1101" s="176"/>
      <c r="O1101" s="176"/>
      <c r="P1101" s="243"/>
      <c r="Q1101" s="243"/>
      <c r="R1101" s="176"/>
      <c r="S1101" s="176"/>
      <c r="T1101" s="176"/>
      <c r="U1101" s="176"/>
      <c r="V1101" s="176"/>
      <c r="W1101" s="176"/>
      <c r="X1101" s="176"/>
      <c r="Y1101" s="176"/>
      <c r="Z1101" s="176"/>
      <c r="AA1101" s="176"/>
    </row>
    <row r="1102">
      <c r="A1102" s="249"/>
      <c r="B1102" s="249"/>
      <c r="C1102" s="250"/>
      <c r="D1102" s="252"/>
      <c r="E1102" s="251"/>
      <c r="F1102" s="219"/>
      <c r="G1102" s="219"/>
      <c r="H1102" s="243"/>
      <c r="I1102" s="243"/>
      <c r="J1102" s="265"/>
      <c r="K1102" s="243"/>
      <c r="L1102" s="266"/>
      <c r="M1102" s="176"/>
      <c r="N1102" s="176"/>
      <c r="O1102" s="176"/>
      <c r="P1102" s="243"/>
      <c r="Q1102" s="243"/>
      <c r="R1102" s="176"/>
      <c r="S1102" s="176"/>
      <c r="T1102" s="176"/>
      <c r="U1102" s="176"/>
      <c r="V1102" s="176"/>
      <c r="W1102" s="176"/>
      <c r="X1102" s="176"/>
      <c r="Y1102" s="176"/>
      <c r="Z1102" s="176"/>
      <c r="AA1102" s="176"/>
    </row>
    <row r="1103">
      <c r="A1103" s="249"/>
      <c r="B1103" s="249"/>
      <c r="C1103" s="250"/>
      <c r="D1103" s="252"/>
      <c r="E1103" s="251"/>
      <c r="F1103" s="219"/>
      <c r="G1103" s="219"/>
      <c r="H1103" s="243"/>
      <c r="I1103" s="243"/>
      <c r="J1103" s="265"/>
      <c r="K1103" s="243"/>
      <c r="L1103" s="266"/>
      <c r="M1103" s="176"/>
      <c r="N1103" s="176"/>
      <c r="O1103" s="176"/>
      <c r="P1103" s="243"/>
      <c r="Q1103" s="243"/>
      <c r="R1103" s="176"/>
      <c r="S1103" s="176"/>
      <c r="T1103" s="176"/>
      <c r="U1103" s="176"/>
      <c r="V1103" s="176"/>
      <c r="W1103" s="176"/>
      <c r="X1103" s="176"/>
      <c r="Y1103" s="176"/>
      <c r="Z1103" s="176"/>
      <c r="AA1103" s="176"/>
    </row>
    <row r="1104">
      <c r="A1104" s="249"/>
      <c r="B1104" s="249"/>
      <c r="C1104" s="250"/>
      <c r="D1104" s="252"/>
      <c r="E1104" s="251"/>
      <c r="F1104" s="219"/>
      <c r="G1104" s="219"/>
      <c r="H1104" s="243"/>
      <c r="I1104" s="243"/>
      <c r="J1104" s="265"/>
      <c r="K1104" s="243"/>
      <c r="L1104" s="266"/>
      <c r="M1104" s="176"/>
      <c r="N1104" s="176"/>
      <c r="O1104" s="176"/>
      <c r="P1104" s="243"/>
      <c r="Q1104" s="243"/>
      <c r="R1104" s="176"/>
      <c r="S1104" s="176"/>
      <c r="T1104" s="176"/>
      <c r="U1104" s="176"/>
      <c r="V1104" s="176"/>
      <c r="W1104" s="176"/>
      <c r="X1104" s="176"/>
      <c r="Y1104" s="176"/>
      <c r="Z1104" s="176"/>
      <c r="AA1104" s="176"/>
    </row>
    <row r="1105">
      <c r="A1105" s="249"/>
      <c r="B1105" s="249"/>
      <c r="C1105" s="250"/>
      <c r="D1105" s="252"/>
      <c r="E1105" s="251"/>
      <c r="F1105" s="219"/>
      <c r="G1105" s="219"/>
      <c r="H1105" s="243"/>
      <c r="I1105" s="243"/>
      <c r="J1105" s="265"/>
      <c r="K1105" s="243"/>
      <c r="L1105" s="266"/>
      <c r="M1105" s="176"/>
      <c r="N1105" s="176"/>
      <c r="O1105" s="176"/>
      <c r="P1105" s="243"/>
      <c r="Q1105" s="243"/>
      <c r="R1105" s="176"/>
      <c r="S1105" s="176"/>
      <c r="T1105" s="176"/>
      <c r="U1105" s="176"/>
      <c r="V1105" s="176"/>
      <c r="W1105" s="176"/>
      <c r="X1105" s="176"/>
      <c r="Y1105" s="176"/>
      <c r="Z1105" s="176"/>
      <c r="AA1105" s="176"/>
    </row>
    <row r="1106">
      <c r="A1106" s="249"/>
      <c r="B1106" s="249"/>
      <c r="C1106" s="250"/>
      <c r="D1106" s="252"/>
      <c r="E1106" s="251"/>
      <c r="F1106" s="219"/>
      <c r="G1106" s="219"/>
      <c r="H1106" s="243"/>
      <c r="I1106" s="243"/>
      <c r="J1106" s="265"/>
      <c r="K1106" s="243"/>
      <c r="L1106" s="266"/>
      <c r="M1106" s="176"/>
      <c r="N1106" s="176"/>
      <c r="O1106" s="176"/>
      <c r="P1106" s="243"/>
      <c r="Q1106" s="243"/>
      <c r="R1106" s="176"/>
      <c r="S1106" s="176"/>
      <c r="T1106" s="176"/>
      <c r="U1106" s="176"/>
      <c r="V1106" s="176"/>
      <c r="W1106" s="176"/>
      <c r="X1106" s="176"/>
      <c r="Y1106" s="176"/>
      <c r="Z1106" s="176"/>
      <c r="AA1106" s="176"/>
    </row>
    <row r="1107">
      <c r="A1107" s="249"/>
      <c r="B1107" s="249"/>
      <c r="C1107" s="250"/>
      <c r="D1107" s="252"/>
      <c r="E1107" s="251"/>
      <c r="F1107" s="219"/>
      <c r="G1107" s="219"/>
      <c r="H1107" s="243"/>
      <c r="I1107" s="243"/>
      <c r="J1107" s="265"/>
      <c r="K1107" s="243"/>
      <c r="L1107" s="266"/>
      <c r="M1107" s="176"/>
      <c r="N1107" s="176"/>
      <c r="O1107" s="176"/>
      <c r="P1107" s="243"/>
      <c r="Q1107" s="243"/>
      <c r="R1107" s="176"/>
      <c r="S1107" s="176"/>
      <c r="T1107" s="176"/>
      <c r="U1107" s="176"/>
      <c r="V1107" s="176"/>
      <c r="W1107" s="176"/>
      <c r="X1107" s="176"/>
      <c r="Y1107" s="176"/>
      <c r="Z1107" s="176"/>
      <c r="AA1107" s="176"/>
    </row>
    <row r="1108">
      <c r="A1108" s="249"/>
      <c r="B1108" s="249"/>
      <c r="C1108" s="250"/>
      <c r="D1108" s="252"/>
      <c r="E1108" s="251"/>
      <c r="F1108" s="219"/>
      <c r="G1108" s="219"/>
      <c r="H1108" s="243"/>
      <c r="I1108" s="243"/>
      <c r="J1108" s="265"/>
      <c r="K1108" s="243"/>
      <c r="L1108" s="266"/>
      <c r="M1108" s="176"/>
      <c r="N1108" s="176"/>
      <c r="O1108" s="176"/>
      <c r="P1108" s="243"/>
      <c r="Q1108" s="243"/>
      <c r="R1108" s="176"/>
      <c r="S1108" s="176"/>
      <c r="T1108" s="176"/>
      <c r="U1108" s="176"/>
      <c r="V1108" s="176"/>
      <c r="W1108" s="176"/>
      <c r="X1108" s="176"/>
      <c r="Y1108" s="176"/>
      <c r="Z1108" s="176"/>
      <c r="AA1108" s="176"/>
    </row>
    <row r="1109">
      <c r="A1109" s="249"/>
      <c r="B1109" s="249"/>
      <c r="C1109" s="250"/>
      <c r="D1109" s="252"/>
      <c r="E1109" s="251"/>
      <c r="F1109" s="219"/>
      <c r="G1109" s="219"/>
      <c r="H1109" s="243"/>
      <c r="I1109" s="243"/>
      <c r="J1109" s="265"/>
      <c r="K1109" s="243"/>
      <c r="L1109" s="266"/>
      <c r="M1109" s="176"/>
      <c r="N1109" s="176"/>
      <c r="O1109" s="176"/>
      <c r="P1109" s="243"/>
      <c r="Q1109" s="243"/>
      <c r="R1109" s="176"/>
      <c r="S1109" s="176"/>
      <c r="T1109" s="176"/>
      <c r="U1109" s="176"/>
      <c r="V1109" s="176"/>
      <c r="W1109" s="176"/>
      <c r="X1109" s="176"/>
      <c r="Y1109" s="176"/>
      <c r="Z1109" s="176"/>
      <c r="AA1109" s="176"/>
    </row>
    <row r="1110">
      <c r="A1110" s="249"/>
      <c r="B1110" s="249"/>
      <c r="C1110" s="250"/>
      <c r="D1110" s="252"/>
      <c r="E1110" s="251"/>
      <c r="F1110" s="219"/>
      <c r="G1110" s="219"/>
      <c r="H1110" s="243"/>
      <c r="I1110" s="243"/>
      <c r="J1110" s="265"/>
      <c r="K1110" s="243"/>
      <c r="L1110" s="266"/>
      <c r="M1110" s="176"/>
      <c r="N1110" s="176"/>
      <c r="O1110" s="176"/>
      <c r="P1110" s="243"/>
      <c r="Q1110" s="243"/>
      <c r="R1110" s="176"/>
      <c r="S1110" s="176"/>
      <c r="T1110" s="176"/>
      <c r="U1110" s="176"/>
      <c r="V1110" s="176"/>
      <c r="W1110" s="176"/>
      <c r="X1110" s="176"/>
      <c r="Y1110" s="176"/>
      <c r="Z1110" s="176"/>
      <c r="AA1110" s="176"/>
    </row>
    <row r="1111">
      <c r="A1111" s="249"/>
      <c r="B1111" s="249"/>
      <c r="C1111" s="250"/>
      <c r="D1111" s="252"/>
      <c r="E1111" s="251"/>
      <c r="F1111" s="219"/>
      <c r="G1111" s="219"/>
      <c r="H1111" s="243"/>
      <c r="I1111" s="243"/>
      <c r="J1111" s="265"/>
      <c r="K1111" s="243"/>
      <c r="L1111" s="266"/>
      <c r="M1111" s="176"/>
      <c r="N1111" s="176"/>
      <c r="O1111" s="176"/>
      <c r="P1111" s="243"/>
      <c r="Q1111" s="243"/>
      <c r="R1111" s="176"/>
      <c r="S1111" s="176"/>
      <c r="T1111" s="176"/>
      <c r="U1111" s="176"/>
      <c r="V1111" s="176"/>
      <c r="W1111" s="176"/>
      <c r="X1111" s="176"/>
      <c r="Y1111" s="176"/>
      <c r="Z1111" s="176"/>
      <c r="AA1111" s="176"/>
    </row>
    <row r="1112">
      <c r="A1112" s="249"/>
      <c r="B1112" s="249"/>
      <c r="C1112" s="250"/>
      <c r="D1112" s="252"/>
      <c r="E1112" s="251"/>
      <c r="F1112" s="219"/>
      <c r="G1112" s="219"/>
      <c r="H1112" s="243"/>
      <c r="I1112" s="243"/>
      <c r="J1112" s="265"/>
      <c r="K1112" s="243"/>
      <c r="L1112" s="266"/>
      <c r="M1112" s="176"/>
      <c r="N1112" s="176"/>
      <c r="O1112" s="176"/>
      <c r="P1112" s="243"/>
      <c r="Q1112" s="243"/>
      <c r="R1112" s="176"/>
      <c r="S1112" s="176"/>
      <c r="T1112" s="176"/>
      <c r="U1112" s="176"/>
      <c r="V1112" s="176"/>
      <c r="W1112" s="176"/>
      <c r="X1112" s="176"/>
      <c r="Y1112" s="176"/>
      <c r="Z1112" s="176"/>
      <c r="AA1112" s="176"/>
    </row>
    <row r="1113">
      <c r="A1113" s="249"/>
      <c r="B1113" s="249"/>
      <c r="C1113" s="250"/>
      <c r="D1113" s="252"/>
      <c r="E1113" s="251"/>
      <c r="F1113" s="219"/>
      <c r="G1113" s="219"/>
      <c r="H1113" s="243"/>
      <c r="I1113" s="243"/>
      <c r="J1113" s="265"/>
      <c r="K1113" s="243"/>
      <c r="L1113" s="266"/>
      <c r="M1113" s="176"/>
      <c r="N1113" s="176"/>
      <c r="O1113" s="176"/>
      <c r="P1113" s="243"/>
      <c r="Q1113" s="243"/>
      <c r="R1113" s="176"/>
      <c r="S1113" s="176"/>
      <c r="T1113" s="176"/>
      <c r="U1113" s="176"/>
      <c r="V1113" s="176"/>
      <c r="W1113" s="176"/>
      <c r="X1113" s="176"/>
      <c r="Y1113" s="176"/>
      <c r="Z1113" s="176"/>
      <c r="AA1113" s="176"/>
    </row>
    <row r="1114">
      <c r="A1114" s="249"/>
      <c r="B1114" s="249"/>
      <c r="C1114" s="250"/>
      <c r="D1114" s="252"/>
      <c r="E1114" s="251"/>
      <c r="F1114" s="219"/>
      <c r="G1114" s="219"/>
      <c r="H1114" s="243"/>
      <c r="I1114" s="243"/>
      <c r="J1114" s="265"/>
      <c r="K1114" s="243"/>
      <c r="L1114" s="266"/>
      <c r="M1114" s="176"/>
      <c r="N1114" s="176"/>
      <c r="O1114" s="176"/>
      <c r="P1114" s="243"/>
      <c r="Q1114" s="243"/>
      <c r="R1114" s="176"/>
      <c r="S1114" s="176"/>
      <c r="T1114" s="176"/>
      <c r="U1114" s="176"/>
      <c r="V1114" s="176"/>
      <c r="W1114" s="176"/>
      <c r="X1114" s="176"/>
      <c r="Y1114" s="176"/>
      <c r="Z1114" s="176"/>
      <c r="AA1114" s="176"/>
    </row>
    <row r="1115">
      <c r="A1115" s="249"/>
      <c r="B1115" s="249"/>
      <c r="C1115" s="250"/>
      <c r="D1115" s="252"/>
      <c r="E1115" s="251"/>
      <c r="F1115" s="219"/>
      <c r="G1115" s="219"/>
      <c r="H1115" s="243"/>
      <c r="I1115" s="243"/>
      <c r="J1115" s="265"/>
      <c r="K1115" s="243"/>
      <c r="L1115" s="266"/>
      <c r="M1115" s="176"/>
      <c r="N1115" s="176"/>
      <c r="O1115" s="176"/>
      <c r="P1115" s="243"/>
      <c r="Q1115" s="243"/>
      <c r="R1115" s="176"/>
      <c r="S1115" s="176"/>
      <c r="T1115" s="176"/>
      <c r="U1115" s="176"/>
      <c r="V1115" s="176"/>
      <c r="W1115" s="176"/>
      <c r="X1115" s="176"/>
      <c r="Y1115" s="176"/>
      <c r="Z1115" s="176"/>
      <c r="AA1115" s="176"/>
    </row>
    <row r="1116">
      <c r="A1116" s="249"/>
      <c r="B1116" s="249"/>
      <c r="C1116" s="250"/>
      <c r="D1116" s="252"/>
      <c r="E1116" s="251"/>
      <c r="F1116" s="219"/>
      <c r="G1116" s="219"/>
      <c r="H1116" s="243"/>
      <c r="I1116" s="243"/>
      <c r="J1116" s="265"/>
      <c r="K1116" s="243"/>
      <c r="L1116" s="266"/>
      <c r="M1116" s="176"/>
      <c r="N1116" s="176"/>
      <c r="O1116" s="176"/>
      <c r="P1116" s="243"/>
      <c r="Q1116" s="243"/>
      <c r="R1116" s="176"/>
      <c r="S1116" s="176"/>
      <c r="T1116" s="176"/>
      <c r="U1116" s="176"/>
      <c r="V1116" s="176"/>
      <c r="W1116" s="176"/>
      <c r="X1116" s="176"/>
      <c r="Y1116" s="176"/>
      <c r="Z1116" s="176"/>
      <c r="AA1116" s="176"/>
    </row>
    <row r="1117">
      <c r="A1117" s="249"/>
      <c r="B1117" s="249"/>
      <c r="C1117" s="250"/>
      <c r="D1117" s="252"/>
      <c r="E1117" s="251"/>
      <c r="F1117" s="219"/>
      <c r="G1117" s="219"/>
      <c r="H1117" s="243"/>
      <c r="I1117" s="243"/>
      <c r="J1117" s="265"/>
      <c r="K1117" s="243"/>
      <c r="L1117" s="266"/>
      <c r="M1117" s="176"/>
      <c r="N1117" s="176"/>
      <c r="O1117" s="176"/>
      <c r="P1117" s="243"/>
      <c r="Q1117" s="243"/>
      <c r="R1117" s="176"/>
      <c r="S1117" s="176"/>
      <c r="T1117" s="176"/>
      <c r="U1117" s="176"/>
      <c r="V1117" s="176"/>
      <c r="W1117" s="176"/>
      <c r="X1117" s="176"/>
      <c r="Y1117" s="176"/>
      <c r="Z1117" s="176"/>
      <c r="AA1117" s="176"/>
    </row>
    <row r="1118">
      <c r="A1118" s="249"/>
      <c r="B1118" s="249"/>
      <c r="C1118" s="250"/>
      <c r="D1118" s="252"/>
      <c r="E1118" s="251"/>
      <c r="F1118" s="219"/>
      <c r="G1118" s="219"/>
      <c r="H1118" s="243"/>
      <c r="I1118" s="243"/>
      <c r="J1118" s="265"/>
      <c r="K1118" s="243"/>
      <c r="L1118" s="266"/>
      <c r="M1118" s="176"/>
      <c r="N1118" s="176"/>
      <c r="O1118" s="176"/>
      <c r="P1118" s="243"/>
      <c r="Q1118" s="243"/>
      <c r="R1118" s="176"/>
      <c r="S1118" s="176"/>
      <c r="T1118" s="176"/>
      <c r="U1118" s="176"/>
      <c r="V1118" s="176"/>
      <c r="W1118" s="176"/>
      <c r="X1118" s="176"/>
      <c r="Y1118" s="176"/>
      <c r="Z1118" s="176"/>
      <c r="AA1118" s="176"/>
    </row>
    <row r="1119">
      <c r="A1119" s="249"/>
      <c r="B1119" s="249"/>
      <c r="C1119" s="250"/>
      <c r="D1119" s="252"/>
      <c r="E1119" s="251"/>
      <c r="F1119" s="219"/>
      <c r="G1119" s="219"/>
      <c r="H1119" s="243"/>
      <c r="I1119" s="243"/>
      <c r="J1119" s="265"/>
      <c r="K1119" s="243"/>
      <c r="L1119" s="266"/>
      <c r="M1119" s="176"/>
      <c r="N1119" s="176"/>
      <c r="O1119" s="176"/>
      <c r="P1119" s="243"/>
      <c r="Q1119" s="243"/>
      <c r="R1119" s="176"/>
      <c r="S1119" s="176"/>
      <c r="T1119" s="176"/>
      <c r="U1119" s="176"/>
      <c r="V1119" s="176"/>
      <c r="W1119" s="176"/>
      <c r="X1119" s="176"/>
      <c r="Y1119" s="176"/>
      <c r="Z1119" s="176"/>
      <c r="AA1119" s="176"/>
    </row>
    <row r="1120">
      <c r="A1120" s="249"/>
      <c r="B1120" s="249"/>
      <c r="C1120" s="250"/>
      <c r="D1120" s="252"/>
      <c r="E1120" s="251"/>
      <c r="F1120" s="219"/>
      <c r="G1120" s="219"/>
      <c r="H1120" s="243"/>
      <c r="I1120" s="243"/>
      <c r="J1120" s="265"/>
      <c r="K1120" s="243"/>
      <c r="L1120" s="266"/>
      <c r="M1120" s="176"/>
      <c r="N1120" s="176"/>
      <c r="O1120" s="176"/>
      <c r="P1120" s="243"/>
      <c r="Q1120" s="243"/>
      <c r="R1120" s="176"/>
      <c r="S1120" s="176"/>
      <c r="T1120" s="176"/>
      <c r="U1120" s="176"/>
      <c r="V1120" s="176"/>
      <c r="W1120" s="176"/>
      <c r="X1120" s="176"/>
      <c r="Y1120" s="176"/>
      <c r="Z1120" s="176"/>
      <c r="AA1120" s="176"/>
    </row>
    <row r="1121">
      <c r="A1121" s="249"/>
      <c r="B1121" s="249"/>
      <c r="C1121" s="250"/>
      <c r="D1121" s="252"/>
      <c r="E1121" s="251"/>
      <c r="F1121" s="219"/>
      <c r="G1121" s="219"/>
      <c r="H1121" s="243"/>
      <c r="I1121" s="243"/>
      <c r="J1121" s="265"/>
      <c r="K1121" s="243"/>
      <c r="L1121" s="266"/>
      <c r="M1121" s="176"/>
      <c r="N1121" s="176"/>
      <c r="O1121" s="176"/>
      <c r="P1121" s="243"/>
      <c r="Q1121" s="243"/>
      <c r="R1121" s="176"/>
      <c r="S1121" s="176"/>
      <c r="T1121" s="176"/>
      <c r="U1121" s="176"/>
      <c r="V1121" s="176"/>
      <c r="W1121" s="176"/>
      <c r="X1121" s="176"/>
      <c r="Y1121" s="176"/>
      <c r="Z1121" s="176"/>
      <c r="AA1121" s="176"/>
    </row>
    <row r="1122">
      <c r="A1122" s="249"/>
      <c r="B1122" s="249"/>
      <c r="C1122" s="250"/>
      <c r="D1122" s="252"/>
      <c r="E1122" s="251"/>
      <c r="F1122" s="219"/>
      <c r="G1122" s="219"/>
      <c r="H1122" s="243"/>
      <c r="I1122" s="243"/>
      <c r="J1122" s="265"/>
      <c r="K1122" s="243"/>
      <c r="L1122" s="266"/>
      <c r="M1122" s="176"/>
      <c r="N1122" s="176"/>
      <c r="O1122" s="176"/>
      <c r="P1122" s="243"/>
      <c r="Q1122" s="243"/>
      <c r="R1122" s="176"/>
      <c r="S1122" s="176"/>
      <c r="T1122" s="176"/>
      <c r="U1122" s="176"/>
      <c r="V1122" s="176"/>
      <c r="W1122" s="176"/>
      <c r="X1122" s="176"/>
      <c r="Y1122" s="176"/>
      <c r="Z1122" s="176"/>
      <c r="AA1122" s="176"/>
    </row>
    <row r="1123">
      <c r="A1123" s="249"/>
      <c r="B1123" s="249"/>
      <c r="C1123" s="250"/>
      <c r="D1123" s="252"/>
      <c r="E1123" s="251"/>
      <c r="F1123" s="219"/>
      <c r="G1123" s="219"/>
      <c r="H1123" s="243"/>
      <c r="I1123" s="243"/>
      <c r="J1123" s="265"/>
      <c r="K1123" s="243"/>
      <c r="L1123" s="266"/>
      <c r="M1123" s="176"/>
      <c r="N1123" s="176"/>
      <c r="O1123" s="176"/>
      <c r="P1123" s="243"/>
      <c r="Q1123" s="243"/>
      <c r="R1123" s="176"/>
      <c r="S1123" s="176"/>
      <c r="T1123" s="176"/>
      <c r="U1123" s="176"/>
      <c r="V1123" s="176"/>
      <c r="W1123" s="176"/>
      <c r="X1123" s="176"/>
      <c r="Y1123" s="176"/>
      <c r="Z1123" s="176"/>
      <c r="AA1123" s="176"/>
    </row>
    <row r="1124">
      <c r="A1124" s="249"/>
      <c r="B1124" s="249"/>
      <c r="C1124" s="250"/>
      <c r="D1124" s="252"/>
      <c r="E1124" s="251"/>
      <c r="F1124" s="219"/>
      <c r="G1124" s="219"/>
      <c r="H1124" s="243"/>
      <c r="I1124" s="243"/>
      <c r="J1124" s="265"/>
      <c r="K1124" s="243"/>
      <c r="L1124" s="266"/>
      <c r="M1124" s="176"/>
      <c r="N1124" s="176"/>
      <c r="O1124" s="176"/>
      <c r="P1124" s="243"/>
      <c r="Q1124" s="243"/>
      <c r="R1124" s="176"/>
      <c r="S1124" s="176"/>
      <c r="T1124" s="176"/>
      <c r="U1124" s="176"/>
      <c r="V1124" s="176"/>
      <c r="W1124" s="176"/>
      <c r="X1124" s="176"/>
      <c r="Y1124" s="176"/>
      <c r="Z1124" s="176"/>
      <c r="AA1124" s="176"/>
    </row>
    <row r="1125">
      <c r="A1125" s="249"/>
      <c r="B1125" s="249"/>
      <c r="C1125" s="250"/>
      <c r="D1125" s="252"/>
      <c r="E1125" s="251"/>
      <c r="F1125" s="219"/>
      <c r="G1125" s="219"/>
      <c r="H1125" s="243"/>
      <c r="I1125" s="243"/>
      <c r="J1125" s="265"/>
      <c r="K1125" s="243"/>
      <c r="L1125" s="266"/>
      <c r="M1125" s="176"/>
      <c r="N1125" s="176"/>
      <c r="O1125" s="176"/>
      <c r="P1125" s="243"/>
      <c r="Q1125" s="243"/>
      <c r="R1125" s="176"/>
      <c r="S1125" s="176"/>
      <c r="T1125" s="176"/>
      <c r="U1125" s="176"/>
      <c r="V1125" s="176"/>
      <c r="W1125" s="176"/>
      <c r="X1125" s="176"/>
      <c r="Y1125" s="176"/>
      <c r="Z1125" s="176"/>
      <c r="AA1125" s="176"/>
    </row>
    <row r="1126">
      <c r="A1126" s="249"/>
      <c r="B1126" s="249"/>
      <c r="C1126" s="250"/>
      <c r="D1126" s="252"/>
      <c r="E1126" s="251"/>
      <c r="F1126" s="219"/>
      <c r="G1126" s="219"/>
      <c r="H1126" s="243"/>
      <c r="I1126" s="243"/>
      <c r="J1126" s="265"/>
      <c r="K1126" s="243"/>
      <c r="L1126" s="266"/>
      <c r="M1126" s="176"/>
      <c r="N1126" s="176"/>
      <c r="O1126" s="176"/>
      <c r="P1126" s="243"/>
      <c r="Q1126" s="243"/>
      <c r="R1126" s="176"/>
      <c r="S1126" s="176"/>
      <c r="T1126" s="176"/>
      <c r="U1126" s="176"/>
      <c r="V1126" s="176"/>
      <c r="W1126" s="176"/>
      <c r="X1126" s="176"/>
      <c r="Y1126" s="176"/>
      <c r="Z1126" s="176"/>
      <c r="AA1126" s="176"/>
    </row>
    <row r="1127">
      <c r="A1127" s="249"/>
      <c r="B1127" s="249"/>
      <c r="C1127" s="250"/>
      <c r="D1127" s="252"/>
      <c r="E1127" s="251"/>
      <c r="F1127" s="219"/>
      <c r="G1127" s="219"/>
      <c r="H1127" s="243"/>
      <c r="I1127" s="243"/>
      <c r="J1127" s="265"/>
      <c r="K1127" s="243"/>
      <c r="L1127" s="266"/>
      <c r="M1127" s="176"/>
      <c r="N1127" s="176"/>
      <c r="O1127" s="176"/>
      <c r="P1127" s="243"/>
      <c r="Q1127" s="243"/>
      <c r="R1127" s="176"/>
      <c r="S1127" s="176"/>
      <c r="T1127" s="176"/>
      <c r="U1127" s="176"/>
      <c r="V1127" s="176"/>
      <c r="W1127" s="176"/>
      <c r="X1127" s="176"/>
      <c r="Y1127" s="176"/>
      <c r="Z1127" s="176"/>
      <c r="AA1127" s="176"/>
    </row>
    <row r="1128">
      <c r="A1128" s="249"/>
      <c r="B1128" s="249"/>
      <c r="C1128" s="250"/>
      <c r="D1128" s="252"/>
      <c r="E1128" s="251"/>
      <c r="F1128" s="219"/>
      <c r="G1128" s="219"/>
      <c r="H1128" s="243"/>
      <c r="I1128" s="243"/>
      <c r="J1128" s="265"/>
      <c r="K1128" s="243"/>
      <c r="L1128" s="266"/>
      <c r="M1128" s="176"/>
      <c r="N1128" s="176"/>
      <c r="O1128" s="176"/>
      <c r="P1128" s="243"/>
      <c r="Q1128" s="243"/>
      <c r="R1128" s="176"/>
      <c r="S1128" s="176"/>
      <c r="T1128" s="176"/>
      <c r="U1128" s="176"/>
      <c r="V1128" s="176"/>
      <c r="W1128" s="176"/>
      <c r="X1128" s="176"/>
      <c r="Y1128" s="176"/>
      <c r="Z1128" s="176"/>
      <c r="AA1128" s="176"/>
    </row>
    <row r="1129">
      <c r="A1129" s="249"/>
      <c r="B1129" s="249"/>
      <c r="C1129" s="250"/>
      <c r="D1129" s="252"/>
      <c r="E1129" s="251"/>
      <c r="F1129" s="219"/>
      <c r="G1129" s="219"/>
      <c r="H1129" s="243"/>
      <c r="I1129" s="243"/>
      <c r="J1129" s="265"/>
      <c r="K1129" s="243"/>
      <c r="L1129" s="266"/>
      <c r="M1129" s="176"/>
      <c r="N1129" s="176"/>
      <c r="O1129" s="176"/>
      <c r="P1129" s="243"/>
      <c r="Q1129" s="243"/>
      <c r="R1129" s="176"/>
      <c r="S1129" s="176"/>
      <c r="T1129" s="176"/>
      <c r="U1129" s="176"/>
      <c r="V1129" s="176"/>
      <c r="W1129" s="176"/>
      <c r="X1129" s="176"/>
      <c r="Y1129" s="176"/>
      <c r="Z1129" s="176"/>
      <c r="AA1129" s="176"/>
    </row>
    <row r="1130">
      <c r="A1130" s="249"/>
      <c r="B1130" s="249"/>
      <c r="C1130" s="250"/>
      <c r="D1130" s="252"/>
      <c r="E1130" s="251"/>
      <c r="F1130" s="219"/>
      <c r="G1130" s="219"/>
      <c r="H1130" s="243"/>
      <c r="I1130" s="243"/>
      <c r="J1130" s="265"/>
      <c r="K1130" s="243"/>
      <c r="L1130" s="266"/>
      <c r="M1130" s="176"/>
      <c r="N1130" s="176"/>
      <c r="O1130" s="176"/>
      <c r="P1130" s="243"/>
      <c r="Q1130" s="243"/>
      <c r="R1130" s="176"/>
      <c r="S1130" s="176"/>
      <c r="T1130" s="176"/>
      <c r="U1130" s="176"/>
      <c r="V1130" s="176"/>
      <c r="W1130" s="176"/>
      <c r="X1130" s="176"/>
      <c r="Y1130" s="176"/>
      <c r="Z1130" s="176"/>
      <c r="AA1130" s="176"/>
    </row>
    <row r="1131">
      <c r="A1131" s="249"/>
      <c r="B1131" s="249"/>
      <c r="C1131" s="250"/>
      <c r="D1131" s="252"/>
      <c r="E1131" s="251"/>
      <c r="F1131" s="219"/>
      <c r="G1131" s="219"/>
      <c r="H1131" s="243"/>
      <c r="I1131" s="243"/>
      <c r="J1131" s="265"/>
      <c r="K1131" s="243"/>
      <c r="L1131" s="266"/>
      <c r="M1131" s="176"/>
      <c r="N1131" s="176"/>
      <c r="O1131" s="176"/>
      <c r="P1131" s="243"/>
      <c r="Q1131" s="243"/>
      <c r="R1131" s="176"/>
      <c r="S1131" s="176"/>
      <c r="T1131" s="176"/>
      <c r="U1131" s="176"/>
      <c r="V1131" s="176"/>
      <c r="W1131" s="176"/>
      <c r="X1131" s="176"/>
      <c r="Y1131" s="176"/>
      <c r="Z1131" s="176"/>
      <c r="AA1131" s="176"/>
    </row>
    <row r="1132">
      <c r="A1132" s="249"/>
      <c r="B1132" s="249"/>
      <c r="C1132" s="250"/>
      <c r="D1132" s="252"/>
      <c r="E1132" s="251"/>
      <c r="F1132" s="219"/>
      <c r="G1132" s="219"/>
      <c r="H1132" s="243"/>
      <c r="I1132" s="243"/>
      <c r="J1132" s="265"/>
      <c r="K1132" s="243"/>
      <c r="L1132" s="266"/>
      <c r="M1132" s="176"/>
      <c r="N1132" s="176"/>
      <c r="O1132" s="176"/>
      <c r="P1132" s="243"/>
      <c r="Q1132" s="243"/>
      <c r="R1132" s="176"/>
      <c r="S1132" s="176"/>
      <c r="T1132" s="176"/>
      <c r="U1132" s="176"/>
      <c r="V1132" s="176"/>
      <c r="W1132" s="176"/>
      <c r="X1132" s="176"/>
      <c r="Y1132" s="176"/>
      <c r="Z1132" s="176"/>
      <c r="AA1132" s="176"/>
    </row>
    <row r="1133">
      <c r="A1133" s="249"/>
      <c r="B1133" s="249"/>
      <c r="C1133" s="250"/>
      <c r="D1133" s="252"/>
      <c r="E1133" s="251"/>
      <c r="F1133" s="219"/>
      <c r="G1133" s="219"/>
      <c r="H1133" s="243"/>
      <c r="I1133" s="243"/>
      <c r="J1133" s="265"/>
      <c r="K1133" s="243"/>
      <c r="L1133" s="266"/>
      <c r="M1133" s="176"/>
      <c r="N1133" s="176"/>
      <c r="O1133" s="176"/>
      <c r="P1133" s="243"/>
      <c r="Q1133" s="243"/>
      <c r="R1133" s="176"/>
      <c r="S1133" s="176"/>
      <c r="T1133" s="176"/>
      <c r="U1133" s="176"/>
      <c r="V1133" s="176"/>
      <c r="W1133" s="176"/>
      <c r="X1133" s="176"/>
      <c r="Y1133" s="176"/>
      <c r="Z1133" s="176"/>
      <c r="AA1133" s="176"/>
    </row>
    <row r="1134">
      <c r="A1134" s="249"/>
      <c r="B1134" s="249"/>
      <c r="C1134" s="250"/>
      <c r="D1134" s="252"/>
      <c r="E1134" s="251"/>
      <c r="F1134" s="219"/>
      <c r="G1134" s="219"/>
      <c r="H1134" s="243"/>
      <c r="I1134" s="243"/>
      <c r="J1134" s="265"/>
      <c r="K1134" s="243"/>
      <c r="L1134" s="266"/>
      <c r="M1134" s="176"/>
      <c r="N1134" s="176"/>
      <c r="O1134" s="176"/>
      <c r="P1134" s="243"/>
      <c r="Q1134" s="243"/>
      <c r="R1134" s="176"/>
      <c r="S1134" s="176"/>
      <c r="T1134" s="176"/>
      <c r="U1134" s="176"/>
      <c r="V1134" s="176"/>
      <c r="W1134" s="176"/>
      <c r="X1134" s="176"/>
      <c r="Y1134" s="176"/>
      <c r="Z1134" s="176"/>
      <c r="AA1134" s="176"/>
    </row>
    <row r="1135">
      <c r="A1135" s="249"/>
      <c r="B1135" s="249"/>
      <c r="C1135" s="250"/>
      <c r="D1135" s="252"/>
      <c r="E1135" s="251"/>
      <c r="F1135" s="219"/>
      <c r="G1135" s="219"/>
      <c r="H1135" s="243"/>
      <c r="I1135" s="243"/>
      <c r="J1135" s="265"/>
      <c r="K1135" s="243"/>
      <c r="L1135" s="266"/>
      <c r="M1135" s="176"/>
      <c r="N1135" s="176"/>
      <c r="O1135" s="176"/>
      <c r="P1135" s="243"/>
      <c r="Q1135" s="243"/>
      <c r="R1135" s="176"/>
      <c r="S1135" s="176"/>
      <c r="T1135" s="176"/>
      <c r="U1135" s="176"/>
      <c r="V1135" s="176"/>
      <c r="W1135" s="176"/>
      <c r="X1135" s="176"/>
      <c r="Y1135" s="176"/>
      <c r="Z1135" s="176"/>
      <c r="AA1135" s="176"/>
    </row>
    <row r="1136">
      <c r="A1136" s="249"/>
      <c r="B1136" s="249"/>
      <c r="C1136" s="250"/>
      <c r="D1136" s="252"/>
      <c r="E1136" s="251"/>
      <c r="F1136" s="219"/>
      <c r="G1136" s="219"/>
      <c r="H1136" s="243"/>
      <c r="I1136" s="243"/>
      <c r="J1136" s="265"/>
      <c r="K1136" s="243"/>
      <c r="L1136" s="266"/>
      <c r="M1136" s="176"/>
      <c r="N1136" s="176"/>
      <c r="O1136" s="176"/>
      <c r="P1136" s="243"/>
      <c r="Q1136" s="243"/>
      <c r="R1136" s="176"/>
      <c r="S1136" s="176"/>
      <c r="T1136" s="176"/>
      <c r="U1136" s="176"/>
      <c r="V1136" s="176"/>
      <c r="W1136" s="176"/>
      <c r="X1136" s="176"/>
      <c r="Y1136" s="176"/>
      <c r="Z1136" s="176"/>
      <c r="AA1136" s="176"/>
    </row>
    <row r="1137">
      <c r="A1137" s="249"/>
      <c r="B1137" s="249"/>
      <c r="C1137" s="250"/>
      <c r="D1137" s="252"/>
      <c r="E1137" s="251"/>
      <c r="F1137" s="219"/>
      <c r="G1137" s="219"/>
      <c r="H1137" s="243"/>
      <c r="I1137" s="243"/>
      <c r="J1137" s="265"/>
      <c r="K1137" s="243"/>
      <c r="L1137" s="266"/>
      <c r="M1137" s="176"/>
      <c r="N1137" s="176"/>
      <c r="O1137" s="176"/>
      <c r="P1137" s="243"/>
      <c r="Q1137" s="243"/>
      <c r="R1137" s="176"/>
      <c r="S1137" s="176"/>
      <c r="T1137" s="176"/>
      <c r="U1137" s="176"/>
      <c r="V1137" s="176"/>
      <c r="W1137" s="176"/>
      <c r="X1137" s="176"/>
      <c r="Y1137" s="176"/>
      <c r="Z1137" s="176"/>
      <c r="AA1137" s="176"/>
    </row>
    <row r="1138">
      <c r="A1138" s="249"/>
      <c r="B1138" s="249"/>
      <c r="C1138" s="250"/>
      <c r="D1138" s="252"/>
      <c r="E1138" s="251"/>
      <c r="F1138" s="219"/>
      <c r="G1138" s="219"/>
      <c r="H1138" s="243"/>
      <c r="I1138" s="243"/>
      <c r="J1138" s="265"/>
      <c r="K1138" s="243"/>
      <c r="L1138" s="266"/>
      <c r="M1138" s="176"/>
      <c r="N1138" s="176"/>
      <c r="O1138" s="176"/>
      <c r="P1138" s="243"/>
      <c r="Q1138" s="243"/>
      <c r="R1138" s="176"/>
      <c r="S1138" s="176"/>
      <c r="T1138" s="176"/>
      <c r="U1138" s="176"/>
      <c r="V1138" s="176"/>
      <c r="W1138" s="176"/>
      <c r="X1138" s="176"/>
      <c r="Y1138" s="176"/>
      <c r="Z1138" s="176"/>
      <c r="AA1138" s="176"/>
    </row>
    <row r="1139">
      <c r="A1139" s="249"/>
      <c r="B1139" s="249"/>
      <c r="C1139" s="250"/>
      <c r="D1139" s="252"/>
      <c r="E1139" s="251"/>
      <c r="F1139" s="219"/>
      <c r="G1139" s="219"/>
      <c r="H1139" s="243"/>
      <c r="I1139" s="243"/>
      <c r="J1139" s="265"/>
      <c r="K1139" s="243"/>
      <c r="L1139" s="266"/>
      <c r="M1139" s="176"/>
      <c r="N1139" s="176"/>
      <c r="O1139" s="176"/>
      <c r="P1139" s="243"/>
      <c r="Q1139" s="243"/>
      <c r="R1139" s="176"/>
      <c r="S1139" s="176"/>
      <c r="T1139" s="176"/>
      <c r="U1139" s="176"/>
      <c r="V1139" s="176"/>
      <c r="W1139" s="176"/>
      <c r="X1139" s="176"/>
      <c r="Y1139" s="176"/>
      <c r="Z1139" s="176"/>
      <c r="AA1139" s="176"/>
    </row>
    <row r="1140">
      <c r="A1140" s="249"/>
      <c r="B1140" s="249"/>
      <c r="C1140" s="250"/>
      <c r="D1140" s="252"/>
      <c r="E1140" s="251"/>
      <c r="F1140" s="219"/>
      <c r="G1140" s="219"/>
      <c r="H1140" s="243"/>
      <c r="I1140" s="243"/>
      <c r="J1140" s="265"/>
      <c r="K1140" s="243"/>
      <c r="L1140" s="266"/>
      <c r="M1140" s="176"/>
      <c r="N1140" s="176"/>
      <c r="O1140" s="176"/>
      <c r="P1140" s="243"/>
      <c r="Q1140" s="243"/>
      <c r="R1140" s="176"/>
      <c r="S1140" s="176"/>
      <c r="T1140" s="176"/>
      <c r="U1140" s="176"/>
      <c r="V1140" s="176"/>
      <c r="W1140" s="176"/>
      <c r="X1140" s="176"/>
      <c r="Y1140" s="176"/>
      <c r="Z1140" s="176"/>
      <c r="AA1140" s="176"/>
    </row>
    <row r="1141">
      <c r="A1141" s="249"/>
      <c r="B1141" s="249"/>
      <c r="C1141" s="250"/>
      <c r="D1141" s="252"/>
      <c r="E1141" s="251"/>
      <c r="F1141" s="219"/>
      <c r="G1141" s="219"/>
      <c r="H1141" s="243"/>
      <c r="I1141" s="243"/>
      <c r="J1141" s="265"/>
      <c r="K1141" s="243"/>
      <c r="L1141" s="266"/>
      <c r="M1141" s="176"/>
      <c r="N1141" s="176"/>
      <c r="O1141" s="176"/>
      <c r="P1141" s="243"/>
      <c r="Q1141" s="243"/>
      <c r="R1141" s="176"/>
      <c r="S1141" s="176"/>
      <c r="T1141" s="176"/>
      <c r="U1141" s="176"/>
      <c r="V1141" s="176"/>
      <c r="W1141" s="176"/>
      <c r="X1141" s="176"/>
      <c r="Y1141" s="176"/>
      <c r="Z1141" s="176"/>
      <c r="AA1141" s="176"/>
    </row>
    <row r="1142">
      <c r="A1142" s="249"/>
      <c r="B1142" s="249"/>
      <c r="C1142" s="250"/>
      <c r="D1142" s="252"/>
      <c r="E1142" s="251"/>
      <c r="F1142" s="219"/>
      <c r="G1142" s="219"/>
      <c r="H1142" s="243"/>
      <c r="I1142" s="243"/>
      <c r="J1142" s="265"/>
      <c r="K1142" s="243"/>
      <c r="L1142" s="266"/>
      <c r="M1142" s="176"/>
      <c r="N1142" s="176"/>
      <c r="O1142" s="176"/>
      <c r="P1142" s="243"/>
      <c r="Q1142" s="243"/>
      <c r="R1142" s="176"/>
      <c r="S1142" s="176"/>
      <c r="T1142" s="176"/>
      <c r="U1142" s="176"/>
      <c r="V1142" s="176"/>
      <c r="W1142" s="176"/>
      <c r="X1142" s="176"/>
      <c r="Y1142" s="176"/>
      <c r="Z1142" s="176"/>
      <c r="AA1142" s="176"/>
    </row>
    <row r="1143">
      <c r="A1143" s="249"/>
      <c r="B1143" s="249"/>
      <c r="C1143" s="250"/>
      <c r="D1143" s="252"/>
      <c r="E1143" s="251"/>
      <c r="F1143" s="219"/>
      <c r="G1143" s="219"/>
      <c r="H1143" s="243"/>
      <c r="I1143" s="243"/>
      <c r="J1143" s="265"/>
      <c r="K1143" s="243"/>
      <c r="L1143" s="266"/>
      <c r="M1143" s="176"/>
      <c r="N1143" s="176"/>
      <c r="O1143" s="176"/>
      <c r="P1143" s="243"/>
      <c r="Q1143" s="243"/>
      <c r="R1143" s="176"/>
      <c r="S1143" s="176"/>
      <c r="T1143" s="176"/>
      <c r="U1143" s="176"/>
      <c r="V1143" s="176"/>
      <c r="W1143" s="176"/>
      <c r="X1143" s="176"/>
      <c r="Y1143" s="176"/>
      <c r="Z1143" s="176"/>
      <c r="AA1143" s="176"/>
    </row>
    <row r="1144">
      <c r="A1144" s="249"/>
      <c r="B1144" s="249"/>
      <c r="C1144" s="250"/>
      <c r="D1144" s="252"/>
      <c r="E1144" s="251"/>
      <c r="F1144" s="219"/>
      <c r="G1144" s="219"/>
      <c r="H1144" s="243"/>
      <c r="I1144" s="243"/>
      <c r="J1144" s="265"/>
      <c r="K1144" s="243"/>
      <c r="L1144" s="266"/>
      <c r="M1144" s="176"/>
      <c r="N1144" s="176"/>
      <c r="O1144" s="176"/>
      <c r="P1144" s="243"/>
      <c r="Q1144" s="243"/>
      <c r="R1144" s="176"/>
      <c r="S1144" s="176"/>
      <c r="T1144" s="176"/>
      <c r="U1144" s="176"/>
      <c r="V1144" s="176"/>
      <c r="W1144" s="176"/>
      <c r="X1144" s="176"/>
      <c r="Y1144" s="176"/>
      <c r="Z1144" s="176"/>
      <c r="AA1144" s="176"/>
    </row>
    <row r="1145">
      <c r="A1145" s="249"/>
      <c r="B1145" s="249"/>
      <c r="C1145" s="250"/>
      <c r="D1145" s="252"/>
      <c r="E1145" s="251"/>
      <c r="F1145" s="219"/>
      <c r="G1145" s="219"/>
      <c r="H1145" s="243"/>
      <c r="I1145" s="243"/>
      <c r="J1145" s="265"/>
      <c r="K1145" s="243"/>
      <c r="L1145" s="266"/>
      <c r="M1145" s="176"/>
      <c r="N1145" s="176"/>
      <c r="O1145" s="176"/>
      <c r="P1145" s="243"/>
      <c r="Q1145" s="243"/>
      <c r="R1145" s="176"/>
      <c r="S1145" s="176"/>
      <c r="T1145" s="176"/>
      <c r="U1145" s="176"/>
      <c r="V1145" s="176"/>
      <c r="W1145" s="176"/>
      <c r="X1145" s="176"/>
      <c r="Y1145" s="176"/>
      <c r="Z1145" s="176"/>
      <c r="AA1145" s="176"/>
    </row>
    <row r="1146">
      <c r="A1146" s="249"/>
      <c r="B1146" s="249"/>
      <c r="C1146" s="250"/>
      <c r="D1146" s="252"/>
      <c r="E1146" s="251"/>
      <c r="F1146" s="219"/>
      <c r="G1146" s="219"/>
      <c r="H1146" s="243"/>
      <c r="I1146" s="243"/>
      <c r="J1146" s="265"/>
      <c r="K1146" s="243"/>
      <c r="L1146" s="266"/>
      <c r="M1146" s="176"/>
      <c r="N1146" s="176"/>
      <c r="O1146" s="176"/>
      <c r="P1146" s="243"/>
      <c r="Q1146" s="243"/>
      <c r="R1146" s="176"/>
      <c r="S1146" s="176"/>
      <c r="T1146" s="176"/>
      <c r="U1146" s="176"/>
      <c r="V1146" s="176"/>
      <c r="W1146" s="176"/>
      <c r="X1146" s="176"/>
      <c r="Y1146" s="176"/>
      <c r="Z1146" s="176"/>
      <c r="AA1146" s="176"/>
    </row>
    <row r="1147">
      <c r="A1147" s="249"/>
      <c r="B1147" s="249"/>
      <c r="C1147" s="250"/>
      <c r="D1147" s="252"/>
      <c r="E1147" s="251"/>
      <c r="F1147" s="219"/>
      <c r="G1147" s="219"/>
      <c r="H1147" s="243"/>
      <c r="I1147" s="243"/>
      <c r="J1147" s="265"/>
      <c r="K1147" s="243"/>
      <c r="L1147" s="266"/>
      <c r="M1147" s="176"/>
      <c r="N1147" s="176"/>
      <c r="O1147" s="176"/>
      <c r="P1147" s="243"/>
      <c r="Q1147" s="243"/>
      <c r="R1147" s="176"/>
      <c r="S1147" s="176"/>
      <c r="T1147" s="176"/>
      <c r="U1147" s="176"/>
      <c r="V1147" s="176"/>
      <c r="W1147" s="176"/>
      <c r="X1147" s="176"/>
      <c r="Y1147" s="176"/>
      <c r="Z1147" s="176"/>
      <c r="AA1147" s="176"/>
    </row>
    <row r="1148">
      <c r="A1148" s="249"/>
      <c r="B1148" s="249"/>
      <c r="C1148" s="250"/>
      <c r="D1148" s="252"/>
      <c r="E1148" s="251"/>
      <c r="F1148" s="219"/>
      <c r="G1148" s="219"/>
      <c r="H1148" s="243"/>
      <c r="I1148" s="243"/>
      <c r="J1148" s="265"/>
      <c r="K1148" s="243"/>
      <c r="L1148" s="266"/>
      <c r="M1148" s="176"/>
      <c r="N1148" s="176"/>
      <c r="O1148" s="176"/>
      <c r="P1148" s="243"/>
      <c r="Q1148" s="243"/>
      <c r="R1148" s="176"/>
      <c r="S1148" s="176"/>
      <c r="T1148" s="176"/>
      <c r="U1148" s="176"/>
      <c r="V1148" s="176"/>
      <c r="W1148" s="176"/>
      <c r="X1148" s="176"/>
      <c r="Y1148" s="176"/>
      <c r="Z1148" s="176"/>
      <c r="AA1148" s="176"/>
    </row>
    <row r="1149">
      <c r="A1149" s="249"/>
      <c r="B1149" s="249"/>
      <c r="C1149" s="250"/>
      <c r="D1149" s="252"/>
      <c r="E1149" s="251"/>
      <c r="F1149" s="219"/>
      <c r="G1149" s="219"/>
      <c r="H1149" s="243"/>
      <c r="I1149" s="243"/>
      <c r="J1149" s="265"/>
      <c r="K1149" s="243"/>
      <c r="L1149" s="266"/>
      <c r="M1149" s="176"/>
      <c r="N1149" s="176"/>
      <c r="O1149" s="176"/>
      <c r="P1149" s="243"/>
      <c r="Q1149" s="243"/>
      <c r="R1149" s="176"/>
      <c r="S1149" s="176"/>
      <c r="T1149" s="176"/>
      <c r="U1149" s="176"/>
      <c r="V1149" s="176"/>
      <c r="W1149" s="176"/>
      <c r="X1149" s="176"/>
      <c r="Y1149" s="176"/>
      <c r="Z1149" s="176"/>
      <c r="AA1149" s="176"/>
    </row>
    <row r="1150">
      <c r="A1150" s="249"/>
      <c r="B1150" s="249"/>
      <c r="C1150" s="250"/>
      <c r="D1150" s="252"/>
      <c r="E1150" s="251"/>
      <c r="F1150" s="219"/>
      <c r="G1150" s="219"/>
      <c r="H1150" s="243"/>
      <c r="I1150" s="243"/>
      <c r="J1150" s="265"/>
      <c r="K1150" s="243"/>
      <c r="L1150" s="266"/>
      <c r="M1150" s="176"/>
      <c r="N1150" s="176"/>
      <c r="O1150" s="176"/>
      <c r="P1150" s="243"/>
      <c r="Q1150" s="243"/>
      <c r="R1150" s="176"/>
      <c r="S1150" s="176"/>
      <c r="T1150" s="176"/>
      <c r="U1150" s="176"/>
      <c r="V1150" s="176"/>
      <c r="W1150" s="176"/>
      <c r="X1150" s="176"/>
      <c r="Y1150" s="176"/>
      <c r="Z1150" s="176"/>
      <c r="AA1150" s="176"/>
    </row>
    <row r="1151">
      <c r="A1151" s="249"/>
      <c r="B1151" s="249"/>
      <c r="C1151" s="250"/>
      <c r="D1151" s="252"/>
      <c r="E1151" s="251"/>
      <c r="F1151" s="219"/>
      <c r="G1151" s="219"/>
      <c r="H1151" s="243"/>
      <c r="I1151" s="243"/>
      <c r="J1151" s="265"/>
      <c r="K1151" s="243"/>
      <c r="L1151" s="266"/>
      <c r="M1151" s="176"/>
      <c r="N1151" s="176"/>
      <c r="O1151" s="176"/>
      <c r="P1151" s="243"/>
      <c r="Q1151" s="243"/>
      <c r="R1151" s="176"/>
      <c r="S1151" s="176"/>
      <c r="T1151" s="176"/>
      <c r="U1151" s="176"/>
      <c r="V1151" s="176"/>
      <c r="W1151" s="176"/>
      <c r="X1151" s="176"/>
      <c r="Y1151" s="176"/>
      <c r="Z1151" s="176"/>
      <c r="AA1151" s="176"/>
    </row>
    <row r="1152">
      <c r="A1152" s="249"/>
      <c r="B1152" s="249"/>
      <c r="C1152" s="250"/>
      <c r="D1152" s="252"/>
      <c r="E1152" s="251"/>
      <c r="F1152" s="219"/>
      <c r="G1152" s="219"/>
      <c r="H1152" s="243"/>
      <c r="I1152" s="243"/>
      <c r="J1152" s="265"/>
      <c r="K1152" s="243"/>
      <c r="L1152" s="266"/>
      <c r="M1152" s="176"/>
      <c r="N1152" s="176"/>
      <c r="O1152" s="176"/>
      <c r="P1152" s="243"/>
      <c r="Q1152" s="243"/>
      <c r="R1152" s="176"/>
      <c r="S1152" s="176"/>
      <c r="T1152" s="176"/>
      <c r="U1152" s="176"/>
      <c r="V1152" s="176"/>
      <c r="W1152" s="176"/>
      <c r="X1152" s="176"/>
      <c r="Y1152" s="176"/>
      <c r="Z1152" s="176"/>
      <c r="AA1152" s="176"/>
    </row>
    <row r="1153">
      <c r="A1153" s="249"/>
      <c r="B1153" s="249"/>
      <c r="C1153" s="250"/>
      <c r="D1153" s="252"/>
      <c r="E1153" s="251"/>
      <c r="F1153" s="219"/>
      <c r="G1153" s="219"/>
      <c r="H1153" s="243"/>
      <c r="I1153" s="243"/>
      <c r="J1153" s="265"/>
      <c r="K1153" s="243"/>
      <c r="L1153" s="266"/>
      <c r="M1153" s="176"/>
      <c r="N1153" s="176"/>
      <c r="O1153" s="176"/>
      <c r="P1153" s="243"/>
      <c r="Q1153" s="243"/>
      <c r="R1153" s="176"/>
      <c r="S1153" s="176"/>
      <c r="T1153" s="176"/>
      <c r="U1153" s="176"/>
      <c r="V1153" s="176"/>
      <c r="W1153" s="176"/>
      <c r="X1153" s="176"/>
      <c r="Y1153" s="176"/>
      <c r="Z1153" s="176"/>
      <c r="AA1153" s="176"/>
    </row>
    <row r="1154">
      <c r="A1154" s="249"/>
      <c r="B1154" s="249"/>
      <c r="C1154" s="250"/>
      <c r="D1154" s="252"/>
      <c r="E1154" s="251"/>
      <c r="F1154" s="219"/>
      <c r="G1154" s="219"/>
      <c r="H1154" s="243"/>
      <c r="I1154" s="243"/>
      <c r="J1154" s="265"/>
      <c r="K1154" s="243"/>
      <c r="L1154" s="266"/>
      <c r="M1154" s="176"/>
      <c r="N1154" s="176"/>
      <c r="O1154" s="176"/>
      <c r="P1154" s="243"/>
      <c r="Q1154" s="243"/>
      <c r="R1154" s="176"/>
      <c r="S1154" s="176"/>
      <c r="T1154" s="176"/>
      <c r="U1154" s="176"/>
      <c r="V1154" s="176"/>
      <c r="W1154" s="176"/>
      <c r="X1154" s="176"/>
      <c r="Y1154" s="176"/>
      <c r="Z1154" s="176"/>
      <c r="AA1154" s="176"/>
    </row>
    <row r="1155">
      <c r="A1155" s="249"/>
      <c r="B1155" s="249"/>
      <c r="C1155" s="250"/>
      <c r="D1155" s="252"/>
      <c r="E1155" s="251"/>
      <c r="F1155" s="219"/>
      <c r="G1155" s="219"/>
      <c r="H1155" s="243"/>
      <c r="I1155" s="243"/>
      <c r="J1155" s="265"/>
      <c r="K1155" s="243"/>
      <c r="L1155" s="266"/>
      <c r="M1155" s="176"/>
      <c r="N1155" s="176"/>
      <c r="O1155" s="176"/>
      <c r="P1155" s="243"/>
      <c r="Q1155" s="243"/>
      <c r="R1155" s="176"/>
      <c r="S1155" s="176"/>
      <c r="T1155" s="176"/>
      <c r="U1155" s="176"/>
      <c r="V1155" s="176"/>
      <c r="W1155" s="176"/>
      <c r="X1155" s="176"/>
      <c r="Y1155" s="176"/>
      <c r="Z1155" s="176"/>
      <c r="AA1155" s="176"/>
    </row>
    <row r="1156">
      <c r="A1156" s="249"/>
      <c r="B1156" s="249"/>
      <c r="C1156" s="250"/>
      <c r="D1156" s="252"/>
      <c r="E1156" s="251"/>
      <c r="F1156" s="219"/>
      <c r="G1156" s="219"/>
      <c r="H1156" s="243"/>
      <c r="I1156" s="243"/>
      <c r="J1156" s="265"/>
      <c r="K1156" s="243"/>
      <c r="L1156" s="266"/>
      <c r="M1156" s="176"/>
      <c r="N1156" s="176"/>
      <c r="O1156" s="176"/>
      <c r="P1156" s="243"/>
      <c r="Q1156" s="243"/>
      <c r="R1156" s="176"/>
      <c r="S1156" s="176"/>
      <c r="T1156" s="176"/>
      <c r="U1156" s="176"/>
      <c r="V1156" s="176"/>
      <c r="W1156" s="176"/>
      <c r="X1156" s="176"/>
      <c r="Y1156" s="176"/>
      <c r="Z1156" s="176"/>
      <c r="AA1156" s="176"/>
    </row>
    <row r="1157">
      <c r="A1157" s="249"/>
      <c r="B1157" s="249"/>
      <c r="C1157" s="250"/>
      <c r="D1157" s="252"/>
      <c r="E1157" s="251"/>
      <c r="F1157" s="219"/>
      <c r="G1157" s="219"/>
      <c r="H1157" s="243"/>
      <c r="I1157" s="243"/>
      <c r="J1157" s="265"/>
      <c r="K1157" s="243"/>
      <c r="L1157" s="266"/>
      <c r="M1157" s="176"/>
      <c r="N1157" s="176"/>
      <c r="O1157" s="176"/>
      <c r="P1157" s="243"/>
      <c r="Q1157" s="243"/>
      <c r="R1157" s="176"/>
      <c r="S1157" s="176"/>
      <c r="T1157" s="176"/>
      <c r="U1157" s="176"/>
      <c r="V1157" s="176"/>
      <c r="W1157" s="176"/>
      <c r="X1157" s="176"/>
      <c r="Y1157" s="176"/>
      <c r="Z1157" s="176"/>
      <c r="AA1157" s="176"/>
    </row>
    <row r="1158">
      <c r="A1158" s="249"/>
      <c r="B1158" s="249"/>
      <c r="C1158" s="250"/>
      <c r="D1158" s="252"/>
      <c r="E1158" s="251"/>
      <c r="F1158" s="219"/>
      <c r="G1158" s="219"/>
      <c r="H1158" s="243"/>
      <c r="I1158" s="243"/>
      <c r="J1158" s="265"/>
      <c r="K1158" s="243"/>
      <c r="L1158" s="266"/>
      <c r="M1158" s="176"/>
      <c r="N1158" s="176"/>
      <c r="O1158" s="176"/>
      <c r="P1158" s="243"/>
      <c r="Q1158" s="243"/>
      <c r="R1158" s="176"/>
      <c r="S1158" s="176"/>
      <c r="T1158" s="176"/>
      <c r="U1158" s="176"/>
      <c r="V1158" s="176"/>
      <c r="W1158" s="176"/>
      <c r="X1158" s="176"/>
      <c r="Y1158" s="176"/>
      <c r="Z1158" s="176"/>
      <c r="AA1158" s="176"/>
    </row>
    <row r="1159">
      <c r="A1159" s="249"/>
      <c r="B1159" s="249"/>
      <c r="C1159" s="250"/>
      <c r="D1159" s="252"/>
      <c r="E1159" s="251"/>
      <c r="F1159" s="219"/>
      <c r="G1159" s="219"/>
      <c r="H1159" s="243"/>
      <c r="I1159" s="243"/>
      <c r="J1159" s="265"/>
      <c r="K1159" s="243"/>
      <c r="L1159" s="266"/>
      <c r="M1159" s="176"/>
      <c r="N1159" s="176"/>
      <c r="O1159" s="176"/>
      <c r="P1159" s="243"/>
      <c r="Q1159" s="243"/>
      <c r="R1159" s="176"/>
      <c r="S1159" s="176"/>
      <c r="T1159" s="176"/>
      <c r="U1159" s="176"/>
      <c r="V1159" s="176"/>
      <c r="W1159" s="176"/>
      <c r="X1159" s="176"/>
      <c r="Y1159" s="176"/>
      <c r="Z1159" s="176"/>
      <c r="AA1159" s="176"/>
    </row>
    <row r="1160">
      <c r="A1160" s="249"/>
      <c r="B1160" s="249"/>
      <c r="C1160" s="250"/>
      <c r="D1160" s="252"/>
      <c r="E1160" s="251"/>
      <c r="F1160" s="219"/>
      <c r="G1160" s="219"/>
      <c r="H1160" s="243"/>
      <c r="I1160" s="243"/>
      <c r="J1160" s="265"/>
      <c r="K1160" s="243"/>
      <c r="L1160" s="266"/>
      <c r="M1160" s="176"/>
      <c r="N1160" s="176"/>
      <c r="O1160" s="176"/>
      <c r="P1160" s="243"/>
      <c r="Q1160" s="243"/>
      <c r="R1160" s="176"/>
      <c r="S1160" s="176"/>
      <c r="T1160" s="176"/>
      <c r="U1160" s="176"/>
      <c r="V1160" s="176"/>
      <c r="W1160" s="176"/>
      <c r="X1160" s="176"/>
      <c r="Y1160" s="176"/>
      <c r="Z1160" s="176"/>
      <c r="AA1160" s="176"/>
    </row>
    <row r="1161">
      <c r="A1161" s="249"/>
      <c r="B1161" s="249"/>
      <c r="C1161" s="250"/>
      <c r="D1161" s="252"/>
      <c r="E1161" s="251"/>
      <c r="F1161" s="219"/>
      <c r="G1161" s="219"/>
      <c r="H1161" s="243"/>
      <c r="I1161" s="243"/>
      <c r="J1161" s="265"/>
      <c r="K1161" s="243"/>
      <c r="L1161" s="266"/>
      <c r="M1161" s="176"/>
      <c r="N1161" s="176"/>
      <c r="O1161" s="176"/>
      <c r="P1161" s="243"/>
      <c r="Q1161" s="243"/>
      <c r="R1161" s="176"/>
      <c r="S1161" s="176"/>
      <c r="T1161" s="176"/>
      <c r="U1161" s="176"/>
      <c r="V1161" s="176"/>
      <c r="W1161" s="176"/>
      <c r="X1161" s="176"/>
      <c r="Y1161" s="176"/>
      <c r="Z1161" s="176"/>
      <c r="AA1161" s="176"/>
    </row>
    <row r="1162">
      <c r="A1162" s="249"/>
      <c r="B1162" s="249"/>
      <c r="C1162" s="250"/>
      <c r="D1162" s="252"/>
      <c r="E1162" s="251"/>
      <c r="F1162" s="219"/>
      <c r="G1162" s="219"/>
      <c r="H1162" s="243"/>
      <c r="I1162" s="243"/>
      <c r="J1162" s="265"/>
      <c r="K1162" s="243"/>
      <c r="L1162" s="266"/>
      <c r="M1162" s="176"/>
      <c r="N1162" s="176"/>
      <c r="O1162" s="176"/>
      <c r="P1162" s="243"/>
      <c r="Q1162" s="243"/>
      <c r="R1162" s="176"/>
      <c r="S1162" s="176"/>
      <c r="T1162" s="176"/>
      <c r="U1162" s="176"/>
      <c r="V1162" s="176"/>
      <c r="W1162" s="176"/>
      <c r="X1162" s="176"/>
      <c r="Y1162" s="176"/>
      <c r="Z1162" s="176"/>
      <c r="AA1162" s="176"/>
    </row>
    <row r="1163">
      <c r="A1163" s="249"/>
      <c r="B1163" s="249"/>
      <c r="C1163" s="250"/>
      <c r="D1163" s="252"/>
      <c r="E1163" s="251"/>
      <c r="F1163" s="219"/>
      <c r="G1163" s="219"/>
      <c r="H1163" s="243"/>
      <c r="I1163" s="243"/>
      <c r="J1163" s="265"/>
      <c r="K1163" s="243"/>
      <c r="L1163" s="266"/>
      <c r="M1163" s="176"/>
      <c r="N1163" s="176"/>
      <c r="O1163" s="176"/>
      <c r="P1163" s="243"/>
      <c r="Q1163" s="243"/>
      <c r="R1163" s="176"/>
      <c r="S1163" s="176"/>
      <c r="T1163" s="176"/>
      <c r="U1163" s="176"/>
      <c r="V1163" s="176"/>
      <c r="W1163" s="176"/>
      <c r="X1163" s="176"/>
      <c r="Y1163" s="176"/>
      <c r="Z1163" s="176"/>
      <c r="AA1163" s="176"/>
    </row>
    <row r="1164">
      <c r="A1164" s="249"/>
      <c r="B1164" s="249"/>
      <c r="C1164" s="250"/>
      <c r="D1164" s="252"/>
      <c r="E1164" s="251"/>
      <c r="F1164" s="219"/>
      <c r="G1164" s="219"/>
      <c r="H1164" s="243"/>
      <c r="I1164" s="243"/>
      <c r="J1164" s="265"/>
      <c r="K1164" s="243"/>
      <c r="L1164" s="266"/>
      <c r="M1164" s="176"/>
      <c r="N1164" s="176"/>
      <c r="O1164" s="176"/>
      <c r="P1164" s="243"/>
      <c r="Q1164" s="243"/>
      <c r="R1164" s="176"/>
      <c r="S1164" s="176"/>
      <c r="T1164" s="176"/>
      <c r="U1164" s="176"/>
      <c r="V1164" s="176"/>
      <c r="W1164" s="176"/>
      <c r="X1164" s="176"/>
      <c r="Y1164" s="176"/>
      <c r="Z1164" s="176"/>
      <c r="AA1164" s="176"/>
    </row>
    <row r="1165">
      <c r="A1165" s="249"/>
      <c r="B1165" s="249"/>
      <c r="C1165" s="250"/>
      <c r="D1165" s="252"/>
      <c r="E1165" s="251"/>
      <c r="F1165" s="219"/>
      <c r="G1165" s="219"/>
      <c r="H1165" s="243"/>
      <c r="I1165" s="243"/>
      <c r="J1165" s="265"/>
      <c r="K1165" s="243"/>
      <c r="L1165" s="266"/>
      <c r="M1165" s="176"/>
      <c r="N1165" s="176"/>
      <c r="O1165" s="176"/>
      <c r="P1165" s="243"/>
      <c r="Q1165" s="243"/>
      <c r="R1165" s="176"/>
      <c r="S1165" s="176"/>
      <c r="T1165" s="176"/>
      <c r="U1165" s="176"/>
      <c r="V1165" s="176"/>
      <c r="W1165" s="176"/>
      <c r="X1165" s="176"/>
      <c r="Y1165" s="176"/>
      <c r="Z1165" s="176"/>
      <c r="AA1165" s="176"/>
    </row>
    <row r="1166">
      <c r="A1166" s="249"/>
      <c r="B1166" s="249"/>
      <c r="C1166" s="250"/>
      <c r="D1166" s="252"/>
      <c r="E1166" s="251"/>
      <c r="F1166" s="219"/>
      <c r="G1166" s="219"/>
      <c r="H1166" s="243"/>
      <c r="I1166" s="243"/>
      <c r="J1166" s="265"/>
      <c r="K1166" s="243"/>
      <c r="L1166" s="266"/>
      <c r="M1166" s="176"/>
      <c r="N1166" s="176"/>
      <c r="O1166" s="176"/>
      <c r="P1166" s="243"/>
      <c r="Q1166" s="243"/>
      <c r="R1166" s="176"/>
      <c r="S1166" s="176"/>
      <c r="T1166" s="176"/>
      <c r="U1166" s="176"/>
      <c r="V1166" s="176"/>
      <c r="W1166" s="176"/>
      <c r="X1166" s="176"/>
      <c r="Y1166" s="176"/>
      <c r="Z1166" s="176"/>
      <c r="AA1166" s="176"/>
    </row>
    <row r="1167">
      <c r="A1167" s="249"/>
      <c r="B1167" s="249"/>
      <c r="C1167" s="250"/>
      <c r="D1167" s="252"/>
      <c r="E1167" s="251"/>
      <c r="F1167" s="219"/>
      <c r="G1167" s="219"/>
      <c r="H1167" s="243"/>
      <c r="I1167" s="243"/>
      <c r="J1167" s="265"/>
      <c r="K1167" s="243"/>
      <c r="L1167" s="266"/>
      <c r="M1167" s="176"/>
      <c r="N1167" s="176"/>
      <c r="O1167" s="176"/>
      <c r="P1167" s="243"/>
      <c r="Q1167" s="243"/>
      <c r="R1167" s="176"/>
      <c r="S1167" s="176"/>
      <c r="T1167" s="176"/>
      <c r="U1167" s="176"/>
      <c r="V1167" s="176"/>
      <c r="W1167" s="176"/>
      <c r="X1167" s="176"/>
      <c r="Y1167" s="176"/>
      <c r="Z1167" s="176"/>
      <c r="AA1167" s="176"/>
    </row>
    <row r="1168">
      <c r="A1168" s="249"/>
      <c r="B1168" s="249"/>
      <c r="C1168" s="250"/>
      <c r="D1168" s="252"/>
      <c r="E1168" s="251"/>
      <c r="F1168" s="219"/>
      <c r="G1168" s="219"/>
      <c r="H1168" s="243"/>
      <c r="I1168" s="243"/>
      <c r="J1168" s="265"/>
      <c r="K1168" s="243"/>
      <c r="L1168" s="266"/>
      <c r="M1168" s="176"/>
      <c r="N1168" s="176"/>
      <c r="O1168" s="176"/>
      <c r="P1168" s="243"/>
      <c r="Q1168" s="243"/>
      <c r="R1168" s="176"/>
      <c r="S1168" s="176"/>
      <c r="T1168" s="176"/>
      <c r="U1168" s="176"/>
      <c r="V1168" s="176"/>
      <c r="W1168" s="176"/>
      <c r="X1168" s="176"/>
      <c r="Y1168" s="176"/>
      <c r="Z1168" s="176"/>
      <c r="AA1168" s="176"/>
    </row>
    <row r="1169">
      <c r="A1169" s="249"/>
      <c r="B1169" s="249"/>
      <c r="C1169" s="250"/>
      <c r="D1169" s="252"/>
      <c r="E1169" s="251"/>
      <c r="F1169" s="219"/>
      <c r="G1169" s="219"/>
      <c r="H1169" s="243"/>
      <c r="I1169" s="243"/>
      <c r="J1169" s="265"/>
      <c r="K1169" s="243"/>
      <c r="L1169" s="266"/>
      <c r="M1169" s="176"/>
      <c r="N1169" s="176"/>
      <c r="O1169" s="176"/>
      <c r="P1169" s="243"/>
      <c r="Q1169" s="243"/>
      <c r="R1169" s="176"/>
      <c r="S1169" s="176"/>
      <c r="T1169" s="176"/>
      <c r="U1169" s="176"/>
      <c r="V1169" s="176"/>
      <c r="W1169" s="176"/>
      <c r="X1169" s="176"/>
      <c r="Y1169" s="176"/>
      <c r="Z1169" s="176"/>
      <c r="AA1169" s="176"/>
    </row>
    <row r="1170">
      <c r="A1170" s="249"/>
      <c r="B1170" s="249"/>
      <c r="C1170" s="250"/>
      <c r="D1170" s="252"/>
      <c r="E1170" s="251"/>
      <c r="F1170" s="219"/>
      <c r="G1170" s="219"/>
      <c r="H1170" s="243"/>
      <c r="I1170" s="243"/>
      <c r="J1170" s="265"/>
      <c r="K1170" s="243"/>
      <c r="L1170" s="266"/>
      <c r="M1170" s="176"/>
      <c r="N1170" s="176"/>
      <c r="O1170" s="176"/>
      <c r="P1170" s="243"/>
      <c r="Q1170" s="243"/>
      <c r="R1170" s="176"/>
      <c r="S1170" s="176"/>
      <c r="T1170" s="176"/>
      <c r="U1170" s="176"/>
      <c r="V1170" s="176"/>
      <c r="W1170" s="176"/>
      <c r="X1170" s="176"/>
      <c r="Y1170" s="176"/>
      <c r="Z1170" s="176"/>
      <c r="AA1170" s="176"/>
    </row>
    <row r="1171">
      <c r="A1171" s="249"/>
      <c r="B1171" s="249"/>
      <c r="C1171" s="250"/>
      <c r="D1171" s="252"/>
      <c r="E1171" s="251"/>
      <c r="F1171" s="219"/>
      <c r="G1171" s="219"/>
      <c r="H1171" s="243"/>
      <c r="I1171" s="243"/>
      <c r="J1171" s="265"/>
      <c r="K1171" s="243"/>
      <c r="L1171" s="266"/>
      <c r="M1171" s="176"/>
      <c r="N1171" s="176"/>
      <c r="O1171" s="176"/>
      <c r="P1171" s="243"/>
      <c r="Q1171" s="243"/>
      <c r="R1171" s="176"/>
      <c r="S1171" s="176"/>
      <c r="T1171" s="176"/>
      <c r="U1171" s="176"/>
      <c r="V1171" s="176"/>
      <c r="W1171" s="176"/>
      <c r="X1171" s="176"/>
      <c r="Y1171" s="176"/>
      <c r="Z1171" s="176"/>
      <c r="AA1171" s="176"/>
    </row>
    <row r="1172">
      <c r="A1172" s="249"/>
      <c r="B1172" s="249"/>
      <c r="C1172" s="250"/>
      <c r="D1172" s="252"/>
      <c r="E1172" s="251"/>
      <c r="F1172" s="219"/>
      <c r="G1172" s="219"/>
      <c r="H1172" s="243"/>
      <c r="I1172" s="243"/>
      <c r="J1172" s="265"/>
      <c r="K1172" s="243"/>
      <c r="L1172" s="266"/>
      <c r="M1172" s="176"/>
      <c r="N1172" s="176"/>
      <c r="O1172" s="176"/>
      <c r="P1172" s="243"/>
      <c r="Q1172" s="243"/>
      <c r="R1172" s="176"/>
      <c r="S1172" s="176"/>
      <c r="T1172" s="176"/>
      <c r="U1172" s="176"/>
      <c r="V1172" s="176"/>
      <c r="W1172" s="176"/>
      <c r="X1172" s="176"/>
      <c r="Y1172" s="176"/>
      <c r="Z1172" s="176"/>
      <c r="AA1172" s="176"/>
    </row>
    <row r="1173">
      <c r="A1173" s="249"/>
      <c r="B1173" s="249"/>
      <c r="C1173" s="250"/>
      <c r="D1173" s="252"/>
      <c r="E1173" s="251"/>
      <c r="F1173" s="219"/>
      <c r="G1173" s="219"/>
      <c r="H1173" s="243"/>
      <c r="I1173" s="243"/>
      <c r="J1173" s="265"/>
      <c r="K1173" s="243"/>
      <c r="L1173" s="266"/>
      <c r="M1173" s="176"/>
      <c r="N1173" s="176"/>
      <c r="O1173" s="176"/>
      <c r="P1173" s="243"/>
      <c r="Q1173" s="243"/>
      <c r="R1173" s="176"/>
      <c r="S1173" s="176"/>
      <c r="T1173" s="176"/>
      <c r="U1173" s="176"/>
      <c r="V1173" s="176"/>
      <c r="W1173" s="176"/>
      <c r="X1173" s="176"/>
      <c r="Y1173" s="176"/>
      <c r="Z1173" s="176"/>
      <c r="AA1173" s="176"/>
    </row>
    <row r="1174">
      <c r="A1174" s="249"/>
      <c r="B1174" s="249"/>
      <c r="C1174" s="250"/>
      <c r="D1174" s="252"/>
      <c r="E1174" s="251"/>
      <c r="F1174" s="219"/>
      <c r="G1174" s="219"/>
      <c r="H1174" s="243"/>
      <c r="I1174" s="243"/>
      <c r="J1174" s="265"/>
      <c r="K1174" s="243"/>
      <c r="L1174" s="266"/>
      <c r="M1174" s="176"/>
      <c r="N1174" s="176"/>
      <c r="O1174" s="176"/>
      <c r="P1174" s="243"/>
      <c r="Q1174" s="243"/>
      <c r="R1174" s="176"/>
      <c r="S1174" s="176"/>
      <c r="T1174" s="176"/>
      <c r="U1174" s="176"/>
      <c r="V1174" s="176"/>
      <c r="W1174" s="176"/>
      <c r="X1174" s="176"/>
      <c r="Y1174" s="176"/>
      <c r="Z1174" s="176"/>
      <c r="AA1174" s="176"/>
    </row>
    <row r="1175">
      <c r="A1175" s="249"/>
      <c r="B1175" s="249"/>
      <c r="C1175" s="250"/>
      <c r="D1175" s="252"/>
      <c r="E1175" s="251"/>
      <c r="F1175" s="219"/>
      <c r="G1175" s="219"/>
      <c r="H1175" s="243"/>
      <c r="I1175" s="243"/>
      <c r="J1175" s="265"/>
      <c r="K1175" s="243"/>
      <c r="L1175" s="266"/>
      <c r="M1175" s="176"/>
      <c r="N1175" s="176"/>
      <c r="O1175" s="176"/>
      <c r="P1175" s="243"/>
      <c r="Q1175" s="243"/>
      <c r="R1175" s="176"/>
      <c r="S1175" s="176"/>
      <c r="T1175" s="176"/>
      <c r="U1175" s="176"/>
      <c r="V1175" s="176"/>
      <c r="W1175" s="176"/>
      <c r="X1175" s="176"/>
      <c r="Y1175" s="176"/>
      <c r="Z1175" s="176"/>
      <c r="AA1175" s="176"/>
    </row>
    <row r="1176">
      <c r="A1176" s="249"/>
      <c r="B1176" s="249"/>
      <c r="C1176" s="250"/>
      <c r="D1176" s="252"/>
      <c r="E1176" s="251"/>
      <c r="F1176" s="219"/>
      <c r="G1176" s="219"/>
      <c r="H1176" s="243"/>
      <c r="I1176" s="243"/>
      <c r="J1176" s="265"/>
      <c r="K1176" s="243"/>
      <c r="L1176" s="266"/>
      <c r="M1176" s="176"/>
      <c r="N1176" s="176"/>
      <c r="O1176" s="176"/>
      <c r="P1176" s="243"/>
      <c r="Q1176" s="243"/>
      <c r="R1176" s="176"/>
      <c r="S1176" s="176"/>
      <c r="T1176" s="176"/>
      <c r="U1176" s="176"/>
      <c r="V1176" s="176"/>
      <c r="W1176" s="176"/>
      <c r="X1176" s="176"/>
      <c r="Y1176" s="176"/>
      <c r="Z1176" s="176"/>
      <c r="AA1176" s="176"/>
    </row>
    <row r="1177">
      <c r="A1177" s="249"/>
      <c r="B1177" s="249"/>
      <c r="C1177" s="250"/>
      <c r="D1177" s="252"/>
      <c r="E1177" s="251"/>
      <c r="F1177" s="219"/>
      <c r="G1177" s="219"/>
      <c r="H1177" s="243"/>
      <c r="I1177" s="243"/>
      <c r="J1177" s="265"/>
      <c r="K1177" s="243"/>
      <c r="L1177" s="266"/>
      <c r="M1177" s="176"/>
      <c r="N1177" s="176"/>
      <c r="O1177" s="176"/>
      <c r="P1177" s="243"/>
      <c r="Q1177" s="243"/>
      <c r="R1177" s="176"/>
      <c r="S1177" s="176"/>
      <c r="T1177" s="176"/>
      <c r="U1177" s="176"/>
      <c r="V1177" s="176"/>
      <c r="W1177" s="176"/>
      <c r="X1177" s="176"/>
      <c r="Y1177" s="176"/>
      <c r="Z1177" s="176"/>
      <c r="AA1177" s="176"/>
    </row>
    <row r="1178">
      <c r="A1178" s="249"/>
      <c r="B1178" s="249"/>
      <c r="C1178" s="250"/>
      <c r="D1178" s="252"/>
      <c r="E1178" s="251"/>
      <c r="F1178" s="219"/>
      <c r="G1178" s="219"/>
      <c r="H1178" s="243"/>
      <c r="I1178" s="243"/>
      <c r="J1178" s="265"/>
      <c r="K1178" s="243"/>
      <c r="L1178" s="266"/>
      <c r="M1178" s="176"/>
      <c r="N1178" s="176"/>
      <c r="O1178" s="176"/>
      <c r="P1178" s="243"/>
      <c r="Q1178" s="243"/>
      <c r="R1178" s="176"/>
      <c r="S1178" s="176"/>
      <c r="T1178" s="176"/>
      <c r="U1178" s="176"/>
      <c r="V1178" s="176"/>
      <c r="W1178" s="176"/>
      <c r="X1178" s="176"/>
      <c r="Y1178" s="176"/>
      <c r="Z1178" s="176"/>
      <c r="AA1178" s="176"/>
    </row>
    <row r="1179">
      <c r="A1179" s="249"/>
      <c r="B1179" s="249"/>
      <c r="C1179" s="250"/>
      <c r="D1179" s="252"/>
      <c r="E1179" s="251"/>
      <c r="F1179" s="219"/>
      <c r="G1179" s="219"/>
      <c r="H1179" s="243"/>
      <c r="I1179" s="243"/>
      <c r="J1179" s="265"/>
      <c r="K1179" s="243"/>
      <c r="L1179" s="266"/>
      <c r="M1179" s="176"/>
      <c r="N1179" s="176"/>
      <c r="O1179" s="176"/>
      <c r="P1179" s="243"/>
      <c r="Q1179" s="243"/>
      <c r="R1179" s="176"/>
      <c r="S1179" s="176"/>
      <c r="T1179" s="176"/>
      <c r="U1179" s="176"/>
      <c r="V1179" s="176"/>
      <c r="W1179" s="176"/>
      <c r="X1179" s="176"/>
      <c r="Y1179" s="176"/>
      <c r="Z1179" s="176"/>
      <c r="AA1179" s="176"/>
    </row>
    <row r="1180">
      <c r="A1180" s="249"/>
      <c r="B1180" s="249"/>
      <c r="C1180" s="250"/>
      <c r="D1180" s="252"/>
      <c r="E1180" s="251"/>
      <c r="F1180" s="219"/>
      <c r="G1180" s="219"/>
      <c r="H1180" s="243"/>
      <c r="I1180" s="243"/>
      <c r="J1180" s="265"/>
      <c r="K1180" s="243"/>
      <c r="L1180" s="266"/>
      <c r="M1180" s="176"/>
      <c r="N1180" s="176"/>
      <c r="O1180" s="176"/>
      <c r="P1180" s="243"/>
      <c r="Q1180" s="243"/>
      <c r="R1180" s="176"/>
      <c r="S1180" s="176"/>
      <c r="T1180" s="176"/>
      <c r="U1180" s="176"/>
      <c r="V1180" s="176"/>
      <c r="W1180" s="176"/>
      <c r="X1180" s="176"/>
      <c r="Y1180" s="176"/>
      <c r="Z1180" s="176"/>
      <c r="AA1180" s="176"/>
    </row>
    <row r="1181">
      <c r="A1181" s="249"/>
      <c r="B1181" s="249"/>
      <c r="C1181" s="250"/>
      <c r="D1181" s="252"/>
      <c r="E1181" s="251"/>
      <c r="F1181" s="219"/>
      <c r="G1181" s="219"/>
      <c r="H1181" s="243"/>
      <c r="I1181" s="243"/>
      <c r="J1181" s="265"/>
      <c r="K1181" s="243"/>
      <c r="L1181" s="266"/>
      <c r="M1181" s="176"/>
      <c r="N1181" s="176"/>
      <c r="O1181" s="176"/>
      <c r="P1181" s="243"/>
      <c r="Q1181" s="243"/>
      <c r="R1181" s="176"/>
      <c r="S1181" s="176"/>
      <c r="T1181" s="176"/>
      <c r="U1181" s="176"/>
      <c r="V1181" s="176"/>
      <c r="W1181" s="176"/>
      <c r="X1181" s="176"/>
      <c r="Y1181" s="176"/>
      <c r="Z1181" s="176"/>
      <c r="AA1181" s="176"/>
    </row>
    <row r="1182">
      <c r="A1182" s="249"/>
      <c r="B1182" s="249"/>
      <c r="C1182" s="250"/>
      <c r="D1182" s="252"/>
      <c r="E1182" s="251"/>
      <c r="F1182" s="219"/>
      <c r="G1182" s="219"/>
      <c r="H1182" s="243"/>
      <c r="I1182" s="243"/>
      <c r="J1182" s="265"/>
      <c r="K1182" s="243"/>
      <c r="L1182" s="266"/>
      <c r="M1182" s="176"/>
      <c r="N1182" s="176"/>
      <c r="O1182" s="176"/>
      <c r="P1182" s="243"/>
      <c r="Q1182" s="243"/>
      <c r="R1182" s="176"/>
      <c r="S1182" s="176"/>
      <c r="T1182" s="176"/>
      <c r="U1182" s="176"/>
      <c r="V1182" s="176"/>
      <c r="W1182" s="176"/>
      <c r="X1182" s="176"/>
      <c r="Y1182" s="176"/>
      <c r="Z1182" s="176"/>
      <c r="AA1182" s="176"/>
    </row>
    <row r="1183">
      <c r="A1183" s="249"/>
      <c r="B1183" s="249"/>
      <c r="C1183" s="250"/>
      <c r="D1183" s="252"/>
      <c r="E1183" s="251"/>
      <c r="F1183" s="219"/>
      <c r="G1183" s="219"/>
      <c r="H1183" s="243"/>
      <c r="I1183" s="243"/>
      <c r="J1183" s="265"/>
      <c r="K1183" s="243"/>
      <c r="L1183" s="266"/>
      <c r="M1183" s="176"/>
      <c r="N1183" s="176"/>
      <c r="O1183" s="176"/>
      <c r="P1183" s="243"/>
      <c r="Q1183" s="243"/>
      <c r="R1183" s="176"/>
      <c r="S1183" s="176"/>
      <c r="T1183" s="176"/>
      <c r="U1183" s="176"/>
      <c r="V1183" s="176"/>
      <c r="W1183" s="176"/>
      <c r="X1183" s="176"/>
      <c r="Y1183" s="176"/>
      <c r="Z1183" s="176"/>
      <c r="AA1183" s="176"/>
    </row>
    <row r="1184">
      <c r="A1184" s="249"/>
      <c r="B1184" s="249"/>
      <c r="C1184" s="250"/>
      <c r="D1184" s="252"/>
      <c r="E1184" s="251"/>
      <c r="F1184" s="219"/>
      <c r="G1184" s="219"/>
      <c r="H1184" s="243"/>
      <c r="I1184" s="243"/>
      <c r="J1184" s="265"/>
      <c r="K1184" s="243"/>
      <c r="L1184" s="266"/>
      <c r="M1184" s="176"/>
      <c r="N1184" s="176"/>
      <c r="O1184" s="176"/>
      <c r="P1184" s="243"/>
      <c r="Q1184" s="243"/>
      <c r="R1184" s="176"/>
      <c r="S1184" s="176"/>
      <c r="T1184" s="176"/>
      <c r="U1184" s="176"/>
      <c r="V1184" s="176"/>
      <c r="W1184" s="176"/>
      <c r="X1184" s="176"/>
      <c r="Y1184" s="176"/>
      <c r="Z1184" s="176"/>
      <c r="AA1184" s="176"/>
    </row>
    <row r="1185">
      <c r="A1185" s="249"/>
      <c r="B1185" s="249"/>
      <c r="C1185" s="250"/>
      <c r="D1185" s="252"/>
      <c r="E1185" s="251"/>
      <c r="F1185" s="219"/>
      <c r="G1185" s="219"/>
      <c r="H1185" s="243"/>
      <c r="I1185" s="243"/>
      <c r="J1185" s="265"/>
      <c r="K1185" s="243"/>
      <c r="L1185" s="266"/>
      <c r="M1185" s="176"/>
      <c r="N1185" s="176"/>
      <c r="O1185" s="176"/>
      <c r="P1185" s="243"/>
      <c r="Q1185" s="243"/>
      <c r="R1185" s="176"/>
      <c r="S1185" s="176"/>
      <c r="T1185" s="176"/>
      <c r="U1185" s="176"/>
      <c r="V1185" s="176"/>
      <c r="W1185" s="176"/>
      <c r="X1185" s="176"/>
      <c r="Y1185" s="176"/>
      <c r="Z1185" s="176"/>
      <c r="AA1185" s="176"/>
    </row>
    <row r="1186">
      <c r="A1186" s="249"/>
      <c r="B1186" s="249"/>
      <c r="C1186" s="250"/>
      <c r="D1186" s="252"/>
      <c r="E1186" s="251"/>
      <c r="F1186" s="219"/>
      <c r="G1186" s="219"/>
      <c r="H1186" s="243"/>
      <c r="I1186" s="243"/>
      <c r="J1186" s="265"/>
      <c r="K1186" s="243"/>
      <c r="L1186" s="266"/>
      <c r="M1186" s="176"/>
      <c r="N1186" s="176"/>
      <c r="O1186" s="176"/>
      <c r="P1186" s="243"/>
      <c r="Q1186" s="243"/>
      <c r="R1186" s="176"/>
      <c r="S1186" s="176"/>
      <c r="T1186" s="176"/>
      <c r="U1186" s="176"/>
      <c r="V1186" s="176"/>
      <c r="W1186" s="176"/>
      <c r="X1186" s="176"/>
      <c r="Y1186" s="176"/>
      <c r="Z1186" s="176"/>
      <c r="AA1186" s="176"/>
    </row>
    <row r="1187">
      <c r="A1187" s="249"/>
      <c r="B1187" s="249"/>
      <c r="C1187" s="250"/>
      <c r="D1187" s="252"/>
      <c r="E1187" s="251"/>
      <c r="F1187" s="219"/>
      <c r="G1187" s="219"/>
      <c r="H1187" s="243"/>
      <c r="I1187" s="243"/>
      <c r="J1187" s="265"/>
      <c r="K1187" s="243"/>
      <c r="L1187" s="266"/>
      <c r="M1187" s="176"/>
      <c r="N1187" s="176"/>
      <c r="O1187" s="176"/>
      <c r="P1187" s="243"/>
      <c r="Q1187" s="243"/>
      <c r="R1187" s="176"/>
      <c r="S1187" s="176"/>
      <c r="T1187" s="176"/>
      <c r="U1187" s="176"/>
      <c r="V1187" s="176"/>
      <c r="W1187" s="176"/>
      <c r="X1187" s="176"/>
      <c r="Y1187" s="176"/>
      <c r="Z1187" s="176"/>
      <c r="AA1187" s="176"/>
    </row>
    <row r="1188">
      <c r="A1188" s="249"/>
      <c r="B1188" s="249"/>
      <c r="C1188" s="250"/>
      <c r="D1188" s="252"/>
      <c r="E1188" s="251"/>
      <c r="F1188" s="219"/>
      <c r="G1188" s="219"/>
      <c r="H1188" s="243"/>
      <c r="I1188" s="243"/>
      <c r="J1188" s="265"/>
      <c r="K1188" s="243"/>
      <c r="L1188" s="266"/>
      <c r="M1188" s="176"/>
      <c r="N1188" s="176"/>
      <c r="O1188" s="176"/>
      <c r="P1188" s="243"/>
      <c r="Q1188" s="243"/>
      <c r="R1188" s="176"/>
      <c r="S1188" s="176"/>
      <c r="T1188" s="176"/>
      <c r="U1188" s="176"/>
      <c r="V1188" s="176"/>
      <c r="W1188" s="176"/>
      <c r="X1188" s="176"/>
      <c r="Y1188" s="176"/>
      <c r="Z1188" s="176"/>
      <c r="AA1188" s="176"/>
    </row>
    <row r="1189">
      <c r="A1189" s="249"/>
      <c r="B1189" s="249"/>
      <c r="C1189" s="250"/>
      <c r="D1189" s="252"/>
      <c r="E1189" s="251"/>
      <c r="F1189" s="219"/>
      <c r="G1189" s="219"/>
      <c r="H1189" s="243"/>
      <c r="I1189" s="243"/>
      <c r="J1189" s="265"/>
      <c r="K1189" s="243"/>
      <c r="L1189" s="266"/>
      <c r="M1189" s="176"/>
      <c r="N1189" s="176"/>
      <c r="O1189" s="176"/>
      <c r="P1189" s="243"/>
      <c r="Q1189" s="243"/>
      <c r="R1189" s="176"/>
      <c r="S1189" s="176"/>
      <c r="T1189" s="176"/>
      <c r="U1189" s="176"/>
      <c r="V1189" s="176"/>
      <c r="W1189" s="176"/>
      <c r="X1189" s="176"/>
      <c r="Y1189" s="176"/>
      <c r="Z1189" s="176"/>
      <c r="AA1189" s="176"/>
    </row>
    <row r="1190">
      <c r="A1190" s="249"/>
      <c r="B1190" s="249"/>
      <c r="C1190" s="250"/>
      <c r="D1190" s="252"/>
      <c r="E1190" s="251"/>
      <c r="F1190" s="219"/>
      <c r="G1190" s="219"/>
      <c r="H1190" s="243"/>
      <c r="I1190" s="243"/>
      <c r="J1190" s="265"/>
      <c r="K1190" s="243"/>
      <c r="L1190" s="266"/>
      <c r="M1190" s="176"/>
      <c r="N1190" s="176"/>
      <c r="O1190" s="176"/>
      <c r="P1190" s="243"/>
      <c r="Q1190" s="243"/>
      <c r="R1190" s="176"/>
      <c r="S1190" s="176"/>
      <c r="T1190" s="176"/>
      <c r="U1190" s="176"/>
      <c r="V1190" s="176"/>
      <c r="W1190" s="176"/>
      <c r="X1190" s="176"/>
      <c r="Y1190" s="176"/>
      <c r="Z1190" s="176"/>
      <c r="AA1190" s="176"/>
    </row>
    <row r="1191">
      <c r="A1191" s="249"/>
      <c r="B1191" s="249"/>
      <c r="C1191" s="250"/>
      <c r="D1191" s="252"/>
      <c r="E1191" s="251"/>
      <c r="F1191" s="219"/>
      <c r="G1191" s="219"/>
      <c r="H1191" s="243"/>
      <c r="I1191" s="243"/>
      <c r="J1191" s="265"/>
      <c r="K1191" s="243"/>
      <c r="L1191" s="266"/>
      <c r="M1191" s="176"/>
      <c r="N1191" s="176"/>
      <c r="O1191" s="176"/>
      <c r="P1191" s="243"/>
      <c r="Q1191" s="243"/>
      <c r="R1191" s="176"/>
      <c r="S1191" s="176"/>
      <c r="T1191" s="176"/>
      <c r="U1191" s="176"/>
      <c r="V1191" s="176"/>
      <c r="W1191" s="176"/>
      <c r="X1191" s="176"/>
      <c r="Y1191" s="176"/>
      <c r="Z1191" s="176"/>
      <c r="AA1191" s="176"/>
    </row>
    <row r="1192">
      <c r="A1192" s="249"/>
      <c r="B1192" s="249"/>
      <c r="C1192" s="250"/>
      <c r="D1192" s="252"/>
      <c r="E1192" s="251"/>
      <c r="F1192" s="219"/>
      <c r="G1192" s="219"/>
      <c r="H1192" s="243"/>
      <c r="I1192" s="243"/>
      <c r="J1192" s="265"/>
      <c r="K1192" s="243"/>
      <c r="L1192" s="266"/>
      <c r="M1192" s="176"/>
      <c r="N1192" s="176"/>
      <c r="O1192" s="176"/>
      <c r="P1192" s="243"/>
      <c r="Q1192" s="243"/>
      <c r="R1192" s="176"/>
      <c r="S1192" s="176"/>
      <c r="T1192" s="176"/>
      <c r="U1192" s="176"/>
      <c r="V1192" s="176"/>
      <c r="W1192" s="176"/>
      <c r="X1192" s="176"/>
      <c r="Y1192" s="176"/>
      <c r="Z1192" s="176"/>
      <c r="AA1192" s="176"/>
    </row>
    <row r="1193">
      <c r="A1193" s="249"/>
      <c r="B1193" s="249"/>
      <c r="C1193" s="250"/>
      <c r="D1193" s="252"/>
      <c r="E1193" s="251"/>
      <c r="F1193" s="219"/>
      <c r="G1193" s="219"/>
      <c r="H1193" s="243"/>
      <c r="I1193" s="243"/>
      <c r="J1193" s="265"/>
      <c r="K1193" s="243"/>
      <c r="L1193" s="266"/>
      <c r="M1193" s="176"/>
      <c r="N1193" s="176"/>
      <c r="O1193" s="176"/>
      <c r="P1193" s="243"/>
      <c r="Q1193" s="243"/>
      <c r="R1193" s="176"/>
      <c r="S1193" s="176"/>
      <c r="T1193" s="176"/>
      <c r="U1193" s="176"/>
      <c r="V1193" s="176"/>
      <c r="W1193" s="176"/>
      <c r="X1193" s="176"/>
      <c r="Y1193" s="176"/>
      <c r="Z1193" s="176"/>
      <c r="AA1193" s="176"/>
    </row>
    <row r="1194">
      <c r="A1194" s="249"/>
      <c r="B1194" s="249"/>
      <c r="C1194" s="250"/>
      <c r="D1194" s="252"/>
      <c r="E1194" s="251"/>
      <c r="F1194" s="219"/>
      <c r="G1194" s="219"/>
      <c r="H1194" s="243"/>
      <c r="I1194" s="243"/>
      <c r="J1194" s="265"/>
      <c r="K1194" s="243"/>
      <c r="L1194" s="266"/>
      <c r="M1194" s="176"/>
      <c r="N1194" s="176"/>
      <c r="O1194" s="176"/>
      <c r="P1194" s="243"/>
      <c r="Q1194" s="243"/>
      <c r="R1194" s="176"/>
      <c r="S1194" s="176"/>
      <c r="T1194" s="176"/>
      <c r="U1194" s="176"/>
      <c r="V1194" s="176"/>
      <c r="W1194" s="176"/>
      <c r="X1194" s="176"/>
      <c r="Y1194" s="176"/>
      <c r="Z1194" s="176"/>
      <c r="AA1194" s="176"/>
    </row>
    <row r="1195">
      <c r="A1195" s="249"/>
      <c r="B1195" s="249"/>
      <c r="C1195" s="250"/>
      <c r="D1195" s="252"/>
      <c r="E1195" s="251"/>
      <c r="F1195" s="219"/>
      <c r="G1195" s="219"/>
      <c r="H1195" s="243"/>
      <c r="I1195" s="243"/>
      <c r="J1195" s="265"/>
      <c r="K1195" s="243"/>
      <c r="L1195" s="266"/>
      <c r="M1195" s="176"/>
      <c r="N1195" s="176"/>
      <c r="O1195" s="176"/>
      <c r="P1195" s="243"/>
      <c r="Q1195" s="243"/>
      <c r="R1195" s="176"/>
      <c r="S1195" s="176"/>
      <c r="T1195" s="176"/>
      <c r="U1195" s="176"/>
      <c r="V1195" s="176"/>
      <c r="W1195" s="176"/>
      <c r="X1195" s="176"/>
      <c r="Y1195" s="176"/>
      <c r="Z1195" s="176"/>
      <c r="AA1195" s="176"/>
    </row>
    <row r="1196">
      <c r="A1196" s="249"/>
      <c r="B1196" s="249"/>
      <c r="C1196" s="250"/>
      <c r="D1196" s="252"/>
      <c r="E1196" s="251"/>
      <c r="F1196" s="219"/>
      <c r="G1196" s="219"/>
      <c r="H1196" s="243"/>
      <c r="I1196" s="243"/>
      <c r="J1196" s="265"/>
      <c r="K1196" s="243"/>
      <c r="L1196" s="266"/>
      <c r="M1196" s="176"/>
      <c r="N1196" s="176"/>
      <c r="O1196" s="176"/>
      <c r="P1196" s="243"/>
      <c r="Q1196" s="243"/>
      <c r="R1196" s="176"/>
      <c r="S1196" s="176"/>
      <c r="T1196" s="176"/>
      <c r="U1196" s="176"/>
      <c r="V1196" s="176"/>
      <c r="W1196" s="176"/>
      <c r="X1196" s="176"/>
      <c r="Y1196" s="176"/>
      <c r="Z1196" s="176"/>
      <c r="AA1196" s="176"/>
    </row>
    <row r="1197">
      <c r="A1197" s="249"/>
      <c r="B1197" s="249"/>
      <c r="C1197" s="250"/>
      <c r="D1197" s="252"/>
      <c r="E1197" s="251"/>
      <c r="F1197" s="219"/>
      <c r="G1197" s="219"/>
      <c r="H1197" s="243"/>
      <c r="I1197" s="243"/>
      <c r="J1197" s="265"/>
      <c r="K1197" s="243"/>
      <c r="L1197" s="266"/>
      <c r="M1197" s="176"/>
      <c r="N1197" s="176"/>
      <c r="O1197" s="176"/>
      <c r="P1197" s="243"/>
      <c r="Q1197" s="243"/>
      <c r="R1197" s="176"/>
      <c r="S1197" s="176"/>
      <c r="T1197" s="176"/>
      <c r="U1197" s="176"/>
      <c r="V1197" s="176"/>
      <c r="W1197" s="176"/>
      <c r="X1197" s="176"/>
      <c r="Y1197" s="176"/>
      <c r="Z1197" s="176"/>
      <c r="AA1197" s="176"/>
    </row>
    <row r="1198">
      <c r="A1198" s="249"/>
      <c r="B1198" s="249"/>
      <c r="C1198" s="250"/>
      <c r="D1198" s="252"/>
      <c r="E1198" s="251"/>
      <c r="F1198" s="219"/>
      <c r="G1198" s="219"/>
      <c r="H1198" s="243"/>
      <c r="I1198" s="243"/>
      <c r="J1198" s="265"/>
      <c r="K1198" s="243"/>
      <c r="L1198" s="266"/>
      <c r="M1198" s="176"/>
      <c r="N1198" s="176"/>
      <c r="O1198" s="176"/>
      <c r="P1198" s="243"/>
      <c r="Q1198" s="243"/>
      <c r="R1198" s="176"/>
      <c r="S1198" s="176"/>
      <c r="T1198" s="176"/>
      <c r="U1198" s="176"/>
      <c r="V1198" s="176"/>
      <c r="W1198" s="176"/>
      <c r="X1198" s="176"/>
      <c r="Y1198" s="176"/>
      <c r="Z1198" s="176"/>
      <c r="AA1198" s="176"/>
    </row>
    <row r="1199">
      <c r="A1199" s="249"/>
      <c r="B1199" s="249"/>
      <c r="C1199" s="250"/>
      <c r="D1199" s="252"/>
      <c r="E1199" s="251"/>
      <c r="F1199" s="219"/>
      <c r="G1199" s="219"/>
      <c r="H1199" s="243"/>
      <c r="I1199" s="243"/>
      <c r="J1199" s="265"/>
      <c r="K1199" s="243"/>
      <c r="L1199" s="266"/>
      <c r="M1199" s="176"/>
      <c r="N1199" s="176"/>
      <c r="O1199" s="176"/>
      <c r="P1199" s="243"/>
      <c r="Q1199" s="243"/>
      <c r="R1199" s="176"/>
      <c r="S1199" s="176"/>
      <c r="T1199" s="176"/>
      <c r="U1199" s="176"/>
      <c r="V1199" s="176"/>
      <c r="W1199" s="176"/>
      <c r="X1199" s="176"/>
      <c r="Y1199" s="176"/>
      <c r="Z1199" s="176"/>
      <c r="AA1199" s="176"/>
    </row>
    <row r="1200">
      <c r="A1200" s="249"/>
      <c r="B1200" s="249"/>
      <c r="C1200" s="250"/>
      <c r="D1200" s="252"/>
      <c r="E1200" s="251"/>
      <c r="F1200" s="219"/>
      <c r="G1200" s="219"/>
      <c r="H1200" s="243"/>
      <c r="I1200" s="243"/>
      <c r="J1200" s="265"/>
      <c r="K1200" s="243"/>
      <c r="L1200" s="266"/>
      <c r="M1200" s="176"/>
      <c r="N1200" s="176"/>
      <c r="O1200" s="176"/>
      <c r="P1200" s="243"/>
      <c r="Q1200" s="243"/>
      <c r="R1200" s="176"/>
      <c r="S1200" s="176"/>
      <c r="T1200" s="176"/>
      <c r="U1200" s="176"/>
      <c r="V1200" s="176"/>
      <c r="W1200" s="176"/>
      <c r="X1200" s="176"/>
      <c r="Y1200" s="176"/>
      <c r="Z1200" s="176"/>
      <c r="AA1200" s="176"/>
    </row>
    <row r="1201">
      <c r="A1201" s="249"/>
      <c r="B1201" s="249"/>
      <c r="C1201" s="250"/>
      <c r="D1201" s="252"/>
      <c r="E1201" s="251"/>
      <c r="F1201" s="219"/>
      <c r="G1201" s="219"/>
      <c r="H1201" s="243"/>
      <c r="I1201" s="243"/>
      <c r="J1201" s="265"/>
      <c r="K1201" s="243"/>
      <c r="L1201" s="266"/>
      <c r="M1201" s="176"/>
      <c r="N1201" s="176"/>
      <c r="O1201" s="176"/>
      <c r="P1201" s="243"/>
      <c r="Q1201" s="243"/>
      <c r="R1201" s="176"/>
      <c r="S1201" s="176"/>
      <c r="T1201" s="176"/>
      <c r="U1201" s="176"/>
      <c r="V1201" s="176"/>
      <c r="W1201" s="176"/>
      <c r="X1201" s="176"/>
      <c r="Y1201" s="176"/>
      <c r="Z1201" s="176"/>
      <c r="AA1201" s="176"/>
    </row>
    <row r="1202">
      <c r="A1202" s="249"/>
      <c r="B1202" s="249"/>
      <c r="C1202" s="250"/>
      <c r="D1202" s="252"/>
      <c r="E1202" s="251"/>
      <c r="F1202" s="219"/>
      <c r="G1202" s="219"/>
      <c r="H1202" s="243"/>
      <c r="I1202" s="243"/>
      <c r="J1202" s="265"/>
      <c r="K1202" s="243"/>
      <c r="L1202" s="266"/>
      <c r="M1202" s="176"/>
      <c r="N1202" s="176"/>
      <c r="O1202" s="176"/>
      <c r="P1202" s="243"/>
      <c r="Q1202" s="243"/>
      <c r="R1202" s="176"/>
      <c r="S1202" s="176"/>
      <c r="T1202" s="176"/>
      <c r="U1202" s="176"/>
      <c r="V1202" s="176"/>
      <c r="W1202" s="176"/>
      <c r="X1202" s="176"/>
      <c r="Y1202" s="176"/>
      <c r="Z1202" s="176"/>
      <c r="AA1202" s="176"/>
    </row>
    <row r="1203">
      <c r="A1203" s="249"/>
      <c r="B1203" s="249"/>
      <c r="C1203" s="250"/>
      <c r="D1203" s="252"/>
      <c r="E1203" s="251"/>
      <c r="F1203" s="219"/>
      <c r="G1203" s="219"/>
      <c r="H1203" s="243"/>
      <c r="I1203" s="243"/>
      <c r="J1203" s="265"/>
      <c r="K1203" s="243"/>
      <c r="L1203" s="266"/>
      <c r="M1203" s="176"/>
      <c r="N1203" s="176"/>
      <c r="O1203" s="176"/>
      <c r="P1203" s="243"/>
      <c r="Q1203" s="243"/>
      <c r="R1203" s="176"/>
      <c r="S1203" s="176"/>
      <c r="T1203" s="176"/>
      <c r="U1203" s="176"/>
      <c r="V1203" s="176"/>
      <c r="W1203" s="176"/>
      <c r="X1203" s="176"/>
      <c r="Y1203" s="176"/>
      <c r="Z1203" s="176"/>
      <c r="AA1203" s="176"/>
    </row>
    <row r="1204">
      <c r="A1204" s="249"/>
      <c r="B1204" s="249"/>
      <c r="C1204" s="250"/>
      <c r="D1204" s="252"/>
      <c r="E1204" s="251"/>
      <c r="F1204" s="219"/>
      <c r="G1204" s="219"/>
      <c r="H1204" s="243"/>
      <c r="I1204" s="243"/>
      <c r="J1204" s="265"/>
      <c r="K1204" s="243"/>
      <c r="L1204" s="266"/>
      <c r="M1204" s="176"/>
      <c r="N1204" s="176"/>
      <c r="O1204" s="176"/>
      <c r="P1204" s="243"/>
      <c r="Q1204" s="243"/>
      <c r="R1204" s="176"/>
      <c r="S1204" s="176"/>
      <c r="T1204" s="176"/>
      <c r="U1204" s="176"/>
      <c r="V1204" s="176"/>
      <c r="W1204" s="176"/>
      <c r="X1204" s="176"/>
      <c r="Y1204" s="176"/>
      <c r="Z1204" s="176"/>
      <c r="AA1204" s="176"/>
    </row>
    <row r="1205">
      <c r="A1205" s="249"/>
      <c r="B1205" s="249"/>
      <c r="C1205" s="250"/>
      <c r="D1205" s="252"/>
      <c r="E1205" s="251"/>
      <c r="F1205" s="219"/>
      <c r="G1205" s="219"/>
      <c r="H1205" s="243"/>
      <c r="I1205" s="243"/>
      <c r="J1205" s="265"/>
      <c r="K1205" s="243"/>
      <c r="L1205" s="266"/>
      <c r="M1205" s="176"/>
      <c r="N1205" s="176"/>
      <c r="O1205" s="176"/>
      <c r="P1205" s="243"/>
      <c r="Q1205" s="243"/>
      <c r="R1205" s="176"/>
      <c r="S1205" s="176"/>
      <c r="T1205" s="176"/>
      <c r="U1205" s="176"/>
      <c r="V1205" s="176"/>
      <c r="W1205" s="176"/>
      <c r="X1205" s="176"/>
      <c r="Y1205" s="176"/>
      <c r="Z1205" s="176"/>
      <c r="AA1205" s="176"/>
    </row>
    <row r="1206">
      <c r="A1206" s="249"/>
      <c r="B1206" s="249"/>
      <c r="C1206" s="250"/>
      <c r="D1206" s="252"/>
      <c r="E1206" s="251"/>
      <c r="F1206" s="219"/>
      <c r="G1206" s="219"/>
      <c r="H1206" s="243"/>
      <c r="I1206" s="243"/>
      <c r="J1206" s="265"/>
      <c r="K1206" s="243"/>
      <c r="L1206" s="266"/>
      <c r="M1206" s="176"/>
      <c r="N1206" s="176"/>
      <c r="O1206" s="176"/>
      <c r="P1206" s="243"/>
      <c r="Q1206" s="243"/>
      <c r="R1206" s="176"/>
      <c r="S1206" s="176"/>
      <c r="T1206" s="176"/>
      <c r="U1206" s="176"/>
      <c r="V1206" s="176"/>
      <c r="W1206" s="176"/>
      <c r="X1206" s="176"/>
      <c r="Y1206" s="176"/>
      <c r="Z1206" s="176"/>
      <c r="AA1206" s="176"/>
    </row>
    <row r="1207">
      <c r="A1207" s="249"/>
      <c r="B1207" s="249"/>
      <c r="C1207" s="250"/>
      <c r="D1207" s="252"/>
      <c r="E1207" s="251"/>
      <c r="F1207" s="219"/>
      <c r="G1207" s="219"/>
      <c r="H1207" s="243"/>
      <c r="I1207" s="243"/>
      <c r="J1207" s="265"/>
      <c r="K1207" s="243"/>
      <c r="L1207" s="266"/>
      <c r="M1207" s="176"/>
      <c r="N1207" s="176"/>
      <c r="O1207" s="176"/>
      <c r="P1207" s="243"/>
      <c r="Q1207" s="243"/>
      <c r="R1207" s="176"/>
      <c r="S1207" s="176"/>
      <c r="T1207" s="176"/>
      <c r="U1207" s="176"/>
      <c r="V1207" s="176"/>
      <c r="W1207" s="176"/>
      <c r="X1207" s="176"/>
      <c r="Y1207" s="176"/>
      <c r="Z1207" s="176"/>
      <c r="AA1207" s="176"/>
    </row>
    <row r="1208">
      <c r="A1208" s="249"/>
      <c r="B1208" s="249"/>
      <c r="C1208" s="250"/>
      <c r="D1208" s="252"/>
      <c r="E1208" s="251"/>
      <c r="F1208" s="219"/>
      <c r="G1208" s="219"/>
      <c r="H1208" s="243"/>
      <c r="I1208" s="243"/>
      <c r="J1208" s="265"/>
      <c r="K1208" s="243"/>
      <c r="L1208" s="266"/>
      <c r="M1208" s="176"/>
      <c r="N1208" s="176"/>
      <c r="O1208" s="176"/>
      <c r="P1208" s="243"/>
      <c r="Q1208" s="243"/>
      <c r="R1208" s="176"/>
      <c r="S1208" s="176"/>
      <c r="T1208" s="176"/>
      <c r="U1208" s="176"/>
      <c r="V1208" s="176"/>
      <c r="W1208" s="176"/>
      <c r="X1208" s="176"/>
      <c r="Y1208" s="176"/>
      <c r="Z1208" s="176"/>
      <c r="AA1208" s="176"/>
    </row>
    <row r="1209">
      <c r="A1209" s="249"/>
      <c r="B1209" s="249"/>
      <c r="C1209" s="250"/>
      <c r="D1209" s="252"/>
      <c r="E1209" s="251"/>
      <c r="F1209" s="219"/>
      <c r="G1209" s="219"/>
      <c r="H1209" s="243"/>
      <c r="I1209" s="243"/>
      <c r="J1209" s="265"/>
      <c r="K1209" s="243"/>
      <c r="L1209" s="266"/>
      <c r="M1209" s="176"/>
      <c r="N1209" s="176"/>
      <c r="O1209" s="176"/>
      <c r="P1209" s="243"/>
      <c r="Q1209" s="243"/>
      <c r="R1209" s="176"/>
      <c r="S1209" s="176"/>
      <c r="T1209" s="176"/>
      <c r="U1209" s="176"/>
      <c r="V1209" s="176"/>
      <c r="W1209" s="176"/>
      <c r="X1209" s="176"/>
      <c r="Y1209" s="176"/>
      <c r="Z1209" s="176"/>
      <c r="AA1209" s="176"/>
    </row>
    <row r="1210">
      <c r="A1210" s="249"/>
      <c r="B1210" s="249"/>
      <c r="C1210" s="250"/>
      <c r="D1210" s="252"/>
      <c r="E1210" s="251"/>
      <c r="F1210" s="219"/>
      <c r="G1210" s="219"/>
      <c r="H1210" s="243"/>
      <c r="I1210" s="243"/>
      <c r="J1210" s="265"/>
      <c r="K1210" s="243"/>
      <c r="L1210" s="266"/>
      <c r="M1210" s="176"/>
      <c r="N1210" s="176"/>
      <c r="O1210" s="176"/>
      <c r="P1210" s="243"/>
      <c r="Q1210" s="243"/>
      <c r="R1210" s="176"/>
      <c r="S1210" s="176"/>
      <c r="T1210" s="176"/>
      <c r="U1210" s="176"/>
      <c r="V1210" s="176"/>
      <c r="W1210" s="176"/>
      <c r="X1210" s="176"/>
      <c r="Y1210" s="176"/>
      <c r="Z1210" s="176"/>
      <c r="AA1210" s="176"/>
    </row>
    <row r="1211">
      <c r="A1211" s="249"/>
      <c r="B1211" s="249"/>
      <c r="C1211" s="250"/>
      <c r="D1211" s="252"/>
      <c r="E1211" s="251"/>
      <c r="F1211" s="219"/>
      <c r="G1211" s="219"/>
      <c r="H1211" s="243"/>
      <c r="I1211" s="243"/>
      <c r="J1211" s="265"/>
      <c r="K1211" s="243"/>
      <c r="L1211" s="266"/>
      <c r="M1211" s="176"/>
      <c r="N1211" s="176"/>
      <c r="O1211" s="176"/>
      <c r="P1211" s="243"/>
      <c r="Q1211" s="243"/>
      <c r="R1211" s="176"/>
      <c r="S1211" s="176"/>
      <c r="T1211" s="176"/>
      <c r="U1211" s="176"/>
      <c r="V1211" s="176"/>
      <c r="W1211" s="176"/>
      <c r="X1211" s="176"/>
      <c r="Y1211" s="176"/>
      <c r="Z1211" s="176"/>
      <c r="AA1211" s="176"/>
    </row>
    <row r="1212">
      <c r="A1212" s="249"/>
      <c r="B1212" s="249"/>
      <c r="C1212" s="250"/>
      <c r="D1212" s="252"/>
      <c r="E1212" s="251"/>
      <c r="F1212" s="219"/>
      <c r="G1212" s="219"/>
      <c r="H1212" s="243"/>
      <c r="I1212" s="243"/>
      <c r="J1212" s="265"/>
      <c r="K1212" s="243"/>
      <c r="L1212" s="266"/>
      <c r="M1212" s="176"/>
      <c r="N1212" s="176"/>
      <c r="O1212" s="176"/>
      <c r="P1212" s="243"/>
      <c r="Q1212" s="243"/>
      <c r="R1212" s="176"/>
      <c r="S1212" s="176"/>
      <c r="T1212" s="176"/>
      <c r="U1212" s="176"/>
      <c r="V1212" s="176"/>
      <c r="W1212" s="176"/>
      <c r="X1212" s="176"/>
      <c r="Y1212" s="176"/>
      <c r="Z1212" s="176"/>
      <c r="AA1212" s="176"/>
    </row>
    <row r="1213">
      <c r="A1213" s="249"/>
      <c r="B1213" s="249"/>
      <c r="C1213" s="250"/>
      <c r="D1213" s="252"/>
      <c r="E1213" s="251"/>
      <c r="F1213" s="219"/>
      <c r="G1213" s="219"/>
      <c r="H1213" s="243"/>
      <c r="I1213" s="243"/>
      <c r="J1213" s="265"/>
      <c r="K1213" s="243"/>
      <c r="L1213" s="266"/>
      <c r="M1213" s="176"/>
      <c r="N1213" s="176"/>
      <c r="O1213" s="176"/>
      <c r="P1213" s="243"/>
      <c r="Q1213" s="243"/>
      <c r="R1213" s="176"/>
      <c r="S1213" s="176"/>
      <c r="T1213" s="176"/>
      <c r="U1213" s="176"/>
      <c r="V1213" s="176"/>
      <c r="W1213" s="176"/>
      <c r="X1213" s="176"/>
      <c r="Y1213" s="176"/>
      <c r="Z1213" s="176"/>
      <c r="AA1213" s="176"/>
    </row>
    <row r="1214">
      <c r="A1214" s="249"/>
      <c r="B1214" s="249"/>
      <c r="C1214" s="250"/>
      <c r="D1214" s="252"/>
      <c r="E1214" s="251"/>
      <c r="F1214" s="219"/>
      <c r="G1214" s="219"/>
      <c r="H1214" s="243"/>
      <c r="I1214" s="243"/>
      <c r="J1214" s="265"/>
      <c r="K1214" s="243"/>
      <c r="L1214" s="266"/>
      <c r="M1214" s="176"/>
      <c r="N1214" s="176"/>
      <c r="O1214" s="176"/>
      <c r="P1214" s="243"/>
      <c r="Q1214" s="243"/>
      <c r="R1214" s="176"/>
      <c r="S1214" s="176"/>
      <c r="T1214" s="176"/>
      <c r="U1214" s="176"/>
      <c r="V1214" s="176"/>
      <c r="W1214" s="176"/>
      <c r="X1214" s="176"/>
      <c r="Y1214" s="176"/>
      <c r="Z1214" s="176"/>
      <c r="AA1214" s="176"/>
    </row>
    <row r="1215">
      <c r="A1215" s="249"/>
      <c r="B1215" s="249"/>
      <c r="C1215" s="250"/>
      <c r="D1215" s="252"/>
      <c r="E1215" s="251"/>
      <c r="F1215" s="219"/>
      <c r="G1215" s="219"/>
      <c r="H1215" s="243"/>
      <c r="I1215" s="243"/>
      <c r="J1215" s="265"/>
      <c r="K1215" s="243"/>
      <c r="L1215" s="266"/>
      <c r="M1215" s="176"/>
      <c r="N1215" s="176"/>
      <c r="O1215" s="176"/>
      <c r="P1215" s="243"/>
      <c r="Q1215" s="243"/>
      <c r="R1215" s="176"/>
      <c r="S1215" s="176"/>
      <c r="T1215" s="176"/>
      <c r="U1215" s="176"/>
      <c r="V1215" s="176"/>
      <c r="W1215" s="176"/>
      <c r="X1215" s="176"/>
      <c r="Y1215" s="176"/>
      <c r="Z1215" s="176"/>
      <c r="AA1215" s="176"/>
    </row>
    <row r="1216">
      <c r="A1216" s="249"/>
      <c r="B1216" s="249"/>
      <c r="C1216" s="250"/>
      <c r="D1216" s="252"/>
      <c r="E1216" s="251"/>
      <c r="F1216" s="219"/>
      <c r="G1216" s="219"/>
      <c r="H1216" s="243"/>
      <c r="I1216" s="243"/>
      <c r="J1216" s="265"/>
      <c r="K1216" s="243"/>
      <c r="L1216" s="266"/>
      <c r="M1216" s="176"/>
      <c r="N1216" s="176"/>
      <c r="O1216" s="176"/>
      <c r="P1216" s="243"/>
      <c r="Q1216" s="243"/>
      <c r="R1216" s="176"/>
      <c r="S1216" s="176"/>
      <c r="T1216" s="176"/>
      <c r="U1216" s="176"/>
      <c r="V1216" s="176"/>
      <c r="W1216" s="176"/>
      <c r="X1216" s="176"/>
      <c r="Y1216" s="176"/>
      <c r="Z1216" s="176"/>
      <c r="AA1216" s="176"/>
    </row>
    <row r="1217">
      <c r="A1217" s="249"/>
      <c r="B1217" s="249"/>
      <c r="C1217" s="250"/>
      <c r="D1217" s="252"/>
      <c r="E1217" s="251"/>
      <c r="F1217" s="219"/>
      <c r="G1217" s="219"/>
      <c r="H1217" s="243"/>
      <c r="I1217" s="243"/>
      <c r="J1217" s="265"/>
      <c r="K1217" s="243"/>
      <c r="L1217" s="266"/>
      <c r="M1217" s="176"/>
      <c r="N1217" s="176"/>
      <c r="O1217" s="176"/>
      <c r="P1217" s="243"/>
      <c r="Q1217" s="243"/>
      <c r="R1217" s="176"/>
      <c r="S1217" s="176"/>
      <c r="T1217" s="176"/>
      <c r="U1217" s="176"/>
      <c r="V1217" s="176"/>
      <c r="W1217" s="176"/>
      <c r="X1217" s="176"/>
      <c r="Y1217" s="176"/>
      <c r="Z1217" s="176"/>
      <c r="AA1217" s="176"/>
    </row>
    <row r="1218">
      <c r="A1218" s="249"/>
      <c r="B1218" s="249"/>
      <c r="C1218" s="250"/>
      <c r="D1218" s="252"/>
      <c r="E1218" s="251"/>
      <c r="F1218" s="219"/>
      <c r="G1218" s="219"/>
      <c r="H1218" s="243"/>
      <c r="I1218" s="243"/>
      <c r="J1218" s="265"/>
      <c r="K1218" s="243"/>
      <c r="L1218" s="266"/>
      <c r="M1218" s="176"/>
      <c r="N1218" s="176"/>
      <c r="O1218" s="176"/>
      <c r="P1218" s="243"/>
      <c r="Q1218" s="243"/>
      <c r="R1218" s="176"/>
      <c r="S1218" s="176"/>
      <c r="T1218" s="176"/>
      <c r="U1218" s="176"/>
      <c r="V1218" s="176"/>
      <c r="W1218" s="176"/>
      <c r="X1218" s="176"/>
      <c r="Y1218" s="176"/>
      <c r="Z1218" s="176"/>
      <c r="AA1218" s="176"/>
    </row>
  </sheetData>
  <autoFilter ref="$A$3:$AA$807">
    <sortState ref="A3:AA807">
      <sortCondition descending="1" ref="L3:L807"/>
    </sortState>
  </autoFilter>
  <hyperlinks>
    <hyperlink r:id="rId1" ref="C1"/>
    <hyperlink r:id="rId2" ref="C2"/>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1917</v>
      </c>
      <c r="B1" s="2">
        <f>sum(B3:B901)</f>
        <v>627.3207545</v>
      </c>
    </row>
    <row r="2">
      <c r="A2" s="246" t="s">
        <v>1</v>
      </c>
      <c r="B2" s="247" t="s">
        <v>2</v>
      </c>
    </row>
    <row r="3">
      <c r="A3" s="5" t="s">
        <v>867</v>
      </c>
      <c r="B3" s="6">
        <v>52.37260970329771</v>
      </c>
    </row>
    <row r="4">
      <c r="A4" s="5" t="s">
        <v>868</v>
      </c>
      <c r="B4" s="6">
        <v>37.095387520029625</v>
      </c>
    </row>
    <row r="5">
      <c r="A5" s="5" t="s">
        <v>11</v>
      </c>
      <c r="B5" s="6">
        <v>25.07491013896964</v>
      </c>
    </row>
    <row r="6">
      <c r="A6" s="5" t="s">
        <v>870</v>
      </c>
      <c r="B6" s="6">
        <v>22.367498906837515</v>
      </c>
    </row>
    <row r="7">
      <c r="A7" s="5" t="s">
        <v>10</v>
      </c>
      <c r="B7" s="6">
        <v>20.157752037894774</v>
      </c>
    </row>
    <row r="8">
      <c r="A8" s="5" t="s">
        <v>8</v>
      </c>
      <c r="B8" s="6">
        <v>19.762906439556456</v>
      </c>
    </row>
    <row r="9">
      <c r="A9" s="5" t="s">
        <v>44</v>
      </c>
      <c r="B9" s="6">
        <v>18.731483191867838</v>
      </c>
    </row>
    <row r="10">
      <c r="A10" s="5" t="s">
        <v>13</v>
      </c>
      <c r="B10" s="6">
        <v>18.52996145105044</v>
      </c>
    </row>
    <row r="11">
      <c r="A11" s="5" t="s">
        <v>5</v>
      </c>
      <c r="B11" s="6">
        <v>16.170396188042176</v>
      </c>
    </row>
    <row r="12">
      <c r="A12" s="5" t="s">
        <v>12</v>
      </c>
      <c r="B12" s="6">
        <v>15.923458955324223</v>
      </c>
    </row>
    <row r="13">
      <c r="A13" s="5" t="s">
        <v>20</v>
      </c>
      <c r="B13" s="6">
        <v>13.992122797617155</v>
      </c>
    </row>
    <row r="14">
      <c r="A14" s="5" t="s">
        <v>21</v>
      </c>
      <c r="B14" s="6">
        <v>12.845053037480017</v>
      </c>
    </row>
    <row r="15">
      <c r="A15" s="5" t="s">
        <v>873</v>
      </c>
      <c r="B15" s="6">
        <v>12.203991638256834</v>
      </c>
    </row>
    <row r="16">
      <c r="A16" s="5" t="s">
        <v>32</v>
      </c>
      <c r="B16" s="6">
        <v>9.985078257070098</v>
      </c>
    </row>
    <row r="17">
      <c r="A17" s="5" t="s">
        <v>25</v>
      </c>
      <c r="B17" s="6">
        <v>9.689733090379121</v>
      </c>
    </row>
    <row r="18">
      <c r="A18" s="5" t="s">
        <v>519</v>
      </c>
      <c r="B18" s="6">
        <v>9.632016575736998</v>
      </c>
    </row>
    <row r="19">
      <c r="A19" s="5" t="s">
        <v>18</v>
      </c>
      <c r="B19" s="6">
        <v>8.963435775825296</v>
      </c>
    </row>
    <row r="20">
      <c r="A20" s="5" t="s">
        <v>6</v>
      </c>
      <c r="B20" s="6">
        <v>8.926152969423931</v>
      </c>
    </row>
    <row r="21">
      <c r="A21" s="5" t="s">
        <v>30</v>
      </c>
      <c r="B21" s="6">
        <v>8.619213756771298</v>
      </c>
    </row>
    <row r="22">
      <c r="A22" s="5" t="s">
        <v>90</v>
      </c>
      <c r="B22" s="6">
        <v>8.60542493268563</v>
      </c>
    </row>
    <row r="23">
      <c r="A23" s="5" t="s">
        <v>877</v>
      </c>
      <c r="B23" s="6">
        <v>8.035202642173282</v>
      </c>
    </row>
    <row r="24">
      <c r="A24" s="5" t="s">
        <v>50</v>
      </c>
      <c r="B24" s="6">
        <v>7.9779656109631425</v>
      </c>
    </row>
    <row r="25">
      <c r="A25" s="5" t="s">
        <v>845</v>
      </c>
      <c r="B25" s="6">
        <v>7.6308772596854455</v>
      </c>
    </row>
    <row r="26">
      <c r="A26" s="5" t="s">
        <v>19</v>
      </c>
      <c r="B26" s="6">
        <v>7.044019513552261</v>
      </c>
    </row>
    <row r="27">
      <c r="A27" s="5" t="s">
        <v>38</v>
      </c>
      <c r="B27" s="6">
        <v>6.975842024256506</v>
      </c>
    </row>
    <row r="28">
      <c r="A28" s="5" t="s">
        <v>15</v>
      </c>
      <c r="B28" s="6">
        <v>6.59293731778434</v>
      </c>
    </row>
    <row r="29">
      <c r="A29" s="5" t="s">
        <v>22</v>
      </c>
      <c r="B29" s="6">
        <v>6.528198080926982</v>
      </c>
    </row>
    <row r="30">
      <c r="A30" s="5" t="s">
        <v>7</v>
      </c>
      <c r="B30" s="6">
        <v>6.174108384472188</v>
      </c>
    </row>
    <row r="31">
      <c r="A31" s="9" t="s">
        <v>1230</v>
      </c>
      <c r="B31" s="6">
        <v>6.040353381798415</v>
      </c>
    </row>
    <row r="32">
      <c r="A32" s="5" t="s">
        <v>34</v>
      </c>
      <c r="B32" s="6">
        <v>5.894727368801515</v>
      </c>
    </row>
    <row r="33">
      <c r="A33" s="5" t="s">
        <v>36</v>
      </c>
      <c r="B33" s="6">
        <v>5.833084931471513</v>
      </c>
    </row>
    <row r="34">
      <c r="A34" s="5" t="s">
        <v>26</v>
      </c>
      <c r="B34" s="6">
        <v>5.675975999987624</v>
      </c>
    </row>
    <row r="35">
      <c r="A35" s="5" t="s">
        <v>1918</v>
      </c>
      <c r="B35" s="247">
        <v>0.0</v>
      </c>
    </row>
    <row r="36">
      <c r="A36" s="5" t="s">
        <v>590</v>
      </c>
      <c r="B36" s="6">
        <v>5.463329684900329</v>
      </c>
    </row>
    <row r="37">
      <c r="A37" s="5" t="s">
        <v>158</v>
      </c>
      <c r="B37" s="6">
        <v>5.4503430694744015</v>
      </c>
    </row>
    <row r="38">
      <c r="A38" s="5" t="s">
        <v>33</v>
      </c>
      <c r="B38" s="6">
        <v>5.372117444120576</v>
      </c>
    </row>
    <row r="39">
      <c r="A39" s="5" t="s">
        <v>75</v>
      </c>
      <c r="B39" s="6">
        <v>4.949840813305019</v>
      </c>
    </row>
    <row r="40">
      <c r="A40" s="5" t="s">
        <v>43</v>
      </c>
      <c r="B40" s="6">
        <v>4.522869830963357</v>
      </c>
    </row>
    <row r="41">
      <c r="A41" s="5" t="s">
        <v>48</v>
      </c>
      <c r="B41" s="6">
        <v>4.427583804573118</v>
      </c>
    </row>
    <row r="42">
      <c r="A42" s="5" t="s">
        <v>879</v>
      </c>
      <c r="B42" s="6">
        <v>4.232003084151019</v>
      </c>
    </row>
    <row r="43">
      <c r="A43" s="5" t="s">
        <v>57</v>
      </c>
      <c r="B43" s="6">
        <v>4.103395360060539</v>
      </c>
    </row>
    <row r="44">
      <c r="A44" s="5" t="s">
        <v>63</v>
      </c>
      <c r="B44" s="6">
        <v>4.026821240304723</v>
      </c>
    </row>
    <row r="45">
      <c r="A45" s="5" t="s">
        <v>107</v>
      </c>
      <c r="B45" s="6">
        <v>3.6938214712353363</v>
      </c>
    </row>
    <row r="46">
      <c r="A46" s="5" t="s">
        <v>121</v>
      </c>
      <c r="B46" s="6">
        <v>3.665974228153871</v>
      </c>
    </row>
    <row r="47">
      <c r="A47" s="5" t="s">
        <v>60</v>
      </c>
      <c r="B47" s="6">
        <v>3.6348222775772516</v>
      </c>
    </row>
    <row r="48">
      <c r="A48" s="5" t="s">
        <v>46</v>
      </c>
      <c r="B48" s="6">
        <f>5.56061296743239+3.60697503449579</f>
        <v>9.167588002</v>
      </c>
      <c r="C48" s="110" t="s">
        <v>1919</v>
      </c>
    </row>
    <row r="49">
      <c r="A49" s="5" t="s">
        <v>187</v>
      </c>
      <c r="B49" s="6">
        <v>3.5844326545013194</v>
      </c>
    </row>
    <row r="50">
      <c r="A50" s="5" t="s">
        <v>871</v>
      </c>
      <c r="B50" s="6">
        <v>3.46589809323108</v>
      </c>
    </row>
    <row r="51">
      <c r="A51" s="9" t="s">
        <v>113</v>
      </c>
      <c r="B51" s="6">
        <v>3.4595868590509413</v>
      </c>
    </row>
    <row r="52">
      <c r="A52" s="5" t="s">
        <v>162</v>
      </c>
      <c r="B52" s="6">
        <v>3.343350634182716</v>
      </c>
    </row>
    <row r="53">
      <c r="A53" s="5" t="s">
        <v>192</v>
      </c>
      <c r="B53" s="6">
        <v>3.343350634182716</v>
      </c>
    </row>
    <row r="54">
      <c r="A54" s="5" t="s">
        <v>9</v>
      </c>
      <c r="B54" s="6">
        <v>3.2565041974431663</v>
      </c>
    </row>
    <row r="55">
      <c r="A55" s="5" t="s">
        <v>81</v>
      </c>
      <c r="B55" s="6">
        <v>3.2552923843075754</v>
      </c>
    </row>
    <row r="56">
      <c r="A56" s="5" t="s">
        <v>165</v>
      </c>
      <c r="B56" s="6">
        <v>3.24435192622196</v>
      </c>
    </row>
    <row r="57">
      <c r="A57" s="5" t="s">
        <v>876</v>
      </c>
      <c r="B57" s="6">
        <v>3.0951420732065302</v>
      </c>
    </row>
    <row r="58">
      <c r="A58" s="5" t="s">
        <v>138</v>
      </c>
      <c r="B58" s="6">
        <v>3.0492357471162634</v>
      </c>
    </row>
    <row r="59">
      <c r="A59" s="5" t="s">
        <v>1920</v>
      </c>
      <c r="B59" s="6">
        <v>2.9911176346821513</v>
      </c>
    </row>
    <row r="60">
      <c r="A60" s="5" t="s">
        <v>29</v>
      </c>
      <c r="B60" s="6">
        <v>2.981550818002183</v>
      </c>
    </row>
    <row r="61">
      <c r="A61" s="5" t="s">
        <v>208</v>
      </c>
      <c r="B61" s="6">
        <v>2.873119247365981</v>
      </c>
    </row>
    <row r="62">
      <c r="A62" s="5" t="s">
        <v>61</v>
      </c>
      <c r="B62" s="6">
        <v>2.735117073729935</v>
      </c>
    </row>
    <row r="63">
      <c r="A63" s="5" t="s">
        <v>99</v>
      </c>
      <c r="B63" s="6">
        <f> 0.9680903993142 +2.61634225518712</f>
        <v>3.584432655</v>
      </c>
      <c r="C63" s="110" t="s">
        <v>1921</v>
      </c>
    </row>
    <row r="64">
      <c r="A64" s="5" t="s">
        <v>1231</v>
      </c>
      <c r="B64" s="6">
        <v>2.5807665227474734</v>
      </c>
    </row>
    <row r="65">
      <c r="A65" s="5" t="s">
        <v>169</v>
      </c>
      <c r="B65" s="6">
        <v>2.5807665227474734</v>
      </c>
    </row>
    <row r="66">
      <c r="A66" s="5" t="s">
        <v>58</v>
      </c>
      <c r="B66" s="6">
        <v>2.5807665227474734</v>
      </c>
    </row>
    <row r="67">
      <c r="A67" s="5" t="s">
        <v>886</v>
      </c>
      <c r="B67" s="6">
        <v>2.463649216655276</v>
      </c>
    </row>
    <row r="68">
      <c r="A68" s="5" t="s">
        <v>225</v>
      </c>
      <c r="B68" s="6">
        <v>2.346531910563079</v>
      </c>
    </row>
    <row r="69">
      <c r="A69" s="5" t="s">
        <v>226</v>
      </c>
      <c r="B69" s="6">
        <v>2.3465319105630784</v>
      </c>
    </row>
    <row r="70">
      <c r="A70" s="5" t="s">
        <v>56</v>
      </c>
      <c r="B70" s="6">
        <v>2.2884137981289663</v>
      </c>
    </row>
    <row r="71">
      <c r="A71" s="5" t="s">
        <v>97</v>
      </c>
      <c r="B71" s="6">
        <v>2.2294146044708807</v>
      </c>
    </row>
    <row r="72">
      <c r="A72" s="5" t="s">
        <v>88</v>
      </c>
      <c r="B72" s="6">
        <v>2.2285335232469086</v>
      </c>
    </row>
    <row r="73">
      <c r="A73" s="5" t="s">
        <v>98</v>
      </c>
      <c r="B73" s="6">
        <v>2.217262333249675</v>
      </c>
    </row>
    <row r="74">
      <c r="A74" s="5" t="s">
        <v>184</v>
      </c>
      <c r="B74" s="6">
        <v>2.2059911432524415</v>
      </c>
    </row>
    <row r="75">
      <c r="A75" s="5" t="s">
        <v>171</v>
      </c>
      <c r="B75" s="6">
        <v>2.2059911432524415</v>
      </c>
    </row>
    <row r="76">
      <c r="A76" s="5" t="s">
        <v>209</v>
      </c>
      <c r="B76" s="6">
        <v>2.05296737280898</v>
      </c>
    </row>
    <row r="77">
      <c r="A77" s="5" t="s">
        <v>45</v>
      </c>
      <c r="B77" s="6">
        <v>1.9830277210652798</v>
      </c>
    </row>
    <row r="78">
      <c r="A78" s="5" t="s">
        <v>167</v>
      </c>
      <c r="B78" s="6">
        <v>1.8659104149730823</v>
      </c>
    </row>
    <row r="79">
      <c r="A79" s="5" t="s">
        <v>206</v>
      </c>
      <c r="B79" s="6">
        <v>1.8469107356176682</v>
      </c>
    </row>
    <row r="80">
      <c r="A80" s="5" t="s">
        <v>91</v>
      </c>
      <c r="B80" s="6">
        <v>1.8187327606245847</v>
      </c>
    </row>
    <row r="81">
      <c r="A81" s="5" t="s">
        <v>159</v>
      </c>
      <c r="B81" s="6">
        <v>1.8187327606245847</v>
      </c>
    </row>
    <row r="82">
      <c r="A82" s="5" t="s">
        <v>238</v>
      </c>
      <c r="B82" s="6">
        <v>1.8187327606245847</v>
      </c>
    </row>
    <row r="83">
      <c r="A83" s="5" t="s">
        <v>139</v>
      </c>
      <c r="B83" s="6">
        <v>1.8187327606245847</v>
      </c>
    </row>
    <row r="84">
      <c r="A84" s="5" t="s">
        <v>108</v>
      </c>
      <c r="B84" s="6">
        <v>1.7019461864440055</v>
      </c>
    </row>
    <row r="85">
      <c r="A85" s="5" t="s">
        <v>882</v>
      </c>
      <c r="B85" s="6">
        <v>1.7019461864440055</v>
      </c>
    </row>
    <row r="86">
      <c r="A86" s="5" t="s">
        <v>880</v>
      </c>
      <c r="B86" s="6">
        <v>1.7019461864440055</v>
      </c>
    </row>
    <row r="87">
      <c r="A87" s="5" t="s">
        <v>1922</v>
      </c>
      <c r="B87" s="6">
        <v>1.7019461864440055</v>
      </c>
    </row>
    <row r="88">
      <c r="A88" s="5" t="s">
        <v>244</v>
      </c>
      <c r="B88" s="6">
        <v>1.670794235867386</v>
      </c>
    </row>
    <row r="89">
      <c r="A89" s="5" t="s">
        <v>83</v>
      </c>
      <c r="B89" s="6">
        <v>1.6126761234332732</v>
      </c>
    </row>
    <row r="90">
      <c r="A90" s="5" t="s">
        <v>102</v>
      </c>
      <c r="B90" s="6">
        <v>1.6126761234332732</v>
      </c>
    </row>
    <row r="91">
      <c r="A91" s="5" t="s">
        <v>252</v>
      </c>
      <c r="B91" s="6">
        <v>1.6126761234332732</v>
      </c>
    </row>
    <row r="92">
      <c r="A92" s="5" t="s">
        <v>176</v>
      </c>
      <c r="B92" s="6">
        <v>1.6126761234332732</v>
      </c>
    </row>
    <row r="93">
      <c r="A93" s="5" t="s">
        <v>168</v>
      </c>
      <c r="B93" s="6">
        <v>1.6126761234332732</v>
      </c>
    </row>
    <row r="94">
      <c r="A94" s="5" t="s">
        <v>76</v>
      </c>
      <c r="B94" s="6">
        <v>1.5545580109991608</v>
      </c>
    </row>
    <row r="95">
      <c r="A95" s="5" t="s">
        <v>115</v>
      </c>
      <c r="B95" s="6">
        <v>1.5545580109991608</v>
      </c>
    </row>
    <row r="96">
      <c r="A96" s="5" t="s">
        <v>68</v>
      </c>
      <c r="B96" s="6">
        <v>1.4365596236829905</v>
      </c>
    </row>
    <row r="97">
      <c r="A97" s="5" t="s">
        <v>173</v>
      </c>
      <c r="B97" s="6">
        <v>1.4365596236829905</v>
      </c>
    </row>
    <row r="98">
      <c r="A98" s="5" t="s">
        <v>163</v>
      </c>
      <c r="B98" s="6">
        <v>1.378441511248878</v>
      </c>
    </row>
    <row r="99">
      <c r="A99" s="5" t="s">
        <v>194</v>
      </c>
      <c r="B99" s="6">
        <v>1.378441511248878</v>
      </c>
    </row>
    <row r="100">
      <c r="A100" s="5" t="s">
        <v>267</v>
      </c>
      <c r="B100" s="6">
        <v>1.378441511248878</v>
      </c>
    </row>
    <row r="101">
      <c r="A101" s="5" t="s">
        <v>203</v>
      </c>
      <c r="B101" s="6">
        <v>1.378441511248878</v>
      </c>
    </row>
    <row r="102">
      <c r="A102" s="5" t="s">
        <v>204</v>
      </c>
      <c r="B102" s="6">
        <v>1.378441511248878</v>
      </c>
    </row>
    <row r="103">
      <c r="A103" s="5" t="s">
        <v>73</v>
      </c>
      <c r="B103" s="6">
        <v>1.28474766637512</v>
      </c>
    </row>
    <row r="104">
      <c r="A104" s="5" t="s">
        <v>276</v>
      </c>
      <c r="B104" s="6">
        <v>1.237900743938241</v>
      </c>
    </row>
    <row r="105">
      <c r="A105" s="5" t="s">
        <v>130</v>
      </c>
      <c r="B105" s="6">
        <v>1.2023250114985955</v>
      </c>
    </row>
    <row r="106">
      <c r="A106" s="5" t="s">
        <v>70</v>
      </c>
      <c r="B106" s="6">
        <v>1.2023250114985955</v>
      </c>
    </row>
    <row r="107">
      <c r="A107" s="5" t="s">
        <v>55</v>
      </c>
      <c r="B107" s="6">
        <v>1.2023250114985955</v>
      </c>
    </row>
    <row r="108">
      <c r="A108" s="5" t="s">
        <v>164</v>
      </c>
      <c r="B108" s="6">
        <v>1.1086311666248374</v>
      </c>
    </row>
    <row r="109">
      <c r="A109" s="5" t="s">
        <v>289</v>
      </c>
      <c r="B109" s="6">
        <v>1.0617842441879584</v>
      </c>
    </row>
    <row r="110">
      <c r="A110" s="5" t="s">
        <v>66</v>
      </c>
      <c r="B110" s="6">
        <v>1.0262085117483128</v>
      </c>
    </row>
    <row r="111">
      <c r="A111" s="5" t="s">
        <v>743</v>
      </c>
      <c r="B111" s="247">
        <v>0.0</v>
      </c>
    </row>
    <row r="112">
      <c r="A112" s="5" t="s">
        <v>137</v>
      </c>
      <c r="B112" s="6">
        <v>0.8509730932220028</v>
      </c>
    </row>
    <row r="113">
      <c r="A113" s="5" t="s">
        <v>883</v>
      </c>
      <c r="B113" s="6">
        <v>0.8509730932220028</v>
      </c>
    </row>
    <row r="114">
      <c r="A114" s="5" t="s">
        <v>1923</v>
      </c>
      <c r="B114" s="6">
        <v>0.8509730932220028</v>
      </c>
    </row>
    <row r="115">
      <c r="A115" s="5" t="s">
        <v>885</v>
      </c>
      <c r="B115" s="6">
        <v>0.8509730932220028</v>
      </c>
    </row>
    <row r="116">
      <c r="A116" s="5" t="s">
        <v>69</v>
      </c>
      <c r="B116" s="6">
        <v>0.8509730932220028</v>
      </c>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3.57"/>
    <col customWidth="1" min="5" max="5" width="6.57"/>
    <col customWidth="1" min="6" max="6" width="10.14"/>
    <col customWidth="1" min="7" max="7" width="8.43"/>
    <col customWidth="1" min="8" max="8" width="9.29"/>
    <col customWidth="1" min="9" max="10" width="8.43"/>
    <col customWidth="1" min="13" max="13" width="16.0"/>
    <col customWidth="1" min="16" max="16" width="13.14"/>
    <col customWidth="1" min="17" max="17" width="11.43"/>
  </cols>
  <sheetData>
    <row r="1">
      <c r="A1" s="133"/>
      <c r="B1" s="134" t="s">
        <v>1924</v>
      </c>
      <c r="C1" s="233" t="s">
        <v>415</v>
      </c>
      <c r="D1" s="136"/>
      <c r="E1" s="137"/>
      <c r="F1" s="138" t="s">
        <v>416</v>
      </c>
      <c r="G1" s="139">
        <v>700.0</v>
      </c>
      <c r="H1" s="139">
        <v>1000.0</v>
      </c>
      <c r="I1" s="139">
        <v>1400.0</v>
      </c>
      <c r="J1" s="140">
        <f>AVERAGE(G1:I1)</f>
        <v>1033.333333</v>
      </c>
      <c r="K1" s="141" t="s">
        <v>417</v>
      </c>
      <c r="L1" s="142">
        <f>countif(J4:J1352, "&gt;0.000001")</f>
        <v>547</v>
      </c>
      <c r="M1" s="141" t="s">
        <v>418</v>
      </c>
      <c r="N1" s="143">
        <v>1.8890920170627665</v>
      </c>
      <c r="O1" s="144" t="s">
        <v>419</v>
      </c>
      <c r="P1" s="133"/>
      <c r="Q1" s="134"/>
      <c r="R1" s="145"/>
      <c r="S1" s="145"/>
      <c r="T1" s="145"/>
      <c r="U1" s="145"/>
    </row>
    <row r="2">
      <c r="A2" s="146"/>
      <c r="B2" s="134" t="s">
        <v>1925</v>
      </c>
      <c r="C2" s="234" t="s">
        <v>421</v>
      </c>
      <c r="D2" s="148"/>
      <c r="E2" s="137"/>
      <c r="F2" s="149" t="s">
        <v>422</v>
      </c>
      <c r="G2" s="139">
        <f t="shared" ref="G2:K2" si="1">sum(G4:G865)</f>
        <v>20610</v>
      </c>
      <c r="H2" s="139">
        <f t="shared" si="1"/>
        <v>1085500</v>
      </c>
      <c r="I2" s="139">
        <f t="shared" si="1"/>
        <v>143176</v>
      </c>
      <c r="J2" s="150">
        <f t="shared" si="1"/>
        <v>1</v>
      </c>
      <c r="K2" s="151">
        <f t="shared" si="1"/>
        <v>626.5087044</v>
      </c>
      <c r="L2" s="152" t="s">
        <v>416</v>
      </c>
      <c r="M2" s="153" t="str">
        <f>'DO NOT TOUCH Imported'!A266</f>
        <v/>
      </c>
      <c r="N2" s="153" t="s">
        <v>423</v>
      </c>
      <c r="O2" s="145"/>
      <c r="P2" s="146"/>
      <c r="Q2" s="134"/>
      <c r="R2" s="145"/>
      <c r="S2" s="145"/>
      <c r="T2" s="145"/>
      <c r="U2" s="145"/>
    </row>
    <row r="3">
      <c r="A3" s="154" t="s">
        <v>424</v>
      </c>
      <c r="B3" s="154" t="s">
        <v>425</v>
      </c>
      <c r="C3" s="235" t="s">
        <v>426</v>
      </c>
      <c r="D3" s="156"/>
      <c r="E3" s="157" t="s">
        <v>427</v>
      </c>
      <c r="F3" s="158" t="s">
        <v>428</v>
      </c>
      <c r="G3" s="159" t="s">
        <v>1580</v>
      </c>
      <c r="H3" s="159" t="s">
        <v>429</v>
      </c>
      <c r="I3" s="159" t="s">
        <v>1926</v>
      </c>
      <c r="J3" s="160" t="s">
        <v>432</v>
      </c>
      <c r="K3" s="161" t="s">
        <v>433</v>
      </c>
      <c r="L3" s="162" t="s">
        <v>434</v>
      </c>
      <c r="M3" s="161"/>
      <c r="N3" s="163">
        <f>IFERROR(__xludf.DUMMYFUNCTION("query(iferror(sort({row(A3:A865)-row(A3)+2-match(sort(A3:A865),sort(A3:A865),0),SORT(ROW(A3:A865)+2-row(A3)+2,A3:A865,1)},2,1),),""Select Col1"")"),1.0)</f>
        <v>1</v>
      </c>
      <c r="O3" s="163"/>
      <c r="P3" s="154" t="s">
        <v>424</v>
      </c>
      <c r="Q3" s="154" t="s">
        <v>425</v>
      </c>
      <c r="R3" s="164"/>
      <c r="S3" s="164"/>
      <c r="T3" s="164"/>
      <c r="U3" s="164"/>
      <c r="V3" s="164"/>
      <c r="W3" s="164"/>
      <c r="X3" s="164"/>
      <c r="Y3" s="164"/>
      <c r="Z3" s="164"/>
    </row>
    <row r="4">
      <c r="A4" s="267" t="str">
        <f>iferror(VLOOKUP(P4,'DO NOT TOUCH Imported'!$A$1:$D$800,4,False),iferror(VLOOKUP(P4,'DO NOT TOUCH Imported'!$C$1:$D$800,2,False),"OOPS FIX ME"))</f>
        <v>zeptimusQ</v>
      </c>
      <c r="B4" s="249" t="s">
        <v>867</v>
      </c>
      <c r="C4" s="219" t="s">
        <v>1927</v>
      </c>
      <c r="D4" s="268" t="s">
        <v>495</v>
      </c>
      <c r="E4" s="252">
        <v>44256.0</v>
      </c>
      <c r="F4" s="250" t="s">
        <v>496</v>
      </c>
      <c r="G4" s="171">
        <v>20.0</v>
      </c>
      <c r="H4" s="171">
        <v>1000.0</v>
      </c>
      <c r="I4" s="171">
        <v>300.0</v>
      </c>
      <c r="J4" s="172">
        <f t="shared" ref="J4:J655" si="2">(G4/$G$2+H4/$H$2+I4/$I$2)/3</f>
        <v>0.001328986803</v>
      </c>
      <c r="K4" s="269">
        <f t="shared" ref="K4:K156" si="3">J4*$J$1</f>
        <v>1.373286363</v>
      </c>
      <c r="L4" s="270">
        <f t="shared" ref="L4:L655" si="4">dsum($A$3:$K865,"IH per Praise",{$A$3;A4})</f>
        <v>41.63795567</v>
      </c>
      <c r="M4" s="271" t="str">
        <f t="shared" ref="M4:M655" si="5">A4</f>
        <v>zeptimusQ</v>
      </c>
      <c r="N4" s="176">
        <f>IFERROR(__xludf.DUMMYFUNCTION("""COMPUTED_VALUE"""),1.0)</f>
        <v>1</v>
      </c>
      <c r="O4" s="176"/>
      <c r="P4" s="249" t="s">
        <v>3</v>
      </c>
      <c r="Q4" s="249" t="s">
        <v>867</v>
      </c>
      <c r="R4" s="176"/>
      <c r="S4" s="176"/>
      <c r="T4" s="176"/>
      <c r="U4" s="176"/>
      <c r="V4" s="176"/>
      <c r="W4" s="176"/>
      <c r="X4" s="176"/>
      <c r="Y4" s="176"/>
      <c r="Z4" s="176"/>
    </row>
    <row r="5">
      <c r="A5" s="267" t="str">
        <f>iferror(VLOOKUP(P5,'DO NOT TOUCH Imported'!$A$1:$D$800,4,False),iferror(VLOOKUP(P5,'DO NOT TOUCH Imported'!$C$1:$D$800,2,False),"OOPS FIX ME"))</f>
        <v>zeptimusQ</v>
      </c>
      <c r="B5" s="272" t="s">
        <v>43</v>
      </c>
      <c r="C5" s="273" t="s">
        <v>1928</v>
      </c>
      <c r="D5" s="274" t="s">
        <v>437</v>
      </c>
      <c r="E5" s="275">
        <v>44257.0</v>
      </c>
      <c r="F5" s="274" t="s">
        <v>1929</v>
      </c>
      <c r="G5" s="171">
        <v>50.0</v>
      </c>
      <c r="H5" s="171">
        <v>5000.0</v>
      </c>
      <c r="I5" s="171">
        <v>400.0</v>
      </c>
      <c r="J5" s="172">
        <f t="shared" si="2"/>
        <v>0.003275314461</v>
      </c>
      <c r="K5" s="269">
        <f t="shared" si="3"/>
        <v>3.384491609</v>
      </c>
      <c r="L5" s="270">
        <f t="shared" si="4"/>
        <v>41.63795567</v>
      </c>
      <c r="M5" s="271" t="str">
        <f t="shared" si="5"/>
        <v>zeptimusQ</v>
      </c>
      <c r="N5" s="176">
        <f>IFERROR(__xludf.DUMMYFUNCTION("""COMPUTED_VALUE"""),2.0)</f>
        <v>2</v>
      </c>
      <c r="O5" s="176"/>
      <c r="P5" s="272" t="s">
        <v>440</v>
      </c>
      <c r="Q5" s="272" t="s">
        <v>43</v>
      </c>
      <c r="R5" s="176"/>
      <c r="S5" s="176"/>
      <c r="T5" s="176"/>
      <c r="U5" s="176"/>
      <c r="V5" s="176"/>
      <c r="W5" s="176"/>
      <c r="X5" s="176"/>
      <c r="Y5" s="176"/>
      <c r="Z5" s="176"/>
    </row>
    <row r="6">
      <c r="A6" s="267" t="str">
        <f>iferror(VLOOKUP(P6,'DO NOT TOUCH Imported'!$A$1:$D$800,4,False),iferror(VLOOKUP(P6,'DO NOT TOUCH Imported'!$C$1:$D$800,2,False),"OOPS FIX ME"))</f>
        <v>zeptimusQ</v>
      </c>
      <c r="B6" s="249" t="s">
        <v>18</v>
      </c>
      <c r="C6" s="219" t="s">
        <v>1930</v>
      </c>
      <c r="D6" s="268" t="s">
        <v>495</v>
      </c>
      <c r="E6" s="252">
        <v>44257.0</v>
      </c>
      <c r="F6" s="250" t="s">
        <v>496</v>
      </c>
      <c r="G6" s="171">
        <v>25.0</v>
      </c>
      <c r="H6" s="171">
        <v>1000.0</v>
      </c>
      <c r="I6" s="171">
        <v>10.0</v>
      </c>
      <c r="J6" s="172">
        <f t="shared" si="2"/>
        <v>0.0007346939862</v>
      </c>
      <c r="K6" s="269">
        <f t="shared" si="3"/>
        <v>0.7591837857</v>
      </c>
      <c r="L6" s="270">
        <f t="shared" si="4"/>
        <v>41.63795567</v>
      </c>
      <c r="M6" s="271" t="str">
        <f t="shared" si="5"/>
        <v>zeptimusQ</v>
      </c>
      <c r="N6" s="176">
        <f>IFERROR(__xludf.DUMMYFUNCTION("""COMPUTED_VALUE"""),3.0)</f>
        <v>3</v>
      </c>
      <c r="O6" s="176"/>
      <c r="P6" s="249" t="s">
        <v>3</v>
      </c>
      <c r="Q6" s="249" t="s">
        <v>18</v>
      </c>
      <c r="R6" s="176"/>
      <c r="S6" s="176"/>
      <c r="T6" s="176"/>
      <c r="U6" s="176"/>
      <c r="V6" s="176"/>
      <c r="W6" s="176"/>
      <c r="X6" s="176"/>
      <c r="Y6" s="176"/>
      <c r="Z6" s="176"/>
    </row>
    <row r="7">
      <c r="A7" s="267" t="str">
        <f>iferror(VLOOKUP(P7,'DO NOT TOUCH Imported'!$A$1:$D$800,4,False),iferror(VLOOKUP(P7,'DO NOT TOUCH Imported'!$C$1:$D$800,2,False),"OOPS FIX ME"))</f>
        <v>zeptimusQ</v>
      </c>
      <c r="B7" s="249" t="s">
        <v>18</v>
      </c>
      <c r="C7" s="219" t="s">
        <v>1931</v>
      </c>
      <c r="D7" s="268" t="s">
        <v>495</v>
      </c>
      <c r="E7" s="252">
        <v>44257.0</v>
      </c>
      <c r="F7" s="250" t="s">
        <v>496</v>
      </c>
      <c r="G7" s="171">
        <v>50.0</v>
      </c>
      <c r="H7" s="171">
        <v>1000.0</v>
      </c>
      <c r="I7" s="171">
        <v>500.0</v>
      </c>
      <c r="J7" s="172">
        <f t="shared" si="2"/>
        <v>0.002279815548</v>
      </c>
      <c r="K7" s="269">
        <f t="shared" si="3"/>
        <v>2.3558094</v>
      </c>
      <c r="L7" s="270">
        <f t="shared" si="4"/>
        <v>41.63795567</v>
      </c>
      <c r="M7" s="271" t="str">
        <f t="shared" si="5"/>
        <v>zeptimusQ</v>
      </c>
      <c r="N7" s="176">
        <f>IFERROR(__xludf.DUMMYFUNCTION("""COMPUTED_VALUE"""),4.0)</f>
        <v>4</v>
      </c>
      <c r="O7" s="176"/>
      <c r="P7" s="249" t="s">
        <v>3</v>
      </c>
      <c r="Q7" s="249" t="s">
        <v>18</v>
      </c>
      <c r="R7" s="176"/>
      <c r="S7" s="176"/>
      <c r="T7" s="176"/>
      <c r="U7" s="176"/>
      <c r="V7" s="176"/>
      <c r="W7" s="176"/>
      <c r="X7" s="176"/>
      <c r="Y7" s="176"/>
      <c r="Z7" s="176"/>
    </row>
    <row r="8">
      <c r="A8" s="267" t="str">
        <f>iferror(VLOOKUP(P8,'DO NOT TOUCH Imported'!$A$1:$D$800,4,False),iferror(VLOOKUP(P8,'DO NOT TOUCH Imported'!$C$1:$D$800,2,False),"OOPS FIX ME"))</f>
        <v>zeptimusQ</v>
      </c>
      <c r="B8" s="249" t="s">
        <v>18</v>
      </c>
      <c r="C8" s="219" t="s">
        <v>1932</v>
      </c>
      <c r="D8" s="268" t="s">
        <v>495</v>
      </c>
      <c r="E8" s="252">
        <v>44257.0</v>
      </c>
      <c r="F8" s="250" t="s">
        <v>496</v>
      </c>
      <c r="G8" s="171">
        <v>25.0</v>
      </c>
      <c r="H8" s="171">
        <v>1000.0</v>
      </c>
      <c r="I8" s="171">
        <v>100.0</v>
      </c>
      <c r="J8" s="172">
        <f t="shared" si="2"/>
        <v>0.00094422631</v>
      </c>
      <c r="K8" s="269">
        <f t="shared" si="3"/>
        <v>0.9757005204</v>
      </c>
      <c r="L8" s="270">
        <f t="shared" si="4"/>
        <v>41.63795567</v>
      </c>
      <c r="M8" s="271" t="str">
        <f t="shared" si="5"/>
        <v>zeptimusQ</v>
      </c>
      <c r="N8" s="176">
        <f>IFERROR(__xludf.DUMMYFUNCTION("""COMPUTED_VALUE"""),5.0)</f>
        <v>5</v>
      </c>
      <c r="O8" s="176"/>
      <c r="P8" s="249" t="s">
        <v>3</v>
      </c>
      <c r="Q8" s="249" t="s">
        <v>18</v>
      </c>
      <c r="R8" s="176"/>
      <c r="S8" s="176"/>
      <c r="T8" s="176"/>
      <c r="U8" s="176"/>
      <c r="V8" s="176"/>
      <c r="W8" s="176"/>
      <c r="X8" s="176"/>
      <c r="Y8" s="176"/>
      <c r="Z8" s="176"/>
    </row>
    <row r="9">
      <c r="A9" s="267" t="str">
        <f>iferror(VLOOKUP(P9,'DO NOT TOUCH Imported'!$A$1:$D$800,4,False),iferror(VLOOKUP(P9,'DO NOT TOUCH Imported'!$C$1:$D$800,2,False),"OOPS FIX ME"))</f>
        <v>zeptimusQ</v>
      </c>
      <c r="B9" s="272" t="s">
        <v>1933</v>
      </c>
      <c r="C9" s="273" t="s">
        <v>1934</v>
      </c>
      <c r="D9" s="274" t="s">
        <v>437</v>
      </c>
      <c r="E9" s="275">
        <v>44258.0</v>
      </c>
      <c r="F9" s="274" t="s">
        <v>1929</v>
      </c>
      <c r="G9" s="171">
        <v>25.0</v>
      </c>
      <c r="H9" s="171">
        <v>2000.0</v>
      </c>
      <c r="I9" s="171">
        <v>200.0</v>
      </c>
      <c r="J9" s="172">
        <f t="shared" si="2"/>
        <v>0.001484118155</v>
      </c>
      <c r="K9" s="269">
        <f t="shared" si="3"/>
        <v>1.53358876</v>
      </c>
      <c r="L9" s="270">
        <f t="shared" si="4"/>
        <v>41.63795567</v>
      </c>
      <c r="M9" s="271" t="str">
        <f t="shared" si="5"/>
        <v>zeptimusQ</v>
      </c>
      <c r="N9" s="176">
        <f>IFERROR(__xludf.DUMMYFUNCTION("""COMPUTED_VALUE"""),6.0)</f>
        <v>6</v>
      </c>
      <c r="O9" s="176"/>
      <c r="P9" s="267" t="s">
        <v>440</v>
      </c>
      <c r="Q9" s="272" t="s">
        <v>1933</v>
      </c>
      <c r="R9" s="176"/>
      <c r="S9" s="176"/>
      <c r="T9" s="176"/>
      <c r="U9" s="176"/>
      <c r="V9" s="176"/>
      <c r="W9" s="176"/>
      <c r="X9" s="176"/>
      <c r="Y9" s="176"/>
      <c r="Z9" s="176"/>
    </row>
    <row r="10">
      <c r="A10" s="267" t="str">
        <f>iferror(VLOOKUP(P10,'DO NOT TOUCH Imported'!$A$1:$D$800,4,False),iferror(VLOOKUP(P10,'DO NOT TOUCH Imported'!$C$1:$D$800,2,False),"OOPS FIX ME"))</f>
        <v>zeptimusQ</v>
      </c>
      <c r="B10" s="272" t="s">
        <v>8</v>
      </c>
      <c r="C10" s="273" t="s">
        <v>1935</v>
      </c>
      <c r="D10" s="274" t="s">
        <v>437</v>
      </c>
      <c r="E10" s="275">
        <v>44259.0</v>
      </c>
      <c r="F10" s="274" t="s">
        <v>1929</v>
      </c>
      <c r="G10" s="171">
        <v>50.0</v>
      </c>
      <c r="H10" s="171">
        <v>1000.0</v>
      </c>
      <c r="I10" s="171">
        <v>100.0</v>
      </c>
      <c r="J10" s="172">
        <f t="shared" si="2"/>
        <v>0.001348560775</v>
      </c>
      <c r="K10" s="269">
        <f t="shared" si="3"/>
        <v>1.393512801</v>
      </c>
      <c r="L10" s="270">
        <f t="shared" si="4"/>
        <v>41.63795567</v>
      </c>
      <c r="M10" s="271" t="str">
        <f t="shared" si="5"/>
        <v>zeptimusQ</v>
      </c>
      <c r="N10" s="176">
        <f>IFERROR(__xludf.DUMMYFUNCTION("""COMPUTED_VALUE"""),7.0)</f>
        <v>7</v>
      </c>
      <c r="O10" s="176"/>
      <c r="P10" s="267" t="s">
        <v>440</v>
      </c>
      <c r="Q10" s="272" t="s">
        <v>8</v>
      </c>
      <c r="R10" s="176"/>
      <c r="S10" s="176"/>
      <c r="T10" s="176"/>
      <c r="U10" s="176"/>
      <c r="V10" s="176"/>
      <c r="W10" s="176"/>
      <c r="X10" s="176"/>
      <c r="Y10" s="176"/>
      <c r="Z10" s="176"/>
    </row>
    <row r="11">
      <c r="A11" s="267" t="str">
        <f>iferror(VLOOKUP(P11,'DO NOT TOUCH Imported'!$A$1:$D$800,4,False),iferror(VLOOKUP(P11,'DO NOT TOUCH Imported'!$C$1:$D$800,2,False),"OOPS FIX ME"))</f>
        <v>zeptimusQ</v>
      </c>
      <c r="B11" s="272" t="s">
        <v>1933</v>
      </c>
      <c r="C11" s="273" t="s">
        <v>1936</v>
      </c>
      <c r="D11" s="274" t="s">
        <v>437</v>
      </c>
      <c r="E11" s="275">
        <v>44259.0</v>
      </c>
      <c r="F11" s="274" t="s">
        <v>1929</v>
      </c>
      <c r="G11" s="171">
        <v>25.0</v>
      </c>
      <c r="H11" s="171">
        <v>1500.0</v>
      </c>
      <c r="I11" s="171">
        <v>200.0</v>
      </c>
      <c r="J11" s="172">
        <f t="shared" si="2"/>
        <v>0.001330579079</v>
      </c>
      <c r="K11" s="269">
        <f t="shared" si="3"/>
        <v>1.374931715</v>
      </c>
      <c r="L11" s="270">
        <f t="shared" si="4"/>
        <v>41.63795567</v>
      </c>
      <c r="M11" s="271" t="str">
        <f t="shared" si="5"/>
        <v>zeptimusQ</v>
      </c>
      <c r="N11" s="176">
        <f>IFERROR(__xludf.DUMMYFUNCTION("""COMPUTED_VALUE"""),8.0)</f>
        <v>8</v>
      </c>
      <c r="O11" s="176"/>
      <c r="P11" s="267" t="s">
        <v>440</v>
      </c>
      <c r="Q11" s="272" t="s">
        <v>1933</v>
      </c>
      <c r="R11" s="176"/>
      <c r="S11" s="176"/>
      <c r="T11" s="176"/>
      <c r="U11" s="176"/>
      <c r="V11" s="176"/>
      <c r="W11" s="176"/>
      <c r="X11" s="176"/>
      <c r="Y11" s="176"/>
      <c r="Z11" s="176"/>
    </row>
    <row r="12">
      <c r="A12" s="267" t="str">
        <f>iferror(VLOOKUP(P12,'DO NOT TOUCH Imported'!$A$1:$D$800,4,False),iferror(VLOOKUP(P12,'DO NOT TOUCH Imported'!$C$1:$D$800,2,False),"OOPS FIX ME"))</f>
        <v>zeptimusQ</v>
      </c>
      <c r="B12" s="272" t="s">
        <v>10</v>
      </c>
      <c r="C12" s="273" t="s">
        <v>1937</v>
      </c>
      <c r="D12" s="274" t="s">
        <v>437</v>
      </c>
      <c r="E12" s="275">
        <v>44260.0</v>
      </c>
      <c r="F12" s="274" t="s">
        <v>1929</v>
      </c>
      <c r="G12" s="171">
        <v>35.0</v>
      </c>
      <c r="H12" s="171">
        <v>1000.0</v>
      </c>
      <c r="I12" s="171">
        <v>100.0</v>
      </c>
      <c r="J12" s="172">
        <f t="shared" si="2"/>
        <v>0.001105960096</v>
      </c>
      <c r="K12" s="269">
        <f t="shared" si="3"/>
        <v>1.142825433</v>
      </c>
      <c r="L12" s="270">
        <f t="shared" si="4"/>
        <v>41.63795567</v>
      </c>
      <c r="M12" s="271" t="str">
        <f t="shared" si="5"/>
        <v>zeptimusQ</v>
      </c>
      <c r="N12" s="176">
        <f>IFERROR(__xludf.DUMMYFUNCTION("""COMPUTED_VALUE"""),9.0)</f>
        <v>9</v>
      </c>
      <c r="O12" s="176"/>
      <c r="P12" s="267" t="s">
        <v>440</v>
      </c>
      <c r="Q12" s="272" t="s">
        <v>10</v>
      </c>
      <c r="R12" s="176"/>
      <c r="S12" s="176"/>
      <c r="T12" s="176"/>
      <c r="U12" s="176"/>
      <c r="V12" s="176"/>
      <c r="W12" s="176"/>
      <c r="X12" s="176"/>
      <c r="Y12" s="176"/>
      <c r="Z12" s="176"/>
    </row>
    <row r="13">
      <c r="A13" s="267" t="str">
        <f>iferror(VLOOKUP(P13,'DO NOT TOUCH Imported'!$A$1:$D$800,4,False),iferror(VLOOKUP(P13,'DO NOT TOUCH Imported'!$C$1:$D$800,2,False),"OOPS FIX ME"))</f>
        <v>zeptimusQ</v>
      </c>
      <c r="B13" s="272" t="s">
        <v>10</v>
      </c>
      <c r="C13" s="273" t="s">
        <v>1938</v>
      </c>
      <c r="D13" s="274" t="s">
        <v>437</v>
      </c>
      <c r="E13" s="275">
        <v>44260.0</v>
      </c>
      <c r="F13" s="274" t="s">
        <v>1929</v>
      </c>
      <c r="G13" s="171">
        <v>35.0</v>
      </c>
      <c r="H13" s="171">
        <v>2000.0</v>
      </c>
      <c r="I13" s="171">
        <v>200.0</v>
      </c>
      <c r="J13" s="172">
        <f t="shared" si="2"/>
        <v>0.001645851941</v>
      </c>
      <c r="K13" s="269">
        <f t="shared" si="3"/>
        <v>1.700713672</v>
      </c>
      <c r="L13" s="270">
        <f t="shared" si="4"/>
        <v>41.63795567</v>
      </c>
      <c r="M13" s="271" t="str">
        <f t="shared" si="5"/>
        <v>zeptimusQ</v>
      </c>
      <c r="N13" s="176">
        <f>IFERROR(__xludf.DUMMYFUNCTION("""COMPUTED_VALUE"""),10.0)</f>
        <v>10</v>
      </c>
      <c r="O13" s="176"/>
      <c r="P13" s="267" t="s">
        <v>440</v>
      </c>
      <c r="Q13" s="272" t="s">
        <v>10</v>
      </c>
      <c r="R13" s="176"/>
      <c r="S13" s="176"/>
      <c r="T13" s="176"/>
      <c r="U13" s="176"/>
      <c r="V13" s="176"/>
      <c r="W13" s="176"/>
      <c r="X13" s="176"/>
      <c r="Y13" s="176"/>
      <c r="Z13" s="176"/>
    </row>
    <row r="14">
      <c r="A14" s="267" t="str">
        <f>iferror(VLOOKUP(P14,'DO NOT TOUCH Imported'!$A$1:$D$800,4,False),iferror(VLOOKUP(P14,'DO NOT TOUCH Imported'!$C$1:$D$800,2,False),"OOPS FIX ME"))</f>
        <v>zeptimusQ</v>
      </c>
      <c r="B14" s="272" t="s">
        <v>10</v>
      </c>
      <c r="C14" s="273" t="s">
        <v>1939</v>
      </c>
      <c r="D14" s="274" t="s">
        <v>437</v>
      </c>
      <c r="E14" s="275">
        <v>44260.0</v>
      </c>
      <c r="F14" s="274" t="s">
        <v>1929</v>
      </c>
      <c r="G14" s="171">
        <v>50.0</v>
      </c>
      <c r="H14" s="171">
        <v>500.0</v>
      </c>
      <c r="I14" s="171">
        <v>100.0</v>
      </c>
      <c r="J14" s="172">
        <f t="shared" si="2"/>
        <v>0.0011950217</v>
      </c>
      <c r="K14" s="269">
        <f t="shared" si="3"/>
        <v>1.234855756</v>
      </c>
      <c r="L14" s="270">
        <f t="shared" si="4"/>
        <v>41.63795567</v>
      </c>
      <c r="M14" s="271" t="str">
        <f t="shared" si="5"/>
        <v>zeptimusQ</v>
      </c>
      <c r="N14" s="176">
        <f>IFERROR(__xludf.DUMMYFUNCTION("""COMPUTED_VALUE"""),11.0)</f>
        <v>11</v>
      </c>
      <c r="O14" s="176"/>
      <c r="P14" s="267" t="s">
        <v>440</v>
      </c>
      <c r="Q14" s="272" t="s">
        <v>10</v>
      </c>
      <c r="R14" s="176"/>
      <c r="S14" s="176"/>
      <c r="T14" s="176"/>
      <c r="U14" s="176"/>
      <c r="V14" s="176"/>
      <c r="W14" s="176"/>
      <c r="X14" s="176"/>
      <c r="Y14" s="176"/>
      <c r="Z14" s="176"/>
    </row>
    <row r="15">
      <c r="A15" s="267" t="str">
        <f>iferror(VLOOKUP(P15,'DO NOT TOUCH Imported'!$A$1:$D$800,4,False),iferror(VLOOKUP(P15,'DO NOT TOUCH Imported'!$C$1:$D$800,2,False),"OOPS FIX ME"))</f>
        <v>zeptimusQ</v>
      </c>
      <c r="B15" s="272" t="s">
        <v>10</v>
      </c>
      <c r="C15" s="273" t="s">
        <v>1940</v>
      </c>
      <c r="D15" s="274" t="s">
        <v>437</v>
      </c>
      <c r="E15" s="275">
        <v>44260.0</v>
      </c>
      <c r="F15" s="274" t="s">
        <v>1929</v>
      </c>
      <c r="G15" s="171">
        <v>50.0</v>
      </c>
      <c r="H15" s="171">
        <v>1000.0</v>
      </c>
      <c r="I15" s="171">
        <v>500.0</v>
      </c>
      <c r="J15" s="172">
        <f t="shared" si="2"/>
        <v>0.002279815548</v>
      </c>
      <c r="K15" s="269">
        <f t="shared" si="3"/>
        <v>2.3558094</v>
      </c>
      <c r="L15" s="270">
        <f t="shared" si="4"/>
        <v>41.63795567</v>
      </c>
      <c r="M15" s="271" t="str">
        <f t="shared" si="5"/>
        <v>zeptimusQ</v>
      </c>
      <c r="N15" s="176">
        <f>IFERROR(__xludf.DUMMYFUNCTION("""COMPUTED_VALUE"""),12.0)</f>
        <v>12</v>
      </c>
      <c r="O15" s="176"/>
      <c r="P15" s="267" t="s">
        <v>440</v>
      </c>
      <c r="Q15" s="272" t="s">
        <v>10</v>
      </c>
      <c r="R15" s="176"/>
      <c r="S15" s="176"/>
      <c r="T15" s="176"/>
      <c r="U15" s="176"/>
      <c r="V15" s="176"/>
      <c r="W15" s="176"/>
      <c r="X15" s="176"/>
      <c r="Y15" s="176"/>
      <c r="Z15" s="176"/>
    </row>
    <row r="16">
      <c r="A16" s="267" t="str">
        <f>iferror(VLOOKUP(P16,'DO NOT TOUCH Imported'!$A$1:$D$800,4,False),iferror(VLOOKUP(P16,'DO NOT TOUCH Imported'!$C$1:$D$800,2,False),"OOPS FIX ME"))</f>
        <v>zeptimusQ</v>
      </c>
      <c r="B16" s="272" t="s">
        <v>10</v>
      </c>
      <c r="C16" s="273" t="s">
        <v>1941</v>
      </c>
      <c r="D16" s="274" t="s">
        <v>437</v>
      </c>
      <c r="E16" s="275">
        <v>44260.0</v>
      </c>
      <c r="F16" s="274" t="s">
        <v>1929</v>
      </c>
      <c r="G16" s="171">
        <v>15.0</v>
      </c>
      <c r="H16" s="171">
        <v>1000.0</v>
      </c>
      <c r="I16" s="171">
        <v>20.0</v>
      </c>
      <c r="J16" s="172">
        <f t="shared" si="2"/>
        <v>0.0005962415693</v>
      </c>
      <c r="K16" s="269">
        <f t="shared" si="3"/>
        <v>0.6161162883</v>
      </c>
      <c r="L16" s="270">
        <f t="shared" si="4"/>
        <v>41.63795567</v>
      </c>
      <c r="M16" s="271" t="str">
        <f t="shared" si="5"/>
        <v>zeptimusQ</v>
      </c>
      <c r="N16" s="176">
        <f>IFERROR(__xludf.DUMMYFUNCTION("""COMPUTED_VALUE"""),13.0)</f>
        <v>13</v>
      </c>
      <c r="O16" s="176"/>
      <c r="P16" s="267" t="s">
        <v>440</v>
      </c>
      <c r="Q16" s="272" t="s">
        <v>10</v>
      </c>
      <c r="R16" s="176"/>
      <c r="S16" s="176"/>
      <c r="T16" s="176"/>
      <c r="U16" s="176"/>
      <c r="V16" s="176"/>
      <c r="W16" s="176"/>
      <c r="X16" s="176"/>
      <c r="Y16" s="176"/>
      <c r="Z16" s="176"/>
    </row>
    <row r="17">
      <c r="A17" s="267" t="str">
        <f>iferror(VLOOKUP(P17,'DO NOT TOUCH Imported'!$A$1:$D$800,4,False),iferror(VLOOKUP(P17,'DO NOT TOUCH Imported'!$C$1:$D$800,2,False),"OOPS FIX ME"))</f>
        <v>zeptimusQ</v>
      </c>
      <c r="B17" s="249" t="s">
        <v>10</v>
      </c>
      <c r="C17" s="219" t="s">
        <v>500</v>
      </c>
      <c r="D17" s="268" t="s">
        <v>495</v>
      </c>
      <c r="E17" s="252">
        <v>44260.0</v>
      </c>
      <c r="F17" s="250" t="s">
        <v>496</v>
      </c>
      <c r="G17" s="171">
        <v>35.0</v>
      </c>
      <c r="H17" s="171">
        <v>500.0</v>
      </c>
      <c r="I17" s="171">
        <v>40.0</v>
      </c>
      <c r="J17" s="172">
        <f t="shared" si="2"/>
        <v>0.0008127328046</v>
      </c>
      <c r="K17" s="269">
        <f t="shared" si="3"/>
        <v>0.8398238981</v>
      </c>
      <c r="L17" s="270">
        <f t="shared" si="4"/>
        <v>41.63795567</v>
      </c>
      <c r="M17" s="271" t="str">
        <f t="shared" si="5"/>
        <v>zeptimusQ</v>
      </c>
      <c r="N17" s="176">
        <f>IFERROR(__xludf.DUMMYFUNCTION("""COMPUTED_VALUE"""),14.0)</f>
        <v>14</v>
      </c>
      <c r="O17" s="176"/>
      <c r="P17" s="249" t="s">
        <v>3</v>
      </c>
      <c r="Q17" s="249" t="s">
        <v>10</v>
      </c>
      <c r="R17" s="176"/>
      <c r="S17" s="176"/>
      <c r="T17" s="176"/>
      <c r="U17" s="176"/>
      <c r="V17" s="176"/>
      <c r="W17" s="176"/>
      <c r="X17" s="176"/>
      <c r="Y17" s="176"/>
      <c r="Z17" s="176"/>
    </row>
    <row r="18">
      <c r="A18" s="267" t="str">
        <f>iferror(VLOOKUP(P18,'DO NOT TOUCH Imported'!$A$1:$D$800,4,False),iferror(VLOOKUP(P18,'DO NOT TOUCH Imported'!$C$1:$D$800,2,False),"OOPS FIX ME"))</f>
        <v>zeptimusQ</v>
      </c>
      <c r="B18" s="249" t="s">
        <v>10</v>
      </c>
      <c r="C18" s="219" t="s">
        <v>498</v>
      </c>
      <c r="D18" s="268" t="s">
        <v>495</v>
      </c>
      <c r="E18" s="252">
        <v>44260.0</v>
      </c>
      <c r="F18" s="250" t="s">
        <v>499</v>
      </c>
      <c r="G18" s="171">
        <v>35.0</v>
      </c>
      <c r="H18" s="171">
        <v>500.0</v>
      </c>
      <c r="I18" s="171">
        <v>40.0</v>
      </c>
      <c r="J18" s="172">
        <f t="shared" si="2"/>
        <v>0.0008127328046</v>
      </c>
      <c r="K18" s="269">
        <f t="shared" si="3"/>
        <v>0.8398238981</v>
      </c>
      <c r="L18" s="270">
        <f t="shared" si="4"/>
        <v>41.63795567</v>
      </c>
      <c r="M18" s="271" t="str">
        <f t="shared" si="5"/>
        <v>zeptimusQ</v>
      </c>
      <c r="N18" s="176">
        <f>IFERROR(__xludf.DUMMYFUNCTION("""COMPUTED_VALUE"""),15.0)</f>
        <v>15</v>
      </c>
      <c r="O18" s="176"/>
      <c r="P18" s="249" t="s">
        <v>3</v>
      </c>
      <c r="Q18" s="249" t="s">
        <v>10</v>
      </c>
      <c r="R18" s="176"/>
      <c r="S18" s="176"/>
      <c r="T18" s="176"/>
      <c r="U18" s="176"/>
      <c r="V18" s="176"/>
      <c r="W18" s="176"/>
      <c r="X18" s="176"/>
      <c r="Y18" s="176"/>
      <c r="Z18" s="176"/>
    </row>
    <row r="19">
      <c r="A19" s="267" t="str">
        <f>iferror(VLOOKUP(P19,'DO NOT TOUCH Imported'!$A$1:$D$800,4,False),iferror(VLOOKUP(P19,'DO NOT TOUCH Imported'!$C$1:$D$800,2,False),"OOPS FIX ME"))</f>
        <v>zeptimusQ</v>
      </c>
      <c r="B19" s="276" t="s">
        <v>10</v>
      </c>
      <c r="C19" s="277" t="s">
        <v>1942</v>
      </c>
      <c r="D19" s="278" t="s">
        <v>437</v>
      </c>
      <c r="E19" s="279">
        <v>44262.0</v>
      </c>
      <c r="F19" s="278" t="s">
        <v>1929</v>
      </c>
      <c r="G19" s="171">
        <v>25.0</v>
      </c>
      <c r="H19" s="171">
        <v>1000.0</v>
      </c>
      <c r="I19" s="171">
        <v>40.0</v>
      </c>
      <c r="J19" s="172">
        <f t="shared" si="2"/>
        <v>0.0008045380941</v>
      </c>
      <c r="K19" s="269">
        <f t="shared" si="3"/>
        <v>0.8313560306</v>
      </c>
      <c r="L19" s="270">
        <f t="shared" si="4"/>
        <v>41.63795567</v>
      </c>
      <c r="M19" s="271" t="str">
        <f t="shared" si="5"/>
        <v>zeptimusQ</v>
      </c>
      <c r="N19" s="176">
        <f>IFERROR(__xludf.DUMMYFUNCTION("""COMPUTED_VALUE"""),16.0)</f>
        <v>16</v>
      </c>
      <c r="O19" s="176"/>
      <c r="P19" s="280" t="s">
        <v>440</v>
      </c>
      <c r="Q19" s="276" t="s">
        <v>10</v>
      </c>
      <c r="R19" s="176"/>
      <c r="S19" s="176"/>
      <c r="T19" s="176"/>
      <c r="U19" s="176"/>
      <c r="V19" s="176"/>
      <c r="W19" s="176"/>
      <c r="X19" s="176"/>
      <c r="Y19" s="176"/>
      <c r="Z19" s="176"/>
    </row>
    <row r="20">
      <c r="A20" s="267" t="str">
        <f>iferror(VLOOKUP(P20,'DO NOT TOUCH Imported'!$A$1:$D$800,4,False),iferror(VLOOKUP(P20,'DO NOT TOUCH Imported'!$C$1:$D$800,2,False),"OOPS FIX ME"))</f>
        <v>zeptimusQ</v>
      </c>
      <c r="B20" s="276" t="s">
        <v>10</v>
      </c>
      <c r="C20" s="277" t="s">
        <v>1943</v>
      </c>
      <c r="D20" s="278" t="s">
        <v>437</v>
      </c>
      <c r="E20" s="279">
        <v>44263.0</v>
      </c>
      <c r="F20" s="278" t="s">
        <v>1929</v>
      </c>
      <c r="G20" s="171">
        <v>25.0</v>
      </c>
      <c r="H20" s="171">
        <v>1000.0</v>
      </c>
      <c r="I20" s="171">
        <v>100.0</v>
      </c>
      <c r="J20" s="172">
        <f t="shared" si="2"/>
        <v>0.00094422631</v>
      </c>
      <c r="K20" s="269">
        <f t="shared" si="3"/>
        <v>0.9757005204</v>
      </c>
      <c r="L20" s="270">
        <f t="shared" si="4"/>
        <v>41.63795567</v>
      </c>
      <c r="M20" s="271" t="str">
        <f t="shared" si="5"/>
        <v>zeptimusQ</v>
      </c>
      <c r="N20" s="176">
        <f>IFERROR(__xludf.DUMMYFUNCTION("""COMPUTED_VALUE"""),17.0)</f>
        <v>17</v>
      </c>
      <c r="O20" s="176"/>
      <c r="P20" s="280" t="s">
        <v>440</v>
      </c>
      <c r="Q20" s="276" t="s">
        <v>10</v>
      </c>
      <c r="R20" s="176"/>
      <c r="S20" s="176"/>
      <c r="T20" s="176"/>
      <c r="U20" s="176"/>
      <c r="V20" s="176"/>
      <c r="W20" s="176"/>
      <c r="X20" s="176"/>
      <c r="Y20" s="176"/>
      <c r="Z20" s="176"/>
    </row>
    <row r="21">
      <c r="A21" s="267" t="str">
        <f>iferror(VLOOKUP(P21,'DO NOT TOUCH Imported'!$A$1:$D$800,4,False),iferror(VLOOKUP(P21,'DO NOT TOUCH Imported'!$C$1:$D$800,2,False),"OOPS FIX ME"))</f>
        <v>zeptimusQ</v>
      </c>
      <c r="B21" s="276" t="s">
        <v>1702</v>
      </c>
      <c r="C21" s="277" t="s">
        <v>1944</v>
      </c>
      <c r="D21" s="278" t="s">
        <v>499</v>
      </c>
      <c r="E21" s="279">
        <v>44263.0</v>
      </c>
      <c r="F21" s="278" t="s">
        <v>1646</v>
      </c>
      <c r="G21" s="171">
        <v>25.0</v>
      </c>
      <c r="H21" s="171">
        <v>1000.0</v>
      </c>
      <c r="I21" s="171">
        <v>1000.0</v>
      </c>
      <c r="J21" s="172">
        <f t="shared" si="2"/>
        <v>0.003039549549</v>
      </c>
      <c r="K21" s="269">
        <f t="shared" si="3"/>
        <v>3.140867867</v>
      </c>
      <c r="L21" s="270">
        <f t="shared" si="4"/>
        <v>41.63795567</v>
      </c>
      <c r="M21" s="271" t="str">
        <f t="shared" si="5"/>
        <v>zeptimusQ</v>
      </c>
      <c r="N21" s="176">
        <f>IFERROR(__xludf.DUMMYFUNCTION("""COMPUTED_VALUE"""),18.0)</f>
        <v>18</v>
      </c>
      <c r="O21" s="176"/>
      <c r="P21" s="280" t="s">
        <v>440</v>
      </c>
      <c r="Q21" s="276" t="s">
        <v>1702</v>
      </c>
      <c r="R21" s="176"/>
      <c r="S21" s="176"/>
      <c r="T21" s="176"/>
      <c r="U21" s="176"/>
      <c r="V21" s="176"/>
      <c r="W21" s="176"/>
      <c r="X21" s="176"/>
      <c r="Y21" s="176"/>
      <c r="Z21" s="176"/>
    </row>
    <row r="22">
      <c r="A22" s="267" t="str">
        <f>iferror(VLOOKUP(P22,'DO NOT TOUCH Imported'!$A$1:$D$800,4,False),iferror(VLOOKUP(P22,'DO NOT TOUCH Imported'!$C$1:$D$800,2,False),"OOPS FIX ME"))</f>
        <v>zeptimusQ</v>
      </c>
      <c r="B22" s="257" t="s">
        <v>590</v>
      </c>
      <c r="C22" s="261" t="s">
        <v>1945</v>
      </c>
      <c r="D22" s="281" t="s">
        <v>495</v>
      </c>
      <c r="E22" s="282">
        <v>44264.0</v>
      </c>
      <c r="F22" s="258" t="s">
        <v>496</v>
      </c>
      <c r="G22" s="171">
        <v>25.0</v>
      </c>
      <c r="H22" s="171">
        <v>1000.0</v>
      </c>
      <c r="I22" s="171">
        <v>50.0</v>
      </c>
      <c r="J22" s="172">
        <f t="shared" si="2"/>
        <v>0.0008278194634</v>
      </c>
      <c r="K22" s="269">
        <f t="shared" si="3"/>
        <v>0.8554134456</v>
      </c>
      <c r="L22" s="270">
        <f t="shared" si="4"/>
        <v>41.63795567</v>
      </c>
      <c r="M22" s="271" t="str">
        <f t="shared" si="5"/>
        <v>zeptimusQ</v>
      </c>
      <c r="N22" s="176">
        <f>IFERROR(__xludf.DUMMYFUNCTION("""COMPUTED_VALUE"""),19.0)</f>
        <v>19</v>
      </c>
      <c r="O22" s="176"/>
      <c r="P22" s="257" t="s">
        <v>3</v>
      </c>
      <c r="Q22" s="257" t="s">
        <v>590</v>
      </c>
      <c r="R22" s="176"/>
      <c r="S22" s="176"/>
      <c r="T22" s="176"/>
      <c r="U22" s="176"/>
      <c r="V22" s="176"/>
      <c r="W22" s="176"/>
      <c r="X22" s="176"/>
      <c r="Y22" s="176"/>
      <c r="Z22" s="176"/>
    </row>
    <row r="23">
      <c r="A23" s="267" t="str">
        <f>iferror(VLOOKUP(P23,'DO NOT TOUCH Imported'!$A$1:$D$800,4,False),iferror(VLOOKUP(P23,'DO NOT TOUCH Imported'!$C$1:$D$800,2,False),"OOPS FIX ME"))</f>
        <v>zeptimusQ</v>
      </c>
      <c r="B23" s="257" t="s">
        <v>590</v>
      </c>
      <c r="C23" s="261" t="s">
        <v>1946</v>
      </c>
      <c r="D23" s="281" t="s">
        <v>495</v>
      </c>
      <c r="E23" s="282">
        <v>44264.0</v>
      </c>
      <c r="F23" s="258" t="s">
        <v>496</v>
      </c>
      <c r="G23" s="171">
        <v>50.0</v>
      </c>
      <c r="H23" s="171">
        <v>1000.0</v>
      </c>
      <c r="I23" s="171">
        <v>200.0</v>
      </c>
      <c r="J23" s="172">
        <f t="shared" si="2"/>
        <v>0.001581374469</v>
      </c>
      <c r="K23" s="269">
        <f t="shared" si="3"/>
        <v>1.634086951</v>
      </c>
      <c r="L23" s="270">
        <f t="shared" si="4"/>
        <v>41.63795567</v>
      </c>
      <c r="M23" s="271" t="str">
        <f t="shared" si="5"/>
        <v>zeptimusQ</v>
      </c>
      <c r="N23" s="176">
        <f>IFERROR(__xludf.DUMMYFUNCTION("""COMPUTED_VALUE"""),20.0)</f>
        <v>20</v>
      </c>
      <c r="O23" s="176"/>
      <c r="P23" s="257" t="s">
        <v>3</v>
      </c>
      <c r="Q23" s="257" t="s">
        <v>590</v>
      </c>
      <c r="R23" s="176"/>
      <c r="S23" s="176"/>
      <c r="T23" s="176"/>
      <c r="U23" s="176"/>
      <c r="V23" s="176"/>
      <c r="W23" s="176"/>
      <c r="X23" s="176"/>
      <c r="Y23" s="176"/>
      <c r="Z23" s="176"/>
    </row>
    <row r="24">
      <c r="A24" s="267" t="str">
        <f>iferror(VLOOKUP(P24,'DO NOT TOUCH Imported'!$A$1:$D$800,4,False),iferror(VLOOKUP(P24,'DO NOT TOUCH Imported'!$C$1:$D$800,2,False),"OOPS FIX ME"))</f>
        <v>zeptimusQ</v>
      </c>
      <c r="B24" s="276" t="s">
        <v>1947</v>
      </c>
      <c r="C24" s="277" t="s">
        <v>1948</v>
      </c>
      <c r="D24" s="278" t="s">
        <v>437</v>
      </c>
      <c r="E24" s="279">
        <v>44266.0</v>
      </c>
      <c r="F24" s="278" t="s">
        <v>1929</v>
      </c>
      <c r="G24" s="171">
        <v>25.0</v>
      </c>
      <c r="H24" s="171">
        <v>1000.0</v>
      </c>
      <c r="I24" s="171">
        <v>300.0</v>
      </c>
      <c r="J24" s="172">
        <f t="shared" si="2"/>
        <v>0.001409853696</v>
      </c>
      <c r="K24" s="269">
        <f t="shared" si="3"/>
        <v>1.45684882</v>
      </c>
      <c r="L24" s="270">
        <f t="shared" si="4"/>
        <v>41.63795567</v>
      </c>
      <c r="M24" s="271" t="str">
        <f t="shared" si="5"/>
        <v>zeptimusQ</v>
      </c>
      <c r="N24" s="176">
        <f>IFERROR(__xludf.DUMMYFUNCTION("""COMPUTED_VALUE"""),21.0)</f>
        <v>21</v>
      </c>
      <c r="O24" s="176"/>
      <c r="P24" s="280" t="s">
        <v>440</v>
      </c>
      <c r="Q24" s="276" t="s">
        <v>1947</v>
      </c>
      <c r="R24" s="176"/>
      <c r="S24" s="176"/>
      <c r="T24" s="176"/>
      <c r="U24" s="176"/>
      <c r="V24" s="176"/>
      <c r="W24" s="176"/>
      <c r="X24" s="176"/>
      <c r="Y24" s="176"/>
      <c r="Z24" s="176"/>
    </row>
    <row r="25">
      <c r="A25" s="267" t="str">
        <f>iferror(VLOOKUP(P25,'DO NOT TOUCH Imported'!$A$1:$D$800,4,False),iferror(VLOOKUP(P25,'DO NOT TOUCH Imported'!$C$1:$D$800,2,False),"OOPS FIX ME"))</f>
        <v>zeptimusQ</v>
      </c>
      <c r="B25" s="276" t="s">
        <v>1933</v>
      </c>
      <c r="C25" s="277" t="s">
        <v>1949</v>
      </c>
      <c r="D25" s="278" t="s">
        <v>437</v>
      </c>
      <c r="E25" s="279">
        <v>44266.0</v>
      </c>
      <c r="F25" s="278" t="s">
        <v>439</v>
      </c>
      <c r="G25" s="171">
        <v>25.0</v>
      </c>
      <c r="H25" s="171">
        <v>2000.0</v>
      </c>
      <c r="I25" s="171">
        <v>300.0</v>
      </c>
      <c r="J25" s="172">
        <f t="shared" si="2"/>
        <v>0.001716931848</v>
      </c>
      <c r="K25" s="269">
        <f t="shared" si="3"/>
        <v>1.774162909</v>
      </c>
      <c r="L25" s="270">
        <f t="shared" si="4"/>
        <v>41.63795567</v>
      </c>
      <c r="M25" s="271" t="str">
        <f t="shared" si="5"/>
        <v>zeptimusQ</v>
      </c>
      <c r="N25" s="176">
        <f>IFERROR(__xludf.DUMMYFUNCTION("""COMPUTED_VALUE"""),22.0)</f>
        <v>22</v>
      </c>
      <c r="O25" s="176"/>
      <c r="P25" s="280" t="s">
        <v>440</v>
      </c>
      <c r="Q25" s="276" t="s">
        <v>1933</v>
      </c>
      <c r="R25" s="176"/>
      <c r="S25" s="176"/>
      <c r="T25" s="176"/>
      <c r="U25" s="176"/>
      <c r="V25" s="176"/>
      <c r="W25" s="176"/>
      <c r="X25" s="176"/>
      <c r="Y25" s="176"/>
      <c r="Z25" s="176"/>
    </row>
    <row r="26">
      <c r="A26" s="267" t="str">
        <f>iferror(VLOOKUP(P26,'DO NOT TOUCH Imported'!$A$1:$D$800,4,False),iferror(VLOOKUP(P26,'DO NOT TOUCH Imported'!$C$1:$D$800,2,False),"OOPS FIX ME"))</f>
        <v>zeptimusQ</v>
      </c>
      <c r="B26" s="276" t="s">
        <v>10</v>
      </c>
      <c r="C26" s="277" t="s">
        <v>1950</v>
      </c>
      <c r="D26" s="278" t="s">
        <v>437</v>
      </c>
      <c r="E26" s="283">
        <v>44267.0</v>
      </c>
      <c r="F26" s="278" t="s">
        <v>439</v>
      </c>
      <c r="G26" s="171">
        <v>35.0</v>
      </c>
      <c r="H26" s="171">
        <v>1000.0</v>
      </c>
      <c r="I26" s="171">
        <v>1000.0</v>
      </c>
      <c r="J26" s="172">
        <f t="shared" si="2"/>
        <v>0.003201283335</v>
      </c>
      <c r="K26" s="269">
        <f t="shared" si="3"/>
        <v>3.307992779</v>
      </c>
      <c r="L26" s="270">
        <f t="shared" si="4"/>
        <v>41.63795567</v>
      </c>
      <c r="M26" s="271" t="str">
        <f t="shared" si="5"/>
        <v>zeptimusQ</v>
      </c>
      <c r="N26" s="176">
        <f>IFERROR(__xludf.DUMMYFUNCTION("""COMPUTED_VALUE"""),23.0)</f>
        <v>23</v>
      </c>
      <c r="O26" s="176"/>
      <c r="P26" s="280" t="s">
        <v>440</v>
      </c>
      <c r="Q26" s="276" t="s">
        <v>10</v>
      </c>
      <c r="R26" s="176"/>
      <c r="S26" s="176"/>
      <c r="T26" s="176"/>
      <c r="U26" s="176"/>
      <c r="V26" s="176"/>
      <c r="W26" s="176"/>
      <c r="X26" s="176"/>
      <c r="Y26" s="176"/>
      <c r="Z26" s="176"/>
    </row>
    <row r="27">
      <c r="A27" s="267" t="str">
        <f>iferror(VLOOKUP(P27,'DO NOT TOUCH Imported'!$A$1:$D$800,4,False),iferror(VLOOKUP(P27,'DO NOT TOUCH Imported'!$C$1:$D$800,2,False),"OOPS FIX ME"))</f>
        <v>zeptimusQ</v>
      </c>
      <c r="B27" s="276" t="s">
        <v>10</v>
      </c>
      <c r="C27" s="277" t="s">
        <v>1951</v>
      </c>
      <c r="D27" s="278" t="s">
        <v>437</v>
      </c>
      <c r="E27" s="283">
        <v>44267.0</v>
      </c>
      <c r="F27" s="278" t="s">
        <v>439</v>
      </c>
      <c r="G27" s="171">
        <v>35.0</v>
      </c>
      <c r="H27" s="171">
        <v>5000.0</v>
      </c>
      <c r="I27" s="171">
        <v>100.0</v>
      </c>
      <c r="J27" s="172">
        <f t="shared" si="2"/>
        <v>0.002334272702</v>
      </c>
      <c r="K27" s="269">
        <f t="shared" si="3"/>
        <v>2.412081792</v>
      </c>
      <c r="L27" s="270">
        <f t="shared" si="4"/>
        <v>41.63795567</v>
      </c>
      <c r="M27" s="271" t="str">
        <f t="shared" si="5"/>
        <v>zeptimusQ</v>
      </c>
      <c r="N27" s="176">
        <f>IFERROR(__xludf.DUMMYFUNCTION("""COMPUTED_VALUE"""),24.0)</f>
        <v>24</v>
      </c>
      <c r="O27" s="176"/>
      <c r="P27" s="280" t="s">
        <v>440</v>
      </c>
      <c r="Q27" s="276" t="s">
        <v>10</v>
      </c>
      <c r="R27" s="176"/>
      <c r="S27" s="176"/>
      <c r="T27" s="176"/>
      <c r="U27" s="176"/>
      <c r="V27" s="176"/>
      <c r="W27" s="176"/>
      <c r="X27" s="176"/>
      <c r="Y27" s="176"/>
      <c r="Z27" s="176"/>
    </row>
    <row r="28">
      <c r="A28" s="267" t="str">
        <f>iferror(VLOOKUP(P28,'DO NOT TOUCH Imported'!$A$1:$D$800,4,False),iferror(VLOOKUP(P28,'DO NOT TOUCH Imported'!$C$1:$D$800,2,False),"OOPS FIX ME"))</f>
        <v>zeptimusQ</v>
      </c>
      <c r="B28" s="276" t="s">
        <v>10</v>
      </c>
      <c r="C28" s="277" t="s">
        <v>1952</v>
      </c>
      <c r="D28" s="278" t="s">
        <v>437</v>
      </c>
      <c r="E28" s="283">
        <v>44267.0</v>
      </c>
      <c r="F28" s="278" t="s">
        <v>439</v>
      </c>
      <c r="G28" s="171">
        <v>25.0</v>
      </c>
      <c r="H28" s="171">
        <v>1000.0</v>
      </c>
      <c r="I28" s="171">
        <v>10.0</v>
      </c>
      <c r="J28" s="172">
        <f t="shared" si="2"/>
        <v>0.0007346939862</v>
      </c>
      <c r="K28" s="269">
        <f t="shared" si="3"/>
        <v>0.7591837857</v>
      </c>
      <c r="L28" s="270">
        <f t="shared" si="4"/>
        <v>41.63795567</v>
      </c>
      <c r="M28" s="271" t="str">
        <f t="shared" si="5"/>
        <v>zeptimusQ</v>
      </c>
      <c r="N28" s="176">
        <f>IFERROR(__xludf.DUMMYFUNCTION("""COMPUTED_VALUE"""),25.0)</f>
        <v>25</v>
      </c>
      <c r="O28" s="176"/>
      <c r="P28" s="280" t="s">
        <v>440</v>
      </c>
      <c r="Q28" s="276" t="s">
        <v>10</v>
      </c>
      <c r="R28" s="176"/>
      <c r="S28" s="176"/>
      <c r="T28" s="176"/>
      <c r="U28" s="176"/>
      <c r="V28" s="176"/>
      <c r="W28" s="176"/>
      <c r="X28" s="176"/>
      <c r="Y28" s="176"/>
      <c r="Z28" s="176"/>
    </row>
    <row r="29">
      <c r="A29" s="267" t="str">
        <f>iferror(VLOOKUP(P29,'DO NOT TOUCH Imported'!$A$1:$D$800,4,False),iferror(VLOOKUP(P29,'DO NOT TOUCH Imported'!$C$1:$D$800,2,False),"OOPS FIX ME"))</f>
        <v>zeptimusQ</v>
      </c>
      <c r="B29" s="276" t="s">
        <v>1953</v>
      </c>
      <c r="C29" s="277" t="s">
        <v>1954</v>
      </c>
      <c r="D29" s="278" t="s">
        <v>437</v>
      </c>
      <c r="E29" s="283">
        <v>44267.0</v>
      </c>
      <c r="F29" s="278" t="s">
        <v>439</v>
      </c>
      <c r="G29" s="171">
        <v>25.0</v>
      </c>
      <c r="H29" s="171">
        <v>1000.0</v>
      </c>
      <c r="I29" s="171">
        <v>100.0</v>
      </c>
      <c r="J29" s="172">
        <f t="shared" si="2"/>
        <v>0.00094422631</v>
      </c>
      <c r="K29" s="269">
        <f t="shared" si="3"/>
        <v>0.9757005204</v>
      </c>
      <c r="L29" s="270">
        <f t="shared" si="4"/>
        <v>41.63795567</v>
      </c>
      <c r="M29" s="271" t="str">
        <f t="shared" si="5"/>
        <v>zeptimusQ</v>
      </c>
      <c r="N29" s="176">
        <f>IFERROR(__xludf.DUMMYFUNCTION("""COMPUTED_VALUE"""),26.0)</f>
        <v>26</v>
      </c>
      <c r="O29" s="176"/>
      <c r="P29" s="280" t="s">
        <v>440</v>
      </c>
      <c r="Q29" s="276" t="s">
        <v>1953</v>
      </c>
      <c r="R29" s="176"/>
      <c r="S29" s="176"/>
      <c r="T29" s="176"/>
      <c r="U29" s="176"/>
      <c r="V29" s="176"/>
      <c r="W29" s="176"/>
      <c r="X29" s="176"/>
      <c r="Y29" s="176"/>
      <c r="Z29" s="176"/>
    </row>
    <row r="30">
      <c r="A30" s="267" t="str">
        <f>iferror(VLOOKUP(P30,'DO NOT TOUCH Imported'!$A$1:$D$800,4,False),iferror(VLOOKUP(P30,'DO NOT TOUCH Imported'!$C$1:$D$800,2,False),"OOPS FIX ME"))</f>
        <v>zeptimusQ</v>
      </c>
      <c r="B30" s="257" t="s">
        <v>10</v>
      </c>
      <c r="C30" s="261" t="s">
        <v>500</v>
      </c>
      <c r="D30" s="281" t="s">
        <v>495</v>
      </c>
      <c r="E30" s="282">
        <v>44267.0</v>
      </c>
      <c r="F30" s="258" t="s">
        <v>496</v>
      </c>
      <c r="G30" s="171">
        <v>25.0</v>
      </c>
      <c r="H30" s="171">
        <v>500.0</v>
      </c>
      <c r="I30" s="171">
        <v>100.0</v>
      </c>
      <c r="J30" s="172">
        <f t="shared" si="2"/>
        <v>0.0007906872343</v>
      </c>
      <c r="K30" s="269">
        <f t="shared" si="3"/>
        <v>0.8170434755</v>
      </c>
      <c r="L30" s="270">
        <f t="shared" si="4"/>
        <v>41.63795567</v>
      </c>
      <c r="M30" s="271" t="str">
        <f t="shared" si="5"/>
        <v>zeptimusQ</v>
      </c>
      <c r="N30" s="176">
        <f>IFERROR(__xludf.DUMMYFUNCTION("""COMPUTED_VALUE"""),27.0)</f>
        <v>27</v>
      </c>
      <c r="O30" s="176"/>
      <c r="P30" s="249" t="s">
        <v>3</v>
      </c>
      <c r="Q30" s="257" t="s">
        <v>10</v>
      </c>
      <c r="R30" s="176"/>
      <c r="S30" s="176"/>
      <c r="T30" s="176"/>
      <c r="U30" s="176"/>
      <c r="V30" s="176"/>
      <c r="W30" s="176"/>
      <c r="X30" s="176"/>
      <c r="Y30" s="176"/>
      <c r="Z30" s="176"/>
    </row>
    <row r="31">
      <c r="A31" s="267" t="str">
        <f>iferror(VLOOKUP(P31,'DO NOT TOUCH Imported'!$A$1:$D$800,4,False),iferror(VLOOKUP(P31,'DO NOT TOUCH Imported'!$C$1:$D$800,2,False),"OOPS FIX ME"))</f>
        <v>zeptimusQ</v>
      </c>
      <c r="B31" s="257" t="s">
        <v>10</v>
      </c>
      <c r="C31" s="261" t="s">
        <v>494</v>
      </c>
      <c r="D31" s="281" t="s">
        <v>495</v>
      </c>
      <c r="E31" s="282">
        <v>44267.0</v>
      </c>
      <c r="F31" s="258" t="s">
        <v>496</v>
      </c>
      <c r="G31" s="171">
        <v>25.0</v>
      </c>
      <c r="H31" s="171">
        <v>500.0</v>
      </c>
      <c r="I31" s="171">
        <v>100.0</v>
      </c>
      <c r="J31" s="172">
        <f t="shared" si="2"/>
        <v>0.0007906872343</v>
      </c>
      <c r="K31" s="269">
        <f t="shared" si="3"/>
        <v>0.8170434755</v>
      </c>
      <c r="L31" s="270">
        <f t="shared" si="4"/>
        <v>41.63795567</v>
      </c>
      <c r="M31" s="271" t="str">
        <f t="shared" si="5"/>
        <v>zeptimusQ</v>
      </c>
      <c r="N31" s="176">
        <f>IFERROR(__xludf.DUMMYFUNCTION("""COMPUTED_VALUE"""),28.0)</f>
        <v>28</v>
      </c>
      <c r="O31" s="176"/>
      <c r="P31" s="257" t="s">
        <v>3</v>
      </c>
      <c r="Q31" s="257" t="s">
        <v>10</v>
      </c>
      <c r="R31" s="176"/>
      <c r="S31" s="176"/>
      <c r="T31" s="176"/>
      <c r="U31" s="176"/>
      <c r="V31" s="176"/>
      <c r="W31" s="176"/>
      <c r="X31" s="176"/>
      <c r="Y31" s="176"/>
      <c r="Z31" s="176"/>
    </row>
    <row r="32">
      <c r="A32" s="267" t="str">
        <f>iferror(VLOOKUP(P32,'DO NOT TOUCH Imported'!$A$1:$D$800,4,False),iferror(VLOOKUP(P32,'DO NOT TOUCH Imported'!$C$1:$D$800,2,False),"OOPS FIX ME"))</f>
        <v>Mount Manu#3530</v>
      </c>
      <c r="B32" s="257" t="s">
        <v>519</v>
      </c>
      <c r="C32" s="261" t="s">
        <v>1955</v>
      </c>
      <c r="D32" s="281" t="s">
        <v>495</v>
      </c>
      <c r="E32" s="282">
        <v>44256.0</v>
      </c>
      <c r="F32" s="258" t="s">
        <v>1956</v>
      </c>
      <c r="G32" s="171">
        <v>100.0</v>
      </c>
      <c r="H32" s="171">
        <v>10000.0</v>
      </c>
      <c r="I32" s="171">
        <v>500.0</v>
      </c>
      <c r="J32" s="172">
        <f t="shared" si="2"/>
        <v>0.005852187842</v>
      </c>
      <c r="K32" s="269">
        <f t="shared" si="3"/>
        <v>6.04726077</v>
      </c>
      <c r="L32" s="270">
        <f t="shared" si="4"/>
        <v>28.73415308</v>
      </c>
      <c r="M32" s="271" t="str">
        <f t="shared" si="5"/>
        <v>Mount Manu#3530</v>
      </c>
      <c r="N32" s="176">
        <f>IFERROR(__xludf.DUMMYFUNCTION("""COMPUTED_VALUE"""),1.0)</f>
        <v>1</v>
      </c>
      <c r="O32" s="176"/>
      <c r="P32" s="249" t="s">
        <v>1697</v>
      </c>
      <c r="Q32" s="249" t="s">
        <v>519</v>
      </c>
      <c r="R32" s="176"/>
      <c r="S32" s="176"/>
      <c r="T32" s="176"/>
      <c r="U32" s="176"/>
      <c r="V32" s="176"/>
      <c r="W32" s="176"/>
      <c r="X32" s="176"/>
      <c r="Y32" s="176"/>
      <c r="Z32" s="176"/>
    </row>
    <row r="33">
      <c r="A33" s="267" t="str">
        <f>iferror(VLOOKUP(P33,'DO NOT TOUCH Imported'!$A$1:$D$800,4,False),iferror(VLOOKUP(P33,'DO NOT TOUCH Imported'!$C$1:$D$800,2,False),"OOPS FIX ME"))</f>
        <v>Mount Manu#3530</v>
      </c>
      <c r="B33" s="276" t="s">
        <v>43</v>
      </c>
      <c r="C33" s="277" t="s">
        <v>1957</v>
      </c>
      <c r="D33" s="278" t="s">
        <v>437</v>
      </c>
      <c r="E33" s="279">
        <v>44257.0</v>
      </c>
      <c r="F33" s="278" t="s">
        <v>1929</v>
      </c>
      <c r="G33" s="171">
        <v>100.0</v>
      </c>
      <c r="H33" s="171">
        <v>1500.0</v>
      </c>
      <c r="I33" s="171">
        <v>100.0</v>
      </c>
      <c r="J33" s="172">
        <f t="shared" si="2"/>
        <v>0.002310768782</v>
      </c>
      <c r="K33" s="269">
        <f t="shared" si="3"/>
        <v>2.387794408</v>
      </c>
      <c r="L33" s="270">
        <f t="shared" si="4"/>
        <v>28.73415308</v>
      </c>
      <c r="M33" s="271" t="str">
        <f t="shared" si="5"/>
        <v>Mount Manu#3530</v>
      </c>
      <c r="N33" s="176">
        <f>IFERROR(__xludf.DUMMYFUNCTION("""COMPUTED_VALUE"""),2.0)</f>
        <v>2</v>
      </c>
      <c r="O33" s="176"/>
      <c r="P33" s="276" t="s">
        <v>32</v>
      </c>
      <c r="Q33" s="276" t="s">
        <v>43</v>
      </c>
      <c r="R33" s="176"/>
      <c r="S33" s="176"/>
      <c r="T33" s="176"/>
      <c r="U33" s="176"/>
      <c r="V33" s="176"/>
      <c r="W33" s="176"/>
      <c r="X33" s="176"/>
      <c r="Y33" s="176"/>
      <c r="Z33" s="176"/>
    </row>
    <row r="34">
      <c r="A34" s="267" t="str">
        <f>iferror(VLOOKUP(P34,'DO NOT TOUCH Imported'!$A$1:$D$800,4,False),iferror(VLOOKUP(P34,'DO NOT TOUCH Imported'!$C$1:$D$800,2,False),"OOPS FIX ME"))</f>
        <v>Mount Manu#3530</v>
      </c>
      <c r="B34" s="276" t="s">
        <v>1958</v>
      </c>
      <c r="C34" s="277" t="s">
        <v>1959</v>
      </c>
      <c r="D34" s="278" t="s">
        <v>437</v>
      </c>
      <c r="E34" s="279">
        <v>44257.0</v>
      </c>
      <c r="F34" s="278" t="s">
        <v>1600</v>
      </c>
      <c r="G34" s="171">
        <v>100.0</v>
      </c>
      <c r="H34" s="171">
        <v>500.0</v>
      </c>
      <c r="I34" s="171">
        <v>45.0</v>
      </c>
      <c r="J34" s="172">
        <f t="shared" si="2"/>
        <v>0.0018756431</v>
      </c>
      <c r="K34" s="269">
        <f t="shared" si="3"/>
        <v>1.938164536</v>
      </c>
      <c r="L34" s="270">
        <f t="shared" si="4"/>
        <v>28.73415308</v>
      </c>
      <c r="M34" s="271" t="str">
        <f t="shared" si="5"/>
        <v>Mount Manu#3530</v>
      </c>
      <c r="N34" s="176">
        <f>IFERROR(__xludf.DUMMYFUNCTION("""COMPUTED_VALUE"""),3.0)</f>
        <v>3</v>
      </c>
      <c r="O34" s="176"/>
      <c r="P34" s="280" t="s">
        <v>32</v>
      </c>
      <c r="Q34" s="276" t="s">
        <v>1958</v>
      </c>
      <c r="R34" s="176"/>
      <c r="S34" s="176"/>
      <c r="T34" s="176"/>
      <c r="U34" s="176"/>
      <c r="V34" s="176"/>
      <c r="W34" s="176"/>
      <c r="X34" s="176"/>
      <c r="Y34" s="176"/>
      <c r="Z34" s="176"/>
    </row>
    <row r="35">
      <c r="A35" s="267" t="str">
        <f>iferror(VLOOKUP(P35,'DO NOT TOUCH Imported'!$A$1:$D$800,4,False),iferror(VLOOKUP(P35,'DO NOT TOUCH Imported'!$C$1:$D$800,2,False),"OOPS FIX ME"))</f>
        <v>Mount Manu#3530</v>
      </c>
      <c r="B35" s="257" t="s">
        <v>18</v>
      </c>
      <c r="C35" s="261" t="s">
        <v>1930</v>
      </c>
      <c r="D35" s="281" t="s">
        <v>495</v>
      </c>
      <c r="E35" s="282">
        <v>44257.0</v>
      </c>
      <c r="F35" s="258" t="s">
        <v>496</v>
      </c>
      <c r="G35" s="171">
        <v>25.0</v>
      </c>
      <c r="H35" s="171">
        <v>1000.0</v>
      </c>
      <c r="I35" s="171">
        <v>10.0</v>
      </c>
      <c r="J35" s="172">
        <f t="shared" si="2"/>
        <v>0.0007346939862</v>
      </c>
      <c r="K35" s="269">
        <f t="shared" si="3"/>
        <v>0.7591837857</v>
      </c>
      <c r="L35" s="270">
        <f t="shared" si="4"/>
        <v>28.73415308</v>
      </c>
      <c r="M35" s="271" t="str">
        <f t="shared" si="5"/>
        <v>Mount Manu#3530</v>
      </c>
      <c r="N35" s="176">
        <f>IFERROR(__xludf.DUMMYFUNCTION("""COMPUTED_VALUE"""),4.0)</f>
        <v>4</v>
      </c>
      <c r="O35" s="176"/>
      <c r="P35" s="257" t="s">
        <v>1697</v>
      </c>
      <c r="Q35" s="257" t="s">
        <v>18</v>
      </c>
      <c r="R35" s="176"/>
      <c r="S35" s="176"/>
      <c r="T35" s="176"/>
      <c r="U35" s="176"/>
      <c r="V35" s="176"/>
      <c r="W35" s="176"/>
      <c r="X35" s="176"/>
      <c r="Y35" s="176"/>
      <c r="Z35" s="176"/>
    </row>
    <row r="36">
      <c r="A36" s="267" t="str">
        <f>iferror(VLOOKUP(P36,'DO NOT TOUCH Imported'!$A$1:$D$800,4,False),iferror(VLOOKUP(P36,'DO NOT TOUCH Imported'!$C$1:$D$800,2,False),"OOPS FIX ME"))</f>
        <v>Mount Manu#3530</v>
      </c>
      <c r="B36" s="257" t="s">
        <v>18</v>
      </c>
      <c r="C36" s="261" t="s">
        <v>1932</v>
      </c>
      <c r="D36" s="281" t="s">
        <v>495</v>
      </c>
      <c r="E36" s="282">
        <v>44257.0</v>
      </c>
      <c r="F36" s="258" t="s">
        <v>496</v>
      </c>
      <c r="G36" s="171">
        <v>25.0</v>
      </c>
      <c r="H36" s="171">
        <v>1000.0</v>
      </c>
      <c r="I36" s="171">
        <v>100.0</v>
      </c>
      <c r="J36" s="172">
        <f t="shared" si="2"/>
        <v>0.00094422631</v>
      </c>
      <c r="K36" s="269">
        <f t="shared" si="3"/>
        <v>0.9757005204</v>
      </c>
      <c r="L36" s="270">
        <f t="shared" si="4"/>
        <v>28.73415308</v>
      </c>
      <c r="M36" s="271" t="str">
        <f t="shared" si="5"/>
        <v>Mount Manu#3530</v>
      </c>
      <c r="N36" s="176">
        <f>IFERROR(__xludf.DUMMYFUNCTION("""COMPUTED_VALUE"""),5.0)</f>
        <v>5</v>
      </c>
      <c r="O36" s="176"/>
      <c r="P36" s="257" t="s">
        <v>1697</v>
      </c>
      <c r="Q36" s="257" t="s">
        <v>18</v>
      </c>
      <c r="R36" s="176"/>
      <c r="S36" s="176"/>
      <c r="T36" s="176"/>
      <c r="U36" s="176"/>
      <c r="V36" s="176"/>
      <c r="W36" s="176"/>
      <c r="X36" s="176"/>
      <c r="Y36" s="176"/>
      <c r="Z36" s="176"/>
    </row>
    <row r="37">
      <c r="A37" s="267" t="str">
        <f>iferror(VLOOKUP(P37,'DO NOT TOUCH Imported'!$A$1:$D$800,4,False),iferror(VLOOKUP(P37,'DO NOT TOUCH Imported'!$C$1:$D$800,2,False),"OOPS FIX ME"))</f>
        <v>Mount Manu#3530</v>
      </c>
      <c r="B37" s="276" t="s">
        <v>10</v>
      </c>
      <c r="C37" s="277" t="s">
        <v>1960</v>
      </c>
      <c r="D37" s="278" t="s">
        <v>437</v>
      </c>
      <c r="E37" s="279">
        <v>44260.0</v>
      </c>
      <c r="F37" s="278" t="s">
        <v>1929</v>
      </c>
      <c r="G37" s="171">
        <v>50.0</v>
      </c>
      <c r="H37" s="171">
        <v>1000.0</v>
      </c>
      <c r="I37" s="171">
        <v>500.0</v>
      </c>
      <c r="J37" s="172">
        <f t="shared" si="2"/>
        <v>0.002279815548</v>
      </c>
      <c r="K37" s="269">
        <f t="shared" si="3"/>
        <v>2.3558094</v>
      </c>
      <c r="L37" s="270">
        <f t="shared" si="4"/>
        <v>28.73415308</v>
      </c>
      <c r="M37" s="271" t="str">
        <f t="shared" si="5"/>
        <v>Mount Manu#3530</v>
      </c>
      <c r="N37" s="176">
        <f>IFERROR(__xludf.DUMMYFUNCTION("""COMPUTED_VALUE"""),6.0)</f>
        <v>6</v>
      </c>
      <c r="O37" s="176"/>
      <c r="P37" s="280" t="s">
        <v>32</v>
      </c>
      <c r="Q37" s="276" t="s">
        <v>10</v>
      </c>
      <c r="R37" s="176"/>
      <c r="S37" s="176"/>
      <c r="T37" s="176"/>
      <c r="U37" s="176"/>
      <c r="V37" s="176"/>
      <c r="W37" s="176"/>
      <c r="X37" s="176"/>
      <c r="Y37" s="176"/>
      <c r="Z37" s="176"/>
    </row>
    <row r="38">
      <c r="A38" s="267" t="str">
        <f>iferror(VLOOKUP(P38,'DO NOT TOUCH Imported'!$A$1:$D$800,4,False),iferror(VLOOKUP(P38,'DO NOT TOUCH Imported'!$C$1:$D$800,2,False),"OOPS FIX ME"))</f>
        <v>Mount Manu#3530</v>
      </c>
      <c r="B38" s="276" t="s">
        <v>10</v>
      </c>
      <c r="C38" s="277" t="s">
        <v>1961</v>
      </c>
      <c r="D38" s="278" t="s">
        <v>437</v>
      </c>
      <c r="E38" s="279">
        <v>44260.0</v>
      </c>
      <c r="F38" s="278" t="s">
        <v>1929</v>
      </c>
      <c r="G38" s="171">
        <v>50.0</v>
      </c>
      <c r="H38" s="171">
        <v>1000.0</v>
      </c>
      <c r="I38" s="171">
        <v>200.0</v>
      </c>
      <c r="J38" s="172">
        <f t="shared" si="2"/>
        <v>0.001581374469</v>
      </c>
      <c r="K38" s="269">
        <f t="shared" si="3"/>
        <v>1.634086951</v>
      </c>
      <c r="L38" s="270">
        <f t="shared" si="4"/>
        <v>28.73415308</v>
      </c>
      <c r="M38" s="271" t="str">
        <f t="shared" si="5"/>
        <v>Mount Manu#3530</v>
      </c>
      <c r="N38" s="176">
        <f>IFERROR(__xludf.DUMMYFUNCTION("""COMPUTED_VALUE"""),7.0)</f>
        <v>7</v>
      </c>
      <c r="O38" s="176"/>
      <c r="P38" s="267" t="s">
        <v>32</v>
      </c>
      <c r="Q38" s="272" t="s">
        <v>10</v>
      </c>
      <c r="R38" s="176"/>
      <c r="S38" s="176"/>
      <c r="T38" s="176"/>
      <c r="U38" s="176"/>
      <c r="V38" s="176"/>
      <c r="W38" s="176"/>
      <c r="X38" s="176"/>
      <c r="Y38" s="176"/>
      <c r="Z38" s="176"/>
    </row>
    <row r="39">
      <c r="A39" s="267" t="str">
        <f>iferror(VLOOKUP(P39,'DO NOT TOUCH Imported'!$A$1:$D$800,4,False),iferror(VLOOKUP(P39,'DO NOT TOUCH Imported'!$C$1:$D$800,2,False),"OOPS FIX ME"))</f>
        <v>Mount Manu#3530</v>
      </c>
      <c r="B39" s="257" t="s">
        <v>590</v>
      </c>
      <c r="C39" s="261" t="s">
        <v>1945</v>
      </c>
      <c r="D39" s="281" t="s">
        <v>495</v>
      </c>
      <c r="E39" s="282">
        <v>44264.0</v>
      </c>
      <c r="F39" s="258" t="s">
        <v>496</v>
      </c>
      <c r="G39" s="171">
        <v>25.0</v>
      </c>
      <c r="H39" s="171">
        <v>1000.0</v>
      </c>
      <c r="I39" s="171">
        <v>50.0</v>
      </c>
      <c r="J39" s="172">
        <f t="shared" si="2"/>
        <v>0.0008278194634</v>
      </c>
      <c r="K39" s="269">
        <f t="shared" si="3"/>
        <v>0.8554134456</v>
      </c>
      <c r="L39" s="270">
        <f t="shared" si="4"/>
        <v>28.73415308</v>
      </c>
      <c r="M39" s="271" t="str">
        <f t="shared" si="5"/>
        <v>Mount Manu#3530</v>
      </c>
      <c r="N39" s="176">
        <f>IFERROR(__xludf.DUMMYFUNCTION("""COMPUTED_VALUE"""),8.0)</f>
        <v>8</v>
      </c>
      <c r="O39" s="176"/>
      <c r="P39" s="257" t="s">
        <v>1697</v>
      </c>
      <c r="Q39" s="257" t="s">
        <v>590</v>
      </c>
      <c r="R39" s="176"/>
      <c r="S39" s="176"/>
      <c r="T39" s="176"/>
      <c r="U39" s="176"/>
      <c r="V39" s="176"/>
      <c r="W39" s="176"/>
      <c r="X39" s="176"/>
      <c r="Y39" s="176"/>
      <c r="Z39" s="176"/>
    </row>
    <row r="40">
      <c r="A40" s="267" t="str">
        <f>iferror(VLOOKUP(P40,'DO NOT TOUCH Imported'!$A$1:$D$800,4,False),iferror(VLOOKUP(P40,'DO NOT TOUCH Imported'!$C$1:$D$800,2,False),"OOPS FIX ME"))</f>
        <v>Mount Manu#3530</v>
      </c>
      <c r="B40" s="257" t="s">
        <v>590</v>
      </c>
      <c r="C40" s="261" t="s">
        <v>1962</v>
      </c>
      <c r="D40" s="281" t="s">
        <v>495</v>
      </c>
      <c r="E40" s="282">
        <v>44264.0</v>
      </c>
      <c r="F40" s="258" t="s">
        <v>496</v>
      </c>
      <c r="G40" s="171">
        <v>25.0</v>
      </c>
      <c r="H40" s="171">
        <v>5000.0</v>
      </c>
      <c r="I40" s="171">
        <v>100.0</v>
      </c>
      <c r="J40" s="172">
        <f t="shared" si="2"/>
        <v>0.002172538916</v>
      </c>
      <c r="K40" s="269">
        <f t="shared" si="3"/>
        <v>2.244956879</v>
      </c>
      <c r="L40" s="270">
        <f t="shared" si="4"/>
        <v>28.73415308</v>
      </c>
      <c r="M40" s="271" t="str">
        <f t="shared" si="5"/>
        <v>Mount Manu#3530</v>
      </c>
      <c r="N40" s="176">
        <f>IFERROR(__xludf.DUMMYFUNCTION("""COMPUTED_VALUE"""),9.0)</f>
        <v>9</v>
      </c>
      <c r="O40" s="176"/>
      <c r="P40" s="257" t="s">
        <v>1697</v>
      </c>
      <c r="Q40" s="257" t="s">
        <v>590</v>
      </c>
      <c r="R40" s="176"/>
      <c r="S40" s="176"/>
      <c r="T40" s="176"/>
      <c r="U40" s="176"/>
      <c r="V40" s="176"/>
      <c r="W40" s="176"/>
      <c r="X40" s="176"/>
      <c r="Y40" s="176"/>
      <c r="Z40" s="176"/>
    </row>
    <row r="41">
      <c r="A41" s="267" t="str">
        <f>iferror(VLOOKUP(P41,'DO NOT TOUCH Imported'!$A$1:$D$800,4,False),iferror(VLOOKUP(P41,'DO NOT TOUCH Imported'!$C$1:$D$800,2,False),"OOPS FIX ME"))</f>
        <v>Mount Manu#3530</v>
      </c>
      <c r="B41" s="257" t="s">
        <v>590</v>
      </c>
      <c r="C41" s="261" t="s">
        <v>1963</v>
      </c>
      <c r="D41" s="281" t="s">
        <v>495</v>
      </c>
      <c r="E41" s="282">
        <v>44264.0</v>
      </c>
      <c r="F41" s="258" t="s">
        <v>496</v>
      </c>
      <c r="G41" s="171">
        <v>25.0</v>
      </c>
      <c r="H41" s="171">
        <v>1000.0</v>
      </c>
      <c r="I41" s="171">
        <v>100.0</v>
      </c>
      <c r="J41" s="172">
        <f t="shared" si="2"/>
        <v>0.00094422631</v>
      </c>
      <c r="K41" s="269">
        <f t="shared" si="3"/>
        <v>0.9757005204</v>
      </c>
      <c r="L41" s="270">
        <f t="shared" si="4"/>
        <v>28.73415308</v>
      </c>
      <c r="M41" s="271" t="str">
        <f t="shared" si="5"/>
        <v>Mount Manu#3530</v>
      </c>
      <c r="N41" s="176">
        <f>IFERROR(__xludf.DUMMYFUNCTION("""COMPUTED_VALUE"""),10.0)</f>
        <v>10</v>
      </c>
      <c r="O41" s="176"/>
      <c r="P41" s="257" t="s">
        <v>1697</v>
      </c>
      <c r="Q41" s="257" t="s">
        <v>590</v>
      </c>
      <c r="R41" s="176"/>
      <c r="S41" s="176"/>
      <c r="T41" s="176"/>
      <c r="U41" s="176"/>
      <c r="V41" s="176"/>
      <c r="W41" s="176"/>
      <c r="X41" s="176"/>
      <c r="Y41" s="176"/>
      <c r="Z41" s="176"/>
    </row>
    <row r="42">
      <c r="A42" s="267" t="str">
        <f>iferror(VLOOKUP(P42,'DO NOT TOUCH Imported'!$A$1:$D$800,4,False),iferror(VLOOKUP(P42,'DO NOT TOUCH Imported'!$C$1:$D$800,2,False),"OOPS FIX ME"))</f>
        <v>Mount Manu#3530</v>
      </c>
      <c r="B42" s="276" t="s">
        <v>43</v>
      </c>
      <c r="C42" s="277" t="s">
        <v>1964</v>
      </c>
      <c r="D42" s="278" t="s">
        <v>437</v>
      </c>
      <c r="E42" s="279">
        <v>44266.0</v>
      </c>
      <c r="F42" s="278" t="s">
        <v>1600</v>
      </c>
      <c r="G42" s="171">
        <v>35.0</v>
      </c>
      <c r="H42" s="171">
        <v>2500.0</v>
      </c>
      <c r="I42" s="171">
        <v>300.0</v>
      </c>
      <c r="J42" s="172">
        <f t="shared" si="2"/>
        <v>0.00203220471</v>
      </c>
      <c r="K42" s="269">
        <f t="shared" si="3"/>
        <v>2.099944867</v>
      </c>
      <c r="L42" s="270">
        <f t="shared" si="4"/>
        <v>28.73415308</v>
      </c>
      <c r="M42" s="271" t="str">
        <f t="shared" si="5"/>
        <v>Mount Manu#3530</v>
      </c>
      <c r="N42" s="176">
        <f>IFERROR(__xludf.DUMMYFUNCTION("""COMPUTED_VALUE"""),11.0)</f>
        <v>11</v>
      </c>
      <c r="O42" s="176"/>
      <c r="P42" s="280" t="s">
        <v>32</v>
      </c>
      <c r="Q42" s="276" t="s">
        <v>43</v>
      </c>
      <c r="R42" s="176"/>
      <c r="S42" s="176"/>
      <c r="T42" s="176"/>
      <c r="U42" s="176"/>
      <c r="V42" s="176"/>
      <c r="W42" s="176"/>
      <c r="X42" s="176"/>
      <c r="Y42" s="176"/>
      <c r="Z42" s="176"/>
    </row>
    <row r="43">
      <c r="A43" s="267" t="str">
        <f>iferror(VLOOKUP(P43,'DO NOT TOUCH Imported'!$A$1:$D$800,4,False),iferror(VLOOKUP(P43,'DO NOT TOUCH Imported'!$C$1:$D$800,2,False),"OOPS FIX ME"))</f>
        <v>Mount Manu#3530</v>
      </c>
      <c r="B43" s="276" t="s">
        <v>10</v>
      </c>
      <c r="C43" s="277" t="s">
        <v>1965</v>
      </c>
      <c r="D43" s="278" t="s">
        <v>437</v>
      </c>
      <c r="E43" s="283">
        <v>44267.0</v>
      </c>
      <c r="F43" s="278" t="s">
        <v>439</v>
      </c>
      <c r="G43" s="171">
        <v>35.0</v>
      </c>
      <c r="H43" s="171">
        <v>1000.0</v>
      </c>
      <c r="I43" s="171">
        <v>200.0</v>
      </c>
      <c r="J43" s="172">
        <f t="shared" si="2"/>
        <v>0.001338773789</v>
      </c>
      <c r="K43" s="269">
        <f t="shared" si="3"/>
        <v>1.383399582</v>
      </c>
      <c r="L43" s="270">
        <f t="shared" si="4"/>
        <v>28.73415308</v>
      </c>
      <c r="M43" s="271" t="str">
        <f t="shared" si="5"/>
        <v>Mount Manu#3530</v>
      </c>
      <c r="N43" s="176">
        <f>IFERROR(__xludf.DUMMYFUNCTION("""COMPUTED_VALUE"""),12.0)</f>
        <v>12</v>
      </c>
      <c r="O43" s="176"/>
      <c r="P43" s="280" t="s">
        <v>32</v>
      </c>
      <c r="Q43" s="276" t="s">
        <v>10</v>
      </c>
      <c r="R43" s="176"/>
      <c r="S43" s="176"/>
      <c r="T43" s="176"/>
      <c r="U43" s="176"/>
      <c r="V43" s="176"/>
      <c r="W43" s="176"/>
      <c r="X43" s="176"/>
      <c r="Y43" s="176"/>
      <c r="Z43" s="176"/>
    </row>
    <row r="44">
      <c r="A44" s="267" t="str">
        <f>iferror(VLOOKUP(P44,'DO NOT TOUCH Imported'!$A$1:$D$800,4,False),iferror(VLOOKUP(P44,'DO NOT TOUCH Imported'!$C$1:$D$800,2,False),"OOPS FIX ME"))</f>
        <v>Mount Manu#3530</v>
      </c>
      <c r="B44" s="276" t="s">
        <v>10</v>
      </c>
      <c r="C44" s="277" t="s">
        <v>1966</v>
      </c>
      <c r="D44" s="278" t="s">
        <v>437</v>
      </c>
      <c r="E44" s="283">
        <v>44267.0</v>
      </c>
      <c r="F44" s="278" t="s">
        <v>439</v>
      </c>
      <c r="G44" s="171">
        <v>25.0</v>
      </c>
      <c r="H44" s="171">
        <v>2500.0</v>
      </c>
      <c r="I44" s="171">
        <v>300.0</v>
      </c>
      <c r="J44" s="172">
        <f t="shared" si="2"/>
        <v>0.001870470923</v>
      </c>
      <c r="K44" s="269">
        <f t="shared" si="3"/>
        <v>1.932819954</v>
      </c>
      <c r="L44" s="270">
        <f t="shared" si="4"/>
        <v>28.73415308</v>
      </c>
      <c r="M44" s="271" t="str">
        <f t="shared" si="5"/>
        <v>Mount Manu#3530</v>
      </c>
      <c r="N44" s="176">
        <f>IFERROR(__xludf.DUMMYFUNCTION("""COMPUTED_VALUE"""),13.0)</f>
        <v>13</v>
      </c>
      <c r="O44" s="176"/>
      <c r="P44" s="267" t="s">
        <v>32</v>
      </c>
      <c r="Q44" s="272" t="s">
        <v>10</v>
      </c>
      <c r="R44" s="176"/>
      <c r="S44" s="176"/>
      <c r="T44" s="176"/>
      <c r="U44" s="176"/>
      <c r="V44" s="176"/>
      <c r="W44" s="176"/>
      <c r="X44" s="176"/>
      <c r="Y44" s="176"/>
      <c r="Z44" s="176"/>
    </row>
    <row r="45">
      <c r="A45" s="267" t="str">
        <f>iferror(VLOOKUP(P45,'DO NOT TOUCH Imported'!$A$1:$D$800,4,False),iferror(VLOOKUP(P45,'DO NOT TOUCH Imported'!$C$1:$D$800,2,False),"OOPS FIX ME"))</f>
        <v>Mount Manu#3530</v>
      </c>
      <c r="B45" s="257" t="s">
        <v>10</v>
      </c>
      <c r="C45" s="261" t="s">
        <v>1967</v>
      </c>
      <c r="D45" s="281" t="s">
        <v>495</v>
      </c>
      <c r="E45" s="282">
        <v>44267.0</v>
      </c>
      <c r="F45" s="258" t="s">
        <v>496</v>
      </c>
      <c r="G45" s="171">
        <v>50.0</v>
      </c>
      <c r="H45" s="171">
        <v>5000.0</v>
      </c>
      <c r="I45" s="171">
        <v>300.0</v>
      </c>
      <c r="J45" s="172">
        <f t="shared" si="2"/>
        <v>0.003042500767</v>
      </c>
      <c r="K45" s="269">
        <f t="shared" si="3"/>
        <v>3.14391746</v>
      </c>
      <c r="L45" s="270">
        <f t="shared" si="4"/>
        <v>28.73415308</v>
      </c>
      <c r="M45" s="271" t="str">
        <f t="shared" si="5"/>
        <v>Mount Manu#3530</v>
      </c>
      <c r="N45" s="176">
        <f>IFERROR(__xludf.DUMMYFUNCTION("""COMPUTED_VALUE"""),14.0)</f>
        <v>14</v>
      </c>
      <c r="O45" s="176"/>
      <c r="P45" s="257" t="s">
        <v>1697</v>
      </c>
      <c r="Q45" s="257" t="s">
        <v>10</v>
      </c>
      <c r="R45" s="176"/>
      <c r="S45" s="176"/>
      <c r="T45" s="176"/>
      <c r="U45" s="176"/>
      <c r="V45" s="176"/>
      <c r="W45" s="176"/>
      <c r="X45" s="176"/>
      <c r="Y45" s="176"/>
      <c r="Z45" s="176"/>
    </row>
    <row r="46">
      <c r="A46" s="267" t="str">
        <f>iferror(VLOOKUP(P46,'DO NOT TOUCH Imported'!$A$1:$D$800,4,False),iferror(VLOOKUP(P46,'DO NOT TOUCH Imported'!$C$1:$D$800,2,False),"OOPS FIX ME"))</f>
        <v>divine_comedian</v>
      </c>
      <c r="B46" s="276" t="s">
        <v>43</v>
      </c>
      <c r="C46" s="277" t="s">
        <v>1968</v>
      </c>
      <c r="D46" s="278" t="s">
        <v>437</v>
      </c>
      <c r="E46" s="279">
        <v>44257.0</v>
      </c>
      <c r="F46" s="278" t="s">
        <v>1929</v>
      </c>
      <c r="G46" s="171">
        <v>50.0</v>
      </c>
      <c r="H46" s="171">
        <v>500.0</v>
      </c>
      <c r="I46" s="171">
        <v>10.0</v>
      </c>
      <c r="J46" s="172">
        <f t="shared" si="2"/>
        <v>0.000985489376</v>
      </c>
      <c r="K46" s="269">
        <f t="shared" si="3"/>
        <v>1.018339022</v>
      </c>
      <c r="L46" s="270">
        <f t="shared" si="4"/>
        <v>27.29939927</v>
      </c>
      <c r="M46" s="271" t="str">
        <f t="shared" si="5"/>
        <v>divine_comedian</v>
      </c>
      <c r="N46" s="176">
        <f>IFERROR(__xludf.DUMMYFUNCTION("""COMPUTED_VALUE"""),1.0)</f>
        <v>1</v>
      </c>
      <c r="O46" s="176"/>
      <c r="P46" s="280" t="s">
        <v>813</v>
      </c>
      <c r="Q46" s="276" t="s">
        <v>43</v>
      </c>
      <c r="R46" s="176"/>
      <c r="S46" s="176"/>
      <c r="T46" s="176"/>
      <c r="U46" s="176"/>
      <c r="V46" s="176"/>
      <c r="W46" s="176"/>
      <c r="X46" s="176"/>
      <c r="Y46" s="176"/>
      <c r="Z46" s="176"/>
    </row>
    <row r="47">
      <c r="A47" s="267" t="str">
        <f>iferror(VLOOKUP(P47,'DO NOT TOUCH Imported'!$A$1:$D$800,4,False),iferror(VLOOKUP(P47,'DO NOT TOUCH Imported'!$C$1:$D$800,2,False),"OOPS FIX ME"))</f>
        <v>divine_comedian</v>
      </c>
      <c r="B47" s="276" t="s">
        <v>10</v>
      </c>
      <c r="C47" s="277" t="s">
        <v>1969</v>
      </c>
      <c r="D47" s="278" t="s">
        <v>437</v>
      </c>
      <c r="E47" s="279">
        <v>44260.0</v>
      </c>
      <c r="F47" s="278" t="s">
        <v>1929</v>
      </c>
      <c r="G47" s="171">
        <v>100.0</v>
      </c>
      <c r="H47" s="171">
        <v>2500.0</v>
      </c>
      <c r="I47" s="171">
        <v>400.0</v>
      </c>
      <c r="J47" s="172">
        <f t="shared" si="2"/>
        <v>0.003316288013</v>
      </c>
      <c r="K47" s="269">
        <f t="shared" si="3"/>
        <v>3.426830947</v>
      </c>
      <c r="L47" s="270">
        <f t="shared" si="4"/>
        <v>27.29939927</v>
      </c>
      <c r="M47" s="271" t="str">
        <f t="shared" si="5"/>
        <v>divine_comedian</v>
      </c>
      <c r="N47" s="176">
        <f>IFERROR(__xludf.DUMMYFUNCTION("""COMPUTED_VALUE"""),2.0)</f>
        <v>2</v>
      </c>
      <c r="O47" s="176"/>
      <c r="P47" s="280" t="s">
        <v>813</v>
      </c>
      <c r="Q47" s="276" t="s">
        <v>10</v>
      </c>
      <c r="R47" s="176"/>
      <c r="S47" s="176"/>
      <c r="T47" s="176"/>
      <c r="U47" s="176"/>
      <c r="V47" s="176"/>
      <c r="W47" s="176"/>
      <c r="X47" s="176"/>
      <c r="Y47" s="176"/>
      <c r="Z47" s="176"/>
    </row>
    <row r="48">
      <c r="A48" s="267" t="str">
        <f>iferror(VLOOKUP(P48,'DO NOT TOUCH Imported'!$A$1:$D$800,4,False),iferror(VLOOKUP(P48,'DO NOT TOUCH Imported'!$C$1:$D$800,2,False),"OOPS FIX ME"))</f>
        <v>divine_comedian</v>
      </c>
      <c r="B48" s="276" t="s">
        <v>10</v>
      </c>
      <c r="C48" s="277" t="s">
        <v>1970</v>
      </c>
      <c r="D48" s="278" t="s">
        <v>437</v>
      </c>
      <c r="E48" s="279">
        <v>44260.0</v>
      </c>
      <c r="F48" s="278" t="s">
        <v>1929</v>
      </c>
      <c r="G48" s="171">
        <v>100.0</v>
      </c>
      <c r="H48" s="171">
        <v>2000.0</v>
      </c>
      <c r="I48" s="171">
        <v>400.0</v>
      </c>
      <c r="J48" s="172">
        <f t="shared" si="2"/>
        <v>0.003162748937</v>
      </c>
      <c r="K48" s="269">
        <f t="shared" si="3"/>
        <v>3.268173902</v>
      </c>
      <c r="L48" s="270">
        <f t="shared" si="4"/>
        <v>27.29939927</v>
      </c>
      <c r="M48" s="271" t="str">
        <f t="shared" si="5"/>
        <v>divine_comedian</v>
      </c>
      <c r="N48" s="176">
        <f>IFERROR(__xludf.DUMMYFUNCTION("""COMPUTED_VALUE"""),3.0)</f>
        <v>3</v>
      </c>
      <c r="O48" s="176"/>
      <c r="P48" s="280" t="s">
        <v>813</v>
      </c>
      <c r="Q48" s="276" t="s">
        <v>10</v>
      </c>
      <c r="R48" s="176"/>
      <c r="S48" s="176"/>
      <c r="T48" s="176"/>
      <c r="U48" s="176"/>
      <c r="V48" s="176"/>
      <c r="W48" s="176"/>
      <c r="X48" s="176"/>
      <c r="Y48" s="176"/>
      <c r="Z48" s="176"/>
    </row>
    <row r="49">
      <c r="A49" s="267" t="str">
        <f>iferror(VLOOKUP(P49,'DO NOT TOUCH Imported'!$A$1:$D$800,4,False),iferror(VLOOKUP(P49,'DO NOT TOUCH Imported'!$C$1:$D$800,2,False),"OOPS FIX ME"))</f>
        <v>divine_comedian</v>
      </c>
      <c r="B49" s="276" t="s">
        <v>10</v>
      </c>
      <c r="C49" s="277" t="s">
        <v>1961</v>
      </c>
      <c r="D49" s="278" t="s">
        <v>437</v>
      </c>
      <c r="E49" s="279">
        <v>44260.0</v>
      </c>
      <c r="F49" s="278" t="s">
        <v>1929</v>
      </c>
      <c r="G49" s="171">
        <v>50.0</v>
      </c>
      <c r="H49" s="171">
        <v>500.0</v>
      </c>
      <c r="I49" s="171">
        <v>200.0</v>
      </c>
      <c r="J49" s="172">
        <f t="shared" si="2"/>
        <v>0.001427835393</v>
      </c>
      <c r="K49" s="269">
        <f t="shared" si="3"/>
        <v>1.475429906</v>
      </c>
      <c r="L49" s="270">
        <f t="shared" si="4"/>
        <v>27.29939927</v>
      </c>
      <c r="M49" s="271" t="str">
        <f t="shared" si="5"/>
        <v>divine_comedian</v>
      </c>
      <c r="N49" s="176">
        <f>IFERROR(__xludf.DUMMYFUNCTION("""COMPUTED_VALUE"""),4.0)</f>
        <v>4</v>
      </c>
      <c r="O49" s="176"/>
      <c r="P49" s="280" t="s">
        <v>813</v>
      </c>
      <c r="Q49" s="276" t="s">
        <v>10</v>
      </c>
      <c r="R49" s="176"/>
      <c r="S49" s="176"/>
      <c r="T49" s="176"/>
      <c r="U49" s="176"/>
      <c r="V49" s="176"/>
      <c r="W49" s="176"/>
      <c r="X49" s="176"/>
      <c r="Y49" s="176"/>
      <c r="Z49" s="176"/>
    </row>
    <row r="50">
      <c r="A50" s="267" t="str">
        <f>iferror(VLOOKUP(P50,'DO NOT TOUCH Imported'!$A$1:$D$800,4,False),iferror(VLOOKUP(P50,'DO NOT TOUCH Imported'!$C$1:$D$800,2,False),"OOPS FIX ME"))</f>
        <v>divine_comedian</v>
      </c>
      <c r="B50" s="276" t="s">
        <v>1702</v>
      </c>
      <c r="C50" s="277" t="s">
        <v>1971</v>
      </c>
      <c r="D50" s="278" t="s">
        <v>437</v>
      </c>
      <c r="E50" s="279">
        <v>44260.0</v>
      </c>
      <c r="F50" s="278" t="s">
        <v>1929</v>
      </c>
      <c r="G50" s="171">
        <v>15.0</v>
      </c>
      <c r="H50" s="171">
        <v>500.0</v>
      </c>
      <c r="I50" s="171">
        <v>200.0</v>
      </c>
      <c r="J50" s="172">
        <f t="shared" si="2"/>
        <v>0.0008617671413</v>
      </c>
      <c r="K50" s="269">
        <f t="shared" si="3"/>
        <v>0.8904927127</v>
      </c>
      <c r="L50" s="270">
        <f t="shared" si="4"/>
        <v>27.29939927</v>
      </c>
      <c r="M50" s="271" t="str">
        <f t="shared" si="5"/>
        <v>divine_comedian</v>
      </c>
      <c r="N50" s="176">
        <f>IFERROR(__xludf.DUMMYFUNCTION("""COMPUTED_VALUE"""),5.0)</f>
        <v>5</v>
      </c>
      <c r="O50" s="176"/>
      <c r="P50" s="280" t="s">
        <v>813</v>
      </c>
      <c r="Q50" s="276" t="s">
        <v>1702</v>
      </c>
      <c r="R50" s="176"/>
      <c r="S50" s="176"/>
      <c r="T50" s="176"/>
      <c r="U50" s="176"/>
      <c r="V50" s="176"/>
      <c r="W50" s="176"/>
      <c r="X50" s="176"/>
      <c r="Y50" s="176"/>
      <c r="Z50" s="176"/>
    </row>
    <row r="51">
      <c r="A51" s="267" t="str">
        <f>iferror(VLOOKUP(P51,'DO NOT TOUCH Imported'!$A$1:$D$800,4,False),iferror(VLOOKUP(P51,'DO NOT TOUCH Imported'!$C$1:$D$800,2,False),"OOPS FIX ME"))</f>
        <v>divine_comedian</v>
      </c>
      <c r="B51" s="257" t="s">
        <v>10</v>
      </c>
      <c r="C51" s="261" t="s">
        <v>494</v>
      </c>
      <c r="D51" s="281" t="s">
        <v>495</v>
      </c>
      <c r="E51" s="282">
        <v>44260.0</v>
      </c>
      <c r="F51" s="258" t="s">
        <v>496</v>
      </c>
      <c r="G51" s="171">
        <v>35.0</v>
      </c>
      <c r="H51" s="171">
        <v>1000.0</v>
      </c>
      <c r="I51" s="171">
        <v>40.0</v>
      </c>
      <c r="J51" s="172">
        <f t="shared" si="2"/>
        <v>0.0009662718803</v>
      </c>
      <c r="K51" s="269">
        <f t="shared" si="3"/>
        <v>0.998480943</v>
      </c>
      <c r="L51" s="270">
        <f t="shared" si="4"/>
        <v>27.29939927</v>
      </c>
      <c r="M51" s="271" t="str">
        <f t="shared" si="5"/>
        <v>divine_comedian</v>
      </c>
      <c r="N51" s="176">
        <f>IFERROR(__xludf.DUMMYFUNCTION("""COMPUTED_VALUE"""),6.0)</f>
        <v>6</v>
      </c>
      <c r="O51" s="176"/>
      <c r="P51" s="257" t="s">
        <v>48</v>
      </c>
      <c r="Q51" s="257" t="s">
        <v>10</v>
      </c>
      <c r="R51" s="176"/>
      <c r="S51" s="176"/>
      <c r="T51" s="176"/>
      <c r="U51" s="176"/>
      <c r="V51" s="176"/>
      <c r="W51" s="176"/>
      <c r="X51" s="176"/>
      <c r="Y51" s="176"/>
      <c r="Z51" s="176"/>
    </row>
    <row r="52">
      <c r="A52" s="267" t="str">
        <f>iferror(VLOOKUP(P52,'DO NOT TOUCH Imported'!$A$1:$D$800,4,False),iferror(VLOOKUP(P52,'DO NOT TOUCH Imported'!$C$1:$D$800,2,False),"OOPS FIX ME"))</f>
        <v>divine_comedian</v>
      </c>
      <c r="B52" s="276" t="s">
        <v>1702</v>
      </c>
      <c r="C52" s="277" t="s">
        <v>1972</v>
      </c>
      <c r="D52" s="278" t="s">
        <v>437</v>
      </c>
      <c r="E52" s="279">
        <v>44262.0</v>
      </c>
      <c r="F52" s="278" t="s">
        <v>1929</v>
      </c>
      <c r="G52" s="171">
        <v>50.0</v>
      </c>
      <c r="H52" s="171">
        <v>2500.0</v>
      </c>
      <c r="I52" s="171">
        <v>400.0</v>
      </c>
      <c r="J52" s="172">
        <f t="shared" si="2"/>
        <v>0.002507619082</v>
      </c>
      <c r="K52" s="269">
        <f t="shared" si="3"/>
        <v>2.591206385</v>
      </c>
      <c r="L52" s="270">
        <f t="shared" si="4"/>
        <v>27.29939927</v>
      </c>
      <c r="M52" s="271" t="str">
        <f t="shared" si="5"/>
        <v>divine_comedian</v>
      </c>
      <c r="N52" s="176">
        <f>IFERROR(__xludf.DUMMYFUNCTION("""COMPUTED_VALUE"""),7.0)</f>
        <v>7</v>
      </c>
      <c r="O52" s="176"/>
      <c r="P52" s="267" t="s">
        <v>813</v>
      </c>
      <c r="Q52" s="272" t="s">
        <v>1702</v>
      </c>
      <c r="R52" s="176"/>
      <c r="S52" s="176"/>
      <c r="T52" s="176"/>
      <c r="U52" s="176"/>
      <c r="V52" s="176"/>
      <c r="W52" s="176"/>
      <c r="X52" s="176"/>
      <c r="Y52" s="176"/>
      <c r="Z52" s="176"/>
    </row>
    <row r="53">
      <c r="A53" s="267" t="str">
        <f>iferror(VLOOKUP(P53,'DO NOT TOUCH Imported'!$A$1:$D$800,4,False),iferror(VLOOKUP(P53,'DO NOT TOUCH Imported'!$C$1:$D$800,2,False),"OOPS FIX ME"))</f>
        <v>divine_comedian</v>
      </c>
      <c r="B53" s="257" t="s">
        <v>590</v>
      </c>
      <c r="C53" s="261" t="s">
        <v>1945</v>
      </c>
      <c r="D53" s="281" t="s">
        <v>495</v>
      </c>
      <c r="E53" s="282">
        <v>44264.0</v>
      </c>
      <c r="F53" s="258" t="s">
        <v>496</v>
      </c>
      <c r="G53" s="171">
        <v>25.0</v>
      </c>
      <c r="H53" s="171">
        <v>1000.0</v>
      </c>
      <c r="I53" s="171">
        <v>50.0</v>
      </c>
      <c r="J53" s="172">
        <f t="shared" si="2"/>
        <v>0.0008278194634</v>
      </c>
      <c r="K53" s="269">
        <f t="shared" si="3"/>
        <v>0.8554134456</v>
      </c>
      <c r="L53" s="270">
        <f t="shared" si="4"/>
        <v>27.29939927</v>
      </c>
      <c r="M53" s="271" t="str">
        <f t="shared" si="5"/>
        <v>divine_comedian</v>
      </c>
      <c r="N53" s="176">
        <f>IFERROR(__xludf.DUMMYFUNCTION("""COMPUTED_VALUE"""),8.0)</f>
        <v>8</v>
      </c>
      <c r="O53" s="176"/>
      <c r="P53" s="257" t="s">
        <v>48</v>
      </c>
      <c r="Q53" s="257" t="s">
        <v>590</v>
      </c>
      <c r="R53" s="176"/>
      <c r="S53" s="176"/>
      <c r="T53" s="176"/>
      <c r="U53" s="176"/>
      <c r="V53" s="176"/>
      <c r="W53" s="176"/>
      <c r="X53" s="176"/>
      <c r="Y53" s="176"/>
      <c r="Z53" s="176"/>
    </row>
    <row r="54">
      <c r="A54" s="267" t="str">
        <f>iferror(VLOOKUP(P54,'DO NOT TOUCH Imported'!$A$1:$D$800,4,False),iferror(VLOOKUP(P54,'DO NOT TOUCH Imported'!$C$1:$D$800,2,False),"OOPS FIX ME"))</f>
        <v>divine_comedian</v>
      </c>
      <c r="B54" s="257" t="s">
        <v>590</v>
      </c>
      <c r="C54" s="261" t="s">
        <v>1962</v>
      </c>
      <c r="D54" s="281" t="s">
        <v>495</v>
      </c>
      <c r="E54" s="282">
        <v>44264.0</v>
      </c>
      <c r="F54" s="258" t="s">
        <v>496</v>
      </c>
      <c r="G54" s="171">
        <v>25.0</v>
      </c>
      <c r="H54" s="171">
        <v>1000.0</v>
      </c>
      <c r="I54" s="171">
        <v>100.0</v>
      </c>
      <c r="J54" s="172">
        <f t="shared" si="2"/>
        <v>0.00094422631</v>
      </c>
      <c r="K54" s="269">
        <f t="shared" si="3"/>
        <v>0.9757005204</v>
      </c>
      <c r="L54" s="270">
        <f t="shared" si="4"/>
        <v>27.29939927</v>
      </c>
      <c r="M54" s="271" t="str">
        <f t="shared" si="5"/>
        <v>divine_comedian</v>
      </c>
      <c r="N54" s="176">
        <f>IFERROR(__xludf.DUMMYFUNCTION("""COMPUTED_VALUE"""),9.0)</f>
        <v>9</v>
      </c>
      <c r="O54" s="176"/>
      <c r="P54" s="257" t="s">
        <v>48</v>
      </c>
      <c r="Q54" s="257" t="s">
        <v>590</v>
      </c>
      <c r="R54" s="176"/>
      <c r="S54" s="176"/>
      <c r="T54" s="176"/>
      <c r="U54" s="176"/>
      <c r="V54" s="176"/>
      <c r="W54" s="176"/>
      <c r="X54" s="176"/>
      <c r="Y54" s="176"/>
      <c r="Z54" s="176"/>
    </row>
    <row r="55">
      <c r="A55" s="267" t="str">
        <f>iferror(VLOOKUP(P55,'DO NOT TOUCH Imported'!$A$1:$D$800,4,False),iferror(VLOOKUP(P55,'DO NOT TOUCH Imported'!$C$1:$D$800,2,False),"OOPS FIX ME"))</f>
        <v>divine_comedian</v>
      </c>
      <c r="B55" s="257" t="s">
        <v>590</v>
      </c>
      <c r="C55" s="261" t="s">
        <v>1963</v>
      </c>
      <c r="D55" s="281" t="s">
        <v>495</v>
      </c>
      <c r="E55" s="282">
        <v>44264.0</v>
      </c>
      <c r="F55" s="258" t="s">
        <v>496</v>
      </c>
      <c r="G55" s="171">
        <v>25.0</v>
      </c>
      <c r="H55" s="171">
        <v>1000.0</v>
      </c>
      <c r="I55" s="171">
        <v>100.0</v>
      </c>
      <c r="J55" s="172">
        <f t="shared" si="2"/>
        <v>0.00094422631</v>
      </c>
      <c r="K55" s="269">
        <f t="shared" si="3"/>
        <v>0.9757005204</v>
      </c>
      <c r="L55" s="270">
        <f t="shared" si="4"/>
        <v>27.29939927</v>
      </c>
      <c r="M55" s="271" t="str">
        <f t="shared" si="5"/>
        <v>divine_comedian</v>
      </c>
      <c r="N55" s="176">
        <f>IFERROR(__xludf.DUMMYFUNCTION("""COMPUTED_VALUE"""),10.0)</f>
        <v>10</v>
      </c>
      <c r="O55" s="176"/>
      <c r="P55" s="257" t="s">
        <v>48</v>
      </c>
      <c r="Q55" s="257" t="s">
        <v>590</v>
      </c>
      <c r="R55" s="176"/>
      <c r="S55" s="176"/>
      <c r="T55" s="176"/>
      <c r="U55" s="176"/>
      <c r="V55" s="176"/>
      <c r="W55" s="176"/>
      <c r="X55" s="176"/>
      <c r="Y55" s="176"/>
      <c r="Z55" s="176"/>
    </row>
    <row r="56">
      <c r="A56" s="267" t="str">
        <f>iferror(VLOOKUP(P56,'DO NOT TOUCH Imported'!$A$1:$D$800,4,False),iferror(VLOOKUP(P56,'DO NOT TOUCH Imported'!$C$1:$D$800,2,False),"OOPS FIX ME"))</f>
        <v>divine_comedian</v>
      </c>
      <c r="B56" s="257" t="s">
        <v>590</v>
      </c>
      <c r="C56" s="261" t="s">
        <v>1973</v>
      </c>
      <c r="D56" s="281" t="s">
        <v>495</v>
      </c>
      <c r="E56" s="282">
        <v>44264.0</v>
      </c>
      <c r="F56" s="258" t="s">
        <v>496</v>
      </c>
      <c r="G56" s="171">
        <v>50.0</v>
      </c>
      <c r="H56" s="171">
        <v>1000.0</v>
      </c>
      <c r="I56" s="171">
        <v>100.0</v>
      </c>
      <c r="J56" s="172">
        <f t="shared" si="2"/>
        <v>0.001348560775</v>
      </c>
      <c r="K56" s="269">
        <f t="shared" si="3"/>
        <v>1.393512801</v>
      </c>
      <c r="L56" s="270">
        <f t="shared" si="4"/>
        <v>27.29939927</v>
      </c>
      <c r="M56" s="271" t="str">
        <f t="shared" si="5"/>
        <v>divine_comedian</v>
      </c>
      <c r="N56" s="176">
        <f>IFERROR(__xludf.DUMMYFUNCTION("""COMPUTED_VALUE"""),11.0)</f>
        <v>11</v>
      </c>
      <c r="O56" s="176"/>
      <c r="P56" s="257" t="s">
        <v>48</v>
      </c>
      <c r="Q56" s="257" t="s">
        <v>590</v>
      </c>
      <c r="R56" s="176"/>
      <c r="S56" s="176"/>
      <c r="T56" s="176"/>
      <c r="U56" s="176"/>
      <c r="V56" s="176"/>
      <c r="W56" s="176"/>
      <c r="X56" s="176"/>
      <c r="Y56" s="176"/>
      <c r="Z56" s="176"/>
    </row>
    <row r="57">
      <c r="A57" s="267" t="str">
        <f>iferror(VLOOKUP(P57,'DO NOT TOUCH Imported'!$A$1:$D$800,4,False),iferror(VLOOKUP(P57,'DO NOT TOUCH Imported'!$C$1:$D$800,2,False),"OOPS FIX ME"))</f>
        <v>divine_comedian</v>
      </c>
      <c r="B57" s="257" t="s">
        <v>18</v>
      </c>
      <c r="C57" s="261" t="s">
        <v>1974</v>
      </c>
      <c r="D57" s="281" t="s">
        <v>495</v>
      </c>
      <c r="E57" s="282">
        <v>44266.0</v>
      </c>
      <c r="F57" s="258" t="s">
        <v>496</v>
      </c>
      <c r="G57" s="171">
        <v>50.0</v>
      </c>
      <c r="H57" s="171">
        <v>2000.0</v>
      </c>
      <c r="I57" s="171">
        <v>200.0</v>
      </c>
      <c r="J57" s="172">
        <f t="shared" si="2"/>
        <v>0.00188845262</v>
      </c>
      <c r="K57" s="269">
        <f t="shared" si="3"/>
        <v>1.951401041</v>
      </c>
      <c r="L57" s="270">
        <f t="shared" si="4"/>
        <v>27.29939927</v>
      </c>
      <c r="M57" s="271" t="str">
        <f t="shared" si="5"/>
        <v>divine_comedian</v>
      </c>
      <c r="N57" s="176">
        <f>IFERROR(__xludf.DUMMYFUNCTION("""COMPUTED_VALUE"""),12.0)</f>
        <v>12</v>
      </c>
      <c r="O57" s="176"/>
      <c r="P57" s="257" t="s">
        <v>48</v>
      </c>
      <c r="Q57" s="257" t="s">
        <v>18</v>
      </c>
      <c r="R57" s="176"/>
      <c r="S57" s="176"/>
      <c r="T57" s="176"/>
      <c r="U57" s="176"/>
      <c r="V57" s="176"/>
      <c r="W57" s="176"/>
      <c r="X57" s="176"/>
      <c r="Y57" s="176"/>
      <c r="Z57" s="176"/>
    </row>
    <row r="58">
      <c r="A58" s="267" t="str">
        <f>iferror(VLOOKUP(P58,'DO NOT TOUCH Imported'!$A$1:$D$800,4,False),iferror(VLOOKUP(P58,'DO NOT TOUCH Imported'!$C$1:$D$800,2,False),"OOPS FIX ME"))</f>
        <v>divine_comedian</v>
      </c>
      <c r="B58" s="276" t="s">
        <v>10</v>
      </c>
      <c r="C58" s="277" t="s">
        <v>1975</v>
      </c>
      <c r="D58" s="278" t="s">
        <v>437</v>
      </c>
      <c r="E58" s="283">
        <v>44267.0</v>
      </c>
      <c r="F58" s="278" t="s">
        <v>439</v>
      </c>
      <c r="G58" s="171">
        <v>35.0</v>
      </c>
      <c r="H58" s="171">
        <v>1000.0</v>
      </c>
      <c r="I58" s="171">
        <v>500.0</v>
      </c>
      <c r="J58" s="172">
        <f t="shared" si="2"/>
        <v>0.002037214869</v>
      </c>
      <c r="K58" s="269">
        <f t="shared" si="3"/>
        <v>2.105122031</v>
      </c>
      <c r="L58" s="270">
        <f t="shared" si="4"/>
        <v>27.29939927</v>
      </c>
      <c r="M58" s="271" t="str">
        <f t="shared" si="5"/>
        <v>divine_comedian</v>
      </c>
      <c r="N58" s="176">
        <f>IFERROR(__xludf.DUMMYFUNCTION("""COMPUTED_VALUE"""),13.0)</f>
        <v>13</v>
      </c>
      <c r="O58" s="176"/>
      <c r="P58" s="280" t="s">
        <v>813</v>
      </c>
      <c r="Q58" s="276" t="s">
        <v>10</v>
      </c>
      <c r="R58" s="176"/>
      <c r="S58" s="176"/>
      <c r="T58" s="176"/>
      <c r="U58" s="176"/>
      <c r="V58" s="176"/>
      <c r="W58" s="176"/>
      <c r="X58" s="176"/>
      <c r="Y58" s="176"/>
      <c r="Z58" s="176"/>
    </row>
    <row r="59">
      <c r="A59" s="267" t="str">
        <f>iferror(VLOOKUP(P59,'DO NOT TOUCH Imported'!$A$1:$D$800,4,False),iferror(VLOOKUP(P59,'DO NOT TOUCH Imported'!$C$1:$D$800,2,False),"OOPS FIX ME"))</f>
        <v>divine_comedian</v>
      </c>
      <c r="B59" s="276" t="s">
        <v>10</v>
      </c>
      <c r="C59" s="277" t="s">
        <v>1976</v>
      </c>
      <c r="D59" s="278" t="s">
        <v>437</v>
      </c>
      <c r="E59" s="283">
        <v>44267.0</v>
      </c>
      <c r="F59" s="278" t="s">
        <v>439</v>
      </c>
      <c r="G59" s="171">
        <v>35.0</v>
      </c>
      <c r="H59" s="171">
        <v>1000.0</v>
      </c>
      <c r="I59" s="171">
        <v>400.0</v>
      </c>
      <c r="J59" s="172">
        <f t="shared" si="2"/>
        <v>0.001804401176</v>
      </c>
      <c r="K59" s="269">
        <f t="shared" si="3"/>
        <v>1.864547882</v>
      </c>
      <c r="L59" s="270">
        <f t="shared" si="4"/>
        <v>27.29939927</v>
      </c>
      <c r="M59" s="271" t="str">
        <f t="shared" si="5"/>
        <v>divine_comedian</v>
      </c>
      <c r="N59" s="176">
        <f>IFERROR(__xludf.DUMMYFUNCTION("""COMPUTED_VALUE"""),14.0)</f>
        <v>14</v>
      </c>
      <c r="O59" s="176"/>
      <c r="P59" s="280" t="s">
        <v>813</v>
      </c>
      <c r="Q59" s="276" t="s">
        <v>10</v>
      </c>
      <c r="R59" s="176"/>
      <c r="S59" s="176"/>
      <c r="T59" s="176"/>
      <c r="U59" s="176"/>
      <c r="V59" s="176"/>
      <c r="W59" s="176"/>
      <c r="X59" s="176"/>
      <c r="Y59" s="176"/>
      <c r="Z59" s="176"/>
    </row>
    <row r="60">
      <c r="A60" s="267" t="str">
        <f>iferror(VLOOKUP(P60,'DO NOT TOUCH Imported'!$A$1:$D$800,4,False),iferror(VLOOKUP(P60,'DO NOT TOUCH Imported'!$C$1:$D$800,2,False),"OOPS FIX ME"))</f>
        <v>divine_comedian</v>
      </c>
      <c r="B60" s="276" t="s">
        <v>10</v>
      </c>
      <c r="C60" s="277" t="s">
        <v>1966</v>
      </c>
      <c r="D60" s="278" t="s">
        <v>437</v>
      </c>
      <c r="E60" s="283">
        <v>44267.0</v>
      </c>
      <c r="F60" s="278" t="s">
        <v>439</v>
      </c>
      <c r="G60" s="171">
        <v>25.0</v>
      </c>
      <c r="H60" s="171">
        <v>2500.0</v>
      </c>
      <c r="I60" s="171">
        <v>300.0</v>
      </c>
      <c r="J60" s="172">
        <f t="shared" si="2"/>
        <v>0.001870470923</v>
      </c>
      <c r="K60" s="269">
        <f t="shared" si="3"/>
        <v>1.932819954</v>
      </c>
      <c r="L60" s="270">
        <f t="shared" si="4"/>
        <v>27.29939927</v>
      </c>
      <c r="M60" s="271" t="str">
        <f t="shared" si="5"/>
        <v>divine_comedian</v>
      </c>
      <c r="N60" s="176">
        <f>IFERROR(__xludf.DUMMYFUNCTION("""COMPUTED_VALUE"""),15.0)</f>
        <v>15</v>
      </c>
      <c r="O60" s="176"/>
      <c r="P60" s="280" t="s">
        <v>813</v>
      </c>
      <c r="Q60" s="276" t="s">
        <v>10</v>
      </c>
      <c r="R60" s="176"/>
      <c r="S60" s="176"/>
      <c r="T60" s="176"/>
      <c r="U60" s="176"/>
      <c r="V60" s="176"/>
      <c r="W60" s="176"/>
      <c r="X60" s="176"/>
      <c r="Y60" s="176"/>
      <c r="Z60" s="176"/>
    </row>
    <row r="61">
      <c r="A61" s="267" t="str">
        <f>iferror(VLOOKUP(P61,'DO NOT TOUCH Imported'!$A$1:$D$800,4,False),iferror(VLOOKUP(P61,'DO NOT TOUCH Imported'!$C$1:$D$800,2,False),"OOPS FIX ME"))</f>
        <v>divine_comedian</v>
      </c>
      <c r="B61" s="276" t="s">
        <v>10</v>
      </c>
      <c r="C61" s="277" t="s">
        <v>1952</v>
      </c>
      <c r="D61" s="278" t="s">
        <v>437</v>
      </c>
      <c r="E61" s="283">
        <v>44267.0</v>
      </c>
      <c r="F61" s="278" t="s">
        <v>439</v>
      </c>
      <c r="G61" s="171">
        <v>25.0</v>
      </c>
      <c r="H61" s="171">
        <v>1000.0</v>
      </c>
      <c r="I61" s="171">
        <v>10.0</v>
      </c>
      <c r="J61" s="172">
        <f t="shared" si="2"/>
        <v>0.0007346939862</v>
      </c>
      <c r="K61" s="269">
        <f t="shared" si="3"/>
        <v>0.7591837857</v>
      </c>
      <c r="L61" s="270">
        <f t="shared" si="4"/>
        <v>27.29939927</v>
      </c>
      <c r="M61" s="271" t="str">
        <f t="shared" si="5"/>
        <v>divine_comedian</v>
      </c>
      <c r="N61" s="176">
        <f>IFERROR(__xludf.DUMMYFUNCTION("""COMPUTED_VALUE"""),16.0)</f>
        <v>16</v>
      </c>
      <c r="O61" s="176"/>
      <c r="P61" s="267" t="s">
        <v>813</v>
      </c>
      <c r="Q61" s="272" t="s">
        <v>10</v>
      </c>
      <c r="R61" s="176"/>
      <c r="S61" s="176"/>
      <c r="T61" s="176"/>
      <c r="U61" s="176"/>
      <c r="V61" s="176"/>
      <c r="W61" s="176"/>
      <c r="X61" s="176"/>
      <c r="Y61" s="176"/>
      <c r="Z61" s="176"/>
    </row>
    <row r="62">
      <c r="A62" s="267" t="str">
        <f>iferror(VLOOKUP(P62,'DO NOT TOUCH Imported'!$A$1:$D$800,4,False),iferror(VLOOKUP(P62,'DO NOT TOUCH Imported'!$C$1:$D$800,2,False),"OOPS FIX ME"))</f>
        <v>divine_comedian</v>
      </c>
      <c r="B62" s="257" t="s">
        <v>10</v>
      </c>
      <c r="C62" s="261" t="s">
        <v>494</v>
      </c>
      <c r="D62" s="281" t="s">
        <v>495</v>
      </c>
      <c r="E62" s="282">
        <v>44267.0</v>
      </c>
      <c r="F62" s="258" t="s">
        <v>496</v>
      </c>
      <c r="G62" s="171">
        <v>25.0</v>
      </c>
      <c r="H62" s="171">
        <v>500.0</v>
      </c>
      <c r="I62" s="171">
        <v>100.0</v>
      </c>
      <c r="J62" s="172">
        <f t="shared" si="2"/>
        <v>0.0007906872343</v>
      </c>
      <c r="K62" s="269">
        <f t="shared" si="3"/>
        <v>0.8170434755</v>
      </c>
      <c r="L62" s="270">
        <f t="shared" si="4"/>
        <v>27.29939927</v>
      </c>
      <c r="M62" s="271" t="str">
        <f t="shared" si="5"/>
        <v>divine_comedian</v>
      </c>
      <c r="N62" s="176">
        <f>IFERROR(__xludf.DUMMYFUNCTION("""COMPUTED_VALUE"""),17.0)</f>
        <v>17</v>
      </c>
      <c r="O62" s="176"/>
      <c r="P62" s="257" t="s">
        <v>48</v>
      </c>
      <c r="Q62" s="257" t="s">
        <v>10</v>
      </c>
      <c r="R62" s="176"/>
      <c r="S62" s="176"/>
      <c r="T62" s="176"/>
      <c r="U62" s="176"/>
      <c r="V62" s="176"/>
      <c r="W62" s="176"/>
      <c r="X62" s="176"/>
      <c r="Y62" s="176"/>
      <c r="Z62" s="176"/>
    </row>
    <row r="63">
      <c r="A63" s="267" t="str">
        <f>iferror(VLOOKUP(P63,'DO NOT TOUCH Imported'!$A$1:$D$800,4,False),iferror(VLOOKUP(P63,'DO NOT TOUCH Imported'!$C$1:$D$800,2,False),"OOPS FIX ME"))</f>
        <v>cranders71</v>
      </c>
      <c r="B63" s="276" t="s">
        <v>1933</v>
      </c>
      <c r="C63" s="277" t="s">
        <v>1934</v>
      </c>
      <c r="D63" s="278" t="s">
        <v>437</v>
      </c>
      <c r="E63" s="279">
        <v>44258.0</v>
      </c>
      <c r="F63" s="278" t="s">
        <v>1929</v>
      </c>
      <c r="G63" s="171">
        <v>25.0</v>
      </c>
      <c r="H63" s="171">
        <v>2000.0</v>
      </c>
      <c r="I63" s="171">
        <v>200.0</v>
      </c>
      <c r="J63" s="172">
        <f t="shared" si="2"/>
        <v>0.001484118155</v>
      </c>
      <c r="K63" s="269">
        <f t="shared" si="3"/>
        <v>1.53358876</v>
      </c>
      <c r="L63" s="270">
        <f t="shared" si="4"/>
        <v>25.46545454</v>
      </c>
      <c r="M63" s="271" t="str">
        <f t="shared" si="5"/>
        <v>cranders71</v>
      </c>
      <c r="N63" s="176">
        <f>IFERROR(__xludf.DUMMYFUNCTION("""COMPUTED_VALUE"""),1.0)</f>
        <v>1</v>
      </c>
      <c r="O63" s="176"/>
      <c r="P63" s="280" t="s">
        <v>457</v>
      </c>
      <c r="Q63" s="276" t="s">
        <v>1933</v>
      </c>
      <c r="R63" s="176"/>
      <c r="S63" s="176"/>
      <c r="T63" s="176"/>
      <c r="U63" s="176"/>
      <c r="V63" s="176"/>
      <c r="W63" s="176"/>
      <c r="X63" s="176"/>
      <c r="Y63" s="176"/>
      <c r="Z63" s="176"/>
    </row>
    <row r="64">
      <c r="A64" s="267" t="str">
        <f>iferror(VLOOKUP(P64,'DO NOT TOUCH Imported'!$A$1:$D$800,4,False),iferror(VLOOKUP(P64,'DO NOT TOUCH Imported'!$C$1:$D$800,2,False),"OOPS FIX ME"))</f>
        <v>cranders71</v>
      </c>
      <c r="B64" s="257" t="s">
        <v>519</v>
      </c>
      <c r="C64" s="261" t="s">
        <v>1977</v>
      </c>
      <c r="D64" s="281" t="s">
        <v>495</v>
      </c>
      <c r="E64" s="282">
        <v>44258.0</v>
      </c>
      <c r="F64" s="258" t="s">
        <v>496</v>
      </c>
      <c r="G64" s="171">
        <v>100.0</v>
      </c>
      <c r="H64" s="171">
        <v>1500.0</v>
      </c>
      <c r="I64" s="171">
        <v>600.0</v>
      </c>
      <c r="J64" s="172">
        <f t="shared" si="2"/>
        <v>0.003474837248</v>
      </c>
      <c r="K64" s="269">
        <f t="shared" si="3"/>
        <v>3.590665156</v>
      </c>
      <c r="L64" s="270">
        <f t="shared" si="4"/>
        <v>25.46545454</v>
      </c>
      <c r="M64" s="271" t="str">
        <f t="shared" si="5"/>
        <v>cranders71</v>
      </c>
      <c r="N64" s="176">
        <f>IFERROR(__xludf.DUMMYFUNCTION("""COMPUTED_VALUE"""),2.0)</f>
        <v>2</v>
      </c>
      <c r="O64" s="176"/>
      <c r="P64" s="257" t="s">
        <v>5</v>
      </c>
      <c r="Q64" s="257" t="s">
        <v>519</v>
      </c>
      <c r="R64" s="176"/>
      <c r="S64" s="176"/>
      <c r="T64" s="176"/>
      <c r="U64" s="176"/>
      <c r="V64" s="176"/>
      <c r="W64" s="176"/>
      <c r="X64" s="176"/>
      <c r="Y64" s="176"/>
      <c r="Z64" s="176"/>
    </row>
    <row r="65">
      <c r="A65" s="267" t="str">
        <f>iferror(VLOOKUP(P65,'DO NOT TOUCH Imported'!$A$1:$D$800,4,False),iferror(VLOOKUP(P65,'DO NOT TOUCH Imported'!$C$1:$D$800,2,False),"OOPS FIX ME"))</f>
        <v>cranders71</v>
      </c>
      <c r="B65" s="276" t="s">
        <v>10</v>
      </c>
      <c r="C65" s="277" t="s">
        <v>1938</v>
      </c>
      <c r="D65" s="278" t="s">
        <v>437</v>
      </c>
      <c r="E65" s="279">
        <v>44260.0</v>
      </c>
      <c r="F65" s="278" t="s">
        <v>1929</v>
      </c>
      <c r="G65" s="171">
        <v>35.0</v>
      </c>
      <c r="H65" s="171">
        <v>2000.0</v>
      </c>
      <c r="I65" s="171">
        <v>200.0</v>
      </c>
      <c r="J65" s="172">
        <f t="shared" si="2"/>
        <v>0.001645851941</v>
      </c>
      <c r="K65" s="269">
        <f t="shared" si="3"/>
        <v>1.700713672</v>
      </c>
      <c r="L65" s="270">
        <f t="shared" si="4"/>
        <v>25.46545454</v>
      </c>
      <c r="M65" s="271" t="str">
        <f t="shared" si="5"/>
        <v>cranders71</v>
      </c>
      <c r="N65" s="176">
        <f>IFERROR(__xludf.DUMMYFUNCTION("""COMPUTED_VALUE"""),3.0)</f>
        <v>3</v>
      </c>
      <c r="O65" s="176"/>
      <c r="P65" s="280" t="s">
        <v>457</v>
      </c>
      <c r="Q65" s="276" t="s">
        <v>10</v>
      </c>
      <c r="R65" s="176"/>
      <c r="S65" s="176"/>
      <c r="T65" s="176"/>
      <c r="U65" s="176"/>
      <c r="V65" s="176"/>
      <c r="W65" s="176"/>
      <c r="X65" s="176"/>
      <c r="Y65" s="176"/>
      <c r="Z65" s="176"/>
    </row>
    <row r="66">
      <c r="A66" s="267" t="str">
        <f>iferror(VLOOKUP(P66,'DO NOT TOUCH Imported'!$A$1:$D$800,4,False),iferror(VLOOKUP(P66,'DO NOT TOUCH Imported'!$C$1:$D$800,2,False),"OOPS FIX ME"))</f>
        <v>cranders71</v>
      </c>
      <c r="B66" s="276" t="s">
        <v>10</v>
      </c>
      <c r="C66" s="277" t="s">
        <v>1978</v>
      </c>
      <c r="D66" s="278" t="s">
        <v>437</v>
      </c>
      <c r="E66" s="279">
        <v>44260.0</v>
      </c>
      <c r="F66" s="278" t="s">
        <v>1929</v>
      </c>
      <c r="G66" s="171">
        <v>100.0</v>
      </c>
      <c r="H66" s="171">
        <v>2500.0</v>
      </c>
      <c r="I66" s="171">
        <v>700.0</v>
      </c>
      <c r="J66" s="172">
        <f t="shared" si="2"/>
        <v>0.004014729093</v>
      </c>
      <c r="K66" s="269">
        <f t="shared" si="3"/>
        <v>4.148553396</v>
      </c>
      <c r="L66" s="270">
        <f t="shared" si="4"/>
        <v>25.46545454</v>
      </c>
      <c r="M66" s="271" t="str">
        <f t="shared" si="5"/>
        <v>cranders71</v>
      </c>
      <c r="N66" s="176">
        <f>IFERROR(__xludf.DUMMYFUNCTION("""COMPUTED_VALUE"""),4.0)</f>
        <v>4</v>
      </c>
      <c r="O66" s="176"/>
      <c r="P66" s="280" t="s">
        <v>457</v>
      </c>
      <c r="Q66" s="276" t="s">
        <v>10</v>
      </c>
      <c r="R66" s="176"/>
      <c r="S66" s="176"/>
      <c r="T66" s="176"/>
      <c r="U66" s="176"/>
      <c r="V66" s="176"/>
      <c r="W66" s="176"/>
      <c r="X66" s="176"/>
      <c r="Y66" s="176"/>
      <c r="Z66" s="176"/>
    </row>
    <row r="67">
      <c r="A67" s="267" t="str">
        <f>iferror(VLOOKUP(P67,'DO NOT TOUCH Imported'!$A$1:$D$800,4,False),iferror(VLOOKUP(P67,'DO NOT TOUCH Imported'!$C$1:$D$800,2,False),"OOPS FIX ME"))</f>
        <v>cranders71</v>
      </c>
      <c r="B67" s="257" t="s">
        <v>10</v>
      </c>
      <c r="C67" s="261" t="s">
        <v>500</v>
      </c>
      <c r="D67" s="281" t="s">
        <v>495</v>
      </c>
      <c r="E67" s="282">
        <v>44260.0</v>
      </c>
      <c r="F67" s="258" t="s">
        <v>496</v>
      </c>
      <c r="G67" s="171">
        <v>35.0</v>
      </c>
      <c r="H67" s="171">
        <v>500.0</v>
      </c>
      <c r="I67" s="171">
        <v>40.0</v>
      </c>
      <c r="J67" s="172">
        <f t="shared" si="2"/>
        <v>0.0008127328046</v>
      </c>
      <c r="K67" s="269">
        <f t="shared" si="3"/>
        <v>0.8398238981</v>
      </c>
      <c r="L67" s="270">
        <f t="shared" si="4"/>
        <v>25.46545454</v>
      </c>
      <c r="M67" s="271" t="str">
        <f t="shared" si="5"/>
        <v>cranders71</v>
      </c>
      <c r="N67" s="176">
        <f>IFERROR(__xludf.DUMMYFUNCTION("""COMPUTED_VALUE"""),5.0)</f>
        <v>5</v>
      </c>
      <c r="O67" s="176"/>
      <c r="P67" s="257" t="s">
        <v>5</v>
      </c>
      <c r="Q67" s="257" t="s">
        <v>10</v>
      </c>
      <c r="R67" s="176"/>
      <c r="S67" s="176"/>
      <c r="T67" s="176"/>
      <c r="U67" s="176"/>
      <c r="V67" s="176"/>
      <c r="W67" s="176"/>
      <c r="X67" s="176"/>
      <c r="Y67" s="176"/>
      <c r="Z67" s="176"/>
    </row>
    <row r="68">
      <c r="A68" s="267" t="str">
        <f>iferror(VLOOKUP(P68,'DO NOT TOUCH Imported'!$A$1:$D$800,4,False),iferror(VLOOKUP(P68,'DO NOT TOUCH Imported'!$C$1:$D$800,2,False),"OOPS FIX ME"))</f>
        <v>cranders71</v>
      </c>
      <c r="B68" s="257" t="s">
        <v>10</v>
      </c>
      <c r="C68" s="261" t="s">
        <v>498</v>
      </c>
      <c r="D68" s="281" t="s">
        <v>495</v>
      </c>
      <c r="E68" s="282">
        <v>44260.0</v>
      </c>
      <c r="F68" s="258" t="s">
        <v>499</v>
      </c>
      <c r="G68" s="171">
        <v>35.0</v>
      </c>
      <c r="H68" s="171">
        <v>500.0</v>
      </c>
      <c r="I68" s="171">
        <v>40.0</v>
      </c>
      <c r="J68" s="172">
        <f t="shared" si="2"/>
        <v>0.0008127328046</v>
      </c>
      <c r="K68" s="269">
        <f t="shared" si="3"/>
        <v>0.8398238981</v>
      </c>
      <c r="L68" s="270">
        <f t="shared" si="4"/>
        <v>25.46545454</v>
      </c>
      <c r="M68" s="271" t="str">
        <f t="shared" si="5"/>
        <v>cranders71</v>
      </c>
      <c r="N68" s="176">
        <f>IFERROR(__xludf.DUMMYFUNCTION("""COMPUTED_VALUE"""),6.0)</f>
        <v>6</v>
      </c>
      <c r="O68" s="176"/>
      <c r="P68" s="249" t="s">
        <v>5</v>
      </c>
      <c r="Q68" s="249" t="s">
        <v>10</v>
      </c>
      <c r="R68" s="176"/>
      <c r="S68" s="176"/>
      <c r="T68" s="176"/>
      <c r="U68" s="176"/>
      <c r="V68" s="176"/>
      <c r="W68" s="176"/>
      <c r="X68" s="176"/>
      <c r="Y68" s="176"/>
      <c r="Z68" s="176"/>
    </row>
    <row r="69">
      <c r="A69" s="267" t="str">
        <f>iferror(VLOOKUP(P69,'DO NOT TOUCH Imported'!$A$1:$D$800,4,False),iferror(VLOOKUP(P69,'DO NOT TOUCH Imported'!$C$1:$D$800,2,False),"OOPS FIX ME"))</f>
        <v>cranders71</v>
      </c>
      <c r="B69" s="257" t="s">
        <v>590</v>
      </c>
      <c r="C69" s="261" t="s">
        <v>1945</v>
      </c>
      <c r="D69" s="281" t="s">
        <v>495</v>
      </c>
      <c r="E69" s="282">
        <v>44264.0</v>
      </c>
      <c r="F69" s="258" t="s">
        <v>496</v>
      </c>
      <c r="G69" s="171">
        <v>25.0</v>
      </c>
      <c r="H69" s="171">
        <v>1000.0</v>
      </c>
      <c r="I69" s="171">
        <v>50.0</v>
      </c>
      <c r="J69" s="172">
        <f t="shared" si="2"/>
        <v>0.0008278194634</v>
      </c>
      <c r="K69" s="269">
        <f t="shared" si="3"/>
        <v>0.8554134456</v>
      </c>
      <c r="L69" s="270">
        <f t="shared" si="4"/>
        <v>25.46545454</v>
      </c>
      <c r="M69" s="271" t="str">
        <f t="shared" si="5"/>
        <v>cranders71</v>
      </c>
      <c r="N69" s="176">
        <f>IFERROR(__xludf.DUMMYFUNCTION("""COMPUTED_VALUE"""),7.0)</f>
        <v>7</v>
      </c>
      <c r="O69" s="176"/>
      <c r="P69" s="257" t="s">
        <v>5</v>
      </c>
      <c r="Q69" s="257" t="s">
        <v>590</v>
      </c>
      <c r="R69" s="176"/>
      <c r="S69" s="176"/>
      <c r="T69" s="176"/>
      <c r="U69" s="176"/>
      <c r="V69" s="176"/>
      <c r="W69" s="176"/>
      <c r="X69" s="176"/>
      <c r="Y69" s="176"/>
      <c r="Z69" s="176"/>
    </row>
    <row r="70">
      <c r="A70" s="267" t="str">
        <f>iferror(VLOOKUP(P70,'DO NOT TOUCH Imported'!$A$1:$D$800,4,False),iferror(VLOOKUP(P70,'DO NOT TOUCH Imported'!$C$1:$D$800,2,False),"OOPS FIX ME"))</f>
        <v>cranders71</v>
      </c>
      <c r="B70" s="257" t="s">
        <v>590</v>
      </c>
      <c r="C70" s="261" t="s">
        <v>1979</v>
      </c>
      <c r="D70" s="281" t="s">
        <v>495</v>
      </c>
      <c r="E70" s="282">
        <v>44265.0</v>
      </c>
      <c r="F70" s="258" t="s">
        <v>496</v>
      </c>
      <c r="G70" s="171">
        <v>25.0</v>
      </c>
      <c r="H70" s="171">
        <v>500.0</v>
      </c>
      <c r="I70" s="171">
        <v>300.0</v>
      </c>
      <c r="J70" s="172">
        <f t="shared" si="2"/>
        <v>0.001256314621</v>
      </c>
      <c r="K70" s="269">
        <f t="shared" si="3"/>
        <v>1.298191775</v>
      </c>
      <c r="L70" s="270">
        <f t="shared" si="4"/>
        <v>25.46545454</v>
      </c>
      <c r="M70" s="271" t="str">
        <f t="shared" si="5"/>
        <v>cranders71</v>
      </c>
      <c r="N70" s="176">
        <f>IFERROR(__xludf.DUMMYFUNCTION("""COMPUTED_VALUE"""),8.0)</f>
        <v>8</v>
      </c>
      <c r="O70" s="176"/>
      <c r="P70" s="257" t="s">
        <v>5</v>
      </c>
      <c r="Q70" s="257" t="s">
        <v>590</v>
      </c>
      <c r="R70" s="176"/>
      <c r="S70" s="176"/>
      <c r="T70" s="176"/>
      <c r="U70" s="176"/>
      <c r="V70" s="176"/>
      <c r="W70" s="176"/>
      <c r="X70" s="176"/>
      <c r="Y70" s="176"/>
      <c r="Z70" s="176"/>
    </row>
    <row r="71">
      <c r="A71" s="267" t="str">
        <f>iferror(VLOOKUP(P71,'DO NOT TOUCH Imported'!$A$1:$D$800,4,False),iferror(VLOOKUP(P71,'DO NOT TOUCH Imported'!$C$1:$D$800,2,False),"OOPS FIX ME"))</f>
        <v>cranders71</v>
      </c>
      <c r="B71" s="276" t="s">
        <v>10</v>
      </c>
      <c r="C71" s="277" t="s">
        <v>1980</v>
      </c>
      <c r="D71" s="278" t="s">
        <v>437</v>
      </c>
      <c r="E71" s="283">
        <v>44267.0</v>
      </c>
      <c r="F71" s="278" t="s">
        <v>439</v>
      </c>
      <c r="G71" s="171">
        <v>25.0</v>
      </c>
      <c r="H71" s="171">
        <v>2500.0</v>
      </c>
      <c r="I71" s="171">
        <v>500.0</v>
      </c>
      <c r="J71" s="172">
        <f t="shared" si="2"/>
        <v>0.00233609831</v>
      </c>
      <c r="K71" s="269">
        <f t="shared" si="3"/>
        <v>2.413968253</v>
      </c>
      <c r="L71" s="270">
        <f t="shared" si="4"/>
        <v>25.46545454</v>
      </c>
      <c r="M71" s="271" t="str">
        <f t="shared" si="5"/>
        <v>cranders71</v>
      </c>
      <c r="N71" s="176">
        <f>IFERROR(__xludf.DUMMYFUNCTION("""COMPUTED_VALUE"""),9.0)</f>
        <v>9</v>
      </c>
      <c r="O71" s="176"/>
      <c r="P71" s="280" t="s">
        <v>457</v>
      </c>
      <c r="Q71" s="276" t="s">
        <v>10</v>
      </c>
      <c r="R71" s="176"/>
      <c r="S71" s="176"/>
      <c r="T71" s="176"/>
      <c r="U71" s="176"/>
      <c r="V71" s="176"/>
      <c r="W71" s="176"/>
      <c r="X71" s="176"/>
      <c r="Y71" s="176"/>
      <c r="Z71" s="176"/>
    </row>
    <row r="72">
      <c r="A72" s="267" t="str">
        <f>iferror(VLOOKUP(P72,'DO NOT TOUCH Imported'!$A$1:$D$800,4,False),iferror(VLOOKUP(P72,'DO NOT TOUCH Imported'!$C$1:$D$800,2,False),"OOPS FIX ME"))</f>
        <v>cranders71</v>
      </c>
      <c r="B72" s="276" t="s">
        <v>10</v>
      </c>
      <c r="C72" s="277" t="s">
        <v>1981</v>
      </c>
      <c r="D72" s="278" t="s">
        <v>437</v>
      </c>
      <c r="E72" s="283">
        <v>44267.0</v>
      </c>
      <c r="F72" s="278" t="s">
        <v>439</v>
      </c>
      <c r="G72" s="171">
        <v>25.0</v>
      </c>
      <c r="H72" s="171">
        <v>10000.0</v>
      </c>
      <c r="I72" s="171">
        <v>600.0</v>
      </c>
      <c r="J72" s="172">
        <f t="shared" si="2"/>
        <v>0.004871998138</v>
      </c>
      <c r="K72" s="269">
        <f t="shared" si="3"/>
        <v>5.034398076</v>
      </c>
      <c r="L72" s="270">
        <f t="shared" si="4"/>
        <v>25.46545454</v>
      </c>
      <c r="M72" s="271" t="str">
        <f t="shared" si="5"/>
        <v>cranders71</v>
      </c>
      <c r="N72" s="176">
        <f>IFERROR(__xludf.DUMMYFUNCTION("""COMPUTED_VALUE"""),10.0)</f>
        <v>10</v>
      </c>
      <c r="O72" s="176"/>
      <c r="P72" s="280" t="s">
        <v>457</v>
      </c>
      <c r="Q72" s="276" t="s">
        <v>10</v>
      </c>
      <c r="R72" s="176"/>
      <c r="S72" s="176"/>
      <c r="T72" s="176"/>
      <c r="U72" s="176"/>
      <c r="V72" s="176"/>
      <c r="W72" s="176"/>
      <c r="X72" s="176"/>
      <c r="Y72" s="176"/>
      <c r="Z72" s="176"/>
    </row>
    <row r="73">
      <c r="A73" s="267" t="str">
        <f>iferror(VLOOKUP(P73,'DO NOT TOUCH Imported'!$A$1:$D$800,4,False),iferror(VLOOKUP(P73,'DO NOT TOUCH Imported'!$C$1:$D$800,2,False),"OOPS FIX ME"))</f>
        <v>cranders71</v>
      </c>
      <c r="B73" s="276" t="s">
        <v>10</v>
      </c>
      <c r="C73" s="277" t="s">
        <v>1952</v>
      </c>
      <c r="D73" s="278" t="s">
        <v>437</v>
      </c>
      <c r="E73" s="283">
        <v>44267.0</v>
      </c>
      <c r="F73" s="278" t="s">
        <v>439</v>
      </c>
      <c r="G73" s="171">
        <v>25.0</v>
      </c>
      <c r="H73" s="171">
        <v>1000.0</v>
      </c>
      <c r="I73" s="171">
        <v>10.0</v>
      </c>
      <c r="J73" s="172">
        <f t="shared" si="2"/>
        <v>0.0007346939862</v>
      </c>
      <c r="K73" s="269">
        <f t="shared" si="3"/>
        <v>0.7591837857</v>
      </c>
      <c r="L73" s="270">
        <f t="shared" si="4"/>
        <v>25.46545454</v>
      </c>
      <c r="M73" s="271" t="str">
        <f t="shared" si="5"/>
        <v>cranders71</v>
      </c>
      <c r="N73" s="176">
        <f>IFERROR(__xludf.DUMMYFUNCTION("""COMPUTED_VALUE"""),11.0)</f>
        <v>11</v>
      </c>
      <c r="O73" s="176"/>
      <c r="P73" s="280" t="s">
        <v>457</v>
      </c>
      <c r="Q73" s="276" t="s">
        <v>10</v>
      </c>
      <c r="R73" s="176"/>
      <c r="S73" s="176"/>
      <c r="T73" s="176"/>
      <c r="U73" s="176"/>
      <c r="V73" s="176"/>
      <c r="W73" s="176"/>
      <c r="X73" s="176"/>
      <c r="Y73" s="176"/>
      <c r="Z73" s="176"/>
    </row>
    <row r="74">
      <c r="A74" s="267" t="str">
        <f>iferror(VLOOKUP(P74,'DO NOT TOUCH Imported'!$A$1:$D$800,4,False),iferror(VLOOKUP(P74,'DO NOT TOUCH Imported'!$C$1:$D$800,2,False),"OOPS FIX ME"))</f>
        <v>cranders71</v>
      </c>
      <c r="B74" s="257" t="s">
        <v>10</v>
      </c>
      <c r="C74" s="261" t="s">
        <v>498</v>
      </c>
      <c r="D74" s="281" t="s">
        <v>495</v>
      </c>
      <c r="E74" s="282">
        <v>44267.0</v>
      </c>
      <c r="F74" s="258" t="s">
        <v>499</v>
      </c>
      <c r="G74" s="171">
        <v>25.0</v>
      </c>
      <c r="H74" s="171">
        <v>500.0</v>
      </c>
      <c r="I74" s="171">
        <v>100.0</v>
      </c>
      <c r="J74" s="172">
        <f t="shared" si="2"/>
        <v>0.0007906872343</v>
      </c>
      <c r="K74" s="269">
        <f t="shared" si="3"/>
        <v>0.8170434755</v>
      </c>
      <c r="L74" s="270">
        <f t="shared" si="4"/>
        <v>25.46545454</v>
      </c>
      <c r="M74" s="271" t="str">
        <f t="shared" si="5"/>
        <v>cranders71</v>
      </c>
      <c r="N74" s="176">
        <f>IFERROR(__xludf.DUMMYFUNCTION("""COMPUTED_VALUE"""),12.0)</f>
        <v>12</v>
      </c>
      <c r="O74" s="176"/>
      <c r="P74" s="257" t="s">
        <v>5</v>
      </c>
      <c r="Q74" s="257" t="s">
        <v>10</v>
      </c>
      <c r="R74" s="176"/>
      <c r="S74" s="176"/>
      <c r="T74" s="176"/>
      <c r="U74" s="176"/>
      <c r="V74" s="176"/>
      <c r="W74" s="176"/>
      <c r="X74" s="176"/>
      <c r="Y74" s="176"/>
      <c r="Z74" s="176"/>
    </row>
    <row r="75">
      <c r="A75" s="267" t="str">
        <f>iferror(VLOOKUP(P75,'DO NOT TOUCH Imported'!$A$1:$D$800,4,False),iferror(VLOOKUP(P75,'DO NOT TOUCH Imported'!$C$1:$D$800,2,False),"OOPS FIX ME"))</f>
        <v>cranders71</v>
      </c>
      <c r="B75" s="257" t="s">
        <v>10</v>
      </c>
      <c r="C75" s="261" t="s">
        <v>498</v>
      </c>
      <c r="D75" s="281" t="s">
        <v>495</v>
      </c>
      <c r="E75" s="282">
        <v>44267.0</v>
      </c>
      <c r="F75" s="258" t="s">
        <v>499</v>
      </c>
      <c r="G75" s="171">
        <v>25.0</v>
      </c>
      <c r="H75" s="171">
        <v>500.0</v>
      </c>
      <c r="I75" s="171">
        <v>100.0</v>
      </c>
      <c r="J75" s="172">
        <f t="shared" si="2"/>
        <v>0.0007906872343</v>
      </c>
      <c r="K75" s="269">
        <f t="shared" si="3"/>
        <v>0.8170434755</v>
      </c>
      <c r="L75" s="270">
        <f t="shared" si="4"/>
        <v>25.46545454</v>
      </c>
      <c r="M75" s="271" t="str">
        <f t="shared" si="5"/>
        <v>cranders71</v>
      </c>
      <c r="N75" s="176">
        <f>IFERROR(__xludf.DUMMYFUNCTION("""COMPUTED_VALUE"""),13.0)</f>
        <v>13</v>
      </c>
      <c r="O75" s="176"/>
      <c r="P75" s="257" t="s">
        <v>5</v>
      </c>
      <c r="Q75" s="257" t="s">
        <v>10</v>
      </c>
      <c r="R75" s="176"/>
      <c r="S75" s="176"/>
      <c r="T75" s="176"/>
      <c r="U75" s="176"/>
      <c r="V75" s="176"/>
      <c r="W75" s="176"/>
      <c r="X75" s="176"/>
      <c r="Y75" s="176"/>
      <c r="Z75" s="176"/>
    </row>
    <row r="76">
      <c r="A76" s="267" t="str">
        <f>iferror(VLOOKUP(P76,'DO NOT TOUCH Imported'!$A$1:$D$800,4,False),iferror(VLOOKUP(P76,'DO NOT TOUCH Imported'!$C$1:$D$800,2,False),"OOPS FIX ME"))</f>
        <v>cranders71</v>
      </c>
      <c r="B76" s="257" t="s">
        <v>10</v>
      </c>
      <c r="C76" s="261" t="s">
        <v>500</v>
      </c>
      <c r="D76" s="281" t="s">
        <v>495</v>
      </c>
      <c r="E76" s="282">
        <v>44267.0</v>
      </c>
      <c r="F76" s="258" t="s">
        <v>496</v>
      </c>
      <c r="G76" s="171">
        <v>25.0</v>
      </c>
      <c r="H76" s="171">
        <v>500.0</v>
      </c>
      <c r="I76" s="171">
        <v>100.0</v>
      </c>
      <c r="J76" s="172">
        <f t="shared" si="2"/>
        <v>0.0007906872343</v>
      </c>
      <c r="K76" s="269">
        <f t="shared" si="3"/>
        <v>0.8170434755</v>
      </c>
      <c r="L76" s="270">
        <f t="shared" si="4"/>
        <v>25.46545454</v>
      </c>
      <c r="M76" s="271" t="str">
        <f t="shared" si="5"/>
        <v>cranders71</v>
      </c>
      <c r="N76" s="176">
        <f>IFERROR(__xludf.DUMMYFUNCTION("""COMPUTED_VALUE"""),14.0)</f>
        <v>14</v>
      </c>
      <c r="O76" s="176"/>
      <c r="P76" s="257" t="s">
        <v>5</v>
      </c>
      <c r="Q76" s="257" t="s">
        <v>10</v>
      </c>
      <c r="R76" s="176"/>
      <c r="S76" s="176"/>
      <c r="T76" s="176"/>
      <c r="U76" s="176"/>
      <c r="V76" s="176"/>
      <c r="W76" s="176"/>
      <c r="X76" s="176"/>
      <c r="Y76" s="176"/>
      <c r="Z76" s="176"/>
    </row>
    <row r="77">
      <c r="A77" s="267" t="str">
        <f>iferror(VLOOKUP(P77,'DO NOT TOUCH Imported'!$A$1:$D$800,4,False),iferror(VLOOKUP(P77,'DO NOT TOUCH Imported'!$C$1:$D$800,2,False),"OOPS FIX ME"))</f>
        <v>Santigs67</v>
      </c>
      <c r="B77" s="257" t="s">
        <v>18</v>
      </c>
      <c r="C77" s="261" t="s">
        <v>1930</v>
      </c>
      <c r="D77" s="281" t="s">
        <v>495</v>
      </c>
      <c r="E77" s="282">
        <v>44257.0</v>
      </c>
      <c r="F77" s="258" t="s">
        <v>496</v>
      </c>
      <c r="G77" s="171">
        <v>25.0</v>
      </c>
      <c r="H77" s="171">
        <v>1000.0</v>
      </c>
      <c r="I77" s="171">
        <v>10.0</v>
      </c>
      <c r="J77" s="172">
        <f t="shared" si="2"/>
        <v>0.0007346939862</v>
      </c>
      <c r="K77" s="269">
        <f t="shared" si="3"/>
        <v>0.7591837857</v>
      </c>
      <c r="L77" s="270">
        <f t="shared" si="4"/>
        <v>23.72539307</v>
      </c>
      <c r="M77" s="271" t="str">
        <f t="shared" si="5"/>
        <v>Santigs67</v>
      </c>
      <c r="N77" s="176">
        <f>IFERROR(__xludf.DUMMYFUNCTION("""COMPUTED_VALUE"""),1.0)</f>
        <v>1</v>
      </c>
      <c r="O77" s="176"/>
      <c r="P77" s="257" t="s">
        <v>4</v>
      </c>
      <c r="Q77" s="257" t="s">
        <v>18</v>
      </c>
      <c r="R77" s="176"/>
      <c r="S77" s="176"/>
      <c r="T77" s="176"/>
      <c r="U77" s="176"/>
      <c r="V77" s="176"/>
      <c r="W77" s="176"/>
      <c r="X77" s="176"/>
      <c r="Y77" s="176"/>
      <c r="Z77" s="176"/>
    </row>
    <row r="78">
      <c r="A78" s="267" t="str">
        <f>iferror(VLOOKUP(P78,'DO NOT TOUCH Imported'!$A$1:$D$800,4,False),iferror(VLOOKUP(P78,'DO NOT TOUCH Imported'!$C$1:$D$800,2,False),"OOPS FIX ME"))</f>
        <v>Santigs67</v>
      </c>
      <c r="B78" s="276" t="s">
        <v>1933</v>
      </c>
      <c r="C78" s="277" t="s">
        <v>1934</v>
      </c>
      <c r="D78" s="278" t="s">
        <v>437</v>
      </c>
      <c r="E78" s="279">
        <v>44258.0</v>
      </c>
      <c r="F78" s="278" t="s">
        <v>1929</v>
      </c>
      <c r="G78" s="171">
        <v>25.0</v>
      </c>
      <c r="H78" s="171">
        <v>2000.0</v>
      </c>
      <c r="I78" s="171">
        <v>200.0</v>
      </c>
      <c r="J78" s="172">
        <f t="shared" si="2"/>
        <v>0.001484118155</v>
      </c>
      <c r="K78" s="269">
        <f t="shared" si="3"/>
        <v>1.53358876</v>
      </c>
      <c r="L78" s="270">
        <f t="shared" si="4"/>
        <v>23.72539307</v>
      </c>
      <c r="M78" s="271" t="str">
        <f t="shared" si="5"/>
        <v>Santigs67</v>
      </c>
      <c r="N78" s="176">
        <f>IFERROR(__xludf.DUMMYFUNCTION("""COMPUTED_VALUE"""),2.0)</f>
        <v>2</v>
      </c>
      <c r="O78" s="176"/>
      <c r="P78" s="280" t="s">
        <v>576</v>
      </c>
      <c r="Q78" s="276" t="s">
        <v>1933</v>
      </c>
      <c r="R78" s="176"/>
      <c r="S78" s="176"/>
      <c r="T78" s="176"/>
      <c r="U78" s="176"/>
      <c r="V78" s="176"/>
      <c r="W78" s="176"/>
      <c r="X78" s="176"/>
      <c r="Y78" s="176"/>
      <c r="Z78" s="176"/>
    </row>
    <row r="79">
      <c r="A79" s="267" t="str">
        <f>iferror(VLOOKUP(P79,'DO NOT TOUCH Imported'!$A$1:$D$800,4,False),iferror(VLOOKUP(P79,'DO NOT TOUCH Imported'!$C$1:$D$800,2,False),"OOPS FIX ME"))</f>
        <v>Santigs67</v>
      </c>
      <c r="B79" s="276" t="s">
        <v>1933</v>
      </c>
      <c r="C79" s="277" t="s">
        <v>1936</v>
      </c>
      <c r="D79" s="278" t="s">
        <v>437</v>
      </c>
      <c r="E79" s="279">
        <v>44259.0</v>
      </c>
      <c r="F79" s="278" t="s">
        <v>1929</v>
      </c>
      <c r="G79" s="171">
        <v>25.0</v>
      </c>
      <c r="H79" s="171">
        <v>1500.0</v>
      </c>
      <c r="I79" s="171">
        <v>200.0</v>
      </c>
      <c r="J79" s="172">
        <f t="shared" si="2"/>
        <v>0.001330579079</v>
      </c>
      <c r="K79" s="269">
        <f t="shared" si="3"/>
        <v>1.374931715</v>
      </c>
      <c r="L79" s="270">
        <f t="shared" si="4"/>
        <v>23.72539307</v>
      </c>
      <c r="M79" s="271" t="str">
        <f t="shared" si="5"/>
        <v>Santigs67</v>
      </c>
      <c r="N79" s="176">
        <f>IFERROR(__xludf.DUMMYFUNCTION("""COMPUTED_VALUE"""),3.0)</f>
        <v>3</v>
      </c>
      <c r="O79" s="176"/>
      <c r="P79" s="280" t="s">
        <v>576</v>
      </c>
      <c r="Q79" s="276" t="s">
        <v>1933</v>
      </c>
      <c r="R79" s="176"/>
      <c r="S79" s="176"/>
      <c r="T79" s="176"/>
      <c r="U79" s="176"/>
      <c r="V79" s="176"/>
      <c r="W79" s="176"/>
      <c r="X79" s="176"/>
      <c r="Y79" s="176"/>
      <c r="Z79" s="176"/>
    </row>
    <row r="80">
      <c r="A80" s="267" t="str">
        <f>iferror(VLOOKUP(P80,'DO NOT TOUCH Imported'!$A$1:$D$800,4,False),iferror(VLOOKUP(P80,'DO NOT TOUCH Imported'!$C$1:$D$800,2,False),"OOPS FIX ME"))</f>
        <v>Santigs67</v>
      </c>
      <c r="B80" s="276" t="s">
        <v>10</v>
      </c>
      <c r="C80" s="277" t="s">
        <v>1982</v>
      </c>
      <c r="D80" s="278" t="s">
        <v>437</v>
      </c>
      <c r="E80" s="279">
        <v>44260.0</v>
      </c>
      <c r="F80" s="278" t="s">
        <v>1929</v>
      </c>
      <c r="G80" s="171">
        <v>35.0</v>
      </c>
      <c r="H80" s="171">
        <v>5000.0</v>
      </c>
      <c r="I80" s="171">
        <v>600.0</v>
      </c>
      <c r="J80" s="172">
        <f t="shared" si="2"/>
        <v>0.003498341168</v>
      </c>
      <c r="K80" s="269">
        <f t="shared" si="3"/>
        <v>3.61495254</v>
      </c>
      <c r="L80" s="270">
        <f t="shared" si="4"/>
        <v>23.72539307</v>
      </c>
      <c r="M80" s="271" t="str">
        <f t="shared" si="5"/>
        <v>Santigs67</v>
      </c>
      <c r="N80" s="176">
        <f>IFERROR(__xludf.DUMMYFUNCTION("""COMPUTED_VALUE"""),4.0)</f>
        <v>4</v>
      </c>
      <c r="O80" s="176"/>
      <c r="P80" s="280" t="s">
        <v>576</v>
      </c>
      <c r="Q80" s="276" t="s">
        <v>10</v>
      </c>
      <c r="R80" s="176"/>
      <c r="S80" s="176"/>
      <c r="T80" s="176"/>
      <c r="U80" s="176"/>
      <c r="V80" s="176"/>
      <c r="W80" s="176"/>
      <c r="X80" s="176"/>
      <c r="Y80" s="176"/>
      <c r="Z80" s="176"/>
    </row>
    <row r="81">
      <c r="A81" s="267" t="str">
        <f>iferror(VLOOKUP(P81,'DO NOT TOUCH Imported'!$A$1:$D$800,4,False),iferror(VLOOKUP(P81,'DO NOT TOUCH Imported'!$C$1:$D$800,2,False),"OOPS FIX ME"))</f>
        <v>Santigs67</v>
      </c>
      <c r="B81" s="276" t="s">
        <v>10</v>
      </c>
      <c r="C81" s="277" t="s">
        <v>1938</v>
      </c>
      <c r="D81" s="278" t="s">
        <v>437</v>
      </c>
      <c r="E81" s="279">
        <v>44260.0</v>
      </c>
      <c r="F81" s="278" t="s">
        <v>1929</v>
      </c>
      <c r="G81" s="171">
        <v>35.0</v>
      </c>
      <c r="H81" s="171">
        <v>2000.0</v>
      </c>
      <c r="I81" s="171">
        <v>200.0</v>
      </c>
      <c r="J81" s="172">
        <f t="shared" si="2"/>
        <v>0.001645851941</v>
      </c>
      <c r="K81" s="269">
        <f t="shared" si="3"/>
        <v>1.700713672</v>
      </c>
      <c r="L81" s="270">
        <f t="shared" si="4"/>
        <v>23.72539307</v>
      </c>
      <c r="M81" s="271" t="str">
        <f t="shared" si="5"/>
        <v>Santigs67</v>
      </c>
      <c r="N81" s="176">
        <f>IFERROR(__xludf.DUMMYFUNCTION("""COMPUTED_VALUE"""),5.0)</f>
        <v>5</v>
      </c>
      <c r="O81" s="176"/>
      <c r="P81" s="267" t="s">
        <v>576</v>
      </c>
      <c r="Q81" s="272" t="s">
        <v>10</v>
      </c>
      <c r="R81" s="176"/>
      <c r="S81" s="176"/>
      <c r="T81" s="176"/>
      <c r="U81" s="176"/>
      <c r="V81" s="176"/>
      <c r="W81" s="176"/>
      <c r="X81" s="176"/>
      <c r="Y81" s="176"/>
      <c r="Z81" s="176"/>
    </row>
    <row r="82">
      <c r="A82" s="267" t="str">
        <f>iferror(VLOOKUP(P82,'DO NOT TOUCH Imported'!$A$1:$D$800,4,False),iferror(VLOOKUP(P82,'DO NOT TOUCH Imported'!$C$1:$D$800,2,False),"OOPS FIX ME"))</f>
        <v>Santigs67</v>
      </c>
      <c r="B82" s="276" t="s">
        <v>10</v>
      </c>
      <c r="C82" s="277" t="s">
        <v>1983</v>
      </c>
      <c r="D82" s="278" t="s">
        <v>437</v>
      </c>
      <c r="E82" s="279">
        <v>44260.0</v>
      </c>
      <c r="F82" s="278" t="s">
        <v>1929</v>
      </c>
      <c r="G82" s="171">
        <v>35.0</v>
      </c>
      <c r="H82" s="171">
        <v>1000.0</v>
      </c>
      <c r="I82" s="171">
        <v>200.0</v>
      </c>
      <c r="J82" s="172">
        <f t="shared" si="2"/>
        <v>0.001338773789</v>
      </c>
      <c r="K82" s="269">
        <f t="shared" si="3"/>
        <v>1.383399582</v>
      </c>
      <c r="L82" s="270">
        <f t="shared" si="4"/>
        <v>23.72539307</v>
      </c>
      <c r="M82" s="271" t="str">
        <f t="shared" si="5"/>
        <v>Santigs67</v>
      </c>
      <c r="N82" s="176">
        <f>IFERROR(__xludf.DUMMYFUNCTION("""COMPUTED_VALUE"""),6.0)</f>
        <v>6</v>
      </c>
      <c r="O82" s="176"/>
      <c r="P82" s="280" t="s">
        <v>576</v>
      </c>
      <c r="Q82" s="276" t="s">
        <v>10</v>
      </c>
      <c r="R82" s="176"/>
      <c r="S82" s="176"/>
      <c r="T82" s="176"/>
      <c r="U82" s="176"/>
      <c r="V82" s="176"/>
      <c r="W82" s="176"/>
      <c r="X82" s="176"/>
      <c r="Y82" s="176"/>
      <c r="Z82" s="176"/>
    </row>
    <row r="83">
      <c r="A83" s="267" t="str">
        <f>iferror(VLOOKUP(P83,'DO NOT TOUCH Imported'!$A$1:$D$800,4,False),iferror(VLOOKUP(P83,'DO NOT TOUCH Imported'!$C$1:$D$800,2,False),"OOPS FIX ME"))</f>
        <v>Santigs67</v>
      </c>
      <c r="B83" s="276" t="s">
        <v>10</v>
      </c>
      <c r="C83" s="277" t="s">
        <v>1984</v>
      </c>
      <c r="D83" s="278" t="s">
        <v>437</v>
      </c>
      <c r="E83" s="279">
        <v>44260.0</v>
      </c>
      <c r="F83" s="278" t="s">
        <v>1929</v>
      </c>
      <c r="G83" s="171">
        <v>50.0</v>
      </c>
      <c r="H83" s="171">
        <v>2000.0</v>
      </c>
      <c r="I83" s="171">
        <v>200.0</v>
      </c>
      <c r="J83" s="172">
        <f t="shared" si="2"/>
        <v>0.00188845262</v>
      </c>
      <c r="K83" s="269">
        <f t="shared" si="3"/>
        <v>1.951401041</v>
      </c>
      <c r="L83" s="270">
        <f t="shared" si="4"/>
        <v>23.72539307</v>
      </c>
      <c r="M83" s="271" t="str">
        <f t="shared" si="5"/>
        <v>Santigs67</v>
      </c>
      <c r="N83" s="176">
        <f>IFERROR(__xludf.DUMMYFUNCTION("""COMPUTED_VALUE"""),7.0)</f>
        <v>7</v>
      </c>
      <c r="O83" s="176"/>
      <c r="P83" s="267" t="s">
        <v>576</v>
      </c>
      <c r="Q83" s="272" t="s">
        <v>10</v>
      </c>
      <c r="R83" s="176"/>
      <c r="S83" s="176"/>
      <c r="T83" s="176"/>
      <c r="U83" s="176"/>
      <c r="V83" s="176"/>
      <c r="W83" s="176"/>
      <c r="X83" s="176"/>
      <c r="Y83" s="176"/>
      <c r="Z83" s="176"/>
    </row>
    <row r="84">
      <c r="A84" s="267" t="str">
        <f>iferror(VLOOKUP(P84,'DO NOT TOUCH Imported'!$A$1:$D$800,4,False),iferror(VLOOKUP(P84,'DO NOT TOUCH Imported'!$C$1:$D$800,2,False),"OOPS FIX ME"))</f>
        <v>Santigs67</v>
      </c>
      <c r="B84" s="276" t="s">
        <v>10</v>
      </c>
      <c r="C84" s="277" t="s">
        <v>1941</v>
      </c>
      <c r="D84" s="278" t="s">
        <v>437</v>
      </c>
      <c r="E84" s="279">
        <v>44260.0</v>
      </c>
      <c r="F84" s="278" t="s">
        <v>1929</v>
      </c>
      <c r="G84" s="171">
        <v>15.0</v>
      </c>
      <c r="H84" s="171">
        <v>1000.0</v>
      </c>
      <c r="I84" s="171">
        <v>20.0</v>
      </c>
      <c r="J84" s="172">
        <f t="shared" si="2"/>
        <v>0.0005962415693</v>
      </c>
      <c r="K84" s="269">
        <f t="shared" si="3"/>
        <v>0.6161162883</v>
      </c>
      <c r="L84" s="270">
        <f t="shared" si="4"/>
        <v>23.72539307</v>
      </c>
      <c r="M84" s="271" t="str">
        <f t="shared" si="5"/>
        <v>Santigs67</v>
      </c>
      <c r="N84" s="176">
        <f>IFERROR(__xludf.DUMMYFUNCTION("""COMPUTED_VALUE"""),8.0)</f>
        <v>8</v>
      </c>
      <c r="O84" s="176"/>
      <c r="P84" s="280" t="s">
        <v>576</v>
      </c>
      <c r="Q84" s="276" t="s">
        <v>10</v>
      </c>
      <c r="R84" s="176"/>
      <c r="S84" s="176"/>
      <c r="T84" s="176"/>
      <c r="U84" s="176"/>
      <c r="V84" s="176"/>
      <c r="W84" s="176"/>
      <c r="X84" s="176"/>
      <c r="Y84" s="176"/>
      <c r="Z84" s="176"/>
    </row>
    <row r="85">
      <c r="A85" s="267" t="str">
        <f>iferror(VLOOKUP(P85,'DO NOT TOUCH Imported'!$A$1:$D$800,4,False),iferror(VLOOKUP(P85,'DO NOT TOUCH Imported'!$C$1:$D$800,2,False),"OOPS FIX ME"))</f>
        <v>Santigs67</v>
      </c>
      <c r="B85" s="257" t="s">
        <v>10</v>
      </c>
      <c r="C85" s="261" t="s">
        <v>498</v>
      </c>
      <c r="D85" s="281" t="s">
        <v>495</v>
      </c>
      <c r="E85" s="282">
        <v>44260.0</v>
      </c>
      <c r="F85" s="258" t="s">
        <v>499</v>
      </c>
      <c r="G85" s="171">
        <v>35.0</v>
      </c>
      <c r="H85" s="171">
        <v>500.0</v>
      </c>
      <c r="I85" s="171">
        <v>40.0</v>
      </c>
      <c r="J85" s="172">
        <f t="shared" si="2"/>
        <v>0.0008127328046</v>
      </c>
      <c r="K85" s="269">
        <f t="shared" si="3"/>
        <v>0.8398238981</v>
      </c>
      <c r="L85" s="270">
        <f t="shared" si="4"/>
        <v>23.72539307</v>
      </c>
      <c r="M85" s="271" t="str">
        <f t="shared" si="5"/>
        <v>Santigs67</v>
      </c>
      <c r="N85" s="176">
        <f>IFERROR(__xludf.DUMMYFUNCTION("""COMPUTED_VALUE"""),9.0)</f>
        <v>9</v>
      </c>
      <c r="O85" s="176"/>
      <c r="P85" s="249" t="s">
        <v>4</v>
      </c>
      <c r="Q85" s="249" t="s">
        <v>10</v>
      </c>
      <c r="R85" s="176"/>
      <c r="S85" s="176"/>
      <c r="T85" s="176"/>
      <c r="U85" s="176"/>
      <c r="V85" s="176"/>
      <c r="W85" s="176"/>
      <c r="X85" s="176"/>
      <c r="Y85" s="176"/>
      <c r="Z85" s="176"/>
    </row>
    <row r="86">
      <c r="A86" s="267" t="str">
        <f>iferror(VLOOKUP(P86,'DO NOT TOUCH Imported'!$A$1:$D$800,4,False),iferror(VLOOKUP(P86,'DO NOT TOUCH Imported'!$C$1:$D$800,2,False),"OOPS FIX ME"))</f>
        <v>Santigs67</v>
      </c>
      <c r="B86" s="276" t="s">
        <v>10</v>
      </c>
      <c r="C86" s="277" t="s">
        <v>1942</v>
      </c>
      <c r="D86" s="278" t="s">
        <v>437</v>
      </c>
      <c r="E86" s="279">
        <v>44262.0</v>
      </c>
      <c r="F86" s="278" t="s">
        <v>1929</v>
      </c>
      <c r="G86" s="171">
        <v>25.0</v>
      </c>
      <c r="H86" s="171">
        <v>1000.0</v>
      </c>
      <c r="I86" s="171">
        <v>100.0</v>
      </c>
      <c r="J86" s="172">
        <f t="shared" si="2"/>
        <v>0.00094422631</v>
      </c>
      <c r="K86" s="269">
        <f t="shared" si="3"/>
        <v>0.9757005204</v>
      </c>
      <c r="L86" s="270">
        <f t="shared" si="4"/>
        <v>23.72539307</v>
      </c>
      <c r="M86" s="271" t="str">
        <f t="shared" si="5"/>
        <v>Santigs67</v>
      </c>
      <c r="N86" s="176">
        <f>IFERROR(__xludf.DUMMYFUNCTION("""COMPUTED_VALUE"""),10.0)</f>
        <v>10</v>
      </c>
      <c r="O86" s="176"/>
      <c r="P86" s="280" t="s">
        <v>576</v>
      </c>
      <c r="Q86" s="276" t="s">
        <v>10</v>
      </c>
      <c r="R86" s="176"/>
      <c r="S86" s="176"/>
      <c r="T86" s="176"/>
      <c r="U86" s="176"/>
      <c r="V86" s="176"/>
      <c r="W86" s="176"/>
      <c r="X86" s="176"/>
      <c r="Y86" s="176"/>
      <c r="Z86" s="176"/>
    </row>
    <row r="87">
      <c r="A87" s="267" t="str">
        <f>iferror(VLOOKUP(P87,'DO NOT TOUCH Imported'!$A$1:$D$800,4,False),iferror(VLOOKUP(P87,'DO NOT TOUCH Imported'!$C$1:$D$800,2,False),"OOPS FIX ME"))</f>
        <v>Santigs67</v>
      </c>
      <c r="B87" s="257" t="s">
        <v>590</v>
      </c>
      <c r="C87" s="261" t="s">
        <v>1945</v>
      </c>
      <c r="D87" s="281" t="s">
        <v>495</v>
      </c>
      <c r="E87" s="282">
        <v>44264.0</v>
      </c>
      <c r="F87" s="258" t="s">
        <v>496</v>
      </c>
      <c r="G87" s="171">
        <v>25.0</v>
      </c>
      <c r="H87" s="171">
        <v>1000.0</v>
      </c>
      <c r="I87" s="171">
        <v>50.0</v>
      </c>
      <c r="J87" s="172">
        <f t="shared" si="2"/>
        <v>0.0008278194634</v>
      </c>
      <c r="K87" s="269">
        <f t="shared" si="3"/>
        <v>0.8554134456</v>
      </c>
      <c r="L87" s="270">
        <f t="shared" si="4"/>
        <v>23.72539307</v>
      </c>
      <c r="M87" s="271" t="str">
        <f t="shared" si="5"/>
        <v>Santigs67</v>
      </c>
      <c r="N87" s="176">
        <f>IFERROR(__xludf.DUMMYFUNCTION("""COMPUTED_VALUE"""),11.0)</f>
        <v>11</v>
      </c>
      <c r="O87" s="176"/>
      <c r="P87" s="257" t="s">
        <v>4</v>
      </c>
      <c r="Q87" s="257" t="s">
        <v>590</v>
      </c>
      <c r="R87" s="176"/>
      <c r="S87" s="176"/>
      <c r="T87" s="176"/>
      <c r="U87" s="176"/>
      <c r="V87" s="176"/>
      <c r="W87" s="176"/>
      <c r="X87" s="176"/>
      <c r="Y87" s="176"/>
      <c r="Z87" s="176"/>
    </row>
    <row r="88">
      <c r="A88" s="267" t="str">
        <f>iferror(VLOOKUP(P88,'DO NOT TOUCH Imported'!$A$1:$D$800,4,False),iferror(VLOOKUP(P88,'DO NOT TOUCH Imported'!$C$1:$D$800,2,False),"OOPS FIX ME"))</f>
        <v>Santigs67</v>
      </c>
      <c r="B88" s="276" t="s">
        <v>10</v>
      </c>
      <c r="C88" s="277" t="s">
        <v>1985</v>
      </c>
      <c r="D88" s="278" t="s">
        <v>437</v>
      </c>
      <c r="E88" s="283">
        <v>44267.0</v>
      </c>
      <c r="F88" s="278" t="s">
        <v>439</v>
      </c>
      <c r="G88" s="171">
        <v>100.0</v>
      </c>
      <c r="H88" s="171">
        <v>5000.0</v>
      </c>
      <c r="I88" s="171">
        <v>1000.0</v>
      </c>
      <c r="J88" s="172">
        <f t="shared" si="2"/>
        <v>0.005480865551</v>
      </c>
      <c r="K88" s="269">
        <f t="shared" si="3"/>
        <v>5.663561069</v>
      </c>
      <c r="L88" s="270">
        <f t="shared" si="4"/>
        <v>23.72539307</v>
      </c>
      <c r="M88" s="271" t="str">
        <f t="shared" si="5"/>
        <v>Santigs67</v>
      </c>
      <c r="N88" s="176">
        <f>IFERROR(__xludf.DUMMYFUNCTION("""COMPUTED_VALUE"""),12.0)</f>
        <v>12</v>
      </c>
      <c r="O88" s="176"/>
      <c r="P88" s="280" t="s">
        <v>576</v>
      </c>
      <c r="Q88" s="276" t="s">
        <v>10</v>
      </c>
      <c r="R88" s="176"/>
      <c r="S88" s="176"/>
      <c r="T88" s="176"/>
      <c r="U88" s="176"/>
      <c r="V88" s="176"/>
      <c r="W88" s="176"/>
      <c r="X88" s="176"/>
      <c r="Y88" s="176"/>
      <c r="Z88" s="176"/>
    </row>
    <row r="89">
      <c r="A89" s="267" t="str">
        <f>iferror(VLOOKUP(P89,'DO NOT TOUCH Imported'!$A$1:$D$800,4,False),iferror(VLOOKUP(P89,'DO NOT TOUCH Imported'!$C$1:$D$800,2,False),"OOPS FIX ME"))</f>
        <v>Santigs67</v>
      </c>
      <c r="B89" s="276" t="s">
        <v>10</v>
      </c>
      <c r="C89" s="277" t="s">
        <v>1952</v>
      </c>
      <c r="D89" s="278" t="s">
        <v>437</v>
      </c>
      <c r="E89" s="283">
        <v>44267.0</v>
      </c>
      <c r="F89" s="278" t="s">
        <v>439</v>
      </c>
      <c r="G89" s="171">
        <v>25.0</v>
      </c>
      <c r="H89" s="171">
        <v>1000.0</v>
      </c>
      <c r="I89" s="171">
        <v>10.0</v>
      </c>
      <c r="J89" s="172">
        <f t="shared" si="2"/>
        <v>0.0007346939862</v>
      </c>
      <c r="K89" s="269">
        <f t="shared" si="3"/>
        <v>0.7591837857</v>
      </c>
      <c r="L89" s="270">
        <f t="shared" si="4"/>
        <v>23.72539307</v>
      </c>
      <c r="M89" s="271" t="str">
        <f t="shared" si="5"/>
        <v>Santigs67</v>
      </c>
      <c r="N89" s="176">
        <f>IFERROR(__xludf.DUMMYFUNCTION("""COMPUTED_VALUE"""),13.0)</f>
        <v>13</v>
      </c>
      <c r="O89" s="176"/>
      <c r="P89" s="280" t="s">
        <v>576</v>
      </c>
      <c r="Q89" s="276" t="s">
        <v>10</v>
      </c>
      <c r="R89" s="176"/>
      <c r="S89" s="176"/>
      <c r="T89" s="176"/>
      <c r="U89" s="176"/>
      <c r="V89" s="176"/>
      <c r="W89" s="176"/>
      <c r="X89" s="176"/>
      <c r="Y89" s="176"/>
      <c r="Z89" s="176"/>
    </row>
    <row r="90">
      <c r="A90" s="267" t="str">
        <f>iferror(VLOOKUP(P90,'DO NOT TOUCH Imported'!$A$1:$D$800,4,False),iferror(VLOOKUP(P90,'DO NOT TOUCH Imported'!$C$1:$D$800,2,False),"OOPS FIX ME"))</f>
        <v>Santigs67</v>
      </c>
      <c r="B90" s="276" t="s">
        <v>1953</v>
      </c>
      <c r="C90" s="277" t="s">
        <v>1954</v>
      </c>
      <c r="D90" s="278" t="s">
        <v>437</v>
      </c>
      <c r="E90" s="283">
        <v>44267.0</v>
      </c>
      <c r="F90" s="278" t="s">
        <v>439</v>
      </c>
      <c r="G90" s="171">
        <v>25.0</v>
      </c>
      <c r="H90" s="171">
        <v>1000.0</v>
      </c>
      <c r="I90" s="171">
        <v>400.0</v>
      </c>
      <c r="J90" s="172">
        <f t="shared" si="2"/>
        <v>0.00164266739</v>
      </c>
      <c r="K90" s="269">
        <f t="shared" si="3"/>
        <v>1.697422969</v>
      </c>
      <c r="L90" s="270">
        <f t="shared" si="4"/>
        <v>23.72539307</v>
      </c>
      <c r="M90" s="271" t="str">
        <f t="shared" si="5"/>
        <v>Santigs67</v>
      </c>
      <c r="N90" s="176">
        <f>IFERROR(__xludf.DUMMYFUNCTION("""COMPUTED_VALUE"""),14.0)</f>
        <v>14</v>
      </c>
      <c r="O90" s="176"/>
      <c r="P90" s="280" t="s">
        <v>576</v>
      </c>
      <c r="Q90" s="276" t="s">
        <v>1953</v>
      </c>
      <c r="R90" s="176"/>
      <c r="S90" s="176"/>
      <c r="T90" s="176"/>
      <c r="U90" s="176"/>
      <c r="V90" s="176"/>
      <c r="W90" s="176"/>
      <c r="X90" s="176"/>
      <c r="Y90" s="176"/>
      <c r="Z90" s="176"/>
    </row>
    <row r="91">
      <c r="A91" s="267" t="str">
        <f>iferror(VLOOKUP(P91,'DO NOT TOUCH Imported'!$A$1:$D$800,4,False),iferror(VLOOKUP(P91,'DO NOT TOUCH Imported'!$C$1:$D$800,2,False),"OOPS FIX ME"))</f>
        <v>mateodaza</v>
      </c>
      <c r="B91" s="257" t="s">
        <v>18</v>
      </c>
      <c r="C91" s="261" t="s">
        <v>1930</v>
      </c>
      <c r="D91" s="281" t="s">
        <v>495</v>
      </c>
      <c r="E91" s="282">
        <v>44257.0</v>
      </c>
      <c r="F91" s="258" t="s">
        <v>496</v>
      </c>
      <c r="G91" s="171">
        <v>25.0</v>
      </c>
      <c r="H91" s="171">
        <v>1000.0</v>
      </c>
      <c r="I91" s="171">
        <v>10.0</v>
      </c>
      <c r="J91" s="172">
        <f t="shared" si="2"/>
        <v>0.0007346939862</v>
      </c>
      <c r="K91" s="269">
        <f t="shared" si="3"/>
        <v>0.7591837857</v>
      </c>
      <c r="L91" s="270">
        <f t="shared" si="4"/>
        <v>22.93117468</v>
      </c>
      <c r="M91" s="271" t="str">
        <f t="shared" si="5"/>
        <v>mateodaza</v>
      </c>
      <c r="N91" s="176">
        <f>IFERROR(__xludf.DUMMYFUNCTION("""COMPUTED_VALUE"""),1.0)</f>
        <v>1</v>
      </c>
      <c r="O91" s="176"/>
      <c r="P91" s="257" t="s">
        <v>11</v>
      </c>
      <c r="Q91" s="257" t="s">
        <v>18</v>
      </c>
      <c r="R91" s="176"/>
      <c r="S91" s="176"/>
      <c r="T91" s="176"/>
      <c r="U91" s="176"/>
      <c r="V91" s="176"/>
      <c r="W91" s="176"/>
      <c r="X91" s="176"/>
      <c r="Y91" s="176"/>
      <c r="Z91" s="176"/>
    </row>
    <row r="92">
      <c r="A92" s="267" t="str">
        <f>iferror(VLOOKUP(P92,'DO NOT TOUCH Imported'!$A$1:$D$800,4,False),iferror(VLOOKUP(P92,'DO NOT TOUCH Imported'!$C$1:$D$800,2,False),"OOPS FIX ME"))</f>
        <v>mateodaza</v>
      </c>
      <c r="B92" s="276" t="s">
        <v>1933</v>
      </c>
      <c r="C92" s="277" t="s">
        <v>1936</v>
      </c>
      <c r="D92" s="278" t="s">
        <v>437</v>
      </c>
      <c r="E92" s="279">
        <v>44259.0</v>
      </c>
      <c r="F92" s="278" t="s">
        <v>1929</v>
      </c>
      <c r="G92" s="171">
        <v>25.0</v>
      </c>
      <c r="H92" s="171">
        <v>1500.0</v>
      </c>
      <c r="I92" s="171">
        <v>200.0</v>
      </c>
      <c r="J92" s="172">
        <f t="shared" si="2"/>
        <v>0.001330579079</v>
      </c>
      <c r="K92" s="269">
        <f t="shared" si="3"/>
        <v>1.374931715</v>
      </c>
      <c r="L92" s="270">
        <f t="shared" si="4"/>
        <v>22.93117468</v>
      </c>
      <c r="M92" s="271" t="str">
        <f t="shared" si="5"/>
        <v>mateodaza</v>
      </c>
      <c r="N92" s="176">
        <f>IFERROR(__xludf.DUMMYFUNCTION("""COMPUTED_VALUE"""),2.0)</f>
        <v>2</v>
      </c>
      <c r="O92" s="176"/>
      <c r="P92" s="280" t="s">
        <v>695</v>
      </c>
      <c r="Q92" s="276" t="s">
        <v>1933</v>
      </c>
      <c r="R92" s="176"/>
      <c r="S92" s="176"/>
      <c r="T92" s="176"/>
      <c r="U92" s="176"/>
      <c r="V92" s="176"/>
      <c r="W92" s="176"/>
      <c r="X92" s="176"/>
      <c r="Y92" s="176"/>
      <c r="Z92" s="176"/>
    </row>
    <row r="93">
      <c r="A93" s="267" t="str">
        <f>iferror(VLOOKUP(P93,'DO NOT TOUCH Imported'!$A$1:$D$800,4,False),iferror(VLOOKUP(P93,'DO NOT TOUCH Imported'!$C$1:$D$800,2,False),"OOPS FIX ME"))</f>
        <v>mateodaza</v>
      </c>
      <c r="B93" s="276" t="s">
        <v>10</v>
      </c>
      <c r="C93" s="277" t="s">
        <v>1986</v>
      </c>
      <c r="D93" s="278" t="s">
        <v>437</v>
      </c>
      <c r="E93" s="279">
        <v>44260.0</v>
      </c>
      <c r="F93" s="278" t="s">
        <v>1929</v>
      </c>
      <c r="G93" s="171">
        <v>35.0</v>
      </c>
      <c r="H93" s="171">
        <v>1000.0</v>
      </c>
      <c r="I93" s="171">
        <v>500.0</v>
      </c>
      <c r="J93" s="172">
        <f t="shared" si="2"/>
        <v>0.002037214869</v>
      </c>
      <c r="K93" s="269">
        <f t="shared" si="3"/>
        <v>2.105122031</v>
      </c>
      <c r="L93" s="270">
        <f t="shared" si="4"/>
        <v>22.93117468</v>
      </c>
      <c r="M93" s="271" t="str">
        <f t="shared" si="5"/>
        <v>mateodaza</v>
      </c>
      <c r="N93" s="176">
        <f>IFERROR(__xludf.DUMMYFUNCTION("""COMPUTED_VALUE"""),3.0)</f>
        <v>3</v>
      </c>
      <c r="O93" s="176"/>
      <c r="P93" s="267" t="s">
        <v>695</v>
      </c>
      <c r="Q93" s="272" t="s">
        <v>10</v>
      </c>
      <c r="R93" s="176"/>
      <c r="S93" s="176"/>
      <c r="T93" s="176"/>
      <c r="U93" s="176"/>
      <c r="V93" s="176"/>
      <c r="W93" s="176"/>
      <c r="X93" s="176"/>
      <c r="Y93" s="176"/>
      <c r="Z93" s="176"/>
    </row>
    <row r="94">
      <c r="A94" s="267" t="str">
        <f>iferror(VLOOKUP(P94,'DO NOT TOUCH Imported'!$A$1:$D$800,4,False),iferror(VLOOKUP(P94,'DO NOT TOUCH Imported'!$C$1:$D$800,2,False),"OOPS FIX ME"))</f>
        <v>mateodaza</v>
      </c>
      <c r="B94" s="276" t="s">
        <v>10</v>
      </c>
      <c r="C94" s="277" t="s">
        <v>1937</v>
      </c>
      <c r="D94" s="278" t="s">
        <v>437</v>
      </c>
      <c r="E94" s="279">
        <v>44260.0</v>
      </c>
      <c r="F94" s="278" t="s">
        <v>1929</v>
      </c>
      <c r="G94" s="171">
        <v>35.0</v>
      </c>
      <c r="H94" s="171">
        <v>1000.0</v>
      </c>
      <c r="I94" s="171">
        <v>500.0</v>
      </c>
      <c r="J94" s="172">
        <f t="shared" si="2"/>
        <v>0.002037214869</v>
      </c>
      <c r="K94" s="269">
        <f t="shared" si="3"/>
        <v>2.105122031</v>
      </c>
      <c r="L94" s="270">
        <f t="shared" si="4"/>
        <v>22.93117468</v>
      </c>
      <c r="M94" s="271" t="str">
        <f t="shared" si="5"/>
        <v>mateodaza</v>
      </c>
      <c r="N94" s="176">
        <f>IFERROR(__xludf.DUMMYFUNCTION("""COMPUTED_VALUE"""),4.0)</f>
        <v>4</v>
      </c>
      <c r="O94" s="176"/>
      <c r="P94" s="280" t="s">
        <v>695</v>
      </c>
      <c r="Q94" s="276" t="s">
        <v>10</v>
      </c>
      <c r="R94" s="176"/>
      <c r="S94" s="176"/>
      <c r="T94" s="176"/>
      <c r="U94" s="176"/>
      <c r="V94" s="176"/>
      <c r="W94" s="176"/>
      <c r="X94" s="176"/>
      <c r="Y94" s="176"/>
      <c r="Z94" s="176"/>
    </row>
    <row r="95">
      <c r="A95" s="267" t="str">
        <f>iferror(VLOOKUP(P95,'DO NOT TOUCH Imported'!$A$1:$D$800,4,False),iferror(VLOOKUP(P95,'DO NOT TOUCH Imported'!$C$1:$D$800,2,False),"OOPS FIX ME"))</f>
        <v>mateodaza</v>
      </c>
      <c r="B95" s="276" t="s">
        <v>10</v>
      </c>
      <c r="C95" s="277" t="s">
        <v>1941</v>
      </c>
      <c r="D95" s="278" t="s">
        <v>437</v>
      </c>
      <c r="E95" s="279">
        <v>44260.0</v>
      </c>
      <c r="F95" s="278" t="s">
        <v>1929</v>
      </c>
      <c r="G95" s="171">
        <v>15.0</v>
      </c>
      <c r="H95" s="171">
        <v>1000.0</v>
      </c>
      <c r="I95" s="171">
        <v>20.0</v>
      </c>
      <c r="J95" s="172">
        <f t="shared" si="2"/>
        <v>0.0005962415693</v>
      </c>
      <c r="K95" s="269">
        <f t="shared" si="3"/>
        <v>0.6161162883</v>
      </c>
      <c r="L95" s="270">
        <f t="shared" si="4"/>
        <v>22.93117468</v>
      </c>
      <c r="M95" s="271" t="str">
        <f t="shared" si="5"/>
        <v>mateodaza</v>
      </c>
      <c r="N95" s="176">
        <f>IFERROR(__xludf.DUMMYFUNCTION("""COMPUTED_VALUE"""),5.0)</f>
        <v>5</v>
      </c>
      <c r="O95" s="176"/>
      <c r="P95" s="280" t="s">
        <v>695</v>
      </c>
      <c r="Q95" s="276" t="s">
        <v>10</v>
      </c>
      <c r="R95" s="176"/>
      <c r="S95" s="176"/>
      <c r="T95" s="176"/>
      <c r="U95" s="176"/>
      <c r="V95" s="176"/>
      <c r="W95" s="176"/>
      <c r="X95" s="176"/>
      <c r="Y95" s="176"/>
      <c r="Z95" s="176"/>
    </row>
    <row r="96">
      <c r="A96" s="267" t="str">
        <f>iferror(VLOOKUP(P96,'DO NOT TOUCH Imported'!$A$1:$D$800,4,False),iferror(VLOOKUP(P96,'DO NOT TOUCH Imported'!$C$1:$D$800,2,False),"OOPS FIX ME"))</f>
        <v>mateodaza</v>
      </c>
      <c r="B96" s="257" t="s">
        <v>10</v>
      </c>
      <c r="C96" s="261" t="s">
        <v>494</v>
      </c>
      <c r="D96" s="281" t="s">
        <v>495</v>
      </c>
      <c r="E96" s="282">
        <v>44260.0</v>
      </c>
      <c r="F96" s="258" t="s">
        <v>496</v>
      </c>
      <c r="G96" s="171">
        <v>35.0</v>
      </c>
      <c r="H96" s="171">
        <v>1000.0</v>
      </c>
      <c r="I96" s="171">
        <v>40.0</v>
      </c>
      <c r="J96" s="172">
        <f t="shared" si="2"/>
        <v>0.0009662718803</v>
      </c>
      <c r="K96" s="269">
        <f t="shared" si="3"/>
        <v>0.998480943</v>
      </c>
      <c r="L96" s="270">
        <f t="shared" si="4"/>
        <v>22.93117468</v>
      </c>
      <c r="M96" s="271" t="str">
        <f t="shared" si="5"/>
        <v>mateodaza</v>
      </c>
      <c r="N96" s="176">
        <f>IFERROR(__xludf.DUMMYFUNCTION("""COMPUTED_VALUE"""),6.0)</f>
        <v>6</v>
      </c>
      <c r="O96" s="176"/>
      <c r="P96" s="257" t="s">
        <v>11</v>
      </c>
      <c r="Q96" s="257" t="s">
        <v>10</v>
      </c>
      <c r="R96" s="176"/>
      <c r="S96" s="176"/>
      <c r="T96" s="176"/>
      <c r="U96" s="176"/>
      <c r="V96" s="176"/>
      <c r="W96" s="176"/>
      <c r="X96" s="176"/>
      <c r="Y96" s="176"/>
      <c r="Z96" s="176"/>
    </row>
    <row r="97">
      <c r="A97" s="267" t="str">
        <f>iferror(VLOOKUP(P97,'DO NOT TOUCH Imported'!$A$1:$D$800,4,False),iferror(VLOOKUP(P97,'DO NOT TOUCH Imported'!$C$1:$D$800,2,False),"OOPS FIX ME"))</f>
        <v>mateodaza</v>
      </c>
      <c r="B97" s="257" t="s">
        <v>10</v>
      </c>
      <c r="C97" s="261" t="s">
        <v>498</v>
      </c>
      <c r="D97" s="281" t="s">
        <v>495</v>
      </c>
      <c r="E97" s="282">
        <v>44260.0</v>
      </c>
      <c r="F97" s="258" t="s">
        <v>499</v>
      </c>
      <c r="G97" s="171">
        <v>35.0</v>
      </c>
      <c r="H97" s="171">
        <v>500.0</v>
      </c>
      <c r="I97" s="171">
        <v>40.0</v>
      </c>
      <c r="J97" s="172">
        <f t="shared" si="2"/>
        <v>0.0008127328046</v>
      </c>
      <c r="K97" s="269">
        <f t="shared" si="3"/>
        <v>0.8398238981</v>
      </c>
      <c r="L97" s="270">
        <f t="shared" si="4"/>
        <v>22.93117468</v>
      </c>
      <c r="M97" s="271" t="str">
        <f t="shared" si="5"/>
        <v>mateodaza</v>
      </c>
      <c r="N97" s="176">
        <f>IFERROR(__xludf.DUMMYFUNCTION("""COMPUTED_VALUE"""),7.0)</f>
        <v>7</v>
      </c>
      <c r="O97" s="176"/>
      <c r="P97" s="257" t="s">
        <v>11</v>
      </c>
      <c r="Q97" s="257" t="s">
        <v>10</v>
      </c>
      <c r="R97" s="176"/>
      <c r="S97" s="176"/>
      <c r="T97" s="176"/>
      <c r="U97" s="176"/>
      <c r="V97" s="176"/>
      <c r="W97" s="176"/>
      <c r="X97" s="176"/>
      <c r="Y97" s="176"/>
      <c r="Z97" s="176"/>
    </row>
    <row r="98">
      <c r="A98" s="267" t="str">
        <f>iferror(VLOOKUP(P98,'DO NOT TOUCH Imported'!$A$1:$D$800,4,False),iferror(VLOOKUP(P98,'DO NOT TOUCH Imported'!$C$1:$D$800,2,False),"OOPS FIX ME"))</f>
        <v>mateodaza</v>
      </c>
      <c r="B98" s="276" t="s">
        <v>18</v>
      </c>
      <c r="C98" s="277" t="s">
        <v>1987</v>
      </c>
      <c r="D98" s="278" t="s">
        <v>499</v>
      </c>
      <c r="E98" s="279">
        <v>44263.0</v>
      </c>
      <c r="F98" s="278" t="s">
        <v>1646</v>
      </c>
      <c r="G98" s="171">
        <v>15.0</v>
      </c>
      <c r="H98" s="171">
        <v>1500.0</v>
      </c>
      <c r="I98" s="171">
        <v>1000.0</v>
      </c>
      <c r="J98" s="172">
        <f t="shared" si="2"/>
        <v>0.003031354838</v>
      </c>
      <c r="K98" s="269">
        <f t="shared" si="3"/>
        <v>3.132399999</v>
      </c>
      <c r="L98" s="270">
        <f t="shared" si="4"/>
        <v>22.93117468</v>
      </c>
      <c r="M98" s="271" t="str">
        <f t="shared" si="5"/>
        <v>mateodaza</v>
      </c>
      <c r="N98" s="176">
        <f>IFERROR(__xludf.DUMMYFUNCTION("""COMPUTED_VALUE"""),8.0)</f>
        <v>8</v>
      </c>
      <c r="O98" s="176"/>
      <c r="P98" s="280" t="s">
        <v>695</v>
      </c>
      <c r="Q98" s="276" t="s">
        <v>18</v>
      </c>
      <c r="R98" s="176"/>
      <c r="S98" s="176"/>
      <c r="T98" s="176"/>
      <c r="U98" s="176"/>
      <c r="V98" s="176"/>
      <c r="W98" s="176"/>
      <c r="X98" s="176"/>
      <c r="Y98" s="176"/>
      <c r="Z98" s="176"/>
    </row>
    <row r="99">
      <c r="A99" s="267" t="str">
        <f>iferror(VLOOKUP(P99,'DO NOT TOUCH Imported'!$A$1:$D$800,4,False),iferror(VLOOKUP(P99,'DO NOT TOUCH Imported'!$C$1:$D$800,2,False),"OOPS FIX ME"))</f>
        <v>mateodaza</v>
      </c>
      <c r="B99" s="276" t="s">
        <v>10</v>
      </c>
      <c r="C99" s="277" t="s">
        <v>1988</v>
      </c>
      <c r="D99" s="278" t="s">
        <v>437</v>
      </c>
      <c r="E99" s="283">
        <v>44267.0</v>
      </c>
      <c r="F99" s="278" t="s">
        <v>439</v>
      </c>
      <c r="G99" s="171">
        <v>35.0</v>
      </c>
      <c r="H99" s="171">
        <v>5000.0</v>
      </c>
      <c r="I99" s="171">
        <v>1000.0</v>
      </c>
      <c r="J99" s="172">
        <f t="shared" si="2"/>
        <v>0.00442959594</v>
      </c>
      <c r="K99" s="269">
        <f t="shared" si="3"/>
        <v>4.577249138</v>
      </c>
      <c r="L99" s="270">
        <f t="shared" si="4"/>
        <v>22.93117468</v>
      </c>
      <c r="M99" s="271" t="str">
        <f t="shared" si="5"/>
        <v>mateodaza</v>
      </c>
      <c r="N99" s="176">
        <f>IFERROR(__xludf.DUMMYFUNCTION("""COMPUTED_VALUE"""),9.0)</f>
        <v>9</v>
      </c>
      <c r="O99" s="176"/>
      <c r="P99" s="280" t="s">
        <v>695</v>
      </c>
      <c r="Q99" s="276" t="s">
        <v>10</v>
      </c>
      <c r="R99" s="176"/>
      <c r="S99" s="176"/>
      <c r="T99" s="176"/>
      <c r="U99" s="176"/>
      <c r="V99" s="176"/>
      <c r="W99" s="176"/>
      <c r="X99" s="176"/>
      <c r="Y99" s="176"/>
      <c r="Z99" s="176"/>
    </row>
    <row r="100">
      <c r="A100" s="267" t="str">
        <f>iferror(VLOOKUP(P100,'DO NOT TOUCH Imported'!$A$1:$D$800,4,False),iferror(VLOOKUP(P100,'DO NOT TOUCH Imported'!$C$1:$D$800,2,False),"OOPS FIX ME"))</f>
        <v>mateodaza</v>
      </c>
      <c r="B100" s="276" t="s">
        <v>10</v>
      </c>
      <c r="C100" s="277" t="s">
        <v>1985</v>
      </c>
      <c r="D100" s="278" t="s">
        <v>437</v>
      </c>
      <c r="E100" s="283">
        <v>44267.0</v>
      </c>
      <c r="F100" s="278" t="s">
        <v>439</v>
      </c>
      <c r="G100" s="171">
        <v>100.0</v>
      </c>
      <c r="H100" s="171">
        <v>5000.0</v>
      </c>
      <c r="I100" s="171">
        <v>1000.0</v>
      </c>
      <c r="J100" s="172">
        <f t="shared" si="2"/>
        <v>0.005480865551</v>
      </c>
      <c r="K100" s="269">
        <f t="shared" si="3"/>
        <v>5.663561069</v>
      </c>
      <c r="L100" s="270">
        <f t="shared" si="4"/>
        <v>22.93117468</v>
      </c>
      <c r="M100" s="271" t="str">
        <f t="shared" si="5"/>
        <v>mateodaza</v>
      </c>
      <c r="N100" s="176">
        <f>IFERROR(__xludf.DUMMYFUNCTION("""COMPUTED_VALUE"""),10.0)</f>
        <v>10</v>
      </c>
      <c r="O100" s="176"/>
      <c r="P100" s="267" t="s">
        <v>695</v>
      </c>
      <c r="Q100" s="272" t="s">
        <v>10</v>
      </c>
      <c r="R100" s="176"/>
      <c r="S100" s="176"/>
      <c r="T100" s="176"/>
      <c r="U100" s="176"/>
      <c r="V100" s="176"/>
      <c r="W100" s="176"/>
      <c r="X100" s="176"/>
      <c r="Y100" s="176"/>
      <c r="Z100" s="176"/>
    </row>
    <row r="101">
      <c r="A101" s="267" t="str">
        <f>iferror(VLOOKUP(P101,'DO NOT TOUCH Imported'!$A$1:$D$800,4,False),iferror(VLOOKUP(P101,'DO NOT TOUCH Imported'!$C$1:$D$800,2,False),"OOPS FIX ME"))</f>
        <v>mateodaza</v>
      </c>
      <c r="B101" s="276" t="s">
        <v>10</v>
      </c>
      <c r="C101" s="277" t="s">
        <v>1952</v>
      </c>
      <c r="D101" s="278" t="s">
        <v>437</v>
      </c>
      <c r="E101" s="283">
        <v>44267.0</v>
      </c>
      <c r="F101" s="278" t="s">
        <v>439</v>
      </c>
      <c r="G101" s="171">
        <v>25.0</v>
      </c>
      <c r="H101" s="171">
        <v>1000.0</v>
      </c>
      <c r="I101" s="171">
        <v>10.0</v>
      </c>
      <c r="J101" s="172">
        <f t="shared" si="2"/>
        <v>0.0007346939862</v>
      </c>
      <c r="K101" s="269">
        <f t="shared" si="3"/>
        <v>0.7591837857</v>
      </c>
      <c r="L101" s="270">
        <f t="shared" si="4"/>
        <v>22.93117468</v>
      </c>
      <c r="M101" s="271" t="str">
        <f t="shared" si="5"/>
        <v>mateodaza</v>
      </c>
      <c r="N101" s="176">
        <f>IFERROR(__xludf.DUMMYFUNCTION("""COMPUTED_VALUE"""),11.0)</f>
        <v>11</v>
      </c>
      <c r="O101" s="176"/>
      <c r="P101" s="267" t="s">
        <v>695</v>
      </c>
      <c r="Q101" s="272" t="s">
        <v>10</v>
      </c>
      <c r="R101" s="176"/>
      <c r="S101" s="176"/>
      <c r="T101" s="176"/>
      <c r="U101" s="176"/>
      <c r="V101" s="176"/>
      <c r="W101" s="176"/>
      <c r="X101" s="176"/>
      <c r="Y101" s="176"/>
      <c r="Z101" s="176"/>
    </row>
    <row r="102">
      <c r="A102" s="267" t="str">
        <f>iferror(VLOOKUP(P102,'DO NOT TOUCH Imported'!$A$1:$D$800,4,False),iferror(VLOOKUP(P102,'DO NOT TOUCH Imported'!$C$1:$D$800,2,False),"OOPS FIX ME"))</f>
        <v>shawn_westrick</v>
      </c>
      <c r="B102" s="276" t="s">
        <v>10</v>
      </c>
      <c r="C102" s="277" t="s">
        <v>1982</v>
      </c>
      <c r="D102" s="278" t="s">
        <v>437</v>
      </c>
      <c r="E102" s="279">
        <v>44260.0</v>
      </c>
      <c r="F102" s="278" t="s">
        <v>1929</v>
      </c>
      <c r="G102" s="171">
        <v>35.0</v>
      </c>
      <c r="H102" s="171">
        <v>5000.0</v>
      </c>
      <c r="I102" s="171">
        <v>3000.0</v>
      </c>
      <c r="J102" s="172">
        <f t="shared" si="2"/>
        <v>0.009085869804</v>
      </c>
      <c r="K102" s="269">
        <f t="shared" si="3"/>
        <v>9.388732131</v>
      </c>
      <c r="L102" s="270">
        <f t="shared" si="4"/>
        <v>21.342566</v>
      </c>
      <c r="M102" s="271" t="str">
        <f t="shared" si="5"/>
        <v>shawn_westrick</v>
      </c>
      <c r="N102" s="176">
        <f>IFERROR(__xludf.DUMMYFUNCTION("""COMPUTED_VALUE"""),1.0)</f>
        <v>1</v>
      </c>
      <c r="O102" s="176"/>
      <c r="P102" s="280" t="s">
        <v>620</v>
      </c>
      <c r="Q102" s="276" t="s">
        <v>10</v>
      </c>
      <c r="R102" s="176"/>
      <c r="S102" s="176"/>
      <c r="T102" s="176"/>
      <c r="U102" s="176"/>
      <c r="V102" s="176"/>
      <c r="W102" s="176"/>
      <c r="X102" s="176"/>
      <c r="Y102" s="176"/>
      <c r="Z102" s="176"/>
    </row>
    <row r="103">
      <c r="A103" s="267" t="str">
        <f>iferror(VLOOKUP(P103,'DO NOT TOUCH Imported'!$A$1:$D$800,4,False),iferror(VLOOKUP(P103,'DO NOT TOUCH Imported'!$C$1:$D$800,2,False),"OOPS FIX ME"))</f>
        <v>shawn_westrick</v>
      </c>
      <c r="B103" s="276" t="s">
        <v>10</v>
      </c>
      <c r="C103" s="277" t="s">
        <v>1941</v>
      </c>
      <c r="D103" s="278" t="s">
        <v>437</v>
      </c>
      <c r="E103" s="279">
        <v>44260.0</v>
      </c>
      <c r="F103" s="278" t="s">
        <v>1929</v>
      </c>
      <c r="G103" s="171">
        <v>15.0</v>
      </c>
      <c r="H103" s="171">
        <v>1000.0</v>
      </c>
      <c r="I103" s="171">
        <v>20.0</v>
      </c>
      <c r="J103" s="172">
        <f t="shared" si="2"/>
        <v>0.0005962415693</v>
      </c>
      <c r="K103" s="269">
        <f t="shared" si="3"/>
        <v>0.6161162883</v>
      </c>
      <c r="L103" s="270">
        <f t="shared" si="4"/>
        <v>21.342566</v>
      </c>
      <c r="M103" s="271" t="str">
        <f t="shared" si="5"/>
        <v>shawn_westrick</v>
      </c>
      <c r="N103" s="176">
        <f>IFERROR(__xludf.DUMMYFUNCTION("""COMPUTED_VALUE"""),2.0)</f>
        <v>2</v>
      </c>
      <c r="O103" s="176"/>
      <c r="P103" s="280" t="s">
        <v>620</v>
      </c>
      <c r="Q103" s="276" t="s">
        <v>10</v>
      </c>
      <c r="R103" s="176"/>
      <c r="S103" s="176"/>
      <c r="T103" s="176"/>
      <c r="U103" s="176"/>
      <c r="V103" s="176"/>
      <c r="W103" s="176"/>
      <c r="X103" s="176"/>
      <c r="Y103" s="176"/>
      <c r="Z103" s="176"/>
    </row>
    <row r="104">
      <c r="A104" s="267" t="str">
        <f>iferror(VLOOKUP(P104,'DO NOT TOUCH Imported'!$A$1:$D$800,4,False),iferror(VLOOKUP(P104,'DO NOT TOUCH Imported'!$C$1:$D$800,2,False),"OOPS FIX ME"))</f>
        <v>shawn_westrick</v>
      </c>
      <c r="B104" s="276" t="s">
        <v>10</v>
      </c>
      <c r="C104" s="277" t="s">
        <v>1942</v>
      </c>
      <c r="D104" s="278" t="s">
        <v>437</v>
      </c>
      <c r="E104" s="279">
        <v>44262.0</v>
      </c>
      <c r="F104" s="278" t="s">
        <v>1929</v>
      </c>
      <c r="G104" s="171">
        <v>25.0</v>
      </c>
      <c r="H104" s="171">
        <v>1000.0</v>
      </c>
      <c r="I104" s="171">
        <v>1000.0</v>
      </c>
      <c r="J104" s="172">
        <f t="shared" si="2"/>
        <v>0.003039549549</v>
      </c>
      <c r="K104" s="269">
        <f t="shared" si="3"/>
        <v>3.140867867</v>
      </c>
      <c r="L104" s="270">
        <f t="shared" si="4"/>
        <v>21.342566</v>
      </c>
      <c r="M104" s="271" t="str">
        <f t="shared" si="5"/>
        <v>shawn_westrick</v>
      </c>
      <c r="N104" s="176">
        <f>IFERROR(__xludf.DUMMYFUNCTION("""COMPUTED_VALUE"""),3.0)</f>
        <v>3</v>
      </c>
      <c r="O104" s="176"/>
      <c r="P104" s="280" t="s">
        <v>620</v>
      </c>
      <c r="Q104" s="276" t="s">
        <v>10</v>
      </c>
      <c r="R104" s="176"/>
      <c r="S104" s="176"/>
      <c r="T104" s="176"/>
      <c r="U104" s="176"/>
      <c r="V104" s="176"/>
      <c r="W104" s="176"/>
      <c r="X104" s="176"/>
      <c r="Y104" s="176"/>
      <c r="Z104" s="176"/>
    </row>
    <row r="105">
      <c r="A105" s="267" t="str">
        <f>iferror(VLOOKUP(P105,'DO NOT TOUCH Imported'!$A$1:$D$800,4,False),iferror(VLOOKUP(P105,'DO NOT TOUCH Imported'!$C$1:$D$800,2,False),"OOPS FIX ME"))</f>
        <v>shawn_westrick</v>
      </c>
      <c r="B105" s="276" t="s">
        <v>10</v>
      </c>
      <c r="C105" s="277" t="s">
        <v>1989</v>
      </c>
      <c r="D105" s="278" t="s">
        <v>437</v>
      </c>
      <c r="E105" s="283">
        <v>44267.0</v>
      </c>
      <c r="F105" s="278" t="s">
        <v>439</v>
      </c>
      <c r="G105" s="171">
        <v>35.0</v>
      </c>
      <c r="H105" s="171">
        <v>1000.0</v>
      </c>
      <c r="I105" s="171">
        <v>1000.0</v>
      </c>
      <c r="J105" s="172">
        <f t="shared" si="2"/>
        <v>0.003201283335</v>
      </c>
      <c r="K105" s="269">
        <f t="shared" si="3"/>
        <v>3.307992779</v>
      </c>
      <c r="L105" s="270">
        <f t="shared" si="4"/>
        <v>21.342566</v>
      </c>
      <c r="M105" s="271" t="str">
        <f t="shared" si="5"/>
        <v>shawn_westrick</v>
      </c>
      <c r="N105" s="176">
        <f>IFERROR(__xludf.DUMMYFUNCTION("""COMPUTED_VALUE"""),4.0)</f>
        <v>4</v>
      </c>
      <c r="O105" s="176"/>
      <c r="P105" s="267" t="s">
        <v>620</v>
      </c>
      <c r="Q105" s="272" t="s">
        <v>10</v>
      </c>
      <c r="R105" s="176"/>
      <c r="S105" s="176"/>
      <c r="T105" s="176"/>
      <c r="U105" s="176"/>
      <c r="V105" s="176"/>
      <c r="W105" s="176"/>
      <c r="X105" s="176"/>
      <c r="Y105" s="176"/>
      <c r="Z105" s="176"/>
    </row>
    <row r="106">
      <c r="A106" s="267" t="str">
        <f>iferror(VLOOKUP(P106,'DO NOT TOUCH Imported'!$A$1:$D$800,4,False),iferror(VLOOKUP(P106,'DO NOT TOUCH Imported'!$C$1:$D$800,2,False),"OOPS FIX ME"))</f>
        <v>shawn_westrick</v>
      </c>
      <c r="B106" s="276" t="s">
        <v>1953</v>
      </c>
      <c r="C106" s="277" t="s">
        <v>1990</v>
      </c>
      <c r="D106" s="278" t="s">
        <v>437</v>
      </c>
      <c r="E106" s="283">
        <v>44267.0</v>
      </c>
      <c r="F106" s="278" t="s">
        <v>439</v>
      </c>
      <c r="G106" s="171">
        <v>100.0</v>
      </c>
      <c r="H106" s="171">
        <v>1000.0</v>
      </c>
      <c r="I106" s="171">
        <v>500.0</v>
      </c>
      <c r="J106" s="172">
        <f t="shared" si="2"/>
        <v>0.003088484479</v>
      </c>
      <c r="K106" s="269">
        <f t="shared" si="3"/>
        <v>3.191433962</v>
      </c>
      <c r="L106" s="270">
        <f t="shared" si="4"/>
        <v>21.342566</v>
      </c>
      <c r="M106" s="271" t="str">
        <f t="shared" si="5"/>
        <v>shawn_westrick</v>
      </c>
      <c r="N106" s="176">
        <f>IFERROR(__xludf.DUMMYFUNCTION("""COMPUTED_VALUE"""),5.0)</f>
        <v>5</v>
      </c>
      <c r="O106" s="176"/>
      <c r="P106" s="280" t="s">
        <v>620</v>
      </c>
      <c r="Q106" s="276" t="s">
        <v>1953</v>
      </c>
      <c r="R106" s="176"/>
      <c r="S106" s="176"/>
      <c r="T106" s="176"/>
      <c r="U106" s="176"/>
      <c r="V106" s="176"/>
      <c r="W106" s="176"/>
      <c r="X106" s="176"/>
      <c r="Y106" s="176"/>
      <c r="Z106" s="176"/>
    </row>
    <row r="107">
      <c r="A107" s="267" t="str">
        <f>iferror(VLOOKUP(P107,'DO NOT TOUCH Imported'!$A$1:$D$800,4,False),iferror(VLOOKUP(P107,'DO NOT TOUCH Imported'!$C$1:$D$800,2,False),"OOPS FIX ME"))</f>
        <v>shawn_westrick</v>
      </c>
      <c r="B107" s="276" t="s">
        <v>1953</v>
      </c>
      <c r="C107" s="277" t="s">
        <v>1954</v>
      </c>
      <c r="D107" s="278" t="s">
        <v>437</v>
      </c>
      <c r="E107" s="283">
        <v>44267.0</v>
      </c>
      <c r="F107" s="278" t="s">
        <v>439</v>
      </c>
      <c r="G107" s="171">
        <v>25.0</v>
      </c>
      <c r="H107" s="171">
        <v>1000.0</v>
      </c>
      <c r="I107" s="171">
        <v>400.0</v>
      </c>
      <c r="J107" s="172">
        <f t="shared" si="2"/>
        <v>0.00164266739</v>
      </c>
      <c r="K107" s="269">
        <f t="shared" si="3"/>
        <v>1.697422969</v>
      </c>
      <c r="L107" s="270">
        <f t="shared" si="4"/>
        <v>21.342566</v>
      </c>
      <c r="M107" s="271" t="str">
        <f t="shared" si="5"/>
        <v>shawn_westrick</v>
      </c>
      <c r="N107" s="176">
        <f>IFERROR(__xludf.DUMMYFUNCTION("""COMPUTED_VALUE"""),6.0)</f>
        <v>6</v>
      </c>
      <c r="O107" s="176"/>
      <c r="P107" s="280" t="s">
        <v>620</v>
      </c>
      <c r="Q107" s="276" t="s">
        <v>1953</v>
      </c>
      <c r="R107" s="176"/>
      <c r="S107" s="176"/>
      <c r="T107" s="176"/>
      <c r="U107" s="176"/>
      <c r="V107" s="176"/>
      <c r="W107" s="176"/>
      <c r="X107" s="176"/>
      <c r="Y107" s="176"/>
      <c r="Z107" s="176"/>
    </row>
    <row r="108">
      <c r="A108" s="267" t="str">
        <f>iferror(VLOOKUP(P108,'DO NOT TOUCH Imported'!$A$1:$D$800,4,False),iferror(VLOOKUP(P108,'DO NOT TOUCH Imported'!$C$1:$D$800,2,False),"OOPS FIX ME"))</f>
        <v>Vyvy-vi#5040</v>
      </c>
      <c r="B108" s="276" t="s">
        <v>12</v>
      </c>
      <c r="C108" s="277" t="s">
        <v>1991</v>
      </c>
      <c r="D108" s="278" t="s">
        <v>437</v>
      </c>
      <c r="E108" s="279">
        <v>44257.0</v>
      </c>
      <c r="F108" s="278" t="s">
        <v>1929</v>
      </c>
      <c r="G108" s="171">
        <v>100.0</v>
      </c>
      <c r="H108" s="171">
        <v>20000.0</v>
      </c>
      <c r="I108" s="171">
        <v>1000.0</v>
      </c>
      <c r="J108" s="172">
        <f t="shared" si="2"/>
        <v>0.01008703782</v>
      </c>
      <c r="K108" s="269">
        <f t="shared" si="3"/>
        <v>10.42327242</v>
      </c>
      <c r="L108" s="270">
        <f t="shared" si="4"/>
        <v>19.09298786</v>
      </c>
      <c r="M108" s="271" t="str">
        <f t="shared" si="5"/>
        <v>Vyvy-vi#5040</v>
      </c>
      <c r="N108" s="176">
        <f>IFERROR(__xludf.DUMMYFUNCTION("""COMPUTED_VALUE"""),1.0)</f>
        <v>1</v>
      </c>
      <c r="O108" s="176"/>
      <c r="P108" s="280" t="s">
        <v>20</v>
      </c>
      <c r="Q108" s="276" t="s">
        <v>12</v>
      </c>
      <c r="R108" s="176"/>
      <c r="S108" s="176"/>
      <c r="T108" s="176"/>
      <c r="U108" s="176"/>
      <c r="V108" s="176"/>
      <c r="W108" s="176"/>
      <c r="X108" s="176"/>
      <c r="Y108" s="176"/>
      <c r="Z108" s="176"/>
    </row>
    <row r="109">
      <c r="A109" s="267" t="str">
        <f>iferror(VLOOKUP(P109,'DO NOT TOUCH Imported'!$A$1:$D$800,4,False),iferror(VLOOKUP(P109,'DO NOT TOUCH Imported'!$C$1:$D$800,2,False),"OOPS FIX ME"))</f>
        <v>Vyvy-vi#5040</v>
      </c>
      <c r="B109" s="257" t="s">
        <v>845</v>
      </c>
      <c r="C109" s="261" t="s">
        <v>1992</v>
      </c>
      <c r="D109" s="281" t="s">
        <v>495</v>
      </c>
      <c r="E109" s="282">
        <v>44258.0</v>
      </c>
      <c r="F109" s="258" t="s">
        <v>496</v>
      </c>
      <c r="G109" s="171">
        <v>100.0</v>
      </c>
      <c r="H109" s="171">
        <v>10000.0</v>
      </c>
      <c r="I109" s="171">
        <v>400.0</v>
      </c>
      <c r="J109" s="172">
        <f t="shared" si="2"/>
        <v>0.005619374148</v>
      </c>
      <c r="K109" s="269">
        <f t="shared" si="3"/>
        <v>5.80668662</v>
      </c>
      <c r="L109" s="270">
        <f t="shared" si="4"/>
        <v>19.09298786</v>
      </c>
      <c r="M109" s="271" t="str">
        <f t="shared" si="5"/>
        <v>Vyvy-vi#5040</v>
      </c>
      <c r="N109" s="176">
        <f>IFERROR(__xludf.DUMMYFUNCTION("""COMPUTED_VALUE"""),2.0)</f>
        <v>2</v>
      </c>
      <c r="O109" s="176"/>
      <c r="P109" s="257" t="s">
        <v>790</v>
      </c>
      <c r="Q109" s="257" t="s">
        <v>845</v>
      </c>
      <c r="R109" s="176"/>
      <c r="S109" s="176"/>
      <c r="T109" s="176"/>
      <c r="U109" s="176"/>
      <c r="V109" s="176"/>
      <c r="W109" s="176"/>
      <c r="X109" s="176"/>
      <c r="Y109" s="176"/>
      <c r="Z109" s="176"/>
    </row>
    <row r="110">
      <c r="A110" s="267" t="str">
        <f>iferror(VLOOKUP(P110,'DO NOT TOUCH Imported'!$A$1:$D$800,4,False),iferror(VLOOKUP(P110,'DO NOT TOUCH Imported'!$C$1:$D$800,2,False),"OOPS FIX ME"))</f>
        <v>Vyvy-vi#5040</v>
      </c>
      <c r="B110" s="276" t="s">
        <v>10</v>
      </c>
      <c r="C110" s="277" t="s">
        <v>1993</v>
      </c>
      <c r="D110" s="278" t="s">
        <v>437</v>
      </c>
      <c r="E110" s="279">
        <v>44260.0</v>
      </c>
      <c r="F110" s="278" t="s">
        <v>1929</v>
      </c>
      <c r="G110" s="171">
        <v>35.0</v>
      </c>
      <c r="H110" s="171">
        <v>1500.0</v>
      </c>
      <c r="I110" s="171">
        <v>400.0</v>
      </c>
      <c r="J110" s="172">
        <f t="shared" si="2"/>
        <v>0.001957940251</v>
      </c>
      <c r="K110" s="269">
        <f t="shared" si="3"/>
        <v>2.023204926</v>
      </c>
      <c r="L110" s="270">
        <f t="shared" si="4"/>
        <v>19.09298786</v>
      </c>
      <c r="M110" s="271" t="str">
        <f t="shared" si="5"/>
        <v>Vyvy-vi#5040</v>
      </c>
      <c r="N110" s="176">
        <f>IFERROR(__xludf.DUMMYFUNCTION("""COMPUTED_VALUE"""),3.0)</f>
        <v>3</v>
      </c>
      <c r="O110" s="176"/>
      <c r="P110" s="267" t="s">
        <v>20</v>
      </c>
      <c r="Q110" s="276" t="s">
        <v>10</v>
      </c>
      <c r="R110" s="176"/>
      <c r="S110" s="176"/>
      <c r="T110" s="176"/>
      <c r="U110" s="176"/>
      <c r="V110" s="176"/>
      <c r="W110" s="176"/>
      <c r="X110" s="176"/>
      <c r="Y110" s="176"/>
      <c r="Z110" s="176"/>
    </row>
    <row r="111">
      <c r="A111" s="267" t="str">
        <f>iferror(VLOOKUP(P111,'DO NOT TOUCH Imported'!$A$1:$D$800,4,False),iferror(VLOOKUP(P111,'DO NOT TOUCH Imported'!$C$1:$D$800,2,False),"OOPS FIX ME"))</f>
        <v>Vyvy-vi#5040</v>
      </c>
      <c r="B111" s="257" t="s">
        <v>10</v>
      </c>
      <c r="C111" s="261" t="s">
        <v>500</v>
      </c>
      <c r="D111" s="281" t="s">
        <v>495</v>
      </c>
      <c r="E111" s="282">
        <v>44260.0</v>
      </c>
      <c r="F111" s="258" t="s">
        <v>496</v>
      </c>
      <c r="G111" s="171">
        <v>35.0</v>
      </c>
      <c r="H111" s="171">
        <v>500.0</v>
      </c>
      <c r="I111" s="171">
        <v>40.0</v>
      </c>
      <c r="J111" s="172">
        <f t="shared" si="2"/>
        <v>0.0008127328046</v>
      </c>
      <c r="K111" s="269">
        <f t="shared" si="3"/>
        <v>0.8398238981</v>
      </c>
      <c r="L111" s="270">
        <f t="shared" si="4"/>
        <v>19.09298786</v>
      </c>
      <c r="M111" s="271" t="str">
        <f t="shared" si="5"/>
        <v>Vyvy-vi#5040</v>
      </c>
      <c r="N111" s="176">
        <f>IFERROR(__xludf.DUMMYFUNCTION("""COMPUTED_VALUE"""),4.0)</f>
        <v>4</v>
      </c>
      <c r="O111" s="176"/>
      <c r="P111" s="257" t="s">
        <v>790</v>
      </c>
      <c r="Q111" s="257" t="s">
        <v>10</v>
      </c>
      <c r="R111" s="176"/>
      <c r="S111" s="176"/>
      <c r="T111" s="176"/>
      <c r="U111" s="176"/>
      <c r="V111" s="176"/>
      <c r="W111" s="176"/>
      <c r="X111" s="176"/>
      <c r="Y111" s="176"/>
      <c r="Z111" s="176"/>
    </row>
    <row r="112">
      <c r="A112" s="267" t="str">
        <f>iferror(VLOOKUP(P112,'DO NOT TOUCH Imported'!$A$1:$D$800,4,False),iferror(VLOOKUP(P112,'DO NOT TOUCH Imported'!$C$1:$D$800,2,False),"OOPS FIX ME"))</f>
        <v>rosamoc</v>
      </c>
      <c r="B112" s="257" t="s">
        <v>43</v>
      </c>
      <c r="C112" s="261" t="s">
        <v>1994</v>
      </c>
      <c r="D112" s="281" t="s">
        <v>495</v>
      </c>
      <c r="E112" s="282">
        <v>44259.0</v>
      </c>
      <c r="F112" s="258" t="s">
        <v>496</v>
      </c>
      <c r="G112" s="171">
        <v>200.0</v>
      </c>
      <c r="H112" s="171">
        <v>5000.0</v>
      </c>
      <c r="I112" s="171">
        <v>1000.0</v>
      </c>
      <c r="J112" s="172">
        <f t="shared" si="2"/>
        <v>0.007098203412</v>
      </c>
      <c r="K112" s="269">
        <f t="shared" si="3"/>
        <v>7.334810193</v>
      </c>
      <c r="L112" s="270">
        <f t="shared" si="4"/>
        <v>15.94923107</v>
      </c>
      <c r="M112" s="271" t="str">
        <f t="shared" si="5"/>
        <v>rosamoc</v>
      </c>
      <c r="N112" s="176">
        <f>IFERROR(__xludf.DUMMYFUNCTION("""COMPUTED_VALUE"""),1.0)</f>
        <v>1</v>
      </c>
      <c r="O112" s="176"/>
      <c r="P112" s="257" t="s">
        <v>56</v>
      </c>
      <c r="Q112" s="257" t="s">
        <v>43</v>
      </c>
      <c r="R112" s="176"/>
      <c r="S112" s="176"/>
      <c r="T112" s="176"/>
      <c r="U112" s="176"/>
      <c r="V112" s="176"/>
      <c r="W112" s="176"/>
      <c r="X112" s="176"/>
      <c r="Y112" s="176"/>
      <c r="Z112" s="176"/>
    </row>
    <row r="113">
      <c r="A113" s="267" t="str">
        <f>iferror(VLOOKUP(P113,'DO NOT TOUCH Imported'!$A$1:$D$800,4,False),iferror(VLOOKUP(P113,'DO NOT TOUCH Imported'!$C$1:$D$800,2,False),"OOPS FIX ME"))</f>
        <v>rosamoc</v>
      </c>
      <c r="B113" s="257" t="s">
        <v>10</v>
      </c>
      <c r="C113" s="261" t="s">
        <v>1995</v>
      </c>
      <c r="D113" s="281" t="s">
        <v>495</v>
      </c>
      <c r="E113" s="282">
        <v>44260.0</v>
      </c>
      <c r="F113" s="258" t="s">
        <v>496</v>
      </c>
      <c r="G113" s="171">
        <v>100.0</v>
      </c>
      <c r="H113" s="171">
        <v>5000.0</v>
      </c>
      <c r="I113" s="171">
        <v>1000.0</v>
      </c>
      <c r="J113" s="172">
        <f t="shared" si="2"/>
        <v>0.005480865551</v>
      </c>
      <c r="K113" s="269">
        <f t="shared" si="3"/>
        <v>5.663561069</v>
      </c>
      <c r="L113" s="270">
        <f t="shared" si="4"/>
        <v>15.94923107</v>
      </c>
      <c r="M113" s="271" t="str">
        <f t="shared" si="5"/>
        <v>rosamoc</v>
      </c>
      <c r="N113" s="176">
        <f>IFERROR(__xludf.DUMMYFUNCTION("""COMPUTED_VALUE"""),2.0)</f>
        <v>2</v>
      </c>
      <c r="O113" s="176"/>
      <c r="P113" s="257" t="s">
        <v>56</v>
      </c>
      <c r="Q113" s="257" t="s">
        <v>10</v>
      </c>
      <c r="R113" s="176"/>
      <c r="S113" s="176"/>
      <c r="T113" s="176"/>
      <c r="U113" s="176"/>
      <c r="V113" s="176"/>
      <c r="W113" s="176"/>
      <c r="X113" s="176"/>
      <c r="Y113" s="176"/>
      <c r="Z113" s="176"/>
    </row>
    <row r="114">
      <c r="A114" s="267" t="str">
        <f>iferror(VLOOKUP(P114,'DO NOT TOUCH Imported'!$A$1:$D$800,4,False),iferror(VLOOKUP(P114,'DO NOT TOUCH Imported'!$C$1:$D$800,2,False),"OOPS FIX ME"))</f>
        <v>rosamoc</v>
      </c>
      <c r="B114" s="257" t="s">
        <v>43</v>
      </c>
      <c r="C114" s="261" t="s">
        <v>1996</v>
      </c>
      <c r="D114" s="281" t="s">
        <v>495</v>
      </c>
      <c r="E114" s="282">
        <v>44266.0</v>
      </c>
      <c r="F114" s="258" t="s">
        <v>496</v>
      </c>
      <c r="G114" s="171">
        <v>100.0</v>
      </c>
      <c r="H114" s="171">
        <v>1000.0</v>
      </c>
      <c r="I114" s="171">
        <v>400.0</v>
      </c>
      <c r="J114" s="172">
        <f t="shared" si="2"/>
        <v>0.002855670786</v>
      </c>
      <c r="K114" s="269">
        <f t="shared" si="3"/>
        <v>2.950859812</v>
      </c>
      <c r="L114" s="270">
        <f t="shared" si="4"/>
        <v>15.94923107</v>
      </c>
      <c r="M114" s="271" t="str">
        <f t="shared" si="5"/>
        <v>rosamoc</v>
      </c>
      <c r="N114" s="176">
        <f>IFERROR(__xludf.DUMMYFUNCTION("""COMPUTED_VALUE"""),3.0)</f>
        <v>3</v>
      </c>
      <c r="O114" s="176"/>
      <c r="P114" s="257" t="s">
        <v>56</v>
      </c>
      <c r="Q114" s="257" t="s">
        <v>43</v>
      </c>
      <c r="R114" s="176"/>
      <c r="S114" s="176"/>
      <c r="T114" s="176"/>
      <c r="U114" s="176"/>
      <c r="V114" s="176"/>
      <c r="W114" s="176"/>
      <c r="X114" s="176"/>
      <c r="Y114" s="176"/>
      <c r="Z114" s="176"/>
    </row>
    <row r="115">
      <c r="A115" s="267" t="str">
        <f>iferror(VLOOKUP(P115,'DO NOT TOUCH Imported'!$A$1:$D$800,4,False),iferror(VLOOKUP(P115,'DO NOT TOUCH Imported'!$C$1:$D$800,2,False),"OOPS FIX ME"))</f>
        <v>solsista</v>
      </c>
      <c r="B115" s="276" t="s">
        <v>1933</v>
      </c>
      <c r="C115" s="277" t="s">
        <v>1934</v>
      </c>
      <c r="D115" s="278" t="s">
        <v>437</v>
      </c>
      <c r="E115" s="279">
        <v>44258.0</v>
      </c>
      <c r="F115" s="278" t="s">
        <v>1929</v>
      </c>
      <c r="G115" s="171">
        <v>25.0</v>
      </c>
      <c r="H115" s="171">
        <v>2000.0</v>
      </c>
      <c r="I115" s="171">
        <v>200.0</v>
      </c>
      <c r="J115" s="172">
        <f t="shared" si="2"/>
        <v>0.001484118155</v>
      </c>
      <c r="K115" s="269">
        <f t="shared" si="3"/>
        <v>1.53358876</v>
      </c>
      <c r="L115" s="270">
        <f t="shared" si="4"/>
        <v>15.62717747</v>
      </c>
      <c r="M115" s="271" t="str">
        <f t="shared" si="5"/>
        <v>solsista</v>
      </c>
      <c r="N115" s="176">
        <f>IFERROR(__xludf.DUMMYFUNCTION("""COMPUTED_VALUE"""),1.0)</f>
        <v>1</v>
      </c>
      <c r="O115" s="176"/>
      <c r="P115" s="280" t="s">
        <v>463</v>
      </c>
      <c r="Q115" s="276" t="s">
        <v>1933</v>
      </c>
      <c r="R115" s="176"/>
      <c r="S115" s="176"/>
      <c r="T115" s="176"/>
      <c r="U115" s="176"/>
      <c r="V115" s="176"/>
      <c r="W115" s="176"/>
      <c r="X115" s="176"/>
      <c r="Y115" s="176"/>
      <c r="Z115" s="176"/>
    </row>
    <row r="116">
      <c r="A116" s="267" t="str">
        <f>iferror(VLOOKUP(P116,'DO NOT TOUCH Imported'!$A$1:$D$800,4,False),iferror(VLOOKUP(P116,'DO NOT TOUCH Imported'!$C$1:$D$800,2,False),"OOPS FIX ME"))</f>
        <v>solsista</v>
      </c>
      <c r="B116" s="276" t="s">
        <v>10</v>
      </c>
      <c r="C116" s="277" t="s">
        <v>1938</v>
      </c>
      <c r="D116" s="278" t="s">
        <v>437</v>
      </c>
      <c r="E116" s="279">
        <v>44260.0</v>
      </c>
      <c r="F116" s="278" t="s">
        <v>1929</v>
      </c>
      <c r="G116" s="171">
        <v>35.0</v>
      </c>
      <c r="H116" s="171">
        <v>2000.0</v>
      </c>
      <c r="I116" s="171">
        <v>200.0</v>
      </c>
      <c r="J116" s="172">
        <f t="shared" si="2"/>
        <v>0.001645851941</v>
      </c>
      <c r="K116" s="269">
        <f t="shared" si="3"/>
        <v>1.700713672</v>
      </c>
      <c r="L116" s="270">
        <f t="shared" si="4"/>
        <v>15.62717747</v>
      </c>
      <c r="M116" s="271" t="str">
        <f t="shared" si="5"/>
        <v>solsista</v>
      </c>
      <c r="N116" s="176">
        <f>IFERROR(__xludf.DUMMYFUNCTION("""COMPUTED_VALUE"""),2.0)</f>
        <v>2</v>
      </c>
      <c r="O116" s="176"/>
      <c r="P116" s="280" t="s">
        <v>463</v>
      </c>
      <c r="Q116" s="276" t="s">
        <v>10</v>
      </c>
      <c r="R116" s="176"/>
      <c r="S116" s="176"/>
      <c r="T116" s="176"/>
      <c r="U116" s="176"/>
      <c r="V116" s="176"/>
      <c r="W116" s="176"/>
      <c r="X116" s="176"/>
      <c r="Y116" s="176"/>
      <c r="Z116" s="176"/>
    </row>
    <row r="117">
      <c r="A117" s="267" t="str">
        <f>iferror(VLOOKUP(P117,'DO NOT TOUCH Imported'!$A$1:$D$800,4,False),iferror(VLOOKUP(P117,'DO NOT TOUCH Imported'!$C$1:$D$800,2,False),"OOPS FIX ME"))</f>
        <v>solsista</v>
      </c>
      <c r="B117" s="276" t="s">
        <v>10</v>
      </c>
      <c r="C117" s="277" t="s">
        <v>1997</v>
      </c>
      <c r="D117" s="278" t="s">
        <v>437</v>
      </c>
      <c r="E117" s="279">
        <v>44260.0</v>
      </c>
      <c r="F117" s="278" t="s">
        <v>1929</v>
      </c>
      <c r="G117" s="171">
        <v>25.0</v>
      </c>
      <c r="H117" s="171">
        <v>500.0</v>
      </c>
      <c r="I117" s="171">
        <v>20.0</v>
      </c>
      <c r="J117" s="172">
        <f t="shared" si="2"/>
        <v>0.0006044362798</v>
      </c>
      <c r="K117" s="269">
        <f t="shared" si="3"/>
        <v>0.6245841558</v>
      </c>
      <c r="L117" s="270">
        <f t="shared" si="4"/>
        <v>15.62717747</v>
      </c>
      <c r="M117" s="271" t="str">
        <f t="shared" si="5"/>
        <v>solsista</v>
      </c>
      <c r="N117" s="176">
        <f>IFERROR(__xludf.DUMMYFUNCTION("""COMPUTED_VALUE"""),3.0)</f>
        <v>3</v>
      </c>
      <c r="O117" s="176"/>
      <c r="P117" s="280" t="s">
        <v>463</v>
      </c>
      <c r="Q117" s="276" t="s">
        <v>10</v>
      </c>
      <c r="R117" s="176"/>
      <c r="S117" s="176"/>
      <c r="T117" s="176"/>
      <c r="U117" s="176"/>
      <c r="V117" s="176"/>
      <c r="W117" s="176"/>
      <c r="X117" s="176"/>
      <c r="Y117" s="176"/>
      <c r="Z117" s="176"/>
    </row>
    <row r="118">
      <c r="A118" s="267" t="str">
        <f>iferror(VLOOKUP(P118,'DO NOT TOUCH Imported'!$A$1:$D$800,4,False),iferror(VLOOKUP(P118,'DO NOT TOUCH Imported'!$C$1:$D$800,2,False),"OOPS FIX ME"))</f>
        <v>solsista</v>
      </c>
      <c r="B118" s="257" t="s">
        <v>10</v>
      </c>
      <c r="C118" s="261" t="s">
        <v>500</v>
      </c>
      <c r="D118" s="281" t="s">
        <v>495</v>
      </c>
      <c r="E118" s="282">
        <v>44260.0</v>
      </c>
      <c r="F118" s="258" t="s">
        <v>496</v>
      </c>
      <c r="G118" s="171">
        <v>35.0</v>
      </c>
      <c r="H118" s="171">
        <v>500.0</v>
      </c>
      <c r="I118" s="171">
        <v>40.0</v>
      </c>
      <c r="J118" s="172">
        <f t="shared" si="2"/>
        <v>0.0008127328046</v>
      </c>
      <c r="K118" s="269">
        <f t="shared" si="3"/>
        <v>0.8398238981</v>
      </c>
      <c r="L118" s="270">
        <f t="shared" si="4"/>
        <v>15.62717747</v>
      </c>
      <c r="M118" s="271" t="str">
        <f t="shared" si="5"/>
        <v>solsista</v>
      </c>
      <c r="N118" s="176">
        <f>IFERROR(__xludf.DUMMYFUNCTION("""COMPUTED_VALUE"""),4.0)</f>
        <v>4</v>
      </c>
      <c r="O118" s="176"/>
      <c r="P118" s="257" t="s">
        <v>8</v>
      </c>
      <c r="Q118" s="257" t="s">
        <v>10</v>
      </c>
      <c r="R118" s="176"/>
      <c r="S118" s="176"/>
      <c r="T118" s="176"/>
      <c r="U118" s="176"/>
      <c r="V118" s="176"/>
      <c r="W118" s="176"/>
      <c r="X118" s="176"/>
      <c r="Y118" s="176"/>
      <c r="Z118" s="176"/>
    </row>
    <row r="119">
      <c r="A119" s="267" t="str">
        <f>iferror(VLOOKUP(P119,'DO NOT TOUCH Imported'!$A$1:$D$800,4,False),iferror(VLOOKUP(P119,'DO NOT TOUCH Imported'!$C$1:$D$800,2,False),"OOPS FIX ME"))</f>
        <v>solsista</v>
      </c>
      <c r="B119" s="257" t="s">
        <v>867</v>
      </c>
      <c r="C119" s="261" t="s">
        <v>1998</v>
      </c>
      <c r="D119" s="281" t="s">
        <v>495</v>
      </c>
      <c r="E119" s="282">
        <v>44265.0</v>
      </c>
      <c r="F119" s="258" t="s">
        <v>496</v>
      </c>
      <c r="G119" s="171">
        <v>25.0</v>
      </c>
      <c r="H119" s="171">
        <v>1500.0</v>
      </c>
      <c r="I119" s="171">
        <v>400.0</v>
      </c>
      <c r="J119" s="172">
        <f t="shared" si="2"/>
        <v>0.001796206465</v>
      </c>
      <c r="K119" s="269">
        <f t="shared" si="3"/>
        <v>1.856080014</v>
      </c>
      <c r="L119" s="270">
        <f t="shared" si="4"/>
        <v>15.62717747</v>
      </c>
      <c r="M119" s="271" t="str">
        <f t="shared" si="5"/>
        <v>solsista</v>
      </c>
      <c r="N119" s="176">
        <f>IFERROR(__xludf.DUMMYFUNCTION("""COMPUTED_VALUE"""),5.0)</f>
        <v>5</v>
      </c>
      <c r="O119" s="176"/>
      <c r="P119" s="257" t="s">
        <v>8</v>
      </c>
      <c r="Q119" s="257" t="s">
        <v>867</v>
      </c>
      <c r="R119" s="176"/>
      <c r="S119" s="176"/>
      <c r="T119" s="176"/>
      <c r="U119" s="176"/>
      <c r="V119" s="176"/>
      <c r="W119" s="176"/>
      <c r="X119" s="176"/>
      <c r="Y119" s="176"/>
      <c r="Z119" s="176"/>
    </row>
    <row r="120">
      <c r="A120" s="267" t="str">
        <f>iferror(VLOOKUP(P120,'DO NOT TOUCH Imported'!$A$1:$D$800,4,False),iferror(VLOOKUP(P120,'DO NOT TOUCH Imported'!$C$1:$D$800,2,False),"OOPS FIX ME"))</f>
        <v>solsista</v>
      </c>
      <c r="B120" s="276" t="s">
        <v>10</v>
      </c>
      <c r="C120" s="277" t="s">
        <v>1999</v>
      </c>
      <c r="D120" s="278" t="s">
        <v>437</v>
      </c>
      <c r="E120" s="283">
        <v>44267.0</v>
      </c>
      <c r="F120" s="278" t="s">
        <v>439</v>
      </c>
      <c r="G120" s="171">
        <v>25.0</v>
      </c>
      <c r="H120" s="171">
        <v>25000.0</v>
      </c>
      <c r="I120" s="171">
        <v>300.0</v>
      </c>
      <c r="J120" s="172">
        <f t="shared" si="2"/>
        <v>0.00877972933</v>
      </c>
      <c r="K120" s="269">
        <f t="shared" si="3"/>
        <v>9.072386974</v>
      </c>
      <c r="L120" s="270">
        <f t="shared" si="4"/>
        <v>15.62717747</v>
      </c>
      <c r="M120" s="271" t="str">
        <f t="shared" si="5"/>
        <v>solsista</v>
      </c>
      <c r="N120" s="176">
        <f>IFERROR(__xludf.DUMMYFUNCTION("""COMPUTED_VALUE"""),6.0)</f>
        <v>6</v>
      </c>
      <c r="O120" s="176"/>
      <c r="P120" s="280" t="s">
        <v>463</v>
      </c>
      <c r="Q120" s="276" t="s">
        <v>10</v>
      </c>
      <c r="R120" s="176"/>
      <c r="S120" s="176"/>
      <c r="T120" s="176"/>
      <c r="U120" s="176"/>
      <c r="V120" s="176"/>
      <c r="W120" s="176"/>
      <c r="X120" s="176"/>
      <c r="Y120" s="176"/>
      <c r="Z120" s="176"/>
    </row>
    <row r="121">
      <c r="A121" s="267" t="str">
        <f>iferror(VLOOKUP(P121,'DO NOT TOUCH Imported'!$A$1:$D$800,4,False),iferror(VLOOKUP(P121,'DO NOT TOUCH Imported'!$C$1:$D$800,2,False),"OOPS FIX ME"))</f>
        <v>Laurenluz</v>
      </c>
      <c r="B121" s="257" t="s">
        <v>519</v>
      </c>
      <c r="C121" s="261" t="s">
        <v>2000</v>
      </c>
      <c r="D121" s="281" t="s">
        <v>495</v>
      </c>
      <c r="E121" s="282">
        <v>44258.0</v>
      </c>
      <c r="F121" s="258" t="s">
        <v>521</v>
      </c>
      <c r="G121" s="171">
        <v>50.0</v>
      </c>
      <c r="H121" s="171">
        <v>1000.0</v>
      </c>
      <c r="I121" s="171">
        <v>200.0</v>
      </c>
      <c r="J121" s="172">
        <f t="shared" si="2"/>
        <v>0.001581374469</v>
      </c>
      <c r="K121" s="269">
        <f t="shared" si="3"/>
        <v>1.634086951</v>
      </c>
      <c r="L121" s="270">
        <f t="shared" si="4"/>
        <v>15.21133328</v>
      </c>
      <c r="M121" s="271" t="str">
        <f t="shared" si="5"/>
        <v>Laurenluz</v>
      </c>
      <c r="N121" s="176">
        <f>IFERROR(__xludf.DUMMYFUNCTION("""COMPUTED_VALUE"""),1.0)</f>
        <v>1</v>
      </c>
      <c r="O121" s="176"/>
      <c r="P121" s="257" t="s">
        <v>23</v>
      </c>
      <c r="Q121" s="257" t="s">
        <v>519</v>
      </c>
      <c r="R121" s="176"/>
      <c r="S121" s="176"/>
      <c r="T121" s="176"/>
      <c r="U121" s="176"/>
      <c r="V121" s="176"/>
      <c r="W121" s="176"/>
      <c r="X121" s="176"/>
      <c r="Y121" s="176"/>
      <c r="Z121" s="176"/>
    </row>
    <row r="122">
      <c r="A122" s="267" t="str">
        <f>iferror(VLOOKUP(P122,'DO NOT TOUCH Imported'!$A$1:$D$800,4,False),iferror(VLOOKUP(P122,'DO NOT TOUCH Imported'!$C$1:$D$800,2,False),"OOPS FIX ME"))</f>
        <v>Laurenluz</v>
      </c>
      <c r="B122" s="257" t="s">
        <v>590</v>
      </c>
      <c r="C122" s="261" t="s">
        <v>2001</v>
      </c>
      <c r="D122" s="281" t="s">
        <v>495</v>
      </c>
      <c r="E122" s="282">
        <v>44259.0</v>
      </c>
      <c r="F122" s="258" t="s">
        <v>496</v>
      </c>
      <c r="G122" s="171">
        <v>35.0</v>
      </c>
      <c r="H122" s="171">
        <v>500.0</v>
      </c>
      <c r="I122" s="171">
        <v>1.0</v>
      </c>
      <c r="J122" s="172">
        <f t="shared" si="2"/>
        <v>0.0007219354643</v>
      </c>
      <c r="K122" s="269">
        <f t="shared" si="3"/>
        <v>0.7459999798</v>
      </c>
      <c r="L122" s="270">
        <f t="shared" si="4"/>
        <v>15.21133328</v>
      </c>
      <c r="M122" s="271" t="str">
        <f t="shared" si="5"/>
        <v>Laurenluz</v>
      </c>
      <c r="N122" s="176">
        <f>IFERROR(__xludf.DUMMYFUNCTION("""COMPUTED_VALUE"""),2.0)</f>
        <v>2</v>
      </c>
      <c r="O122" s="176"/>
      <c r="P122" s="257" t="s">
        <v>23</v>
      </c>
      <c r="Q122" s="257" t="s">
        <v>590</v>
      </c>
      <c r="R122" s="176"/>
      <c r="S122" s="176"/>
      <c r="T122" s="176"/>
      <c r="U122" s="176"/>
      <c r="V122" s="176"/>
      <c r="W122" s="176"/>
      <c r="X122" s="176"/>
      <c r="Y122" s="176"/>
      <c r="Z122" s="176"/>
    </row>
    <row r="123">
      <c r="A123" s="267" t="str">
        <f>iferror(VLOOKUP(P123,'DO NOT TOUCH Imported'!$A$1:$D$800,4,False),iferror(VLOOKUP(P123,'DO NOT TOUCH Imported'!$C$1:$D$800,2,False),"OOPS FIX ME"))</f>
        <v>Laurenluz</v>
      </c>
      <c r="B123" s="276" t="s">
        <v>1702</v>
      </c>
      <c r="C123" s="277" t="s">
        <v>1971</v>
      </c>
      <c r="D123" s="278" t="s">
        <v>437</v>
      </c>
      <c r="E123" s="279">
        <v>44260.0</v>
      </c>
      <c r="F123" s="278" t="s">
        <v>1929</v>
      </c>
      <c r="G123" s="171">
        <v>15.0</v>
      </c>
      <c r="H123" s="171">
        <v>500.0</v>
      </c>
      <c r="I123" s="171">
        <v>500.0</v>
      </c>
      <c r="J123" s="172">
        <f t="shared" si="2"/>
        <v>0.001560208221</v>
      </c>
      <c r="K123" s="269">
        <f t="shared" si="3"/>
        <v>1.612215162</v>
      </c>
      <c r="L123" s="270">
        <f t="shared" si="4"/>
        <v>15.21133328</v>
      </c>
      <c r="M123" s="271" t="str">
        <f t="shared" si="5"/>
        <v>Laurenluz</v>
      </c>
      <c r="N123" s="176">
        <f>IFERROR(__xludf.DUMMYFUNCTION("""COMPUTED_VALUE"""),3.0)</f>
        <v>3</v>
      </c>
      <c r="O123" s="176"/>
      <c r="P123" s="280" t="s">
        <v>596</v>
      </c>
      <c r="Q123" s="276" t="s">
        <v>1702</v>
      </c>
      <c r="R123" s="176"/>
      <c r="S123" s="176"/>
      <c r="T123" s="176"/>
      <c r="U123" s="176"/>
      <c r="V123" s="176"/>
      <c r="W123" s="176"/>
      <c r="X123" s="176"/>
      <c r="Y123" s="176"/>
      <c r="Z123" s="176"/>
    </row>
    <row r="124">
      <c r="A124" s="267" t="str">
        <f>iferror(VLOOKUP(P124,'DO NOT TOUCH Imported'!$A$1:$D$800,4,False),iferror(VLOOKUP(P124,'DO NOT TOUCH Imported'!$C$1:$D$800,2,False),"OOPS FIX ME"))</f>
        <v>Laurenluz</v>
      </c>
      <c r="B124" s="257" t="s">
        <v>10</v>
      </c>
      <c r="C124" s="261" t="s">
        <v>498</v>
      </c>
      <c r="D124" s="281" t="s">
        <v>495</v>
      </c>
      <c r="E124" s="282">
        <v>44260.0</v>
      </c>
      <c r="F124" s="258" t="s">
        <v>499</v>
      </c>
      <c r="G124" s="171">
        <v>35.0</v>
      </c>
      <c r="H124" s="171">
        <v>500.0</v>
      </c>
      <c r="I124" s="171">
        <v>40.0</v>
      </c>
      <c r="J124" s="172">
        <f t="shared" si="2"/>
        <v>0.0008127328046</v>
      </c>
      <c r="K124" s="269">
        <f t="shared" si="3"/>
        <v>0.8398238981</v>
      </c>
      <c r="L124" s="270">
        <f t="shared" si="4"/>
        <v>15.21133328</v>
      </c>
      <c r="M124" s="271" t="str">
        <f t="shared" si="5"/>
        <v>Laurenluz</v>
      </c>
      <c r="N124" s="176">
        <f>IFERROR(__xludf.DUMMYFUNCTION("""COMPUTED_VALUE"""),4.0)</f>
        <v>4</v>
      </c>
      <c r="O124" s="176"/>
      <c r="P124" s="257" t="s">
        <v>23</v>
      </c>
      <c r="Q124" s="257" t="s">
        <v>10</v>
      </c>
      <c r="R124" s="176"/>
      <c r="S124" s="176"/>
      <c r="T124" s="176"/>
      <c r="U124" s="176"/>
      <c r="V124" s="176"/>
      <c r="W124" s="176"/>
      <c r="X124" s="176"/>
      <c r="Y124" s="176"/>
      <c r="Z124" s="176"/>
    </row>
    <row r="125">
      <c r="A125" s="267" t="str">
        <f>iferror(VLOOKUP(P125,'DO NOT TOUCH Imported'!$A$1:$D$800,4,False),iferror(VLOOKUP(P125,'DO NOT TOUCH Imported'!$C$1:$D$800,2,False),"OOPS FIX ME"))</f>
        <v>Laurenluz</v>
      </c>
      <c r="B125" s="257" t="s">
        <v>590</v>
      </c>
      <c r="C125" s="261" t="s">
        <v>1945</v>
      </c>
      <c r="D125" s="281" t="s">
        <v>495</v>
      </c>
      <c r="E125" s="282">
        <v>44264.0</v>
      </c>
      <c r="F125" s="258" t="s">
        <v>496</v>
      </c>
      <c r="G125" s="171">
        <v>25.0</v>
      </c>
      <c r="H125" s="171">
        <v>1000.0</v>
      </c>
      <c r="I125" s="171">
        <v>50.0</v>
      </c>
      <c r="J125" s="172">
        <f t="shared" si="2"/>
        <v>0.0008278194634</v>
      </c>
      <c r="K125" s="269">
        <f t="shared" si="3"/>
        <v>0.8554134456</v>
      </c>
      <c r="L125" s="270">
        <f t="shared" si="4"/>
        <v>15.21133328</v>
      </c>
      <c r="M125" s="271" t="str">
        <f t="shared" si="5"/>
        <v>Laurenluz</v>
      </c>
      <c r="N125" s="176">
        <f>IFERROR(__xludf.DUMMYFUNCTION("""COMPUTED_VALUE"""),5.0)</f>
        <v>5</v>
      </c>
      <c r="O125" s="176"/>
      <c r="P125" s="257" t="s">
        <v>23</v>
      </c>
      <c r="Q125" s="257" t="s">
        <v>590</v>
      </c>
      <c r="R125" s="176"/>
      <c r="S125" s="176"/>
      <c r="T125" s="176"/>
      <c r="U125" s="176"/>
      <c r="V125" s="176"/>
      <c r="W125" s="176"/>
      <c r="X125" s="176"/>
      <c r="Y125" s="176"/>
      <c r="Z125" s="176"/>
    </row>
    <row r="126">
      <c r="A126" s="267" t="str">
        <f>iferror(VLOOKUP(P126,'DO NOT TOUCH Imported'!$A$1:$D$800,4,False),iferror(VLOOKUP(P126,'DO NOT TOUCH Imported'!$C$1:$D$800,2,False),"OOPS FIX ME"))</f>
        <v>Laurenluz</v>
      </c>
      <c r="B126" s="257" t="s">
        <v>519</v>
      </c>
      <c r="C126" s="261" t="s">
        <v>668</v>
      </c>
      <c r="D126" s="281" t="s">
        <v>495</v>
      </c>
      <c r="E126" s="282">
        <v>44265.0</v>
      </c>
      <c r="F126" s="258" t="s">
        <v>521</v>
      </c>
      <c r="G126" s="171">
        <v>25.0</v>
      </c>
      <c r="H126" s="171">
        <v>1000.0</v>
      </c>
      <c r="I126" s="171">
        <v>300.0</v>
      </c>
      <c r="J126" s="172">
        <f t="shared" si="2"/>
        <v>0.001409853696</v>
      </c>
      <c r="K126" s="269">
        <f t="shared" si="3"/>
        <v>1.45684882</v>
      </c>
      <c r="L126" s="270">
        <f t="shared" si="4"/>
        <v>15.21133328</v>
      </c>
      <c r="M126" s="271" t="str">
        <f t="shared" si="5"/>
        <v>Laurenluz</v>
      </c>
      <c r="N126" s="176">
        <f>IFERROR(__xludf.DUMMYFUNCTION("""COMPUTED_VALUE"""),6.0)</f>
        <v>6</v>
      </c>
      <c r="O126" s="176"/>
      <c r="P126" s="257" t="s">
        <v>23</v>
      </c>
      <c r="Q126" s="257" t="s">
        <v>519</v>
      </c>
      <c r="R126" s="176"/>
      <c r="S126" s="176"/>
      <c r="T126" s="176"/>
      <c r="U126" s="176"/>
      <c r="V126" s="176"/>
      <c r="W126" s="176"/>
      <c r="X126" s="176"/>
      <c r="Y126" s="176"/>
      <c r="Z126" s="176"/>
    </row>
    <row r="127">
      <c r="A127" s="267" t="str">
        <f>iferror(VLOOKUP(P127,'DO NOT TOUCH Imported'!$A$1:$D$800,4,False),iferror(VLOOKUP(P127,'DO NOT TOUCH Imported'!$C$1:$D$800,2,False),"OOPS FIX ME"))</f>
        <v>Laurenluz</v>
      </c>
      <c r="B127" s="276" t="s">
        <v>10</v>
      </c>
      <c r="C127" s="277" t="s">
        <v>2002</v>
      </c>
      <c r="D127" s="278" t="s">
        <v>437</v>
      </c>
      <c r="E127" s="283">
        <v>44267.0</v>
      </c>
      <c r="F127" s="278" t="s">
        <v>439</v>
      </c>
      <c r="G127" s="171">
        <v>25.0</v>
      </c>
      <c r="H127" s="171">
        <v>500.0</v>
      </c>
      <c r="I127" s="171">
        <v>100.0</v>
      </c>
      <c r="J127" s="172">
        <f t="shared" si="2"/>
        <v>0.0007906872343</v>
      </c>
      <c r="K127" s="269">
        <f t="shared" si="3"/>
        <v>0.8170434755</v>
      </c>
      <c r="L127" s="270">
        <f t="shared" si="4"/>
        <v>15.21133328</v>
      </c>
      <c r="M127" s="271" t="str">
        <f t="shared" si="5"/>
        <v>Laurenluz</v>
      </c>
      <c r="N127" s="176">
        <f>IFERROR(__xludf.DUMMYFUNCTION("""COMPUTED_VALUE"""),7.0)</f>
        <v>7</v>
      </c>
      <c r="O127" s="176"/>
      <c r="P127" s="280" t="s">
        <v>596</v>
      </c>
      <c r="Q127" s="276" t="s">
        <v>10</v>
      </c>
      <c r="R127" s="176"/>
      <c r="S127" s="176"/>
      <c r="T127" s="176"/>
      <c r="U127" s="176"/>
      <c r="V127" s="176"/>
      <c r="W127" s="176"/>
      <c r="X127" s="176"/>
      <c r="Y127" s="176"/>
      <c r="Z127" s="176"/>
    </row>
    <row r="128">
      <c r="A128" s="267" t="str">
        <f>iferror(VLOOKUP(P128,'DO NOT TOUCH Imported'!$A$1:$D$800,4,False),iferror(VLOOKUP(P128,'DO NOT TOUCH Imported'!$C$1:$D$800,2,False),"OOPS FIX ME"))</f>
        <v>Laurenluz</v>
      </c>
      <c r="B128" s="276" t="s">
        <v>10</v>
      </c>
      <c r="C128" s="277" t="s">
        <v>2003</v>
      </c>
      <c r="D128" s="278" t="s">
        <v>437</v>
      </c>
      <c r="E128" s="283">
        <v>44267.0</v>
      </c>
      <c r="F128" s="278" t="s">
        <v>439</v>
      </c>
      <c r="G128" s="171">
        <v>15.0</v>
      </c>
      <c r="H128" s="171">
        <v>2500.0</v>
      </c>
      <c r="I128" s="171">
        <v>500.0</v>
      </c>
      <c r="J128" s="172">
        <f t="shared" si="2"/>
        <v>0.002174364524</v>
      </c>
      <c r="K128" s="269">
        <f t="shared" si="3"/>
        <v>2.246843341</v>
      </c>
      <c r="L128" s="270">
        <f t="shared" si="4"/>
        <v>15.21133328</v>
      </c>
      <c r="M128" s="271" t="str">
        <f t="shared" si="5"/>
        <v>Laurenluz</v>
      </c>
      <c r="N128" s="176">
        <f>IFERROR(__xludf.DUMMYFUNCTION("""COMPUTED_VALUE"""),8.0)</f>
        <v>8</v>
      </c>
      <c r="O128" s="176"/>
      <c r="P128" s="280" t="s">
        <v>596</v>
      </c>
      <c r="Q128" s="276" t="s">
        <v>10</v>
      </c>
      <c r="R128" s="176"/>
      <c r="S128" s="176"/>
      <c r="T128" s="176"/>
      <c r="U128" s="176"/>
      <c r="V128" s="176"/>
      <c r="W128" s="176"/>
      <c r="X128" s="176"/>
      <c r="Y128" s="176"/>
      <c r="Z128" s="176"/>
    </row>
    <row r="129">
      <c r="A129" s="267" t="str">
        <f>iferror(VLOOKUP(P129,'DO NOT TOUCH Imported'!$A$1:$D$800,4,False),iferror(VLOOKUP(P129,'DO NOT TOUCH Imported'!$C$1:$D$800,2,False),"OOPS FIX ME"))</f>
        <v>Laurenluz</v>
      </c>
      <c r="B129" s="276" t="s">
        <v>10</v>
      </c>
      <c r="C129" s="277" t="s">
        <v>1952</v>
      </c>
      <c r="D129" s="278" t="s">
        <v>437</v>
      </c>
      <c r="E129" s="283">
        <v>44267.0</v>
      </c>
      <c r="F129" s="278" t="s">
        <v>439</v>
      </c>
      <c r="G129" s="171">
        <v>25.0</v>
      </c>
      <c r="H129" s="171">
        <v>1000.0</v>
      </c>
      <c r="I129" s="171">
        <v>10.0</v>
      </c>
      <c r="J129" s="172">
        <f t="shared" si="2"/>
        <v>0.0007346939862</v>
      </c>
      <c r="K129" s="269">
        <f t="shared" si="3"/>
        <v>0.7591837857</v>
      </c>
      <c r="L129" s="270">
        <f t="shared" si="4"/>
        <v>15.21133328</v>
      </c>
      <c r="M129" s="271" t="str">
        <f t="shared" si="5"/>
        <v>Laurenluz</v>
      </c>
      <c r="N129" s="176">
        <f>IFERROR(__xludf.DUMMYFUNCTION("""COMPUTED_VALUE"""),9.0)</f>
        <v>9</v>
      </c>
      <c r="O129" s="176"/>
      <c r="P129" s="280" t="s">
        <v>596</v>
      </c>
      <c r="Q129" s="276" t="s">
        <v>10</v>
      </c>
      <c r="R129" s="176"/>
      <c r="S129" s="176"/>
      <c r="T129" s="176"/>
      <c r="U129" s="176"/>
      <c r="V129" s="176"/>
      <c r="W129" s="176"/>
      <c r="X129" s="176"/>
      <c r="Y129" s="176"/>
      <c r="Z129" s="176"/>
    </row>
    <row r="130">
      <c r="A130" s="267" t="str">
        <f>iferror(VLOOKUP(P130,'DO NOT TOUCH Imported'!$A$1:$D$800,4,False),iferror(VLOOKUP(P130,'DO NOT TOUCH Imported'!$C$1:$D$800,2,False),"OOPS FIX ME"))</f>
        <v>Laurenluz</v>
      </c>
      <c r="B130" s="257" t="s">
        <v>10</v>
      </c>
      <c r="C130" s="261" t="s">
        <v>498</v>
      </c>
      <c r="D130" s="281" t="s">
        <v>495</v>
      </c>
      <c r="E130" s="282">
        <v>44267.0</v>
      </c>
      <c r="F130" s="258" t="s">
        <v>499</v>
      </c>
      <c r="G130" s="171">
        <v>25.0</v>
      </c>
      <c r="H130" s="171">
        <v>500.0</v>
      </c>
      <c r="I130" s="171">
        <v>100.0</v>
      </c>
      <c r="J130" s="172">
        <f t="shared" si="2"/>
        <v>0.0007906872343</v>
      </c>
      <c r="K130" s="269">
        <f t="shared" si="3"/>
        <v>0.8170434755</v>
      </c>
      <c r="L130" s="270">
        <f t="shared" si="4"/>
        <v>15.21133328</v>
      </c>
      <c r="M130" s="271" t="str">
        <f t="shared" si="5"/>
        <v>Laurenluz</v>
      </c>
      <c r="N130" s="176">
        <f>IFERROR(__xludf.DUMMYFUNCTION("""COMPUTED_VALUE"""),10.0)</f>
        <v>10</v>
      </c>
      <c r="O130" s="176"/>
      <c r="P130" s="257" t="s">
        <v>23</v>
      </c>
      <c r="Q130" s="257" t="s">
        <v>10</v>
      </c>
      <c r="R130" s="176"/>
      <c r="S130" s="176"/>
      <c r="T130" s="176"/>
      <c r="U130" s="176"/>
      <c r="V130" s="176"/>
      <c r="W130" s="176"/>
      <c r="X130" s="176"/>
      <c r="Y130" s="176"/>
      <c r="Z130" s="176"/>
    </row>
    <row r="131">
      <c r="A131" s="267" t="str">
        <f>iferror(VLOOKUP(P131,'DO NOT TOUCH Imported'!$A$1:$D$800,4,False),iferror(VLOOKUP(P131,'DO NOT TOUCH Imported'!$C$1:$D$800,2,False),"OOPS FIX ME"))</f>
        <v>Laurenluz</v>
      </c>
      <c r="B131" s="257" t="s">
        <v>38</v>
      </c>
      <c r="C131" s="261" t="s">
        <v>2004</v>
      </c>
      <c r="D131" s="281" t="s">
        <v>495</v>
      </c>
      <c r="E131" s="282">
        <v>44267.0</v>
      </c>
      <c r="F131" s="258" t="s">
        <v>521</v>
      </c>
      <c r="G131" s="171">
        <v>100.0</v>
      </c>
      <c r="H131" s="171">
        <v>2500.0</v>
      </c>
      <c r="I131" s="171">
        <v>400.0</v>
      </c>
      <c r="J131" s="172">
        <f t="shared" si="2"/>
        <v>0.003316288013</v>
      </c>
      <c r="K131" s="269">
        <f t="shared" si="3"/>
        <v>3.426830947</v>
      </c>
      <c r="L131" s="270">
        <f t="shared" si="4"/>
        <v>15.21133328</v>
      </c>
      <c r="M131" s="271" t="str">
        <f t="shared" si="5"/>
        <v>Laurenluz</v>
      </c>
      <c r="N131" s="176">
        <f>IFERROR(__xludf.DUMMYFUNCTION("""COMPUTED_VALUE"""),11.0)</f>
        <v>11</v>
      </c>
      <c r="O131" s="176"/>
      <c r="P131" s="257" t="s">
        <v>23</v>
      </c>
      <c r="Q131" s="257" t="s">
        <v>38</v>
      </c>
      <c r="R131" s="176"/>
      <c r="S131" s="176"/>
      <c r="T131" s="176"/>
      <c r="U131" s="176"/>
      <c r="V131" s="176"/>
      <c r="W131" s="176"/>
      <c r="X131" s="176"/>
      <c r="Y131" s="176"/>
      <c r="Z131" s="176"/>
    </row>
    <row r="132">
      <c r="A132" s="267" t="str">
        <f>iferror(VLOOKUP(P132,'DO NOT TOUCH Imported'!$A$1:$D$800,4,False),iferror(VLOOKUP(P132,'DO NOT TOUCH Imported'!$C$1:$D$800,2,False),"OOPS FIX ME"))</f>
        <v>ygganderson</v>
      </c>
      <c r="B132" s="276" t="s">
        <v>1933</v>
      </c>
      <c r="C132" s="277" t="s">
        <v>1936</v>
      </c>
      <c r="D132" s="278" t="s">
        <v>437</v>
      </c>
      <c r="E132" s="279">
        <v>44259.0</v>
      </c>
      <c r="F132" s="278" t="s">
        <v>1929</v>
      </c>
      <c r="G132" s="171">
        <v>25.0</v>
      </c>
      <c r="H132" s="171">
        <v>1500.0</v>
      </c>
      <c r="I132" s="171">
        <v>200.0</v>
      </c>
      <c r="J132" s="172">
        <f t="shared" si="2"/>
        <v>0.001330579079</v>
      </c>
      <c r="K132" s="269">
        <f t="shared" si="3"/>
        <v>1.374931715</v>
      </c>
      <c r="L132" s="270">
        <f t="shared" si="4"/>
        <v>12.99478139</v>
      </c>
      <c r="M132" s="271" t="str">
        <f t="shared" si="5"/>
        <v>ygganderson</v>
      </c>
      <c r="N132" s="176">
        <f>IFERROR(__xludf.DUMMYFUNCTION("""COMPUTED_VALUE"""),1.0)</f>
        <v>1</v>
      </c>
      <c r="O132" s="176"/>
      <c r="P132" s="280" t="s">
        <v>512</v>
      </c>
      <c r="Q132" s="276" t="s">
        <v>1933</v>
      </c>
      <c r="R132" s="176"/>
      <c r="S132" s="176"/>
      <c r="T132" s="176"/>
      <c r="U132" s="176"/>
      <c r="V132" s="176"/>
      <c r="W132" s="176"/>
      <c r="X132" s="176"/>
      <c r="Y132" s="176"/>
      <c r="Z132" s="176"/>
    </row>
    <row r="133">
      <c r="A133" s="267" t="str">
        <f>iferror(VLOOKUP(P133,'DO NOT TOUCH Imported'!$A$1:$D$800,4,False),iferror(VLOOKUP(P133,'DO NOT TOUCH Imported'!$C$1:$D$800,2,False),"OOPS FIX ME"))</f>
        <v>ygganderson</v>
      </c>
      <c r="B133" s="257" t="s">
        <v>10</v>
      </c>
      <c r="C133" s="261" t="s">
        <v>2005</v>
      </c>
      <c r="D133" s="281" t="s">
        <v>495</v>
      </c>
      <c r="E133" s="282">
        <v>44260.0</v>
      </c>
      <c r="F133" s="258" t="s">
        <v>496</v>
      </c>
      <c r="G133" s="171">
        <v>50.0</v>
      </c>
      <c r="H133" s="171">
        <v>500.0</v>
      </c>
      <c r="I133" s="171">
        <v>200.0</v>
      </c>
      <c r="J133" s="172">
        <f t="shared" si="2"/>
        <v>0.001427835393</v>
      </c>
      <c r="K133" s="269">
        <f t="shared" si="3"/>
        <v>1.475429906</v>
      </c>
      <c r="L133" s="270">
        <f t="shared" si="4"/>
        <v>12.99478139</v>
      </c>
      <c r="M133" s="271" t="str">
        <f t="shared" si="5"/>
        <v>ygganderson</v>
      </c>
      <c r="N133" s="176">
        <f>IFERROR(__xludf.DUMMYFUNCTION("""COMPUTED_VALUE"""),2.0)</f>
        <v>2</v>
      </c>
      <c r="O133" s="176"/>
      <c r="P133" s="257" t="s">
        <v>7</v>
      </c>
      <c r="Q133" s="257" t="s">
        <v>10</v>
      </c>
      <c r="R133" s="176"/>
      <c r="S133" s="176"/>
      <c r="T133" s="176"/>
      <c r="U133" s="176"/>
      <c r="V133" s="176"/>
      <c r="W133" s="176"/>
      <c r="X133" s="176"/>
      <c r="Y133" s="176"/>
      <c r="Z133" s="176"/>
    </row>
    <row r="134">
      <c r="A134" s="267" t="str">
        <f>iferror(VLOOKUP(P134,'DO NOT TOUCH Imported'!$A$1:$D$800,4,False),iferror(VLOOKUP(P134,'DO NOT TOUCH Imported'!$C$1:$D$800,2,False),"OOPS FIX ME"))</f>
        <v>ygganderson</v>
      </c>
      <c r="B134" s="257" t="s">
        <v>10</v>
      </c>
      <c r="C134" s="261" t="s">
        <v>500</v>
      </c>
      <c r="D134" s="281" t="s">
        <v>495</v>
      </c>
      <c r="E134" s="282">
        <v>44260.0</v>
      </c>
      <c r="F134" s="258" t="s">
        <v>496</v>
      </c>
      <c r="G134" s="171">
        <v>35.0</v>
      </c>
      <c r="H134" s="171">
        <v>500.0</v>
      </c>
      <c r="I134" s="171">
        <v>40.0</v>
      </c>
      <c r="J134" s="172">
        <f t="shared" si="2"/>
        <v>0.0008127328046</v>
      </c>
      <c r="K134" s="269">
        <f t="shared" si="3"/>
        <v>0.8398238981</v>
      </c>
      <c r="L134" s="270">
        <f t="shared" si="4"/>
        <v>12.99478139</v>
      </c>
      <c r="M134" s="271" t="str">
        <f t="shared" si="5"/>
        <v>ygganderson</v>
      </c>
      <c r="N134" s="176">
        <f>IFERROR(__xludf.DUMMYFUNCTION("""COMPUTED_VALUE"""),3.0)</f>
        <v>3</v>
      </c>
      <c r="O134" s="176"/>
      <c r="P134" s="257" t="s">
        <v>7</v>
      </c>
      <c r="Q134" s="257" t="s">
        <v>10</v>
      </c>
      <c r="R134" s="176"/>
      <c r="S134" s="176"/>
      <c r="T134" s="176"/>
      <c r="U134" s="176"/>
      <c r="V134" s="176"/>
      <c r="W134" s="176"/>
      <c r="X134" s="176"/>
      <c r="Y134" s="176"/>
      <c r="Z134" s="176"/>
    </row>
    <row r="135">
      <c r="A135" s="267" t="str">
        <f>iferror(VLOOKUP(P135,'DO NOT TOUCH Imported'!$A$1:$D$800,4,False),iferror(VLOOKUP(P135,'DO NOT TOUCH Imported'!$C$1:$D$800,2,False),"OOPS FIX ME"))</f>
        <v>ygganderson</v>
      </c>
      <c r="B135" s="257" t="s">
        <v>10</v>
      </c>
      <c r="C135" s="261" t="s">
        <v>498</v>
      </c>
      <c r="D135" s="281" t="s">
        <v>495</v>
      </c>
      <c r="E135" s="282">
        <v>44260.0</v>
      </c>
      <c r="F135" s="258" t="s">
        <v>499</v>
      </c>
      <c r="G135" s="171">
        <v>35.0</v>
      </c>
      <c r="H135" s="171">
        <v>500.0</v>
      </c>
      <c r="I135" s="171">
        <v>40.0</v>
      </c>
      <c r="J135" s="172">
        <f t="shared" si="2"/>
        <v>0.0008127328046</v>
      </c>
      <c r="K135" s="269">
        <f t="shared" si="3"/>
        <v>0.8398238981</v>
      </c>
      <c r="L135" s="270">
        <f t="shared" si="4"/>
        <v>12.99478139</v>
      </c>
      <c r="M135" s="271" t="str">
        <f t="shared" si="5"/>
        <v>ygganderson</v>
      </c>
      <c r="N135" s="176">
        <f>IFERROR(__xludf.DUMMYFUNCTION("""COMPUTED_VALUE"""),4.0)</f>
        <v>4</v>
      </c>
      <c r="O135" s="176"/>
      <c r="P135" s="257" t="s">
        <v>7</v>
      </c>
      <c r="Q135" s="257" t="s">
        <v>10</v>
      </c>
      <c r="R135" s="176"/>
      <c r="S135" s="176"/>
      <c r="T135" s="176"/>
      <c r="U135" s="176"/>
      <c r="V135" s="176"/>
      <c r="W135" s="176"/>
      <c r="X135" s="176"/>
      <c r="Y135" s="176"/>
      <c r="Z135" s="176"/>
    </row>
    <row r="136">
      <c r="A136" s="267" t="str">
        <f>iferror(VLOOKUP(P136,'DO NOT TOUCH Imported'!$A$1:$D$800,4,False),iferror(VLOOKUP(P136,'DO NOT TOUCH Imported'!$C$1:$D$800,2,False),"OOPS FIX ME"))</f>
        <v>ygganderson</v>
      </c>
      <c r="B136" s="276" t="s">
        <v>48</v>
      </c>
      <c r="C136" s="277" t="s">
        <v>2006</v>
      </c>
      <c r="D136" s="278" t="s">
        <v>437</v>
      </c>
      <c r="E136" s="279">
        <v>44264.0</v>
      </c>
      <c r="F136" s="278" t="s">
        <v>1929</v>
      </c>
      <c r="G136" s="171">
        <v>45.0</v>
      </c>
      <c r="H136" s="171">
        <v>1000.0</v>
      </c>
      <c r="I136" s="171">
        <v>1000.0</v>
      </c>
      <c r="J136" s="172">
        <f t="shared" si="2"/>
        <v>0.003363017121</v>
      </c>
      <c r="K136" s="269">
        <f t="shared" si="3"/>
        <v>3.475117692</v>
      </c>
      <c r="L136" s="270">
        <f t="shared" si="4"/>
        <v>12.99478139</v>
      </c>
      <c r="M136" s="271" t="str">
        <f t="shared" si="5"/>
        <v>ygganderson</v>
      </c>
      <c r="N136" s="176">
        <f>IFERROR(__xludf.DUMMYFUNCTION("""COMPUTED_VALUE"""),5.0)</f>
        <v>5</v>
      </c>
      <c r="O136" s="176"/>
      <c r="P136" s="267" t="s">
        <v>512</v>
      </c>
      <c r="Q136" s="272" t="s">
        <v>48</v>
      </c>
      <c r="R136" s="176"/>
      <c r="S136" s="176"/>
      <c r="T136" s="176"/>
      <c r="U136" s="176"/>
      <c r="V136" s="176"/>
      <c r="W136" s="176"/>
      <c r="X136" s="176"/>
      <c r="Y136" s="176"/>
      <c r="Z136" s="176"/>
    </row>
    <row r="137">
      <c r="A137" s="267" t="str">
        <f>iferror(VLOOKUP(P137,'DO NOT TOUCH Imported'!$A$1:$D$800,4,False),iferror(VLOOKUP(P137,'DO NOT TOUCH Imported'!$C$1:$D$800,2,False),"OOPS FIX ME"))</f>
        <v>ygganderson</v>
      </c>
      <c r="B137" s="276" t="s">
        <v>10</v>
      </c>
      <c r="C137" s="277" t="s">
        <v>2007</v>
      </c>
      <c r="D137" s="278" t="s">
        <v>437</v>
      </c>
      <c r="E137" s="283">
        <v>44267.0</v>
      </c>
      <c r="F137" s="278" t="s">
        <v>439</v>
      </c>
      <c r="G137" s="171">
        <v>50.0</v>
      </c>
      <c r="H137" s="171">
        <v>1000.0</v>
      </c>
      <c r="I137" s="171">
        <v>600.0</v>
      </c>
      <c r="J137" s="172">
        <f t="shared" si="2"/>
        <v>0.002512629241</v>
      </c>
      <c r="K137" s="269">
        <f t="shared" si="3"/>
        <v>2.596383549</v>
      </c>
      <c r="L137" s="270">
        <f t="shared" si="4"/>
        <v>12.99478139</v>
      </c>
      <c r="M137" s="271" t="str">
        <f t="shared" si="5"/>
        <v>ygganderson</v>
      </c>
      <c r="N137" s="176">
        <f>IFERROR(__xludf.DUMMYFUNCTION("""COMPUTED_VALUE"""),6.0)</f>
        <v>6</v>
      </c>
      <c r="O137" s="176"/>
      <c r="P137" s="280" t="s">
        <v>512</v>
      </c>
      <c r="Q137" s="276" t="s">
        <v>10</v>
      </c>
      <c r="R137" s="176"/>
      <c r="S137" s="176"/>
      <c r="T137" s="176"/>
      <c r="U137" s="176"/>
      <c r="V137" s="176"/>
      <c r="W137" s="176"/>
      <c r="X137" s="176"/>
      <c r="Y137" s="176"/>
      <c r="Z137" s="176"/>
    </row>
    <row r="138">
      <c r="A138" s="267" t="str">
        <f>iferror(VLOOKUP(P138,'DO NOT TOUCH Imported'!$A$1:$D$800,4,False),iferror(VLOOKUP(P138,'DO NOT TOUCH Imported'!$C$1:$D$800,2,False),"OOPS FIX ME"))</f>
        <v>ygganderson</v>
      </c>
      <c r="B138" s="276" t="s">
        <v>10</v>
      </c>
      <c r="C138" s="277" t="s">
        <v>1952</v>
      </c>
      <c r="D138" s="278" t="s">
        <v>437</v>
      </c>
      <c r="E138" s="283">
        <v>44267.0</v>
      </c>
      <c r="F138" s="278" t="s">
        <v>439</v>
      </c>
      <c r="G138" s="171">
        <v>25.0</v>
      </c>
      <c r="H138" s="171">
        <v>1000.0</v>
      </c>
      <c r="I138" s="171">
        <v>10.0</v>
      </c>
      <c r="J138" s="172">
        <f t="shared" si="2"/>
        <v>0.0007346939862</v>
      </c>
      <c r="K138" s="269">
        <f t="shared" si="3"/>
        <v>0.7591837857</v>
      </c>
      <c r="L138" s="270">
        <f t="shared" si="4"/>
        <v>12.99478139</v>
      </c>
      <c r="M138" s="271" t="str">
        <f t="shared" si="5"/>
        <v>ygganderson</v>
      </c>
      <c r="N138" s="176">
        <f>IFERROR(__xludf.DUMMYFUNCTION("""COMPUTED_VALUE"""),7.0)</f>
        <v>7</v>
      </c>
      <c r="O138" s="176"/>
      <c r="P138" s="280" t="s">
        <v>512</v>
      </c>
      <c r="Q138" s="276" t="s">
        <v>10</v>
      </c>
      <c r="R138" s="176"/>
      <c r="S138" s="176"/>
      <c r="T138" s="176"/>
      <c r="U138" s="176"/>
      <c r="V138" s="176"/>
      <c r="W138" s="176"/>
      <c r="X138" s="176"/>
      <c r="Y138" s="176"/>
      <c r="Z138" s="176"/>
    </row>
    <row r="139">
      <c r="A139" s="267" t="str">
        <f>iferror(VLOOKUP(P139,'DO NOT TOUCH Imported'!$A$1:$D$800,4,False),iferror(VLOOKUP(P139,'DO NOT TOUCH Imported'!$C$1:$D$800,2,False),"OOPS FIX ME"))</f>
        <v>ygganderson</v>
      </c>
      <c r="B139" s="257" t="s">
        <v>10</v>
      </c>
      <c r="C139" s="261" t="s">
        <v>498</v>
      </c>
      <c r="D139" s="281" t="s">
        <v>495</v>
      </c>
      <c r="E139" s="282">
        <v>44267.0</v>
      </c>
      <c r="F139" s="258" t="s">
        <v>499</v>
      </c>
      <c r="G139" s="171">
        <v>25.0</v>
      </c>
      <c r="H139" s="171">
        <v>500.0</v>
      </c>
      <c r="I139" s="171">
        <v>100.0</v>
      </c>
      <c r="J139" s="172">
        <f t="shared" si="2"/>
        <v>0.0007906872343</v>
      </c>
      <c r="K139" s="269">
        <f t="shared" si="3"/>
        <v>0.8170434755</v>
      </c>
      <c r="L139" s="270">
        <f t="shared" si="4"/>
        <v>12.99478139</v>
      </c>
      <c r="M139" s="271" t="str">
        <f t="shared" si="5"/>
        <v>ygganderson</v>
      </c>
      <c r="N139" s="176">
        <f>IFERROR(__xludf.DUMMYFUNCTION("""COMPUTED_VALUE"""),8.0)</f>
        <v>8</v>
      </c>
      <c r="O139" s="176"/>
      <c r="P139" s="249" t="s">
        <v>7</v>
      </c>
      <c r="Q139" s="249" t="s">
        <v>10</v>
      </c>
      <c r="R139" s="176"/>
      <c r="S139" s="176"/>
      <c r="T139" s="176"/>
      <c r="U139" s="176"/>
      <c r="V139" s="176"/>
      <c r="W139" s="176"/>
      <c r="X139" s="176"/>
      <c r="Y139" s="176"/>
      <c r="Z139" s="176"/>
    </row>
    <row r="140">
      <c r="A140" s="267" t="str">
        <f>iferror(VLOOKUP(P140,'DO NOT TOUCH Imported'!$A$1:$D$800,4,False),iferror(VLOOKUP(P140,'DO NOT TOUCH Imported'!$C$1:$D$800,2,False),"OOPS FIX ME"))</f>
        <v>ygganderson</v>
      </c>
      <c r="B140" s="257" t="s">
        <v>10</v>
      </c>
      <c r="C140" s="261" t="s">
        <v>500</v>
      </c>
      <c r="D140" s="281" t="s">
        <v>495</v>
      </c>
      <c r="E140" s="282">
        <v>44267.0</v>
      </c>
      <c r="F140" s="258" t="s">
        <v>496</v>
      </c>
      <c r="G140" s="171">
        <v>25.0</v>
      </c>
      <c r="H140" s="171">
        <v>500.0</v>
      </c>
      <c r="I140" s="171">
        <v>100.0</v>
      </c>
      <c r="J140" s="172">
        <f t="shared" si="2"/>
        <v>0.0007906872343</v>
      </c>
      <c r="K140" s="269">
        <f t="shared" si="3"/>
        <v>0.8170434755</v>
      </c>
      <c r="L140" s="270">
        <f t="shared" si="4"/>
        <v>12.99478139</v>
      </c>
      <c r="M140" s="271" t="str">
        <f t="shared" si="5"/>
        <v>ygganderson</v>
      </c>
      <c r="N140" s="176">
        <f>IFERROR(__xludf.DUMMYFUNCTION("""COMPUTED_VALUE"""),9.0)</f>
        <v>9</v>
      </c>
      <c r="O140" s="176"/>
      <c r="P140" s="257" t="s">
        <v>7</v>
      </c>
      <c r="Q140" s="257" t="s">
        <v>10</v>
      </c>
      <c r="R140" s="176"/>
      <c r="S140" s="176"/>
      <c r="T140" s="176"/>
      <c r="U140" s="176"/>
      <c r="V140" s="176"/>
      <c r="W140" s="176"/>
      <c r="X140" s="176"/>
      <c r="Y140" s="176"/>
      <c r="Z140" s="176"/>
    </row>
    <row r="141">
      <c r="A141" s="185" t="str">
        <f>iferror(VLOOKUP(P141,'DO NOT TOUCH Imported'!$A$1:$D$800,4,False),iferror(VLOOKUP(P141,'DO NOT TOUCH Imported'!$C$1:$D$800,2,False),"OOPS FIX ME"))</f>
        <v>ygganderson</v>
      </c>
      <c r="B141" s="284" t="s">
        <v>534</v>
      </c>
      <c r="C141" s="285" t="s">
        <v>2008</v>
      </c>
      <c r="D141" s="286"/>
      <c r="E141" s="287"/>
      <c r="F141" s="285"/>
      <c r="G141" s="190"/>
      <c r="H141" s="190"/>
      <c r="I141" s="190"/>
      <c r="J141" s="191">
        <f t="shared" si="2"/>
        <v>0</v>
      </c>
      <c r="K141" s="192">
        <f t="shared" si="3"/>
        <v>0</v>
      </c>
      <c r="L141" s="193">
        <f t="shared" si="4"/>
        <v>12.99478139</v>
      </c>
      <c r="M141" s="194" t="str">
        <f t="shared" si="5"/>
        <v>ygganderson</v>
      </c>
      <c r="N141" s="195">
        <f>IFERROR(__xludf.DUMMYFUNCTION("""COMPUTED_VALUE"""),10.0)</f>
        <v>10</v>
      </c>
      <c r="O141" s="195"/>
      <c r="P141" s="288" t="s">
        <v>7</v>
      </c>
      <c r="Q141" s="284" t="s">
        <v>534</v>
      </c>
      <c r="R141" s="195"/>
      <c r="S141" s="195"/>
      <c r="T141" s="195"/>
      <c r="U141" s="195"/>
      <c r="V141" s="195"/>
      <c r="W141" s="195"/>
      <c r="X141" s="195"/>
      <c r="Y141" s="195"/>
      <c r="Z141" s="195"/>
    </row>
    <row r="142">
      <c r="A142" s="267" t="str">
        <f>iferror(VLOOKUP(P142,'DO NOT TOUCH Imported'!$A$1:$D$800,4,False),iferror(VLOOKUP(P142,'DO NOT TOUCH Imported'!$C$1:$D$800,2,False),"OOPS FIX ME"))</f>
        <v>Sponnet2</v>
      </c>
      <c r="B142" s="257" t="s">
        <v>519</v>
      </c>
      <c r="C142" s="261" t="s">
        <v>2009</v>
      </c>
      <c r="D142" s="281" t="s">
        <v>495</v>
      </c>
      <c r="E142" s="282">
        <v>44256.0</v>
      </c>
      <c r="F142" s="258" t="s">
        <v>1956</v>
      </c>
      <c r="G142" s="171">
        <v>200.0</v>
      </c>
      <c r="H142" s="171">
        <v>5000.0</v>
      </c>
      <c r="I142" s="171">
        <v>1000.0</v>
      </c>
      <c r="J142" s="172">
        <f t="shared" si="2"/>
        <v>0.007098203412</v>
      </c>
      <c r="K142" s="269">
        <f t="shared" si="3"/>
        <v>7.334810193</v>
      </c>
      <c r="L142" s="270">
        <f t="shared" si="4"/>
        <v>12.97979018</v>
      </c>
      <c r="M142" s="271" t="str">
        <f t="shared" si="5"/>
        <v>Sponnet2</v>
      </c>
      <c r="N142" s="176">
        <f>IFERROR(__xludf.DUMMYFUNCTION("""COMPUTED_VALUE"""),1.0)</f>
        <v>1</v>
      </c>
      <c r="O142" s="176"/>
      <c r="P142" s="257" t="s">
        <v>31</v>
      </c>
      <c r="Q142" s="257" t="s">
        <v>519</v>
      </c>
      <c r="R142" s="176"/>
      <c r="S142" s="176"/>
      <c r="T142" s="176"/>
      <c r="U142" s="176"/>
      <c r="V142" s="176"/>
      <c r="W142" s="176"/>
      <c r="X142" s="176"/>
      <c r="Y142" s="176"/>
      <c r="Z142" s="176"/>
    </row>
    <row r="143">
      <c r="A143" s="267" t="str">
        <f>iferror(VLOOKUP(P143,'DO NOT TOUCH Imported'!$A$1:$D$800,4,False),iferror(VLOOKUP(P143,'DO NOT TOUCH Imported'!$C$1:$D$800,2,False),"OOPS FIX ME"))</f>
        <v>Sponnet2</v>
      </c>
      <c r="B143" s="257" t="s">
        <v>10</v>
      </c>
      <c r="C143" s="261" t="s">
        <v>498</v>
      </c>
      <c r="D143" s="281" t="s">
        <v>495</v>
      </c>
      <c r="E143" s="282">
        <v>44267.0</v>
      </c>
      <c r="F143" s="258" t="s">
        <v>499</v>
      </c>
      <c r="G143" s="171">
        <v>25.0</v>
      </c>
      <c r="H143" s="171">
        <v>500.0</v>
      </c>
      <c r="I143" s="171">
        <v>100.0</v>
      </c>
      <c r="J143" s="172">
        <f t="shared" si="2"/>
        <v>0.0007906872343</v>
      </c>
      <c r="K143" s="269">
        <f t="shared" si="3"/>
        <v>0.8170434755</v>
      </c>
      <c r="L143" s="270">
        <f t="shared" si="4"/>
        <v>12.97979018</v>
      </c>
      <c r="M143" s="271" t="str">
        <f t="shared" si="5"/>
        <v>Sponnet2</v>
      </c>
      <c r="N143" s="176">
        <f>IFERROR(__xludf.DUMMYFUNCTION("""COMPUTED_VALUE"""),2.0)</f>
        <v>2</v>
      </c>
      <c r="O143" s="176"/>
      <c r="P143" s="257" t="s">
        <v>31</v>
      </c>
      <c r="Q143" s="257" t="s">
        <v>10</v>
      </c>
      <c r="R143" s="176"/>
      <c r="S143" s="176"/>
      <c r="T143" s="176"/>
      <c r="U143" s="176"/>
      <c r="V143" s="176"/>
      <c r="W143" s="176"/>
      <c r="X143" s="176"/>
      <c r="Y143" s="176"/>
      <c r="Z143" s="176"/>
    </row>
    <row r="144">
      <c r="A144" s="267" t="str">
        <f>iferror(VLOOKUP(P144,'DO NOT TOUCH Imported'!$A$1:$D$800,4,False),iferror(VLOOKUP(P144,'DO NOT TOUCH Imported'!$C$1:$D$800,2,False),"OOPS FIX ME"))</f>
        <v>Sponnet2</v>
      </c>
      <c r="B144" s="257" t="s">
        <v>10</v>
      </c>
      <c r="C144" s="261" t="s">
        <v>1967</v>
      </c>
      <c r="D144" s="281" t="s">
        <v>495</v>
      </c>
      <c r="E144" s="282">
        <v>44267.0</v>
      </c>
      <c r="F144" s="258" t="s">
        <v>496</v>
      </c>
      <c r="G144" s="171">
        <v>50.0</v>
      </c>
      <c r="H144" s="171">
        <v>5000.0</v>
      </c>
      <c r="I144" s="171">
        <v>1000.0</v>
      </c>
      <c r="J144" s="172">
        <f t="shared" si="2"/>
        <v>0.00467219662</v>
      </c>
      <c r="K144" s="269">
        <f t="shared" si="3"/>
        <v>4.827936507</v>
      </c>
      <c r="L144" s="270">
        <f t="shared" si="4"/>
        <v>12.97979018</v>
      </c>
      <c r="M144" s="271" t="str">
        <f t="shared" si="5"/>
        <v>Sponnet2</v>
      </c>
      <c r="N144" s="176">
        <f>IFERROR(__xludf.DUMMYFUNCTION("""COMPUTED_VALUE"""),3.0)</f>
        <v>3</v>
      </c>
      <c r="O144" s="176"/>
      <c r="P144" s="257" t="s">
        <v>31</v>
      </c>
      <c r="Q144" s="257" t="s">
        <v>10</v>
      </c>
      <c r="R144" s="176"/>
      <c r="S144" s="176"/>
      <c r="T144" s="176"/>
      <c r="U144" s="176"/>
      <c r="V144" s="176"/>
      <c r="W144" s="176"/>
      <c r="X144" s="176"/>
      <c r="Y144" s="176"/>
      <c r="Z144" s="176"/>
    </row>
    <row r="145">
      <c r="A145" s="267" t="str">
        <f>iferror(VLOOKUP(P145,'DO NOT TOUCH Imported'!$A$1:$D$800,4,False),iferror(VLOOKUP(P145,'DO NOT TOUCH Imported'!$C$1:$D$800,2,False),"OOPS FIX ME"))</f>
        <v>iviangita</v>
      </c>
      <c r="B145" s="257" t="s">
        <v>519</v>
      </c>
      <c r="C145" s="261" t="s">
        <v>2010</v>
      </c>
      <c r="D145" s="281" t="s">
        <v>495</v>
      </c>
      <c r="E145" s="282">
        <v>44256.0</v>
      </c>
      <c r="F145" s="258" t="s">
        <v>496</v>
      </c>
      <c r="G145" s="171">
        <v>50.0</v>
      </c>
      <c r="H145" s="171">
        <v>2500.0</v>
      </c>
      <c r="I145" s="171">
        <v>200.0</v>
      </c>
      <c r="J145" s="172">
        <f t="shared" si="2"/>
        <v>0.002041991696</v>
      </c>
      <c r="K145" s="269">
        <f t="shared" si="3"/>
        <v>2.110058086</v>
      </c>
      <c r="L145" s="270">
        <f t="shared" si="4"/>
        <v>10.91910943</v>
      </c>
      <c r="M145" s="271" t="str">
        <f t="shared" si="5"/>
        <v>iviangita</v>
      </c>
      <c r="N145" s="176">
        <f>IFERROR(__xludf.DUMMYFUNCTION("""COMPUTED_VALUE"""),1.0)</f>
        <v>1</v>
      </c>
      <c r="O145" s="176"/>
      <c r="P145" s="257" t="s">
        <v>10</v>
      </c>
      <c r="Q145" s="257" t="s">
        <v>519</v>
      </c>
      <c r="R145" s="176"/>
      <c r="S145" s="176"/>
      <c r="T145" s="176"/>
      <c r="U145" s="176"/>
      <c r="V145" s="176"/>
      <c r="W145" s="176"/>
      <c r="X145" s="176"/>
      <c r="Y145" s="176"/>
      <c r="Z145" s="176"/>
    </row>
    <row r="146">
      <c r="A146" s="267" t="str">
        <f>iferror(VLOOKUP(P146,'DO NOT TOUCH Imported'!$A$1:$D$800,4,False),iferror(VLOOKUP(P146,'DO NOT TOUCH Imported'!$C$1:$D$800,2,False),"OOPS FIX ME"))</f>
        <v>iviangita</v>
      </c>
      <c r="B146" s="257" t="s">
        <v>867</v>
      </c>
      <c r="C146" s="261" t="s">
        <v>1927</v>
      </c>
      <c r="D146" s="281" t="s">
        <v>495</v>
      </c>
      <c r="E146" s="282">
        <v>44256.0</v>
      </c>
      <c r="F146" s="258" t="s">
        <v>496</v>
      </c>
      <c r="G146" s="171">
        <v>20.0</v>
      </c>
      <c r="H146" s="171">
        <v>1000.0</v>
      </c>
      <c r="I146" s="171">
        <v>300.0</v>
      </c>
      <c r="J146" s="172">
        <f t="shared" si="2"/>
        <v>0.001328986803</v>
      </c>
      <c r="K146" s="269">
        <f t="shared" si="3"/>
        <v>1.373286363</v>
      </c>
      <c r="L146" s="270">
        <f t="shared" si="4"/>
        <v>10.91910943</v>
      </c>
      <c r="M146" s="271" t="str">
        <f t="shared" si="5"/>
        <v>iviangita</v>
      </c>
      <c r="N146" s="176">
        <f>IFERROR(__xludf.DUMMYFUNCTION("""COMPUTED_VALUE"""),2.0)</f>
        <v>2</v>
      </c>
      <c r="O146" s="176"/>
      <c r="P146" s="257" t="s">
        <v>10</v>
      </c>
      <c r="Q146" s="257" t="s">
        <v>867</v>
      </c>
      <c r="R146" s="176"/>
      <c r="S146" s="176"/>
      <c r="T146" s="176"/>
      <c r="U146" s="176"/>
      <c r="V146" s="176"/>
      <c r="W146" s="176"/>
      <c r="X146" s="176"/>
      <c r="Y146" s="176"/>
      <c r="Z146" s="176"/>
    </row>
    <row r="147">
      <c r="A147" s="267" t="str">
        <f>iferror(VLOOKUP(P147,'DO NOT TOUCH Imported'!$A$1:$D$800,4,False),iferror(VLOOKUP(P147,'DO NOT TOUCH Imported'!$C$1:$D$800,2,False),"OOPS FIX ME"))</f>
        <v>iviangita</v>
      </c>
      <c r="B147" s="276" t="s">
        <v>1933</v>
      </c>
      <c r="C147" s="277" t="s">
        <v>2011</v>
      </c>
      <c r="D147" s="278" t="s">
        <v>437</v>
      </c>
      <c r="E147" s="279">
        <v>44257.0</v>
      </c>
      <c r="F147" s="278" t="s">
        <v>1929</v>
      </c>
      <c r="G147" s="171">
        <v>25.0</v>
      </c>
      <c r="H147" s="171">
        <v>1500.0</v>
      </c>
      <c r="I147" s="171">
        <v>1000.0</v>
      </c>
      <c r="J147" s="172">
        <f t="shared" si="2"/>
        <v>0.003193088624</v>
      </c>
      <c r="K147" s="269">
        <f t="shared" si="3"/>
        <v>3.299524912</v>
      </c>
      <c r="L147" s="270">
        <f t="shared" si="4"/>
        <v>10.91910943</v>
      </c>
      <c r="M147" s="271" t="str">
        <f t="shared" si="5"/>
        <v>iviangita</v>
      </c>
      <c r="N147" s="176">
        <f>IFERROR(__xludf.DUMMYFUNCTION("""COMPUTED_VALUE"""),3.0)</f>
        <v>3</v>
      </c>
      <c r="O147" s="176"/>
      <c r="P147" s="280" t="s">
        <v>441</v>
      </c>
      <c r="Q147" s="276" t="s">
        <v>1933</v>
      </c>
      <c r="R147" s="176"/>
      <c r="S147" s="176"/>
      <c r="T147" s="176"/>
      <c r="U147" s="176"/>
      <c r="V147" s="176"/>
      <c r="W147" s="176"/>
      <c r="X147" s="176"/>
      <c r="Y147" s="176"/>
      <c r="Z147" s="176"/>
    </row>
    <row r="148">
      <c r="A148" s="267" t="str">
        <f>iferror(VLOOKUP(P148,'DO NOT TOUCH Imported'!$A$1:$D$800,4,False),iferror(VLOOKUP(P148,'DO NOT TOUCH Imported'!$C$1:$D$800,2,False),"OOPS FIX ME"))</f>
        <v>iviangita</v>
      </c>
      <c r="B148" s="276" t="s">
        <v>1933</v>
      </c>
      <c r="C148" s="277" t="s">
        <v>1934</v>
      </c>
      <c r="D148" s="278" t="s">
        <v>437</v>
      </c>
      <c r="E148" s="279">
        <v>44258.0</v>
      </c>
      <c r="F148" s="278" t="s">
        <v>1929</v>
      </c>
      <c r="G148" s="171">
        <v>25.0</v>
      </c>
      <c r="H148" s="171">
        <v>2000.0</v>
      </c>
      <c r="I148" s="171">
        <v>200.0</v>
      </c>
      <c r="J148" s="172">
        <f t="shared" si="2"/>
        <v>0.001484118155</v>
      </c>
      <c r="K148" s="269">
        <f t="shared" si="3"/>
        <v>1.53358876</v>
      </c>
      <c r="L148" s="270">
        <f t="shared" si="4"/>
        <v>10.91910943</v>
      </c>
      <c r="M148" s="271" t="str">
        <f t="shared" si="5"/>
        <v>iviangita</v>
      </c>
      <c r="N148" s="176">
        <f>IFERROR(__xludf.DUMMYFUNCTION("""COMPUTED_VALUE"""),4.0)</f>
        <v>4</v>
      </c>
      <c r="O148" s="176"/>
      <c r="P148" s="280" t="s">
        <v>441</v>
      </c>
      <c r="Q148" s="276" t="s">
        <v>1933</v>
      </c>
      <c r="R148" s="176"/>
      <c r="S148" s="176"/>
      <c r="T148" s="176"/>
      <c r="U148" s="176"/>
      <c r="V148" s="176"/>
      <c r="W148" s="176"/>
      <c r="X148" s="176"/>
      <c r="Y148" s="176"/>
      <c r="Z148" s="176"/>
    </row>
    <row r="149">
      <c r="A149" s="267" t="str">
        <f>iferror(VLOOKUP(P149,'DO NOT TOUCH Imported'!$A$1:$D$800,4,False),iferror(VLOOKUP(P149,'DO NOT TOUCH Imported'!$C$1:$D$800,2,False),"OOPS FIX ME"))</f>
        <v>iviangita</v>
      </c>
      <c r="B149" s="276" t="s">
        <v>10</v>
      </c>
      <c r="C149" s="277" t="s">
        <v>1942</v>
      </c>
      <c r="D149" s="278" t="s">
        <v>437</v>
      </c>
      <c r="E149" s="279">
        <v>44262.0</v>
      </c>
      <c r="F149" s="278" t="s">
        <v>1929</v>
      </c>
      <c r="G149" s="171">
        <v>25.0</v>
      </c>
      <c r="H149" s="171">
        <v>1000.0</v>
      </c>
      <c r="I149" s="171">
        <v>40.0</v>
      </c>
      <c r="J149" s="172">
        <f t="shared" si="2"/>
        <v>0.0008045380941</v>
      </c>
      <c r="K149" s="269">
        <f t="shared" si="3"/>
        <v>0.8313560306</v>
      </c>
      <c r="L149" s="270">
        <f t="shared" si="4"/>
        <v>10.91910943</v>
      </c>
      <c r="M149" s="271" t="str">
        <f t="shared" si="5"/>
        <v>iviangita</v>
      </c>
      <c r="N149" s="176">
        <f>IFERROR(__xludf.DUMMYFUNCTION("""COMPUTED_VALUE"""),5.0)</f>
        <v>5</v>
      </c>
      <c r="O149" s="176"/>
      <c r="P149" s="280" t="s">
        <v>441</v>
      </c>
      <c r="Q149" s="276" t="s">
        <v>10</v>
      </c>
      <c r="R149" s="176"/>
      <c r="S149" s="176"/>
      <c r="T149" s="176"/>
      <c r="U149" s="176"/>
      <c r="V149" s="176"/>
      <c r="W149" s="176"/>
      <c r="X149" s="176"/>
      <c r="Y149" s="176"/>
      <c r="Z149" s="176"/>
    </row>
    <row r="150">
      <c r="A150" s="267" t="str">
        <f>iferror(VLOOKUP(P150,'DO NOT TOUCH Imported'!$A$1:$D$800,4,False),iferror(VLOOKUP(P150,'DO NOT TOUCH Imported'!$C$1:$D$800,2,False),"OOPS FIX ME"))</f>
        <v>iviangita</v>
      </c>
      <c r="B150" s="276" t="s">
        <v>10</v>
      </c>
      <c r="C150" s="277" t="s">
        <v>1943</v>
      </c>
      <c r="D150" s="278" t="s">
        <v>437</v>
      </c>
      <c r="E150" s="279">
        <v>44263.0</v>
      </c>
      <c r="F150" s="278" t="s">
        <v>1929</v>
      </c>
      <c r="G150" s="171">
        <v>25.0</v>
      </c>
      <c r="H150" s="171">
        <v>1000.0</v>
      </c>
      <c r="I150" s="171">
        <v>100.0</v>
      </c>
      <c r="J150" s="172">
        <f t="shared" si="2"/>
        <v>0.00094422631</v>
      </c>
      <c r="K150" s="269">
        <f t="shared" si="3"/>
        <v>0.9757005204</v>
      </c>
      <c r="L150" s="270">
        <f t="shared" si="4"/>
        <v>10.91910943</v>
      </c>
      <c r="M150" s="271" t="str">
        <f t="shared" si="5"/>
        <v>iviangita</v>
      </c>
      <c r="N150" s="176">
        <f>IFERROR(__xludf.DUMMYFUNCTION("""COMPUTED_VALUE"""),6.0)</f>
        <v>6</v>
      </c>
      <c r="O150" s="176"/>
      <c r="P150" s="280" t="s">
        <v>441</v>
      </c>
      <c r="Q150" s="276" t="s">
        <v>10</v>
      </c>
      <c r="R150" s="176"/>
      <c r="S150" s="176"/>
      <c r="T150" s="176"/>
      <c r="U150" s="176"/>
      <c r="V150" s="176"/>
      <c r="W150" s="176"/>
      <c r="X150" s="176"/>
      <c r="Y150" s="176"/>
      <c r="Z150" s="176"/>
    </row>
    <row r="151">
      <c r="A151" s="267" t="str">
        <f>iferror(VLOOKUP(P151,'DO NOT TOUCH Imported'!$A$1:$D$800,4,False),iferror(VLOOKUP(P151,'DO NOT TOUCH Imported'!$C$1:$D$800,2,False),"OOPS FIX ME"))</f>
        <v>iviangita</v>
      </c>
      <c r="B151" s="276" t="s">
        <v>1702</v>
      </c>
      <c r="C151" s="277" t="s">
        <v>1944</v>
      </c>
      <c r="D151" s="278" t="s">
        <v>499</v>
      </c>
      <c r="E151" s="279">
        <v>44263.0</v>
      </c>
      <c r="F151" s="278" t="s">
        <v>1646</v>
      </c>
      <c r="G151" s="171">
        <v>25.0</v>
      </c>
      <c r="H151" s="171">
        <v>1000.0</v>
      </c>
      <c r="I151" s="171">
        <v>1000.0</v>
      </c>
      <c r="J151" s="172">
        <f t="shared" si="2"/>
        <v>0.003039549549</v>
      </c>
      <c r="K151" s="269">
        <f t="shared" si="3"/>
        <v>3.140867867</v>
      </c>
      <c r="L151" s="270">
        <f t="shared" si="4"/>
        <v>10.91910943</v>
      </c>
      <c r="M151" s="271" t="str">
        <f t="shared" si="5"/>
        <v>iviangita</v>
      </c>
      <c r="N151" s="176">
        <f>IFERROR(__xludf.DUMMYFUNCTION("""COMPUTED_VALUE"""),7.0)</f>
        <v>7</v>
      </c>
      <c r="O151" s="176"/>
      <c r="P151" s="280" t="s">
        <v>441</v>
      </c>
      <c r="Q151" s="276" t="s">
        <v>1702</v>
      </c>
      <c r="R151" s="176"/>
      <c r="S151" s="176"/>
      <c r="T151" s="176"/>
      <c r="U151" s="176"/>
      <c r="V151" s="176"/>
      <c r="W151" s="176"/>
      <c r="X151" s="176"/>
      <c r="Y151" s="176"/>
      <c r="Z151" s="176"/>
    </row>
    <row r="152">
      <c r="A152" s="267" t="str">
        <f>iferror(VLOOKUP(P152,'DO NOT TOUCH Imported'!$A$1:$D$800,4,False),iferror(VLOOKUP(P152,'DO NOT TOUCH Imported'!$C$1:$D$800,2,False),"OOPS FIX ME"))</f>
        <v>iviangita</v>
      </c>
      <c r="B152" s="276" t="s">
        <v>1947</v>
      </c>
      <c r="C152" s="277" t="s">
        <v>1948</v>
      </c>
      <c r="D152" s="278" t="s">
        <v>437</v>
      </c>
      <c r="E152" s="279">
        <v>44266.0</v>
      </c>
      <c r="F152" s="278" t="s">
        <v>1929</v>
      </c>
      <c r="G152" s="171">
        <v>25.0</v>
      </c>
      <c r="H152" s="171">
        <v>1000.0</v>
      </c>
      <c r="I152" s="171">
        <v>300.0</v>
      </c>
      <c r="J152" s="172">
        <f t="shared" si="2"/>
        <v>0.001409853696</v>
      </c>
      <c r="K152" s="269">
        <f t="shared" si="3"/>
        <v>1.45684882</v>
      </c>
      <c r="L152" s="270">
        <f t="shared" si="4"/>
        <v>10.91910943</v>
      </c>
      <c r="M152" s="271" t="str">
        <f t="shared" si="5"/>
        <v>iviangita</v>
      </c>
      <c r="N152" s="176">
        <f>IFERROR(__xludf.DUMMYFUNCTION("""COMPUTED_VALUE"""),8.0)</f>
        <v>8</v>
      </c>
      <c r="O152" s="176"/>
      <c r="P152" s="280" t="s">
        <v>441</v>
      </c>
      <c r="Q152" s="276" t="s">
        <v>1947</v>
      </c>
      <c r="R152" s="176"/>
      <c r="S152" s="176"/>
      <c r="T152" s="176"/>
      <c r="U152" s="176"/>
      <c r="V152" s="176"/>
      <c r="W152" s="176"/>
      <c r="X152" s="176"/>
      <c r="Y152" s="176"/>
      <c r="Z152" s="176"/>
    </row>
    <row r="153">
      <c r="A153" s="267" t="str">
        <f>iferror(VLOOKUP(P153,'DO NOT TOUCH Imported'!$A$1:$D$800,4,False),iferror(VLOOKUP(P153,'DO NOT TOUCH Imported'!$C$1:$D$800,2,False),"OOPS FIX ME"))</f>
        <v>iviangita</v>
      </c>
      <c r="B153" s="276" t="s">
        <v>10</v>
      </c>
      <c r="C153" s="277" t="s">
        <v>2012</v>
      </c>
      <c r="D153" s="278" t="s">
        <v>437</v>
      </c>
      <c r="E153" s="283">
        <v>44267.0</v>
      </c>
      <c r="F153" s="278" t="s">
        <v>439</v>
      </c>
      <c r="G153" s="171">
        <v>35.0</v>
      </c>
      <c r="H153" s="171">
        <v>1000.0</v>
      </c>
      <c r="I153" s="171">
        <v>100.0</v>
      </c>
      <c r="J153" s="172">
        <f t="shared" si="2"/>
        <v>0.001105960096</v>
      </c>
      <c r="K153" s="269">
        <f t="shared" si="3"/>
        <v>1.142825433</v>
      </c>
      <c r="L153" s="270">
        <f t="shared" si="4"/>
        <v>10.91910943</v>
      </c>
      <c r="M153" s="271" t="str">
        <f t="shared" si="5"/>
        <v>iviangita</v>
      </c>
      <c r="N153" s="176">
        <f>IFERROR(__xludf.DUMMYFUNCTION("""COMPUTED_VALUE"""),9.0)</f>
        <v>9</v>
      </c>
      <c r="O153" s="176"/>
      <c r="P153" s="280" t="s">
        <v>441</v>
      </c>
      <c r="Q153" s="276" t="s">
        <v>10</v>
      </c>
      <c r="R153" s="176"/>
      <c r="S153" s="176"/>
      <c r="T153" s="176"/>
      <c r="U153" s="176"/>
      <c r="V153" s="176"/>
      <c r="W153" s="176"/>
      <c r="X153" s="176"/>
      <c r="Y153" s="176"/>
      <c r="Z153" s="176"/>
    </row>
    <row r="154">
      <c r="A154" s="267" t="str">
        <f>iferror(VLOOKUP(P154,'DO NOT TOUCH Imported'!$A$1:$D$800,4,False),iferror(VLOOKUP(P154,'DO NOT TOUCH Imported'!$C$1:$D$800,2,False),"OOPS FIX ME"))</f>
        <v>iviangita</v>
      </c>
      <c r="B154" s="276" t="s">
        <v>10</v>
      </c>
      <c r="C154" s="277" t="s">
        <v>1951</v>
      </c>
      <c r="D154" s="278" t="s">
        <v>437</v>
      </c>
      <c r="E154" s="283">
        <v>44267.0</v>
      </c>
      <c r="F154" s="278" t="s">
        <v>439</v>
      </c>
      <c r="G154" s="171">
        <v>35.0</v>
      </c>
      <c r="H154" s="171">
        <v>5000.0</v>
      </c>
      <c r="I154" s="171">
        <v>100.0</v>
      </c>
      <c r="J154" s="172">
        <f t="shared" si="2"/>
        <v>0.002334272702</v>
      </c>
      <c r="K154" s="269">
        <f t="shared" si="3"/>
        <v>2.412081792</v>
      </c>
      <c r="L154" s="270">
        <f t="shared" si="4"/>
        <v>10.91910943</v>
      </c>
      <c r="M154" s="271" t="str">
        <f t="shared" si="5"/>
        <v>iviangita</v>
      </c>
      <c r="N154" s="176">
        <f>IFERROR(__xludf.DUMMYFUNCTION("""COMPUTED_VALUE"""),10.0)</f>
        <v>10</v>
      </c>
      <c r="O154" s="176"/>
      <c r="P154" s="280" t="s">
        <v>441</v>
      </c>
      <c r="Q154" s="276" t="s">
        <v>10</v>
      </c>
      <c r="R154" s="176"/>
      <c r="S154" s="176"/>
      <c r="T154" s="176"/>
      <c r="U154" s="176"/>
      <c r="V154" s="176"/>
      <c r="W154" s="176"/>
      <c r="X154" s="176"/>
      <c r="Y154" s="176"/>
      <c r="Z154" s="176"/>
    </row>
    <row r="155">
      <c r="A155" s="267" t="str">
        <f>iferror(VLOOKUP(P155,'DO NOT TOUCH Imported'!$A$1:$D$800,4,False),iferror(VLOOKUP(P155,'DO NOT TOUCH Imported'!$C$1:$D$800,2,False),"OOPS FIX ME"))</f>
        <v>iviangita</v>
      </c>
      <c r="B155" s="276" t="s">
        <v>10</v>
      </c>
      <c r="C155" s="277" t="s">
        <v>2013</v>
      </c>
      <c r="D155" s="278" t="s">
        <v>437</v>
      </c>
      <c r="E155" s="283">
        <v>44267.0</v>
      </c>
      <c r="F155" s="278" t="s">
        <v>439</v>
      </c>
      <c r="G155" s="171">
        <v>35.0</v>
      </c>
      <c r="H155" s="171">
        <v>1000.0</v>
      </c>
      <c r="I155" s="171">
        <v>400.0</v>
      </c>
      <c r="J155" s="172">
        <f t="shared" si="2"/>
        <v>0.001804401176</v>
      </c>
      <c r="K155" s="269">
        <f t="shared" si="3"/>
        <v>1.864547882</v>
      </c>
      <c r="L155" s="270">
        <f t="shared" si="4"/>
        <v>10.91910943</v>
      </c>
      <c r="M155" s="271" t="str">
        <f t="shared" si="5"/>
        <v>iviangita</v>
      </c>
      <c r="N155" s="176">
        <f>IFERROR(__xludf.DUMMYFUNCTION("""COMPUTED_VALUE"""),11.0)</f>
        <v>11</v>
      </c>
      <c r="O155" s="176"/>
      <c r="P155" s="280" t="s">
        <v>441</v>
      </c>
      <c r="Q155" s="276" t="s">
        <v>10</v>
      </c>
      <c r="R155" s="176"/>
      <c r="S155" s="176"/>
      <c r="T155" s="176"/>
      <c r="U155" s="176"/>
      <c r="V155" s="176"/>
      <c r="W155" s="176"/>
      <c r="X155" s="176"/>
      <c r="Y155" s="176"/>
      <c r="Z155" s="176"/>
    </row>
    <row r="156">
      <c r="A156" s="267" t="str">
        <f>iferror(VLOOKUP(P156,'DO NOT TOUCH Imported'!$A$1:$D$800,4,False),iferror(VLOOKUP(P156,'DO NOT TOUCH Imported'!$C$1:$D$800,2,False),"OOPS FIX ME"))</f>
        <v>iviangita</v>
      </c>
      <c r="B156" s="276" t="s">
        <v>10</v>
      </c>
      <c r="C156" s="277" t="s">
        <v>2014</v>
      </c>
      <c r="D156" s="278" t="s">
        <v>437</v>
      </c>
      <c r="E156" s="283">
        <v>44267.0</v>
      </c>
      <c r="F156" s="278" t="s">
        <v>439</v>
      </c>
      <c r="G156" s="171">
        <v>25.0</v>
      </c>
      <c r="H156" s="171">
        <v>1000.0</v>
      </c>
      <c r="I156" s="171">
        <v>400.0</v>
      </c>
      <c r="J156" s="172">
        <f t="shared" si="2"/>
        <v>0.00164266739</v>
      </c>
      <c r="K156" s="269">
        <f t="shared" si="3"/>
        <v>1.697422969</v>
      </c>
      <c r="L156" s="270">
        <f t="shared" si="4"/>
        <v>10.91910943</v>
      </c>
      <c r="M156" s="271" t="str">
        <f t="shared" si="5"/>
        <v>iviangita</v>
      </c>
      <c r="N156" s="176">
        <f>IFERROR(__xludf.DUMMYFUNCTION("""COMPUTED_VALUE"""),12.0)</f>
        <v>12</v>
      </c>
      <c r="O156" s="176"/>
      <c r="P156" s="280" t="s">
        <v>441</v>
      </c>
      <c r="Q156" s="276" t="s">
        <v>10</v>
      </c>
      <c r="R156" s="176"/>
      <c r="S156" s="176"/>
      <c r="T156" s="176"/>
      <c r="U156" s="176"/>
      <c r="V156" s="176"/>
      <c r="W156" s="176"/>
      <c r="X156" s="176"/>
      <c r="Y156" s="176"/>
      <c r="Z156" s="176"/>
    </row>
    <row r="157">
      <c r="A157" s="185" t="str">
        <f>iferror(VLOOKUP(P157,'DO NOT TOUCH Imported'!$A$1:$D$800,4,False),iferror(VLOOKUP(P157,'DO NOT TOUCH Imported'!$C$1:$D$800,2,False),"OOPS FIX ME"))</f>
        <v>iviangita</v>
      </c>
      <c r="B157" s="284" t="s">
        <v>534</v>
      </c>
      <c r="C157" s="285" t="s">
        <v>535</v>
      </c>
      <c r="D157" s="286"/>
      <c r="E157" s="287"/>
      <c r="F157" s="289"/>
      <c r="G157" s="190"/>
      <c r="H157" s="190"/>
      <c r="I157" s="190"/>
      <c r="J157" s="191">
        <f t="shared" si="2"/>
        <v>0</v>
      </c>
      <c r="K157" s="192">
        <f>21.838*-0.5</f>
        <v>-10.919</v>
      </c>
      <c r="L157" s="193">
        <f t="shared" si="4"/>
        <v>10.91910943</v>
      </c>
      <c r="M157" s="194" t="str">
        <f t="shared" si="5"/>
        <v>iviangita</v>
      </c>
      <c r="N157" s="195">
        <f>IFERROR(__xludf.DUMMYFUNCTION("""COMPUTED_VALUE"""),13.0)</f>
        <v>13</v>
      </c>
      <c r="O157" s="195"/>
      <c r="P157" s="284" t="s">
        <v>10</v>
      </c>
      <c r="Q157" s="284" t="s">
        <v>534</v>
      </c>
      <c r="R157" s="195">
        <v>18.802169413641863</v>
      </c>
      <c r="S157" s="195"/>
      <c r="T157" s="195"/>
      <c r="U157" s="195"/>
      <c r="V157" s="195"/>
      <c r="W157" s="195"/>
      <c r="X157" s="195"/>
      <c r="Y157" s="195"/>
      <c r="Z157" s="195"/>
    </row>
    <row r="158">
      <c r="A158" s="267" t="str">
        <f>iferror(VLOOKUP(P158,'DO NOT TOUCH Imported'!$A$1:$D$800,4,False),iferror(VLOOKUP(P158,'DO NOT TOUCH Imported'!$C$1:$D$800,2,False),"OOPS FIX ME"))</f>
        <v>sembrestels</v>
      </c>
      <c r="B158" s="276" t="s">
        <v>1933</v>
      </c>
      <c r="C158" s="277" t="s">
        <v>1934</v>
      </c>
      <c r="D158" s="278" t="s">
        <v>437</v>
      </c>
      <c r="E158" s="279">
        <v>44258.0</v>
      </c>
      <c r="F158" s="278" t="s">
        <v>1929</v>
      </c>
      <c r="G158" s="171">
        <v>25.0</v>
      </c>
      <c r="H158" s="171">
        <v>1000.0</v>
      </c>
      <c r="I158" s="171">
        <v>200.0</v>
      </c>
      <c r="J158" s="172">
        <f t="shared" si="2"/>
        <v>0.001177040003</v>
      </c>
      <c r="K158" s="269">
        <f t="shared" ref="K158:K176" si="6">J158*$J$1</f>
        <v>1.21627467</v>
      </c>
      <c r="L158" s="270">
        <f t="shared" si="4"/>
        <v>10.63173166</v>
      </c>
      <c r="M158" s="271" t="str">
        <f t="shared" si="5"/>
        <v>sembrestels</v>
      </c>
      <c r="N158" s="176">
        <f>IFERROR(__xludf.DUMMYFUNCTION("""COMPUTED_VALUE"""),1.0)</f>
        <v>1</v>
      </c>
      <c r="O158" s="176"/>
      <c r="P158" s="280" t="s">
        <v>476</v>
      </c>
      <c r="Q158" s="276" t="s">
        <v>1933</v>
      </c>
      <c r="R158" s="176"/>
      <c r="S158" s="176"/>
      <c r="T158" s="176"/>
      <c r="U158" s="176"/>
      <c r="V158" s="176"/>
      <c r="W158" s="176"/>
      <c r="X158" s="176"/>
      <c r="Y158" s="176"/>
      <c r="Z158" s="176"/>
    </row>
    <row r="159">
      <c r="A159" s="267" t="str">
        <f>iferror(VLOOKUP(P159,'DO NOT TOUCH Imported'!$A$1:$D$800,4,False),iferror(VLOOKUP(P159,'DO NOT TOUCH Imported'!$C$1:$D$800,2,False),"OOPS FIX ME"))</f>
        <v>sembrestels</v>
      </c>
      <c r="B159" s="257" t="s">
        <v>6</v>
      </c>
      <c r="C159" s="261" t="s">
        <v>2015</v>
      </c>
      <c r="D159" s="281" t="s">
        <v>495</v>
      </c>
      <c r="E159" s="282">
        <v>44258.0</v>
      </c>
      <c r="F159" s="258" t="s">
        <v>627</v>
      </c>
      <c r="G159" s="171">
        <v>200.0</v>
      </c>
      <c r="H159" s="171">
        <v>30000.0</v>
      </c>
      <c r="I159" s="171">
        <v>600.0</v>
      </c>
      <c r="J159" s="172">
        <f t="shared" si="2"/>
        <v>0.01384390242</v>
      </c>
      <c r="K159" s="269">
        <f t="shared" si="6"/>
        <v>14.30536584</v>
      </c>
      <c r="L159" s="270">
        <f t="shared" si="4"/>
        <v>10.63173166</v>
      </c>
      <c r="M159" s="271" t="str">
        <f t="shared" si="5"/>
        <v>sembrestels</v>
      </c>
      <c r="N159" s="176">
        <f>IFERROR(__xludf.DUMMYFUNCTION("""COMPUTED_VALUE"""),2.0)</f>
        <v>2</v>
      </c>
      <c r="O159" s="176"/>
      <c r="P159" s="257" t="s">
        <v>6</v>
      </c>
      <c r="Q159" s="257" t="s">
        <v>6</v>
      </c>
      <c r="R159" s="176"/>
      <c r="S159" s="176"/>
      <c r="T159" s="176"/>
      <c r="U159" s="176"/>
      <c r="V159" s="176"/>
      <c r="W159" s="176"/>
      <c r="X159" s="176"/>
      <c r="Y159" s="176"/>
      <c r="Z159" s="176"/>
    </row>
    <row r="160">
      <c r="A160" s="267" t="str">
        <f>iferror(VLOOKUP(P160,'DO NOT TOUCH Imported'!$A$1:$D$800,4,False),iferror(VLOOKUP(P160,'DO NOT TOUCH Imported'!$C$1:$D$800,2,False),"OOPS FIX ME"))</f>
        <v>sembrestels</v>
      </c>
      <c r="B160" s="276" t="s">
        <v>10</v>
      </c>
      <c r="C160" s="277" t="s">
        <v>1938</v>
      </c>
      <c r="D160" s="278" t="s">
        <v>437</v>
      </c>
      <c r="E160" s="279">
        <v>44260.0</v>
      </c>
      <c r="F160" s="278" t="s">
        <v>1929</v>
      </c>
      <c r="G160" s="171">
        <v>35.0</v>
      </c>
      <c r="H160" s="171">
        <v>1000.0</v>
      </c>
      <c r="I160" s="171">
        <v>200.0</v>
      </c>
      <c r="J160" s="172">
        <f t="shared" si="2"/>
        <v>0.001338773789</v>
      </c>
      <c r="K160" s="269">
        <f t="shared" si="6"/>
        <v>1.383399582</v>
      </c>
      <c r="L160" s="270">
        <f t="shared" si="4"/>
        <v>10.63173166</v>
      </c>
      <c r="M160" s="271" t="str">
        <f t="shared" si="5"/>
        <v>sembrestels</v>
      </c>
      <c r="N160" s="176">
        <f>IFERROR(__xludf.DUMMYFUNCTION("""COMPUTED_VALUE"""),3.0)</f>
        <v>3</v>
      </c>
      <c r="O160" s="176"/>
      <c r="P160" s="280" t="s">
        <v>476</v>
      </c>
      <c r="Q160" s="276" t="s">
        <v>10</v>
      </c>
      <c r="R160" s="176"/>
      <c r="S160" s="176"/>
      <c r="T160" s="176"/>
      <c r="U160" s="176"/>
      <c r="V160" s="176"/>
      <c r="W160" s="176"/>
      <c r="X160" s="176"/>
      <c r="Y160" s="176"/>
      <c r="Z160" s="176"/>
    </row>
    <row r="161">
      <c r="A161" s="267" t="str">
        <f>iferror(VLOOKUP(P161,'DO NOT TOUCH Imported'!$A$1:$D$800,4,False),iferror(VLOOKUP(P161,'DO NOT TOUCH Imported'!$C$1:$D$800,2,False),"OOPS FIX ME"))</f>
        <v>sembrestels</v>
      </c>
      <c r="B161" s="276" t="s">
        <v>10</v>
      </c>
      <c r="C161" s="277" t="s">
        <v>2016</v>
      </c>
      <c r="D161" s="278" t="s">
        <v>437</v>
      </c>
      <c r="E161" s="279">
        <v>44260.0</v>
      </c>
      <c r="F161" s="278" t="s">
        <v>1929</v>
      </c>
      <c r="G161" s="171">
        <v>50.0</v>
      </c>
      <c r="H161" s="171">
        <v>2500.0</v>
      </c>
      <c r="I161" s="171">
        <v>400.0</v>
      </c>
      <c r="J161" s="172">
        <f t="shared" si="2"/>
        <v>0.002507619082</v>
      </c>
      <c r="K161" s="269">
        <f t="shared" si="6"/>
        <v>2.591206385</v>
      </c>
      <c r="L161" s="270">
        <f t="shared" si="4"/>
        <v>10.63173166</v>
      </c>
      <c r="M161" s="271" t="str">
        <f t="shared" si="5"/>
        <v>sembrestels</v>
      </c>
      <c r="N161" s="176">
        <f>IFERROR(__xludf.DUMMYFUNCTION("""COMPUTED_VALUE"""),4.0)</f>
        <v>4</v>
      </c>
      <c r="O161" s="176"/>
      <c r="P161" s="280" t="s">
        <v>476</v>
      </c>
      <c r="Q161" s="276" t="s">
        <v>10</v>
      </c>
      <c r="R161" s="176"/>
      <c r="S161" s="176"/>
      <c r="T161" s="176"/>
      <c r="U161" s="176"/>
      <c r="V161" s="176"/>
      <c r="W161" s="176"/>
      <c r="X161" s="176"/>
      <c r="Y161" s="176"/>
      <c r="Z161" s="176"/>
    </row>
    <row r="162">
      <c r="A162" s="267" t="str">
        <f>iferror(VLOOKUP(P162,'DO NOT TOUCH Imported'!$A$1:$D$800,4,False),iferror(VLOOKUP(P162,'DO NOT TOUCH Imported'!$C$1:$D$800,2,False),"OOPS FIX ME"))</f>
        <v>sembrestels</v>
      </c>
      <c r="B162" s="276" t="s">
        <v>10</v>
      </c>
      <c r="C162" s="277" t="s">
        <v>1941</v>
      </c>
      <c r="D162" s="278" t="s">
        <v>437</v>
      </c>
      <c r="E162" s="279">
        <v>44260.0</v>
      </c>
      <c r="F162" s="278" t="s">
        <v>1929</v>
      </c>
      <c r="G162" s="171">
        <v>15.0</v>
      </c>
      <c r="H162" s="171">
        <v>1000.0</v>
      </c>
      <c r="I162" s="171">
        <v>20.0</v>
      </c>
      <c r="J162" s="172">
        <f t="shared" si="2"/>
        <v>0.0005962415693</v>
      </c>
      <c r="K162" s="269">
        <f t="shared" si="6"/>
        <v>0.6161162883</v>
      </c>
      <c r="L162" s="270">
        <f t="shared" si="4"/>
        <v>10.63173166</v>
      </c>
      <c r="M162" s="271" t="str">
        <f t="shared" si="5"/>
        <v>sembrestels</v>
      </c>
      <c r="N162" s="176">
        <f>IFERROR(__xludf.DUMMYFUNCTION("""COMPUTED_VALUE"""),5.0)</f>
        <v>5</v>
      </c>
      <c r="O162" s="176"/>
      <c r="P162" s="280" t="s">
        <v>476</v>
      </c>
      <c r="Q162" s="276" t="s">
        <v>10</v>
      </c>
      <c r="R162" s="176"/>
      <c r="S162" s="176"/>
      <c r="T162" s="176"/>
      <c r="U162" s="176"/>
      <c r="V162" s="176"/>
      <c r="W162" s="176"/>
      <c r="X162" s="176"/>
      <c r="Y162" s="176"/>
      <c r="Z162" s="176"/>
    </row>
    <row r="163">
      <c r="A163" s="267" t="str">
        <f>iferror(VLOOKUP(P163,'DO NOT TOUCH Imported'!$A$1:$D$800,4,False),iferror(VLOOKUP(P163,'DO NOT TOUCH Imported'!$C$1:$D$800,2,False),"OOPS FIX ME"))</f>
        <v>sembrestels</v>
      </c>
      <c r="B163" s="257" t="s">
        <v>6</v>
      </c>
      <c r="C163" s="261" t="s">
        <v>2017</v>
      </c>
      <c r="D163" s="281" t="s">
        <v>495</v>
      </c>
      <c r="E163" s="282">
        <v>44260.0</v>
      </c>
      <c r="F163" s="258" t="s">
        <v>627</v>
      </c>
      <c r="G163" s="171">
        <v>150.0</v>
      </c>
      <c r="H163" s="171">
        <v>20000.0</v>
      </c>
      <c r="I163" s="171">
        <v>400.0</v>
      </c>
      <c r="J163" s="172">
        <f t="shared" si="2"/>
        <v>0.009498824593</v>
      </c>
      <c r="K163" s="269">
        <f t="shared" si="6"/>
        <v>9.81545208</v>
      </c>
      <c r="L163" s="270">
        <f t="shared" si="4"/>
        <v>10.63173166</v>
      </c>
      <c r="M163" s="271" t="str">
        <f t="shared" si="5"/>
        <v>sembrestels</v>
      </c>
      <c r="N163" s="176">
        <f>IFERROR(__xludf.DUMMYFUNCTION("""COMPUTED_VALUE"""),6.0)</f>
        <v>6</v>
      </c>
      <c r="O163" s="176"/>
      <c r="P163" s="257" t="s">
        <v>6</v>
      </c>
      <c r="Q163" s="257" t="s">
        <v>6</v>
      </c>
      <c r="R163" s="176"/>
      <c r="S163" s="176"/>
      <c r="T163" s="176"/>
      <c r="U163" s="176"/>
      <c r="V163" s="176"/>
      <c r="W163" s="176"/>
      <c r="X163" s="176"/>
      <c r="Y163" s="176"/>
      <c r="Z163" s="176"/>
    </row>
    <row r="164">
      <c r="A164" s="267" t="str">
        <f>iferror(VLOOKUP(P164,'DO NOT TOUCH Imported'!$A$1:$D$800,4,False),iferror(VLOOKUP(P164,'DO NOT TOUCH Imported'!$C$1:$D$800,2,False),"OOPS FIX ME"))</f>
        <v>sembrestels</v>
      </c>
      <c r="B164" s="257" t="s">
        <v>6</v>
      </c>
      <c r="C164" s="261" t="s">
        <v>2018</v>
      </c>
      <c r="D164" s="281" t="s">
        <v>495</v>
      </c>
      <c r="E164" s="282">
        <v>44260.0</v>
      </c>
      <c r="F164" s="258" t="s">
        <v>627</v>
      </c>
      <c r="G164" s="171">
        <v>150.0</v>
      </c>
      <c r="H164" s="171">
        <v>20000.0</v>
      </c>
      <c r="I164" s="171">
        <v>400.0</v>
      </c>
      <c r="J164" s="172">
        <f t="shared" si="2"/>
        <v>0.009498824593</v>
      </c>
      <c r="K164" s="269">
        <f t="shared" si="6"/>
        <v>9.81545208</v>
      </c>
      <c r="L164" s="270">
        <f t="shared" si="4"/>
        <v>10.63173166</v>
      </c>
      <c r="M164" s="271" t="str">
        <f t="shared" si="5"/>
        <v>sembrestels</v>
      </c>
      <c r="N164" s="176">
        <f>IFERROR(__xludf.DUMMYFUNCTION("""COMPUTED_VALUE"""),7.0)</f>
        <v>7</v>
      </c>
      <c r="O164" s="176"/>
      <c r="P164" s="257" t="s">
        <v>6</v>
      </c>
      <c r="Q164" s="257" t="s">
        <v>6</v>
      </c>
      <c r="R164" s="176"/>
      <c r="S164" s="176"/>
      <c r="T164" s="176"/>
      <c r="U164" s="176"/>
      <c r="V164" s="176"/>
      <c r="W164" s="176"/>
      <c r="X164" s="176"/>
      <c r="Y164" s="176"/>
      <c r="Z164" s="176"/>
    </row>
    <row r="165">
      <c r="A165" s="267" t="str">
        <f>iferror(VLOOKUP(P165,'DO NOT TOUCH Imported'!$A$1:$D$800,4,False),iferror(VLOOKUP(P165,'DO NOT TOUCH Imported'!$C$1:$D$800,2,False),"OOPS FIX ME"))</f>
        <v>sembrestels</v>
      </c>
      <c r="B165" s="257" t="s">
        <v>6</v>
      </c>
      <c r="C165" s="261" t="s">
        <v>2019</v>
      </c>
      <c r="D165" s="281" t="s">
        <v>495</v>
      </c>
      <c r="E165" s="282">
        <v>44260.0</v>
      </c>
      <c r="F165" s="258" t="s">
        <v>627</v>
      </c>
      <c r="G165" s="171">
        <v>75.0</v>
      </c>
      <c r="H165" s="171">
        <v>10000.0</v>
      </c>
      <c r="I165" s="171">
        <v>200.0</v>
      </c>
      <c r="J165" s="172">
        <f t="shared" si="2"/>
        <v>0.004749412297</v>
      </c>
      <c r="K165" s="269">
        <f t="shared" si="6"/>
        <v>4.90772604</v>
      </c>
      <c r="L165" s="270">
        <f t="shared" si="4"/>
        <v>10.63173166</v>
      </c>
      <c r="M165" s="271" t="str">
        <f t="shared" si="5"/>
        <v>sembrestels</v>
      </c>
      <c r="N165" s="176">
        <f>IFERROR(__xludf.DUMMYFUNCTION("""COMPUTED_VALUE"""),8.0)</f>
        <v>8</v>
      </c>
      <c r="O165" s="176"/>
      <c r="P165" s="257" t="s">
        <v>6</v>
      </c>
      <c r="Q165" s="257" t="s">
        <v>6</v>
      </c>
      <c r="R165" s="176"/>
      <c r="S165" s="176"/>
      <c r="T165" s="176"/>
      <c r="U165" s="176"/>
      <c r="V165" s="176"/>
      <c r="W165" s="176"/>
      <c r="X165" s="176"/>
      <c r="Y165" s="176"/>
      <c r="Z165" s="176"/>
    </row>
    <row r="166">
      <c r="A166" s="267" t="str">
        <f>iferror(VLOOKUP(P166,'DO NOT TOUCH Imported'!$A$1:$D$800,4,False),iferror(VLOOKUP(P166,'DO NOT TOUCH Imported'!$C$1:$D$800,2,False),"OOPS FIX ME"))</f>
        <v>sembrestels</v>
      </c>
      <c r="B166" s="257" t="s">
        <v>10</v>
      </c>
      <c r="C166" s="261" t="s">
        <v>494</v>
      </c>
      <c r="D166" s="281" t="s">
        <v>495</v>
      </c>
      <c r="E166" s="282">
        <v>44260.0</v>
      </c>
      <c r="F166" s="258" t="s">
        <v>496</v>
      </c>
      <c r="G166" s="171">
        <v>35.0</v>
      </c>
      <c r="H166" s="171">
        <v>1000.0</v>
      </c>
      <c r="I166" s="171">
        <v>40.0</v>
      </c>
      <c r="J166" s="172">
        <f t="shared" si="2"/>
        <v>0.0009662718803</v>
      </c>
      <c r="K166" s="269">
        <f t="shared" si="6"/>
        <v>0.998480943</v>
      </c>
      <c r="L166" s="270">
        <f t="shared" si="4"/>
        <v>10.63173166</v>
      </c>
      <c r="M166" s="271" t="str">
        <f t="shared" si="5"/>
        <v>sembrestels</v>
      </c>
      <c r="N166" s="176">
        <f>IFERROR(__xludf.DUMMYFUNCTION("""COMPUTED_VALUE"""),9.0)</f>
        <v>9</v>
      </c>
      <c r="O166" s="176"/>
      <c r="P166" s="257" t="s">
        <v>6</v>
      </c>
      <c r="Q166" s="257" t="s">
        <v>10</v>
      </c>
      <c r="R166" s="176"/>
      <c r="S166" s="176"/>
      <c r="T166" s="176"/>
      <c r="U166" s="176"/>
      <c r="V166" s="176"/>
      <c r="W166" s="176"/>
      <c r="X166" s="176"/>
      <c r="Y166" s="176"/>
      <c r="Z166" s="176"/>
    </row>
    <row r="167">
      <c r="A167" s="267" t="str">
        <f>iferror(VLOOKUP(P167,'DO NOT TOUCH Imported'!$A$1:$D$800,4,False),iferror(VLOOKUP(P167,'DO NOT TOUCH Imported'!$C$1:$D$800,2,False),"OOPS FIX ME"))</f>
        <v>sembrestels</v>
      </c>
      <c r="B167" s="276" t="s">
        <v>10</v>
      </c>
      <c r="C167" s="277" t="s">
        <v>1942</v>
      </c>
      <c r="D167" s="278" t="s">
        <v>437</v>
      </c>
      <c r="E167" s="279">
        <v>44262.0</v>
      </c>
      <c r="F167" s="278" t="s">
        <v>1929</v>
      </c>
      <c r="G167" s="171">
        <v>25.0</v>
      </c>
      <c r="H167" s="171">
        <v>1000.0</v>
      </c>
      <c r="I167" s="171">
        <v>40.0</v>
      </c>
      <c r="J167" s="172">
        <f t="shared" si="2"/>
        <v>0.0008045380941</v>
      </c>
      <c r="K167" s="269">
        <f t="shared" si="6"/>
        <v>0.8313560306</v>
      </c>
      <c r="L167" s="270">
        <f t="shared" si="4"/>
        <v>10.63173166</v>
      </c>
      <c r="M167" s="271" t="str">
        <f t="shared" si="5"/>
        <v>sembrestels</v>
      </c>
      <c r="N167" s="176">
        <f>IFERROR(__xludf.DUMMYFUNCTION("""COMPUTED_VALUE"""),10.0)</f>
        <v>10</v>
      </c>
      <c r="O167" s="176"/>
      <c r="P167" s="280" t="s">
        <v>476</v>
      </c>
      <c r="Q167" s="276" t="s">
        <v>10</v>
      </c>
      <c r="R167" s="176"/>
      <c r="S167" s="176"/>
      <c r="T167" s="176"/>
      <c r="U167" s="176"/>
      <c r="V167" s="176"/>
      <c r="W167" s="176"/>
      <c r="X167" s="176"/>
      <c r="Y167" s="176"/>
      <c r="Z167" s="176"/>
    </row>
    <row r="168">
      <c r="A168" s="267" t="str">
        <f>iferror(VLOOKUP(P168,'DO NOT TOUCH Imported'!$A$1:$D$800,4,False),iferror(VLOOKUP(P168,'DO NOT TOUCH Imported'!$C$1:$D$800,2,False),"OOPS FIX ME"))</f>
        <v>sembrestels</v>
      </c>
      <c r="B168" s="276" t="s">
        <v>845</v>
      </c>
      <c r="C168" s="277" t="s">
        <v>2020</v>
      </c>
      <c r="D168" s="278" t="s">
        <v>499</v>
      </c>
      <c r="E168" s="279">
        <v>44263.0</v>
      </c>
      <c r="F168" s="278" t="s">
        <v>1646</v>
      </c>
      <c r="G168" s="171">
        <v>25.0</v>
      </c>
      <c r="H168" s="171">
        <v>500.0</v>
      </c>
      <c r="I168" s="171">
        <v>1000.0</v>
      </c>
      <c r="J168" s="172">
        <f t="shared" si="2"/>
        <v>0.002886010473</v>
      </c>
      <c r="K168" s="269">
        <f t="shared" si="6"/>
        <v>2.982210822</v>
      </c>
      <c r="L168" s="270">
        <f t="shared" si="4"/>
        <v>10.63173166</v>
      </c>
      <c r="M168" s="271" t="str">
        <f t="shared" si="5"/>
        <v>sembrestels</v>
      </c>
      <c r="N168" s="176">
        <f>IFERROR(__xludf.DUMMYFUNCTION("""COMPUTED_VALUE"""),11.0)</f>
        <v>11</v>
      </c>
      <c r="O168" s="176"/>
      <c r="P168" s="280" t="s">
        <v>476</v>
      </c>
      <c r="Q168" s="276" t="s">
        <v>845</v>
      </c>
      <c r="R168" s="176"/>
      <c r="S168" s="176"/>
      <c r="T168" s="176"/>
      <c r="U168" s="176"/>
      <c r="V168" s="176"/>
      <c r="W168" s="176"/>
      <c r="X168" s="176"/>
      <c r="Y168" s="176"/>
      <c r="Z168" s="176"/>
    </row>
    <row r="169">
      <c r="A169" s="267" t="str">
        <f>iferror(VLOOKUP(P169,'DO NOT TOUCH Imported'!$A$1:$D$800,4,False),iferror(VLOOKUP(P169,'DO NOT TOUCH Imported'!$C$1:$D$800,2,False),"OOPS FIX ME"))</f>
        <v>sembrestels</v>
      </c>
      <c r="B169" s="257" t="s">
        <v>519</v>
      </c>
      <c r="C169" s="261" t="s">
        <v>2021</v>
      </c>
      <c r="D169" s="281" t="s">
        <v>495</v>
      </c>
      <c r="E169" s="282">
        <v>44264.0</v>
      </c>
      <c r="F169" s="258" t="s">
        <v>627</v>
      </c>
      <c r="G169" s="171">
        <v>100.0</v>
      </c>
      <c r="H169" s="171">
        <v>1000.0</v>
      </c>
      <c r="I169" s="171">
        <v>300.0</v>
      </c>
      <c r="J169" s="172">
        <f t="shared" si="2"/>
        <v>0.002622857093</v>
      </c>
      <c r="K169" s="269">
        <f t="shared" si="6"/>
        <v>2.710285663</v>
      </c>
      <c r="L169" s="270">
        <f t="shared" si="4"/>
        <v>10.63173166</v>
      </c>
      <c r="M169" s="271" t="str">
        <f t="shared" si="5"/>
        <v>sembrestels</v>
      </c>
      <c r="N169" s="176">
        <f>IFERROR(__xludf.DUMMYFUNCTION("""COMPUTED_VALUE"""),12.0)</f>
        <v>12</v>
      </c>
      <c r="O169" s="176"/>
      <c r="P169" s="257" t="s">
        <v>6</v>
      </c>
      <c r="Q169" s="257" t="s">
        <v>519</v>
      </c>
      <c r="R169" s="176"/>
      <c r="S169" s="176"/>
      <c r="T169" s="176"/>
      <c r="U169" s="176"/>
      <c r="V169" s="176"/>
      <c r="W169" s="176"/>
      <c r="X169" s="176"/>
      <c r="Y169" s="176"/>
      <c r="Z169" s="176"/>
    </row>
    <row r="170">
      <c r="A170" s="267" t="str">
        <f>iferror(VLOOKUP(P170,'DO NOT TOUCH Imported'!$A$1:$D$800,4,False),iferror(VLOOKUP(P170,'DO NOT TOUCH Imported'!$C$1:$D$800,2,False),"OOPS FIX ME"))</f>
        <v>sembrestels</v>
      </c>
      <c r="B170" s="257" t="s">
        <v>6</v>
      </c>
      <c r="C170" s="261" t="s">
        <v>2022</v>
      </c>
      <c r="D170" s="281" t="s">
        <v>495</v>
      </c>
      <c r="E170" s="282">
        <v>44265.0</v>
      </c>
      <c r="F170" s="258" t="s">
        <v>627</v>
      </c>
      <c r="G170" s="171">
        <v>200.0</v>
      </c>
      <c r="H170" s="171">
        <v>2000.0</v>
      </c>
      <c r="I170" s="171">
        <v>500.0</v>
      </c>
      <c r="J170" s="172">
        <f t="shared" si="2"/>
        <v>0.005012900492</v>
      </c>
      <c r="K170" s="269">
        <f t="shared" si="6"/>
        <v>5.179997175</v>
      </c>
      <c r="L170" s="270">
        <f t="shared" si="4"/>
        <v>10.63173166</v>
      </c>
      <c r="M170" s="271" t="str">
        <f t="shared" si="5"/>
        <v>sembrestels</v>
      </c>
      <c r="N170" s="176">
        <f>IFERROR(__xludf.DUMMYFUNCTION("""COMPUTED_VALUE"""),13.0)</f>
        <v>13</v>
      </c>
      <c r="O170" s="176"/>
      <c r="P170" s="257" t="s">
        <v>6</v>
      </c>
      <c r="Q170" s="257" t="s">
        <v>6</v>
      </c>
      <c r="R170" s="176"/>
      <c r="S170" s="176"/>
      <c r="T170" s="176"/>
      <c r="U170" s="176"/>
      <c r="V170" s="176"/>
      <c r="W170" s="176"/>
      <c r="X170" s="176"/>
      <c r="Y170" s="176"/>
      <c r="Z170" s="176"/>
    </row>
    <row r="171">
      <c r="A171" s="267" t="str">
        <f>iferror(VLOOKUP(P171,'DO NOT TOUCH Imported'!$A$1:$D$800,4,False),iferror(VLOOKUP(P171,'DO NOT TOUCH Imported'!$C$1:$D$800,2,False),"OOPS FIX ME"))</f>
        <v>sembrestels</v>
      </c>
      <c r="B171" s="257" t="s">
        <v>6</v>
      </c>
      <c r="C171" s="261" t="s">
        <v>2023</v>
      </c>
      <c r="D171" s="281" t="s">
        <v>495</v>
      </c>
      <c r="E171" s="282">
        <v>44265.0</v>
      </c>
      <c r="F171" s="258" t="s">
        <v>627</v>
      </c>
      <c r="G171" s="171">
        <v>100.0</v>
      </c>
      <c r="H171" s="171">
        <v>1000.0</v>
      </c>
      <c r="I171" s="171">
        <v>200.0</v>
      </c>
      <c r="J171" s="172">
        <f t="shared" si="2"/>
        <v>0.0023900434</v>
      </c>
      <c r="K171" s="269">
        <f t="shared" si="6"/>
        <v>2.469711513</v>
      </c>
      <c r="L171" s="270">
        <f t="shared" si="4"/>
        <v>10.63173166</v>
      </c>
      <c r="M171" s="271" t="str">
        <f t="shared" si="5"/>
        <v>sembrestels</v>
      </c>
      <c r="N171" s="176">
        <f>IFERROR(__xludf.DUMMYFUNCTION("""COMPUTED_VALUE"""),14.0)</f>
        <v>14</v>
      </c>
      <c r="O171" s="176"/>
      <c r="P171" s="257" t="s">
        <v>6</v>
      </c>
      <c r="Q171" s="257" t="s">
        <v>6</v>
      </c>
      <c r="R171" s="176"/>
      <c r="S171" s="176"/>
      <c r="T171" s="176"/>
      <c r="U171" s="176"/>
      <c r="V171" s="176"/>
      <c r="W171" s="176"/>
      <c r="X171" s="176"/>
      <c r="Y171" s="176"/>
      <c r="Z171" s="176"/>
    </row>
    <row r="172">
      <c r="A172" s="267" t="str">
        <f>iferror(VLOOKUP(P172,'DO NOT TOUCH Imported'!$A$1:$D$800,4,False),iferror(VLOOKUP(P172,'DO NOT TOUCH Imported'!$C$1:$D$800,2,False),"OOPS FIX ME"))</f>
        <v>sembrestels</v>
      </c>
      <c r="B172" s="276" t="s">
        <v>1933</v>
      </c>
      <c r="C172" s="277" t="s">
        <v>1949</v>
      </c>
      <c r="D172" s="278" t="s">
        <v>437</v>
      </c>
      <c r="E172" s="279">
        <v>44266.0</v>
      </c>
      <c r="F172" s="278" t="s">
        <v>439</v>
      </c>
      <c r="G172" s="171">
        <v>25.0</v>
      </c>
      <c r="H172" s="171">
        <v>2000.0</v>
      </c>
      <c r="I172" s="171">
        <v>300.0</v>
      </c>
      <c r="J172" s="172">
        <f t="shared" si="2"/>
        <v>0.001716931848</v>
      </c>
      <c r="K172" s="269">
        <f t="shared" si="6"/>
        <v>1.774162909</v>
      </c>
      <c r="L172" s="270">
        <f t="shared" si="4"/>
        <v>10.63173166</v>
      </c>
      <c r="M172" s="271" t="str">
        <f t="shared" si="5"/>
        <v>sembrestels</v>
      </c>
      <c r="N172" s="176">
        <f>IFERROR(__xludf.DUMMYFUNCTION("""COMPUTED_VALUE"""),15.0)</f>
        <v>15</v>
      </c>
      <c r="O172" s="176"/>
      <c r="P172" s="280" t="s">
        <v>476</v>
      </c>
      <c r="Q172" s="276" t="s">
        <v>1933</v>
      </c>
      <c r="R172" s="176"/>
      <c r="S172" s="176"/>
      <c r="T172" s="176"/>
      <c r="U172" s="176"/>
      <c r="V172" s="176"/>
      <c r="W172" s="176"/>
      <c r="X172" s="176"/>
      <c r="Y172" s="176"/>
      <c r="Z172" s="176"/>
    </row>
    <row r="173">
      <c r="A173" s="267" t="str">
        <f>iferror(VLOOKUP(P173,'DO NOT TOUCH Imported'!$A$1:$D$800,4,False),iferror(VLOOKUP(P173,'DO NOT TOUCH Imported'!$C$1:$D$800,2,False),"OOPS FIX ME"))</f>
        <v>sembrestels</v>
      </c>
      <c r="B173" s="276" t="s">
        <v>10</v>
      </c>
      <c r="C173" s="277" t="s">
        <v>2024</v>
      </c>
      <c r="D173" s="278" t="s">
        <v>437</v>
      </c>
      <c r="E173" s="283">
        <v>44267.0</v>
      </c>
      <c r="F173" s="278" t="s">
        <v>439</v>
      </c>
      <c r="G173" s="171">
        <v>100.0</v>
      </c>
      <c r="H173" s="171">
        <v>2500.0</v>
      </c>
      <c r="I173" s="171">
        <v>1000.0</v>
      </c>
      <c r="J173" s="172">
        <f t="shared" si="2"/>
        <v>0.004713170172</v>
      </c>
      <c r="K173" s="269">
        <f t="shared" si="6"/>
        <v>4.870275844</v>
      </c>
      <c r="L173" s="270">
        <f t="shared" si="4"/>
        <v>10.63173166</v>
      </c>
      <c r="M173" s="271" t="str">
        <f t="shared" si="5"/>
        <v>sembrestels</v>
      </c>
      <c r="N173" s="176">
        <f>IFERROR(__xludf.DUMMYFUNCTION("""COMPUTED_VALUE"""),16.0)</f>
        <v>16</v>
      </c>
      <c r="O173" s="176"/>
      <c r="P173" s="280" t="s">
        <v>476</v>
      </c>
      <c r="Q173" s="276" t="s">
        <v>10</v>
      </c>
      <c r="R173" s="176"/>
      <c r="S173" s="176"/>
      <c r="T173" s="176"/>
      <c r="U173" s="176"/>
      <c r="V173" s="176"/>
      <c r="W173" s="176"/>
      <c r="X173" s="176"/>
      <c r="Y173" s="176"/>
      <c r="Z173" s="176"/>
    </row>
    <row r="174">
      <c r="A174" s="267" t="str">
        <f>iferror(VLOOKUP(P174,'DO NOT TOUCH Imported'!$A$1:$D$800,4,False),iferror(VLOOKUP(P174,'DO NOT TOUCH Imported'!$C$1:$D$800,2,False),"OOPS FIX ME"))</f>
        <v>sembrestels</v>
      </c>
      <c r="B174" s="276" t="s">
        <v>10</v>
      </c>
      <c r="C174" s="277" t="s">
        <v>2025</v>
      </c>
      <c r="D174" s="278" t="s">
        <v>437</v>
      </c>
      <c r="E174" s="283">
        <v>44267.0</v>
      </c>
      <c r="F174" s="278" t="s">
        <v>439</v>
      </c>
      <c r="G174" s="171">
        <v>50.0</v>
      </c>
      <c r="H174" s="171">
        <v>2500.0</v>
      </c>
      <c r="I174" s="171">
        <v>500.0</v>
      </c>
      <c r="J174" s="172">
        <f t="shared" si="2"/>
        <v>0.002740432775</v>
      </c>
      <c r="K174" s="269">
        <f t="shared" si="6"/>
        <v>2.831780534</v>
      </c>
      <c r="L174" s="270">
        <f t="shared" si="4"/>
        <v>10.63173166</v>
      </c>
      <c r="M174" s="271" t="str">
        <f t="shared" si="5"/>
        <v>sembrestels</v>
      </c>
      <c r="N174" s="176">
        <f>IFERROR(__xludf.DUMMYFUNCTION("""COMPUTED_VALUE"""),17.0)</f>
        <v>17</v>
      </c>
      <c r="O174" s="176"/>
      <c r="P174" s="280" t="s">
        <v>476</v>
      </c>
      <c r="Q174" s="276" t="s">
        <v>10</v>
      </c>
      <c r="R174" s="176"/>
      <c r="S174" s="176"/>
      <c r="T174" s="176"/>
      <c r="U174" s="176"/>
      <c r="V174" s="176"/>
      <c r="W174" s="176"/>
      <c r="X174" s="176"/>
      <c r="Y174" s="176"/>
      <c r="Z174" s="176"/>
    </row>
    <row r="175">
      <c r="A175" s="267" t="str">
        <f>iferror(VLOOKUP(P175,'DO NOT TOUCH Imported'!$A$1:$D$800,4,False),iferror(VLOOKUP(P175,'DO NOT TOUCH Imported'!$C$1:$D$800,2,False),"OOPS FIX ME"))</f>
        <v>sembrestels</v>
      </c>
      <c r="B175" s="276" t="s">
        <v>10</v>
      </c>
      <c r="C175" s="277" t="s">
        <v>1952</v>
      </c>
      <c r="D175" s="278" t="s">
        <v>437</v>
      </c>
      <c r="E175" s="283">
        <v>44267.0</v>
      </c>
      <c r="F175" s="278" t="s">
        <v>439</v>
      </c>
      <c r="G175" s="171">
        <v>25.0</v>
      </c>
      <c r="H175" s="171">
        <v>1000.0</v>
      </c>
      <c r="I175" s="171">
        <v>10.0</v>
      </c>
      <c r="J175" s="172">
        <f t="shared" si="2"/>
        <v>0.0007346939862</v>
      </c>
      <c r="K175" s="269">
        <f t="shared" si="6"/>
        <v>0.7591837857</v>
      </c>
      <c r="L175" s="270">
        <f t="shared" si="4"/>
        <v>10.63173166</v>
      </c>
      <c r="M175" s="271" t="str">
        <f t="shared" si="5"/>
        <v>sembrestels</v>
      </c>
      <c r="N175" s="176">
        <f>IFERROR(__xludf.DUMMYFUNCTION("""COMPUTED_VALUE"""),18.0)</f>
        <v>18</v>
      </c>
      <c r="O175" s="176"/>
      <c r="P175" s="280" t="s">
        <v>476</v>
      </c>
      <c r="Q175" s="276" t="s">
        <v>10</v>
      </c>
      <c r="R175" s="176"/>
      <c r="S175" s="176"/>
      <c r="T175" s="176"/>
      <c r="U175" s="176"/>
      <c r="V175" s="176"/>
      <c r="W175" s="176"/>
      <c r="X175" s="176"/>
      <c r="Y175" s="176"/>
      <c r="Z175" s="176"/>
    </row>
    <row r="176">
      <c r="A176" s="267" t="str">
        <f>iferror(VLOOKUP(P176,'DO NOT TOUCH Imported'!$A$1:$D$800,4,False),iferror(VLOOKUP(P176,'DO NOT TOUCH Imported'!$C$1:$D$800,2,False),"OOPS FIX ME"))</f>
        <v>sembrestels</v>
      </c>
      <c r="B176" s="257" t="s">
        <v>10</v>
      </c>
      <c r="C176" s="261" t="s">
        <v>498</v>
      </c>
      <c r="D176" s="281" t="s">
        <v>495</v>
      </c>
      <c r="E176" s="282">
        <v>44267.0</v>
      </c>
      <c r="F176" s="258" t="s">
        <v>499</v>
      </c>
      <c r="G176" s="171">
        <v>25.0</v>
      </c>
      <c r="H176" s="171">
        <v>500.0</v>
      </c>
      <c r="I176" s="171">
        <v>100.0</v>
      </c>
      <c r="J176" s="172">
        <f t="shared" si="2"/>
        <v>0.0007906872343</v>
      </c>
      <c r="K176" s="269">
        <f t="shared" si="6"/>
        <v>0.8170434755</v>
      </c>
      <c r="L176" s="270">
        <f t="shared" si="4"/>
        <v>10.63173166</v>
      </c>
      <c r="M176" s="271" t="str">
        <f t="shared" si="5"/>
        <v>sembrestels</v>
      </c>
      <c r="N176" s="176">
        <f>IFERROR(__xludf.DUMMYFUNCTION("""COMPUTED_VALUE"""),19.0)</f>
        <v>19</v>
      </c>
      <c r="O176" s="176"/>
      <c r="P176" s="257" t="s">
        <v>6</v>
      </c>
      <c r="Q176" s="257" t="s">
        <v>10</v>
      </c>
      <c r="R176" s="176"/>
      <c r="S176" s="176"/>
      <c r="T176" s="176"/>
      <c r="U176" s="176"/>
      <c r="V176" s="176"/>
      <c r="W176" s="176"/>
      <c r="X176" s="176"/>
      <c r="Y176" s="176"/>
      <c r="Z176" s="176"/>
    </row>
    <row r="177">
      <c r="A177" s="185" t="str">
        <f>iferror(VLOOKUP(P177,'DO NOT TOUCH Imported'!$A$1:$D$800,4,False),iferror(VLOOKUP(P177,'DO NOT TOUCH Imported'!$C$1:$D$800,2,False),"OOPS FIX ME"))</f>
        <v>sembrestels</v>
      </c>
      <c r="B177" s="284" t="s">
        <v>534</v>
      </c>
      <c r="C177" s="290" t="s">
        <v>646</v>
      </c>
      <c r="D177" s="286"/>
      <c r="E177" s="287"/>
      <c r="F177" s="289"/>
      <c r="G177" s="190"/>
      <c r="H177" s="190"/>
      <c r="I177" s="190"/>
      <c r="J177" s="191">
        <f t="shared" si="2"/>
        <v>0</v>
      </c>
      <c r="K177" s="192">
        <f>70.875*-0.85</f>
        <v>-60.24375</v>
      </c>
      <c r="L177" s="193">
        <f t="shared" si="4"/>
        <v>10.63173166</v>
      </c>
      <c r="M177" s="194" t="str">
        <f t="shared" si="5"/>
        <v>sembrestels</v>
      </c>
      <c r="N177" s="211">
        <f>IFERROR(__xludf.DUMMYFUNCTION("""COMPUTED_VALUE"""),20.0)</f>
        <v>20</v>
      </c>
      <c r="O177" s="195"/>
      <c r="P177" s="291" t="s">
        <v>6</v>
      </c>
      <c r="Q177" s="284" t="s">
        <v>534</v>
      </c>
      <c r="R177" s="195">
        <v>57.049855624848725</v>
      </c>
      <c r="S177" s="195"/>
      <c r="T177" s="195"/>
      <c r="U177" s="195"/>
      <c r="V177" s="195"/>
      <c r="W177" s="195"/>
      <c r="X177" s="195"/>
      <c r="Y177" s="195"/>
      <c r="Z177" s="195"/>
    </row>
    <row r="178">
      <c r="A178" s="267" t="str">
        <f>iferror(VLOOKUP(P178,'DO NOT TOUCH Imported'!$A$1:$D$800,4,False),iferror(VLOOKUP(P178,'DO NOT TOUCH Imported'!$C$1:$D$800,2,False),"OOPS FIX ME"))</f>
        <v>durgadasji</v>
      </c>
      <c r="B178" s="257" t="s">
        <v>18</v>
      </c>
      <c r="C178" s="261" t="s">
        <v>1930</v>
      </c>
      <c r="D178" s="281" t="s">
        <v>495</v>
      </c>
      <c r="E178" s="282">
        <v>44257.0</v>
      </c>
      <c r="F178" s="258" t="s">
        <v>496</v>
      </c>
      <c r="G178" s="171">
        <v>25.0</v>
      </c>
      <c r="H178" s="171">
        <v>1000.0</v>
      </c>
      <c r="I178" s="171">
        <v>10.0</v>
      </c>
      <c r="J178" s="172">
        <f t="shared" si="2"/>
        <v>0.0007346939862</v>
      </c>
      <c r="K178" s="269">
        <f t="shared" ref="K178:K191" si="7">J178*$J$1</f>
        <v>0.7591837857</v>
      </c>
      <c r="L178" s="270">
        <f t="shared" si="4"/>
        <v>10.52189529</v>
      </c>
      <c r="M178" s="271" t="str">
        <f t="shared" si="5"/>
        <v>durgadasji</v>
      </c>
      <c r="N178" s="176">
        <f>IFERROR(__xludf.DUMMYFUNCTION("""COMPUTED_VALUE"""),1.0)</f>
        <v>1</v>
      </c>
      <c r="O178" s="176"/>
      <c r="P178" s="257" t="s">
        <v>13</v>
      </c>
      <c r="Q178" s="257" t="s">
        <v>18</v>
      </c>
      <c r="R178" s="176"/>
      <c r="S178" s="176"/>
      <c r="T178" s="176"/>
      <c r="U178" s="176"/>
      <c r="V178" s="176"/>
      <c r="W178" s="176"/>
      <c r="X178" s="176"/>
      <c r="Y178" s="176"/>
      <c r="Z178" s="176"/>
    </row>
    <row r="179">
      <c r="A179" s="267" t="str">
        <f>iferror(VLOOKUP(P179,'DO NOT TOUCH Imported'!$A$1:$D$800,4,False),iferror(VLOOKUP(P179,'DO NOT TOUCH Imported'!$C$1:$D$800,2,False),"OOPS FIX ME"))</f>
        <v>durgadasji</v>
      </c>
      <c r="B179" s="276" t="s">
        <v>1933</v>
      </c>
      <c r="C179" s="277" t="s">
        <v>2026</v>
      </c>
      <c r="D179" s="278" t="s">
        <v>437</v>
      </c>
      <c r="E179" s="279">
        <v>44259.0</v>
      </c>
      <c r="F179" s="278" t="s">
        <v>1929</v>
      </c>
      <c r="G179" s="171">
        <v>50.0</v>
      </c>
      <c r="H179" s="171">
        <v>10000.0</v>
      </c>
      <c r="I179" s="171">
        <v>300.0</v>
      </c>
      <c r="J179" s="172">
        <f t="shared" si="2"/>
        <v>0.004577891524</v>
      </c>
      <c r="K179" s="269">
        <f t="shared" si="7"/>
        <v>4.730487908</v>
      </c>
      <c r="L179" s="270">
        <f t="shared" si="4"/>
        <v>10.52189529</v>
      </c>
      <c r="M179" s="271" t="str">
        <f t="shared" si="5"/>
        <v>durgadasji</v>
      </c>
      <c r="N179" s="176">
        <f>IFERROR(__xludf.DUMMYFUNCTION("""COMPUTED_VALUE"""),2.0)</f>
        <v>2</v>
      </c>
      <c r="O179" s="176"/>
      <c r="P179" s="280" t="s">
        <v>782</v>
      </c>
      <c r="Q179" s="276" t="s">
        <v>1933</v>
      </c>
      <c r="R179" s="176"/>
      <c r="S179" s="176"/>
      <c r="T179" s="176"/>
      <c r="U179" s="176"/>
      <c r="V179" s="176"/>
      <c r="W179" s="176"/>
      <c r="X179" s="176"/>
      <c r="Y179" s="176"/>
      <c r="Z179" s="176"/>
    </row>
    <row r="180">
      <c r="A180" s="267" t="str">
        <f>iferror(VLOOKUP(P180,'DO NOT TOUCH Imported'!$A$1:$D$800,4,False),iferror(VLOOKUP(P180,'DO NOT TOUCH Imported'!$C$1:$D$800,2,False),"OOPS FIX ME"))</f>
        <v>durgadasji</v>
      </c>
      <c r="B180" s="276" t="s">
        <v>1933</v>
      </c>
      <c r="C180" s="277" t="s">
        <v>1936</v>
      </c>
      <c r="D180" s="278" t="s">
        <v>437</v>
      </c>
      <c r="E180" s="279">
        <v>44259.0</v>
      </c>
      <c r="F180" s="278" t="s">
        <v>1929</v>
      </c>
      <c r="G180" s="171">
        <v>25.0</v>
      </c>
      <c r="H180" s="171">
        <v>1500.0</v>
      </c>
      <c r="I180" s="171">
        <v>200.0</v>
      </c>
      <c r="J180" s="172">
        <f t="shared" si="2"/>
        <v>0.001330579079</v>
      </c>
      <c r="K180" s="269">
        <f t="shared" si="7"/>
        <v>1.374931715</v>
      </c>
      <c r="L180" s="270">
        <f t="shared" si="4"/>
        <v>10.52189529</v>
      </c>
      <c r="M180" s="271" t="str">
        <f t="shared" si="5"/>
        <v>durgadasji</v>
      </c>
      <c r="N180" s="176">
        <f>IFERROR(__xludf.DUMMYFUNCTION("""COMPUTED_VALUE"""),3.0)</f>
        <v>3</v>
      </c>
      <c r="O180" s="176"/>
      <c r="P180" s="280" t="s">
        <v>782</v>
      </c>
      <c r="Q180" s="276" t="s">
        <v>1933</v>
      </c>
      <c r="R180" s="176"/>
      <c r="S180" s="176"/>
      <c r="T180" s="176"/>
      <c r="U180" s="176"/>
      <c r="V180" s="176"/>
      <c r="W180" s="176"/>
      <c r="X180" s="176"/>
      <c r="Y180" s="176"/>
      <c r="Z180" s="176"/>
    </row>
    <row r="181">
      <c r="A181" s="267" t="str">
        <f>iferror(VLOOKUP(P181,'DO NOT TOUCH Imported'!$A$1:$D$800,4,False),iferror(VLOOKUP(P181,'DO NOT TOUCH Imported'!$C$1:$D$800,2,False),"OOPS FIX ME"))</f>
        <v>durgadasji</v>
      </c>
      <c r="B181" s="276" t="s">
        <v>10</v>
      </c>
      <c r="C181" s="277" t="s">
        <v>2027</v>
      </c>
      <c r="D181" s="278" t="s">
        <v>437</v>
      </c>
      <c r="E181" s="279">
        <v>44260.0</v>
      </c>
      <c r="F181" s="278" t="s">
        <v>1929</v>
      </c>
      <c r="G181" s="171">
        <v>35.0</v>
      </c>
      <c r="H181" s="171">
        <v>500.0</v>
      </c>
      <c r="I181" s="171">
        <v>100.0</v>
      </c>
      <c r="J181" s="172">
        <f t="shared" si="2"/>
        <v>0.0009524210205</v>
      </c>
      <c r="K181" s="269">
        <f t="shared" si="7"/>
        <v>0.9841683879</v>
      </c>
      <c r="L181" s="270">
        <f t="shared" si="4"/>
        <v>10.52189529</v>
      </c>
      <c r="M181" s="271" t="str">
        <f t="shared" si="5"/>
        <v>durgadasji</v>
      </c>
      <c r="N181" s="176">
        <f>IFERROR(__xludf.DUMMYFUNCTION("""COMPUTED_VALUE"""),4.0)</f>
        <v>4</v>
      </c>
      <c r="O181" s="176"/>
      <c r="P181" s="280" t="s">
        <v>782</v>
      </c>
      <c r="Q181" s="276" t="s">
        <v>10</v>
      </c>
      <c r="R181" s="176"/>
      <c r="S181" s="176"/>
      <c r="T181" s="176"/>
      <c r="U181" s="176"/>
      <c r="V181" s="176"/>
      <c r="W181" s="176"/>
      <c r="X181" s="176"/>
      <c r="Y181" s="176"/>
      <c r="Z181" s="176"/>
    </row>
    <row r="182">
      <c r="A182" s="267" t="str">
        <f>iferror(VLOOKUP(P182,'DO NOT TOUCH Imported'!$A$1:$D$800,4,False),iferror(VLOOKUP(P182,'DO NOT TOUCH Imported'!$C$1:$D$800,2,False),"OOPS FIX ME"))</f>
        <v>durgadasji</v>
      </c>
      <c r="B182" s="276" t="s">
        <v>10</v>
      </c>
      <c r="C182" s="277" t="s">
        <v>2028</v>
      </c>
      <c r="D182" s="278" t="s">
        <v>437</v>
      </c>
      <c r="E182" s="279">
        <v>44260.0</v>
      </c>
      <c r="F182" s="278" t="s">
        <v>1929</v>
      </c>
      <c r="G182" s="171">
        <v>35.0</v>
      </c>
      <c r="H182" s="171">
        <v>1500.0</v>
      </c>
      <c r="I182" s="171">
        <v>400.0</v>
      </c>
      <c r="J182" s="172">
        <f t="shared" si="2"/>
        <v>0.001957940251</v>
      </c>
      <c r="K182" s="269">
        <f t="shared" si="7"/>
        <v>2.023204926</v>
      </c>
      <c r="L182" s="270">
        <f t="shared" si="4"/>
        <v>10.52189529</v>
      </c>
      <c r="M182" s="271" t="str">
        <f t="shared" si="5"/>
        <v>durgadasji</v>
      </c>
      <c r="N182" s="176">
        <f>IFERROR(__xludf.DUMMYFUNCTION("""COMPUTED_VALUE"""),5.0)</f>
        <v>5</v>
      </c>
      <c r="O182" s="176"/>
      <c r="P182" s="280" t="s">
        <v>782</v>
      </c>
      <c r="Q182" s="276" t="s">
        <v>10</v>
      </c>
      <c r="R182" s="176"/>
      <c r="S182" s="176"/>
      <c r="T182" s="176"/>
      <c r="U182" s="176"/>
      <c r="V182" s="176"/>
      <c r="W182" s="176"/>
      <c r="X182" s="176"/>
      <c r="Y182" s="176"/>
      <c r="Z182" s="176"/>
    </row>
    <row r="183">
      <c r="A183" s="267" t="str">
        <f>iferror(VLOOKUP(P183,'DO NOT TOUCH Imported'!$A$1:$D$800,4,False),iferror(VLOOKUP(P183,'DO NOT TOUCH Imported'!$C$1:$D$800,2,False),"OOPS FIX ME"))</f>
        <v>durgadasji</v>
      </c>
      <c r="B183" s="276" t="s">
        <v>1702</v>
      </c>
      <c r="C183" s="277" t="s">
        <v>2029</v>
      </c>
      <c r="D183" s="278" t="s">
        <v>437</v>
      </c>
      <c r="E183" s="279">
        <v>44260.0</v>
      </c>
      <c r="F183" s="278" t="s">
        <v>1929</v>
      </c>
      <c r="G183" s="171">
        <v>15.0</v>
      </c>
      <c r="H183" s="171">
        <v>500.0</v>
      </c>
      <c r="I183" s="171">
        <v>100.0</v>
      </c>
      <c r="J183" s="172">
        <f t="shared" si="2"/>
        <v>0.0006289534481</v>
      </c>
      <c r="K183" s="269">
        <f t="shared" si="7"/>
        <v>0.6499185631</v>
      </c>
      <c r="L183" s="270">
        <f t="shared" si="4"/>
        <v>10.52189529</v>
      </c>
      <c r="M183" s="271" t="str">
        <f t="shared" si="5"/>
        <v>durgadasji</v>
      </c>
      <c r="N183" s="176">
        <f>IFERROR(__xludf.DUMMYFUNCTION("""COMPUTED_VALUE"""),6.0)</f>
        <v>6</v>
      </c>
      <c r="O183" s="176"/>
      <c r="P183" s="280" t="s">
        <v>782</v>
      </c>
      <c r="Q183" s="276" t="s">
        <v>1702</v>
      </c>
      <c r="R183" s="176"/>
      <c r="S183" s="176"/>
      <c r="T183" s="176"/>
      <c r="U183" s="176"/>
      <c r="V183" s="176"/>
      <c r="W183" s="176"/>
      <c r="X183" s="176"/>
      <c r="Y183" s="176"/>
      <c r="Z183" s="176"/>
    </row>
    <row r="184">
      <c r="A184" s="267" t="str">
        <f>iferror(VLOOKUP(P184,'DO NOT TOUCH Imported'!$A$1:$D$800,4,False),iferror(VLOOKUP(P184,'DO NOT TOUCH Imported'!$C$1:$D$800,2,False),"OOPS FIX ME"))</f>
        <v>markusbkoch#6770</v>
      </c>
      <c r="B184" s="276" t="s">
        <v>1702</v>
      </c>
      <c r="C184" s="277" t="s">
        <v>2030</v>
      </c>
      <c r="D184" s="278" t="s">
        <v>499</v>
      </c>
      <c r="E184" s="279">
        <v>44263.0</v>
      </c>
      <c r="F184" s="278" t="s">
        <v>1646</v>
      </c>
      <c r="G184" s="171">
        <v>50.0</v>
      </c>
      <c r="H184" s="171">
        <v>2500.0</v>
      </c>
      <c r="I184" s="171">
        <v>2000.0</v>
      </c>
      <c r="J184" s="172">
        <f t="shared" si="2"/>
        <v>0.006232638173</v>
      </c>
      <c r="K184" s="269">
        <f t="shared" si="7"/>
        <v>6.440392779</v>
      </c>
      <c r="L184" s="270">
        <f t="shared" si="4"/>
        <v>10.47504406</v>
      </c>
      <c r="M184" s="271" t="str">
        <f t="shared" si="5"/>
        <v>markusbkoch#6770</v>
      </c>
      <c r="N184" s="176">
        <f>IFERROR(__xludf.DUMMYFUNCTION("""COMPUTED_VALUE"""),1.0)</f>
        <v>1</v>
      </c>
      <c r="O184" s="176"/>
      <c r="P184" s="280" t="s">
        <v>128</v>
      </c>
      <c r="Q184" s="276" t="s">
        <v>1702</v>
      </c>
      <c r="R184" s="176"/>
      <c r="S184" s="176"/>
      <c r="T184" s="176"/>
      <c r="U184" s="176"/>
      <c r="V184" s="176"/>
      <c r="W184" s="176"/>
      <c r="X184" s="176"/>
      <c r="Y184" s="176"/>
      <c r="Z184" s="176"/>
    </row>
    <row r="185">
      <c r="A185" s="267" t="str">
        <f>iferror(VLOOKUP(P185,'DO NOT TOUCH Imported'!$A$1:$D$800,4,False),iferror(VLOOKUP(P185,'DO NOT TOUCH Imported'!$C$1:$D$800,2,False),"OOPS FIX ME"))</f>
        <v>markusbkoch#6770</v>
      </c>
      <c r="B185" s="276" t="s">
        <v>18</v>
      </c>
      <c r="C185" s="277" t="s">
        <v>2031</v>
      </c>
      <c r="D185" s="278" t="s">
        <v>499</v>
      </c>
      <c r="E185" s="279">
        <v>44263.0</v>
      </c>
      <c r="F185" s="278" t="s">
        <v>1646</v>
      </c>
      <c r="G185" s="171">
        <v>50.0</v>
      </c>
      <c r="H185" s="171">
        <v>2500.0</v>
      </c>
      <c r="I185" s="171">
        <v>1000.0</v>
      </c>
      <c r="J185" s="172">
        <f t="shared" si="2"/>
        <v>0.003904501241</v>
      </c>
      <c r="K185" s="269">
        <f t="shared" si="7"/>
        <v>4.034651282</v>
      </c>
      <c r="L185" s="270">
        <f t="shared" si="4"/>
        <v>10.47504406</v>
      </c>
      <c r="M185" s="271" t="str">
        <f t="shared" si="5"/>
        <v>markusbkoch#6770</v>
      </c>
      <c r="N185" s="176">
        <f>IFERROR(__xludf.DUMMYFUNCTION("""COMPUTED_VALUE"""),2.0)</f>
        <v>2</v>
      </c>
      <c r="O185" s="176"/>
      <c r="P185" s="280" t="s">
        <v>128</v>
      </c>
      <c r="Q185" s="276" t="s">
        <v>18</v>
      </c>
      <c r="R185" s="176"/>
      <c r="S185" s="176"/>
      <c r="T185" s="176"/>
      <c r="U185" s="176"/>
      <c r="V185" s="176"/>
      <c r="W185" s="176"/>
      <c r="X185" s="176"/>
      <c r="Y185" s="176"/>
      <c r="Z185" s="176"/>
    </row>
    <row r="186">
      <c r="A186" s="267" t="str">
        <f>iferror(VLOOKUP(P186,'DO NOT TOUCH Imported'!$A$1:$D$800,4,False),iferror(VLOOKUP(P186,'DO NOT TOUCH Imported'!$C$1:$D$800,2,False),"OOPS FIX ME"))</f>
        <v>akrtws</v>
      </c>
      <c r="B186" s="257" t="s">
        <v>10</v>
      </c>
      <c r="C186" s="261" t="s">
        <v>2032</v>
      </c>
      <c r="D186" s="281" t="s">
        <v>495</v>
      </c>
      <c r="E186" s="282">
        <v>44260.0</v>
      </c>
      <c r="F186" s="258" t="s">
        <v>496</v>
      </c>
      <c r="G186" s="171">
        <v>50.0</v>
      </c>
      <c r="H186" s="171">
        <v>10000.0</v>
      </c>
      <c r="I186" s="171">
        <v>500.0</v>
      </c>
      <c r="J186" s="172">
        <f t="shared" si="2"/>
        <v>0.005043518911</v>
      </c>
      <c r="K186" s="269">
        <f t="shared" si="7"/>
        <v>5.211636208</v>
      </c>
      <c r="L186" s="270">
        <f t="shared" si="4"/>
        <v>10.06413688</v>
      </c>
      <c r="M186" s="271" t="str">
        <f t="shared" si="5"/>
        <v>akrtws</v>
      </c>
      <c r="N186" s="176">
        <f>IFERROR(__xludf.DUMMYFUNCTION("""COMPUTED_VALUE"""),1.0)</f>
        <v>1</v>
      </c>
      <c r="O186" s="176"/>
      <c r="P186" s="257" t="s">
        <v>9</v>
      </c>
      <c r="Q186" s="257" t="s">
        <v>10</v>
      </c>
      <c r="R186" s="176"/>
      <c r="S186" s="176"/>
      <c r="T186" s="176"/>
      <c r="U186" s="176"/>
      <c r="V186" s="176"/>
      <c r="W186" s="176"/>
      <c r="X186" s="176"/>
      <c r="Y186" s="176"/>
      <c r="Z186" s="176"/>
    </row>
    <row r="187">
      <c r="A187" s="267" t="str">
        <f>iferror(VLOOKUP(P187,'DO NOT TOUCH Imported'!$A$1:$D$800,4,False),iferror(VLOOKUP(P187,'DO NOT TOUCH Imported'!$C$1:$D$800,2,False),"OOPS FIX ME"))</f>
        <v>akrtws</v>
      </c>
      <c r="B187" s="257" t="s">
        <v>10</v>
      </c>
      <c r="C187" s="261" t="s">
        <v>500</v>
      </c>
      <c r="D187" s="281" t="s">
        <v>495</v>
      </c>
      <c r="E187" s="282">
        <v>44260.0</v>
      </c>
      <c r="F187" s="258" t="s">
        <v>496</v>
      </c>
      <c r="G187" s="171">
        <v>35.0</v>
      </c>
      <c r="H187" s="171">
        <v>500.0</v>
      </c>
      <c r="I187" s="171">
        <v>40.0</v>
      </c>
      <c r="J187" s="172">
        <f t="shared" si="2"/>
        <v>0.0008127328046</v>
      </c>
      <c r="K187" s="269">
        <f t="shared" si="7"/>
        <v>0.8398238981</v>
      </c>
      <c r="L187" s="270">
        <f t="shared" si="4"/>
        <v>10.06413688</v>
      </c>
      <c r="M187" s="271" t="str">
        <f t="shared" si="5"/>
        <v>akrtws</v>
      </c>
      <c r="N187" s="176">
        <f>IFERROR(__xludf.DUMMYFUNCTION("""COMPUTED_VALUE"""),2.0)</f>
        <v>2</v>
      </c>
      <c r="O187" s="176"/>
      <c r="P187" s="257" t="s">
        <v>9</v>
      </c>
      <c r="Q187" s="257" t="s">
        <v>10</v>
      </c>
      <c r="R187" s="176"/>
      <c r="S187" s="176"/>
      <c r="T187" s="176"/>
      <c r="U187" s="176"/>
      <c r="V187" s="176"/>
      <c r="W187" s="176"/>
      <c r="X187" s="176"/>
      <c r="Y187" s="176"/>
      <c r="Z187" s="176"/>
    </row>
    <row r="188">
      <c r="A188" s="267" t="str">
        <f>iferror(VLOOKUP(P188,'DO NOT TOUCH Imported'!$A$1:$D$800,4,False),iferror(VLOOKUP(P188,'DO NOT TOUCH Imported'!$C$1:$D$800,2,False),"OOPS FIX ME"))</f>
        <v>akrtws</v>
      </c>
      <c r="B188" s="257" t="s">
        <v>10</v>
      </c>
      <c r="C188" s="261" t="s">
        <v>498</v>
      </c>
      <c r="D188" s="281" t="s">
        <v>495</v>
      </c>
      <c r="E188" s="282">
        <v>44260.0</v>
      </c>
      <c r="F188" s="258" t="s">
        <v>499</v>
      </c>
      <c r="G188" s="171">
        <v>35.0</v>
      </c>
      <c r="H188" s="171">
        <v>500.0</v>
      </c>
      <c r="I188" s="171">
        <v>40.0</v>
      </c>
      <c r="J188" s="172">
        <f t="shared" si="2"/>
        <v>0.0008127328046</v>
      </c>
      <c r="K188" s="269">
        <f t="shared" si="7"/>
        <v>0.8398238981</v>
      </c>
      <c r="L188" s="270">
        <f t="shared" si="4"/>
        <v>10.06413688</v>
      </c>
      <c r="M188" s="271" t="str">
        <f t="shared" si="5"/>
        <v>akrtws</v>
      </c>
      <c r="N188" s="176">
        <f>IFERROR(__xludf.DUMMYFUNCTION("""COMPUTED_VALUE"""),3.0)</f>
        <v>3</v>
      </c>
      <c r="O188" s="176"/>
      <c r="P188" s="257" t="s">
        <v>9</v>
      </c>
      <c r="Q188" s="257" t="s">
        <v>10</v>
      </c>
      <c r="R188" s="176"/>
      <c r="S188" s="176"/>
      <c r="T188" s="176"/>
      <c r="U188" s="176"/>
      <c r="V188" s="176"/>
      <c r="W188" s="176"/>
      <c r="X188" s="176"/>
      <c r="Y188" s="176"/>
      <c r="Z188" s="176"/>
    </row>
    <row r="189">
      <c r="A189" s="267" t="str">
        <f>iferror(VLOOKUP(P189,'DO NOT TOUCH Imported'!$A$1:$D$800,4,False),iferror(VLOOKUP(P189,'DO NOT TOUCH Imported'!$C$1:$D$800,2,False),"OOPS FIX ME"))</f>
        <v>akrtws</v>
      </c>
      <c r="B189" s="257" t="s">
        <v>10</v>
      </c>
      <c r="C189" s="261" t="s">
        <v>498</v>
      </c>
      <c r="D189" s="281" t="s">
        <v>495</v>
      </c>
      <c r="E189" s="282">
        <v>44267.0</v>
      </c>
      <c r="F189" s="258" t="s">
        <v>499</v>
      </c>
      <c r="G189" s="171">
        <v>25.0</v>
      </c>
      <c r="H189" s="171">
        <v>500.0</v>
      </c>
      <c r="I189" s="171">
        <v>100.0</v>
      </c>
      <c r="J189" s="172">
        <f t="shared" si="2"/>
        <v>0.0007906872343</v>
      </c>
      <c r="K189" s="269">
        <f t="shared" si="7"/>
        <v>0.8170434755</v>
      </c>
      <c r="L189" s="270">
        <f t="shared" si="4"/>
        <v>10.06413688</v>
      </c>
      <c r="M189" s="271" t="str">
        <f t="shared" si="5"/>
        <v>akrtws</v>
      </c>
      <c r="N189" s="176">
        <f>IFERROR(__xludf.DUMMYFUNCTION("""COMPUTED_VALUE"""),4.0)</f>
        <v>4</v>
      </c>
      <c r="O189" s="176"/>
      <c r="P189" s="249" t="s">
        <v>9</v>
      </c>
      <c r="Q189" s="257" t="s">
        <v>10</v>
      </c>
      <c r="R189" s="176"/>
      <c r="S189" s="176"/>
      <c r="T189" s="176"/>
      <c r="U189" s="176"/>
      <c r="V189" s="176"/>
      <c r="W189" s="176"/>
      <c r="X189" s="176"/>
      <c r="Y189" s="176"/>
      <c r="Z189" s="176"/>
    </row>
    <row r="190">
      <c r="A190" s="267" t="str">
        <f>iferror(VLOOKUP(P190,'DO NOT TOUCH Imported'!$A$1:$D$800,4,False),iferror(VLOOKUP(P190,'DO NOT TOUCH Imported'!$C$1:$D$800,2,False),"OOPS FIX ME"))</f>
        <v>akrtws</v>
      </c>
      <c r="B190" s="257" t="s">
        <v>10</v>
      </c>
      <c r="C190" s="261" t="s">
        <v>500</v>
      </c>
      <c r="D190" s="281" t="s">
        <v>495</v>
      </c>
      <c r="E190" s="282">
        <v>44267.0</v>
      </c>
      <c r="F190" s="258" t="s">
        <v>496</v>
      </c>
      <c r="G190" s="171">
        <v>25.0</v>
      </c>
      <c r="H190" s="171">
        <v>500.0</v>
      </c>
      <c r="I190" s="171">
        <v>100.0</v>
      </c>
      <c r="J190" s="172">
        <f t="shared" si="2"/>
        <v>0.0007906872343</v>
      </c>
      <c r="K190" s="269">
        <f t="shared" si="7"/>
        <v>0.8170434755</v>
      </c>
      <c r="L190" s="270">
        <f t="shared" si="4"/>
        <v>10.06413688</v>
      </c>
      <c r="M190" s="271" t="str">
        <f t="shared" si="5"/>
        <v>akrtws</v>
      </c>
      <c r="N190" s="176">
        <f>IFERROR(__xludf.DUMMYFUNCTION("""COMPUTED_VALUE"""),5.0)</f>
        <v>5</v>
      </c>
      <c r="O190" s="176"/>
      <c r="P190" s="257" t="s">
        <v>9</v>
      </c>
      <c r="Q190" s="257" t="s">
        <v>10</v>
      </c>
      <c r="R190" s="176"/>
      <c r="S190" s="176"/>
      <c r="T190" s="176"/>
      <c r="U190" s="176"/>
      <c r="V190" s="176"/>
      <c r="W190" s="176"/>
      <c r="X190" s="176"/>
      <c r="Y190" s="176"/>
      <c r="Z190" s="176"/>
    </row>
    <row r="191">
      <c r="A191" s="267" t="str">
        <f>iferror(VLOOKUP(P191,'DO NOT TOUCH Imported'!$A$1:$D$800,4,False),iferror(VLOOKUP(P191,'DO NOT TOUCH Imported'!$C$1:$D$800,2,False),"OOPS FIX ME"))</f>
        <v>akrtws</v>
      </c>
      <c r="B191" s="257" t="s">
        <v>10</v>
      </c>
      <c r="C191" s="261" t="s">
        <v>2033</v>
      </c>
      <c r="D191" s="281" t="s">
        <v>495</v>
      </c>
      <c r="E191" s="282">
        <v>44267.0</v>
      </c>
      <c r="F191" s="258" t="s">
        <v>496</v>
      </c>
      <c r="G191" s="171">
        <v>25.0</v>
      </c>
      <c r="H191" s="171">
        <v>500.0</v>
      </c>
      <c r="I191" s="171">
        <v>400.0</v>
      </c>
      <c r="J191" s="172">
        <f t="shared" si="2"/>
        <v>0.001489128314</v>
      </c>
      <c r="K191" s="269">
        <f t="shared" si="7"/>
        <v>1.538765924</v>
      </c>
      <c r="L191" s="270">
        <f t="shared" si="4"/>
        <v>10.06413688</v>
      </c>
      <c r="M191" s="271" t="str">
        <f t="shared" si="5"/>
        <v>akrtws</v>
      </c>
      <c r="N191" s="176">
        <f>IFERROR(__xludf.DUMMYFUNCTION("""COMPUTED_VALUE"""),6.0)</f>
        <v>6</v>
      </c>
      <c r="O191" s="176"/>
      <c r="P191" s="257" t="s">
        <v>9</v>
      </c>
      <c r="Q191" s="257" t="s">
        <v>10</v>
      </c>
      <c r="R191" s="176"/>
      <c r="S191" s="176"/>
      <c r="T191" s="176"/>
      <c r="U191" s="176"/>
      <c r="V191" s="176"/>
      <c r="W191" s="176"/>
      <c r="X191" s="176"/>
      <c r="Y191" s="176"/>
      <c r="Z191" s="176"/>
    </row>
    <row r="192">
      <c r="A192" s="267" t="str">
        <f>iferror(VLOOKUP(P192,'DO NOT TOUCH Imported'!$A$1:$D$800,4,False),iferror(VLOOKUP(P192,'DO NOT TOUCH Imported'!$C$1:$D$800,2,False),"OOPS FIX ME"))</f>
        <v>metaverde</v>
      </c>
      <c r="B192" s="257" t="s">
        <v>10</v>
      </c>
      <c r="C192" s="261" t="s">
        <v>498</v>
      </c>
      <c r="D192" s="281" t="s">
        <v>495</v>
      </c>
      <c r="E192" s="282">
        <v>44260.0</v>
      </c>
      <c r="F192" s="258" t="s">
        <v>499</v>
      </c>
      <c r="G192" s="243"/>
      <c r="H192" s="171"/>
      <c r="I192" s="243"/>
      <c r="J192" s="172">
        <f t="shared" si="2"/>
        <v>0</v>
      </c>
      <c r="K192" s="292">
        <v>1.8890920170627665</v>
      </c>
      <c r="L192" s="270">
        <f t="shared" si="4"/>
        <v>9.445460085</v>
      </c>
      <c r="M192" s="271" t="str">
        <f t="shared" si="5"/>
        <v>metaverde</v>
      </c>
      <c r="N192" s="176">
        <f>IFERROR(__xludf.DUMMYFUNCTION("""COMPUTED_VALUE"""),1.0)</f>
        <v>1</v>
      </c>
      <c r="O192" s="176"/>
      <c r="P192" s="293" t="s">
        <v>12</v>
      </c>
      <c r="Q192" s="293" t="s">
        <v>10</v>
      </c>
      <c r="R192" s="176"/>
      <c r="S192" s="176"/>
      <c r="T192" s="176"/>
      <c r="U192" s="176"/>
      <c r="V192" s="176"/>
      <c r="W192" s="176"/>
      <c r="X192" s="176"/>
      <c r="Y192" s="176"/>
      <c r="Z192" s="176"/>
    </row>
    <row r="193">
      <c r="A193" s="267" t="str">
        <f>iferror(VLOOKUP(P193,'DO NOT TOUCH Imported'!$A$1:$D$800,4,False),iferror(VLOOKUP(P193,'DO NOT TOUCH Imported'!$C$1:$D$800,2,False),"OOPS FIX ME"))</f>
        <v>metaverde</v>
      </c>
      <c r="B193" s="276" t="s">
        <v>1933</v>
      </c>
      <c r="C193" s="277" t="s">
        <v>1936</v>
      </c>
      <c r="D193" s="278" t="s">
        <v>437</v>
      </c>
      <c r="E193" s="279">
        <v>44259.0</v>
      </c>
      <c r="F193" s="278" t="s">
        <v>1929</v>
      </c>
      <c r="G193" s="171"/>
      <c r="H193" s="171"/>
      <c r="I193" s="243"/>
      <c r="J193" s="172">
        <f t="shared" si="2"/>
        <v>0</v>
      </c>
      <c r="K193" s="292">
        <v>1.8890920170627665</v>
      </c>
      <c r="L193" s="270">
        <f t="shared" si="4"/>
        <v>9.445460085</v>
      </c>
      <c r="M193" s="271" t="str">
        <f t="shared" si="5"/>
        <v>metaverde</v>
      </c>
      <c r="N193" s="176">
        <f>IFERROR(__xludf.DUMMYFUNCTION("""COMPUTED_VALUE"""),2.0)</f>
        <v>2</v>
      </c>
      <c r="O193" s="176"/>
      <c r="P193" s="176" t="s">
        <v>718</v>
      </c>
      <c r="Q193" s="176" t="s">
        <v>1933</v>
      </c>
      <c r="R193" s="176"/>
      <c r="S193" s="176"/>
      <c r="T193" s="176"/>
      <c r="U193" s="176"/>
      <c r="V193" s="176"/>
      <c r="W193" s="176"/>
      <c r="X193" s="176"/>
      <c r="Y193" s="176"/>
      <c r="Z193" s="176"/>
    </row>
    <row r="194">
      <c r="A194" s="267" t="str">
        <f>iferror(VLOOKUP(P194,'DO NOT TOUCH Imported'!$A$1:$D$800,4,False),iferror(VLOOKUP(P194,'DO NOT TOUCH Imported'!$C$1:$D$800,2,False),"OOPS FIX ME"))</f>
        <v>metaverde</v>
      </c>
      <c r="B194" s="276" t="s">
        <v>10</v>
      </c>
      <c r="C194" s="277" t="s">
        <v>1993</v>
      </c>
      <c r="D194" s="278" t="s">
        <v>437</v>
      </c>
      <c r="E194" s="279">
        <v>44260.0</v>
      </c>
      <c r="F194" s="278" t="s">
        <v>1929</v>
      </c>
      <c r="G194" s="171"/>
      <c r="H194" s="243"/>
      <c r="I194" s="243"/>
      <c r="J194" s="172">
        <f t="shared" si="2"/>
        <v>0</v>
      </c>
      <c r="K194" s="292">
        <v>1.8890920170627665</v>
      </c>
      <c r="L194" s="270">
        <f t="shared" si="4"/>
        <v>9.445460085</v>
      </c>
      <c r="M194" s="271" t="str">
        <f t="shared" si="5"/>
        <v>metaverde</v>
      </c>
      <c r="N194" s="176">
        <f>IFERROR(__xludf.DUMMYFUNCTION("""COMPUTED_VALUE"""),3.0)</f>
        <v>3</v>
      </c>
      <c r="O194" s="176"/>
      <c r="P194" s="293" t="s">
        <v>718</v>
      </c>
      <c r="Q194" s="293" t="s">
        <v>10</v>
      </c>
      <c r="R194" s="176"/>
      <c r="S194" s="176"/>
      <c r="T194" s="176"/>
      <c r="U194" s="176"/>
      <c r="V194" s="176"/>
      <c r="W194" s="176"/>
      <c r="X194" s="176"/>
      <c r="Y194" s="176"/>
      <c r="Z194" s="176"/>
    </row>
    <row r="195">
      <c r="A195" s="267" t="str">
        <f>iferror(VLOOKUP(P195,'DO NOT TOUCH Imported'!$A$1:$D$800,4,False),iferror(VLOOKUP(P195,'DO NOT TOUCH Imported'!$C$1:$D$800,2,False),"OOPS FIX ME"))</f>
        <v>metaverde</v>
      </c>
      <c r="B195" s="276" t="s">
        <v>1933</v>
      </c>
      <c r="C195" s="277" t="s">
        <v>1949</v>
      </c>
      <c r="D195" s="278" t="s">
        <v>437</v>
      </c>
      <c r="E195" s="279">
        <v>44266.0</v>
      </c>
      <c r="F195" s="278" t="s">
        <v>439</v>
      </c>
      <c r="G195" s="243"/>
      <c r="H195" s="171"/>
      <c r="I195" s="243"/>
      <c r="J195" s="172">
        <f t="shared" si="2"/>
        <v>0</v>
      </c>
      <c r="K195" s="292">
        <v>1.8890920170627665</v>
      </c>
      <c r="L195" s="270">
        <f t="shared" si="4"/>
        <v>9.445460085</v>
      </c>
      <c r="M195" s="271" t="str">
        <f t="shared" si="5"/>
        <v>metaverde</v>
      </c>
      <c r="N195" s="176">
        <f>IFERROR(__xludf.DUMMYFUNCTION("""COMPUTED_VALUE"""),4.0)</f>
        <v>4</v>
      </c>
      <c r="O195" s="176"/>
      <c r="P195" s="293" t="s">
        <v>718</v>
      </c>
      <c r="Q195" s="293" t="s">
        <v>1933</v>
      </c>
      <c r="R195" s="176"/>
      <c r="S195" s="176"/>
      <c r="T195" s="176"/>
      <c r="U195" s="176"/>
      <c r="V195" s="176"/>
      <c r="W195" s="176"/>
      <c r="X195" s="176"/>
      <c r="Y195" s="176"/>
      <c r="Z195" s="176"/>
    </row>
    <row r="196">
      <c r="A196" s="267" t="str">
        <f>iferror(VLOOKUP(P196,'DO NOT TOUCH Imported'!$A$1:$D$800,4,False),iferror(VLOOKUP(P196,'DO NOT TOUCH Imported'!$C$1:$D$800,2,False),"OOPS FIX ME"))</f>
        <v>metaverde</v>
      </c>
      <c r="B196" s="276" t="s">
        <v>10</v>
      </c>
      <c r="C196" s="277" t="s">
        <v>1952</v>
      </c>
      <c r="D196" s="278" t="s">
        <v>437</v>
      </c>
      <c r="E196" s="283">
        <v>44267.0</v>
      </c>
      <c r="F196" s="278" t="s">
        <v>439</v>
      </c>
      <c r="G196" s="243"/>
      <c r="H196" s="243"/>
      <c r="I196" s="243"/>
      <c r="J196" s="172">
        <f t="shared" si="2"/>
        <v>0</v>
      </c>
      <c r="K196" s="292">
        <v>1.8890920170627665</v>
      </c>
      <c r="L196" s="270">
        <f t="shared" si="4"/>
        <v>9.445460085</v>
      </c>
      <c r="M196" s="271" t="str">
        <f t="shared" si="5"/>
        <v>metaverde</v>
      </c>
      <c r="N196" s="176">
        <f>IFERROR(__xludf.DUMMYFUNCTION("""COMPUTED_VALUE"""),5.0)</f>
        <v>5</v>
      </c>
      <c r="O196" s="176"/>
      <c r="P196" s="293" t="s">
        <v>718</v>
      </c>
      <c r="Q196" s="293" t="s">
        <v>10</v>
      </c>
      <c r="R196" s="176"/>
      <c r="S196" s="176"/>
      <c r="T196" s="176"/>
      <c r="U196" s="176"/>
      <c r="V196" s="176"/>
      <c r="W196" s="176"/>
      <c r="X196" s="176"/>
      <c r="Y196" s="176"/>
      <c r="Z196" s="176"/>
    </row>
    <row r="197">
      <c r="A197" s="267" t="str">
        <f>iferror(VLOOKUP(P197,'DO NOT TOUCH Imported'!$A$1:$D$800,4,False),iferror(VLOOKUP(P197,'DO NOT TOUCH Imported'!$C$1:$D$800,2,False),"OOPS FIX ME"))</f>
        <v>GriffGreen</v>
      </c>
      <c r="B197" s="276" t="s">
        <v>1702</v>
      </c>
      <c r="C197" s="277" t="s">
        <v>2034</v>
      </c>
      <c r="D197" s="278" t="s">
        <v>437</v>
      </c>
      <c r="E197" s="279">
        <v>44254.0</v>
      </c>
      <c r="F197" s="278" t="s">
        <v>1929</v>
      </c>
      <c r="G197" s="171"/>
      <c r="H197" s="243"/>
      <c r="I197" s="171"/>
      <c r="J197" s="172">
        <f t="shared" si="2"/>
        <v>0</v>
      </c>
      <c r="K197" s="269">
        <f>J197*$J$1</f>
        <v>0</v>
      </c>
      <c r="L197" s="270">
        <f t="shared" si="4"/>
        <v>8.991094546</v>
      </c>
      <c r="M197" s="271" t="str">
        <f t="shared" si="5"/>
        <v>GriffGreen</v>
      </c>
      <c r="N197" s="176">
        <f>IFERROR(__xludf.DUMMYFUNCTION("""COMPUTED_VALUE"""),1.0)</f>
        <v>1</v>
      </c>
      <c r="O197" s="176"/>
      <c r="P197" s="293" t="s">
        <v>450</v>
      </c>
      <c r="Q197" s="293" t="s">
        <v>1702</v>
      </c>
      <c r="R197" s="176"/>
      <c r="S197" s="176"/>
      <c r="T197" s="176"/>
      <c r="U197" s="176"/>
      <c r="V197" s="176"/>
      <c r="W197" s="176"/>
      <c r="X197" s="176"/>
      <c r="Y197" s="176"/>
      <c r="Z197" s="176"/>
    </row>
    <row r="198">
      <c r="A198" s="267" t="str">
        <f>iferror(VLOOKUP(P198,'DO NOT TOUCH Imported'!$A$1:$D$800,4,False),iferror(VLOOKUP(P198,'DO NOT TOUCH Imported'!$C$1:$D$800,2,False),"OOPS FIX ME"))</f>
        <v>GriffGreen</v>
      </c>
      <c r="B198" s="276" t="s">
        <v>1933</v>
      </c>
      <c r="C198" s="277" t="s">
        <v>1934</v>
      </c>
      <c r="D198" s="278" t="s">
        <v>437</v>
      </c>
      <c r="E198" s="279">
        <v>44258.0</v>
      </c>
      <c r="F198" s="278" t="s">
        <v>1929</v>
      </c>
      <c r="G198" s="171"/>
      <c r="H198" s="243"/>
      <c r="I198" s="171"/>
      <c r="J198" s="172">
        <f t="shared" si="2"/>
        <v>0</v>
      </c>
      <c r="K198" s="292">
        <v>1.8890920170627665</v>
      </c>
      <c r="L198" s="270">
        <f t="shared" si="4"/>
        <v>8.991094546</v>
      </c>
      <c r="M198" s="271" t="str">
        <f t="shared" si="5"/>
        <v>GriffGreen</v>
      </c>
      <c r="N198" s="176">
        <f>IFERROR(__xludf.DUMMYFUNCTION("""COMPUTED_VALUE"""),2.0)</f>
        <v>2</v>
      </c>
      <c r="O198" s="176"/>
      <c r="P198" s="293" t="s">
        <v>450</v>
      </c>
      <c r="Q198" s="293" t="s">
        <v>1933</v>
      </c>
      <c r="R198" s="176"/>
      <c r="S198" s="176"/>
      <c r="T198" s="176"/>
      <c r="U198" s="176"/>
      <c r="V198" s="176"/>
      <c r="W198" s="176"/>
      <c r="X198" s="176"/>
      <c r="Y198" s="176"/>
      <c r="Z198" s="176"/>
    </row>
    <row r="199">
      <c r="A199" s="267" t="str">
        <f>iferror(VLOOKUP(P199,'DO NOT TOUCH Imported'!$A$1:$D$800,4,False),iferror(VLOOKUP(P199,'DO NOT TOUCH Imported'!$C$1:$D$800,2,False),"OOPS FIX ME"))</f>
        <v>GriffGreen</v>
      </c>
      <c r="B199" s="276" t="s">
        <v>1933</v>
      </c>
      <c r="C199" s="277" t="s">
        <v>2026</v>
      </c>
      <c r="D199" s="278" t="s">
        <v>437</v>
      </c>
      <c r="E199" s="279">
        <v>44259.0</v>
      </c>
      <c r="F199" s="278" t="s">
        <v>1929</v>
      </c>
      <c r="G199" s="171"/>
      <c r="H199" s="243"/>
      <c r="I199" s="171"/>
      <c r="J199" s="172">
        <f t="shared" si="2"/>
        <v>0</v>
      </c>
      <c r="K199" s="292">
        <v>1.8890920170627665</v>
      </c>
      <c r="L199" s="270">
        <f t="shared" si="4"/>
        <v>8.991094546</v>
      </c>
      <c r="M199" s="271" t="str">
        <f t="shared" si="5"/>
        <v>GriffGreen</v>
      </c>
      <c r="N199" s="176">
        <f>IFERROR(__xludf.DUMMYFUNCTION("""COMPUTED_VALUE"""),3.0)</f>
        <v>3</v>
      </c>
      <c r="O199" s="176"/>
      <c r="P199" s="293" t="s">
        <v>450</v>
      </c>
      <c r="Q199" s="293" t="s">
        <v>1933</v>
      </c>
      <c r="R199" s="176"/>
      <c r="S199" s="176"/>
      <c r="T199" s="176"/>
      <c r="U199" s="176"/>
      <c r="V199" s="176"/>
      <c r="W199" s="176"/>
      <c r="X199" s="176"/>
      <c r="Y199" s="176"/>
      <c r="Z199" s="176"/>
    </row>
    <row r="200">
      <c r="A200" s="267" t="str">
        <f>iferror(VLOOKUP(P200,'DO NOT TOUCH Imported'!$A$1:$D$800,4,False),iferror(VLOOKUP(P200,'DO NOT TOUCH Imported'!$C$1:$D$800,2,False),"OOPS FIX ME"))</f>
        <v>GriffGreen</v>
      </c>
      <c r="B200" s="294" t="s">
        <v>2035</v>
      </c>
      <c r="C200" s="295" t="s">
        <v>2036</v>
      </c>
      <c r="D200" s="296" t="s">
        <v>437</v>
      </c>
      <c r="E200" s="297">
        <v>44259.0</v>
      </c>
      <c r="F200" s="296" t="s">
        <v>1929</v>
      </c>
      <c r="G200" s="222"/>
      <c r="H200" s="222"/>
      <c r="I200" s="222"/>
      <c r="J200" s="298">
        <f t="shared" si="2"/>
        <v>0</v>
      </c>
      <c r="K200" s="299">
        <f t="shared" ref="K200:K201" si="8">J200*$J$1</f>
        <v>0</v>
      </c>
      <c r="L200" s="300">
        <f t="shared" si="4"/>
        <v>8.991094546</v>
      </c>
      <c r="M200" s="301" t="str">
        <f t="shared" si="5"/>
        <v>GriffGreen</v>
      </c>
      <c r="N200" s="209">
        <f>IFERROR(__xludf.DUMMYFUNCTION("""COMPUTED_VALUE"""),4.0)</f>
        <v>4</v>
      </c>
      <c r="O200" s="209"/>
      <c r="P200" s="293" t="s">
        <v>450</v>
      </c>
      <c r="Q200" s="293" t="s">
        <v>2035</v>
      </c>
      <c r="R200" s="209"/>
      <c r="S200" s="209"/>
      <c r="T200" s="209"/>
      <c r="U200" s="209"/>
      <c r="V200" s="209"/>
      <c r="W200" s="209"/>
      <c r="X200" s="209"/>
      <c r="Y200" s="209"/>
      <c r="Z200" s="209"/>
    </row>
    <row r="201">
      <c r="A201" s="267" t="str">
        <f>iferror(VLOOKUP(P201,'DO NOT TOUCH Imported'!$A$1:$D$800,4,False),iferror(VLOOKUP(P201,'DO NOT TOUCH Imported'!$C$1:$D$800,2,False),"OOPS FIX ME"))</f>
        <v>GriffGreen</v>
      </c>
      <c r="B201" s="294" t="s">
        <v>2035</v>
      </c>
      <c r="C201" s="295" t="s">
        <v>2037</v>
      </c>
      <c r="D201" s="296" t="s">
        <v>499</v>
      </c>
      <c r="E201" s="297">
        <v>44259.0</v>
      </c>
      <c r="F201" s="296" t="s">
        <v>1646</v>
      </c>
      <c r="G201" s="222"/>
      <c r="H201" s="222"/>
      <c r="I201" s="222"/>
      <c r="J201" s="298">
        <f t="shared" si="2"/>
        <v>0</v>
      </c>
      <c r="K201" s="299">
        <f t="shared" si="8"/>
        <v>0</v>
      </c>
      <c r="L201" s="300">
        <f t="shared" si="4"/>
        <v>8.991094546</v>
      </c>
      <c r="M201" s="301" t="str">
        <f t="shared" si="5"/>
        <v>GriffGreen</v>
      </c>
      <c r="N201" s="209">
        <f>IFERROR(__xludf.DUMMYFUNCTION("""COMPUTED_VALUE"""),5.0)</f>
        <v>5</v>
      </c>
      <c r="O201" s="209"/>
      <c r="P201" s="293" t="s">
        <v>450</v>
      </c>
      <c r="Q201" s="293" t="s">
        <v>2035</v>
      </c>
      <c r="R201" s="209"/>
      <c r="S201" s="209"/>
      <c r="T201" s="209"/>
      <c r="U201" s="209"/>
      <c r="V201" s="209"/>
      <c r="W201" s="209"/>
      <c r="X201" s="209"/>
      <c r="Y201" s="209"/>
      <c r="Z201" s="209"/>
    </row>
    <row r="202">
      <c r="A202" s="267" t="str">
        <f>iferror(VLOOKUP(P202,'DO NOT TOUCH Imported'!$A$1:$D$800,4,False),iferror(VLOOKUP(P202,'DO NOT TOUCH Imported'!$C$1:$D$800,2,False),"OOPS FIX ME"))</f>
        <v>GriffGreen</v>
      </c>
      <c r="B202" s="276" t="s">
        <v>1933</v>
      </c>
      <c r="C202" s="277" t="s">
        <v>1936</v>
      </c>
      <c r="D202" s="278" t="s">
        <v>437</v>
      </c>
      <c r="E202" s="279">
        <v>44259.0</v>
      </c>
      <c r="F202" s="278" t="s">
        <v>1929</v>
      </c>
      <c r="G202" s="171"/>
      <c r="H202" s="171"/>
      <c r="I202" s="243"/>
      <c r="J202" s="172">
        <f t="shared" si="2"/>
        <v>0</v>
      </c>
      <c r="K202" s="292">
        <v>1.8890920170627665</v>
      </c>
      <c r="L202" s="270">
        <f t="shared" si="4"/>
        <v>8.991094546</v>
      </c>
      <c r="M202" s="271" t="str">
        <f t="shared" si="5"/>
        <v>GriffGreen</v>
      </c>
      <c r="N202" s="176">
        <f>IFERROR(__xludf.DUMMYFUNCTION("""COMPUTED_VALUE"""),6.0)</f>
        <v>6</v>
      </c>
      <c r="O202" s="176"/>
      <c r="P202" s="293" t="s">
        <v>450</v>
      </c>
      <c r="Q202" s="293" t="s">
        <v>1933</v>
      </c>
      <c r="R202" s="176"/>
      <c r="S202" s="176"/>
      <c r="T202" s="176"/>
      <c r="U202" s="176"/>
      <c r="V202" s="176"/>
      <c r="W202" s="176"/>
      <c r="X202" s="176"/>
      <c r="Y202" s="176"/>
      <c r="Z202" s="176"/>
    </row>
    <row r="203">
      <c r="A203" s="267" t="str">
        <f>iferror(VLOOKUP(P203,'DO NOT TOUCH Imported'!$A$1:$D$800,4,False),iferror(VLOOKUP(P203,'DO NOT TOUCH Imported'!$C$1:$D$800,2,False),"OOPS FIX ME"))</f>
        <v>GriffGreen</v>
      </c>
      <c r="B203" s="276" t="s">
        <v>10</v>
      </c>
      <c r="C203" s="277" t="s">
        <v>1938</v>
      </c>
      <c r="D203" s="278" t="s">
        <v>437</v>
      </c>
      <c r="E203" s="279">
        <v>44260.0</v>
      </c>
      <c r="F203" s="278" t="s">
        <v>1929</v>
      </c>
      <c r="G203" s="171"/>
      <c r="H203" s="243"/>
      <c r="I203" s="243"/>
      <c r="J203" s="172">
        <f t="shared" si="2"/>
        <v>0</v>
      </c>
      <c r="K203" s="292">
        <v>1.8890920170627665</v>
      </c>
      <c r="L203" s="270">
        <f t="shared" si="4"/>
        <v>8.991094546</v>
      </c>
      <c r="M203" s="271" t="str">
        <f t="shared" si="5"/>
        <v>GriffGreen</v>
      </c>
      <c r="N203" s="176">
        <f>IFERROR(__xludf.DUMMYFUNCTION("""COMPUTED_VALUE"""),7.0)</f>
        <v>7</v>
      </c>
      <c r="O203" s="176"/>
      <c r="P203" s="293" t="s">
        <v>450</v>
      </c>
      <c r="Q203" s="293" t="s">
        <v>10</v>
      </c>
      <c r="R203" s="176"/>
      <c r="S203" s="176"/>
      <c r="T203" s="176"/>
      <c r="U203" s="176"/>
      <c r="V203" s="176"/>
      <c r="W203" s="176"/>
      <c r="X203" s="176"/>
      <c r="Y203" s="176"/>
      <c r="Z203" s="176"/>
    </row>
    <row r="204">
      <c r="A204" s="267" t="str">
        <f>iferror(VLOOKUP(P204,'DO NOT TOUCH Imported'!$A$1:$D$800,4,False),iferror(VLOOKUP(P204,'DO NOT TOUCH Imported'!$C$1:$D$800,2,False),"OOPS FIX ME"))</f>
        <v>GriffGreen</v>
      </c>
      <c r="B204" s="276" t="s">
        <v>10</v>
      </c>
      <c r="C204" s="277" t="s">
        <v>2038</v>
      </c>
      <c r="D204" s="278" t="s">
        <v>437</v>
      </c>
      <c r="E204" s="279">
        <v>44260.0</v>
      </c>
      <c r="F204" s="278" t="s">
        <v>1929</v>
      </c>
      <c r="G204" s="171"/>
      <c r="H204" s="243"/>
      <c r="I204" s="243"/>
      <c r="J204" s="172">
        <f t="shared" si="2"/>
        <v>0</v>
      </c>
      <c r="K204" s="292">
        <v>1.8890920170627665</v>
      </c>
      <c r="L204" s="270">
        <f t="shared" si="4"/>
        <v>8.991094546</v>
      </c>
      <c r="M204" s="271" t="str">
        <f t="shared" si="5"/>
        <v>GriffGreen</v>
      </c>
      <c r="N204" s="176">
        <f>IFERROR(__xludf.DUMMYFUNCTION("""COMPUTED_VALUE"""),8.0)</f>
        <v>8</v>
      </c>
      <c r="O204" s="176"/>
      <c r="P204" s="293" t="s">
        <v>450</v>
      </c>
      <c r="Q204" s="293" t="s">
        <v>10</v>
      </c>
      <c r="R204" s="176"/>
      <c r="S204" s="176"/>
      <c r="T204" s="176"/>
      <c r="U204" s="176"/>
      <c r="V204" s="176"/>
      <c r="W204" s="176"/>
      <c r="X204" s="176"/>
      <c r="Y204" s="176"/>
      <c r="Z204" s="176"/>
    </row>
    <row r="205">
      <c r="A205" s="267" t="str">
        <f>iferror(VLOOKUP(P205,'DO NOT TOUCH Imported'!$A$1:$D$800,4,False),iferror(VLOOKUP(P205,'DO NOT TOUCH Imported'!$C$1:$D$800,2,False),"OOPS FIX ME"))</f>
        <v>GriffGreen</v>
      </c>
      <c r="B205" s="276" t="s">
        <v>10</v>
      </c>
      <c r="C205" s="302" t="s">
        <v>2039</v>
      </c>
      <c r="D205" s="278" t="s">
        <v>437</v>
      </c>
      <c r="E205" s="279">
        <v>44260.0</v>
      </c>
      <c r="F205" s="278" t="s">
        <v>1929</v>
      </c>
      <c r="G205" s="243"/>
      <c r="H205" s="243"/>
      <c r="I205" s="243"/>
      <c r="J205" s="172">
        <f t="shared" si="2"/>
        <v>0</v>
      </c>
      <c r="K205" s="292">
        <v>1.8890920170627665</v>
      </c>
      <c r="L205" s="270">
        <f t="shared" si="4"/>
        <v>8.991094546</v>
      </c>
      <c r="M205" s="271" t="str">
        <f t="shared" si="5"/>
        <v>GriffGreen</v>
      </c>
      <c r="N205" s="176">
        <f>IFERROR(__xludf.DUMMYFUNCTION("""COMPUTED_VALUE"""),9.0)</f>
        <v>9</v>
      </c>
      <c r="O205" s="176"/>
      <c r="P205" s="293" t="s">
        <v>450</v>
      </c>
      <c r="Q205" s="293" t="s">
        <v>10</v>
      </c>
      <c r="R205" s="176"/>
      <c r="S205" s="176"/>
      <c r="T205" s="176"/>
      <c r="U205" s="176"/>
      <c r="V205" s="176"/>
      <c r="W205" s="176"/>
      <c r="X205" s="176"/>
      <c r="Y205" s="176"/>
      <c r="Z205" s="176"/>
    </row>
    <row r="206">
      <c r="A206" s="267" t="str">
        <f>iferror(VLOOKUP(P206,'DO NOT TOUCH Imported'!$A$1:$D$800,4,False),iferror(VLOOKUP(P206,'DO NOT TOUCH Imported'!$C$1:$D$800,2,False),"OOPS FIX ME"))</f>
        <v>GriffGreen</v>
      </c>
      <c r="B206" s="276" t="s">
        <v>10</v>
      </c>
      <c r="C206" s="277" t="s">
        <v>1997</v>
      </c>
      <c r="D206" s="278" t="s">
        <v>437</v>
      </c>
      <c r="E206" s="279">
        <v>44260.0</v>
      </c>
      <c r="F206" s="278" t="s">
        <v>1929</v>
      </c>
      <c r="G206" s="243"/>
      <c r="H206" s="171"/>
      <c r="I206" s="243"/>
      <c r="J206" s="172">
        <f t="shared" si="2"/>
        <v>0</v>
      </c>
      <c r="K206" s="292">
        <v>1.8890920170627665</v>
      </c>
      <c r="L206" s="270">
        <f t="shared" si="4"/>
        <v>8.991094546</v>
      </c>
      <c r="M206" s="271" t="str">
        <f t="shared" si="5"/>
        <v>GriffGreen</v>
      </c>
      <c r="N206" s="176">
        <f>IFERROR(__xludf.DUMMYFUNCTION("""COMPUTED_VALUE"""),10.0)</f>
        <v>10</v>
      </c>
      <c r="O206" s="176"/>
      <c r="P206" s="293" t="s">
        <v>450</v>
      </c>
      <c r="Q206" s="293" t="s">
        <v>10</v>
      </c>
      <c r="R206" s="176"/>
      <c r="S206" s="176"/>
      <c r="T206" s="176"/>
      <c r="U206" s="176"/>
      <c r="V206" s="176"/>
      <c r="W206" s="176"/>
      <c r="X206" s="176"/>
      <c r="Y206" s="176"/>
      <c r="Z206" s="176"/>
    </row>
    <row r="207">
      <c r="A207" s="267" t="str">
        <f>iferror(VLOOKUP(P207,'DO NOT TOUCH Imported'!$A$1:$D$800,4,False),iferror(VLOOKUP(P207,'DO NOT TOUCH Imported'!$C$1:$D$800,2,False),"OOPS FIX ME"))</f>
        <v>GriffGreen</v>
      </c>
      <c r="B207" s="276" t="s">
        <v>10</v>
      </c>
      <c r="C207" s="277" t="s">
        <v>1941</v>
      </c>
      <c r="D207" s="278" t="s">
        <v>437</v>
      </c>
      <c r="E207" s="279">
        <v>44260.0</v>
      </c>
      <c r="F207" s="278" t="s">
        <v>1929</v>
      </c>
      <c r="G207" s="243"/>
      <c r="H207" s="171"/>
      <c r="I207" s="243"/>
      <c r="J207" s="172">
        <f t="shared" si="2"/>
        <v>0</v>
      </c>
      <c r="K207" s="292">
        <v>1.8890920170627665</v>
      </c>
      <c r="L207" s="270">
        <f t="shared" si="4"/>
        <v>8.991094546</v>
      </c>
      <c r="M207" s="271" t="str">
        <f t="shared" si="5"/>
        <v>GriffGreen</v>
      </c>
      <c r="N207" s="176">
        <f>IFERROR(__xludf.DUMMYFUNCTION("""COMPUTED_VALUE"""),11.0)</f>
        <v>11</v>
      </c>
      <c r="O207" s="176"/>
      <c r="P207" s="293" t="s">
        <v>450</v>
      </c>
      <c r="Q207" s="293" t="s">
        <v>10</v>
      </c>
      <c r="R207" s="176"/>
      <c r="S207" s="176"/>
      <c r="T207" s="176"/>
      <c r="U207" s="176"/>
      <c r="V207" s="176"/>
      <c r="W207" s="176"/>
      <c r="X207" s="176"/>
      <c r="Y207" s="176"/>
      <c r="Z207" s="176"/>
    </row>
    <row r="208">
      <c r="A208" s="267" t="str">
        <f>iferror(VLOOKUP(P208,'DO NOT TOUCH Imported'!$A$1:$D$800,4,False),iferror(VLOOKUP(P208,'DO NOT TOUCH Imported'!$C$1:$D$800,2,False),"OOPS FIX ME"))</f>
        <v>GriffGreen</v>
      </c>
      <c r="B208" s="276" t="s">
        <v>1702</v>
      </c>
      <c r="C208" s="277" t="s">
        <v>2040</v>
      </c>
      <c r="D208" s="278" t="s">
        <v>437</v>
      </c>
      <c r="E208" s="279">
        <v>44260.0</v>
      </c>
      <c r="F208" s="278" t="s">
        <v>1929</v>
      </c>
      <c r="G208" s="243"/>
      <c r="H208" s="171"/>
      <c r="I208" s="243"/>
      <c r="J208" s="172">
        <f t="shared" si="2"/>
        <v>0</v>
      </c>
      <c r="K208" s="269">
        <f t="shared" ref="K208:K210" si="9">J208*$J$1</f>
        <v>0</v>
      </c>
      <c r="L208" s="270">
        <f t="shared" si="4"/>
        <v>8.991094546</v>
      </c>
      <c r="M208" s="271" t="str">
        <f t="shared" si="5"/>
        <v>GriffGreen</v>
      </c>
      <c r="N208" s="176">
        <f>IFERROR(__xludf.DUMMYFUNCTION("""COMPUTED_VALUE"""),12.0)</f>
        <v>12</v>
      </c>
      <c r="O208" s="176"/>
      <c r="P208" s="176" t="s">
        <v>450</v>
      </c>
      <c r="Q208" s="176" t="s">
        <v>1702</v>
      </c>
      <c r="R208" s="176"/>
      <c r="S208" s="176"/>
      <c r="T208" s="176"/>
      <c r="U208" s="176"/>
      <c r="V208" s="176"/>
      <c r="W208" s="176"/>
      <c r="X208" s="176"/>
      <c r="Y208" s="176"/>
      <c r="Z208" s="176"/>
    </row>
    <row r="209">
      <c r="A209" s="267" t="str">
        <f>iferror(VLOOKUP(P209,'DO NOT TOUCH Imported'!$A$1:$D$800,4,False),iferror(VLOOKUP(P209,'DO NOT TOUCH Imported'!$C$1:$D$800,2,False),"OOPS FIX ME"))</f>
        <v>GriffGreen</v>
      </c>
      <c r="B209" s="276" t="s">
        <v>1702</v>
      </c>
      <c r="C209" s="277" t="s">
        <v>1972</v>
      </c>
      <c r="D209" s="278" t="s">
        <v>437</v>
      </c>
      <c r="E209" s="279">
        <v>44262.0</v>
      </c>
      <c r="F209" s="278" t="s">
        <v>1929</v>
      </c>
      <c r="G209" s="243"/>
      <c r="H209" s="243"/>
      <c r="I209" s="243"/>
      <c r="J209" s="172">
        <f t="shared" si="2"/>
        <v>0</v>
      </c>
      <c r="K209" s="269">
        <f t="shared" si="9"/>
        <v>0</v>
      </c>
      <c r="L209" s="270">
        <f t="shared" si="4"/>
        <v>8.991094546</v>
      </c>
      <c r="M209" s="271" t="str">
        <f t="shared" si="5"/>
        <v>GriffGreen</v>
      </c>
      <c r="N209" s="176">
        <f>IFERROR(__xludf.DUMMYFUNCTION("""COMPUTED_VALUE"""),13.0)</f>
        <v>13</v>
      </c>
      <c r="O209" s="176"/>
      <c r="P209" s="293" t="s">
        <v>450</v>
      </c>
      <c r="Q209" s="293" t="s">
        <v>1702</v>
      </c>
      <c r="R209" s="176"/>
      <c r="S209" s="176"/>
      <c r="T209" s="176"/>
      <c r="U209" s="176"/>
      <c r="V209" s="176"/>
      <c r="W209" s="176"/>
      <c r="X209" s="176"/>
      <c r="Y209" s="176"/>
      <c r="Z209" s="176"/>
    </row>
    <row r="210">
      <c r="A210" s="267" t="str">
        <f>iferror(VLOOKUP(P210,'DO NOT TOUCH Imported'!$A$1:$D$800,4,False),iferror(VLOOKUP(P210,'DO NOT TOUCH Imported'!$C$1:$D$800,2,False),"OOPS FIX ME"))</f>
        <v>GriffGreen</v>
      </c>
      <c r="B210" s="276" t="s">
        <v>10</v>
      </c>
      <c r="C210" s="277" t="s">
        <v>1942</v>
      </c>
      <c r="D210" s="278" t="s">
        <v>437</v>
      </c>
      <c r="E210" s="279">
        <v>44262.0</v>
      </c>
      <c r="F210" s="278" t="s">
        <v>1929</v>
      </c>
      <c r="G210" s="243"/>
      <c r="H210" s="171"/>
      <c r="I210" s="243"/>
      <c r="J210" s="172">
        <f t="shared" si="2"/>
        <v>0</v>
      </c>
      <c r="K210" s="269">
        <f t="shared" si="9"/>
        <v>0</v>
      </c>
      <c r="L210" s="270">
        <f t="shared" si="4"/>
        <v>8.991094546</v>
      </c>
      <c r="M210" s="271" t="str">
        <f t="shared" si="5"/>
        <v>GriffGreen</v>
      </c>
      <c r="N210" s="176">
        <f>IFERROR(__xludf.DUMMYFUNCTION("""COMPUTED_VALUE"""),14.0)</f>
        <v>14</v>
      </c>
      <c r="O210" s="176"/>
      <c r="P210" s="176" t="s">
        <v>450</v>
      </c>
      <c r="Q210" s="176" t="s">
        <v>10</v>
      </c>
      <c r="R210" s="176"/>
      <c r="S210" s="176"/>
      <c r="T210" s="176"/>
      <c r="U210" s="176"/>
      <c r="V210" s="176"/>
      <c r="W210" s="176"/>
      <c r="X210" s="176"/>
      <c r="Y210" s="176"/>
      <c r="Z210" s="176"/>
    </row>
    <row r="211">
      <c r="A211" s="267" t="str">
        <f>iferror(VLOOKUP(P211,'DO NOT TOUCH Imported'!$A$1:$D$800,4,False),iferror(VLOOKUP(P211,'DO NOT TOUCH Imported'!$C$1:$D$800,2,False),"OOPS FIX ME"))</f>
        <v>GriffGreen</v>
      </c>
      <c r="B211" s="276" t="s">
        <v>10</v>
      </c>
      <c r="C211" s="277" t="s">
        <v>1943</v>
      </c>
      <c r="D211" s="278" t="s">
        <v>437</v>
      </c>
      <c r="E211" s="279">
        <v>44263.0</v>
      </c>
      <c r="F211" s="278" t="s">
        <v>1929</v>
      </c>
      <c r="G211" s="243"/>
      <c r="H211" s="171"/>
      <c r="I211" s="243"/>
      <c r="J211" s="172">
        <f t="shared" si="2"/>
        <v>0</v>
      </c>
      <c r="K211" s="292">
        <v>1.8890920170627665</v>
      </c>
      <c r="L211" s="270">
        <f t="shared" si="4"/>
        <v>8.991094546</v>
      </c>
      <c r="M211" s="271" t="str">
        <f t="shared" si="5"/>
        <v>GriffGreen</v>
      </c>
      <c r="N211" s="176">
        <f>IFERROR(__xludf.DUMMYFUNCTION("""COMPUTED_VALUE"""),15.0)</f>
        <v>15</v>
      </c>
      <c r="O211" s="176"/>
      <c r="P211" s="176" t="s">
        <v>450</v>
      </c>
      <c r="Q211" s="176" t="s">
        <v>10</v>
      </c>
      <c r="R211" s="176"/>
      <c r="S211" s="176"/>
      <c r="T211" s="176"/>
      <c r="U211" s="176"/>
      <c r="V211" s="176"/>
      <c r="W211" s="176"/>
      <c r="X211" s="176"/>
      <c r="Y211" s="176"/>
      <c r="Z211" s="176"/>
    </row>
    <row r="212">
      <c r="A212" s="267" t="str">
        <f>iferror(VLOOKUP(P212,'DO NOT TOUCH Imported'!$A$1:$D$800,4,False),iferror(VLOOKUP(P212,'DO NOT TOUCH Imported'!$C$1:$D$800,2,False),"OOPS FIX ME"))</f>
        <v>GriffGreen</v>
      </c>
      <c r="B212" s="276" t="s">
        <v>1702</v>
      </c>
      <c r="C212" s="277" t="s">
        <v>1944</v>
      </c>
      <c r="D212" s="278" t="s">
        <v>499</v>
      </c>
      <c r="E212" s="279">
        <v>44263.0</v>
      </c>
      <c r="F212" s="278" t="s">
        <v>1646</v>
      </c>
      <c r="G212" s="243"/>
      <c r="H212" s="243"/>
      <c r="I212" s="243"/>
      <c r="J212" s="172">
        <f t="shared" si="2"/>
        <v>0</v>
      </c>
      <c r="K212" s="292">
        <v>0.0</v>
      </c>
      <c r="L212" s="270">
        <f t="shared" si="4"/>
        <v>8.991094546</v>
      </c>
      <c r="M212" s="271" t="str">
        <f t="shared" si="5"/>
        <v>GriffGreen</v>
      </c>
      <c r="N212" s="176">
        <f>IFERROR(__xludf.DUMMYFUNCTION("""COMPUTED_VALUE"""),16.0)</f>
        <v>16</v>
      </c>
      <c r="O212" s="176"/>
      <c r="P212" s="293" t="s">
        <v>450</v>
      </c>
      <c r="Q212" s="293" t="s">
        <v>1702</v>
      </c>
      <c r="R212" s="176"/>
      <c r="S212" s="176"/>
      <c r="T212" s="176"/>
      <c r="U212" s="176"/>
      <c r="V212" s="176"/>
      <c r="W212" s="176"/>
      <c r="X212" s="176"/>
      <c r="Y212" s="176"/>
      <c r="Z212" s="176"/>
    </row>
    <row r="213">
      <c r="A213" s="267" t="str">
        <f>iferror(VLOOKUP(P213,'DO NOT TOUCH Imported'!$A$1:$D$800,4,False),iferror(VLOOKUP(P213,'DO NOT TOUCH Imported'!$C$1:$D$800,2,False),"OOPS FIX ME"))</f>
        <v>GriffGreen</v>
      </c>
      <c r="B213" s="276" t="s">
        <v>1933</v>
      </c>
      <c r="C213" s="277" t="s">
        <v>1949</v>
      </c>
      <c r="D213" s="278" t="s">
        <v>437</v>
      </c>
      <c r="E213" s="279">
        <v>44266.0</v>
      </c>
      <c r="F213" s="278" t="s">
        <v>439</v>
      </c>
      <c r="G213" s="243"/>
      <c r="H213" s="171"/>
      <c r="I213" s="243"/>
      <c r="J213" s="172">
        <f t="shared" si="2"/>
        <v>0</v>
      </c>
      <c r="K213" s="292">
        <v>1.8890920170627665</v>
      </c>
      <c r="L213" s="270">
        <f t="shared" si="4"/>
        <v>8.991094546</v>
      </c>
      <c r="M213" s="271" t="str">
        <f t="shared" si="5"/>
        <v>GriffGreen</v>
      </c>
      <c r="N213" s="176">
        <f>IFERROR(__xludf.DUMMYFUNCTION("""COMPUTED_VALUE"""),17.0)</f>
        <v>17</v>
      </c>
      <c r="O213" s="176"/>
      <c r="P213" s="293" t="s">
        <v>450</v>
      </c>
      <c r="Q213" s="293" t="s">
        <v>1933</v>
      </c>
      <c r="R213" s="176"/>
      <c r="S213" s="176"/>
      <c r="T213" s="176"/>
      <c r="U213" s="176"/>
      <c r="V213" s="176"/>
      <c r="W213" s="176"/>
      <c r="X213" s="176"/>
      <c r="Y213" s="176"/>
      <c r="Z213" s="176"/>
    </row>
    <row r="214">
      <c r="A214" s="267" t="str">
        <f>iferror(VLOOKUP(P214,'DO NOT TOUCH Imported'!$A$1:$D$800,4,False),iferror(VLOOKUP(P214,'DO NOT TOUCH Imported'!$C$1:$D$800,2,False),"OOPS FIX ME"))</f>
        <v>GriffGreen</v>
      </c>
      <c r="B214" s="276" t="s">
        <v>10</v>
      </c>
      <c r="C214" s="277" t="s">
        <v>2041</v>
      </c>
      <c r="D214" s="278" t="s">
        <v>437</v>
      </c>
      <c r="E214" s="283">
        <v>44267.0</v>
      </c>
      <c r="F214" s="278" t="s">
        <v>439</v>
      </c>
      <c r="G214" s="243"/>
      <c r="H214" s="171"/>
      <c r="I214" s="243"/>
      <c r="J214" s="172">
        <f t="shared" si="2"/>
        <v>0</v>
      </c>
      <c r="K214" s="292">
        <v>1.8890920170627665</v>
      </c>
      <c r="L214" s="270">
        <f t="shared" si="4"/>
        <v>8.991094546</v>
      </c>
      <c r="M214" s="271" t="str">
        <f t="shared" si="5"/>
        <v>GriffGreen</v>
      </c>
      <c r="N214" s="176">
        <f>IFERROR(__xludf.DUMMYFUNCTION("""COMPUTED_VALUE"""),18.0)</f>
        <v>18</v>
      </c>
      <c r="O214" s="176"/>
      <c r="P214" s="293" t="s">
        <v>450</v>
      </c>
      <c r="Q214" s="293" t="s">
        <v>10</v>
      </c>
      <c r="R214" s="176"/>
      <c r="S214" s="176"/>
      <c r="T214" s="176"/>
      <c r="U214" s="176"/>
      <c r="V214" s="176"/>
      <c r="W214" s="176"/>
      <c r="X214" s="176"/>
      <c r="Y214" s="176"/>
      <c r="Z214" s="176"/>
    </row>
    <row r="215">
      <c r="A215" s="267" t="str">
        <f>iferror(VLOOKUP(P215,'DO NOT TOUCH Imported'!$A$1:$D$800,4,False),iferror(VLOOKUP(P215,'DO NOT TOUCH Imported'!$C$1:$D$800,2,False),"OOPS FIX ME"))</f>
        <v>GriffGreen</v>
      </c>
      <c r="B215" s="276" t="s">
        <v>10</v>
      </c>
      <c r="C215" s="277" t="s">
        <v>2042</v>
      </c>
      <c r="D215" s="278" t="s">
        <v>437</v>
      </c>
      <c r="E215" s="283">
        <v>44267.0</v>
      </c>
      <c r="F215" s="278" t="s">
        <v>439</v>
      </c>
      <c r="G215" s="243"/>
      <c r="H215" s="243"/>
      <c r="I215" s="243"/>
      <c r="J215" s="172">
        <f t="shared" si="2"/>
        <v>0</v>
      </c>
      <c r="K215" s="292">
        <v>1.8890920170627665</v>
      </c>
      <c r="L215" s="270">
        <f t="shared" si="4"/>
        <v>8.991094546</v>
      </c>
      <c r="M215" s="271" t="str">
        <f t="shared" si="5"/>
        <v>GriffGreen</v>
      </c>
      <c r="N215" s="176">
        <f>IFERROR(__xludf.DUMMYFUNCTION("""COMPUTED_VALUE"""),19.0)</f>
        <v>19</v>
      </c>
      <c r="O215" s="176"/>
      <c r="P215" s="293" t="s">
        <v>450</v>
      </c>
      <c r="Q215" s="293" t="s">
        <v>10</v>
      </c>
      <c r="R215" s="176"/>
      <c r="S215" s="176"/>
      <c r="T215" s="176"/>
      <c r="U215" s="176"/>
      <c r="V215" s="176"/>
      <c r="W215" s="176"/>
      <c r="X215" s="176"/>
      <c r="Y215" s="176"/>
      <c r="Z215" s="176"/>
    </row>
    <row r="216">
      <c r="A216" s="267" t="str">
        <f>iferror(VLOOKUP(P216,'DO NOT TOUCH Imported'!$A$1:$D$800,4,False),iferror(VLOOKUP(P216,'DO NOT TOUCH Imported'!$C$1:$D$800,2,False),"OOPS FIX ME"))</f>
        <v>GriffGreen</v>
      </c>
      <c r="B216" s="276" t="s">
        <v>10</v>
      </c>
      <c r="C216" s="277" t="s">
        <v>2043</v>
      </c>
      <c r="D216" s="278" t="s">
        <v>437</v>
      </c>
      <c r="E216" s="283">
        <v>44267.0</v>
      </c>
      <c r="F216" s="278" t="s">
        <v>439</v>
      </c>
      <c r="G216" s="243"/>
      <c r="H216" s="243"/>
      <c r="I216" s="243"/>
      <c r="J216" s="172">
        <f t="shared" si="2"/>
        <v>0</v>
      </c>
      <c r="K216" s="292">
        <v>1.8890920170627665</v>
      </c>
      <c r="L216" s="270">
        <f t="shared" si="4"/>
        <v>8.991094546</v>
      </c>
      <c r="M216" s="271" t="str">
        <f t="shared" si="5"/>
        <v>GriffGreen</v>
      </c>
      <c r="N216" s="176">
        <f>IFERROR(__xludf.DUMMYFUNCTION("""COMPUTED_VALUE"""),20.0)</f>
        <v>20</v>
      </c>
      <c r="O216" s="176"/>
      <c r="P216" s="293" t="s">
        <v>450</v>
      </c>
      <c r="Q216" s="293" t="s">
        <v>10</v>
      </c>
      <c r="R216" s="176"/>
      <c r="S216" s="176"/>
      <c r="T216" s="176"/>
      <c r="U216" s="176"/>
      <c r="V216" s="176"/>
      <c r="W216" s="176"/>
      <c r="X216" s="176"/>
      <c r="Y216" s="176"/>
      <c r="Z216" s="176"/>
    </row>
    <row r="217">
      <c r="A217" s="267" t="str">
        <f>iferror(VLOOKUP(P217,'DO NOT TOUCH Imported'!$A$1:$D$800,4,False),iferror(VLOOKUP(P217,'DO NOT TOUCH Imported'!$C$1:$D$800,2,False),"OOPS FIX ME"))</f>
        <v>GriffGreen</v>
      </c>
      <c r="B217" s="276" t="s">
        <v>10</v>
      </c>
      <c r="C217" s="277" t="s">
        <v>2014</v>
      </c>
      <c r="D217" s="278" t="s">
        <v>437</v>
      </c>
      <c r="E217" s="283">
        <v>44267.0</v>
      </c>
      <c r="F217" s="278" t="s">
        <v>439</v>
      </c>
      <c r="G217" s="243"/>
      <c r="H217" s="243"/>
      <c r="I217" s="243"/>
      <c r="J217" s="172">
        <f t="shared" si="2"/>
        <v>0</v>
      </c>
      <c r="K217" s="292">
        <v>1.8890920170627665</v>
      </c>
      <c r="L217" s="270">
        <f t="shared" si="4"/>
        <v>8.991094546</v>
      </c>
      <c r="M217" s="271" t="str">
        <f t="shared" si="5"/>
        <v>GriffGreen</v>
      </c>
      <c r="N217" s="176">
        <f>IFERROR(__xludf.DUMMYFUNCTION("""COMPUTED_VALUE"""),21.0)</f>
        <v>21</v>
      </c>
      <c r="O217" s="176"/>
      <c r="P217" s="293" t="s">
        <v>450</v>
      </c>
      <c r="Q217" s="293" t="s">
        <v>10</v>
      </c>
      <c r="R217" s="176"/>
      <c r="S217" s="176"/>
      <c r="T217" s="176"/>
      <c r="U217" s="176"/>
      <c r="V217" s="176"/>
      <c r="W217" s="176"/>
      <c r="X217" s="176"/>
      <c r="Y217" s="176"/>
      <c r="Z217" s="176"/>
    </row>
    <row r="218">
      <c r="A218" s="267" t="str">
        <f>iferror(VLOOKUP(P218,'DO NOT TOUCH Imported'!$A$1:$D$800,4,False),iferror(VLOOKUP(P218,'DO NOT TOUCH Imported'!$C$1:$D$800,2,False),"OOPS FIX ME"))</f>
        <v>GriffGreen</v>
      </c>
      <c r="B218" s="276" t="s">
        <v>10</v>
      </c>
      <c r="C218" s="277" t="s">
        <v>1952</v>
      </c>
      <c r="D218" s="278" t="s">
        <v>437</v>
      </c>
      <c r="E218" s="283">
        <v>44267.0</v>
      </c>
      <c r="F218" s="278" t="s">
        <v>439</v>
      </c>
      <c r="G218" s="243"/>
      <c r="H218" s="243"/>
      <c r="I218" s="243"/>
      <c r="J218" s="172">
        <f t="shared" si="2"/>
        <v>0</v>
      </c>
      <c r="K218" s="292">
        <v>1.8890920170627665</v>
      </c>
      <c r="L218" s="270">
        <f t="shared" si="4"/>
        <v>8.991094546</v>
      </c>
      <c r="M218" s="271" t="str">
        <f t="shared" si="5"/>
        <v>GriffGreen</v>
      </c>
      <c r="N218" s="176">
        <f>IFERROR(__xludf.DUMMYFUNCTION("""COMPUTED_VALUE"""),22.0)</f>
        <v>22</v>
      </c>
      <c r="O218" s="176"/>
      <c r="P218" s="293" t="s">
        <v>450</v>
      </c>
      <c r="Q218" s="293" t="s">
        <v>10</v>
      </c>
      <c r="R218" s="176"/>
      <c r="S218" s="176"/>
      <c r="T218" s="176"/>
      <c r="U218" s="176"/>
      <c r="V218" s="176"/>
      <c r="W218" s="176"/>
      <c r="X218" s="176"/>
      <c r="Y218" s="176"/>
      <c r="Z218" s="176"/>
    </row>
    <row r="219">
      <c r="A219" s="267" t="str">
        <f>iferror(VLOOKUP(P219,'DO NOT TOUCH Imported'!$A$1:$D$800,4,False),iferror(VLOOKUP(P219,'DO NOT TOUCH Imported'!$C$1:$D$800,2,False),"OOPS FIX ME"))</f>
        <v>GriffGreen</v>
      </c>
      <c r="B219" s="276" t="s">
        <v>1953</v>
      </c>
      <c r="C219" s="277" t="s">
        <v>1954</v>
      </c>
      <c r="D219" s="278" t="s">
        <v>437</v>
      </c>
      <c r="E219" s="283">
        <v>44267.0</v>
      </c>
      <c r="F219" s="278" t="s">
        <v>439</v>
      </c>
      <c r="G219" s="243"/>
      <c r="H219" s="243"/>
      <c r="I219" s="243"/>
      <c r="J219" s="172">
        <f t="shared" si="2"/>
        <v>0</v>
      </c>
      <c r="K219" s="292">
        <v>1.8890920170627665</v>
      </c>
      <c r="L219" s="270">
        <f t="shared" si="4"/>
        <v>8.991094546</v>
      </c>
      <c r="M219" s="271" t="str">
        <f t="shared" si="5"/>
        <v>GriffGreen</v>
      </c>
      <c r="N219" s="176">
        <f>IFERROR(__xludf.DUMMYFUNCTION("""COMPUTED_VALUE"""),23.0)</f>
        <v>23</v>
      </c>
      <c r="O219" s="176"/>
      <c r="P219" s="293" t="s">
        <v>450</v>
      </c>
      <c r="Q219" s="293" t="s">
        <v>1953</v>
      </c>
      <c r="R219" s="176"/>
      <c r="S219" s="176"/>
      <c r="T219" s="176"/>
      <c r="U219" s="176"/>
      <c r="V219" s="176"/>
      <c r="W219" s="176"/>
      <c r="X219" s="176"/>
      <c r="Y219" s="176"/>
      <c r="Z219" s="176"/>
    </row>
    <row r="220">
      <c r="A220" s="267" t="str">
        <f>iferror(VLOOKUP(P220,'DO NOT TOUCH Imported'!$A$1:$D$800,4,False),iferror(VLOOKUP(P220,'DO NOT TOUCH Imported'!$C$1:$D$800,2,False),"OOPS FIX ME"))</f>
        <v>GriffGreen</v>
      </c>
      <c r="B220" s="257" t="s">
        <v>519</v>
      </c>
      <c r="C220" s="261" t="s">
        <v>2044</v>
      </c>
      <c r="D220" s="281" t="s">
        <v>495</v>
      </c>
      <c r="E220" s="282">
        <v>44256.0</v>
      </c>
      <c r="F220" s="258" t="s">
        <v>1956</v>
      </c>
      <c r="G220" s="171"/>
      <c r="H220" s="243"/>
      <c r="I220" s="171"/>
      <c r="J220" s="172">
        <f t="shared" si="2"/>
        <v>0</v>
      </c>
      <c r="K220" s="269">
        <f>J220*$J$1</f>
        <v>0</v>
      </c>
      <c r="L220" s="270">
        <f t="shared" si="4"/>
        <v>8.991094546</v>
      </c>
      <c r="M220" s="271" t="str">
        <f t="shared" si="5"/>
        <v>GriffGreen</v>
      </c>
      <c r="N220" s="176">
        <f>IFERROR(__xludf.DUMMYFUNCTION("""COMPUTED_VALUE"""),24.0)</f>
        <v>24</v>
      </c>
      <c r="O220" s="176"/>
      <c r="P220" s="293" t="s">
        <v>16</v>
      </c>
      <c r="Q220" s="293" t="s">
        <v>519</v>
      </c>
      <c r="R220" s="176"/>
      <c r="S220" s="176"/>
      <c r="T220" s="176"/>
      <c r="U220" s="176"/>
      <c r="V220" s="176"/>
      <c r="W220" s="176"/>
      <c r="X220" s="176"/>
      <c r="Y220" s="176"/>
      <c r="Z220" s="176"/>
    </row>
    <row r="221">
      <c r="A221" s="267" t="str">
        <f>iferror(VLOOKUP(P221,'DO NOT TOUCH Imported'!$A$1:$D$800,4,False),iferror(VLOOKUP(P221,'DO NOT TOUCH Imported'!$C$1:$D$800,2,False),"OOPS FIX ME"))</f>
        <v>GriffGreen</v>
      </c>
      <c r="B221" s="257" t="s">
        <v>18</v>
      </c>
      <c r="C221" s="261" t="s">
        <v>2045</v>
      </c>
      <c r="D221" s="281" t="s">
        <v>495</v>
      </c>
      <c r="E221" s="282">
        <v>44256.0</v>
      </c>
      <c r="F221" s="258" t="s">
        <v>496</v>
      </c>
      <c r="G221" s="171"/>
      <c r="H221" s="243"/>
      <c r="I221" s="171"/>
      <c r="J221" s="172">
        <f t="shared" si="2"/>
        <v>0</v>
      </c>
      <c r="K221" s="292">
        <v>1.8890920170627665</v>
      </c>
      <c r="L221" s="270">
        <f t="shared" si="4"/>
        <v>8.991094546</v>
      </c>
      <c r="M221" s="271" t="str">
        <f t="shared" si="5"/>
        <v>GriffGreen</v>
      </c>
      <c r="N221" s="176">
        <f>IFERROR(__xludf.DUMMYFUNCTION("""COMPUTED_VALUE"""),25.0)</f>
        <v>25</v>
      </c>
      <c r="O221" s="176"/>
      <c r="P221" s="293" t="s">
        <v>16</v>
      </c>
      <c r="Q221" s="293" t="s">
        <v>18</v>
      </c>
      <c r="R221" s="176"/>
      <c r="S221" s="176"/>
      <c r="T221" s="176"/>
      <c r="U221" s="176"/>
      <c r="V221" s="176"/>
      <c r="W221" s="176"/>
      <c r="X221" s="176"/>
      <c r="Y221" s="176"/>
      <c r="Z221" s="176"/>
    </row>
    <row r="222">
      <c r="A222" s="267" t="str">
        <f>iferror(VLOOKUP(P222,'DO NOT TOUCH Imported'!$A$1:$D$800,4,False),iferror(VLOOKUP(P222,'DO NOT TOUCH Imported'!$C$1:$D$800,2,False),"OOPS FIX ME"))</f>
        <v>GriffGreen</v>
      </c>
      <c r="B222" s="257" t="s">
        <v>18</v>
      </c>
      <c r="C222" s="261" t="s">
        <v>1930</v>
      </c>
      <c r="D222" s="281" t="s">
        <v>495</v>
      </c>
      <c r="E222" s="282">
        <v>44257.0</v>
      </c>
      <c r="F222" s="258" t="s">
        <v>496</v>
      </c>
      <c r="G222" s="171"/>
      <c r="H222" s="171"/>
      <c r="I222" s="171"/>
      <c r="J222" s="172">
        <f t="shared" si="2"/>
        <v>0</v>
      </c>
      <c r="K222" s="292">
        <v>1.8890920170627665</v>
      </c>
      <c r="L222" s="270">
        <f t="shared" si="4"/>
        <v>8.991094546</v>
      </c>
      <c r="M222" s="271" t="str">
        <f t="shared" si="5"/>
        <v>GriffGreen</v>
      </c>
      <c r="N222" s="176">
        <f>IFERROR(__xludf.DUMMYFUNCTION("""COMPUTED_VALUE"""),26.0)</f>
        <v>26</v>
      </c>
      <c r="O222" s="176"/>
      <c r="P222" s="176" t="s">
        <v>16</v>
      </c>
      <c r="Q222" s="176" t="s">
        <v>18</v>
      </c>
      <c r="R222" s="176"/>
      <c r="S222" s="176"/>
      <c r="T222" s="176"/>
      <c r="U222" s="176"/>
      <c r="V222" s="176"/>
      <c r="W222" s="176"/>
      <c r="X222" s="176"/>
      <c r="Y222" s="176"/>
      <c r="Z222" s="176"/>
    </row>
    <row r="223">
      <c r="A223" s="267" t="str">
        <f>iferror(VLOOKUP(P223,'DO NOT TOUCH Imported'!$A$1:$D$800,4,False),iferror(VLOOKUP(P223,'DO NOT TOUCH Imported'!$C$1:$D$800,2,False),"OOPS FIX ME"))</f>
        <v>GriffGreen</v>
      </c>
      <c r="B223" s="257" t="s">
        <v>18</v>
      </c>
      <c r="C223" s="261" t="s">
        <v>2046</v>
      </c>
      <c r="D223" s="281" t="s">
        <v>495</v>
      </c>
      <c r="E223" s="282">
        <v>44257.0</v>
      </c>
      <c r="F223" s="258" t="s">
        <v>496</v>
      </c>
      <c r="G223" s="171"/>
      <c r="H223" s="243"/>
      <c r="I223" s="171"/>
      <c r="J223" s="172">
        <f t="shared" si="2"/>
        <v>0</v>
      </c>
      <c r="K223" s="292">
        <v>1.8890920170627665</v>
      </c>
      <c r="L223" s="270">
        <f t="shared" si="4"/>
        <v>8.991094546</v>
      </c>
      <c r="M223" s="271" t="str">
        <f t="shared" si="5"/>
        <v>GriffGreen</v>
      </c>
      <c r="N223" s="176">
        <f>IFERROR(__xludf.DUMMYFUNCTION("""COMPUTED_VALUE"""),27.0)</f>
        <v>27</v>
      </c>
      <c r="O223" s="176"/>
      <c r="P223" s="293" t="s">
        <v>16</v>
      </c>
      <c r="Q223" s="293" t="s">
        <v>18</v>
      </c>
      <c r="R223" s="176"/>
      <c r="S223" s="176"/>
      <c r="T223" s="176"/>
      <c r="U223" s="176"/>
      <c r="V223" s="176"/>
      <c r="W223" s="176"/>
      <c r="X223" s="176"/>
      <c r="Y223" s="176"/>
      <c r="Z223" s="176"/>
    </row>
    <row r="224">
      <c r="A224" s="267" t="str">
        <f>iferror(VLOOKUP(P224,'DO NOT TOUCH Imported'!$A$1:$D$800,4,False),iferror(VLOOKUP(P224,'DO NOT TOUCH Imported'!$C$1:$D$800,2,False),"OOPS FIX ME"))</f>
        <v>GriffGreen</v>
      </c>
      <c r="B224" s="257" t="s">
        <v>519</v>
      </c>
      <c r="C224" s="261" t="s">
        <v>2000</v>
      </c>
      <c r="D224" s="281" t="s">
        <v>495</v>
      </c>
      <c r="E224" s="282">
        <v>44258.0</v>
      </c>
      <c r="F224" s="258" t="s">
        <v>521</v>
      </c>
      <c r="G224" s="171"/>
      <c r="H224" s="243"/>
      <c r="I224" s="171"/>
      <c r="J224" s="172">
        <f t="shared" si="2"/>
        <v>0</v>
      </c>
      <c r="K224" s="269">
        <f t="shared" ref="K224:K225" si="10">J224*$J$1</f>
        <v>0</v>
      </c>
      <c r="L224" s="270">
        <f t="shared" si="4"/>
        <v>8.991094546</v>
      </c>
      <c r="M224" s="271" t="str">
        <f t="shared" si="5"/>
        <v>GriffGreen</v>
      </c>
      <c r="N224" s="176">
        <f>IFERROR(__xludf.DUMMYFUNCTION("""COMPUTED_VALUE"""),28.0)</f>
        <v>28</v>
      </c>
      <c r="O224" s="176"/>
      <c r="P224" s="293" t="s">
        <v>16</v>
      </c>
      <c r="Q224" s="293" t="s">
        <v>519</v>
      </c>
      <c r="R224" s="176"/>
      <c r="S224" s="176"/>
      <c r="T224" s="176"/>
      <c r="U224" s="176"/>
      <c r="V224" s="176"/>
      <c r="W224" s="176"/>
      <c r="X224" s="176"/>
      <c r="Y224" s="176"/>
      <c r="Z224" s="176"/>
    </row>
    <row r="225">
      <c r="A225" s="267" t="str">
        <f>iferror(VLOOKUP(P225,'DO NOT TOUCH Imported'!$A$1:$D$800,4,False),iferror(VLOOKUP(P225,'DO NOT TOUCH Imported'!$C$1:$D$800,2,False),"OOPS FIX ME"))</f>
        <v>GriffGreen</v>
      </c>
      <c r="B225" s="257" t="s">
        <v>519</v>
      </c>
      <c r="C225" s="261" t="s">
        <v>2047</v>
      </c>
      <c r="D225" s="281" t="s">
        <v>495</v>
      </c>
      <c r="E225" s="282">
        <v>44259.0</v>
      </c>
      <c r="F225" s="258" t="s">
        <v>499</v>
      </c>
      <c r="G225" s="171"/>
      <c r="H225" s="243"/>
      <c r="I225" s="243"/>
      <c r="J225" s="172">
        <f t="shared" si="2"/>
        <v>0</v>
      </c>
      <c r="K225" s="269">
        <f t="shared" si="10"/>
        <v>0</v>
      </c>
      <c r="L225" s="270">
        <f t="shared" si="4"/>
        <v>8.991094546</v>
      </c>
      <c r="M225" s="271" t="str">
        <f t="shared" si="5"/>
        <v>GriffGreen</v>
      </c>
      <c r="N225" s="176">
        <f>IFERROR(__xludf.DUMMYFUNCTION("""COMPUTED_VALUE"""),29.0)</f>
        <v>29</v>
      </c>
      <c r="O225" s="176"/>
      <c r="P225" s="293" t="s">
        <v>16</v>
      </c>
      <c r="Q225" s="293" t="s">
        <v>519</v>
      </c>
      <c r="R225" s="176"/>
      <c r="S225" s="176"/>
      <c r="T225" s="176"/>
      <c r="U225" s="176"/>
      <c r="V225" s="176"/>
      <c r="W225" s="176"/>
      <c r="X225" s="176"/>
      <c r="Y225" s="176"/>
      <c r="Z225" s="176"/>
    </row>
    <row r="226">
      <c r="A226" s="267" t="str">
        <f>iferror(VLOOKUP(P226,'DO NOT TOUCH Imported'!$A$1:$D$800,4,False),iferror(VLOOKUP(P226,'DO NOT TOUCH Imported'!$C$1:$D$800,2,False),"OOPS FIX ME"))</f>
        <v>GriffGreen</v>
      </c>
      <c r="B226" s="257" t="s">
        <v>10</v>
      </c>
      <c r="C226" s="261" t="s">
        <v>2048</v>
      </c>
      <c r="D226" s="281" t="s">
        <v>495</v>
      </c>
      <c r="E226" s="282">
        <v>44260.0</v>
      </c>
      <c r="F226" s="258" t="s">
        <v>496</v>
      </c>
      <c r="G226" s="243"/>
      <c r="H226" s="243"/>
      <c r="I226" s="243"/>
      <c r="J226" s="172">
        <f t="shared" si="2"/>
        <v>0</v>
      </c>
      <c r="K226" s="292">
        <v>1.8890920170627665</v>
      </c>
      <c r="L226" s="270">
        <f t="shared" si="4"/>
        <v>8.991094546</v>
      </c>
      <c r="M226" s="271" t="str">
        <f t="shared" si="5"/>
        <v>GriffGreen</v>
      </c>
      <c r="N226" s="176">
        <f>IFERROR(__xludf.DUMMYFUNCTION("""COMPUTED_VALUE"""),30.0)</f>
        <v>30</v>
      </c>
      <c r="O226" s="176"/>
      <c r="P226" s="293" t="s">
        <v>16</v>
      </c>
      <c r="Q226" s="293" t="s">
        <v>10</v>
      </c>
      <c r="R226" s="176"/>
      <c r="S226" s="176"/>
      <c r="T226" s="176"/>
      <c r="U226" s="176"/>
      <c r="V226" s="176"/>
      <c r="W226" s="176"/>
      <c r="X226" s="176"/>
      <c r="Y226" s="176"/>
      <c r="Z226" s="176"/>
    </row>
    <row r="227">
      <c r="A227" s="267" t="str">
        <f>iferror(VLOOKUP(P227,'DO NOT TOUCH Imported'!$A$1:$D$800,4,False),iferror(VLOOKUP(P227,'DO NOT TOUCH Imported'!$C$1:$D$800,2,False),"OOPS FIX ME"))</f>
        <v>GriffGreen</v>
      </c>
      <c r="B227" s="257" t="s">
        <v>10</v>
      </c>
      <c r="C227" s="261" t="s">
        <v>2049</v>
      </c>
      <c r="D227" s="281" t="s">
        <v>495</v>
      </c>
      <c r="E227" s="282">
        <v>44260.0</v>
      </c>
      <c r="F227" s="258" t="s">
        <v>496</v>
      </c>
      <c r="G227" s="243"/>
      <c r="H227" s="243"/>
      <c r="I227" s="243"/>
      <c r="J227" s="172">
        <f t="shared" si="2"/>
        <v>0</v>
      </c>
      <c r="K227" s="292">
        <v>1.8890920170627665</v>
      </c>
      <c r="L227" s="270">
        <f t="shared" si="4"/>
        <v>8.991094546</v>
      </c>
      <c r="M227" s="271" t="str">
        <f t="shared" si="5"/>
        <v>GriffGreen</v>
      </c>
      <c r="N227" s="176">
        <f>IFERROR(__xludf.DUMMYFUNCTION("""COMPUTED_VALUE"""),31.0)</f>
        <v>31</v>
      </c>
      <c r="O227" s="176"/>
      <c r="P227" s="176" t="s">
        <v>16</v>
      </c>
      <c r="Q227" s="176" t="s">
        <v>10</v>
      </c>
      <c r="R227" s="176"/>
      <c r="S227" s="176"/>
      <c r="T227" s="176"/>
      <c r="U227" s="176"/>
      <c r="V227" s="176"/>
      <c r="W227" s="176"/>
      <c r="X227" s="176"/>
      <c r="Y227" s="176"/>
      <c r="Z227" s="176"/>
    </row>
    <row r="228">
      <c r="A228" s="267" t="str">
        <f>iferror(VLOOKUP(P228,'DO NOT TOUCH Imported'!$A$1:$D$800,4,False),iferror(VLOOKUP(P228,'DO NOT TOUCH Imported'!$C$1:$D$800,2,False),"OOPS FIX ME"))</f>
        <v>GriffGreen</v>
      </c>
      <c r="B228" s="257" t="s">
        <v>10</v>
      </c>
      <c r="C228" s="261" t="s">
        <v>500</v>
      </c>
      <c r="D228" s="281" t="s">
        <v>495</v>
      </c>
      <c r="E228" s="282">
        <v>44260.0</v>
      </c>
      <c r="F228" s="258" t="s">
        <v>496</v>
      </c>
      <c r="G228" s="243"/>
      <c r="H228" s="243"/>
      <c r="I228" s="243"/>
      <c r="J228" s="172">
        <f t="shared" si="2"/>
        <v>0</v>
      </c>
      <c r="K228" s="292">
        <v>1.8890920170627665</v>
      </c>
      <c r="L228" s="270">
        <f t="shared" si="4"/>
        <v>8.991094546</v>
      </c>
      <c r="M228" s="271" t="str">
        <f t="shared" si="5"/>
        <v>GriffGreen</v>
      </c>
      <c r="N228" s="176">
        <f>IFERROR(__xludf.DUMMYFUNCTION("""COMPUTED_VALUE"""),32.0)</f>
        <v>32</v>
      </c>
      <c r="O228" s="176"/>
      <c r="P228" s="293" t="s">
        <v>16</v>
      </c>
      <c r="Q228" s="293" t="s">
        <v>10</v>
      </c>
      <c r="R228" s="176"/>
      <c r="S228" s="176"/>
      <c r="T228" s="176"/>
      <c r="U228" s="176"/>
      <c r="V228" s="176"/>
      <c r="W228" s="176"/>
      <c r="X228" s="176"/>
      <c r="Y228" s="176"/>
      <c r="Z228" s="176"/>
    </row>
    <row r="229">
      <c r="A229" s="267" t="str">
        <f>iferror(VLOOKUP(P229,'DO NOT TOUCH Imported'!$A$1:$D$800,4,False),iferror(VLOOKUP(P229,'DO NOT TOUCH Imported'!$C$1:$D$800,2,False),"OOPS FIX ME"))</f>
        <v>GriffGreen</v>
      </c>
      <c r="B229" s="257" t="s">
        <v>10</v>
      </c>
      <c r="C229" s="261" t="s">
        <v>494</v>
      </c>
      <c r="D229" s="281" t="s">
        <v>495</v>
      </c>
      <c r="E229" s="282">
        <v>44260.0</v>
      </c>
      <c r="F229" s="258" t="s">
        <v>496</v>
      </c>
      <c r="G229" s="243"/>
      <c r="H229" s="243"/>
      <c r="I229" s="243"/>
      <c r="J229" s="172">
        <f t="shared" si="2"/>
        <v>0</v>
      </c>
      <c r="K229" s="292">
        <v>1.8890920170627665</v>
      </c>
      <c r="L229" s="270">
        <f t="shared" si="4"/>
        <v>8.991094546</v>
      </c>
      <c r="M229" s="271" t="str">
        <f t="shared" si="5"/>
        <v>GriffGreen</v>
      </c>
      <c r="N229" s="176">
        <f>IFERROR(__xludf.DUMMYFUNCTION("""COMPUTED_VALUE"""),33.0)</f>
        <v>33</v>
      </c>
      <c r="O229" s="176"/>
      <c r="P229" s="293" t="s">
        <v>16</v>
      </c>
      <c r="Q229" s="293" t="s">
        <v>10</v>
      </c>
      <c r="R229" s="176"/>
      <c r="S229" s="176"/>
      <c r="T229" s="176"/>
      <c r="U229" s="176"/>
      <c r="V229" s="176"/>
      <c r="W229" s="176"/>
      <c r="X229" s="176"/>
      <c r="Y229" s="176"/>
      <c r="Z229" s="176"/>
    </row>
    <row r="230">
      <c r="A230" s="267" t="str">
        <f>iferror(VLOOKUP(P230,'DO NOT TOUCH Imported'!$A$1:$D$800,4,False),iferror(VLOOKUP(P230,'DO NOT TOUCH Imported'!$C$1:$D$800,2,False),"OOPS FIX ME"))</f>
        <v>GriffGreen</v>
      </c>
      <c r="B230" s="257" t="s">
        <v>10</v>
      </c>
      <c r="C230" s="261" t="s">
        <v>498</v>
      </c>
      <c r="D230" s="281" t="s">
        <v>495</v>
      </c>
      <c r="E230" s="282">
        <v>44260.0</v>
      </c>
      <c r="F230" s="258" t="s">
        <v>499</v>
      </c>
      <c r="G230" s="243"/>
      <c r="H230" s="171"/>
      <c r="I230" s="243"/>
      <c r="J230" s="172">
        <f t="shared" si="2"/>
        <v>0</v>
      </c>
      <c r="K230" s="292">
        <v>1.8890920170627665</v>
      </c>
      <c r="L230" s="270">
        <f t="shared" si="4"/>
        <v>8.991094546</v>
      </c>
      <c r="M230" s="271" t="str">
        <f t="shared" si="5"/>
        <v>GriffGreen</v>
      </c>
      <c r="N230" s="176">
        <f>IFERROR(__xludf.DUMMYFUNCTION("""COMPUTED_VALUE"""),34.0)</f>
        <v>34</v>
      </c>
      <c r="O230" s="176"/>
      <c r="P230" s="293" t="s">
        <v>16</v>
      </c>
      <c r="Q230" s="293" t="s">
        <v>10</v>
      </c>
      <c r="R230" s="176"/>
      <c r="S230" s="176"/>
      <c r="T230" s="176"/>
      <c r="U230" s="176"/>
      <c r="V230" s="176"/>
      <c r="W230" s="176"/>
      <c r="X230" s="176"/>
      <c r="Y230" s="176"/>
      <c r="Z230" s="176"/>
    </row>
    <row r="231">
      <c r="A231" s="267" t="str">
        <f>iferror(VLOOKUP(P231,'DO NOT TOUCH Imported'!$A$1:$D$800,4,False),iferror(VLOOKUP(P231,'DO NOT TOUCH Imported'!$C$1:$D$800,2,False),"OOPS FIX ME"))</f>
        <v>GriffGreen</v>
      </c>
      <c r="B231" s="257" t="s">
        <v>590</v>
      </c>
      <c r="C231" s="261" t="s">
        <v>1945</v>
      </c>
      <c r="D231" s="281" t="s">
        <v>495</v>
      </c>
      <c r="E231" s="282">
        <v>44264.0</v>
      </c>
      <c r="F231" s="258" t="s">
        <v>496</v>
      </c>
      <c r="G231" s="243"/>
      <c r="H231" s="171"/>
      <c r="I231" s="243"/>
      <c r="J231" s="172">
        <f t="shared" si="2"/>
        <v>0</v>
      </c>
      <c r="K231" s="292">
        <v>1.8890920170627665</v>
      </c>
      <c r="L231" s="270">
        <f t="shared" si="4"/>
        <v>8.991094546</v>
      </c>
      <c r="M231" s="271" t="str">
        <f t="shared" si="5"/>
        <v>GriffGreen</v>
      </c>
      <c r="N231" s="176">
        <f>IFERROR(__xludf.DUMMYFUNCTION("""COMPUTED_VALUE"""),35.0)</f>
        <v>35</v>
      </c>
      <c r="O231" s="176"/>
      <c r="P231" s="293" t="s">
        <v>16</v>
      </c>
      <c r="Q231" s="293" t="s">
        <v>590</v>
      </c>
      <c r="R231" s="176"/>
      <c r="S231" s="176"/>
      <c r="T231" s="176"/>
      <c r="U231" s="176"/>
      <c r="V231" s="176"/>
      <c r="W231" s="176"/>
      <c r="X231" s="176"/>
      <c r="Y231" s="176"/>
      <c r="Z231" s="176"/>
    </row>
    <row r="232">
      <c r="A232" s="267" t="str">
        <f>iferror(VLOOKUP(P232,'DO NOT TOUCH Imported'!$A$1:$D$800,4,False),iferror(VLOOKUP(P232,'DO NOT TOUCH Imported'!$C$1:$D$800,2,False),"OOPS FIX ME"))</f>
        <v>GriffGreen</v>
      </c>
      <c r="B232" s="257" t="s">
        <v>590</v>
      </c>
      <c r="C232" s="261" t="s">
        <v>1962</v>
      </c>
      <c r="D232" s="281" t="s">
        <v>495</v>
      </c>
      <c r="E232" s="282">
        <v>44264.0</v>
      </c>
      <c r="F232" s="258" t="s">
        <v>496</v>
      </c>
      <c r="G232" s="243"/>
      <c r="H232" s="243"/>
      <c r="I232" s="243"/>
      <c r="J232" s="172">
        <f t="shared" si="2"/>
        <v>0</v>
      </c>
      <c r="K232" s="292">
        <v>1.8890920170627665</v>
      </c>
      <c r="L232" s="270">
        <f t="shared" si="4"/>
        <v>8.991094546</v>
      </c>
      <c r="M232" s="271" t="str">
        <f t="shared" si="5"/>
        <v>GriffGreen</v>
      </c>
      <c r="N232" s="176">
        <f>IFERROR(__xludf.DUMMYFUNCTION("""COMPUTED_VALUE"""),36.0)</f>
        <v>36</v>
      </c>
      <c r="O232" s="176"/>
      <c r="P232" s="293" t="s">
        <v>16</v>
      </c>
      <c r="Q232" s="293" t="s">
        <v>590</v>
      </c>
      <c r="R232" s="176"/>
      <c r="S232" s="176"/>
      <c r="T232" s="176"/>
      <c r="U232" s="176"/>
      <c r="V232" s="176"/>
      <c r="W232" s="176"/>
      <c r="X232" s="176"/>
      <c r="Y232" s="176"/>
      <c r="Z232" s="176"/>
    </row>
    <row r="233">
      <c r="A233" s="267" t="str">
        <f>iferror(VLOOKUP(P233,'DO NOT TOUCH Imported'!$A$1:$D$800,4,False),iferror(VLOOKUP(P233,'DO NOT TOUCH Imported'!$C$1:$D$800,2,False),"OOPS FIX ME"))</f>
        <v>GriffGreen</v>
      </c>
      <c r="B233" s="257" t="s">
        <v>590</v>
      </c>
      <c r="C233" s="261" t="s">
        <v>1963</v>
      </c>
      <c r="D233" s="281" t="s">
        <v>495</v>
      </c>
      <c r="E233" s="282">
        <v>44264.0</v>
      </c>
      <c r="F233" s="258" t="s">
        <v>496</v>
      </c>
      <c r="G233" s="243"/>
      <c r="H233" s="243"/>
      <c r="I233" s="243"/>
      <c r="J233" s="172">
        <f t="shared" si="2"/>
        <v>0</v>
      </c>
      <c r="K233" s="292">
        <v>1.8890920170627665</v>
      </c>
      <c r="L233" s="270">
        <f t="shared" si="4"/>
        <v>8.991094546</v>
      </c>
      <c r="M233" s="271" t="str">
        <f t="shared" si="5"/>
        <v>GriffGreen</v>
      </c>
      <c r="N233" s="176">
        <f>IFERROR(__xludf.DUMMYFUNCTION("""COMPUTED_VALUE"""),37.0)</f>
        <v>37</v>
      </c>
      <c r="O233" s="176"/>
      <c r="P233" s="293" t="s">
        <v>16</v>
      </c>
      <c r="Q233" s="293" t="s">
        <v>590</v>
      </c>
      <c r="R233" s="176"/>
      <c r="S233" s="176"/>
      <c r="T233" s="176"/>
      <c r="U233" s="176"/>
      <c r="V233" s="176"/>
      <c r="W233" s="176"/>
      <c r="X233" s="176"/>
      <c r="Y233" s="176"/>
      <c r="Z233" s="176"/>
    </row>
    <row r="234">
      <c r="A234" s="267" t="str">
        <f>iferror(VLOOKUP(P234,'DO NOT TOUCH Imported'!$A$1:$D$800,4,False),iferror(VLOOKUP(P234,'DO NOT TOUCH Imported'!$C$1:$D$800,2,False),"OOPS FIX ME"))</f>
        <v>GriffGreen</v>
      </c>
      <c r="B234" s="257" t="s">
        <v>519</v>
      </c>
      <c r="C234" s="261" t="s">
        <v>668</v>
      </c>
      <c r="D234" s="281" t="s">
        <v>495</v>
      </c>
      <c r="E234" s="282">
        <v>44265.0</v>
      </c>
      <c r="F234" s="258" t="s">
        <v>521</v>
      </c>
      <c r="G234" s="243"/>
      <c r="H234" s="171"/>
      <c r="I234" s="243"/>
      <c r="J234" s="172">
        <f t="shared" si="2"/>
        <v>0</v>
      </c>
      <c r="K234" s="269">
        <f>J234*$J$1</f>
        <v>0</v>
      </c>
      <c r="L234" s="270">
        <f t="shared" si="4"/>
        <v>8.991094546</v>
      </c>
      <c r="M234" s="271" t="str">
        <f t="shared" si="5"/>
        <v>GriffGreen</v>
      </c>
      <c r="N234" s="176">
        <f>IFERROR(__xludf.DUMMYFUNCTION("""COMPUTED_VALUE"""),38.0)</f>
        <v>38</v>
      </c>
      <c r="O234" s="176"/>
      <c r="P234" s="293" t="s">
        <v>16</v>
      </c>
      <c r="Q234" s="293" t="s">
        <v>519</v>
      </c>
      <c r="R234" s="176"/>
      <c r="S234" s="176"/>
      <c r="T234" s="176"/>
      <c r="U234" s="176"/>
      <c r="V234" s="176"/>
      <c r="W234" s="176"/>
      <c r="X234" s="176"/>
      <c r="Y234" s="176"/>
      <c r="Z234" s="176"/>
    </row>
    <row r="235">
      <c r="A235" s="267" t="str">
        <f>iferror(VLOOKUP(P235,'DO NOT TOUCH Imported'!$A$1:$D$800,4,False),iferror(VLOOKUP(P235,'DO NOT TOUCH Imported'!$C$1:$D$800,2,False),"OOPS FIX ME"))</f>
        <v>GriffGreen</v>
      </c>
      <c r="B235" s="257" t="s">
        <v>590</v>
      </c>
      <c r="C235" s="261" t="s">
        <v>2050</v>
      </c>
      <c r="D235" s="281" t="s">
        <v>495</v>
      </c>
      <c r="E235" s="282">
        <v>44266.0</v>
      </c>
      <c r="F235" s="258" t="s">
        <v>496</v>
      </c>
      <c r="G235" s="243"/>
      <c r="H235" s="171"/>
      <c r="I235" s="243"/>
      <c r="J235" s="172">
        <f t="shared" si="2"/>
        <v>0</v>
      </c>
      <c r="K235" s="292">
        <v>1.8890920170627665</v>
      </c>
      <c r="L235" s="270">
        <f t="shared" si="4"/>
        <v>8.991094546</v>
      </c>
      <c r="M235" s="271" t="str">
        <f t="shared" si="5"/>
        <v>GriffGreen</v>
      </c>
      <c r="N235" s="176">
        <f>IFERROR(__xludf.DUMMYFUNCTION("""COMPUTED_VALUE"""),39.0)</f>
        <v>39</v>
      </c>
      <c r="O235" s="176"/>
      <c r="P235" s="293" t="s">
        <v>16</v>
      </c>
      <c r="Q235" s="293" t="s">
        <v>590</v>
      </c>
      <c r="R235" s="176"/>
      <c r="S235" s="176"/>
      <c r="T235" s="176"/>
      <c r="U235" s="176"/>
      <c r="V235" s="176"/>
      <c r="W235" s="176"/>
      <c r="X235" s="176"/>
      <c r="Y235" s="176"/>
      <c r="Z235" s="176"/>
    </row>
    <row r="236">
      <c r="A236" s="267" t="str">
        <f>iferror(VLOOKUP(P236,'DO NOT TOUCH Imported'!$A$1:$D$800,4,False),iferror(VLOOKUP(P236,'DO NOT TOUCH Imported'!$C$1:$D$800,2,False),"OOPS FIX ME"))</f>
        <v>GriffGreen</v>
      </c>
      <c r="B236" s="257" t="s">
        <v>10</v>
      </c>
      <c r="C236" s="261" t="s">
        <v>498</v>
      </c>
      <c r="D236" s="281" t="s">
        <v>495</v>
      </c>
      <c r="E236" s="282">
        <v>44267.0</v>
      </c>
      <c r="F236" s="258" t="s">
        <v>499</v>
      </c>
      <c r="G236" s="243"/>
      <c r="H236" s="243"/>
      <c r="I236" s="243"/>
      <c r="J236" s="172">
        <f t="shared" si="2"/>
        <v>0</v>
      </c>
      <c r="K236" s="292">
        <v>1.8890920170627665</v>
      </c>
      <c r="L236" s="270">
        <f t="shared" si="4"/>
        <v>8.991094546</v>
      </c>
      <c r="M236" s="271" t="str">
        <f t="shared" si="5"/>
        <v>GriffGreen</v>
      </c>
      <c r="N236" s="176">
        <f>IFERROR(__xludf.DUMMYFUNCTION("""COMPUTED_VALUE"""),40.0)</f>
        <v>40</v>
      </c>
      <c r="O236" s="176"/>
      <c r="P236" s="293" t="s">
        <v>16</v>
      </c>
      <c r="Q236" s="293" t="s">
        <v>10</v>
      </c>
      <c r="R236" s="176"/>
      <c r="S236" s="176"/>
      <c r="T236" s="176"/>
      <c r="U236" s="176"/>
      <c r="V236" s="176"/>
      <c r="W236" s="176"/>
      <c r="X236" s="176"/>
      <c r="Y236" s="176"/>
      <c r="Z236" s="176"/>
    </row>
    <row r="237">
      <c r="A237" s="267" t="str">
        <f>iferror(VLOOKUP(P237,'DO NOT TOUCH Imported'!$A$1:$D$800,4,False),iferror(VLOOKUP(P237,'DO NOT TOUCH Imported'!$C$1:$D$800,2,False),"OOPS FIX ME"))</f>
        <v>GriffGreen</v>
      </c>
      <c r="B237" s="257" t="s">
        <v>10</v>
      </c>
      <c r="C237" s="261" t="s">
        <v>500</v>
      </c>
      <c r="D237" s="281" t="s">
        <v>495</v>
      </c>
      <c r="E237" s="282">
        <v>44267.0</v>
      </c>
      <c r="F237" s="258" t="s">
        <v>496</v>
      </c>
      <c r="G237" s="243"/>
      <c r="H237" s="243"/>
      <c r="I237" s="243"/>
      <c r="J237" s="172">
        <f t="shared" si="2"/>
        <v>0</v>
      </c>
      <c r="K237" s="292">
        <v>1.8890920170627665</v>
      </c>
      <c r="L237" s="270">
        <f t="shared" si="4"/>
        <v>8.991094546</v>
      </c>
      <c r="M237" s="271" t="str">
        <f t="shared" si="5"/>
        <v>GriffGreen</v>
      </c>
      <c r="N237" s="176">
        <f>IFERROR(__xludf.DUMMYFUNCTION("""COMPUTED_VALUE"""),41.0)</f>
        <v>41</v>
      </c>
      <c r="O237" s="176"/>
      <c r="P237" s="293" t="s">
        <v>16</v>
      </c>
      <c r="Q237" s="293" t="s">
        <v>10</v>
      </c>
      <c r="R237" s="176"/>
      <c r="S237" s="176"/>
      <c r="T237" s="176"/>
      <c r="U237" s="176"/>
      <c r="V237" s="176"/>
      <c r="W237" s="176"/>
      <c r="X237" s="176"/>
      <c r="Y237" s="176"/>
      <c r="Z237" s="176"/>
    </row>
    <row r="238">
      <c r="A238" s="267" t="str">
        <f>iferror(VLOOKUP(P238,'DO NOT TOUCH Imported'!$A$1:$D$800,4,False),iferror(VLOOKUP(P238,'DO NOT TOUCH Imported'!$C$1:$D$800,2,False),"OOPS FIX ME"))</f>
        <v>GriffGreen</v>
      </c>
      <c r="B238" s="257" t="s">
        <v>10</v>
      </c>
      <c r="C238" s="261" t="s">
        <v>494</v>
      </c>
      <c r="D238" s="281" t="s">
        <v>495</v>
      </c>
      <c r="E238" s="282">
        <v>44267.0</v>
      </c>
      <c r="F238" s="258" t="s">
        <v>496</v>
      </c>
      <c r="G238" s="243"/>
      <c r="H238" s="243"/>
      <c r="I238" s="243"/>
      <c r="J238" s="172">
        <f t="shared" si="2"/>
        <v>0</v>
      </c>
      <c r="K238" s="292">
        <v>1.8890920170627665</v>
      </c>
      <c r="L238" s="270">
        <f t="shared" si="4"/>
        <v>8.991094546</v>
      </c>
      <c r="M238" s="271" t="str">
        <f t="shared" si="5"/>
        <v>GriffGreen</v>
      </c>
      <c r="N238" s="176">
        <f>IFERROR(__xludf.DUMMYFUNCTION("""COMPUTED_VALUE"""),42.0)</f>
        <v>42</v>
      </c>
      <c r="O238" s="176"/>
      <c r="P238" s="293" t="s">
        <v>16</v>
      </c>
      <c r="Q238" s="293" t="s">
        <v>10</v>
      </c>
      <c r="R238" s="176"/>
      <c r="S238" s="176"/>
      <c r="T238" s="176"/>
      <c r="U238" s="176"/>
      <c r="V238" s="176"/>
      <c r="W238" s="176"/>
      <c r="X238" s="176"/>
      <c r="Y238" s="176"/>
      <c r="Z238" s="176"/>
    </row>
    <row r="239">
      <c r="A239" s="267" t="str">
        <f>iferror(VLOOKUP(P239,'DO NOT TOUCH Imported'!$A$1:$D$800,4,False),iferror(VLOOKUP(P239,'DO NOT TOUCH Imported'!$C$1:$D$800,2,False),"OOPS FIX ME"))</f>
        <v>GriffGreen</v>
      </c>
      <c r="B239" s="257" t="s">
        <v>10</v>
      </c>
      <c r="C239" s="261" t="s">
        <v>2033</v>
      </c>
      <c r="D239" s="281" t="s">
        <v>495</v>
      </c>
      <c r="E239" s="282">
        <v>44267.0</v>
      </c>
      <c r="F239" s="258" t="s">
        <v>496</v>
      </c>
      <c r="G239" s="243"/>
      <c r="H239" s="243"/>
      <c r="I239" s="243"/>
      <c r="J239" s="172">
        <f t="shared" si="2"/>
        <v>0</v>
      </c>
      <c r="K239" s="292">
        <v>1.8890920170627665</v>
      </c>
      <c r="L239" s="270">
        <f t="shared" si="4"/>
        <v>8.991094546</v>
      </c>
      <c r="M239" s="271" t="str">
        <f t="shared" si="5"/>
        <v>GriffGreen</v>
      </c>
      <c r="N239" s="176">
        <f>IFERROR(__xludf.DUMMYFUNCTION("""COMPUTED_VALUE"""),43.0)</f>
        <v>43</v>
      </c>
      <c r="O239" s="176"/>
      <c r="P239" s="293" t="s">
        <v>16</v>
      </c>
      <c r="Q239" s="293" t="s">
        <v>10</v>
      </c>
      <c r="R239" s="176"/>
      <c r="S239" s="176"/>
      <c r="T239" s="176"/>
      <c r="U239" s="176"/>
      <c r="V239" s="176"/>
      <c r="W239" s="176"/>
      <c r="X239" s="176"/>
      <c r="Y239" s="176"/>
      <c r="Z239" s="176"/>
    </row>
    <row r="240">
      <c r="A240" s="185" t="str">
        <f>iferror(VLOOKUP(P240,'DO NOT TOUCH Imported'!$A$1:$D$800,4,False),iferror(VLOOKUP(P240,'DO NOT TOUCH Imported'!$C$1:$D$800,2,False),"OOPS FIX ME"))</f>
        <v>GriffGreen</v>
      </c>
      <c r="B240" s="284" t="s">
        <v>534</v>
      </c>
      <c r="C240" s="303" t="s">
        <v>684</v>
      </c>
      <c r="D240" s="291"/>
      <c r="E240" s="304"/>
      <c r="F240" s="291"/>
      <c r="G240" s="196"/>
      <c r="H240" s="196"/>
      <c r="I240" s="196"/>
      <c r="J240" s="191">
        <f t="shared" si="2"/>
        <v>0</v>
      </c>
      <c r="K240" s="192">
        <f>60.541*-0.85</f>
        <v>-51.45985</v>
      </c>
      <c r="L240" s="193">
        <f t="shared" si="4"/>
        <v>8.991094546</v>
      </c>
      <c r="M240" s="194" t="str">
        <f t="shared" si="5"/>
        <v>GriffGreen</v>
      </c>
      <c r="N240" s="212">
        <f>IFERROR(__xludf.DUMMYFUNCTION("""COMPUTED_VALUE"""),44.0)</f>
        <v>44</v>
      </c>
      <c r="O240" s="212"/>
      <c r="P240" s="305" t="s">
        <v>16</v>
      </c>
      <c r="Q240" s="305" t="s">
        <v>534</v>
      </c>
      <c r="R240" s="212"/>
      <c r="S240" s="212"/>
      <c r="T240" s="212"/>
      <c r="U240" s="212"/>
      <c r="V240" s="212"/>
      <c r="W240" s="212"/>
      <c r="X240" s="212"/>
      <c r="Y240" s="212"/>
      <c r="Z240" s="212"/>
    </row>
    <row r="241">
      <c r="A241" s="267" t="str">
        <f>iferror(VLOOKUP(P241,'DO NOT TOUCH Imported'!$A$1:$D$800,4,False),iferror(VLOOKUP(P241,'DO NOT TOUCH Imported'!$C$1:$D$800,2,False),"OOPS FIX ME"))</f>
        <v>liviade</v>
      </c>
      <c r="B241" s="257" t="s">
        <v>867</v>
      </c>
      <c r="C241" s="261" t="s">
        <v>2051</v>
      </c>
      <c r="D241" s="281" t="s">
        <v>495</v>
      </c>
      <c r="E241" s="282">
        <v>44256.0</v>
      </c>
      <c r="F241" s="258" t="s">
        <v>496</v>
      </c>
      <c r="G241" s="171">
        <v>25.0</v>
      </c>
      <c r="H241" s="171">
        <v>2500.0</v>
      </c>
      <c r="I241" s="171">
        <v>200.0</v>
      </c>
      <c r="J241" s="172">
        <f t="shared" si="2"/>
        <v>0.00163765723</v>
      </c>
      <c r="K241" s="269">
        <f t="shared" ref="K241:K273" si="11">J241*$J$1</f>
        <v>1.692245805</v>
      </c>
      <c r="L241" s="270">
        <f t="shared" si="4"/>
        <v>8.736447588</v>
      </c>
      <c r="M241" s="271" t="str">
        <f t="shared" si="5"/>
        <v>liviade</v>
      </c>
      <c r="N241" s="176">
        <f>IFERROR(__xludf.DUMMYFUNCTION("""COMPUTED_VALUE"""),1.0)</f>
        <v>1</v>
      </c>
      <c r="O241" s="176"/>
      <c r="P241" s="257" t="s">
        <v>18</v>
      </c>
      <c r="Q241" s="257" t="s">
        <v>867</v>
      </c>
      <c r="R241" s="176"/>
      <c r="S241" s="176"/>
      <c r="T241" s="176"/>
      <c r="U241" s="176"/>
      <c r="V241" s="176"/>
      <c r="W241" s="176"/>
      <c r="X241" s="176"/>
      <c r="Y241" s="176"/>
      <c r="Z241" s="176"/>
    </row>
    <row r="242">
      <c r="A242" s="267" t="str">
        <f>iferror(VLOOKUP(P242,'DO NOT TOUCH Imported'!$A$1:$D$800,4,False),iferror(VLOOKUP(P242,'DO NOT TOUCH Imported'!$C$1:$D$800,2,False),"OOPS FIX ME"))</f>
        <v>liviade</v>
      </c>
      <c r="B242" s="276" t="s">
        <v>1947</v>
      </c>
      <c r="C242" s="277" t="s">
        <v>2052</v>
      </c>
      <c r="D242" s="278" t="s">
        <v>437</v>
      </c>
      <c r="E242" s="279">
        <v>44257.0</v>
      </c>
      <c r="F242" s="278" t="s">
        <v>1929</v>
      </c>
      <c r="G242" s="171">
        <v>30.0</v>
      </c>
      <c r="H242" s="171">
        <v>25000.0</v>
      </c>
      <c r="I242" s="171">
        <v>1000.0</v>
      </c>
      <c r="J242" s="172">
        <f t="shared" si="2"/>
        <v>0.01049029208</v>
      </c>
      <c r="K242" s="269">
        <f t="shared" si="11"/>
        <v>10.83996848</v>
      </c>
      <c r="L242" s="270">
        <f t="shared" si="4"/>
        <v>8.736447588</v>
      </c>
      <c r="M242" s="271" t="str">
        <f t="shared" si="5"/>
        <v>liviade</v>
      </c>
      <c r="N242" s="176">
        <f>IFERROR(__xludf.DUMMYFUNCTION("""COMPUTED_VALUE"""),2.0)</f>
        <v>2</v>
      </c>
      <c r="O242" s="176"/>
      <c r="P242" s="280" t="s">
        <v>490</v>
      </c>
      <c r="Q242" s="276" t="s">
        <v>1947</v>
      </c>
      <c r="R242" s="176"/>
      <c r="S242" s="176"/>
      <c r="T242" s="176"/>
      <c r="U242" s="176"/>
      <c r="V242" s="176"/>
      <c r="W242" s="176"/>
      <c r="X242" s="176"/>
      <c r="Y242" s="176"/>
      <c r="Z242" s="176"/>
    </row>
    <row r="243">
      <c r="A243" s="267" t="str">
        <f>iferror(VLOOKUP(P243,'DO NOT TOUCH Imported'!$A$1:$D$800,4,False),iferror(VLOOKUP(P243,'DO NOT TOUCH Imported'!$C$1:$D$800,2,False),"OOPS FIX ME"))</f>
        <v>liviade</v>
      </c>
      <c r="B243" s="257" t="s">
        <v>18</v>
      </c>
      <c r="C243" s="261" t="s">
        <v>1930</v>
      </c>
      <c r="D243" s="281" t="s">
        <v>495</v>
      </c>
      <c r="E243" s="282">
        <v>44257.0</v>
      </c>
      <c r="F243" s="258" t="s">
        <v>496</v>
      </c>
      <c r="G243" s="171">
        <v>25.0</v>
      </c>
      <c r="H243" s="171">
        <v>1000.0</v>
      </c>
      <c r="I243" s="171">
        <v>10.0</v>
      </c>
      <c r="J243" s="172">
        <f t="shared" si="2"/>
        <v>0.0007346939862</v>
      </c>
      <c r="K243" s="269">
        <f t="shared" si="11"/>
        <v>0.7591837857</v>
      </c>
      <c r="L243" s="270">
        <f t="shared" si="4"/>
        <v>8.736447588</v>
      </c>
      <c r="M243" s="271" t="str">
        <f t="shared" si="5"/>
        <v>liviade</v>
      </c>
      <c r="N243" s="176">
        <f>IFERROR(__xludf.DUMMYFUNCTION("""COMPUTED_VALUE"""),3.0)</f>
        <v>3</v>
      </c>
      <c r="O243" s="176"/>
      <c r="P243" s="257" t="s">
        <v>18</v>
      </c>
      <c r="Q243" s="257" t="s">
        <v>18</v>
      </c>
      <c r="R243" s="176"/>
      <c r="S243" s="176"/>
      <c r="T243" s="176"/>
      <c r="U243" s="176"/>
      <c r="V243" s="176"/>
      <c r="W243" s="176"/>
      <c r="X243" s="176"/>
      <c r="Y243" s="176"/>
      <c r="Z243" s="176"/>
    </row>
    <row r="244">
      <c r="A244" s="267" t="str">
        <f>iferror(VLOOKUP(P244,'DO NOT TOUCH Imported'!$A$1:$D$800,4,False),iferror(VLOOKUP(P244,'DO NOT TOUCH Imported'!$C$1:$D$800,2,False),"OOPS FIX ME"))</f>
        <v>liviade</v>
      </c>
      <c r="B244" s="276" t="s">
        <v>1933</v>
      </c>
      <c r="C244" s="277" t="s">
        <v>1934</v>
      </c>
      <c r="D244" s="278" t="s">
        <v>437</v>
      </c>
      <c r="E244" s="279">
        <v>44258.0</v>
      </c>
      <c r="F244" s="278" t="s">
        <v>1929</v>
      </c>
      <c r="G244" s="171">
        <v>25.0</v>
      </c>
      <c r="H244" s="171">
        <v>2000.0</v>
      </c>
      <c r="I244" s="171">
        <v>200.0</v>
      </c>
      <c r="J244" s="172">
        <f t="shared" si="2"/>
        <v>0.001484118155</v>
      </c>
      <c r="K244" s="269">
        <f t="shared" si="11"/>
        <v>1.53358876</v>
      </c>
      <c r="L244" s="270">
        <f t="shared" si="4"/>
        <v>8.736447588</v>
      </c>
      <c r="M244" s="271" t="str">
        <f t="shared" si="5"/>
        <v>liviade</v>
      </c>
      <c r="N244" s="176">
        <f>IFERROR(__xludf.DUMMYFUNCTION("""COMPUTED_VALUE"""),4.0)</f>
        <v>4</v>
      </c>
      <c r="O244" s="176"/>
      <c r="P244" s="280" t="s">
        <v>490</v>
      </c>
      <c r="Q244" s="276" t="s">
        <v>1933</v>
      </c>
      <c r="R244" s="176"/>
      <c r="S244" s="176"/>
      <c r="T244" s="176"/>
      <c r="U244" s="176"/>
      <c r="V244" s="176"/>
      <c r="W244" s="176"/>
      <c r="X244" s="176"/>
      <c r="Y244" s="176"/>
      <c r="Z244" s="176"/>
    </row>
    <row r="245">
      <c r="A245" s="267" t="str">
        <f>iferror(VLOOKUP(P245,'DO NOT TOUCH Imported'!$A$1:$D$800,4,False),iferror(VLOOKUP(P245,'DO NOT TOUCH Imported'!$C$1:$D$800,2,False),"OOPS FIX ME"))</f>
        <v>liviade</v>
      </c>
      <c r="B245" s="276" t="s">
        <v>8</v>
      </c>
      <c r="C245" s="277" t="s">
        <v>1935</v>
      </c>
      <c r="D245" s="278" t="s">
        <v>437</v>
      </c>
      <c r="E245" s="279">
        <v>44259.0</v>
      </c>
      <c r="F245" s="278" t="s">
        <v>1929</v>
      </c>
      <c r="G245" s="171">
        <v>50.0</v>
      </c>
      <c r="H245" s="171">
        <v>1000.0</v>
      </c>
      <c r="I245" s="171">
        <v>100.0</v>
      </c>
      <c r="J245" s="172">
        <f t="shared" si="2"/>
        <v>0.001348560775</v>
      </c>
      <c r="K245" s="269">
        <f t="shared" si="11"/>
        <v>1.393512801</v>
      </c>
      <c r="L245" s="270">
        <f t="shared" si="4"/>
        <v>8.736447588</v>
      </c>
      <c r="M245" s="271" t="str">
        <f t="shared" si="5"/>
        <v>liviade</v>
      </c>
      <c r="N245" s="176">
        <f>IFERROR(__xludf.DUMMYFUNCTION("""COMPUTED_VALUE"""),5.0)</f>
        <v>5</v>
      </c>
      <c r="O245" s="176"/>
      <c r="P245" s="280" t="s">
        <v>490</v>
      </c>
      <c r="Q245" s="276" t="s">
        <v>8</v>
      </c>
      <c r="R245" s="176"/>
      <c r="S245" s="176"/>
      <c r="T245" s="176"/>
      <c r="U245" s="176"/>
      <c r="V245" s="176"/>
      <c r="W245" s="176"/>
      <c r="X245" s="176"/>
      <c r="Y245" s="176"/>
      <c r="Z245" s="176"/>
    </row>
    <row r="246">
      <c r="A246" s="267" t="str">
        <f>iferror(VLOOKUP(P246,'DO NOT TOUCH Imported'!$A$1:$D$800,4,False),iferror(VLOOKUP(P246,'DO NOT TOUCH Imported'!$C$1:$D$800,2,False),"OOPS FIX ME"))</f>
        <v>liviade</v>
      </c>
      <c r="B246" s="276" t="s">
        <v>10</v>
      </c>
      <c r="C246" s="277" t="s">
        <v>1937</v>
      </c>
      <c r="D246" s="278" t="s">
        <v>437</v>
      </c>
      <c r="E246" s="279">
        <v>44260.0</v>
      </c>
      <c r="F246" s="278" t="s">
        <v>1929</v>
      </c>
      <c r="G246" s="171">
        <v>35.0</v>
      </c>
      <c r="H246" s="171">
        <v>1000.0</v>
      </c>
      <c r="I246" s="171">
        <v>100.0</v>
      </c>
      <c r="J246" s="172">
        <f t="shared" si="2"/>
        <v>0.001105960096</v>
      </c>
      <c r="K246" s="269">
        <f t="shared" si="11"/>
        <v>1.142825433</v>
      </c>
      <c r="L246" s="270">
        <f t="shared" si="4"/>
        <v>8.736447588</v>
      </c>
      <c r="M246" s="271" t="str">
        <f t="shared" si="5"/>
        <v>liviade</v>
      </c>
      <c r="N246" s="176">
        <f>IFERROR(__xludf.DUMMYFUNCTION("""COMPUTED_VALUE"""),6.0)</f>
        <v>6</v>
      </c>
      <c r="O246" s="176"/>
      <c r="P246" s="280" t="s">
        <v>490</v>
      </c>
      <c r="Q246" s="276" t="s">
        <v>10</v>
      </c>
      <c r="R246" s="176"/>
      <c r="S246" s="176"/>
      <c r="T246" s="176"/>
      <c r="U246" s="176"/>
      <c r="V246" s="176"/>
      <c r="W246" s="176"/>
      <c r="X246" s="176"/>
      <c r="Y246" s="176"/>
      <c r="Z246" s="176"/>
    </row>
    <row r="247">
      <c r="A247" s="267" t="str">
        <f>iferror(VLOOKUP(P247,'DO NOT TOUCH Imported'!$A$1:$D$800,4,False),iferror(VLOOKUP(P247,'DO NOT TOUCH Imported'!$C$1:$D$800,2,False),"OOPS FIX ME"))</f>
        <v>liviade</v>
      </c>
      <c r="B247" s="276" t="s">
        <v>10</v>
      </c>
      <c r="C247" s="277" t="s">
        <v>1938</v>
      </c>
      <c r="D247" s="278" t="s">
        <v>437</v>
      </c>
      <c r="E247" s="279">
        <v>44260.0</v>
      </c>
      <c r="F247" s="278" t="s">
        <v>1929</v>
      </c>
      <c r="G247" s="171">
        <v>35.0</v>
      </c>
      <c r="H247" s="171">
        <v>2000.0</v>
      </c>
      <c r="I247" s="171">
        <v>200.0</v>
      </c>
      <c r="J247" s="172">
        <f t="shared" si="2"/>
        <v>0.001645851941</v>
      </c>
      <c r="K247" s="269">
        <f t="shared" si="11"/>
        <v>1.700713672</v>
      </c>
      <c r="L247" s="270">
        <f t="shared" si="4"/>
        <v>8.736447588</v>
      </c>
      <c r="M247" s="271" t="str">
        <f t="shared" si="5"/>
        <v>liviade</v>
      </c>
      <c r="N247" s="176">
        <f>IFERROR(__xludf.DUMMYFUNCTION("""COMPUTED_VALUE"""),7.0)</f>
        <v>7</v>
      </c>
      <c r="O247" s="176"/>
      <c r="P247" s="280" t="s">
        <v>490</v>
      </c>
      <c r="Q247" s="276" t="s">
        <v>10</v>
      </c>
      <c r="R247" s="176"/>
      <c r="S247" s="176"/>
      <c r="T247" s="176"/>
      <c r="U247" s="176"/>
      <c r="V247" s="176"/>
      <c r="W247" s="176"/>
      <c r="X247" s="176"/>
      <c r="Y247" s="176"/>
      <c r="Z247" s="176"/>
    </row>
    <row r="248">
      <c r="A248" s="267" t="str">
        <f>iferror(VLOOKUP(P248,'DO NOT TOUCH Imported'!$A$1:$D$800,4,False),iferror(VLOOKUP(P248,'DO NOT TOUCH Imported'!$C$1:$D$800,2,False),"OOPS FIX ME"))</f>
        <v>liviade</v>
      </c>
      <c r="B248" s="276" t="s">
        <v>10</v>
      </c>
      <c r="C248" s="277" t="s">
        <v>2053</v>
      </c>
      <c r="D248" s="278" t="s">
        <v>437</v>
      </c>
      <c r="E248" s="279">
        <v>44260.0</v>
      </c>
      <c r="F248" s="278" t="s">
        <v>1929</v>
      </c>
      <c r="G248" s="171">
        <v>35.0</v>
      </c>
      <c r="H248" s="171">
        <v>1000.0</v>
      </c>
      <c r="I248" s="171">
        <v>300.0</v>
      </c>
      <c r="J248" s="172">
        <f t="shared" si="2"/>
        <v>0.001571587483</v>
      </c>
      <c r="K248" s="269">
        <f t="shared" si="11"/>
        <v>1.623973732</v>
      </c>
      <c r="L248" s="270">
        <f t="shared" si="4"/>
        <v>8.736447588</v>
      </c>
      <c r="M248" s="271" t="str">
        <f t="shared" si="5"/>
        <v>liviade</v>
      </c>
      <c r="N248" s="176">
        <f>IFERROR(__xludf.DUMMYFUNCTION("""COMPUTED_VALUE"""),8.0)</f>
        <v>8</v>
      </c>
      <c r="O248" s="176"/>
      <c r="P248" s="280" t="s">
        <v>490</v>
      </c>
      <c r="Q248" s="276" t="s">
        <v>10</v>
      </c>
      <c r="R248" s="176"/>
      <c r="S248" s="176"/>
      <c r="T248" s="176"/>
      <c r="U248" s="176"/>
      <c r="V248" s="176"/>
      <c r="W248" s="176"/>
      <c r="X248" s="176"/>
      <c r="Y248" s="176"/>
      <c r="Z248" s="176"/>
    </row>
    <row r="249">
      <c r="A249" s="267" t="str">
        <f>iferror(VLOOKUP(P249,'DO NOT TOUCH Imported'!$A$1:$D$800,4,False),iferror(VLOOKUP(P249,'DO NOT TOUCH Imported'!$C$1:$D$800,2,False),"OOPS FIX ME"))</f>
        <v>liviade</v>
      </c>
      <c r="B249" s="276" t="s">
        <v>10</v>
      </c>
      <c r="C249" s="277" t="s">
        <v>2054</v>
      </c>
      <c r="D249" s="278" t="s">
        <v>437</v>
      </c>
      <c r="E249" s="279">
        <v>44260.0</v>
      </c>
      <c r="F249" s="278" t="s">
        <v>1929</v>
      </c>
      <c r="G249" s="171">
        <v>35.0</v>
      </c>
      <c r="H249" s="171">
        <v>5000.0</v>
      </c>
      <c r="I249" s="171">
        <v>300.0</v>
      </c>
      <c r="J249" s="172">
        <f t="shared" si="2"/>
        <v>0.002799900088</v>
      </c>
      <c r="K249" s="269">
        <f t="shared" si="11"/>
        <v>2.893230091</v>
      </c>
      <c r="L249" s="270">
        <f t="shared" si="4"/>
        <v>8.736447588</v>
      </c>
      <c r="M249" s="271" t="str">
        <f t="shared" si="5"/>
        <v>liviade</v>
      </c>
      <c r="N249" s="176">
        <f>IFERROR(__xludf.DUMMYFUNCTION("""COMPUTED_VALUE"""),9.0)</f>
        <v>9</v>
      </c>
      <c r="O249" s="176"/>
      <c r="P249" s="280" t="s">
        <v>490</v>
      </c>
      <c r="Q249" s="276" t="s">
        <v>10</v>
      </c>
      <c r="R249" s="176"/>
      <c r="S249" s="176"/>
      <c r="T249" s="176"/>
      <c r="U249" s="176"/>
      <c r="V249" s="176"/>
      <c r="W249" s="176"/>
      <c r="X249" s="176"/>
      <c r="Y249" s="176"/>
      <c r="Z249" s="176"/>
    </row>
    <row r="250">
      <c r="A250" s="267" t="str">
        <f>iferror(VLOOKUP(P250,'DO NOT TOUCH Imported'!$A$1:$D$800,4,False),iferror(VLOOKUP(P250,'DO NOT TOUCH Imported'!$C$1:$D$800,2,False),"OOPS FIX ME"))</f>
        <v>liviade</v>
      </c>
      <c r="B250" s="276" t="s">
        <v>10</v>
      </c>
      <c r="C250" s="277" t="s">
        <v>1984</v>
      </c>
      <c r="D250" s="278" t="s">
        <v>437</v>
      </c>
      <c r="E250" s="279">
        <v>44260.0</v>
      </c>
      <c r="F250" s="278" t="s">
        <v>1929</v>
      </c>
      <c r="G250" s="171">
        <v>50.0</v>
      </c>
      <c r="H250" s="171">
        <v>2000.0</v>
      </c>
      <c r="I250" s="171">
        <v>200.0</v>
      </c>
      <c r="J250" s="172">
        <f t="shared" si="2"/>
        <v>0.00188845262</v>
      </c>
      <c r="K250" s="269">
        <f t="shared" si="11"/>
        <v>1.951401041</v>
      </c>
      <c r="L250" s="270">
        <f t="shared" si="4"/>
        <v>8.736447588</v>
      </c>
      <c r="M250" s="271" t="str">
        <f t="shared" si="5"/>
        <v>liviade</v>
      </c>
      <c r="N250" s="176">
        <f>IFERROR(__xludf.DUMMYFUNCTION("""COMPUTED_VALUE"""),10.0)</f>
        <v>10</v>
      </c>
      <c r="O250" s="176"/>
      <c r="P250" s="280" t="s">
        <v>490</v>
      </c>
      <c r="Q250" s="276" t="s">
        <v>10</v>
      </c>
      <c r="R250" s="176"/>
      <c r="S250" s="176"/>
      <c r="T250" s="176"/>
      <c r="U250" s="176"/>
      <c r="V250" s="176"/>
      <c r="W250" s="176"/>
      <c r="X250" s="176"/>
      <c r="Y250" s="176"/>
      <c r="Z250" s="176"/>
    </row>
    <row r="251">
      <c r="A251" s="267" t="str">
        <f>iferror(VLOOKUP(P251,'DO NOT TOUCH Imported'!$A$1:$D$800,4,False),iferror(VLOOKUP(P251,'DO NOT TOUCH Imported'!$C$1:$D$800,2,False),"OOPS FIX ME"))</f>
        <v>liviade</v>
      </c>
      <c r="B251" s="276" t="s">
        <v>10</v>
      </c>
      <c r="C251" s="277" t="s">
        <v>1997</v>
      </c>
      <c r="D251" s="278" t="s">
        <v>437</v>
      </c>
      <c r="E251" s="279">
        <v>44260.0</v>
      </c>
      <c r="F251" s="278" t="s">
        <v>1929</v>
      </c>
      <c r="G251" s="171">
        <v>25.0</v>
      </c>
      <c r="H251" s="171">
        <v>500.0</v>
      </c>
      <c r="I251" s="171">
        <v>20.0</v>
      </c>
      <c r="J251" s="172">
        <f t="shared" si="2"/>
        <v>0.0006044362798</v>
      </c>
      <c r="K251" s="269">
        <f t="shared" si="11"/>
        <v>0.6245841558</v>
      </c>
      <c r="L251" s="270">
        <f t="shared" si="4"/>
        <v>8.736447588</v>
      </c>
      <c r="M251" s="271" t="str">
        <f t="shared" si="5"/>
        <v>liviade</v>
      </c>
      <c r="N251" s="176">
        <f>IFERROR(__xludf.DUMMYFUNCTION("""COMPUTED_VALUE"""),11.0)</f>
        <v>11</v>
      </c>
      <c r="O251" s="176"/>
      <c r="P251" s="280" t="s">
        <v>490</v>
      </c>
      <c r="Q251" s="276" t="s">
        <v>10</v>
      </c>
      <c r="R251" s="176"/>
      <c r="S251" s="176"/>
      <c r="T251" s="176"/>
      <c r="U251" s="176"/>
      <c r="V251" s="176"/>
      <c r="W251" s="176"/>
      <c r="X251" s="176"/>
      <c r="Y251" s="176"/>
      <c r="Z251" s="176"/>
    </row>
    <row r="252">
      <c r="A252" s="267" t="str">
        <f>iferror(VLOOKUP(P252,'DO NOT TOUCH Imported'!$A$1:$D$800,4,False),iferror(VLOOKUP(P252,'DO NOT TOUCH Imported'!$C$1:$D$800,2,False),"OOPS FIX ME"))</f>
        <v>liviade</v>
      </c>
      <c r="B252" s="276" t="s">
        <v>10</v>
      </c>
      <c r="C252" s="277" t="s">
        <v>1941</v>
      </c>
      <c r="D252" s="278" t="s">
        <v>437</v>
      </c>
      <c r="E252" s="279">
        <v>44260.0</v>
      </c>
      <c r="F252" s="278" t="s">
        <v>1929</v>
      </c>
      <c r="G252" s="171">
        <v>15.0</v>
      </c>
      <c r="H252" s="171">
        <v>1000.0</v>
      </c>
      <c r="I252" s="171">
        <v>20.0</v>
      </c>
      <c r="J252" s="172">
        <f t="shared" si="2"/>
        <v>0.0005962415693</v>
      </c>
      <c r="K252" s="269">
        <f t="shared" si="11"/>
        <v>0.6161162883</v>
      </c>
      <c r="L252" s="270">
        <f t="shared" si="4"/>
        <v>8.736447588</v>
      </c>
      <c r="M252" s="271" t="str">
        <f t="shared" si="5"/>
        <v>liviade</v>
      </c>
      <c r="N252" s="176">
        <f>IFERROR(__xludf.DUMMYFUNCTION("""COMPUTED_VALUE"""),12.0)</f>
        <v>12</v>
      </c>
      <c r="O252" s="176"/>
      <c r="P252" s="280" t="s">
        <v>490</v>
      </c>
      <c r="Q252" s="276" t="s">
        <v>10</v>
      </c>
      <c r="R252" s="176"/>
      <c r="S252" s="176"/>
      <c r="T252" s="176"/>
      <c r="U252" s="176"/>
      <c r="V252" s="176"/>
      <c r="W252" s="176"/>
      <c r="X252" s="176"/>
      <c r="Y252" s="176"/>
      <c r="Z252" s="176"/>
    </row>
    <row r="253">
      <c r="A253" s="267" t="str">
        <f>iferror(VLOOKUP(P253,'DO NOT TOUCH Imported'!$A$1:$D$800,4,False),iferror(VLOOKUP(P253,'DO NOT TOUCH Imported'!$C$1:$D$800,2,False),"OOPS FIX ME"))</f>
        <v>liviade</v>
      </c>
      <c r="B253" s="257" t="s">
        <v>10</v>
      </c>
      <c r="C253" s="261" t="s">
        <v>494</v>
      </c>
      <c r="D253" s="281" t="s">
        <v>495</v>
      </c>
      <c r="E253" s="282">
        <v>44260.0</v>
      </c>
      <c r="F253" s="258" t="s">
        <v>496</v>
      </c>
      <c r="G253" s="171">
        <v>35.0</v>
      </c>
      <c r="H253" s="171">
        <v>1000.0</v>
      </c>
      <c r="I253" s="171">
        <v>40.0</v>
      </c>
      <c r="J253" s="172">
        <f t="shared" si="2"/>
        <v>0.0009662718803</v>
      </c>
      <c r="K253" s="269">
        <f t="shared" si="11"/>
        <v>0.998480943</v>
      </c>
      <c r="L253" s="270">
        <f t="shared" si="4"/>
        <v>8.736447588</v>
      </c>
      <c r="M253" s="271" t="str">
        <f t="shared" si="5"/>
        <v>liviade</v>
      </c>
      <c r="N253" s="176">
        <f>IFERROR(__xludf.DUMMYFUNCTION("""COMPUTED_VALUE"""),13.0)</f>
        <v>13</v>
      </c>
      <c r="O253" s="176"/>
      <c r="P253" s="257" t="s">
        <v>18</v>
      </c>
      <c r="Q253" s="257" t="s">
        <v>10</v>
      </c>
      <c r="R253" s="176"/>
      <c r="S253" s="176"/>
      <c r="T253" s="176"/>
      <c r="U253" s="176"/>
      <c r="V253" s="176"/>
      <c r="W253" s="176"/>
      <c r="X253" s="176"/>
      <c r="Y253" s="176"/>
      <c r="Z253" s="176"/>
    </row>
    <row r="254">
      <c r="A254" s="267" t="str">
        <f>iferror(VLOOKUP(P254,'DO NOT TOUCH Imported'!$A$1:$D$800,4,False),iferror(VLOOKUP(P254,'DO NOT TOUCH Imported'!$C$1:$D$800,2,False),"OOPS FIX ME"))</f>
        <v>liviade</v>
      </c>
      <c r="B254" s="276" t="s">
        <v>10</v>
      </c>
      <c r="C254" s="277" t="s">
        <v>1942</v>
      </c>
      <c r="D254" s="278" t="s">
        <v>437</v>
      </c>
      <c r="E254" s="279">
        <v>44262.0</v>
      </c>
      <c r="F254" s="278" t="s">
        <v>1929</v>
      </c>
      <c r="G254" s="171">
        <v>25.0</v>
      </c>
      <c r="H254" s="171">
        <v>1000.0</v>
      </c>
      <c r="I254" s="171">
        <v>40.0</v>
      </c>
      <c r="J254" s="172">
        <f t="shared" si="2"/>
        <v>0.0008045380941</v>
      </c>
      <c r="K254" s="269">
        <f t="shared" si="11"/>
        <v>0.8313560306</v>
      </c>
      <c r="L254" s="270">
        <f t="shared" si="4"/>
        <v>8.736447588</v>
      </c>
      <c r="M254" s="271" t="str">
        <f t="shared" si="5"/>
        <v>liviade</v>
      </c>
      <c r="N254" s="176">
        <f>IFERROR(__xludf.DUMMYFUNCTION("""COMPUTED_VALUE"""),14.0)</f>
        <v>14</v>
      </c>
      <c r="O254" s="176"/>
      <c r="P254" s="280" t="s">
        <v>490</v>
      </c>
      <c r="Q254" s="276" t="s">
        <v>10</v>
      </c>
      <c r="R254" s="176"/>
      <c r="S254" s="176"/>
      <c r="T254" s="176"/>
      <c r="U254" s="176"/>
      <c r="V254" s="176"/>
      <c r="W254" s="176"/>
      <c r="X254" s="176"/>
      <c r="Y254" s="176"/>
      <c r="Z254" s="176"/>
    </row>
    <row r="255">
      <c r="A255" s="267" t="str">
        <f>iferror(VLOOKUP(P255,'DO NOT TOUCH Imported'!$A$1:$D$800,4,False),iferror(VLOOKUP(P255,'DO NOT TOUCH Imported'!$C$1:$D$800,2,False),"OOPS FIX ME"))</f>
        <v>liviade</v>
      </c>
      <c r="B255" s="276" t="s">
        <v>10</v>
      </c>
      <c r="C255" s="277" t="s">
        <v>1943</v>
      </c>
      <c r="D255" s="278" t="s">
        <v>437</v>
      </c>
      <c r="E255" s="279">
        <v>44263.0</v>
      </c>
      <c r="F255" s="278" t="s">
        <v>1929</v>
      </c>
      <c r="G255" s="171">
        <v>25.0</v>
      </c>
      <c r="H255" s="171">
        <v>1000.0</v>
      </c>
      <c r="I255" s="171">
        <v>100.0</v>
      </c>
      <c r="J255" s="172">
        <f t="shared" si="2"/>
        <v>0.00094422631</v>
      </c>
      <c r="K255" s="269">
        <f t="shared" si="11"/>
        <v>0.9757005204</v>
      </c>
      <c r="L255" s="270">
        <f t="shared" si="4"/>
        <v>8.736447588</v>
      </c>
      <c r="M255" s="271" t="str">
        <f t="shared" si="5"/>
        <v>liviade</v>
      </c>
      <c r="N255" s="176">
        <f>IFERROR(__xludf.DUMMYFUNCTION("""COMPUTED_VALUE"""),15.0)</f>
        <v>15</v>
      </c>
      <c r="O255" s="176"/>
      <c r="P255" s="280" t="s">
        <v>490</v>
      </c>
      <c r="Q255" s="276" t="s">
        <v>10</v>
      </c>
      <c r="R255" s="176"/>
      <c r="S255" s="176"/>
      <c r="T255" s="176"/>
      <c r="U255" s="176"/>
      <c r="V255" s="176"/>
      <c r="W255" s="176"/>
      <c r="X255" s="176"/>
      <c r="Y255" s="176"/>
      <c r="Z255" s="176"/>
    </row>
    <row r="256">
      <c r="A256" s="267" t="str">
        <f>iferror(VLOOKUP(P256,'DO NOT TOUCH Imported'!$A$1:$D$800,4,False),iferror(VLOOKUP(P256,'DO NOT TOUCH Imported'!$C$1:$D$800,2,False),"OOPS FIX ME"))</f>
        <v>liviade</v>
      </c>
      <c r="B256" s="276" t="s">
        <v>1702</v>
      </c>
      <c r="C256" s="277" t="s">
        <v>1944</v>
      </c>
      <c r="D256" s="278" t="s">
        <v>499</v>
      </c>
      <c r="E256" s="279">
        <v>44263.0</v>
      </c>
      <c r="F256" s="278" t="s">
        <v>1646</v>
      </c>
      <c r="G256" s="171">
        <v>25.0</v>
      </c>
      <c r="H256" s="171">
        <v>1000.0</v>
      </c>
      <c r="I256" s="171">
        <v>1000.0</v>
      </c>
      <c r="J256" s="172">
        <f t="shared" si="2"/>
        <v>0.003039549549</v>
      </c>
      <c r="K256" s="269">
        <f t="shared" si="11"/>
        <v>3.140867867</v>
      </c>
      <c r="L256" s="270">
        <f t="shared" si="4"/>
        <v>8.736447588</v>
      </c>
      <c r="M256" s="271" t="str">
        <f t="shared" si="5"/>
        <v>liviade</v>
      </c>
      <c r="N256" s="176">
        <f>IFERROR(__xludf.DUMMYFUNCTION("""COMPUTED_VALUE"""),16.0)</f>
        <v>16</v>
      </c>
      <c r="O256" s="176"/>
      <c r="P256" s="267" t="s">
        <v>490</v>
      </c>
      <c r="Q256" s="272" t="s">
        <v>1702</v>
      </c>
      <c r="R256" s="176"/>
      <c r="S256" s="176"/>
      <c r="T256" s="176"/>
      <c r="U256" s="176"/>
      <c r="V256" s="176"/>
      <c r="W256" s="176"/>
      <c r="X256" s="176"/>
      <c r="Y256" s="176"/>
      <c r="Z256" s="176"/>
    </row>
    <row r="257">
      <c r="A257" s="267" t="str">
        <f>iferror(VLOOKUP(P257,'DO NOT TOUCH Imported'!$A$1:$D$800,4,False),iferror(VLOOKUP(P257,'DO NOT TOUCH Imported'!$C$1:$D$800,2,False),"OOPS FIX ME"))</f>
        <v>liviade</v>
      </c>
      <c r="B257" s="257" t="s">
        <v>590</v>
      </c>
      <c r="C257" s="261" t="s">
        <v>1945</v>
      </c>
      <c r="D257" s="281" t="s">
        <v>495</v>
      </c>
      <c r="E257" s="282">
        <v>44264.0</v>
      </c>
      <c r="F257" s="258" t="s">
        <v>496</v>
      </c>
      <c r="G257" s="171">
        <v>25.0</v>
      </c>
      <c r="H257" s="171">
        <v>1000.0</v>
      </c>
      <c r="I257" s="171">
        <v>50.0</v>
      </c>
      <c r="J257" s="172">
        <f t="shared" si="2"/>
        <v>0.0008278194634</v>
      </c>
      <c r="K257" s="269">
        <f t="shared" si="11"/>
        <v>0.8554134456</v>
      </c>
      <c r="L257" s="270">
        <f t="shared" si="4"/>
        <v>8.736447588</v>
      </c>
      <c r="M257" s="271" t="str">
        <f t="shared" si="5"/>
        <v>liviade</v>
      </c>
      <c r="N257" s="176">
        <f>IFERROR(__xludf.DUMMYFUNCTION("""COMPUTED_VALUE"""),17.0)</f>
        <v>17</v>
      </c>
      <c r="O257" s="176"/>
      <c r="P257" s="257" t="s">
        <v>18</v>
      </c>
      <c r="Q257" s="257" t="s">
        <v>590</v>
      </c>
      <c r="R257" s="176"/>
      <c r="S257" s="176"/>
      <c r="T257" s="176"/>
      <c r="U257" s="176"/>
      <c r="V257" s="176"/>
      <c r="W257" s="176"/>
      <c r="X257" s="176"/>
      <c r="Y257" s="176"/>
      <c r="Z257" s="176"/>
    </row>
    <row r="258">
      <c r="A258" s="267" t="str">
        <f>iferror(VLOOKUP(P258,'DO NOT TOUCH Imported'!$A$1:$D$800,4,False),iferror(VLOOKUP(P258,'DO NOT TOUCH Imported'!$C$1:$D$800,2,False),"OOPS FIX ME"))</f>
        <v>liviade</v>
      </c>
      <c r="B258" s="276" t="s">
        <v>2055</v>
      </c>
      <c r="C258" s="277" t="s">
        <v>2056</v>
      </c>
      <c r="D258" s="278" t="s">
        <v>437</v>
      </c>
      <c r="E258" s="279">
        <v>44265.0</v>
      </c>
      <c r="F258" s="278" t="s">
        <v>1929</v>
      </c>
      <c r="G258" s="171">
        <v>25.0</v>
      </c>
      <c r="H258" s="171">
        <v>1000.0</v>
      </c>
      <c r="I258" s="171">
        <v>200.0</v>
      </c>
      <c r="J258" s="172">
        <f t="shared" si="2"/>
        <v>0.001177040003</v>
      </c>
      <c r="K258" s="269">
        <f t="shared" si="11"/>
        <v>1.21627467</v>
      </c>
      <c r="L258" s="270">
        <f t="shared" si="4"/>
        <v>8.736447588</v>
      </c>
      <c r="M258" s="271" t="str">
        <f t="shared" si="5"/>
        <v>liviade</v>
      </c>
      <c r="N258" s="176">
        <f>IFERROR(__xludf.DUMMYFUNCTION("""COMPUTED_VALUE"""),18.0)</f>
        <v>18</v>
      </c>
      <c r="O258" s="176"/>
      <c r="P258" s="280" t="s">
        <v>490</v>
      </c>
      <c r="Q258" s="276" t="s">
        <v>2055</v>
      </c>
      <c r="R258" s="176"/>
      <c r="S258" s="176"/>
      <c r="T258" s="176"/>
      <c r="U258" s="176"/>
      <c r="V258" s="176"/>
      <c r="W258" s="176"/>
      <c r="X258" s="176"/>
      <c r="Y258" s="176"/>
      <c r="Z258" s="176"/>
    </row>
    <row r="259">
      <c r="A259" s="267" t="str">
        <f>iferror(VLOOKUP(P259,'DO NOT TOUCH Imported'!$A$1:$D$800,4,False),iferror(VLOOKUP(P259,'DO NOT TOUCH Imported'!$C$1:$D$800,2,False),"OOPS FIX ME"))</f>
        <v>liviade</v>
      </c>
      <c r="B259" s="276" t="s">
        <v>1933</v>
      </c>
      <c r="C259" s="277" t="s">
        <v>2057</v>
      </c>
      <c r="D259" s="278" t="s">
        <v>437</v>
      </c>
      <c r="E259" s="279">
        <v>44265.0</v>
      </c>
      <c r="F259" s="278" t="s">
        <v>1929</v>
      </c>
      <c r="G259" s="171">
        <v>25.0</v>
      </c>
      <c r="H259" s="171">
        <v>1000.0</v>
      </c>
      <c r="I259" s="171">
        <v>300.0</v>
      </c>
      <c r="J259" s="172">
        <f t="shared" si="2"/>
        <v>0.001409853696</v>
      </c>
      <c r="K259" s="269">
        <f t="shared" si="11"/>
        <v>1.45684882</v>
      </c>
      <c r="L259" s="270">
        <f t="shared" si="4"/>
        <v>8.736447588</v>
      </c>
      <c r="M259" s="271" t="str">
        <f t="shared" si="5"/>
        <v>liviade</v>
      </c>
      <c r="N259" s="176">
        <f>IFERROR(__xludf.DUMMYFUNCTION("""COMPUTED_VALUE"""),19.0)</f>
        <v>19</v>
      </c>
      <c r="O259" s="176"/>
      <c r="P259" s="280" t="s">
        <v>490</v>
      </c>
      <c r="Q259" s="276" t="s">
        <v>1933</v>
      </c>
      <c r="R259" s="176"/>
      <c r="S259" s="176"/>
      <c r="T259" s="176"/>
      <c r="U259" s="176"/>
      <c r="V259" s="176"/>
      <c r="W259" s="176"/>
      <c r="X259" s="176"/>
      <c r="Y259" s="176"/>
      <c r="Z259" s="176"/>
    </row>
    <row r="260">
      <c r="A260" s="267" t="str">
        <f>iferror(VLOOKUP(P260,'DO NOT TOUCH Imported'!$A$1:$D$800,4,False),iferror(VLOOKUP(P260,'DO NOT TOUCH Imported'!$C$1:$D$800,2,False),"OOPS FIX ME"))</f>
        <v>liviade</v>
      </c>
      <c r="B260" s="257" t="s">
        <v>590</v>
      </c>
      <c r="C260" s="261" t="s">
        <v>2058</v>
      </c>
      <c r="D260" s="281" t="s">
        <v>495</v>
      </c>
      <c r="E260" s="282">
        <v>44265.0</v>
      </c>
      <c r="F260" s="258" t="s">
        <v>496</v>
      </c>
      <c r="G260" s="171">
        <v>25.0</v>
      </c>
      <c r="H260" s="171">
        <v>500.0</v>
      </c>
      <c r="I260" s="171">
        <v>200.0</v>
      </c>
      <c r="J260" s="172">
        <f t="shared" si="2"/>
        <v>0.001023500928</v>
      </c>
      <c r="K260" s="269">
        <f t="shared" si="11"/>
        <v>1.057617625</v>
      </c>
      <c r="L260" s="270">
        <f t="shared" si="4"/>
        <v>8.736447588</v>
      </c>
      <c r="M260" s="271" t="str">
        <f t="shared" si="5"/>
        <v>liviade</v>
      </c>
      <c r="N260" s="176">
        <f>IFERROR(__xludf.DUMMYFUNCTION("""COMPUTED_VALUE"""),20.0)</f>
        <v>20</v>
      </c>
      <c r="O260" s="176"/>
      <c r="P260" s="257" t="s">
        <v>18</v>
      </c>
      <c r="Q260" s="257" t="s">
        <v>590</v>
      </c>
      <c r="R260" s="176"/>
      <c r="S260" s="176"/>
      <c r="T260" s="176"/>
      <c r="U260" s="176"/>
      <c r="V260" s="176"/>
      <c r="W260" s="176"/>
      <c r="X260" s="176"/>
      <c r="Y260" s="176"/>
      <c r="Z260" s="176"/>
    </row>
    <row r="261">
      <c r="A261" s="267" t="str">
        <f>iferror(VLOOKUP(P261,'DO NOT TOUCH Imported'!$A$1:$D$800,4,False),iferror(VLOOKUP(P261,'DO NOT TOUCH Imported'!$C$1:$D$800,2,False),"OOPS FIX ME"))</f>
        <v>liviade</v>
      </c>
      <c r="B261" s="257" t="s">
        <v>590</v>
      </c>
      <c r="C261" s="261" t="s">
        <v>2059</v>
      </c>
      <c r="D261" s="281" t="s">
        <v>495</v>
      </c>
      <c r="E261" s="252">
        <v>44266.0</v>
      </c>
      <c r="F261" s="258" t="s">
        <v>496</v>
      </c>
      <c r="G261" s="171">
        <v>25.0</v>
      </c>
      <c r="H261" s="171">
        <v>5000.0</v>
      </c>
      <c r="I261" s="171">
        <v>300.0</v>
      </c>
      <c r="J261" s="172">
        <f t="shared" si="2"/>
        <v>0.002638166302</v>
      </c>
      <c r="K261" s="269">
        <f t="shared" si="11"/>
        <v>2.726105179</v>
      </c>
      <c r="L261" s="270">
        <f t="shared" si="4"/>
        <v>8.736447588</v>
      </c>
      <c r="M261" s="271" t="str">
        <f t="shared" si="5"/>
        <v>liviade</v>
      </c>
      <c r="N261" s="176">
        <f>IFERROR(__xludf.DUMMYFUNCTION("""COMPUTED_VALUE"""),21.0)</f>
        <v>21</v>
      </c>
      <c r="O261" s="176"/>
      <c r="P261" s="257" t="s">
        <v>18</v>
      </c>
      <c r="Q261" s="257" t="s">
        <v>590</v>
      </c>
      <c r="R261" s="176"/>
      <c r="S261" s="176"/>
      <c r="T261" s="176"/>
      <c r="U261" s="176"/>
      <c r="V261" s="176"/>
      <c r="W261" s="176"/>
      <c r="X261" s="176"/>
      <c r="Y261" s="176"/>
      <c r="Z261" s="176"/>
    </row>
    <row r="262">
      <c r="A262" s="267" t="str">
        <f>iferror(VLOOKUP(P262,'DO NOT TOUCH Imported'!$A$1:$D$800,4,False),iferror(VLOOKUP(P262,'DO NOT TOUCH Imported'!$C$1:$D$800,2,False),"OOPS FIX ME"))</f>
        <v>liviade</v>
      </c>
      <c r="B262" s="276" t="s">
        <v>10</v>
      </c>
      <c r="C262" s="277" t="s">
        <v>2060</v>
      </c>
      <c r="D262" s="278" t="s">
        <v>437</v>
      </c>
      <c r="E262" s="306">
        <v>44267.0</v>
      </c>
      <c r="F262" s="278" t="s">
        <v>439</v>
      </c>
      <c r="G262" s="171">
        <v>35.0</v>
      </c>
      <c r="H262" s="171">
        <v>2500.0</v>
      </c>
      <c r="I262" s="171">
        <v>300.0</v>
      </c>
      <c r="J262" s="172">
        <f t="shared" si="2"/>
        <v>0.00203220471</v>
      </c>
      <c r="K262" s="269">
        <f t="shared" si="11"/>
        <v>2.099944867</v>
      </c>
      <c r="L262" s="270">
        <f t="shared" si="4"/>
        <v>8.736447588</v>
      </c>
      <c r="M262" s="271" t="str">
        <f t="shared" si="5"/>
        <v>liviade</v>
      </c>
      <c r="N262" s="176">
        <f>IFERROR(__xludf.DUMMYFUNCTION("""COMPUTED_VALUE"""),22.0)</f>
        <v>22</v>
      </c>
      <c r="O262" s="176"/>
      <c r="P262" s="280" t="s">
        <v>490</v>
      </c>
      <c r="Q262" s="276" t="s">
        <v>10</v>
      </c>
      <c r="R262" s="176"/>
      <c r="S262" s="176"/>
      <c r="T262" s="176"/>
      <c r="U262" s="176"/>
      <c r="V262" s="176"/>
      <c r="W262" s="176"/>
      <c r="X262" s="176"/>
      <c r="Y262" s="176"/>
      <c r="Z262" s="176"/>
    </row>
    <row r="263">
      <c r="A263" s="267" t="str">
        <f>iferror(VLOOKUP(P263,'DO NOT TOUCH Imported'!$A$1:$D$800,4,False),iferror(VLOOKUP(P263,'DO NOT TOUCH Imported'!$C$1:$D$800,2,False),"OOPS FIX ME"))</f>
        <v>liviade</v>
      </c>
      <c r="B263" s="276" t="s">
        <v>10</v>
      </c>
      <c r="C263" s="277" t="s">
        <v>1980</v>
      </c>
      <c r="D263" s="278" t="s">
        <v>437</v>
      </c>
      <c r="E263" s="306">
        <v>44267.0</v>
      </c>
      <c r="F263" s="278" t="s">
        <v>439</v>
      </c>
      <c r="G263" s="171">
        <v>25.0</v>
      </c>
      <c r="H263" s="171">
        <v>2500.0</v>
      </c>
      <c r="I263" s="171">
        <v>500.0</v>
      </c>
      <c r="J263" s="172">
        <f t="shared" si="2"/>
        <v>0.00233609831</v>
      </c>
      <c r="K263" s="269">
        <f t="shared" si="11"/>
        <v>2.413968253</v>
      </c>
      <c r="L263" s="270">
        <f t="shared" si="4"/>
        <v>8.736447588</v>
      </c>
      <c r="M263" s="271" t="str">
        <f t="shared" si="5"/>
        <v>liviade</v>
      </c>
      <c r="N263" s="176">
        <f>IFERROR(__xludf.DUMMYFUNCTION("""COMPUTED_VALUE"""),23.0)</f>
        <v>23</v>
      </c>
      <c r="O263" s="176"/>
      <c r="P263" s="280" t="s">
        <v>490</v>
      </c>
      <c r="Q263" s="276" t="s">
        <v>10</v>
      </c>
      <c r="R263" s="176"/>
      <c r="S263" s="176"/>
      <c r="T263" s="176"/>
      <c r="U263" s="176"/>
      <c r="V263" s="176"/>
      <c r="W263" s="176"/>
      <c r="X263" s="176"/>
      <c r="Y263" s="176"/>
      <c r="Z263" s="176"/>
    </row>
    <row r="264">
      <c r="A264" s="267" t="str">
        <f>iferror(VLOOKUP(P264,'DO NOT TOUCH Imported'!$A$1:$D$800,4,False),iferror(VLOOKUP(P264,'DO NOT TOUCH Imported'!$C$1:$D$800,2,False),"OOPS FIX ME"))</f>
        <v>liviade</v>
      </c>
      <c r="B264" s="276" t="s">
        <v>10</v>
      </c>
      <c r="C264" s="277" t="s">
        <v>2061</v>
      </c>
      <c r="D264" s="278" t="s">
        <v>437</v>
      </c>
      <c r="E264" s="306">
        <v>44267.0</v>
      </c>
      <c r="F264" s="278" t="s">
        <v>439</v>
      </c>
      <c r="G264" s="171">
        <v>25.0</v>
      </c>
      <c r="H264" s="171">
        <v>2500.0</v>
      </c>
      <c r="I264" s="171">
        <v>100.0</v>
      </c>
      <c r="J264" s="172">
        <f t="shared" si="2"/>
        <v>0.001404843537</v>
      </c>
      <c r="K264" s="269">
        <f t="shared" si="11"/>
        <v>1.451671655</v>
      </c>
      <c r="L264" s="270">
        <f t="shared" si="4"/>
        <v>8.736447588</v>
      </c>
      <c r="M264" s="271" t="str">
        <f t="shared" si="5"/>
        <v>liviade</v>
      </c>
      <c r="N264" s="176">
        <f>IFERROR(__xludf.DUMMYFUNCTION("""COMPUTED_VALUE"""),24.0)</f>
        <v>24</v>
      </c>
      <c r="O264" s="176"/>
      <c r="P264" s="280" t="s">
        <v>490</v>
      </c>
      <c r="Q264" s="276" t="s">
        <v>10</v>
      </c>
      <c r="R264" s="176"/>
      <c r="S264" s="176"/>
      <c r="T264" s="176"/>
      <c r="U264" s="176"/>
      <c r="V264" s="176"/>
      <c r="W264" s="176"/>
      <c r="X264" s="176"/>
      <c r="Y264" s="176"/>
      <c r="Z264" s="176"/>
    </row>
    <row r="265">
      <c r="A265" s="267" t="str">
        <f>iferror(VLOOKUP(P265,'DO NOT TOUCH Imported'!$A$1:$D$800,4,False),iferror(VLOOKUP(P265,'DO NOT TOUCH Imported'!$C$1:$D$800,2,False),"OOPS FIX ME"))</f>
        <v>liviade</v>
      </c>
      <c r="B265" s="276" t="s">
        <v>10</v>
      </c>
      <c r="C265" s="277" t="s">
        <v>2062</v>
      </c>
      <c r="D265" s="278" t="s">
        <v>437</v>
      </c>
      <c r="E265" s="306">
        <v>44267.0</v>
      </c>
      <c r="F265" s="278" t="s">
        <v>439</v>
      </c>
      <c r="G265" s="171">
        <v>25.0</v>
      </c>
      <c r="H265" s="171">
        <v>5000.0</v>
      </c>
      <c r="I265" s="171">
        <v>400.0</v>
      </c>
      <c r="J265" s="172">
        <f t="shared" si="2"/>
        <v>0.002870979995</v>
      </c>
      <c r="K265" s="269">
        <f t="shared" si="11"/>
        <v>2.966679328</v>
      </c>
      <c r="L265" s="270">
        <f t="shared" si="4"/>
        <v>8.736447588</v>
      </c>
      <c r="M265" s="271" t="str">
        <f t="shared" si="5"/>
        <v>liviade</v>
      </c>
      <c r="N265" s="176">
        <f>IFERROR(__xludf.DUMMYFUNCTION("""COMPUTED_VALUE"""),25.0)</f>
        <v>25</v>
      </c>
      <c r="O265" s="176"/>
      <c r="P265" s="280" t="s">
        <v>490</v>
      </c>
      <c r="Q265" s="276" t="s">
        <v>10</v>
      </c>
      <c r="R265" s="176"/>
      <c r="S265" s="176"/>
      <c r="T265" s="176"/>
      <c r="U265" s="176"/>
      <c r="V265" s="176"/>
      <c r="W265" s="176"/>
      <c r="X265" s="176"/>
      <c r="Y265" s="176"/>
      <c r="Z265" s="176"/>
    </row>
    <row r="266">
      <c r="A266" s="267" t="str">
        <f>iferror(VLOOKUP(P266,'DO NOT TOUCH Imported'!$A$1:$D$800,4,False),iferror(VLOOKUP(P266,'DO NOT TOUCH Imported'!$C$1:$D$800,2,False),"OOPS FIX ME"))</f>
        <v>liviade</v>
      </c>
      <c r="B266" s="276" t="s">
        <v>10</v>
      </c>
      <c r="C266" s="277" t="s">
        <v>2063</v>
      </c>
      <c r="D266" s="278" t="s">
        <v>437</v>
      </c>
      <c r="E266" s="306">
        <v>44267.0</v>
      </c>
      <c r="F266" s="278" t="s">
        <v>439</v>
      </c>
      <c r="G266" s="171">
        <v>35.0</v>
      </c>
      <c r="H266" s="171">
        <v>500.0</v>
      </c>
      <c r="I266" s="171">
        <v>400.0</v>
      </c>
      <c r="J266" s="172">
        <f t="shared" si="2"/>
        <v>0.0016508621</v>
      </c>
      <c r="K266" s="269">
        <f t="shared" si="11"/>
        <v>1.705890837</v>
      </c>
      <c r="L266" s="270">
        <f t="shared" si="4"/>
        <v>8.736447588</v>
      </c>
      <c r="M266" s="271" t="str">
        <f t="shared" si="5"/>
        <v>liviade</v>
      </c>
      <c r="N266" s="176">
        <f>IFERROR(__xludf.DUMMYFUNCTION("""COMPUTED_VALUE"""),26.0)</f>
        <v>26</v>
      </c>
      <c r="O266" s="176"/>
      <c r="P266" s="280" t="s">
        <v>490</v>
      </c>
      <c r="Q266" s="276" t="s">
        <v>10</v>
      </c>
      <c r="R266" s="176"/>
      <c r="S266" s="176"/>
      <c r="T266" s="176"/>
      <c r="U266" s="176"/>
      <c r="V266" s="176"/>
      <c r="W266" s="176"/>
      <c r="X266" s="176"/>
      <c r="Y266" s="176"/>
      <c r="Z266" s="176"/>
    </row>
    <row r="267">
      <c r="A267" s="267" t="str">
        <f>iferror(VLOOKUP(P267,'DO NOT TOUCH Imported'!$A$1:$D$800,4,False),iferror(VLOOKUP(P267,'DO NOT TOUCH Imported'!$C$1:$D$800,2,False),"OOPS FIX ME"))</f>
        <v>liviade</v>
      </c>
      <c r="B267" s="276" t="s">
        <v>10</v>
      </c>
      <c r="C267" s="277" t="s">
        <v>2014</v>
      </c>
      <c r="D267" s="278" t="s">
        <v>437</v>
      </c>
      <c r="E267" s="306">
        <v>44267.0</v>
      </c>
      <c r="F267" s="278" t="s">
        <v>439</v>
      </c>
      <c r="G267" s="171">
        <v>25.0</v>
      </c>
      <c r="H267" s="171">
        <v>1000.0</v>
      </c>
      <c r="I267" s="171">
        <v>400.0</v>
      </c>
      <c r="J267" s="172">
        <f t="shared" si="2"/>
        <v>0.00164266739</v>
      </c>
      <c r="K267" s="269">
        <f t="shared" si="11"/>
        <v>1.697422969</v>
      </c>
      <c r="L267" s="270">
        <f t="shared" si="4"/>
        <v>8.736447588</v>
      </c>
      <c r="M267" s="271" t="str">
        <f t="shared" si="5"/>
        <v>liviade</v>
      </c>
      <c r="N267" s="176">
        <f>IFERROR(__xludf.DUMMYFUNCTION("""COMPUTED_VALUE"""),27.0)</f>
        <v>27</v>
      </c>
      <c r="O267" s="176"/>
      <c r="P267" s="280" t="s">
        <v>490</v>
      </c>
      <c r="Q267" s="276" t="s">
        <v>10</v>
      </c>
      <c r="R267" s="176"/>
      <c r="S267" s="176"/>
      <c r="T267" s="176"/>
      <c r="U267" s="176"/>
      <c r="V267" s="176"/>
      <c r="W267" s="176"/>
      <c r="X267" s="176"/>
      <c r="Y267" s="176"/>
      <c r="Z267" s="176"/>
    </row>
    <row r="268">
      <c r="A268" s="267" t="str">
        <f>iferror(VLOOKUP(P268,'DO NOT TOUCH Imported'!$A$1:$D$800,4,False),iferror(VLOOKUP(P268,'DO NOT TOUCH Imported'!$C$1:$D$800,2,False),"OOPS FIX ME"))</f>
        <v>liviade</v>
      </c>
      <c r="B268" s="276" t="s">
        <v>10</v>
      </c>
      <c r="C268" s="277" t="s">
        <v>1952</v>
      </c>
      <c r="D268" s="278" t="s">
        <v>437</v>
      </c>
      <c r="E268" s="306">
        <v>44267.0</v>
      </c>
      <c r="F268" s="278" t="s">
        <v>439</v>
      </c>
      <c r="G268" s="171">
        <v>25.0</v>
      </c>
      <c r="H268" s="171">
        <v>1000.0</v>
      </c>
      <c r="I268" s="171">
        <v>10.0</v>
      </c>
      <c r="J268" s="172">
        <f t="shared" si="2"/>
        <v>0.0007346939862</v>
      </c>
      <c r="K268" s="269">
        <f t="shared" si="11"/>
        <v>0.7591837857</v>
      </c>
      <c r="L268" s="270">
        <f t="shared" si="4"/>
        <v>8.736447588</v>
      </c>
      <c r="M268" s="271" t="str">
        <f t="shared" si="5"/>
        <v>liviade</v>
      </c>
      <c r="N268" s="176">
        <f>IFERROR(__xludf.DUMMYFUNCTION("""COMPUTED_VALUE"""),28.0)</f>
        <v>28</v>
      </c>
      <c r="O268" s="176"/>
      <c r="P268" s="267" t="s">
        <v>490</v>
      </c>
      <c r="Q268" s="272" t="s">
        <v>10</v>
      </c>
      <c r="R268" s="176"/>
      <c r="S268" s="176"/>
      <c r="T268" s="176"/>
      <c r="U268" s="176"/>
      <c r="V268" s="176"/>
      <c r="W268" s="176"/>
      <c r="X268" s="176"/>
      <c r="Y268" s="176"/>
      <c r="Z268" s="176"/>
    </row>
    <row r="269">
      <c r="A269" s="267" t="str">
        <f>iferror(VLOOKUP(P269,'DO NOT TOUCH Imported'!$A$1:$D$800,4,False),iferror(VLOOKUP(P269,'DO NOT TOUCH Imported'!$C$1:$D$800,2,False),"OOPS FIX ME"))</f>
        <v>liviade</v>
      </c>
      <c r="B269" s="276" t="s">
        <v>1953</v>
      </c>
      <c r="C269" s="277" t="s">
        <v>1954</v>
      </c>
      <c r="D269" s="278" t="s">
        <v>437</v>
      </c>
      <c r="E269" s="306">
        <v>44267.0</v>
      </c>
      <c r="F269" s="278" t="s">
        <v>439</v>
      </c>
      <c r="G269" s="171">
        <v>25.0</v>
      </c>
      <c r="H269" s="171">
        <v>1000.0</v>
      </c>
      <c r="I269" s="171">
        <v>100.0</v>
      </c>
      <c r="J269" s="172">
        <f t="shared" si="2"/>
        <v>0.00094422631</v>
      </c>
      <c r="K269" s="269">
        <f t="shared" si="11"/>
        <v>0.9757005204</v>
      </c>
      <c r="L269" s="270">
        <f t="shared" si="4"/>
        <v>8.736447588</v>
      </c>
      <c r="M269" s="271" t="str">
        <f t="shared" si="5"/>
        <v>liviade</v>
      </c>
      <c r="N269" s="176">
        <f>IFERROR(__xludf.DUMMYFUNCTION("""COMPUTED_VALUE"""),29.0)</f>
        <v>29</v>
      </c>
      <c r="O269" s="176"/>
      <c r="P269" s="280" t="s">
        <v>490</v>
      </c>
      <c r="Q269" s="276" t="s">
        <v>1953</v>
      </c>
      <c r="R269" s="176"/>
      <c r="S269" s="176"/>
      <c r="T269" s="176"/>
      <c r="U269" s="176"/>
      <c r="V269" s="176"/>
      <c r="W269" s="176"/>
      <c r="X269" s="176"/>
      <c r="Y269" s="176"/>
      <c r="Z269" s="176"/>
    </row>
    <row r="270">
      <c r="A270" s="267" t="str">
        <f>iferror(VLOOKUP(P270,'DO NOT TOUCH Imported'!$A$1:$D$800,4,False),iferror(VLOOKUP(P270,'DO NOT TOUCH Imported'!$C$1:$D$800,2,False),"OOPS FIX ME"))</f>
        <v>liviade</v>
      </c>
      <c r="B270" s="257" t="s">
        <v>10</v>
      </c>
      <c r="C270" s="261" t="s">
        <v>498</v>
      </c>
      <c r="D270" s="281" t="s">
        <v>495</v>
      </c>
      <c r="E270" s="252">
        <v>44267.0</v>
      </c>
      <c r="F270" s="258" t="s">
        <v>499</v>
      </c>
      <c r="G270" s="171">
        <v>25.0</v>
      </c>
      <c r="H270" s="171">
        <v>500.0</v>
      </c>
      <c r="I270" s="171">
        <v>100.0</v>
      </c>
      <c r="J270" s="172">
        <f t="shared" si="2"/>
        <v>0.0007906872343</v>
      </c>
      <c r="K270" s="269">
        <f t="shared" si="11"/>
        <v>0.8170434755</v>
      </c>
      <c r="L270" s="270">
        <f t="shared" si="4"/>
        <v>8.736447588</v>
      </c>
      <c r="M270" s="271" t="str">
        <f t="shared" si="5"/>
        <v>liviade</v>
      </c>
      <c r="N270" s="176">
        <f>IFERROR(__xludf.DUMMYFUNCTION("""COMPUTED_VALUE"""),30.0)</f>
        <v>30</v>
      </c>
      <c r="O270" s="176"/>
      <c r="P270" s="257" t="s">
        <v>18</v>
      </c>
      <c r="Q270" s="257" t="s">
        <v>10</v>
      </c>
      <c r="R270" s="176"/>
      <c r="S270" s="176"/>
      <c r="T270" s="176"/>
      <c r="U270" s="176"/>
      <c r="V270" s="176"/>
      <c r="W270" s="176"/>
      <c r="X270" s="176"/>
      <c r="Y270" s="176"/>
      <c r="Z270" s="176"/>
    </row>
    <row r="271">
      <c r="A271" s="267" t="str">
        <f>iferror(VLOOKUP(P271,'DO NOT TOUCH Imported'!$A$1:$D$800,4,False),iferror(VLOOKUP(P271,'DO NOT TOUCH Imported'!$C$1:$D$800,2,False),"OOPS FIX ME"))</f>
        <v>liviade</v>
      </c>
      <c r="B271" s="257" t="s">
        <v>10</v>
      </c>
      <c r="C271" s="261" t="s">
        <v>494</v>
      </c>
      <c r="D271" s="281" t="s">
        <v>495</v>
      </c>
      <c r="E271" s="252">
        <v>44267.0</v>
      </c>
      <c r="F271" s="258" t="s">
        <v>496</v>
      </c>
      <c r="G271" s="171">
        <v>25.0</v>
      </c>
      <c r="H271" s="171">
        <v>500.0</v>
      </c>
      <c r="I271" s="171">
        <v>100.0</v>
      </c>
      <c r="J271" s="172">
        <f t="shared" si="2"/>
        <v>0.0007906872343</v>
      </c>
      <c r="K271" s="269">
        <f t="shared" si="11"/>
        <v>0.8170434755</v>
      </c>
      <c r="L271" s="270">
        <f t="shared" si="4"/>
        <v>8.736447588</v>
      </c>
      <c r="M271" s="271" t="str">
        <f t="shared" si="5"/>
        <v>liviade</v>
      </c>
      <c r="N271" s="176">
        <f>IFERROR(__xludf.DUMMYFUNCTION("""COMPUTED_VALUE"""),31.0)</f>
        <v>31</v>
      </c>
      <c r="O271" s="176"/>
      <c r="P271" s="257" t="s">
        <v>18</v>
      </c>
      <c r="Q271" s="257" t="s">
        <v>10</v>
      </c>
      <c r="R271" s="176"/>
      <c r="S271" s="176"/>
      <c r="T271" s="176"/>
      <c r="U271" s="176"/>
      <c r="V271" s="176"/>
      <c r="W271" s="176"/>
      <c r="X271" s="176"/>
      <c r="Y271" s="176"/>
      <c r="Z271" s="176"/>
    </row>
    <row r="272">
      <c r="A272" s="267" t="str">
        <f>iferror(VLOOKUP(P272,'DO NOT TOUCH Imported'!$A$1:$D$800,4,False),iferror(VLOOKUP(P272,'DO NOT TOUCH Imported'!$C$1:$D$800,2,False),"OOPS FIX ME"))</f>
        <v>liviade</v>
      </c>
      <c r="B272" s="257" t="s">
        <v>10</v>
      </c>
      <c r="C272" s="261" t="s">
        <v>2033</v>
      </c>
      <c r="D272" s="281" t="s">
        <v>495</v>
      </c>
      <c r="E272" s="252">
        <v>44267.0</v>
      </c>
      <c r="F272" s="258" t="s">
        <v>496</v>
      </c>
      <c r="G272" s="171">
        <v>25.0</v>
      </c>
      <c r="H272" s="171">
        <v>500.0</v>
      </c>
      <c r="I272" s="171">
        <v>100.0</v>
      </c>
      <c r="J272" s="172">
        <f t="shared" si="2"/>
        <v>0.0007906872343</v>
      </c>
      <c r="K272" s="269">
        <f t="shared" si="11"/>
        <v>0.8170434755</v>
      </c>
      <c r="L272" s="270">
        <f t="shared" si="4"/>
        <v>8.736447588</v>
      </c>
      <c r="M272" s="271" t="str">
        <f t="shared" si="5"/>
        <v>liviade</v>
      </c>
      <c r="N272" s="176">
        <f>IFERROR(__xludf.DUMMYFUNCTION("""COMPUTED_VALUE"""),32.0)</f>
        <v>32</v>
      </c>
      <c r="O272" s="176"/>
      <c r="P272" s="257" t="s">
        <v>18</v>
      </c>
      <c r="Q272" s="257" t="s">
        <v>10</v>
      </c>
      <c r="R272" s="176"/>
      <c r="S272" s="176"/>
      <c r="T272" s="176"/>
      <c r="U272" s="176"/>
      <c r="V272" s="176"/>
      <c r="W272" s="176"/>
      <c r="X272" s="176"/>
      <c r="Y272" s="176"/>
      <c r="Z272" s="176"/>
    </row>
    <row r="273">
      <c r="A273" s="267" t="str">
        <f>iferror(VLOOKUP(P273,'DO NOT TOUCH Imported'!$A$1:$D$800,4,False),iferror(VLOOKUP(P273,'DO NOT TOUCH Imported'!$C$1:$D$800,2,False),"OOPS FIX ME"))</f>
        <v>liviade</v>
      </c>
      <c r="B273" s="257" t="s">
        <v>867</v>
      </c>
      <c r="C273" s="261" t="s">
        <v>2064</v>
      </c>
      <c r="D273" s="281" t="s">
        <v>495</v>
      </c>
      <c r="E273" s="252">
        <v>44267.0</v>
      </c>
      <c r="F273" s="258" t="s">
        <v>496</v>
      </c>
      <c r="G273" s="171">
        <v>25.0</v>
      </c>
      <c r="H273" s="171">
        <v>2500.0</v>
      </c>
      <c r="I273" s="171">
        <v>200.0</v>
      </c>
      <c r="J273" s="172">
        <f t="shared" si="2"/>
        <v>0.00163765723</v>
      </c>
      <c r="K273" s="269">
        <f t="shared" si="11"/>
        <v>1.692245805</v>
      </c>
      <c r="L273" s="270">
        <f t="shared" si="4"/>
        <v>8.736447588</v>
      </c>
      <c r="M273" s="271" t="str">
        <f t="shared" si="5"/>
        <v>liviade</v>
      </c>
      <c r="N273" s="176">
        <f>IFERROR(__xludf.DUMMYFUNCTION("""COMPUTED_VALUE"""),33.0)</f>
        <v>33</v>
      </c>
      <c r="O273" s="176"/>
      <c r="P273" s="257" t="s">
        <v>18</v>
      </c>
      <c r="Q273" s="257" t="s">
        <v>867</v>
      </c>
      <c r="R273" s="176"/>
      <c r="S273" s="176"/>
      <c r="T273" s="176"/>
      <c r="U273" s="176"/>
      <c r="V273" s="176"/>
      <c r="W273" s="176"/>
      <c r="X273" s="176"/>
      <c r="Y273" s="176"/>
      <c r="Z273" s="176"/>
    </row>
    <row r="274">
      <c r="A274" s="185" t="str">
        <f>iferror(VLOOKUP(P274,'DO NOT TOUCH Imported'!$A$1:$D$800,4,False),iferror(VLOOKUP(P274,'DO NOT TOUCH Imported'!$C$1:$D$800,2,False),"OOPS FIX ME"))</f>
        <v>liviade</v>
      </c>
      <c r="B274" s="284" t="s">
        <v>534</v>
      </c>
      <c r="C274" s="285" t="s">
        <v>741</v>
      </c>
      <c r="D274" s="286"/>
      <c r="E274" s="188"/>
      <c r="F274" s="289"/>
      <c r="G274" s="190"/>
      <c r="H274" s="190"/>
      <c r="I274" s="190"/>
      <c r="J274" s="191">
        <f t="shared" si="2"/>
        <v>0</v>
      </c>
      <c r="K274" s="192">
        <f>58.244*-0.85</f>
        <v>-49.5074</v>
      </c>
      <c r="L274" s="193">
        <f t="shared" si="4"/>
        <v>8.736447588</v>
      </c>
      <c r="M274" s="194" t="str">
        <f t="shared" si="5"/>
        <v>liviade</v>
      </c>
      <c r="N274" s="195">
        <f>IFERROR(__xludf.DUMMYFUNCTION("""COMPUTED_VALUE"""),34.0)</f>
        <v>34</v>
      </c>
      <c r="O274" s="195"/>
      <c r="P274" s="288" t="s">
        <v>18</v>
      </c>
      <c r="Q274" s="284" t="s">
        <v>534</v>
      </c>
      <c r="R274" s="195"/>
      <c r="S274" s="195"/>
      <c r="T274" s="195"/>
      <c r="U274" s="195"/>
      <c r="V274" s="195"/>
      <c r="W274" s="195"/>
      <c r="X274" s="195"/>
      <c r="Y274" s="195"/>
      <c r="Z274" s="195"/>
    </row>
    <row r="275">
      <c r="A275" s="267" t="str">
        <f>iferror(VLOOKUP(P275,'DO NOT TOUCH Imported'!$A$1:$D$800,4,False),iferror(VLOOKUP(P275,'DO NOT TOUCH Imported'!$C$1:$D$800,2,False),"OOPS FIX ME"))</f>
        <v>sgonzt</v>
      </c>
      <c r="B275" s="257" t="s">
        <v>519</v>
      </c>
      <c r="C275" s="261" t="s">
        <v>2000</v>
      </c>
      <c r="D275" s="281" t="s">
        <v>495</v>
      </c>
      <c r="E275" s="252">
        <v>44258.0</v>
      </c>
      <c r="F275" s="258" t="s">
        <v>521</v>
      </c>
      <c r="G275" s="171">
        <v>50.0</v>
      </c>
      <c r="H275" s="171">
        <v>1000.0</v>
      </c>
      <c r="I275" s="171">
        <v>50.0</v>
      </c>
      <c r="J275" s="172">
        <f t="shared" si="2"/>
        <v>0.001232153929</v>
      </c>
      <c r="K275" s="269">
        <f t="shared" ref="K275:K297" si="12">J275*$J$1</f>
        <v>1.273225727</v>
      </c>
      <c r="L275" s="270">
        <f t="shared" si="4"/>
        <v>8.63928421</v>
      </c>
      <c r="M275" s="271" t="str">
        <f t="shared" si="5"/>
        <v>sgonzt</v>
      </c>
      <c r="N275" s="176">
        <f>IFERROR(__xludf.DUMMYFUNCTION("""COMPUTED_VALUE"""),1.0)</f>
        <v>1</v>
      </c>
      <c r="O275" s="176"/>
      <c r="P275" s="257" t="s">
        <v>26</v>
      </c>
      <c r="Q275" s="257" t="s">
        <v>519</v>
      </c>
      <c r="R275" s="176"/>
      <c r="S275" s="176"/>
      <c r="T275" s="176"/>
      <c r="U275" s="176"/>
      <c r="V275" s="176"/>
      <c r="W275" s="176"/>
      <c r="X275" s="176"/>
      <c r="Y275" s="176"/>
      <c r="Z275" s="176"/>
    </row>
    <row r="276">
      <c r="A276" s="267" t="str">
        <f>iferror(VLOOKUP(P276,'DO NOT TOUCH Imported'!$A$1:$D$800,4,False),iferror(VLOOKUP(P276,'DO NOT TOUCH Imported'!$C$1:$D$800,2,False),"OOPS FIX ME"))</f>
        <v>sgonzt</v>
      </c>
      <c r="B276" s="257" t="s">
        <v>10</v>
      </c>
      <c r="C276" s="261" t="s">
        <v>2005</v>
      </c>
      <c r="D276" s="281" t="s">
        <v>495</v>
      </c>
      <c r="E276" s="252">
        <v>44260.0</v>
      </c>
      <c r="F276" s="258" t="s">
        <v>496</v>
      </c>
      <c r="G276" s="171">
        <v>50.0</v>
      </c>
      <c r="H276" s="171">
        <v>500.0</v>
      </c>
      <c r="I276" s="171">
        <v>200.0</v>
      </c>
      <c r="J276" s="172">
        <f t="shared" si="2"/>
        <v>0.001427835393</v>
      </c>
      <c r="K276" s="269">
        <f t="shared" si="12"/>
        <v>1.475429906</v>
      </c>
      <c r="L276" s="270">
        <f t="shared" si="4"/>
        <v>8.63928421</v>
      </c>
      <c r="M276" s="271" t="str">
        <f t="shared" si="5"/>
        <v>sgonzt</v>
      </c>
      <c r="N276" s="176">
        <f>IFERROR(__xludf.DUMMYFUNCTION("""COMPUTED_VALUE"""),2.0)</f>
        <v>2</v>
      </c>
      <c r="O276" s="176"/>
      <c r="P276" s="257" t="s">
        <v>26</v>
      </c>
      <c r="Q276" s="257" t="s">
        <v>10</v>
      </c>
      <c r="R276" s="176"/>
      <c r="S276" s="176"/>
      <c r="T276" s="176"/>
      <c r="U276" s="176"/>
      <c r="V276" s="176"/>
      <c r="W276" s="176"/>
      <c r="X276" s="176"/>
      <c r="Y276" s="176"/>
      <c r="Z276" s="176"/>
    </row>
    <row r="277">
      <c r="A277" s="267" t="str">
        <f>iferror(VLOOKUP(P277,'DO NOT TOUCH Imported'!$A$1:$D$800,4,False),iferror(VLOOKUP(P277,'DO NOT TOUCH Imported'!$C$1:$D$800,2,False),"OOPS FIX ME"))</f>
        <v>sgonzt</v>
      </c>
      <c r="B277" s="257" t="s">
        <v>10</v>
      </c>
      <c r="C277" s="261" t="s">
        <v>498</v>
      </c>
      <c r="D277" s="281" t="s">
        <v>495</v>
      </c>
      <c r="E277" s="252">
        <v>44260.0</v>
      </c>
      <c r="F277" s="258" t="s">
        <v>499</v>
      </c>
      <c r="G277" s="171">
        <v>35.0</v>
      </c>
      <c r="H277" s="171">
        <v>500.0</v>
      </c>
      <c r="I277" s="171">
        <v>40.0</v>
      </c>
      <c r="J277" s="172">
        <f t="shared" si="2"/>
        <v>0.0008127328046</v>
      </c>
      <c r="K277" s="269">
        <f t="shared" si="12"/>
        <v>0.8398238981</v>
      </c>
      <c r="L277" s="270">
        <f t="shared" si="4"/>
        <v>8.63928421</v>
      </c>
      <c r="M277" s="271" t="str">
        <f t="shared" si="5"/>
        <v>sgonzt</v>
      </c>
      <c r="N277" s="176">
        <f>IFERROR(__xludf.DUMMYFUNCTION("""COMPUTED_VALUE"""),3.0)</f>
        <v>3</v>
      </c>
      <c r="O277" s="176"/>
      <c r="P277" s="257" t="s">
        <v>26</v>
      </c>
      <c r="Q277" s="257" t="s">
        <v>10</v>
      </c>
      <c r="R277" s="176"/>
      <c r="S277" s="176"/>
      <c r="T277" s="176"/>
      <c r="U277" s="176"/>
      <c r="V277" s="176"/>
      <c r="W277" s="176"/>
      <c r="X277" s="176"/>
      <c r="Y277" s="176"/>
      <c r="Z277" s="176"/>
    </row>
    <row r="278">
      <c r="A278" s="267" t="str">
        <f>iferror(VLOOKUP(P278,'DO NOT TOUCH Imported'!$A$1:$D$800,4,False),iferror(VLOOKUP(P278,'DO NOT TOUCH Imported'!$C$1:$D$800,2,False),"OOPS FIX ME"))</f>
        <v>sgonzt</v>
      </c>
      <c r="B278" s="257" t="s">
        <v>519</v>
      </c>
      <c r="C278" s="261" t="s">
        <v>668</v>
      </c>
      <c r="D278" s="281" t="s">
        <v>495</v>
      </c>
      <c r="E278" s="252">
        <v>44265.0</v>
      </c>
      <c r="F278" s="258" t="s">
        <v>521</v>
      </c>
      <c r="G278" s="171">
        <v>25.0</v>
      </c>
      <c r="H278" s="171">
        <v>1000.0</v>
      </c>
      <c r="I278" s="171">
        <v>100.0</v>
      </c>
      <c r="J278" s="172">
        <f t="shared" si="2"/>
        <v>0.00094422631</v>
      </c>
      <c r="K278" s="269">
        <f t="shared" si="12"/>
        <v>0.9757005204</v>
      </c>
      <c r="L278" s="270">
        <f t="shared" si="4"/>
        <v>8.63928421</v>
      </c>
      <c r="M278" s="271" t="str">
        <f t="shared" si="5"/>
        <v>sgonzt</v>
      </c>
      <c r="N278" s="176">
        <f>IFERROR(__xludf.DUMMYFUNCTION("""COMPUTED_VALUE"""),4.0)</f>
        <v>4</v>
      </c>
      <c r="O278" s="176"/>
      <c r="P278" s="257" t="s">
        <v>26</v>
      </c>
      <c r="Q278" s="257" t="s">
        <v>519</v>
      </c>
      <c r="R278" s="176"/>
      <c r="S278" s="176"/>
      <c r="T278" s="176"/>
      <c r="U278" s="176"/>
      <c r="V278" s="176"/>
      <c r="W278" s="176"/>
      <c r="X278" s="176"/>
      <c r="Y278" s="176"/>
      <c r="Z278" s="176"/>
    </row>
    <row r="279">
      <c r="A279" s="267" t="str">
        <f>iferror(VLOOKUP(P279,'DO NOT TOUCH Imported'!$A$1:$D$800,4,False),iferror(VLOOKUP(P279,'DO NOT TOUCH Imported'!$C$1:$D$800,2,False),"OOPS FIX ME"))</f>
        <v>sgonzt</v>
      </c>
      <c r="B279" s="276" t="s">
        <v>10</v>
      </c>
      <c r="C279" s="277" t="s">
        <v>2007</v>
      </c>
      <c r="D279" s="278" t="s">
        <v>437</v>
      </c>
      <c r="E279" s="306">
        <v>44267.0</v>
      </c>
      <c r="F279" s="278" t="s">
        <v>439</v>
      </c>
      <c r="G279" s="171">
        <v>50.0</v>
      </c>
      <c r="H279" s="171">
        <v>1000.0</v>
      </c>
      <c r="I279" s="171">
        <v>300.0</v>
      </c>
      <c r="J279" s="172">
        <f t="shared" si="2"/>
        <v>0.001814188162</v>
      </c>
      <c r="K279" s="269">
        <f t="shared" si="12"/>
        <v>1.874661101</v>
      </c>
      <c r="L279" s="270">
        <f t="shared" si="4"/>
        <v>8.63928421</v>
      </c>
      <c r="M279" s="271" t="str">
        <f t="shared" si="5"/>
        <v>sgonzt</v>
      </c>
      <c r="N279" s="176">
        <f>IFERROR(__xludf.DUMMYFUNCTION("""COMPUTED_VALUE"""),5.0)</f>
        <v>5</v>
      </c>
      <c r="O279" s="176"/>
      <c r="P279" s="280" t="s">
        <v>796</v>
      </c>
      <c r="Q279" s="276" t="s">
        <v>10</v>
      </c>
      <c r="R279" s="176"/>
      <c r="S279" s="176"/>
      <c r="T279" s="176"/>
      <c r="U279" s="176"/>
      <c r="V279" s="176"/>
      <c r="W279" s="176"/>
      <c r="X279" s="176"/>
      <c r="Y279" s="176"/>
      <c r="Z279" s="176"/>
    </row>
    <row r="280">
      <c r="A280" s="267" t="str">
        <f>iferror(VLOOKUP(P280,'DO NOT TOUCH Imported'!$A$1:$D$800,4,False),iferror(VLOOKUP(P280,'DO NOT TOUCH Imported'!$C$1:$D$800,2,False),"OOPS FIX ME"))</f>
        <v>sgonzt</v>
      </c>
      <c r="B280" s="276" t="s">
        <v>10</v>
      </c>
      <c r="C280" s="277" t="s">
        <v>2065</v>
      </c>
      <c r="D280" s="278" t="s">
        <v>437</v>
      </c>
      <c r="E280" s="306">
        <v>44267.0</v>
      </c>
      <c r="F280" s="278" t="s">
        <v>439</v>
      </c>
      <c r="G280" s="171">
        <v>35.0</v>
      </c>
      <c r="H280" s="171">
        <v>1000.0</v>
      </c>
      <c r="I280" s="171">
        <v>100.0</v>
      </c>
      <c r="J280" s="172">
        <f t="shared" si="2"/>
        <v>0.001105960096</v>
      </c>
      <c r="K280" s="269">
        <f t="shared" si="12"/>
        <v>1.142825433</v>
      </c>
      <c r="L280" s="270">
        <f t="shared" si="4"/>
        <v>8.63928421</v>
      </c>
      <c r="M280" s="271" t="str">
        <f t="shared" si="5"/>
        <v>sgonzt</v>
      </c>
      <c r="N280" s="176">
        <f>IFERROR(__xludf.DUMMYFUNCTION("""COMPUTED_VALUE"""),6.0)</f>
        <v>6</v>
      </c>
      <c r="O280" s="176"/>
      <c r="P280" s="280" t="s">
        <v>796</v>
      </c>
      <c r="Q280" s="276" t="s">
        <v>10</v>
      </c>
      <c r="R280" s="176"/>
      <c r="S280" s="176"/>
      <c r="T280" s="176"/>
      <c r="U280" s="176"/>
      <c r="V280" s="176"/>
      <c r="W280" s="176"/>
      <c r="X280" s="176"/>
      <c r="Y280" s="176"/>
      <c r="Z280" s="176"/>
    </row>
    <row r="281">
      <c r="A281" s="267" t="str">
        <f>iferror(VLOOKUP(P281,'DO NOT TOUCH Imported'!$A$1:$D$800,4,False),iferror(VLOOKUP(P281,'DO NOT TOUCH Imported'!$C$1:$D$800,2,False),"OOPS FIX ME"))</f>
        <v>sgonzt</v>
      </c>
      <c r="B281" s="257" t="s">
        <v>10</v>
      </c>
      <c r="C281" s="261" t="s">
        <v>2066</v>
      </c>
      <c r="D281" s="281" t="s">
        <v>495</v>
      </c>
      <c r="E281" s="252">
        <v>44267.0</v>
      </c>
      <c r="F281" s="258" t="s">
        <v>496</v>
      </c>
      <c r="G281" s="171">
        <v>25.0</v>
      </c>
      <c r="H281" s="171">
        <v>500.0</v>
      </c>
      <c r="I281" s="171">
        <v>200.0</v>
      </c>
      <c r="J281" s="172">
        <f t="shared" si="2"/>
        <v>0.001023500928</v>
      </c>
      <c r="K281" s="269">
        <f t="shared" si="12"/>
        <v>1.057617625</v>
      </c>
      <c r="L281" s="270">
        <f t="shared" si="4"/>
        <v>8.63928421</v>
      </c>
      <c r="M281" s="271" t="str">
        <f t="shared" si="5"/>
        <v>sgonzt</v>
      </c>
      <c r="N281" s="176">
        <f>IFERROR(__xludf.DUMMYFUNCTION("""COMPUTED_VALUE"""),7.0)</f>
        <v>7</v>
      </c>
      <c r="O281" s="176"/>
      <c r="P281" s="257" t="s">
        <v>26</v>
      </c>
      <c r="Q281" s="257" t="s">
        <v>10</v>
      </c>
      <c r="R281" s="176"/>
      <c r="S281" s="176"/>
      <c r="T281" s="176"/>
      <c r="U281" s="176"/>
      <c r="V281" s="176"/>
      <c r="W281" s="176"/>
      <c r="X281" s="176"/>
      <c r="Y281" s="176"/>
      <c r="Z281" s="176"/>
    </row>
    <row r="282">
      <c r="A282" s="267" t="str">
        <f>iferror(VLOOKUP(P282,'DO NOT TOUCH Imported'!$A$1:$D$800,4,False),iferror(VLOOKUP(P282,'DO NOT TOUCH Imported'!$C$1:$D$800,2,False),"OOPS FIX ME"))</f>
        <v>JuankBell</v>
      </c>
      <c r="B282" s="257" t="s">
        <v>867</v>
      </c>
      <c r="C282" s="261" t="s">
        <v>2067</v>
      </c>
      <c r="D282" s="281" t="s">
        <v>495</v>
      </c>
      <c r="E282" s="252">
        <v>44256.0</v>
      </c>
      <c r="F282" s="258" t="s">
        <v>496</v>
      </c>
      <c r="G282" s="171">
        <v>15.0</v>
      </c>
      <c r="H282" s="171">
        <v>500.0</v>
      </c>
      <c r="I282" s="171">
        <v>20.0</v>
      </c>
      <c r="J282" s="172">
        <f t="shared" si="2"/>
        <v>0.0004427024936</v>
      </c>
      <c r="K282" s="269">
        <f t="shared" si="12"/>
        <v>0.4574592434</v>
      </c>
      <c r="L282" s="270">
        <f t="shared" si="4"/>
        <v>8.349620952</v>
      </c>
      <c r="M282" s="271" t="str">
        <f t="shared" si="5"/>
        <v>JuankBell</v>
      </c>
      <c r="N282" s="176">
        <f>IFERROR(__xludf.DUMMYFUNCTION("""COMPUTED_VALUE"""),1.0)</f>
        <v>1</v>
      </c>
      <c r="O282" s="176"/>
      <c r="P282" s="257" t="s">
        <v>15</v>
      </c>
      <c r="Q282" s="257" t="s">
        <v>867</v>
      </c>
      <c r="R282" s="176"/>
      <c r="S282" s="176"/>
      <c r="T282" s="176"/>
      <c r="U282" s="176"/>
      <c r="V282" s="176"/>
      <c r="W282" s="176"/>
      <c r="X282" s="176"/>
      <c r="Y282" s="176"/>
      <c r="Z282" s="176"/>
    </row>
    <row r="283">
      <c r="A283" s="267" t="str">
        <f>iferror(VLOOKUP(P283,'DO NOT TOUCH Imported'!$A$1:$D$800,4,False),iferror(VLOOKUP(P283,'DO NOT TOUCH Imported'!$C$1:$D$800,2,False),"OOPS FIX ME"))</f>
        <v>JuankBell</v>
      </c>
      <c r="B283" s="276" t="s">
        <v>10</v>
      </c>
      <c r="C283" s="277" t="s">
        <v>2068</v>
      </c>
      <c r="D283" s="278" t="s">
        <v>437</v>
      </c>
      <c r="E283" s="275">
        <v>44257.0</v>
      </c>
      <c r="F283" s="278" t="s">
        <v>1929</v>
      </c>
      <c r="G283" s="171">
        <v>25.0</v>
      </c>
      <c r="H283" s="171">
        <v>1500.0</v>
      </c>
      <c r="I283" s="171">
        <v>100.0</v>
      </c>
      <c r="J283" s="172">
        <f t="shared" si="2"/>
        <v>0.001097765386</v>
      </c>
      <c r="K283" s="269">
        <f t="shared" si="12"/>
        <v>1.134357565</v>
      </c>
      <c r="L283" s="270">
        <f t="shared" si="4"/>
        <v>8.349620952</v>
      </c>
      <c r="M283" s="271" t="str">
        <f t="shared" si="5"/>
        <v>JuankBell</v>
      </c>
      <c r="N283" s="176">
        <f>IFERROR(__xludf.DUMMYFUNCTION("""COMPUTED_VALUE"""),2.0)</f>
        <v>2</v>
      </c>
      <c r="O283" s="176"/>
      <c r="P283" s="276" t="s">
        <v>443</v>
      </c>
      <c r="Q283" s="276" t="s">
        <v>10</v>
      </c>
      <c r="R283" s="176"/>
      <c r="S283" s="176"/>
      <c r="T283" s="176"/>
      <c r="U283" s="176"/>
      <c r="V283" s="176"/>
      <c r="W283" s="176"/>
      <c r="X283" s="176"/>
      <c r="Y283" s="176"/>
      <c r="Z283" s="176"/>
    </row>
    <row r="284">
      <c r="A284" s="267" t="str">
        <f>iferror(VLOOKUP(P284,'DO NOT TOUCH Imported'!$A$1:$D$800,4,False),iferror(VLOOKUP(P284,'DO NOT TOUCH Imported'!$C$1:$D$800,2,False),"OOPS FIX ME"))</f>
        <v>JuankBell</v>
      </c>
      <c r="B284" s="276" t="s">
        <v>43</v>
      </c>
      <c r="C284" s="277" t="s">
        <v>2069</v>
      </c>
      <c r="D284" s="278" t="s">
        <v>437</v>
      </c>
      <c r="E284" s="275">
        <v>44257.0</v>
      </c>
      <c r="F284" s="278" t="s">
        <v>1929</v>
      </c>
      <c r="G284" s="171">
        <v>50.0</v>
      </c>
      <c r="H284" s="171">
        <v>25000.0</v>
      </c>
      <c r="I284" s="171">
        <v>200.0</v>
      </c>
      <c r="J284" s="172">
        <f t="shared" si="2"/>
        <v>0.008951250102</v>
      </c>
      <c r="K284" s="269">
        <f t="shared" si="12"/>
        <v>9.249625105</v>
      </c>
      <c r="L284" s="270">
        <f t="shared" si="4"/>
        <v>8.349620952</v>
      </c>
      <c r="M284" s="271" t="str">
        <f t="shared" si="5"/>
        <v>JuankBell</v>
      </c>
      <c r="N284" s="176">
        <f>IFERROR(__xludf.DUMMYFUNCTION("""COMPUTED_VALUE"""),3.0)</f>
        <v>3</v>
      </c>
      <c r="O284" s="176"/>
      <c r="P284" s="276" t="s">
        <v>443</v>
      </c>
      <c r="Q284" s="276" t="s">
        <v>43</v>
      </c>
      <c r="R284" s="176"/>
      <c r="S284" s="176"/>
      <c r="T284" s="176"/>
      <c r="U284" s="176"/>
      <c r="V284" s="176"/>
      <c r="W284" s="176"/>
      <c r="X284" s="176"/>
      <c r="Y284" s="176"/>
      <c r="Z284" s="176"/>
    </row>
    <row r="285">
      <c r="A285" s="267" t="str">
        <f>iferror(VLOOKUP(P285,'DO NOT TOUCH Imported'!$A$1:$D$800,4,False),iferror(VLOOKUP(P285,'DO NOT TOUCH Imported'!$C$1:$D$800,2,False),"OOPS FIX ME"))</f>
        <v>JuankBell</v>
      </c>
      <c r="B285" s="257" t="s">
        <v>18</v>
      </c>
      <c r="C285" s="261" t="s">
        <v>1930</v>
      </c>
      <c r="D285" s="281" t="s">
        <v>495</v>
      </c>
      <c r="E285" s="252">
        <v>44257.0</v>
      </c>
      <c r="F285" s="258" t="s">
        <v>496</v>
      </c>
      <c r="G285" s="171">
        <v>25.0</v>
      </c>
      <c r="H285" s="171">
        <v>1000.0</v>
      </c>
      <c r="I285" s="171">
        <v>10.0</v>
      </c>
      <c r="J285" s="172">
        <f t="shared" si="2"/>
        <v>0.0007346939862</v>
      </c>
      <c r="K285" s="269">
        <f t="shared" si="12"/>
        <v>0.7591837857</v>
      </c>
      <c r="L285" s="270">
        <f t="shared" si="4"/>
        <v>8.349620952</v>
      </c>
      <c r="M285" s="271" t="str">
        <f t="shared" si="5"/>
        <v>JuankBell</v>
      </c>
      <c r="N285" s="176">
        <f>IFERROR(__xludf.DUMMYFUNCTION("""COMPUTED_VALUE"""),4.0)</f>
        <v>4</v>
      </c>
      <c r="O285" s="176"/>
      <c r="P285" s="257" t="s">
        <v>15</v>
      </c>
      <c r="Q285" s="257" t="s">
        <v>18</v>
      </c>
      <c r="R285" s="176"/>
      <c r="S285" s="176"/>
      <c r="T285" s="176"/>
      <c r="U285" s="176"/>
      <c r="V285" s="176"/>
      <c r="W285" s="176"/>
      <c r="X285" s="176"/>
      <c r="Y285" s="176"/>
      <c r="Z285" s="176"/>
    </row>
    <row r="286">
      <c r="A286" s="267" t="str">
        <f>iferror(VLOOKUP(P286,'DO NOT TOUCH Imported'!$A$1:$D$800,4,False),iferror(VLOOKUP(P286,'DO NOT TOUCH Imported'!$C$1:$D$800,2,False),"OOPS FIX ME"))</f>
        <v>JuankBell</v>
      </c>
      <c r="B286" s="276" t="s">
        <v>10</v>
      </c>
      <c r="C286" s="277" t="s">
        <v>1938</v>
      </c>
      <c r="D286" s="278" t="s">
        <v>437</v>
      </c>
      <c r="E286" s="275">
        <v>44260.0</v>
      </c>
      <c r="F286" s="278" t="s">
        <v>1929</v>
      </c>
      <c r="G286" s="171">
        <v>35.0</v>
      </c>
      <c r="H286" s="171">
        <v>2000.0</v>
      </c>
      <c r="I286" s="171">
        <v>200.0</v>
      </c>
      <c r="J286" s="172">
        <f t="shared" si="2"/>
        <v>0.001645851941</v>
      </c>
      <c r="K286" s="269">
        <f t="shared" si="12"/>
        <v>1.700713672</v>
      </c>
      <c r="L286" s="270">
        <f t="shared" si="4"/>
        <v>8.349620952</v>
      </c>
      <c r="M286" s="271" t="str">
        <f t="shared" si="5"/>
        <v>JuankBell</v>
      </c>
      <c r="N286" s="176">
        <f>IFERROR(__xludf.DUMMYFUNCTION("""COMPUTED_VALUE"""),5.0)</f>
        <v>5</v>
      </c>
      <c r="O286" s="176"/>
      <c r="P286" s="280" t="s">
        <v>443</v>
      </c>
      <c r="Q286" s="276" t="s">
        <v>10</v>
      </c>
      <c r="R286" s="176"/>
      <c r="S286" s="176"/>
      <c r="T286" s="176"/>
      <c r="U286" s="176"/>
      <c r="V286" s="176"/>
      <c r="W286" s="176"/>
      <c r="X286" s="176"/>
      <c r="Y286" s="176"/>
      <c r="Z286" s="176"/>
    </row>
    <row r="287">
      <c r="A287" s="267" t="str">
        <f>iferror(VLOOKUP(P287,'DO NOT TOUCH Imported'!$A$1:$D$800,4,False),iferror(VLOOKUP(P287,'DO NOT TOUCH Imported'!$C$1:$D$800,2,False),"OOPS FIX ME"))</f>
        <v>JuankBell</v>
      </c>
      <c r="B287" s="276" t="s">
        <v>10</v>
      </c>
      <c r="C287" s="277" t="s">
        <v>2053</v>
      </c>
      <c r="D287" s="278" t="s">
        <v>437</v>
      </c>
      <c r="E287" s="275">
        <v>44260.0</v>
      </c>
      <c r="F287" s="278" t="s">
        <v>1929</v>
      </c>
      <c r="G287" s="171">
        <v>35.0</v>
      </c>
      <c r="H287" s="171">
        <v>1000.0</v>
      </c>
      <c r="I287" s="171">
        <v>300.0</v>
      </c>
      <c r="J287" s="172">
        <f t="shared" si="2"/>
        <v>0.001571587483</v>
      </c>
      <c r="K287" s="269">
        <f t="shared" si="12"/>
        <v>1.623973732</v>
      </c>
      <c r="L287" s="270">
        <f t="shared" si="4"/>
        <v>8.349620952</v>
      </c>
      <c r="M287" s="271" t="str">
        <f t="shared" si="5"/>
        <v>JuankBell</v>
      </c>
      <c r="N287" s="176">
        <f>IFERROR(__xludf.DUMMYFUNCTION("""COMPUTED_VALUE"""),6.0)</f>
        <v>6</v>
      </c>
      <c r="O287" s="176"/>
      <c r="P287" s="267" t="s">
        <v>443</v>
      </c>
      <c r="Q287" s="272" t="s">
        <v>10</v>
      </c>
      <c r="R287" s="176"/>
      <c r="S287" s="176"/>
      <c r="T287" s="176"/>
      <c r="U287" s="176"/>
      <c r="V287" s="176"/>
      <c r="W287" s="176"/>
      <c r="X287" s="176"/>
      <c r="Y287" s="176"/>
      <c r="Z287" s="176"/>
    </row>
    <row r="288">
      <c r="A288" s="267" t="str">
        <f>iferror(VLOOKUP(P288,'DO NOT TOUCH Imported'!$A$1:$D$800,4,False),iferror(VLOOKUP(P288,'DO NOT TOUCH Imported'!$C$1:$D$800,2,False),"OOPS FIX ME"))</f>
        <v>JuankBell</v>
      </c>
      <c r="B288" s="276" t="s">
        <v>10</v>
      </c>
      <c r="C288" s="277" t="s">
        <v>2070</v>
      </c>
      <c r="D288" s="278" t="s">
        <v>437</v>
      </c>
      <c r="E288" s="275">
        <v>44260.0</v>
      </c>
      <c r="F288" s="278" t="s">
        <v>1929</v>
      </c>
      <c r="G288" s="171">
        <v>25.0</v>
      </c>
      <c r="H288" s="171">
        <v>1000.0</v>
      </c>
      <c r="I288" s="171">
        <v>1000.0</v>
      </c>
      <c r="J288" s="172">
        <f t="shared" si="2"/>
        <v>0.003039549549</v>
      </c>
      <c r="K288" s="269">
        <f t="shared" si="12"/>
        <v>3.140867867</v>
      </c>
      <c r="L288" s="270">
        <f t="shared" si="4"/>
        <v>8.349620952</v>
      </c>
      <c r="M288" s="271" t="str">
        <f t="shared" si="5"/>
        <v>JuankBell</v>
      </c>
      <c r="N288" s="176">
        <f>IFERROR(__xludf.DUMMYFUNCTION("""COMPUTED_VALUE"""),7.0)</f>
        <v>7</v>
      </c>
      <c r="O288" s="176"/>
      <c r="P288" s="280" t="s">
        <v>443</v>
      </c>
      <c r="Q288" s="276" t="s">
        <v>10</v>
      </c>
      <c r="R288" s="176"/>
      <c r="S288" s="176"/>
      <c r="T288" s="176"/>
      <c r="U288" s="176"/>
      <c r="V288" s="176"/>
      <c r="W288" s="176"/>
      <c r="X288" s="176"/>
      <c r="Y288" s="176"/>
      <c r="Z288" s="176"/>
    </row>
    <row r="289">
      <c r="A289" s="267" t="str">
        <f>iferror(VLOOKUP(P289,'DO NOT TOUCH Imported'!$A$1:$D$800,4,False),iferror(VLOOKUP(P289,'DO NOT TOUCH Imported'!$C$1:$D$800,2,False),"OOPS FIX ME"))</f>
        <v>JuankBell</v>
      </c>
      <c r="B289" s="276" t="s">
        <v>10</v>
      </c>
      <c r="C289" s="277" t="s">
        <v>1941</v>
      </c>
      <c r="D289" s="278" t="s">
        <v>437</v>
      </c>
      <c r="E289" s="275">
        <v>44260.0</v>
      </c>
      <c r="F289" s="278" t="s">
        <v>1929</v>
      </c>
      <c r="G289" s="171">
        <v>15.0</v>
      </c>
      <c r="H289" s="171">
        <v>1000.0</v>
      </c>
      <c r="I289" s="171">
        <v>20.0</v>
      </c>
      <c r="J289" s="172">
        <f t="shared" si="2"/>
        <v>0.0005962415693</v>
      </c>
      <c r="K289" s="269">
        <f t="shared" si="12"/>
        <v>0.6161162883</v>
      </c>
      <c r="L289" s="270">
        <f t="shared" si="4"/>
        <v>8.349620952</v>
      </c>
      <c r="M289" s="271" t="str">
        <f t="shared" si="5"/>
        <v>JuankBell</v>
      </c>
      <c r="N289" s="176">
        <f>IFERROR(__xludf.DUMMYFUNCTION("""COMPUTED_VALUE"""),8.0)</f>
        <v>8</v>
      </c>
      <c r="O289" s="176"/>
      <c r="P289" s="280" t="s">
        <v>443</v>
      </c>
      <c r="Q289" s="276" t="s">
        <v>10</v>
      </c>
      <c r="R289" s="176"/>
      <c r="S289" s="176"/>
      <c r="T289" s="176"/>
      <c r="U289" s="176"/>
      <c r="V289" s="176"/>
      <c r="W289" s="176"/>
      <c r="X289" s="176"/>
      <c r="Y289" s="176"/>
      <c r="Z289" s="176"/>
    </row>
    <row r="290">
      <c r="A290" s="267" t="str">
        <f>iferror(VLOOKUP(P290,'DO NOT TOUCH Imported'!$A$1:$D$800,4,False),iferror(VLOOKUP(P290,'DO NOT TOUCH Imported'!$C$1:$D$800,2,False),"OOPS FIX ME"))</f>
        <v>JuankBell</v>
      </c>
      <c r="B290" s="257" t="s">
        <v>10</v>
      </c>
      <c r="C290" s="261" t="s">
        <v>500</v>
      </c>
      <c r="D290" s="281" t="s">
        <v>495</v>
      </c>
      <c r="E290" s="252">
        <v>44260.0</v>
      </c>
      <c r="F290" s="258" t="s">
        <v>496</v>
      </c>
      <c r="G290" s="171">
        <v>35.0</v>
      </c>
      <c r="H290" s="171">
        <v>500.0</v>
      </c>
      <c r="I290" s="171">
        <v>40.0</v>
      </c>
      <c r="J290" s="172">
        <f t="shared" si="2"/>
        <v>0.0008127328046</v>
      </c>
      <c r="K290" s="269">
        <f t="shared" si="12"/>
        <v>0.8398238981</v>
      </c>
      <c r="L290" s="270">
        <f t="shared" si="4"/>
        <v>8.349620952</v>
      </c>
      <c r="M290" s="271" t="str">
        <f t="shared" si="5"/>
        <v>JuankBell</v>
      </c>
      <c r="N290" s="176">
        <f>IFERROR(__xludf.DUMMYFUNCTION("""COMPUTED_VALUE"""),9.0)</f>
        <v>9</v>
      </c>
      <c r="O290" s="176"/>
      <c r="P290" s="257" t="s">
        <v>15</v>
      </c>
      <c r="Q290" s="257" t="s">
        <v>10</v>
      </c>
      <c r="R290" s="176"/>
      <c r="S290" s="176"/>
      <c r="T290" s="176"/>
      <c r="U290" s="176"/>
      <c r="V290" s="176"/>
      <c r="W290" s="176"/>
      <c r="X290" s="176"/>
      <c r="Y290" s="176"/>
      <c r="Z290" s="176"/>
    </row>
    <row r="291">
      <c r="A291" s="267" t="str">
        <f>iferror(VLOOKUP(P291,'DO NOT TOUCH Imported'!$A$1:$D$800,4,False),iferror(VLOOKUP(P291,'DO NOT TOUCH Imported'!$C$1:$D$800,2,False),"OOPS FIX ME"))</f>
        <v>JuankBell</v>
      </c>
      <c r="B291" s="276" t="s">
        <v>10</v>
      </c>
      <c r="C291" s="277" t="s">
        <v>1942</v>
      </c>
      <c r="D291" s="278" t="s">
        <v>437</v>
      </c>
      <c r="E291" s="275">
        <v>44262.0</v>
      </c>
      <c r="F291" s="278" t="s">
        <v>1929</v>
      </c>
      <c r="G291" s="171">
        <v>25.0</v>
      </c>
      <c r="H291" s="171">
        <v>1000.0</v>
      </c>
      <c r="I291" s="171">
        <v>40.0</v>
      </c>
      <c r="J291" s="172">
        <f t="shared" si="2"/>
        <v>0.0008045380941</v>
      </c>
      <c r="K291" s="269">
        <f t="shared" si="12"/>
        <v>0.8313560306</v>
      </c>
      <c r="L291" s="270">
        <f t="shared" si="4"/>
        <v>8.349620952</v>
      </c>
      <c r="M291" s="271" t="str">
        <f t="shared" si="5"/>
        <v>JuankBell</v>
      </c>
      <c r="N291" s="176">
        <f>IFERROR(__xludf.DUMMYFUNCTION("""COMPUTED_VALUE"""),10.0)</f>
        <v>10</v>
      </c>
      <c r="O291" s="176"/>
      <c r="P291" s="280" t="s">
        <v>443</v>
      </c>
      <c r="Q291" s="276" t="s">
        <v>10</v>
      </c>
      <c r="R291" s="176"/>
      <c r="S291" s="176"/>
      <c r="T291" s="176"/>
      <c r="U291" s="176"/>
      <c r="V291" s="176"/>
      <c r="W291" s="176"/>
      <c r="X291" s="176"/>
      <c r="Y291" s="176"/>
      <c r="Z291" s="176"/>
    </row>
    <row r="292">
      <c r="A292" s="267" t="str">
        <f>iferror(VLOOKUP(P292,'DO NOT TOUCH Imported'!$A$1:$D$800,4,False),iferror(VLOOKUP(P292,'DO NOT TOUCH Imported'!$C$1:$D$800,2,False),"OOPS FIX ME"))</f>
        <v>JuankBell</v>
      </c>
      <c r="B292" s="276" t="s">
        <v>1702</v>
      </c>
      <c r="C292" s="277" t="s">
        <v>1944</v>
      </c>
      <c r="D292" s="278" t="s">
        <v>499</v>
      </c>
      <c r="E292" s="275">
        <v>44263.0</v>
      </c>
      <c r="F292" s="278" t="s">
        <v>1646</v>
      </c>
      <c r="G292" s="171">
        <v>25.0</v>
      </c>
      <c r="H292" s="171">
        <v>1000.0</v>
      </c>
      <c r="I292" s="171">
        <v>1000.0</v>
      </c>
      <c r="J292" s="172">
        <f t="shared" si="2"/>
        <v>0.003039549549</v>
      </c>
      <c r="K292" s="269">
        <f t="shared" si="12"/>
        <v>3.140867867</v>
      </c>
      <c r="L292" s="270">
        <f t="shared" si="4"/>
        <v>8.349620952</v>
      </c>
      <c r="M292" s="271" t="str">
        <f t="shared" si="5"/>
        <v>JuankBell</v>
      </c>
      <c r="N292" s="176">
        <f>IFERROR(__xludf.DUMMYFUNCTION("""COMPUTED_VALUE"""),11.0)</f>
        <v>11</v>
      </c>
      <c r="O292" s="176"/>
      <c r="P292" s="280" t="s">
        <v>443</v>
      </c>
      <c r="Q292" s="276" t="s">
        <v>1702</v>
      </c>
      <c r="R292" s="176"/>
      <c r="S292" s="176"/>
      <c r="T292" s="176"/>
      <c r="U292" s="176"/>
      <c r="V292" s="176"/>
      <c r="W292" s="176"/>
      <c r="X292" s="176"/>
      <c r="Y292" s="176"/>
      <c r="Z292" s="176"/>
    </row>
    <row r="293">
      <c r="A293" s="267" t="str">
        <f>iferror(VLOOKUP(P293,'DO NOT TOUCH Imported'!$A$1:$D$800,4,False),iferror(VLOOKUP(P293,'DO NOT TOUCH Imported'!$C$1:$D$800,2,False),"OOPS FIX ME"))</f>
        <v>JuankBell</v>
      </c>
      <c r="B293" s="276" t="s">
        <v>10</v>
      </c>
      <c r="C293" s="277" t="s">
        <v>2071</v>
      </c>
      <c r="D293" s="278" t="s">
        <v>437</v>
      </c>
      <c r="E293" s="275">
        <v>44264.0</v>
      </c>
      <c r="F293" s="278" t="s">
        <v>1929</v>
      </c>
      <c r="G293" s="171">
        <v>25.0</v>
      </c>
      <c r="H293" s="171">
        <v>1000.0</v>
      </c>
      <c r="I293" s="171">
        <v>200.0</v>
      </c>
      <c r="J293" s="172">
        <f t="shared" si="2"/>
        <v>0.001177040003</v>
      </c>
      <c r="K293" s="269">
        <f t="shared" si="12"/>
        <v>1.21627467</v>
      </c>
      <c r="L293" s="270">
        <f t="shared" si="4"/>
        <v>8.349620952</v>
      </c>
      <c r="M293" s="271" t="str">
        <f t="shared" si="5"/>
        <v>JuankBell</v>
      </c>
      <c r="N293" s="176">
        <f>IFERROR(__xludf.DUMMYFUNCTION("""COMPUTED_VALUE"""),12.0)</f>
        <v>12</v>
      </c>
      <c r="O293" s="176"/>
      <c r="P293" s="280" t="s">
        <v>443</v>
      </c>
      <c r="Q293" s="276" t="s">
        <v>10</v>
      </c>
      <c r="R293" s="176"/>
      <c r="S293" s="176"/>
      <c r="T293" s="176"/>
      <c r="U293" s="176"/>
      <c r="V293" s="176"/>
      <c r="W293" s="176"/>
      <c r="X293" s="176"/>
      <c r="Y293" s="176"/>
      <c r="Z293" s="176"/>
    </row>
    <row r="294">
      <c r="A294" s="267" t="str">
        <f>iferror(VLOOKUP(P294,'DO NOT TOUCH Imported'!$A$1:$D$800,4,False),iferror(VLOOKUP(P294,'DO NOT TOUCH Imported'!$C$1:$D$800,2,False),"OOPS FIX ME"))</f>
        <v>JuankBell</v>
      </c>
      <c r="B294" s="276" t="s">
        <v>1702</v>
      </c>
      <c r="C294" s="277" t="s">
        <v>2072</v>
      </c>
      <c r="D294" s="278" t="s">
        <v>437</v>
      </c>
      <c r="E294" s="275">
        <v>44264.0</v>
      </c>
      <c r="F294" s="278" t="s">
        <v>960</v>
      </c>
      <c r="G294" s="171">
        <v>25.0</v>
      </c>
      <c r="H294" s="171">
        <v>1000.0</v>
      </c>
      <c r="I294" s="171">
        <v>300.0</v>
      </c>
      <c r="J294" s="172">
        <f t="shared" si="2"/>
        <v>0.001409853696</v>
      </c>
      <c r="K294" s="269">
        <f t="shared" si="12"/>
        <v>1.45684882</v>
      </c>
      <c r="L294" s="270">
        <f t="shared" si="4"/>
        <v>8.349620952</v>
      </c>
      <c r="M294" s="271" t="str">
        <f t="shared" si="5"/>
        <v>JuankBell</v>
      </c>
      <c r="N294" s="176">
        <f>IFERROR(__xludf.DUMMYFUNCTION("""COMPUTED_VALUE"""),13.0)</f>
        <v>13</v>
      </c>
      <c r="O294" s="176"/>
      <c r="P294" s="280" t="s">
        <v>443</v>
      </c>
      <c r="Q294" s="276" t="s">
        <v>1702</v>
      </c>
      <c r="R294" s="176"/>
      <c r="S294" s="176"/>
      <c r="T294" s="176"/>
      <c r="U294" s="176"/>
      <c r="V294" s="176"/>
      <c r="W294" s="176"/>
      <c r="X294" s="176"/>
      <c r="Y294" s="176"/>
      <c r="Z294" s="176"/>
    </row>
    <row r="295">
      <c r="A295" s="267" t="str">
        <f>iferror(VLOOKUP(P295,'DO NOT TOUCH Imported'!$A$1:$D$800,4,False),iferror(VLOOKUP(P295,'DO NOT TOUCH Imported'!$C$1:$D$800,2,False),"OOPS FIX ME"))</f>
        <v>JuankBell</v>
      </c>
      <c r="B295" s="257" t="s">
        <v>590</v>
      </c>
      <c r="C295" s="261" t="s">
        <v>1945</v>
      </c>
      <c r="D295" s="281" t="s">
        <v>495</v>
      </c>
      <c r="E295" s="252">
        <v>44264.0</v>
      </c>
      <c r="F295" s="258" t="s">
        <v>496</v>
      </c>
      <c r="G295" s="171">
        <v>25.0</v>
      </c>
      <c r="H295" s="171">
        <v>1000.0</v>
      </c>
      <c r="I295" s="171">
        <v>50.0</v>
      </c>
      <c r="J295" s="172">
        <f t="shared" si="2"/>
        <v>0.0008278194634</v>
      </c>
      <c r="K295" s="269">
        <f t="shared" si="12"/>
        <v>0.8554134456</v>
      </c>
      <c r="L295" s="270">
        <f t="shared" si="4"/>
        <v>8.349620952</v>
      </c>
      <c r="M295" s="271" t="str">
        <f t="shared" si="5"/>
        <v>JuankBell</v>
      </c>
      <c r="N295" s="176">
        <f>IFERROR(__xludf.DUMMYFUNCTION("""COMPUTED_VALUE"""),14.0)</f>
        <v>14</v>
      </c>
      <c r="O295" s="176"/>
      <c r="P295" s="257" t="s">
        <v>15</v>
      </c>
      <c r="Q295" s="257" t="s">
        <v>590</v>
      </c>
      <c r="R295" s="176"/>
      <c r="S295" s="176"/>
      <c r="T295" s="176"/>
      <c r="U295" s="176"/>
      <c r="V295" s="176"/>
      <c r="W295" s="176"/>
      <c r="X295" s="176"/>
      <c r="Y295" s="176"/>
      <c r="Z295" s="176"/>
    </row>
    <row r="296">
      <c r="A296" s="267" t="str">
        <f>iferror(VLOOKUP(P296,'DO NOT TOUCH Imported'!$A$1:$D$800,4,False),iferror(VLOOKUP(P296,'DO NOT TOUCH Imported'!$C$1:$D$800,2,False),"OOPS FIX ME"))</f>
        <v>JuankBell</v>
      </c>
      <c r="B296" s="276" t="s">
        <v>1933</v>
      </c>
      <c r="C296" s="277" t="s">
        <v>1949</v>
      </c>
      <c r="D296" s="278" t="s">
        <v>437</v>
      </c>
      <c r="E296" s="307">
        <v>44266.0</v>
      </c>
      <c r="F296" s="278" t="s">
        <v>439</v>
      </c>
      <c r="G296" s="171">
        <v>25.0</v>
      </c>
      <c r="H296" s="171">
        <v>2000.0</v>
      </c>
      <c r="I296" s="171">
        <v>300.0</v>
      </c>
      <c r="J296" s="172">
        <f t="shared" si="2"/>
        <v>0.001716931848</v>
      </c>
      <c r="K296" s="269">
        <f t="shared" si="12"/>
        <v>1.774162909</v>
      </c>
      <c r="L296" s="270">
        <f t="shared" si="4"/>
        <v>8.349620952</v>
      </c>
      <c r="M296" s="271" t="str">
        <f t="shared" si="5"/>
        <v>JuankBell</v>
      </c>
      <c r="N296" s="176">
        <f>IFERROR(__xludf.DUMMYFUNCTION("""COMPUTED_VALUE"""),15.0)</f>
        <v>15</v>
      </c>
      <c r="O296" s="176"/>
      <c r="P296" s="280" t="s">
        <v>443</v>
      </c>
      <c r="Q296" s="276" t="s">
        <v>1933</v>
      </c>
      <c r="R296" s="176"/>
      <c r="S296" s="176"/>
      <c r="T296" s="176"/>
      <c r="U296" s="176"/>
      <c r="V296" s="176"/>
      <c r="W296" s="176"/>
      <c r="X296" s="176"/>
      <c r="Y296" s="176"/>
      <c r="Z296" s="176"/>
    </row>
    <row r="297">
      <c r="A297" s="267" t="str">
        <f>iferror(VLOOKUP(P297,'DO NOT TOUCH Imported'!$A$1:$D$800,4,False),iferror(VLOOKUP(P297,'DO NOT TOUCH Imported'!$C$1:$D$800,2,False),"OOPS FIX ME"))</f>
        <v>JuankBell</v>
      </c>
      <c r="B297" s="257" t="s">
        <v>18</v>
      </c>
      <c r="C297" s="261" t="s">
        <v>2073</v>
      </c>
      <c r="D297" s="281" t="s">
        <v>495</v>
      </c>
      <c r="E297" s="252">
        <v>44266.0</v>
      </c>
      <c r="F297" s="258" t="s">
        <v>496</v>
      </c>
      <c r="G297" s="171">
        <v>25.0</v>
      </c>
      <c r="H297" s="171">
        <v>50000.0</v>
      </c>
      <c r="I297" s="171">
        <v>2000.0</v>
      </c>
      <c r="J297" s="172">
        <f t="shared" si="2"/>
        <v>0.0204145159</v>
      </c>
      <c r="K297" s="269">
        <f t="shared" si="12"/>
        <v>21.09499976</v>
      </c>
      <c r="L297" s="270">
        <f t="shared" si="4"/>
        <v>8.349620952</v>
      </c>
      <c r="M297" s="271" t="str">
        <f t="shared" si="5"/>
        <v>JuankBell</v>
      </c>
      <c r="N297" s="176">
        <f>IFERROR(__xludf.DUMMYFUNCTION("""COMPUTED_VALUE"""),16.0)</f>
        <v>16</v>
      </c>
      <c r="O297" s="176"/>
      <c r="P297" s="257" t="s">
        <v>15</v>
      </c>
      <c r="Q297" s="257" t="s">
        <v>18</v>
      </c>
      <c r="R297" s="176"/>
      <c r="S297" s="176"/>
      <c r="T297" s="176"/>
      <c r="U297" s="176"/>
      <c r="V297" s="176"/>
      <c r="W297" s="176"/>
      <c r="X297" s="176"/>
      <c r="Y297" s="176"/>
      <c r="Z297" s="176"/>
    </row>
    <row r="298">
      <c r="A298" s="267" t="str">
        <f>iferror(VLOOKUP(P298,'DO NOT TOUCH Imported'!$A$1:$D$800,4,False),iferror(VLOOKUP(P298,'DO NOT TOUCH Imported'!$C$1:$D$800,2,False),"OOPS FIX ME"))</f>
        <v>JuankBell</v>
      </c>
      <c r="B298" s="294" t="s">
        <v>590</v>
      </c>
      <c r="C298" s="308" t="s">
        <v>2074</v>
      </c>
      <c r="D298" s="309" t="s">
        <v>495</v>
      </c>
      <c r="E298" s="310">
        <v>44266.0</v>
      </c>
      <c r="F298" s="311" t="s">
        <v>496</v>
      </c>
      <c r="G298" s="222"/>
      <c r="H298" s="312"/>
      <c r="I298" s="312"/>
      <c r="J298" s="298">
        <f t="shared" si="2"/>
        <v>0</v>
      </c>
      <c r="K298" s="299"/>
      <c r="L298" s="300">
        <f t="shared" si="4"/>
        <v>8.349620952</v>
      </c>
      <c r="M298" s="301" t="str">
        <f t="shared" si="5"/>
        <v>JuankBell</v>
      </c>
      <c r="N298" s="209">
        <f>IFERROR(__xludf.DUMMYFUNCTION("""COMPUTED_VALUE"""),17.0)</f>
        <v>17</v>
      </c>
      <c r="O298" s="209"/>
      <c r="P298" s="294" t="s">
        <v>15</v>
      </c>
      <c r="Q298" s="294" t="s">
        <v>590</v>
      </c>
      <c r="R298" s="209"/>
      <c r="S298" s="209"/>
      <c r="T298" s="209"/>
      <c r="U298" s="209"/>
      <c r="V298" s="209"/>
      <c r="W298" s="209"/>
      <c r="X298" s="209"/>
      <c r="Y298" s="209"/>
      <c r="Z298" s="209"/>
    </row>
    <row r="299">
      <c r="A299" s="267" t="str">
        <f>iferror(VLOOKUP(P299,'DO NOT TOUCH Imported'!$A$1:$D$800,4,False),iferror(VLOOKUP(P299,'DO NOT TOUCH Imported'!$C$1:$D$800,2,False),"OOPS FIX ME"))</f>
        <v>JuankBell</v>
      </c>
      <c r="B299" s="276" t="s">
        <v>10</v>
      </c>
      <c r="C299" s="277" t="s">
        <v>2012</v>
      </c>
      <c r="D299" s="278" t="s">
        <v>437</v>
      </c>
      <c r="E299" s="306">
        <v>44267.0</v>
      </c>
      <c r="F299" s="278" t="s">
        <v>439</v>
      </c>
      <c r="G299" s="171">
        <v>35.0</v>
      </c>
      <c r="H299" s="171">
        <v>1000.0</v>
      </c>
      <c r="I299" s="171">
        <v>100.0</v>
      </c>
      <c r="J299" s="172">
        <f t="shared" si="2"/>
        <v>0.001105960096</v>
      </c>
      <c r="K299" s="269">
        <f>J299*$J$1</f>
        <v>1.142825433</v>
      </c>
      <c r="L299" s="270">
        <f t="shared" si="4"/>
        <v>8.349620952</v>
      </c>
      <c r="M299" s="271" t="str">
        <f t="shared" si="5"/>
        <v>JuankBell</v>
      </c>
      <c r="N299" s="176">
        <f>IFERROR(__xludf.DUMMYFUNCTION("""COMPUTED_VALUE"""),18.0)</f>
        <v>18</v>
      </c>
      <c r="O299" s="176"/>
      <c r="P299" s="280" t="s">
        <v>443</v>
      </c>
      <c r="Q299" s="276" t="s">
        <v>10</v>
      </c>
      <c r="R299" s="176"/>
      <c r="S299" s="176"/>
      <c r="T299" s="176"/>
      <c r="U299" s="176"/>
      <c r="V299" s="176"/>
      <c r="W299" s="176"/>
      <c r="X299" s="176"/>
      <c r="Y299" s="176"/>
      <c r="Z299" s="176"/>
    </row>
    <row r="300">
      <c r="A300" s="267" t="str">
        <f>iferror(VLOOKUP(P300,'DO NOT TOUCH Imported'!$A$1:$D$800,4,False),iferror(VLOOKUP(P300,'DO NOT TOUCH Imported'!$C$1:$D$800,2,False),"OOPS FIX ME"))</f>
        <v>JuankBell</v>
      </c>
      <c r="B300" s="294" t="s">
        <v>10</v>
      </c>
      <c r="C300" s="295" t="s">
        <v>2075</v>
      </c>
      <c r="D300" s="296" t="s">
        <v>437</v>
      </c>
      <c r="E300" s="313">
        <v>44267.0</v>
      </c>
      <c r="F300" s="296" t="s">
        <v>439</v>
      </c>
      <c r="G300" s="222"/>
      <c r="H300" s="312"/>
      <c r="I300" s="312"/>
      <c r="J300" s="298">
        <f t="shared" si="2"/>
        <v>0</v>
      </c>
      <c r="K300" s="299"/>
      <c r="L300" s="300">
        <f t="shared" si="4"/>
        <v>8.349620952</v>
      </c>
      <c r="M300" s="301" t="str">
        <f t="shared" si="5"/>
        <v>JuankBell</v>
      </c>
      <c r="N300" s="209">
        <f>IFERROR(__xludf.DUMMYFUNCTION("""COMPUTED_VALUE"""),19.0)</f>
        <v>19</v>
      </c>
      <c r="O300" s="209"/>
      <c r="P300" s="314" t="s">
        <v>443</v>
      </c>
      <c r="Q300" s="294" t="s">
        <v>10</v>
      </c>
      <c r="R300" s="209"/>
      <c r="S300" s="209"/>
      <c r="T300" s="209"/>
      <c r="U300" s="209"/>
      <c r="V300" s="209"/>
      <c r="W300" s="209"/>
      <c r="X300" s="209"/>
      <c r="Y300" s="209"/>
      <c r="Z300" s="209"/>
    </row>
    <row r="301">
      <c r="A301" s="267" t="str">
        <f>iferror(VLOOKUP(P301,'DO NOT TOUCH Imported'!$A$1:$D$800,4,False),iferror(VLOOKUP(P301,'DO NOT TOUCH Imported'!$C$1:$D$800,2,False),"OOPS FIX ME"))</f>
        <v>JuankBell</v>
      </c>
      <c r="B301" s="276" t="s">
        <v>10</v>
      </c>
      <c r="C301" s="277" t="s">
        <v>1980</v>
      </c>
      <c r="D301" s="278" t="s">
        <v>437</v>
      </c>
      <c r="E301" s="306">
        <v>44267.0</v>
      </c>
      <c r="F301" s="278" t="s">
        <v>439</v>
      </c>
      <c r="G301" s="171">
        <v>25.0</v>
      </c>
      <c r="H301" s="171">
        <v>2500.0</v>
      </c>
      <c r="I301" s="171">
        <v>500.0</v>
      </c>
      <c r="J301" s="172">
        <f t="shared" si="2"/>
        <v>0.00233609831</v>
      </c>
      <c r="K301" s="269">
        <f t="shared" ref="K301:K304" si="13">J301*$J$1</f>
        <v>2.413968253</v>
      </c>
      <c r="L301" s="270">
        <f t="shared" si="4"/>
        <v>8.349620952</v>
      </c>
      <c r="M301" s="271" t="str">
        <f t="shared" si="5"/>
        <v>JuankBell</v>
      </c>
      <c r="N301" s="176">
        <f>IFERROR(__xludf.DUMMYFUNCTION("""COMPUTED_VALUE"""),20.0)</f>
        <v>20</v>
      </c>
      <c r="O301" s="176"/>
      <c r="P301" s="280" t="s">
        <v>443</v>
      </c>
      <c r="Q301" s="276" t="s">
        <v>10</v>
      </c>
      <c r="R301" s="176"/>
      <c r="S301" s="176"/>
      <c r="T301" s="176"/>
      <c r="U301" s="176"/>
      <c r="V301" s="176"/>
      <c r="W301" s="176"/>
      <c r="X301" s="176"/>
      <c r="Y301" s="176"/>
      <c r="Z301" s="176"/>
    </row>
    <row r="302">
      <c r="A302" s="267" t="str">
        <f>iferror(VLOOKUP(P302,'DO NOT TOUCH Imported'!$A$1:$D$800,4,False),iferror(VLOOKUP(P302,'DO NOT TOUCH Imported'!$C$1:$D$800,2,False),"OOPS FIX ME"))</f>
        <v>JuankBell</v>
      </c>
      <c r="B302" s="294" t="s">
        <v>10</v>
      </c>
      <c r="C302" s="295" t="s">
        <v>2062</v>
      </c>
      <c r="D302" s="296" t="s">
        <v>437</v>
      </c>
      <c r="E302" s="313">
        <v>44267.0</v>
      </c>
      <c r="F302" s="296" t="s">
        <v>439</v>
      </c>
      <c r="G302" s="222"/>
      <c r="H302" s="312"/>
      <c r="I302" s="312"/>
      <c r="J302" s="298">
        <f t="shared" si="2"/>
        <v>0</v>
      </c>
      <c r="K302" s="299">
        <f t="shared" si="13"/>
        <v>0</v>
      </c>
      <c r="L302" s="300">
        <f t="shared" si="4"/>
        <v>8.349620952</v>
      </c>
      <c r="M302" s="301" t="str">
        <f t="shared" si="5"/>
        <v>JuankBell</v>
      </c>
      <c r="N302" s="209">
        <f>IFERROR(__xludf.DUMMYFUNCTION("""COMPUTED_VALUE"""),21.0)</f>
        <v>21</v>
      </c>
      <c r="O302" s="209"/>
      <c r="P302" s="314" t="s">
        <v>443</v>
      </c>
      <c r="Q302" s="294" t="s">
        <v>10</v>
      </c>
      <c r="R302" s="209"/>
      <c r="S302" s="209"/>
      <c r="T302" s="209"/>
      <c r="U302" s="209"/>
      <c r="V302" s="209"/>
      <c r="W302" s="209"/>
      <c r="X302" s="209"/>
      <c r="Y302" s="209"/>
      <c r="Z302" s="209"/>
    </row>
    <row r="303">
      <c r="A303" s="267" t="str">
        <f>iferror(VLOOKUP(P303,'DO NOT TOUCH Imported'!$A$1:$D$800,4,False),iferror(VLOOKUP(P303,'DO NOT TOUCH Imported'!$C$1:$D$800,2,False),"OOPS FIX ME"))</f>
        <v>JuankBell</v>
      </c>
      <c r="B303" s="276" t="s">
        <v>10</v>
      </c>
      <c r="C303" s="277" t="s">
        <v>2014</v>
      </c>
      <c r="D303" s="278" t="s">
        <v>437</v>
      </c>
      <c r="E303" s="306">
        <v>44267.0</v>
      </c>
      <c r="F303" s="278" t="s">
        <v>439</v>
      </c>
      <c r="G303" s="171">
        <v>25.0</v>
      </c>
      <c r="H303" s="171">
        <v>1000.0</v>
      </c>
      <c r="I303" s="171">
        <v>300.0</v>
      </c>
      <c r="J303" s="172">
        <f t="shared" si="2"/>
        <v>0.001409853696</v>
      </c>
      <c r="K303" s="269">
        <f t="shared" si="13"/>
        <v>1.45684882</v>
      </c>
      <c r="L303" s="270">
        <f t="shared" si="4"/>
        <v>8.349620952</v>
      </c>
      <c r="M303" s="271" t="str">
        <f t="shared" si="5"/>
        <v>JuankBell</v>
      </c>
      <c r="N303" s="176">
        <f>IFERROR(__xludf.DUMMYFUNCTION("""COMPUTED_VALUE"""),22.0)</f>
        <v>22</v>
      </c>
      <c r="O303" s="176"/>
      <c r="P303" s="280" t="s">
        <v>443</v>
      </c>
      <c r="Q303" s="276" t="s">
        <v>10</v>
      </c>
      <c r="R303" s="176"/>
      <c r="S303" s="176"/>
      <c r="T303" s="176"/>
      <c r="U303" s="176"/>
      <c r="V303" s="176"/>
      <c r="W303" s="176"/>
      <c r="X303" s="176"/>
      <c r="Y303" s="176"/>
      <c r="Z303" s="176"/>
    </row>
    <row r="304">
      <c r="A304" s="267" t="str">
        <f>iferror(VLOOKUP(P304,'DO NOT TOUCH Imported'!$A$1:$D$800,4,False),iferror(VLOOKUP(P304,'DO NOT TOUCH Imported'!$C$1:$D$800,2,False),"OOPS FIX ME"))</f>
        <v>JuankBell</v>
      </c>
      <c r="B304" s="276" t="s">
        <v>10</v>
      </c>
      <c r="C304" s="277" t="s">
        <v>1952</v>
      </c>
      <c r="D304" s="278" t="s">
        <v>437</v>
      </c>
      <c r="E304" s="306">
        <v>44267.0</v>
      </c>
      <c r="F304" s="278" t="s">
        <v>439</v>
      </c>
      <c r="G304" s="171">
        <v>25.0</v>
      </c>
      <c r="H304" s="171">
        <v>1000.0</v>
      </c>
      <c r="I304" s="171">
        <v>10.0</v>
      </c>
      <c r="J304" s="172">
        <f t="shared" si="2"/>
        <v>0.0007346939862</v>
      </c>
      <c r="K304" s="269">
        <f t="shared" si="13"/>
        <v>0.7591837857</v>
      </c>
      <c r="L304" s="270">
        <f t="shared" si="4"/>
        <v>8.349620952</v>
      </c>
      <c r="M304" s="271" t="str">
        <f t="shared" si="5"/>
        <v>JuankBell</v>
      </c>
      <c r="N304" s="176">
        <f>IFERROR(__xludf.DUMMYFUNCTION("""COMPUTED_VALUE"""),23.0)</f>
        <v>23</v>
      </c>
      <c r="O304" s="176"/>
      <c r="P304" s="280" t="s">
        <v>443</v>
      </c>
      <c r="Q304" s="276" t="s">
        <v>10</v>
      </c>
      <c r="R304" s="176"/>
      <c r="S304" s="176"/>
      <c r="T304" s="176"/>
      <c r="U304" s="176"/>
      <c r="V304" s="176"/>
      <c r="W304" s="176"/>
      <c r="X304" s="176"/>
      <c r="Y304" s="176"/>
      <c r="Z304" s="176"/>
    </row>
    <row r="305">
      <c r="A305" s="185" t="str">
        <f>iferror(VLOOKUP(P305,'DO NOT TOUCH Imported'!$A$1:$D$800,4,False),iferror(VLOOKUP(P305,'DO NOT TOUCH Imported'!$C$1:$D$800,2,False),"OOPS FIX ME"))</f>
        <v>JuankBell</v>
      </c>
      <c r="B305" s="284" t="s">
        <v>534</v>
      </c>
      <c r="C305" s="285" t="s">
        <v>684</v>
      </c>
      <c r="D305" s="286"/>
      <c r="E305" s="188"/>
      <c r="F305" s="289"/>
      <c r="G305" s="190"/>
      <c r="H305" s="190"/>
      <c r="I305" s="190"/>
      <c r="J305" s="191">
        <f t="shared" si="2"/>
        <v>0</v>
      </c>
      <c r="K305" s="192">
        <f>55.665*-0.85</f>
        <v>-47.31525</v>
      </c>
      <c r="L305" s="193">
        <f t="shared" si="4"/>
        <v>8.349620952</v>
      </c>
      <c r="M305" s="194" t="str">
        <f t="shared" si="5"/>
        <v>JuankBell</v>
      </c>
      <c r="N305" s="195">
        <f>IFERROR(__xludf.DUMMYFUNCTION("""COMPUTED_VALUE"""),24.0)</f>
        <v>24</v>
      </c>
      <c r="O305" s="195"/>
      <c r="P305" s="284" t="s">
        <v>15</v>
      </c>
      <c r="Q305" s="284" t="s">
        <v>534</v>
      </c>
      <c r="R305" s="195">
        <v>36.89669088595067</v>
      </c>
      <c r="S305" s="195"/>
      <c r="T305" s="195"/>
      <c r="U305" s="195"/>
      <c r="V305" s="195"/>
      <c r="W305" s="195"/>
      <c r="X305" s="195"/>
      <c r="Y305" s="195"/>
      <c r="Z305" s="195"/>
    </row>
    <row r="306">
      <c r="A306" s="267" t="str">
        <f>iferror(VLOOKUP(P306,'DO NOT TOUCH Imported'!$A$1:$D$800,4,False),iferror(VLOOKUP(P306,'DO NOT TOUCH Imported'!$C$1:$D$800,2,False),"OOPS FIX ME"))</f>
        <v>kristoferkristofer</v>
      </c>
      <c r="B306" s="276" t="s">
        <v>10</v>
      </c>
      <c r="C306" s="277" t="s">
        <v>1960</v>
      </c>
      <c r="D306" s="278" t="s">
        <v>437</v>
      </c>
      <c r="E306" s="275">
        <v>44260.0</v>
      </c>
      <c r="F306" s="278" t="s">
        <v>1929</v>
      </c>
      <c r="G306" s="171">
        <v>50.0</v>
      </c>
      <c r="H306" s="171">
        <v>500.0</v>
      </c>
      <c r="I306" s="171">
        <v>500.0</v>
      </c>
      <c r="J306" s="172">
        <f t="shared" si="2"/>
        <v>0.002126276472</v>
      </c>
      <c r="K306" s="269">
        <f t="shared" ref="K306:K344" si="14">J306*$J$1</f>
        <v>2.197152355</v>
      </c>
      <c r="L306" s="270">
        <f t="shared" si="4"/>
        <v>7.839279189</v>
      </c>
      <c r="M306" s="271" t="str">
        <f t="shared" si="5"/>
        <v>kristoferkristofer</v>
      </c>
      <c r="N306" s="176">
        <f>IFERROR(__xludf.DUMMYFUNCTION("""COMPUTED_VALUE"""),1.0)</f>
        <v>1</v>
      </c>
      <c r="O306" s="176"/>
      <c r="P306" s="280" t="s">
        <v>811</v>
      </c>
      <c r="Q306" s="276" t="s">
        <v>10</v>
      </c>
      <c r="R306" s="176"/>
      <c r="S306" s="176"/>
      <c r="T306" s="176"/>
      <c r="U306" s="176"/>
      <c r="V306" s="176"/>
      <c r="W306" s="176"/>
      <c r="X306" s="176"/>
      <c r="Y306" s="176"/>
      <c r="Z306" s="176"/>
    </row>
    <row r="307">
      <c r="A307" s="267" t="str">
        <f>iferror(VLOOKUP(P307,'DO NOT TOUCH Imported'!$A$1:$D$800,4,False),iferror(VLOOKUP(P307,'DO NOT TOUCH Imported'!$C$1:$D$800,2,False),"OOPS FIX ME"))</f>
        <v>kristoferkristofer</v>
      </c>
      <c r="B307" s="257" t="s">
        <v>10</v>
      </c>
      <c r="C307" s="261" t="s">
        <v>498</v>
      </c>
      <c r="D307" s="281" t="s">
        <v>495</v>
      </c>
      <c r="E307" s="252">
        <v>44260.0</v>
      </c>
      <c r="F307" s="258" t="s">
        <v>499</v>
      </c>
      <c r="G307" s="171">
        <v>35.0</v>
      </c>
      <c r="H307" s="171">
        <v>500.0</v>
      </c>
      <c r="I307" s="171">
        <v>40.0</v>
      </c>
      <c r="J307" s="172">
        <f t="shared" si="2"/>
        <v>0.0008127328046</v>
      </c>
      <c r="K307" s="269">
        <f t="shared" si="14"/>
        <v>0.8398238981</v>
      </c>
      <c r="L307" s="270">
        <f t="shared" si="4"/>
        <v>7.839279189</v>
      </c>
      <c r="M307" s="271" t="str">
        <f t="shared" si="5"/>
        <v>kristoferkristofer</v>
      </c>
      <c r="N307" s="176">
        <f>IFERROR(__xludf.DUMMYFUNCTION("""COMPUTED_VALUE"""),2.0)</f>
        <v>2</v>
      </c>
      <c r="O307" s="176"/>
      <c r="P307" s="257" t="s">
        <v>44</v>
      </c>
      <c r="Q307" s="257" t="s">
        <v>10</v>
      </c>
      <c r="R307" s="176"/>
      <c r="S307" s="176"/>
      <c r="T307" s="176"/>
      <c r="U307" s="176"/>
      <c r="V307" s="176"/>
      <c r="W307" s="176"/>
      <c r="X307" s="176"/>
      <c r="Y307" s="176"/>
      <c r="Z307" s="176"/>
    </row>
    <row r="308">
      <c r="A308" s="267" t="str">
        <f>iferror(VLOOKUP(P308,'DO NOT TOUCH Imported'!$A$1:$D$800,4,False),iferror(VLOOKUP(P308,'DO NOT TOUCH Imported'!$C$1:$D$800,2,False),"OOPS FIX ME"))</f>
        <v>kristoferkristofer</v>
      </c>
      <c r="B308" s="276" t="s">
        <v>845</v>
      </c>
      <c r="C308" s="277" t="s">
        <v>2076</v>
      </c>
      <c r="D308" s="278" t="s">
        <v>499</v>
      </c>
      <c r="E308" s="275">
        <v>44265.0</v>
      </c>
      <c r="F308" s="278" t="s">
        <v>1646</v>
      </c>
      <c r="G308" s="171">
        <v>25.0</v>
      </c>
      <c r="H308" s="171">
        <v>1000.0</v>
      </c>
      <c r="I308" s="171">
        <v>300.0</v>
      </c>
      <c r="J308" s="172">
        <f t="shared" si="2"/>
        <v>0.001409853696</v>
      </c>
      <c r="K308" s="269">
        <f t="shared" si="14"/>
        <v>1.45684882</v>
      </c>
      <c r="L308" s="270">
        <f t="shared" si="4"/>
        <v>7.839279189</v>
      </c>
      <c r="M308" s="271" t="str">
        <f t="shared" si="5"/>
        <v>kristoferkristofer</v>
      </c>
      <c r="N308" s="176">
        <f>IFERROR(__xludf.DUMMYFUNCTION("""COMPUTED_VALUE"""),3.0)</f>
        <v>3</v>
      </c>
      <c r="O308" s="176"/>
      <c r="P308" s="280" t="s">
        <v>811</v>
      </c>
      <c r="Q308" s="276" t="s">
        <v>845</v>
      </c>
      <c r="R308" s="176"/>
      <c r="S308" s="176"/>
      <c r="T308" s="176"/>
      <c r="U308" s="176"/>
      <c r="V308" s="176"/>
      <c r="W308" s="176"/>
      <c r="X308" s="176"/>
      <c r="Y308" s="176"/>
      <c r="Z308" s="176"/>
    </row>
    <row r="309">
      <c r="A309" s="267" t="str">
        <f>iferror(VLOOKUP(P309,'DO NOT TOUCH Imported'!$A$1:$D$800,4,False),iferror(VLOOKUP(P309,'DO NOT TOUCH Imported'!$C$1:$D$800,2,False),"OOPS FIX ME"))</f>
        <v>kristoferkristofer</v>
      </c>
      <c r="B309" s="276" t="s">
        <v>10</v>
      </c>
      <c r="C309" s="277" t="s">
        <v>2077</v>
      </c>
      <c r="D309" s="278" t="s">
        <v>437</v>
      </c>
      <c r="E309" s="306">
        <v>44267.0</v>
      </c>
      <c r="F309" s="278" t="s">
        <v>439</v>
      </c>
      <c r="G309" s="171">
        <v>35.0</v>
      </c>
      <c r="H309" s="171">
        <v>1000.0</v>
      </c>
      <c r="I309" s="171">
        <v>700.0</v>
      </c>
      <c r="J309" s="172">
        <f t="shared" si="2"/>
        <v>0.002502842255</v>
      </c>
      <c r="K309" s="269">
        <f t="shared" si="14"/>
        <v>2.58627033</v>
      </c>
      <c r="L309" s="270">
        <f t="shared" si="4"/>
        <v>7.839279189</v>
      </c>
      <c r="M309" s="271" t="str">
        <f t="shared" si="5"/>
        <v>kristoferkristofer</v>
      </c>
      <c r="N309" s="176">
        <f>IFERROR(__xludf.DUMMYFUNCTION("""COMPUTED_VALUE"""),4.0)</f>
        <v>4</v>
      </c>
      <c r="O309" s="176"/>
      <c r="P309" s="267" t="s">
        <v>811</v>
      </c>
      <c r="Q309" s="272" t="s">
        <v>10</v>
      </c>
      <c r="R309" s="176"/>
      <c r="S309" s="176"/>
      <c r="T309" s="176"/>
      <c r="U309" s="176"/>
      <c r="V309" s="176"/>
      <c r="W309" s="176"/>
      <c r="X309" s="176"/>
      <c r="Y309" s="176"/>
      <c r="Z309" s="176"/>
    </row>
    <row r="310">
      <c r="A310" s="267" t="str">
        <f>iferror(VLOOKUP(P310,'DO NOT TOUCH Imported'!$A$1:$D$800,4,False),iferror(VLOOKUP(P310,'DO NOT TOUCH Imported'!$C$1:$D$800,2,False),"OOPS FIX ME"))</f>
        <v>kristoferkristofer</v>
      </c>
      <c r="B310" s="276" t="s">
        <v>10</v>
      </c>
      <c r="C310" s="277" t="s">
        <v>1952</v>
      </c>
      <c r="D310" s="278" t="s">
        <v>437</v>
      </c>
      <c r="E310" s="306">
        <v>44267.0</v>
      </c>
      <c r="F310" s="278" t="s">
        <v>439</v>
      </c>
      <c r="G310" s="171">
        <v>25.0</v>
      </c>
      <c r="H310" s="171">
        <v>1000.0</v>
      </c>
      <c r="I310" s="171">
        <v>10.0</v>
      </c>
      <c r="J310" s="172">
        <f t="shared" si="2"/>
        <v>0.0007346939862</v>
      </c>
      <c r="K310" s="269">
        <f t="shared" si="14"/>
        <v>0.7591837857</v>
      </c>
      <c r="L310" s="270">
        <f t="shared" si="4"/>
        <v>7.839279189</v>
      </c>
      <c r="M310" s="271" t="str">
        <f t="shared" si="5"/>
        <v>kristoferkristofer</v>
      </c>
      <c r="N310" s="176">
        <f>IFERROR(__xludf.DUMMYFUNCTION("""COMPUTED_VALUE"""),5.0)</f>
        <v>5</v>
      </c>
      <c r="O310" s="176"/>
      <c r="P310" s="280" t="s">
        <v>811</v>
      </c>
      <c r="Q310" s="276" t="s">
        <v>10</v>
      </c>
      <c r="R310" s="176"/>
      <c r="S310" s="176"/>
      <c r="T310" s="176"/>
      <c r="U310" s="176"/>
      <c r="V310" s="176"/>
      <c r="W310" s="176"/>
      <c r="X310" s="176"/>
      <c r="Y310" s="176"/>
      <c r="Z310" s="176"/>
    </row>
    <row r="311">
      <c r="A311" s="267" t="str">
        <f>iferror(VLOOKUP(P311,'DO NOT TOUCH Imported'!$A$1:$D$800,4,False),iferror(VLOOKUP(P311,'DO NOT TOUCH Imported'!$C$1:$D$800,2,False),"OOPS FIX ME"))</f>
        <v>rdfbbx#6437</v>
      </c>
      <c r="B311" s="276" t="s">
        <v>1702</v>
      </c>
      <c r="C311" s="277" t="s">
        <v>2034</v>
      </c>
      <c r="D311" s="278" t="s">
        <v>437</v>
      </c>
      <c r="E311" s="275">
        <v>44254.0</v>
      </c>
      <c r="F311" s="278" t="s">
        <v>1929</v>
      </c>
      <c r="G311" s="171">
        <v>100.0</v>
      </c>
      <c r="H311" s="171">
        <v>10000.0</v>
      </c>
      <c r="I311" s="171">
        <v>400.0</v>
      </c>
      <c r="J311" s="172">
        <f t="shared" si="2"/>
        <v>0.005619374148</v>
      </c>
      <c r="K311" s="269">
        <f t="shared" si="14"/>
        <v>5.80668662</v>
      </c>
      <c r="L311" s="270">
        <f t="shared" si="4"/>
        <v>7.181618335</v>
      </c>
      <c r="M311" s="271" t="str">
        <f t="shared" si="5"/>
        <v>rdfbbx#6437</v>
      </c>
      <c r="N311" s="176">
        <f>IFERROR(__xludf.DUMMYFUNCTION("""COMPUTED_VALUE"""),1.0)</f>
        <v>1</v>
      </c>
      <c r="O311" s="176"/>
      <c r="P311" s="280" t="s">
        <v>51</v>
      </c>
      <c r="Q311" s="276" t="s">
        <v>1702</v>
      </c>
      <c r="R311" s="176"/>
      <c r="S311" s="176"/>
      <c r="T311" s="176"/>
      <c r="U311" s="176"/>
      <c r="V311" s="176"/>
      <c r="W311" s="176"/>
      <c r="X311" s="176"/>
      <c r="Y311" s="176"/>
      <c r="Z311" s="176"/>
    </row>
    <row r="312">
      <c r="A312" s="267" t="str">
        <f>iferror(VLOOKUP(P312,'DO NOT TOUCH Imported'!$A$1:$D$800,4,False),iferror(VLOOKUP(P312,'DO NOT TOUCH Imported'!$C$1:$D$800,2,False),"OOPS FIX ME"))</f>
        <v>rdfbbx#6437</v>
      </c>
      <c r="B312" s="294" t="s">
        <v>2035</v>
      </c>
      <c r="C312" s="295" t="s">
        <v>2036</v>
      </c>
      <c r="D312" s="296" t="s">
        <v>437</v>
      </c>
      <c r="E312" s="315">
        <v>44259.0</v>
      </c>
      <c r="F312" s="296" t="s">
        <v>1929</v>
      </c>
      <c r="G312" s="222">
        <v>0.0</v>
      </c>
      <c r="H312" s="222">
        <v>0.0</v>
      </c>
      <c r="I312" s="222">
        <v>0.0</v>
      </c>
      <c r="J312" s="298">
        <f t="shared" si="2"/>
        <v>0</v>
      </c>
      <c r="K312" s="299">
        <f t="shared" si="14"/>
        <v>0</v>
      </c>
      <c r="L312" s="300">
        <f t="shared" si="4"/>
        <v>7.181618335</v>
      </c>
      <c r="M312" s="301" t="str">
        <f t="shared" si="5"/>
        <v>rdfbbx#6437</v>
      </c>
      <c r="N312" s="209">
        <f>IFERROR(__xludf.DUMMYFUNCTION("""COMPUTED_VALUE"""),2.0)</f>
        <v>2</v>
      </c>
      <c r="O312" s="209"/>
      <c r="P312" s="314" t="s">
        <v>51</v>
      </c>
      <c r="Q312" s="294" t="s">
        <v>2035</v>
      </c>
      <c r="R312" s="209"/>
      <c r="S312" s="209"/>
      <c r="T312" s="209"/>
      <c r="U312" s="209"/>
      <c r="V312" s="209"/>
      <c r="W312" s="209"/>
      <c r="X312" s="209"/>
      <c r="Y312" s="209"/>
      <c r="Z312" s="209"/>
    </row>
    <row r="313">
      <c r="A313" s="267" t="str">
        <f>iferror(VLOOKUP(P313,'DO NOT TOUCH Imported'!$A$1:$D$800,4,False),iferror(VLOOKUP(P313,'DO NOT TOUCH Imported'!$C$1:$D$800,2,False),"OOPS FIX ME"))</f>
        <v>rdfbbx#6437</v>
      </c>
      <c r="B313" s="294" t="s">
        <v>2035</v>
      </c>
      <c r="C313" s="295" t="s">
        <v>2037</v>
      </c>
      <c r="D313" s="296" t="s">
        <v>499</v>
      </c>
      <c r="E313" s="315">
        <v>44259.0</v>
      </c>
      <c r="F313" s="296" t="s">
        <v>1646</v>
      </c>
      <c r="G313" s="222">
        <v>0.0</v>
      </c>
      <c r="H313" s="222">
        <v>0.0</v>
      </c>
      <c r="I313" s="222">
        <v>0.0</v>
      </c>
      <c r="J313" s="298">
        <f t="shared" si="2"/>
        <v>0</v>
      </c>
      <c r="K313" s="299">
        <f t="shared" si="14"/>
        <v>0</v>
      </c>
      <c r="L313" s="300">
        <f t="shared" si="4"/>
        <v>7.181618335</v>
      </c>
      <c r="M313" s="301" t="str">
        <f t="shared" si="5"/>
        <v>rdfbbx#6437</v>
      </c>
      <c r="N313" s="209">
        <f>IFERROR(__xludf.DUMMYFUNCTION("""COMPUTED_VALUE"""),3.0)</f>
        <v>3</v>
      </c>
      <c r="O313" s="209"/>
      <c r="P313" s="314" t="s">
        <v>51</v>
      </c>
      <c r="Q313" s="294" t="s">
        <v>2035</v>
      </c>
      <c r="R313" s="209"/>
      <c r="S313" s="209"/>
      <c r="T313" s="209"/>
      <c r="U313" s="209"/>
      <c r="V313" s="209"/>
      <c r="W313" s="209"/>
      <c r="X313" s="209"/>
      <c r="Y313" s="209"/>
      <c r="Z313" s="209"/>
    </row>
    <row r="314">
      <c r="A314" s="267" t="str">
        <f>iferror(VLOOKUP(P314,'DO NOT TOUCH Imported'!$A$1:$D$800,4,False),iferror(VLOOKUP(P314,'DO NOT TOUCH Imported'!$C$1:$D$800,2,False),"OOPS FIX ME"))</f>
        <v>rdfbbx#6437</v>
      </c>
      <c r="B314" s="276" t="s">
        <v>8</v>
      </c>
      <c r="C314" s="277" t="s">
        <v>2078</v>
      </c>
      <c r="D314" s="278" t="s">
        <v>437</v>
      </c>
      <c r="E314" s="275">
        <v>44259.0</v>
      </c>
      <c r="F314" s="278" t="s">
        <v>1929</v>
      </c>
      <c r="G314" s="171">
        <v>25.0</v>
      </c>
      <c r="H314" s="171">
        <v>1500.0</v>
      </c>
      <c r="I314" s="171">
        <v>200.0</v>
      </c>
      <c r="J314" s="172">
        <f t="shared" si="2"/>
        <v>0.001330579079</v>
      </c>
      <c r="K314" s="269">
        <f t="shared" si="14"/>
        <v>1.374931715</v>
      </c>
      <c r="L314" s="270">
        <f t="shared" si="4"/>
        <v>7.181618335</v>
      </c>
      <c r="M314" s="271" t="str">
        <f t="shared" si="5"/>
        <v>rdfbbx#6437</v>
      </c>
      <c r="N314" s="176">
        <f>IFERROR(__xludf.DUMMYFUNCTION("""COMPUTED_VALUE"""),4.0)</f>
        <v>4</v>
      </c>
      <c r="O314" s="176"/>
      <c r="P314" s="280" t="s">
        <v>51</v>
      </c>
      <c r="Q314" s="276" t="s">
        <v>8</v>
      </c>
      <c r="R314" s="176"/>
      <c r="S314" s="176"/>
      <c r="T314" s="176"/>
      <c r="U314" s="176"/>
      <c r="V314" s="176"/>
      <c r="W314" s="176"/>
      <c r="X314" s="176"/>
      <c r="Y314" s="176"/>
      <c r="Z314" s="176"/>
    </row>
    <row r="315">
      <c r="A315" s="267" t="str">
        <f>iferror(VLOOKUP(P315,'DO NOT TOUCH Imported'!$A$1:$D$800,4,False),iferror(VLOOKUP(P315,'DO NOT TOUCH Imported'!$C$1:$D$800,2,False),"OOPS FIX ME"))</f>
        <v>pehkah</v>
      </c>
      <c r="B315" s="257" t="s">
        <v>590</v>
      </c>
      <c r="C315" s="261" t="s">
        <v>2079</v>
      </c>
      <c r="D315" s="281" t="s">
        <v>495</v>
      </c>
      <c r="E315" s="252">
        <v>44259.0</v>
      </c>
      <c r="F315" s="258" t="s">
        <v>496</v>
      </c>
      <c r="G315" s="171">
        <v>35.0</v>
      </c>
      <c r="H315" s="171">
        <v>5000.0</v>
      </c>
      <c r="I315" s="171">
        <v>200.0</v>
      </c>
      <c r="J315" s="172">
        <f t="shared" si="2"/>
        <v>0.002567086395</v>
      </c>
      <c r="K315" s="269">
        <f t="shared" si="14"/>
        <v>2.652655941</v>
      </c>
      <c r="L315" s="270">
        <f t="shared" si="4"/>
        <v>7.117614794</v>
      </c>
      <c r="M315" s="271" t="str">
        <f t="shared" si="5"/>
        <v>pehkah</v>
      </c>
      <c r="N315" s="176">
        <f>IFERROR(__xludf.DUMMYFUNCTION("""COMPUTED_VALUE"""),1.0)</f>
        <v>1</v>
      </c>
      <c r="O315" s="176"/>
      <c r="P315" s="257" t="s">
        <v>98</v>
      </c>
      <c r="Q315" s="257" t="s">
        <v>590</v>
      </c>
      <c r="R315" s="176"/>
      <c r="S315" s="176"/>
      <c r="T315" s="176"/>
      <c r="U315" s="176"/>
      <c r="V315" s="176"/>
      <c r="W315" s="176"/>
      <c r="X315" s="176"/>
      <c r="Y315" s="176"/>
      <c r="Z315" s="176"/>
    </row>
    <row r="316">
      <c r="A316" s="267" t="str">
        <f>iferror(VLOOKUP(P316,'DO NOT TOUCH Imported'!$A$1:$D$800,4,False),iferror(VLOOKUP(P316,'DO NOT TOUCH Imported'!$C$1:$D$800,2,False),"OOPS FIX ME"))</f>
        <v>pehkah</v>
      </c>
      <c r="B316" s="276" t="s">
        <v>10</v>
      </c>
      <c r="C316" s="277" t="s">
        <v>2080</v>
      </c>
      <c r="D316" s="278" t="s">
        <v>437</v>
      </c>
      <c r="E316" s="275">
        <v>44260.0</v>
      </c>
      <c r="F316" s="278" t="s">
        <v>1929</v>
      </c>
      <c r="G316" s="171">
        <v>50.0</v>
      </c>
      <c r="H316" s="171">
        <v>2000.0</v>
      </c>
      <c r="I316" s="171">
        <v>300.0</v>
      </c>
      <c r="J316" s="172">
        <f t="shared" si="2"/>
        <v>0.002121266313</v>
      </c>
      <c r="K316" s="269">
        <f t="shared" si="14"/>
        <v>2.19197519</v>
      </c>
      <c r="L316" s="270">
        <f t="shared" si="4"/>
        <v>7.117614794</v>
      </c>
      <c r="M316" s="271" t="str">
        <f t="shared" si="5"/>
        <v>pehkah</v>
      </c>
      <c r="N316" s="176">
        <f>IFERROR(__xludf.DUMMYFUNCTION("""COMPUTED_VALUE"""),2.0)</f>
        <v>2</v>
      </c>
      <c r="O316" s="176"/>
      <c r="P316" s="267" t="s">
        <v>1904</v>
      </c>
      <c r="Q316" s="272" t="s">
        <v>10</v>
      </c>
      <c r="R316" s="176"/>
      <c r="S316" s="176"/>
      <c r="T316" s="176"/>
      <c r="U316" s="176"/>
      <c r="V316" s="176"/>
      <c r="W316" s="176"/>
      <c r="X316" s="176"/>
      <c r="Y316" s="176"/>
      <c r="Z316" s="176"/>
    </row>
    <row r="317">
      <c r="A317" s="267" t="str">
        <f>iferror(VLOOKUP(P317,'DO NOT TOUCH Imported'!$A$1:$D$800,4,False),iferror(VLOOKUP(P317,'DO NOT TOUCH Imported'!$C$1:$D$800,2,False),"OOPS FIX ME"))</f>
        <v>pehkah</v>
      </c>
      <c r="B317" s="276" t="s">
        <v>10</v>
      </c>
      <c r="C317" s="277" t="s">
        <v>1941</v>
      </c>
      <c r="D317" s="278" t="s">
        <v>437</v>
      </c>
      <c r="E317" s="275">
        <v>44260.0</v>
      </c>
      <c r="F317" s="278" t="s">
        <v>1929</v>
      </c>
      <c r="G317" s="171">
        <v>15.0</v>
      </c>
      <c r="H317" s="171">
        <v>1000.0</v>
      </c>
      <c r="I317" s="171">
        <v>20.0</v>
      </c>
      <c r="J317" s="172">
        <f t="shared" si="2"/>
        <v>0.0005962415693</v>
      </c>
      <c r="K317" s="269">
        <f t="shared" si="14"/>
        <v>0.6161162883</v>
      </c>
      <c r="L317" s="270">
        <f t="shared" si="4"/>
        <v>7.117614794</v>
      </c>
      <c r="M317" s="271" t="str">
        <f t="shared" si="5"/>
        <v>pehkah</v>
      </c>
      <c r="N317" s="176">
        <f>IFERROR(__xludf.DUMMYFUNCTION("""COMPUTED_VALUE"""),3.0)</f>
        <v>3</v>
      </c>
      <c r="O317" s="176"/>
      <c r="P317" s="280" t="s">
        <v>1904</v>
      </c>
      <c r="Q317" s="276" t="s">
        <v>10</v>
      </c>
      <c r="R317" s="176"/>
      <c r="S317" s="176"/>
      <c r="T317" s="176"/>
      <c r="U317" s="176"/>
      <c r="V317" s="176"/>
      <c r="W317" s="176"/>
      <c r="X317" s="176"/>
      <c r="Y317" s="176"/>
      <c r="Z317" s="176"/>
    </row>
    <row r="318">
      <c r="A318" s="267" t="str">
        <f>iferror(VLOOKUP(P318,'DO NOT TOUCH Imported'!$A$1:$D$800,4,False),iferror(VLOOKUP(P318,'DO NOT TOUCH Imported'!$C$1:$D$800,2,False),"OOPS FIX ME"))</f>
        <v>pehkah</v>
      </c>
      <c r="B318" s="257" t="s">
        <v>10</v>
      </c>
      <c r="C318" s="261" t="s">
        <v>498</v>
      </c>
      <c r="D318" s="281" t="s">
        <v>495</v>
      </c>
      <c r="E318" s="252">
        <v>44260.0</v>
      </c>
      <c r="F318" s="258" t="s">
        <v>499</v>
      </c>
      <c r="G318" s="171">
        <v>35.0</v>
      </c>
      <c r="H318" s="171">
        <v>500.0</v>
      </c>
      <c r="I318" s="171">
        <v>40.0</v>
      </c>
      <c r="J318" s="172">
        <f t="shared" si="2"/>
        <v>0.0008127328046</v>
      </c>
      <c r="K318" s="269">
        <f t="shared" si="14"/>
        <v>0.8398238981</v>
      </c>
      <c r="L318" s="270">
        <f t="shared" si="4"/>
        <v>7.117614794</v>
      </c>
      <c r="M318" s="271" t="str">
        <f t="shared" si="5"/>
        <v>pehkah</v>
      </c>
      <c r="N318" s="176">
        <f>IFERROR(__xludf.DUMMYFUNCTION("""COMPUTED_VALUE"""),4.0)</f>
        <v>4</v>
      </c>
      <c r="O318" s="176"/>
      <c r="P318" s="257" t="s">
        <v>98</v>
      </c>
      <c r="Q318" s="257" t="s">
        <v>10</v>
      </c>
      <c r="R318" s="176"/>
      <c r="S318" s="176"/>
      <c r="T318" s="176"/>
      <c r="U318" s="176"/>
      <c r="V318" s="176"/>
      <c r="W318" s="176"/>
      <c r="X318" s="176"/>
      <c r="Y318" s="176"/>
      <c r="Z318" s="176"/>
    </row>
    <row r="319">
      <c r="A319" s="267" t="str">
        <f>iferror(VLOOKUP(P319,'DO NOT TOUCH Imported'!$A$1:$D$800,4,False),iferror(VLOOKUP(P319,'DO NOT TOUCH Imported'!$C$1:$D$800,2,False),"OOPS FIX ME"))</f>
        <v>pehkah</v>
      </c>
      <c r="B319" s="257" t="s">
        <v>10</v>
      </c>
      <c r="C319" s="261" t="s">
        <v>494</v>
      </c>
      <c r="D319" s="281" t="s">
        <v>495</v>
      </c>
      <c r="E319" s="252">
        <v>44267.0</v>
      </c>
      <c r="F319" s="258" t="s">
        <v>496</v>
      </c>
      <c r="G319" s="171">
        <v>25.0</v>
      </c>
      <c r="H319" s="171">
        <v>500.0</v>
      </c>
      <c r="I319" s="171">
        <v>100.0</v>
      </c>
      <c r="J319" s="172">
        <f t="shared" si="2"/>
        <v>0.0007906872343</v>
      </c>
      <c r="K319" s="269">
        <f t="shared" si="14"/>
        <v>0.8170434755</v>
      </c>
      <c r="L319" s="270">
        <f t="shared" si="4"/>
        <v>7.117614794</v>
      </c>
      <c r="M319" s="271" t="str">
        <f t="shared" si="5"/>
        <v>pehkah</v>
      </c>
      <c r="N319" s="176">
        <f>IFERROR(__xludf.DUMMYFUNCTION("""COMPUTED_VALUE"""),5.0)</f>
        <v>5</v>
      </c>
      <c r="O319" s="176"/>
      <c r="P319" s="257" t="s">
        <v>98</v>
      </c>
      <c r="Q319" s="257" t="s">
        <v>10</v>
      </c>
      <c r="R319" s="176"/>
      <c r="S319" s="176"/>
      <c r="T319" s="176"/>
      <c r="U319" s="176"/>
      <c r="V319" s="176"/>
      <c r="W319" s="176"/>
      <c r="X319" s="176"/>
      <c r="Y319" s="176"/>
      <c r="Z319" s="176"/>
    </row>
    <row r="320">
      <c r="A320" s="267" t="str">
        <f>iferror(VLOOKUP(P320,'DO NOT TOUCH Imported'!$A$1:$D$800,4,False),iferror(VLOOKUP(P320,'DO NOT TOUCH Imported'!$C$1:$D$800,2,False),"OOPS FIX ME"))</f>
        <v>Tam2140</v>
      </c>
      <c r="B320" s="257" t="s">
        <v>519</v>
      </c>
      <c r="C320" s="261" t="s">
        <v>2044</v>
      </c>
      <c r="D320" s="281" t="s">
        <v>495</v>
      </c>
      <c r="E320" s="252">
        <v>44256.0</v>
      </c>
      <c r="F320" s="258" t="s">
        <v>1956</v>
      </c>
      <c r="G320" s="171">
        <v>50.0</v>
      </c>
      <c r="H320" s="171">
        <v>1000.0</v>
      </c>
      <c r="I320" s="171">
        <v>400.0</v>
      </c>
      <c r="J320" s="172">
        <f t="shared" si="2"/>
        <v>0.002047001855</v>
      </c>
      <c r="K320" s="269">
        <f t="shared" si="14"/>
        <v>2.11523525</v>
      </c>
      <c r="L320" s="270">
        <f t="shared" si="4"/>
        <v>6.772330927</v>
      </c>
      <c r="M320" s="271" t="str">
        <f t="shared" si="5"/>
        <v>Tam2140</v>
      </c>
      <c r="N320" s="176">
        <f>IFERROR(__xludf.DUMMYFUNCTION("""COMPUTED_VALUE"""),1.0)</f>
        <v>1</v>
      </c>
      <c r="O320" s="176"/>
      <c r="P320" s="257" t="s">
        <v>28</v>
      </c>
      <c r="Q320" s="257" t="s">
        <v>519</v>
      </c>
      <c r="R320" s="176"/>
      <c r="S320" s="176"/>
      <c r="T320" s="176"/>
      <c r="U320" s="176"/>
      <c r="V320" s="176"/>
      <c r="W320" s="176"/>
      <c r="X320" s="176"/>
      <c r="Y320" s="176"/>
      <c r="Z320" s="176"/>
    </row>
    <row r="321">
      <c r="A321" s="267" t="str">
        <f>iferror(VLOOKUP(P321,'DO NOT TOUCH Imported'!$A$1:$D$800,4,False),iferror(VLOOKUP(P321,'DO NOT TOUCH Imported'!$C$1:$D$800,2,False),"OOPS FIX ME"))</f>
        <v>Tam2140</v>
      </c>
      <c r="B321" s="257" t="s">
        <v>18</v>
      </c>
      <c r="C321" s="261" t="s">
        <v>1930</v>
      </c>
      <c r="D321" s="281" t="s">
        <v>495</v>
      </c>
      <c r="E321" s="252">
        <v>44257.0</v>
      </c>
      <c r="F321" s="258" t="s">
        <v>496</v>
      </c>
      <c r="G321" s="171">
        <v>25.0</v>
      </c>
      <c r="H321" s="171">
        <v>1000.0</v>
      </c>
      <c r="I321" s="171">
        <v>10.0</v>
      </c>
      <c r="J321" s="172">
        <f t="shared" si="2"/>
        <v>0.0007346939862</v>
      </c>
      <c r="K321" s="269">
        <f t="shared" si="14"/>
        <v>0.7591837857</v>
      </c>
      <c r="L321" s="270">
        <f t="shared" si="4"/>
        <v>6.772330927</v>
      </c>
      <c r="M321" s="271" t="str">
        <f t="shared" si="5"/>
        <v>Tam2140</v>
      </c>
      <c r="N321" s="176">
        <f>IFERROR(__xludf.DUMMYFUNCTION("""COMPUTED_VALUE"""),2.0)</f>
        <v>2</v>
      </c>
      <c r="O321" s="176"/>
      <c r="P321" s="257" t="s">
        <v>28</v>
      </c>
      <c r="Q321" s="257" t="s">
        <v>18</v>
      </c>
      <c r="R321" s="176"/>
      <c r="S321" s="176"/>
      <c r="T321" s="176"/>
      <c r="U321" s="176"/>
      <c r="V321" s="176"/>
      <c r="W321" s="176"/>
      <c r="X321" s="176"/>
      <c r="Y321" s="176"/>
      <c r="Z321" s="176"/>
    </row>
    <row r="322">
      <c r="A322" s="267" t="str">
        <f>iferror(VLOOKUP(P322,'DO NOT TOUCH Imported'!$A$1:$D$800,4,False),iferror(VLOOKUP(P322,'DO NOT TOUCH Imported'!$C$1:$D$800,2,False),"OOPS FIX ME"))</f>
        <v>Tam2140</v>
      </c>
      <c r="B322" s="276" t="s">
        <v>1933</v>
      </c>
      <c r="C322" s="277" t="s">
        <v>1934</v>
      </c>
      <c r="D322" s="278" t="s">
        <v>437</v>
      </c>
      <c r="E322" s="275">
        <v>44258.0</v>
      </c>
      <c r="F322" s="278" t="s">
        <v>1929</v>
      </c>
      <c r="G322" s="171">
        <v>25.0</v>
      </c>
      <c r="H322" s="171">
        <v>2000.0</v>
      </c>
      <c r="I322" s="171">
        <v>200.0</v>
      </c>
      <c r="J322" s="172">
        <f t="shared" si="2"/>
        <v>0.001484118155</v>
      </c>
      <c r="K322" s="269">
        <f t="shared" si="14"/>
        <v>1.53358876</v>
      </c>
      <c r="L322" s="270">
        <f t="shared" si="4"/>
        <v>6.772330927</v>
      </c>
      <c r="M322" s="271" t="str">
        <f t="shared" si="5"/>
        <v>Tam2140</v>
      </c>
      <c r="N322" s="176">
        <f>IFERROR(__xludf.DUMMYFUNCTION("""COMPUTED_VALUE"""),3.0)</f>
        <v>3</v>
      </c>
      <c r="O322" s="176"/>
      <c r="P322" s="280" t="s">
        <v>435</v>
      </c>
      <c r="Q322" s="276" t="s">
        <v>1933</v>
      </c>
      <c r="R322" s="176"/>
      <c r="S322" s="176"/>
      <c r="T322" s="176"/>
      <c r="U322" s="176"/>
      <c r="V322" s="176"/>
      <c r="W322" s="176"/>
      <c r="X322" s="176"/>
      <c r="Y322" s="176"/>
      <c r="Z322" s="176"/>
    </row>
    <row r="323">
      <c r="A323" s="267" t="str">
        <f>iferror(VLOOKUP(P323,'DO NOT TOUCH Imported'!$A$1:$D$800,4,False),iferror(VLOOKUP(P323,'DO NOT TOUCH Imported'!$C$1:$D$800,2,False),"OOPS FIX ME"))</f>
        <v>Tam2140</v>
      </c>
      <c r="B323" s="276" t="s">
        <v>8</v>
      </c>
      <c r="C323" s="277" t="s">
        <v>1935</v>
      </c>
      <c r="D323" s="278" t="s">
        <v>437</v>
      </c>
      <c r="E323" s="275">
        <v>44259.0</v>
      </c>
      <c r="F323" s="278" t="s">
        <v>1929</v>
      </c>
      <c r="G323" s="171">
        <v>50.0</v>
      </c>
      <c r="H323" s="171">
        <v>1000.0</v>
      </c>
      <c r="I323" s="171">
        <v>100.0</v>
      </c>
      <c r="J323" s="172">
        <f t="shared" si="2"/>
        <v>0.001348560775</v>
      </c>
      <c r="K323" s="269">
        <f t="shared" si="14"/>
        <v>1.393512801</v>
      </c>
      <c r="L323" s="270">
        <f t="shared" si="4"/>
        <v>6.772330927</v>
      </c>
      <c r="M323" s="271" t="str">
        <f t="shared" si="5"/>
        <v>Tam2140</v>
      </c>
      <c r="N323" s="176">
        <f>IFERROR(__xludf.DUMMYFUNCTION("""COMPUTED_VALUE"""),4.0)</f>
        <v>4</v>
      </c>
      <c r="O323" s="176"/>
      <c r="P323" s="280" t="s">
        <v>435</v>
      </c>
      <c r="Q323" s="276" t="s">
        <v>8</v>
      </c>
      <c r="R323" s="176"/>
      <c r="S323" s="176"/>
      <c r="T323" s="176"/>
      <c r="U323" s="176"/>
      <c r="V323" s="176"/>
      <c r="W323" s="176"/>
      <c r="X323" s="176"/>
      <c r="Y323" s="176"/>
      <c r="Z323" s="176"/>
    </row>
    <row r="324">
      <c r="A324" s="267" t="str">
        <f>iferror(VLOOKUP(P324,'DO NOT TOUCH Imported'!$A$1:$D$800,4,False),iferror(VLOOKUP(P324,'DO NOT TOUCH Imported'!$C$1:$D$800,2,False),"OOPS FIX ME"))</f>
        <v>Tam2140</v>
      </c>
      <c r="B324" s="276" t="s">
        <v>43</v>
      </c>
      <c r="C324" s="277" t="s">
        <v>2081</v>
      </c>
      <c r="D324" s="278" t="s">
        <v>437</v>
      </c>
      <c r="E324" s="275">
        <v>44259.0</v>
      </c>
      <c r="F324" s="278" t="s">
        <v>911</v>
      </c>
      <c r="G324" s="171">
        <v>25.0</v>
      </c>
      <c r="H324" s="171">
        <v>5000.0</v>
      </c>
      <c r="I324" s="171">
        <v>1000.0</v>
      </c>
      <c r="J324" s="172">
        <f t="shared" si="2"/>
        <v>0.004267862154</v>
      </c>
      <c r="K324" s="269">
        <f t="shared" si="14"/>
        <v>4.410124226</v>
      </c>
      <c r="L324" s="270">
        <f t="shared" si="4"/>
        <v>6.772330927</v>
      </c>
      <c r="M324" s="271" t="str">
        <f t="shared" si="5"/>
        <v>Tam2140</v>
      </c>
      <c r="N324" s="176">
        <f>IFERROR(__xludf.DUMMYFUNCTION("""COMPUTED_VALUE"""),5.0)</f>
        <v>5</v>
      </c>
      <c r="O324" s="176"/>
      <c r="P324" s="267" t="s">
        <v>435</v>
      </c>
      <c r="Q324" s="272" t="s">
        <v>43</v>
      </c>
      <c r="R324" s="176"/>
      <c r="S324" s="176"/>
      <c r="T324" s="176"/>
      <c r="U324" s="176"/>
      <c r="V324" s="176"/>
      <c r="W324" s="176"/>
      <c r="X324" s="176"/>
      <c r="Y324" s="176"/>
      <c r="Z324" s="176"/>
    </row>
    <row r="325">
      <c r="A325" s="267" t="str">
        <f>iferror(VLOOKUP(P325,'DO NOT TOUCH Imported'!$A$1:$D$800,4,False),iferror(VLOOKUP(P325,'DO NOT TOUCH Imported'!$C$1:$D$800,2,False),"OOPS FIX ME"))</f>
        <v>Tam2140</v>
      </c>
      <c r="B325" s="276" t="s">
        <v>1933</v>
      </c>
      <c r="C325" s="277" t="s">
        <v>1936</v>
      </c>
      <c r="D325" s="278" t="s">
        <v>437</v>
      </c>
      <c r="E325" s="275">
        <v>44259.0</v>
      </c>
      <c r="F325" s="278" t="s">
        <v>1929</v>
      </c>
      <c r="G325" s="171">
        <v>25.0</v>
      </c>
      <c r="H325" s="171">
        <v>1500.0</v>
      </c>
      <c r="I325" s="171">
        <v>200.0</v>
      </c>
      <c r="J325" s="172">
        <f t="shared" si="2"/>
        <v>0.001330579079</v>
      </c>
      <c r="K325" s="269">
        <f t="shared" si="14"/>
        <v>1.374931715</v>
      </c>
      <c r="L325" s="270">
        <f t="shared" si="4"/>
        <v>6.772330927</v>
      </c>
      <c r="M325" s="271" t="str">
        <f t="shared" si="5"/>
        <v>Tam2140</v>
      </c>
      <c r="N325" s="176">
        <f>IFERROR(__xludf.DUMMYFUNCTION("""COMPUTED_VALUE"""),6.0)</f>
        <v>6</v>
      </c>
      <c r="O325" s="176"/>
      <c r="P325" s="280" t="s">
        <v>435</v>
      </c>
      <c r="Q325" s="276" t="s">
        <v>1933</v>
      </c>
      <c r="R325" s="176"/>
      <c r="S325" s="176"/>
      <c r="T325" s="176"/>
      <c r="U325" s="176"/>
      <c r="V325" s="176"/>
      <c r="W325" s="176"/>
      <c r="X325" s="176"/>
      <c r="Y325" s="176"/>
      <c r="Z325" s="176"/>
    </row>
    <row r="326">
      <c r="A326" s="267" t="str">
        <f>iferror(VLOOKUP(P326,'DO NOT TOUCH Imported'!$A$1:$D$800,4,False),iferror(VLOOKUP(P326,'DO NOT TOUCH Imported'!$C$1:$D$800,2,False),"OOPS FIX ME"))</f>
        <v>Tam2140</v>
      </c>
      <c r="B326" s="276" t="s">
        <v>10</v>
      </c>
      <c r="C326" s="277" t="s">
        <v>1937</v>
      </c>
      <c r="D326" s="278" t="s">
        <v>437</v>
      </c>
      <c r="E326" s="275">
        <v>44260.0</v>
      </c>
      <c r="F326" s="278" t="s">
        <v>1929</v>
      </c>
      <c r="G326" s="171">
        <v>35.0</v>
      </c>
      <c r="H326" s="171">
        <v>1000.0</v>
      </c>
      <c r="I326" s="171">
        <v>100.0</v>
      </c>
      <c r="J326" s="172">
        <f t="shared" si="2"/>
        <v>0.001105960096</v>
      </c>
      <c r="K326" s="269">
        <f t="shared" si="14"/>
        <v>1.142825433</v>
      </c>
      <c r="L326" s="270">
        <f t="shared" si="4"/>
        <v>6.772330927</v>
      </c>
      <c r="M326" s="271" t="str">
        <f t="shared" si="5"/>
        <v>Tam2140</v>
      </c>
      <c r="N326" s="176">
        <f>IFERROR(__xludf.DUMMYFUNCTION("""COMPUTED_VALUE"""),7.0)</f>
        <v>7</v>
      </c>
      <c r="O326" s="176"/>
      <c r="P326" s="267" t="s">
        <v>435</v>
      </c>
      <c r="Q326" s="272" t="s">
        <v>10</v>
      </c>
      <c r="R326" s="176"/>
      <c r="S326" s="176"/>
      <c r="T326" s="176"/>
      <c r="U326" s="176"/>
      <c r="V326" s="176"/>
      <c r="W326" s="176"/>
      <c r="X326" s="176"/>
      <c r="Y326" s="176"/>
      <c r="Z326" s="176"/>
    </row>
    <row r="327">
      <c r="A327" s="267" t="str">
        <f>iferror(VLOOKUP(P327,'DO NOT TOUCH Imported'!$A$1:$D$800,4,False),iferror(VLOOKUP(P327,'DO NOT TOUCH Imported'!$C$1:$D$800,2,False),"OOPS FIX ME"))</f>
        <v>Tam2140</v>
      </c>
      <c r="B327" s="276" t="s">
        <v>10</v>
      </c>
      <c r="C327" s="277" t="s">
        <v>1938</v>
      </c>
      <c r="D327" s="278" t="s">
        <v>437</v>
      </c>
      <c r="E327" s="275">
        <v>44260.0</v>
      </c>
      <c r="F327" s="278" t="s">
        <v>1929</v>
      </c>
      <c r="G327" s="171">
        <v>35.0</v>
      </c>
      <c r="H327" s="171">
        <v>2000.0</v>
      </c>
      <c r="I327" s="171">
        <v>200.0</v>
      </c>
      <c r="J327" s="172">
        <f t="shared" si="2"/>
        <v>0.001645851941</v>
      </c>
      <c r="K327" s="269">
        <f t="shared" si="14"/>
        <v>1.700713672</v>
      </c>
      <c r="L327" s="270">
        <f t="shared" si="4"/>
        <v>6.772330927</v>
      </c>
      <c r="M327" s="271" t="str">
        <f t="shared" si="5"/>
        <v>Tam2140</v>
      </c>
      <c r="N327" s="176">
        <f>IFERROR(__xludf.DUMMYFUNCTION("""COMPUTED_VALUE"""),8.0)</f>
        <v>8</v>
      </c>
      <c r="O327" s="176"/>
      <c r="P327" s="267" t="s">
        <v>435</v>
      </c>
      <c r="Q327" s="272" t="s">
        <v>10</v>
      </c>
      <c r="R327" s="176"/>
      <c r="S327" s="176"/>
      <c r="T327" s="176"/>
      <c r="U327" s="176"/>
      <c r="V327" s="176"/>
      <c r="W327" s="176"/>
      <c r="X327" s="176"/>
      <c r="Y327" s="176"/>
      <c r="Z327" s="176"/>
    </row>
    <row r="328">
      <c r="A328" s="267" t="str">
        <f>iferror(VLOOKUP(P328,'DO NOT TOUCH Imported'!$A$1:$D$800,4,False),iferror(VLOOKUP(P328,'DO NOT TOUCH Imported'!$C$1:$D$800,2,False),"OOPS FIX ME"))</f>
        <v>Tam2140</v>
      </c>
      <c r="B328" s="276" t="s">
        <v>10</v>
      </c>
      <c r="C328" s="277" t="s">
        <v>2082</v>
      </c>
      <c r="D328" s="278" t="s">
        <v>437</v>
      </c>
      <c r="E328" s="275">
        <v>44260.0</v>
      </c>
      <c r="F328" s="278" t="s">
        <v>1929</v>
      </c>
      <c r="G328" s="171">
        <v>50.0</v>
      </c>
      <c r="H328" s="171">
        <v>2500.0</v>
      </c>
      <c r="I328" s="171">
        <v>1000.0</v>
      </c>
      <c r="J328" s="172">
        <f t="shared" si="2"/>
        <v>0.003904501241</v>
      </c>
      <c r="K328" s="269">
        <f t="shared" si="14"/>
        <v>4.034651282</v>
      </c>
      <c r="L328" s="270">
        <f t="shared" si="4"/>
        <v>6.772330927</v>
      </c>
      <c r="M328" s="271" t="str">
        <f t="shared" si="5"/>
        <v>Tam2140</v>
      </c>
      <c r="N328" s="176">
        <f>IFERROR(__xludf.DUMMYFUNCTION("""COMPUTED_VALUE"""),9.0)</f>
        <v>9</v>
      </c>
      <c r="O328" s="176"/>
      <c r="P328" s="280" t="s">
        <v>435</v>
      </c>
      <c r="Q328" s="276" t="s">
        <v>10</v>
      </c>
      <c r="R328" s="176"/>
      <c r="S328" s="176"/>
      <c r="T328" s="176"/>
      <c r="U328" s="176"/>
      <c r="V328" s="176"/>
      <c r="W328" s="176"/>
      <c r="X328" s="176"/>
      <c r="Y328" s="176"/>
      <c r="Z328" s="176"/>
    </row>
    <row r="329">
      <c r="A329" s="267" t="str">
        <f>iferror(VLOOKUP(P329,'DO NOT TOUCH Imported'!$A$1:$D$800,4,False),iferror(VLOOKUP(P329,'DO NOT TOUCH Imported'!$C$1:$D$800,2,False),"OOPS FIX ME"))</f>
        <v>Tam2140</v>
      </c>
      <c r="B329" s="276" t="s">
        <v>10</v>
      </c>
      <c r="C329" s="302" t="s">
        <v>2039</v>
      </c>
      <c r="D329" s="278" t="s">
        <v>437</v>
      </c>
      <c r="E329" s="275">
        <v>44260.0</v>
      </c>
      <c r="F329" s="278" t="s">
        <v>1929</v>
      </c>
      <c r="G329" s="171">
        <v>50.0</v>
      </c>
      <c r="H329" s="171">
        <v>2500.0</v>
      </c>
      <c r="I329" s="171">
        <v>1000.0</v>
      </c>
      <c r="J329" s="172">
        <f t="shared" si="2"/>
        <v>0.003904501241</v>
      </c>
      <c r="K329" s="269">
        <f t="shared" si="14"/>
        <v>4.034651282</v>
      </c>
      <c r="L329" s="270">
        <f t="shared" si="4"/>
        <v>6.772330927</v>
      </c>
      <c r="M329" s="271" t="str">
        <f t="shared" si="5"/>
        <v>Tam2140</v>
      </c>
      <c r="N329" s="176">
        <f>IFERROR(__xludf.DUMMYFUNCTION("""COMPUTED_VALUE"""),10.0)</f>
        <v>10</v>
      </c>
      <c r="O329" s="176"/>
      <c r="P329" s="280" t="s">
        <v>435</v>
      </c>
      <c r="Q329" s="276" t="s">
        <v>10</v>
      </c>
      <c r="R329" s="176"/>
      <c r="S329" s="176"/>
      <c r="T329" s="176"/>
      <c r="U329" s="176"/>
      <c r="V329" s="176"/>
      <c r="W329" s="176"/>
      <c r="X329" s="176"/>
      <c r="Y329" s="176"/>
      <c r="Z329" s="176"/>
    </row>
    <row r="330">
      <c r="A330" s="267" t="str">
        <f>iferror(VLOOKUP(P330,'DO NOT TOUCH Imported'!$A$1:$D$800,4,False),iferror(VLOOKUP(P330,'DO NOT TOUCH Imported'!$C$1:$D$800,2,False),"OOPS FIX ME"))</f>
        <v>Tam2140</v>
      </c>
      <c r="B330" s="276" t="s">
        <v>10</v>
      </c>
      <c r="C330" s="277" t="s">
        <v>1941</v>
      </c>
      <c r="D330" s="278" t="s">
        <v>437</v>
      </c>
      <c r="E330" s="275">
        <v>44260.0</v>
      </c>
      <c r="F330" s="278" t="s">
        <v>1929</v>
      </c>
      <c r="G330" s="171">
        <v>15.0</v>
      </c>
      <c r="H330" s="171">
        <v>1000.0</v>
      </c>
      <c r="I330" s="171">
        <v>20.0</v>
      </c>
      <c r="J330" s="172">
        <f t="shared" si="2"/>
        <v>0.0005962415693</v>
      </c>
      <c r="K330" s="269">
        <f t="shared" si="14"/>
        <v>0.6161162883</v>
      </c>
      <c r="L330" s="270">
        <f t="shared" si="4"/>
        <v>6.772330927</v>
      </c>
      <c r="M330" s="271" t="str">
        <f t="shared" si="5"/>
        <v>Tam2140</v>
      </c>
      <c r="N330" s="176">
        <f>IFERROR(__xludf.DUMMYFUNCTION("""COMPUTED_VALUE"""),11.0)</f>
        <v>11</v>
      </c>
      <c r="O330" s="176"/>
      <c r="P330" s="280" t="s">
        <v>435</v>
      </c>
      <c r="Q330" s="276" t="s">
        <v>10</v>
      </c>
      <c r="R330" s="176"/>
      <c r="S330" s="176"/>
      <c r="T330" s="176"/>
      <c r="U330" s="176"/>
      <c r="V330" s="176"/>
      <c r="W330" s="176"/>
      <c r="X330" s="176"/>
      <c r="Y330" s="176"/>
      <c r="Z330" s="176"/>
    </row>
    <row r="331">
      <c r="A331" s="267" t="str">
        <f>iferror(VLOOKUP(P331,'DO NOT TOUCH Imported'!$A$1:$D$800,4,False),iferror(VLOOKUP(P331,'DO NOT TOUCH Imported'!$C$1:$D$800,2,False),"OOPS FIX ME"))</f>
        <v>Tam2140</v>
      </c>
      <c r="B331" s="257" t="s">
        <v>10</v>
      </c>
      <c r="C331" s="261" t="s">
        <v>498</v>
      </c>
      <c r="D331" s="281" t="s">
        <v>495</v>
      </c>
      <c r="E331" s="252">
        <v>44260.0</v>
      </c>
      <c r="F331" s="258" t="s">
        <v>499</v>
      </c>
      <c r="G331" s="171">
        <v>35.0</v>
      </c>
      <c r="H331" s="171">
        <v>500.0</v>
      </c>
      <c r="I331" s="171">
        <v>40.0</v>
      </c>
      <c r="J331" s="172">
        <f t="shared" si="2"/>
        <v>0.0008127328046</v>
      </c>
      <c r="K331" s="269">
        <f t="shared" si="14"/>
        <v>0.8398238981</v>
      </c>
      <c r="L331" s="270">
        <f t="shared" si="4"/>
        <v>6.772330927</v>
      </c>
      <c r="M331" s="271" t="str">
        <f t="shared" si="5"/>
        <v>Tam2140</v>
      </c>
      <c r="N331" s="176">
        <f>IFERROR(__xludf.DUMMYFUNCTION("""COMPUTED_VALUE"""),12.0)</f>
        <v>12</v>
      </c>
      <c r="O331" s="176"/>
      <c r="P331" s="257" t="s">
        <v>28</v>
      </c>
      <c r="Q331" s="257" t="s">
        <v>10</v>
      </c>
      <c r="R331" s="176"/>
      <c r="S331" s="176"/>
      <c r="T331" s="176"/>
      <c r="U331" s="176"/>
      <c r="V331" s="176"/>
      <c r="W331" s="176"/>
      <c r="X331" s="176"/>
      <c r="Y331" s="176"/>
      <c r="Z331" s="176"/>
    </row>
    <row r="332">
      <c r="A332" s="267" t="str">
        <f>iferror(VLOOKUP(P332,'DO NOT TOUCH Imported'!$A$1:$D$800,4,False),iferror(VLOOKUP(P332,'DO NOT TOUCH Imported'!$C$1:$D$800,2,False),"OOPS FIX ME"))</f>
        <v>Tam2140</v>
      </c>
      <c r="B332" s="276" t="s">
        <v>10</v>
      </c>
      <c r="C332" s="277" t="s">
        <v>1942</v>
      </c>
      <c r="D332" s="278" t="s">
        <v>437</v>
      </c>
      <c r="E332" s="275">
        <v>44262.0</v>
      </c>
      <c r="F332" s="278" t="s">
        <v>1929</v>
      </c>
      <c r="G332" s="171">
        <v>25.0</v>
      </c>
      <c r="H332" s="171">
        <v>1000.0</v>
      </c>
      <c r="I332" s="171">
        <v>40.0</v>
      </c>
      <c r="J332" s="172">
        <f t="shared" si="2"/>
        <v>0.0008045380941</v>
      </c>
      <c r="K332" s="269">
        <f t="shared" si="14"/>
        <v>0.8313560306</v>
      </c>
      <c r="L332" s="270">
        <f t="shared" si="4"/>
        <v>6.772330927</v>
      </c>
      <c r="M332" s="271" t="str">
        <f t="shared" si="5"/>
        <v>Tam2140</v>
      </c>
      <c r="N332" s="176">
        <f>IFERROR(__xludf.DUMMYFUNCTION("""COMPUTED_VALUE"""),13.0)</f>
        <v>13</v>
      </c>
      <c r="O332" s="176"/>
      <c r="P332" s="267" t="s">
        <v>435</v>
      </c>
      <c r="Q332" s="272" t="s">
        <v>10</v>
      </c>
      <c r="R332" s="176"/>
      <c r="S332" s="176"/>
      <c r="T332" s="176"/>
      <c r="U332" s="176"/>
      <c r="V332" s="176"/>
      <c r="W332" s="176"/>
      <c r="X332" s="176"/>
      <c r="Y332" s="176"/>
      <c r="Z332" s="176"/>
    </row>
    <row r="333">
      <c r="A333" s="267" t="str">
        <f>iferror(VLOOKUP(P333,'DO NOT TOUCH Imported'!$A$1:$D$800,4,False),iferror(VLOOKUP(P333,'DO NOT TOUCH Imported'!$C$1:$D$800,2,False),"OOPS FIX ME"))</f>
        <v>Tam2140</v>
      </c>
      <c r="B333" s="257" t="s">
        <v>590</v>
      </c>
      <c r="C333" s="261" t="s">
        <v>1945</v>
      </c>
      <c r="D333" s="281" t="s">
        <v>495</v>
      </c>
      <c r="E333" s="252">
        <v>44264.0</v>
      </c>
      <c r="F333" s="258" t="s">
        <v>496</v>
      </c>
      <c r="G333" s="171">
        <v>25.0</v>
      </c>
      <c r="H333" s="171">
        <v>1000.0</v>
      </c>
      <c r="I333" s="171">
        <v>50.0</v>
      </c>
      <c r="J333" s="172">
        <f t="shared" si="2"/>
        <v>0.0008278194634</v>
      </c>
      <c r="K333" s="269">
        <f t="shared" si="14"/>
        <v>0.8554134456</v>
      </c>
      <c r="L333" s="270">
        <f t="shared" si="4"/>
        <v>6.772330927</v>
      </c>
      <c r="M333" s="271" t="str">
        <f t="shared" si="5"/>
        <v>Tam2140</v>
      </c>
      <c r="N333" s="176">
        <f>IFERROR(__xludf.DUMMYFUNCTION("""COMPUTED_VALUE"""),14.0)</f>
        <v>14</v>
      </c>
      <c r="O333" s="176"/>
      <c r="P333" s="257" t="s">
        <v>28</v>
      </c>
      <c r="Q333" s="257" t="s">
        <v>590</v>
      </c>
      <c r="R333" s="176"/>
      <c r="S333" s="176"/>
      <c r="T333" s="176"/>
      <c r="U333" s="176"/>
      <c r="V333" s="176"/>
      <c r="W333" s="176"/>
      <c r="X333" s="176"/>
      <c r="Y333" s="176"/>
      <c r="Z333" s="176"/>
    </row>
    <row r="334">
      <c r="A334" s="267" t="str">
        <f>iferror(VLOOKUP(P334,'DO NOT TOUCH Imported'!$A$1:$D$800,4,False),iferror(VLOOKUP(P334,'DO NOT TOUCH Imported'!$C$1:$D$800,2,False),"OOPS FIX ME"))</f>
        <v>Tam2140</v>
      </c>
      <c r="B334" s="257" t="s">
        <v>590</v>
      </c>
      <c r="C334" s="261" t="s">
        <v>2083</v>
      </c>
      <c r="D334" s="281" t="s">
        <v>495</v>
      </c>
      <c r="E334" s="252">
        <v>44264.0</v>
      </c>
      <c r="F334" s="258" t="s">
        <v>496</v>
      </c>
      <c r="G334" s="171">
        <v>50.0</v>
      </c>
      <c r="H334" s="171">
        <v>1000.0</v>
      </c>
      <c r="I334" s="171">
        <v>500.0</v>
      </c>
      <c r="J334" s="172">
        <f t="shared" si="2"/>
        <v>0.002279815548</v>
      </c>
      <c r="K334" s="269">
        <f t="shared" si="14"/>
        <v>2.3558094</v>
      </c>
      <c r="L334" s="270">
        <f t="shared" si="4"/>
        <v>6.772330927</v>
      </c>
      <c r="M334" s="271" t="str">
        <f t="shared" si="5"/>
        <v>Tam2140</v>
      </c>
      <c r="N334" s="176">
        <f>IFERROR(__xludf.DUMMYFUNCTION("""COMPUTED_VALUE"""),15.0)</f>
        <v>15</v>
      </c>
      <c r="O334" s="176"/>
      <c r="P334" s="257" t="s">
        <v>28</v>
      </c>
      <c r="Q334" s="257" t="s">
        <v>590</v>
      </c>
      <c r="R334" s="176"/>
      <c r="S334" s="176"/>
      <c r="T334" s="176"/>
      <c r="U334" s="176"/>
      <c r="V334" s="176"/>
      <c r="W334" s="176"/>
      <c r="X334" s="176"/>
      <c r="Y334" s="176"/>
      <c r="Z334" s="176"/>
    </row>
    <row r="335">
      <c r="A335" s="267" t="str">
        <f>iferror(VLOOKUP(P335,'DO NOT TOUCH Imported'!$A$1:$D$800,4,False),iferror(VLOOKUP(P335,'DO NOT TOUCH Imported'!$C$1:$D$800,2,False),"OOPS FIX ME"))</f>
        <v>Tam2140</v>
      </c>
      <c r="B335" s="276" t="s">
        <v>18</v>
      </c>
      <c r="C335" s="277" t="s">
        <v>2084</v>
      </c>
      <c r="D335" s="278" t="s">
        <v>437</v>
      </c>
      <c r="E335" s="275">
        <v>44265.0</v>
      </c>
      <c r="F335" s="278" t="s">
        <v>1929</v>
      </c>
      <c r="G335" s="171">
        <v>50.0</v>
      </c>
      <c r="H335" s="171">
        <v>2500.0</v>
      </c>
      <c r="I335" s="171">
        <v>100.0</v>
      </c>
      <c r="J335" s="172">
        <f t="shared" si="2"/>
        <v>0.001809178003</v>
      </c>
      <c r="K335" s="269">
        <f t="shared" si="14"/>
        <v>1.869483936</v>
      </c>
      <c r="L335" s="270">
        <f t="shared" si="4"/>
        <v>6.772330927</v>
      </c>
      <c r="M335" s="271" t="str">
        <f t="shared" si="5"/>
        <v>Tam2140</v>
      </c>
      <c r="N335" s="176">
        <f>IFERROR(__xludf.DUMMYFUNCTION("""COMPUTED_VALUE"""),16.0)</f>
        <v>16</v>
      </c>
      <c r="O335" s="176"/>
      <c r="P335" s="280" t="s">
        <v>435</v>
      </c>
      <c r="Q335" s="276" t="s">
        <v>18</v>
      </c>
      <c r="R335" s="176"/>
      <c r="S335" s="176"/>
      <c r="T335" s="176"/>
      <c r="U335" s="176"/>
      <c r="V335" s="176"/>
      <c r="W335" s="176"/>
      <c r="X335" s="176"/>
      <c r="Y335" s="176"/>
      <c r="Z335" s="176"/>
    </row>
    <row r="336">
      <c r="A336" s="267" t="str">
        <f>iferror(VLOOKUP(P336,'DO NOT TOUCH Imported'!$A$1:$D$800,4,False),iferror(VLOOKUP(P336,'DO NOT TOUCH Imported'!$C$1:$D$800,2,False),"OOPS FIX ME"))</f>
        <v>Tam2140</v>
      </c>
      <c r="B336" s="276" t="s">
        <v>2055</v>
      </c>
      <c r="C336" s="277" t="s">
        <v>2056</v>
      </c>
      <c r="D336" s="278" t="s">
        <v>437</v>
      </c>
      <c r="E336" s="275">
        <v>44265.0</v>
      </c>
      <c r="F336" s="278" t="s">
        <v>1929</v>
      </c>
      <c r="G336" s="171">
        <v>25.0</v>
      </c>
      <c r="H336" s="171">
        <v>1000.0</v>
      </c>
      <c r="I336" s="171">
        <v>200.0</v>
      </c>
      <c r="J336" s="172">
        <f t="shared" si="2"/>
        <v>0.001177040003</v>
      </c>
      <c r="K336" s="269">
        <f t="shared" si="14"/>
        <v>1.21627467</v>
      </c>
      <c r="L336" s="270">
        <f t="shared" si="4"/>
        <v>6.772330927</v>
      </c>
      <c r="M336" s="271" t="str">
        <f t="shared" si="5"/>
        <v>Tam2140</v>
      </c>
      <c r="N336" s="176">
        <f>IFERROR(__xludf.DUMMYFUNCTION("""COMPUTED_VALUE"""),17.0)</f>
        <v>17</v>
      </c>
      <c r="O336" s="176"/>
      <c r="P336" s="267" t="s">
        <v>435</v>
      </c>
      <c r="Q336" s="272" t="s">
        <v>2055</v>
      </c>
      <c r="R336" s="176"/>
      <c r="S336" s="176"/>
      <c r="T336" s="176"/>
      <c r="U336" s="176"/>
      <c r="V336" s="176"/>
      <c r="W336" s="176"/>
      <c r="X336" s="176"/>
      <c r="Y336" s="176"/>
      <c r="Z336" s="176"/>
    </row>
    <row r="337">
      <c r="A337" s="267" t="str">
        <f>iferror(VLOOKUP(P337,'DO NOT TOUCH Imported'!$A$1:$D$800,4,False),iferror(VLOOKUP(P337,'DO NOT TOUCH Imported'!$C$1:$D$800,2,False),"OOPS FIX ME"))</f>
        <v>Tam2140</v>
      </c>
      <c r="B337" s="276" t="s">
        <v>10</v>
      </c>
      <c r="C337" s="277" t="s">
        <v>2041</v>
      </c>
      <c r="D337" s="278" t="s">
        <v>437</v>
      </c>
      <c r="E337" s="306">
        <v>44267.0</v>
      </c>
      <c r="F337" s="278" t="s">
        <v>439</v>
      </c>
      <c r="G337" s="171">
        <v>35.0</v>
      </c>
      <c r="H337" s="171">
        <v>5000.0</v>
      </c>
      <c r="I337" s="171">
        <v>400.0</v>
      </c>
      <c r="J337" s="172">
        <f t="shared" si="2"/>
        <v>0.003032713781</v>
      </c>
      <c r="K337" s="269">
        <f t="shared" si="14"/>
        <v>3.133804241</v>
      </c>
      <c r="L337" s="270">
        <f t="shared" si="4"/>
        <v>6.772330927</v>
      </c>
      <c r="M337" s="271" t="str">
        <f t="shared" si="5"/>
        <v>Tam2140</v>
      </c>
      <c r="N337" s="176">
        <f>IFERROR(__xludf.DUMMYFUNCTION("""COMPUTED_VALUE"""),18.0)</f>
        <v>18</v>
      </c>
      <c r="O337" s="176"/>
      <c r="P337" s="280" t="s">
        <v>435</v>
      </c>
      <c r="Q337" s="276" t="s">
        <v>10</v>
      </c>
      <c r="R337" s="176"/>
      <c r="S337" s="176"/>
      <c r="T337" s="176"/>
      <c r="U337" s="176"/>
      <c r="V337" s="176"/>
      <c r="W337" s="176"/>
      <c r="X337" s="176"/>
      <c r="Y337" s="176"/>
      <c r="Z337" s="176"/>
    </row>
    <row r="338">
      <c r="A338" s="267" t="str">
        <f>iferror(VLOOKUP(P338,'DO NOT TOUCH Imported'!$A$1:$D$800,4,False),iferror(VLOOKUP(P338,'DO NOT TOUCH Imported'!$C$1:$D$800,2,False),"OOPS FIX ME"))</f>
        <v>Tam2140</v>
      </c>
      <c r="B338" s="276" t="s">
        <v>10</v>
      </c>
      <c r="C338" s="277" t="s">
        <v>2085</v>
      </c>
      <c r="D338" s="278" t="s">
        <v>437</v>
      </c>
      <c r="E338" s="306">
        <v>44267.0</v>
      </c>
      <c r="F338" s="278" t="s">
        <v>439</v>
      </c>
      <c r="G338" s="171">
        <v>25.0</v>
      </c>
      <c r="H338" s="171">
        <v>5000.0</v>
      </c>
      <c r="I338" s="171">
        <v>500.0</v>
      </c>
      <c r="J338" s="172">
        <f t="shared" si="2"/>
        <v>0.003103793688</v>
      </c>
      <c r="K338" s="269">
        <f t="shared" si="14"/>
        <v>3.207253478</v>
      </c>
      <c r="L338" s="270">
        <f t="shared" si="4"/>
        <v>6.772330927</v>
      </c>
      <c r="M338" s="271" t="str">
        <f t="shared" si="5"/>
        <v>Tam2140</v>
      </c>
      <c r="N338" s="176">
        <f>IFERROR(__xludf.DUMMYFUNCTION("""COMPUTED_VALUE"""),19.0)</f>
        <v>19</v>
      </c>
      <c r="O338" s="176"/>
      <c r="P338" s="280" t="s">
        <v>435</v>
      </c>
      <c r="Q338" s="276" t="s">
        <v>10</v>
      </c>
      <c r="R338" s="176"/>
      <c r="S338" s="176"/>
      <c r="T338" s="176"/>
      <c r="U338" s="176"/>
      <c r="V338" s="176"/>
      <c r="W338" s="176"/>
      <c r="X338" s="176"/>
      <c r="Y338" s="176"/>
      <c r="Z338" s="176"/>
    </row>
    <row r="339">
      <c r="A339" s="267" t="str">
        <f>iferror(VLOOKUP(P339,'DO NOT TOUCH Imported'!$A$1:$D$800,4,False),iferror(VLOOKUP(P339,'DO NOT TOUCH Imported'!$C$1:$D$800,2,False),"OOPS FIX ME"))</f>
        <v>Tam2140</v>
      </c>
      <c r="B339" s="276" t="s">
        <v>10</v>
      </c>
      <c r="C339" s="277" t="s">
        <v>2061</v>
      </c>
      <c r="D339" s="278" t="s">
        <v>437</v>
      </c>
      <c r="E339" s="306">
        <v>44267.0</v>
      </c>
      <c r="F339" s="278" t="s">
        <v>439</v>
      </c>
      <c r="G339" s="171">
        <v>25.0</v>
      </c>
      <c r="H339" s="171">
        <v>2500.0</v>
      </c>
      <c r="I339" s="171">
        <v>100.0</v>
      </c>
      <c r="J339" s="172">
        <f t="shared" si="2"/>
        <v>0.001404843537</v>
      </c>
      <c r="K339" s="269">
        <f t="shared" si="14"/>
        <v>1.451671655</v>
      </c>
      <c r="L339" s="270">
        <f t="shared" si="4"/>
        <v>6.772330927</v>
      </c>
      <c r="M339" s="271" t="str">
        <f t="shared" si="5"/>
        <v>Tam2140</v>
      </c>
      <c r="N339" s="176">
        <f>IFERROR(__xludf.DUMMYFUNCTION("""COMPUTED_VALUE"""),20.0)</f>
        <v>20</v>
      </c>
      <c r="O339" s="176"/>
      <c r="P339" s="280" t="s">
        <v>435</v>
      </c>
      <c r="Q339" s="276" t="s">
        <v>10</v>
      </c>
      <c r="R339" s="176"/>
      <c r="S339" s="176"/>
      <c r="T339" s="176"/>
      <c r="U339" s="176"/>
      <c r="V339" s="176"/>
      <c r="W339" s="176"/>
      <c r="X339" s="176"/>
      <c r="Y339" s="176"/>
      <c r="Z339" s="176"/>
    </row>
    <row r="340">
      <c r="A340" s="267" t="str">
        <f>iferror(VLOOKUP(P340,'DO NOT TOUCH Imported'!$A$1:$D$800,4,False),iferror(VLOOKUP(P340,'DO NOT TOUCH Imported'!$C$1:$D$800,2,False),"OOPS FIX ME"))</f>
        <v>Tam2140</v>
      </c>
      <c r="B340" s="276" t="s">
        <v>10</v>
      </c>
      <c r="C340" s="277" t="s">
        <v>2063</v>
      </c>
      <c r="D340" s="278" t="s">
        <v>437</v>
      </c>
      <c r="E340" s="306">
        <v>44267.0</v>
      </c>
      <c r="F340" s="278" t="s">
        <v>439</v>
      </c>
      <c r="G340" s="171">
        <v>35.0</v>
      </c>
      <c r="H340" s="171">
        <v>500.0</v>
      </c>
      <c r="I340" s="171">
        <v>400.0</v>
      </c>
      <c r="J340" s="172">
        <f t="shared" si="2"/>
        <v>0.0016508621</v>
      </c>
      <c r="K340" s="269">
        <f t="shared" si="14"/>
        <v>1.705890837</v>
      </c>
      <c r="L340" s="270">
        <f t="shared" si="4"/>
        <v>6.772330927</v>
      </c>
      <c r="M340" s="271" t="str">
        <f t="shared" si="5"/>
        <v>Tam2140</v>
      </c>
      <c r="N340" s="176">
        <f>IFERROR(__xludf.DUMMYFUNCTION("""COMPUTED_VALUE"""),21.0)</f>
        <v>21</v>
      </c>
      <c r="O340" s="176"/>
      <c r="P340" s="280" t="s">
        <v>435</v>
      </c>
      <c r="Q340" s="276" t="s">
        <v>10</v>
      </c>
      <c r="R340" s="176"/>
      <c r="S340" s="176"/>
      <c r="T340" s="176"/>
      <c r="U340" s="176"/>
      <c r="V340" s="176"/>
      <c r="W340" s="176"/>
      <c r="X340" s="176"/>
      <c r="Y340" s="176"/>
      <c r="Z340" s="176"/>
    </row>
    <row r="341">
      <c r="A341" s="267" t="str">
        <f>iferror(VLOOKUP(P341,'DO NOT TOUCH Imported'!$A$1:$D$800,4,False),iferror(VLOOKUP(P341,'DO NOT TOUCH Imported'!$C$1:$D$800,2,False),"OOPS FIX ME"))</f>
        <v>Tam2140</v>
      </c>
      <c r="B341" s="276" t="s">
        <v>10</v>
      </c>
      <c r="C341" s="277" t="s">
        <v>2043</v>
      </c>
      <c r="D341" s="278" t="s">
        <v>437</v>
      </c>
      <c r="E341" s="306">
        <v>44267.0</v>
      </c>
      <c r="F341" s="278" t="s">
        <v>439</v>
      </c>
      <c r="G341" s="171">
        <v>25.0</v>
      </c>
      <c r="H341" s="171">
        <v>500.0</v>
      </c>
      <c r="I341" s="171">
        <v>300.0</v>
      </c>
      <c r="J341" s="172">
        <f t="shared" si="2"/>
        <v>0.001256314621</v>
      </c>
      <c r="K341" s="269">
        <f t="shared" si="14"/>
        <v>1.298191775</v>
      </c>
      <c r="L341" s="270">
        <f t="shared" si="4"/>
        <v>6.772330927</v>
      </c>
      <c r="M341" s="271" t="str">
        <f t="shared" si="5"/>
        <v>Tam2140</v>
      </c>
      <c r="N341" s="176">
        <f>IFERROR(__xludf.DUMMYFUNCTION("""COMPUTED_VALUE"""),22.0)</f>
        <v>22</v>
      </c>
      <c r="O341" s="176"/>
      <c r="P341" s="267" t="s">
        <v>435</v>
      </c>
      <c r="Q341" s="272" t="s">
        <v>10</v>
      </c>
      <c r="R341" s="176"/>
      <c r="S341" s="176"/>
      <c r="T341" s="176"/>
      <c r="U341" s="176"/>
      <c r="V341" s="176"/>
      <c r="W341" s="176"/>
      <c r="X341" s="176"/>
      <c r="Y341" s="176"/>
      <c r="Z341" s="176"/>
    </row>
    <row r="342">
      <c r="A342" s="267" t="str">
        <f>iferror(VLOOKUP(P342,'DO NOT TOUCH Imported'!$A$1:$D$800,4,False),iferror(VLOOKUP(P342,'DO NOT TOUCH Imported'!$C$1:$D$800,2,False),"OOPS FIX ME"))</f>
        <v>Tam2140</v>
      </c>
      <c r="B342" s="276" t="s">
        <v>10</v>
      </c>
      <c r="C342" s="277" t="s">
        <v>1952</v>
      </c>
      <c r="D342" s="278" t="s">
        <v>437</v>
      </c>
      <c r="E342" s="306">
        <v>44267.0</v>
      </c>
      <c r="F342" s="278" t="s">
        <v>439</v>
      </c>
      <c r="G342" s="171">
        <v>25.0</v>
      </c>
      <c r="H342" s="171">
        <v>1000.0</v>
      </c>
      <c r="I342" s="171">
        <v>10.0</v>
      </c>
      <c r="J342" s="172">
        <f t="shared" si="2"/>
        <v>0.0007346939862</v>
      </c>
      <c r="K342" s="269">
        <f t="shared" si="14"/>
        <v>0.7591837857</v>
      </c>
      <c r="L342" s="270">
        <f t="shared" si="4"/>
        <v>6.772330927</v>
      </c>
      <c r="M342" s="271" t="str">
        <f t="shared" si="5"/>
        <v>Tam2140</v>
      </c>
      <c r="N342" s="176">
        <f>IFERROR(__xludf.DUMMYFUNCTION("""COMPUTED_VALUE"""),23.0)</f>
        <v>23</v>
      </c>
      <c r="O342" s="176"/>
      <c r="P342" s="267" t="s">
        <v>435</v>
      </c>
      <c r="Q342" s="272" t="s">
        <v>10</v>
      </c>
      <c r="R342" s="176"/>
      <c r="S342" s="176"/>
      <c r="T342" s="176"/>
      <c r="U342" s="176"/>
      <c r="V342" s="176"/>
      <c r="W342" s="176"/>
      <c r="X342" s="176"/>
      <c r="Y342" s="176"/>
      <c r="Z342" s="176"/>
    </row>
    <row r="343">
      <c r="A343" s="267" t="str">
        <f>iferror(VLOOKUP(P343,'DO NOT TOUCH Imported'!$A$1:$D$800,4,False),iferror(VLOOKUP(P343,'DO NOT TOUCH Imported'!$C$1:$D$800,2,False),"OOPS FIX ME"))</f>
        <v>Tam2140</v>
      </c>
      <c r="B343" s="276" t="s">
        <v>10</v>
      </c>
      <c r="C343" s="277" t="s">
        <v>2086</v>
      </c>
      <c r="D343" s="278" t="s">
        <v>437</v>
      </c>
      <c r="E343" s="306">
        <v>44267.0</v>
      </c>
      <c r="F343" s="278" t="s">
        <v>439</v>
      </c>
      <c r="G343" s="171">
        <v>25.0</v>
      </c>
      <c r="H343" s="171">
        <v>2500.0</v>
      </c>
      <c r="I343" s="171">
        <v>200.0</v>
      </c>
      <c r="J343" s="172">
        <f t="shared" si="2"/>
        <v>0.00163765723</v>
      </c>
      <c r="K343" s="269">
        <f t="shared" si="14"/>
        <v>1.692245805</v>
      </c>
      <c r="L343" s="270">
        <f t="shared" si="4"/>
        <v>6.772330927</v>
      </c>
      <c r="M343" s="271" t="str">
        <f t="shared" si="5"/>
        <v>Tam2140</v>
      </c>
      <c r="N343" s="176">
        <f>IFERROR(__xludf.DUMMYFUNCTION("""COMPUTED_VALUE"""),24.0)</f>
        <v>24</v>
      </c>
      <c r="O343" s="176"/>
      <c r="P343" s="280" t="s">
        <v>435</v>
      </c>
      <c r="Q343" s="276" t="s">
        <v>10</v>
      </c>
      <c r="R343" s="176"/>
      <c r="S343" s="176"/>
      <c r="T343" s="176"/>
      <c r="U343" s="176"/>
      <c r="V343" s="176"/>
      <c r="W343" s="176"/>
      <c r="X343" s="176"/>
      <c r="Y343" s="176"/>
      <c r="Z343" s="176"/>
    </row>
    <row r="344">
      <c r="A344" s="267" t="str">
        <f>iferror(VLOOKUP(P344,'DO NOT TOUCH Imported'!$A$1:$D$800,4,False),iferror(VLOOKUP(P344,'DO NOT TOUCH Imported'!$C$1:$D$800,2,False),"OOPS FIX ME"))</f>
        <v>Tam2140</v>
      </c>
      <c r="B344" s="257" t="s">
        <v>10</v>
      </c>
      <c r="C344" s="261" t="s">
        <v>498</v>
      </c>
      <c r="D344" s="281" t="s">
        <v>495</v>
      </c>
      <c r="E344" s="252">
        <v>44267.0</v>
      </c>
      <c r="F344" s="258" t="s">
        <v>499</v>
      </c>
      <c r="G344" s="171">
        <v>25.0</v>
      </c>
      <c r="H344" s="171">
        <v>500.0</v>
      </c>
      <c r="I344" s="171">
        <v>100.0</v>
      </c>
      <c r="J344" s="172">
        <f t="shared" si="2"/>
        <v>0.0007906872343</v>
      </c>
      <c r="K344" s="269">
        <f t="shared" si="14"/>
        <v>0.8170434755</v>
      </c>
      <c r="L344" s="270">
        <f t="shared" si="4"/>
        <v>6.772330927</v>
      </c>
      <c r="M344" s="271" t="str">
        <f t="shared" si="5"/>
        <v>Tam2140</v>
      </c>
      <c r="N344" s="176">
        <f>IFERROR(__xludf.DUMMYFUNCTION("""COMPUTED_VALUE"""),25.0)</f>
        <v>25</v>
      </c>
      <c r="O344" s="176"/>
      <c r="P344" s="257" t="s">
        <v>28</v>
      </c>
      <c r="Q344" s="257" t="s">
        <v>10</v>
      </c>
      <c r="R344" s="176"/>
      <c r="S344" s="176"/>
      <c r="T344" s="176"/>
      <c r="U344" s="176"/>
      <c r="V344" s="176"/>
      <c r="W344" s="176"/>
      <c r="X344" s="176"/>
      <c r="Y344" s="176"/>
      <c r="Z344" s="176"/>
    </row>
    <row r="345">
      <c r="A345" s="185" t="str">
        <f>iferror(VLOOKUP(P345,'DO NOT TOUCH Imported'!$A$1:$D$800,4,False),iferror(VLOOKUP(P345,'DO NOT TOUCH Imported'!$C$1:$D$800,2,False),"OOPS FIX ME"))</f>
        <v>Tam2140</v>
      </c>
      <c r="B345" s="284" t="s">
        <v>534</v>
      </c>
      <c r="C345" s="285" t="s">
        <v>781</v>
      </c>
      <c r="D345" s="286"/>
      <c r="E345" s="188"/>
      <c r="F345" s="289"/>
      <c r="G345" s="223"/>
      <c r="H345" s="190"/>
      <c r="I345" s="190"/>
      <c r="J345" s="191">
        <f t="shared" si="2"/>
        <v>0</v>
      </c>
      <c r="K345" s="192">
        <f>45.149*-0.85</f>
        <v>-38.37665</v>
      </c>
      <c r="L345" s="193">
        <f t="shared" si="4"/>
        <v>6.772330927</v>
      </c>
      <c r="M345" s="194" t="str">
        <f t="shared" si="5"/>
        <v>Tam2140</v>
      </c>
      <c r="N345" s="195">
        <f>IFERROR(__xludf.DUMMYFUNCTION("""COMPUTED_VALUE"""),26.0)</f>
        <v>26</v>
      </c>
      <c r="O345" s="195"/>
      <c r="P345" s="284" t="s">
        <v>28</v>
      </c>
      <c r="Q345" s="284" t="s">
        <v>534</v>
      </c>
      <c r="R345" s="195">
        <v>27.866735844582376</v>
      </c>
      <c r="S345" s="195"/>
      <c r="T345" s="195"/>
      <c r="U345" s="195"/>
      <c r="V345" s="195"/>
      <c r="W345" s="195"/>
      <c r="X345" s="195"/>
      <c r="Y345" s="195"/>
      <c r="Z345" s="195"/>
    </row>
    <row r="346">
      <c r="A346" s="267" t="str">
        <f>iferror(VLOOKUP(P346,'DO NOT TOUCH Imported'!$A$1:$D$800,4,False),iferror(VLOOKUP(P346,'DO NOT TOUCH Imported'!$C$1:$D$800,2,False),"OOPS FIX ME"))</f>
        <v>freedumbs00</v>
      </c>
      <c r="B346" s="257" t="s">
        <v>18</v>
      </c>
      <c r="C346" s="261" t="s">
        <v>1930</v>
      </c>
      <c r="D346" s="281" t="s">
        <v>495</v>
      </c>
      <c r="E346" s="252">
        <v>44257.0</v>
      </c>
      <c r="F346" s="258" t="s">
        <v>496</v>
      </c>
      <c r="G346" s="171"/>
      <c r="H346" s="171"/>
      <c r="I346" s="171"/>
      <c r="J346" s="172">
        <f t="shared" si="2"/>
        <v>0</v>
      </c>
      <c r="K346" s="292">
        <v>1.8890920170627665</v>
      </c>
      <c r="L346" s="270">
        <f t="shared" si="4"/>
        <v>6.517466392</v>
      </c>
      <c r="M346" s="271" t="str">
        <f t="shared" si="5"/>
        <v>freedumbs00</v>
      </c>
      <c r="N346" s="176">
        <f>IFERROR(__xludf.DUMMYFUNCTION("""COMPUTED_VALUE"""),1.0)</f>
        <v>1</v>
      </c>
      <c r="O346" s="176"/>
      <c r="P346" s="293" t="s">
        <v>25</v>
      </c>
      <c r="Q346" s="293" t="s">
        <v>18</v>
      </c>
      <c r="R346" s="176"/>
      <c r="S346" s="176"/>
      <c r="T346" s="176"/>
      <c r="U346" s="176"/>
      <c r="V346" s="176"/>
      <c r="W346" s="176"/>
      <c r="X346" s="176"/>
      <c r="Y346" s="176"/>
      <c r="Z346" s="176"/>
    </row>
    <row r="347">
      <c r="A347" s="267" t="str">
        <f>iferror(VLOOKUP(P347,'DO NOT TOUCH Imported'!$A$1:$D$800,4,False),iferror(VLOOKUP(P347,'DO NOT TOUCH Imported'!$C$1:$D$800,2,False),"OOPS FIX ME"))</f>
        <v>freedumbs00</v>
      </c>
      <c r="B347" s="257" t="s">
        <v>10</v>
      </c>
      <c r="C347" s="261" t="s">
        <v>498</v>
      </c>
      <c r="D347" s="281" t="s">
        <v>495</v>
      </c>
      <c r="E347" s="252">
        <v>44260.0</v>
      </c>
      <c r="F347" s="258" t="s">
        <v>499</v>
      </c>
      <c r="G347" s="243"/>
      <c r="H347" s="171"/>
      <c r="I347" s="243"/>
      <c r="J347" s="172">
        <f t="shared" si="2"/>
        <v>0</v>
      </c>
      <c r="K347" s="292">
        <v>1.8890920170627665</v>
      </c>
      <c r="L347" s="270">
        <f t="shared" si="4"/>
        <v>6.517466392</v>
      </c>
      <c r="M347" s="271" t="str">
        <f t="shared" si="5"/>
        <v>freedumbs00</v>
      </c>
      <c r="N347" s="176">
        <f>IFERROR(__xludf.DUMMYFUNCTION("""COMPUTED_VALUE"""),2.0)</f>
        <v>2</v>
      </c>
      <c r="O347" s="176"/>
      <c r="P347" s="293" t="s">
        <v>25</v>
      </c>
      <c r="Q347" s="293" t="s">
        <v>10</v>
      </c>
      <c r="R347" s="176"/>
      <c r="S347" s="176"/>
      <c r="T347" s="176"/>
      <c r="U347" s="176"/>
      <c r="V347" s="176"/>
      <c r="W347" s="176"/>
      <c r="X347" s="176"/>
      <c r="Y347" s="176"/>
      <c r="Z347" s="176"/>
    </row>
    <row r="348">
      <c r="A348" s="267" t="str">
        <f>iferror(VLOOKUP(P348,'DO NOT TOUCH Imported'!$A$1:$D$800,4,False),iferror(VLOOKUP(P348,'DO NOT TOUCH Imported'!$C$1:$D$800,2,False),"OOPS FIX ME"))</f>
        <v>freedumbs00</v>
      </c>
      <c r="B348" s="257" t="s">
        <v>867</v>
      </c>
      <c r="C348" s="261" t="s">
        <v>2087</v>
      </c>
      <c r="D348" s="281" t="s">
        <v>495</v>
      </c>
      <c r="E348" s="252">
        <v>44261.0</v>
      </c>
      <c r="F348" s="258" t="s">
        <v>496</v>
      </c>
      <c r="G348" s="243"/>
      <c r="H348" s="171"/>
      <c r="I348" s="243"/>
      <c r="J348" s="172">
        <f t="shared" si="2"/>
        <v>0</v>
      </c>
      <c r="K348" s="292">
        <v>1.8890920170627665</v>
      </c>
      <c r="L348" s="270">
        <f t="shared" si="4"/>
        <v>6.517466392</v>
      </c>
      <c r="M348" s="271" t="str">
        <f t="shared" si="5"/>
        <v>freedumbs00</v>
      </c>
      <c r="N348" s="176">
        <f>IFERROR(__xludf.DUMMYFUNCTION("""COMPUTED_VALUE"""),3.0)</f>
        <v>3</v>
      </c>
      <c r="O348" s="176"/>
      <c r="P348" s="293" t="s">
        <v>25</v>
      </c>
      <c r="Q348" s="293" t="s">
        <v>867</v>
      </c>
      <c r="R348" s="176"/>
      <c r="S348" s="176"/>
      <c r="T348" s="176"/>
      <c r="U348" s="176"/>
      <c r="V348" s="176"/>
      <c r="W348" s="176"/>
      <c r="X348" s="176"/>
      <c r="Y348" s="176"/>
      <c r="Z348" s="176"/>
    </row>
    <row r="349">
      <c r="A349" s="267" t="str">
        <f>iferror(VLOOKUP(P349,'DO NOT TOUCH Imported'!$A$1:$D$800,4,False),iferror(VLOOKUP(P349,'DO NOT TOUCH Imported'!$C$1:$D$800,2,False),"OOPS FIX ME"))</f>
        <v>freedumbs00</v>
      </c>
      <c r="B349" s="257" t="s">
        <v>590</v>
      </c>
      <c r="C349" s="261" t="s">
        <v>2088</v>
      </c>
      <c r="D349" s="281" t="s">
        <v>495</v>
      </c>
      <c r="E349" s="252">
        <v>44264.0</v>
      </c>
      <c r="F349" s="258" t="s">
        <v>496</v>
      </c>
      <c r="G349" s="243"/>
      <c r="H349" s="171"/>
      <c r="I349" s="243"/>
      <c r="J349" s="172">
        <f t="shared" si="2"/>
        <v>0</v>
      </c>
      <c r="K349" s="292">
        <v>1.8890920170627665</v>
      </c>
      <c r="L349" s="270">
        <f t="shared" si="4"/>
        <v>6.517466392</v>
      </c>
      <c r="M349" s="271" t="str">
        <f t="shared" si="5"/>
        <v>freedumbs00</v>
      </c>
      <c r="N349" s="176">
        <f>IFERROR(__xludf.DUMMYFUNCTION("""COMPUTED_VALUE"""),4.0)</f>
        <v>4</v>
      </c>
      <c r="O349" s="176"/>
      <c r="P349" s="176" t="s">
        <v>25</v>
      </c>
      <c r="Q349" s="176" t="s">
        <v>590</v>
      </c>
      <c r="R349" s="176"/>
      <c r="S349" s="176"/>
      <c r="T349" s="176"/>
      <c r="U349" s="176"/>
      <c r="V349" s="176"/>
      <c r="W349" s="176"/>
      <c r="X349" s="176"/>
      <c r="Y349" s="176"/>
      <c r="Z349" s="176"/>
    </row>
    <row r="350">
      <c r="A350" s="267" t="str">
        <f>iferror(VLOOKUP(P350,'DO NOT TOUCH Imported'!$A$1:$D$800,4,False),iferror(VLOOKUP(P350,'DO NOT TOUCH Imported'!$C$1:$D$800,2,False),"OOPS FIX ME"))</f>
        <v>freedumbs00</v>
      </c>
      <c r="B350" s="257" t="s">
        <v>10</v>
      </c>
      <c r="C350" s="261" t="s">
        <v>500</v>
      </c>
      <c r="D350" s="281" t="s">
        <v>495</v>
      </c>
      <c r="E350" s="252">
        <v>44267.0</v>
      </c>
      <c r="F350" s="258" t="s">
        <v>496</v>
      </c>
      <c r="G350" s="243"/>
      <c r="H350" s="243"/>
      <c r="I350" s="243"/>
      <c r="J350" s="172">
        <f t="shared" si="2"/>
        <v>0</v>
      </c>
      <c r="K350" s="292">
        <v>1.8890920170627665</v>
      </c>
      <c r="L350" s="270">
        <f t="shared" si="4"/>
        <v>6.517466392</v>
      </c>
      <c r="M350" s="271" t="str">
        <f t="shared" si="5"/>
        <v>freedumbs00</v>
      </c>
      <c r="N350" s="176">
        <f>IFERROR(__xludf.DUMMYFUNCTION("""COMPUTED_VALUE"""),5.0)</f>
        <v>5</v>
      </c>
      <c r="O350" s="176"/>
      <c r="P350" s="293" t="s">
        <v>25</v>
      </c>
      <c r="Q350" s="293" t="s">
        <v>10</v>
      </c>
      <c r="R350" s="176"/>
      <c r="S350" s="176"/>
      <c r="T350" s="176"/>
      <c r="U350" s="176"/>
      <c r="V350" s="176"/>
      <c r="W350" s="176"/>
      <c r="X350" s="176"/>
      <c r="Y350" s="176"/>
      <c r="Z350" s="176"/>
    </row>
    <row r="351">
      <c r="A351" s="185" t="str">
        <f>iferror(VLOOKUP(P351,'DO NOT TOUCH Imported'!$A$1:$D$800,4,False),iferror(VLOOKUP(P351,'DO NOT TOUCH Imported'!$C$1:$D$800,2,False),"OOPS FIX ME"))</f>
        <v>freedumbs00</v>
      </c>
      <c r="B351" s="291" t="s">
        <v>534</v>
      </c>
      <c r="C351" s="285" t="s">
        <v>684</v>
      </c>
      <c r="D351" s="291"/>
      <c r="E351" s="214"/>
      <c r="F351" s="291"/>
      <c r="G351" s="212"/>
      <c r="H351" s="196"/>
      <c r="I351" s="196"/>
      <c r="J351" s="191">
        <f t="shared" si="2"/>
        <v>0</v>
      </c>
      <c r="K351" s="192">
        <f>43.449*-0.85</f>
        <v>-36.93165</v>
      </c>
      <c r="L351" s="193">
        <f t="shared" si="4"/>
        <v>6.517466392</v>
      </c>
      <c r="M351" s="194" t="str">
        <f t="shared" si="5"/>
        <v>freedumbs00</v>
      </c>
      <c r="N351" s="187">
        <f>IFERROR(__xludf.DUMMYFUNCTION("""COMPUTED_VALUE"""),6.0)</f>
        <v>6</v>
      </c>
      <c r="O351" s="212"/>
      <c r="P351" s="305" t="s">
        <v>25</v>
      </c>
      <c r="Q351" s="305" t="s">
        <v>534</v>
      </c>
      <c r="R351" s="187">
        <v>36.89669088595067</v>
      </c>
      <c r="S351" s="212"/>
      <c r="T351" s="212"/>
      <c r="U351" s="212"/>
      <c r="V351" s="212"/>
      <c r="W351" s="212"/>
      <c r="X351" s="212"/>
      <c r="Y351" s="212"/>
      <c r="Z351" s="212"/>
    </row>
    <row r="352">
      <c r="A352" s="267" t="str">
        <f>iferror(VLOOKUP(P352,'DO NOT TOUCH Imported'!$A$1:$D$800,4,False),iferror(VLOOKUP(P352,'DO NOT TOUCH Imported'!$C$1:$D$800,2,False),"OOPS FIX ME"))</f>
        <v>freedumbs00</v>
      </c>
      <c r="B352" s="276" t="s">
        <v>1933</v>
      </c>
      <c r="C352" s="277" t="s">
        <v>1934</v>
      </c>
      <c r="D352" s="278" t="s">
        <v>437</v>
      </c>
      <c r="E352" s="275">
        <v>44258.0</v>
      </c>
      <c r="F352" s="278" t="s">
        <v>1929</v>
      </c>
      <c r="G352" s="171"/>
      <c r="H352" s="243"/>
      <c r="I352" s="171"/>
      <c r="J352" s="172">
        <f t="shared" si="2"/>
        <v>0</v>
      </c>
      <c r="K352" s="292">
        <v>1.8890920170627665</v>
      </c>
      <c r="L352" s="270">
        <f t="shared" si="4"/>
        <v>6.517466392</v>
      </c>
      <c r="M352" s="271" t="str">
        <f t="shared" si="5"/>
        <v>freedumbs00</v>
      </c>
      <c r="N352" s="176">
        <f>IFERROR(__xludf.DUMMYFUNCTION("""COMPUTED_VALUE"""),7.0)</f>
        <v>7</v>
      </c>
      <c r="O352" s="176"/>
      <c r="P352" s="293" t="s">
        <v>1150</v>
      </c>
      <c r="Q352" s="293" t="s">
        <v>1933</v>
      </c>
      <c r="R352" s="176"/>
      <c r="S352" s="176"/>
      <c r="T352" s="176"/>
      <c r="U352" s="176"/>
      <c r="V352" s="176"/>
      <c r="W352" s="176"/>
      <c r="X352" s="176"/>
      <c r="Y352" s="176"/>
      <c r="Z352" s="176"/>
    </row>
    <row r="353">
      <c r="A353" s="267" t="str">
        <f>iferror(VLOOKUP(P353,'DO NOT TOUCH Imported'!$A$1:$D$800,4,False),iferror(VLOOKUP(P353,'DO NOT TOUCH Imported'!$C$1:$D$800,2,False),"OOPS FIX ME"))</f>
        <v>freedumbs00</v>
      </c>
      <c r="B353" s="276" t="s">
        <v>8</v>
      </c>
      <c r="C353" s="277" t="s">
        <v>1935</v>
      </c>
      <c r="D353" s="278" t="s">
        <v>437</v>
      </c>
      <c r="E353" s="275">
        <v>44259.0</v>
      </c>
      <c r="F353" s="278" t="s">
        <v>1929</v>
      </c>
      <c r="G353" s="171"/>
      <c r="H353" s="171"/>
      <c r="I353" s="171"/>
      <c r="J353" s="172">
        <f t="shared" si="2"/>
        <v>0</v>
      </c>
      <c r="K353" s="292">
        <v>1.8890920170627665</v>
      </c>
      <c r="L353" s="270">
        <f t="shared" si="4"/>
        <v>6.517466392</v>
      </c>
      <c r="M353" s="271" t="str">
        <f t="shared" si="5"/>
        <v>freedumbs00</v>
      </c>
      <c r="N353" s="176">
        <f>IFERROR(__xludf.DUMMYFUNCTION("""COMPUTED_VALUE"""),8.0)</f>
        <v>8</v>
      </c>
      <c r="O353" s="176"/>
      <c r="P353" s="293" t="s">
        <v>1150</v>
      </c>
      <c r="Q353" s="293" t="s">
        <v>8</v>
      </c>
      <c r="R353" s="176"/>
      <c r="S353" s="176"/>
      <c r="T353" s="176"/>
      <c r="U353" s="176"/>
      <c r="V353" s="176"/>
      <c r="W353" s="176"/>
      <c r="X353" s="176"/>
      <c r="Y353" s="176"/>
      <c r="Z353" s="176"/>
    </row>
    <row r="354">
      <c r="A354" s="267" t="str">
        <f>iferror(VLOOKUP(P354,'DO NOT TOUCH Imported'!$A$1:$D$800,4,False),iferror(VLOOKUP(P354,'DO NOT TOUCH Imported'!$C$1:$D$800,2,False),"OOPS FIX ME"))</f>
        <v>freedumbs00</v>
      </c>
      <c r="B354" s="276" t="s">
        <v>1933</v>
      </c>
      <c r="C354" s="277" t="s">
        <v>1936</v>
      </c>
      <c r="D354" s="278" t="s">
        <v>437</v>
      </c>
      <c r="E354" s="275">
        <v>44259.0</v>
      </c>
      <c r="F354" s="278" t="s">
        <v>1929</v>
      </c>
      <c r="G354" s="171"/>
      <c r="H354" s="171"/>
      <c r="I354" s="243"/>
      <c r="J354" s="172">
        <f t="shared" si="2"/>
        <v>0</v>
      </c>
      <c r="K354" s="292">
        <v>1.8890920170627665</v>
      </c>
      <c r="L354" s="270">
        <f t="shared" si="4"/>
        <v>6.517466392</v>
      </c>
      <c r="M354" s="271" t="str">
        <f t="shared" si="5"/>
        <v>freedumbs00</v>
      </c>
      <c r="N354" s="176">
        <f>IFERROR(__xludf.DUMMYFUNCTION("""COMPUTED_VALUE"""),9.0)</f>
        <v>9</v>
      </c>
      <c r="O354" s="176"/>
      <c r="P354" s="293" t="s">
        <v>1150</v>
      </c>
      <c r="Q354" s="293" t="s">
        <v>1933</v>
      </c>
      <c r="R354" s="176"/>
      <c r="S354" s="176"/>
      <c r="T354" s="176"/>
      <c r="U354" s="176"/>
      <c r="V354" s="176"/>
      <c r="W354" s="176"/>
      <c r="X354" s="176"/>
      <c r="Y354" s="176"/>
      <c r="Z354" s="176"/>
    </row>
    <row r="355">
      <c r="A355" s="267" t="str">
        <f>iferror(VLOOKUP(P355,'DO NOT TOUCH Imported'!$A$1:$D$800,4,False),iferror(VLOOKUP(P355,'DO NOT TOUCH Imported'!$C$1:$D$800,2,False),"OOPS FIX ME"))</f>
        <v>freedumbs00</v>
      </c>
      <c r="B355" s="276" t="s">
        <v>10</v>
      </c>
      <c r="C355" s="277" t="s">
        <v>1937</v>
      </c>
      <c r="D355" s="278" t="s">
        <v>437</v>
      </c>
      <c r="E355" s="275">
        <v>44260.0</v>
      </c>
      <c r="F355" s="278" t="s">
        <v>1929</v>
      </c>
      <c r="G355" s="171"/>
      <c r="H355" s="243"/>
      <c r="I355" s="243"/>
      <c r="J355" s="172">
        <f t="shared" si="2"/>
        <v>0</v>
      </c>
      <c r="K355" s="292">
        <v>1.8890920170627665</v>
      </c>
      <c r="L355" s="270">
        <f t="shared" si="4"/>
        <v>6.517466392</v>
      </c>
      <c r="M355" s="271" t="str">
        <f t="shared" si="5"/>
        <v>freedumbs00</v>
      </c>
      <c r="N355" s="176">
        <f>IFERROR(__xludf.DUMMYFUNCTION("""COMPUTED_VALUE"""),10.0)</f>
        <v>10</v>
      </c>
      <c r="O355" s="176"/>
      <c r="P355" s="293" t="s">
        <v>1150</v>
      </c>
      <c r="Q355" s="293" t="s">
        <v>10</v>
      </c>
      <c r="R355" s="176"/>
      <c r="S355" s="176"/>
      <c r="T355" s="176"/>
      <c r="U355" s="176"/>
      <c r="V355" s="176"/>
      <c r="W355" s="176"/>
      <c r="X355" s="176"/>
      <c r="Y355" s="176"/>
      <c r="Z355" s="176"/>
    </row>
    <row r="356">
      <c r="A356" s="267" t="str">
        <f>iferror(VLOOKUP(P356,'DO NOT TOUCH Imported'!$A$1:$D$800,4,False),iferror(VLOOKUP(P356,'DO NOT TOUCH Imported'!$C$1:$D$800,2,False),"OOPS FIX ME"))</f>
        <v>freedumbs00</v>
      </c>
      <c r="B356" s="276" t="s">
        <v>10</v>
      </c>
      <c r="C356" s="277" t="s">
        <v>1938</v>
      </c>
      <c r="D356" s="278" t="s">
        <v>437</v>
      </c>
      <c r="E356" s="275">
        <v>44260.0</v>
      </c>
      <c r="F356" s="278" t="s">
        <v>1929</v>
      </c>
      <c r="G356" s="171"/>
      <c r="H356" s="243"/>
      <c r="I356" s="243"/>
      <c r="J356" s="172">
        <f t="shared" si="2"/>
        <v>0</v>
      </c>
      <c r="K356" s="292">
        <v>1.8890920170627665</v>
      </c>
      <c r="L356" s="270">
        <f t="shared" si="4"/>
        <v>6.517466392</v>
      </c>
      <c r="M356" s="271" t="str">
        <f t="shared" si="5"/>
        <v>freedumbs00</v>
      </c>
      <c r="N356" s="176">
        <f>IFERROR(__xludf.DUMMYFUNCTION("""COMPUTED_VALUE"""),11.0)</f>
        <v>11</v>
      </c>
      <c r="O356" s="176"/>
      <c r="P356" s="293" t="s">
        <v>1150</v>
      </c>
      <c r="Q356" s="293" t="s">
        <v>10</v>
      </c>
      <c r="R356" s="176"/>
      <c r="S356" s="176"/>
      <c r="T356" s="176"/>
      <c r="U356" s="176"/>
      <c r="V356" s="176"/>
      <c r="W356" s="176"/>
      <c r="X356" s="176"/>
      <c r="Y356" s="176"/>
      <c r="Z356" s="176"/>
    </row>
    <row r="357">
      <c r="A357" s="267" t="str">
        <f>iferror(VLOOKUP(P357,'DO NOT TOUCH Imported'!$A$1:$D$800,4,False),iferror(VLOOKUP(P357,'DO NOT TOUCH Imported'!$C$1:$D$800,2,False),"OOPS FIX ME"))</f>
        <v>freedumbs00</v>
      </c>
      <c r="B357" s="272" t="s">
        <v>10</v>
      </c>
      <c r="C357" s="273" t="s">
        <v>2089</v>
      </c>
      <c r="D357" s="274" t="s">
        <v>437</v>
      </c>
      <c r="E357" s="275">
        <v>44260.0</v>
      </c>
      <c r="F357" s="274" t="s">
        <v>1929</v>
      </c>
      <c r="G357" s="243"/>
      <c r="H357" s="243"/>
      <c r="I357" s="243"/>
      <c r="J357" s="172">
        <f t="shared" si="2"/>
        <v>0</v>
      </c>
      <c r="K357" s="292">
        <v>1.8890920170627665</v>
      </c>
      <c r="L357" s="270">
        <f t="shared" si="4"/>
        <v>6.517466392</v>
      </c>
      <c r="M357" s="271" t="str">
        <f t="shared" si="5"/>
        <v>freedumbs00</v>
      </c>
      <c r="N357" s="176">
        <f>IFERROR(__xludf.DUMMYFUNCTION("""COMPUTED_VALUE"""),12.0)</f>
        <v>12</v>
      </c>
      <c r="O357" s="176"/>
      <c r="P357" s="176" t="s">
        <v>1150</v>
      </c>
      <c r="Q357" s="176" t="s">
        <v>10</v>
      </c>
      <c r="R357" s="176"/>
      <c r="S357" s="176"/>
      <c r="T357" s="176"/>
      <c r="U357" s="176"/>
      <c r="V357" s="176"/>
      <c r="W357" s="176"/>
      <c r="X357" s="176"/>
      <c r="Y357" s="176"/>
      <c r="Z357" s="176"/>
    </row>
    <row r="358">
      <c r="A358" s="267" t="str">
        <f>iferror(VLOOKUP(P358,'DO NOT TOUCH Imported'!$A$1:$D$800,4,False),iferror(VLOOKUP(P358,'DO NOT TOUCH Imported'!$C$1:$D$800,2,False),"OOPS FIX ME"))</f>
        <v>freedumbs00</v>
      </c>
      <c r="B358" s="272" t="s">
        <v>10</v>
      </c>
      <c r="C358" s="316" t="s">
        <v>2039</v>
      </c>
      <c r="D358" s="274" t="s">
        <v>437</v>
      </c>
      <c r="E358" s="275">
        <v>44260.0</v>
      </c>
      <c r="F358" s="274" t="s">
        <v>1929</v>
      </c>
      <c r="G358" s="243"/>
      <c r="H358" s="243"/>
      <c r="I358" s="243"/>
      <c r="J358" s="172">
        <f t="shared" si="2"/>
        <v>0</v>
      </c>
      <c r="K358" s="292">
        <v>1.8890920170627665</v>
      </c>
      <c r="L358" s="270">
        <f t="shared" si="4"/>
        <v>6.517466392</v>
      </c>
      <c r="M358" s="271" t="str">
        <f t="shared" si="5"/>
        <v>freedumbs00</v>
      </c>
      <c r="N358" s="176">
        <f>IFERROR(__xludf.DUMMYFUNCTION("""COMPUTED_VALUE"""),13.0)</f>
        <v>13</v>
      </c>
      <c r="O358" s="176"/>
      <c r="P358" s="176" t="s">
        <v>1150</v>
      </c>
      <c r="Q358" s="176" t="s">
        <v>10</v>
      </c>
      <c r="R358" s="176"/>
      <c r="S358" s="176"/>
      <c r="T358" s="176"/>
      <c r="U358" s="176"/>
      <c r="V358" s="176"/>
      <c r="W358" s="176"/>
      <c r="X358" s="176"/>
      <c r="Y358" s="176"/>
      <c r="Z358" s="176"/>
    </row>
    <row r="359">
      <c r="A359" s="267" t="str">
        <f>iferror(VLOOKUP(P359,'DO NOT TOUCH Imported'!$A$1:$D$800,4,False),iferror(VLOOKUP(P359,'DO NOT TOUCH Imported'!$C$1:$D$800,2,False),"OOPS FIX ME"))</f>
        <v>freedumbs00</v>
      </c>
      <c r="B359" s="272" t="s">
        <v>10</v>
      </c>
      <c r="C359" s="273" t="s">
        <v>1941</v>
      </c>
      <c r="D359" s="274" t="s">
        <v>437</v>
      </c>
      <c r="E359" s="275">
        <v>44260.0</v>
      </c>
      <c r="F359" s="274" t="s">
        <v>1929</v>
      </c>
      <c r="G359" s="243"/>
      <c r="H359" s="171"/>
      <c r="I359" s="243"/>
      <c r="J359" s="172">
        <f t="shared" si="2"/>
        <v>0</v>
      </c>
      <c r="K359" s="292">
        <v>1.8890920170627665</v>
      </c>
      <c r="L359" s="270">
        <f t="shared" si="4"/>
        <v>6.517466392</v>
      </c>
      <c r="M359" s="271" t="str">
        <f t="shared" si="5"/>
        <v>freedumbs00</v>
      </c>
      <c r="N359" s="176">
        <f>IFERROR(__xludf.DUMMYFUNCTION("""COMPUTED_VALUE"""),14.0)</f>
        <v>14</v>
      </c>
      <c r="O359" s="176"/>
      <c r="P359" s="176" t="s">
        <v>1150</v>
      </c>
      <c r="Q359" s="176" t="s">
        <v>10</v>
      </c>
      <c r="R359" s="176"/>
      <c r="S359" s="176"/>
      <c r="T359" s="176"/>
      <c r="U359" s="176"/>
      <c r="V359" s="176"/>
      <c r="W359" s="176"/>
      <c r="X359" s="176"/>
      <c r="Y359" s="176"/>
      <c r="Z359" s="176"/>
    </row>
    <row r="360">
      <c r="A360" s="267" t="str">
        <f>iferror(VLOOKUP(P360,'DO NOT TOUCH Imported'!$A$1:$D$800,4,False),iferror(VLOOKUP(P360,'DO NOT TOUCH Imported'!$C$1:$D$800,2,False),"OOPS FIX ME"))</f>
        <v>freedumbs00</v>
      </c>
      <c r="B360" s="272" t="s">
        <v>1702</v>
      </c>
      <c r="C360" s="273" t="s">
        <v>2090</v>
      </c>
      <c r="D360" s="274" t="s">
        <v>437</v>
      </c>
      <c r="E360" s="275">
        <v>44260.0</v>
      </c>
      <c r="F360" s="274" t="s">
        <v>1929</v>
      </c>
      <c r="G360" s="243"/>
      <c r="H360" s="171"/>
      <c r="I360" s="243"/>
      <c r="J360" s="172">
        <f t="shared" si="2"/>
        <v>0</v>
      </c>
      <c r="K360" s="292">
        <v>1.8890920170627665</v>
      </c>
      <c r="L360" s="270">
        <f t="shared" si="4"/>
        <v>6.517466392</v>
      </c>
      <c r="M360" s="271" t="str">
        <f t="shared" si="5"/>
        <v>freedumbs00</v>
      </c>
      <c r="N360" s="176">
        <f>IFERROR(__xludf.DUMMYFUNCTION("""COMPUTED_VALUE"""),15.0)</f>
        <v>15</v>
      </c>
      <c r="O360" s="176"/>
      <c r="P360" s="176" t="s">
        <v>1150</v>
      </c>
      <c r="Q360" s="176" t="s">
        <v>1702</v>
      </c>
      <c r="R360" s="176"/>
      <c r="S360" s="176"/>
      <c r="T360" s="176"/>
      <c r="U360" s="176"/>
      <c r="V360" s="176"/>
      <c r="W360" s="176"/>
      <c r="X360" s="176"/>
      <c r="Y360" s="176"/>
      <c r="Z360" s="176"/>
    </row>
    <row r="361">
      <c r="A361" s="267" t="str">
        <f>iferror(VLOOKUP(P361,'DO NOT TOUCH Imported'!$A$1:$D$800,4,False),iferror(VLOOKUP(P361,'DO NOT TOUCH Imported'!$C$1:$D$800,2,False),"OOPS FIX ME"))</f>
        <v>freedumbs00</v>
      </c>
      <c r="B361" s="272" t="s">
        <v>1702</v>
      </c>
      <c r="C361" s="273" t="s">
        <v>2040</v>
      </c>
      <c r="D361" s="274" t="s">
        <v>437</v>
      </c>
      <c r="E361" s="275">
        <v>44260.0</v>
      </c>
      <c r="F361" s="274" t="s">
        <v>1929</v>
      </c>
      <c r="G361" s="243"/>
      <c r="H361" s="171"/>
      <c r="I361" s="243"/>
      <c r="J361" s="172">
        <f t="shared" si="2"/>
        <v>0</v>
      </c>
      <c r="K361" s="292">
        <v>1.8890920170627665</v>
      </c>
      <c r="L361" s="270">
        <f t="shared" si="4"/>
        <v>6.517466392</v>
      </c>
      <c r="M361" s="271" t="str">
        <f t="shared" si="5"/>
        <v>freedumbs00</v>
      </c>
      <c r="N361" s="176">
        <f>IFERROR(__xludf.DUMMYFUNCTION("""COMPUTED_VALUE"""),16.0)</f>
        <v>16</v>
      </c>
      <c r="O361" s="176"/>
      <c r="P361" s="176" t="s">
        <v>1150</v>
      </c>
      <c r="Q361" s="176" t="s">
        <v>1702</v>
      </c>
      <c r="R361" s="176"/>
      <c r="S361" s="176"/>
      <c r="T361" s="176"/>
      <c r="U361" s="176"/>
      <c r="V361" s="176"/>
      <c r="W361" s="176"/>
      <c r="X361" s="176"/>
      <c r="Y361" s="176"/>
      <c r="Z361" s="176"/>
    </row>
    <row r="362">
      <c r="A362" s="267" t="str">
        <f>iferror(VLOOKUP(P362,'DO NOT TOUCH Imported'!$A$1:$D$800,4,False),iferror(VLOOKUP(P362,'DO NOT TOUCH Imported'!$C$1:$D$800,2,False),"OOPS FIX ME"))</f>
        <v>freedumbs00</v>
      </c>
      <c r="B362" s="272" t="s">
        <v>1702</v>
      </c>
      <c r="C362" s="273" t="s">
        <v>1972</v>
      </c>
      <c r="D362" s="274" t="s">
        <v>437</v>
      </c>
      <c r="E362" s="275">
        <v>44262.0</v>
      </c>
      <c r="F362" s="274" t="s">
        <v>1929</v>
      </c>
      <c r="G362" s="243"/>
      <c r="H362" s="243"/>
      <c r="I362" s="243"/>
      <c r="J362" s="172">
        <f t="shared" si="2"/>
        <v>0</v>
      </c>
      <c r="K362" s="292">
        <v>1.8890920170627665</v>
      </c>
      <c r="L362" s="270">
        <f t="shared" si="4"/>
        <v>6.517466392</v>
      </c>
      <c r="M362" s="271" t="str">
        <f t="shared" si="5"/>
        <v>freedumbs00</v>
      </c>
      <c r="N362" s="176">
        <f>IFERROR(__xludf.DUMMYFUNCTION("""COMPUTED_VALUE"""),17.0)</f>
        <v>17</v>
      </c>
      <c r="O362" s="176"/>
      <c r="P362" s="176" t="s">
        <v>1150</v>
      </c>
      <c r="Q362" s="176" t="s">
        <v>1702</v>
      </c>
      <c r="R362" s="176"/>
      <c r="S362" s="176"/>
      <c r="T362" s="176"/>
      <c r="U362" s="176"/>
      <c r="V362" s="176"/>
      <c r="W362" s="176"/>
      <c r="X362" s="176"/>
      <c r="Y362" s="176"/>
      <c r="Z362" s="176"/>
    </row>
    <row r="363">
      <c r="A363" s="267" t="str">
        <f>iferror(VLOOKUP(P363,'DO NOT TOUCH Imported'!$A$1:$D$800,4,False),iferror(VLOOKUP(P363,'DO NOT TOUCH Imported'!$C$1:$D$800,2,False),"OOPS FIX ME"))</f>
        <v>freedumbs00</v>
      </c>
      <c r="B363" s="272" t="s">
        <v>10</v>
      </c>
      <c r="C363" s="273" t="s">
        <v>1942</v>
      </c>
      <c r="D363" s="274" t="s">
        <v>437</v>
      </c>
      <c r="E363" s="275">
        <v>44262.0</v>
      </c>
      <c r="F363" s="274" t="s">
        <v>1929</v>
      </c>
      <c r="G363" s="243"/>
      <c r="H363" s="171"/>
      <c r="I363" s="243"/>
      <c r="J363" s="172">
        <f t="shared" si="2"/>
        <v>0</v>
      </c>
      <c r="K363" s="292">
        <v>1.8890920170627665</v>
      </c>
      <c r="L363" s="270">
        <f t="shared" si="4"/>
        <v>6.517466392</v>
      </c>
      <c r="M363" s="271" t="str">
        <f t="shared" si="5"/>
        <v>freedumbs00</v>
      </c>
      <c r="N363" s="176">
        <f>IFERROR(__xludf.DUMMYFUNCTION("""COMPUTED_VALUE"""),18.0)</f>
        <v>18</v>
      </c>
      <c r="O363" s="176"/>
      <c r="P363" s="176" t="s">
        <v>1150</v>
      </c>
      <c r="Q363" s="176" t="s">
        <v>10</v>
      </c>
      <c r="R363" s="176"/>
      <c r="S363" s="176"/>
      <c r="T363" s="176"/>
      <c r="U363" s="176"/>
      <c r="V363" s="176"/>
      <c r="W363" s="176"/>
      <c r="X363" s="176"/>
      <c r="Y363" s="176"/>
      <c r="Z363" s="176"/>
    </row>
    <row r="364">
      <c r="A364" s="267" t="str">
        <f>iferror(VLOOKUP(P364,'DO NOT TOUCH Imported'!$A$1:$D$800,4,False),iferror(VLOOKUP(P364,'DO NOT TOUCH Imported'!$C$1:$D$800,2,False),"OOPS FIX ME"))</f>
        <v>freedumbs00</v>
      </c>
      <c r="B364" s="272" t="s">
        <v>10</v>
      </c>
      <c r="C364" s="273" t="s">
        <v>1943</v>
      </c>
      <c r="D364" s="274" t="s">
        <v>437</v>
      </c>
      <c r="E364" s="275">
        <v>44263.0</v>
      </c>
      <c r="F364" s="274" t="s">
        <v>1929</v>
      </c>
      <c r="G364" s="243"/>
      <c r="H364" s="171"/>
      <c r="I364" s="243"/>
      <c r="J364" s="172">
        <f t="shared" si="2"/>
        <v>0</v>
      </c>
      <c r="K364" s="292">
        <v>1.8890920170627665</v>
      </c>
      <c r="L364" s="270">
        <f t="shared" si="4"/>
        <v>6.517466392</v>
      </c>
      <c r="M364" s="271" t="str">
        <f t="shared" si="5"/>
        <v>freedumbs00</v>
      </c>
      <c r="N364" s="176">
        <f>IFERROR(__xludf.DUMMYFUNCTION("""COMPUTED_VALUE"""),19.0)</f>
        <v>19</v>
      </c>
      <c r="O364" s="176"/>
      <c r="P364" s="176" t="s">
        <v>1150</v>
      </c>
      <c r="Q364" s="176" t="s">
        <v>10</v>
      </c>
      <c r="R364" s="176"/>
      <c r="S364" s="176"/>
      <c r="T364" s="176"/>
      <c r="U364" s="176"/>
      <c r="V364" s="176"/>
      <c r="W364" s="176"/>
      <c r="X364" s="176"/>
      <c r="Y364" s="176"/>
      <c r="Z364" s="176"/>
    </row>
    <row r="365">
      <c r="A365" s="267" t="str">
        <f>iferror(VLOOKUP(P365,'DO NOT TOUCH Imported'!$A$1:$D$800,4,False),iferror(VLOOKUP(P365,'DO NOT TOUCH Imported'!$C$1:$D$800,2,False),"OOPS FIX ME"))</f>
        <v>freedumbs00</v>
      </c>
      <c r="B365" s="272" t="s">
        <v>10</v>
      </c>
      <c r="C365" s="273" t="s">
        <v>2007</v>
      </c>
      <c r="D365" s="274" t="s">
        <v>437</v>
      </c>
      <c r="E365" s="306">
        <v>44267.0</v>
      </c>
      <c r="F365" s="274" t="s">
        <v>439</v>
      </c>
      <c r="G365" s="243"/>
      <c r="H365" s="171"/>
      <c r="I365" s="243"/>
      <c r="J365" s="172">
        <f t="shared" si="2"/>
        <v>0</v>
      </c>
      <c r="K365" s="292">
        <v>1.8890920170627665</v>
      </c>
      <c r="L365" s="270">
        <f t="shared" si="4"/>
        <v>6.517466392</v>
      </c>
      <c r="M365" s="271" t="str">
        <f t="shared" si="5"/>
        <v>freedumbs00</v>
      </c>
      <c r="N365" s="176">
        <f>IFERROR(__xludf.DUMMYFUNCTION("""COMPUTED_VALUE"""),20.0)</f>
        <v>20</v>
      </c>
      <c r="O365" s="176"/>
      <c r="P365" s="176" t="s">
        <v>1150</v>
      </c>
      <c r="Q365" s="176" t="s">
        <v>10</v>
      </c>
      <c r="R365" s="176"/>
      <c r="S365" s="176"/>
      <c r="T365" s="176"/>
      <c r="U365" s="176"/>
      <c r="V365" s="176"/>
      <c r="W365" s="176"/>
      <c r="X365" s="176"/>
      <c r="Y365" s="176"/>
      <c r="Z365" s="176"/>
    </row>
    <row r="366">
      <c r="A366" s="267" t="str">
        <f>iferror(VLOOKUP(P366,'DO NOT TOUCH Imported'!$A$1:$D$800,4,False),iferror(VLOOKUP(P366,'DO NOT TOUCH Imported'!$C$1:$D$800,2,False),"OOPS FIX ME"))</f>
        <v>freedumbs00</v>
      </c>
      <c r="B366" s="272" t="s">
        <v>10</v>
      </c>
      <c r="C366" s="273" t="s">
        <v>2091</v>
      </c>
      <c r="D366" s="274" t="s">
        <v>437</v>
      </c>
      <c r="E366" s="306">
        <v>44267.0</v>
      </c>
      <c r="F366" s="274" t="s">
        <v>439</v>
      </c>
      <c r="G366" s="243"/>
      <c r="H366" s="243"/>
      <c r="I366" s="243"/>
      <c r="J366" s="172">
        <f t="shared" si="2"/>
        <v>0</v>
      </c>
      <c r="K366" s="292">
        <v>1.8890920170627665</v>
      </c>
      <c r="L366" s="270">
        <f t="shared" si="4"/>
        <v>6.517466392</v>
      </c>
      <c r="M366" s="271" t="str">
        <f t="shared" si="5"/>
        <v>freedumbs00</v>
      </c>
      <c r="N366" s="176">
        <f>IFERROR(__xludf.DUMMYFUNCTION("""COMPUTED_VALUE"""),21.0)</f>
        <v>21</v>
      </c>
      <c r="O366" s="176"/>
      <c r="P366" s="176" t="s">
        <v>1150</v>
      </c>
      <c r="Q366" s="176" t="s">
        <v>10</v>
      </c>
      <c r="R366" s="176"/>
      <c r="S366" s="176"/>
      <c r="T366" s="176"/>
      <c r="U366" s="176"/>
      <c r="V366" s="176"/>
      <c r="W366" s="176"/>
      <c r="X366" s="176"/>
      <c r="Y366" s="176"/>
      <c r="Z366" s="176"/>
    </row>
    <row r="367">
      <c r="A367" s="267" t="str">
        <f>iferror(VLOOKUP(P367,'DO NOT TOUCH Imported'!$A$1:$D$800,4,False),iferror(VLOOKUP(P367,'DO NOT TOUCH Imported'!$C$1:$D$800,2,False),"OOPS FIX ME"))</f>
        <v>freedumbs00</v>
      </c>
      <c r="B367" s="272" t="s">
        <v>10</v>
      </c>
      <c r="C367" s="273" t="s">
        <v>2041</v>
      </c>
      <c r="D367" s="274" t="s">
        <v>437</v>
      </c>
      <c r="E367" s="306">
        <v>44267.0</v>
      </c>
      <c r="F367" s="274" t="s">
        <v>439</v>
      </c>
      <c r="G367" s="243"/>
      <c r="H367" s="171"/>
      <c r="I367" s="243"/>
      <c r="J367" s="172">
        <f t="shared" si="2"/>
        <v>0</v>
      </c>
      <c r="K367" s="292">
        <v>1.8890920170627665</v>
      </c>
      <c r="L367" s="270">
        <f t="shared" si="4"/>
        <v>6.517466392</v>
      </c>
      <c r="M367" s="271" t="str">
        <f t="shared" si="5"/>
        <v>freedumbs00</v>
      </c>
      <c r="N367" s="176">
        <f>IFERROR(__xludf.DUMMYFUNCTION("""COMPUTED_VALUE"""),22.0)</f>
        <v>22</v>
      </c>
      <c r="O367" s="176"/>
      <c r="P367" s="176" t="s">
        <v>1150</v>
      </c>
      <c r="Q367" s="176" t="s">
        <v>10</v>
      </c>
      <c r="R367" s="176"/>
      <c r="S367" s="176"/>
      <c r="T367" s="176"/>
      <c r="U367" s="176"/>
      <c r="V367" s="176"/>
      <c r="W367" s="176"/>
      <c r="X367" s="176"/>
      <c r="Y367" s="176"/>
      <c r="Z367" s="176"/>
    </row>
    <row r="368">
      <c r="A368" s="267" t="str">
        <f>iferror(VLOOKUP(P368,'DO NOT TOUCH Imported'!$A$1:$D$800,4,False),iferror(VLOOKUP(P368,'DO NOT TOUCH Imported'!$C$1:$D$800,2,False),"OOPS FIX ME"))</f>
        <v>freedumbs00</v>
      </c>
      <c r="B368" s="272" t="s">
        <v>10</v>
      </c>
      <c r="C368" s="273" t="s">
        <v>2014</v>
      </c>
      <c r="D368" s="274" t="s">
        <v>437</v>
      </c>
      <c r="E368" s="306">
        <v>44267.0</v>
      </c>
      <c r="F368" s="274" t="s">
        <v>439</v>
      </c>
      <c r="G368" s="243"/>
      <c r="H368" s="243"/>
      <c r="I368" s="243"/>
      <c r="J368" s="172">
        <f t="shared" si="2"/>
        <v>0</v>
      </c>
      <c r="K368" s="292">
        <v>1.8890920170627665</v>
      </c>
      <c r="L368" s="270">
        <f t="shared" si="4"/>
        <v>6.517466392</v>
      </c>
      <c r="M368" s="271" t="str">
        <f t="shared" si="5"/>
        <v>freedumbs00</v>
      </c>
      <c r="N368" s="176">
        <f>IFERROR(__xludf.DUMMYFUNCTION("""COMPUTED_VALUE"""),23.0)</f>
        <v>23</v>
      </c>
      <c r="O368" s="176"/>
      <c r="P368" s="176" t="s">
        <v>1150</v>
      </c>
      <c r="Q368" s="176" t="s">
        <v>10</v>
      </c>
      <c r="R368" s="176"/>
      <c r="S368" s="176"/>
      <c r="T368" s="176"/>
      <c r="U368" s="176"/>
      <c r="V368" s="176"/>
      <c r="W368" s="176"/>
      <c r="X368" s="176"/>
      <c r="Y368" s="176"/>
      <c r="Z368" s="176"/>
    </row>
    <row r="369">
      <c r="A369" s="267" t="str">
        <f>iferror(VLOOKUP(P369,'DO NOT TOUCH Imported'!$A$1:$D$800,4,False),iferror(VLOOKUP(P369,'DO NOT TOUCH Imported'!$C$1:$D$800,2,False),"OOPS FIX ME"))</f>
        <v>freedumbs00</v>
      </c>
      <c r="B369" s="272" t="s">
        <v>1953</v>
      </c>
      <c r="C369" s="273" t="s">
        <v>1954</v>
      </c>
      <c r="D369" s="274" t="s">
        <v>437</v>
      </c>
      <c r="E369" s="306">
        <v>44267.0</v>
      </c>
      <c r="F369" s="274" t="s">
        <v>439</v>
      </c>
      <c r="G369" s="243"/>
      <c r="H369" s="243"/>
      <c r="I369" s="243"/>
      <c r="J369" s="172">
        <f t="shared" si="2"/>
        <v>0</v>
      </c>
      <c r="K369" s="292">
        <v>1.8890920170627665</v>
      </c>
      <c r="L369" s="270">
        <f t="shared" si="4"/>
        <v>6.517466392</v>
      </c>
      <c r="M369" s="271" t="str">
        <f t="shared" si="5"/>
        <v>freedumbs00</v>
      </c>
      <c r="N369" s="176">
        <f>IFERROR(__xludf.DUMMYFUNCTION("""COMPUTED_VALUE"""),24.0)</f>
        <v>24</v>
      </c>
      <c r="O369" s="176"/>
      <c r="P369" s="176" t="s">
        <v>1150</v>
      </c>
      <c r="Q369" s="176" t="s">
        <v>1953</v>
      </c>
      <c r="R369" s="176"/>
      <c r="S369" s="176"/>
      <c r="T369" s="176"/>
      <c r="U369" s="176"/>
      <c r="V369" s="176"/>
      <c r="W369" s="176"/>
      <c r="X369" s="176"/>
      <c r="Y369" s="176"/>
      <c r="Z369" s="176"/>
    </row>
    <row r="370">
      <c r="A370" s="267" t="str">
        <f>iferror(VLOOKUP(P370,'DO NOT TOUCH Imported'!$A$1:$D$800,4,False),iferror(VLOOKUP(P370,'DO NOT TOUCH Imported'!$C$1:$D$800,2,False),"OOPS FIX ME"))</f>
        <v>jameszaki</v>
      </c>
      <c r="B370" s="272" t="s">
        <v>1702</v>
      </c>
      <c r="C370" s="273" t="s">
        <v>2092</v>
      </c>
      <c r="D370" s="274" t="s">
        <v>499</v>
      </c>
      <c r="E370" s="275">
        <v>44263.0</v>
      </c>
      <c r="F370" s="274" t="s">
        <v>1646</v>
      </c>
      <c r="G370" s="171">
        <v>50.0</v>
      </c>
      <c r="H370" s="171">
        <v>2500.0</v>
      </c>
      <c r="I370" s="171">
        <v>2000.0</v>
      </c>
      <c r="J370" s="172">
        <f t="shared" si="2"/>
        <v>0.006232638173</v>
      </c>
      <c r="K370" s="269">
        <f t="shared" ref="K370:K410" si="15">J370*$J$1</f>
        <v>6.440392779</v>
      </c>
      <c r="L370" s="270">
        <f t="shared" si="4"/>
        <v>6.440392779</v>
      </c>
      <c r="M370" s="271" t="str">
        <f t="shared" si="5"/>
        <v>jameszaki</v>
      </c>
      <c r="N370" s="176">
        <f>IFERROR(__xludf.DUMMYFUNCTION("""COMPUTED_VALUE"""),1.0)</f>
        <v>1</v>
      </c>
      <c r="O370" s="176"/>
      <c r="P370" s="267" t="s">
        <v>2093</v>
      </c>
      <c r="Q370" s="272" t="s">
        <v>1702</v>
      </c>
      <c r="R370" s="176"/>
      <c r="S370" s="176"/>
      <c r="T370" s="176"/>
      <c r="U370" s="176"/>
      <c r="V370" s="176"/>
      <c r="W370" s="176"/>
      <c r="X370" s="176"/>
      <c r="Y370" s="176"/>
      <c r="Z370" s="176"/>
    </row>
    <row r="371">
      <c r="A371" s="267" t="str">
        <f>iferror(VLOOKUP(P371,'DO NOT TOUCH Imported'!$A$1:$D$800,4,False),iferror(VLOOKUP(P371,'DO NOT TOUCH Imported'!$C$1:$D$800,2,False),"OOPS FIX ME"))</f>
        <v>moritzfelipe#9923</v>
      </c>
      <c r="B371" s="249" t="s">
        <v>590</v>
      </c>
      <c r="C371" s="219" t="s">
        <v>2094</v>
      </c>
      <c r="D371" s="268" t="s">
        <v>495</v>
      </c>
      <c r="E371" s="252">
        <v>44259.0</v>
      </c>
      <c r="F371" s="250" t="s">
        <v>496</v>
      </c>
      <c r="G371" s="171">
        <v>35.0</v>
      </c>
      <c r="H371" s="171">
        <v>5000.0</v>
      </c>
      <c r="I371" s="171">
        <v>300.0</v>
      </c>
      <c r="J371" s="172">
        <f t="shared" si="2"/>
        <v>0.002799900088</v>
      </c>
      <c r="K371" s="269">
        <f t="shared" si="15"/>
        <v>2.893230091</v>
      </c>
      <c r="L371" s="270">
        <f t="shared" si="4"/>
        <v>5.70132157</v>
      </c>
      <c r="M371" s="271" t="str">
        <f t="shared" si="5"/>
        <v>moritzfelipe#9923</v>
      </c>
      <c r="N371" s="176">
        <f>IFERROR(__xludf.DUMMYFUNCTION("""COMPUTED_VALUE"""),1.0)</f>
        <v>1</v>
      </c>
      <c r="O371" s="176"/>
      <c r="P371" s="249" t="s">
        <v>2095</v>
      </c>
      <c r="Q371" s="249" t="s">
        <v>590</v>
      </c>
      <c r="R371" s="176"/>
      <c r="S371" s="176"/>
      <c r="T371" s="176"/>
      <c r="U371" s="176"/>
      <c r="V371" s="176"/>
      <c r="W371" s="176"/>
      <c r="X371" s="176"/>
      <c r="Y371" s="176"/>
      <c r="Z371" s="176"/>
    </row>
    <row r="372">
      <c r="A372" s="267" t="str">
        <f>iferror(VLOOKUP(P372,'DO NOT TOUCH Imported'!$A$1:$D$800,4,False),iferror(VLOOKUP(P372,'DO NOT TOUCH Imported'!$C$1:$D$800,2,False),"OOPS FIX ME"))</f>
        <v>moritzfelipe#9923</v>
      </c>
      <c r="B372" s="272" t="s">
        <v>10</v>
      </c>
      <c r="C372" s="273" t="s">
        <v>2080</v>
      </c>
      <c r="D372" s="274" t="s">
        <v>437</v>
      </c>
      <c r="E372" s="275">
        <v>44260.0</v>
      </c>
      <c r="F372" s="274" t="s">
        <v>1929</v>
      </c>
      <c r="G372" s="171">
        <v>50.0</v>
      </c>
      <c r="H372" s="171">
        <v>2000.0</v>
      </c>
      <c r="I372" s="171">
        <v>300.0</v>
      </c>
      <c r="J372" s="172">
        <f t="shared" si="2"/>
        <v>0.002121266313</v>
      </c>
      <c r="K372" s="269">
        <f t="shared" si="15"/>
        <v>2.19197519</v>
      </c>
      <c r="L372" s="270">
        <f t="shared" si="4"/>
        <v>5.70132157</v>
      </c>
      <c r="M372" s="271" t="str">
        <f t="shared" si="5"/>
        <v>moritzfelipe#9923</v>
      </c>
      <c r="N372" s="176">
        <f>IFERROR(__xludf.DUMMYFUNCTION("""COMPUTED_VALUE"""),2.0)</f>
        <v>2</v>
      </c>
      <c r="O372" s="176"/>
      <c r="P372" s="267" t="s">
        <v>101</v>
      </c>
      <c r="Q372" s="272" t="s">
        <v>10</v>
      </c>
      <c r="R372" s="176"/>
      <c r="S372" s="176"/>
      <c r="T372" s="176"/>
      <c r="U372" s="176"/>
      <c r="V372" s="176"/>
      <c r="W372" s="176"/>
      <c r="X372" s="176"/>
      <c r="Y372" s="176"/>
      <c r="Z372" s="176"/>
    </row>
    <row r="373">
      <c r="A373" s="267" t="str">
        <f>iferror(VLOOKUP(P373,'DO NOT TOUCH Imported'!$A$1:$D$800,4,False),iferror(VLOOKUP(P373,'DO NOT TOUCH Imported'!$C$1:$D$800,2,False),"OOPS FIX ME"))</f>
        <v>moritzfelipe#9923</v>
      </c>
      <c r="B373" s="272" t="s">
        <v>10</v>
      </c>
      <c r="C373" s="273" t="s">
        <v>1941</v>
      </c>
      <c r="D373" s="274" t="s">
        <v>437</v>
      </c>
      <c r="E373" s="275">
        <v>44260.0</v>
      </c>
      <c r="F373" s="274" t="s">
        <v>1929</v>
      </c>
      <c r="G373" s="171">
        <v>15.0</v>
      </c>
      <c r="H373" s="171">
        <v>1000.0</v>
      </c>
      <c r="I373" s="171">
        <v>20.0</v>
      </c>
      <c r="J373" s="172">
        <f t="shared" si="2"/>
        <v>0.0005962415693</v>
      </c>
      <c r="K373" s="269">
        <f t="shared" si="15"/>
        <v>0.6161162883</v>
      </c>
      <c r="L373" s="270">
        <f t="shared" si="4"/>
        <v>5.70132157</v>
      </c>
      <c r="M373" s="271" t="str">
        <f t="shared" si="5"/>
        <v>moritzfelipe#9923</v>
      </c>
      <c r="N373" s="176">
        <f>IFERROR(__xludf.DUMMYFUNCTION("""COMPUTED_VALUE"""),3.0)</f>
        <v>3</v>
      </c>
      <c r="O373" s="176"/>
      <c r="P373" s="267" t="s">
        <v>101</v>
      </c>
      <c r="Q373" s="272" t="s">
        <v>10</v>
      </c>
      <c r="R373" s="176"/>
      <c r="S373" s="176"/>
      <c r="T373" s="176"/>
      <c r="U373" s="176"/>
      <c r="V373" s="176"/>
      <c r="W373" s="176"/>
      <c r="X373" s="176"/>
      <c r="Y373" s="176"/>
      <c r="Z373" s="176"/>
    </row>
    <row r="374">
      <c r="A374" s="267" t="str">
        <f>iferror(VLOOKUP(P374,'DO NOT TOUCH Imported'!$A$1:$D$800,4,False),iferror(VLOOKUP(P374,'DO NOT TOUCH Imported'!$C$1:$D$800,2,False),"OOPS FIX ME"))</f>
        <v>fvigevani</v>
      </c>
      <c r="B374" s="249" t="s">
        <v>10</v>
      </c>
      <c r="C374" s="219" t="s">
        <v>2048</v>
      </c>
      <c r="D374" s="268" t="s">
        <v>495</v>
      </c>
      <c r="E374" s="252">
        <v>44260.0</v>
      </c>
      <c r="F374" s="250" t="s">
        <v>496</v>
      </c>
      <c r="G374" s="171">
        <v>100.0</v>
      </c>
      <c r="H374" s="171">
        <v>3500.0</v>
      </c>
      <c r="I374" s="171">
        <v>300.0</v>
      </c>
      <c r="J374" s="172">
        <f t="shared" si="2"/>
        <v>0.003390552471</v>
      </c>
      <c r="K374" s="269">
        <f t="shared" si="15"/>
        <v>3.503570887</v>
      </c>
      <c r="L374" s="270">
        <f t="shared" si="4"/>
        <v>5.676964991</v>
      </c>
      <c r="M374" s="271" t="str">
        <f t="shared" si="5"/>
        <v>fvigevani</v>
      </c>
      <c r="N374" s="176">
        <f>IFERROR(__xludf.DUMMYFUNCTION("""COMPUTED_VALUE"""),1.0)</f>
        <v>1</v>
      </c>
      <c r="O374" s="176"/>
      <c r="P374" s="249" t="s">
        <v>74</v>
      </c>
      <c r="Q374" s="249" t="s">
        <v>10</v>
      </c>
      <c r="R374" s="176"/>
      <c r="S374" s="176"/>
      <c r="T374" s="176"/>
      <c r="U374" s="176"/>
      <c r="V374" s="176"/>
      <c r="W374" s="176"/>
      <c r="X374" s="176"/>
      <c r="Y374" s="176"/>
      <c r="Z374" s="176"/>
    </row>
    <row r="375">
      <c r="A375" s="267" t="str">
        <f>iferror(VLOOKUP(P375,'DO NOT TOUCH Imported'!$A$1:$D$800,4,False),iferror(VLOOKUP(P375,'DO NOT TOUCH Imported'!$C$1:$D$800,2,False),"OOPS FIX ME"))</f>
        <v>fvigevani</v>
      </c>
      <c r="B375" s="249" t="s">
        <v>10</v>
      </c>
      <c r="C375" s="219" t="s">
        <v>2049</v>
      </c>
      <c r="D375" s="268" t="s">
        <v>495</v>
      </c>
      <c r="E375" s="252">
        <v>44260.0</v>
      </c>
      <c r="F375" s="250" t="s">
        <v>496</v>
      </c>
      <c r="G375" s="171">
        <v>25.0</v>
      </c>
      <c r="H375" s="171">
        <v>2500.0</v>
      </c>
      <c r="I375" s="171">
        <v>400.0</v>
      </c>
      <c r="J375" s="172">
        <f t="shared" si="2"/>
        <v>0.002103284617</v>
      </c>
      <c r="K375" s="269">
        <f t="shared" si="15"/>
        <v>2.173394104</v>
      </c>
      <c r="L375" s="270">
        <f t="shared" si="4"/>
        <v>5.676964991</v>
      </c>
      <c r="M375" s="271" t="str">
        <f t="shared" si="5"/>
        <v>fvigevani</v>
      </c>
      <c r="N375" s="176">
        <f>IFERROR(__xludf.DUMMYFUNCTION("""COMPUTED_VALUE"""),2.0)</f>
        <v>2</v>
      </c>
      <c r="O375" s="176"/>
      <c r="P375" s="249" t="s">
        <v>74</v>
      </c>
      <c r="Q375" s="249" t="s">
        <v>10</v>
      </c>
      <c r="R375" s="176"/>
      <c r="S375" s="176"/>
      <c r="T375" s="176"/>
      <c r="U375" s="176"/>
      <c r="V375" s="176"/>
      <c r="W375" s="176"/>
      <c r="X375" s="176"/>
      <c r="Y375" s="176"/>
      <c r="Z375" s="176"/>
    </row>
    <row r="376">
      <c r="A376" s="267" t="str">
        <f>iferror(VLOOKUP(P376,'DO NOT TOUCH Imported'!$A$1:$D$800,4,False),iferror(VLOOKUP(P376,'DO NOT TOUCH Imported'!$C$1:$D$800,2,False),"OOPS FIX ME"))</f>
        <v>fiorebotta</v>
      </c>
      <c r="B376" s="249" t="s">
        <v>10</v>
      </c>
      <c r="C376" s="219" t="s">
        <v>2048</v>
      </c>
      <c r="D376" s="268" t="s">
        <v>495</v>
      </c>
      <c r="E376" s="252">
        <v>44260.0</v>
      </c>
      <c r="F376" s="250" t="s">
        <v>496</v>
      </c>
      <c r="G376" s="171">
        <v>100.0</v>
      </c>
      <c r="H376" s="171">
        <v>3500.0</v>
      </c>
      <c r="I376" s="171">
        <v>300.0</v>
      </c>
      <c r="J376" s="172">
        <f t="shared" si="2"/>
        <v>0.003390552471</v>
      </c>
      <c r="K376" s="269">
        <f t="shared" si="15"/>
        <v>3.503570887</v>
      </c>
      <c r="L376" s="270">
        <f t="shared" si="4"/>
        <v>5.676964991</v>
      </c>
      <c r="M376" s="271" t="str">
        <f t="shared" si="5"/>
        <v>fiorebotta</v>
      </c>
      <c r="N376" s="176">
        <f>IFERROR(__xludf.DUMMYFUNCTION("""COMPUTED_VALUE"""),1.0)</f>
        <v>1</v>
      </c>
      <c r="O376" s="176"/>
      <c r="P376" s="249" t="s">
        <v>62</v>
      </c>
      <c r="Q376" s="249" t="s">
        <v>10</v>
      </c>
      <c r="R376" s="176"/>
      <c r="S376" s="176"/>
      <c r="T376" s="176"/>
      <c r="U376" s="176"/>
      <c r="V376" s="176"/>
      <c r="W376" s="176"/>
      <c r="X376" s="176"/>
      <c r="Y376" s="176"/>
      <c r="Z376" s="176"/>
    </row>
    <row r="377">
      <c r="A377" s="267" t="str">
        <f>iferror(VLOOKUP(P377,'DO NOT TOUCH Imported'!$A$1:$D$800,4,False),iferror(VLOOKUP(P377,'DO NOT TOUCH Imported'!$C$1:$D$800,2,False),"OOPS FIX ME"))</f>
        <v>fiorebotta</v>
      </c>
      <c r="B377" s="249" t="s">
        <v>10</v>
      </c>
      <c r="C377" s="219" t="s">
        <v>2049</v>
      </c>
      <c r="D377" s="268" t="s">
        <v>495</v>
      </c>
      <c r="E377" s="252">
        <v>44260.0</v>
      </c>
      <c r="F377" s="250" t="s">
        <v>496</v>
      </c>
      <c r="G377" s="171">
        <v>25.0</v>
      </c>
      <c r="H377" s="171">
        <v>2500.0</v>
      </c>
      <c r="I377" s="171">
        <v>400.0</v>
      </c>
      <c r="J377" s="172">
        <f t="shared" si="2"/>
        <v>0.002103284617</v>
      </c>
      <c r="K377" s="269">
        <f t="shared" si="15"/>
        <v>2.173394104</v>
      </c>
      <c r="L377" s="270">
        <f t="shared" si="4"/>
        <v>5.676964991</v>
      </c>
      <c r="M377" s="271" t="str">
        <f t="shared" si="5"/>
        <v>fiorebotta</v>
      </c>
      <c r="N377" s="176">
        <f>IFERROR(__xludf.DUMMYFUNCTION("""COMPUTED_VALUE"""),2.0)</f>
        <v>2</v>
      </c>
      <c r="O377" s="176"/>
      <c r="P377" s="249" t="s">
        <v>62</v>
      </c>
      <c r="Q377" s="249" t="s">
        <v>10</v>
      </c>
      <c r="R377" s="176"/>
      <c r="S377" s="176"/>
      <c r="T377" s="176"/>
      <c r="U377" s="176"/>
      <c r="V377" s="176"/>
      <c r="W377" s="176"/>
      <c r="X377" s="176"/>
      <c r="Y377" s="176"/>
      <c r="Z377" s="176"/>
    </row>
    <row r="378">
      <c r="A378" s="185" t="str">
        <f>iferror(VLOOKUP(P378,'DO NOT TOUCH Imported'!$A$1:$D$800,4,False),iferror(VLOOKUP(P378,'DO NOT TOUCH Imported'!$C$1:$D$800,2,False),"OOPS FIX ME"))</f>
        <v>fiorebotta</v>
      </c>
      <c r="B378" s="185" t="s">
        <v>534</v>
      </c>
      <c r="C378" s="210" t="s">
        <v>717</v>
      </c>
      <c r="D378" s="187"/>
      <c r="E378" s="188"/>
      <c r="F378" s="189"/>
      <c r="G378" s="190"/>
      <c r="H378" s="190"/>
      <c r="I378" s="190"/>
      <c r="J378" s="191">
        <f t="shared" si="2"/>
        <v>0</v>
      </c>
      <c r="K378" s="192">
        <f t="shared" si="15"/>
        <v>0</v>
      </c>
      <c r="L378" s="193">
        <f t="shared" si="4"/>
        <v>5.676964991</v>
      </c>
      <c r="M378" s="194" t="str">
        <f t="shared" si="5"/>
        <v>fiorebotta</v>
      </c>
      <c r="N378" s="195">
        <f>IFERROR(__xludf.DUMMYFUNCTION("""COMPUTED_VALUE"""),3.0)</f>
        <v>3</v>
      </c>
      <c r="O378" s="195"/>
      <c r="P378" s="211" t="s">
        <v>62</v>
      </c>
      <c r="Q378" s="185" t="s">
        <v>534</v>
      </c>
      <c r="R378" s="195">
        <v>11.125055275694283</v>
      </c>
      <c r="S378" s="195"/>
      <c r="T378" s="195"/>
      <c r="U378" s="195"/>
      <c r="V378" s="195"/>
      <c r="W378" s="195"/>
      <c r="X378" s="195"/>
      <c r="Y378" s="195"/>
      <c r="Z378" s="195"/>
    </row>
    <row r="379">
      <c r="A379" s="267" t="str">
        <f>iferror(VLOOKUP(P379,'DO NOT TOUCH Imported'!$A$1:$D$800,4,False),iferror(VLOOKUP(P379,'DO NOT TOUCH Imported'!$C$1:$D$800,2,False),"OOPS FIX ME"))</f>
        <v>Tonga2020</v>
      </c>
      <c r="B379" s="272" t="s">
        <v>1933</v>
      </c>
      <c r="C379" s="273" t="s">
        <v>1936</v>
      </c>
      <c r="D379" s="274" t="s">
        <v>437</v>
      </c>
      <c r="E379" s="275">
        <v>44259.0</v>
      </c>
      <c r="F379" s="274" t="s">
        <v>1929</v>
      </c>
      <c r="G379" s="171">
        <v>25.0</v>
      </c>
      <c r="H379" s="171">
        <v>1500.0</v>
      </c>
      <c r="I379" s="171">
        <v>200.0</v>
      </c>
      <c r="J379" s="172">
        <f t="shared" si="2"/>
        <v>0.001330579079</v>
      </c>
      <c r="K379" s="269">
        <f t="shared" si="15"/>
        <v>1.374931715</v>
      </c>
      <c r="L379" s="270">
        <f t="shared" si="4"/>
        <v>5.323294642</v>
      </c>
      <c r="M379" s="271" t="str">
        <f t="shared" si="5"/>
        <v>Tonga2020</v>
      </c>
      <c r="N379" s="176">
        <f>IFERROR(__xludf.DUMMYFUNCTION("""COMPUTED_VALUE"""),1.0)</f>
        <v>1</v>
      </c>
      <c r="O379" s="176"/>
      <c r="P379" s="267" t="s">
        <v>1890</v>
      </c>
      <c r="Q379" s="272" t="s">
        <v>1933</v>
      </c>
      <c r="R379" s="176"/>
      <c r="S379" s="176"/>
      <c r="T379" s="176"/>
      <c r="U379" s="176"/>
      <c r="V379" s="176"/>
      <c r="W379" s="176"/>
      <c r="X379" s="176"/>
      <c r="Y379" s="176"/>
      <c r="Z379" s="176"/>
    </row>
    <row r="380">
      <c r="A380" s="267" t="str">
        <f>iferror(VLOOKUP(P380,'DO NOT TOUCH Imported'!$A$1:$D$800,4,False),iferror(VLOOKUP(P380,'DO NOT TOUCH Imported'!$C$1:$D$800,2,False),"OOPS FIX ME"))</f>
        <v>Tonga2020</v>
      </c>
      <c r="B380" s="249" t="s">
        <v>10</v>
      </c>
      <c r="C380" s="219" t="s">
        <v>500</v>
      </c>
      <c r="D380" s="268" t="s">
        <v>495</v>
      </c>
      <c r="E380" s="252">
        <v>44260.0</v>
      </c>
      <c r="F380" s="250" t="s">
        <v>496</v>
      </c>
      <c r="G380" s="171">
        <v>35.0</v>
      </c>
      <c r="H380" s="171">
        <v>500.0</v>
      </c>
      <c r="I380" s="171">
        <v>40.0</v>
      </c>
      <c r="J380" s="172">
        <f t="shared" si="2"/>
        <v>0.0008127328046</v>
      </c>
      <c r="K380" s="269">
        <f t="shared" si="15"/>
        <v>0.8398238981</v>
      </c>
      <c r="L380" s="270">
        <f t="shared" si="4"/>
        <v>5.323294642</v>
      </c>
      <c r="M380" s="271" t="str">
        <f t="shared" si="5"/>
        <v>Tonga2020</v>
      </c>
      <c r="N380" s="176">
        <f>IFERROR(__xludf.DUMMYFUNCTION("""COMPUTED_VALUE"""),2.0)</f>
        <v>2</v>
      </c>
      <c r="O380" s="176"/>
      <c r="P380" s="257" t="s">
        <v>17</v>
      </c>
      <c r="Q380" s="257" t="s">
        <v>10</v>
      </c>
      <c r="R380" s="176"/>
      <c r="S380" s="176"/>
      <c r="T380" s="176"/>
      <c r="U380" s="176"/>
      <c r="V380" s="176"/>
      <c r="W380" s="176"/>
      <c r="X380" s="176"/>
      <c r="Y380" s="176"/>
      <c r="Z380" s="176"/>
    </row>
    <row r="381">
      <c r="A381" s="267" t="str">
        <f>iferror(VLOOKUP(P381,'DO NOT TOUCH Imported'!$A$1:$D$800,4,False),iferror(VLOOKUP(P381,'DO NOT TOUCH Imported'!$C$1:$D$800,2,False),"OOPS FIX ME"))</f>
        <v>Tonga2020</v>
      </c>
      <c r="B381" s="249" t="s">
        <v>10</v>
      </c>
      <c r="C381" s="219" t="s">
        <v>498</v>
      </c>
      <c r="D381" s="268" t="s">
        <v>495</v>
      </c>
      <c r="E381" s="252">
        <v>44260.0</v>
      </c>
      <c r="F381" s="250" t="s">
        <v>499</v>
      </c>
      <c r="G381" s="171">
        <v>35.0</v>
      </c>
      <c r="H381" s="171">
        <v>500.0</v>
      </c>
      <c r="I381" s="171">
        <v>40.0</v>
      </c>
      <c r="J381" s="172">
        <f t="shared" si="2"/>
        <v>0.0008127328046</v>
      </c>
      <c r="K381" s="269">
        <f t="shared" si="15"/>
        <v>0.8398238981</v>
      </c>
      <c r="L381" s="270">
        <f t="shared" si="4"/>
        <v>5.323294642</v>
      </c>
      <c r="M381" s="271" t="str">
        <f t="shared" si="5"/>
        <v>Tonga2020</v>
      </c>
      <c r="N381" s="176">
        <f>IFERROR(__xludf.DUMMYFUNCTION("""COMPUTED_VALUE"""),3.0)</f>
        <v>3</v>
      </c>
      <c r="O381" s="176"/>
      <c r="P381" s="257" t="s">
        <v>17</v>
      </c>
      <c r="Q381" s="257" t="s">
        <v>10</v>
      </c>
      <c r="R381" s="176"/>
      <c r="S381" s="176"/>
      <c r="T381" s="176"/>
      <c r="U381" s="176"/>
      <c r="V381" s="176"/>
      <c r="W381" s="176"/>
      <c r="X381" s="176"/>
      <c r="Y381" s="176"/>
      <c r="Z381" s="176"/>
    </row>
    <row r="382">
      <c r="A382" s="267" t="str">
        <f>iferror(VLOOKUP(P382,'DO NOT TOUCH Imported'!$A$1:$D$800,4,False),iferror(VLOOKUP(P382,'DO NOT TOUCH Imported'!$C$1:$D$800,2,False),"OOPS FIX ME"))</f>
        <v>Tonga2020</v>
      </c>
      <c r="B382" s="272" t="s">
        <v>10</v>
      </c>
      <c r="C382" s="273" t="s">
        <v>1980</v>
      </c>
      <c r="D382" s="274" t="s">
        <v>437</v>
      </c>
      <c r="E382" s="306">
        <v>44267.0</v>
      </c>
      <c r="F382" s="274" t="s">
        <v>439</v>
      </c>
      <c r="G382" s="171">
        <v>25.0</v>
      </c>
      <c r="H382" s="171">
        <v>2500.0</v>
      </c>
      <c r="I382" s="171">
        <v>100.0</v>
      </c>
      <c r="J382" s="172">
        <f t="shared" si="2"/>
        <v>0.001404843537</v>
      </c>
      <c r="K382" s="269">
        <f t="shared" si="15"/>
        <v>1.451671655</v>
      </c>
      <c r="L382" s="270">
        <f t="shared" si="4"/>
        <v>5.323294642</v>
      </c>
      <c r="M382" s="271" t="str">
        <f t="shared" si="5"/>
        <v>Tonga2020</v>
      </c>
      <c r="N382" s="176">
        <f>IFERROR(__xludf.DUMMYFUNCTION("""COMPUTED_VALUE"""),4.0)</f>
        <v>4</v>
      </c>
      <c r="O382" s="176"/>
      <c r="P382" s="280" t="s">
        <v>1890</v>
      </c>
      <c r="Q382" s="276" t="s">
        <v>10</v>
      </c>
      <c r="R382" s="176"/>
      <c r="S382" s="176"/>
      <c r="T382" s="176"/>
      <c r="U382" s="176"/>
      <c r="V382" s="176"/>
      <c r="W382" s="176"/>
      <c r="X382" s="176"/>
      <c r="Y382" s="176"/>
      <c r="Z382" s="176"/>
    </row>
    <row r="383">
      <c r="A383" s="267" t="str">
        <f>iferror(VLOOKUP(P383,'DO NOT TOUCH Imported'!$A$1:$D$800,4,False),iferror(VLOOKUP(P383,'DO NOT TOUCH Imported'!$C$1:$D$800,2,False),"OOPS FIX ME"))</f>
        <v>Tonga2020</v>
      </c>
      <c r="B383" s="249" t="s">
        <v>10</v>
      </c>
      <c r="C383" s="219" t="s">
        <v>498</v>
      </c>
      <c r="D383" s="268" t="s">
        <v>495</v>
      </c>
      <c r="E383" s="252">
        <v>44267.0</v>
      </c>
      <c r="F383" s="250" t="s">
        <v>499</v>
      </c>
      <c r="G383" s="171">
        <v>25.0</v>
      </c>
      <c r="H383" s="171">
        <v>500.0</v>
      </c>
      <c r="I383" s="171">
        <v>100.0</v>
      </c>
      <c r="J383" s="172">
        <f t="shared" si="2"/>
        <v>0.0007906872343</v>
      </c>
      <c r="K383" s="269">
        <f t="shared" si="15"/>
        <v>0.8170434755</v>
      </c>
      <c r="L383" s="270">
        <f t="shared" si="4"/>
        <v>5.323294642</v>
      </c>
      <c r="M383" s="271" t="str">
        <f t="shared" si="5"/>
        <v>Tonga2020</v>
      </c>
      <c r="N383" s="176">
        <f>IFERROR(__xludf.DUMMYFUNCTION("""COMPUTED_VALUE"""),5.0)</f>
        <v>5</v>
      </c>
      <c r="O383" s="176"/>
      <c r="P383" s="257" t="s">
        <v>17</v>
      </c>
      <c r="Q383" s="257" t="s">
        <v>10</v>
      </c>
      <c r="R383" s="176"/>
      <c r="S383" s="176"/>
      <c r="T383" s="176"/>
      <c r="U383" s="176"/>
      <c r="V383" s="176"/>
      <c r="W383" s="176"/>
      <c r="X383" s="176"/>
      <c r="Y383" s="176"/>
      <c r="Z383" s="176"/>
    </row>
    <row r="384">
      <c r="A384" s="267" t="str">
        <f>iferror(VLOOKUP(P384,'DO NOT TOUCH Imported'!$A$1:$D$800,4,False),iferror(VLOOKUP(P384,'DO NOT TOUCH Imported'!$C$1:$D$800,2,False),"OOPS FIX ME"))</f>
        <v>papa_raw</v>
      </c>
      <c r="B384" s="249" t="s">
        <v>10</v>
      </c>
      <c r="C384" s="219" t="s">
        <v>498</v>
      </c>
      <c r="D384" s="268" t="s">
        <v>495</v>
      </c>
      <c r="E384" s="252">
        <v>44260.0</v>
      </c>
      <c r="F384" s="250" t="s">
        <v>499</v>
      </c>
      <c r="G384" s="171">
        <v>35.0</v>
      </c>
      <c r="H384" s="171">
        <v>500.0</v>
      </c>
      <c r="I384" s="171">
        <v>40.0</v>
      </c>
      <c r="J384" s="172">
        <f t="shared" si="2"/>
        <v>0.0008127328046</v>
      </c>
      <c r="K384" s="269">
        <f t="shared" si="15"/>
        <v>0.8398238981</v>
      </c>
      <c r="L384" s="270">
        <f t="shared" si="4"/>
        <v>5.273706375</v>
      </c>
      <c r="M384" s="271" t="str">
        <f t="shared" si="5"/>
        <v>papa_raw</v>
      </c>
      <c r="N384" s="176">
        <f>IFERROR(__xludf.DUMMYFUNCTION("""COMPUTED_VALUE"""),1.0)</f>
        <v>1</v>
      </c>
      <c r="O384" s="176"/>
      <c r="P384" s="257" t="s">
        <v>107</v>
      </c>
      <c r="Q384" s="257" t="s">
        <v>10</v>
      </c>
      <c r="R384" s="176"/>
      <c r="S384" s="176"/>
      <c r="T384" s="176"/>
      <c r="U384" s="176"/>
      <c r="V384" s="176"/>
      <c r="W384" s="176"/>
      <c r="X384" s="176"/>
      <c r="Y384" s="176"/>
      <c r="Z384" s="176"/>
    </row>
    <row r="385">
      <c r="A385" s="267" t="str">
        <f>iferror(VLOOKUP(P385,'DO NOT TOUCH Imported'!$A$1:$D$800,4,False),iferror(VLOOKUP(P385,'DO NOT TOUCH Imported'!$C$1:$D$800,2,False),"OOPS FIX ME"))</f>
        <v>papa_raw</v>
      </c>
      <c r="B385" s="272" t="s">
        <v>1702</v>
      </c>
      <c r="C385" s="273" t="s">
        <v>2096</v>
      </c>
      <c r="D385" s="274" t="s">
        <v>499</v>
      </c>
      <c r="E385" s="275">
        <v>44263.0</v>
      </c>
      <c r="F385" s="274" t="s">
        <v>1646</v>
      </c>
      <c r="G385" s="171">
        <v>25.0</v>
      </c>
      <c r="H385" s="171">
        <v>2500.0</v>
      </c>
      <c r="I385" s="171">
        <v>1000.0</v>
      </c>
      <c r="J385" s="172">
        <f t="shared" si="2"/>
        <v>0.003500166776</v>
      </c>
      <c r="K385" s="269">
        <f t="shared" si="15"/>
        <v>3.616839002</v>
      </c>
      <c r="L385" s="270">
        <f t="shared" si="4"/>
        <v>5.273706375</v>
      </c>
      <c r="M385" s="271" t="str">
        <f t="shared" si="5"/>
        <v>papa_raw</v>
      </c>
      <c r="N385" s="176">
        <f>IFERROR(__xludf.DUMMYFUNCTION("""COMPUTED_VALUE"""),2.0)</f>
        <v>2</v>
      </c>
      <c r="O385" s="176"/>
      <c r="P385" s="267" t="s">
        <v>1199</v>
      </c>
      <c r="Q385" s="272" t="s">
        <v>1702</v>
      </c>
      <c r="R385" s="176"/>
      <c r="S385" s="176"/>
      <c r="T385" s="176"/>
      <c r="U385" s="176"/>
      <c r="V385" s="176"/>
      <c r="W385" s="176"/>
      <c r="X385" s="176"/>
      <c r="Y385" s="176"/>
      <c r="Z385" s="176"/>
    </row>
    <row r="386">
      <c r="A386" s="267" t="str">
        <f>iferror(VLOOKUP(P386,'DO NOT TOUCH Imported'!$A$1:$D$800,4,False),iferror(VLOOKUP(P386,'DO NOT TOUCH Imported'!$C$1:$D$800,2,False),"OOPS FIX ME"))</f>
        <v>papa_raw</v>
      </c>
      <c r="B386" s="249" t="s">
        <v>10</v>
      </c>
      <c r="C386" s="219" t="s">
        <v>498</v>
      </c>
      <c r="D386" s="268" t="s">
        <v>495</v>
      </c>
      <c r="E386" s="252">
        <v>44267.0</v>
      </c>
      <c r="F386" s="250" t="s">
        <v>499</v>
      </c>
      <c r="G386" s="171">
        <v>25.0</v>
      </c>
      <c r="H386" s="171">
        <v>500.0</v>
      </c>
      <c r="I386" s="171">
        <v>100.0</v>
      </c>
      <c r="J386" s="172">
        <f t="shared" si="2"/>
        <v>0.0007906872343</v>
      </c>
      <c r="K386" s="269">
        <f t="shared" si="15"/>
        <v>0.8170434755</v>
      </c>
      <c r="L386" s="270">
        <f t="shared" si="4"/>
        <v>5.273706375</v>
      </c>
      <c r="M386" s="271" t="str">
        <f t="shared" si="5"/>
        <v>papa_raw</v>
      </c>
      <c r="N386" s="176">
        <f>IFERROR(__xludf.DUMMYFUNCTION("""COMPUTED_VALUE"""),3.0)</f>
        <v>3</v>
      </c>
      <c r="O386" s="176"/>
      <c r="P386" s="249" t="s">
        <v>107</v>
      </c>
      <c r="Q386" s="249" t="s">
        <v>10</v>
      </c>
      <c r="R386" s="176"/>
      <c r="S386" s="176"/>
      <c r="T386" s="176"/>
      <c r="U386" s="176"/>
      <c r="V386" s="176"/>
      <c r="W386" s="176"/>
      <c r="X386" s="176"/>
      <c r="Y386" s="176"/>
      <c r="Z386" s="176"/>
    </row>
    <row r="387">
      <c r="A387" s="267" t="str">
        <f>iferror(VLOOKUP(P387,'DO NOT TOUCH Imported'!$A$1:$D$800,4,False),iferror(VLOOKUP(P387,'DO NOT TOUCH Imported'!$C$1:$D$800,2,False),"OOPS FIX ME"))</f>
        <v>JessicaZartler</v>
      </c>
      <c r="B387" s="249" t="s">
        <v>519</v>
      </c>
      <c r="C387" s="170" t="s">
        <v>2097</v>
      </c>
      <c r="D387" s="268" t="s">
        <v>495</v>
      </c>
      <c r="E387" s="252">
        <v>44257.0</v>
      </c>
      <c r="F387" s="250" t="s">
        <v>521</v>
      </c>
      <c r="G387" s="171">
        <v>100.0</v>
      </c>
      <c r="H387" s="171">
        <v>1000.0</v>
      </c>
      <c r="I387" s="171">
        <v>400.0</v>
      </c>
      <c r="J387" s="172">
        <f t="shared" si="2"/>
        <v>0.002855670786</v>
      </c>
      <c r="K387" s="269">
        <f t="shared" si="15"/>
        <v>2.950859812</v>
      </c>
      <c r="L387" s="270">
        <f t="shared" si="4"/>
        <v>5.240538869</v>
      </c>
      <c r="M387" s="271" t="str">
        <f t="shared" si="5"/>
        <v>JessicaZartler</v>
      </c>
      <c r="N387" s="176">
        <f>IFERROR(__xludf.DUMMYFUNCTION("""COMPUTED_VALUE"""),1.0)</f>
        <v>1</v>
      </c>
      <c r="O387" s="176"/>
      <c r="P387" s="249" t="s">
        <v>14</v>
      </c>
      <c r="Q387" s="249" t="s">
        <v>519</v>
      </c>
      <c r="R387" s="176"/>
      <c r="S387" s="176"/>
      <c r="T387" s="176"/>
      <c r="U387" s="176"/>
      <c r="V387" s="176"/>
      <c r="W387" s="176"/>
      <c r="X387" s="176"/>
      <c r="Y387" s="176"/>
      <c r="Z387" s="176"/>
    </row>
    <row r="388">
      <c r="A388" s="267" t="str">
        <f>iferror(VLOOKUP(P388,'DO NOT TOUCH Imported'!$A$1:$D$800,4,False),iferror(VLOOKUP(P388,'DO NOT TOUCH Imported'!$C$1:$D$800,2,False),"OOPS FIX ME"))</f>
        <v>JessicaZartler</v>
      </c>
      <c r="B388" s="249" t="s">
        <v>18</v>
      </c>
      <c r="C388" s="219" t="s">
        <v>1930</v>
      </c>
      <c r="D388" s="268" t="s">
        <v>495</v>
      </c>
      <c r="E388" s="252">
        <v>44257.0</v>
      </c>
      <c r="F388" s="250" t="s">
        <v>496</v>
      </c>
      <c r="G388" s="171">
        <v>25.0</v>
      </c>
      <c r="H388" s="171">
        <v>1000.0</v>
      </c>
      <c r="I388" s="171">
        <v>10.0</v>
      </c>
      <c r="J388" s="172">
        <f t="shared" si="2"/>
        <v>0.0007346939862</v>
      </c>
      <c r="K388" s="269">
        <f t="shared" si="15"/>
        <v>0.7591837857</v>
      </c>
      <c r="L388" s="270">
        <f t="shared" si="4"/>
        <v>5.240538869</v>
      </c>
      <c r="M388" s="271" t="str">
        <f t="shared" si="5"/>
        <v>JessicaZartler</v>
      </c>
      <c r="N388" s="176">
        <f>IFERROR(__xludf.DUMMYFUNCTION("""COMPUTED_VALUE"""),2.0)</f>
        <v>2</v>
      </c>
      <c r="O388" s="176"/>
      <c r="P388" s="249" t="s">
        <v>14</v>
      </c>
      <c r="Q388" s="249" t="s">
        <v>18</v>
      </c>
      <c r="R388" s="176"/>
      <c r="S388" s="176"/>
      <c r="T388" s="176"/>
      <c r="U388" s="176"/>
      <c r="V388" s="176"/>
      <c r="W388" s="176"/>
      <c r="X388" s="176"/>
      <c r="Y388" s="176"/>
      <c r="Z388" s="176"/>
    </row>
    <row r="389">
      <c r="A389" s="267" t="str">
        <f>iferror(VLOOKUP(P389,'DO NOT TOUCH Imported'!$A$1:$D$800,4,False),iferror(VLOOKUP(P389,'DO NOT TOUCH Imported'!$C$1:$D$800,2,False),"OOPS FIX ME"))</f>
        <v>JessicaZartler</v>
      </c>
      <c r="B389" s="272" t="s">
        <v>1933</v>
      </c>
      <c r="C389" s="273" t="s">
        <v>1934</v>
      </c>
      <c r="D389" s="274" t="s">
        <v>437</v>
      </c>
      <c r="E389" s="275">
        <v>44258.0</v>
      </c>
      <c r="F389" s="274" t="s">
        <v>1929</v>
      </c>
      <c r="G389" s="171">
        <v>25.0</v>
      </c>
      <c r="H389" s="171">
        <v>2000.0</v>
      </c>
      <c r="I389" s="171">
        <v>200.0</v>
      </c>
      <c r="J389" s="172">
        <f t="shared" si="2"/>
        <v>0.001484118155</v>
      </c>
      <c r="K389" s="269">
        <f t="shared" si="15"/>
        <v>1.53358876</v>
      </c>
      <c r="L389" s="270">
        <f t="shared" si="4"/>
        <v>5.240538869</v>
      </c>
      <c r="M389" s="271" t="str">
        <f t="shared" si="5"/>
        <v>JessicaZartler</v>
      </c>
      <c r="N389" s="176">
        <f>IFERROR(__xludf.DUMMYFUNCTION("""COMPUTED_VALUE"""),3.0)</f>
        <v>3</v>
      </c>
      <c r="O389" s="176"/>
      <c r="P389" s="267" t="s">
        <v>566</v>
      </c>
      <c r="Q389" s="272" t="s">
        <v>1933</v>
      </c>
      <c r="R389" s="176"/>
      <c r="S389" s="176"/>
      <c r="T389" s="176"/>
      <c r="U389" s="176"/>
      <c r="V389" s="176"/>
      <c r="W389" s="176"/>
      <c r="X389" s="176"/>
      <c r="Y389" s="176"/>
      <c r="Z389" s="176"/>
    </row>
    <row r="390">
      <c r="A390" s="267" t="str">
        <f>iferror(VLOOKUP(P390,'DO NOT TOUCH Imported'!$A$1:$D$800,4,False),iferror(VLOOKUP(P390,'DO NOT TOUCH Imported'!$C$1:$D$800,2,False),"OOPS FIX ME"))</f>
        <v>JessicaZartler</v>
      </c>
      <c r="B390" s="272" t="s">
        <v>1933</v>
      </c>
      <c r="C390" s="273" t="s">
        <v>1936</v>
      </c>
      <c r="D390" s="274" t="s">
        <v>437</v>
      </c>
      <c r="E390" s="275">
        <v>44259.0</v>
      </c>
      <c r="F390" s="274" t="s">
        <v>1929</v>
      </c>
      <c r="G390" s="171">
        <v>25.0</v>
      </c>
      <c r="H390" s="171">
        <v>1500.0</v>
      </c>
      <c r="I390" s="171">
        <v>200.0</v>
      </c>
      <c r="J390" s="172">
        <f t="shared" si="2"/>
        <v>0.001330579079</v>
      </c>
      <c r="K390" s="269">
        <f t="shared" si="15"/>
        <v>1.374931715</v>
      </c>
      <c r="L390" s="270">
        <f t="shared" si="4"/>
        <v>5.240538869</v>
      </c>
      <c r="M390" s="271" t="str">
        <f t="shared" si="5"/>
        <v>JessicaZartler</v>
      </c>
      <c r="N390" s="176">
        <f>IFERROR(__xludf.DUMMYFUNCTION("""COMPUTED_VALUE"""),4.0)</f>
        <v>4</v>
      </c>
      <c r="O390" s="176"/>
      <c r="P390" s="267" t="s">
        <v>566</v>
      </c>
      <c r="Q390" s="272" t="s">
        <v>1933</v>
      </c>
      <c r="R390" s="176"/>
      <c r="S390" s="176"/>
      <c r="T390" s="176"/>
      <c r="U390" s="176"/>
      <c r="V390" s="176"/>
      <c r="W390" s="176"/>
      <c r="X390" s="176"/>
      <c r="Y390" s="176"/>
      <c r="Z390" s="176"/>
    </row>
    <row r="391">
      <c r="A391" s="267" t="str">
        <f>iferror(VLOOKUP(P391,'DO NOT TOUCH Imported'!$A$1:$D$800,4,False),iferror(VLOOKUP(P391,'DO NOT TOUCH Imported'!$C$1:$D$800,2,False),"OOPS FIX ME"))</f>
        <v>JessicaZartler</v>
      </c>
      <c r="B391" s="272" t="s">
        <v>10</v>
      </c>
      <c r="C391" s="273" t="s">
        <v>1938</v>
      </c>
      <c r="D391" s="274" t="s">
        <v>437</v>
      </c>
      <c r="E391" s="275">
        <v>44260.0</v>
      </c>
      <c r="F391" s="274" t="s">
        <v>1929</v>
      </c>
      <c r="G391" s="171">
        <v>35.0</v>
      </c>
      <c r="H391" s="171">
        <v>2000.0</v>
      </c>
      <c r="I391" s="171">
        <v>200.0</v>
      </c>
      <c r="J391" s="172">
        <f t="shared" si="2"/>
        <v>0.001645851941</v>
      </c>
      <c r="K391" s="269">
        <f t="shared" si="15"/>
        <v>1.700713672</v>
      </c>
      <c r="L391" s="270">
        <f t="shared" si="4"/>
        <v>5.240538869</v>
      </c>
      <c r="M391" s="271" t="str">
        <f t="shared" si="5"/>
        <v>JessicaZartler</v>
      </c>
      <c r="N391" s="176">
        <f>IFERROR(__xludf.DUMMYFUNCTION("""COMPUTED_VALUE"""),5.0)</f>
        <v>5</v>
      </c>
      <c r="O391" s="176"/>
      <c r="P391" s="267" t="s">
        <v>566</v>
      </c>
      <c r="Q391" s="272" t="s">
        <v>10</v>
      </c>
      <c r="R391" s="176"/>
      <c r="S391" s="176"/>
      <c r="T391" s="176"/>
      <c r="U391" s="176"/>
      <c r="V391" s="176"/>
      <c r="W391" s="176"/>
      <c r="X391" s="176"/>
      <c r="Y391" s="176"/>
      <c r="Z391" s="176"/>
    </row>
    <row r="392">
      <c r="A392" s="267" t="str">
        <f>iferror(VLOOKUP(P392,'DO NOT TOUCH Imported'!$A$1:$D$800,4,False),iferror(VLOOKUP(P392,'DO NOT TOUCH Imported'!$C$1:$D$800,2,False),"OOPS FIX ME"))</f>
        <v>JessicaZartler</v>
      </c>
      <c r="B392" s="272" t="s">
        <v>10</v>
      </c>
      <c r="C392" s="273" t="s">
        <v>2098</v>
      </c>
      <c r="D392" s="274" t="s">
        <v>437</v>
      </c>
      <c r="E392" s="275">
        <v>44260.0</v>
      </c>
      <c r="F392" s="274" t="s">
        <v>1929</v>
      </c>
      <c r="G392" s="171">
        <v>35.0</v>
      </c>
      <c r="H392" s="171">
        <v>2500.0</v>
      </c>
      <c r="I392" s="171">
        <v>200.0</v>
      </c>
      <c r="J392" s="172">
        <f t="shared" si="2"/>
        <v>0.001799391016</v>
      </c>
      <c r="K392" s="269">
        <f t="shared" si="15"/>
        <v>1.859370717</v>
      </c>
      <c r="L392" s="270">
        <f t="shared" si="4"/>
        <v>5.240538869</v>
      </c>
      <c r="M392" s="271" t="str">
        <f t="shared" si="5"/>
        <v>JessicaZartler</v>
      </c>
      <c r="N392" s="176">
        <f>IFERROR(__xludf.DUMMYFUNCTION("""COMPUTED_VALUE"""),6.0)</f>
        <v>6</v>
      </c>
      <c r="O392" s="176"/>
      <c r="P392" s="267" t="s">
        <v>566</v>
      </c>
      <c r="Q392" s="272" t="s">
        <v>10</v>
      </c>
      <c r="R392" s="176"/>
      <c r="S392" s="176"/>
      <c r="T392" s="176"/>
      <c r="U392" s="176"/>
      <c r="V392" s="176"/>
      <c r="W392" s="176"/>
      <c r="X392" s="176"/>
      <c r="Y392" s="176"/>
      <c r="Z392" s="176"/>
    </row>
    <row r="393">
      <c r="A393" s="267" t="str">
        <f>iferror(VLOOKUP(P393,'DO NOT TOUCH Imported'!$A$1:$D$800,4,False),iferror(VLOOKUP(P393,'DO NOT TOUCH Imported'!$C$1:$D$800,2,False),"OOPS FIX ME"))</f>
        <v>JessicaZartler</v>
      </c>
      <c r="B393" s="272" t="s">
        <v>10</v>
      </c>
      <c r="C393" s="273" t="s">
        <v>2099</v>
      </c>
      <c r="D393" s="274" t="s">
        <v>437</v>
      </c>
      <c r="E393" s="275">
        <v>44260.0</v>
      </c>
      <c r="F393" s="274" t="s">
        <v>1929</v>
      </c>
      <c r="G393" s="171">
        <v>50.0</v>
      </c>
      <c r="H393" s="171">
        <v>2500.0</v>
      </c>
      <c r="I393" s="171">
        <v>300.0</v>
      </c>
      <c r="J393" s="172">
        <f t="shared" si="2"/>
        <v>0.002274805389</v>
      </c>
      <c r="K393" s="269">
        <f t="shared" si="15"/>
        <v>2.350632235</v>
      </c>
      <c r="L393" s="270">
        <f t="shared" si="4"/>
        <v>5.240538869</v>
      </c>
      <c r="M393" s="271" t="str">
        <f t="shared" si="5"/>
        <v>JessicaZartler</v>
      </c>
      <c r="N393" s="176">
        <f>IFERROR(__xludf.DUMMYFUNCTION("""COMPUTED_VALUE"""),7.0)</f>
        <v>7</v>
      </c>
      <c r="O393" s="176"/>
      <c r="P393" s="267" t="s">
        <v>566</v>
      </c>
      <c r="Q393" s="272" t="s">
        <v>10</v>
      </c>
      <c r="R393" s="176"/>
      <c r="S393" s="176"/>
      <c r="T393" s="176"/>
      <c r="U393" s="176"/>
      <c r="V393" s="176"/>
      <c r="W393" s="176"/>
      <c r="X393" s="176"/>
      <c r="Y393" s="176"/>
      <c r="Z393" s="176"/>
    </row>
    <row r="394">
      <c r="A394" s="267" t="str">
        <f>iferror(VLOOKUP(P394,'DO NOT TOUCH Imported'!$A$1:$D$800,4,False),iferror(VLOOKUP(P394,'DO NOT TOUCH Imported'!$C$1:$D$800,2,False),"OOPS FIX ME"))</f>
        <v>JessicaZartler</v>
      </c>
      <c r="B394" s="272" t="s">
        <v>10</v>
      </c>
      <c r="C394" s="273" t="s">
        <v>1997</v>
      </c>
      <c r="D394" s="274" t="s">
        <v>437</v>
      </c>
      <c r="E394" s="275">
        <v>44260.0</v>
      </c>
      <c r="F394" s="274" t="s">
        <v>1929</v>
      </c>
      <c r="G394" s="171">
        <v>25.0</v>
      </c>
      <c r="H394" s="171">
        <v>500.0</v>
      </c>
      <c r="I394" s="171">
        <v>20.0</v>
      </c>
      <c r="J394" s="172">
        <f t="shared" si="2"/>
        <v>0.0006044362798</v>
      </c>
      <c r="K394" s="269">
        <f t="shared" si="15"/>
        <v>0.6245841558</v>
      </c>
      <c r="L394" s="270">
        <f t="shared" si="4"/>
        <v>5.240538869</v>
      </c>
      <c r="M394" s="271" t="str">
        <f t="shared" si="5"/>
        <v>JessicaZartler</v>
      </c>
      <c r="N394" s="176">
        <f>IFERROR(__xludf.DUMMYFUNCTION("""COMPUTED_VALUE"""),8.0)</f>
        <v>8</v>
      </c>
      <c r="O394" s="176"/>
      <c r="P394" s="267" t="s">
        <v>566</v>
      </c>
      <c r="Q394" s="272" t="s">
        <v>10</v>
      </c>
      <c r="R394" s="176"/>
      <c r="S394" s="176"/>
      <c r="T394" s="176"/>
      <c r="U394" s="176"/>
      <c r="V394" s="176"/>
      <c r="W394" s="176"/>
      <c r="X394" s="176"/>
      <c r="Y394" s="176"/>
      <c r="Z394" s="176"/>
    </row>
    <row r="395">
      <c r="A395" s="267" t="str">
        <f>iferror(VLOOKUP(P395,'DO NOT TOUCH Imported'!$A$1:$D$800,4,False),iferror(VLOOKUP(P395,'DO NOT TOUCH Imported'!$C$1:$D$800,2,False),"OOPS FIX ME"))</f>
        <v>JessicaZartler</v>
      </c>
      <c r="B395" s="272" t="s">
        <v>10</v>
      </c>
      <c r="C395" s="273" t="s">
        <v>1941</v>
      </c>
      <c r="D395" s="274" t="s">
        <v>437</v>
      </c>
      <c r="E395" s="275">
        <v>44260.0</v>
      </c>
      <c r="F395" s="274" t="s">
        <v>1929</v>
      </c>
      <c r="G395" s="171">
        <v>15.0</v>
      </c>
      <c r="H395" s="171">
        <v>1000.0</v>
      </c>
      <c r="I395" s="171">
        <v>20.0</v>
      </c>
      <c r="J395" s="172">
        <f t="shared" si="2"/>
        <v>0.0005962415693</v>
      </c>
      <c r="K395" s="269">
        <f t="shared" si="15"/>
        <v>0.6161162883</v>
      </c>
      <c r="L395" s="270">
        <f t="shared" si="4"/>
        <v>5.240538869</v>
      </c>
      <c r="M395" s="271" t="str">
        <f t="shared" si="5"/>
        <v>JessicaZartler</v>
      </c>
      <c r="N395" s="176">
        <f>IFERROR(__xludf.DUMMYFUNCTION("""COMPUTED_VALUE"""),9.0)</f>
        <v>9</v>
      </c>
      <c r="O395" s="176"/>
      <c r="P395" s="267" t="s">
        <v>566</v>
      </c>
      <c r="Q395" s="272" t="s">
        <v>10</v>
      </c>
      <c r="R395" s="176"/>
      <c r="S395" s="176"/>
      <c r="T395" s="176"/>
      <c r="U395" s="176"/>
      <c r="V395" s="176"/>
      <c r="W395" s="176"/>
      <c r="X395" s="176"/>
      <c r="Y395" s="176"/>
      <c r="Z395" s="176"/>
    </row>
    <row r="396">
      <c r="A396" s="267" t="str">
        <f>iferror(VLOOKUP(P396,'DO NOT TOUCH Imported'!$A$1:$D$800,4,False),iferror(VLOOKUP(P396,'DO NOT TOUCH Imported'!$C$1:$D$800,2,False),"OOPS FIX ME"))</f>
        <v>JessicaZartler</v>
      </c>
      <c r="B396" s="272" t="s">
        <v>1702</v>
      </c>
      <c r="C396" s="273" t="s">
        <v>2029</v>
      </c>
      <c r="D396" s="274" t="s">
        <v>437</v>
      </c>
      <c r="E396" s="275">
        <v>44260.0</v>
      </c>
      <c r="F396" s="274" t="s">
        <v>1929</v>
      </c>
      <c r="G396" s="171">
        <v>15.0</v>
      </c>
      <c r="H396" s="171">
        <v>500.0</v>
      </c>
      <c r="I396" s="171">
        <v>100.0</v>
      </c>
      <c r="J396" s="172">
        <f t="shared" si="2"/>
        <v>0.0006289534481</v>
      </c>
      <c r="K396" s="269">
        <f t="shared" si="15"/>
        <v>0.6499185631</v>
      </c>
      <c r="L396" s="270">
        <f t="shared" si="4"/>
        <v>5.240538869</v>
      </c>
      <c r="M396" s="271" t="str">
        <f t="shared" si="5"/>
        <v>JessicaZartler</v>
      </c>
      <c r="N396" s="176">
        <f>IFERROR(__xludf.DUMMYFUNCTION("""COMPUTED_VALUE"""),10.0)</f>
        <v>10</v>
      </c>
      <c r="O396" s="176"/>
      <c r="P396" s="267" t="s">
        <v>566</v>
      </c>
      <c r="Q396" s="272" t="s">
        <v>1702</v>
      </c>
      <c r="R396" s="176"/>
      <c r="S396" s="176"/>
      <c r="T396" s="176"/>
      <c r="U396" s="176"/>
      <c r="V396" s="176"/>
      <c r="W396" s="176"/>
      <c r="X396" s="176"/>
      <c r="Y396" s="176"/>
      <c r="Z396" s="176"/>
    </row>
    <row r="397">
      <c r="A397" s="267" t="str">
        <f>iferror(VLOOKUP(P397,'DO NOT TOUCH Imported'!$A$1:$D$800,4,False),iferror(VLOOKUP(P397,'DO NOT TOUCH Imported'!$C$1:$D$800,2,False),"OOPS FIX ME"))</f>
        <v>JessicaZartler</v>
      </c>
      <c r="B397" s="249" t="s">
        <v>10</v>
      </c>
      <c r="C397" s="219" t="s">
        <v>500</v>
      </c>
      <c r="D397" s="268" t="s">
        <v>495</v>
      </c>
      <c r="E397" s="252">
        <v>44260.0</v>
      </c>
      <c r="F397" s="250" t="s">
        <v>496</v>
      </c>
      <c r="G397" s="171">
        <v>35.0</v>
      </c>
      <c r="H397" s="171">
        <v>500.0</v>
      </c>
      <c r="I397" s="171">
        <v>40.0</v>
      </c>
      <c r="J397" s="172">
        <f t="shared" si="2"/>
        <v>0.0008127328046</v>
      </c>
      <c r="K397" s="269">
        <f t="shared" si="15"/>
        <v>0.8398238981</v>
      </c>
      <c r="L397" s="270">
        <f t="shared" si="4"/>
        <v>5.240538869</v>
      </c>
      <c r="M397" s="271" t="str">
        <f t="shared" si="5"/>
        <v>JessicaZartler</v>
      </c>
      <c r="N397" s="176">
        <f>IFERROR(__xludf.DUMMYFUNCTION("""COMPUTED_VALUE"""),11.0)</f>
        <v>11</v>
      </c>
      <c r="O397" s="176"/>
      <c r="P397" s="249" t="s">
        <v>14</v>
      </c>
      <c r="Q397" s="249" t="s">
        <v>10</v>
      </c>
      <c r="R397" s="176"/>
      <c r="S397" s="176"/>
      <c r="T397" s="176"/>
      <c r="U397" s="176"/>
      <c r="V397" s="176"/>
      <c r="W397" s="176"/>
      <c r="X397" s="176"/>
      <c r="Y397" s="176"/>
      <c r="Z397" s="176"/>
    </row>
    <row r="398">
      <c r="A398" s="267" t="str">
        <f>iferror(VLOOKUP(P398,'DO NOT TOUCH Imported'!$A$1:$D$800,4,False),iferror(VLOOKUP(P398,'DO NOT TOUCH Imported'!$C$1:$D$800,2,False),"OOPS FIX ME"))</f>
        <v>JessicaZartler</v>
      </c>
      <c r="B398" s="249" t="s">
        <v>10</v>
      </c>
      <c r="C398" s="219" t="s">
        <v>498</v>
      </c>
      <c r="D398" s="268" t="s">
        <v>495</v>
      </c>
      <c r="E398" s="252">
        <v>44260.0</v>
      </c>
      <c r="F398" s="250" t="s">
        <v>499</v>
      </c>
      <c r="G398" s="171">
        <v>35.0</v>
      </c>
      <c r="H398" s="171">
        <v>500.0</v>
      </c>
      <c r="I398" s="171">
        <v>40.0</v>
      </c>
      <c r="J398" s="172">
        <f t="shared" si="2"/>
        <v>0.0008127328046</v>
      </c>
      <c r="K398" s="269">
        <f t="shared" si="15"/>
        <v>0.8398238981</v>
      </c>
      <c r="L398" s="270">
        <f t="shared" si="4"/>
        <v>5.240538869</v>
      </c>
      <c r="M398" s="271" t="str">
        <f t="shared" si="5"/>
        <v>JessicaZartler</v>
      </c>
      <c r="N398" s="176">
        <f>IFERROR(__xludf.DUMMYFUNCTION("""COMPUTED_VALUE"""),12.0)</f>
        <v>12</v>
      </c>
      <c r="O398" s="176"/>
      <c r="P398" s="249" t="s">
        <v>14</v>
      </c>
      <c r="Q398" s="249" t="s">
        <v>10</v>
      </c>
      <c r="R398" s="176"/>
      <c r="S398" s="176"/>
      <c r="T398" s="176"/>
      <c r="U398" s="176"/>
      <c r="V398" s="176"/>
      <c r="W398" s="176"/>
      <c r="X398" s="176"/>
      <c r="Y398" s="176"/>
      <c r="Z398" s="176"/>
    </row>
    <row r="399">
      <c r="A399" s="267" t="str">
        <f>iferror(VLOOKUP(P399,'DO NOT TOUCH Imported'!$A$1:$D$800,4,False),iferror(VLOOKUP(P399,'DO NOT TOUCH Imported'!$C$1:$D$800,2,False),"OOPS FIX ME"))</f>
        <v>JessicaZartler</v>
      </c>
      <c r="B399" s="272" t="s">
        <v>1702</v>
      </c>
      <c r="C399" s="273" t="s">
        <v>1944</v>
      </c>
      <c r="D399" s="274" t="s">
        <v>499</v>
      </c>
      <c r="E399" s="275">
        <v>44263.0</v>
      </c>
      <c r="F399" s="274" t="s">
        <v>1646</v>
      </c>
      <c r="G399" s="171">
        <v>25.0</v>
      </c>
      <c r="H399" s="171">
        <v>1000.0</v>
      </c>
      <c r="I399" s="171">
        <v>1000.0</v>
      </c>
      <c r="J399" s="172">
        <f t="shared" si="2"/>
        <v>0.003039549549</v>
      </c>
      <c r="K399" s="269">
        <f t="shared" si="15"/>
        <v>3.140867867</v>
      </c>
      <c r="L399" s="270">
        <f t="shared" si="4"/>
        <v>5.240538869</v>
      </c>
      <c r="M399" s="271" t="str">
        <f t="shared" si="5"/>
        <v>JessicaZartler</v>
      </c>
      <c r="N399" s="176">
        <f>IFERROR(__xludf.DUMMYFUNCTION("""COMPUTED_VALUE"""),13.0)</f>
        <v>13</v>
      </c>
      <c r="O399" s="176"/>
      <c r="P399" s="267" t="s">
        <v>566</v>
      </c>
      <c r="Q399" s="272" t="s">
        <v>1702</v>
      </c>
      <c r="R399" s="176"/>
      <c r="S399" s="176"/>
      <c r="T399" s="176"/>
      <c r="U399" s="176"/>
      <c r="V399" s="176"/>
      <c r="W399" s="176"/>
      <c r="X399" s="176"/>
      <c r="Y399" s="176"/>
      <c r="Z399" s="176"/>
    </row>
    <row r="400">
      <c r="A400" s="267" t="str">
        <f>iferror(VLOOKUP(P400,'DO NOT TOUCH Imported'!$A$1:$D$800,4,False),iferror(VLOOKUP(P400,'DO NOT TOUCH Imported'!$C$1:$D$800,2,False),"OOPS FIX ME"))</f>
        <v>JessicaZartler</v>
      </c>
      <c r="B400" s="249" t="s">
        <v>590</v>
      </c>
      <c r="C400" s="219" t="s">
        <v>1945</v>
      </c>
      <c r="D400" s="268" t="s">
        <v>495</v>
      </c>
      <c r="E400" s="252">
        <v>44264.0</v>
      </c>
      <c r="F400" s="250" t="s">
        <v>496</v>
      </c>
      <c r="G400" s="171">
        <v>25.0</v>
      </c>
      <c r="H400" s="171">
        <v>1000.0</v>
      </c>
      <c r="I400" s="171">
        <v>50.0</v>
      </c>
      <c r="J400" s="172">
        <f t="shared" si="2"/>
        <v>0.0008278194634</v>
      </c>
      <c r="K400" s="269">
        <f t="shared" si="15"/>
        <v>0.8554134456</v>
      </c>
      <c r="L400" s="270">
        <f t="shared" si="4"/>
        <v>5.240538869</v>
      </c>
      <c r="M400" s="271" t="str">
        <f t="shared" si="5"/>
        <v>JessicaZartler</v>
      </c>
      <c r="N400" s="176">
        <f>IFERROR(__xludf.DUMMYFUNCTION("""COMPUTED_VALUE"""),14.0)</f>
        <v>14</v>
      </c>
      <c r="O400" s="176"/>
      <c r="P400" s="249" t="s">
        <v>14</v>
      </c>
      <c r="Q400" s="249" t="s">
        <v>590</v>
      </c>
      <c r="R400" s="176"/>
      <c r="S400" s="176"/>
      <c r="T400" s="176"/>
      <c r="U400" s="176"/>
      <c r="V400" s="176"/>
      <c r="W400" s="176"/>
      <c r="X400" s="176"/>
      <c r="Y400" s="176"/>
      <c r="Z400" s="176"/>
    </row>
    <row r="401">
      <c r="A401" s="267" t="str">
        <f>iferror(VLOOKUP(P401,'DO NOT TOUCH Imported'!$A$1:$D$800,4,False),iferror(VLOOKUP(P401,'DO NOT TOUCH Imported'!$C$1:$D$800,2,False),"OOPS FIX ME"))</f>
        <v>JessicaZartler</v>
      </c>
      <c r="B401" s="249" t="s">
        <v>590</v>
      </c>
      <c r="C401" s="219" t="s">
        <v>1962</v>
      </c>
      <c r="D401" s="268" t="s">
        <v>495</v>
      </c>
      <c r="E401" s="252">
        <v>44264.0</v>
      </c>
      <c r="F401" s="250" t="s">
        <v>496</v>
      </c>
      <c r="G401" s="171">
        <v>25.0</v>
      </c>
      <c r="H401" s="171">
        <v>1000.0</v>
      </c>
      <c r="I401" s="171">
        <v>100.0</v>
      </c>
      <c r="J401" s="172">
        <f t="shared" si="2"/>
        <v>0.00094422631</v>
      </c>
      <c r="K401" s="269">
        <f t="shared" si="15"/>
        <v>0.9757005204</v>
      </c>
      <c r="L401" s="270">
        <f t="shared" si="4"/>
        <v>5.240538869</v>
      </c>
      <c r="M401" s="271" t="str">
        <f t="shared" si="5"/>
        <v>JessicaZartler</v>
      </c>
      <c r="N401" s="176">
        <f>IFERROR(__xludf.DUMMYFUNCTION("""COMPUTED_VALUE"""),15.0)</f>
        <v>15</v>
      </c>
      <c r="O401" s="176"/>
      <c r="P401" s="249" t="s">
        <v>14</v>
      </c>
      <c r="Q401" s="249" t="s">
        <v>590</v>
      </c>
      <c r="R401" s="176"/>
      <c r="S401" s="176"/>
      <c r="T401" s="176"/>
      <c r="U401" s="176"/>
      <c r="V401" s="176"/>
      <c r="W401" s="176"/>
      <c r="X401" s="176"/>
      <c r="Y401" s="176"/>
      <c r="Z401" s="176"/>
    </row>
    <row r="402">
      <c r="A402" s="267" t="str">
        <f>iferror(VLOOKUP(P402,'DO NOT TOUCH Imported'!$A$1:$D$800,4,False),iferror(VLOOKUP(P402,'DO NOT TOUCH Imported'!$C$1:$D$800,2,False),"OOPS FIX ME"))</f>
        <v>JessicaZartler</v>
      </c>
      <c r="B402" s="272" t="s">
        <v>845</v>
      </c>
      <c r="C402" s="273" t="s">
        <v>2100</v>
      </c>
      <c r="D402" s="274" t="s">
        <v>499</v>
      </c>
      <c r="E402" s="275">
        <v>44265.0</v>
      </c>
      <c r="F402" s="274" t="s">
        <v>1646</v>
      </c>
      <c r="G402" s="171">
        <v>25.0</v>
      </c>
      <c r="H402" s="171">
        <v>1500.0</v>
      </c>
      <c r="I402" s="171">
        <v>200.0</v>
      </c>
      <c r="J402" s="172">
        <f t="shared" si="2"/>
        <v>0.001330579079</v>
      </c>
      <c r="K402" s="269">
        <f t="shared" si="15"/>
        <v>1.374931715</v>
      </c>
      <c r="L402" s="270">
        <f t="shared" si="4"/>
        <v>5.240538869</v>
      </c>
      <c r="M402" s="271" t="str">
        <f t="shared" si="5"/>
        <v>JessicaZartler</v>
      </c>
      <c r="N402" s="176">
        <f>IFERROR(__xludf.DUMMYFUNCTION("""COMPUTED_VALUE"""),16.0)</f>
        <v>16</v>
      </c>
      <c r="O402" s="176"/>
      <c r="P402" s="267" t="s">
        <v>566</v>
      </c>
      <c r="Q402" s="272" t="s">
        <v>845</v>
      </c>
      <c r="R402" s="176"/>
      <c r="S402" s="176"/>
      <c r="T402" s="176"/>
      <c r="U402" s="176"/>
      <c r="V402" s="176"/>
      <c r="W402" s="176"/>
      <c r="X402" s="176"/>
      <c r="Y402" s="176"/>
      <c r="Z402" s="176"/>
    </row>
    <row r="403">
      <c r="A403" s="267" t="str">
        <f>iferror(VLOOKUP(P403,'DO NOT TOUCH Imported'!$A$1:$D$800,4,False),iferror(VLOOKUP(P403,'DO NOT TOUCH Imported'!$C$1:$D$800,2,False),"OOPS FIX ME"))</f>
        <v>JessicaZartler</v>
      </c>
      <c r="B403" s="249" t="s">
        <v>6</v>
      </c>
      <c r="C403" s="317" t="s">
        <v>2101</v>
      </c>
      <c r="D403" s="268" t="s">
        <v>495</v>
      </c>
      <c r="E403" s="252">
        <v>44265.0</v>
      </c>
      <c r="F403" s="250" t="s">
        <v>496</v>
      </c>
      <c r="G403" s="171">
        <v>50.0</v>
      </c>
      <c r="H403" s="171">
        <v>5000.0</v>
      </c>
      <c r="I403" s="171">
        <v>500.0</v>
      </c>
      <c r="J403" s="172">
        <f t="shared" si="2"/>
        <v>0.003508128154</v>
      </c>
      <c r="K403" s="269">
        <f t="shared" si="15"/>
        <v>3.625065759</v>
      </c>
      <c r="L403" s="270">
        <f t="shared" si="4"/>
        <v>5.240538869</v>
      </c>
      <c r="M403" s="271" t="str">
        <f t="shared" si="5"/>
        <v>JessicaZartler</v>
      </c>
      <c r="N403" s="176">
        <f>IFERROR(__xludf.DUMMYFUNCTION("""COMPUTED_VALUE"""),17.0)</f>
        <v>17</v>
      </c>
      <c r="O403" s="176"/>
      <c r="P403" s="249" t="s">
        <v>14</v>
      </c>
      <c r="Q403" s="249" t="s">
        <v>6</v>
      </c>
      <c r="R403" s="176"/>
      <c r="S403" s="176"/>
      <c r="T403" s="176"/>
      <c r="U403" s="176"/>
      <c r="V403" s="176"/>
      <c r="W403" s="176"/>
      <c r="X403" s="176"/>
      <c r="Y403" s="176"/>
      <c r="Z403" s="176"/>
    </row>
    <row r="404">
      <c r="A404" s="267" t="str">
        <f>iferror(VLOOKUP(P404,'DO NOT TOUCH Imported'!$A$1:$D$800,4,False),iferror(VLOOKUP(P404,'DO NOT TOUCH Imported'!$C$1:$D$800,2,False),"OOPS FIX ME"))</f>
        <v>JessicaZartler</v>
      </c>
      <c r="B404" s="272" t="s">
        <v>1933</v>
      </c>
      <c r="C404" s="273" t="s">
        <v>1949</v>
      </c>
      <c r="D404" s="274" t="s">
        <v>437</v>
      </c>
      <c r="E404" s="275">
        <v>44266.0</v>
      </c>
      <c r="F404" s="274" t="s">
        <v>439</v>
      </c>
      <c r="G404" s="171">
        <v>25.0</v>
      </c>
      <c r="H404" s="171">
        <v>2000.0</v>
      </c>
      <c r="I404" s="171">
        <v>300.0</v>
      </c>
      <c r="J404" s="172">
        <f t="shared" si="2"/>
        <v>0.001716931848</v>
      </c>
      <c r="K404" s="269">
        <f t="shared" si="15"/>
        <v>1.774162909</v>
      </c>
      <c r="L404" s="270">
        <f t="shared" si="4"/>
        <v>5.240538869</v>
      </c>
      <c r="M404" s="271" t="str">
        <f t="shared" si="5"/>
        <v>JessicaZartler</v>
      </c>
      <c r="N404" s="176">
        <f>IFERROR(__xludf.DUMMYFUNCTION("""COMPUTED_VALUE"""),18.0)</f>
        <v>18</v>
      </c>
      <c r="O404" s="176"/>
      <c r="P404" s="267" t="s">
        <v>566</v>
      </c>
      <c r="Q404" s="272" t="s">
        <v>1933</v>
      </c>
      <c r="R404" s="176"/>
      <c r="S404" s="176"/>
      <c r="T404" s="176"/>
      <c r="U404" s="176"/>
      <c r="V404" s="176"/>
      <c r="W404" s="176"/>
      <c r="X404" s="176"/>
      <c r="Y404" s="176"/>
      <c r="Z404" s="176"/>
    </row>
    <row r="405">
      <c r="A405" s="267" t="str">
        <f>iferror(VLOOKUP(P405,'DO NOT TOUCH Imported'!$A$1:$D$800,4,False),iferror(VLOOKUP(P405,'DO NOT TOUCH Imported'!$C$1:$D$800,2,False),"OOPS FIX ME"))</f>
        <v>JessicaZartler</v>
      </c>
      <c r="B405" s="272" t="s">
        <v>10</v>
      </c>
      <c r="C405" s="273" t="s">
        <v>2102</v>
      </c>
      <c r="D405" s="274" t="s">
        <v>437</v>
      </c>
      <c r="E405" s="306">
        <v>44267.0</v>
      </c>
      <c r="F405" s="274" t="s">
        <v>439</v>
      </c>
      <c r="G405" s="171">
        <v>35.0</v>
      </c>
      <c r="H405" s="171">
        <v>2500.0</v>
      </c>
      <c r="I405" s="171">
        <v>500.0</v>
      </c>
      <c r="J405" s="172">
        <f t="shared" si="2"/>
        <v>0.002497832096</v>
      </c>
      <c r="K405" s="269">
        <f t="shared" si="15"/>
        <v>2.581093166</v>
      </c>
      <c r="L405" s="270">
        <f t="shared" si="4"/>
        <v>5.240538869</v>
      </c>
      <c r="M405" s="271" t="str">
        <f t="shared" si="5"/>
        <v>JessicaZartler</v>
      </c>
      <c r="N405" s="176">
        <f>IFERROR(__xludf.DUMMYFUNCTION("""COMPUTED_VALUE"""),19.0)</f>
        <v>19</v>
      </c>
      <c r="O405" s="176"/>
      <c r="P405" s="267" t="s">
        <v>566</v>
      </c>
      <c r="Q405" s="272" t="s">
        <v>10</v>
      </c>
      <c r="R405" s="176"/>
      <c r="S405" s="176"/>
      <c r="T405" s="176"/>
      <c r="U405" s="176"/>
      <c r="V405" s="176"/>
      <c r="W405" s="176"/>
      <c r="X405" s="176"/>
      <c r="Y405" s="176"/>
      <c r="Z405" s="176"/>
    </row>
    <row r="406">
      <c r="A406" s="267" t="str">
        <f>iferror(VLOOKUP(P406,'DO NOT TOUCH Imported'!$A$1:$D$800,4,False),iferror(VLOOKUP(P406,'DO NOT TOUCH Imported'!$C$1:$D$800,2,False),"OOPS FIX ME"))</f>
        <v>JessicaZartler</v>
      </c>
      <c r="B406" s="272" t="s">
        <v>10</v>
      </c>
      <c r="C406" s="273" t="s">
        <v>2043</v>
      </c>
      <c r="D406" s="274" t="s">
        <v>437</v>
      </c>
      <c r="E406" s="306">
        <v>44267.0</v>
      </c>
      <c r="F406" s="274" t="s">
        <v>439</v>
      </c>
      <c r="G406" s="171">
        <v>25.0</v>
      </c>
      <c r="H406" s="171">
        <v>500.0</v>
      </c>
      <c r="I406" s="171">
        <v>300.0</v>
      </c>
      <c r="J406" s="172">
        <f t="shared" si="2"/>
        <v>0.001256314621</v>
      </c>
      <c r="K406" s="269">
        <f t="shared" si="15"/>
        <v>1.298191775</v>
      </c>
      <c r="L406" s="270">
        <f t="shared" si="4"/>
        <v>5.240538869</v>
      </c>
      <c r="M406" s="271" t="str">
        <f t="shared" si="5"/>
        <v>JessicaZartler</v>
      </c>
      <c r="N406" s="176">
        <f>IFERROR(__xludf.DUMMYFUNCTION("""COMPUTED_VALUE"""),20.0)</f>
        <v>20</v>
      </c>
      <c r="O406" s="176"/>
      <c r="P406" s="267" t="s">
        <v>566</v>
      </c>
      <c r="Q406" s="272" t="s">
        <v>10</v>
      </c>
      <c r="R406" s="176"/>
      <c r="S406" s="176"/>
      <c r="T406" s="176"/>
      <c r="U406" s="176"/>
      <c r="V406" s="176"/>
      <c r="W406" s="176"/>
      <c r="X406" s="176"/>
      <c r="Y406" s="176"/>
      <c r="Z406" s="176"/>
    </row>
    <row r="407">
      <c r="A407" s="267" t="str">
        <f>iferror(VLOOKUP(P407,'DO NOT TOUCH Imported'!$A$1:$D$800,4,False),iferror(VLOOKUP(P407,'DO NOT TOUCH Imported'!$C$1:$D$800,2,False),"OOPS FIX ME"))</f>
        <v>JessicaZartler</v>
      </c>
      <c r="B407" s="272" t="s">
        <v>10</v>
      </c>
      <c r="C407" s="273" t="s">
        <v>1952</v>
      </c>
      <c r="D407" s="274" t="s">
        <v>437</v>
      </c>
      <c r="E407" s="306">
        <v>44267.0</v>
      </c>
      <c r="F407" s="274" t="s">
        <v>439</v>
      </c>
      <c r="G407" s="171">
        <v>25.0</v>
      </c>
      <c r="H407" s="171">
        <v>1000.0</v>
      </c>
      <c r="I407" s="171">
        <v>10.0</v>
      </c>
      <c r="J407" s="172">
        <f t="shared" si="2"/>
        <v>0.0007346939862</v>
      </c>
      <c r="K407" s="269">
        <f t="shared" si="15"/>
        <v>0.7591837857</v>
      </c>
      <c r="L407" s="270">
        <f t="shared" si="4"/>
        <v>5.240538869</v>
      </c>
      <c r="M407" s="271" t="str">
        <f t="shared" si="5"/>
        <v>JessicaZartler</v>
      </c>
      <c r="N407" s="176">
        <f>IFERROR(__xludf.DUMMYFUNCTION("""COMPUTED_VALUE"""),21.0)</f>
        <v>21</v>
      </c>
      <c r="O407" s="176"/>
      <c r="P407" s="267" t="s">
        <v>566</v>
      </c>
      <c r="Q407" s="272" t="s">
        <v>10</v>
      </c>
      <c r="R407" s="176"/>
      <c r="S407" s="176"/>
      <c r="T407" s="176"/>
      <c r="U407" s="176"/>
      <c r="V407" s="176"/>
      <c r="W407" s="176"/>
      <c r="X407" s="176"/>
      <c r="Y407" s="176"/>
      <c r="Z407" s="176"/>
    </row>
    <row r="408">
      <c r="A408" s="267" t="str">
        <f>iferror(VLOOKUP(P408,'DO NOT TOUCH Imported'!$A$1:$D$800,4,False),iferror(VLOOKUP(P408,'DO NOT TOUCH Imported'!$C$1:$D$800,2,False),"OOPS FIX ME"))</f>
        <v>JessicaZartler</v>
      </c>
      <c r="B408" s="249" t="s">
        <v>10</v>
      </c>
      <c r="C408" s="219" t="s">
        <v>500</v>
      </c>
      <c r="D408" s="268" t="s">
        <v>495</v>
      </c>
      <c r="E408" s="252">
        <v>44267.0</v>
      </c>
      <c r="F408" s="250" t="s">
        <v>496</v>
      </c>
      <c r="G408" s="171">
        <v>25.0</v>
      </c>
      <c r="H408" s="171">
        <v>500.0</v>
      </c>
      <c r="I408" s="171">
        <v>100.0</v>
      </c>
      <c r="J408" s="172">
        <f t="shared" si="2"/>
        <v>0.0007906872343</v>
      </c>
      <c r="K408" s="269">
        <f t="shared" si="15"/>
        <v>0.8170434755</v>
      </c>
      <c r="L408" s="270">
        <f t="shared" si="4"/>
        <v>5.240538869</v>
      </c>
      <c r="M408" s="271" t="str">
        <f t="shared" si="5"/>
        <v>JessicaZartler</v>
      </c>
      <c r="N408" s="176">
        <f>IFERROR(__xludf.DUMMYFUNCTION("""COMPUTED_VALUE"""),22.0)</f>
        <v>22</v>
      </c>
      <c r="O408" s="176"/>
      <c r="P408" s="249" t="s">
        <v>14</v>
      </c>
      <c r="Q408" s="249" t="s">
        <v>10</v>
      </c>
      <c r="R408" s="176"/>
      <c r="S408" s="176"/>
      <c r="T408" s="176"/>
      <c r="U408" s="176"/>
      <c r="V408" s="176"/>
      <c r="W408" s="176"/>
      <c r="X408" s="176"/>
      <c r="Y408" s="176"/>
      <c r="Z408" s="176"/>
    </row>
    <row r="409">
      <c r="A409" s="267" t="str">
        <f>iferror(VLOOKUP(P409,'DO NOT TOUCH Imported'!$A$1:$D$800,4,False),iferror(VLOOKUP(P409,'DO NOT TOUCH Imported'!$C$1:$D$800,2,False),"OOPS FIX ME"))</f>
        <v>JessicaZartler</v>
      </c>
      <c r="B409" s="249" t="s">
        <v>10</v>
      </c>
      <c r="C409" s="219" t="s">
        <v>494</v>
      </c>
      <c r="D409" s="268" t="s">
        <v>495</v>
      </c>
      <c r="E409" s="252">
        <v>44267.0</v>
      </c>
      <c r="F409" s="250" t="s">
        <v>496</v>
      </c>
      <c r="G409" s="171">
        <v>25.0</v>
      </c>
      <c r="H409" s="171">
        <v>500.0</v>
      </c>
      <c r="I409" s="171">
        <v>100.0</v>
      </c>
      <c r="J409" s="172">
        <f t="shared" si="2"/>
        <v>0.0007906872343</v>
      </c>
      <c r="K409" s="269">
        <f t="shared" si="15"/>
        <v>0.8170434755</v>
      </c>
      <c r="L409" s="270">
        <f t="shared" si="4"/>
        <v>5.240538869</v>
      </c>
      <c r="M409" s="271" t="str">
        <f t="shared" si="5"/>
        <v>JessicaZartler</v>
      </c>
      <c r="N409" s="176">
        <f>IFERROR(__xludf.DUMMYFUNCTION("""COMPUTED_VALUE"""),23.0)</f>
        <v>23</v>
      </c>
      <c r="O409" s="176"/>
      <c r="P409" s="249" t="s">
        <v>14</v>
      </c>
      <c r="Q409" s="249" t="s">
        <v>10</v>
      </c>
      <c r="R409" s="176"/>
      <c r="S409" s="176"/>
      <c r="T409" s="176"/>
      <c r="U409" s="176"/>
      <c r="V409" s="176"/>
      <c r="W409" s="176"/>
      <c r="X409" s="176"/>
      <c r="Y409" s="176"/>
      <c r="Z409" s="176"/>
    </row>
    <row r="410">
      <c r="A410" s="267" t="str">
        <f>iferror(VLOOKUP(P410,'DO NOT TOUCH Imported'!$A$1:$D$800,4,False),iferror(VLOOKUP(P410,'DO NOT TOUCH Imported'!$C$1:$D$800,2,False),"OOPS FIX ME"))</f>
        <v>JessicaZartler</v>
      </c>
      <c r="B410" s="249" t="s">
        <v>10</v>
      </c>
      <c r="C410" s="219" t="s">
        <v>2033</v>
      </c>
      <c r="D410" s="268" t="s">
        <v>495</v>
      </c>
      <c r="E410" s="252">
        <v>44267.0</v>
      </c>
      <c r="F410" s="250" t="s">
        <v>496</v>
      </c>
      <c r="G410" s="171">
        <v>25.0</v>
      </c>
      <c r="H410" s="171">
        <v>500.0</v>
      </c>
      <c r="I410" s="171">
        <v>100.0</v>
      </c>
      <c r="J410" s="172">
        <f t="shared" si="2"/>
        <v>0.0007906872343</v>
      </c>
      <c r="K410" s="269">
        <f t="shared" si="15"/>
        <v>0.8170434755</v>
      </c>
      <c r="L410" s="270">
        <f t="shared" si="4"/>
        <v>5.240538869</v>
      </c>
      <c r="M410" s="271" t="str">
        <f t="shared" si="5"/>
        <v>JessicaZartler</v>
      </c>
      <c r="N410" s="176">
        <f>IFERROR(__xludf.DUMMYFUNCTION("""COMPUTED_VALUE"""),24.0)</f>
        <v>24</v>
      </c>
      <c r="O410" s="176"/>
      <c r="P410" s="249" t="s">
        <v>14</v>
      </c>
      <c r="Q410" s="249" t="s">
        <v>10</v>
      </c>
      <c r="R410" s="176"/>
      <c r="S410" s="176"/>
      <c r="T410" s="176"/>
      <c r="U410" s="176"/>
      <c r="V410" s="176"/>
      <c r="W410" s="176"/>
      <c r="X410" s="176"/>
      <c r="Y410" s="176"/>
      <c r="Z410" s="176"/>
    </row>
    <row r="411">
      <c r="A411" s="185" t="str">
        <f>iferror(VLOOKUP(P411,'DO NOT TOUCH Imported'!$A$1:$D$800,4,False),iferror(VLOOKUP(P411,'DO NOT TOUCH Imported'!$C$1:$D$800,2,False),"OOPS FIX ME"))</f>
        <v>JessicaZartler</v>
      </c>
      <c r="B411" s="185" t="s">
        <v>534</v>
      </c>
      <c r="C411" s="186" t="s">
        <v>741</v>
      </c>
      <c r="D411" s="187"/>
      <c r="E411" s="188"/>
      <c r="F411" s="189"/>
      <c r="G411" s="190"/>
      <c r="H411" s="190"/>
      <c r="I411" s="190"/>
      <c r="J411" s="191">
        <f t="shared" si="2"/>
        <v>0</v>
      </c>
      <c r="K411" s="192">
        <f>34.935*-0.85</f>
        <v>-29.69475</v>
      </c>
      <c r="L411" s="193">
        <f t="shared" si="4"/>
        <v>5.240538869</v>
      </c>
      <c r="M411" s="194" t="str">
        <f t="shared" si="5"/>
        <v>JessicaZartler</v>
      </c>
      <c r="N411" s="195">
        <f>IFERROR(__xludf.DUMMYFUNCTION("""COMPUTED_VALUE"""),25.0)</f>
        <v>25</v>
      </c>
      <c r="O411" s="195"/>
      <c r="P411" s="185" t="s">
        <v>14</v>
      </c>
      <c r="Q411" s="185" t="s">
        <v>534</v>
      </c>
      <c r="R411" s="195"/>
      <c r="S411" s="195"/>
      <c r="T411" s="195"/>
      <c r="U411" s="195"/>
      <c r="V411" s="195"/>
      <c r="W411" s="195"/>
      <c r="X411" s="195"/>
      <c r="Y411" s="195"/>
      <c r="Z411" s="195"/>
    </row>
    <row r="412">
      <c r="A412" s="267" t="str">
        <f>iferror(VLOOKUP(P412,'DO NOT TOUCH Imported'!$A$1:$D$800,4,False),iferror(VLOOKUP(P412,'DO NOT TOUCH Imported'!$C$1:$D$800,2,False),"OOPS FIX ME"))</f>
        <v>knobsDAO</v>
      </c>
      <c r="B412" s="249" t="s">
        <v>18</v>
      </c>
      <c r="C412" s="219" t="s">
        <v>1930</v>
      </c>
      <c r="D412" s="268" t="s">
        <v>495</v>
      </c>
      <c r="E412" s="252">
        <v>44257.0</v>
      </c>
      <c r="F412" s="250" t="s">
        <v>496</v>
      </c>
      <c r="G412" s="171">
        <v>25.0</v>
      </c>
      <c r="H412" s="171">
        <v>1000.0</v>
      </c>
      <c r="I412" s="171">
        <v>10.0</v>
      </c>
      <c r="J412" s="172">
        <f t="shared" si="2"/>
        <v>0.0007346939862</v>
      </c>
      <c r="K412" s="269">
        <f t="shared" ref="K412:K439" si="16">J412*$J$1</f>
        <v>0.7591837857</v>
      </c>
      <c r="L412" s="270">
        <f t="shared" si="4"/>
        <v>4.825820077</v>
      </c>
      <c r="M412" s="271" t="str">
        <f t="shared" si="5"/>
        <v>knobsDAO</v>
      </c>
      <c r="N412" s="176">
        <f>IFERROR(__xludf.DUMMYFUNCTION("""COMPUTED_VALUE"""),1.0)</f>
        <v>1</v>
      </c>
      <c r="O412" s="176"/>
      <c r="P412" s="249" t="s">
        <v>49</v>
      </c>
      <c r="Q412" s="249" t="s">
        <v>18</v>
      </c>
      <c r="R412" s="176"/>
      <c r="S412" s="176"/>
      <c r="T412" s="176"/>
      <c r="U412" s="176"/>
      <c r="V412" s="176"/>
      <c r="W412" s="176"/>
      <c r="X412" s="176"/>
      <c r="Y412" s="176"/>
      <c r="Z412" s="176"/>
    </row>
    <row r="413">
      <c r="A413" s="267" t="str">
        <f>iferror(VLOOKUP(P413,'DO NOT TOUCH Imported'!$A$1:$D$800,4,False),iferror(VLOOKUP(P413,'DO NOT TOUCH Imported'!$C$1:$D$800,2,False),"OOPS FIX ME"))</f>
        <v>knobsDAO</v>
      </c>
      <c r="B413" s="272" t="s">
        <v>8</v>
      </c>
      <c r="C413" s="273" t="s">
        <v>1935</v>
      </c>
      <c r="D413" s="274" t="s">
        <v>437</v>
      </c>
      <c r="E413" s="275">
        <v>44259.0</v>
      </c>
      <c r="F413" s="274" t="s">
        <v>1929</v>
      </c>
      <c r="G413" s="171">
        <v>50.0</v>
      </c>
      <c r="H413" s="171">
        <v>1000.0</v>
      </c>
      <c r="I413" s="171">
        <v>100.0</v>
      </c>
      <c r="J413" s="172">
        <f t="shared" si="2"/>
        <v>0.001348560775</v>
      </c>
      <c r="K413" s="269">
        <f t="shared" si="16"/>
        <v>1.393512801</v>
      </c>
      <c r="L413" s="270">
        <f t="shared" si="4"/>
        <v>4.825820077</v>
      </c>
      <c r="M413" s="271" t="str">
        <f t="shared" si="5"/>
        <v>knobsDAO</v>
      </c>
      <c r="N413" s="176">
        <f>IFERROR(__xludf.DUMMYFUNCTION("""COMPUTED_VALUE"""),2.0)</f>
        <v>2</v>
      </c>
      <c r="O413" s="176"/>
      <c r="P413" s="267" t="s">
        <v>768</v>
      </c>
      <c r="Q413" s="272" t="s">
        <v>8</v>
      </c>
      <c r="R413" s="176"/>
      <c r="S413" s="176"/>
      <c r="T413" s="176"/>
      <c r="U413" s="176"/>
      <c r="V413" s="176"/>
      <c r="W413" s="176"/>
      <c r="X413" s="176"/>
      <c r="Y413" s="176"/>
      <c r="Z413" s="176"/>
    </row>
    <row r="414">
      <c r="A414" s="267" t="str">
        <f>iferror(VLOOKUP(P414,'DO NOT TOUCH Imported'!$A$1:$D$800,4,False),iferror(VLOOKUP(P414,'DO NOT TOUCH Imported'!$C$1:$D$800,2,False),"OOPS FIX ME"))</f>
        <v>knobsDAO</v>
      </c>
      <c r="B414" s="272" t="s">
        <v>1933</v>
      </c>
      <c r="C414" s="273" t="s">
        <v>1936</v>
      </c>
      <c r="D414" s="274" t="s">
        <v>437</v>
      </c>
      <c r="E414" s="275">
        <v>44259.0</v>
      </c>
      <c r="F414" s="274" t="s">
        <v>1929</v>
      </c>
      <c r="G414" s="171">
        <v>25.0</v>
      </c>
      <c r="H414" s="171">
        <v>1500.0</v>
      </c>
      <c r="I414" s="171">
        <v>200.0</v>
      </c>
      <c r="J414" s="172">
        <f t="shared" si="2"/>
        <v>0.001330579079</v>
      </c>
      <c r="K414" s="269">
        <f t="shared" si="16"/>
        <v>1.374931715</v>
      </c>
      <c r="L414" s="270">
        <f t="shared" si="4"/>
        <v>4.825820077</v>
      </c>
      <c r="M414" s="271" t="str">
        <f t="shared" si="5"/>
        <v>knobsDAO</v>
      </c>
      <c r="N414" s="176">
        <f>IFERROR(__xludf.DUMMYFUNCTION("""COMPUTED_VALUE"""),3.0)</f>
        <v>3</v>
      </c>
      <c r="O414" s="176"/>
      <c r="P414" s="267" t="s">
        <v>768</v>
      </c>
      <c r="Q414" s="272" t="s">
        <v>1933</v>
      </c>
      <c r="R414" s="176"/>
      <c r="S414" s="176"/>
      <c r="T414" s="176"/>
      <c r="U414" s="176"/>
      <c r="V414" s="176"/>
      <c r="W414" s="176"/>
      <c r="X414" s="176"/>
      <c r="Y414" s="176"/>
      <c r="Z414" s="176"/>
    </row>
    <row r="415">
      <c r="A415" s="267" t="str">
        <f>iferror(VLOOKUP(P415,'DO NOT TOUCH Imported'!$A$1:$D$800,4,False),iferror(VLOOKUP(P415,'DO NOT TOUCH Imported'!$C$1:$D$800,2,False),"OOPS FIX ME"))</f>
        <v>knobsDAO</v>
      </c>
      <c r="B415" s="272" t="s">
        <v>10</v>
      </c>
      <c r="C415" s="273" t="s">
        <v>2038</v>
      </c>
      <c r="D415" s="274" t="s">
        <v>437</v>
      </c>
      <c r="E415" s="275">
        <v>44260.0</v>
      </c>
      <c r="F415" s="274" t="s">
        <v>1929</v>
      </c>
      <c r="G415" s="171">
        <v>25.0</v>
      </c>
      <c r="H415" s="171">
        <v>500.0</v>
      </c>
      <c r="I415" s="171">
        <v>300.0</v>
      </c>
      <c r="J415" s="172">
        <f t="shared" si="2"/>
        <v>0.001256314621</v>
      </c>
      <c r="K415" s="269">
        <f t="shared" si="16"/>
        <v>1.298191775</v>
      </c>
      <c r="L415" s="270">
        <f t="shared" si="4"/>
        <v>4.825820077</v>
      </c>
      <c r="M415" s="271" t="str">
        <f t="shared" si="5"/>
        <v>knobsDAO</v>
      </c>
      <c r="N415" s="176">
        <f>IFERROR(__xludf.DUMMYFUNCTION("""COMPUTED_VALUE"""),4.0)</f>
        <v>4</v>
      </c>
      <c r="O415" s="176"/>
      <c r="P415" s="267" t="s">
        <v>768</v>
      </c>
      <c r="Q415" s="272" t="s">
        <v>10</v>
      </c>
      <c r="R415" s="176"/>
      <c r="S415" s="176"/>
      <c r="T415" s="176"/>
      <c r="U415" s="176"/>
      <c r="V415" s="176"/>
      <c r="W415" s="176"/>
      <c r="X415" s="176"/>
      <c r="Y415" s="176"/>
      <c r="Z415" s="176"/>
    </row>
    <row r="416">
      <c r="A416" s="185" t="str">
        <f>iferror(VLOOKUP(P416,'DO NOT TOUCH Imported'!$A$1:$D$800,4,False),iferror(VLOOKUP(P416,'DO NOT TOUCH Imported'!$C$1:$D$800,2,False),"OOPS FIX ME"))</f>
        <v>knobsDAO</v>
      </c>
      <c r="B416" s="185" t="s">
        <v>534</v>
      </c>
      <c r="C416" s="186" t="s">
        <v>684</v>
      </c>
      <c r="D416" s="187"/>
      <c r="E416" s="188"/>
      <c r="F416" s="189"/>
      <c r="G416" s="190"/>
      <c r="H416" s="190"/>
      <c r="I416" s="190"/>
      <c r="J416" s="191">
        <f t="shared" si="2"/>
        <v>0</v>
      </c>
      <c r="K416" s="192">
        <f t="shared" si="16"/>
        <v>0</v>
      </c>
      <c r="L416" s="193">
        <f t="shared" si="4"/>
        <v>4.825820077</v>
      </c>
      <c r="M416" s="194" t="str">
        <f t="shared" si="5"/>
        <v>knobsDAO</v>
      </c>
      <c r="N416" s="195">
        <f>IFERROR(__xludf.DUMMYFUNCTION("""COMPUTED_VALUE"""),5.0)</f>
        <v>5</v>
      </c>
      <c r="O416" s="195"/>
      <c r="P416" s="185" t="s">
        <v>49</v>
      </c>
      <c r="Q416" s="185" t="s">
        <v>534</v>
      </c>
      <c r="R416" s="195">
        <v>15.224018051145396</v>
      </c>
      <c r="S416" s="195"/>
      <c r="T416" s="195"/>
      <c r="U416" s="195"/>
      <c r="V416" s="195"/>
      <c r="W416" s="195"/>
      <c r="X416" s="195"/>
      <c r="Y416" s="195"/>
      <c r="Z416" s="195"/>
    </row>
    <row r="417">
      <c r="A417" s="267" t="str">
        <f>iferror(VLOOKUP(P417,'DO NOT TOUCH Imported'!$A$1:$D$800,4,False),iferror(VLOOKUP(P417,'DO NOT TOUCH Imported'!$C$1:$D$800,2,False),"OOPS FIX ME"))</f>
        <v>OOPS FIX ME</v>
      </c>
      <c r="B417" s="249" t="s">
        <v>1228</v>
      </c>
      <c r="C417" s="219" t="s">
        <v>2103</v>
      </c>
      <c r="D417" s="268" t="s">
        <v>495</v>
      </c>
      <c r="E417" s="252">
        <v>44258.0</v>
      </c>
      <c r="F417" s="250" t="s">
        <v>496</v>
      </c>
      <c r="G417" s="171">
        <v>25.0</v>
      </c>
      <c r="H417" s="171">
        <v>500.0</v>
      </c>
      <c r="I417" s="171">
        <v>50.0</v>
      </c>
      <c r="J417" s="172">
        <f t="shared" si="2"/>
        <v>0.0006742803877</v>
      </c>
      <c r="K417" s="269">
        <f t="shared" si="16"/>
        <v>0.6967564007</v>
      </c>
      <c r="L417" s="270">
        <f t="shared" si="4"/>
        <v>0.6967564007</v>
      </c>
      <c r="M417" s="271" t="str">
        <f t="shared" si="5"/>
        <v>OOPS FIX ME</v>
      </c>
      <c r="N417" s="176">
        <f>IFERROR(__xludf.DUMMYFUNCTION("""COMPUTED_VALUE"""),1.0)</f>
        <v>1</v>
      </c>
      <c r="O417" s="176"/>
      <c r="P417" s="249" t="s">
        <v>2104</v>
      </c>
      <c r="Q417" s="249" t="s">
        <v>1228</v>
      </c>
      <c r="R417" s="176"/>
      <c r="S417" s="176"/>
      <c r="T417" s="176"/>
      <c r="U417" s="176"/>
      <c r="V417" s="176"/>
      <c r="W417" s="176"/>
      <c r="X417" s="176"/>
      <c r="Y417" s="176"/>
      <c r="Z417" s="176"/>
    </row>
    <row r="418">
      <c r="A418" s="267" t="str">
        <f>iferror(VLOOKUP(P418,'DO NOT TOUCH Imported'!$A$1:$D$800,4,False),iferror(VLOOKUP(P418,'DO NOT TOUCH Imported'!$C$1:$D$800,2,False),"OOPS FIX ME"))</f>
        <v>ddan#2489</v>
      </c>
      <c r="B418" s="272" t="s">
        <v>1933</v>
      </c>
      <c r="C418" s="273" t="s">
        <v>1936</v>
      </c>
      <c r="D418" s="274" t="s">
        <v>437</v>
      </c>
      <c r="E418" s="275">
        <v>44259.0</v>
      </c>
      <c r="F418" s="274" t="s">
        <v>1929</v>
      </c>
      <c r="G418" s="171">
        <v>25.0</v>
      </c>
      <c r="H418" s="171">
        <v>1500.0</v>
      </c>
      <c r="I418" s="171">
        <v>200.0</v>
      </c>
      <c r="J418" s="172">
        <f t="shared" si="2"/>
        <v>0.001330579079</v>
      </c>
      <c r="K418" s="269">
        <f t="shared" si="16"/>
        <v>1.374931715</v>
      </c>
      <c r="L418" s="270">
        <f t="shared" si="4"/>
        <v>4.101036894</v>
      </c>
      <c r="M418" s="271" t="str">
        <f t="shared" si="5"/>
        <v>ddan#2489</v>
      </c>
      <c r="N418" s="176">
        <f>IFERROR(__xludf.DUMMYFUNCTION("""COMPUTED_VALUE"""),1.0)</f>
        <v>1</v>
      </c>
      <c r="O418" s="176"/>
      <c r="P418" s="267" t="s">
        <v>1918</v>
      </c>
      <c r="Q418" s="272" t="s">
        <v>1933</v>
      </c>
      <c r="R418" s="176"/>
      <c r="S418" s="176"/>
      <c r="T418" s="176"/>
      <c r="U418" s="176"/>
      <c r="V418" s="176"/>
      <c r="W418" s="176"/>
      <c r="X418" s="176"/>
      <c r="Y418" s="176"/>
      <c r="Z418" s="176"/>
    </row>
    <row r="419">
      <c r="A419" s="267" t="str">
        <f>iferror(VLOOKUP(P419,'DO NOT TOUCH Imported'!$A$1:$D$800,4,False),iferror(VLOOKUP(P419,'DO NOT TOUCH Imported'!$C$1:$D$800,2,False),"OOPS FIX ME"))</f>
        <v>ddan#2489</v>
      </c>
      <c r="B419" s="272" t="s">
        <v>1933</v>
      </c>
      <c r="C419" s="273" t="s">
        <v>2105</v>
      </c>
      <c r="D419" s="274" t="s">
        <v>437</v>
      </c>
      <c r="E419" s="275">
        <v>44259.0</v>
      </c>
      <c r="F419" s="274" t="s">
        <v>1929</v>
      </c>
      <c r="G419" s="171">
        <v>25.0</v>
      </c>
      <c r="H419" s="171">
        <v>5000.0</v>
      </c>
      <c r="I419" s="171">
        <v>300.0</v>
      </c>
      <c r="J419" s="172">
        <f t="shared" si="2"/>
        <v>0.002638166302</v>
      </c>
      <c r="K419" s="269">
        <f t="shared" si="16"/>
        <v>2.726105179</v>
      </c>
      <c r="L419" s="270">
        <f t="shared" si="4"/>
        <v>4.101036894</v>
      </c>
      <c r="M419" s="271" t="str">
        <f t="shared" si="5"/>
        <v>ddan#2489</v>
      </c>
      <c r="N419" s="176">
        <f>IFERROR(__xludf.DUMMYFUNCTION("""COMPUTED_VALUE"""),2.0)</f>
        <v>2</v>
      </c>
      <c r="O419" s="176"/>
      <c r="P419" s="267" t="s">
        <v>1918</v>
      </c>
      <c r="Q419" s="272" t="s">
        <v>1933</v>
      </c>
      <c r="R419" s="176"/>
      <c r="S419" s="176"/>
      <c r="T419" s="176"/>
      <c r="U419" s="176"/>
      <c r="V419" s="176"/>
      <c r="W419" s="176"/>
      <c r="X419" s="176"/>
      <c r="Y419" s="176"/>
      <c r="Z419" s="176"/>
    </row>
    <row r="420">
      <c r="A420" s="267" t="str">
        <f>iferror(VLOOKUP(P420,'DO NOT TOUCH Imported'!$A$1:$D$800,4,False),iferror(VLOOKUP(P420,'DO NOT TOUCH Imported'!$C$1:$D$800,2,False),"OOPS FIX ME"))</f>
        <v>danibelle</v>
      </c>
      <c r="B420" s="249" t="s">
        <v>519</v>
      </c>
      <c r="C420" s="219" t="s">
        <v>2000</v>
      </c>
      <c r="D420" s="268" t="s">
        <v>495</v>
      </c>
      <c r="E420" s="252">
        <v>44258.0</v>
      </c>
      <c r="F420" s="250" t="s">
        <v>521</v>
      </c>
      <c r="G420" s="171">
        <v>50.0</v>
      </c>
      <c r="H420" s="171">
        <v>1000.0</v>
      </c>
      <c r="I420" s="171">
        <v>50.0</v>
      </c>
      <c r="J420" s="172">
        <f t="shared" si="2"/>
        <v>0.001232153929</v>
      </c>
      <c r="K420" s="269">
        <f t="shared" si="16"/>
        <v>1.273225727</v>
      </c>
      <c r="L420" s="270">
        <f t="shared" si="4"/>
        <v>4.745617519</v>
      </c>
      <c r="M420" s="271" t="str">
        <f t="shared" si="5"/>
        <v>danibelle</v>
      </c>
      <c r="N420" s="176">
        <f>IFERROR(__xludf.DUMMYFUNCTION("""COMPUTED_VALUE"""),1.0)</f>
        <v>1</v>
      </c>
      <c r="O420" s="176"/>
      <c r="P420" s="249" t="s">
        <v>38</v>
      </c>
      <c r="Q420" s="249" t="s">
        <v>519</v>
      </c>
      <c r="R420" s="176"/>
      <c r="S420" s="176"/>
      <c r="T420" s="176"/>
      <c r="U420" s="176"/>
      <c r="V420" s="176"/>
      <c r="W420" s="176"/>
      <c r="X420" s="176"/>
      <c r="Y420" s="176"/>
      <c r="Z420" s="176"/>
    </row>
    <row r="421">
      <c r="A421" s="267" t="str">
        <f>iferror(VLOOKUP(P421,'DO NOT TOUCH Imported'!$A$1:$D$800,4,False),iferror(VLOOKUP(P421,'DO NOT TOUCH Imported'!$C$1:$D$800,2,False),"OOPS FIX ME"))</f>
        <v>danibelle</v>
      </c>
      <c r="B421" s="249" t="s">
        <v>10</v>
      </c>
      <c r="C421" s="219" t="s">
        <v>500</v>
      </c>
      <c r="D421" s="268" t="s">
        <v>495</v>
      </c>
      <c r="E421" s="252">
        <v>44260.0</v>
      </c>
      <c r="F421" s="250" t="s">
        <v>496</v>
      </c>
      <c r="G421" s="171">
        <v>35.0</v>
      </c>
      <c r="H421" s="171">
        <v>500.0</v>
      </c>
      <c r="I421" s="171">
        <v>40.0</v>
      </c>
      <c r="J421" s="172">
        <f t="shared" si="2"/>
        <v>0.0008127328046</v>
      </c>
      <c r="K421" s="269">
        <f t="shared" si="16"/>
        <v>0.8398238981</v>
      </c>
      <c r="L421" s="270">
        <f t="shared" si="4"/>
        <v>4.745617519</v>
      </c>
      <c r="M421" s="271" t="str">
        <f t="shared" si="5"/>
        <v>danibelle</v>
      </c>
      <c r="N421" s="176">
        <f>IFERROR(__xludf.DUMMYFUNCTION("""COMPUTED_VALUE"""),2.0)</f>
        <v>2</v>
      </c>
      <c r="O421" s="176"/>
      <c r="P421" s="249" t="s">
        <v>38</v>
      </c>
      <c r="Q421" s="249" t="s">
        <v>10</v>
      </c>
      <c r="R421" s="176"/>
      <c r="S421" s="176"/>
      <c r="T421" s="176"/>
      <c r="U421" s="176"/>
      <c r="V421" s="176"/>
      <c r="W421" s="176"/>
      <c r="X421" s="176"/>
      <c r="Y421" s="176"/>
      <c r="Z421" s="176"/>
    </row>
    <row r="422">
      <c r="A422" s="267" t="str">
        <f>iferror(VLOOKUP(P422,'DO NOT TOUCH Imported'!$A$1:$D$800,4,False),iferror(VLOOKUP(P422,'DO NOT TOUCH Imported'!$C$1:$D$800,2,False),"OOPS FIX ME"))</f>
        <v>danibelle</v>
      </c>
      <c r="B422" s="249" t="s">
        <v>10</v>
      </c>
      <c r="C422" s="219" t="s">
        <v>498</v>
      </c>
      <c r="D422" s="268" t="s">
        <v>495</v>
      </c>
      <c r="E422" s="252">
        <v>44260.0</v>
      </c>
      <c r="F422" s="250" t="s">
        <v>499</v>
      </c>
      <c r="G422" s="171">
        <v>35.0</v>
      </c>
      <c r="H422" s="171">
        <v>500.0</v>
      </c>
      <c r="I422" s="171">
        <v>40.0</v>
      </c>
      <c r="J422" s="172">
        <f t="shared" si="2"/>
        <v>0.0008127328046</v>
      </c>
      <c r="K422" s="269">
        <f t="shared" si="16"/>
        <v>0.8398238981</v>
      </c>
      <c r="L422" s="270">
        <f t="shared" si="4"/>
        <v>4.745617519</v>
      </c>
      <c r="M422" s="271" t="str">
        <f t="shared" si="5"/>
        <v>danibelle</v>
      </c>
      <c r="N422" s="176">
        <f>IFERROR(__xludf.DUMMYFUNCTION("""COMPUTED_VALUE"""),3.0)</f>
        <v>3</v>
      </c>
      <c r="O422" s="176"/>
      <c r="P422" s="249" t="s">
        <v>38</v>
      </c>
      <c r="Q422" s="249" t="s">
        <v>10</v>
      </c>
      <c r="R422" s="176"/>
      <c r="S422" s="176"/>
      <c r="T422" s="176"/>
      <c r="U422" s="176"/>
      <c r="V422" s="176"/>
      <c r="W422" s="176"/>
      <c r="X422" s="176"/>
      <c r="Y422" s="176"/>
      <c r="Z422" s="176"/>
    </row>
    <row r="423">
      <c r="A423" s="267" t="str">
        <f>iferror(VLOOKUP(P423,'DO NOT TOUCH Imported'!$A$1:$D$800,4,False),iferror(VLOOKUP(P423,'DO NOT TOUCH Imported'!$C$1:$D$800,2,False),"OOPS FIX ME"))</f>
        <v>danibelle</v>
      </c>
      <c r="B423" s="249" t="s">
        <v>519</v>
      </c>
      <c r="C423" s="219" t="s">
        <v>668</v>
      </c>
      <c r="D423" s="268" t="s">
        <v>495</v>
      </c>
      <c r="E423" s="252">
        <v>44265.0</v>
      </c>
      <c r="F423" s="250" t="s">
        <v>521</v>
      </c>
      <c r="G423" s="171">
        <v>25.0</v>
      </c>
      <c r="H423" s="171">
        <v>1000.0</v>
      </c>
      <c r="I423" s="171">
        <v>100.0</v>
      </c>
      <c r="J423" s="172">
        <f t="shared" si="2"/>
        <v>0.00094422631</v>
      </c>
      <c r="K423" s="269">
        <f t="shared" si="16"/>
        <v>0.9757005204</v>
      </c>
      <c r="L423" s="270">
        <f t="shared" si="4"/>
        <v>4.745617519</v>
      </c>
      <c r="M423" s="271" t="str">
        <f t="shared" si="5"/>
        <v>danibelle</v>
      </c>
      <c r="N423" s="176">
        <f>IFERROR(__xludf.DUMMYFUNCTION("""COMPUTED_VALUE"""),4.0)</f>
        <v>4</v>
      </c>
      <c r="O423" s="176"/>
      <c r="P423" s="249" t="s">
        <v>38</v>
      </c>
      <c r="Q423" s="249" t="s">
        <v>519</v>
      </c>
      <c r="R423" s="176"/>
      <c r="S423" s="176"/>
      <c r="T423" s="176"/>
      <c r="U423" s="176"/>
      <c r="V423" s="176"/>
      <c r="W423" s="176"/>
      <c r="X423" s="176"/>
      <c r="Y423" s="176"/>
      <c r="Z423" s="176"/>
    </row>
    <row r="424">
      <c r="A424" s="267" t="str">
        <f>iferror(VLOOKUP(P424,'DO NOT TOUCH Imported'!$A$1:$D$800,4,False),iferror(VLOOKUP(P424,'DO NOT TOUCH Imported'!$C$1:$D$800,2,False),"OOPS FIX ME"))</f>
        <v>danibelle</v>
      </c>
      <c r="B424" s="249" t="s">
        <v>10</v>
      </c>
      <c r="C424" s="219" t="s">
        <v>498</v>
      </c>
      <c r="D424" s="268" t="s">
        <v>495</v>
      </c>
      <c r="E424" s="252">
        <v>44267.0</v>
      </c>
      <c r="F424" s="250" t="s">
        <v>499</v>
      </c>
      <c r="G424" s="171">
        <v>25.0</v>
      </c>
      <c r="H424" s="171">
        <v>500.0</v>
      </c>
      <c r="I424" s="171">
        <v>100.0</v>
      </c>
      <c r="J424" s="172">
        <f t="shared" si="2"/>
        <v>0.0007906872343</v>
      </c>
      <c r="K424" s="269">
        <f t="shared" si="16"/>
        <v>0.8170434755</v>
      </c>
      <c r="L424" s="270">
        <f t="shared" si="4"/>
        <v>4.745617519</v>
      </c>
      <c r="M424" s="271" t="str">
        <f t="shared" si="5"/>
        <v>danibelle</v>
      </c>
      <c r="N424" s="176">
        <f>IFERROR(__xludf.DUMMYFUNCTION("""COMPUTED_VALUE"""),5.0)</f>
        <v>5</v>
      </c>
      <c r="O424" s="176"/>
      <c r="P424" s="249" t="s">
        <v>38</v>
      </c>
      <c r="Q424" s="249" t="s">
        <v>10</v>
      </c>
      <c r="R424" s="176"/>
      <c r="S424" s="176"/>
      <c r="T424" s="176"/>
      <c r="U424" s="176"/>
      <c r="V424" s="176"/>
      <c r="W424" s="176"/>
      <c r="X424" s="176"/>
      <c r="Y424" s="176"/>
      <c r="Z424" s="176"/>
    </row>
    <row r="425">
      <c r="A425" s="267" t="str">
        <f>iferror(VLOOKUP(P425,'DO NOT TOUCH Imported'!$A$1:$D$800,4,False),iferror(VLOOKUP(P425,'DO NOT TOUCH Imported'!$C$1:$D$800,2,False),"OOPS FIX ME"))</f>
        <v>MerlinEgalite</v>
      </c>
      <c r="B425" s="249" t="s">
        <v>519</v>
      </c>
      <c r="C425" s="219" t="s">
        <v>2000</v>
      </c>
      <c r="D425" s="268" t="s">
        <v>495</v>
      </c>
      <c r="E425" s="252">
        <v>44258.0</v>
      </c>
      <c r="F425" s="250" t="s">
        <v>521</v>
      </c>
      <c r="G425" s="171">
        <v>50.0</v>
      </c>
      <c r="H425" s="171">
        <v>1000.0</v>
      </c>
      <c r="I425" s="171">
        <v>200.0</v>
      </c>
      <c r="J425" s="172">
        <f t="shared" si="2"/>
        <v>0.001581374469</v>
      </c>
      <c r="K425" s="269">
        <f t="shared" si="16"/>
        <v>1.634086951</v>
      </c>
      <c r="L425" s="270">
        <f t="shared" si="4"/>
        <v>4.627516069</v>
      </c>
      <c r="M425" s="271" t="str">
        <f t="shared" si="5"/>
        <v>MerlinEgalite</v>
      </c>
      <c r="N425" s="176">
        <f>IFERROR(__xludf.DUMMYFUNCTION("""COMPUTED_VALUE"""),1.0)</f>
        <v>1</v>
      </c>
      <c r="O425" s="176"/>
      <c r="P425" s="249" t="s">
        <v>27</v>
      </c>
      <c r="Q425" s="249" t="s">
        <v>519</v>
      </c>
      <c r="R425" s="176"/>
      <c r="S425" s="176"/>
      <c r="T425" s="176"/>
      <c r="U425" s="176"/>
      <c r="V425" s="176"/>
      <c r="W425" s="176"/>
      <c r="X425" s="176"/>
      <c r="Y425" s="176"/>
      <c r="Z425" s="176"/>
    </row>
    <row r="426">
      <c r="A426" s="267" t="str">
        <f>iferror(VLOOKUP(P426,'DO NOT TOUCH Imported'!$A$1:$D$800,4,False),iferror(VLOOKUP(P426,'DO NOT TOUCH Imported'!$C$1:$D$800,2,False),"OOPS FIX ME"))</f>
        <v>MerlinEgalite</v>
      </c>
      <c r="B426" s="249" t="s">
        <v>10</v>
      </c>
      <c r="C426" s="219" t="s">
        <v>498</v>
      </c>
      <c r="D426" s="268" t="s">
        <v>495</v>
      </c>
      <c r="E426" s="252">
        <v>44260.0</v>
      </c>
      <c r="F426" s="250" t="s">
        <v>499</v>
      </c>
      <c r="G426" s="171">
        <v>35.0</v>
      </c>
      <c r="H426" s="171">
        <v>500.0</v>
      </c>
      <c r="I426" s="171">
        <v>40.0</v>
      </c>
      <c r="J426" s="172">
        <f t="shared" si="2"/>
        <v>0.0008127328046</v>
      </c>
      <c r="K426" s="269">
        <f t="shared" si="16"/>
        <v>0.8398238981</v>
      </c>
      <c r="L426" s="270">
        <f t="shared" si="4"/>
        <v>4.627516069</v>
      </c>
      <c r="M426" s="271" t="str">
        <f t="shared" si="5"/>
        <v>MerlinEgalite</v>
      </c>
      <c r="N426" s="176">
        <f>IFERROR(__xludf.DUMMYFUNCTION("""COMPUTED_VALUE"""),2.0)</f>
        <v>2</v>
      </c>
      <c r="O426" s="176"/>
      <c r="P426" s="249" t="s">
        <v>27</v>
      </c>
      <c r="Q426" s="249" t="s">
        <v>10</v>
      </c>
      <c r="R426" s="176"/>
      <c r="S426" s="176"/>
      <c r="T426" s="176"/>
      <c r="U426" s="176"/>
      <c r="V426" s="176"/>
      <c r="W426" s="176"/>
      <c r="X426" s="176"/>
      <c r="Y426" s="176"/>
      <c r="Z426" s="176"/>
    </row>
    <row r="427">
      <c r="A427" s="267" t="str">
        <f>iferror(VLOOKUP(P427,'DO NOT TOUCH Imported'!$A$1:$D$800,4,False),iferror(VLOOKUP(P427,'DO NOT TOUCH Imported'!$C$1:$D$800,2,False),"OOPS FIX ME"))</f>
        <v>MerlinEgalite</v>
      </c>
      <c r="B427" s="249" t="s">
        <v>519</v>
      </c>
      <c r="C427" s="219" t="s">
        <v>668</v>
      </c>
      <c r="D427" s="268" t="s">
        <v>495</v>
      </c>
      <c r="E427" s="252">
        <v>44265.0</v>
      </c>
      <c r="F427" s="250" t="s">
        <v>521</v>
      </c>
      <c r="G427" s="171">
        <v>25.0</v>
      </c>
      <c r="H427" s="171">
        <v>1000.0</v>
      </c>
      <c r="I427" s="171">
        <v>150.0</v>
      </c>
      <c r="J427" s="172">
        <f t="shared" si="2"/>
        <v>0.001060633157</v>
      </c>
      <c r="K427" s="269">
        <f t="shared" si="16"/>
        <v>1.095987595</v>
      </c>
      <c r="L427" s="270">
        <f t="shared" si="4"/>
        <v>4.627516069</v>
      </c>
      <c r="M427" s="271" t="str">
        <f t="shared" si="5"/>
        <v>MerlinEgalite</v>
      </c>
      <c r="N427" s="176">
        <f>IFERROR(__xludf.DUMMYFUNCTION("""COMPUTED_VALUE"""),3.0)</f>
        <v>3</v>
      </c>
      <c r="O427" s="176"/>
      <c r="P427" s="249" t="s">
        <v>27</v>
      </c>
      <c r="Q427" s="249" t="s">
        <v>519</v>
      </c>
      <c r="R427" s="176"/>
      <c r="S427" s="176"/>
      <c r="T427" s="176"/>
      <c r="U427" s="176"/>
      <c r="V427" s="176"/>
      <c r="W427" s="176"/>
      <c r="X427" s="176"/>
      <c r="Y427" s="176"/>
      <c r="Z427" s="176"/>
    </row>
    <row r="428">
      <c r="A428" s="267" t="str">
        <f>iferror(VLOOKUP(P428,'DO NOT TOUCH Imported'!$A$1:$D$800,4,False),iferror(VLOOKUP(P428,'DO NOT TOUCH Imported'!$C$1:$D$800,2,False),"OOPS FIX ME"))</f>
        <v>MerlinEgalite</v>
      </c>
      <c r="B428" s="249" t="s">
        <v>10</v>
      </c>
      <c r="C428" s="219" t="s">
        <v>2066</v>
      </c>
      <c r="D428" s="268" t="s">
        <v>495</v>
      </c>
      <c r="E428" s="252">
        <v>44267.0</v>
      </c>
      <c r="F428" s="250" t="s">
        <v>496</v>
      </c>
      <c r="G428" s="171">
        <v>25.0</v>
      </c>
      <c r="H428" s="171">
        <v>500.0</v>
      </c>
      <c r="I428" s="171">
        <v>200.0</v>
      </c>
      <c r="J428" s="172">
        <f t="shared" si="2"/>
        <v>0.001023500928</v>
      </c>
      <c r="K428" s="269">
        <f t="shared" si="16"/>
        <v>1.057617625</v>
      </c>
      <c r="L428" s="270">
        <f t="shared" si="4"/>
        <v>4.627516069</v>
      </c>
      <c r="M428" s="271" t="str">
        <f t="shared" si="5"/>
        <v>MerlinEgalite</v>
      </c>
      <c r="N428" s="176">
        <f>IFERROR(__xludf.DUMMYFUNCTION("""COMPUTED_VALUE"""),4.0)</f>
        <v>4</v>
      </c>
      <c r="O428" s="176"/>
      <c r="P428" s="249" t="s">
        <v>27</v>
      </c>
      <c r="Q428" s="249" t="s">
        <v>10</v>
      </c>
      <c r="R428" s="176"/>
      <c r="S428" s="176"/>
      <c r="T428" s="176"/>
      <c r="U428" s="176"/>
      <c r="V428" s="176"/>
      <c r="W428" s="176"/>
      <c r="X428" s="176"/>
      <c r="Y428" s="176"/>
      <c r="Z428" s="176"/>
    </row>
    <row r="429">
      <c r="A429" s="267" t="str">
        <f>iferror(VLOOKUP(P429,'DO NOT TOUCH Imported'!$A$1:$D$800,4,False),iferror(VLOOKUP(P429,'DO NOT TOUCH Imported'!$C$1:$D$800,2,False),"OOPS FIX ME"))</f>
        <v>Letty#5399</v>
      </c>
      <c r="B429" s="272" t="s">
        <v>1702</v>
      </c>
      <c r="C429" s="273" t="s">
        <v>2106</v>
      </c>
      <c r="D429" s="274" t="s">
        <v>437</v>
      </c>
      <c r="E429" s="275">
        <v>44258.0</v>
      </c>
      <c r="F429" s="274" t="s">
        <v>1110</v>
      </c>
      <c r="G429" s="171">
        <v>25.0</v>
      </c>
      <c r="H429" s="171">
        <v>2000.0</v>
      </c>
      <c r="I429" s="171">
        <v>500.0</v>
      </c>
      <c r="J429" s="172">
        <f t="shared" si="2"/>
        <v>0.002182559234</v>
      </c>
      <c r="K429" s="269">
        <f t="shared" si="16"/>
        <v>2.255311209</v>
      </c>
      <c r="L429" s="270">
        <f t="shared" si="4"/>
        <v>4.62452453</v>
      </c>
      <c r="M429" s="271" t="str">
        <f t="shared" si="5"/>
        <v>Letty#5399</v>
      </c>
      <c r="N429" s="176">
        <f>IFERROR(__xludf.DUMMYFUNCTION("""COMPUTED_VALUE"""),1.0)</f>
        <v>1</v>
      </c>
      <c r="O429" s="176"/>
      <c r="P429" s="267" t="s">
        <v>75</v>
      </c>
      <c r="Q429" s="272" t="s">
        <v>1702</v>
      </c>
      <c r="R429" s="176"/>
      <c r="S429" s="176"/>
      <c r="T429" s="176"/>
      <c r="U429" s="176"/>
      <c r="V429" s="176"/>
      <c r="W429" s="176"/>
      <c r="X429" s="176"/>
      <c r="Y429" s="176"/>
      <c r="Z429" s="176"/>
    </row>
    <row r="430">
      <c r="A430" s="267" t="str">
        <f>iferror(VLOOKUP(P430,'DO NOT TOUCH Imported'!$A$1:$D$800,4,False),iferror(VLOOKUP(P430,'DO NOT TOUCH Imported'!$C$1:$D$800,2,False),"OOPS FIX ME"))</f>
        <v>Letty#5399</v>
      </c>
      <c r="B430" s="272" t="s">
        <v>8</v>
      </c>
      <c r="C430" s="273" t="s">
        <v>1935</v>
      </c>
      <c r="D430" s="274" t="s">
        <v>437</v>
      </c>
      <c r="E430" s="275">
        <v>44259.0</v>
      </c>
      <c r="F430" s="274" t="s">
        <v>1929</v>
      </c>
      <c r="G430" s="171">
        <v>50.0</v>
      </c>
      <c r="H430" s="171">
        <v>1000.0</v>
      </c>
      <c r="I430" s="171">
        <v>100.0</v>
      </c>
      <c r="J430" s="172">
        <f t="shared" si="2"/>
        <v>0.001348560775</v>
      </c>
      <c r="K430" s="269">
        <f t="shared" si="16"/>
        <v>1.393512801</v>
      </c>
      <c r="L430" s="270">
        <f t="shared" si="4"/>
        <v>4.62452453</v>
      </c>
      <c r="M430" s="271" t="str">
        <f t="shared" si="5"/>
        <v>Letty#5399</v>
      </c>
      <c r="N430" s="176">
        <f>IFERROR(__xludf.DUMMYFUNCTION("""COMPUTED_VALUE"""),2.0)</f>
        <v>2</v>
      </c>
      <c r="O430" s="176"/>
      <c r="P430" s="267" t="s">
        <v>75</v>
      </c>
      <c r="Q430" s="272" t="s">
        <v>8</v>
      </c>
      <c r="R430" s="176"/>
      <c r="S430" s="176"/>
      <c r="T430" s="176"/>
      <c r="U430" s="176"/>
      <c r="V430" s="176"/>
      <c r="W430" s="176"/>
      <c r="X430" s="176"/>
      <c r="Y430" s="176"/>
      <c r="Z430" s="176"/>
    </row>
    <row r="431">
      <c r="A431" s="267" t="str">
        <f>iferror(VLOOKUP(P431,'DO NOT TOUCH Imported'!$A$1:$D$800,4,False),iferror(VLOOKUP(P431,'DO NOT TOUCH Imported'!$C$1:$D$800,2,False),"OOPS FIX ME"))</f>
        <v>Letty#5399</v>
      </c>
      <c r="B431" s="272" t="s">
        <v>2107</v>
      </c>
      <c r="C431" s="273" t="s">
        <v>2108</v>
      </c>
      <c r="D431" s="274" t="s">
        <v>499</v>
      </c>
      <c r="E431" s="275">
        <v>44266.0</v>
      </c>
      <c r="F431" s="274" t="s">
        <v>1646</v>
      </c>
      <c r="G431" s="171">
        <v>25.0</v>
      </c>
      <c r="H431" s="171">
        <v>1000.0</v>
      </c>
      <c r="I431" s="171">
        <v>100.0</v>
      </c>
      <c r="J431" s="172">
        <f t="shared" si="2"/>
        <v>0.00094422631</v>
      </c>
      <c r="K431" s="269">
        <f t="shared" si="16"/>
        <v>0.9757005204</v>
      </c>
      <c r="L431" s="270">
        <f t="shared" si="4"/>
        <v>4.62452453</v>
      </c>
      <c r="M431" s="271" t="str">
        <f t="shared" si="5"/>
        <v>Letty#5399</v>
      </c>
      <c r="N431" s="176">
        <f>IFERROR(__xludf.DUMMYFUNCTION("""COMPUTED_VALUE"""),3.0)</f>
        <v>3</v>
      </c>
      <c r="O431" s="176"/>
      <c r="P431" s="267" t="s">
        <v>75</v>
      </c>
      <c r="Q431" s="272" t="s">
        <v>2107</v>
      </c>
      <c r="R431" s="176"/>
      <c r="S431" s="176"/>
      <c r="T431" s="176"/>
      <c r="U431" s="176"/>
      <c r="V431" s="176"/>
      <c r="W431" s="176"/>
      <c r="X431" s="176"/>
      <c r="Y431" s="176"/>
      <c r="Z431" s="176"/>
    </row>
    <row r="432">
      <c r="A432" s="267" t="str">
        <f>iferror(VLOOKUP(P432,'DO NOT TOUCH Imported'!$A$1:$D$800,4,False),iferror(VLOOKUP(P432,'DO NOT TOUCH Imported'!$C$1:$D$800,2,False),"OOPS FIX ME"))</f>
        <v>jwaup</v>
      </c>
      <c r="B432" s="249" t="s">
        <v>10</v>
      </c>
      <c r="C432" s="219" t="s">
        <v>500</v>
      </c>
      <c r="D432" s="268" t="s">
        <v>495</v>
      </c>
      <c r="E432" s="252">
        <v>44260.0</v>
      </c>
      <c r="F432" s="250" t="s">
        <v>496</v>
      </c>
      <c r="G432" s="171">
        <v>35.0</v>
      </c>
      <c r="H432" s="171">
        <v>500.0</v>
      </c>
      <c r="I432" s="171">
        <v>40.0</v>
      </c>
      <c r="J432" s="172">
        <f t="shared" si="2"/>
        <v>0.0008127328046</v>
      </c>
      <c r="K432" s="269">
        <f t="shared" si="16"/>
        <v>0.8398238981</v>
      </c>
      <c r="L432" s="270">
        <f t="shared" si="4"/>
        <v>4.4566629</v>
      </c>
      <c r="M432" s="271" t="str">
        <f t="shared" si="5"/>
        <v>jwaup</v>
      </c>
      <c r="N432" s="176">
        <f>IFERROR(__xludf.DUMMYFUNCTION("""COMPUTED_VALUE"""),1.0)</f>
        <v>1</v>
      </c>
      <c r="O432" s="176"/>
      <c r="P432" s="249" t="s">
        <v>97</v>
      </c>
      <c r="Q432" s="249" t="s">
        <v>10</v>
      </c>
      <c r="R432" s="176"/>
      <c r="S432" s="176"/>
      <c r="T432" s="176"/>
      <c r="U432" s="176"/>
      <c r="V432" s="176"/>
      <c r="W432" s="176"/>
      <c r="X432" s="176"/>
      <c r="Y432" s="176"/>
      <c r="Z432" s="176"/>
    </row>
    <row r="433">
      <c r="A433" s="267" t="str">
        <f>iferror(VLOOKUP(P433,'DO NOT TOUCH Imported'!$A$1:$D$800,4,False),iferror(VLOOKUP(P433,'DO NOT TOUCH Imported'!$C$1:$D$800,2,False),"OOPS FIX ME"))</f>
        <v>jwaup</v>
      </c>
      <c r="B433" s="272" t="s">
        <v>1702</v>
      </c>
      <c r="C433" s="273" t="s">
        <v>2109</v>
      </c>
      <c r="D433" s="274" t="s">
        <v>499</v>
      </c>
      <c r="E433" s="275">
        <v>44263.0</v>
      </c>
      <c r="F433" s="274" t="s">
        <v>1646</v>
      </c>
      <c r="G433" s="171">
        <v>25.0</v>
      </c>
      <c r="H433" s="171">
        <v>2500.0</v>
      </c>
      <c r="I433" s="171">
        <v>1000.0</v>
      </c>
      <c r="J433" s="172">
        <f t="shared" si="2"/>
        <v>0.003500166776</v>
      </c>
      <c r="K433" s="269">
        <f t="shared" si="16"/>
        <v>3.616839002</v>
      </c>
      <c r="L433" s="270">
        <f t="shared" si="4"/>
        <v>4.4566629</v>
      </c>
      <c r="M433" s="271" t="str">
        <f t="shared" si="5"/>
        <v>jwaup</v>
      </c>
      <c r="N433" s="176">
        <f>IFERROR(__xludf.DUMMYFUNCTION("""COMPUTED_VALUE"""),2.0)</f>
        <v>2</v>
      </c>
      <c r="O433" s="176"/>
      <c r="P433" s="267" t="s">
        <v>832</v>
      </c>
      <c r="Q433" s="272" t="s">
        <v>1702</v>
      </c>
      <c r="R433" s="176"/>
      <c r="S433" s="176"/>
      <c r="T433" s="176"/>
      <c r="U433" s="176"/>
      <c r="V433" s="176"/>
      <c r="W433" s="176"/>
      <c r="X433" s="176"/>
      <c r="Y433" s="176"/>
      <c r="Z433" s="176"/>
    </row>
    <row r="434">
      <c r="A434" s="267" t="str">
        <f>iferror(VLOOKUP(P434,'DO NOT TOUCH Imported'!$A$1:$D$800,4,False),iferror(VLOOKUP(P434,'DO NOT TOUCH Imported'!$C$1:$D$800,2,False),"OOPS FIX ME"))</f>
        <v>atacas</v>
      </c>
      <c r="B434" s="249" t="s">
        <v>10</v>
      </c>
      <c r="C434" s="219" t="s">
        <v>500</v>
      </c>
      <c r="D434" s="268" t="s">
        <v>495</v>
      </c>
      <c r="E434" s="252">
        <v>44260.0</v>
      </c>
      <c r="F434" s="250" t="s">
        <v>496</v>
      </c>
      <c r="G434" s="171">
        <v>35.0</v>
      </c>
      <c r="H434" s="171">
        <v>500.0</v>
      </c>
      <c r="I434" s="171">
        <v>40.0</v>
      </c>
      <c r="J434" s="172">
        <f t="shared" si="2"/>
        <v>0.0008127328046</v>
      </c>
      <c r="K434" s="269">
        <f t="shared" si="16"/>
        <v>0.8398238981</v>
      </c>
      <c r="L434" s="270">
        <f t="shared" si="4"/>
        <v>4.31494159</v>
      </c>
      <c r="M434" s="271" t="str">
        <f t="shared" si="5"/>
        <v>atacas</v>
      </c>
      <c r="N434" s="176">
        <f>IFERROR(__xludf.DUMMYFUNCTION("""COMPUTED_VALUE"""),1.0)</f>
        <v>1</v>
      </c>
      <c r="O434" s="176"/>
      <c r="P434" s="249" t="s">
        <v>55</v>
      </c>
      <c r="Q434" s="249" t="s">
        <v>10</v>
      </c>
      <c r="R434" s="176"/>
      <c r="S434" s="176"/>
      <c r="T434" s="176"/>
      <c r="U434" s="176"/>
      <c r="V434" s="176"/>
      <c r="W434" s="176"/>
      <c r="X434" s="176"/>
      <c r="Y434" s="176"/>
      <c r="Z434" s="176"/>
    </row>
    <row r="435">
      <c r="A435" s="267" t="str">
        <f>iferror(VLOOKUP(P435,'DO NOT TOUCH Imported'!$A$1:$D$800,4,False),iferror(VLOOKUP(P435,'DO NOT TOUCH Imported'!$C$1:$D$800,2,False),"OOPS FIX ME"))</f>
        <v>atacas</v>
      </c>
      <c r="B435" s="272" t="s">
        <v>10</v>
      </c>
      <c r="C435" s="273" t="s">
        <v>2110</v>
      </c>
      <c r="D435" s="274" t="s">
        <v>437</v>
      </c>
      <c r="E435" s="306">
        <v>44267.0</v>
      </c>
      <c r="F435" s="274" t="s">
        <v>439</v>
      </c>
      <c r="G435" s="171">
        <v>45.0</v>
      </c>
      <c r="H435" s="171">
        <v>1000.0</v>
      </c>
      <c r="I435" s="171">
        <v>1000.0</v>
      </c>
      <c r="J435" s="172">
        <f t="shared" si="2"/>
        <v>0.003363017121</v>
      </c>
      <c r="K435" s="269">
        <f t="shared" si="16"/>
        <v>3.475117692</v>
      </c>
      <c r="L435" s="270">
        <f t="shared" si="4"/>
        <v>4.31494159</v>
      </c>
      <c r="M435" s="271" t="str">
        <f t="shared" si="5"/>
        <v>atacas</v>
      </c>
      <c r="N435" s="176">
        <f>IFERROR(__xludf.DUMMYFUNCTION("""COMPUTED_VALUE"""),2.0)</f>
        <v>2</v>
      </c>
      <c r="O435" s="176"/>
      <c r="P435" s="267" t="s">
        <v>686</v>
      </c>
      <c r="Q435" s="272" t="s">
        <v>10</v>
      </c>
      <c r="R435" s="176"/>
      <c r="S435" s="176"/>
      <c r="T435" s="176"/>
      <c r="U435" s="176"/>
      <c r="V435" s="176"/>
      <c r="W435" s="176"/>
      <c r="X435" s="176"/>
      <c r="Y435" s="176"/>
      <c r="Z435" s="176"/>
    </row>
    <row r="436">
      <c r="A436" s="185" t="str">
        <f>iferror(VLOOKUP(P436,'DO NOT TOUCH Imported'!$A$1:$D$800,4,False),iferror(VLOOKUP(P436,'DO NOT TOUCH Imported'!$C$1:$D$800,2,False),"OOPS FIX ME"))</f>
        <v>atacas</v>
      </c>
      <c r="B436" s="185" t="s">
        <v>534</v>
      </c>
      <c r="C436" s="186" t="s">
        <v>688</v>
      </c>
      <c r="D436" s="187"/>
      <c r="E436" s="188"/>
      <c r="F436" s="189"/>
      <c r="G436" s="195"/>
      <c r="H436" s="190"/>
      <c r="I436" s="190"/>
      <c r="J436" s="191">
        <f t="shared" si="2"/>
        <v>0</v>
      </c>
      <c r="K436" s="192">
        <f t="shared" si="16"/>
        <v>0</v>
      </c>
      <c r="L436" s="193">
        <f t="shared" si="4"/>
        <v>4.31494159</v>
      </c>
      <c r="M436" s="194" t="str">
        <f t="shared" si="5"/>
        <v>atacas</v>
      </c>
      <c r="N436" s="195">
        <f>IFERROR(__xludf.DUMMYFUNCTION("""COMPUTED_VALUE"""),3.0)</f>
        <v>3</v>
      </c>
      <c r="O436" s="195"/>
      <c r="P436" s="185" t="s">
        <v>55</v>
      </c>
      <c r="Q436" s="185" t="s">
        <v>534</v>
      </c>
      <c r="R436" s="195">
        <v>6.463920504925881</v>
      </c>
      <c r="S436" s="195"/>
      <c r="T436" s="195"/>
      <c r="U436" s="195"/>
      <c r="V436" s="195"/>
      <c r="W436" s="195"/>
      <c r="X436" s="195"/>
      <c r="Y436" s="195"/>
      <c r="Z436" s="195"/>
    </row>
    <row r="437">
      <c r="A437" s="267" t="str">
        <f>iferror(VLOOKUP(P437,'DO NOT TOUCH Imported'!$A$1:$D$800,4,False),iferror(VLOOKUP(P437,'DO NOT TOUCH Imported'!$C$1:$D$800,2,False),"OOPS FIX ME"))</f>
        <v>xgabi</v>
      </c>
      <c r="B437" s="249" t="s">
        <v>10</v>
      </c>
      <c r="C437" s="219" t="s">
        <v>2049</v>
      </c>
      <c r="D437" s="268" t="s">
        <v>495</v>
      </c>
      <c r="E437" s="252">
        <v>44260.0</v>
      </c>
      <c r="F437" s="250" t="s">
        <v>496</v>
      </c>
      <c r="G437" s="171">
        <v>25.0</v>
      </c>
      <c r="H437" s="171">
        <v>10000.0</v>
      </c>
      <c r="I437" s="171">
        <v>1000.0</v>
      </c>
      <c r="J437" s="172">
        <f t="shared" si="2"/>
        <v>0.005803252911</v>
      </c>
      <c r="K437" s="269">
        <f t="shared" si="16"/>
        <v>5.996694675</v>
      </c>
      <c r="L437" s="270">
        <f t="shared" si="4"/>
        <v>4.281374452</v>
      </c>
      <c r="M437" s="271" t="str">
        <f t="shared" si="5"/>
        <v>xgabi</v>
      </c>
      <c r="N437" s="176">
        <f>IFERROR(__xludf.DUMMYFUNCTION("""COMPUTED_VALUE"""),1.0)</f>
        <v>1</v>
      </c>
      <c r="O437" s="176"/>
      <c r="P437" s="249" t="s">
        <v>34</v>
      </c>
      <c r="Q437" s="249" t="s">
        <v>10</v>
      </c>
      <c r="R437" s="176"/>
      <c r="S437" s="176"/>
      <c r="T437" s="176"/>
      <c r="U437" s="176"/>
      <c r="V437" s="176"/>
      <c r="W437" s="176"/>
      <c r="X437" s="176"/>
      <c r="Y437" s="176"/>
      <c r="Z437" s="176"/>
    </row>
    <row r="438">
      <c r="A438" s="267" t="str">
        <f>iferror(VLOOKUP(P438,'DO NOT TOUCH Imported'!$A$1:$D$800,4,False),iferror(VLOOKUP(P438,'DO NOT TOUCH Imported'!$C$1:$D$800,2,False),"OOPS FIX ME"))</f>
        <v>xgabi</v>
      </c>
      <c r="B438" s="249" t="s">
        <v>34</v>
      </c>
      <c r="C438" s="170" t="s">
        <v>2111</v>
      </c>
      <c r="D438" s="268" t="s">
        <v>495</v>
      </c>
      <c r="E438" s="252">
        <v>44264.0</v>
      </c>
      <c r="F438" s="250" t="s">
        <v>627</v>
      </c>
      <c r="G438" s="171">
        <v>200.0</v>
      </c>
      <c r="H438" s="171">
        <v>30000.0</v>
      </c>
      <c r="I438" s="171">
        <v>1000.0</v>
      </c>
      <c r="J438" s="172">
        <f t="shared" si="2"/>
        <v>0.0147751572</v>
      </c>
      <c r="K438" s="269">
        <f t="shared" si="16"/>
        <v>15.26766244</v>
      </c>
      <c r="L438" s="270">
        <f t="shared" si="4"/>
        <v>4.281374452</v>
      </c>
      <c r="M438" s="271" t="str">
        <f t="shared" si="5"/>
        <v>xgabi</v>
      </c>
      <c r="N438" s="176">
        <f>IFERROR(__xludf.DUMMYFUNCTION("""COMPUTED_VALUE"""),2.0)</f>
        <v>2</v>
      </c>
      <c r="O438" s="176"/>
      <c r="P438" s="249" t="s">
        <v>34</v>
      </c>
      <c r="Q438" s="249" t="s">
        <v>34</v>
      </c>
      <c r="R438" s="176"/>
      <c r="S438" s="176"/>
      <c r="T438" s="176"/>
      <c r="U438" s="176"/>
      <c r="V438" s="176"/>
      <c r="W438" s="176"/>
      <c r="X438" s="176"/>
      <c r="Y438" s="176"/>
      <c r="Z438" s="176"/>
    </row>
    <row r="439">
      <c r="A439" s="267" t="str">
        <f>iferror(VLOOKUP(P439,'DO NOT TOUCH Imported'!$A$1:$D$800,4,False),iferror(VLOOKUP(P439,'DO NOT TOUCH Imported'!$C$1:$D$800,2,False),"OOPS FIX ME"))</f>
        <v>xgabi</v>
      </c>
      <c r="B439" s="249" t="s">
        <v>10</v>
      </c>
      <c r="C439" s="219" t="s">
        <v>2112</v>
      </c>
      <c r="D439" s="268" t="s">
        <v>495</v>
      </c>
      <c r="E439" s="252">
        <v>44267.0</v>
      </c>
      <c r="F439" s="250" t="s">
        <v>496</v>
      </c>
      <c r="G439" s="171">
        <v>100.0</v>
      </c>
      <c r="H439" s="171">
        <v>2500.0</v>
      </c>
      <c r="I439" s="171">
        <v>2000.0</v>
      </c>
      <c r="J439" s="172">
        <f t="shared" si="2"/>
        <v>0.007041307104</v>
      </c>
      <c r="K439" s="269">
        <f t="shared" si="16"/>
        <v>7.276017341</v>
      </c>
      <c r="L439" s="270">
        <f t="shared" si="4"/>
        <v>4.281374452</v>
      </c>
      <c r="M439" s="271" t="str">
        <f t="shared" si="5"/>
        <v>xgabi</v>
      </c>
      <c r="N439" s="176">
        <f>IFERROR(__xludf.DUMMYFUNCTION("""COMPUTED_VALUE"""),3.0)</f>
        <v>3</v>
      </c>
      <c r="O439" s="176"/>
      <c r="P439" s="249" t="s">
        <v>34</v>
      </c>
      <c r="Q439" s="249" t="s">
        <v>10</v>
      </c>
      <c r="R439" s="176"/>
      <c r="S439" s="176"/>
      <c r="T439" s="176"/>
      <c r="U439" s="176"/>
      <c r="V439" s="176"/>
      <c r="W439" s="176"/>
      <c r="X439" s="176"/>
      <c r="Y439" s="176"/>
      <c r="Z439" s="176"/>
    </row>
    <row r="440">
      <c r="A440" s="185" t="s">
        <v>34</v>
      </c>
      <c r="B440" s="185" t="s">
        <v>534</v>
      </c>
      <c r="C440" s="210" t="s">
        <v>646</v>
      </c>
      <c r="D440" s="187"/>
      <c r="E440" s="188"/>
      <c r="F440" s="189"/>
      <c r="G440" s="190"/>
      <c r="H440" s="190"/>
      <c r="I440" s="190"/>
      <c r="J440" s="191">
        <f t="shared" si="2"/>
        <v>0</v>
      </c>
      <c r="K440" s="192">
        <f>28.54*-0.85</f>
        <v>-24.259</v>
      </c>
      <c r="L440" s="193">
        <f t="shared" si="4"/>
        <v>4.281374452</v>
      </c>
      <c r="M440" s="194" t="str">
        <f t="shared" si="5"/>
        <v>xgabi</v>
      </c>
      <c r="N440" s="211">
        <f>IFERROR(__xludf.DUMMYFUNCTION("""COMPUTED_VALUE"""),4.0)</f>
        <v>4</v>
      </c>
      <c r="O440" s="195"/>
      <c r="P440" s="212" t="s">
        <v>6</v>
      </c>
      <c r="Q440" s="185" t="s">
        <v>534</v>
      </c>
      <c r="R440" s="195">
        <v>57.049855624848725</v>
      </c>
      <c r="S440" s="195"/>
      <c r="T440" s="195"/>
      <c r="U440" s="195"/>
      <c r="V440" s="195"/>
      <c r="W440" s="195"/>
      <c r="X440" s="195"/>
      <c r="Y440" s="195"/>
      <c r="Z440" s="195"/>
    </row>
    <row r="441">
      <c r="A441" s="267" t="str">
        <f>iferror(VLOOKUP(P441,'DO NOT TOUCH Imported'!$A$1:$D$800,4,False),iferror(VLOOKUP(P441,'DO NOT TOUCH Imported'!$C$1:$D$800,2,False),"OOPS FIX ME"))</f>
        <v>ManuAlzuru</v>
      </c>
      <c r="B441" s="272" t="s">
        <v>2113</v>
      </c>
      <c r="C441" s="273" t="s">
        <v>2114</v>
      </c>
      <c r="D441" s="274" t="s">
        <v>499</v>
      </c>
      <c r="E441" s="275">
        <v>44263.0</v>
      </c>
      <c r="F441" s="274" t="s">
        <v>1646</v>
      </c>
      <c r="G441" s="171">
        <v>50.0</v>
      </c>
      <c r="H441" s="171">
        <v>2500.0</v>
      </c>
      <c r="I441" s="171">
        <v>1000.0</v>
      </c>
      <c r="J441" s="172">
        <f t="shared" si="2"/>
        <v>0.003904501241</v>
      </c>
      <c r="K441" s="269">
        <f t="shared" ref="K441:K453" si="17">J441*$J$1</f>
        <v>4.034651282</v>
      </c>
      <c r="L441" s="270">
        <f t="shared" si="4"/>
        <v>4.034651282</v>
      </c>
      <c r="M441" s="271" t="str">
        <f t="shared" si="5"/>
        <v>ManuAlzuru</v>
      </c>
      <c r="N441" s="176">
        <f>IFERROR(__xludf.DUMMYFUNCTION("""COMPUTED_VALUE"""),1.0)</f>
        <v>1</v>
      </c>
      <c r="O441" s="176"/>
      <c r="P441" s="267" t="s">
        <v>2115</v>
      </c>
      <c r="Q441" s="272" t="s">
        <v>2113</v>
      </c>
      <c r="R441" s="176"/>
      <c r="S441" s="176"/>
      <c r="T441" s="176"/>
      <c r="U441" s="176"/>
      <c r="V441" s="176"/>
      <c r="W441" s="176"/>
      <c r="X441" s="176"/>
      <c r="Y441" s="176"/>
      <c r="Z441" s="176"/>
    </row>
    <row r="442">
      <c r="A442" s="267" t="str">
        <f>iferror(VLOOKUP(P442,'DO NOT TOUCH Imported'!$A$1:$D$800,4,False),iferror(VLOOKUP(P442,'DO NOT TOUCH Imported'!$C$1:$D$800,2,False),"OOPS FIX ME"))</f>
        <v>VitorMarthendal</v>
      </c>
      <c r="B442" s="249" t="s">
        <v>845</v>
      </c>
      <c r="C442" s="219" t="s">
        <v>2116</v>
      </c>
      <c r="D442" s="268" t="s">
        <v>495</v>
      </c>
      <c r="E442" s="252">
        <v>44256.0</v>
      </c>
      <c r="F442" s="250" t="s">
        <v>496</v>
      </c>
      <c r="G442" s="171">
        <v>50.0</v>
      </c>
      <c r="H442" s="171">
        <v>1500.0</v>
      </c>
      <c r="I442" s="171">
        <v>600.0</v>
      </c>
      <c r="J442" s="172">
        <f t="shared" si="2"/>
        <v>0.002666168317</v>
      </c>
      <c r="K442" s="269">
        <f t="shared" si="17"/>
        <v>2.755040594</v>
      </c>
      <c r="L442" s="270">
        <f t="shared" si="4"/>
        <v>3.938758856</v>
      </c>
      <c r="M442" s="271" t="str">
        <f t="shared" si="5"/>
        <v>VitorMarthendal</v>
      </c>
      <c r="N442" s="176">
        <f>IFERROR(__xludf.DUMMYFUNCTION("""COMPUTED_VALUE"""),1.0)</f>
        <v>1</v>
      </c>
      <c r="O442" s="176"/>
      <c r="P442" s="249" t="s">
        <v>35</v>
      </c>
      <c r="Q442" s="249" t="s">
        <v>845</v>
      </c>
      <c r="R442" s="176"/>
      <c r="S442" s="176"/>
      <c r="T442" s="176"/>
      <c r="U442" s="176"/>
      <c r="V442" s="176"/>
      <c r="W442" s="176"/>
      <c r="X442" s="176"/>
      <c r="Y442" s="176"/>
      <c r="Z442" s="176"/>
    </row>
    <row r="443">
      <c r="A443" s="267" t="str">
        <f>iferror(VLOOKUP(P443,'DO NOT TOUCH Imported'!$A$1:$D$800,4,False),iferror(VLOOKUP(P443,'DO NOT TOUCH Imported'!$C$1:$D$800,2,False),"OOPS FIX ME"))</f>
        <v>VitorMarthendal</v>
      </c>
      <c r="B443" s="249" t="s">
        <v>519</v>
      </c>
      <c r="C443" s="219" t="s">
        <v>2000</v>
      </c>
      <c r="D443" s="268" t="s">
        <v>495</v>
      </c>
      <c r="E443" s="252">
        <v>44258.0</v>
      </c>
      <c r="F443" s="250" t="s">
        <v>521</v>
      </c>
      <c r="G443" s="171">
        <v>50.0</v>
      </c>
      <c r="H443" s="171">
        <v>1000.0</v>
      </c>
      <c r="I443" s="171">
        <v>200.0</v>
      </c>
      <c r="J443" s="172">
        <f t="shared" si="2"/>
        <v>0.001581374469</v>
      </c>
      <c r="K443" s="269">
        <f t="shared" si="17"/>
        <v>1.634086951</v>
      </c>
      <c r="L443" s="270">
        <f t="shared" si="4"/>
        <v>3.938758856</v>
      </c>
      <c r="M443" s="271" t="str">
        <f t="shared" si="5"/>
        <v>VitorMarthendal</v>
      </c>
      <c r="N443" s="176">
        <f>IFERROR(__xludf.DUMMYFUNCTION("""COMPUTED_VALUE"""),2.0)</f>
        <v>2</v>
      </c>
      <c r="O443" s="176"/>
      <c r="P443" s="249" t="s">
        <v>35</v>
      </c>
      <c r="Q443" s="249" t="s">
        <v>519</v>
      </c>
      <c r="R443" s="176"/>
      <c r="S443" s="176"/>
      <c r="T443" s="176"/>
      <c r="U443" s="176"/>
      <c r="V443" s="176"/>
      <c r="W443" s="176"/>
      <c r="X443" s="176"/>
      <c r="Y443" s="176"/>
      <c r="Z443" s="176"/>
    </row>
    <row r="444">
      <c r="A444" s="267" t="str">
        <f>iferror(VLOOKUP(P444,'DO NOT TOUCH Imported'!$A$1:$D$800,4,False),iferror(VLOOKUP(P444,'DO NOT TOUCH Imported'!$C$1:$D$800,2,False),"OOPS FIX ME"))</f>
        <v>VitorMarthendal</v>
      </c>
      <c r="B444" s="249" t="s">
        <v>10</v>
      </c>
      <c r="C444" s="219" t="s">
        <v>2005</v>
      </c>
      <c r="D444" s="268" t="s">
        <v>495</v>
      </c>
      <c r="E444" s="252">
        <v>44260.0</v>
      </c>
      <c r="F444" s="250" t="s">
        <v>496</v>
      </c>
      <c r="G444" s="171">
        <v>50.0</v>
      </c>
      <c r="H444" s="171">
        <v>1000.0</v>
      </c>
      <c r="I444" s="171">
        <v>600.0</v>
      </c>
      <c r="J444" s="172">
        <f t="shared" si="2"/>
        <v>0.002512629241</v>
      </c>
      <c r="K444" s="269">
        <f t="shared" si="17"/>
        <v>2.596383549</v>
      </c>
      <c r="L444" s="270">
        <f t="shared" si="4"/>
        <v>3.938758856</v>
      </c>
      <c r="M444" s="271" t="str">
        <f t="shared" si="5"/>
        <v>VitorMarthendal</v>
      </c>
      <c r="N444" s="176">
        <f>IFERROR(__xludf.DUMMYFUNCTION("""COMPUTED_VALUE"""),3.0)</f>
        <v>3</v>
      </c>
      <c r="O444" s="176"/>
      <c r="P444" s="249" t="s">
        <v>35</v>
      </c>
      <c r="Q444" s="249" t="s">
        <v>10</v>
      </c>
      <c r="R444" s="176"/>
      <c r="S444" s="176"/>
      <c r="T444" s="176"/>
      <c r="U444" s="176"/>
      <c r="V444" s="176"/>
      <c r="W444" s="176"/>
      <c r="X444" s="176"/>
      <c r="Y444" s="176"/>
      <c r="Z444" s="176"/>
    </row>
    <row r="445">
      <c r="A445" s="267" t="str">
        <f>iferror(VLOOKUP(P445,'DO NOT TOUCH Imported'!$A$1:$D$800,4,False),iferror(VLOOKUP(P445,'DO NOT TOUCH Imported'!$C$1:$D$800,2,False),"OOPS FIX ME"))</f>
        <v>VitorMarthendal</v>
      </c>
      <c r="B445" s="249" t="s">
        <v>10</v>
      </c>
      <c r="C445" s="219" t="s">
        <v>498</v>
      </c>
      <c r="D445" s="268" t="s">
        <v>495</v>
      </c>
      <c r="E445" s="252">
        <v>44260.0</v>
      </c>
      <c r="F445" s="250" t="s">
        <v>499</v>
      </c>
      <c r="G445" s="171">
        <v>35.0</v>
      </c>
      <c r="H445" s="171">
        <v>500.0</v>
      </c>
      <c r="I445" s="171">
        <v>40.0</v>
      </c>
      <c r="J445" s="172">
        <f t="shared" si="2"/>
        <v>0.0008127328046</v>
      </c>
      <c r="K445" s="269">
        <f t="shared" si="17"/>
        <v>0.8398238981</v>
      </c>
      <c r="L445" s="270">
        <f t="shared" si="4"/>
        <v>3.938758856</v>
      </c>
      <c r="M445" s="271" t="str">
        <f t="shared" si="5"/>
        <v>VitorMarthendal</v>
      </c>
      <c r="N445" s="176">
        <f>IFERROR(__xludf.DUMMYFUNCTION("""COMPUTED_VALUE"""),4.0)</f>
        <v>4</v>
      </c>
      <c r="O445" s="176"/>
      <c r="P445" s="249" t="s">
        <v>35</v>
      </c>
      <c r="Q445" s="249" t="s">
        <v>10</v>
      </c>
      <c r="R445" s="176"/>
      <c r="S445" s="176"/>
      <c r="T445" s="176"/>
      <c r="U445" s="176"/>
      <c r="V445" s="176"/>
      <c r="W445" s="176"/>
      <c r="X445" s="176"/>
      <c r="Y445" s="176"/>
      <c r="Z445" s="176"/>
    </row>
    <row r="446">
      <c r="A446" s="267" t="str">
        <f>iferror(VLOOKUP(P446,'DO NOT TOUCH Imported'!$A$1:$D$800,4,False),iferror(VLOOKUP(P446,'DO NOT TOUCH Imported'!$C$1:$D$800,2,False),"OOPS FIX ME"))</f>
        <v>VitorMarthendal</v>
      </c>
      <c r="B446" s="272" t="s">
        <v>48</v>
      </c>
      <c r="C446" s="273" t="s">
        <v>2006</v>
      </c>
      <c r="D446" s="274" t="s">
        <v>437</v>
      </c>
      <c r="E446" s="275">
        <v>44264.0</v>
      </c>
      <c r="F446" s="274" t="s">
        <v>1929</v>
      </c>
      <c r="G446" s="171">
        <v>45.0</v>
      </c>
      <c r="H446" s="171">
        <v>1000.0</v>
      </c>
      <c r="I446" s="171">
        <v>1200.0</v>
      </c>
      <c r="J446" s="172">
        <f t="shared" si="2"/>
        <v>0.003828644507</v>
      </c>
      <c r="K446" s="269">
        <f t="shared" si="17"/>
        <v>3.956265991</v>
      </c>
      <c r="L446" s="270">
        <f t="shared" si="4"/>
        <v>3.938758856</v>
      </c>
      <c r="M446" s="271" t="str">
        <f t="shared" si="5"/>
        <v>VitorMarthendal</v>
      </c>
      <c r="N446" s="176">
        <f>IFERROR(__xludf.DUMMYFUNCTION("""COMPUTED_VALUE"""),5.0)</f>
        <v>5</v>
      </c>
      <c r="O446" s="176"/>
      <c r="P446" s="267" t="s">
        <v>690</v>
      </c>
      <c r="Q446" s="272" t="s">
        <v>48</v>
      </c>
      <c r="R446" s="176"/>
      <c r="S446" s="176"/>
      <c r="T446" s="176"/>
      <c r="U446" s="176"/>
      <c r="V446" s="176"/>
      <c r="W446" s="176"/>
      <c r="X446" s="176"/>
      <c r="Y446" s="176"/>
      <c r="Z446" s="176"/>
    </row>
    <row r="447">
      <c r="A447" s="267" t="str">
        <f>iferror(VLOOKUP(P447,'DO NOT TOUCH Imported'!$A$1:$D$800,4,False),iferror(VLOOKUP(P447,'DO NOT TOUCH Imported'!$C$1:$D$800,2,False),"OOPS FIX ME"))</f>
        <v>VitorMarthendal</v>
      </c>
      <c r="B447" s="249" t="s">
        <v>519</v>
      </c>
      <c r="C447" s="219" t="s">
        <v>668</v>
      </c>
      <c r="D447" s="268" t="s">
        <v>495</v>
      </c>
      <c r="E447" s="252">
        <v>44265.0</v>
      </c>
      <c r="F447" s="250" t="s">
        <v>521</v>
      </c>
      <c r="G447" s="171">
        <v>25.0</v>
      </c>
      <c r="H447" s="171">
        <v>1000.0</v>
      </c>
      <c r="I447" s="171">
        <v>300.0</v>
      </c>
      <c r="J447" s="172">
        <f t="shared" si="2"/>
        <v>0.001409853696</v>
      </c>
      <c r="K447" s="269">
        <f t="shared" si="17"/>
        <v>1.45684882</v>
      </c>
      <c r="L447" s="270">
        <f t="shared" si="4"/>
        <v>3.938758856</v>
      </c>
      <c r="M447" s="271" t="str">
        <f t="shared" si="5"/>
        <v>VitorMarthendal</v>
      </c>
      <c r="N447" s="176">
        <f>IFERROR(__xludf.DUMMYFUNCTION("""COMPUTED_VALUE"""),6.0)</f>
        <v>6</v>
      </c>
      <c r="O447" s="176"/>
      <c r="P447" s="249" t="s">
        <v>35</v>
      </c>
      <c r="Q447" s="249" t="s">
        <v>519</v>
      </c>
      <c r="R447" s="176"/>
      <c r="S447" s="176"/>
      <c r="T447" s="176"/>
      <c r="U447" s="176"/>
      <c r="V447" s="176"/>
      <c r="W447" s="176"/>
      <c r="X447" s="176"/>
      <c r="Y447" s="176"/>
      <c r="Z447" s="176"/>
    </row>
    <row r="448">
      <c r="A448" s="267" t="str">
        <f>iferror(VLOOKUP(P448,'DO NOT TOUCH Imported'!$A$1:$D$800,4,False),iferror(VLOOKUP(P448,'DO NOT TOUCH Imported'!$C$1:$D$800,2,False),"OOPS FIX ME"))</f>
        <v>VitorMarthendal</v>
      </c>
      <c r="B448" s="249" t="s">
        <v>25</v>
      </c>
      <c r="C448" s="170" t="s">
        <v>2117</v>
      </c>
      <c r="D448" s="268" t="s">
        <v>495</v>
      </c>
      <c r="E448" s="252">
        <v>44266.0</v>
      </c>
      <c r="F448" s="250" t="s">
        <v>496</v>
      </c>
      <c r="G448" s="171">
        <v>25.0</v>
      </c>
      <c r="H448" s="171">
        <v>1000.0</v>
      </c>
      <c r="I448" s="171">
        <v>400.0</v>
      </c>
      <c r="J448" s="172">
        <f t="shared" si="2"/>
        <v>0.00164266739</v>
      </c>
      <c r="K448" s="269">
        <f t="shared" si="17"/>
        <v>1.697422969</v>
      </c>
      <c r="L448" s="270">
        <f t="shared" si="4"/>
        <v>3.938758856</v>
      </c>
      <c r="M448" s="271" t="str">
        <f t="shared" si="5"/>
        <v>VitorMarthendal</v>
      </c>
      <c r="N448" s="176">
        <f>IFERROR(__xludf.DUMMYFUNCTION("""COMPUTED_VALUE"""),7.0)</f>
        <v>7</v>
      </c>
      <c r="O448" s="176"/>
      <c r="P448" s="249" t="s">
        <v>35</v>
      </c>
      <c r="Q448" s="249" t="s">
        <v>25</v>
      </c>
      <c r="R448" s="176"/>
      <c r="S448" s="176"/>
      <c r="T448" s="176"/>
      <c r="U448" s="176"/>
      <c r="V448" s="176"/>
      <c r="W448" s="176"/>
      <c r="X448" s="176"/>
      <c r="Y448" s="176"/>
      <c r="Z448" s="176"/>
    </row>
    <row r="449">
      <c r="A449" s="267" t="str">
        <f>iferror(VLOOKUP(P449,'DO NOT TOUCH Imported'!$A$1:$D$800,4,False),iferror(VLOOKUP(P449,'DO NOT TOUCH Imported'!$C$1:$D$800,2,False),"OOPS FIX ME"))</f>
        <v>VitorMarthendal</v>
      </c>
      <c r="B449" s="249" t="s">
        <v>519</v>
      </c>
      <c r="C449" s="219" t="s">
        <v>2118</v>
      </c>
      <c r="D449" s="268" t="s">
        <v>495</v>
      </c>
      <c r="E449" s="252">
        <v>44266.0</v>
      </c>
      <c r="F449" s="250" t="s">
        <v>521</v>
      </c>
      <c r="G449" s="171">
        <v>50.0</v>
      </c>
      <c r="H449" s="171">
        <v>5000.0</v>
      </c>
      <c r="I449" s="171">
        <v>600.0</v>
      </c>
      <c r="J449" s="172">
        <f t="shared" si="2"/>
        <v>0.003740941847</v>
      </c>
      <c r="K449" s="269">
        <f t="shared" si="17"/>
        <v>3.865639908</v>
      </c>
      <c r="L449" s="270">
        <f t="shared" si="4"/>
        <v>3.938758856</v>
      </c>
      <c r="M449" s="271" t="str">
        <f t="shared" si="5"/>
        <v>VitorMarthendal</v>
      </c>
      <c r="N449" s="176">
        <f>IFERROR(__xludf.DUMMYFUNCTION("""COMPUTED_VALUE"""),8.0)</f>
        <v>8</v>
      </c>
      <c r="O449" s="176"/>
      <c r="P449" s="249" t="s">
        <v>35</v>
      </c>
      <c r="Q449" s="249" t="s">
        <v>519</v>
      </c>
      <c r="R449" s="176"/>
      <c r="S449" s="176"/>
      <c r="T449" s="176"/>
      <c r="U449" s="176"/>
      <c r="V449" s="176"/>
      <c r="W449" s="176"/>
      <c r="X449" s="176"/>
      <c r="Y449" s="176"/>
      <c r="Z449" s="176"/>
    </row>
    <row r="450">
      <c r="A450" s="267" t="str">
        <f>iferror(VLOOKUP(P450,'DO NOT TOUCH Imported'!$A$1:$D$800,4,False),iferror(VLOOKUP(P450,'DO NOT TOUCH Imported'!$C$1:$D$800,2,False),"OOPS FIX ME"))</f>
        <v>VitorMarthendal</v>
      </c>
      <c r="B450" s="272" t="s">
        <v>10</v>
      </c>
      <c r="C450" s="273" t="s">
        <v>2007</v>
      </c>
      <c r="D450" s="274" t="s">
        <v>437</v>
      </c>
      <c r="E450" s="306">
        <v>44267.0</v>
      </c>
      <c r="F450" s="274" t="s">
        <v>439</v>
      </c>
      <c r="G450" s="171">
        <v>50.0</v>
      </c>
      <c r="H450" s="171">
        <v>1000.0</v>
      </c>
      <c r="I450" s="171">
        <v>1000.0</v>
      </c>
      <c r="J450" s="172">
        <f t="shared" si="2"/>
        <v>0.003443884014</v>
      </c>
      <c r="K450" s="269">
        <f t="shared" si="17"/>
        <v>3.558680148</v>
      </c>
      <c r="L450" s="270">
        <f t="shared" si="4"/>
        <v>3.938758856</v>
      </c>
      <c r="M450" s="271" t="str">
        <f t="shared" si="5"/>
        <v>VitorMarthendal</v>
      </c>
      <c r="N450" s="176">
        <f>IFERROR(__xludf.DUMMYFUNCTION("""COMPUTED_VALUE"""),9.0)</f>
        <v>9</v>
      </c>
      <c r="O450" s="176"/>
      <c r="P450" s="267" t="s">
        <v>690</v>
      </c>
      <c r="Q450" s="272" t="s">
        <v>10</v>
      </c>
      <c r="R450" s="176"/>
      <c r="S450" s="176"/>
      <c r="T450" s="176"/>
      <c r="U450" s="176"/>
      <c r="V450" s="176"/>
      <c r="W450" s="176"/>
      <c r="X450" s="176"/>
      <c r="Y450" s="176"/>
      <c r="Z450" s="176"/>
    </row>
    <row r="451">
      <c r="A451" s="267" t="str">
        <f>iferror(VLOOKUP(P451,'DO NOT TOUCH Imported'!$A$1:$D$800,4,False),iferror(VLOOKUP(P451,'DO NOT TOUCH Imported'!$C$1:$D$800,2,False),"OOPS FIX ME"))</f>
        <v>VitorMarthendal</v>
      </c>
      <c r="B451" s="272" t="s">
        <v>10</v>
      </c>
      <c r="C451" s="273" t="s">
        <v>2119</v>
      </c>
      <c r="D451" s="274" t="s">
        <v>437</v>
      </c>
      <c r="E451" s="306">
        <v>44267.0</v>
      </c>
      <c r="F451" s="274" t="s">
        <v>439</v>
      </c>
      <c r="G451" s="171">
        <v>35.0</v>
      </c>
      <c r="H451" s="171">
        <v>1000.0</v>
      </c>
      <c r="I451" s="171">
        <v>400.0</v>
      </c>
      <c r="J451" s="172">
        <f t="shared" si="2"/>
        <v>0.001804401176</v>
      </c>
      <c r="K451" s="269">
        <f t="shared" si="17"/>
        <v>1.864547882</v>
      </c>
      <c r="L451" s="270">
        <f t="shared" si="4"/>
        <v>3.938758856</v>
      </c>
      <c r="M451" s="271" t="str">
        <f t="shared" si="5"/>
        <v>VitorMarthendal</v>
      </c>
      <c r="N451" s="176">
        <f>IFERROR(__xludf.DUMMYFUNCTION("""COMPUTED_VALUE"""),10.0)</f>
        <v>10</v>
      </c>
      <c r="O451" s="176"/>
      <c r="P451" s="267" t="s">
        <v>690</v>
      </c>
      <c r="Q451" s="272" t="s">
        <v>10</v>
      </c>
      <c r="R451" s="176"/>
      <c r="S451" s="176"/>
      <c r="T451" s="176"/>
      <c r="U451" s="176"/>
      <c r="V451" s="176"/>
      <c r="W451" s="176"/>
      <c r="X451" s="176"/>
      <c r="Y451" s="176"/>
      <c r="Z451" s="176"/>
    </row>
    <row r="452">
      <c r="A452" s="267" t="str">
        <f>iferror(VLOOKUP(P452,'DO NOT TOUCH Imported'!$A$1:$D$800,4,False),iferror(VLOOKUP(P452,'DO NOT TOUCH Imported'!$C$1:$D$800,2,False),"OOPS FIX ME"))</f>
        <v>VitorMarthendal</v>
      </c>
      <c r="B452" s="249" t="s">
        <v>10</v>
      </c>
      <c r="C452" s="219" t="s">
        <v>498</v>
      </c>
      <c r="D452" s="268" t="s">
        <v>495</v>
      </c>
      <c r="E452" s="252">
        <v>44267.0</v>
      </c>
      <c r="F452" s="250" t="s">
        <v>499</v>
      </c>
      <c r="G452" s="171">
        <v>25.0</v>
      </c>
      <c r="H452" s="171">
        <v>500.0</v>
      </c>
      <c r="I452" s="171">
        <v>100.0</v>
      </c>
      <c r="J452" s="172">
        <f t="shared" si="2"/>
        <v>0.0007906872343</v>
      </c>
      <c r="K452" s="269">
        <f t="shared" si="17"/>
        <v>0.8170434755</v>
      </c>
      <c r="L452" s="270">
        <f t="shared" si="4"/>
        <v>3.938758856</v>
      </c>
      <c r="M452" s="271" t="str">
        <f t="shared" si="5"/>
        <v>VitorMarthendal</v>
      </c>
      <c r="N452" s="176">
        <f>IFERROR(__xludf.DUMMYFUNCTION("""COMPUTED_VALUE"""),11.0)</f>
        <v>11</v>
      </c>
      <c r="O452" s="176"/>
      <c r="P452" s="249" t="s">
        <v>35</v>
      </c>
      <c r="Q452" s="249" t="s">
        <v>10</v>
      </c>
      <c r="R452" s="176"/>
      <c r="S452" s="176"/>
      <c r="T452" s="176"/>
      <c r="U452" s="176"/>
      <c r="V452" s="176"/>
      <c r="W452" s="176"/>
      <c r="X452" s="176"/>
      <c r="Y452" s="176"/>
      <c r="Z452" s="176"/>
    </row>
    <row r="453">
      <c r="A453" s="267" t="str">
        <f>iferror(VLOOKUP(P453,'DO NOT TOUCH Imported'!$A$1:$D$800,4,False),iferror(VLOOKUP(P453,'DO NOT TOUCH Imported'!$C$1:$D$800,2,False),"OOPS FIX ME"))</f>
        <v>VitorMarthendal</v>
      </c>
      <c r="B453" s="249" t="s">
        <v>10</v>
      </c>
      <c r="C453" s="219" t="s">
        <v>2066</v>
      </c>
      <c r="D453" s="268" t="s">
        <v>495</v>
      </c>
      <c r="E453" s="252">
        <v>44267.0</v>
      </c>
      <c r="F453" s="250" t="s">
        <v>496</v>
      </c>
      <c r="G453" s="171">
        <v>25.0</v>
      </c>
      <c r="H453" s="171">
        <v>1000.0</v>
      </c>
      <c r="I453" s="171">
        <v>200.0</v>
      </c>
      <c r="J453" s="172">
        <f t="shared" si="2"/>
        <v>0.001177040003</v>
      </c>
      <c r="K453" s="269">
        <f t="shared" si="17"/>
        <v>1.21627467</v>
      </c>
      <c r="L453" s="270">
        <f t="shared" si="4"/>
        <v>3.938758856</v>
      </c>
      <c r="M453" s="271" t="str">
        <f t="shared" si="5"/>
        <v>VitorMarthendal</v>
      </c>
      <c r="N453" s="176">
        <f>IFERROR(__xludf.DUMMYFUNCTION("""COMPUTED_VALUE"""),12.0)</f>
        <v>12</v>
      </c>
      <c r="O453" s="176"/>
      <c r="P453" s="249" t="s">
        <v>35</v>
      </c>
      <c r="Q453" s="249" t="s">
        <v>10</v>
      </c>
      <c r="R453" s="176"/>
      <c r="S453" s="176"/>
      <c r="T453" s="176"/>
      <c r="U453" s="176"/>
      <c r="V453" s="176"/>
      <c r="W453" s="176"/>
      <c r="X453" s="176"/>
      <c r="Y453" s="176"/>
      <c r="Z453" s="176"/>
    </row>
    <row r="454">
      <c r="A454" s="185" t="str">
        <f>iferror(VLOOKUP(P454,'DO NOT TOUCH Imported'!$A$1:$D$800,4,False),iferror(VLOOKUP(P454,'DO NOT TOUCH Imported'!$C$1:$D$800,2,False),"OOPS FIX ME"))</f>
        <v>VitorMarthendal</v>
      </c>
      <c r="B454" s="196" t="s">
        <v>534</v>
      </c>
      <c r="C454" s="216" t="s">
        <v>693</v>
      </c>
      <c r="D454" s="212"/>
      <c r="E454" s="214"/>
      <c r="F454" s="212"/>
      <c r="G454" s="196"/>
      <c r="H454" s="196"/>
      <c r="I454" s="196"/>
      <c r="J454" s="191">
        <f t="shared" si="2"/>
        <v>0</v>
      </c>
      <c r="K454" s="192">
        <f>26.258*-0.85</f>
        <v>-22.3193</v>
      </c>
      <c r="L454" s="193">
        <f t="shared" si="4"/>
        <v>3.938758856</v>
      </c>
      <c r="M454" s="194" t="str">
        <f t="shared" si="5"/>
        <v>VitorMarthendal</v>
      </c>
      <c r="N454" s="217">
        <f>IFERROR(__xludf.DUMMYFUNCTION("""COMPUTED_VALUE"""),13.0)</f>
        <v>13</v>
      </c>
      <c r="O454" s="212"/>
      <c r="P454" s="196" t="s">
        <v>35</v>
      </c>
      <c r="Q454" s="196" t="s">
        <v>534</v>
      </c>
      <c r="R454" s="187">
        <v>57.049855624848725</v>
      </c>
      <c r="S454" s="212"/>
      <c r="T454" s="212"/>
      <c r="U454" s="212"/>
      <c r="V454" s="212"/>
      <c r="W454" s="212"/>
      <c r="X454" s="212"/>
      <c r="Y454" s="212"/>
      <c r="Z454" s="212"/>
    </row>
    <row r="455">
      <c r="A455" s="267" t="str">
        <f>iferror(VLOOKUP(P455,'DO NOT TOUCH Imported'!$A$1:$D$800,4,False),iferror(VLOOKUP(P455,'DO NOT TOUCH Imported'!$C$1:$D$800,2,False),"OOPS FIX ME"))</f>
        <v>naynaysoo</v>
      </c>
      <c r="B455" s="272" t="s">
        <v>43</v>
      </c>
      <c r="C455" s="273" t="s">
        <v>2120</v>
      </c>
      <c r="D455" s="274" t="s">
        <v>437</v>
      </c>
      <c r="E455" s="275">
        <v>44257.0</v>
      </c>
      <c r="F455" s="274" t="s">
        <v>1929</v>
      </c>
      <c r="G455" s="171">
        <v>100.0</v>
      </c>
      <c r="H455" s="171">
        <v>5000.0</v>
      </c>
      <c r="I455" s="171">
        <v>500.0</v>
      </c>
      <c r="J455" s="172">
        <f t="shared" si="2"/>
        <v>0.004316797085</v>
      </c>
      <c r="K455" s="269">
        <f t="shared" ref="K455:K471" si="18">J455*$J$1</f>
        <v>4.460690321</v>
      </c>
      <c r="L455" s="270">
        <f t="shared" si="4"/>
        <v>3.933219585</v>
      </c>
      <c r="M455" s="271" t="str">
        <f t="shared" si="5"/>
        <v>naynaysoo</v>
      </c>
      <c r="N455" s="176">
        <f>IFERROR(__xludf.DUMMYFUNCTION("""COMPUTED_VALUE"""),1.0)</f>
        <v>1</v>
      </c>
      <c r="O455" s="176"/>
      <c r="P455" s="267" t="s">
        <v>528</v>
      </c>
      <c r="Q455" s="272" t="s">
        <v>43</v>
      </c>
      <c r="R455" s="176"/>
      <c r="S455" s="176"/>
      <c r="T455" s="176"/>
      <c r="U455" s="176"/>
      <c r="V455" s="176"/>
      <c r="W455" s="176"/>
      <c r="X455" s="176"/>
      <c r="Y455" s="176"/>
      <c r="Z455" s="176"/>
    </row>
    <row r="456">
      <c r="A456" s="267" t="str">
        <f>iferror(VLOOKUP(P456,'DO NOT TOUCH Imported'!$A$1:$D$800,4,False),iferror(VLOOKUP(P456,'DO NOT TOUCH Imported'!$C$1:$D$800,2,False),"OOPS FIX ME"))</f>
        <v>naynaysoo</v>
      </c>
      <c r="B456" s="249" t="s">
        <v>18</v>
      </c>
      <c r="C456" s="219" t="s">
        <v>1930</v>
      </c>
      <c r="D456" s="268" t="s">
        <v>495</v>
      </c>
      <c r="E456" s="252">
        <v>44257.0</v>
      </c>
      <c r="F456" s="250" t="s">
        <v>496</v>
      </c>
      <c r="G456" s="171">
        <v>25.0</v>
      </c>
      <c r="H456" s="171">
        <v>1000.0</v>
      </c>
      <c r="I456" s="171">
        <v>10.0</v>
      </c>
      <c r="J456" s="172">
        <f t="shared" si="2"/>
        <v>0.0007346939862</v>
      </c>
      <c r="K456" s="269">
        <f t="shared" si="18"/>
        <v>0.7591837857</v>
      </c>
      <c r="L456" s="270">
        <f t="shared" si="4"/>
        <v>3.933219585</v>
      </c>
      <c r="M456" s="271" t="str">
        <f t="shared" si="5"/>
        <v>naynaysoo</v>
      </c>
      <c r="N456" s="176">
        <f>IFERROR(__xludf.DUMMYFUNCTION("""COMPUTED_VALUE"""),2.0)</f>
        <v>2</v>
      </c>
      <c r="O456" s="176"/>
      <c r="P456" s="249" t="s">
        <v>22</v>
      </c>
      <c r="Q456" s="249" t="s">
        <v>18</v>
      </c>
      <c r="R456" s="176"/>
      <c r="S456" s="176"/>
      <c r="T456" s="176"/>
      <c r="U456" s="176"/>
      <c r="V456" s="176"/>
      <c r="W456" s="176"/>
      <c r="X456" s="176"/>
      <c r="Y456" s="176"/>
      <c r="Z456" s="176"/>
    </row>
    <row r="457">
      <c r="A457" s="267" t="str">
        <f>iferror(VLOOKUP(P457,'DO NOT TOUCH Imported'!$A$1:$D$800,4,False),iferror(VLOOKUP(P457,'DO NOT TOUCH Imported'!$C$1:$D$800,2,False),"OOPS FIX ME"))</f>
        <v>naynaysoo</v>
      </c>
      <c r="B457" s="249" t="s">
        <v>18</v>
      </c>
      <c r="C457" s="219" t="s">
        <v>1932</v>
      </c>
      <c r="D457" s="268" t="s">
        <v>495</v>
      </c>
      <c r="E457" s="252">
        <v>44257.0</v>
      </c>
      <c r="F457" s="250" t="s">
        <v>496</v>
      </c>
      <c r="G457" s="171">
        <v>25.0</v>
      </c>
      <c r="H457" s="171">
        <v>1000.0</v>
      </c>
      <c r="I457" s="171">
        <v>100.0</v>
      </c>
      <c r="J457" s="172">
        <f t="shared" si="2"/>
        <v>0.00094422631</v>
      </c>
      <c r="K457" s="269">
        <f t="shared" si="18"/>
        <v>0.9757005204</v>
      </c>
      <c r="L457" s="270">
        <f t="shared" si="4"/>
        <v>3.933219585</v>
      </c>
      <c r="M457" s="271" t="str">
        <f t="shared" si="5"/>
        <v>naynaysoo</v>
      </c>
      <c r="N457" s="176">
        <f>IFERROR(__xludf.DUMMYFUNCTION("""COMPUTED_VALUE"""),3.0)</f>
        <v>3</v>
      </c>
      <c r="O457" s="176"/>
      <c r="P457" s="249" t="s">
        <v>22</v>
      </c>
      <c r="Q457" s="249" t="s">
        <v>18</v>
      </c>
      <c r="R457" s="176"/>
      <c r="S457" s="176"/>
      <c r="T457" s="176"/>
      <c r="U457" s="176"/>
      <c r="V457" s="176"/>
      <c r="W457" s="176"/>
      <c r="X457" s="176"/>
      <c r="Y457" s="176"/>
      <c r="Z457" s="176"/>
    </row>
    <row r="458">
      <c r="A458" s="267" t="str">
        <f>iferror(VLOOKUP(P458,'DO NOT TOUCH Imported'!$A$1:$D$800,4,False),iferror(VLOOKUP(P458,'DO NOT TOUCH Imported'!$C$1:$D$800,2,False),"OOPS FIX ME"))</f>
        <v>naynaysoo</v>
      </c>
      <c r="B458" s="249" t="s">
        <v>867</v>
      </c>
      <c r="C458" s="219" t="s">
        <v>2121</v>
      </c>
      <c r="D458" s="268" t="s">
        <v>495</v>
      </c>
      <c r="E458" s="252">
        <v>44258.0</v>
      </c>
      <c r="F458" s="250" t="s">
        <v>496</v>
      </c>
      <c r="G458" s="171">
        <v>50.0</v>
      </c>
      <c r="H458" s="171">
        <v>1000.0</v>
      </c>
      <c r="I458" s="171">
        <v>200.0</v>
      </c>
      <c r="J458" s="172">
        <f t="shared" si="2"/>
        <v>0.001581374469</v>
      </c>
      <c r="K458" s="269">
        <f t="shared" si="18"/>
        <v>1.634086951</v>
      </c>
      <c r="L458" s="270">
        <f t="shared" si="4"/>
        <v>3.933219585</v>
      </c>
      <c r="M458" s="271" t="str">
        <f t="shared" si="5"/>
        <v>naynaysoo</v>
      </c>
      <c r="N458" s="176">
        <f>IFERROR(__xludf.DUMMYFUNCTION("""COMPUTED_VALUE"""),4.0)</f>
        <v>4</v>
      </c>
      <c r="O458" s="176"/>
      <c r="P458" s="249" t="s">
        <v>22</v>
      </c>
      <c r="Q458" s="249" t="s">
        <v>867</v>
      </c>
      <c r="R458" s="176"/>
      <c r="S458" s="176"/>
      <c r="T458" s="176"/>
      <c r="U458" s="176"/>
      <c r="V458" s="176"/>
      <c r="W458" s="176"/>
      <c r="X458" s="176"/>
      <c r="Y458" s="176"/>
      <c r="Z458" s="176"/>
    </row>
    <row r="459">
      <c r="A459" s="267" t="str">
        <f>iferror(VLOOKUP(P459,'DO NOT TOUCH Imported'!$A$1:$D$800,4,False),iferror(VLOOKUP(P459,'DO NOT TOUCH Imported'!$C$1:$D$800,2,False),"OOPS FIX ME"))</f>
        <v>naynaysoo</v>
      </c>
      <c r="B459" s="272" t="s">
        <v>8</v>
      </c>
      <c r="C459" s="273" t="s">
        <v>1935</v>
      </c>
      <c r="D459" s="274" t="s">
        <v>437</v>
      </c>
      <c r="E459" s="275">
        <v>44259.0</v>
      </c>
      <c r="F459" s="274" t="s">
        <v>1929</v>
      </c>
      <c r="G459" s="171">
        <v>50.0</v>
      </c>
      <c r="H459" s="171">
        <v>1000.0</v>
      </c>
      <c r="I459" s="171">
        <v>100.0</v>
      </c>
      <c r="J459" s="172">
        <f t="shared" si="2"/>
        <v>0.001348560775</v>
      </c>
      <c r="K459" s="269">
        <f t="shared" si="18"/>
        <v>1.393512801</v>
      </c>
      <c r="L459" s="270">
        <f t="shared" si="4"/>
        <v>3.933219585</v>
      </c>
      <c r="M459" s="271" t="str">
        <f t="shared" si="5"/>
        <v>naynaysoo</v>
      </c>
      <c r="N459" s="176">
        <f>IFERROR(__xludf.DUMMYFUNCTION("""COMPUTED_VALUE"""),5.0)</f>
        <v>5</v>
      </c>
      <c r="O459" s="176"/>
      <c r="P459" s="267" t="s">
        <v>528</v>
      </c>
      <c r="Q459" s="272" t="s">
        <v>8</v>
      </c>
      <c r="R459" s="176"/>
      <c r="S459" s="176"/>
      <c r="T459" s="176"/>
      <c r="U459" s="176"/>
      <c r="V459" s="176"/>
      <c r="W459" s="176"/>
      <c r="X459" s="176"/>
      <c r="Y459" s="176"/>
      <c r="Z459" s="176"/>
    </row>
    <row r="460">
      <c r="A460" s="267" t="str">
        <f>iferror(VLOOKUP(P460,'DO NOT TOUCH Imported'!$A$1:$D$800,4,False),iferror(VLOOKUP(P460,'DO NOT TOUCH Imported'!$C$1:$D$800,2,False),"OOPS FIX ME"))</f>
        <v>naynaysoo</v>
      </c>
      <c r="B460" s="272" t="s">
        <v>10</v>
      </c>
      <c r="C460" s="273" t="s">
        <v>2028</v>
      </c>
      <c r="D460" s="274" t="s">
        <v>437</v>
      </c>
      <c r="E460" s="275">
        <v>44260.0</v>
      </c>
      <c r="F460" s="274" t="s">
        <v>1929</v>
      </c>
      <c r="G460" s="171">
        <v>35.0</v>
      </c>
      <c r="H460" s="171">
        <v>1500.0</v>
      </c>
      <c r="I460" s="171">
        <v>400.0</v>
      </c>
      <c r="J460" s="172">
        <f t="shared" si="2"/>
        <v>0.001957940251</v>
      </c>
      <c r="K460" s="269">
        <f t="shared" si="18"/>
        <v>2.023204926</v>
      </c>
      <c r="L460" s="270">
        <f t="shared" si="4"/>
        <v>3.933219585</v>
      </c>
      <c r="M460" s="271" t="str">
        <f t="shared" si="5"/>
        <v>naynaysoo</v>
      </c>
      <c r="N460" s="176">
        <f>IFERROR(__xludf.DUMMYFUNCTION("""COMPUTED_VALUE"""),6.0)</f>
        <v>6</v>
      </c>
      <c r="O460" s="176"/>
      <c r="P460" s="267" t="s">
        <v>528</v>
      </c>
      <c r="Q460" s="272" t="s">
        <v>10</v>
      </c>
      <c r="R460" s="176"/>
      <c r="S460" s="176"/>
      <c r="T460" s="176"/>
      <c r="U460" s="176"/>
      <c r="V460" s="176"/>
      <c r="W460" s="176"/>
      <c r="X460" s="176"/>
      <c r="Y460" s="176"/>
      <c r="Z460" s="176"/>
    </row>
    <row r="461">
      <c r="A461" s="267" t="str">
        <f>iferror(VLOOKUP(P461,'DO NOT TOUCH Imported'!$A$1:$D$800,4,False),iferror(VLOOKUP(P461,'DO NOT TOUCH Imported'!$C$1:$D$800,2,False),"OOPS FIX ME"))</f>
        <v>naynaysoo</v>
      </c>
      <c r="B461" s="272" t="s">
        <v>10</v>
      </c>
      <c r="C461" s="273" t="s">
        <v>2122</v>
      </c>
      <c r="D461" s="274" t="s">
        <v>437</v>
      </c>
      <c r="E461" s="275">
        <v>44260.0</v>
      </c>
      <c r="F461" s="274" t="s">
        <v>1929</v>
      </c>
      <c r="G461" s="171">
        <v>35.0</v>
      </c>
      <c r="H461" s="171">
        <v>1000.0</v>
      </c>
      <c r="I461" s="171">
        <v>400.0</v>
      </c>
      <c r="J461" s="172">
        <f t="shared" si="2"/>
        <v>0.001804401176</v>
      </c>
      <c r="K461" s="269">
        <f t="shared" si="18"/>
        <v>1.864547882</v>
      </c>
      <c r="L461" s="270">
        <f t="shared" si="4"/>
        <v>3.933219585</v>
      </c>
      <c r="M461" s="271" t="str">
        <f t="shared" si="5"/>
        <v>naynaysoo</v>
      </c>
      <c r="N461" s="176">
        <f>IFERROR(__xludf.DUMMYFUNCTION("""COMPUTED_VALUE"""),7.0)</f>
        <v>7</v>
      </c>
      <c r="O461" s="176"/>
      <c r="P461" s="267" t="s">
        <v>528</v>
      </c>
      <c r="Q461" s="272" t="s">
        <v>10</v>
      </c>
      <c r="R461" s="176"/>
      <c r="S461" s="176"/>
      <c r="T461" s="176"/>
      <c r="U461" s="176"/>
      <c r="V461" s="176"/>
      <c r="W461" s="176"/>
      <c r="X461" s="176"/>
      <c r="Y461" s="176"/>
      <c r="Z461" s="176"/>
    </row>
    <row r="462">
      <c r="A462" s="267" t="str">
        <f>iferror(VLOOKUP(P462,'DO NOT TOUCH Imported'!$A$1:$D$800,4,False),iferror(VLOOKUP(P462,'DO NOT TOUCH Imported'!$C$1:$D$800,2,False),"OOPS FIX ME"))</f>
        <v>naynaysoo</v>
      </c>
      <c r="B462" s="272" t="s">
        <v>10</v>
      </c>
      <c r="C462" s="273" t="s">
        <v>1970</v>
      </c>
      <c r="D462" s="274" t="s">
        <v>437</v>
      </c>
      <c r="E462" s="275">
        <v>44260.0</v>
      </c>
      <c r="F462" s="274" t="s">
        <v>1929</v>
      </c>
      <c r="G462" s="171">
        <v>100.0</v>
      </c>
      <c r="H462" s="171">
        <v>500.0</v>
      </c>
      <c r="I462" s="171">
        <v>400.0</v>
      </c>
      <c r="J462" s="172">
        <f t="shared" si="2"/>
        <v>0.00270213171</v>
      </c>
      <c r="K462" s="269">
        <f t="shared" si="18"/>
        <v>2.792202767</v>
      </c>
      <c r="L462" s="270">
        <f t="shared" si="4"/>
        <v>3.933219585</v>
      </c>
      <c r="M462" s="271" t="str">
        <f t="shared" si="5"/>
        <v>naynaysoo</v>
      </c>
      <c r="N462" s="176">
        <f>IFERROR(__xludf.DUMMYFUNCTION("""COMPUTED_VALUE"""),8.0)</f>
        <v>8</v>
      </c>
      <c r="O462" s="176"/>
      <c r="P462" s="267" t="s">
        <v>528</v>
      </c>
      <c r="Q462" s="272" t="s">
        <v>10</v>
      </c>
      <c r="R462" s="176"/>
      <c r="S462" s="176"/>
      <c r="T462" s="176"/>
      <c r="U462" s="176"/>
      <c r="V462" s="176"/>
      <c r="W462" s="176"/>
      <c r="X462" s="176"/>
      <c r="Y462" s="176"/>
      <c r="Z462" s="176"/>
    </row>
    <row r="463">
      <c r="A463" s="267" t="str">
        <f>iferror(VLOOKUP(P463,'DO NOT TOUCH Imported'!$A$1:$D$800,4,False),iferror(VLOOKUP(P463,'DO NOT TOUCH Imported'!$C$1:$D$800,2,False),"OOPS FIX ME"))</f>
        <v>naynaysoo</v>
      </c>
      <c r="B463" s="272" t="s">
        <v>10</v>
      </c>
      <c r="C463" s="273" t="s">
        <v>1961</v>
      </c>
      <c r="D463" s="274" t="s">
        <v>437</v>
      </c>
      <c r="E463" s="275">
        <v>44260.0</v>
      </c>
      <c r="F463" s="274" t="s">
        <v>1929</v>
      </c>
      <c r="G463" s="171">
        <v>50.0</v>
      </c>
      <c r="H463" s="171">
        <v>500.0</v>
      </c>
      <c r="I463" s="171">
        <v>200.0</v>
      </c>
      <c r="J463" s="172">
        <f t="shared" si="2"/>
        <v>0.001427835393</v>
      </c>
      <c r="K463" s="269">
        <f t="shared" si="18"/>
        <v>1.475429906</v>
      </c>
      <c r="L463" s="270">
        <f t="shared" si="4"/>
        <v>3.933219585</v>
      </c>
      <c r="M463" s="271" t="str">
        <f t="shared" si="5"/>
        <v>naynaysoo</v>
      </c>
      <c r="N463" s="176">
        <f>IFERROR(__xludf.DUMMYFUNCTION("""COMPUTED_VALUE"""),9.0)</f>
        <v>9</v>
      </c>
      <c r="O463" s="176"/>
      <c r="P463" s="267" t="s">
        <v>528</v>
      </c>
      <c r="Q463" s="272" t="s">
        <v>10</v>
      </c>
      <c r="R463" s="176"/>
      <c r="S463" s="176"/>
      <c r="T463" s="176"/>
      <c r="U463" s="176"/>
      <c r="V463" s="176"/>
      <c r="W463" s="176"/>
      <c r="X463" s="176"/>
      <c r="Y463" s="176"/>
      <c r="Z463" s="176"/>
    </row>
    <row r="464">
      <c r="A464" s="240" t="str">
        <f>iferror(VLOOKUP(P464,'DO NOT TOUCH Imported'!$A$1:$D$800,4,False),iferror(VLOOKUP(P464,'DO NOT TOUCH Imported'!$C$1:$D$800,2,False),"OOPS FIX ME"))</f>
        <v>naynaysoo</v>
      </c>
      <c r="B464" s="253" t="s">
        <v>10</v>
      </c>
      <c r="C464" s="318" t="s">
        <v>1940</v>
      </c>
      <c r="D464" s="319" t="s">
        <v>437</v>
      </c>
      <c r="E464" s="315">
        <v>44260.0</v>
      </c>
      <c r="F464" s="319" t="s">
        <v>1929</v>
      </c>
      <c r="G464" s="222">
        <v>0.0</v>
      </c>
      <c r="H464" s="171">
        <v>0.0</v>
      </c>
      <c r="I464" s="222">
        <v>0.0</v>
      </c>
      <c r="J464" s="298">
        <f t="shared" si="2"/>
        <v>0</v>
      </c>
      <c r="K464" s="299">
        <f t="shared" si="18"/>
        <v>0</v>
      </c>
      <c r="L464" s="300">
        <f t="shared" si="4"/>
        <v>3.933219585</v>
      </c>
      <c r="M464" s="301" t="str">
        <f t="shared" si="5"/>
        <v>naynaysoo</v>
      </c>
      <c r="N464" s="209">
        <f>IFERROR(__xludf.DUMMYFUNCTION("""COMPUTED_VALUE"""),10.0)</f>
        <v>10</v>
      </c>
      <c r="O464" s="209"/>
      <c r="P464" s="240" t="s">
        <v>528</v>
      </c>
      <c r="Q464" s="253" t="s">
        <v>10</v>
      </c>
      <c r="R464" s="209"/>
      <c r="S464" s="209"/>
      <c r="T464" s="209"/>
      <c r="U464" s="209"/>
      <c r="V464" s="209"/>
      <c r="W464" s="209"/>
      <c r="X464" s="209"/>
      <c r="Y464" s="209"/>
      <c r="Z464" s="209"/>
    </row>
    <row r="465">
      <c r="A465" s="267" t="str">
        <f>iferror(VLOOKUP(P465,'DO NOT TOUCH Imported'!$A$1:$D$800,4,False),iferror(VLOOKUP(P465,'DO NOT TOUCH Imported'!$C$1:$D$800,2,False),"OOPS FIX ME"))</f>
        <v>naynaysoo</v>
      </c>
      <c r="B465" s="249" t="s">
        <v>10</v>
      </c>
      <c r="C465" s="219" t="s">
        <v>494</v>
      </c>
      <c r="D465" s="268" t="s">
        <v>495</v>
      </c>
      <c r="E465" s="252">
        <v>44260.0</v>
      </c>
      <c r="F465" s="250" t="s">
        <v>496</v>
      </c>
      <c r="G465" s="171">
        <v>35.0</v>
      </c>
      <c r="H465" s="171">
        <v>1000.0</v>
      </c>
      <c r="I465" s="171">
        <v>40.0</v>
      </c>
      <c r="J465" s="172">
        <f t="shared" si="2"/>
        <v>0.0009662718803</v>
      </c>
      <c r="K465" s="269">
        <f t="shared" si="18"/>
        <v>0.998480943</v>
      </c>
      <c r="L465" s="270">
        <f t="shared" si="4"/>
        <v>3.933219585</v>
      </c>
      <c r="M465" s="271" t="str">
        <f t="shared" si="5"/>
        <v>naynaysoo</v>
      </c>
      <c r="N465" s="176">
        <f>IFERROR(__xludf.DUMMYFUNCTION("""COMPUTED_VALUE"""),11.0)</f>
        <v>11</v>
      </c>
      <c r="O465" s="176"/>
      <c r="P465" s="249" t="s">
        <v>22</v>
      </c>
      <c r="Q465" s="249" t="s">
        <v>10</v>
      </c>
      <c r="R465" s="176"/>
      <c r="S465" s="176"/>
      <c r="T465" s="176"/>
      <c r="U465" s="176"/>
      <c r="V465" s="176"/>
      <c r="W465" s="176"/>
      <c r="X465" s="176"/>
      <c r="Y465" s="176"/>
      <c r="Z465" s="176"/>
    </row>
    <row r="466">
      <c r="A466" s="267" t="str">
        <f>iferror(VLOOKUP(P466,'DO NOT TOUCH Imported'!$A$1:$D$800,4,False),iferror(VLOOKUP(P466,'DO NOT TOUCH Imported'!$C$1:$D$800,2,False),"OOPS FIX ME"))</f>
        <v>naynaysoo</v>
      </c>
      <c r="B466" s="272" t="s">
        <v>2107</v>
      </c>
      <c r="C466" s="273" t="s">
        <v>2123</v>
      </c>
      <c r="D466" s="274" t="s">
        <v>499</v>
      </c>
      <c r="E466" s="275">
        <v>44263.0</v>
      </c>
      <c r="F466" s="274" t="s">
        <v>1646</v>
      </c>
      <c r="G466" s="171">
        <v>25.0</v>
      </c>
      <c r="H466" s="171">
        <v>1000.0</v>
      </c>
      <c r="I466" s="171">
        <v>100.0</v>
      </c>
      <c r="J466" s="172">
        <f t="shared" si="2"/>
        <v>0.00094422631</v>
      </c>
      <c r="K466" s="269">
        <f t="shared" si="18"/>
        <v>0.9757005204</v>
      </c>
      <c r="L466" s="270">
        <f t="shared" si="4"/>
        <v>3.933219585</v>
      </c>
      <c r="M466" s="271" t="str">
        <f t="shared" si="5"/>
        <v>naynaysoo</v>
      </c>
      <c r="N466" s="176">
        <f>IFERROR(__xludf.DUMMYFUNCTION("""COMPUTED_VALUE"""),12.0)</f>
        <v>12</v>
      </c>
      <c r="O466" s="176"/>
      <c r="P466" s="267" t="s">
        <v>528</v>
      </c>
      <c r="Q466" s="272" t="s">
        <v>2107</v>
      </c>
      <c r="R466" s="176"/>
      <c r="S466" s="176"/>
      <c r="T466" s="176"/>
      <c r="U466" s="176"/>
      <c r="V466" s="176"/>
      <c r="W466" s="176"/>
      <c r="X466" s="176"/>
      <c r="Y466" s="176"/>
      <c r="Z466" s="176"/>
    </row>
    <row r="467">
      <c r="A467" s="267" t="str">
        <f>iferror(VLOOKUP(P467,'DO NOT TOUCH Imported'!$A$1:$D$800,4,False),iferror(VLOOKUP(P467,'DO NOT TOUCH Imported'!$C$1:$D$800,2,False),"OOPS FIX ME"))</f>
        <v>naynaysoo</v>
      </c>
      <c r="B467" s="249" t="s">
        <v>590</v>
      </c>
      <c r="C467" s="219" t="s">
        <v>1945</v>
      </c>
      <c r="D467" s="268" t="s">
        <v>495</v>
      </c>
      <c r="E467" s="252">
        <v>44264.0</v>
      </c>
      <c r="F467" s="250" t="s">
        <v>496</v>
      </c>
      <c r="G467" s="171">
        <v>25.0</v>
      </c>
      <c r="H467" s="171">
        <v>1000.0</v>
      </c>
      <c r="I467" s="171">
        <v>50.0</v>
      </c>
      <c r="J467" s="172">
        <f t="shared" si="2"/>
        <v>0.0008278194634</v>
      </c>
      <c r="K467" s="269">
        <f t="shared" si="18"/>
        <v>0.8554134456</v>
      </c>
      <c r="L467" s="270">
        <f t="shared" si="4"/>
        <v>3.933219585</v>
      </c>
      <c r="M467" s="271" t="str">
        <f t="shared" si="5"/>
        <v>naynaysoo</v>
      </c>
      <c r="N467" s="176">
        <f>IFERROR(__xludf.DUMMYFUNCTION("""COMPUTED_VALUE"""),13.0)</f>
        <v>13</v>
      </c>
      <c r="O467" s="176"/>
      <c r="P467" s="249" t="s">
        <v>22</v>
      </c>
      <c r="Q467" s="249" t="s">
        <v>590</v>
      </c>
      <c r="R467" s="176"/>
      <c r="S467" s="176"/>
      <c r="T467" s="176"/>
      <c r="U467" s="176"/>
      <c r="V467" s="176"/>
      <c r="W467" s="176"/>
      <c r="X467" s="176"/>
      <c r="Y467" s="176"/>
      <c r="Z467" s="176"/>
    </row>
    <row r="468">
      <c r="A468" s="267" t="str">
        <f>iferror(VLOOKUP(P468,'DO NOT TOUCH Imported'!$A$1:$D$800,4,False),iferror(VLOOKUP(P468,'DO NOT TOUCH Imported'!$C$1:$D$800,2,False),"OOPS FIX ME"))</f>
        <v>naynaysoo</v>
      </c>
      <c r="B468" s="272" t="s">
        <v>1947</v>
      </c>
      <c r="C468" s="273" t="s">
        <v>1948</v>
      </c>
      <c r="D468" s="274" t="s">
        <v>437</v>
      </c>
      <c r="E468" s="275">
        <v>44266.0</v>
      </c>
      <c r="F468" s="274" t="s">
        <v>1929</v>
      </c>
      <c r="G468" s="171">
        <v>25.0</v>
      </c>
      <c r="H468" s="171">
        <v>1000.0</v>
      </c>
      <c r="I468" s="171">
        <v>100.0</v>
      </c>
      <c r="J468" s="172">
        <f t="shared" si="2"/>
        <v>0.00094422631</v>
      </c>
      <c r="K468" s="269">
        <f t="shared" si="18"/>
        <v>0.9757005204</v>
      </c>
      <c r="L468" s="270">
        <f t="shared" si="4"/>
        <v>3.933219585</v>
      </c>
      <c r="M468" s="271" t="str">
        <f t="shared" si="5"/>
        <v>naynaysoo</v>
      </c>
      <c r="N468" s="176">
        <f>IFERROR(__xludf.DUMMYFUNCTION("""COMPUTED_VALUE"""),14.0)</f>
        <v>14</v>
      </c>
      <c r="O468" s="176"/>
      <c r="P468" s="267" t="s">
        <v>528</v>
      </c>
      <c r="Q468" s="272" t="s">
        <v>1947</v>
      </c>
      <c r="R468" s="176"/>
      <c r="S468" s="176"/>
      <c r="T468" s="176"/>
      <c r="U468" s="176"/>
      <c r="V468" s="176"/>
      <c r="W468" s="176"/>
      <c r="X468" s="176"/>
      <c r="Y468" s="176"/>
      <c r="Z468" s="176"/>
    </row>
    <row r="469">
      <c r="A469" s="267" t="str">
        <f>iferror(VLOOKUP(P469,'DO NOT TOUCH Imported'!$A$1:$D$800,4,False),iferror(VLOOKUP(P469,'DO NOT TOUCH Imported'!$C$1:$D$800,2,False),"OOPS FIX ME"))</f>
        <v>naynaysoo</v>
      </c>
      <c r="B469" s="249" t="s">
        <v>18</v>
      </c>
      <c r="C469" s="219" t="s">
        <v>2124</v>
      </c>
      <c r="D469" s="268" t="s">
        <v>495</v>
      </c>
      <c r="E469" s="252">
        <v>44266.0</v>
      </c>
      <c r="F469" s="250" t="s">
        <v>496</v>
      </c>
      <c r="G469" s="171">
        <v>50.0</v>
      </c>
      <c r="H469" s="171">
        <v>0.0</v>
      </c>
      <c r="I469" s="171">
        <v>200.0</v>
      </c>
      <c r="J469" s="172">
        <f t="shared" si="2"/>
        <v>0.001274296317</v>
      </c>
      <c r="K469" s="269">
        <f t="shared" si="18"/>
        <v>1.316772861</v>
      </c>
      <c r="L469" s="270">
        <f t="shared" si="4"/>
        <v>3.933219585</v>
      </c>
      <c r="M469" s="271" t="str">
        <f t="shared" si="5"/>
        <v>naynaysoo</v>
      </c>
      <c r="N469" s="176">
        <f>IFERROR(__xludf.DUMMYFUNCTION("""COMPUTED_VALUE"""),15.0)</f>
        <v>15</v>
      </c>
      <c r="O469" s="176"/>
      <c r="P469" s="249" t="s">
        <v>22</v>
      </c>
      <c r="Q469" s="249" t="s">
        <v>18</v>
      </c>
      <c r="R469" s="176"/>
      <c r="S469" s="176"/>
      <c r="T469" s="176"/>
      <c r="U469" s="176"/>
      <c r="V469" s="176"/>
      <c r="W469" s="176"/>
      <c r="X469" s="176"/>
      <c r="Y469" s="176"/>
      <c r="Z469" s="176"/>
    </row>
    <row r="470">
      <c r="A470" s="267" t="str">
        <f>iferror(VLOOKUP(P470,'DO NOT TOUCH Imported'!$A$1:$D$800,4,False),iferror(VLOOKUP(P470,'DO NOT TOUCH Imported'!$C$1:$D$800,2,False),"OOPS FIX ME"))</f>
        <v>naynaysoo</v>
      </c>
      <c r="B470" s="272" t="s">
        <v>10</v>
      </c>
      <c r="C470" s="273" t="s">
        <v>2125</v>
      </c>
      <c r="D470" s="274" t="s">
        <v>437</v>
      </c>
      <c r="E470" s="306">
        <v>44267.0</v>
      </c>
      <c r="F470" s="274" t="s">
        <v>439</v>
      </c>
      <c r="G470" s="171">
        <v>35.0</v>
      </c>
      <c r="H470" s="171">
        <v>5000.0</v>
      </c>
      <c r="I470" s="171">
        <v>200.0</v>
      </c>
      <c r="J470" s="172">
        <f t="shared" si="2"/>
        <v>0.002567086395</v>
      </c>
      <c r="K470" s="269">
        <f t="shared" si="18"/>
        <v>2.652655941</v>
      </c>
      <c r="L470" s="270">
        <f t="shared" si="4"/>
        <v>3.933219585</v>
      </c>
      <c r="M470" s="271" t="str">
        <f t="shared" si="5"/>
        <v>naynaysoo</v>
      </c>
      <c r="N470" s="176">
        <f>IFERROR(__xludf.DUMMYFUNCTION("""COMPUTED_VALUE"""),16.0)</f>
        <v>16</v>
      </c>
      <c r="O470" s="176"/>
      <c r="P470" s="267" t="s">
        <v>528</v>
      </c>
      <c r="Q470" s="272" t="s">
        <v>10</v>
      </c>
      <c r="R470" s="176"/>
      <c r="S470" s="176"/>
      <c r="T470" s="176"/>
      <c r="U470" s="176"/>
      <c r="V470" s="176"/>
      <c r="W470" s="176"/>
      <c r="X470" s="176"/>
      <c r="Y470" s="176"/>
      <c r="Z470" s="176"/>
    </row>
    <row r="471">
      <c r="A471" s="267" t="str">
        <f>iferror(VLOOKUP(P471,'DO NOT TOUCH Imported'!$A$1:$D$800,4,False),iferror(VLOOKUP(P471,'DO NOT TOUCH Imported'!$C$1:$D$800,2,False),"OOPS FIX ME"))</f>
        <v>naynaysoo</v>
      </c>
      <c r="B471" s="272" t="s">
        <v>10</v>
      </c>
      <c r="C471" s="273" t="s">
        <v>1976</v>
      </c>
      <c r="D471" s="274" t="s">
        <v>437</v>
      </c>
      <c r="E471" s="306">
        <v>44267.0</v>
      </c>
      <c r="F471" s="274" t="s">
        <v>439</v>
      </c>
      <c r="G471" s="171">
        <v>35.0</v>
      </c>
      <c r="H471" s="171">
        <v>0.0</v>
      </c>
      <c r="I471" s="171">
        <v>200.0</v>
      </c>
      <c r="J471" s="172">
        <f t="shared" si="2"/>
        <v>0.001031695638</v>
      </c>
      <c r="K471" s="269">
        <f t="shared" si="18"/>
        <v>1.066085493</v>
      </c>
      <c r="L471" s="270">
        <f t="shared" si="4"/>
        <v>3.933219585</v>
      </c>
      <c r="M471" s="271" t="str">
        <f t="shared" si="5"/>
        <v>naynaysoo</v>
      </c>
      <c r="N471" s="176">
        <f>IFERROR(__xludf.DUMMYFUNCTION("""COMPUTED_VALUE"""),17.0)</f>
        <v>17</v>
      </c>
      <c r="O471" s="176"/>
      <c r="P471" s="267" t="s">
        <v>528</v>
      </c>
      <c r="Q471" s="272" t="s">
        <v>10</v>
      </c>
      <c r="R471" s="176"/>
      <c r="S471" s="176"/>
      <c r="T471" s="176"/>
      <c r="U471" s="176"/>
      <c r="V471" s="176"/>
      <c r="W471" s="176"/>
      <c r="X471" s="176"/>
      <c r="Y471" s="176"/>
      <c r="Z471" s="176"/>
    </row>
    <row r="472">
      <c r="A472" s="185" t="s">
        <v>22</v>
      </c>
      <c r="B472" s="185" t="s">
        <v>534</v>
      </c>
      <c r="C472" s="186" t="s">
        <v>684</v>
      </c>
      <c r="D472" s="187"/>
      <c r="E472" s="188"/>
      <c r="F472" s="186"/>
      <c r="G472" s="190"/>
      <c r="H472" s="190"/>
      <c r="I472" s="190"/>
      <c r="J472" s="191">
        <f t="shared" si="2"/>
        <v>0</v>
      </c>
      <c r="K472" s="192">
        <f>26.219*-0.85</f>
        <v>-22.28615</v>
      </c>
      <c r="L472" s="193">
        <f t="shared" si="4"/>
        <v>3.933219585</v>
      </c>
      <c r="M472" s="194" t="str">
        <f t="shared" si="5"/>
        <v>naynaysoo</v>
      </c>
      <c r="N472" s="195">
        <f>IFERROR(__xludf.DUMMYFUNCTION("""COMPUTED_VALUE"""),18.0)</f>
        <v>18</v>
      </c>
      <c r="O472" s="195"/>
      <c r="P472" s="196" t="s">
        <v>7</v>
      </c>
      <c r="Q472" s="185" t="s">
        <v>534</v>
      </c>
      <c r="R472" s="195"/>
      <c r="S472" s="195"/>
      <c r="T472" s="195"/>
      <c r="U472" s="195"/>
      <c r="V472" s="195"/>
      <c r="W472" s="195"/>
      <c r="X472" s="195"/>
      <c r="Y472" s="195"/>
      <c r="Z472" s="195"/>
    </row>
    <row r="473">
      <c r="A473" s="267" t="str">
        <f>iferror(VLOOKUP(P473,'DO NOT TOUCH Imported'!$A$1:$D$800,4,False),iferror(VLOOKUP(P473,'DO NOT TOUCH Imported'!$C$1:$D$800,2,False),"OOPS FIX ME"))</f>
        <v>gagarine#9410</v>
      </c>
      <c r="B473" s="272" t="s">
        <v>18</v>
      </c>
      <c r="C473" s="273" t="s">
        <v>2126</v>
      </c>
      <c r="D473" s="274" t="s">
        <v>499</v>
      </c>
      <c r="E473" s="275">
        <v>44263.0</v>
      </c>
      <c r="F473" s="274" t="s">
        <v>1646</v>
      </c>
      <c r="G473" s="171">
        <v>25.0</v>
      </c>
      <c r="H473" s="171">
        <v>2000.0</v>
      </c>
      <c r="I473" s="171">
        <v>100.0</v>
      </c>
      <c r="J473" s="172">
        <f t="shared" si="2"/>
        <v>0.001251304461</v>
      </c>
      <c r="K473" s="269">
        <f t="shared" ref="K473:K495" si="19">J473*$J$1</f>
        <v>1.29301461</v>
      </c>
      <c r="L473" s="270">
        <f t="shared" si="4"/>
        <v>3.884220995</v>
      </c>
      <c r="M473" s="271" t="str">
        <f t="shared" si="5"/>
        <v>gagarine#9410</v>
      </c>
      <c r="N473" s="176">
        <f>IFERROR(__xludf.DUMMYFUNCTION("""COMPUTED_VALUE"""),1.0)</f>
        <v>1</v>
      </c>
      <c r="O473" s="176"/>
      <c r="P473" s="267" t="s">
        <v>181</v>
      </c>
      <c r="Q473" s="272" t="s">
        <v>18</v>
      </c>
      <c r="R473" s="176"/>
      <c r="S473" s="176"/>
      <c r="T473" s="176"/>
      <c r="U473" s="176"/>
      <c r="V473" s="176"/>
      <c r="W473" s="176"/>
      <c r="X473" s="176"/>
      <c r="Y473" s="176"/>
      <c r="Z473" s="176"/>
    </row>
    <row r="474">
      <c r="A474" s="267" t="str">
        <f>iferror(VLOOKUP(P474,'DO NOT TOUCH Imported'!$A$1:$D$800,4,False),iferror(VLOOKUP(P474,'DO NOT TOUCH Imported'!$C$1:$D$800,2,False),"OOPS FIX ME"))</f>
        <v>gagarine#9410</v>
      </c>
      <c r="B474" s="272" t="s">
        <v>2107</v>
      </c>
      <c r="C474" s="273" t="s">
        <v>2127</v>
      </c>
      <c r="D474" s="274" t="s">
        <v>499</v>
      </c>
      <c r="E474" s="275">
        <v>44263.0</v>
      </c>
      <c r="F474" s="274" t="s">
        <v>1646</v>
      </c>
      <c r="G474" s="171">
        <v>25.0</v>
      </c>
      <c r="H474" s="171">
        <v>500.0</v>
      </c>
      <c r="I474" s="171">
        <v>200.0</v>
      </c>
      <c r="J474" s="172">
        <f t="shared" si="2"/>
        <v>0.001023500928</v>
      </c>
      <c r="K474" s="269">
        <f t="shared" si="19"/>
        <v>1.057617625</v>
      </c>
      <c r="L474" s="270">
        <f t="shared" si="4"/>
        <v>3.884220995</v>
      </c>
      <c r="M474" s="271" t="str">
        <f t="shared" si="5"/>
        <v>gagarine#9410</v>
      </c>
      <c r="N474" s="176">
        <f>IFERROR(__xludf.DUMMYFUNCTION("""COMPUTED_VALUE"""),2.0)</f>
        <v>2</v>
      </c>
      <c r="O474" s="176"/>
      <c r="P474" s="267" t="s">
        <v>181</v>
      </c>
      <c r="Q474" s="272" t="s">
        <v>2107</v>
      </c>
      <c r="R474" s="176"/>
      <c r="S474" s="176"/>
      <c r="T474" s="176"/>
      <c r="U474" s="176"/>
      <c r="V474" s="176"/>
      <c r="W474" s="176"/>
      <c r="X474" s="176"/>
      <c r="Y474" s="176"/>
      <c r="Z474" s="176"/>
    </row>
    <row r="475">
      <c r="A475" s="267" t="str">
        <f>iferror(VLOOKUP(P475,'DO NOT TOUCH Imported'!$A$1:$D$800,4,False),iferror(VLOOKUP(P475,'DO NOT TOUCH Imported'!$C$1:$D$800,2,False),"OOPS FIX ME"))</f>
        <v>gagarine#9410</v>
      </c>
      <c r="B475" s="272" t="s">
        <v>1702</v>
      </c>
      <c r="C475" s="273" t="s">
        <v>2128</v>
      </c>
      <c r="D475" s="274" t="s">
        <v>499</v>
      </c>
      <c r="E475" s="275">
        <v>44263.0</v>
      </c>
      <c r="F475" s="274" t="s">
        <v>2129</v>
      </c>
      <c r="G475" s="171">
        <v>25.0</v>
      </c>
      <c r="H475" s="171">
        <v>2000.0</v>
      </c>
      <c r="I475" s="171">
        <v>200.0</v>
      </c>
      <c r="J475" s="172">
        <f t="shared" si="2"/>
        <v>0.001484118155</v>
      </c>
      <c r="K475" s="269">
        <f t="shared" si="19"/>
        <v>1.53358876</v>
      </c>
      <c r="L475" s="270">
        <f t="shared" si="4"/>
        <v>3.884220995</v>
      </c>
      <c r="M475" s="271" t="str">
        <f t="shared" si="5"/>
        <v>gagarine#9410</v>
      </c>
      <c r="N475" s="176">
        <f>IFERROR(__xludf.DUMMYFUNCTION("""COMPUTED_VALUE"""),3.0)</f>
        <v>3</v>
      </c>
      <c r="O475" s="176"/>
      <c r="P475" s="267" t="s">
        <v>181</v>
      </c>
      <c r="Q475" s="272" t="s">
        <v>1702</v>
      </c>
      <c r="R475" s="176"/>
      <c r="S475" s="176"/>
      <c r="T475" s="176"/>
      <c r="U475" s="176"/>
      <c r="V475" s="176"/>
      <c r="W475" s="176"/>
      <c r="X475" s="176"/>
      <c r="Y475" s="176"/>
      <c r="Z475" s="176"/>
    </row>
    <row r="476">
      <c r="A476" s="267" t="str">
        <f>iferror(VLOOKUP(P476,'DO NOT TOUCH Imported'!$A$1:$D$800,4,False),iferror(VLOOKUP(P476,'DO NOT TOUCH Imported'!$C$1:$D$800,2,False),"OOPS FIX ME"))</f>
        <v>niranb</v>
      </c>
      <c r="B476" s="272" t="s">
        <v>845</v>
      </c>
      <c r="C476" s="273" t="s">
        <v>2130</v>
      </c>
      <c r="D476" s="274" t="s">
        <v>499</v>
      </c>
      <c r="E476" s="275">
        <v>44263.0</v>
      </c>
      <c r="F476" s="274" t="s">
        <v>1646</v>
      </c>
      <c r="G476" s="171">
        <v>25.0</v>
      </c>
      <c r="H476" s="171">
        <v>500.0</v>
      </c>
      <c r="I476" s="171">
        <v>1000.0</v>
      </c>
      <c r="J476" s="172">
        <f t="shared" si="2"/>
        <v>0.002886010473</v>
      </c>
      <c r="K476" s="269">
        <f t="shared" si="19"/>
        <v>2.982210822</v>
      </c>
      <c r="L476" s="270">
        <f t="shared" si="4"/>
        <v>3.799254297</v>
      </c>
      <c r="M476" s="271" t="str">
        <f t="shared" si="5"/>
        <v>niranb</v>
      </c>
      <c r="N476" s="176">
        <f>IFERROR(__xludf.DUMMYFUNCTION("""COMPUTED_VALUE"""),1.0)</f>
        <v>1</v>
      </c>
      <c r="O476" s="176"/>
      <c r="P476" s="267" t="s">
        <v>825</v>
      </c>
      <c r="Q476" s="272" t="s">
        <v>845</v>
      </c>
      <c r="R476" s="176"/>
      <c r="S476" s="176"/>
      <c r="T476" s="176"/>
      <c r="U476" s="176"/>
      <c r="V476" s="176"/>
      <c r="W476" s="176"/>
      <c r="X476" s="176"/>
      <c r="Y476" s="176"/>
      <c r="Z476" s="176"/>
    </row>
    <row r="477">
      <c r="A477" s="267" t="str">
        <f>iferror(VLOOKUP(P477,'DO NOT TOUCH Imported'!$A$1:$D$800,4,False),iferror(VLOOKUP(P477,'DO NOT TOUCH Imported'!$C$1:$D$800,2,False),"OOPS FIX ME"))</f>
        <v>niranb</v>
      </c>
      <c r="B477" s="249" t="s">
        <v>10</v>
      </c>
      <c r="C477" s="219" t="s">
        <v>498</v>
      </c>
      <c r="D477" s="268" t="s">
        <v>495</v>
      </c>
      <c r="E477" s="252">
        <v>44267.0</v>
      </c>
      <c r="F477" s="250" t="s">
        <v>499</v>
      </c>
      <c r="G477" s="171">
        <v>25.0</v>
      </c>
      <c r="H477" s="171">
        <v>500.0</v>
      </c>
      <c r="I477" s="171">
        <v>100.0</v>
      </c>
      <c r="J477" s="172">
        <f t="shared" si="2"/>
        <v>0.0007906872343</v>
      </c>
      <c r="K477" s="269">
        <f t="shared" si="19"/>
        <v>0.8170434755</v>
      </c>
      <c r="L477" s="270">
        <f t="shared" si="4"/>
        <v>3.799254297</v>
      </c>
      <c r="M477" s="271" t="str">
        <f t="shared" si="5"/>
        <v>niranb</v>
      </c>
      <c r="N477" s="176">
        <f>IFERROR(__xludf.DUMMYFUNCTION("""COMPUTED_VALUE"""),2.0)</f>
        <v>2</v>
      </c>
      <c r="O477" s="176"/>
      <c r="P477" s="249" t="s">
        <v>60</v>
      </c>
      <c r="Q477" s="249" t="s">
        <v>10</v>
      </c>
      <c r="R477" s="176"/>
      <c r="S477" s="176"/>
      <c r="T477" s="176"/>
      <c r="U477" s="176"/>
      <c r="V477" s="176"/>
      <c r="W477" s="176"/>
      <c r="X477" s="176"/>
      <c r="Y477" s="176"/>
      <c r="Z477" s="176"/>
    </row>
    <row r="478">
      <c r="A478" s="267" t="str">
        <f>iferror(VLOOKUP(P478,'DO NOT TOUCH Imported'!$A$1:$D$800,4,False),iferror(VLOOKUP(P478,'DO NOT TOUCH Imported'!$C$1:$D$800,2,False),"OOPS FIX ME"))</f>
        <v>vegayp</v>
      </c>
      <c r="B478" s="272" t="s">
        <v>1933</v>
      </c>
      <c r="C478" s="273" t="s">
        <v>1934</v>
      </c>
      <c r="D478" s="274" t="s">
        <v>437</v>
      </c>
      <c r="E478" s="275">
        <v>44258.0</v>
      </c>
      <c r="F478" s="274" t="s">
        <v>1929</v>
      </c>
      <c r="G478" s="171">
        <v>25.0</v>
      </c>
      <c r="H478" s="171">
        <v>2000.0</v>
      </c>
      <c r="I478" s="171">
        <v>200.0</v>
      </c>
      <c r="J478" s="172">
        <f t="shared" si="2"/>
        <v>0.001484118155</v>
      </c>
      <c r="K478" s="269">
        <f t="shared" si="19"/>
        <v>1.53358876</v>
      </c>
      <c r="L478" s="270">
        <f t="shared" si="4"/>
        <v>3.787057259</v>
      </c>
      <c r="M478" s="271" t="str">
        <f t="shared" si="5"/>
        <v>vegayp</v>
      </c>
      <c r="N478" s="176">
        <f>IFERROR(__xludf.DUMMYFUNCTION("""COMPUTED_VALUE"""),1.0)</f>
        <v>1</v>
      </c>
      <c r="O478" s="176"/>
      <c r="P478" s="267" t="s">
        <v>492</v>
      </c>
      <c r="Q478" s="272" t="s">
        <v>1933</v>
      </c>
      <c r="R478" s="176"/>
      <c r="S478" s="176"/>
      <c r="T478" s="176"/>
      <c r="U478" s="176"/>
      <c r="V478" s="176"/>
      <c r="W478" s="176"/>
      <c r="X478" s="176"/>
      <c r="Y478" s="176"/>
      <c r="Z478" s="176"/>
    </row>
    <row r="479">
      <c r="A479" s="267" t="str">
        <f>iferror(VLOOKUP(P479,'DO NOT TOUCH Imported'!$A$1:$D$800,4,False),iferror(VLOOKUP(P479,'DO NOT TOUCH Imported'!$C$1:$D$800,2,False),"OOPS FIX ME"))</f>
        <v>vegayp</v>
      </c>
      <c r="B479" s="272" t="s">
        <v>10</v>
      </c>
      <c r="C479" s="273" t="s">
        <v>1938</v>
      </c>
      <c r="D479" s="274" t="s">
        <v>437</v>
      </c>
      <c r="E479" s="275">
        <v>44260.0</v>
      </c>
      <c r="F479" s="274" t="s">
        <v>1929</v>
      </c>
      <c r="G479" s="171">
        <v>35.0</v>
      </c>
      <c r="H479" s="171">
        <v>2000.0</v>
      </c>
      <c r="I479" s="171">
        <v>200.0</v>
      </c>
      <c r="J479" s="172">
        <f t="shared" si="2"/>
        <v>0.001645851941</v>
      </c>
      <c r="K479" s="269">
        <f t="shared" si="19"/>
        <v>1.700713672</v>
      </c>
      <c r="L479" s="270">
        <f t="shared" si="4"/>
        <v>3.787057259</v>
      </c>
      <c r="M479" s="271" t="str">
        <f t="shared" si="5"/>
        <v>vegayp</v>
      </c>
      <c r="N479" s="176">
        <f>IFERROR(__xludf.DUMMYFUNCTION("""COMPUTED_VALUE"""),2.0)</f>
        <v>2</v>
      </c>
      <c r="O479" s="176"/>
      <c r="P479" s="267" t="s">
        <v>492</v>
      </c>
      <c r="Q479" s="272" t="s">
        <v>10</v>
      </c>
      <c r="R479" s="176"/>
      <c r="S479" s="176"/>
      <c r="T479" s="176"/>
      <c r="U479" s="176"/>
      <c r="V479" s="176"/>
      <c r="W479" s="176"/>
      <c r="X479" s="176"/>
      <c r="Y479" s="176"/>
      <c r="Z479" s="176"/>
    </row>
    <row r="480">
      <c r="A480" s="267" t="str">
        <f>iferror(VLOOKUP(P480,'DO NOT TOUCH Imported'!$A$1:$D$800,4,False),iferror(VLOOKUP(P480,'DO NOT TOUCH Imported'!$C$1:$D$800,2,False),"OOPS FIX ME"))</f>
        <v>vegayp</v>
      </c>
      <c r="B480" s="272" t="s">
        <v>10</v>
      </c>
      <c r="C480" s="273" t="s">
        <v>2053</v>
      </c>
      <c r="D480" s="274" t="s">
        <v>437</v>
      </c>
      <c r="E480" s="275">
        <v>44260.0</v>
      </c>
      <c r="F480" s="274" t="s">
        <v>1929</v>
      </c>
      <c r="G480" s="171">
        <v>35.0</v>
      </c>
      <c r="H480" s="171">
        <v>1000.0</v>
      </c>
      <c r="I480" s="171">
        <v>300.0</v>
      </c>
      <c r="J480" s="172">
        <f t="shared" si="2"/>
        <v>0.001571587483</v>
      </c>
      <c r="K480" s="269">
        <f t="shared" si="19"/>
        <v>1.623973732</v>
      </c>
      <c r="L480" s="270">
        <f t="shared" si="4"/>
        <v>3.787057259</v>
      </c>
      <c r="M480" s="271" t="str">
        <f t="shared" si="5"/>
        <v>vegayp</v>
      </c>
      <c r="N480" s="176">
        <f>IFERROR(__xludf.DUMMYFUNCTION("""COMPUTED_VALUE"""),3.0)</f>
        <v>3</v>
      </c>
      <c r="O480" s="176"/>
      <c r="P480" s="267" t="s">
        <v>492</v>
      </c>
      <c r="Q480" s="272" t="s">
        <v>10</v>
      </c>
      <c r="R480" s="176"/>
      <c r="S480" s="176"/>
      <c r="T480" s="176"/>
      <c r="U480" s="176"/>
      <c r="V480" s="176"/>
      <c r="W480" s="176"/>
      <c r="X480" s="176"/>
      <c r="Y480" s="176"/>
      <c r="Z480" s="176"/>
    </row>
    <row r="481">
      <c r="A481" s="267" t="str">
        <f>iferror(VLOOKUP(P481,'DO NOT TOUCH Imported'!$A$1:$D$800,4,False),iferror(VLOOKUP(P481,'DO NOT TOUCH Imported'!$C$1:$D$800,2,False),"OOPS FIX ME"))</f>
        <v>vegayp</v>
      </c>
      <c r="B481" s="272" t="s">
        <v>10</v>
      </c>
      <c r="C481" s="273" t="s">
        <v>2131</v>
      </c>
      <c r="D481" s="274" t="s">
        <v>437</v>
      </c>
      <c r="E481" s="275">
        <v>44260.0</v>
      </c>
      <c r="F481" s="274" t="s">
        <v>1929</v>
      </c>
      <c r="G481" s="171">
        <v>85.0</v>
      </c>
      <c r="H481" s="171">
        <v>1500.0</v>
      </c>
      <c r="I481" s="171">
        <v>100.0</v>
      </c>
      <c r="J481" s="172">
        <f t="shared" si="2"/>
        <v>0.002068168103</v>
      </c>
      <c r="K481" s="269">
        <f t="shared" si="19"/>
        <v>2.13710704</v>
      </c>
      <c r="L481" s="270">
        <f t="shared" si="4"/>
        <v>3.787057259</v>
      </c>
      <c r="M481" s="271" t="str">
        <f t="shared" si="5"/>
        <v>vegayp</v>
      </c>
      <c r="N481" s="176">
        <f>IFERROR(__xludf.DUMMYFUNCTION("""COMPUTED_VALUE"""),4.0)</f>
        <v>4</v>
      </c>
      <c r="O481" s="176"/>
      <c r="P481" s="267" t="s">
        <v>492</v>
      </c>
      <c r="Q481" s="272" t="s">
        <v>10</v>
      </c>
      <c r="R481" s="176"/>
      <c r="S481" s="176"/>
      <c r="T481" s="176"/>
      <c r="U481" s="176"/>
      <c r="V481" s="176"/>
      <c r="W481" s="176"/>
      <c r="X481" s="176"/>
      <c r="Y481" s="176"/>
      <c r="Z481" s="176"/>
    </row>
    <row r="482">
      <c r="A482" s="267" t="str">
        <f>iferror(VLOOKUP(P482,'DO NOT TOUCH Imported'!$A$1:$D$800,4,False),iferror(VLOOKUP(P482,'DO NOT TOUCH Imported'!$C$1:$D$800,2,False),"OOPS FIX ME"))</f>
        <v>vegayp</v>
      </c>
      <c r="B482" s="272" t="s">
        <v>10</v>
      </c>
      <c r="C482" s="316" t="s">
        <v>2039</v>
      </c>
      <c r="D482" s="274" t="s">
        <v>437</v>
      </c>
      <c r="E482" s="275">
        <v>44260.0</v>
      </c>
      <c r="F482" s="274" t="s">
        <v>1929</v>
      </c>
      <c r="G482" s="171">
        <v>50.0</v>
      </c>
      <c r="H482" s="171">
        <v>2500.0</v>
      </c>
      <c r="I482" s="171">
        <v>200.0</v>
      </c>
      <c r="J482" s="172">
        <f t="shared" si="2"/>
        <v>0.002041991696</v>
      </c>
      <c r="K482" s="269">
        <f t="shared" si="19"/>
        <v>2.110058086</v>
      </c>
      <c r="L482" s="270">
        <f t="shared" si="4"/>
        <v>3.787057259</v>
      </c>
      <c r="M482" s="271" t="str">
        <f t="shared" si="5"/>
        <v>vegayp</v>
      </c>
      <c r="N482" s="176">
        <f>IFERROR(__xludf.DUMMYFUNCTION("""COMPUTED_VALUE"""),5.0)</f>
        <v>5</v>
      </c>
      <c r="O482" s="176"/>
      <c r="P482" s="267" t="s">
        <v>492</v>
      </c>
      <c r="Q482" s="272" t="s">
        <v>10</v>
      </c>
      <c r="R482" s="176"/>
      <c r="S482" s="176"/>
      <c r="T482" s="176"/>
      <c r="U482" s="176"/>
      <c r="V482" s="176"/>
      <c r="W482" s="176"/>
      <c r="X482" s="176"/>
      <c r="Y482" s="176"/>
      <c r="Z482" s="176"/>
    </row>
    <row r="483">
      <c r="A483" s="267" t="str">
        <f>iferror(VLOOKUP(P483,'DO NOT TOUCH Imported'!$A$1:$D$800,4,False),iferror(VLOOKUP(P483,'DO NOT TOUCH Imported'!$C$1:$D$800,2,False),"OOPS FIX ME"))</f>
        <v>vegayp</v>
      </c>
      <c r="B483" s="272" t="s">
        <v>10</v>
      </c>
      <c r="C483" s="273" t="s">
        <v>1997</v>
      </c>
      <c r="D483" s="274" t="s">
        <v>437</v>
      </c>
      <c r="E483" s="275">
        <v>44260.0</v>
      </c>
      <c r="F483" s="274" t="s">
        <v>1929</v>
      </c>
      <c r="G483" s="171">
        <v>25.0</v>
      </c>
      <c r="H483" s="171">
        <v>500.0</v>
      </c>
      <c r="I483" s="171">
        <v>20.0</v>
      </c>
      <c r="J483" s="172">
        <f t="shared" si="2"/>
        <v>0.0006044362798</v>
      </c>
      <c r="K483" s="269">
        <f t="shared" si="19"/>
        <v>0.6245841558</v>
      </c>
      <c r="L483" s="270">
        <f t="shared" si="4"/>
        <v>3.787057259</v>
      </c>
      <c r="M483" s="271" t="str">
        <f t="shared" si="5"/>
        <v>vegayp</v>
      </c>
      <c r="N483" s="176">
        <f>IFERROR(__xludf.DUMMYFUNCTION("""COMPUTED_VALUE"""),6.0)</f>
        <v>6</v>
      </c>
      <c r="O483" s="176"/>
      <c r="P483" s="267" t="s">
        <v>492</v>
      </c>
      <c r="Q483" s="272" t="s">
        <v>10</v>
      </c>
      <c r="R483" s="176"/>
      <c r="S483" s="176"/>
      <c r="T483" s="176"/>
      <c r="U483" s="176"/>
      <c r="V483" s="176"/>
      <c r="W483" s="176"/>
      <c r="X483" s="176"/>
      <c r="Y483" s="176"/>
      <c r="Z483" s="176"/>
    </row>
    <row r="484">
      <c r="A484" s="267" t="str">
        <f>iferror(VLOOKUP(P484,'DO NOT TOUCH Imported'!$A$1:$D$800,4,False),iferror(VLOOKUP(P484,'DO NOT TOUCH Imported'!$C$1:$D$800,2,False),"OOPS FIX ME"))</f>
        <v>vegayp</v>
      </c>
      <c r="B484" s="272" t="s">
        <v>10</v>
      </c>
      <c r="C484" s="273" t="s">
        <v>1941</v>
      </c>
      <c r="D484" s="274" t="s">
        <v>437</v>
      </c>
      <c r="E484" s="275">
        <v>44260.0</v>
      </c>
      <c r="F484" s="274" t="s">
        <v>1929</v>
      </c>
      <c r="G484" s="171">
        <v>15.0</v>
      </c>
      <c r="H484" s="171">
        <v>1000.0</v>
      </c>
      <c r="I484" s="171">
        <v>20.0</v>
      </c>
      <c r="J484" s="172">
        <f t="shared" si="2"/>
        <v>0.0005962415693</v>
      </c>
      <c r="K484" s="269">
        <f t="shared" si="19"/>
        <v>0.6161162883</v>
      </c>
      <c r="L484" s="270">
        <f t="shared" si="4"/>
        <v>3.787057259</v>
      </c>
      <c r="M484" s="271" t="str">
        <f t="shared" si="5"/>
        <v>vegayp</v>
      </c>
      <c r="N484" s="176">
        <f>IFERROR(__xludf.DUMMYFUNCTION("""COMPUTED_VALUE"""),7.0)</f>
        <v>7</v>
      </c>
      <c r="O484" s="176"/>
      <c r="P484" s="267" t="s">
        <v>492</v>
      </c>
      <c r="Q484" s="272" t="s">
        <v>10</v>
      </c>
      <c r="R484" s="176"/>
      <c r="S484" s="176"/>
      <c r="T484" s="176"/>
      <c r="U484" s="176"/>
      <c r="V484" s="176"/>
      <c r="W484" s="176"/>
      <c r="X484" s="176"/>
      <c r="Y484" s="176"/>
      <c r="Z484" s="176"/>
    </row>
    <row r="485">
      <c r="A485" s="267" t="str">
        <f>iferror(VLOOKUP(P485,'DO NOT TOUCH Imported'!$A$1:$D$800,4,False),iferror(VLOOKUP(P485,'DO NOT TOUCH Imported'!$C$1:$D$800,2,False),"OOPS FIX ME"))</f>
        <v>vegayp</v>
      </c>
      <c r="B485" s="249" t="s">
        <v>10</v>
      </c>
      <c r="C485" s="219" t="s">
        <v>500</v>
      </c>
      <c r="D485" s="268" t="s">
        <v>495</v>
      </c>
      <c r="E485" s="252">
        <v>44260.0</v>
      </c>
      <c r="F485" s="250" t="s">
        <v>496</v>
      </c>
      <c r="G485" s="171">
        <v>35.0</v>
      </c>
      <c r="H485" s="171">
        <v>500.0</v>
      </c>
      <c r="I485" s="171">
        <v>40.0</v>
      </c>
      <c r="J485" s="172">
        <f t="shared" si="2"/>
        <v>0.0008127328046</v>
      </c>
      <c r="K485" s="269">
        <f t="shared" si="19"/>
        <v>0.8398238981</v>
      </c>
      <c r="L485" s="270">
        <f t="shared" si="4"/>
        <v>3.787057259</v>
      </c>
      <c r="M485" s="271" t="str">
        <f t="shared" si="5"/>
        <v>vegayp</v>
      </c>
      <c r="N485" s="176">
        <f>IFERROR(__xludf.DUMMYFUNCTION("""COMPUTED_VALUE"""),8.0)</f>
        <v>8</v>
      </c>
      <c r="O485" s="176"/>
      <c r="P485" s="249" t="s">
        <v>33</v>
      </c>
      <c r="Q485" s="249" t="s">
        <v>10</v>
      </c>
      <c r="R485" s="176"/>
      <c r="S485" s="176"/>
      <c r="T485" s="176"/>
      <c r="U485" s="176"/>
      <c r="V485" s="176"/>
      <c r="W485" s="176"/>
      <c r="X485" s="176"/>
      <c r="Y485" s="176"/>
      <c r="Z485" s="176"/>
    </row>
    <row r="486">
      <c r="A486" s="267" t="str">
        <f>iferror(VLOOKUP(P486,'DO NOT TOUCH Imported'!$A$1:$D$800,4,False),iferror(VLOOKUP(P486,'DO NOT TOUCH Imported'!$C$1:$D$800,2,False),"OOPS FIX ME"))</f>
        <v>vegayp</v>
      </c>
      <c r="B486" s="249" t="s">
        <v>10</v>
      </c>
      <c r="C486" s="219" t="s">
        <v>498</v>
      </c>
      <c r="D486" s="268" t="s">
        <v>495</v>
      </c>
      <c r="E486" s="252">
        <v>44260.0</v>
      </c>
      <c r="F486" s="250" t="s">
        <v>499</v>
      </c>
      <c r="G486" s="171">
        <v>35.0</v>
      </c>
      <c r="H486" s="171">
        <v>500.0</v>
      </c>
      <c r="I486" s="171">
        <v>40.0</v>
      </c>
      <c r="J486" s="172">
        <f t="shared" si="2"/>
        <v>0.0008127328046</v>
      </c>
      <c r="K486" s="269">
        <f t="shared" si="19"/>
        <v>0.8398238981</v>
      </c>
      <c r="L486" s="270">
        <f t="shared" si="4"/>
        <v>3.787057259</v>
      </c>
      <c r="M486" s="271" t="str">
        <f t="shared" si="5"/>
        <v>vegayp</v>
      </c>
      <c r="N486" s="176">
        <f>IFERROR(__xludf.DUMMYFUNCTION("""COMPUTED_VALUE"""),9.0)</f>
        <v>9</v>
      </c>
      <c r="O486" s="176"/>
      <c r="P486" s="249" t="s">
        <v>33</v>
      </c>
      <c r="Q486" s="249" t="s">
        <v>10</v>
      </c>
      <c r="R486" s="176"/>
      <c r="S486" s="176"/>
      <c r="T486" s="176"/>
      <c r="U486" s="176"/>
      <c r="V486" s="176"/>
      <c r="W486" s="176"/>
      <c r="X486" s="176"/>
      <c r="Y486" s="176"/>
      <c r="Z486" s="176"/>
    </row>
    <row r="487">
      <c r="A487" s="267" t="str">
        <f>iferror(VLOOKUP(P487,'DO NOT TOUCH Imported'!$A$1:$D$800,4,False),iferror(VLOOKUP(P487,'DO NOT TOUCH Imported'!$C$1:$D$800,2,False),"OOPS FIX ME"))</f>
        <v>vegayp</v>
      </c>
      <c r="B487" s="272" t="s">
        <v>10</v>
      </c>
      <c r="C487" s="273" t="s">
        <v>1943</v>
      </c>
      <c r="D487" s="274" t="s">
        <v>437</v>
      </c>
      <c r="E487" s="275">
        <v>44263.0</v>
      </c>
      <c r="F487" s="274" t="s">
        <v>1929</v>
      </c>
      <c r="G487" s="171">
        <v>25.0</v>
      </c>
      <c r="H487" s="171">
        <v>1000.0</v>
      </c>
      <c r="I487" s="171">
        <v>100.0</v>
      </c>
      <c r="J487" s="172">
        <f t="shared" si="2"/>
        <v>0.00094422631</v>
      </c>
      <c r="K487" s="269">
        <f t="shared" si="19"/>
        <v>0.9757005204</v>
      </c>
      <c r="L487" s="270">
        <f t="shared" si="4"/>
        <v>3.787057259</v>
      </c>
      <c r="M487" s="271" t="str">
        <f t="shared" si="5"/>
        <v>vegayp</v>
      </c>
      <c r="N487" s="176">
        <f>IFERROR(__xludf.DUMMYFUNCTION("""COMPUTED_VALUE"""),10.0)</f>
        <v>10</v>
      </c>
      <c r="O487" s="176"/>
      <c r="P487" s="267" t="s">
        <v>492</v>
      </c>
      <c r="Q487" s="272" t="s">
        <v>10</v>
      </c>
      <c r="R487" s="176"/>
      <c r="S487" s="176"/>
      <c r="T487" s="176"/>
      <c r="U487" s="176"/>
      <c r="V487" s="176"/>
      <c r="W487" s="176"/>
      <c r="X487" s="176"/>
      <c r="Y487" s="176"/>
      <c r="Z487" s="176"/>
    </row>
    <row r="488">
      <c r="A488" s="267" t="str">
        <f>iferror(VLOOKUP(P488,'DO NOT TOUCH Imported'!$A$1:$D$800,4,False),iferror(VLOOKUP(P488,'DO NOT TOUCH Imported'!$C$1:$D$800,2,False),"OOPS FIX ME"))</f>
        <v>vegayp</v>
      </c>
      <c r="B488" s="249" t="s">
        <v>590</v>
      </c>
      <c r="C488" s="219" t="s">
        <v>1962</v>
      </c>
      <c r="D488" s="268" t="s">
        <v>495</v>
      </c>
      <c r="E488" s="252">
        <v>44264.0</v>
      </c>
      <c r="F488" s="250" t="s">
        <v>496</v>
      </c>
      <c r="G488" s="171">
        <v>25.0</v>
      </c>
      <c r="H488" s="171">
        <v>1000.0</v>
      </c>
      <c r="I488" s="171">
        <v>100.0</v>
      </c>
      <c r="J488" s="172">
        <f t="shared" si="2"/>
        <v>0.00094422631</v>
      </c>
      <c r="K488" s="269">
        <f t="shared" si="19"/>
        <v>0.9757005204</v>
      </c>
      <c r="L488" s="270">
        <f t="shared" si="4"/>
        <v>3.787057259</v>
      </c>
      <c r="M488" s="271" t="str">
        <f t="shared" si="5"/>
        <v>vegayp</v>
      </c>
      <c r="N488" s="176">
        <f>IFERROR(__xludf.DUMMYFUNCTION("""COMPUTED_VALUE"""),11.0)</f>
        <v>11</v>
      </c>
      <c r="O488" s="176"/>
      <c r="P488" s="249" t="s">
        <v>33</v>
      </c>
      <c r="Q488" s="249" t="s">
        <v>590</v>
      </c>
      <c r="R488" s="176"/>
      <c r="S488" s="176"/>
      <c r="T488" s="176"/>
      <c r="U488" s="176"/>
      <c r="V488" s="176"/>
      <c r="W488" s="176"/>
      <c r="X488" s="176"/>
      <c r="Y488" s="176"/>
      <c r="Z488" s="176"/>
    </row>
    <row r="489">
      <c r="A489" s="267" t="str">
        <f>iferror(VLOOKUP(P489,'DO NOT TOUCH Imported'!$A$1:$D$800,4,False),iferror(VLOOKUP(P489,'DO NOT TOUCH Imported'!$C$1:$D$800,2,False),"OOPS FIX ME"))</f>
        <v>vegayp</v>
      </c>
      <c r="B489" s="249" t="s">
        <v>590</v>
      </c>
      <c r="C489" s="219" t="s">
        <v>1963</v>
      </c>
      <c r="D489" s="268" t="s">
        <v>495</v>
      </c>
      <c r="E489" s="252">
        <v>44264.0</v>
      </c>
      <c r="F489" s="250" t="s">
        <v>496</v>
      </c>
      <c r="G489" s="171">
        <v>25.0</v>
      </c>
      <c r="H489" s="171">
        <v>1000.0</v>
      </c>
      <c r="I489" s="171">
        <v>100.0</v>
      </c>
      <c r="J489" s="172">
        <f t="shared" si="2"/>
        <v>0.00094422631</v>
      </c>
      <c r="K489" s="269">
        <f t="shared" si="19"/>
        <v>0.9757005204</v>
      </c>
      <c r="L489" s="270">
        <f t="shared" si="4"/>
        <v>3.787057259</v>
      </c>
      <c r="M489" s="271" t="str">
        <f t="shared" si="5"/>
        <v>vegayp</v>
      </c>
      <c r="N489" s="176">
        <f>IFERROR(__xludf.DUMMYFUNCTION("""COMPUTED_VALUE"""),12.0)</f>
        <v>12</v>
      </c>
      <c r="O489" s="176"/>
      <c r="P489" s="249" t="s">
        <v>33</v>
      </c>
      <c r="Q489" s="249" t="s">
        <v>590</v>
      </c>
      <c r="R489" s="176"/>
      <c r="S489" s="176"/>
      <c r="T489" s="176"/>
      <c r="U489" s="176"/>
      <c r="V489" s="176"/>
      <c r="W489" s="176"/>
      <c r="X489" s="176"/>
      <c r="Y489" s="176"/>
      <c r="Z489" s="176"/>
    </row>
    <row r="490">
      <c r="A490" s="267" t="str">
        <f>iferror(VLOOKUP(P490,'DO NOT TOUCH Imported'!$A$1:$D$800,4,False),iferror(VLOOKUP(P490,'DO NOT TOUCH Imported'!$C$1:$D$800,2,False),"OOPS FIX ME"))</f>
        <v>vegayp</v>
      </c>
      <c r="B490" s="272" t="s">
        <v>10</v>
      </c>
      <c r="C490" s="273" t="s">
        <v>2041</v>
      </c>
      <c r="D490" s="274" t="s">
        <v>437</v>
      </c>
      <c r="E490" s="306">
        <v>44267.0</v>
      </c>
      <c r="F490" s="274" t="s">
        <v>439</v>
      </c>
      <c r="G490" s="171">
        <v>35.0</v>
      </c>
      <c r="H490" s="171">
        <v>5000.0</v>
      </c>
      <c r="I490" s="171">
        <v>400.0</v>
      </c>
      <c r="J490" s="172">
        <f t="shared" si="2"/>
        <v>0.003032713781</v>
      </c>
      <c r="K490" s="269">
        <f t="shared" si="19"/>
        <v>3.133804241</v>
      </c>
      <c r="L490" s="270">
        <f t="shared" si="4"/>
        <v>3.787057259</v>
      </c>
      <c r="M490" s="271" t="str">
        <f t="shared" si="5"/>
        <v>vegayp</v>
      </c>
      <c r="N490" s="176">
        <f>IFERROR(__xludf.DUMMYFUNCTION("""COMPUTED_VALUE"""),13.0)</f>
        <v>13</v>
      </c>
      <c r="O490" s="176"/>
      <c r="P490" s="267" t="s">
        <v>492</v>
      </c>
      <c r="Q490" s="272" t="s">
        <v>10</v>
      </c>
      <c r="R490" s="176"/>
      <c r="S490" s="176"/>
      <c r="T490" s="176"/>
      <c r="U490" s="176"/>
      <c r="V490" s="176"/>
      <c r="W490" s="176"/>
      <c r="X490" s="176"/>
      <c r="Y490" s="176"/>
      <c r="Z490" s="176"/>
    </row>
    <row r="491">
      <c r="A491" s="267" t="str">
        <f>iferror(VLOOKUP(P491,'DO NOT TOUCH Imported'!$A$1:$D$800,4,False),iferror(VLOOKUP(P491,'DO NOT TOUCH Imported'!$C$1:$D$800,2,False),"OOPS FIX ME"))</f>
        <v>vegayp</v>
      </c>
      <c r="B491" s="272" t="s">
        <v>10</v>
      </c>
      <c r="C491" s="273" t="s">
        <v>2132</v>
      </c>
      <c r="D491" s="274" t="s">
        <v>437</v>
      </c>
      <c r="E491" s="306">
        <v>44267.0</v>
      </c>
      <c r="F491" s="274" t="s">
        <v>439</v>
      </c>
      <c r="G491" s="171">
        <v>50.0</v>
      </c>
      <c r="H491" s="171">
        <v>5000.0</v>
      </c>
      <c r="I491" s="171">
        <v>300.0</v>
      </c>
      <c r="J491" s="172">
        <f t="shared" si="2"/>
        <v>0.003042500767</v>
      </c>
      <c r="K491" s="269">
        <f t="shared" si="19"/>
        <v>3.14391746</v>
      </c>
      <c r="L491" s="270">
        <f t="shared" si="4"/>
        <v>3.787057259</v>
      </c>
      <c r="M491" s="271" t="str">
        <f t="shared" si="5"/>
        <v>vegayp</v>
      </c>
      <c r="N491" s="176">
        <f>IFERROR(__xludf.DUMMYFUNCTION("""COMPUTED_VALUE"""),14.0)</f>
        <v>14</v>
      </c>
      <c r="O491" s="176"/>
      <c r="P491" s="267" t="s">
        <v>492</v>
      </c>
      <c r="Q491" s="272" t="s">
        <v>10</v>
      </c>
      <c r="R491" s="176"/>
      <c r="S491" s="176"/>
      <c r="T491" s="176"/>
      <c r="U491" s="176"/>
      <c r="V491" s="176"/>
      <c r="W491" s="176"/>
      <c r="X491" s="176"/>
      <c r="Y491" s="176"/>
      <c r="Z491" s="176"/>
    </row>
    <row r="492">
      <c r="A492" s="267" t="str">
        <f>iferror(VLOOKUP(P492,'DO NOT TOUCH Imported'!$A$1:$D$800,4,False),iferror(VLOOKUP(P492,'DO NOT TOUCH Imported'!$C$1:$D$800,2,False),"OOPS FIX ME"))</f>
        <v>vegayp</v>
      </c>
      <c r="B492" s="272" t="s">
        <v>10</v>
      </c>
      <c r="C492" s="273" t="s">
        <v>2063</v>
      </c>
      <c r="D492" s="274" t="s">
        <v>437</v>
      </c>
      <c r="E492" s="306">
        <v>44267.0</v>
      </c>
      <c r="F492" s="274" t="s">
        <v>439</v>
      </c>
      <c r="G492" s="171">
        <v>35.0</v>
      </c>
      <c r="H492" s="171">
        <v>500.0</v>
      </c>
      <c r="I492" s="171">
        <v>200.0</v>
      </c>
      <c r="J492" s="172">
        <f t="shared" si="2"/>
        <v>0.001185234714</v>
      </c>
      <c r="K492" s="269">
        <f t="shared" si="19"/>
        <v>1.224742537</v>
      </c>
      <c r="L492" s="270">
        <f t="shared" si="4"/>
        <v>3.787057259</v>
      </c>
      <c r="M492" s="271" t="str">
        <f t="shared" si="5"/>
        <v>vegayp</v>
      </c>
      <c r="N492" s="176">
        <f>IFERROR(__xludf.DUMMYFUNCTION("""COMPUTED_VALUE"""),15.0)</f>
        <v>15</v>
      </c>
      <c r="O492" s="176"/>
      <c r="P492" s="267" t="s">
        <v>492</v>
      </c>
      <c r="Q492" s="272" t="s">
        <v>10</v>
      </c>
      <c r="R492" s="176"/>
      <c r="S492" s="176"/>
      <c r="T492" s="176"/>
      <c r="U492" s="176"/>
      <c r="V492" s="176"/>
      <c r="W492" s="176"/>
      <c r="X492" s="176"/>
      <c r="Y492" s="176"/>
      <c r="Z492" s="176"/>
    </row>
    <row r="493">
      <c r="A493" s="267" t="str">
        <f>iferror(VLOOKUP(P493,'DO NOT TOUCH Imported'!$A$1:$D$800,4,False),iferror(VLOOKUP(P493,'DO NOT TOUCH Imported'!$C$1:$D$800,2,False),"OOPS FIX ME"))</f>
        <v>vegayp</v>
      </c>
      <c r="B493" s="272" t="s">
        <v>10</v>
      </c>
      <c r="C493" s="273" t="s">
        <v>2014</v>
      </c>
      <c r="D493" s="274" t="s">
        <v>437</v>
      </c>
      <c r="E493" s="306">
        <v>44267.0</v>
      </c>
      <c r="F493" s="274" t="s">
        <v>439</v>
      </c>
      <c r="G493" s="171">
        <v>25.0</v>
      </c>
      <c r="H493" s="171">
        <v>1000.0</v>
      </c>
      <c r="I493" s="171">
        <v>200.0</v>
      </c>
      <c r="J493" s="172">
        <f t="shared" si="2"/>
        <v>0.001177040003</v>
      </c>
      <c r="K493" s="269">
        <f t="shared" si="19"/>
        <v>1.21627467</v>
      </c>
      <c r="L493" s="270">
        <f t="shared" si="4"/>
        <v>3.787057259</v>
      </c>
      <c r="M493" s="271" t="str">
        <f t="shared" si="5"/>
        <v>vegayp</v>
      </c>
      <c r="N493" s="176">
        <f>IFERROR(__xludf.DUMMYFUNCTION("""COMPUTED_VALUE"""),16.0)</f>
        <v>16</v>
      </c>
      <c r="O493" s="176"/>
      <c r="P493" s="267" t="s">
        <v>492</v>
      </c>
      <c r="Q493" s="272" t="s">
        <v>10</v>
      </c>
      <c r="R493" s="176"/>
      <c r="S493" s="176"/>
      <c r="T493" s="176"/>
      <c r="U493" s="176"/>
      <c r="V493" s="176"/>
      <c r="W493" s="176"/>
      <c r="X493" s="176"/>
      <c r="Y493" s="176"/>
      <c r="Z493" s="176"/>
    </row>
    <row r="494">
      <c r="A494" s="267" t="str">
        <f>iferror(VLOOKUP(P494,'DO NOT TOUCH Imported'!$A$1:$D$800,4,False),iferror(VLOOKUP(P494,'DO NOT TOUCH Imported'!$C$1:$D$800,2,False),"OOPS FIX ME"))</f>
        <v>vegayp</v>
      </c>
      <c r="B494" s="272" t="s">
        <v>10</v>
      </c>
      <c r="C494" s="273" t="s">
        <v>1952</v>
      </c>
      <c r="D494" s="274" t="s">
        <v>437</v>
      </c>
      <c r="E494" s="306">
        <v>44267.0</v>
      </c>
      <c r="F494" s="274" t="s">
        <v>439</v>
      </c>
      <c r="G494" s="171">
        <v>25.0</v>
      </c>
      <c r="H494" s="171">
        <v>1000.0</v>
      </c>
      <c r="I494" s="171">
        <v>10.0</v>
      </c>
      <c r="J494" s="172">
        <f t="shared" si="2"/>
        <v>0.0007346939862</v>
      </c>
      <c r="K494" s="269">
        <f t="shared" si="19"/>
        <v>0.7591837857</v>
      </c>
      <c r="L494" s="270">
        <f t="shared" si="4"/>
        <v>3.787057259</v>
      </c>
      <c r="M494" s="271" t="str">
        <f t="shared" si="5"/>
        <v>vegayp</v>
      </c>
      <c r="N494" s="176">
        <f>IFERROR(__xludf.DUMMYFUNCTION("""COMPUTED_VALUE"""),17.0)</f>
        <v>17</v>
      </c>
      <c r="O494" s="176"/>
      <c r="P494" s="267" t="s">
        <v>492</v>
      </c>
      <c r="Q494" s="272" t="s">
        <v>10</v>
      </c>
      <c r="R494" s="176"/>
      <c r="S494" s="176"/>
      <c r="T494" s="176"/>
      <c r="U494" s="176"/>
      <c r="V494" s="176"/>
      <c r="W494" s="176"/>
      <c r="X494" s="176"/>
      <c r="Y494" s="176"/>
      <c r="Z494" s="176"/>
    </row>
    <row r="495">
      <c r="A495" s="267" t="str">
        <f>iferror(VLOOKUP(P495,'DO NOT TOUCH Imported'!$A$1:$D$800,4,False),iferror(VLOOKUP(P495,'DO NOT TOUCH Imported'!$C$1:$D$800,2,False),"OOPS FIX ME"))</f>
        <v>vegayp</v>
      </c>
      <c r="B495" s="249" t="s">
        <v>10</v>
      </c>
      <c r="C495" s="219" t="s">
        <v>498</v>
      </c>
      <c r="D495" s="268" t="s">
        <v>495</v>
      </c>
      <c r="E495" s="252">
        <v>44267.0</v>
      </c>
      <c r="F495" s="250" t="s">
        <v>499</v>
      </c>
      <c r="G495" s="171">
        <v>25.0</v>
      </c>
      <c r="H495" s="171">
        <v>500.0</v>
      </c>
      <c r="I495" s="171">
        <v>100.0</v>
      </c>
      <c r="J495" s="172">
        <f t="shared" si="2"/>
        <v>0.0007906872343</v>
      </c>
      <c r="K495" s="269">
        <f t="shared" si="19"/>
        <v>0.8170434755</v>
      </c>
      <c r="L495" s="270">
        <f t="shared" si="4"/>
        <v>3.787057259</v>
      </c>
      <c r="M495" s="271" t="str">
        <f t="shared" si="5"/>
        <v>vegayp</v>
      </c>
      <c r="N495" s="176">
        <f>IFERROR(__xludf.DUMMYFUNCTION("""COMPUTED_VALUE"""),18.0)</f>
        <v>18</v>
      </c>
      <c r="O495" s="176"/>
      <c r="P495" s="249" t="s">
        <v>33</v>
      </c>
      <c r="Q495" s="249" t="s">
        <v>10</v>
      </c>
      <c r="R495" s="176"/>
      <c r="S495" s="176"/>
      <c r="T495" s="176"/>
      <c r="U495" s="176"/>
      <c r="V495" s="176"/>
      <c r="W495" s="176"/>
      <c r="X495" s="176"/>
      <c r="Y495" s="176"/>
      <c r="Z495" s="176"/>
    </row>
    <row r="496">
      <c r="A496" s="185" t="str">
        <f>iferror(VLOOKUP(P496,'DO NOT TOUCH Imported'!$A$1:$D$800,4,False),iferror(VLOOKUP(P496,'DO NOT TOUCH Imported'!$C$1:$D$800,2,False),"OOPS FIX ME"))</f>
        <v>vegayp</v>
      </c>
      <c r="B496" s="185" t="s">
        <v>534</v>
      </c>
      <c r="C496" s="186" t="s">
        <v>810</v>
      </c>
      <c r="D496" s="187"/>
      <c r="E496" s="188"/>
      <c r="F496" s="189"/>
      <c r="G496" s="190"/>
      <c r="H496" s="190"/>
      <c r="I496" s="190"/>
      <c r="J496" s="191">
        <f t="shared" si="2"/>
        <v>0</v>
      </c>
      <c r="K496" s="192">
        <f>25.248*-0.85</f>
        <v>-21.4608</v>
      </c>
      <c r="L496" s="193">
        <f t="shared" si="4"/>
        <v>3.787057259</v>
      </c>
      <c r="M496" s="194" t="str">
        <f t="shared" si="5"/>
        <v>vegayp</v>
      </c>
      <c r="N496" s="195">
        <f>IFERROR(__xludf.DUMMYFUNCTION("""COMPUTED_VALUE"""),19.0)</f>
        <v>19</v>
      </c>
      <c r="O496" s="195"/>
      <c r="P496" s="185" t="s">
        <v>33</v>
      </c>
      <c r="Q496" s="185" t="s">
        <v>534</v>
      </c>
      <c r="R496" s="195">
        <v>18.802169413641863</v>
      </c>
      <c r="S496" s="195"/>
      <c r="T496" s="195"/>
      <c r="U496" s="195"/>
      <c r="V496" s="195"/>
      <c r="W496" s="195"/>
      <c r="X496" s="195"/>
      <c r="Y496" s="195"/>
      <c r="Z496" s="195"/>
    </row>
    <row r="497">
      <c r="A497" s="267" t="str">
        <f>iferror(VLOOKUP(P497,'DO NOT TOUCH Imported'!$A$1:$D$800,4,False),iferror(VLOOKUP(P497,'DO NOT TOUCH Imported'!$C$1:$D$800,2,False),"OOPS FIX ME"))</f>
        <v>krrisis</v>
      </c>
      <c r="B497" s="249" t="s">
        <v>10</v>
      </c>
      <c r="C497" s="219" t="s">
        <v>498</v>
      </c>
      <c r="D497" s="268" t="s">
        <v>495</v>
      </c>
      <c r="E497" s="252">
        <v>44260.0</v>
      </c>
      <c r="F497" s="250" t="s">
        <v>499</v>
      </c>
      <c r="G497" s="171">
        <v>35.0</v>
      </c>
      <c r="H497" s="171">
        <v>500.0</v>
      </c>
      <c r="I497" s="171">
        <v>40.0</v>
      </c>
      <c r="J497" s="172">
        <f t="shared" si="2"/>
        <v>0.0008127328046</v>
      </c>
      <c r="K497" s="269">
        <f t="shared" ref="K497:K511" si="20">J497*$J$1</f>
        <v>0.8398238981</v>
      </c>
      <c r="L497" s="270">
        <f t="shared" si="4"/>
        <v>3.748344373</v>
      </c>
      <c r="M497" s="271" t="str">
        <f t="shared" si="5"/>
        <v>krrisis</v>
      </c>
      <c r="N497" s="176">
        <f>IFERROR(__xludf.DUMMYFUNCTION("""COMPUTED_VALUE"""),1.0)</f>
        <v>1</v>
      </c>
      <c r="O497" s="176"/>
      <c r="P497" s="249" t="s">
        <v>77</v>
      </c>
      <c r="Q497" s="249" t="s">
        <v>10</v>
      </c>
      <c r="R497" s="176"/>
      <c r="S497" s="176"/>
      <c r="T497" s="176"/>
      <c r="U497" s="176"/>
      <c r="V497" s="176"/>
      <c r="W497" s="176"/>
      <c r="X497" s="176"/>
      <c r="Y497" s="176"/>
      <c r="Z497" s="176"/>
    </row>
    <row r="498">
      <c r="A498" s="267" t="str">
        <f>iferror(VLOOKUP(P498,'DO NOT TOUCH Imported'!$A$1:$D$800,4,False),iferror(VLOOKUP(P498,'DO NOT TOUCH Imported'!$C$1:$D$800,2,False),"OOPS FIX ME"))</f>
        <v>krrisis</v>
      </c>
      <c r="B498" s="272" t="s">
        <v>845</v>
      </c>
      <c r="C498" s="273" t="s">
        <v>2133</v>
      </c>
      <c r="D498" s="274" t="s">
        <v>499</v>
      </c>
      <c r="E498" s="275">
        <v>44263.0</v>
      </c>
      <c r="F498" s="274" t="s">
        <v>2134</v>
      </c>
      <c r="G498" s="171">
        <v>25.0</v>
      </c>
      <c r="H498" s="171">
        <v>2500.0</v>
      </c>
      <c r="I498" s="171">
        <v>300.0</v>
      </c>
      <c r="J498" s="172">
        <f t="shared" si="2"/>
        <v>0.001870470923</v>
      </c>
      <c r="K498" s="269">
        <f t="shared" si="20"/>
        <v>1.932819954</v>
      </c>
      <c r="L498" s="270">
        <f t="shared" si="4"/>
        <v>3.748344373</v>
      </c>
      <c r="M498" s="271" t="str">
        <f t="shared" si="5"/>
        <v>krrisis</v>
      </c>
      <c r="N498" s="176">
        <f>IFERROR(__xludf.DUMMYFUNCTION("""COMPUTED_VALUE"""),2.0)</f>
        <v>2</v>
      </c>
      <c r="O498" s="176"/>
      <c r="P498" s="267" t="s">
        <v>2135</v>
      </c>
      <c r="Q498" s="272" t="s">
        <v>845</v>
      </c>
      <c r="R498" s="176"/>
      <c r="S498" s="176"/>
      <c r="T498" s="176"/>
      <c r="U498" s="176"/>
      <c r="V498" s="176"/>
      <c r="W498" s="176"/>
      <c r="X498" s="176"/>
      <c r="Y498" s="176"/>
      <c r="Z498" s="176"/>
    </row>
    <row r="499">
      <c r="A499" s="267" t="str">
        <f>iferror(VLOOKUP(P499,'DO NOT TOUCH Imported'!$A$1:$D$800,4,False),iferror(VLOOKUP(P499,'DO NOT TOUCH Imported'!$C$1:$D$800,2,False),"OOPS FIX ME"))</f>
        <v>krrisis</v>
      </c>
      <c r="B499" s="272" t="s">
        <v>845</v>
      </c>
      <c r="C499" s="273" t="s">
        <v>2076</v>
      </c>
      <c r="D499" s="274" t="s">
        <v>499</v>
      </c>
      <c r="E499" s="275">
        <v>44265.0</v>
      </c>
      <c r="F499" s="274" t="s">
        <v>1646</v>
      </c>
      <c r="G499" s="171">
        <v>25.0</v>
      </c>
      <c r="H499" s="171">
        <v>1000.0</v>
      </c>
      <c r="I499" s="171">
        <v>100.0</v>
      </c>
      <c r="J499" s="172">
        <f t="shared" si="2"/>
        <v>0.00094422631</v>
      </c>
      <c r="K499" s="269">
        <f t="shared" si="20"/>
        <v>0.9757005204</v>
      </c>
      <c r="L499" s="270">
        <f t="shared" si="4"/>
        <v>3.748344373</v>
      </c>
      <c r="M499" s="271" t="str">
        <f t="shared" si="5"/>
        <v>krrisis</v>
      </c>
      <c r="N499" s="176">
        <f>IFERROR(__xludf.DUMMYFUNCTION("""COMPUTED_VALUE"""),3.0)</f>
        <v>3</v>
      </c>
      <c r="O499" s="176"/>
      <c r="P499" s="267" t="s">
        <v>2135</v>
      </c>
      <c r="Q499" s="272" t="s">
        <v>845</v>
      </c>
      <c r="R499" s="176"/>
      <c r="S499" s="176"/>
      <c r="T499" s="176"/>
      <c r="U499" s="176"/>
      <c r="V499" s="176"/>
      <c r="W499" s="176"/>
      <c r="X499" s="176"/>
      <c r="Y499" s="176"/>
      <c r="Z499" s="176"/>
    </row>
    <row r="500">
      <c r="A500" s="267" t="str">
        <f>iferror(VLOOKUP(P500,'DO NOT TOUCH Imported'!$A$1:$D$800,4,False),iferror(VLOOKUP(P500,'DO NOT TOUCH Imported'!$C$1:$D$800,2,False),"OOPS FIX ME"))</f>
        <v>trentmc0</v>
      </c>
      <c r="B500" s="272" t="s">
        <v>590</v>
      </c>
      <c r="C500" s="273" t="s">
        <v>2136</v>
      </c>
      <c r="D500" s="274" t="s">
        <v>499</v>
      </c>
      <c r="E500" s="275">
        <v>44263.0</v>
      </c>
      <c r="F500" s="274" t="s">
        <v>1646</v>
      </c>
      <c r="G500" s="171">
        <v>25.0</v>
      </c>
      <c r="H500" s="171">
        <v>2500.0</v>
      </c>
      <c r="I500" s="171">
        <v>1000.0</v>
      </c>
      <c r="J500" s="172">
        <f t="shared" si="2"/>
        <v>0.003500166776</v>
      </c>
      <c r="K500" s="269">
        <f t="shared" si="20"/>
        <v>3.616839002</v>
      </c>
      <c r="L500" s="270">
        <f t="shared" si="4"/>
        <v>3.616839002</v>
      </c>
      <c r="M500" s="271" t="str">
        <f t="shared" si="5"/>
        <v>trentmc0</v>
      </c>
      <c r="N500" s="176">
        <f>IFERROR(__xludf.DUMMYFUNCTION("""COMPUTED_VALUE"""),1.0)</f>
        <v>1</v>
      </c>
      <c r="O500" s="176"/>
      <c r="P500" s="267" t="s">
        <v>2137</v>
      </c>
      <c r="Q500" s="272" t="s">
        <v>590</v>
      </c>
      <c r="R500" s="176"/>
      <c r="S500" s="176"/>
      <c r="T500" s="176"/>
      <c r="U500" s="176"/>
      <c r="V500" s="176"/>
      <c r="W500" s="176"/>
      <c r="X500" s="176"/>
      <c r="Y500" s="176"/>
      <c r="Z500" s="176"/>
    </row>
    <row r="501">
      <c r="A501" s="267" t="str">
        <f>iferror(VLOOKUP(P501,'DO NOT TOUCH Imported'!$A$1:$D$800,4,False),iferror(VLOOKUP(P501,'DO NOT TOUCH Imported'!$C$1:$D$800,2,False),"OOPS FIX ME"))</f>
        <v>Luukweber</v>
      </c>
      <c r="B501" s="272" t="s">
        <v>1702</v>
      </c>
      <c r="C501" s="273" t="s">
        <v>2096</v>
      </c>
      <c r="D501" s="274" t="s">
        <v>499</v>
      </c>
      <c r="E501" s="275">
        <v>44263.0</v>
      </c>
      <c r="F501" s="274" t="s">
        <v>1646</v>
      </c>
      <c r="G501" s="171">
        <v>25.0</v>
      </c>
      <c r="H501" s="171">
        <v>2500.0</v>
      </c>
      <c r="I501" s="171">
        <v>1000.0</v>
      </c>
      <c r="J501" s="172">
        <f t="shared" si="2"/>
        <v>0.003500166776</v>
      </c>
      <c r="K501" s="269">
        <f t="shared" si="20"/>
        <v>3.616839002</v>
      </c>
      <c r="L501" s="270">
        <f t="shared" si="4"/>
        <v>3.616839002</v>
      </c>
      <c r="M501" s="271" t="str">
        <f t="shared" si="5"/>
        <v>Luukweber</v>
      </c>
      <c r="N501" s="176">
        <f>IFERROR(__xludf.DUMMYFUNCTION("""COMPUTED_VALUE"""),1.0)</f>
        <v>1</v>
      </c>
      <c r="O501" s="176"/>
      <c r="P501" s="267" t="s">
        <v>2138</v>
      </c>
      <c r="Q501" s="272" t="s">
        <v>1702</v>
      </c>
      <c r="R501" s="176"/>
      <c r="S501" s="176"/>
      <c r="T501" s="176"/>
      <c r="U501" s="176"/>
      <c r="V501" s="176"/>
      <c r="W501" s="176"/>
      <c r="X501" s="176"/>
      <c r="Y501" s="176"/>
      <c r="Z501" s="176"/>
    </row>
    <row r="502">
      <c r="A502" s="267" t="str">
        <f>iferror(VLOOKUP(P502,'DO NOT TOUCH Imported'!$A$1:$D$800,4,False),iferror(VLOOKUP(P502,'DO NOT TOUCH Imported'!$C$1:$D$800,2,False),"OOPS FIX ME"))</f>
        <v>vivszaid</v>
      </c>
      <c r="B502" s="249" t="s">
        <v>6</v>
      </c>
      <c r="C502" s="219" t="s">
        <v>2139</v>
      </c>
      <c r="D502" s="268" t="s">
        <v>495</v>
      </c>
      <c r="E502" s="252">
        <v>44258.0</v>
      </c>
      <c r="F502" s="250" t="s">
        <v>496</v>
      </c>
      <c r="G502" s="171">
        <v>50.0</v>
      </c>
      <c r="H502" s="171">
        <v>1000.0</v>
      </c>
      <c r="I502" s="171">
        <v>100.0</v>
      </c>
      <c r="J502" s="172">
        <f t="shared" si="2"/>
        <v>0.001348560775</v>
      </c>
      <c r="K502" s="269">
        <f t="shared" si="20"/>
        <v>1.393512801</v>
      </c>
      <c r="L502" s="270">
        <f t="shared" si="4"/>
        <v>3.566906905</v>
      </c>
      <c r="M502" s="271" t="str">
        <f t="shared" si="5"/>
        <v>vivszaid</v>
      </c>
      <c r="N502" s="176">
        <f>IFERROR(__xludf.DUMMYFUNCTION("""COMPUTED_VALUE"""),1.0)</f>
        <v>1</v>
      </c>
      <c r="O502" s="176"/>
      <c r="P502" s="249" t="s">
        <v>85</v>
      </c>
      <c r="Q502" s="249" t="s">
        <v>6</v>
      </c>
      <c r="R502" s="176"/>
      <c r="S502" s="176"/>
      <c r="T502" s="176"/>
      <c r="U502" s="176"/>
      <c r="V502" s="176"/>
      <c r="W502" s="176"/>
      <c r="X502" s="176"/>
      <c r="Y502" s="176"/>
      <c r="Z502" s="176"/>
    </row>
    <row r="503">
      <c r="A503" s="267" t="str">
        <f>iferror(VLOOKUP(P503,'DO NOT TOUCH Imported'!$A$1:$D$800,4,False),iferror(VLOOKUP(P503,'DO NOT TOUCH Imported'!$C$1:$D$800,2,False),"OOPS FIX ME"))</f>
        <v>vivszaid</v>
      </c>
      <c r="B503" s="249" t="s">
        <v>10</v>
      </c>
      <c r="C503" s="219" t="s">
        <v>2049</v>
      </c>
      <c r="D503" s="268" t="s">
        <v>495</v>
      </c>
      <c r="E503" s="252">
        <v>44260.0</v>
      </c>
      <c r="F503" s="250" t="s">
        <v>496</v>
      </c>
      <c r="G503" s="171">
        <v>25.0</v>
      </c>
      <c r="H503" s="171">
        <v>2500.0</v>
      </c>
      <c r="I503" s="171">
        <v>400.0</v>
      </c>
      <c r="J503" s="172">
        <f t="shared" si="2"/>
        <v>0.002103284617</v>
      </c>
      <c r="K503" s="269">
        <f t="shared" si="20"/>
        <v>2.173394104</v>
      </c>
      <c r="L503" s="270">
        <f t="shared" si="4"/>
        <v>3.566906905</v>
      </c>
      <c r="M503" s="271" t="str">
        <f t="shared" si="5"/>
        <v>vivszaid</v>
      </c>
      <c r="N503" s="176">
        <f>IFERROR(__xludf.DUMMYFUNCTION("""COMPUTED_VALUE"""),2.0)</f>
        <v>2</v>
      </c>
      <c r="O503" s="176"/>
      <c r="P503" s="249" t="s">
        <v>85</v>
      </c>
      <c r="Q503" s="249" t="s">
        <v>10</v>
      </c>
      <c r="R503" s="176"/>
      <c r="S503" s="176"/>
      <c r="T503" s="176"/>
      <c r="U503" s="176"/>
      <c r="V503" s="176"/>
      <c r="W503" s="176"/>
      <c r="X503" s="176"/>
      <c r="Y503" s="176"/>
      <c r="Z503" s="176"/>
    </row>
    <row r="504">
      <c r="A504" s="185" t="str">
        <f>iferror(VLOOKUP(P504,'DO NOT TOUCH Imported'!$A$1:$D$800,4,False),iferror(VLOOKUP(P504,'DO NOT TOUCH Imported'!$C$1:$D$800,2,False),"OOPS FIX ME"))</f>
        <v>vivszaid</v>
      </c>
      <c r="B504" s="185" t="s">
        <v>534</v>
      </c>
      <c r="C504" s="210" t="s">
        <v>717</v>
      </c>
      <c r="D504" s="187"/>
      <c r="E504" s="188"/>
      <c r="F504" s="189"/>
      <c r="G504" s="190"/>
      <c r="H504" s="190"/>
      <c r="I504" s="190"/>
      <c r="J504" s="191">
        <f t="shared" si="2"/>
        <v>0</v>
      </c>
      <c r="K504" s="192">
        <f t="shared" si="20"/>
        <v>0</v>
      </c>
      <c r="L504" s="193">
        <f t="shared" si="4"/>
        <v>3.566906905</v>
      </c>
      <c r="M504" s="194" t="str">
        <f t="shared" si="5"/>
        <v>vivszaid</v>
      </c>
      <c r="N504" s="195">
        <f>IFERROR(__xludf.DUMMYFUNCTION("""COMPUTED_VALUE"""),3.0)</f>
        <v>3</v>
      </c>
      <c r="O504" s="195"/>
      <c r="P504" s="185" t="s">
        <v>85</v>
      </c>
      <c r="Q504" s="185" t="s">
        <v>534</v>
      </c>
      <c r="R504" s="195">
        <v>14.130370493717818</v>
      </c>
      <c r="S504" s="195"/>
      <c r="T504" s="195"/>
      <c r="U504" s="195"/>
      <c r="V504" s="195"/>
      <c r="W504" s="195"/>
      <c r="X504" s="195"/>
      <c r="Y504" s="195"/>
      <c r="Z504" s="195"/>
    </row>
    <row r="505">
      <c r="A505" s="267" t="str">
        <f>iferror(VLOOKUP(P505,'DO NOT TOUCH Imported'!$A$1:$D$800,4,False),iferror(VLOOKUP(P505,'DO NOT TOUCH Imported'!$C$1:$D$800,2,False),"OOPS FIX ME"))</f>
        <v>paulo_c2d</v>
      </c>
      <c r="B505" s="249" t="s">
        <v>6</v>
      </c>
      <c r="C505" s="219" t="s">
        <v>2139</v>
      </c>
      <c r="D505" s="268" t="s">
        <v>495</v>
      </c>
      <c r="E505" s="252">
        <v>44258.0</v>
      </c>
      <c r="F505" s="250" t="s">
        <v>496</v>
      </c>
      <c r="G505" s="171">
        <v>50.0</v>
      </c>
      <c r="H505" s="171">
        <v>1000.0</v>
      </c>
      <c r="I505" s="171">
        <v>100.0</v>
      </c>
      <c r="J505" s="172">
        <f t="shared" si="2"/>
        <v>0.001348560775</v>
      </c>
      <c r="K505" s="269">
        <f t="shared" si="20"/>
        <v>1.393512801</v>
      </c>
      <c r="L505" s="270">
        <f t="shared" si="4"/>
        <v>3.482308843</v>
      </c>
      <c r="M505" s="271" t="str">
        <f t="shared" si="5"/>
        <v>paulo_c2d</v>
      </c>
      <c r="N505" s="176">
        <f>IFERROR(__xludf.DUMMYFUNCTION("""COMPUTED_VALUE"""),1.0)</f>
        <v>1</v>
      </c>
      <c r="O505" s="176"/>
      <c r="P505" s="249" t="s">
        <v>30</v>
      </c>
      <c r="Q505" s="249" t="s">
        <v>6</v>
      </c>
      <c r="R505" s="176"/>
      <c r="S505" s="176"/>
      <c r="T505" s="176"/>
      <c r="U505" s="176"/>
      <c r="V505" s="176"/>
      <c r="W505" s="176"/>
      <c r="X505" s="176"/>
      <c r="Y505" s="176"/>
      <c r="Z505" s="176"/>
    </row>
    <row r="506">
      <c r="A506" s="267" t="str">
        <f>iferror(VLOOKUP(P506,'DO NOT TOUCH Imported'!$A$1:$D$800,4,False),iferror(VLOOKUP(P506,'DO NOT TOUCH Imported'!$C$1:$D$800,2,False),"OOPS FIX ME"))</f>
        <v>paulo_c2d</v>
      </c>
      <c r="B506" s="249" t="s">
        <v>10</v>
      </c>
      <c r="C506" s="219" t="s">
        <v>2048</v>
      </c>
      <c r="D506" s="268" t="s">
        <v>495</v>
      </c>
      <c r="E506" s="252">
        <v>44260.0</v>
      </c>
      <c r="F506" s="250" t="s">
        <v>496</v>
      </c>
      <c r="G506" s="171">
        <v>100.0</v>
      </c>
      <c r="H506" s="171">
        <v>3500.0</v>
      </c>
      <c r="I506" s="171">
        <v>300.0</v>
      </c>
      <c r="J506" s="172">
        <f t="shared" si="2"/>
        <v>0.003390552471</v>
      </c>
      <c r="K506" s="269">
        <f t="shared" si="20"/>
        <v>3.503570887</v>
      </c>
      <c r="L506" s="270">
        <f t="shared" si="4"/>
        <v>3.482308843</v>
      </c>
      <c r="M506" s="271" t="str">
        <f t="shared" si="5"/>
        <v>paulo_c2d</v>
      </c>
      <c r="N506" s="176">
        <f>IFERROR(__xludf.DUMMYFUNCTION("""COMPUTED_VALUE"""),2.0)</f>
        <v>2</v>
      </c>
      <c r="O506" s="176"/>
      <c r="P506" s="249" t="s">
        <v>30</v>
      </c>
      <c r="Q506" s="249" t="s">
        <v>10</v>
      </c>
      <c r="R506" s="176"/>
      <c r="S506" s="176"/>
      <c r="T506" s="176"/>
      <c r="U506" s="176"/>
      <c r="V506" s="176"/>
      <c r="W506" s="176"/>
      <c r="X506" s="176"/>
      <c r="Y506" s="176"/>
      <c r="Z506" s="176"/>
    </row>
    <row r="507">
      <c r="A507" s="267" t="str">
        <f>iferror(VLOOKUP(P507,'DO NOT TOUCH Imported'!$A$1:$D$800,4,False),iferror(VLOOKUP(P507,'DO NOT TOUCH Imported'!$C$1:$D$800,2,False),"OOPS FIX ME"))</f>
        <v>paulo_c2d</v>
      </c>
      <c r="B507" s="249" t="s">
        <v>10</v>
      </c>
      <c r="C507" s="219" t="s">
        <v>2049</v>
      </c>
      <c r="D507" s="268" t="s">
        <v>495</v>
      </c>
      <c r="E507" s="252">
        <v>44260.0</v>
      </c>
      <c r="F507" s="250" t="s">
        <v>496</v>
      </c>
      <c r="G507" s="171">
        <v>25.0</v>
      </c>
      <c r="H507" s="171">
        <v>2500.0</v>
      </c>
      <c r="I507" s="171">
        <v>400.0</v>
      </c>
      <c r="J507" s="172">
        <f t="shared" si="2"/>
        <v>0.002103284617</v>
      </c>
      <c r="K507" s="269">
        <f t="shared" si="20"/>
        <v>2.173394104</v>
      </c>
      <c r="L507" s="270">
        <f t="shared" si="4"/>
        <v>3.482308843</v>
      </c>
      <c r="M507" s="271" t="str">
        <f t="shared" si="5"/>
        <v>paulo_c2d</v>
      </c>
      <c r="N507" s="176">
        <f>IFERROR(__xludf.DUMMYFUNCTION("""COMPUTED_VALUE"""),3.0)</f>
        <v>3</v>
      </c>
      <c r="O507" s="176"/>
      <c r="P507" s="249" t="s">
        <v>30</v>
      </c>
      <c r="Q507" s="249" t="s">
        <v>10</v>
      </c>
      <c r="R507" s="176"/>
      <c r="S507" s="176"/>
      <c r="T507" s="176"/>
      <c r="U507" s="176"/>
      <c r="V507" s="176"/>
      <c r="W507" s="176"/>
      <c r="X507" s="176"/>
      <c r="Y507" s="176"/>
      <c r="Z507" s="176"/>
    </row>
    <row r="508">
      <c r="A508" s="267" t="str">
        <f>iferror(VLOOKUP(P508,'DO NOT TOUCH Imported'!$A$1:$D$800,4,False),iferror(VLOOKUP(P508,'DO NOT TOUCH Imported'!$C$1:$D$800,2,False),"OOPS FIX ME"))</f>
        <v>paulo_c2d</v>
      </c>
      <c r="B508" s="249" t="s">
        <v>519</v>
      </c>
      <c r="C508" s="219" t="s">
        <v>2140</v>
      </c>
      <c r="D508" s="268" t="s">
        <v>495</v>
      </c>
      <c r="E508" s="252">
        <v>44263.0</v>
      </c>
      <c r="F508" s="250" t="s">
        <v>627</v>
      </c>
      <c r="G508" s="171">
        <v>25.0</v>
      </c>
      <c r="H508" s="171">
        <v>1000.0</v>
      </c>
      <c r="I508" s="171">
        <v>200.0</v>
      </c>
      <c r="J508" s="172">
        <f t="shared" si="2"/>
        <v>0.001177040003</v>
      </c>
      <c r="K508" s="269">
        <f t="shared" si="20"/>
        <v>1.21627467</v>
      </c>
      <c r="L508" s="270">
        <f t="shared" si="4"/>
        <v>3.482308843</v>
      </c>
      <c r="M508" s="271" t="str">
        <f t="shared" si="5"/>
        <v>paulo_c2d</v>
      </c>
      <c r="N508" s="176">
        <f>IFERROR(__xludf.DUMMYFUNCTION("""COMPUTED_VALUE"""),4.0)</f>
        <v>4</v>
      </c>
      <c r="O508" s="176"/>
      <c r="P508" s="249" t="s">
        <v>30</v>
      </c>
      <c r="Q508" s="249" t="s">
        <v>519</v>
      </c>
      <c r="R508" s="176"/>
      <c r="S508" s="176"/>
      <c r="T508" s="176"/>
      <c r="U508" s="176"/>
      <c r="V508" s="176"/>
      <c r="W508" s="176"/>
      <c r="X508" s="176"/>
      <c r="Y508" s="176"/>
      <c r="Z508" s="176"/>
    </row>
    <row r="509">
      <c r="A509" s="267" t="str">
        <f>iferror(VLOOKUP(P509,'DO NOT TOUCH Imported'!$A$1:$D$800,4,False),iferror(VLOOKUP(P509,'DO NOT TOUCH Imported'!$C$1:$D$800,2,False),"OOPS FIX ME"))</f>
        <v>paulo_c2d</v>
      </c>
      <c r="B509" s="249" t="s">
        <v>30</v>
      </c>
      <c r="C509" s="219" t="s">
        <v>2141</v>
      </c>
      <c r="D509" s="268" t="s">
        <v>495</v>
      </c>
      <c r="E509" s="252">
        <v>44265.0</v>
      </c>
      <c r="F509" s="250" t="s">
        <v>627</v>
      </c>
      <c r="G509" s="171">
        <v>100.0</v>
      </c>
      <c r="H509" s="171">
        <v>10000.0</v>
      </c>
      <c r="I509" s="171">
        <v>200.0</v>
      </c>
      <c r="J509" s="172">
        <f t="shared" si="2"/>
        <v>0.005153746762</v>
      </c>
      <c r="K509" s="269">
        <f t="shared" si="20"/>
        <v>5.325538321</v>
      </c>
      <c r="L509" s="270">
        <f t="shared" si="4"/>
        <v>3.482308843</v>
      </c>
      <c r="M509" s="271" t="str">
        <f t="shared" si="5"/>
        <v>paulo_c2d</v>
      </c>
      <c r="N509" s="176">
        <f>IFERROR(__xludf.DUMMYFUNCTION("""COMPUTED_VALUE"""),5.0)</f>
        <v>5</v>
      </c>
      <c r="O509" s="176"/>
      <c r="P509" s="249" t="s">
        <v>30</v>
      </c>
      <c r="Q509" s="249" t="s">
        <v>30</v>
      </c>
      <c r="R509" s="176"/>
      <c r="S509" s="176"/>
      <c r="T509" s="176"/>
      <c r="U509" s="176"/>
      <c r="V509" s="176"/>
      <c r="W509" s="176"/>
      <c r="X509" s="176"/>
      <c r="Y509" s="176"/>
      <c r="Z509" s="176"/>
    </row>
    <row r="510">
      <c r="A510" s="267" t="str">
        <f>iferror(VLOOKUP(P510,'DO NOT TOUCH Imported'!$A$1:$D$800,4,False),iferror(VLOOKUP(P510,'DO NOT TOUCH Imported'!$C$1:$D$800,2,False),"OOPS FIX ME"))</f>
        <v>paulo_c2d</v>
      </c>
      <c r="B510" s="272" t="s">
        <v>10</v>
      </c>
      <c r="C510" s="273" t="s">
        <v>2025</v>
      </c>
      <c r="D510" s="274" t="s">
        <v>437</v>
      </c>
      <c r="E510" s="306">
        <v>44267.0</v>
      </c>
      <c r="F510" s="274" t="s">
        <v>439</v>
      </c>
      <c r="G510" s="171">
        <v>50.0</v>
      </c>
      <c r="H510" s="171">
        <v>2500.0</v>
      </c>
      <c r="I510" s="171">
        <v>3000.0</v>
      </c>
      <c r="J510" s="172">
        <f t="shared" si="2"/>
        <v>0.008560775105</v>
      </c>
      <c r="K510" s="269">
        <f t="shared" si="20"/>
        <v>8.846134275</v>
      </c>
      <c r="L510" s="270">
        <f t="shared" si="4"/>
        <v>3.482308843</v>
      </c>
      <c r="M510" s="271" t="str">
        <f t="shared" si="5"/>
        <v>paulo_c2d</v>
      </c>
      <c r="N510" s="176">
        <f>IFERROR(__xludf.DUMMYFUNCTION("""COMPUTED_VALUE"""),6.0)</f>
        <v>6</v>
      </c>
      <c r="O510" s="176"/>
      <c r="P510" s="267" t="s">
        <v>651</v>
      </c>
      <c r="Q510" s="272" t="s">
        <v>10</v>
      </c>
      <c r="R510" s="176"/>
      <c r="S510" s="176"/>
      <c r="T510" s="176"/>
      <c r="U510" s="176"/>
      <c r="V510" s="176"/>
      <c r="W510" s="176"/>
      <c r="X510" s="176"/>
      <c r="Y510" s="176"/>
      <c r="Z510" s="176"/>
    </row>
    <row r="511">
      <c r="A511" s="267" t="str">
        <f>iferror(VLOOKUP(P511,'DO NOT TOUCH Imported'!$A$1:$D$800,4,False),iferror(VLOOKUP(P511,'DO NOT TOUCH Imported'!$C$1:$D$800,2,False),"OOPS FIX ME"))</f>
        <v>paulo_c2d</v>
      </c>
      <c r="B511" s="272" t="s">
        <v>10</v>
      </c>
      <c r="C511" s="273" t="s">
        <v>1952</v>
      </c>
      <c r="D511" s="274" t="s">
        <v>437</v>
      </c>
      <c r="E511" s="306">
        <v>44267.0</v>
      </c>
      <c r="F511" s="274" t="s">
        <v>439</v>
      </c>
      <c r="G511" s="171">
        <v>25.0</v>
      </c>
      <c r="H511" s="171">
        <v>1000.0</v>
      </c>
      <c r="I511" s="171">
        <v>10.0</v>
      </c>
      <c r="J511" s="172">
        <f t="shared" si="2"/>
        <v>0.0007346939862</v>
      </c>
      <c r="K511" s="269">
        <f t="shared" si="20"/>
        <v>0.7591837857</v>
      </c>
      <c r="L511" s="270">
        <f t="shared" si="4"/>
        <v>3.482308843</v>
      </c>
      <c r="M511" s="271" t="str">
        <f t="shared" si="5"/>
        <v>paulo_c2d</v>
      </c>
      <c r="N511" s="176">
        <f>IFERROR(__xludf.DUMMYFUNCTION("""COMPUTED_VALUE"""),7.0)</f>
        <v>7</v>
      </c>
      <c r="O511" s="176"/>
      <c r="P511" s="267" t="s">
        <v>651</v>
      </c>
      <c r="Q511" s="272" t="s">
        <v>10</v>
      </c>
      <c r="R511" s="176"/>
      <c r="S511" s="176"/>
      <c r="T511" s="176"/>
      <c r="U511" s="176"/>
      <c r="V511" s="176"/>
      <c r="W511" s="176"/>
      <c r="X511" s="176"/>
      <c r="Y511" s="176"/>
      <c r="Z511" s="176"/>
    </row>
    <row r="512">
      <c r="A512" s="185" t="str">
        <f>iferror(VLOOKUP(P512,'DO NOT TOUCH Imported'!$A$1:$D$800,4,False),iferror(VLOOKUP(P512,'DO NOT TOUCH Imported'!$C$1:$D$800,2,False),"OOPS FIX ME"))</f>
        <v>paulo_c2d</v>
      </c>
      <c r="B512" s="185" t="s">
        <v>534</v>
      </c>
      <c r="C512" s="210" t="s">
        <v>655</v>
      </c>
      <c r="D512" s="187"/>
      <c r="E512" s="188"/>
      <c r="F512" s="189"/>
      <c r="G512" s="190"/>
      <c r="H512" s="190"/>
      <c r="I512" s="190"/>
      <c r="J512" s="191">
        <f t="shared" si="2"/>
        <v>0</v>
      </c>
      <c r="K512" s="192">
        <f>23.218*-0.85</f>
        <v>-19.7353</v>
      </c>
      <c r="L512" s="193">
        <f t="shared" si="4"/>
        <v>3.482308843</v>
      </c>
      <c r="M512" s="194" t="str">
        <f t="shared" si="5"/>
        <v>paulo_c2d</v>
      </c>
      <c r="N512" s="195">
        <f>IFERROR(__xludf.DUMMYFUNCTION("""COMPUTED_VALUE"""),8.0)</f>
        <v>8</v>
      </c>
      <c r="O512" s="195"/>
      <c r="P512" s="185" t="s">
        <v>30</v>
      </c>
      <c r="Q512" s="185" t="s">
        <v>534</v>
      </c>
      <c r="R512" s="195">
        <v>51.99833903635589</v>
      </c>
      <c r="S512" s="195"/>
      <c r="T512" s="195"/>
      <c r="U512" s="195"/>
      <c r="V512" s="195"/>
      <c r="W512" s="195"/>
      <c r="X512" s="195"/>
      <c r="Y512" s="195"/>
      <c r="Z512" s="195"/>
    </row>
    <row r="513">
      <c r="A513" s="267" t="str">
        <f>iferror(VLOOKUP(P513,'DO NOT TOUCH Imported'!$A$1:$D$800,4,False),iferror(VLOOKUP(P513,'DO NOT TOUCH Imported'!$C$1:$D$800,2,False),"OOPS FIX ME"))</f>
        <v>markop</v>
      </c>
      <c r="B513" s="272" t="s">
        <v>1933</v>
      </c>
      <c r="C513" s="273" t="s">
        <v>1934</v>
      </c>
      <c r="D513" s="274" t="s">
        <v>437</v>
      </c>
      <c r="E513" s="275">
        <v>44258.0</v>
      </c>
      <c r="F513" s="274" t="s">
        <v>1929</v>
      </c>
      <c r="G513" s="171">
        <v>25.0</v>
      </c>
      <c r="H513" s="171">
        <v>2000.0</v>
      </c>
      <c r="I513" s="171">
        <v>200.0</v>
      </c>
      <c r="J513" s="172">
        <f t="shared" si="2"/>
        <v>0.001484118155</v>
      </c>
      <c r="K513" s="269">
        <f t="shared" ref="K513:K526" si="21">J513*$J$1</f>
        <v>1.53358876</v>
      </c>
      <c r="L513" s="270">
        <f t="shared" si="4"/>
        <v>3.37435559</v>
      </c>
      <c r="M513" s="271" t="str">
        <f t="shared" si="5"/>
        <v>markop</v>
      </c>
      <c r="N513" s="176">
        <f>IFERROR(__xludf.DUMMYFUNCTION("""COMPUTED_VALUE"""),1.0)</f>
        <v>1</v>
      </c>
      <c r="O513" s="176"/>
      <c r="P513" s="267" t="s">
        <v>486</v>
      </c>
      <c r="Q513" s="272" t="s">
        <v>1933</v>
      </c>
      <c r="R513" s="176"/>
      <c r="S513" s="176"/>
      <c r="T513" s="176"/>
      <c r="U513" s="176"/>
      <c r="V513" s="176"/>
      <c r="W513" s="176"/>
      <c r="X513" s="176"/>
      <c r="Y513" s="176"/>
      <c r="Z513" s="176"/>
    </row>
    <row r="514">
      <c r="A514" s="267" t="str">
        <f>iferror(VLOOKUP(P514,'DO NOT TOUCH Imported'!$A$1:$D$800,4,False),iferror(VLOOKUP(P514,'DO NOT TOUCH Imported'!$C$1:$D$800,2,False),"OOPS FIX ME"))</f>
        <v>markop</v>
      </c>
      <c r="B514" s="249" t="s">
        <v>519</v>
      </c>
      <c r="C514" s="219" t="s">
        <v>2000</v>
      </c>
      <c r="D514" s="268" t="s">
        <v>495</v>
      </c>
      <c r="E514" s="252">
        <v>44258.0</v>
      </c>
      <c r="F514" s="250" t="s">
        <v>521</v>
      </c>
      <c r="G514" s="171">
        <v>50.0</v>
      </c>
      <c r="H514" s="171">
        <v>1000.0</v>
      </c>
      <c r="I514" s="171">
        <v>200.0</v>
      </c>
      <c r="J514" s="172">
        <f t="shared" si="2"/>
        <v>0.001581374469</v>
      </c>
      <c r="K514" s="269">
        <f t="shared" si="21"/>
        <v>1.634086951</v>
      </c>
      <c r="L514" s="270">
        <f t="shared" si="4"/>
        <v>3.37435559</v>
      </c>
      <c r="M514" s="271" t="str">
        <f t="shared" si="5"/>
        <v>markop</v>
      </c>
      <c r="N514" s="176">
        <f>IFERROR(__xludf.DUMMYFUNCTION("""COMPUTED_VALUE"""),2.0)</f>
        <v>2</v>
      </c>
      <c r="O514" s="176"/>
      <c r="P514" s="249" t="s">
        <v>43</v>
      </c>
      <c r="Q514" s="249" t="s">
        <v>519</v>
      </c>
      <c r="R514" s="176"/>
      <c r="S514" s="176"/>
      <c r="T514" s="176"/>
      <c r="U514" s="176"/>
      <c r="V514" s="176"/>
      <c r="W514" s="176"/>
      <c r="X514" s="176"/>
      <c r="Y514" s="176"/>
      <c r="Z514" s="176"/>
    </row>
    <row r="515">
      <c r="A515" s="267" t="str">
        <f>iferror(VLOOKUP(P515,'DO NOT TOUCH Imported'!$A$1:$D$800,4,False),iferror(VLOOKUP(P515,'DO NOT TOUCH Imported'!$C$1:$D$800,2,False),"OOPS FIX ME"))</f>
        <v>markop</v>
      </c>
      <c r="B515" s="272" t="s">
        <v>10</v>
      </c>
      <c r="C515" s="273" t="s">
        <v>2142</v>
      </c>
      <c r="D515" s="274" t="s">
        <v>437</v>
      </c>
      <c r="E515" s="275">
        <v>44260.0</v>
      </c>
      <c r="F515" s="274" t="s">
        <v>1929</v>
      </c>
      <c r="G515" s="171">
        <v>35.0</v>
      </c>
      <c r="H515" s="171">
        <v>2500.0</v>
      </c>
      <c r="I515" s="171">
        <v>500.0</v>
      </c>
      <c r="J515" s="172">
        <f t="shared" si="2"/>
        <v>0.002497832096</v>
      </c>
      <c r="K515" s="269">
        <f t="shared" si="21"/>
        <v>2.581093166</v>
      </c>
      <c r="L515" s="270">
        <f t="shared" si="4"/>
        <v>3.37435559</v>
      </c>
      <c r="M515" s="271" t="str">
        <f t="shared" si="5"/>
        <v>markop</v>
      </c>
      <c r="N515" s="176">
        <f>IFERROR(__xludf.DUMMYFUNCTION("""COMPUTED_VALUE"""),3.0)</f>
        <v>3</v>
      </c>
      <c r="O515" s="176"/>
      <c r="P515" s="267" t="s">
        <v>486</v>
      </c>
      <c r="Q515" s="272" t="s">
        <v>10</v>
      </c>
      <c r="R515" s="176"/>
      <c r="S515" s="176"/>
      <c r="T515" s="176"/>
      <c r="U515" s="176"/>
      <c r="V515" s="176"/>
      <c r="W515" s="176"/>
      <c r="X515" s="176"/>
      <c r="Y515" s="176"/>
      <c r="Z515" s="176"/>
    </row>
    <row r="516">
      <c r="A516" s="267" t="str">
        <f>iferror(VLOOKUP(P516,'DO NOT TOUCH Imported'!$A$1:$D$800,4,False),iferror(VLOOKUP(P516,'DO NOT TOUCH Imported'!$C$1:$D$800,2,False),"OOPS FIX ME"))</f>
        <v>markop</v>
      </c>
      <c r="B516" s="272" t="s">
        <v>10</v>
      </c>
      <c r="C516" s="273" t="s">
        <v>1938</v>
      </c>
      <c r="D516" s="274" t="s">
        <v>437</v>
      </c>
      <c r="E516" s="275">
        <v>44260.0</v>
      </c>
      <c r="F516" s="274" t="s">
        <v>1929</v>
      </c>
      <c r="G516" s="171">
        <v>35.0</v>
      </c>
      <c r="H516" s="171">
        <v>2000.0</v>
      </c>
      <c r="I516" s="171">
        <v>200.0</v>
      </c>
      <c r="J516" s="172">
        <f t="shared" si="2"/>
        <v>0.001645851941</v>
      </c>
      <c r="K516" s="269">
        <f t="shared" si="21"/>
        <v>1.700713672</v>
      </c>
      <c r="L516" s="270">
        <f t="shared" si="4"/>
        <v>3.37435559</v>
      </c>
      <c r="M516" s="271" t="str">
        <f t="shared" si="5"/>
        <v>markop</v>
      </c>
      <c r="N516" s="176">
        <f>IFERROR(__xludf.DUMMYFUNCTION("""COMPUTED_VALUE"""),4.0)</f>
        <v>4</v>
      </c>
      <c r="O516" s="176"/>
      <c r="P516" s="267" t="s">
        <v>486</v>
      </c>
      <c r="Q516" s="272" t="s">
        <v>10</v>
      </c>
      <c r="R516" s="176"/>
      <c r="S516" s="176"/>
      <c r="T516" s="176"/>
      <c r="U516" s="176"/>
      <c r="V516" s="176"/>
      <c r="W516" s="176"/>
      <c r="X516" s="176"/>
      <c r="Y516" s="176"/>
      <c r="Z516" s="176"/>
    </row>
    <row r="517">
      <c r="A517" s="267" t="str">
        <f>iferror(VLOOKUP(P517,'DO NOT TOUCH Imported'!$A$1:$D$800,4,False),iferror(VLOOKUP(P517,'DO NOT TOUCH Imported'!$C$1:$D$800,2,False),"OOPS FIX ME"))</f>
        <v>markop</v>
      </c>
      <c r="B517" s="272" t="s">
        <v>10</v>
      </c>
      <c r="C517" s="273" t="s">
        <v>2098</v>
      </c>
      <c r="D517" s="274" t="s">
        <v>437</v>
      </c>
      <c r="E517" s="275">
        <v>44260.0</v>
      </c>
      <c r="F517" s="274" t="s">
        <v>1929</v>
      </c>
      <c r="G517" s="171">
        <v>35.0</v>
      </c>
      <c r="H517" s="171">
        <v>2500.0</v>
      </c>
      <c r="I517" s="171">
        <v>200.0</v>
      </c>
      <c r="J517" s="172">
        <f t="shared" si="2"/>
        <v>0.001799391016</v>
      </c>
      <c r="K517" s="269">
        <f t="shared" si="21"/>
        <v>1.859370717</v>
      </c>
      <c r="L517" s="270">
        <f t="shared" si="4"/>
        <v>3.37435559</v>
      </c>
      <c r="M517" s="271" t="str">
        <f t="shared" si="5"/>
        <v>markop</v>
      </c>
      <c r="N517" s="176">
        <f>IFERROR(__xludf.DUMMYFUNCTION("""COMPUTED_VALUE"""),5.0)</f>
        <v>5</v>
      </c>
      <c r="O517" s="176"/>
      <c r="P517" s="267" t="s">
        <v>486</v>
      </c>
      <c r="Q517" s="272" t="s">
        <v>10</v>
      </c>
      <c r="R517" s="176"/>
      <c r="S517" s="176"/>
      <c r="T517" s="176"/>
      <c r="U517" s="176"/>
      <c r="V517" s="176"/>
      <c r="W517" s="176"/>
      <c r="X517" s="176"/>
      <c r="Y517" s="176"/>
      <c r="Z517" s="176"/>
    </row>
    <row r="518">
      <c r="A518" s="267" t="str">
        <f>iferror(VLOOKUP(P518,'DO NOT TOUCH Imported'!$A$1:$D$800,4,False),iferror(VLOOKUP(P518,'DO NOT TOUCH Imported'!$C$1:$D$800,2,False),"OOPS FIX ME"))</f>
        <v>markop</v>
      </c>
      <c r="B518" s="272" t="s">
        <v>1702</v>
      </c>
      <c r="C518" s="273" t="s">
        <v>2029</v>
      </c>
      <c r="D518" s="274" t="s">
        <v>437</v>
      </c>
      <c r="E518" s="275">
        <v>44260.0</v>
      </c>
      <c r="F518" s="274" t="s">
        <v>1929</v>
      </c>
      <c r="G518" s="171">
        <v>15.0</v>
      </c>
      <c r="H518" s="171">
        <v>500.0</v>
      </c>
      <c r="I518" s="171">
        <v>500.0</v>
      </c>
      <c r="J518" s="172">
        <f t="shared" si="2"/>
        <v>0.001560208221</v>
      </c>
      <c r="K518" s="269">
        <f t="shared" si="21"/>
        <v>1.612215162</v>
      </c>
      <c r="L518" s="270">
        <f t="shared" si="4"/>
        <v>3.37435559</v>
      </c>
      <c r="M518" s="271" t="str">
        <f t="shared" si="5"/>
        <v>markop</v>
      </c>
      <c r="N518" s="176">
        <f>IFERROR(__xludf.DUMMYFUNCTION("""COMPUTED_VALUE"""),6.0)</f>
        <v>6</v>
      </c>
      <c r="O518" s="176"/>
      <c r="P518" s="267" t="s">
        <v>486</v>
      </c>
      <c r="Q518" s="272" t="s">
        <v>1702</v>
      </c>
      <c r="R518" s="176"/>
      <c r="S518" s="176"/>
      <c r="T518" s="176"/>
      <c r="U518" s="176"/>
      <c r="V518" s="176"/>
      <c r="W518" s="176"/>
      <c r="X518" s="176"/>
      <c r="Y518" s="176"/>
      <c r="Z518" s="176"/>
    </row>
    <row r="519">
      <c r="A519" s="267" t="str">
        <f>iferror(VLOOKUP(P519,'DO NOT TOUCH Imported'!$A$1:$D$800,4,False),iferror(VLOOKUP(P519,'DO NOT TOUCH Imported'!$C$1:$D$800,2,False),"OOPS FIX ME"))</f>
        <v>markop</v>
      </c>
      <c r="B519" s="249" t="s">
        <v>10</v>
      </c>
      <c r="C519" s="219" t="s">
        <v>2049</v>
      </c>
      <c r="D519" s="268" t="s">
        <v>495</v>
      </c>
      <c r="E519" s="252">
        <v>44260.0</v>
      </c>
      <c r="F519" s="250" t="s">
        <v>496</v>
      </c>
      <c r="G519" s="171">
        <v>25.0</v>
      </c>
      <c r="H519" s="171">
        <v>2500.0</v>
      </c>
      <c r="I519" s="171">
        <v>400.0</v>
      </c>
      <c r="J519" s="172">
        <f t="shared" si="2"/>
        <v>0.002103284617</v>
      </c>
      <c r="K519" s="269">
        <f t="shared" si="21"/>
        <v>2.173394104</v>
      </c>
      <c r="L519" s="270">
        <f t="shared" si="4"/>
        <v>3.37435559</v>
      </c>
      <c r="M519" s="271" t="str">
        <f t="shared" si="5"/>
        <v>markop</v>
      </c>
      <c r="N519" s="176">
        <f>IFERROR(__xludf.DUMMYFUNCTION("""COMPUTED_VALUE"""),7.0)</f>
        <v>7</v>
      </c>
      <c r="O519" s="176"/>
      <c r="P519" s="249" t="s">
        <v>43</v>
      </c>
      <c r="Q519" s="249" t="s">
        <v>10</v>
      </c>
      <c r="R519" s="176"/>
      <c r="S519" s="176"/>
      <c r="T519" s="176"/>
      <c r="U519" s="176"/>
      <c r="V519" s="176"/>
      <c r="W519" s="176"/>
      <c r="X519" s="176"/>
      <c r="Y519" s="176"/>
      <c r="Z519" s="176"/>
    </row>
    <row r="520">
      <c r="A520" s="267" t="str">
        <f>iferror(VLOOKUP(P520,'DO NOT TOUCH Imported'!$A$1:$D$800,4,False),iferror(VLOOKUP(P520,'DO NOT TOUCH Imported'!$C$1:$D$800,2,False),"OOPS FIX ME"))</f>
        <v>markop</v>
      </c>
      <c r="B520" s="249" t="s">
        <v>10</v>
      </c>
      <c r="C520" s="219" t="s">
        <v>494</v>
      </c>
      <c r="D520" s="268" t="s">
        <v>495</v>
      </c>
      <c r="E520" s="252">
        <v>44260.0</v>
      </c>
      <c r="F520" s="250" t="s">
        <v>496</v>
      </c>
      <c r="G520" s="171">
        <v>35.0</v>
      </c>
      <c r="H520" s="171">
        <v>1000.0</v>
      </c>
      <c r="I520" s="171">
        <v>40.0</v>
      </c>
      <c r="J520" s="172">
        <f t="shared" si="2"/>
        <v>0.0009662718803</v>
      </c>
      <c r="K520" s="269">
        <f t="shared" si="21"/>
        <v>0.998480943</v>
      </c>
      <c r="L520" s="270">
        <f t="shared" si="4"/>
        <v>3.37435559</v>
      </c>
      <c r="M520" s="271" t="str">
        <f t="shared" si="5"/>
        <v>markop</v>
      </c>
      <c r="N520" s="176">
        <f>IFERROR(__xludf.DUMMYFUNCTION("""COMPUTED_VALUE"""),8.0)</f>
        <v>8</v>
      </c>
      <c r="O520" s="176"/>
      <c r="P520" s="249" t="s">
        <v>43</v>
      </c>
      <c r="Q520" s="249" t="s">
        <v>10</v>
      </c>
      <c r="R520" s="176"/>
      <c r="S520" s="176"/>
      <c r="T520" s="176"/>
      <c r="U520" s="176"/>
      <c r="V520" s="176"/>
      <c r="W520" s="176"/>
      <c r="X520" s="176"/>
      <c r="Y520" s="176"/>
      <c r="Z520" s="176"/>
    </row>
    <row r="521">
      <c r="A521" s="267" t="str">
        <f>iferror(VLOOKUP(P521,'DO NOT TOUCH Imported'!$A$1:$D$800,4,False),iferror(VLOOKUP(P521,'DO NOT TOUCH Imported'!$C$1:$D$800,2,False),"OOPS FIX ME"))</f>
        <v>markop</v>
      </c>
      <c r="B521" s="249" t="s">
        <v>10</v>
      </c>
      <c r="C521" s="219" t="s">
        <v>498</v>
      </c>
      <c r="D521" s="268" t="s">
        <v>495</v>
      </c>
      <c r="E521" s="252">
        <v>44260.0</v>
      </c>
      <c r="F521" s="250" t="s">
        <v>499</v>
      </c>
      <c r="G521" s="171">
        <v>35.0</v>
      </c>
      <c r="H521" s="171">
        <v>500.0</v>
      </c>
      <c r="I521" s="171">
        <v>40.0</v>
      </c>
      <c r="J521" s="172">
        <f t="shared" si="2"/>
        <v>0.0008127328046</v>
      </c>
      <c r="K521" s="269">
        <f t="shared" si="21"/>
        <v>0.8398238981</v>
      </c>
      <c r="L521" s="270">
        <f t="shared" si="4"/>
        <v>3.37435559</v>
      </c>
      <c r="M521" s="271" t="str">
        <f t="shared" si="5"/>
        <v>markop</v>
      </c>
      <c r="N521" s="176">
        <f>IFERROR(__xludf.DUMMYFUNCTION("""COMPUTED_VALUE"""),9.0)</f>
        <v>9</v>
      </c>
      <c r="O521" s="176"/>
      <c r="P521" s="249" t="s">
        <v>43</v>
      </c>
      <c r="Q521" s="249" t="s">
        <v>10</v>
      </c>
      <c r="R521" s="176"/>
      <c r="S521" s="176"/>
      <c r="T521" s="176"/>
      <c r="U521" s="176"/>
      <c r="V521" s="176"/>
      <c r="W521" s="176"/>
      <c r="X521" s="176"/>
      <c r="Y521" s="176"/>
      <c r="Z521" s="176"/>
    </row>
    <row r="522">
      <c r="A522" s="267" t="str">
        <f>iferror(VLOOKUP(P522,'DO NOT TOUCH Imported'!$A$1:$D$800,4,False),iferror(VLOOKUP(P522,'DO NOT TOUCH Imported'!$C$1:$D$800,2,False),"OOPS FIX ME"))</f>
        <v>markop</v>
      </c>
      <c r="B522" s="249" t="s">
        <v>590</v>
      </c>
      <c r="C522" s="219" t="s">
        <v>1945</v>
      </c>
      <c r="D522" s="268" t="s">
        <v>495</v>
      </c>
      <c r="E522" s="252">
        <v>44264.0</v>
      </c>
      <c r="F522" s="250" t="s">
        <v>496</v>
      </c>
      <c r="G522" s="171">
        <v>25.0</v>
      </c>
      <c r="H522" s="171">
        <v>1000.0</v>
      </c>
      <c r="I522" s="171">
        <v>50.0</v>
      </c>
      <c r="J522" s="172">
        <f t="shared" si="2"/>
        <v>0.0008278194634</v>
      </c>
      <c r="K522" s="269">
        <f t="shared" si="21"/>
        <v>0.8554134456</v>
      </c>
      <c r="L522" s="270">
        <f t="shared" si="4"/>
        <v>3.37435559</v>
      </c>
      <c r="M522" s="271" t="str">
        <f t="shared" si="5"/>
        <v>markop</v>
      </c>
      <c r="N522" s="176">
        <f>IFERROR(__xludf.DUMMYFUNCTION("""COMPUTED_VALUE"""),10.0)</f>
        <v>10</v>
      </c>
      <c r="O522" s="176"/>
      <c r="P522" s="249" t="s">
        <v>43</v>
      </c>
      <c r="Q522" s="249" t="s">
        <v>590</v>
      </c>
      <c r="R522" s="176"/>
      <c r="S522" s="176"/>
      <c r="T522" s="176"/>
      <c r="U522" s="176"/>
      <c r="V522" s="176"/>
      <c r="W522" s="176"/>
      <c r="X522" s="176"/>
      <c r="Y522" s="176"/>
      <c r="Z522" s="176"/>
    </row>
    <row r="523">
      <c r="A523" s="267" t="str">
        <f>iferror(VLOOKUP(P523,'DO NOT TOUCH Imported'!$A$1:$D$800,4,False),iferror(VLOOKUP(P523,'DO NOT TOUCH Imported'!$C$1:$D$800,2,False),"OOPS FIX ME"))</f>
        <v>markop</v>
      </c>
      <c r="B523" s="249" t="s">
        <v>519</v>
      </c>
      <c r="C523" s="219" t="s">
        <v>668</v>
      </c>
      <c r="D523" s="268" t="s">
        <v>495</v>
      </c>
      <c r="E523" s="252">
        <v>44265.0</v>
      </c>
      <c r="F523" s="250" t="s">
        <v>521</v>
      </c>
      <c r="G523" s="171">
        <v>25.0</v>
      </c>
      <c r="H523" s="171">
        <v>1000.0</v>
      </c>
      <c r="I523" s="171">
        <v>300.0</v>
      </c>
      <c r="J523" s="172">
        <f t="shared" si="2"/>
        <v>0.001409853696</v>
      </c>
      <c r="K523" s="269">
        <f t="shared" si="21"/>
        <v>1.45684882</v>
      </c>
      <c r="L523" s="270">
        <f t="shared" si="4"/>
        <v>3.37435559</v>
      </c>
      <c r="M523" s="271" t="str">
        <f t="shared" si="5"/>
        <v>markop</v>
      </c>
      <c r="N523" s="176">
        <f>IFERROR(__xludf.DUMMYFUNCTION("""COMPUTED_VALUE"""),11.0)</f>
        <v>11</v>
      </c>
      <c r="O523" s="176"/>
      <c r="P523" s="249" t="s">
        <v>43</v>
      </c>
      <c r="Q523" s="249" t="s">
        <v>519</v>
      </c>
      <c r="R523" s="176"/>
      <c r="S523" s="176"/>
      <c r="T523" s="176"/>
      <c r="U523" s="176"/>
      <c r="V523" s="176"/>
      <c r="W523" s="176"/>
      <c r="X523" s="176"/>
      <c r="Y523" s="176"/>
      <c r="Z523" s="176"/>
    </row>
    <row r="524">
      <c r="A524" s="267" t="str">
        <f>iferror(VLOOKUP(P524,'DO NOT TOUCH Imported'!$A$1:$D$800,4,False),iferror(VLOOKUP(P524,'DO NOT TOUCH Imported'!$C$1:$D$800,2,False),"OOPS FIX ME"))</f>
        <v>markop</v>
      </c>
      <c r="B524" s="272" t="s">
        <v>10</v>
      </c>
      <c r="C524" s="273" t="s">
        <v>2143</v>
      </c>
      <c r="D524" s="274" t="s">
        <v>437</v>
      </c>
      <c r="E524" s="306">
        <v>44267.0</v>
      </c>
      <c r="F524" s="274" t="s">
        <v>439</v>
      </c>
      <c r="G524" s="171">
        <v>25.0</v>
      </c>
      <c r="H524" s="171">
        <v>2500.0</v>
      </c>
      <c r="I524" s="171">
        <v>1000.0</v>
      </c>
      <c r="J524" s="172">
        <f t="shared" si="2"/>
        <v>0.003500166776</v>
      </c>
      <c r="K524" s="269">
        <f t="shared" si="21"/>
        <v>3.616839002</v>
      </c>
      <c r="L524" s="270">
        <f t="shared" si="4"/>
        <v>3.37435559</v>
      </c>
      <c r="M524" s="271" t="str">
        <f t="shared" si="5"/>
        <v>markop</v>
      </c>
      <c r="N524" s="176">
        <f>IFERROR(__xludf.DUMMYFUNCTION("""COMPUTED_VALUE"""),12.0)</f>
        <v>12</v>
      </c>
      <c r="O524" s="176"/>
      <c r="P524" s="267" t="s">
        <v>486</v>
      </c>
      <c r="Q524" s="272" t="s">
        <v>10</v>
      </c>
      <c r="R524" s="176"/>
      <c r="S524" s="176"/>
      <c r="T524" s="176"/>
      <c r="U524" s="176"/>
      <c r="V524" s="176"/>
      <c r="W524" s="176"/>
      <c r="X524" s="176"/>
      <c r="Y524" s="176"/>
      <c r="Z524" s="176"/>
    </row>
    <row r="525">
      <c r="A525" s="267" t="str">
        <f>iferror(VLOOKUP(P525,'DO NOT TOUCH Imported'!$A$1:$D$800,4,False),iferror(VLOOKUP(P525,'DO NOT TOUCH Imported'!$C$1:$D$800,2,False),"OOPS FIX ME"))</f>
        <v>markop</v>
      </c>
      <c r="B525" s="249" t="s">
        <v>10</v>
      </c>
      <c r="C525" s="219" t="s">
        <v>498</v>
      </c>
      <c r="D525" s="268" t="s">
        <v>495</v>
      </c>
      <c r="E525" s="252">
        <v>44267.0</v>
      </c>
      <c r="F525" s="250" t="s">
        <v>499</v>
      </c>
      <c r="G525" s="171">
        <v>25.0</v>
      </c>
      <c r="H525" s="171">
        <v>500.0</v>
      </c>
      <c r="I525" s="171">
        <v>100.0</v>
      </c>
      <c r="J525" s="172">
        <f t="shared" si="2"/>
        <v>0.0007906872343</v>
      </c>
      <c r="K525" s="269">
        <f t="shared" si="21"/>
        <v>0.8170434755</v>
      </c>
      <c r="L525" s="270">
        <f t="shared" si="4"/>
        <v>3.37435559</v>
      </c>
      <c r="M525" s="271" t="str">
        <f t="shared" si="5"/>
        <v>markop</v>
      </c>
      <c r="N525" s="176">
        <f>IFERROR(__xludf.DUMMYFUNCTION("""COMPUTED_VALUE"""),13.0)</f>
        <v>13</v>
      </c>
      <c r="O525" s="176"/>
      <c r="P525" s="249" t="s">
        <v>43</v>
      </c>
      <c r="Q525" s="249" t="s">
        <v>10</v>
      </c>
      <c r="R525" s="176"/>
      <c r="S525" s="176"/>
      <c r="T525" s="176"/>
      <c r="U525" s="176"/>
      <c r="V525" s="176"/>
      <c r="W525" s="176"/>
      <c r="X525" s="176"/>
      <c r="Y525" s="176"/>
      <c r="Z525" s="176"/>
    </row>
    <row r="526">
      <c r="A526" s="267" t="str">
        <f>iferror(VLOOKUP(P526,'DO NOT TOUCH Imported'!$A$1:$D$800,4,False),iferror(VLOOKUP(P526,'DO NOT TOUCH Imported'!$C$1:$D$800,2,False),"OOPS FIX ME"))</f>
        <v>markop</v>
      </c>
      <c r="B526" s="249" t="s">
        <v>10</v>
      </c>
      <c r="C526" s="219" t="s">
        <v>500</v>
      </c>
      <c r="D526" s="268" t="s">
        <v>495</v>
      </c>
      <c r="E526" s="252">
        <v>44267.0</v>
      </c>
      <c r="F526" s="250" t="s">
        <v>496</v>
      </c>
      <c r="G526" s="171">
        <v>25.0</v>
      </c>
      <c r="H526" s="171">
        <v>500.0</v>
      </c>
      <c r="I526" s="171">
        <v>100.0</v>
      </c>
      <c r="J526" s="172">
        <f t="shared" si="2"/>
        <v>0.0007906872343</v>
      </c>
      <c r="K526" s="269">
        <f t="shared" si="21"/>
        <v>0.8170434755</v>
      </c>
      <c r="L526" s="270">
        <f t="shared" si="4"/>
        <v>3.37435559</v>
      </c>
      <c r="M526" s="271" t="str">
        <f t="shared" si="5"/>
        <v>markop</v>
      </c>
      <c r="N526" s="176">
        <f>IFERROR(__xludf.DUMMYFUNCTION("""COMPUTED_VALUE"""),14.0)</f>
        <v>14</v>
      </c>
      <c r="O526" s="176"/>
      <c r="P526" s="249" t="s">
        <v>43</v>
      </c>
      <c r="Q526" s="249" t="s">
        <v>10</v>
      </c>
      <c r="R526" s="176"/>
      <c r="S526" s="176"/>
      <c r="T526" s="176"/>
      <c r="U526" s="176"/>
      <c r="V526" s="176"/>
      <c r="W526" s="176"/>
      <c r="X526" s="176"/>
      <c r="Y526" s="176"/>
      <c r="Z526" s="176"/>
    </row>
    <row r="527">
      <c r="A527" s="185" t="str">
        <f>iferror(VLOOKUP(P527,'DO NOT TOUCH Imported'!$A$1:$D$800,4,False),iferror(VLOOKUP(P527,'DO NOT TOUCH Imported'!$C$1:$D$800,2,False),"OOPS FIX ME"))</f>
        <v>markop</v>
      </c>
      <c r="B527" s="185" t="s">
        <v>534</v>
      </c>
      <c r="C527" s="186" t="s">
        <v>794</v>
      </c>
      <c r="D527" s="187"/>
      <c r="E527" s="188"/>
      <c r="F527" s="189"/>
      <c r="G527" s="190"/>
      <c r="H527" s="190"/>
      <c r="I527" s="190"/>
      <c r="J527" s="191">
        <f t="shared" si="2"/>
        <v>0</v>
      </c>
      <c r="K527" s="192">
        <f>22.496*-0.85</f>
        <v>-19.1216</v>
      </c>
      <c r="L527" s="193">
        <f t="shared" si="4"/>
        <v>3.37435559</v>
      </c>
      <c r="M527" s="194" t="str">
        <f t="shared" si="5"/>
        <v>markop</v>
      </c>
      <c r="N527" s="195">
        <f>IFERROR(__xludf.DUMMYFUNCTION("""COMPUTED_VALUE"""),15.0)</f>
        <v>15</v>
      </c>
      <c r="O527" s="195"/>
      <c r="P527" s="212" t="s">
        <v>43</v>
      </c>
      <c r="Q527" s="185" t="s">
        <v>534</v>
      </c>
      <c r="R527" s="195">
        <v>18.848124090566696</v>
      </c>
      <c r="S527" s="195"/>
      <c r="T527" s="195"/>
      <c r="U527" s="195"/>
      <c r="V527" s="195"/>
      <c r="W527" s="195"/>
      <c r="X527" s="195"/>
      <c r="Y527" s="195"/>
      <c r="Z527" s="195"/>
    </row>
    <row r="528">
      <c r="A528" s="267" t="str">
        <f>iferror(VLOOKUP(P528,'DO NOT TOUCH Imported'!$A$1:$D$800,4,False),iferror(VLOOKUP(P528,'DO NOT TOUCH Imported'!$C$1:$D$800,2,False),"OOPS FIX ME"))</f>
        <v>thebeautyway</v>
      </c>
      <c r="B528" s="249" t="s">
        <v>10</v>
      </c>
      <c r="C528" s="219" t="s">
        <v>500</v>
      </c>
      <c r="D528" s="268" t="s">
        <v>495</v>
      </c>
      <c r="E528" s="252">
        <v>44260.0</v>
      </c>
      <c r="F528" s="250" t="s">
        <v>496</v>
      </c>
      <c r="G528" s="171">
        <v>35.0</v>
      </c>
      <c r="H528" s="171">
        <v>500.0</v>
      </c>
      <c r="I528" s="171">
        <v>40.0</v>
      </c>
      <c r="J528" s="172">
        <f t="shared" si="2"/>
        <v>0.0008127328046</v>
      </c>
      <c r="K528" s="269">
        <f t="shared" ref="K528:K550" si="22">J528*$J$1</f>
        <v>0.8398238981</v>
      </c>
      <c r="L528" s="270">
        <f t="shared" si="4"/>
        <v>3.313734747</v>
      </c>
      <c r="M528" s="271" t="str">
        <f t="shared" si="5"/>
        <v>thebeautyway</v>
      </c>
      <c r="N528" s="176">
        <f>IFERROR(__xludf.DUMMYFUNCTION("""COMPUTED_VALUE"""),1.0)</f>
        <v>1</v>
      </c>
      <c r="O528" s="176"/>
      <c r="P528" s="249" t="s">
        <v>149</v>
      </c>
      <c r="Q528" s="249" t="s">
        <v>10</v>
      </c>
      <c r="R528" s="176"/>
      <c r="S528" s="176"/>
      <c r="T528" s="176"/>
      <c r="U528" s="176"/>
      <c r="V528" s="176"/>
      <c r="W528" s="176"/>
      <c r="X528" s="176"/>
      <c r="Y528" s="176"/>
      <c r="Z528" s="176"/>
    </row>
    <row r="529">
      <c r="A529" s="267" t="str">
        <f>iferror(VLOOKUP(P529,'DO NOT TOUCH Imported'!$A$1:$D$800,4,False),iferror(VLOOKUP(P529,'DO NOT TOUCH Imported'!$C$1:$D$800,2,False),"OOPS FIX ME"))</f>
        <v>thebeautyway</v>
      </c>
      <c r="B529" s="249" t="s">
        <v>10</v>
      </c>
      <c r="C529" s="219" t="s">
        <v>498</v>
      </c>
      <c r="D529" s="268" t="s">
        <v>495</v>
      </c>
      <c r="E529" s="252">
        <v>44260.0</v>
      </c>
      <c r="F529" s="250" t="s">
        <v>499</v>
      </c>
      <c r="G529" s="171">
        <v>35.0</v>
      </c>
      <c r="H529" s="171">
        <v>500.0</v>
      </c>
      <c r="I529" s="171">
        <v>40.0</v>
      </c>
      <c r="J529" s="172">
        <f t="shared" si="2"/>
        <v>0.0008127328046</v>
      </c>
      <c r="K529" s="269">
        <f t="shared" si="22"/>
        <v>0.8398238981</v>
      </c>
      <c r="L529" s="270">
        <f t="shared" si="4"/>
        <v>3.313734747</v>
      </c>
      <c r="M529" s="271" t="str">
        <f t="shared" si="5"/>
        <v>thebeautyway</v>
      </c>
      <c r="N529" s="176">
        <f>IFERROR(__xludf.DUMMYFUNCTION("""COMPUTED_VALUE"""),2.0)</f>
        <v>2</v>
      </c>
      <c r="O529" s="176"/>
      <c r="P529" s="249" t="s">
        <v>149</v>
      </c>
      <c r="Q529" s="249" t="s">
        <v>10</v>
      </c>
      <c r="R529" s="176"/>
      <c r="S529" s="176"/>
      <c r="T529" s="176"/>
      <c r="U529" s="176"/>
      <c r="V529" s="176"/>
      <c r="W529" s="176"/>
      <c r="X529" s="176"/>
      <c r="Y529" s="176"/>
      <c r="Z529" s="176"/>
    </row>
    <row r="530">
      <c r="A530" s="267" t="str">
        <f>iferror(VLOOKUP(P530,'DO NOT TOUCH Imported'!$A$1:$D$800,4,False),iferror(VLOOKUP(P530,'DO NOT TOUCH Imported'!$C$1:$D$800,2,False),"OOPS FIX ME"))</f>
        <v>thebeautyway</v>
      </c>
      <c r="B530" s="249" t="s">
        <v>10</v>
      </c>
      <c r="C530" s="219" t="s">
        <v>498</v>
      </c>
      <c r="D530" s="268" t="s">
        <v>495</v>
      </c>
      <c r="E530" s="252">
        <v>44267.0</v>
      </c>
      <c r="F530" s="250" t="s">
        <v>499</v>
      </c>
      <c r="G530" s="171">
        <v>25.0</v>
      </c>
      <c r="H530" s="171">
        <v>500.0</v>
      </c>
      <c r="I530" s="171">
        <v>100.0</v>
      </c>
      <c r="J530" s="172">
        <f t="shared" si="2"/>
        <v>0.0007906872343</v>
      </c>
      <c r="K530" s="269">
        <f t="shared" si="22"/>
        <v>0.8170434755</v>
      </c>
      <c r="L530" s="270">
        <f t="shared" si="4"/>
        <v>3.313734747</v>
      </c>
      <c r="M530" s="271" t="str">
        <f t="shared" si="5"/>
        <v>thebeautyway</v>
      </c>
      <c r="N530" s="176">
        <f>IFERROR(__xludf.DUMMYFUNCTION("""COMPUTED_VALUE"""),3.0)</f>
        <v>3</v>
      </c>
      <c r="O530" s="176"/>
      <c r="P530" s="249" t="s">
        <v>149</v>
      </c>
      <c r="Q530" s="249" t="s">
        <v>10</v>
      </c>
      <c r="R530" s="176"/>
      <c r="S530" s="176"/>
      <c r="T530" s="176"/>
      <c r="U530" s="176"/>
      <c r="V530" s="176"/>
      <c r="W530" s="176"/>
      <c r="X530" s="176"/>
      <c r="Y530" s="176"/>
      <c r="Z530" s="176"/>
    </row>
    <row r="531">
      <c r="A531" s="267" t="str">
        <f>iferror(VLOOKUP(P531,'DO NOT TOUCH Imported'!$A$1:$D$800,4,False),iferror(VLOOKUP(P531,'DO NOT TOUCH Imported'!$C$1:$D$800,2,False),"OOPS FIX ME"))</f>
        <v>thebeautyway</v>
      </c>
      <c r="B531" s="249" t="s">
        <v>10</v>
      </c>
      <c r="C531" s="219" t="s">
        <v>500</v>
      </c>
      <c r="D531" s="268" t="s">
        <v>495</v>
      </c>
      <c r="E531" s="252">
        <v>44267.0</v>
      </c>
      <c r="F531" s="250" t="s">
        <v>496</v>
      </c>
      <c r="G531" s="171">
        <v>25.0</v>
      </c>
      <c r="H531" s="171">
        <v>500.0</v>
      </c>
      <c r="I531" s="171">
        <v>100.0</v>
      </c>
      <c r="J531" s="172">
        <f t="shared" si="2"/>
        <v>0.0007906872343</v>
      </c>
      <c r="K531" s="269">
        <f t="shared" si="22"/>
        <v>0.8170434755</v>
      </c>
      <c r="L531" s="270">
        <f t="shared" si="4"/>
        <v>3.313734747</v>
      </c>
      <c r="M531" s="271" t="str">
        <f t="shared" si="5"/>
        <v>thebeautyway</v>
      </c>
      <c r="N531" s="176">
        <f>IFERROR(__xludf.DUMMYFUNCTION("""COMPUTED_VALUE"""),4.0)</f>
        <v>4</v>
      </c>
      <c r="O531" s="176"/>
      <c r="P531" s="249" t="s">
        <v>149</v>
      </c>
      <c r="Q531" s="249" t="s">
        <v>10</v>
      </c>
      <c r="R531" s="176"/>
      <c r="S531" s="176"/>
      <c r="T531" s="176"/>
      <c r="U531" s="176"/>
      <c r="V531" s="176"/>
      <c r="W531" s="176"/>
      <c r="X531" s="176"/>
      <c r="Y531" s="176"/>
      <c r="Z531" s="176"/>
    </row>
    <row r="532">
      <c r="A532" s="267" t="str">
        <f>iferror(VLOOKUP(P532,'DO NOT TOUCH Imported'!$A$1:$D$800,4,False),iferror(VLOOKUP(P532,'DO NOT TOUCH Imported'!$C$1:$D$800,2,False),"OOPS FIX ME"))</f>
        <v>sergei_tran</v>
      </c>
      <c r="B532" s="249" t="s">
        <v>10</v>
      </c>
      <c r="C532" s="219" t="s">
        <v>500</v>
      </c>
      <c r="D532" s="268" t="s">
        <v>495</v>
      </c>
      <c r="E532" s="252">
        <v>44260.0</v>
      </c>
      <c r="F532" s="250" t="s">
        <v>496</v>
      </c>
      <c r="G532" s="171">
        <v>35.0</v>
      </c>
      <c r="H532" s="171">
        <v>500.0</v>
      </c>
      <c r="I532" s="171">
        <v>40.0</v>
      </c>
      <c r="J532" s="172">
        <f t="shared" si="2"/>
        <v>0.0008127328046</v>
      </c>
      <c r="K532" s="269">
        <f t="shared" si="22"/>
        <v>0.8398238981</v>
      </c>
      <c r="L532" s="270">
        <f t="shared" si="4"/>
        <v>3.313734747</v>
      </c>
      <c r="M532" s="271" t="str">
        <f t="shared" si="5"/>
        <v>sergei_tran</v>
      </c>
      <c r="N532" s="176">
        <f>IFERROR(__xludf.DUMMYFUNCTION("""COMPUTED_VALUE"""),1.0)</f>
        <v>1</v>
      </c>
      <c r="O532" s="176"/>
      <c r="P532" s="249" t="s">
        <v>119</v>
      </c>
      <c r="Q532" s="249" t="s">
        <v>10</v>
      </c>
      <c r="R532" s="176"/>
      <c r="S532" s="176"/>
      <c r="T532" s="176"/>
      <c r="U532" s="176"/>
      <c r="V532" s="176"/>
      <c r="W532" s="176"/>
      <c r="X532" s="176"/>
      <c r="Y532" s="176"/>
      <c r="Z532" s="176"/>
    </row>
    <row r="533">
      <c r="A533" s="267" t="str">
        <f>iferror(VLOOKUP(P533,'DO NOT TOUCH Imported'!$A$1:$D$800,4,False),iferror(VLOOKUP(P533,'DO NOT TOUCH Imported'!$C$1:$D$800,2,False),"OOPS FIX ME"))</f>
        <v>sergei_tran</v>
      </c>
      <c r="B533" s="249" t="s">
        <v>10</v>
      </c>
      <c r="C533" s="219" t="s">
        <v>498</v>
      </c>
      <c r="D533" s="268" t="s">
        <v>495</v>
      </c>
      <c r="E533" s="252">
        <v>44260.0</v>
      </c>
      <c r="F533" s="250" t="s">
        <v>499</v>
      </c>
      <c r="G533" s="171">
        <v>35.0</v>
      </c>
      <c r="H533" s="171">
        <v>500.0</v>
      </c>
      <c r="I533" s="171">
        <v>40.0</v>
      </c>
      <c r="J533" s="172">
        <f t="shared" si="2"/>
        <v>0.0008127328046</v>
      </c>
      <c r="K533" s="269">
        <f t="shared" si="22"/>
        <v>0.8398238981</v>
      </c>
      <c r="L533" s="270">
        <f t="shared" si="4"/>
        <v>3.313734747</v>
      </c>
      <c r="M533" s="271" t="str">
        <f t="shared" si="5"/>
        <v>sergei_tran</v>
      </c>
      <c r="N533" s="176">
        <f>IFERROR(__xludf.DUMMYFUNCTION("""COMPUTED_VALUE"""),2.0)</f>
        <v>2</v>
      </c>
      <c r="O533" s="176"/>
      <c r="P533" s="249" t="s">
        <v>119</v>
      </c>
      <c r="Q533" s="249" t="s">
        <v>10</v>
      </c>
      <c r="R533" s="176"/>
      <c r="S533" s="176"/>
      <c r="T533" s="176"/>
      <c r="U533" s="176"/>
      <c r="V533" s="176"/>
      <c r="W533" s="176"/>
      <c r="X533" s="176"/>
      <c r="Y533" s="176"/>
      <c r="Z533" s="176"/>
    </row>
    <row r="534">
      <c r="A534" s="267" t="str">
        <f>iferror(VLOOKUP(P534,'DO NOT TOUCH Imported'!$A$1:$D$800,4,False),iferror(VLOOKUP(P534,'DO NOT TOUCH Imported'!$C$1:$D$800,2,False),"OOPS FIX ME"))</f>
        <v>sergei_tran</v>
      </c>
      <c r="B534" s="249" t="s">
        <v>10</v>
      </c>
      <c r="C534" s="219" t="s">
        <v>498</v>
      </c>
      <c r="D534" s="268" t="s">
        <v>495</v>
      </c>
      <c r="E534" s="252">
        <v>44267.0</v>
      </c>
      <c r="F534" s="250" t="s">
        <v>499</v>
      </c>
      <c r="G534" s="171">
        <v>25.0</v>
      </c>
      <c r="H534" s="171">
        <v>500.0</v>
      </c>
      <c r="I534" s="171">
        <v>100.0</v>
      </c>
      <c r="J534" s="172">
        <f t="shared" si="2"/>
        <v>0.0007906872343</v>
      </c>
      <c r="K534" s="269">
        <f t="shared" si="22"/>
        <v>0.8170434755</v>
      </c>
      <c r="L534" s="270">
        <f t="shared" si="4"/>
        <v>3.313734747</v>
      </c>
      <c r="M534" s="271" t="str">
        <f t="shared" si="5"/>
        <v>sergei_tran</v>
      </c>
      <c r="N534" s="176">
        <f>IFERROR(__xludf.DUMMYFUNCTION("""COMPUTED_VALUE"""),3.0)</f>
        <v>3</v>
      </c>
      <c r="O534" s="176"/>
      <c r="P534" s="249" t="s">
        <v>119</v>
      </c>
      <c r="Q534" s="249" t="s">
        <v>10</v>
      </c>
      <c r="R534" s="176"/>
      <c r="S534" s="176"/>
      <c r="T534" s="176"/>
      <c r="U534" s="176"/>
      <c r="V534" s="176"/>
      <c r="W534" s="176"/>
      <c r="X534" s="176"/>
      <c r="Y534" s="176"/>
      <c r="Z534" s="176"/>
    </row>
    <row r="535">
      <c r="A535" s="267" t="str">
        <f>iferror(VLOOKUP(P535,'DO NOT TOUCH Imported'!$A$1:$D$800,4,False),iferror(VLOOKUP(P535,'DO NOT TOUCH Imported'!$C$1:$D$800,2,False),"OOPS FIX ME"))</f>
        <v>sergei_tran</v>
      </c>
      <c r="B535" s="249" t="s">
        <v>10</v>
      </c>
      <c r="C535" s="219" t="s">
        <v>500</v>
      </c>
      <c r="D535" s="268" t="s">
        <v>495</v>
      </c>
      <c r="E535" s="252">
        <v>44267.0</v>
      </c>
      <c r="F535" s="250" t="s">
        <v>496</v>
      </c>
      <c r="G535" s="171">
        <v>25.0</v>
      </c>
      <c r="H535" s="171">
        <v>500.0</v>
      </c>
      <c r="I535" s="171">
        <v>100.0</v>
      </c>
      <c r="J535" s="172">
        <f t="shared" si="2"/>
        <v>0.0007906872343</v>
      </c>
      <c r="K535" s="269">
        <f t="shared" si="22"/>
        <v>0.8170434755</v>
      </c>
      <c r="L535" s="270">
        <f t="shared" si="4"/>
        <v>3.313734747</v>
      </c>
      <c r="M535" s="271" t="str">
        <f t="shared" si="5"/>
        <v>sergei_tran</v>
      </c>
      <c r="N535" s="176">
        <f>IFERROR(__xludf.DUMMYFUNCTION("""COMPUTED_VALUE"""),4.0)</f>
        <v>4</v>
      </c>
      <c r="O535" s="176"/>
      <c r="P535" s="249" t="s">
        <v>119</v>
      </c>
      <c r="Q535" s="249" t="s">
        <v>10</v>
      </c>
      <c r="R535" s="176"/>
      <c r="S535" s="176"/>
      <c r="T535" s="176"/>
      <c r="U535" s="176"/>
      <c r="V535" s="176"/>
      <c r="W535" s="176"/>
      <c r="X535" s="176"/>
      <c r="Y535" s="176"/>
      <c r="Z535" s="176"/>
    </row>
    <row r="536">
      <c r="A536" s="267" t="str">
        <f>iferror(VLOOKUP(P536,'DO NOT TOUCH Imported'!$A$1:$D$800,4,False),iferror(VLOOKUP(P536,'DO NOT TOUCH Imported'!$C$1:$D$800,2,False),"OOPS FIX ME"))</f>
        <v>simondlr</v>
      </c>
      <c r="B536" s="249" t="s">
        <v>10</v>
      </c>
      <c r="C536" s="219" t="s">
        <v>498</v>
      </c>
      <c r="D536" s="268" t="s">
        <v>495</v>
      </c>
      <c r="E536" s="252">
        <v>44260.0</v>
      </c>
      <c r="F536" s="250" t="s">
        <v>499</v>
      </c>
      <c r="G536" s="171">
        <v>35.0</v>
      </c>
      <c r="H536" s="171">
        <v>500.0</v>
      </c>
      <c r="I536" s="171">
        <v>40.0</v>
      </c>
      <c r="J536" s="172">
        <f t="shared" si="2"/>
        <v>0.0008127328046</v>
      </c>
      <c r="K536" s="269">
        <f t="shared" si="22"/>
        <v>0.8398238981</v>
      </c>
      <c r="L536" s="270">
        <f t="shared" si="4"/>
        <v>3.253792152</v>
      </c>
      <c r="M536" s="271" t="str">
        <f t="shared" si="5"/>
        <v>simondlr</v>
      </c>
      <c r="N536" s="176">
        <f>IFERROR(__xludf.DUMMYFUNCTION("""COMPUTED_VALUE"""),1.0)</f>
        <v>1</v>
      </c>
      <c r="O536" s="176"/>
      <c r="P536" s="249" t="s">
        <v>37</v>
      </c>
      <c r="Q536" s="249" t="s">
        <v>10</v>
      </c>
      <c r="R536" s="176"/>
      <c r="S536" s="176"/>
      <c r="T536" s="176"/>
      <c r="U536" s="176"/>
      <c r="V536" s="176"/>
      <c r="W536" s="176"/>
      <c r="X536" s="176"/>
      <c r="Y536" s="176"/>
      <c r="Z536" s="176"/>
    </row>
    <row r="537">
      <c r="A537" s="267" t="str">
        <f>iferror(VLOOKUP(P537,'DO NOT TOUCH Imported'!$A$1:$D$800,4,False),iferror(VLOOKUP(P537,'DO NOT TOUCH Imported'!$C$1:$D$800,2,False),"OOPS FIX ME"))</f>
        <v>simondlr</v>
      </c>
      <c r="B537" s="272" t="s">
        <v>590</v>
      </c>
      <c r="C537" s="273" t="s">
        <v>2144</v>
      </c>
      <c r="D537" s="274" t="s">
        <v>499</v>
      </c>
      <c r="E537" s="275">
        <v>44263.0</v>
      </c>
      <c r="F537" s="274" t="s">
        <v>1646</v>
      </c>
      <c r="G537" s="171">
        <v>25.0</v>
      </c>
      <c r="H537" s="171">
        <v>2500.0</v>
      </c>
      <c r="I537" s="171">
        <v>500.0</v>
      </c>
      <c r="J537" s="172">
        <f t="shared" si="2"/>
        <v>0.00233609831</v>
      </c>
      <c r="K537" s="269">
        <f t="shared" si="22"/>
        <v>2.413968253</v>
      </c>
      <c r="L537" s="270">
        <f t="shared" si="4"/>
        <v>3.253792152</v>
      </c>
      <c r="M537" s="271" t="str">
        <f t="shared" si="5"/>
        <v>simondlr</v>
      </c>
      <c r="N537" s="176">
        <f>IFERROR(__xludf.DUMMYFUNCTION("""COMPUTED_VALUE"""),2.0)</f>
        <v>2</v>
      </c>
      <c r="O537" s="176"/>
      <c r="P537" s="267" t="s">
        <v>2145</v>
      </c>
      <c r="Q537" s="272" t="s">
        <v>590</v>
      </c>
      <c r="R537" s="176"/>
      <c r="S537" s="176"/>
      <c r="T537" s="176"/>
      <c r="U537" s="176"/>
      <c r="V537" s="176"/>
      <c r="W537" s="176"/>
      <c r="X537" s="176"/>
      <c r="Y537" s="176"/>
      <c r="Z537" s="176"/>
    </row>
    <row r="538">
      <c r="A538" s="267" t="str">
        <f>iferror(VLOOKUP(P538,'DO NOT TOUCH Imported'!$A$1:$D$800,4,False),iferror(VLOOKUP(P538,'DO NOT TOUCH Imported'!$C$1:$D$800,2,False),"OOPS FIX ME"))</f>
        <v>heater03</v>
      </c>
      <c r="B538" s="272" t="s">
        <v>18</v>
      </c>
      <c r="C538" s="273" t="s">
        <v>2146</v>
      </c>
      <c r="D538" s="274" t="s">
        <v>499</v>
      </c>
      <c r="E538" s="275">
        <v>44263.0</v>
      </c>
      <c r="F538" s="274" t="s">
        <v>1646</v>
      </c>
      <c r="G538" s="171">
        <v>35.0</v>
      </c>
      <c r="H538" s="171">
        <v>1000.0</v>
      </c>
      <c r="I538" s="171">
        <v>300.0</v>
      </c>
      <c r="J538" s="172">
        <f t="shared" si="2"/>
        <v>0.001571587483</v>
      </c>
      <c r="K538" s="269">
        <f t="shared" si="22"/>
        <v>1.623973732</v>
      </c>
      <c r="L538" s="270">
        <f t="shared" si="4"/>
        <v>3.174866586</v>
      </c>
      <c r="M538" s="271" t="str">
        <f t="shared" si="5"/>
        <v>heater03</v>
      </c>
      <c r="N538" s="176">
        <f>IFERROR(__xludf.DUMMYFUNCTION("""COMPUTED_VALUE"""),1.0)</f>
        <v>1</v>
      </c>
      <c r="O538" s="176"/>
      <c r="P538" s="267" t="s">
        <v>586</v>
      </c>
      <c r="Q538" s="272" t="s">
        <v>18</v>
      </c>
      <c r="R538" s="176"/>
      <c r="S538" s="176"/>
      <c r="T538" s="176"/>
      <c r="U538" s="176"/>
      <c r="V538" s="176"/>
      <c r="W538" s="176"/>
      <c r="X538" s="176"/>
      <c r="Y538" s="176"/>
      <c r="Z538" s="176"/>
    </row>
    <row r="539">
      <c r="A539" s="267" t="str">
        <f>iferror(VLOOKUP(P539,'DO NOT TOUCH Imported'!$A$1:$D$800,4,False),iferror(VLOOKUP(P539,'DO NOT TOUCH Imported'!$C$1:$D$800,2,False),"OOPS FIX ME"))</f>
        <v>heater03</v>
      </c>
      <c r="B539" s="272" t="s">
        <v>18</v>
      </c>
      <c r="C539" s="273" t="s">
        <v>2147</v>
      </c>
      <c r="D539" s="274" t="s">
        <v>437</v>
      </c>
      <c r="E539" s="275">
        <v>44265.0</v>
      </c>
      <c r="F539" s="274" t="s">
        <v>1929</v>
      </c>
      <c r="G539" s="171">
        <v>35.0</v>
      </c>
      <c r="H539" s="171">
        <v>500.0</v>
      </c>
      <c r="I539" s="171">
        <v>20.0</v>
      </c>
      <c r="J539" s="172">
        <f t="shared" si="2"/>
        <v>0.000766170066</v>
      </c>
      <c r="K539" s="269">
        <f t="shared" si="22"/>
        <v>0.7917090682</v>
      </c>
      <c r="L539" s="270">
        <f t="shared" si="4"/>
        <v>3.174866586</v>
      </c>
      <c r="M539" s="271" t="str">
        <f t="shared" si="5"/>
        <v>heater03</v>
      </c>
      <c r="N539" s="176">
        <f>IFERROR(__xludf.DUMMYFUNCTION("""COMPUTED_VALUE"""),2.0)</f>
        <v>2</v>
      </c>
      <c r="O539" s="176"/>
      <c r="P539" s="267" t="s">
        <v>586</v>
      </c>
      <c r="Q539" s="272" t="s">
        <v>18</v>
      </c>
      <c r="R539" s="176"/>
      <c r="S539" s="176"/>
      <c r="T539" s="176"/>
      <c r="U539" s="176"/>
      <c r="V539" s="176"/>
      <c r="W539" s="176"/>
      <c r="X539" s="176"/>
      <c r="Y539" s="176"/>
      <c r="Z539" s="176"/>
    </row>
    <row r="540">
      <c r="A540" s="267" t="str">
        <f>iferror(VLOOKUP(P540,'DO NOT TOUCH Imported'!$A$1:$D$800,4,False),iferror(VLOOKUP(P540,'DO NOT TOUCH Imported'!$C$1:$D$800,2,False),"OOPS FIX ME"))</f>
        <v>heater03</v>
      </c>
      <c r="B540" s="272" t="s">
        <v>10</v>
      </c>
      <c r="C540" s="273" t="s">
        <v>1952</v>
      </c>
      <c r="D540" s="274" t="s">
        <v>437</v>
      </c>
      <c r="E540" s="306">
        <v>44267.0</v>
      </c>
      <c r="F540" s="274" t="s">
        <v>439</v>
      </c>
      <c r="G540" s="171">
        <v>25.0</v>
      </c>
      <c r="H540" s="171">
        <v>1000.0</v>
      </c>
      <c r="I540" s="171">
        <v>10.0</v>
      </c>
      <c r="J540" s="172">
        <f t="shared" si="2"/>
        <v>0.0007346939862</v>
      </c>
      <c r="K540" s="269">
        <f t="shared" si="22"/>
        <v>0.7591837857</v>
      </c>
      <c r="L540" s="270">
        <f t="shared" si="4"/>
        <v>3.174866586</v>
      </c>
      <c r="M540" s="271" t="str">
        <f t="shared" si="5"/>
        <v>heater03</v>
      </c>
      <c r="N540" s="176">
        <f>IFERROR(__xludf.DUMMYFUNCTION("""COMPUTED_VALUE"""),3.0)</f>
        <v>3</v>
      </c>
      <c r="O540" s="176"/>
      <c r="P540" s="267" t="s">
        <v>586</v>
      </c>
      <c r="Q540" s="272" t="s">
        <v>10</v>
      </c>
      <c r="R540" s="176"/>
      <c r="S540" s="176"/>
      <c r="T540" s="176"/>
      <c r="U540" s="176"/>
      <c r="V540" s="176"/>
      <c r="W540" s="176"/>
      <c r="X540" s="176"/>
      <c r="Y540" s="176"/>
      <c r="Z540" s="176"/>
    </row>
    <row r="541">
      <c r="A541" s="267" t="str">
        <f>iferror(VLOOKUP(P541,'DO NOT TOUCH Imported'!$A$1:$D$800,4,False),iferror(VLOOKUP(P541,'DO NOT TOUCH Imported'!$C$1:$D$800,2,False),"OOPS FIX ME"))</f>
        <v>celineflash</v>
      </c>
      <c r="B541" s="272" t="s">
        <v>10</v>
      </c>
      <c r="C541" s="273" t="s">
        <v>2148</v>
      </c>
      <c r="D541" s="274" t="s">
        <v>437</v>
      </c>
      <c r="E541" s="275">
        <v>44260.0</v>
      </c>
      <c r="F541" s="274" t="s">
        <v>1929</v>
      </c>
      <c r="G541" s="171">
        <v>50.0</v>
      </c>
      <c r="H541" s="171">
        <v>500.0</v>
      </c>
      <c r="I541" s="171">
        <v>300.0</v>
      </c>
      <c r="J541" s="172">
        <f t="shared" si="2"/>
        <v>0.001660649086</v>
      </c>
      <c r="K541" s="269">
        <f t="shared" si="22"/>
        <v>1.716004056</v>
      </c>
      <c r="L541" s="270">
        <f t="shared" si="4"/>
        <v>3.149163819</v>
      </c>
      <c r="M541" s="271" t="str">
        <f t="shared" si="5"/>
        <v>celineflash</v>
      </c>
      <c r="N541" s="176">
        <f>IFERROR(__xludf.DUMMYFUNCTION("""COMPUTED_VALUE"""),1.0)</f>
        <v>1</v>
      </c>
      <c r="O541" s="176"/>
      <c r="P541" s="267" t="s">
        <v>1555</v>
      </c>
      <c r="Q541" s="272" t="s">
        <v>10</v>
      </c>
      <c r="R541" s="176"/>
      <c r="S541" s="176"/>
      <c r="T541" s="176"/>
      <c r="U541" s="176"/>
      <c r="V541" s="176"/>
      <c r="W541" s="176"/>
      <c r="X541" s="176"/>
      <c r="Y541" s="176"/>
      <c r="Z541" s="176"/>
    </row>
    <row r="542">
      <c r="A542" s="267" t="str">
        <f>iferror(VLOOKUP(P542,'DO NOT TOUCH Imported'!$A$1:$D$800,4,False),iferror(VLOOKUP(P542,'DO NOT TOUCH Imported'!$C$1:$D$800,2,False),"OOPS FIX ME"))</f>
        <v>celineflash</v>
      </c>
      <c r="B542" s="272" t="s">
        <v>10</v>
      </c>
      <c r="C542" s="273" t="s">
        <v>1941</v>
      </c>
      <c r="D542" s="274" t="s">
        <v>437</v>
      </c>
      <c r="E542" s="275">
        <v>44260.0</v>
      </c>
      <c r="F542" s="274" t="s">
        <v>1929</v>
      </c>
      <c r="G542" s="171">
        <v>15.0</v>
      </c>
      <c r="H542" s="171">
        <v>1000.0</v>
      </c>
      <c r="I542" s="171">
        <v>20.0</v>
      </c>
      <c r="J542" s="172">
        <f t="shared" si="2"/>
        <v>0.0005962415693</v>
      </c>
      <c r="K542" s="269">
        <f t="shared" si="22"/>
        <v>0.6161162883</v>
      </c>
      <c r="L542" s="270">
        <f t="shared" si="4"/>
        <v>3.149163819</v>
      </c>
      <c r="M542" s="271" t="str">
        <f t="shared" si="5"/>
        <v>celineflash</v>
      </c>
      <c r="N542" s="176">
        <f>IFERROR(__xludf.DUMMYFUNCTION("""COMPUTED_VALUE"""),2.0)</f>
        <v>2</v>
      </c>
      <c r="O542" s="176"/>
      <c r="P542" s="267" t="s">
        <v>1555</v>
      </c>
      <c r="Q542" s="272" t="s">
        <v>10</v>
      </c>
      <c r="R542" s="176"/>
      <c r="S542" s="176"/>
      <c r="T542" s="176"/>
      <c r="U542" s="176"/>
      <c r="V542" s="176"/>
      <c r="W542" s="176"/>
      <c r="X542" s="176"/>
      <c r="Y542" s="176"/>
      <c r="Z542" s="176"/>
    </row>
    <row r="543">
      <c r="A543" s="267" t="str">
        <f>iferror(VLOOKUP(P543,'DO NOT TOUCH Imported'!$A$1:$D$800,4,False),iferror(VLOOKUP(P543,'DO NOT TOUCH Imported'!$C$1:$D$800,2,False),"OOPS FIX ME"))</f>
        <v>celineflash</v>
      </c>
      <c r="B543" s="272" t="s">
        <v>10</v>
      </c>
      <c r="C543" s="273" t="s">
        <v>2002</v>
      </c>
      <c r="D543" s="274" t="s">
        <v>437</v>
      </c>
      <c r="E543" s="306">
        <v>44267.0</v>
      </c>
      <c r="F543" s="274" t="s">
        <v>439</v>
      </c>
      <c r="G543" s="171">
        <v>25.0</v>
      </c>
      <c r="H543" s="171">
        <v>500.0</v>
      </c>
      <c r="I543" s="171">
        <v>100.0</v>
      </c>
      <c r="J543" s="172">
        <f t="shared" si="2"/>
        <v>0.0007906872343</v>
      </c>
      <c r="K543" s="269">
        <f t="shared" si="22"/>
        <v>0.8170434755</v>
      </c>
      <c r="L543" s="270">
        <f t="shared" si="4"/>
        <v>3.149163819</v>
      </c>
      <c r="M543" s="271" t="str">
        <f t="shared" si="5"/>
        <v>celineflash</v>
      </c>
      <c r="N543" s="176">
        <f>IFERROR(__xludf.DUMMYFUNCTION("""COMPUTED_VALUE"""),3.0)</f>
        <v>3</v>
      </c>
      <c r="O543" s="176"/>
      <c r="P543" s="267" t="s">
        <v>1555</v>
      </c>
      <c r="Q543" s="272" t="s">
        <v>10</v>
      </c>
      <c r="R543" s="176"/>
      <c r="S543" s="176"/>
      <c r="T543" s="176"/>
      <c r="U543" s="176"/>
      <c r="V543" s="176"/>
      <c r="W543" s="176"/>
      <c r="X543" s="176"/>
      <c r="Y543" s="176"/>
      <c r="Z543" s="176"/>
    </row>
    <row r="544">
      <c r="A544" s="267" t="str">
        <f>iferror(VLOOKUP(P544,'DO NOT TOUCH Imported'!$A$1:$D$800,4,False),iferror(VLOOKUP(P544,'DO NOT TOUCH Imported'!$C$1:$D$800,2,False),"OOPS FIX ME"))</f>
        <v>Krisjones</v>
      </c>
      <c r="B544" s="272" t="s">
        <v>1702</v>
      </c>
      <c r="C544" s="273" t="s">
        <v>2034</v>
      </c>
      <c r="D544" s="274" t="s">
        <v>437</v>
      </c>
      <c r="E544" s="275">
        <v>44254.0</v>
      </c>
      <c r="F544" s="274" t="s">
        <v>1929</v>
      </c>
      <c r="G544" s="171">
        <v>100.0</v>
      </c>
      <c r="H544" s="171">
        <v>10000.0</v>
      </c>
      <c r="I544" s="171">
        <v>100.0</v>
      </c>
      <c r="J544" s="172">
        <f t="shared" si="2"/>
        <v>0.004920933069</v>
      </c>
      <c r="K544" s="269">
        <f t="shared" si="22"/>
        <v>5.084964171</v>
      </c>
      <c r="L544" s="270">
        <f t="shared" si="4"/>
        <v>3.067275463</v>
      </c>
      <c r="M544" s="271" t="str">
        <f t="shared" si="5"/>
        <v>Krisjones</v>
      </c>
      <c r="N544" s="176">
        <f>IFERROR(__xludf.DUMMYFUNCTION("""COMPUTED_VALUE"""),1.0)</f>
        <v>1</v>
      </c>
      <c r="O544" s="176"/>
      <c r="P544" s="267" t="s">
        <v>530</v>
      </c>
      <c r="Q544" s="272" t="s">
        <v>1702</v>
      </c>
      <c r="R544" s="176"/>
      <c r="S544" s="176"/>
      <c r="T544" s="176"/>
      <c r="U544" s="176"/>
      <c r="V544" s="176"/>
      <c r="W544" s="176"/>
      <c r="X544" s="176"/>
      <c r="Y544" s="176"/>
      <c r="Z544" s="176"/>
    </row>
    <row r="545">
      <c r="A545" s="267" t="str">
        <f>iferror(VLOOKUP(P545,'DO NOT TOUCH Imported'!$A$1:$D$800,4,False),iferror(VLOOKUP(P545,'DO NOT TOUCH Imported'!$C$1:$D$800,2,False),"OOPS FIX ME"))</f>
        <v>Krisjones</v>
      </c>
      <c r="B545" s="249" t="s">
        <v>519</v>
      </c>
      <c r="C545" s="219" t="s">
        <v>2044</v>
      </c>
      <c r="D545" s="268" t="s">
        <v>495</v>
      </c>
      <c r="E545" s="252">
        <v>44256.0</v>
      </c>
      <c r="F545" s="250" t="s">
        <v>1956</v>
      </c>
      <c r="G545" s="171">
        <v>50.0</v>
      </c>
      <c r="H545" s="171">
        <v>1000.0</v>
      </c>
      <c r="I545" s="171">
        <v>200.0</v>
      </c>
      <c r="J545" s="172">
        <f t="shared" si="2"/>
        <v>0.001581374469</v>
      </c>
      <c r="K545" s="269">
        <f t="shared" si="22"/>
        <v>1.634086951</v>
      </c>
      <c r="L545" s="270">
        <f t="shared" si="4"/>
        <v>3.067275463</v>
      </c>
      <c r="M545" s="271" t="str">
        <f t="shared" si="5"/>
        <v>Krisjones</v>
      </c>
      <c r="N545" s="176">
        <f>IFERROR(__xludf.DUMMYFUNCTION("""COMPUTED_VALUE"""),2.0)</f>
        <v>2</v>
      </c>
      <c r="O545" s="176"/>
      <c r="P545" s="249" t="s">
        <v>59</v>
      </c>
      <c r="Q545" s="249" t="s">
        <v>519</v>
      </c>
      <c r="R545" s="176"/>
      <c r="S545" s="176"/>
      <c r="T545" s="176"/>
      <c r="U545" s="176"/>
      <c r="V545" s="176"/>
      <c r="W545" s="176"/>
      <c r="X545" s="176"/>
      <c r="Y545" s="176"/>
      <c r="Z545" s="176"/>
    </row>
    <row r="546">
      <c r="A546" s="267" t="str">
        <f>iferror(VLOOKUP(P546,'DO NOT TOUCH Imported'!$A$1:$D$800,4,False),iferror(VLOOKUP(P546,'DO NOT TOUCH Imported'!$C$1:$D$800,2,False),"OOPS FIX ME"))</f>
        <v>Krisjones</v>
      </c>
      <c r="B546" s="249" t="s">
        <v>519</v>
      </c>
      <c r="C546" s="317" t="s">
        <v>2149</v>
      </c>
      <c r="D546" s="268" t="s">
        <v>495</v>
      </c>
      <c r="E546" s="252">
        <v>44259.0</v>
      </c>
      <c r="F546" s="250" t="s">
        <v>499</v>
      </c>
      <c r="G546" s="171">
        <v>100.0</v>
      </c>
      <c r="H546" s="171">
        <v>25000.0</v>
      </c>
      <c r="I546" s="171">
        <v>400.0</v>
      </c>
      <c r="J546" s="172">
        <f t="shared" si="2"/>
        <v>0.01022554642</v>
      </c>
      <c r="K546" s="269">
        <f t="shared" si="22"/>
        <v>10.56639797</v>
      </c>
      <c r="L546" s="270">
        <f t="shared" si="4"/>
        <v>3.067275463</v>
      </c>
      <c r="M546" s="271" t="str">
        <f t="shared" si="5"/>
        <v>Krisjones</v>
      </c>
      <c r="N546" s="176">
        <f>IFERROR(__xludf.DUMMYFUNCTION("""COMPUTED_VALUE"""),3.0)</f>
        <v>3</v>
      </c>
      <c r="O546" s="176"/>
      <c r="P546" s="249" t="s">
        <v>59</v>
      </c>
      <c r="Q546" s="249" t="s">
        <v>519</v>
      </c>
      <c r="R546" s="176"/>
      <c r="S546" s="176"/>
      <c r="T546" s="176"/>
      <c r="U546" s="176"/>
      <c r="V546" s="176"/>
      <c r="W546" s="176"/>
      <c r="X546" s="176"/>
      <c r="Y546" s="176"/>
      <c r="Z546" s="176"/>
    </row>
    <row r="547">
      <c r="A547" s="267" t="str">
        <f>iferror(VLOOKUP(P547,'DO NOT TOUCH Imported'!$A$1:$D$800,4,False),iferror(VLOOKUP(P547,'DO NOT TOUCH Imported'!$C$1:$D$800,2,False),"OOPS FIX ME"))</f>
        <v>Krisjones</v>
      </c>
      <c r="B547" s="272" t="s">
        <v>10</v>
      </c>
      <c r="C547" s="273" t="s">
        <v>1941</v>
      </c>
      <c r="D547" s="274" t="s">
        <v>437</v>
      </c>
      <c r="E547" s="275">
        <v>44260.0</v>
      </c>
      <c r="F547" s="274" t="s">
        <v>1929</v>
      </c>
      <c r="G547" s="171">
        <v>15.0</v>
      </c>
      <c r="H547" s="171">
        <v>1000.0</v>
      </c>
      <c r="I547" s="171">
        <v>20.0</v>
      </c>
      <c r="J547" s="172">
        <f t="shared" si="2"/>
        <v>0.0005962415693</v>
      </c>
      <c r="K547" s="269">
        <f t="shared" si="22"/>
        <v>0.6161162883</v>
      </c>
      <c r="L547" s="270">
        <f t="shared" si="4"/>
        <v>3.067275463</v>
      </c>
      <c r="M547" s="271" t="str">
        <f t="shared" si="5"/>
        <v>Krisjones</v>
      </c>
      <c r="N547" s="176">
        <f>IFERROR(__xludf.DUMMYFUNCTION("""COMPUTED_VALUE"""),4.0)</f>
        <v>4</v>
      </c>
      <c r="O547" s="176"/>
      <c r="P547" s="267" t="s">
        <v>530</v>
      </c>
      <c r="Q547" s="272" t="s">
        <v>10</v>
      </c>
      <c r="R547" s="176"/>
      <c r="S547" s="176"/>
      <c r="T547" s="176"/>
      <c r="U547" s="176"/>
      <c r="V547" s="176"/>
      <c r="W547" s="176"/>
      <c r="X547" s="176"/>
      <c r="Y547" s="176"/>
      <c r="Z547" s="176"/>
    </row>
    <row r="548">
      <c r="A548" s="267" t="str">
        <f>iferror(VLOOKUP(P548,'DO NOT TOUCH Imported'!$A$1:$D$800,4,False),iferror(VLOOKUP(P548,'DO NOT TOUCH Imported'!$C$1:$D$800,2,False),"OOPS FIX ME"))</f>
        <v>Krisjones</v>
      </c>
      <c r="B548" s="272" t="s">
        <v>1702</v>
      </c>
      <c r="C548" s="273" t="s">
        <v>2040</v>
      </c>
      <c r="D548" s="274" t="s">
        <v>437</v>
      </c>
      <c r="E548" s="275">
        <v>44260.0</v>
      </c>
      <c r="F548" s="274" t="s">
        <v>1929</v>
      </c>
      <c r="G548" s="171">
        <v>15.0</v>
      </c>
      <c r="H548" s="171">
        <v>500.0</v>
      </c>
      <c r="I548" s="171">
        <v>200.0</v>
      </c>
      <c r="J548" s="172">
        <f t="shared" si="2"/>
        <v>0.0008617671413</v>
      </c>
      <c r="K548" s="269">
        <f t="shared" si="22"/>
        <v>0.8904927127</v>
      </c>
      <c r="L548" s="270">
        <f t="shared" si="4"/>
        <v>3.067275463</v>
      </c>
      <c r="M548" s="271" t="str">
        <f t="shared" si="5"/>
        <v>Krisjones</v>
      </c>
      <c r="N548" s="176">
        <f>IFERROR(__xludf.DUMMYFUNCTION("""COMPUTED_VALUE"""),5.0)</f>
        <v>5</v>
      </c>
      <c r="O548" s="176"/>
      <c r="P548" s="267" t="s">
        <v>530</v>
      </c>
      <c r="Q548" s="272" t="s">
        <v>1702</v>
      </c>
      <c r="R548" s="176"/>
      <c r="S548" s="176"/>
      <c r="T548" s="176"/>
      <c r="U548" s="176"/>
      <c r="V548" s="176"/>
      <c r="W548" s="176"/>
      <c r="X548" s="176"/>
      <c r="Y548" s="176"/>
      <c r="Z548" s="176"/>
    </row>
    <row r="549">
      <c r="A549" s="267" t="str">
        <f>iferror(VLOOKUP(P549,'DO NOT TOUCH Imported'!$A$1:$D$800,4,False),iferror(VLOOKUP(P549,'DO NOT TOUCH Imported'!$C$1:$D$800,2,False),"OOPS FIX ME"))</f>
        <v>Krisjones</v>
      </c>
      <c r="B549" s="249" t="s">
        <v>10</v>
      </c>
      <c r="C549" s="219" t="s">
        <v>498</v>
      </c>
      <c r="D549" s="268" t="s">
        <v>495</v>
      </c>
      <c r="E549" s="252">
        <v>44260.0</v>
      </c>
      <c r="F549" s="250" t="s">
        <v>499</v>
      </c>
      <c r="G549" s="171">
        <v>35.0</v>
      </c>
      <c r="H549" s="171">
        <v>500.0</v>
      </c>
      <c r="I549" s="171">
        <v>40.0</v>
      </c>
      <c r="J549" s="172">
        <f t="shared" si="2"/>
        <v>0.0008127328046</v>
      </c>
      <c r="K549" s="269">
        <f t="shared" si="22"/>
        <v>0.8398238981</v>
      </c>
      <c r="L549" s="270">
        <f t="shared" si="4"/>
        <v>3.067275463</v>
      </c>
      <c r="M549" s="271" t="str">
        <f t="shared" si="5"/>
        <v>Krisjones</v>
      </c>
      <c r="N549" s="176">
        <f>IFERROR(__xludf.DUMMYFUNCTION("""COMPUTED_VALUE"""),6.0)</f>
        <v>6</v>
      </c>
      <c r="O549" s="176"/>
      <c r="P549" s="249" t="s">
        <v>59</v>
      </c>
      <c r="Q549" s="249" t="s">
        <v>10</v>
      </c>
      <c r="R549" s="176"/>
      <c r="S549" s="176"/>
      <c r="T549" s="176"/>
      <c r="U549" s="176"/>
      <c r="V549" s="176"/>
      <c r="W549" s="176"/>
      <c r="X549" s="176"/>
      <c r="Y549" s="176"/>
      <c r="Z549" s="176"/>
    </row>
    <row r="550">
      <c r="A550" s="267" t="str">
        <f>iferror(VLOOKUP(P550,'DO NOT TOUCH Imported'!$A$1:$D$800,4,False),iferror(VLOOKUP(P550,'DO NOT TOUCH Imported'!$C$1:$D$800,2,False),"OOPS FIX ME"))</f>
        <v>Krisjones</v>
      </c>
      <c r="B550" s="249" t="s">
        <v>10</v>
      </c>
      <c r="C550" s="219" t="s">
        <v>498</v>
      </c>
      <c r="D550" s="268" t="s">
        <v>495</v>
      </c>
      <c r="E550" s="252">
        <v>44267.0</v>
      </c>
      <c r="F550" s="250" t="s">
        <v>499</v>
      </c>
      <c r="G550" s="171">
        <v>25.0</v>
      </c>
      <c r="H550" s="171">
        <v>500.0</v>
      </c>
      <c r="I550" s="171">
        <v>100.0</v>
      </c>
      <c r="J550" s="172">
        <f t="shared" si="2"/>
        <v>0.0007906872343</v>
      </c>
      <c r="K550" s="269">
        <f t="shared" si="22"/>
        <v>0.8170434755</v>
      </c>
      <c r="L550" s="270">
        <f t="shared" si="4"/>
        <v>3.067275463</v>
      </c>
      <c r="M550" s="271" t="str">
        <f t="shared" si="5"/>
        <v>Krisjones</v>
      </c>
      <c r="N550" s="176">
        <f>IFERROR(__xludf.DUMMYFUNCTION("""COMPUTED_VALUE"""),7.0)</f>
        <v>7</v>
      </c>
      <c r="O550" s="176"/>
      <c r="P550" s="249" t="s">
        <v>59</v>
      </c>
      <c r="Q550" s="249" t="s">
        <v>10</v>
      </c>
      <c r="R550" s="176"/>
      <c r="S550" s="176"/>
      <c r="T550" s="176"/>
      <c r="U550" s="176"/>
      <c r="V550" s="176"/>
      <c r="W550" s="176"/>
      <c r="X550" s="176"/>
      <c r="Y550" s="176"/>
      <c r="Z550" s="176"/>
    </row>
    <row r="551">
      <c r="A551" s="185" t="str">
        <f>iferror(VLOOKUP(P551,'DO NOT TOUCH Imported'!$A$1:$D$800,4,False),iferror(VLOOKUP(P551,'DO NOT TOUCH Imported'!$C$1:$D$800,2,False),"OOPS FIX ME"))</f>
        <v>Krisjones</v>
      </c>
      <c r="B551" s="185" t="s">
        <v>534</v>
      </c>
      <c r="C551" s="228" t="s">
        <v>810</v>
      </c>
      <c r="D551" s="187"/>
      <c r="E551" s="188"/>
      <c r="F551" s="189"/>
      <c r="G551" s="190"/>
      <c r="H551" s="190"/>
      <c r="I551" s="190"/>
      <c r="J551" s="191">
        <f t="shared" si="2"/>
        <v>0</v>
      </c>
      <c r="K551" s="192">
        <f>20.449*-0.85</f>
        <v>-17.38165</v>
      </c>
      <c r="L551" s="193">
        <f t="shared" si="4"/>
        <v>3.067275463</v>
      </c>
      <c r="M551" s="194" t="str">
        <f t="shared" si="5"/>
        <v>Krisjones</v>
      </c>
      <c r="N551" s="195">
        <f>IFERROR(__xludf.DUMMYFUNCTION("""COMPUTED_VALUE"""),8.0)</f>
        <v>8</v>
      </c>
      <c r="O551" s="195"/>
      <c r="P551" s="185" t="s">
        <v>59</v>
      </c>
      <c r="Q551" s="185" t="s">
        <v>534</v>
      </c>
      <c r="R551" s="195">
        <v>14.561258630642886</v>
      </c>
      <c r="S551" s="195"/>
      <c r="T551" s="195"/>
      <c r="U551" s="195"/>
      <c r="V551" s="195"/>
      <c r="W551" s="195"/>
      <c r="X551" s="195"/>
      <c r="Y551" s="195"/>
      <c r="Z551" s="195"/>
    </row>
    <row r="552">
      <c r="A552" s="267" t="str">
        <f>iferror(VLOOKUP(P552,'DO NOT TOUCH Imported'!$A$1:$D$800,4,False),iferror(VLOOKUP(P552,'DO NOT TOUCH Imported'!$C$1:$D$800,2,False),"OOPS FIX ME"))</f>
        <v>rubenrussel7</v>
      </c>
      <c r="B552" s="249" t="s">
        <v>10</v>
      </c>
      <c r="C552" s="219" t="s">
        <v>500</v>
      </c>
      <c r="D552" s="268" t="s">
        <v>495</v>
      </c>
      <c r="E552" s="252">
        <v>44260.0</v>
      </c>
      <c r="F552" s="250" t="s">
        <v>496</v>
      </c>
      <c r="G552" s="171">
        <v>35.0</v>
      </c>
      <c r="H552" s="171">
        <v>500.0</v>
      </c>
      <c r="I552" s="171">
        <v>40.0</v>
      </c>
      <c r="J552" s="172">
        <f t="shared" si="2"/>
        <v>0.0008127328046</v>
      </c>
      <c r="K552" s="269">
        <f t="shared" ref="K552:K570" si="23">J552*$J$1</f>
        <v>0.8398238981</v>
      </c>
      <c r="L552" s="270">
        <f t="shared" si="4"/>
        <v>2.613986807</v>
      </c>
      <c r="M552" s="271" t="str">
        <f t="shared" si="5"/>
        <v>rubenrussel7</v>
      </c>
      <c r="N552" s="176">
        <f>IFERROR(__xludf.DUMMYFUNCTION("""COMPUTED_VALUE"""),1.0)</f>
        <v>1</v>
      </c>
      <c r="O552" s="176"/>
      <c r="P552" s="249" t="s">
        <v>70</v>
      </c>
      <c r="Q552" s="249" t="s">
        <v>10</v>
      </c>
      <c r="R552" s="176"/>
      <c r="S552" s="176"/>
      <c r="T552" s="176"/>
      <c r="U552" s="176"/>
      <c r="V552" s="176"/>
      <c r="W552" s="176"/>
      <c r="X552" s="176"/>
      <c r="Y552" s="176"/>
      <c r="Z552" s="176"/>
    </row>
    <row r="553">
      <c r="A553" s="267" t="str">
        <f>iferror(VLOOKUP(P553,'DO NOT TOUCH Imported'!$A$1:$D$800,4,False),iferror(VLOOKUP(P553,'DO NOT TOUCH Imported'!$C$1:$D$800,2,False),"OOPS FIX ME"))</f>
        <v>rubenrussel7</v>
      </c>
      <c r="B553" s="272" t="s">
        <v>1933</v>
      </c>
      <c r="C553" s="273" t="s">
        <v>1949</v>
      </c>
      <c r="D553" s="274" t="s">
        <v>437</v>
      </c>
      <c r="E553" s="275">
        <v>44266.0</v>
      </c>
      <c r="F553" s="274" t="s">
        <v>439</v>
      </c>
      <c r="G553" s="171">
        <v>25.0</v>
      </c>
      <c r="H553" s="171">
        <v>2000.0</v>
      </c>
      <c r="I553" s="171">
        <v>300.0</v>
      </c>
      <c r="J553" s="172">
        <f t="shared" si="2"/>
        <v>0.001716931848</v>
      </c>
      <c r="K553" s="269">
        <f t="shared" si="23"/>
        <v>1.774162909</v>
      </c>
      <c r="L553" s="270">
        <f t="shared" si="4"/>
        <v>2.613986807</v>
      </c>
      <c r="M553" s="271" t="str">
        <f t="shared" si="5"/>
        <v>rubenrussel7</v>
      </c>
      <c r="N553" s="176">
        <f>IFERROR(__xludf.DUMMYFUNCTION("""COMPUTED_VALUE"""),2.0)</f>
        <v>2</v>
      </c>
      <c r="O553" s="176"/>
      <c r="P553" s="267" t="s">
        <v>821</v>
      </c>
      <c r="Q553" s="272" t="s">
        <v>1933</v>
      </c>
      <c r="R553" s="176"/>
      <c r="S553" s="176"/>
      <c r="T553" s="176"/>
      <c r="U553" s="176"/>
      <c r="V553" s="176"/>
      <c r="W553" s="176"/>
      <c r="X553" s="176"/>
      <c r="Y553" s="176"/>
      <c r="Z553" s="176"/>
    </row>
    <row r="554">
      <c r="A554" s="267" t="str">
        <f>iferror(VLOOKUP(P554,'DO NOT TOUCH Imported'!$A$1:$D$800,4,False),iferror(VLOOKUP(P554,'DO NOT TOUCH Imported'!$C$1:$D$800,2,False),"OOPS FIX ME"))</f>
        <v>Andfletcher</v>
      </c>
      <c r="B554" s="249" t="s">
        <v>10</v>
      </c>
      <c r="C554" s="219" t="s">
        <v>498</v>
      </c>
      <c r="D554" s="268" t="s">
        <v>495</v>
      </c>
      <c r="E554" s="252">
        <v>44260.0</v>
      </c>
      <c r="F554" s="250" t="s">
        <v>499</v>
      </c>
      <c r="G554" s="171">
        <v>35.0</v>
      </c>
      <c r="H554" s="171">
        <v>500.0</v>
      </c>
      <c r="I554" s="171">
        <v>40.0</v>
      </c>
      <c r="J554" s="172">
        <f t="shared" si="2"/>
        <v>0.0008127328046</v>
      </c>
      <c r="K554" s="269">
        <f t="shared" si="23"/>
        <v>0.8398238981</v>
      </c>
      <c r="L554" s="270">
        <f t="shared" si="4"/>
        <v>2.594197924</v>
      </c>
      <c r="M554" s="271" t="str">
        <f t="shared" si="5"/>
        <v>Andfletcher</v>
      </c>
      <c r="N554" s="176">
        <f>IFERROR(__xludf.DUMMYFUNCTION("""COMPUTED_VALUE"""),1.0)</f>
        <v>1</v>
      </c>
      <c r="O554" s="176"/>
      <c r="P554" s="249" t="s">
        <v>148</v>
      </c>
      <c r="Q554" s="249" t="s">
        <v>10</v>
      </c>
      <c r="R554" s="176"/>
      <c r="S554" s="176"/>
      <c r="T554" s="176"/>
      <c r="U554" s="176"/>
      <c r="V554" s="176"/>
      <c r="W554" s="176"/>
      <c r="X554" s="176"/>
      <c r="Y554" s="176"/>
      <c r="Z554" s="176"/>
    </row>
    <row r="555">
      <c r="A555" s="267" t="str">
        <f>iferror(VLOOKUP(P555,'DO NOT TOUCH Imported'!$A$1:$D$800,4,False),iferror(VLOOKUP(P555,'DO NOT TOUCH Imported'!$C$1:$D$800,2,False),"OOPS FIX ME"))</f>
        <v>Andfletcher</v>
      </c>
      <c r="B555" s="249" t="s">
        <v>590</v>
      </c>
      <c r="C555" s="219" t="s">
        <v>2150</v>
      </c>
      <c r="D555" s="268" t="s">
        <v>495</v>
      </c>
      <c r="E555" s="252">
        <v>44265.0</v>
      </c>
      <c r="F555" s="250" t="s">
        <v>499</v>
      </c>
      <c r="G555" s="171">
        <v>25.0</v>
      </c>
      <c r="H555" s="171">
        <v>500.0</v>
      </c>
      <c r="I555" s="171">
        <v>150.0</v>
      </c>
      <c r="J555" s="172">
        <f t="shared" si="2"/>
        <v>0.0009070940809</v>
      </c>
      <c r="K555" s="269">
        <f t="shared" si="23"/>
        <v>0.9373305503</v>
      </c>
      <c r="L555" s="270">
        <f t="shared" si="4"/>
        <v>2.594197924</v>
      </c>
      <c r="M555" s="271" t="str">
        <f t="shared" si="5"/>
        <v>Andfletcher</v>
      </c>
      <c r="N555" s="176">
        <f>IFERROR(__xludf.DUMMYFUNCTION("""COMPUTED_VALUE"""),2.0)</f>
        <v>2</v>
      </c>
      <c r="O555" s="176"/>
      <c r="P555" s="249" t="s">
        <v>148</v>
      </c>
      <c r="Q555" s="249" t="s">
        <v>590</v>
      </c>
      <c r="R555" s="176"/>
      <c r="S555" s="176"/>
      <c r="T555" s="176"/>
      <c r="U555" s="176"/>
      <c r="V555" s="176"/>
      <c r="W555" s="176"/>
      <c r="X555" s="176"/>
      <c r="Y555" s="176"/>
      <c r="Z555" s="176"/>
    </row>
    <row r="556">
      <c r="A556" s="267" t="str">
        <f>iferror(VLOOKUP(P556,'DO NOT TOUCH Imported'!$A$1:$D$800,4,False),iferror(VLOOKUP(P556,'DO NOT TOUCH Imported'!$C$1:$D$800,2,False),"OOPS FIX ME"))</f>
        <v>Andfletcher</v>
      </c>
      <c r="B556" s="249" t="s">
        <v>10</v>
      </c>
      <c r="C556" s="219" t="s">
        <v>498</v>
      </c>
      <c r="D556" s="268" t="s">
        <v>495</v>
      </c>
      <c r="E556" s="252">
        <v>44267.0</v>
      </c>
      <c r="F556" s="250" t="s">
        <v>499</v>
      </c>
      <c r="G556" s="171">
        <v>25.0</v>
      </c>
      <c r="H556" s="171">
        <v>500.0</v>
      </c>
      <c r="I556" s="171">
        <v>100.0</v>
      </c>
      <c r="J556" s="172">
        <f t="shared" si="2"/>
        <v>0.0007906872343</v>
      </c>
      <c r="K556" s="269">
        <f t="shared" si="23"/>
        <v>0.8170434755</v>
      </c>
      <c r="L556" s="270">
        <f t="shared" si="4"/>
        <v>2.594197924</v>
      </c>
      <c r="M556" s="271" t="str">
        <f t="shared" si="5"/>
        <v>Andfletcher</v>
      </c>
      <c r="N556" s="176">
        <f>IFERROR(__xludf.DUMMYFUNCTION("""COMPUTED_VALUE"""),3.0)</f>
        <v>3</v>
      </c>
      <c r="O556" s="176"/>
      <c r="P556" s="249" t="s">
        <v>148</v>
      </c>
      <c r="Q556" s="249" t="s">
        <v>10</v>
      </c>
      <c r="R556" s="176"/>
      <c r="S556" s="176"/>
      <c r="T556" s="176"/>
      <c r="U556" s="176"/>
      <c r="V556" s="176"/>
      <c r="W556" s="176"/>
      <c r="X556" s="176"/>
      <c r="Y556" s="176"/>
      <c r="Z556" s="176"/>
    </row>
    <row r="557">
      <c r="A557" s="267" t="str">
        <f>iferror(VLOOKUP(P557,'DO NOT TOUCH Imported'!$A$1:$D$800,4,False),iferror(VLOOKUP(P557,'DO NOT TOUCH Imported'!$C$1:$D$800,2,False),"OOPS FIX ME"))</f>
        <v>unquaLe</v>
      </c>
      <c r="B557" s="249" t="s">
        <v>10</v>
      </c>
      <c r="C557" s="219" t="s">
        <v>500</v>
      </c>
      <c r="D557" s="268" t="s">
        <v>495</v>
      </c>
      <c r="E557" s="252">
        <v>44260.0</v>
      </c>
      <c r="F557" s="250" t="s">
        <v>496</v>
      </c>
      <c r="G557" s="171">
        <v>35.0</v>
      </c>
      <c r="H557" s="171">
        <v>500.0</v>
      </c>
      <c r="I557" s="171">
        <v>40.0</v>
      </c>
      <c r="J557" s="172">
        <f t="shared" si="2"/>
        <v>0.0008127328046</v>
      </c>
      <c r="K557" s="269">
        <f t="shared" si="23"/>
        <v>0.8398238981</v>
      </c>
      <c r="L557" s="270">
        <f t="shared" si="4"/>
        <v>2.496691272</v>
      </c>
      <c r="M557" s="271" t="str">
        <f t="shared" si="5"/>
        <v>unquaLe</v>
      </c>
      <c r="N557" s="176">
        <f>IFERROR(__xludf.DUMMYFUNCTION("""COMPUTED_VALUE"""),1.0)</f>
        <v>1</v>
      </c>
      <c r="O557" s="176"/>
      <c r="P557" s="249" t="s">
        <v>131</v>
      </c>
      <c r="Q557" s="249" t="s">
        <v>10</v>
      </c>
      <c r="R557" s="176"/>
      <c r="S557" s="176"/>
      <c r="T557" s="176"/>
      <c r="U557" s="176"/>
      <c r="V557" s="176"/>
      <c r="W557" s="176"/>
      <c r="X557" s="176"/>
      <c r="Y557" s="176"/>
      <c r="Z557" s="176"/>
    </row>
    <row r="558">
      <c r="A558" s="267" t="str">
        <f>iferror(VLOOKUP(P558,'DO NOT TOUCH Imported'!$A$1:$D$800,4,False),iferror(VLOOKUP(P558,'DO NOT TOUCH Imported'!$C$1:$D$800,2,False),"OOPS FIX ME"))</f>
        <v>unquaLe</v>
      </c>
      <c r="B558" s="249" t="s">
        <v>10</v>
      </c>
      <c r="C558" s="219" t="s">
        <v>498</v>
      </c>
      <c r="D558" s="268" t="s">
        <v>495</v>
      </c>
      <c r="E558" s="252">
        <v>44260.0</v>
      </c>
      <c r="F558" s="250" t="s">
        <v>499</v>
      </c>
      <c r="G558" s="171">
        <v>35.0</v>
      </c>
      <c r="H558" s="171">
        <v>500.0</v>
      </c>
      <c r="I558" s="171">
        <v>40.0</v>
      </c>
      <c r="J558" s="172">
        <f t="shared" si="2"/>
        <v>0.0008127328046</v>
      </c>
      <c r="K558" s="269">
        <f t="shared" si="23"/>
        <v>0.8398238981</v>
      </c>
      <c r="L558" s="270">
        <f t="shared" si="4"/>
        <v>2.496691272</v>
      </c>
      <c r="M558" s="271" t="str">
        <f t="shared" si="5"/>
        <v>unquaLe</v>
      </c>
      <c r="N558" s="176">
        <f>IFERROR(__xludf.DUMMYFUNCTION("""COMPUTED_VALUE"""),2.0)</f>
        <v>2</v>
      </c>
      <c r="O558" s="176"/>
      <c r="P558" s="249" t="s">
        <v>131</v>
      </c>
      <c r="Q558" s="249" t="s">
        <v>10</v>
      </c>
      <c r="R558" s="176"/>
      <c r="S558" s="176"/>
      <c r="T558" s="176"/>
      <c r="U558" s="176"/>
      <c r="V558" s="176"/>
      <c r="W558" s="176"/>
      <c r="X558" s="176"/>
      <c r="Y558" s="176"/>
      <c r="Z558" s="176"/>
    </row>
    <row r="559">
      <c r="A559" s="267" t="str">
        <f>iferror(VLOOKUP(P559,'DO NOT TOUCH Imported'!$A$1:$D$800,4,False),iferror(VLOOKUP(P559,'DO NOT TOUCH Imported'!$C$1:$D$800,2,False),"OOPS FIX ME"))</f>
        <v>unquaLe</v>
      </c>
      <c r="B559" s="249" t="s">
        <v>10</v>
      </c>
      <c r="C559" s="219" t="s">
        <v>498</v>
      </c>
      <c r="D559" s="268" t="s">
        <v>495</v>
      </c>
      <c r="E559" s="252">
        <v>44267.0</v>
      </c>
      <c r="F559" s="250" t="s">
        <v>499</v>
      </c>
      <c r="G559" s="171">
        <v>25.0</v>
      </c>
      <c r="H559" s="171">
        <v>500.0</v>
      </c>
      <c r="I559" s="171">
        <v>100.0</v>
      </c>
      <c r="J559" s="172">
        <f t="shared" si="2"/>
        <v>0.0007906872343</v>
      </c>
      <c r="K559" s="269">
        <f t="shared" si="23"/>
        <v>0.8170434755</v>
      </c>
      <c r="L559" s="270">
        <f t="shared" si="4"/>
        <v>2.496691272</v>
      </c>
      <c r="M559" s="271" t="str">
        <f t="shared" si="5"/>
        <v>unquaLe</v>
      </c>
      <c r="N559" s="176">
        <f>IFERROR(__xludf.DUMMYFUNCTION("""COMPUTED_VALUE"""),3.0)</f>
        <v>3</v>
      </c>
      <c r="O559" s="176"/>
      <c r="P559" s="249" t="s">
        <v>131</v>
      </c>
      <c r="Q559" s="249" t="s">
        <v>10</v>
      </c>
      <c r="R559" s="176"/>
      <c r="S559" s="176"/>
      <c r="T559" s="176"/>
      <c r="U559" s="176"/>
      <c r="V559" s="176"/>
      <c r="W559" s="176"/>
      <c r="X559" s="176"/>
      <c r="Y559" s="176"/>
      <c r="Z559" s="176"/>
    </row>
    <row r="560">
      <c r="A560" s="267" t="str">
        <f>iferror(VLOOKUP(P560,'DO NOT TOUCH Imported'!$A$1:$D$800,4,False),iferror(VLOOKUP(P560,'DO NOT TOUCH Imported'!$C$1:$D$800,2,False),"OOPS FIX ME"))</f>
        <v>owocki</v>
      </c>
      <c r="B560" s="249" t="s">
        <v>10</v>
      </c>
      <c r="C560" s="219" t="s">
        <v>500</v>
      </c>
      <c r="D560" s="268" t="s">
        <v>495</v>
      </c>
      <c r="E560" s="252">
        <v>44260.0</v>
      </c>
      <c r="F560" s="250" t="s">
        <v>496</v>
      </c>
      <c r="G560" s="171">
        <v>35.0</v>
      </c>
      <c r="H560" s="171">
        <v>500.0</v>
      </c>
      <c r="I560" s="171">
        <v>40.0</v>
      </c>
      <c r="J560" s="172">
        <f t="shared" si="2"/>
        <v>0.0008127328046</v>
      </c>
      <c r="K560" s="269">
        <f t="shared" si="23"/>
        <v>0.8398238981</v>
      </c>
      <c r="L560" s="270">
        <f t="shared" si="4"/>
        <v>2.496691272</v>
      </c>
      <c r="M560" s="271" t="str">
        <f t="shared" si="5"/>
        <v>owocki</v>
      </c>
      <c r="N560" s="176">
        <f>IFERROR(__xludf.DUMMYFUNCTION("""COMPUTED_VALUE"""),1.0)</f>
        <v>1</v>
      </c>
      <c r="O560" s="176"/>
      <c r="P560" s="249" t="s">
        <v>69</v>
      </c>
      <c r="Q560" s="249" t="s">
        <v>10</v>
      </c>
      <c r="R560" s="176"/>
      <c r="S560" s="176"/>
      <c r="T560" s="176"/>
      <c r="U560" s="176"/>
      <c r="V560" s="176"/>
      <c r="W560" s="176"/>
      <c r="X560" s="176"/>
      <c r="Y560" s="176"/>
      <c r="Z560" s="176"/>
    </row>
    <row r="561">
      <c r="A561" s="267" t="str">
        <f>iferror(VLOOKUP(P561,'DO NOT TOUCH Imported'!$A$1:$D$800,4,False),iferror(VLOOKUP(P561,'DO NOT TOUCH Imported'!$C$1:$D$800,2,False),"OOPS FIX ME"))</f>
        <v>owocki</v>
      </c>
      <c r="B561" s="249" t="s">
        <v>10</v>
      </c>
      <c r="C561" s="219" t="s">
        <v>498</v>
      </c>
      <c r="D561" s="268" t="s">
        <v>495</v>
      </c>
      <c r="E561" s="252">
        <v>44260.0</v>
      </c>
      <c r="F561" s="250" t="s">
        <v>499</v>
      </c>
      <c r="G561" s="171">
        <v>35.0</v>
      </c>
      <c r="H561" s="171">
        <v>500.0</v>
      </c>
      <c r="I561" s="171">
        <v>40.0</v>
      </c>
      <c r="J561" s="172">
        <f t="shared" si="2"/>
        <v>0.0008127328046</v>
      </c>
      <c r="K561" s="269">
        <f t="shared" si="23"/>
        <v>0.8398238981</v>
      </c>
      <c r="L561" s="270">
        <f t="shared" si="4"/>
        <v>2.496691272</v>
      </c>
      <c r="M561" s="271" t="str">
        <f t="shared" si="5"/>
        <v>owocki</v>
      </c>
      <c r="N561" s="176">
        <f>IFERROR(__xludf.DUMMYFUNCTION("""COMPUTED_VALUE"""),2.0)</f>
        <v>2</v>
      </c>
      <c r="O561" s="176"/>
      <c r="P561" s="249" t="s">
        <v>69</v>
      </c>
      <c r="Q561" s="249" t="s">
        <v>10</v>
      </c>
      <c r="R561" s="176"/>
      <c r="S561" s="176"/>
      <c r="T561" s="176"/>
      <c r="U561" s="176"/>
      <c r="V561" s="176"/>
      <c r="W561" s="176"/>
      <c r="X561" s="176"/>
      <c r="Y561" s="176"/>
      <c r="Z561" s="176"/>
    </row>
    <row r="562">
      <c r="A562" s="267" t="str">
        <f>iferror(VLOOKUP(P562,'DO NOT TOUCH Imported'!$A$1:$D$800,4,False),iferror(VLOOKUP(P562,'DO NOT TOUCH Imported'!$C$1:$D$800,2,False),"OOPS FIX ME"))</f>
        <v>owocki</v>
      </c>
      <c r="B562" s="249" t="s">
        <v>10</v>
      </c>
      <c r="C562" s="219" t="s">
        <v>500</v>
      </c>
      <c r="D562" s="268" t="s">
        <v>495</v>
      </c>
      <c r="E562" s="252">
        <v>44267.0</v>
      </c>
      <c r="F562" s="250" t="s">
        <v>496</v>
      </c>
      <c r="G562" s="171">
        <v>25.0</v>
      </c>
      <c r="H562" s="171">
        <v>500.0</v>
      </c>
      <c r="I562" s="171">
        <v>100.0</v>
      </c>
      <c r="J562" s="172">
        <f t="shared" si="2"/>
        <v>0.0007906872343</v>
      </c>
      <c r="K562" s="269">
        <f t="shared" si="23"/>
        <v>0.8170434755</v>
      </c>
      <c r="L562" s="270">
        <f t="shared" si="4"/>
        <v>2.496691272</v>
      </c>
      <c r="M562" s="271" t="str">
        <f t="shared" si="5"/>
        <v>owocki</v>
      </c>
      <c r="N562" s="176">
        <f>IFERROR(__xludf.DUMMYFUNCTION("""COMPUTED_VALUE"""),3.0)</f>
        <v>3</v>
      </c>
      <c r="O562" s="176"/>
      <c r="P562" s="249" t="s">
        <v>69</v>
      </c>
      <c r="Q562" s="249" t="s">
        <v>10</v>
      </c>
      <c r="R562" s="176"/>
      <c r="S562" s="176"/>
      <c r="T562" s="176"/>
      <c r="U562" s="176"/>
      <c r="V562" s="176"/>
      <c r="W562" s="176"/>
      <c r="X562" s="176"/>
      <c r="Y562" s="176"/>
      <c r="Z562" s="176"/>
    </row>
    <row r="563">
      <c r="A563" s="267" t="str">
        <f>iferror(VLOOKUP(P563,'DO NOT TOUCH Imported'!$A$1:$D$800,4,False),iferror(VLOOKUP(P563,'DO NOT TOUCH Imported'!$C$1:$D$800,2,False),"OOPS FIX ME"))</f>
        <v>gyalbo</v>
      </c>
      <c r="B563" s="249" t="s">
        <v>10</v>
      </c>
      <c r="C563" s="219" t="s">
        <v>498</v>
      </c>
      <c r="D563" s="268" t="s">
        <v>495</v>
      </c>
      <c r="E563" s="252">
        <v>44260.0</v>
      </c>
      <c r="F563" s="250" t="s">
        <v>499</v>
      </c>
      <c r="G563" s="171">
        <v>35.0</v>
      </c>
      <c r="H563" s="171">
        <v>500.0</v>
      </c>
      <c r="I563" s="171">
        <v>40.0</v>
      </c>
      <c r="J563" s="172">
        <f t="shared" si="2"/>
        <v>0.0008127328046</v>
      </c>
      <c r="K563" s="269">
        <f t="shared" si="23"/>
        <v>0.8398238981</v>
      </c>
      <c r="L563" s="270">
        <f t="shared" si="4"/>
        <v>2.473910849</v>
      </c>
      <c r="M563" s="271" t="str">
        <f t="shared" si="5"/>
        <v>gyalbo</v>
      </c>
      <c r="N563" s="176">
        <f>IFERROR(__xludf.DUMMYFUNCTION("""COMPUTED_VALUE"""),1.0)</f>
        <v>1</v>
      </c>
      <c r="O563" s="176"/>
      <c r="P563" s="249" t="s">
        <v>108</v>
      </c>
      <c r="Q563" s="176" t="s">
        <v>10</v>
      </c>
      <c r="R563" s="176"/>
      <c r="S563" s="176"/>
      <c r="T563" s="176"/>
      <c r="U563" s="176"/>
      <c r="V563" s="176"/>
      <c r="W563" s="176"/>
      <c r="X563" s="176"/>
      <c r="Y563" s="176"/>
      <c r="Z563" s="176"/>
    </row>
    <row r="564">
      <c r="A564" s="267" t="str">
        <f>iferror(VLOOKUP(P564,'DO NOT TOUCH Imported'!$A$1:$D$800,4,False),iferror(VLOOKUP(P564,'DO NOT TOUCH Imported'!$C$1:$D$800,2,False),"OOPS FIX ME"))</f>
        <v>gyalbo</v>
      </c>
      <c r="B564" s="249" t="s">
        <v>10</v>
      </c>
      <c r="C564" s="219" t="s">
        <v>498</v>
      </c>
      <c r="D564" s="268" t="s">
        <v>495</v>
      </c>
      <c r="E564" s="252">
        <v>44267.0</v>
      </c>
      <c r="F564" s="250" t="s">
        <v>499</v>
      </c>
      <c r="G564" s="171">
        <v>25.0</v>
      </c>
      <c r="H564" s="171">
        <v>500.0</v>
      </c>
      <c r="I564" s="171">
        <v>100.0</v>
      </c>
      <c r="J564" s="172">
        <f t="shared" si="2"/>
        <v>0.0007906872343</v>
      </c>
      <c r="K564" s="269">
        <f t="shared" si="23"/>
        <v>0.8170434755</v>
      </c>
      <c r="L564" s="270">
        <f t="shared" si="4"/>
        <v>2.473910849</v>
      </c>
      <c r="M564" s="271" t="str">
        <f t="shared" si="5"/>
        <v>gyalbo</v>
      </c>
      <c r="N564" s="176">
        <f>IFERROR(__xludf.DUMMYFUNCTION("""COMPUTED_VALUE"""),2.0)</f>
        <v>2</v>
      </c>
      <c r="O564" s="176"/>
      <c r="P564" s="249" t="s">
        <v>108</v>
      </c>
      <c r="Q564" s="176" t="s">
        <v>10</v>
      </c>
      <c r="R564" s="176"/>
      <c r="S564" s="176"/>
      <c r="T564" s="176"/>
      <c r="U564" s="176"/>
      <c r="V564" s="176"/>
      <c r="W564" s="176"/>
      <c r="X564" s="176"/>
      <c r="Y564" s="176"/>
      <c r="Z564" s="176"/>
    </row>
    <row r="565">
      <c r="A565" s="267" t="str">
        <f>iferror(VLOOKUP(P565,'DO NOT TOUCH Imported'!$A$1:$D$800,4,False),iferror(VLOOKUP(P565,'DO NOT TOUCH Imported'!$C$1:$D$800,2,False),"OOPS FIX ME"))</f>
        <v>gyalbo</v>
      </c>
      <c r="B565" s="249" t="s">
        <v>10</v>
      </c>
      <c r="C565" s="219" t="s">
        <v>500</v>
      </c>
      <c r="D565" s="268" t="s">
        <v>495</v>
      </c>
      <c r="E565" s="252">
        <v>44267.0</v>
      </c>
      <c r="F565" s="250" t="s">
        <v>496</v>
      </c>
      <c r="G565" s="171">
        <v>25.0</v>
      </c>
      <c r="H565" s="171">
        <v>500.0</v>
      </c>
      <c r="I565" s="171">
        <v>100.0</v>
      </c>
      <c r="J565" s="172">
        <f t="shared" si="2"/>
        <v>0.0007906872343</v>
      </c>
      <c r="K565" s="269">
        <f t="shared" si="23"/>
        <v>0.8170434755</v>
      </c>
      <c r="L565" s="270">
        <f t="shared" si="4"/>
        <v>2.473910849</v>
      </c>
      <c r="M565" s="271" t="str">
        <f t="shared" si="5"/>
        <v>gyalbo</v>
      </c>
      <c r="N565" s="176">
        <f>IFERROR(__xludf.DUMMYFUNCTION("""COMPUTED_VALUE"""),3.0)</f>
        <v>3</v>
      </c>
      <c r="O565" s="176"/>
      <c r="P565" s="249" t="s">
        <v>108</v>
      </c>
      <c r="Q565" s="249" t="s">
        <v>10</v>
      </c>
      <c r="R565" s="176"/>
      <c r="S565" s="176"/>
      <c r="T565" s="176"/>
      <c r="U565" s="176"/>
      <c r="V565" s="176"/>
      <c r="W565" s="176"/>
      <c r="X565" s="176"/>
      <c r="Y565" s="176"/>
      <c r="Z565" s="176"/>
    </row>
    <row r="566">
      <c r="A566" s="267" t="str">
        <f>iferror(VLOOKUP(P566,'DO NOT TOUCH Imported'!$A$1:$D$800,4,False),iferror(VLOOKUP(P566,'DO NOT TOUCH Imported'!$C$1:$D$800,2,False),"OOPS FIX ME"))</f>
        <v>chuygarcia92</v>
      </c>
      <c r="B566" s="249" t="s">
        <v>63</v>
      </c>
      <c r="C566" s="219" t="s">
        <v>2151</v>
      </c>
      <c r="D566" s="268" t="s">
        <v>495</v>
      </c>
      <c r="E566" s="252">
        <v>44259.0</v>
      </c>
      <c r="F566" s="250" t="s">
        <v>627</v>
      </c>
      <c r="G566" s="171">
        <v>50.0</v>
      </c>
      <c r="H566" s="171">
        <v>5000.0</v>
      </c>
      <c r="I566" s="171">
        <v>100.0</v>
      </c>
      <c r="J566" s="172">
        <f t="shared" si="2"/>
        <v>0.002576873381</v>
      </c>
      <c r="K566" s="269">
        <f t="shared" si="23"/>
        <v>2.66276916</v>
      </c>
      <c r="L566" s="270">
        <f t="shared" si="4"/>
        <v>2.412302296</v>
      </c>
      <c r="M566" s="271" t="str">
        <f t="shared" si="5"/>
        <v>chuygarcia92</v>
      </c>
      <c r="N566" s="176">
        <f>IFERROR(__xludf.DUMMYFUNCTION("""COMPUTED_VALUE"""),1.0)</f>
        <v>1</v>
      </c>
      <c r="O566" s="176"/>
      <c r="P566" s="249" t="s">
        <v>63</v>
      </c>
      <c r="Q566" s="249" t="s">
        <v>63</v>
      </c>
      <c r="R566" s="176"/>
      <c r="S566" s="176"/>
      <c r="T566" s="176"/>
      <c r="U566" s="176"/>
      <c r="V566" s="176"/>
      <c r="W566" s="176"/>
      <c r="X566" s="176"/>
      <c r="Y566" s="176"/>
      <c r="Z566" s="176"/>
    </row>
    <row r="567">
      <c r="A567" s="267" t="str">
        <f>iferror(VLOOKUP(P567,'DO NOT TOUCH Imported'!$A$1:$D$800,4,False),iferror(VLOOKUP(P567,'DO NOT TOUCH Imported'!$C$1:$D$800,2,False),"OOPS FIX ME"))</f>
        <v>chuygarcia92</v>
      </c>
      <c r="B567" s="249" t="s">
        <v>10</v>
      </c>
      <c r="C567" s="219" t="s">
        <v>2049</v>
      </c>
      <c r="D567" s="268" t="s">
        <v>495</v>
      </c>
      <c r="E567" s="252">
        <v>44260.0</v>
      </c>
      <c r="F567" s="250" t="s">
        <v>496</v>
      </c>
      <c r="G567" s="171">
        <v>25.0</v>
      </c>
      <c r="H567" s="171">
        <v>2500.0</v>
      </c>
      <c r="I567" s="171">
        <v>400.0</v>
      </c>
      <c r="J567" s="172">
        <f t="shared" si="2"/>
        <v>0.002103284617</v>
      </c>
      <c r="K567" s="269">
        <f t="shared" si="23"/>
        <v>2.173394104</v>
      </c>
      <c r="L567" s="270">
        <f t="shared" si="4"/>
        <v>2.412302296</v>
      </c>
      <c r="M567" s="271" t="str">
        <f t="shared" si="5"/>
        <v>chuygarcia92</v>
      </c>
      <c r="N567" s="176">
        <f>IFERROR(__xludf.DUMMYFUNCTION("""COMPUTED_VALUE"""),2.0)</f>
        <v>2</v>
      </c>
      <c r="O567" s="176"/>
      <c r="P567" s="249" t="s">
        <v>63</v>
      </c>
      <c r="Q567" s="249" t="s">
        <v>10</v>
      </c>
      <c r="R567" s="176"/>
      <c r="S567" s="176"/>
      <c r="T567" s="176"/>
      <c r="U567" s="176"/>
      <c r="V567" s="176"/>
      <c r="W567" s="176"/>
      <c r="X567" s="176"/>
      <c r="Y567" s="176"/>
      <c r="Z567" s="176"/>
    </row>
    <row r="568">
      <c r="A568" s="267" t="str">
        <f>iferror(VLOOKUP(P568,'DO NOT TOUCH Imported'!$A$1:$D$800,4,False),iferror(VLOOKUP(P568,'DO NOT TOUCH Imported'!$C$1:$D$800,2,False),"OOPS FIX ME"))</f>
        <v>chuygarcia92</v>
      </c>
      <c r="B568" s="249" t="s">
        <v>63</v>
      </c>
      <c r="C568" s="170" t="s">
        <v>2152</v>
      </c>
      <c r="D568" s="268" t="s">
        <v>495</v>
      </c>
      <c r="E568" s="252">
        <v>44264.0</v>
      </c>
      <c r="F568" s="250" t="s">
        <v>627</v>
      </c>
      <c r="G568" s="171">
        <v>100.0</v>
      </c>
      <c r="H568" s="171">
        <v>1000.0</v>
      </c>
      <c r="I568" s="171">
        <v>200.0</v>
      </c>
      <c r="J568" s="172">
        <f t="shared" si="2"/>
        <v>0.0023900434</v>
      </c>
      <c r="K568" s="269">
        <f t="shared" si="23"/>
        <v>2.469711513</v>
      </c>
      <c r="L568" s="270">
        <f t="shared" si="4"/>
        <v>2.412302296</v>
      </c>
      <c r="M568" s="271" t="str">
        <f t="shared" si="5"/>
        <v>chuygarcia92</v>
      </c>
      <c r="N568" s="176">
        <f>IFERROR(__xludf.DUMMYFUNCTION("""COMPUTED_VALUE"""),3.0)</f>
        <v>3</v>
      </c>
      <c r="O568" s="176"/>
      <c r="P568" s="249" t="s">
        <v>63</v>
      </c>
      <c r="Q568" s="249" t="s">
        <v>63</v>
      </c>
      <c r="R568" s="176"/>
      <c r="S568" s="176"/>
      <c r="T568" s="176"/>
      <c r="U568" s="176"/>
      <c r="V568" s="176"/>
      <c r="W568" s="176"/>
      <c r="X568" s="176"/>
      <c r="Y568" s="176"/>
      <c r="Z568" s="176"/>
    </row>
    <row r="569">
      <c r="A569" s="267" t="str">
        <f>iferror(VLOOKUP(P569,'DO NOT TOUCH Imported'!$A$1:$D$800,4,False),iferror(VLOOKUP(P569,'DO NOT TOUCH Imported'!$C$1:$D$800,2,False),"OOPS FIX ME"))</f>
        <v>chuygarcia92</v>
      </c>
      <c r="B569" s="249" t="s">
        <v>63</v>
      </c>
      <c r="C569" s="219" t="s">
        <v>2153</v>
      </c>
      <c r="D569" s="268" t="s">
        <v>495</v>
      </c>
      <c r="E569" s="252">
        <v>44266.0</v>
      </c>
      <c r="F569" s="250" t="s">
        <v>627</v>
      </c>
      <c r="G569" s="171">
        <v>200.0</v>
      </c>
      <c r="H569" s="171">
        <v>10000.0</v>
      </c>
      <c r="I569" s="171">
        <v>600.0</v>
      </c>
      <c r="J569" s="172">
        <f t="shared" si="2"/>
        <v>0.007702339397</v>
      </c>
      <c r="K569" s="269">
        <f t="shared" si="23"/>
        <v>7.959084043</v>
      </c>
      <c r="L569" s="270">
        <f t="shared" si="4"/>
        <v>2.412302296</v>
      </c>
      <c r="M569" s="271" t="str">
        <f t="shared" si="5"/>
        <v>chuygarcia92</v>
      </c>
      <c r="N569" s="176">
        <f>IFERROR(__xludf.DUMMYFUNCTION("""COMPUTED_VALUE"""),4.0)</f>
        <v>4</v>
      </c>
      <c r="O569" s="176"/>
      <c r="P569" s="249" t="s">
        <v>63</v>
      </c>
      <c r="Q569" s="249" t="s">
        <v>63</v>
      </c>
      <c r="R569" s="176"/>
      <c r="S569" s="176"/>
      <c r="T569" s="176"/>
      <c r="U569" s="176"/>
      <c r="V569" s="176"/>
      <c r="W569" s="176"/>
      <c r="X569" s="176"/>
      <c r="Y569" s="176"/>
      <c r="Z569" s="176"/>
    </row>
    <row r="570">
      <c r="A570" s="267" t="str">
        <f>iferror(VLOOKUP(P570,'DO NOT TOUCH Imported'!$A$1:$D$800,4,False),iferror(VLOOKUP(P570,'DO NOT TOUCH Imported'!$C$1:$D$800,2,False),"OOPS FIX ME"))</f>
        <v>chuygarcia92</v>
      </c>
      <c r="B570" s="249" t="s">
        <v>10</v>
      </c>
      <c r="C570" s="219" t="s">
        <v>498</v>
      </c>
      <c r="D570" s="268" t="s">
        <v>495</v>
      </c>
      <c r="E570" s="252">
        <v>44267.0</v>
      </c>
      <c r="F570" s="250" t="s">
        <v>499</v>
      </c>
      <c r="G570" s="171">
        <v>25.0</v>
      </c>
      <c r="H570" s="171">
        <v>500.0</v>
      </c>
      <c r="I570" s="171">
        <v>100.0</v>
      </c>
      <c r="J570" s="172">
        <f t="shared" si="2"/>
        <v>0.0007906872343</v>
      </c>
      <c r="K570" s="269">
        <f t="shared" si="23"/>
        <v>0.8170434755</v>
      </c>
      <c r="L570" s="270">
        <f t="shared" si="4"/>
        <v>2.412302296</v>
      </c>
      <c r="M570" s="271" t="str">
        <f t="shared" si="5"/>
        <v>chuygarcia92</v>
      </c>
      <c r="N570" s="176">
        <f>IFERROR(__xludf.DUMMYFUNCTION("""COMPUTED_VALUE"""),5.0)</f>
        <v>5</v>
      </c>
      <c r="O570" s="176"/>
      <c r="P570" s="249" t="s">
        <v>63</v>
      </c>
      <c r="Q570" s="249" t="s">
        <v>10</v>
      </c>
      <c r="R570" s="176"/>
      <c r="S570" s="176"/>
      <c r="T570" s="176"/>
      <c r="U570" s="176"/>
      <c r="V570" s="176"/>
      <c r="W570" s="176"/>
      <c r="X570" s="176"/>
      <c r="Y570" s="176"/>
      <c r="Z570" s="176"/>
    </row>
    <row r="571">
      <c r="A571" s="185" t="str">
        <f>iferror(VLOOKUP(P571,'DO NOT TOUCH Imported'!$A$1:$D$800,4,False),iferror(VLOOKUP(P571,'DO NOT TOUCH Imported'!$C$1:$D$800,2,False),"OOPS FIX ME"))</f>
        <v>chuygarcia92</v>
      </c>
      <c r="B571" s="185" t="s">
        <v>534</v>
      </c>
      <c r="C571" s="210" t="s">
        <v>717</v>
      </c>
      <c r="D571" s="187"/>
      <c r="E571" s="188"/>
      <c r="F571" s="189"/>
      <c r="G571" s="190"/>
      <c r="H571" s="190"/>
      <c r="I571" s="190"/>
      <c r="J571" s="191">
        <f t="shared" si="2"/>
        <v>0</v>
      </c>
      <c r="K571" s="192">
        <f>16.082*-0.85</f>
        <v>-13.6697</v>
      </c>
      <c r="L571" s="193">
        <f t="shared" si="4"/>
        <v>2.412302296</v>
      </c>
      <c r="M571" s="194" t="str">
        <f t="shared" si="5"/>
        <v>chuygarcia92</v>
      </c>
      <c r="N571" s="211">
        <f>IFERROR(__xludf.DUMMYFUNCTION("""COMPUTED_VALUE"""),6.0)</f>
        <v>6</v>
      </c>
      <c r="O571" s="195"/>
      <c r="P571" s="185" t="s">
        <v>63</v>
      </c>
      <c r="Q571" s="185" t="s">
        <v>534</v>
      </c>
      <c r="R571" s="195">
        <v>57.049855624848725</v>
      </c>
      <c r="S571" s="195"/>
      <c r="T571" s="195"/>
      <c r="U571" s="195"/>
      <c r="V571" s="195"/>
      <c r="W571" s="195"/>
      <c r="X571" s="195"/>
      <c r="Y571" s="195"/>
      <c r="Z571" s="195"/>
    </row>
    <row r="572">
      <c r="A572" s="267" t="str">
        <f>iferror(VLOOKUP(P572,'DO NOT TOUCH Imported'!$A$1:$D$800,4,False),iferror(VLOOKUP(P572,'DO NOT TOUCH Imported'!$C$1:$D$800,2,False),"OOPS FIX ME"))</f>
        <v>geleeroyale</v>
      </c>
      <c r="B572" s="249" t="s">
        <v>10</v>
      </c>
      <c r="C572" s="219" t="s">
        <v>498</v>
      </c>
      <c r="D572" s="268" t="s">
        <v>495</v>
      </c>
      <c r="E572" s="252">
        <v>44260.0</v>
      </c>
      <c r="F572" s="250" t="s">
        <v>499</v>
      </c>
      <c r="G572" s="171">
        <v>35.0</v>
      </c>
      <c r="H572" s="171">
        <v>500.0</v>
      </c>
      <c r="I572" s="171">
        <v>40.0</v>
      </c>
      <c r="J572" s="172">
        <f t="shared" si="2"/>
        <v>0.0008127328046</v>
      </c>
      <c r="K572" s="269">
        <f t="shared" ref="K572:K581" si="24">J572*$J$1</f>
        <v>0.8398238981</v>
      </c>
      <c r="L572" s="270">
        <f t="shared" si="4"/>
        <v>2.214755613</v>
      </c>
      <c r="M572" s="271" t="str">
        <f t="shared" si="5"/>
        <v>geleeroyale</v>
      </c>
      <c r="N572" s="176">
        <f>IFERROR(__xludf.DUMMYFUNCTION("""COMPUTED_VALUE"""),1.0)</f>
        <v>1</v>
      </c>
      <c r="O572" s="176"/>
      <c r="P572" s="249" t="s">
        <v>50</v>
      </c>
      <c r="Q572" s="249" t="s">
        <v>10</v>
      </c>
      <c r="R572" s="176"/>
      <c r="S572" s="176"/>
      <c r="T572" s="176"/>
      <c r="U572" s="176"/>
      <c r="V572" s="176"/>
      <c r="W572" s="176"/>
      <c r="X572" s="176"/>
      <c r="Y572" s="176"/>
      <c r="Z572" s="176"/>
    </row>
    <row r="573">
      <c r="A573" s="267" t="str">
        <f>iferror(VLOOKUP(P573,'DO NOT TOUCH Imported'!$A$1:$D$800,4,False),iferror(VLOOKUP(P573,'DO NOT TOUCH Imported'!$C$1:$D$800,2,False),"OOPS FIX ME"))</f>
        <v>geleeroyale</v>
      </c>
      <c r="B573" s="249" t="s">
        <v>6</v>
      </c>
      <c r="C573" s="219" t="s">
        <v>2154</v>
      </c>
      <c r="D573" s="268" t="s">
        <v>495</v>
      </c>
      <c r="E573" s="252">
        <v>44265.0</v>
      </c>
      <c r="F573" s="250" t="s">
        <v>496</v>
      </c>
      <c r="G573" s="171">
        <v>25.0</v>
      </c>
      <c r="H573" s="171">
        <v>1500.0</v>
      </c>
      <c r="I573" s="171">
        <v>200.0</v>
      </c>
      <c r="J573" s="172">
        <f t="shared" si="2"/>
        <v>0.001330579079</v>
      </c>
      <c r="K573" s="269">
        <f t="shared" si="24"/>
        <v>1.374931715</v>
      </c>
      <c r="L573" s="270">
        <f t="shared" si="4"/>
        <v>2.214755613</v>
      </c>
      <c r="M573" s="271" t="str">
        <f t="shared" si="5"/>
        <v>geleeroyale</v>
      </c>
      <c r="N573" s="176">
        <f>IFERROR(__xludf.DUMMYFUNCTION("""COMPUTED_VALUE"""),2.0)</f>
        <v>2</v>
      </c>
      <c r="O573" s="176"/>
      <c r="P573" s="249" t="s">
        <v>50</v>
      </c>
      <c r="Q573" s="249" t="s">
        <v>6</v>
      </c>
      <c r="R573" s="176"/>
      <c r="S573" s="176"/>
      <c r="T573" s="176"/>
      <c r="U573" s="176"/>
      <c r="V573" s="176"/>
      <c r="W573" s="176"/>
      <c r="X573" s="176"/>
      <c r="Y573" s="176"/>
      <c r="Z573" s="176"/>
    </row>
    <row r="574">
      <c r="A574" s="185" t="str">
        <f>iferror(VLOOKUP(P574,'DO NOT TOUCH Imported'!$A$1:$D$800,4,False),iferror(VLOOKUP(P574,'DO NOT TOUCH Imported'!$C$1:$D$800,2,False),"OOPS FIX ME"))</f>
        <v>geleeroyale</v>
      </c>
      <c r="B574" s="185" t="s">
        <v>534</v>
      </c>
      <c r="C574" s="186" t="s">
        <v>688</v>
      </c>
      <c r="D574" s="187"/>
      <c r="E574" s="188"/>
      <c r="F574" s="189"/>
      <c r="G574" s="190"/>
      <c r="H574" s="190"/>
      <c r="I574" s="190"/>
      <c r="J574" s="191">
        <f t="shared" si="2"/>
        <v>0</v>
      </c>
      <c r="K574" s="192">
        <f t="shared" si="24"/>
        <v>0</v>
      </c>
      <c r="L574" s="193">
        <f t="shared" si="4"/>
        <v>2.214755613</v>
      </c>
      <c r="M574" s="194" t="str">
        <f t="shared" si="5"/>
        <v>geleeroyale</v>
      </c>
      <c r="N574" s="195">
        <f>IFERROR(__xludf.DUMMYFUNCTION("""COMPUTED_VALUE"""),3.0)</f>
        <v>3</v>
      </c>
      <c r="O574" s="195"/>
      <c r="P574" s="185" t="s">
        <v>50</v>
      </c>
      <c r="Q574" s="185" t="s">
        <v>534</v>
      </c>
      <c r="R574" s="195">
        <v>18.802169413641863</v>
      </c>
      <c r="S574" s="195"/>
      <c r="T574" s="195"/>
      <c r="U574" s="195"/>
      <c r="V574" s="195"/>
      <c r="W574" s="195"/>
      <c r="X574" s="195"/>
      <c r="Y574" s="195"/>
      <c r="Z574" s="195"/>
    </row>
    <row r="575">
      <c r="A575" s="267" t="str">
        <f>iferror(VLOOKUP(P575,'DO NOT TOUCH Imported'!$A$1:$D$800,4,False),iferror(VLOOKUP(P575,'DO NOT TOUCH Imported'!$C$1:$D$800,2,False),"OOPS FIX ME"))</f>
        <v>fabimol</v>
      </c>
      <c r="B575" s="249" t="s">
        <v>1175</v>
      </c>
      <c r="C575" s="219" t="s">
        <v>2155</v>
      </c>
      <c r="D575" s="268" t="s">
        <v>495</v>
      </c>
      <c r="E575" s="252">
        <v>44257.0</v>
      </c>
      <c r="F575" s="250" t="s">
        <v>627</v>
      </c>
      <c r="G575" s="171">
        <v>50.0</v>
      </c>
      <c r="H575" s="171">
        <v>5000.0</v>
      </c>
      <c r="I575" s="171">
        <v>100.0</v>
      </c>
      <c r="J575" s="172">
        <f t="shared" si="2"/>
        <v>0.002576873381</v>
      </c>
      <c r="K575" s="269">
        <f t="shared" si="24"/>
        <v>2.66276916</v>
      </c>
      <c r="L575" s="270">
        <f t="shared" si="4"/>
        <v>2.181621161</v>
      </c>
      <c r="M575" s="271" t="str">
        <f t="shared" si="5"/>
        <v>fabimol</v>
      </c>
      <c r="N575" s="176">
        <f>IFERROR(__xludf.DUMMYFUNCTION("""COMPUTED_VALUE"""),1.0)</f>
        <v>1</v>
      </c>
      <c r="O575" s="176"/>
      <c r="P575" s="249" t="s">
        <v>61</v>
      </c>
      <c r="Q575" s="249" t="s">
        <v>1175</v>
      </c>
      <c r="R575" s="176"/>
      <c r="S575" s="176"/>
      <c r="T575" s="176"/>
      <c r="U575" s="176"/>
      <c r="V575" s="176"/>
      <c r="W575" s="176"/>
      <c r="X575" s="176"/>
      <c r="Y575" s="176"/>
      <c r="Z575" s="176"/>
    </row>
    <row r="576">
      <c r="A576" s="267" t="str">
        <f>iferror(VLOOKUP(P576,'DO NOT TOUCH Imported'!$A$1:$D$800,4,False),iferror(VLOOKUP(P576,'DO NOT TOUCH Imported'!$C$1:$D$800,2,False),"OOPS FIX ME"))</f>
        <v>fabimol</v>
      </c>
      <c r="B576" s="249" t="s">
        <v>1175</v>
      </c>
      <c r="C576" s="219" t="s">
        <v>2156</v>
      </c>
      <c r="D576" s="268" t="s">
        <v>495</v>
      </c>
      <c r="E576" s="252">
        <v>44258.0</v>
      </c>
      <c r="F576" s="250" t="s">
        <v>627</v>
      </c>
      <c r="G576" s="171">
        <v>50.0</v>
      </c>
      <c r="H576" s="171">
        <v>5000.0</v>
      </c>
      <c r="I576" s="171">
        <v>100.0</v>
      </c>
      <c r="J576" s="172">
        <f t="shared" si="2"/>
        <v>0.002576873381</v>
      </c>
      <c r="K576" s="269">
        <f t="shared" si="24"/>
        <v>2.66276916</v>
      </c>
      <c r="L576" s="270">
        <f t="shared" si="4"/>
        <v>2.181621161</v>
      </c>
      <c r="M576" s="271" t="str">
        <f t="shared" si="5"/>
        <v>fabimol</v>
      </c>
      <c r="N576" s="176">
        <f>IFERROR(__xludf.DUMMYFUNCTION("""COMPUTED_VALUE"""),2.0)</f>
        <v>2</v>
      </c>
      <c r="O576" s="176"/>
      <c r="P576" s="249" t="s">
        <v>61</v>
      </c>
      <c r="Q576" s="249" t="s">
        <v>1175</v>
      </c>
      <c r="R576" s="176"/>
      <c r="S576" s="176"/>
      <c r="T576" s="176"/>
      <c r="U576" s="176"/>
      <c r="V576" s="176"/>
      <c r="W576" s="176"/>
      <c r="X576" s="176"/>
      <c r="Y576" s="176"/>
      <c r="Z576" s="176"/>
    </row>
    <row r="577">
      <c r="A577" s="267" t="str">
        <f>iferror(VLOOKUP(P577,'DO NOT TOUCH Imported'!$A$1:$D$800,4,False),iferror(VLOOKUP(P577,'DO NOT TOUCH Imported'!$C$1:$D$800,2,False),"OOPS FIX ME"))</f>
        <v>fabimol</v>
      </c>
      <c r="B577" s="272" t="s">
        <v>10</v>
      </c>
      <c r="C577" s="273" t="s">
        <v>1941</v>
      </c>
      <c r="D577" s="274" t="s">
        <v>437</v>
      </c>
      <c r="E577" s="275">
        <v>44260.0</v>
      </c>
      <c r="F577" s="274" t="s">
        <v>1929</v>
      </c>
      <c r="G577" s="171">
        <v>15.0</v>
      </c>
      <c r="H577" s="171">
        <v>1000.0</v>
      </c>
      <c r="I577" s="171">
        <v>20.0</v>
      </c>
      <c r="J577" s="172">
        <f t="shared" si="2"/>
        <v>0.0005962415693</v>
      </c>
      <c r="K577" s="269">
        <f t="shared" si="24"/>
        <v>0.6161162883</v>
      </c>
      <c r="L577" s="270">
        <f t="shared" si="4"/>
        <v>2.181621161</v>
      </c>
      <c r="M577" s="271" t="str">
        <f t="shared" si="5"/>
        <v>fabimol</v>
      </c>
      <c r="N577" s="176">
        <f>IFERROR(__xludf.DUMMYFUNCTION("""COMPUTED_VALUE"""),3.0)</f>
        <v>3</v>
      </c>
      <c r="O577" s="176"/>
      <c r="P577" s="267" t="s">
        <v>828</v>
      </c>
      <c r="Q577" s="272" t="s">
        <v>10</v>
      </c>
      <c r="R577" s="176"/>
      <c r="S577" s="176"/>
      <c r="T577" s="176"/>
      <c r="U577" s="176"/>
      <c r="V577" s="176"/>
      <c r="W577" s="176"/>
      <c r="X577" s="176"/>
      <c r="Y577" s="176"/>
      <c r="Z577" s="176"/>
    </row>
    <row r="578">
      <c r="A578" s="267" t="str">
        <f>iferror(VLOOKUP(P578,'DO NOT TOUCH Imported'!$A$1:$D$800,4,False),iferror(VLOOKUP(P578,'DO NOT TOUCH Imported'!$C$1:$D$800,2,False),"OOPS FIX ME"))</f>
        <v>fabimol</v>
      </c>
      <c r="B578" s="249" t="s">
        <v>10</v>
      </c>
      <c r="C578" s="219" t="s">
        <v>2048</v>
      </c>
      <c r="D578" s="268" t="s">
        <v>495</v>
      </c>
      <c r="E578" s="252">
        <v>44260.0</v>
      </c>
      <c r="F578" s="250" t="s">
        <v>496</v>
      </c>
      <c r="G578" s="171">
        <v>100.0</v>
      </c>
      <c r="H578" s="171">
        <v>3500.0</v>
      </c>
      <c r="I578" s="171">
        <v>300.0</v>
      </c>
      <c r="J578" s="172">
        <f t="shared" si="2"/>
        <v>0.003390552471</v>
      </c>
      <c r="K578" s="269">
        <f t="shared" si="24"/>
        <v>3.503570887</v>
      </c>
      <c r="L578" s="270">
        <f t="shared" si="4"/>
        <v>2.181621161</v>
      </c>
      <c r="M578" s="271" t="str">
        <f t="shared" si="5"/>
        <v>fabimol</v>
      </c>
      <c r="N578" s="176">
        <f>IFERROR(__xludf.DUMMYFUNCTION("""COMPUTED_VALUE"""),4.0)</f>
        <v>4</v>
      </c>
      <c r="O578" s="176"/>
      <c r="P578" s="249" t="s">
        <v>61</v>
      </c>
      <c r="Q578" s="249" t="s">
        <v>10</v>
      </c>
      <c r="R578" s="176"/>
      <c r="S578" s="176"/>
      <c r="T578" s="176"/>
      <c r="U578" s="176"/>
      <c r="V578" s="176"/>
      <c r="W578" s="176"/>
      <c r="X578" s="176"/>
      <c r="Y578" s="176"/>
      <c r="Z578" s="176"/>
    </row>
    <row r="579">
      <c r="A579" s="267" t="str">
        <f>iferror(VLOOKUP(P579,'DO NOT TOUCH Imported'!$A$1:$D$800,4,False),iferror(VLOOKUP(P579,'DO NOT TOUCH Imported'!$C$1:$D$800,2,False),"OOPS FIX ME"))</f>
        <v>fabimol</v>
      </c>
      <c r="B579" s="249" t="s">
        <v>10</v>
      </c>
      <c r="C579" s="219" t="s">
        <v>2049</v>
      </c>
      <c r="D579" s="268" t="s">
        <v>495</v>
      </c>
      <c r="E579" s="252">
        <v>44260.0</v>
      </c>
      <c r="F579" s="250" t="s">
        <v>496</v>
      </c>
      <c r="G579" s="171">
        <v>25.0</v>
      </c>
      <c r="H579" s="171">
        <v>2500.0</v>
      </c>
      <c r="I579" s="171">
        <v>400.0</v>
      </c>
      <c r="J579" s="172">
        <f t="shared" si="2"/>
        <v>0.002103284617</v>
      </c>
      <c r="K579" s="269">
        <f t="shared" si="24"/>
        <v>2.173394104</v>
      </c>
      <c r="L579" s="270">
        <f t="shared" si="4"/>
        <v>2.181621161</v>
      </c>
      <c r="M579" s="271" t="str">
        <f t="shared" si="5"/>
        <v>fabimol</v>
      </c>
      <c r="N579" s="176">
        <f>IFERROR(__xludf.DUMMYFUNCTION("""COMPUTED_VALUE"""),5.0)</f>
        <v>5</v>
      </c>
      <c r="O579" s="176"/>
      <c r="P579" s="249" t="s">
        <v>61</v>
      </c>
      <c r="Q579" s="249" t="s">
        <v>10</v>
      </c>
      <c r="R579" s="176"/>
      <c r="S579" s="176"/>
      <c r="T579" s="176"/>
      <c r="U579" s="176"/>
      <c r="V579" s="176"/>
      <c r="W579" s="176"/>
      <c r="X579" s="176"/>
      <c r="Y579" s="176"/>
      <c r="Z579" s="176"/>
    </row>
    <row r="580">
      <c r="A580" s="267" t="str">
        <f>iferror(VLOOKUP(P580,'DO NOT TOUCH Imported'!$A$1:$D$800,4,False),iferror(VLOOKUP(P580,'DO NOT TOUCH Imported'!$C$1:$D$800,2,False),"OOPS FIX ME"))</f>
        <v>fabimol</v>
      </c>
      <c r="B580" s="249" t="s">
        <v>519</v>
      </c>
      <c r="C580" s="219" t="s">
        <v>2157</v>
      </c>
      <c r="D580" s="268" t="s">
        <v>495</v>
      </c>
      <c r="E580" s="252">
        <v>44263.0</v>
      </c>
      <c r="F580" s="250" t="s">
        <v>627</v>
      </c>
      <c r="G580" s="171">
        <v>25.0</v>
      </c>
      <c r="H580" s="171">
        <v>1000.0</v>
      </c>
      <c r="I580" s="171">
        <v>200.0</v>
      </c>
      <c r="J580" s="172">
        <f t="shared" si="2"/>
        <v>0.001177040003</v>
      </c>
      <c r="K580" s="269">
        <f t="shared" si="24"/>
        <v>1.21627467</v>
      </c>
      <c r="L580" s="270">
        <f t="shared" si="4"/>
        <v>2.181621161</v>
      </c>
      <c r="M580" s="271" t="str">
        <f t="shared" si="5"/>
        <v>fabimol</v>
      </c>
      <c r="N580" s="176">
        <f>IFERROR(__xludf.DUMMYFUNCTION("""COMPUTED_VALUE"""),6.0)</f>
        <v>6</v>
      </c>
      <c r="O580" s="176"/>
      <c r="P580" s="249" t="s">
        <v>61</v>
      </c>
      <c r="Q580" s="249" t="s">
        <v>519</v>
      </c>
      <c r="R580" s="176"/>
      <c r="S580" s="176"/>
      <c r="T580" s="176"/>
      <c r="U580" s="176"/>
      <c r="V580" s="176"/>
      <c r="W580" s="176"/>
      <c r="X580" s="176"/>
      <c r="Y580" s="176"/>
      <c r="Z580" s="176"/>
    </row>
    <row r="581">
      <c r="A581" s="267" t="str">
        <f>iferror(VLOOKUP(P581,'DO NOT TOUCH Imported'!$A$1:$D$800,4,False),iferror(VLOOKUP(P581,'DO NOT TOUCH Imported'!$C$1:$D$800,2,False),"OOPS FIX ME"))</f>
        <v>fabimol</v>
      </c>
      <c r="B581" s="249" t="s">
        <v>1175</v>
      </c>
      <c r="C581" s="219" t="s">
        <v>2158</v>
      </c>
      <c r="D581" s="268" t="s">
        <v>495</v>
      </c>
      <c r="E581" s="252">
        <v>44265.0</v>
      </c>
      <c r="F581" s="250" t="s">
        <v>627</v>
      </c>
      <c r="G581" s="171">
        <v>50.0</v>
      </c>
      <c r="H581" s="171">
        <v>2000.0</v>
      </c>
      <c r="I581" s="171">
        <v>100.0</v>
      </c>
      <c r="J581" s="172">
        <f t="shared" si="2"/>
        <v>0.001655638927</v>
      </c>
      <c r="K581" s="269">
        <f t="shared" si="24"/>
        <v>1.710826891</v>
      </c>
      <c r="L581" s="270">
        <f t="shared" si="4"/>
        <v>2.181621161</v>
      </c>
      <c r="M581" s="271" t="str">
        <f t="shared" si="5"/>
        <v>fabimol</v>
      </c>
      <c r="N581" s="176">
        <f>IFERROR(__xludf.DUMMYFUNCTION("""COMPUTED_VALUE"""),7.0)</f>
        <v>7</v>
      </c>
      <c r="O581" s="176"/>
      <c r="P581" s="249" t="s">
        <v>61</v>
      </c>
      <c r="Q581" s="249" t="s">
        <v>1175</v>
      </c>
      <c r="R581" s="176"/>
      <c r="S581" s="176"/>
      <c r="T581" s="176"/>
      <c r="U581" s="176"/>
      <c r="V581" s="176"/>
      <c r="W581" s="176"/>
      <c r="X581" s="176"/>
      <c r="Y581" s="176"/>
      <c r="Z581" s="176"/>
    </row>
    <row r="582">
      <c r="A582" s="185" t="str">
        <f>iferror(VLOOKUP(P582,'DO NOT TOUCH Imported'!$A$1:$D$800,4,False),iferror(VLOOKUP(P582,'DO NOT TOUCH Imported'!$C$1:$D$800,2,False),"OOPS FIX ME"))</f>
        <v>fabimol</v>
      </c>
      <c r="B582" s="185" t="s">
        <v>534</v>
      </c>
      <c r="C582" s="210" t="s">
        <v>655</v>
      </c>
      <c r="D582" s="187"/>
      <c r="E582" s="188"/>
      <c r="F582" s="189"/>
      <c r="G582" s="190"/>
      <c r="H582" s="190"/>
      <c r="I582" s="190"/>
      <c r="J582" s="191">
        <f t="shared" si="2"/>
        <v>0</v>
      </c>
      <c r="K582" s="192">
        <f>14.546*-0.85</f>
        <v>-12.3641</v>
      </c>
      <c r="L582" s="193">
        <f t="shared" si="4"/>
        <v>2.181621161</v>
      </c>
      <c r="M582" s="194" t="str">
        <f t="shared" si="5"/>
        <v>fabimol</v>
      </c>
      <c r="N582" s="195">
        <f>IFERROR(__xludf.DUMMYFUNCTION("""COMPUTED_VALUE"""),8.0)</f>
        <v>8</v>
      </c>
      <c r="O582" s="195"/>
      <c r="P582" s="211" t="s">
        <v>61</v>
      </c>
      <c r="Q582" s="185" t="s">
        <v>534</v>
      </c>
      <c r="R582" s="195">
        <v>15.387070331364484</v>
      </c>
      <c r="S582" s="195"/>
      <c r="T582" s="195"/>
      <c r="U582" s="195"/>
      <c r="V582" s="195"/>
      <c r="W582" s="195"/>
      <c r="X582" s="195"/>
      <c r="Y582" s="195"/>
      <c r="Z582" s="195"/>
    </row>
    <row r="583">
      <c r="A583" s="267" t="str">
        <f>iferror(VLOOKUP(P583,'DO NOT TOUCH Imported'!$A$1:$D$800,4,False),iferror(VLOOKUP(P583,'DO NOT TOUCH Imported'!$C$1:$D$800,2,False),"OOPS FIX ME"))</f>
        <v>anthonyoliai</v>
      </c>
      <c r="B583" s="249" t="s">
        <v>10</v>
      </c>
      <c r="C583" s="219" t="s">
        <v>2049</v>
      </c>
      <c r="D583" s="268" t="s">
        <v>495</v>
      </c>
      <c r="E583" s="252">
        <v>44260.0</v>
      </c>
      <c r="F583" s="250" t="s">
        <v>496</v>
      </c>
      <c r="G583" s="171">
        <v>25.0</v>
      </c>
      <c r="H583" s="171">
        <v>2500.0</v>
      </c>
      <c r="I583" s="171">
        <v>400.0</v>
      </c>
      <c r="J583" s="172">
        <f t="shared" si="2"/>
        <v>0.002103284617</v>
      </c>
      <c r="K583" s="269">
        <f t="shared" ref="K583:K593" si="25">J583*$J$1</f>
        <v>2.173394104</v>
      </c>
      <c r="L583" s="270">
        <f t="shared" si="4"/>
        <v>2.173394104</v>
      </c>
      <c r="M583" s="271" t="str">
        <f t="shared" si="5"/>
        <v>anthonyoliai</v>
      </c>
      <c r="N583" s="176">
        <f>IFERROR(__xludf.DUMMYFUNCTION("""COMPUTED_VALUE"""),1.0)</f>
        <v>1</v>
      </c>
      <c r="O583" s="176"/>
      <c r="P583" s="249" t="s">
        <v>122</v>
      </c>
      <c r="Q583" s="249" t="s">
        <v>10</v>
      </c>
      <c r="R583" s="176"/>
      <c r="S583" s="176"/>
      <c r="T583" s="176"/>
      <c r="U583" s="176"/>
      <c r="V583" s="176"/>
      <c r="W583" s="176"/>
      <c r="X583" s="176"/>
      <c r="Y583" s="176"/>
      <c r="Z583" s="176"/>
    </row>
    <row r="584">
      <c r="A584" s="185" t="str">
        <f>iferror(VLOOKUP(P584,'DO NOT TOUCH Imported'!$A$1:$D$800,4,False),iferror(VLOOKUP(P584,'DO NOT TOUCH Imported'!$C$1:$D$800,2,False),"OOPS FIX ME"))</f>
        <v>anthonyoliai</v>
      </c>
      <c r="B584" s="185" t="s">
        <v>534</v>
      </c>
      <c r="C584" s="210" t="s">
        <v>655</v>
      </c>
      <c r="D584" s="187"/>
      <c r="E584" s="188"/>
      <c r="F584" s="189"/>
      <c r="G584" s="190"/>
      <c r="H584" s="190"/>
      <c r="I584" s="190"/>
      <c r="J584" s="191">
        <f t="shared" si="2"/>
        <v>0</v>
      </c>
      <c r="K584" s="192">
        <f t="shared" si="25"/>
        <v>0</v>
      </c>
      <c r="L584" s="193">
        <f t="shared" si="4"/>
        <v>2.173394104</v>
      </c>
      <c r="M584" s="194" t="str">
        <f t="shared" si="5"/>
        <v>anthonyoliai</v>
      </c>
      <c r="N584" s="195">
        <f>IFERROR(__xludf.DUMMYFUNCTION("""COMPUTED_VALUE"""),2.0)</f>
        <v>2</v>
      </c>
      <c r="O584" s="195"/>
      <c r="P584" s="211" t="s">
        <v>122</v>
      </c>
      <c r="Q584" s="185" t="s">
        <v>534</v>
      </c>
      <c r="R584" s="195">
        <v>8.606119831199203</v>
      </c>
      <c r="S584" s="195"/>
      <c r="T584" s="195"/>
      <c r="U584" s="195"/>
      <c r="V584" s="195"/>
      <c r="W584" s="195"/>
      <c r="X584" s="195"/>
      <c r="Y584" s="195"/>
      <c r="Z584" s="195"/>
    </row>
    <row r="585">
      <c r="A585" s="267" t="str">
        <f>iferror(VLOOKUP(P585,'DO NOT TOUCH Imported'!$A$1:$D$800,4,False),iferror(VLOOKUP(P585,'DO NOT TOUCH Imported'!$C$1:$D$800,2,False),"OOPS FIX ME"))</f>
        <v>jeffemmett</v>
      </c>
      <c r="B585" s="272" t="s">
        <v>10</v>
      </c>
      <c r="C585" s="273" t="s">
        <v>2159</v>
      </c>
      <c r="D585" s="274" t="s">
        <v>437</v>
      </c>
      <c r="E585" s="275">
        <v>44260.0</v>
      </c>
      <c r="F585" s="274" t="s">
        <v>1929</v>
      </c>
      <c r="G585" s="171">
        <v>35.0</v>
      </c>
      <c r="H585" s="171">
        <v>1500.0</v>
      </c>
      <c r="I585" s="171">
        <v>400.0</v>
      </c>
      <c r="J585" s="172">
        <f t="shared" si="2"/>
        <v>0.001957940251</v>
      </c>
      <c r="K585" s="269">
        <f t="shared" si="25"/>
        <v>2.023204926</v>
      </c>
      <c r="L585" s="270">
        <f t="shared" si="4"/>
        <v>2.082513373</v>
      </c>
      <c r="M585" s="271" t="str">
        <f t="shared" si="5"/>
        <v>jeffemmett</v>
      </c>
      <c r="N585" s="176">
        <f>IFERROR(__xludf.DUMMYFUNCTION("""COMPUTED_VALUE"""),1.0)</f>
        <v>1</v>
      </c>
      <c r="O585" s="176"/>
      <c r="P585" s="267" t="s">
        <v>564</v>
      </c>
      <c r="Q585" s="272" t="s">
        <v>10</v>
      </c>
      <c r="R585" s="176"/>
      <c r="S585" s="176"/>
      <c r="T585" s="176"/>
      <c r="U585" s="176"/>
      <c r="V585" s="176"/>
      <c r="W585" s="176"/>
      <c r="X585" s="176"/>
      <c r="Y585" s="176"/>
      <c r="Z585" s="176"/>
    </row>
    <row r="586">
      <c r="A586" s="267" t="str">
        <f>iferror(VLOOKUP(P586,'DO NOT TOUCH Imported'!$A$1:$D$800,4,False),iferror(VLOOKUP(P586,'DO NOT TOUCH Imported'!$C$1:$D$800,2,False),"OOPS FIX ME"))</f>
        <v>jeffemmett</v>
      </c>
      <c r="B586" s="249" t="s">
        <v>10</v>
      </c>
      <c r="C586" s="219" t="s">
        <v>500</v>
      </c>
      <c r="D586" s="268" t="s">
        <v>495</v>
      </c>
      <c r="E586" s="252">
        <v>44260.0</v>
      </c>
      <c r="F586" s="250" t="s">
        <v>496</v>
      </c>
      <c r="G586" s="171">
        <v>35.0</v>
      </c>
      <c r="H586" s="171">
        <v>500.0</v>
      </c>
      <c r="I586" s="171">
        <v>40.0</v>
      </c>
      <c r="J586" s="172">
        <f t="shared" si="2"/>
        <v>0.0008127328046</v>
      </c>
      <c r="K586" s="269">
        <f t="shared" si="25"/>
        <v>0.8398238981</v>
      </c>
      <c r="L586" s="270">
        <f t="shared" si="4"/>
        <v>2.082513373</v>
      </c>
      <c r="M586" s="271" t="str">
        <f t="shared" si="5"/>
        <v>jeffemmett</v>
      </c>
      <c r="N586" s="176">
        <f>IFERROR(__xludf.DUMMYFUNCTION("""COMPUTED_VALUE"""),2.0)</f>
        <v>2</v>
      </c>
      <c r="O586" s="176"/>
      <c r="P586" s="249" t="s">
        <v>29</v>
      </c>
      <c r="Q586" s="249" t="s">
        <v>10</v>
      </c>
      <c r="R586" s="176"/>
      <c r="S586" s="176"/>
      <c r="T586" s="176"/>
      <c r="U586" s="176"/>
      <c r="V586" s="176"/>
      <c r="W586" s="176"/>
      <c r="X586" s="176"/>
      <c r="Y586" s="176"/>
      <c r="Z586" s="176"/>
    </row>
    <row r="587">
      <c r="A587" s="267" t="str">
        <f>iferror(VLOOKUP(P587,'DO NOT TOUCH Imported'!$A$1:$D$800,4,False),iferror(VLOOKUP(P587,'DO NOT TOUCH Imported'!$C$1:$D$800,2,False),"OOPS FIX ME"))</f>
        <v>jeffemmett</v>
      </c>
      <c r="B587" s="249" t="s">
        <v>10</v>
      </c>
      <c r="C587" s="219" t="s">
        <v>498</v>
      </c>
      <c r="D587" s="268" t="s">
        <v>495</v>
      </c>
      <c r="E587" s="252">
        <v>44260.0</v>
      </c>
      <c r="F587" s="250" t="s">
        <v>499</v>
      </c>
      <c r="G587" s="171">
        <v>35.0</v>
      </c>
      <c r="H587" s="171">
        <v>500.0</v>
      </c>
      <c r="I587" s="171">
        <v>40.0</v>
      </c>
      <c r="J587" s="172">
        <f t="shared" si="2"/>
        <v>0.0008127328046</v>
      </c>
      <c r="K587" s="269">
        <f t="shared" si="25"/>
        <v>0.8398238981</v>
      </c>
      <c r="L587" s="270">
        <f t="shared" si="4"/>
        <v>2.082513373</v>
      </c>
      <c r="M587" s="271" t="str">
        <f t="shared" si="5"/>
        <v>jeffemmett</v>
      </c>
      <c r="N587" s="176">
        <f>IFERROR(__xludf.DUMMYFUNCTION("""COMPUTED_VALUE"""),3.0)</f>
        <v>3</v>
      </c>
      <c r="O587" s="176"/>
      <c r="P587" s="249" t="s">
        <v>29</v>
      </c>
      <c r="Q587" s="249" t="s">
        <v>10</v>
      </c>
      <c r="R587" s="176"/>
      <c r="S587" s="176"/>
      <c r="T587" s="176"/>
      <c r="U587" s="176"/>
      <c r="V587" s="176"/>
      <c r="W587" s="176"/>
      <c r="X587" s="176"/>
      <c r="Y587" s="176"/>
      <c r="Z587" s="176"/>
    </row>
    <row r="588">
      <c r="A588" s="267" t="str">
        <f>iferror(VLOOKUP(P588,'DO NOT TOUCH Imported'!$A$1:$D$800,4,False),iferror(VLOOKUP(P588,'DO NOT TOUCH Imported'!$C$1:$D$800,2,False),"OOPS FIX ME"))</f>
        <v>jeffemmett</v>
      </c>
      <c r="B588" s="272" t="s">
        <v>1702</v>
      </c>
      <c r="C588" s="273" t="s">
        <v>1944</v>
      </c>
      <c r="D588" s="274" t="s">
        <v>499</v>
      </c>
      <c r="E588" s="275">
        <v>44263.0</v>
      </c>
      <c r="F588" s="274" t="s">
        <v>1646</v>
      </c>
      <c r="G588" s="171">
        <v>25.0</v>
      </c>
      <c r="H588" s="171">
        <v>1000.0</v>
      </c>
      <c r="I588" s="171">
        <v>1000.0</v>
      </c>
      <c r="J588" s="172">
        <f t="shared" si="2"/>
        <v>0.003039549549</v>
      </c>
      <c r="K588" s="269">
        <f t="shared" si="25"/>
        <v>3.140867867</v>
      </c>
      <c r="L588" s="270">
        <f t="shared" si="4"/>
        <v>2.082513373</v>
      </c>
      <c r="M588" s="271" t="str">
        <f t="shared" si="5"/>
        <v>jeffemmett</v>
      </c>
      <c r="N588" s="176">
        <f>IFERROR(__xludf.DUMMYFUNCTION("""COMPUTED_VALUE"""),4.0)</f>
        <v>4</v>
      </c>
      <c r="O588" s="176"/>
      <c r="P588" s="267" t="s">
        <v>564</v>
      </c>
      <c r="Q588" s="272" t="s">
        <v>1702</v>
      </c>
      <c r="R588" s="176"/>
      <c r="S588" s="176"/>
      <c r="T588" s="176"/>
      <c r="U588" s="176"/>
      <c r="V588" s="176"/>
      <c r="W588" s="176"/>
      <c r="X588" s="176"/>
      <c r="Y588" s="176"/>
      <c r="Z588" s="176"/>
    </row>
    <row r="589">
      <c r="A589" s="267" t="str">
        <f>iferror(VLOOKUP(P589,'DO NOT TOUCH Imported'!$A$1:$D$800,4,False),iferror(VLOOKUP(P589,'DO NOT TOUCH Imported'!$C$1:$D$800,2,False),"OOPS FIX ME"))</f>
        <v>jeffemmett</v>
      </c>
      <c r="B589" s="249" t="s">
        <v>590</v>
      </c>
      <c r="C589" s="219" t="s">
        <v>1962</v>
      </c>
      <c r="D589" s="268" t="s">
        <v>495</v>
      </c>
      <c r="E589" s="252">
        <v>44264.0</v>
      </c>
      <c r="F589" s="250" t="s">
        <v>496</v>
      </c>
      <c r="G589" s="171">
        <v>25.0</v>
      </c>
      <c r="H589" s="171">
        <v>1000.0</v>
      </c>
      <c r="I589" s="171">
        <v>100.0</v>
      </c>
      <c r="J589" s="172">
        <f t="shared" si="2"/>
        <v>0.00094422631</v>
      </c>
      <c r="K589" s="269">
        <f t="shared" si="25"/>
        <v>0.9757005204</v>
      </c>
      <c r="L589" s="270">
        <f t="shared" si="4"/>
        <v>2.082513373</v>
      </c>
      <c r="M589" s="271" t="str">
        <f t="shared" si="5"/>
        <v>jeffemmett</v>
      </c>
      <c r="N589" s="176">
        <f>IFERROR(__xludf.DUMMYFUNCTION("""COMPUTED_VALUE"""),5.0)</f>
        <v>5</v>
      </c>
      <c r="O589" s="176"/>
      <c r="P589" s="249" t="s">
        <v>29</v>
      </c>
      <c r="Q589" s="249" t="s">
        <v>590</v>
      </c>
      <c r="R589" s="176"/>
      <c r="S589" s="176"/>
      <c r="T589" s="176"/>
      <c r="U589" s="176"/>
      <c r="V589" s="176"/>
      <c r="W589" s="176"/>
      <c r="X589" s="176"/>
      <c r="Y589" s="176"/>
      <c r="Z589" s="176"/>
    </row>
    <row r="590">
      <c r="A590" s="267" t="str">
        <f>iferror(VLOOKUP(P590,'DO NOT TOUCH Imported'!$A$1:$D$800,4,False),iferror(VLOOKUP(P590,'DO NOT TOUCH Imported'!$C$1:$D$800,2,False),"OOPS FIX ME"))</f>
        <v>jeffemmett</v>
      </c>
      <c r="B590" s="272" t="s">
        <v>1933</v>
      </c>
      <c r="C590" s="273" t="s">
        <v>1949</v>
      </c>
      <c r="D590" s="274" t="s">
        <v>437</v>
      </c>
      <c r="E590" s="275">
        <v>44266.0</v>
      </c>
      <c r="F590" s="274" t="s">
        <v>439</v>
      </c>
      <c r="G590" s="171">
        <v>25.0</v>
      </c>
      <c r="H590" s="171">
        <v>2000.0</v>
      </c>
      <c r="I590" s="171">
        <v>300.0</v>
      </c>
      <c r="J590" s="172">
        <f t="shared" si="2"/>
        <v>0.001716931848</v>
      </c>
      <c r="K590" s="269">
        <f t="shared" si="25"/>
        <v>1.774162909</v>
      </c>
      <c r="L590" s="270">
        <f t="shared" si="4"/>
        <v>2.082513373</v>
      </c>
      <c r="M590" s="271" t="str">
        <f t="shared" si="5"/>
        <v>jeffemmett</v>
      </c>
      <c r="N590" s="176">
        <f>IFERROR(__xludf.DUMMYFUNCTION("""COMPUTED_VALUE"""),6.0)</f>
        <v>6</v>
      </c>
      <c r="O590" s="176"/>
      <c r="P590" s="267" t="s">
        <v>564</v>
      </c>
      <c r="Q590" s="272" t="s">
        <v>1933</v>
      </c>
      <c r="R590" s="176"/>
      <c r="S590" s="176"/>
      <c r="T590" s="176"/>
      <c r="U590" s="176"/>
      <c r="V590" s="176"/>
      <c r="W590" s="176"/>
      <c r="X590" s="176"/>
      <c r="Y590" s="176"/>
      <c r="Z590" s="176"/>
    </row>
    <row r="591">
      <c r="A591" s="267" t="str">
        <f>iferror(VLOOKUP(P591,'DO NOT TOUCH Imported'!$A$1:$D$800,4,False),iferror(VLOOKUP(P591,'DO NOT TOUCH Imported'!$C$1:$D$800,2,False),"OOPS FIX ME"))</f>
        <v>jeffemmett</v>
      </c>
      <c r="B591" s="272" t="s">
        <v>10</v>
      </c>
      <c r="C591" s="273" t="s">
        <v>2160</v>
      </c>
      <c r="D591" s="274" t="s">
        <v>437</v>
      </c>
      <c r="E591" s="306">
        <v>44267.0</v>
      </c>
      <c r="F591" s="274" t="s">
        <v>439</v>
      </c>
      <c r="G591" s="171">
        <v>25.0</v>
      </c>
      <c r="H591" s="171">
        <v>2500.0</v>
      </c>
      <c r="I591" s="171">
        <v>500.0</v>
      </c>
      <c r="J591" s="172">
        <f t="shared" si="2"/>
        <v>0.00233609831</v>
      </c>
      <c r="K591" s="269">
        <f t="shared" si="25"/>
        <v>2.413968253</v>
      </c>
      <c r="L591" s="270">
        <f t="shared" si="4"/>
        <v>2.082513373</v>
      </c>
      <c r="M591" s="271" t="str">
        <f t="shared" si="5"/>
        <v>jeffemmett</v>
      </c>
      <c r="N591" s="176">
        <f>IFERROR(__xludf.DUMMYFUNCTION("""COMPUTED_VALUE"""),7.0)</f>
        <v>7</v>
      </c>
      <c r="O591" s="176"/>
      <c r="P591" s="267" t="s">
        <v>564</v>
      </c>
      <c r="Q591" s="272" t="s">
        <v>10</v>
      </c>
      <c r="R591" s="176"/>
      <c r="S591" s="176"/>
      <c r="T591" s="176"/>
      <c r="U591" s="176"/>
      <c r="V591" s="176"/>
      <c r="W591" s="176"/>
      <c r="X591" s="176"/>
      <c r="Y591" s="176"/>
      <c r="Z591" s="176"/>
    </row>
    <row r="592">
      <c r="A592" s="267" t="str">
        <f>iferror(VLOOKUP(P592,'DO NOT TOUCH Imported'!$A$1:$D$800,4,False),iferror(VLOOKUP(P592,'DO NOT TOUCH Imported'!$C$1:$D$800,2,False),"OOPS FIX ME"))</f>
        <v>jeffemmett</v>
      </c>
      <c r="B592" s="272" t="s">
        <v>590</v>
      </c>
      <c r="C592" s="273" t="s">
        <v>2161</v>
      </c>
      <c r="D592" s="274" t="s">
        <v>499</v>
      </c>
      <c r="E592" s="306">
        <v>44267.0</v>
      </c>
      <c r="F592" s="274" t="s">
        <v>2129</v>
      </c>
      <c r="G592" s="171">
        <v>25.0</v>
      </c>
      <c r="H592" s="171">
        <v>500.0</v>
      </c>
      <c r="I592" s="171">
        <v>200.0</v>
      </c>
      <c r="J592" s="172">
        <f t="shared" si="2"/>
        <v>0.001023500928</v>
      </c>
      <c r="K592" s="269">
        <f t="shared" si="25"/>
        <v>1.057617625</v>
      </c>
      <c r="L592" s="270">
        <f t="shared" si="4"/>
        <v>2.082513373</v>
      </c>
      <c r="M592" s="271" t="str">
        <f t="shared" si="5"/>
        <v>jeffemmett</v>
      </c>
      <c r="N592" s="176">
        <f>IFERROR(__xludf.DUMMYFUNCTION("""COMPUTED_VALUE"""),8.0)</f>
        <v>8</v>
      </c>
      <c r="O592" s="176"/>
      <c r="P592" s="267" t="s">
        <v>564</v>
      </c>
      <c r="Q592" s="272" t="s">
        <v>590</v>
      </c>
      <c r="R592" s="176"/>
      <c r="S592" s="176"/>
      <c r="T592" s="176"/>
      <c r="U592" s="176"/>
      <c r="V592" s="176"/>
      <c r="W592" s="176"/>
      <c r="X592" s="176"/>
      <c r="Y592" s="176"/>
      <c r="Z592" s="176"/>
    </row>
    <row r="593">
      <c r="A593" s="267" t="str">
        <f>iferror(VLOOKUP(P593,'DO NOT TOUCH Imported'!$A$1:$D$800,4,False),iferror(VLOOKUP(P593,'DO NOT TOUCH Imported'!$C$1:$D$800,2,False),"OOPS FIX ME"))</f>
        <v>jeffemmett</v>
      </c>
      <c r="B593" s="249" t="s">
        <v>10</v>
      </c>
      <c r="C593" s="219" t="s">
        <v>498</v>
      </c>
      <c r="D593" s="268" t="s">
        <v>495</v>
      </c>
      <c r="E593" s="252">
        <v>44267.0</v>
      </c>
      <c r="F593" s="250" t="s">
        <v>499</v>
      </c>
      <c r="G593" s="171">
        <v>25.0</v>
      </c>
      <c r="H593" s="171">
        <v>500.0</v>
      </c>
      <c r="I593" s="171">
        <v>100.0</v>
      </c>
      <c r="J593" s="172">
        <f t="shared" si="2"/>
        <v>0.0007906872343</v>
      </c>
      <c r="K593" s="269">
        <f t="shared" si="25"/>
        <v>0.8170434755</v>
      </c>
      <c r="L593" s="270">
        <f t="shared" si="4"/>
        <v>2.082513373</v>
      </c>
      <c r="M593" s="271" t="str">
        <f t="shared" si="5"/>
        <v>jeffemmett</v>
      </c>
      <c r="N593" s="176">
        <f>IFERROR(__xludf.DUMMYFUNCTION("""COMPUTED_VALUE"""),9.0)</f>
        <v>9</v>
      </c>
      <c r="O593" s="176"/>
      <c r="P593" s="249" t="s">
        <v>29</v>
      </c>
      <c r="Q593" s="249" t="s">
        <v>10</v>
      </c>
      <c r="R593" s="176"/>
      <c r="S593" s="176"/>
      <c r="T593" s="176"/>
      <c r="U593" s="176"/>
      <c r="V593" s="176"/>
      <c r="W593" s="176"/>
      <c r="X593" s="176"/>
      <c r="Y593" s="176"/>
      <c r="Z593" s="176"/>
    </row>
    <row r="594">
      <c r="A594" s="185" t="str">
        <f>iferror(VLOOKUP(P594,'DO NOT TOUCH Imported'!$A$1:$D$800,4,False),iferror(VLOOKUP(P594,'DO NOT TOUCH Imported'!$C$1:$D$800,2,False),"OOPS FIX ME"))</f>
        <v>jeffemmett</v>
      </c>
      <c r="B594" s="196" t="s">
        <v>534</v>
      </c>
      <c r="C594" s="213" t="s">
        <v>684</v>
      </c>
      <c r="D594" s="212"/>
      <c r="E594" s="214"/>
      <c r="F594" s="212"/>
      <c r="G594" s="196"/>
      <c r="H594" s="196"/>
      <c r="I594" s="196"/>
      <c r="J594" s="191">
        <f t="shared" si="2"/>
        <v>0</v>
      </c>
      <c r="K594" s="192">
        <f>-0.85*13.882</f>
        <v>-11.7997</v>
      </c>
      <c r="L594" s="193">
        <f t="shared" si="4"/>
        <v>2.082513373</v>
      </c>
      <c r="M594" s="194" t="str">
        <f t="shared" si="5"/>
        <v>jeffemmett</v>
      </c>
      <c r="N594" s="212">
        <f>IFERROR(__xludf.DUMMYFUNCTION("""COMPUTED_VALUE"""),10.0)</f>
        <v>10</v>
      </c>
      <c r="O594" s="212"/>
      <c r="P594" s="212" t="s">
        <v>29</v>
      </c>
      <c r="Q594" s="196" t="s">
        <v>534</v>
      </c>
      <c r="R594" s="212">
        <v>18.15686701513158</v>
      </c>
      <c r="S594" s="212"/>
      <c r="T594" s="212"/>
      <c r="U594" s="212"/>
      <c r="V594" s="212"/>
      <c r="W594" s="212"/>
      <c r="X594" s="212"/>
      <c r="Y594" s="212"/>
      <c r="Z594" s="212"/>
    </row>
    <row r="595">
      <c r="A595" s="267" t="str">
        <f>iferror(VLOOKUP(P595,'DO NOT TOUCH Imported'!$A$1:$D$800,4,False),iferror(VLOOKUP(P595,'DO NOT TOUCH Imported'!$C$1:$D$800,2,False),"OOPS FIX ME"))</f>
        <v>fabiosmendes</v>
      </c>
      <c r="B595" s="249" t="s">
        <v>519</v>
      </c>
      <c r="C595" s="219" t="s">
        <v>2162</v>
      </c>
      <c r="D595" s="268" t="s">
        <v>495</v>
      </c>
      <c r="E595" s="252">
        <v>44256.0</v>
      </c>
      <c r="F595" s="250" t="s">
        <v>1956</v>
      </c>
      <c r="G595" s="171">
        <v>150.0</v>
      </c>
      <c r="H595" s="171">
        <v>2500.0</v>
      </c>
      <c r="I595" s="171">
        <v>400.0</v>
      </c>
      <c r="J595" s="172">
        <f t="shared" si="2"/>
        <v>0.004124956944</v>
      </c>
      <c r="K595" s="269">
        <f t="shared" ref="K595:K601" si="26">J595*$J$1</f>
        <v>4.262455509</v>
      </c>
      <c r="L595" s="270">
        <f t="shared" si="4"/>
        <v>1.998096258</v>
      </c>
      <c r="M595" s="271" t="str">
        <f t="shared" si="5"/>
        <v>fabiosmendes</v>
      </c>
      <c r="N595" s="176">
        <f>IFERROR(__xludf.DUMMYFUNCTION("""COMPUTED_VALUE"""),1.0)</f>
        <v>1</v>
      </c>
      <c r="O595" s="176"/>
      <c r="P595" s="249" t="s">
        <v>57</v>
      </c>
      <c r="Q595" s="249" t="s">
        <v>519</v>
      </c>
      <c r="R595" s="176"/>
      <c r="S595" s="176"/>
      <c r="T595" s="176"/>
      <c r="U595" s="176"/>
      <c r="V595" s="176"/>
      <c r="W595" s="176"/>
      <c r="X595" s="176"/>
      <c r="Y595" s="176"/>
      <c r="Z595" s="176"/>
    </row>
    <row r="596">
      <c r="A596" s="267" t="str">
        <f>iferror(VLOOKUP(P596,'DO NOT TOUCH Imported'!$A$1:$D$800,4,False),iferror(VLOOKUP(P596,'DO NOT TOUCH Imported'!$C$1:$D$800,2,False),"OOPS FIX ME"))</f>
        <v>fabiosmendes</v>
      </c>
      <c r="B596" s="249" t="s">
        <v>519</v>
      </c>
      <c r="C596" s="219" t="s">
        <v>2000</v>
      </c>
      <c r="D596" s="268" t="s">
        <v>495</v>
      </c>
      <c r="E596" s="252">
        <v>44258.0</v>
      </c>
      <c r="F596" s="250" t="s">
        <v>521</v>
      </c>
      <c r="G596" s="171">
        <v>50.0</v>
      </c>
      <c r="H596" s="171">
        <v>1000.0</v>
      </c>
      <c r="I596" s="171">
        <v>200.0</v>
      </c>
      <c r="J596" s="172">
        <f t="shared" si="2"/>
        <v>0.001581374469</v>
      </c>
      <c r="K596" s="269">
        <f t="shared" si="26"/>
        <v>1.634086951</v>
      </c>
      <c r="L596" s="270">
        <f t="shared" si="4"/>
        <v>1.998096258</v>
      </c>
      <c r="M596" s="271" t="str">
        <f t="shared" si="5"/>
        <v>fabiosmendes</v>
      </c>
      <c r="N596" s="176">
        <f>IFERROR(__xludf.DUMMYFUNCTION("""COMPUTED_VALUE"""),2.0)</f>
        <v>2</v>
      </c>
      <c r="O596" s="176"/>
      <c r="P596" s="249" t="s">
        <v>57</v>
      </c>
      <c r="Q596" s="249" t="s">
        <v>519</v>
      </c>
      <c r="R596" s="176"/>
      <c r="S596" s="176"/>
      <c r="T596" s="176"/>
      <c r="U596" s="176"/>
      <c r="V596" s="176"/>
      <c r="W596" s="176"/>
      <c r="X596" s="176"/>
      <c r="Y596" s="176"/>
      <c r="Z596" s="176"/>
    </row>
    <row r="597">
      <c r="A597" s="267" t="str">
        <f>iferror(VLOOKUP(P597,'DO NOT TOUCH Imported'!$A$1:$D$800,4,False),iferror(VLOOKUP(P597,'DO NOT TOUCH Imported'!$C$1:$D$800,2,False),"OOPS FIX ME"))</f>
        <v>fabiosmendes</v>
      </c>
      <c r="B597" s="249" t="s">
        <v>10</v>
      </c>
      <c r="C597" s="219" t="s">
        <v>2005</v>
      </c>
      <c r="D597" s="268" t="s">
        <v>495</v>
      </c>
      <c r="E597" s="252">
        <v>44260.0</v>
      </c>
      <c r="F597" s="250" t="s">
        <v>496</v>
      </c>
      <c r="G597" s="171">
        <v>50.0</v>
      </c>
      <c r="H597" s="171">
        <v>500.0</v>
      </c>
      <c r="I597" s="171">
        <v>200.0</v>
      </c>
      <c r="J597" s="172">
        <f t="shared" si="2"/>
        <v>0.001427835393</v>
      </c>
      <c r="K597" s="269">
        <f t="shared" si="26"/>
        <v>1.475429906</v>
      </c>
      <c r="L597" s="270">
        <f t="shared" si="4"/>
        <v>1.998096258</v>
      </c>
      <c r="M597" s="271" t="str">
        <f t="shared" si="5"/>
        <v>fabiosmendes</v>
      </c>
      <c r="N597" s="176">
        <f>IFERROR(__xludf.DUMMYFUNCTION("""COMPUTED_VALUE"""),3.0)</f>
        <v>3</v>
      </c>
      <c r="O597" s="176"/>
      <c r="P597" s="249" t="s">
        <v>57</v>
      </c>
      <c r="Q597" s="249" t="s">
        <v>10</v>
      </c>
      <c r="R597" s="176"/>
      <c r="S597" s="176"/>
      <c r="T597" s="176"/>
      <c r="U597" s="176"/>
      <c r="V597" s="176"/>
      <c r="W597" s="176"/>
      <c r="X597" s="176"/>
      <c r="Y597" s="176"/>
      <c r="Z597" s="176"/>
    </row>
    <row r="598">
      <c r="A598" s="267" t="str">
        <f>iferror(VLOOKUP(P598,'DO NOT TOUCH Imported'!$A$1:$D$800,4,False),iferror(VLOOKUP(P598,'DO NOT TOUCH Imported'!$C$1:$D$800,2,False),"OOPS FIX ME"))</f>
        <v>fabiosmendes</v>
      </c>
      <c r="B598" s="249" t="s">
        <v>10</v>
      </c>
      <c r="C598" s="219" t="s">
        <v>498</v>
      </c>
      <c r="D598" s="268" t="s">
        <v>495</v>
      </c>
      <c r="E598" s="252">
        <v>44260.0</v>
      </c>
      <c r="F598" s="250" t="s">
        <v>499</v>
      </c>
      <c r="G598" s="171">
        <v>35.0</v>
      </c>
      <c r="H598" s="171">
        <v>500.0</v>
      </c>
      <c r="I598" s="171">
        <v>40.0</v>
      </c>
      <c r="J598" s="172">
        <f t="shared" si="2"/>
        <v>0.0008127328046</v>
      </c>
      <c r="K598" s="269">
        <f t="shared" si="26"/>
        <v>0.8398238981</v>
      </c>
      <c r="L598" s="270">
        <f t="shared" si="4"/>
        <v>1.998096258</v>
      </c>
      <c r="M598" s="271" t="str">
        <f t="shared" si="5"/>
        <v>fabiosmendes</v>
      </c>
      <c r="N598" s="176">
        <f>IFERROR(__xludf.DUMMYFUNCTION("""COMPUTED_VALUE"""),4.0)</f>
        <v>4</v>
      </c>
      <c r="O598" s="176"/>
      <c r="P598" s="249" t="s">
        <v>57</v>
      </c>
      <c r="Q598" s="249" t="s">
        <v>10</v>
      </c>
      <c r="R598" s="176"/>
      <c r="S598" s="176"/>
      <c r="T598" s="176"/>
      <c r="U598" s="176"/>
      <c r="V598" s="176"/>
      <c r="W598" s="176"/>
      <c r="X598" s="176"/>
      <c r="Y598" s="176"/>
      <c r="Z598" s="176"/>
    </row>
    <row r="599">
      <c r="A599" s="267" t="str">
        <f>iferror(VLOOKUP(P599,'DO NOT TOUCH Imported'!$A$1:$D$800,4,False),iferror(VLOOKUP(P599,'DO NOT TOUCH Imported'!$C$1:$D$800,2,False),"OOPS FIX ME"))</f>
        <v>fabiosmendes</v>
      </c>
      <c r="B599" s="249" t="s">
        <v>519</v>
      </c>
      <c r="C599" s="219" t="s">
        <v>668</v>
      </c>
      <c r="D599" s="268" t="s">
        <v>495</v>
      </c>
      <c r="E599" s="252">
        <v>44265.0</v>
      </c>
      <c r="F599" s="250" t="s">
        <v>521</v>
      </c>
      <c r="G599" s="171">
        <v>25.0</v>
      </c>
      <c r="H599" s="171">
        <v>1000.0</v>
      </c>
      <c r="I599" s="171">
        <v>200.0</v>
      </c>
      <c r="J599" s="172">
        <f t="shared" si="2"/>
        <v>0.001177040003</v>
      </c>
      <c r="K599" s="269">
        <f t="shared" si="26"/>
        <v>1.21627467</v>
      </c>
      <c r="L599" s="270">
        <f t="shared" si="4"/>
        <v>1.998096258</v>
      </c>
      <c r="M599" s="271" t="str">
        <f t="shared" si="5"/>
        <v>fabiosmendes</v>
      </c>
      <c r="N599" s="176">
        <f>IFERROR(__xludf.DUMMYFUNCTION("""COMPUTED_VALUE"""),5.0)</f>
        <v>5</v>
      </c>
      <c r="O599" s="176"/>
      <c r="P599" s="249" t="s">
        <v>57</v>
      </c>
      <c r="Q599" s="249" t="s">
        <v>519</v>
      </c>
      <c r="R599" s="176"/>
      <c r="S599" s="176"/>
      <c r="T599" s="176"/>
      <c r="U599" s="176"/>
      <c r="V599" s="176"/>
      <c r="W599" s="176"/>
      <c r="X599" s="176"/>
      <c r="Y599" s="176"/>
      <c r="Z599" s="176"/>
    </row>
    <row r="600">
      <c r="A600" s="267" t="str">
        <f>iferror(VLOOKUP(P600,'DO NOT TOUCH Imported'!$A$1:$D$800,4,False),iferror(VLOOKUP(P600,'DO NOT TOUCH Imported'!$C$1:$D$800,2,False),"OOPS FIX ME"))</f>
        <v>fabiosmendes</v>
      </c>
      <c r="B600" s="272" t="s">
        <v>10</v>
      </c>
      <c r="C600" s="273" t="s">
        <v>2007</v>
      </c>
      <c r="D600" s="274" t="s">
        <v>437</v>
      </c>
      <c r="E600" s="306">
        <v>44267.0</v>
      </c>
      <c r="F600" s="274" t="s">
        <v>439</v>
      </c>
      <c r="G600" s="171">
        <v>50.0</v>
      </c>
      <c r="H600" s="171">
        <v>1000.0</v>
      </c>
      <c r="I600" s="171">
        <v>700.0</v>
      </c>
      <c r="J600" s="172">
        <f t="shared" si="2"/>
        <v>0.002745442935</v>
      </c>
      <c r="K600" s="269">
        <f t="shared" si="26"/>
        <v>2.836957699</v>
      </c>
      <c r="L600" s="270">
        <f t="shared" si="4"/>
        <v>1.998096258</v>
      </c>
      <c r="M600" s="271" t="str">
        <f t="shared" si="5"/>
        <v>fabiosmendes</v>
      </c>
      <c r="N600" s="176">
        <f>IFERROR(__xludf.DUMMYFUNCTION("""COMPUTED_VALUE"""),6.0)</f>
        <v>6</v>
      </c>
      <c r="O600" s="176"/>
      <c r="P600" s="267" t="s">
        <v>773</v>
      </c>
      <c r="Q600" s="272" t="s">
        <v>10</v>
      </c>
      <c r="R600" s="176"/>
      <c r="S600" s="176"/>
      <c r="T600" s="176"/>
      <c r="U600" s="176"/>
      <c r="V600" s="176"/>
      <c r="W600" s="176"/>
      <c r="X600" s="176"/>
      <c r="Y600" s="176"/>
      <c r="Z600" s="176"/>
    </row>
    <row r="601">
      <c r="A601" s="267" t="str">
        <f>iferror(VLOOKUP(P601,'DO NOT TOUCH Imported'!$A$1:$D$800,4,False),iferror(VLOOKUP(P601,'DO NOT TOUCH Imported'!$C$1:$D$800,2,False),"OOPS FIX ME"))</f>
        <v>fabiosmendes</v>
      </c>
      <c r="B601" s="249" t="s">
        <v>10</v>
      </c>
      <c r="C601" s="219" t="s">
        <v>2066</v>
      </c>
      <c r="D601" s="268" t="s">
        <v>495</v>
      </c>
      <c r="E601" s="252">
        <v>44267.0</v>
      </c>
      <c r="F601" s="250" t="s">
        <v>496</v>
      </c>
      <c r="G601" s="171">
        <v>25.0</v>
      </c>
      <c r="H601" s="171">
        <v>500.0</v>
      </c>
      <c r="I601" s="171">
        <v>200.0</v>
      </c>
      <c r="J601" s="172">
        <f t="shared" si="2"/>
        <v>0.001023500928</v>
      </c>
      <c r="K601" s="269">
        <f t="shared" si="26"/>
        <v>1.057617625</v>
      </c>
      <c r="L601" s="270">
        <f t="shared" si="4"/>
        <v>1.998096258</v>
      </c>
      <c r="M601" s="271" t="str">
        <f t="shared" si="5"/>
        <v>fabiosmendes</v>
      </c>
      <c r="N601" s="176">
        <f>IFERROR(__xludf.DUMMYFUNCTION("""COMPUTED_VALUE"""),7.0)</f>
        <v>7</v>
      </c>
      <c r="O601" s="176"/>
      <c r="P601" s="249" t="s">
        <v>57</v>
      </c>
      <c r="Q601" s="249" t="s">
        <v>10</v>
      </c>
      <c r="R601" s="176"/>
      <c r="S601" s="176"/>
      <c r="T601" s="176"/>
      <c r="U601" s="176"/>
      <c r="V601" s="176"/>
      <c r="W601" s="176"/>
      <c r="X601" s="176"/>
      <c r="Y601" s="176"/>
      <c r="Z601" s="176"/>
    </row>
    <row r="602">
      <c r="A602" s="185" t="str">
        <f>iferror(VLOOKUP(P602,'DO NOT TOUCH Imported'!$A$1:$D$800,4,False),iferror(VLOOKUP(P602,'DO NOT TOUCH Imported'!$C$1:$D$800,2,False),"OOPS FIX ME"))</f>
        <v>fabiosmendes</v>
      </c>
      <c r="B602" s="196" t="s">
        <v>534</v>
      </c>
      <c r="C602" s="216" t="s">
        <v>693</v>
      </c>
      <c r="D602" s="212"/>
      <c r="E602" s="214"/>
      <c r="F602" s="212"/>
      <c r="G602" s="196"/>
      <c r="H602" s="196"/>
      <c r="I602" s="196"/>
      <c r="J602" s="191">
        <f t="shared" si="2"/>
        <v>0</v>
      </c>
      <c r="K602" s="192">
        <f>13.323*-0.85</f>
        <v>-11.32455</v>
      </c>
      <c r="L602" s="193">
        <f t="shared" si="4"/>
        <v>1.998096258</v>
      </c>
      <c r="M602" s="194" t="str">
        <f t="shared" si="5"/>
        <v>fabiosmendes</v>
      </c>
      <c r="N602" s="217">
        <f>IFERROR(__xludf.DUMMYFUNCTION("""COMPUTED_VALUE"""),8.0)</f>
        <v>8</v>
      </c>
      <c r="O602" s="212"/>
      <c r="P602" s="196" t="s">
        <v>57</v>
      </c>
      <c r="Q602" s="196" t="s">
        <v>534</v>
      </c>
      <c r="R602" s="187">
        <v>57.049855624848725</v>
      </c>
      <c r="S602" s="212"/>
      <c r="T602" s="212"/>
      <c r="U602" s="212"/>
      <c r="V602" s="212"/>
      <c r="W602" s="212"/>
      <c r="X602" s="212"/>
      <c r="Y602" s="212"/>
      <c r="Z602" s="212"/>
    </row>
    <row r="603">
      <c r="A603" s="267" t="str">
        <f>iferror(VLOOKUP(P603,'DO NOT TOUCH Imported'!$A$1:$D$800,4,False),iferror(VLOOKUP(P603,'DO NOT TOUCH Imported'!$C$1:$D$800,2,False),"OOPS FIX ME"))</f>
        <v>vntrp</v>
      </c>
      <c r="B603" s="272" t="s">
        <v>2163</v>
      </c>
      <c r="C603" s="273" t="s">
        <v>2164</v>
      </c>
      <c r="D603" s="274" t="s">
        <v>499</v>
      </c>
      <c r="E603" s="275">
        <v>44265.0</v>
      </c>
      <c r="F603" s="274" t="s">
        <v>1646</v>
      </c>
      <c r="G603" s="171">
        <v>25.0</v>
      </c>
      <c r="H603" s="171">
        <v>1000.0</v>
      </c>
      <c r="I603" s="171">
        <v>500.0</v>
      </c>
      <c r="J603" s="172">
        <f t="shared" si="2"/>
        <v>0.001875481083</v>
      </c>
      <c r="K603" s="269">
        <f t="shared" ref="K603:K655" si="27">J603*$J$1</f>
        <v>1.937997119</v>
      </c>
      <c r="L603" s="270">
        <f t="shared" si="4"/>
        <v>1.937997119</v>
      </c>
      <c r="M603" s="271" t="str">
        <f t="shared" si="5"/>
        <v>vntrp</v>
      </c>
      <c r="N603" s="176">
        <f>IFERROR(__xludf.DUMMYFUNCTION("""COMPUTED_VALUE"""),1.0)</f>
        <v>1</v>
      </c>
      <c r="O603" s="176"/>
      <c r="P603" s="267" t="s">
        <v>849</v>
      </c>
      <c r="Q603" s="272" t="s">
        <v>2163</v>
      </c>
      <c r="R603" s="176"/>
      <c r="S603" s="176"/>
      <c r="T603" s="176"/>
      <c r="U603" s="176"/>
      <c r="V603" s="176"/>
      <c r="W603" s="176"/>
      <c r="X603" s="176"/>
      <c r="Y603" s="176"/>
      <c r="Z603" s="176"/>
    </row>
    <row r="604">
      <c r="A604" s="267" t="str">
        <f>iferror(VLOOKUP(P604,'DO NOT TOUCH Imported'!$A$1:$D$800,4,False),iferror(VLOOKUP(P604,'DO NOT TOUCH Imported'!$C$1:$D$800,2,False),"OOPS FIX ME"))</f>
        <v>tze42</v>
      </c>
      <c r="B604" s="249" t="s">
        <v>10</v>
      </c>
      <c r="C604" s="219" t="s">
        <v>498</v>
      </c>
      <c r="D604" s="268" t="s">
        <v>495</v>
      </c>
      <c r="E604" s="252">
        <v>44260.0</v>
      </c>
      <c r="F604" s="250" t="s">
        <v>499</v>
      </c>
      <c r="G604" s="171">
        <v>35.0</v>
      </c>
      <c r="H604" s="171">
        <v>500.0</v>
      </c>
      <c r="I604" s="171">
        <v>40.0</v>
      </c>
      <c r="J604" s="172">
        <f t="shared" si="2"/>
        <v>0.0008127328046</v>
      </c>
      <c r="K604" s="269">
        <f t="shared" si="27"/>
        <v>0.8398238981</v>
      </c>
      <c r="L604" s="270">
        <f t="shared" si="4"/>
        <v>1.695237344</v>
      </c>
      <c r="M604" s="271" t="str">
        <f t="shared" si="5"/>
        <v>tze42</v>
      </c>
      <c r="N604" s="176">
        <f>IFERROR(__xludf.DUMMYFUNCTION("""COMPUTED_VALUE"""),1.0)</f>
        <v>1</v>
      </c>
      <c r="O604" s="176"/>
      <c r="P604" s="249" t="s">
        <v>200</v>
      </c>
      <c r="Q604" s="249" t="s">
        <v>10</v>
      </c>
      <c r="R604" s="176"/>
      <c r="S604" s="176"/>
      <c r="T604" s="176"/>
      <c r="U604" s="176"/>
      <c r="V604" s="176"/>
      <c r="W604" s="176"/>
      <c r="X604" s="176"/>
      <c r="Y604" s="176"/>
      <c r="Z604" s="176"/>
    </row>
    <row r="605">
      <c r="A605" s="267" t="str">
        <f>iferror(VLOOKUP(P605,'DO NOT TOUCH Imported'!$A$1:$D$800,4,False),iferror(VLOOKUP(P605,'DO NOT TOUCH Imported'!$C$1:$D$800,2,False),"OOPS FIX ME"))</f>
        <v>tze42</v>
      </c>
      <c r="B605" s="272" t="s">
        <v>2107</v>
      </c>
      <c r="C605" s="273" t="s">
        <v>2165</v>
      </c>
      <c r="D605" s="274" t="s">
        <v>499</v>
      </c>
      <c r="E605" s="275">
        <v>44263.0</v>
      </c>
      <c r="F605" s="274" t="s">
        <v>1646</v>
      </c>
      <c r="G605" s="171">
        <v>25.0</v>
      </c>
      <c r="H605" s="171">
        <v>1000.0</v>
      </c>
      <c r="I605" s="171">
        <v>50.0</v>
      </c>
      <c r="J605" s="172">
        <f t="shared" si="2"/>
        <v>0.0008278194634</v>
      </c>
      <c r="K605" s="269">
        <f t="shared" si="27"/>
        <v>0.8554134456</v>
      </c>
      <c r="L605" s="270">
        <f t="shared" si="4"/>
        <v>1.695237344</v>
      </c>
      <c r="M605" s="271" t="str">
        <f t="shared" si="5"/>
        <v>tze42</v>
      </c>
      <c r="N605" s="176">
        <f>IFERROR(__xludf.DUMMYFUNCTION("""COMPUTED_VALUE"""),2.0)</f>
        <v>2</v>
      </c>
      <c r="O605" s="176"/>
      <c r="P605" s="267" t="s">
        <v>2166</v>
      </c>
      <c r="Q605" s="272" t="s">
        <v>2107</v>
      </c>
      <c r="R605" s="176"/>
      <c r="S605" s="176"/>
      <c r="T605" s="176"/>
      <c r="U605" s="176"/>
      <c r="V605" s="176"/>
      <c r="W605" s="176"/>
      <c r="X605" s="176"/>
      <c r="Y605" s="176"/>
      <c r="Z605" s="176"/>
    </row>
    <row r="606">
      <c r="A606" s="267" t="str">
        <f>iferror(VLOOKUP(P606,'DO NOT TOUCH Imported'!$A$1:$D$800,4,False),iferror(VLOOKUP(P606,'DO NOT TOUCH Imported'!$C$1:$D$800,2,False),"OOPS FIX ME"))</f>
        <v>XQTStrategy</v>
      </c>
      <c r="B606" s="249" t="s">
        <v>10</v>
      </c>
      <c r="C606" s="219" t="s">
        <v>500</v>
      </c>
      <c r="D606" s="268" t="s">
        <v>495</v>
      </c>
      <c r="E606" s="252">
        <v>44260.0</v>
      </c>
      <c r="F606" s="250" t="s">
        <v>496</v>
      </c>
      <c r="G606" s="171">
        <v>35.0</v>
      </c>
      <c r="H606" s="171">
        <v>500.0</v>
      </c>
      <c r="I606" s="171">
        <v>40.0</v>
      </c>
      <c r="J606" s="172">
        <f t="shared" si="2"/>
        <v>0.0008127328046</v>
      </c>
      <c r="K606" s="269">
        <f t="shared" si="27"/>
        <v>0.8398238981</v>
      </c>
      <c r="L606" s="270">
        <f t="shared" si="4"/>
        <v>1.679647796</v>
      </c>
      <c r="M606" s="271" t="str">
        <f t="shared" si="5"/>
        <v>XQTStrategy</v>
      </c>
      <c r="N606" s="176">
        <f>IFERROR(__xludf.DUMMYFUNCTION("""COMPUTED_VALUE"""),1.0)</f>
        <v>1</v>
      </c>
      <c r="O606" s="176"/>
      <c r="P606" s="249" t="s">
        <v>211</v>
      </c>
      <c r="Q606" s="249" t="s">
        <v>10</v>
      </c>
      <c r="R606" s="176"/>
      <c r="S606" s="176"/>
      <c r="T606" s="176"/>
      <c r="U606" s="176"/>
      <c r="V606" s="176"/>
      <c r="W606" s="176"/>
      <c r="X606" s="176"/>
      <c r="Y606" s="176"/>
      <c r="Z606" s="176"/>
    </row>
    <row r="607">
      <c r="A607" s="267" t="str">
        <f>iferror(VLOOKUP(P607,'DO NOT TOUCH Imported'!$A$1:$D$800,4,False),iferror(VLOOKUP(P607,'DO NOT TOUCH Imported'!$C$1:$D$800,2,False),"OOPS FIX ME"))</f>
        <v>XQTStrategy</v>
      </c>
      <c r="B607" s="249" t="s">
        <v>10</v>
      </c>
      <c r="C607" s="219" t="s">
        <v>498</v>
      </c>
      <c r="D607" s="268" t="s">
        <v>495</v>
      </c>
      <c r="E607" s="252">
        <v>44260.0</v>
      </c>
      <c r="F607" s="250" t="s">
        <v>499</v>
      </c>
      <c r="G607" s="171">
        <v>35.0</v>
      </c>
      <c r="H607" s="171">
        <v>500.0</v>
      </c>
      <c r="I607" s="171">
        <v>40.0</v>
      </c>
      <c r="J607" s="172">
        <f t="shared" si="2"/>
        <v>0.0008127328046</v>
      </c>
      <c r="K607" s="269">
        <f t="shared" si="27"/>
        <v>0.8398238981</v>
      </c>
      <c r="L607" s="270">
        <f t="shared" si="4"/>
        <v>1.679647796</v>
      </c>
      <c r="M607" s="271" t="str">
        <f t="shared" si="5"/>
        <v>XQTStrategy</v>
      </c>
      <c r="N607" s="176">
        <f>IFERROR(__xludf.DUMMYFUNCTION("""COMPUTED_VALUE"""),2.0)</f>
        <v>2</v>
      </c>
      <c r="O607" s="176"/>
      <c r="P607" s="249" t="s">
        <v>211</v>
      </c>
      <c r="Q607" s="249" t="s">
        <v>10</v>
      </c>
      <c r="R607" s="176"/>
      <c r="S607" s="176"/>
      <c r="T607" s="176"/>
      <c r="U607" s="176"/>
      <c r="V607" s="176"/>
      <c r="W607" s="176"/>
      <c r="X607" s="176"/>
      <c r="Y607" s="176"/>
      <c r="Z607" s="176"/>
    </row>
    <row r="608">
      <c r="A608" s="267" t="str">
        <f>iferror(VLOOKUP(P608,'DO NOT TOUCH Imported'!$A$1:$D$800,4,False),iferror(VLOOKUP(P608,'DO NOT TOUCH Imported'!$C$1:$D$800,2,False),"OOPS FIX ME"))</f>
        <v>NukeManDan</v>
      </c>
      <c r="B608" s="249" t="s">
        <v>10</v>
      </c>
      <c r="C608" s="219" t="s">
        <v>500</v>
      </c>
      <c r="D608" s="268" t="s">
        <v>495</v>
      </c>
      <c r="E608" s="252">
        <v>44260.0</v>
      </c>
      <c r="F608" s="250" t="s">
        <v>496</v>
      </c>
      <c r="G608" s="171">
        <v>35.0</v>
      </c>
      <c r="H608" s="171">
        <v>500.0</v>
      </c>
      <c r="I608" s="171">
        <v>40.0</v>
      </c>
      <c r="J608" s="172">
        <f t="shared" si="2"/>
        <v>0.0008127328046</v>
      </c>
      <c r="K608" s="269">
        <f t="shared" si="27"/>
        <v>0.8398238981</v>
      </c>
      <c r="L608" s="270">
        <f t="shared" si="4"/>
        <v>1.679647796</v>
      </c>
      <c r="M608" s="271" t="str">
        <f t="shared" si="5"/>
        <v>NukeManDan</v>
      </c>
      <c r="N608" s="176">
        <f>IFERROR(__xludf.DUMMYFUNCTION("""COMPUTED_VALUE"""),1.0)</f>
        <v>1</v>
      </c>
      <c r="O608" s="176"/>
      <c r="P608" s="249" t="s">
        <v>155</v>
      </c>
      <c r="Q608" s="249" t="s">
        <v>10</v>
      </c>
      <c r="R608" s="176"/>
      <c r="S608" s="176"/>
      <c r="T608" s="176"/>
      <c r="U608" s="176"/>
      <c r="V608" s="176"/>
      <c r="W608" s="176"/>
      <c r="X608" s="176"/>
      <c r="Y608" s="176"/>
      <c r="Z608" s="176"/>
    </row>
    <row r="609">
      <c r="A609" s="267" t="str">
        <f>iferror(VLOOKUP(P609,'DO NOT TOUCH Imported'!$A$1:$D$800,4,False),iferror(VLOOKUP(P609,'DO NOT TOUCH Imported'!$C$1:$D$800,2,False),"OOPS FIX ME"))</f>
        <v>NukeManDan</v>
      </c>
      <c r="B609" s="249" t="s">
        <v>10</v>
      </c>
      <c r="C609" s="219" t="s">
        <v>498</v>
      </c>
      <c r="D609" s="268" t="s">
        <v>495</v>
      </c>
      <c r="E609" s="252">
        <v>44260.0</v>
      </c>
      <c r="F609" s="250" t="s">
        <v>499</v>
      </c>
      <c r="G609" s="171">
        <v>35.0</v>
      </c>
      <c r="H609" s="171">
        <v>500.0</v>
      </c>
      <c r="I609" s="171">
        <v>40.0</v>
      </c>
      <c r="J609" s="172">
        <f t="shared" si="2"/>
        <v>0.0008127328046</v>
      </c>
      <c r="K609" s="269">
        <f t="shared" si="27"/>
        <v>0.8398238981</v>
      </c>
      <c r="L609" s="270">
        <f t="shared" si="4"/>
        <v>1.679647796</v>
      </c>
      <c r="M609" s="271" t="str">
        <f t="shared" si="5"/>
        <v>NukeManDan</v>
      </c>
      <c r="N609" s="176">
        <f>IFERROR(__xludf.DUMMYFUNCTION("""COMPUTED_VALUE"""),2.0)</f>
        <v>2</v>
      </c>
      <c r="O609" s="176"/>
      <c r="P609" s="249" t="s">
        <v>155</v>
      </c>
      <c r="Q609" s="249" t="s">
        <v>10</v>
      </c>
      <c r="R609" s="176"/>
      <c r="S609" s="176"/>
      <c r="T609" s="176"/>
      <c r="U609" s="176"/>
      <c r="V609" s="176"/>
      <c r="W609" s="176"/>
      <c r="X609" s="176"/>
      <c r="Y609" s="176"/>
      <c r="Z609" s="176"/>
    </row>
    <row r="610">
      <c r="A610" s="267" t="str">
        <f>iferror(VLOOKUP(P610,'DO NOT TOUCH Imported'!$A$1:$D$800,4,False),iferror(VLOOKUP(P610,'DO NOT TOUCH Imported'!$C$1:$D$800,2,False),"OOPS FIX ME"))</f>
        <v>nikoline_nik</v>
      </c>
      <c r="B610" s="249" t="s">
        <v>10</v>
      </c>
      <c r="C610" s="219" t="s">
        <v>498</v>
      </c>
      <c r="D610" s="268" t="s">
        <v>495</v>
      </c>
      <c r="E610" s="252">
        <v>44260.0</v>
      </c>
      <c r="F610" s="250" t="s">
        <v>499</v>
      </c>
      <c r="G610" s="171">
        <v>35.0</v>
      </c>
      <c r="H610" s="171">
        <v>500.0</v>
      </c>
      <c r="I610" s="171">
        <v>40.0</v>
      </c>
      <c r="J610" s="172">
        <f t="shared" si="2"/>
        <v>0.0008127328046</v>
      </c>
      <c r="K610" s="269">
        <f t="shared" si="27"/>
        <v>0.8398238981</v>
      </c>
      <c r="L610" s="270">
        <f t="shared" si="4"/>
        <v>1.656867374</v>
      </c>
      <c r="M610" s="271" t="str">
        <f t="shared" si="5"/>
        <v>nikoline_nik</v>
      </c>
      <c r="N610" s="176">
        <f>IFERROR(__xludf.DUMMYFUNCTION("""COMPUTED_VALUE"""),1.0)</f>
        <v>1</v>
      </c>
      <c r="O610" s="176"/>
      <c r="P610" s="249" t="s">
        <v>100</v>
      </c>
      <c r="Q610" s="249" t="s">
        <v>10</v>
      </c>
      <c r="R610" s="176"/>
      <c r="S610" s="176"/>
      <c r="T610" s="176"/>
      <c r="U610" s="176"/>
      <c r="V610" s="176"/>
      <c r="W610" s="176"/>
      <c r="X610" s="176"/>
      <c r="Y610" s="176"/>
      <c r="Z610" s="176"/>
    </row>
    <row r="611">
      <c r="A611" s="267" t="str">
        <f>iferror(VLOOKUP(P611,'DO NOT TOUCH Imported'!$A$1:$D$800,4,False),iferror(VLOOKUP(P611,'DO NOT TOUCH Imported'!$C$1:$D$800,2,False),"OOPS FIX ME"))</f>
        <v>nikoline_nik</v>
      </c>
      <c r="B611" s="272" t="s">
        <v>2107</v>
      </c>
      <c r="C611" s="273" t="s">
        <v>2167</v>
      </c>
      <c r="D611" s="274" t="s">
        <v>499</v>
      </c>
      <c r="E611" s="275">
        <v>44263.0</v>
      </c>
      <c r="F611" s="274" t="s">
        <v>1646</v>
      </c>
      <c r="G611" s="171">
        <v>25.0</v>
      </c>
      <c r="H611" s="171">
        <v>500.0</v>
      </c>
      <c r="I611" s="171">
        <v>100.0</v>
      </c>
      <c r="J611" s="172">
        <f t="shared" si="2"/>
        <v>0.0007906872343</v>
      </c>
      <c r="K611" s="269">
        <f t="shared" si="27"/>
        <v>0.8170434755</v>
      </c>
      <c r="L611" s="270">
        <f t="shared" si="4"/>
        <v>1.656867374</v>
      </c>
      <c r="M611" s="271" t="str">
        <f t="shared" si="5"/>
        <v>nikoline_nik</v>
      </c>
      <c r="N611" s="176">
        <f>IFERROR(__xludf.DUMMYFUNCTION("""COMPUTED_VALUE"""),2.0)</f>
        <v>2</v>
      </c>
      <c r="O611" s="176"/>
      <c r="P611" s="267" t="s">
        <v>2168</v>
      </c>
      <c r="Q611" s="272" t="s">
        <v>2107</v>
      </c>
      <c r="R611" s="176"/>
      <c r="S611" s="176"/>
      <c r="T611" s="176"/>
      <c r="U611" s="176"/>
      <c r="V611" s="176"/>
      <c r="W611" s="176"/>
      <c r="X611" s="176"/>
      <c r="Y611" s="176"/>
      <c r="Z611" s="176"/>
    </row>
    <row r="612">
      <c r="A612" s="267" t="str">
        <f>iferror(VLOOKUP(P612,'DO NOT TOUCH Imported'!$A$1:$D$800,4,False),iferror(VLOOKUP(P612,'DO NOT TOUCH Imported'!$C$1:$D$800,2,False),"OOPS FIX ME"))</f>
        <v>morgangr</v>
      </c>
      <c r="B612" s="249" t="s">
        <v>10</v>
      </c>
      <c r="C612" s="219" t="s">
        <v>498</v>
      </c>
      <c r="D612" s="268" t="s">
        <v>495</v>
      </c>
      <c r="E612" s="252">
        <v>44260.0</v>
      </c>
      <c r="F612" s="250" t="s">
        <v>499</v>
      </c>
      <c r="G612" s="171">
        <v>35.0</v>
      </c>
      <c r="H612" s="171">
        <v>500.0</v>
      </c>
      <c r="I612" s="171">
        <v>40.0</v>
      </c>
      <c r="J612" s="172">
        <f t="shared" si="2"/>
        <v>0.0008127328046</v>
      </c>
      <c r="K612" s="269">
        <f t="shared" si="27"/>
        <v>0.8398238981</v>
      </c>
      <c r="L612" s="270">
        <f t="shared" si="4"/>
        <v>1.656867374</v>
      </c>
      <c r="M612" s="271" t="str">
        <f t="shared" si="5"/>
        <v>morgangr</v>
      </c>
      <c r="N612" s="176">
        <f>IFERROR(__xludf.DUMMYFUNCTION("""COMPUTED_VALUE"""),1.0)</f>
        <v>1</v>
      </c>
      <c r="O612" s="176"/>
      <c r="P612" s="249" t="s">
        <v>154</v>
      </c>
      <c r="Q612" s="249" t="s">
        <v>10</v>
      </c>
      <c r="R612" s="176"/>
      <c r="S612" s="176"/>
      <c r="T612" s="176"/>
      <c r="U612" s="176"/>
      <c r="V612" s="176"/>
      <c r="W612" s="176"/>
      <c r="X612" s="176"/>
      <c r="Y612" s="176"/>
      <c r="Z612" s="176"/>
    </row>
    <row r="613">
      <c r="A613" s="267" t="str">
        <f>iferror(VLOOKUP(P613,'DO NOT TOUCH Imported'!$A$1:$D$800,4,False),iferror(VLOOKUP(P613,'DO NOT TOUCH Imported'!$C$1:$D$800,2,False),"OOPS FIX ME"))</f>
        <v>morgangr</v>
      </c>
      <c r="B613" s="249" t="s">
        <v>10</v>
      </c>
      <c r="C613" s="219" t="s">
        <v>498</v>
      </c>
      <c r="D613" s="268" t="s">
        <v>495</v>
      </c>
      <c r="E613" s="252">
        <v>44267.0</v>
      </c>
      <c r="F613" s="250" t="s">
        <v>499</v>
      </c>
      <c r="G613" s="171">
        <v>25.0</v>
      </c>
      <c r="H613" s="171">
        <v>500.0</v>
      </c>
      <c r="I613" s="171">
        <v>100.0</v>
      </c>
      <c r="J613" s="172">
        <f t="shared" si="2"/>
        <v>0.0007906872343</v>
      </c>
      <c r="K613" s="269">
        <f t="shared" si="27"/>
        <v>0.8170434755</v>
      </c>
      <c r="L613" s="270">
        <f t="shared" si="4"/>
        <v>1.656867374</v>
      </c>
      <c r="M613" s="271" t="str">
        <f t="shared" si="5"/>
        <v>morgangr</v>
      </c>
      <c r="N613" s="176">
        <f>IFERROR(__xludf.DUMMYFUNCTION("""COMPUTED_VALUE"""),2.0)</f>
        <v>2</v>
      </c>
      <c r="O613" s="176"/>
      <c r="P613" s="249" t="s">
        <v>154</v>
      </c>
      <c r="Q613" s="249" t="s">
        <v>10</v>
      </c>
      <c r="R613" s="176"/>
      <c r="S613" s="176"/>
      <c r="T613" s="176"/>
      <c r="U613" s="176"/>
      <c r="V613" s="176"/>
      <c r="W613" s="176"/>
      <c r="X613" s="176"/>
      <c r="Y613" s="176"/>
      <c r="Z613" s="176"/>
    </row>
    <row r="614">
      <c r="A614" s="267" t="str">
        <f>iferror(VLOOKUP(P614,'DO NOT TOUCH Imported'!$A$1:$D$800,4,False),iferror(VLOOKUP(P614,'DO NOT TOUCH Imported'!$C$1:$D$800,2,False),"OOPS FIX ME"))</f>
        <v>MisterBoyfriend</v>
      </c>
      <c r="B614" s="249" t="s">
        <v>10</v>
      </c>
      <c r="C614" s="219" t="s">
        <v>498</v>
      </c>
      <c r="D614" s="268" t="s">
        <v>495</v>
      </c>
      <c r="E614" s="252">
        <v>44260.0</v>
      </c>
      <c r="F614" s="250" t="s">
        <v>499</v>
      </c>
      <c r="G614" s="171">
        <v>35.0</v>
      </c>
      <c r="H614" s="171">
        <v>500.0</v>
      </c>
      <c r="I614" s="171">
        <v>40.0</v>
      </c>
      <c r="J614" s="172">
        <f t="shared" si="2"/>
        <v>0.0008127328046</v>
      </c>
      <c r="K614" s="269">
        <f t="shared" si="27"/>
        <v>0.8398238981</v>
      </c>
      <c r="L614" s="270">
        <f t="shared" si="4"/>
        <v>1.656867374</v>
      </c>
      <c r="M614" s="271" t="str">
        <f t="shared" si="5"/>
        <v>MisterBoyfriend</v>
      </c>
      <c r="N614" s="176">
        <f>IFERROR(__xludf.DUMMYFUNCTION("""COMPUTED_VALUE"""),1.0)</f>
        <v>1</v>
      </c>
      <c r="O614" s="176"/>
      <c r="P614" s="249" t="s">
        <v>86</v>
      </c>
      <c r="Q614" s="249" t="s">
        <v>10</v>
      </c>
      <c r="R614" s="176"/>
      <c r="S614" s="176"/>
      <c r="T614" s="176"/>
      <c r="U614" s="176"/>
      <c r="V614" s="176"/>
      <c r="W614" s="176"/>
      <c r="X614" s="176"/>
      <c r="Y614" s="176"/>
      <c r="Z614" s="176"/>
    </row>
    <row r="615">
      <c r="A615" s="267" t="str">
        <f>iferror(VLOOKUP(P615,'DO NOT TOUCH Imported'!$A$1:$D$800,4,False),iferror(VLOOKUP(P615,'DO NOT TOUCH Imported'!$C$1:$D$800,2,False),"OOPS FIX ME"))</f>
        <v>MisterBoyfriend</v>
      </c>
      <c r="B615" s="249" t="s">
        <v>10</v>
      </c>
      <c r="C615" s="219" t="s">
        <v>498</v>
      </c>
      <c r="D615" s="268" t="s">
        <v>495</v>
      </c>
      <c r="E615" s="252">
        <v>44267.0</v>
      </c>
      <c r="F615" s="250" t="s">
        <v>499</v>
      </c>
      <c r="G615" s="171">
        <v>25.0</v>
      </c>
      <c r="H615" s="171">
        <v>500.0</v>
      </c>
      <c r="I615" s="171">
        <v>100.0</v>
      </c>
      <c r="J615" s="172">
        <f t="shared" si="2"/>
        <v>0.0007906872343</v>
      </c>
      <c r="K615" s="269">
        <f t="shared" si="27"/>
        <v>0.8170434755</v>
      </c>
      <c r="L615" s="270">
        <f t="shared" si="4"/>
        <v>1.656867374</v>
      </c>
      <c r="M615" s="271" t="str">
        <f t="shared" si="5"/>
        <v>MisterBoyfriend</v>
      </c>
      <c r="N615" s="176">
        <f>IFERROR(__xludf.DUMMYFUNCTION("""COMPUTED_VALUE"""),2.0)</f>
        <v>2</v>
      </c>
      <c r="O615" s="176"/>
      <c r="P615" s="249" t="s">
        <v>86</v>
      </c>
      <c r="Q615" s="249" t="s">
        <v>10</v>
      </c>
      <c r="R615" s="176"/>
      <c r="S615" s="176"/>
      <c r="T615" s="176"/>
      <c r="U615" s="176"/>
      <c r="V615" s="176"/>
      <c r="W615" s="176"/>
      <c r="X615" s="176"/>
      <c r="Y615" s="176"/>
      <c r="Z615" s="176"/>
    </row>
    <row r="616">
      <c r="A616" s="267" t="str">
        <f>iferror(VLOOKUP(P616,'DO NOT TOUCH Imported'!$A$1:$D$800,4,False),iferror(VLOOKUP(P616,'DO NOT TOUCH Imported'!$C$1:$D$800,2,False),"OOPS FIX ME"))</f>
        <v>glefevre</v>
      </c>
      <c r="B616" s="249" t="s">
        <v>10</v>
      </c>
      <c r="C616" s="219" t="s">
        <v>498</v>
      </c>
      <c r="D616" s="268" t="s">
        <v>495</v>
      </c>
      <c r="E616" s="252">
        <v>44260.0</v>
      </c>
      <c r="F616" s="250" t="s">
        <v>499</v>
      </c>
      <c r="G616" s="171">
        <v>35.0</v>
      </c>
      <c r="H616" s="171">
        <v>500.0</v>
      </c>
      <c r="I616" s="171">
        <v>40.0</v>
      </c>
      <c r="J616" s="172">
        <f t="shared" si="2"/>
        <v>0.0008127328046</v>
      </c>
      <c r="K616" s="269">
        <f t="shared" si="27"/>
        <v>0.8398238981</v>
      </c>
      <c r="L616" s="270">
        <f t="shared" si="4"/>
        <v>1.656867374</v>
      </c>
      <c r="M616" s="271" t="str">
        <f t="shared" si="5"/>
        <v>glefevre</v>
      </c>
      <c r="N616" s="176">
        <f>IFERROR(__xludf.DUMMYFUNCTION("""COMPUTED_VALUE"""),1.0)</f>
        <v>1</v>
      </c>
      <c r="O616" s="176"/>
      <c r="P616" s="249" t="s">
        <v>150</v>
      </c>
      <c r="Q616" s="249" t="s">
        <v>10</v>
      </c>
      <c r="R616" s="176"/>
      <c r="S616" s="176"/>
      <c r="T616" s="176"/>
      <c r="U616" s="176"/>
      <c r="V616" s="176"/>
      <c r="W616" s="176"/>
      <c r="X616" s="176"/>
      <c r="Y616" s="176"/>
      <c r="Z616" s="176"/>
    </row>
    <row r="617">
      <c r="A617" s="267" t="str">
        <f>iferror(VLOOKUP(P617,'DO NOT TOUCH Imported'!$A$1:$D$800,4,False),iferror(VLOOKUP(P617,'DO NOT TOUCH Imported'!$C$1:$D$800,2,False),"OOPS FIX ME"))</f>
        <v>glefevre</v>
      </c>
      <c r="B617" s="249" t="s">
        <v>10</v>
      </c>
      <c r="C617" s="219" t="s">
        <v>500</v>
      </c>
      <c r="D617" s="268" t="s">
        <v>495</v>
      </c>
      <c r="E617" s="252">
        <v>44267.0</v>
      </c>
      <c r="F617" s="250" t="s">
        <v>496</v>
      </c>
      <c r="G617" s="171">
        <v>25.0</v>
      </c>
      <c r="H617" s="171">
        <v>500.0</v>
      </c>
      <c r="I617" s="171">
        <v>100.0</v>
      </c>
      <c r="J617" s="172">
        <f t="shared" si="2"/>
        <v>0.0007906872343</v>
      </c>
      <c r="K617" s="269">
        <f t="shared" si="27"/>
        <v>0.8170434755</v>
      </c>
      <c r="L617" s="270">
        <f t="shared" si="4"/>
        <v>1.656867374</v>
      </c>
      <c r="M617" s="271" t="str">
        <f t="shared" si="5"/>
        <v>glefevre</v>
      </c>
      <c r="N617" s="176">
        <f>IFERROR(__xludf.DUMMYFUNCTION("""COMPUTED_VALUE"""),2.0)</f>
        <v>2</v>
      </c>
      <c r="O617" s="176"/>
      <c r="P617" s="249" t="s">
        <v>150</v>
      </c>
      <c r="Q617" s="249" t="s">
        <v>10</v>
      </c>
      <c r="R617" s="176"/>
      <c r="S617" s="176"/>
      <c r="T617" s="176"/>
      <c r="U617" s="176"/>
      <c r="V617" s="176"/>
      <c r="W617" s="176"/>
      <c r="X617" s="176"/>
      <c r="Y617" s="176"/>
      <c r="Z617" s="176"/>
    </row>
    <row r="618">
      <c r="A618" s="267" t="str">
        <f>iferror(VLOOKUP(P618,'DO NOT TOUCH Imported'!$A$1:$D$800,4,False),iferror(VLOOKUP(P618,'DO NOT TOUCH Imported'!$C$1:$D$800,2,False),"OOPS FIX ME"))</f>
        <v>existenialstoic</v>
      </c>
      <c r="B618" s="249" t="s">
        <v>10</v>
      </c>
      <c r="C618" s="219" t="s">
        <v>498</v>
      </c>
      <c r="D618" s="268" t="s">
        <v>495</v>
      </c>
      <c r="E618" s="252">
        <v>44260.0</v>
      </c>
      <c r="F618" s="250" t="s">
        <v>499</v>
      </c>
      <c r="G618" s="171">
        <v>35.0</v>
      </c>
      <c r="H618" s="171">
        <v>500.0</v>
      </c>
      <c r="I618" s="171">
        <v>40.0</v>
      </c>
      <c r="J618" s="172">
        <f t="shared" si="2"/>
        <v>0.0008127328046</v>
      </c>
      <c r="K618" s="269">
        <f t="shared" si="27"/>
        <v>0.8398238981</v>
      </c>
      <c r="L618" s="270">
        <f t="shared" si="4"/>
        <v>1.656867374</v>
      </c>
      <c r="M618" s="271" t="str">
        <f t="shared" si="5"/>
        <v>existenialstoic</v>
      </c>
      <c r="N618" s="176">
        <f>IFERROR(__xludf.DUMMYFUNCTION("""COMPUTED_VALUE"""),1.0)</f>
        <v>1</v>
      </c>
      <c r="O618" s="176"/>
      <c r="P618" s="249" t="s">
        <v>114</v>
      </c>
      <c r="Q618" s="249" t="s">
        <v>10</v>
      </c>
      <c r="R618" s="176"/>
      <c r="S618" s="176"/>
      <c r="T618" s="176"/>
      <c r="U618" s="176"/>
      <c r="V618" s="176"/>
      <c r="W618" s="176"/>
      <c r="X618" s="176"/>
      <c r="Y618" s="176"/>
      <c r="Z618" s="176"/>
    </row>
    <row r="619">
      <c r="A619" s="267" t="str">
        <f>iferror(VLOOKUP(P619,'DO NOT TOUCH Imported'!$A$1:$D$800,4,False),iferror(VLOOKUP(P619,'DO NOT TOUCH Imported'!$C$1:$D$800,2,False),"OOPS FIX ME"))</f>
        <v>existenialstoic</v>
      </c>
      <c r="B619" s="249" t="s">
        <v>10</v>
      </c>
      <c r="C619" s="219" t="s">
        <v>498</v>
      </c>
      <c r="D619" s="268" t="s">
        <v>495</v>
      </c>
      <c r="E619" s="252">
        <v>44267.0</v>
      </c>
      <c r="F619" s="250" t="s">
        <v>499</v>
      </c>
      <c r="G619" s="171">
        <v>25.0</v>
      </c>
      <c r="H619" s="171">
        <v>500.0</v>
      </c>
      <c r="I619" s="171">
        <v>100.0</v>
      </c>
      <c r="J619" s="172">
        <f t="shared" si="2"/>
        <v>0.0007906872343</v>
      </c>
      <c r="K619" s="269">
        <f t="shared" si="27"/>
        <v>0.8170434755</v>
      </c>
      <c r="L619" s="270">
        <f t="shared" si="4"/>
        <v>1.656867374</v>
      </c>
      <c r="M619" s="271" t="str">
        <f t="shared" si="5"/>
        <v>existenialstoic</v>
      </c>
      <c r="N619" s="176">
        <f>IFERROR(__xludf.DUMMYFUNCTION("""COMPUTED_VALUE"""),2.0)</f>
        <v>2</v>
      </c>
      <c r="O619" s="176"/>
      <c r="P619" s="249" t="s">
        <v>114</v>
      </c>
      <c r="Q619" s="249" t="s">
        <v>10</v>
      </c>
      <c r="R619" s="176"/>
      <c r="S619" s="176"/>
      <c r="T619" s="176"/>
      <c r="U619" s="176"/>
      <c r="V619" s="176"/>
      <c r="W619" s="176"/>
      <c r="X619" s="176"/>
      <c r="Y619" s="176"/>
      <c r="Z619" s="176"/>
    </row>
    <row r="620">
      <c r="A620" s="267" t="str">
        <f>iferror(VLOOKUP(P620,'DO NOT TOUCH Imported'!$A$1:$D$800,4,False),iferror(VLOOKUP(P620,'DO NOT TOUCH Imported'!$C$1:$D$800,2,False),"OOPS FIX ME"))</f>
        <v>edendh</v>
      </c>
      <c r="B620" s="249" t="s">
        <v>10</v>
      </c>
      <c r="C620" s="219" t="s">
        <v>498</v>
      </c>
      <c r="D620" s="268" t="s">
        <v>495</v>
      </c>
      <c r="E620" s="252">
        <v>44260.0</v>
      </c>
      <c r="F620" s="250" t="s">
        <v>499</v>
      </c>
      <c r="G620" s="171">
        <v>35.0</v>
      </c>
      <c r="H620" s="171">
        <v>500.0</v>
      </c>
      <c r="I620" s="171">
        <v>40.0</v>
      </c>
      <c r="J620" s="172">
        <f t="shared" si="2"/>
        <v>0.0008127328046</v>
      </c>
      <c r="K620" s="269">
        <f t="shared" si="27"/>
        <v>0.8398238981</v>
      </c>
      <c r="L620" s="270">
        <f t="shared" si="4"/>
        <v>1.656867374</v>
      </c>
      <c r="M620" s="271" t="str">
        <f t="shared" si="5"/>
        <v>edendh</v>
      </c>
      <c r="N620" s="176">
        <f>IFERROR(__xludf.DUMMYFUNCTION("""COMPUTED_VALUE"""),1.0)</f>
        <v>1</v>
      </c>
      <c r="O620" s="176"/>
      <c r="P620" s="249" t="s">
        <v>207</v>
      </c>
      <c r="Q620" s="249" t="s">
        <v>10</v>
      </c>
      <c r="R620" s="176"/>
      <c r="S620" s="176"/>
      <c r="T620" s="176"/>
      <c r="U620" s="176"/>
      <c r="V620" s="176"/>
      <c r="W620" s="176"/>
      <c r="X620" s="176"/>
      <c r="Y620" s="176"/>
      <c r="Z620" s="176"/>
    </row>
    <row r="621">
      <c r="A621" s="267" t="str">
        <f>iferror(VLOOKUP(P621,'DO NOT TOUCH Imported'!$A$1:$D$800,4,False),iferror(VLOOKUP(P621,'DO NOT TOUCH Imported'!$C$1:$D$800,2,False),"OOPS FIX ME"))</f>
        <v>edendh</v>
      </c>
      <c r="B621" s="249" t="s">
        <v>10</v>
      </c>
      <c r="C621" s="219" t="s">
        <v>498</v>
      </c>
      <c r="D621" s="268" t="s">
        <v>495</v>
      </c>
      <c r="E621" s="252">
        <v>44267.0</v>
      </c>
      <c r="F621" s="250" t="s">
        <v>499</v>
      </c>
      <c r="G621" s="171">
        <v>25.0</v>
      </c>
      <c r="H621" s="171">
        <v>500.0</v>
      </c>
      <c r="I621" s="171">
        <v>100.0</v>
      </c>
      <c r="J621" s="172">
        <f t="shared" si="2"/>
        <v>0.0007906872343</v>
      </c>
      <c r="K621" s="269">
        <f t="shared" si="27"/>
        <v>0.8170434755</v>
      </c>
      <c r="L621" s="270">
        <f t="shared" si="4"/>
        <v>1.656867374</v>
      </c>
      <c r="M621" s="271" t="str">
        <f t="shared" si="5"/>
        <v>edendh</v>
      </c>
      <c r="N621" s="176">
        <f>IFERROR(__xludf.DUMMYFUNCTION("""COMPUTED_VALUE"""),2.0)</f>
        <v>2</v>
      </c>
      <c r="O621" s="176"/>
      <c r="P621" s="249" t="s">
        <v>207</v>
      </c>
      <c r="Q621" s="249" t="s">
        <v>10</v>
      </c>
      <c r="R621" s="176"/>
      <c r="S621" s="176"/>
      <c r="T621" s="176"/>
      <c r="U621" s="176"/>
      <c r="V621" s="176"/>
      <c r="W621" s="176"/>
      <c r="X621" s="176"/>
      <c r="Y621" s="176"/>
      <c r="Z621" s="176"/>
    </row>
    <row r="622">
      <c r="A622" s="267" t="str">
        <f>iferror(VLOOKUP(P622,'DO NOT TOUCH Imported'!$A$1:$D$800,4,False),iferror(VLOOKUP(P622,'DO NOT TOUCH Imported'!$C$1:$D$800,2,False),"OOPS FIX ME"))</f>
        <v>AdaptDAO</v>
      </c>
      <c r="B622" s="249" t="s">
        <v>10</v>
      </c>
      <c r="C622" s="219" t="s">
        <v>498</v>
      </c>
      <c r="D622" s="268" t="s">
        <v>495</v>
      </c>
      <c r="E622" s="252">
        <v>44260.0</v>
      </c>
      <c r="F622" s="250" t="s">
        <v>499</v>
      </c>
      <c r="G622" s="171">
        <v>35.0</v>
      </c>
      <c r="H622" s="171">
        <v>500.0</v>
      </c>
      <c r="I622" s="171">
        <v>40.0</v>
      </c>
      <c r="J622" s="172">
        <f t="shared" si="2"/>
        <v>0.0008127328046</v>
      </c>
      <c r="K622" s="269">
        <f t="shared" si="27"/>
        <v>0.8398238981</v>
      </c>
      <c r="L622" s="270">
        <f t="shared" si="4"/>
        <v>1.656867374</v>
      </c>
      <c r="M622" s="271" t="str">
        <f t="shared" si="5"/>
        <v>AdaptDAO</v>
      </c>
      <c r="N622" s="176">
        <f>IFERROR(__xludf.DUMMYFUNCTION("""COMPUTED_VALUE"""),1.0)</f>
        <v>1</v>
      </c>
      <c r="O622" s="176"/>
      <c r="P622" s="249" t="s">
        <v>185</v>
      </c>
      <c r="Q622" s="249" t="s">
        <v>10</v>
      </c>
      <c r="R622" s="176"/>
      <c r="S622" s="176"/>
      <c r="T622" s="176"/>
      <c r="U622" s="176"/>
      <c r="V622" s="176"/>
      <c r="W622" s="176"/>
      <c r="X622" s="176"/>
      <c r="Y622" s="176"/>
      <c r="Z622" s="176"/>
    </row>
    <row r="623">
      <c r="A623" s="267" t="str">
        <f>iferror(VLOOKUP(P623,'DO NOT TOUCH Imported'!$A$1:$D$800,4,False),iferror(VLOOKUP(P623,'DO NOT TOUCH Imported'!$C$1:$D$800,2,False),"OOPS FIX ME"))</f>
        <v>AdaptDAO</v>
      </c>
      <c r="B623" s="249" t="s">
        <v>10</v>
      </c>
      <c r="C623" s="219" t="s">
        <v>498</v>
      </c>
      <c r="D623" s="268" t="s">
        <v>495</v>
      </c>
      <c r="E623" s="252">
        <v>44267.0</v>
      </c>
      <c r="F623" s="250" t="s">
        <v>499</v>
      </c>
      <c r="G623" s="171">
        <v>25.0</v>
      </c>
      <c r="H623" s="171">
        <v>500.0</v>
      </c>
      <c r="I623" s="171">
        <v>100.0</v>
      </c>
      <c r="J623" s="172">
        <f t="shared" si="2"/>
        <v>0.0007906872343</v>
      </c>
      <c r="K623" s="269">
        <f t="shared" si="27"/>
        <v>0.8170434755</v>
      </c>
      <c r="L623" s="270">
        <f t="shared" si="4"/>
        <v>1.656867374</v>
      </c>
      <c r="M623" s="271" t="str">
        <f t="shared" si="5"/>
        <v>AdaptDAO</v>
      </c>
      <c r="N623" s="176">
        <f>IFERROR(__xludf.DUMMYFUNCTION("""COMPUTED_VALUE"""),2.0)</f>
        <v>2</v>
      </c>
      <c r="O623" s="176"/>
      <c r="P623" s="249" t="s">
        <v>185</v>
      </c>
      <c r="Q623" s="249" t="s">
        <v>10</v>
      </c>
      <c r="R623" s="176"/>
      <c r="S623" s="176"/>
      <c r="T623" s="176"/>
      <c r="U623" s="176"/>
      <c r="V623" s="176"/>
      <c r="W623" s="176"/>
      <c r="X623" s="176"/>
      <c r="Y623" s="176"/>
      <c r="Z623" s="176"/>
    </row>
    <row r="624">
      <c r="A624" s="267" t="str">
        <f>iferror(VLOOKUP(P624,'DO NOT TOUCH Imported'!$A$1:$D$800,4,False),iferror(VLOOKUP(P624,'DO NOT TOUCH Imported'!$C$1:$D$800,2,False),"OOPS FIX ME"))</f>
        <v>sherminv</v>
      </c>
      <c r="B624" s="249" t="s">
        <v>10</v>
      </c>
      <c r="C624" s="219" t="s">
        <v>498</v>
      </c>
      <c r="D624" s="268" t="s">
        <v>495</v>
      </c>
      <c r="E624" s="252">
        <v>44260.0</v>
      </c>
      <c r="F624" s="250" t="s">
        <v>499</v>
      </c>
      <c r="G624" s="171">
        <v>35.0</v>
      </c>
      <c r="H624" s="171">
        <v>500.0</v>
      </c>
      <c r="I624" s="171">
        <v>40.0</v>
      </c>
      <c r="J624" s="172">
        <f t="shared" si="2"/>
        <v>0.0008127328046</v>
      </c>
      <c r="K624" s="269">
        <f t="shared" si="27"/>
        <v>0.8398238981</v>
      </c>
      <c r="L624" s="270">
        <f t="shared" si="4"/>
        <v>1.599007684</v>
      </c>
      <c r="M624" s="271" t="str">
        <f t="shared" si="5"/>
        <v>sherminv</v>
      </c>
      <c r="N624" s="176">
        <f>IFERROR(__xludf.DUMMYFUNCTION("""COMPUTED_VALUE"""),1.0)</f>
        <v>1</v>
      </c>
      <c r="O624" s="176"/>
      <c r="P624" s="249" t="s">
        <v>121</v>
      </c>
      <c r="Q624" s="249" t="s">
        <v>10</v>
      </c>
      <c r="R624" s="176"/>
      <c r="S624" s="176"/>
      <c r="T624" s="176"/>
      <c r="U624" s="176"/>
      <c r="V624" s="176"/>
      <c r="W624" s="176"/>
      <c r="X624" s="176"/>
      <c r="Y624" s="176"/>
      <c r="Z624" s="176"/>
    </row>
    <row r="625">
      <c r="A625" s="267" t="str">
        <f>iferror(VLOOKUP(P625,'DO NOT TOUCH Imported'!$A$1:$D$800,4,False),iferror(VLOOKUP(P625,'DO NOT TOUCH Imported'!$C$1:$D$800,2,False),"OOPS FIX ME"))</f>
        <v>sherminv</v>
      </c>
      <c r="B625" s="272" t="s">
        <v>10</v>
      </c>
      <c r="C625" s="273" t="s">
        <v>1952</v>
      </c>
      <c r="D625" s="274" t="s">
        <v>437</v>
      </c>
      <c r="E625" s="306">
        <v>44267.0</v>
      </c>
      <c r="F625" s="274" t="s">
        <v>439</v>
      </c>
      <c r="G625" s="171">
        <v>25.0</v>
      </c>
      <c r="H625" s="171">
        <v>1000.0</v>
      </c>
      <c r="I625" s="171">
        <v>10.0</v>
      </c>
      <c r="J625" s="172">
        <f t="shared" si="2"/>
        <v>0.0007346939862</v>
      </c>
      <c r="K625" s="269">
        <f t="shared" si="27"/>
        <v>0.7591837857</v>
      </c>
      <c r="L625" s="270">
        <f t="shared" si="4"/>
        <v>1.599007684</v>
      </c>
      <c r="M625" s="271" t="str">
        <f t="shared" si="5"/>
        <v>sherminv</v>
      </c>
      <c r="N625" s="176">
        <f>IFERROR(__xludf.DUMMYFUNCTION("""COMPUTED_VALUE"""),2.0)</f>
        <v>2</v>
      </c>
      <c r="O625" s="176"/>
      <c r="P625" s="267" t="s">
        <v>2169</v>
      </c>
      <c r="Q625" s="272" t="s">
        <v>10</v>
      </c>
      <c r="R625" s="176"/>
      <c r="S625" s="176"/>
      <c r="T625" s="176"/>
      <c r="U625" s="176"/>
      <c r="V625" s="176"/>
      <c r="W625" s="176"/>
      <c r="X625" s="176"/>
      <c r="Y625" s="176"/>
      <c r="Z625" s="176"/>
    </row>
    <row r="626">
      <c r="A626" s="267" t="str">
        <f>iferror(VLOOKUP(P626,'DO NOT TOUCH Imported'!$A$1:$D$800,4,False),iferror(VLOOKUP(P626,'DO NOT TOUCH Imported'!$C$1:$D$800,2,False),"OOPS FIX ME"))</f>
        <v>REOS#2250</v>
      </c>
      <c r="B626" s="272" t="s">
        <v>2113</v>
      </c>
      <c r="C626" s="273" t="s">
        <v>2170</v>
      </c>
      <c r="D626" s="274" t="s">
        <v>499</v>
      </c>
      <c r="E626" s="275">
        <v>44263.0</v>
      </c>
      <c r="F626" s="274" t="s">
        <v>1646</v>
      </c>
      <c r="G626" s="171">
        <v>25.0</v>
      </c>
      <c r="H626" s="171">
        <v>2000.0</v>
      </c>
      <c r="I626" s="171">
        <v>200.0</v>
      </c>
      <c r="J626" s="172">
        <f t="shared" si="2"/>
        <v>0.001484118155</v>
      </c>
      <c r="K626" s="269">
        <f t="shared" si="27"/>
        <v>1.53358876</v>
      </c>
      <c r="L626" s="270">
        <f t="shared" si="4"/>
        <v>1.53358876</v>
      </c>
      <c r="M626" s="271" t="str">
        <f t="shared" si="5"/>
        <v>REOS#2250</v>
      </c>
      <c r="N626" s="176">
        <f>IFERROR(__xludf.DUMMYFUNCTION("""COMPUTED_VALUE"""),1.0)</f>
        <v>1</v>
      </c>
      <c r="O626" s="176"/>
      <c r="P626" s="267" t="s">
        <v>184</v>
      </c>
      <c r="Q626" s="272" t="s">
        <v>2113</v>
      </c>
      <c r="R626" s="176"/>
      <c r="S626" s="176"/>
      <c r="T626" s="176"/>
      <c r="U626" s="176"/>
      <c r="V626" s="176"/>
      <c r="W626" s="176"/>
      <c r="X626" s="176"/>
      <c r="Y626" s="176"/>
      <c r="Z626" s="176"/>
    </row>
    <row r="627">
      <c r="A627" s="267" t="str">
        <f>iferror(VLOOKUP(P627,'DO NOT TOUCH Imported'!$A$1:$D$800,4,False),iferror(VLOOKUP(P627,'DO NOT TOUCH Imported'!$C$1:$D$800,2,False),"OOPS FIX ME"))</f>
        <v>jantinine</v>
      </c>
      <c r="B627" s="249" t="s">
        <v>590</v>
      </c>
      <c r="C627" s="219" t="s">
        <v>2171</v>
      </c>
      <c r="D627" s="268" t="s">
        <v>495</v>
      </c>
      <c r="E627" s="252">
        <v>44267.0</v>
      </c>
      <c r="F627" s="250" t="s">
        <v>499</v>
      </c>
      <c r="G627" s="171">
        <v>25.0</v>
      </c>
      <c r="H627" s="171">
        <v>2500.0</v>
      </c>
      <c r="I627" s="171">
        <v>100.0</v>
      </c>
      <c r="J627" s="172">
        <f t="shared" si="2"/>
        <v>0.001404843537</v>
      </c>
      <c r="K627" s="269">
        <f t="shared" si="27"/>
        <v>1.451671655</v>
      </c>
      <c r="L627" s="270">
        <f t="shared" si="4"/>
        <v>1.451671655</v>
      </c>
      <c r="M627" s="271" t="str">
        <f t="shared" si="5"/>
        <v>jantinine</v>
      </c>
      <c r="N627" s="176">
        <f>IFERROR(__xludf.DUMMYFUNCTION("""COMPUTED_VALUE"""),1.0)</f>
        <v>1</v>
      </c>
      <c r="O627" s="176"/>
      <c r="P627" s="249" t="s">
        <v>222</v>
      </c>
      <c r="Q627" s="249" t="s">
        <v>590</v>
      </c>
      <c r="R627" s="176"/>
      <c r="S627" s="176"/>
      <c r="T627" s="176"/>
      <c r="U627" s="176"/>
      <c r="V627" s="176"/>
      <c r="W627" s="176"/>
      <c r="X627" s="176"/>
      <c r="Y627" s="176"/>
      <c r="Z627" s="176"/>
    </row>
    <row r="628">
      <c r="A628" s="267" t="str">
        <f>iferror(VLOOKUP(P628,'DO NOT TOUCH Imported'!$A$1:$D$800,4,False),iferror(VLOOKUP(P628,'DO NOT TOUCH Imported'!$C$1:$D$800,2,False),"OOPS FIX ME"))</f>
        <v>Michal#7390</v>
      </c>
      <c r="B628" s="272" t="s">
        <v>8</v>
      </c>
      <c r="C628" s="273" t="s">
        <v>1935</v>
      </c>
      <c r="D628" s="274" t="s">
        <v>437</v>
      </c>
      <c r="E628" s="275">
        <v>44259.0</v>
      </c>
      <c r="F628" s="274" t="s">
        <v>1929</v>
      </c>
      <c r="G628" s="171">
        <v>50.0</v>
      </c>
      <c r="H628" s="171">
        <v>1000.0</v>
      </c>
      <c r="I628" s="171">
        <v>100.0</v>
      </c>
      <c r="J628" s="172">
        <f t="shared" si="2"/>
        <v>0.001348560775</v>
      </c>
      <c r="K628" s="269">
        <f t="shared" si="27"/>
        <v>1.393512801</v>
      </c>
      <c r="L628" s="270">
        <f t="shared" si="4"/>
        <v>1.393512801</v>
      </c>
      <c r="M628" s="271" t="str">
        <f t="shared" si="5"/>
        <v>Michal#7390</v>
      </c>
      <c r="N628" s="176">
        <f>IFERROR(__xludf.DUMMYFUNCTION("""COMPUTED_VALUE"""),1.0)</f>
        <v>1</v>
      </c>
      <c r="O628" s="176"/>
      <c r="P628" s="267" t="s">
        <v>173</v>
      </c>
      <c r="Q628" s="272" t="s">
        <v>8</v>
      </c>
      <c r="R628" s="176"/>
      <c r="S628" s="176"/>
      <c r="T628" s="176"/>
      <c r="U628" s="176"/>
      <c r="V628" s="176"/>
      <c r="W628" s="176"/>
      <c r="X628" s="176"/>
      <c r="Y628" s="176"/>
      <c r="Z628" s="176"/>
    </row>
    <row r="629">
      <c r="A629" s="267" t="str">
        <f>iferror(VLOOKUP(P629,'DO NOT TOUCH Imported'!$A$1:$D$800,4,False),iferror(VLOOKUP(P629,'DO NOT TOUCH Imported'!$C$1:$D$800,2,False),"OOPS FIX ME"))</f>
        <v>DeepTroop#4783</v>
      </c>
      <c r="B629" s="272" t="s">
        <v>2113</v>
      </c>
      <c r="C629" s="273" t="s">
        <v>2172</v>
      </c>
      <c r="D629" s="274" t="s">
        <v>499</v>
      </c>
      <c r="E629" s="275">
        <v>44263.0</v>
      </c>
      <c r="F629" s="274" t="s">
        <v>1646</v>
      </c>
      <c r="G629" s="171">
        <v>25.0</v>
      </c>
      <c r="H629" s="171">
        <v>1000.0</v>
      </c>
      <c r="I629" s="171">
        <v>200.0</v>
      </c>
      <c r="J629" s="172">
        <f t="shared" si="2"/>
        <v>0.001177040003</v>
      </c>
      <c r="K629" s="269">
        <f t="shared" si="27"/>
        <v>1.21627467</v>
      </c>
      <c r="L629" s="270">
        <f t="shared" si="4"/>
        <v>1.21627467</v>
      </c>
      <c r="M629" s="271" t="str">
        <f t="shared" si="5"/>
        <v>DeepTroop#4783</v>
      </c>
      <c r="N629" s="176">
        <f>IFERROR(__xludf.DUMMYFUNCTION("""COMPUTED_VALUE"""),1.0)</f>
        <v>1</v>
      </c>
      <c r="O629" s="176"/>
      <c r="P629" s="267" t="s">
        <v>282</v>
      </c>
      <c r="Q629" s="272" t="s">
        <v>2113</v>
      </c>
      <c r="R629" s="176"/>
      <c r="S629" s="176"/>
      <c r="T629" s="176"/>
      <c r="U629" s="176"/>
      <c r="V629" s="176"/>
      <c r="W629" s="176"/>
      <c r="X629" s="176"/>
      <c r="Y629" s="176"/>
      <c r="Z629" s="176"/>
    </row>
    <row r="630">
      <c r="A630" s="267" t="str">
        <f>iferror(VLOOKUP(P630,'DO NOT TOUCH Imported'!$A$1:$D$800,4,False),iferror(VLOOKUP(P630,'DO NOT TOUCH Imported'!$C$1:$D$800,2,False),"OOPS FIX ME"))</f>
        <v>sbilbao</v>
      </c>
      <c r="B630" s="249" t="s">
        <v>519</v>
      </c>
      <c r="C630" s="219" t="s">
        <v>668</v>
      </c>
      <c r="D630" s="268" t="s">
        <v>495</v>
      </c>
      <c r="E630" s="252">
        <v>44265.0</v>
      </c>
      <c r="F630" s="250" t="s">
        <v>521</v>
      </c>
      <c r="G630" s="171">
        <v>25.0</v>
      </c>
      <c r="H630" s="171">
        <v>1000.0</v>
      </c>
      <c r="I630" s="171">
        <v>50.0</v>
      </c>
      <c r="J630" s="172">
        <f t="shared" si="2"/>
        <v>0.0008278194634</v>
      </c>
      <c r="K630" s="269">
        <f t="shared" si="27"/>
        <v>0.8554134456</v>
      </c>
      <c r="L630" s="270">
        <f t="shared" si="4"/>
        <v>0.8554134456</v>
      </c>
      <c r="M630" s="271" t="str">
        <f t="shared" si="5"/>
        <v>sbilbao</v>
      </c>
      <c r="N630" s="176">
        <f>IFERROR(__xludf.DUMMYFUNCTION("""COMPUTED_VALUE"""),1.0)</f>
        <v>1</v>
      </c>
      <c r="O630" s="176"/>
      <c r="P630" s="249" t="s">
        <v>133</v>
      </c>
      <c r="Q630" s="249" t="s">
        <v>519</v>
      </c>
      <c r="R630" s="176"/>
      <c r="S630" s="176"/>
      <c r="T630" s="176"/>
      <c r="U630" s="176"/>
      <c r="V630" s="176"/>
      <c r="W630" s="176"/>
      <c r="X630" s="176"/>
      <c r="Y630" s="176"/>
      <c r="Z630" s="176"/>
    </row>
    <row r="631">
      <c r="A631" s="267" t="str">
        <f>iferror(VLOOKUP(P631,'DO NOT TOUCH Imported'!$A$1:$D$800,4,False),iferror(VLOOKUP(P631,'DO NOT TOUCH Imported'!$C$1:$D$800,2,False),"OOPS FIX ME"))</f>
        <v>ryanchrypto</v>
      </c>
      <c r="B631" s="249" t="s">
        <v>10</v>
      </c>
      <c r="C631" s="219" t="s">
        <v>498</v>
      </c>
      <c r="D631" s="268" t="s">
        <v>495</v>
      </c>
      <c r="E631" s="252">
        <v>44260.0</v>
      </c>
      <c r="F631" s="250" t="s">
        <v>499</v>
      </c>
      <c r="G631" s="171">
        <v>35.0</v>
      </c>
      <c r="H631" s="171">
        <v>500.0</v>
      </c>
      <c r="I631" s="171">
        <v>40.0</v>
      </c>
      <c r="J631" s="172">
        <f t="shared" si="2"/>
        <v>0.0008127328046</v>
      </c>
      <c r="K631" s="269">
        <f t="shared" si="27"/>
        <v>0.8398238981</v>
      </c>
      <c r="L631" s="270">
        <f t="shared" si="4"/>
        <v>0.8398238981</v>
      </c>
      <c r="M631" s="271" t="str">
        <f t="shared" si="5"/>
        <v>ryanchrypto</v>
      </c>
      <c r="N631" s="176">
        <f>IFERROR(__xludf.DUMMYFUNCTION("""COMPUTED_VALUE"""),1.0)</f>
        <v>1</v>
      </c>
      <c r="O631" s="176"/>
      <c r="P631" s="249" t="s">
        <v>167</v>
      </c>
      <c r="Q631" s="249" t="s">
        <v>10</v>
      </c>
      <c r="R631" s="176"/>
      <c r="S631" s="176"/>
      <c r="T631" s="176"/>
      <c r="U631" s="176"/>
      <c r="V631" s="176"/>
      <c r="W631" s="176"/>
      <c r="X631" s="176"/>
      <c r="Y631" s="176"/>
      <c r="Z631" s="176"/>
    </row>
    <row r="632">
      <c r="A632" s="267" t="str">
        <f>iferror(VLOOKUP(P632,'DO NOT TOUCH Imported'!$A$1:$D$800,4,False),iferror(VLOOKUP(P632,'DO NOT TOUCH Imported'!$C$1:$D$800,2,False),"OOPS FIX ME"))</f>
        <v>petheth</v>
      </c>
      <c r="B632" s="249" t="s">
        <v>10</v>
      </c>
      <c r="C632" s="219" t="s">
        <v>500</v>
      </c>
      <c r="D632" s="268" t="s">
        <v>495</v>
      </c>
      <c r="E632" s="252">
        <v>44260.0</v>
      </c>
      <c r="F632" s="250" t="s">
        <v>496</v>
      </c>
      <c r="G632" s="171">
        <v>35.0</v>
      </c>
      <c r="H632" s="171">
        <v>500.0</v>
      </c>
      <c r="I632" s="171">
        <v>40.0</v>
      </c>
      <c r="J632" s="172">
        <f t="shared" si="2"/>
        <v>0.0008127328046</v>
      </c>
      <c r="K632" s="269">
        <f t="shared" si="27"/>
        <v>0.8398238981</v>
      </c>
      <c r="L632" s="270">
        <f t="shared" si="4"/>
        <v>0.8398238981</v>
      </c>
      <c r="M632" s="271" t="str">
        <f t="shared" si="5"/>
        <v>petheth</v>
      </c>
      <c r="N632" s="176">
        <f>IFERROR(__xludf.DUMMYFUNCTION("""COMPUTED_VALUE"""),1.0)</f>
        <v>1</v>
      </c>
      <c r="O632" s="176"/>
      <c r="P632" s="249" t="s">
        <v>138</v>
      </c>
      <c r="Q632" s="249" t="s">
        <v>10</v>
      </c>
      <c r="R632" s="176"/>
      <c r="S632" s="176"/>
      <c r="T632" s="176"/>
      <c r="U632" s="176"/>
      <c r="V632" s="176"/>
      <c r="W632" s="176"/>
      <c r="X632" s="176"/>
      <c r="Y632" s="176"/>
      <c r="Z632" s="176"/>
    </row>
    <row r="633">
      <c r="A633" s="267" t="str">
        <f>iferror(VLOOKUP(P633,'DO NOT TOUCH Imported'!$A$1:$D$800,4,False),iferror(VLOOKUP(P633,'DO NOT TOUCH Imported'!$C$1:$D$800,2,False),"OOPS FIX ME"))</f>
        <v>nelsonm</v>
      </c>
      <c r="B633" s="249" t="s">
        <v>10</v>
      </c>
      <c r="C633" s="219" t="s">
        <v>498</v>
      </c>
      <c r="D633" s="268" t="s">
        <v>495</v>
      </c>
      <c r="E633" s="252">
        <v>44260.0</v>
      </c>
      <c r="F633" s="250" t="s">
        <v>499</v>
      </c>
      <c r="G633" s="171">
        <v>35.0</v>
      </c>
      <c r="H633" s="171">
        <v>500.0</v>
      </c>
      <c r="I633" s="171">
        <v>40.0</v>
      </c>
      <c r="J633" s="172">
        <f t="shared" si="2"/>
        <v>0.0008127328046</v>
      </c>
      <c r="K633" s="269">
        <f t="shared" si="27"/>
        <v>0.8398238981</v>
      </c>
      <c r="L633" s="270">
        <f t="shared" si="4"/>
        <v>0.8398238981</v>
      </c>
      <c r="M633" s="271" t="str">
        <f t="shared" si="5"/>
        <v>nelsonm</v>
      </c>
      <c r="N633" s="176">
        <f>IFERROR(__xludf.DUMMYFUNCTION("""COMPUTED_VALUE"""),1.0)</f>
        <v>1</v>
      </c>
      <c r="O633" s="176"/>
      <c r="P633" s="249" t="s">
        <v>137</v>
      </c>
      <c r="Q633" s="249" t="s">
        <v>10</v>
      </c>
      <c r="R633" s="176"/>
      <c r="S633" s="176"/>
      <c r="T633" s="176"/>
      <c r="U633" s="176"/>
      <c r="V633" s="176"/>
      <c r="W633" s="176"/>
      <c r="X633" s="176"/>
      <c r="Y633" s="176"/>
      <c r="Z633" s="176"/>
    </row>
    <row r="634">
      <c r="A634" s="267" t="str">
        <f>iferror(VLOOKUP(P634,'DO NOT TOUCH Imported'!$A$1:$D$800,4,False),iferror(VLOOKUP(P634,'DO NOT TOUCH Imported'!$C$1:$D$800,2,False),"OOPS FIX ME"))</f>
        <v>META_DREAMER</v>
      </c>
      <c r="B634" s="249" t="s">
        <v>10</v>
      </c>
      <c r="C634" s="219" t="s">
        <v>498</v>
      </c>
      <c r="D634" s="268" t="s">
        <v>495</v>
      </c>
      <c r="E634" s="252">
        <v>44260.0</v>
      </c>
      <c r="F634" s="250" t="s">
        <v>499</v>
      </c>
      <c r="G634" s="171">
        <v>35.0</v>
      </c>
      <c r="H634" s="171">
        <v>500.0</v>
      </c>
      <c r="I634" s="171">
        <v>40.0</v>
      </c>
      <c r="J634" s="172">
        <f t="shared" si="2"/>
        <v>0.0008127328046</v>
      </c>
      <c r="K634" s="269">
        <f t="shared" si="27"/>
        <v>0.8398238981</v>
      </c>
      <c r="L634" s="270">
        <f t="shared" si="4"/>
        <v>0.8398238981</v>
      </c>
      <c r="M634" s="271" t="str">
        <f t="shared" si="5"/>
        <v>META_DREAMER</v>
      </c>
      <c r="N634" s="176">
        <f>IFERROR(__xludf.DUMMYFUNCTION("""COMPUTED_VALUE"""),1.0)</f>
        <v>1</v>
      </c>
      <c r="O634" s="176"/>
      <c r="P634" s="249" t="s">
        <v>271</v>
      </c>
      <c r="Q634" s="249" t="s">
        <v>10</v>
      </c>
      <c r="R634" s="176"/>
      <c r="S634" s="176"/>
      <c r="T634" s="176"/>
      <c r="U634" s="176"/>
      <c r="V634" s="176"/>
      <c r="W634" s="176"/>
      <c r="X634" s="176"/>
      <c r="Y634" s="176"/>
      <c r="Z634" s="176"/>
    </row>
    <row r="635">
      <c r="A635" s="267" t="str">
        <f>iferror(VLOOKUP(P635,'DO NOT TOUCH Imported'!$A$1:$D$800,4,False),iferror(VLOOKUP(P635,'DO NOT TOUCH Imported'!$C$1:$D$800,2,False),"OOPS FIX ME"))</f>
        <v>JonathanBSci</v>
      </c>
      <c r="B635" s="249" t="s">
        <v>10</v>
      </c>
      <c r="C635" s="219" t="s">
        <v>498</v>
      </c>
      <c r="D635" s="268" t="s">
        <v>495</v>
      </c>
      <c r="E635" s="252">
        <v>44260.0</v>
      </c>
      <c r="F635" s="250" t="s">
        <v>499</v>
      </c>
      <c r="G635" s="171">
        <v>35.0</v>
      </c>
      <c r="H635" s="171">
        <v>500.0</v>
      </c>
      <c r="I635" s="171">
        <v>40.0</v>
      </c>
      <c r="J635" s="172">
        <f t="shared" si="2"/>
        <v>0.0008127328046</v>
      </c>
      <c r="K635" s="269">
        <f t="shared" si="27"/>
        <v>0.8398238981</v>
      </c>
      <c r="L635" s="270">
        <f t="shared" si="4"/>
        <v>0.8398238981</v>
      </c>
      <c r="M635" s="271" t="str">
        <f t="shared" si="5"/>
        <v>JonathanBSci</v>
      </c>
      <c r="N635" s="176">
        <f>IFERROR(__xludf.DUMMYFUNCTION("""COMPUTED_VALUE"""),1.0)</f>
        <v>1</v>
      </c>
      <c r="O635" s="176"/>
      <c r="P635" s="249" t="s">
        <v>78</v>
      </c>
      <c r="Q635" s="249" t="s">
        <v>10</v>
      </c>
      <c r="R635" s="176"/>
      <c r="S635" s="176"/>
      <c r="T635" s="176"/>
      <c r="U635" s="176"/>
      <c r="V635" s="176"/>
      <c r="W635" s="176"/>
      <c r="X635" s="176"/>
      <c r="Y635" s="176"/>
      <c r="Z635" s="176"/>
    </row>
    <row r="636">
      <c r="A636" s="267" t="str">
        <f>iferror(VLOOKUP(P636,'DO NOT TOUCH Imported'!$A$1:$D$800,4,False),iferror(VLOOKUP(P636,'DO NOT TOUCH Imported'!$C$1:$D$800,2,False),"OOPS FIX ME"))</f>
        <v>JohnKellden</v>
      </c>
      <c r="B636" s="249" t="s">
        <v>10</v>
      </c>
      <c r="C636" s="219" t="s">
        <v>500</v>
      </c>
      <c r="D636" s="268" t="s">
        <v>495</v>
      </c>
      <c r="E636" s="252">
        <v>44260.0</v>
      </c>
      <c r="F636" s="250" t="s">
        <v>496</v>
      </c>
      <c r="G636" s="171">
        <v>35.0</v>
      </c>
      <c r="H636" s="171">
        <v>500.0</v>
      </c>
      <c r="I636" s="171">
        <v>40.0</v>
      </c>
      <c r="J636" s="172">
        <f t="shared" si="2"/>
        <v>0.0008127328046</v>
      </c>
      <c r="K636" s="269">
        <f t="shared" si="27"/>
        <v>0.8398238981</v>
      </c>
      <c r="L636" s="270">
        <f t="shared" si="4"/>
        <v>0.8398238981</v>
      </c>
      <c r="M636" s="271" t="str">
        <f t="shared" si="5"/>
        <v>JohnKellden</v>
      </c>
      <c r="N636" s="176">
        <f>IFERROR(__xludf.DUMMYFUNCTION("""COMPUTED_VALUE"""),1.0)</f>
        <v>1</v>
      </c>
      <c r="O636" s="176"/>
      <c r="P636" s="249" t="s">
        <v>250</v>
      </c>
      <c r="Q636" s="249" t="s">
        <v>10</v>
      </c>
      <c r="R636" s="176"/>
      <c r="S636" s="176"/>
      <c r="T636" s="176"/>
      <c r="U636" s="176"/>
      <c r="V636" s="176"/>
      <c r="W636" s="176"/>
      <c r="X636" s="176"/>
      <c r="Y636" s="176"/>
      <c r="Z636" s="176"/>
    </row>
    <row r="637">
      <c r="A637" s="267" t="str">
        <f>iferror(VLOOKUP(P637,'DO NOT TOUCH Imported'!$A$1:$D$800,4,False),iferror(VLOOKUP(P637,'DO NOT TOUCH Imported'!$C$1:$D$800,2,False),"OOPS FIX ME"))</f>
        <v>HBesso31</v>
      </c>
      <c r="B637" s="249" t="s">
        <v>10</v>
      </c>
      <c r="C637" s="219" t="s">
        <v>498</v>
      </c>
      <c r="D637" s="268" t="s">
        <v>495</v>
      </c>
      <c r="E637" s="252">
        <v>44260.0</v>
      </c>
      <c r="F637" s="250" t="s">
        <v>499</v>
      </c>
      <c r="G637" s="171">
        <v>35.0</v>
      </c>
      <c r="H637" s="171">
        <v>500.0</v>
      </c>
      <c r="I637" s="171">
        <v>40.0</v>
      </c>
      <c r="J637" s="172">
        <f t="shared" si="2"/>
        <v>0.0008127328046</v>
      </c>
      <c r="K637" s="269">
        <f t="shared" si="27"/>
        <v>0.8398238981</v>
      </c>
      <c r="L637" s="270">
        <f t="shared" si="4"/>
        <v>0.8398238981</v>
      </c>
      <c r="M637" s="271" t="str">
        <f t="shared" si="5"/>
        <v>HBesso31</v>
      </c>
      <c r="N637" s="176">
        <f>IFERROR(__xludf.DUMMYFUNCTION("""COMPUTED_VALUE"""),1.0)</f>
        <v>1</v>
      </c>
      <c r="O637" s="176"/>
      <c r="P637" s="249" t="s">
        <v>54</v>
      </c>
      <c r="Q637" s="249" t="s">
        <v>10</v>
      </c>
      <c r="R637" s="176"/>
      <c r="S637" s="176"/>
      <c r="T637" s="176"/>
      <c r="U637" s="176"/>
      <c r="V637" s="176"/>
      <c r="W637" s="176"/>
      <c r="X637" s="176"/>
      <c r="Y637" s="176"/>
      <c r="Z637" s="176"/>
    </row>
    <row r="638">
      <c r="A638" s="267" t="str">
        <f>iferror(VLOOKUP(P638,'DO NOT TOUCH Imported'!$A$1:$D$800,4,False),iferror(VLOOKUP(P638,'DO NOT TOUCH Imported'!$C$1:$D$800,2,False),"OOPS FIX ME"))</f>
        <v>eskalexia</v>
      </c>
      <c r="B638" s="249" t="s">
        <v>10</v>
      </c>
      <c r="C638" s="219" t="s">
        <v>498</v>
      </c>
      <c r="D638" s="268" t="s">
        <v>495</v>
      </c>
      <c r="E638" s="252">
        <v>44260.0</v>
      </c>
      <c r="F638" s="250" t="s">
        <v>499</v>
      </c>
      <c r="G638" s="171">
        <v>35.0</v>
      </c>
      <c r="H638" s="171">
        <v>500.0</v>
      </c>
      <c r="I638" s="171">
        <v>40.0</v>
      </c>
      <c r="J638" s="172">
        <f t="shared" si="2"/>
        <v>0.0008127328046</v>
      </c>
      <c r="K638" s="269">
        <f t="shared" si="27"/>
        <v>0.8398238981</v>
      </c>
      <c r="L638" s="270">
        <f t="shared" si="4"/>
        <v>0.8398238981</v>
      </c>
      <c r="M638" s="271" t="str">
        <f t="shared" si="5"/>
        <v>eskalexia</v>
      </c>
      <c r="N638" s="176">
        <f>IFERROR(__xludf.DUMMYFUNCTION("""COMPUTED_VALUE"""),1.0)</f>
        <v>1</v>
      </c>
      <c r="O638" s="176"/>
      <c r="P638" s="249" t="s">
        <v>307</v>
      </c>
      <c r="Q638" s="249" t="s">
        <v>10</v>
      </c>
      <c r="R638" s="176"/>
      <c r="S638" s="176"/>
      <c r="T638" s="176"/>
      <c r="U638" s="176"/>
      <c r="V638" s="176"/>
      <c r="W638" s="176"/>
      <c r="X638" s="176"/>
      <c r="Y638" s="176"/>
      <c r="Z638" s="176"/>
    </row>
    <row r="639">
      <c r="A639" s="267" t="str">
        <f>iferror(VLOOKUP(P639,'DO NOT TOUCH Imported'!$A$1:$D$800,4,False),iferror(VLOOKUP(P639,'DO NOT TOUCH Imported'!$C$1:$D$800,2,False),"OOPS FIX ME"))</f>
        <v>eeeit</v>
      </c>
      <c r="B639" s="249" t="s">
        <v>10</v>
      </c>
      <c r="C639" s="219" t="s">
        <v>498</v>
      </c>
      <c r="D639" s="268" t="s">
        <v>495</v>
      </c>
      <c r="E639" s="252">
        <v>44260.0</v>
      </c>
      <c r="F639" s="250" t="s">
        <v>499</v>
      </c>
      <c r="G639" s="171">
        <v>35.0</v>
      </c>
      <c r="H639" s="171">
        <v>500.0</v>
      </c>
      <c r="I639" s="171">
        <v>40.0</v>
      </c>
      <c r="J639" s="172">
        <f t="shared" si="2"/>
        <v>0.0008127328046</v>
      </c>
      <c r="K639" s="269">
        <f t="shared" si="27"/>
        <v>0.8398238981</v>
      </c>
      <c r="L639" s="270">
        <f t="shared" si="4"/>
        <v>0.8398238981</v>
      </c>
      <c r="M639" s="271" t="str">
        <f t="shared" si="5"/>
        <v>eeeit</v>
      </c>
      <c r="N639" s="176">
        <f>IFERROR(__xludf.DUMMYFUNCTION("""COMPUTED_VALUE"""),1.0)</f>
        <v>1</v>
      </c>
      <c r="O639" s="176"/>
      <c r="P639" s="249" t="s">
        <v>308</v>
      </c>
      <c r="Q639" s="249" t="s">
        <v>10</v>
      </c>
      <c r="R639" s="176"/>
      <c r="S639" s="176"/>
      <c r="T639" s="176"/>
      <c r="U639" s="176"/>
      <c r="V639" s="176"/>
      <c r="W639" s="176"/>
      <c r="X639" s="176"/>
      <c r="Y639" s="176"/>
      <c r="Z639" s="176"/>
    </row>
    <row r="640">
      <c r="A640" s="267" t="str">
        <f>iferror(VLOOKUP(P640,'DO NOT TOUCH Imported'!$A$1:$D$800,4,False),iferror(VLOOKUP(P640,'DO NOT TOUCH Imported'!$C$1:$D$800,2,False),"OOPS FIX ME"))</f>
        <v>BlockEnthusiast</v>
      </c>
      <c r="B640" s="249" t="s">
        <v>10</v>
      </c>
      <c r="C640" s="219" t="s">
        <v>498</v>
      </c>
      <c r="D640" s="268" t="s">
        <v>495</v>
      </c>
      <c r="E640" s="252">
        <v>44260.0</v>
      </c>
      <c r="F640" s="250" t="s">
        <v>499</v>
      </c>
      <c r="G640" s="171">
        <v>35.0</v>
      </c>
      <c r="H640" s="171">
        <v>500.0</v>
      </c>
      <c r="I640" s="171">
        <v>40.0</v>
      </c>
      <c r="J640" s="172">
        <f t="shared" si="2"/>
        <v>0.0008127328046</v>
      </c>
      <c r="K640" s="269">
        <f t="shared" si="27"/>
        <v>0.8398238981</v>
      </c>
      <c r="L640" s="270">
        <f t="shared" si="4"/>
        <v>1.656867374</v>
      </c>
      <c r="M640" s="271" t="str">
        <f t="shared" si="5"/>
        <v>BlockEnthusiast</v>
      </c>
      <c r="N640" s="176">
        <f>IFERROR(__xludf.DUMMYFUNCTION("""COMPUTED_VALUE"""),1.0)</f>
        <v>1</v>
      </c>
      <c r="O640" s="176"/>
      <c r="P640" s="249" t="s">
        <v>1574</v>
      </c>
      <c r="Q640" s="249" t="s">
        <v>10</v>
      </c>
      <c r="R640" s="176"/>
      <c r="S640" s="176"/>
      <c r="T640" s="176"/>
      <c r="U640" s="176"/>
      <c r="V640" s="176"/>
      <c r="W640" s="176"/>
      <c r="X640" s="176"/>
      <c r="Y640" s="176"/>
      <c r="Z640" s="176"/>
    </row>
    <row r="641">
      <c r="A641" s="267" t="str">
        <f>iferror(VLOOKUP(P641,'DO NOT TOUCH Imported'!$A$1:$D$800,4,False),iferror(VLOOKUP(P641,'DO NOT TOUCH Imported'!$C$1:$D$800,2,False),"OOPS FIX ME"))</f>
        <v>aidanbrodieo</v>
      </c>
      <c r="B641" s="249" t="s">
        <v>10</v>
      </c>
      <c r="C641" s="219" t="s">
        <v>500</v>
      </c>
      <c r="D641" s="268" t="s">
        <v>495</v>
      </c>
      <c r="E641" s="252">
        <v>44260.0</v>
      </c>
      <c r="F641" s="250" t="s">
        <v>496</v>
      </c>
      <c r="G641" s="171">
        <v>35.0</v>
      </c>
      <c r="H641" s="171">
        <v>500.0</v>
      </c>
      <c r="I641" s="171">
        <v>40.0</v>
      </c>
      <c r="J641" s="172">
        <f t="shared" si="2"/>
        <v>0.0008127328046</v>
      </c>
      <c r="K641" s="269">
        <f t="shared" si="27"/>
        <v>0.8398238981</v>
      </c>
      <c r="L641" s="270">
        <f t="shared" si="4"/>
        <v>0.8398238981</v>
      </c>
      <c r="M641" s="271" t="str">
        <f t="shared" si="5"/>
        <v>aidanbrodieo</v>
      </c>
      <c r="N641" s="176">
        <f>IFERROR(__xludf.DUMMYFUNCTION("""COMPUTED_VALUE"""),1.0)</f>
        <v>1</v>
      </c>
      <c r="O641" s="176"/>
      <c r="P641" s="249" t="s">
        <v>95</v>
      </c>
      <c r="Q641" s="249" t="s">
        <v>10</v>
      </c>
      <c r="R641" s="176"/>
      <c r="S641" s="176"/>
      <c r="T641" s="176"/>
      <c r="U641" s="176"/>
      <c r="V641" s="176"/>
      <c r="W641" s="176"/>
      <c r="X641" s="176"/>
      <c r="Y641" s="176"/>
      <c r="Z641" s="176"/>
    </row>
    <row r="642">
      <c r="A642" s="267" t="str">
        <f>iferror(VLOOKUP(P642,'DO NOT TOUCH Imported'!$A$1:$D$800,4,False),iferror(VLOOKUP(P642,'DO NOT TOUCH Imported'!$C$1:$D$800,2,False),"OOPS FIX ME"))</f>
        <v>stan#3519</v>
      </c>
      <c r="B642" s="272" t="s">
        <v>2107</v>
      </c>
      <c r="C642" s="273" t="s">
        <v>2167</v>
      </c>
      <c r="D642" s="274" t="s">
        <v>499</v>
      </c>
      <c r="E642" s="275">
        <v>44263.0</v>
      </c>
      <c r="F642" s="274" t="s">
        <v>1646</v>
      </c>
      <c r="G642" s="171">
        <v>25.0</v>
      </c>
      <c r="H642" s="171">
        <v>500.0</v>
      </c>
      <c r="I642" s="171">
        <v>100.0</v>
      </c>
      <c r="J642" s="172">
        <f t="shared" si="2"/>
        <v>0.0007906872343</v>
      </c>
      <c r="K642" s="269">
        <f t="shared" si="27"/>
        <v>0.8170434755</v>
      </c>
      <c r="L642" s="270">
        <f t="shared" si="4"/>
        <v>0.8170434755</v>
      </c>
      <c r="M642" s="271" t="str">
        <f t="shared" si="5"/>
        <v>stan#3519</v>
      </c>
      <c r="N642" s="176">
        <f>IFERROR(__xludf.DUMMYFUNCTION("""COMPUTED_VALUE"""),1.0)</f>
        <v>1</v>
      </c>
      <c r="O642" s="176"/>
      <c r="P642" s="267" t="s">
        <v>313</v>
      </c>
      <c r="Q642" s="272" t="s">
        <v>2107</v>
      </c>
      <c r="R642" s="176"/>
      <c r="S642" s="176"/>
      <c r="T642" s="176"/>
      <c r="U642" s="176"/>
      <c r="V642" s="176"/>
      <c r="W642" s="176"/>
      <c r="X642" s="176"/>
      <c r="Y642" s="176"/>
      <c r="Z642" s="176"/>
    </row>
    <row r="643">
      <c r="A643" s="267" t="str">
        <f>iferror(VLOOKUP(P643,'DO NOT TOUCH Imported'!$A$1:$D$800,4,False),iferror(VLOOKUP(P643,'DO NOT TOUCH Imported'!$C$1:$D$800,2,False),"OOPS FIX ME"))</f>
        <v>Smokyish</v>
      </c>
      <c r="B643" s="249" t="s">
        <v>10</v>
      </c>
      <c r="C643" s="219" t="s">
        <v>498</v>
      </c>
      <c r="D643" s="268" t="s">
        <v>495</v>
      </c>
      <c r="E643" s="252">
        <v>44267.0</v>
      </c>
      <c r="F643" s="250" t="s">
        <v>499</v>
      </c>
      <c r="G643" s="171">
        <v>25.0</v>
      </c>
      <c r="H643" s="171">
        <v>500.0</v>
      </c>
      <c r="I643" s="171">
        <v>100.0</v>
      </c>
      <c r="J643" s="172">
        <f t="shared" si="2"/>
        <v>0.0007906872343</v>
      </c>
      <c r="K643" s="269">
        <f t="shared" si="27"/>
        <v>0.8170434755</v>
      </c>
      <c r="L643" s="270">
        <f t="shared" si="4"/>
        <v>0.8170434755</v>
      </c>
      <c r="M643" s="271" t="str">
        <f t="shared" si="5"/>
        <v>Smokyish</v>
      </c>
      <c r="N643" s="176">
        <f>IFERROR(__xludf.DUMMYFUNCTION("""COMPUTED_VALUE"""),1.0)</f>
        <v>1</v>
      </c>
      <c r="O643" s="176"/>
      <c r="P643" s="249" t="s">
        <v>189</v>
      </c>
      <c r="Q643" s="249" t="s">
        <v>10</v>
      </c>
      <c r="R643" s="176"/>
      <c r="S643" s="176"/>
      <c r="T643" s="176"/>
      <c r="U643" s="176"/>
      <c r="V643" s="176"/>
      <c r="W643" s="176"/>
      <c r="X643" s="176"/>
      <c r="Y643" s="176"/>
      <c r="Z643" s="176"/>
    </row>
    <row r="644">
      <c r="A644" s="267" t="str">
        <f>iferror(VLOOKUP(P644,'DO NOT TOUCH Imported'!$A$1:$D$800,4,False),iferror(VLOOKUP(P644,'DO NOT TOUCH Imported'!$C$1:$D$800,2,False),"OOPS FIX ME"))</f>
        <v>oedth</v>
      </c>
      <c r="B644" s="249" t="s">
        <v>10</v>
      </c>
      <c r="C644" s="219" t="s">
        <v>498</v>
      </c>
      <c r="D644" s="268" t="s">
        <v>495</v>
      </c>
      <c r="E644" s="252">
        <v>44267.0</v>
      </c>
      <c r="F644" s="250" t="s">
        <v>499</v>
      </c>
      <c r="G644" s="171">
        <v>25.0</v>
      </c>
      <c r="H644" s="171">
        <v>500.0</v>
      </c>
      <c r="I644" s="171">
        <v>100.0</v>
      </c>
      <c r="J644" s="172">
        <f t="shared" si="2"/>
        <v>0.0007906872343</v>
      </c>
      <c r="K644" s="269">
        <f t="shared" si="27"/>
        <v>0.8170434755</v>
      </c>
      <c r="L644" s="270">
        <f t="shared" si="4"/>
        <v>0.8170434755</v>
      </c>
      <c r="M644" s="271" t="str">
        <f t="shared" si="5"/>
        <v>oedth</v>
      </c>
      <c r="N644" s="176">
        <f>IFERROR(__xludf.DUMMYFUNCTION("""COMPUTED_VALUE"""),1.0)</f>
        <v>1</v>
      </c>
      <c r="O644" s="176"/>
      <c r="P644" s="249" t="s">
        <v>209</v>
      </c>
      <c r="Q644" s="249" t="s">
        <v>10</v>
      </c>
      <c r="R644" s="176"/>
      <c r="S644" s="176"/>
      <c r="T644" s="176"/>
      <c r="U644" s="176"/>
      <c r="V644" s="176"/>
      <c r="W644" s="176"/>
      <c r="X644" s="176"/>
      <c r="Y644" s="176"/>
      <c r="Z644" s="176"/>
    </row>
    <row r="645">
      <c r="A645" s="267" t="str">
        <f>iferror(VLOOKUP(P645,'DO NOT TOUCH Imported'!$A$1:$D$800,4,False),iferror(VLOOKUP(P645,'DO NOT TOUCH Imported'!$C$1:$D$800,2,False),"OOPS FIX ME"))</f>
        <v>michaelr10</v>
      </c>
      <c r="B645" s="249" t="s">
        <v>10</v>
      </c>
      <c r="C645" s="219" t="s">
        <v>498</v>
      </c>
      <c r="D645" s="268" t="s">
        <v>495</v>
      </c>
      <c r="E645" s="252">
        <v>44267.0</v>
      </c>
      <c r="F645" s="250" t="s">
        <v>499</v>
      </c>
      <c r="G645" s="171">
        <v>25.0</v>
      </c>
      <c r="H645" s="171">
        <v>500.0</v>
      </c>
      <c r="I645" s="171">
        <v>100.0</v>
      </c>
      <c r="J645" s="172">
        <f t="shared" si="2"/>
        <v>0.0007906872343</v>
      </c>
      <c r="K645" s="269">
        <f t="shared" si="27"/>
        <v>0.8170434755</v>
      </c>
      <c r="L645" s="270">
        <f t="shared" si="4"/>
        <v>0.8170434755</v>
      </c>
      <c r="M645" s="271" t="str">
        <f t="shared" si="5"/>
        <v>michaelr10</v>
      </c>
      <c r="N645" s="176">
        <f>IFERROR(__xludf.DUMMYFUNCTION("""COMPUTED_VALUE"""),1.0)</f>
        <v>1</v>
      </c>
      <c r="O645" s="176"/>
      <c r="P645" s="249" t="s">
        <v>229</v>
      </c>
      <c r="Q645" s="249" t="s">
        <v>10</v>
      </c>
      <c r="R645" s="176"/>
      <c r="S645" s="176"/>
      <c r="T645" s="176"/>
      <c r="U645" s="176"/>
      <c r="V645" s="176"/>
      <c r="W645" s="176"/>
      <c r="X645" s="176"/>
      <c r="Y645" s="176"/>
      <c r="Z645" s="176"/>
    </row>
    <row r="646">
      <c r="A646" s="267" t="str">
        <f>iferror(VLOOKUP(P646,'DO NOT TOUCH Imported'!$A$1:$D$800,4,False),iferror(VLOOKUP(P646,'DO NOT TOUCH Imported'!$C$1:$D$800,2,False),"OOPS FIX ME"))</f>
        <v>loie_giveth</v>
      </c>
      <c r="B646" s="249" t="s">
        <v>10</v>
      </c>
      <c r="C646" s="219" t="s">
        <v>498</v>
      </c>
      <c r="D646" s="268" t="s">
        <v>495</v>
      </c>
      <c r="E646" s="252">
        <v>44267.0</v>
      </c>
      <c r="F646" s="250" t="s">
        <v>499</v>
      </c>
      <c r="G646" s="171">
        <v>25.0</v>
      </c>
      <c r="H646" s="171">
        <v>500.0</v>
      </c>
      <c r="I646" s="171">
        <v>100.0</v>
      </c>
      <c r="J646" s="172">
        <f t="shared" si="2"/>
        <v>0.0007906872343</v>
      </c>
      <c r="K646" s="269">
        <f t="shared" si="27"/>
        <v>0.8170434755</v>
      </c>
      <c r="L646" s="270">
        <f t="shared" si="4"/>
        <v>0.8170434755</v>
      </c>
      <c r="M646" s="271" t="str">
        <f t="shared" si="5"/>
        <v>loie_giveth</v>
      </c>
      <c r="N646" s="176">
        <f>IFERROR(__xludf.DUMMYFUNCTION("""COMPUTED_VALUE"""),1.0)</f>
        <v>1</v>
      </c>
      <c r="O646" s="176"/>
      <c r="P646" s="249" t="s">
        <v>65</v>
      </c>
      <c r="Q646" s="249" t="s">
        <v>10</v>
      </c>
      <c r="R646" s="176"/>
      <c r="S646" s="176"/>
      <c r="T646" s="176"/>
      <c r="U646" s="176"/>
      <c r="V646" s="176"/>
      <c r="W646" s="176"/>
      <c r="X646" s="176"/>
      <c r="Y646" s="176"/>
      <c r="Z646" s="176"/>
    </row>
    <row r="647">
      <c r="A647" s="267" t="str">
        <f>iferror(VLOOKUP(P647,'DO NOT TOUCH Imported'!$A$1:$D$800,4,False),iferror(VLOOKUP(P647,'DO NOT TOUCH Imported'!$C$1:$D$800,2,False),"OOPS FIX ME"))</f>
        <v>lkngtn</v>
      </c>
      <c r="B647" s="249" t="s">
        <v>10</v>
      </c>
      <c r="C647" s="219" t="s">
        <v>498</v>
      </c>
      <c r="D647" s="268" t="s">
        <v>495</v>
      </c>
      <c r="E647" s="252">
        <v>44267.0</v>
      </c>
      <c r="F647" s="250" t="s">
        <v>499</v>
      </c>
      <c r="G647" s="171">
        <v>25.0</v>
      </c>
      <c r="H647" s="171">
        <v>500.0</v>
      </c>
      <c r="I647" s="171">
        <v>100.0</v>
      </c>
      <c r="J647" s="172">
        <f t="shared" si="2"/>
        <v>0.0007906872343</v>
      </c>
      <c r="K647" s="269">
        <f t="shared" si="27"/>
        <v>0.8170434755</v>
      </c>
      <c r="L647" s="270">
        <f t="shared" si="4"/>
        <v>0.8170434755</v>
      </c>
      <c r="M647" s="271" t="str">
        <f t="shared" si="5"/>
        <v>lkngtn</v>
      </c>
      <c r="N647" s="176">
        <f>IFERROR(__xludf.DUMMYFUNCTION("""COMPUTED_VALUE"""),1.0)</f>
        <v>1</v>
      </c>
      <c r="O647" s="176"/>
      <c r="P647" s="249" t="s">
        <v>40</v>
      </c>
      <c r="Q647" s="249" t="s">
        <v>10</v>
      </c>
      <c r="R647" s="176"/>
      <c r="S647" s="176"/>
      <c r="T647" s="176"/>
      <c r="U647" s="176"/>
      <c r="V647" s="176"/>
      <c r="W647" s="176"/>
      <c r="X647" s="176"/>
      <c r="Y647" s="176"/>
      <c r="Z647" s="176"/>
    </row>
    <row r="648">
      <c r="A648" s="267" t="str">
        <f>iferror(VLOOKUP(P648,'DO NOT TOUCH Imported'!$A$1:$D$800,4,False),iferror(VLOOKUP(P648,'DO NOT TOUCH Imported'!$C$1:$D$800,2,False),"OOPS FIX ME"))</f>
        <v>felixfalafel</v>
      </c>
      <c r="B648" s="249" t="s">
        <v>10</v>
      </c>
      <c r="C648" s="219" t="s">
        <v>498</v>
      </c>
      <c r="D648" s="268" t="s">
        <v>495</v>
      </c>
      <c r="E648" s="252">
        <v>44267.0</v>
      </c>
      <c r="F648" s="250" t="s">
        <v>499</v>
      </c>
      <c r="G648" s="171">
        <v>25.0</v>
      </c>
      <c r="H648" s="171">
        <v>500.0</v>
      </c>
      <c r="I648" s="171">
        <v>100.0</v>
      </c>
      <c r="J648" s="172">
        <f t="shared" si="2"/>
        <v>0.0007906872343</v>
      </c>
      <c r="K648" s="269">
        <f t="shared" si="27"/>
        <v>0.8170434755</v>
      </c>
      <c r="L648" s="270">
        <f t="shared" si="4"/>
        <v>0.8170434755</v>
      </c>
      <c r="M648" s="271" t="str">
        <f t="shared" si="5"/>
        <v>felixfalafel</v>
      </c>
      <c r="N648" s="176">
        <f>IFERROR(__xludf.DUMMYFUNCTION("""COMPUTED_VALUE"""),1.0)</f>
        <v>1</v>
      </c>
      <c r="O648" s="176"/>
      <c r="P648" s="249" t="s">
        <v>1531</v>
      </c>
      <c r="Q648" s="249" t="s">
        <v>10</v>
      </c>
      <c r="R648" s="176"/>
      <c r="S648" s="176"/>
      <c r="T648" s="176"/>
      <c r="U648" s="176"/>
      <c r="V648" s="176"/>
      <c r="W648" s="176"/>
      <c r="X648" s="176"/>
      <c r="Y648" s="176"/>
      <c r="Z648" s="176"/>
    </row>
    <row r="649">
      <c r="A649" s="267" t="str">
        <f>iferror(VLOOKUP(P649,'DO NOT TOUCH Imported'!$A$1:$D$800,4,False),iferror(VLOOKUP(P649,'DO NOT TOUCH Imported'!$C$1:$D$800,2,False),"OOPS FIX ME"))</f>
        <v>cpt_grog</v>
      </c>
      <c r="B649" s="249" t="s">
        <v>10</v>
      </c>
      <c r="C649" s="219" t="s">
        <v>498</v>
      </c>
      <c r="D649" s="268" t="s">
        <v>495</v>
      </c>
      <c r="E649" s="252">
        <v>44267.0</v>
      </c>
      <c r="F649" s="250" t="s">
        <v>499</v>
      </c>
      <c r="G649" s="171">
        <v>25.0</v>
      </c>
      <c r="H649" s="171">
        <v>500.0</v>
      </c>
      <c r="I649" s="171">
        <v>100.0</v>
      </c>
      <c r="J649" s="172">
        <f t="shared" si="2"/>
        <v>0.0007906872343</v>
      </c>
      <c r="K649" s="269">
        <f t="shared" si="27"/>
        <v>0.8170434755</v>
      </c>
      <c r="L649" s="270">
        <f t="shared" si="4"/>
        <v>0.8170434755</v>
      </c>
      <c r="M649" s="271" t="str">
        <f t="shared" si="5"/>
        <v>cpt_grog</v>
      </c>
      <c r="N649" s="176">
        <f>IFERROR(__xludf.DUMMYFUNCTION("""COMPUTED_VALUE"""),1.0)</f>
        <v>1</v>
      </c>
      <c r="O649" s="176"/>
      <c r="P649" s="249" t="s">
        <v>144</v>
      </c>
      <c r="Q649" s="249" t="s">
        <v>10</v>
      </c>
      <c r="R649" s="176"/>
      <c r="S649" s="176"/>
      <c r="T649" s="176"/>
      <c r="U649" s="176"/>
      <c r="V649" s="176"/>
      <c r="W649" s="176"/>
      <c r="X649" s="176"/>
      <c r="Y649" s="176"/>
      <c r="Z649" s="176"/>
    </row>
    <row r="650">
      <c r="A650" s="267" t="str">
        <f>iferror(VLOOKUP(P650,'DO NOT TOUCH Imported'!$A$1:$D$800,4,False),iferror(VLOOKUP(P650,'DO NOT TOUCH Imported'!$C$1:$D$800,2,False),"OOPS FIX ME"))</f>
        <v>BlockEnthusiast</v>
      </c>
      <c r="B650" s="272" t="s">
        <v>2107</v>
      </c>
      <c r="C650" s="273" t="s">
        <v>2167</v>
      </c>
      <c r="D650" s="274" t="s">
        <v>499</v>
      </c>
      <c r="E650" s="275">
        <v>44263.0</v>
      </c>
      <c r="F650" s="274" t="s">
        <v>1646</v>
      </c>
      <c r="G650" s="171">
        <v>25.0</v>
      </c>
      <c r="H650" s="171">
        <v>500.0</v>
      </c>
      <c r="I650" s="171">
        <v>100.0</v>
      </c>
      <c r="J650" s="172">
        <f t="shared" si="2"/>
        <v>0.0007906872343</v>
      </c>
      <c r="K650" s="269">
        <f t="shared" si="27"/>
        <v>0.8170434755</v>
      </c>
      <c r="L650" s="270">
        <f t="shared" si="4"/>
        <v>1.656867374</v>
      </c>
      <c r="M650" s="271" t="str">
        <f t="shared" si="5"/>
        <v>BlockEnthusiast</v>
      </c>
      <c r="N650" s="176">
        <f>IFERROR(__xludf.DUMMYFUNCTION("""COMPUTED_VALUE"""),2.0)</f>
        <v>2</v>
      </c>
      <c r="O650" s="176"/>
      <c r="P650" s="267" t="s">
        <v>2173</v>
      </c>
      <c r="Q650" s="272" t="s">
        <v>2107</v>
      </c>
      <c r="R650" s="176"/>
      <c r="S650" s="176"/>
      <c r="T650" s="176"/>
      <c r="U650" s="176"/>
      <c r="V650" s="176"/>
      <c r="W650" s="176"/>
      <c r="X650" s="176"/>
      <c r="Y650" s="176"/>
      <c r="Z650" s="176"/>
    </row>
    <row r="651">
      <c r="A651" s="267" t="str">
        <f>iferror(VLOOKUP(P651,'DO NOT TOUCH Imported'!$A$1:$D$800,4,False),iferror(VLOOKUP(P651,'DO NOT TOUCH Imported'!$C$1:$D$800,2,False),"OOPS FIX ME"))</f>
        <v>BlairV</v>
      </c>
      <c r="B651" s="249" t="s">
        <v>10</v>
      </c>
      <c r="C651" s="219" t="s">
        <v>500</v>
      </c>
      <c r="D651" s="268" t="s">
        <v>495</v>
      </c>
      <c r="E651" s="252">
        <v>44267.0</v>
      </c>
      <c r="F651" s="250" t="s">
        <v>496</v>
      </c>
      <c r="G651" s="171">
        <v>25.0</v>
      </c>
      <c r="H651" s="171">
        <v>500.0</v>
      </c>
      <c r="I651" s="171">
        <v>100.0</v>
      </c>
      <c r="J651" s="172">
        <f t="shared" si="2"/>
        <v>0.0007906872343</v>
      </c>
      <c r="K651" s="269">
        <f t="shared" si="27"/>
        <v>0.8170434755</v>
      </c>
      <c r="L651" s="270">
        <f t="shared" si="4"/>
        <v>0.8170434755</v>
      </c>
      <c r="M651" s="271" t="str">
        <f t="shared" si="5"/>
        <v>BlairV</v>
      </c>
      <c r="N651" s="176">
        <f>IFERROR(__xludf.DUMMYFUNCTION("""COMPUTED_VALUE"""),1.0)</f>
        <v>1</v>
      </c>
      <c r="O651" s="176"/>
      <c r="P651" s="249" t="s">
        <v>41</v>
      </c>
      <c r="Q651" s="249" t="s">
        <v>10</v>
      </c>
      <c r="R651" s="176"/>
      <c r="S651" s="176"/>
      <c r="T651" s="176"/>
      <c r="U651" s="176"/>
      <c r="V651" s="176"/>
      <c r="W651" s="176"/>
      <c r="X651" s="176"/>
      <c r="Y651" s="176"/>
      <c r="Z651" s="176"/>
    </row>
    <row r="652">
      <c r="A652" s="267" t="str">
        <f>iferror(VLOOKUP(P652,'DO NOT TOUCH Imported'!$A$1:$D$800,4,False),iferror(VLOOKUP(P652,'DO NOT TOUCH Imported'!$C$1:$D$800,2,False),"OOPS FIX ME"))</f>
        <v>antoniopaglino</v>
      </c>
      <c r="B652" s="249" t="s">
        <v>10</v>
      </c>
      <c r="C652" s="219" t="s">
        <v>498</v>
      </c>
      <c r="D652" s="268" t="s">
        <v>495</v>
      </c>
      <c r="E652" s="252">
        <v>44267.0</v>
      </c>
      <c r="F652" s="250" t="s">
        <v>499</v>
      </c>
      <c r="G652" s="171">
        <v>25.0</v>
      </c>
      <c r="H652" s="171">
        <v>500.0</v>
      </c>
      <c r="I652" s="171">
        <v>100.0</v>
      </c>
      <c r="J652" s="172">
        <f t="shared" si="2"/>
        <v>0.0007906872343</v>
      </c>
      <c r="K652" s="269">
        <f t="shared" si="27"/>
        <v>0.8170434755</v>
      </c>
      <c r="L652" s="270">
        <f t="shared" si="4"/>
        <v>0.8170434755</v>
      </c>
      <c r="M652" s="271" t="str">
        <f t="shared" si="5"/>
        <v>antoniopaglino</v>
      </c>
      <c r="N652" s="176">
        <f>IFERROR(__xludf.DUMMYFUNCTION("""COMPUTED_VALUE"""),1.0)</f>
        <v>1</v>
      </c>
      <c r="O652" s="176"/>
      <c r="P652" s="249" t="s">
        <v>151</v>
      </c>
      <c r="Q652" s="249" t="s">
        <v>10</v>
      </c>
      <c r="R652" s="176"/>
      <c r="S652" s="176"/>
      <c r="T652" s="176"/>
      <c r="U652" s="176"/>
      <c r="V652" s="176"/>
      <c r="W652" s="176"/>
      <c r="X652" s="176"/>
      <c r="Y652" s="176"/>
      <c r="Z652" s="176"/>
    </row>
    <row r="653">
      <c r="A653" s="267" t="str">
        <f>iferror(VLOOKUP(P653,'DO NOT TOUCH Imported'!$A$1:$D$800,4,False),iferror(VLOOKUP(P653,'DO NOT TOUCH Imported'!$C$1:$D$800,2,False),"OOPS FIX ME"))</f>
        <v>sknuth#9426</v>
      </c>
      <c r="B653" s="272" t="s">
        <v>590</v>
      </c>
      <c r="C653" s="273" t="s">
        <v>2174</v>
      </c>
      <c r="D653" s="274" t="s">
        <v>499</v>
      </c>
      <c r="E653" s="306">
        <v>44267.0</v>
      </c>
      <c r="F653" s="274" t="s">
        <v>2129</v>
      </c>
      <c r="G653" s="171">
        <v>25.0</v>
      </c>
      <c r="H653" s="171">
        <v>500.0</v>
      </c>
      <c r="I653" s="171">
        <v>30.0</v>
      </c>
      <c r="J653" s="172">
        <f t="shared" si="2"/>
        <v>0.0006277176491</v>
      </c>
      <c r="K653" s="269">
        <f t="shared" si="27"/>
        <v>0.6486415708</v>
      </c>
      <c r="L653" s="270">
        <f t="shared" si="4"/>
        <v>0.6486415708</v>
      </c>
      <c r="M653" s="271" t="str">
        <f t="shared" si="5"/>
        <v>sknuth#9426</v>
      </c>
      <c r="N653" s="176">
        <f>IFERROR(__xludf.DUMMYFUNCTION("""COMPUTED_VALUE"""),1.0)</f>
        <v>1</v>
      </c>
      <c r="O653" s="176"/>
      <c r="P653" s="267" t="s">
        <v>340</v>
      </c>
      <c r="Q653" s="272" t="s">
        <v>590</v>
      </c>
      <c r="R653" s="176"/>
      <c r="S653" s="176"/>
      <c r="T653" s="176"/>
      <c r="U653" s="176"/>
      <c r="V653" s="176"/>
      <c r="W653" s="176"/>
      <c r="X653" s="176"/>
      <c r="Y653" s="176"/>
      <c r="Z653" s="176"/>
    </row>
    <row r="654">
      <c r="A654" s="185" t="str">
        <f>iferror(VLOOKUP(P654,'DO NOT TOUCH Imported'!$A$1:$D$800,4,False),iferror(VLOOKUP(P654,'DO NOT TOUCH Imported'!$C$1:$D$800,2,False),"OOPS FIX ME"))</f>
        <v>katalenacaban</v>
      </c>
      <c r="B654" s="185" t="s">
        <v>534</v>
      </c>
      <c r="C654" s="186" t="s">
        <v>781</v>
      </c>
      <c r="D654" s="187"/>
      <c r="E654" s="188"/>
      <c r="F654" s="189"/>
      <c r="G654" s="190"/>
      <c r="H654" s="190"/>
      <c r="I654" s="190"/>
      <c r="J654" s="191">
        <f t="shared" si="2"/>
        <v>0</v>
      </c>
      <c r="K654" s="192">
        <f t="shared" si="27"/>
        <v>0</v>
      </c>
      <c r="L654" s="193">
        <f t="shared" si="4"/>
        <v>0</v>
      </c>
      <c r="M654" s="194" t="str">
        <f t="shared" si="5"/>
        <v>katalenacaban</v>
      </c>
      <c r="N654" s="195">
        <f>IFERROR(__xludf.DUMMYFUNCTION("""COMPUTED_VALUE"""),1.0)</f>
        <v>1</v>
      </c>
      <c r="O654" s="195"/>
      <c r="P654" s="185" t="s">
        <v>118</v>
      </c>
      <c r="Q654" s="185" t="s">
        <v>534</v>
      </c>
      <c r="R654" s="195">
        <v>36.89669088595067</v>
      </c>
      <c r="S654" s="195"/>
      <c r="T654" s="195"/>
      <c r="U654" s="195"/>
      <c r="V654" s="195"/>
      <c r="W654" s="195"/>
      <c r="X654" s="195"/>
      <c r="Y654" s="195"/>
      <c r="Z654" s="195"/>
    </row>
    <row r="655">
      <c r="A655" s="185" t="str">
        <f>iferror(VLOOKUP(P655,'DO NOT TOUCH Imported'!$A$1:$D$800,4,False),iferror(VLOOKUP(P655,'DO NOT TOUCH Imported'!$C$1:$D$800,2,False),"OOPS FIX ME"))</f>
        <v>aminlatifi</v>
      </c>
      <c r="B655" s="185" t="s">
        <v>534</v>
      </c>
      <c r="C655" s="186" t="s">
        <v>839</v>
      </c>
      <c r="D655" s="187"/>
      <c r="E655" s="188"/>
      <c r="F655" s="189"/>
      <c r="G655" s="190"/>
      <c r="H655" s="190"/>
      <c r="I655" s="190"/>
      <c r="J655" s="191">
        <f t="shared" si="2"/>
        <v>0</v>
      </c>
      <c r="K655" s="192">
        <f t="shared" si="27"/>
        <v>0</v>
      </c>
      <c r="L655" s="193">
        <f t="shared" si="4"/>
        <v>0</v>
      </c>
      <c r="M655" s="194" t="str">
        <f t="shared" si="5"/>
        <v>aminlatifi</v>
      </c>
      <c r="N655" s="195">
        <f>IFERROR(__xludf.DUMMYFUNCTION("""COMPUTED_VALUE"""),1.0)</f>
        <v>1</v>
      </c>
      <c r="O655" s="195"/>
      <c r="P655" s="185" t="s">
        <v>73</v>
      </c>
      <c r="Q655" s="185" t="s">
        <v>534</v>
      </c>
      <c r="R655" s="195">
        <v>18.802169413641863</v>
      </c>
      <c r="S655" s="195"/>
      <c r="T655" s="195"/>
      <c r="U655" s="195"/>
      <c r="V655" s="195"/>
      <c r="W655" s="195"/>
      <c r="X655" s="195"/>
      <c r="Y655" s="195"/>
      <c r="Z655" s="195"/>
    </row>
    <row r="656">
      <c r="A656" s="267"/>
      <c r="B656" s="249"/>
      <c r="C656" s="219"/>
      <c r="D656" s="268"/>
      <c r="E656" s="252"/>
      <c r="F656" s="250"/>
      <c r="G656" s="243"/>
      <c r="H656" s="243"/>
      <c r="I656" s="243"/>
      <c r="J656" s="172"/>
      <c r="K656" s="269"/>
      <c r="L656" s="270"/>
      <c r="M656" s="271"/>
      <c r="N656" s="176"/>
      <c r="O656" s="176"/>
      <c r="P656" s="249"/>
      <c r="Q656" s="249"/>
      <c r="R656" s="176"/>
      <c r="S656" s="176"/>
      <c r="T656" s="176"/>
      <c r="U656" s="176"/>
      <c r="V656" s="176"/>
      <c r="W656" s="176"/>
      <c r="X656" s="176"/>
      <c r="Y656" s="176"/>
      <c r="Z656" s="176"/>
    </row>
    <row r="657">
      <c r="A657" s="267"/>
      <c r="B657" s="249"/>
      <c r="C657" s="219"/>
      <c r="D657" s="268"/>
      <c r="E657" s="252"/>
      <c r="F657" s="250"/>
      <c r="G657" s="243"/>
      <c r="H657" s="243"/>
      <c r="I657" s="243"/>
      <c r="J657" s="172"/>
      <c r="K657" s="269"/>
      <c r="L657" s="270"/>
      <c r="M657" s="271"/>
      <c r="N657" s="176"/>
      <c r="O657" s="176"/>
      <c r="P657" s="249"/>
      <c r="Q657" s="249"/>
      <c r="R657" s="176"/>
      <c r="S657" s="176"/>
      <c r="T657" s="176"/>
      <c r="U657" s="176"/>
      <c r="V657" s="176"/>
      <c r="W657" s="176"/>
      <c r="X657" s="176"/>
      <c r="Y657" s="176"/>
      <c r="Z657" s="176"/>
    </row>
    <row r="658">
      <c r="A658" s="267"/>
      <c r="B658" s="249"/>
      <c r="C658" s="219"/>
      <c r="D658" s="268"/>
      <c r="E658" s="252"/>
      <c r="F658" s="250"/>
      <c r="G658" s="243"/>
      <c r="H658" s="243"/>
      <c r="I658" s="243"/>
      <c r="J658" s="172"/>
      <c r="K658" s="269"/>
      <c r="L658" s="270"/>
      <c r="M658" s="271"/>
      <c r="N658" s="176"/>
      <c r="O658" s="176"/>
      <c r="P658" s="249"/>
      <c r="Q658" s="249"/>
      <c r="R658" s="176"/>
      <c r="S658" s="176"/>
      <c r="T658" s="176"/>
      <c r="U658" s="176"/>
      <c r="V658" s="176"/>
      <c r="W658" s="176"/>
      <c r="X658" s="176"/>
      <c r="Y658" s="176"/>
      <c r="Z658" s="176"/>
    </row>
    <row r="659">
      <c r="A659" s="267"/>
      <c r="B659" s="249"/>
      <c r="C659" s="219"/>
      <c r="D659" s="268"/>
      <c r="E659" s="252"/>
      <c r="F659" s="250"/>
      <c r="G659" s="243"/>
      <c r="H659" s="243"/>
      <c r="I659" s="243"/>
      <c r="J659" s="172"/>
      <c r="K659" s="269"/>
      <c r="L659" s="270"/>
      <c r="M659" s="271"/>
      <c r="N659" s="176"/>
      <c r="O659" s="176"/>
      <c r="P659" s="249"/>
      <c r="Q659" s="249"/>
      <c r="R659" s="176"/>
      <c r="S659" s="176"/>
      <c r="T659" s="176"/>
      <c r="U659" s="176"/>
      <c r="V659" s="176"/>
      <c r="W659" s="176"/>
      <c r="X659" s="176"/>
      <c r="Y659" s="176"/>
      <c r="Z659" s="176"/>
    </row>
    <row r="660">
      <c r="A660" s="267"/>
      <c r="B660" s="249"/>
      <c r="C660" s="219"/>
      <c r="D660" s="268"/>
      <c r="E660" s="252"/>
      <c r="F660" s="250"/>
      <c r="G660" s="243"/>
      <c r="H660" s="243"/>
      <c r="I660" s="243"/>
      <c r="J660" s="172"/>
      <c r="K660" s="269"/>
      <c r="L660" s="270"/>
      <c r="M660" s="271"/>
      <c r="N660" s="176"/>
      <c r="O660" s="176"/>
      <c r="P660" s="249"/>
      <c r="Q660" s="249"/>
      <c r="R660" s="176"/>
      <c r="S660" s="176"/>
      <c r="T660" s="176"/>
      <c r="U660" s="176"/>
      <c r="V660" s="176"/>
      <c r="W660" s="176"/>
      <c r="X660" s="176"/>
      <c r="Y660" s="176"/>
      <c r="Z660" s="176"/>
    </row>
    <row r="661">
      <c r="A661" s="267"/>
      <c r="B661" s="249"/>
      <c r="C661" s="219"/>
      <c r="D661" s="268"/>
      <c r="E661" s="252"/>
      <c r="F661" s="250"/>
      <c r="G661" s="243"/>
      <c r="H661" s="243"/>
      <c r="I661" s="243"/>
      <c r="J661" s="172"/>
      <c r="K661" s="269"/>
      <c r="L661" s="270"/>
      <c r="M661" s="271"/>
      <c r="N661" s="176"/>
      <c r="O661" s="176"/>
      <c r="P661" s="249"/>
      <c r="Q661" s="249"/>
      <c r="R661" s="176"/>
      <c r="S661" s="176"/>
      <c r="T661" s="176"/>
      <c r="U661" s="176"/>
      <c r="V661" s="176"/>
      <c r="W661" s="176"/>
      <c r="X661" s="176"/>
      <c r="Y661" s="176"/>
      <c r="Z661" s="176"/>
    </row>
    <row r="662">
      <c r="A662" s="267"/>
      <c r="B662" s="249"/>
      <c r="C662" s="219"/>
      <c r="D662" s="268"/>
      <c r="E662" s="252"/>
      <c r="F662" s="250"/>
      <c r="G662" s="243"/>
      <c r="H662" s="243"/>
      <c r="I662" s="243"/>
      <c r="J662" s="172"/>
      <c r="K662" s="269"/>
      <c r="L662" s="270"/>
      <c r="M662" s="271"/>
      <c r="N662" s="176"/>
      <c r="O662" s="176"/>
      <c r="P662" s="249"/>
      <c r="Q662" s="249"/>
      <c r="R662" s="176"/>
      <c r="S662" s="176"/>
      <c r="T662" s="176"/>
      <c r="U662" s="176"/>
      <c r="V662" s="176"/>
      <c r="W662" s="176"/>
      <c r="X662" s="176"/>
      <c r="Y662" s="176"/>
      <c r="Z662" s="176"/>
    </row>
    <row r="663">
      <c r="A663" s="267"/>
      <c r="B663" s="249"/>
      <c r="C663" s="219"/>
      <c r="D663" s="268"/>
      <c r="E663" s="252"/>
      <c r="F663" s="250"/>
      <c r="G663" s="243"/>
      <c r="H663" s="243"/>
      <c r="I663" s="243"/>
      <c r="J663" s="172"/>
      <c r="K663" s="269"/>
      <c r="L663" s="270"/>
      <c r="M663" s="271"/>
      <c r="N663" s="176"/>
      <c r="O663" s="176"/>
      <c r="P663" s="249"/>
      <c r="Q663" s="249"/>
      <c r="R663" s="176"/>
      <c r="S663" s="176"/>
      <c r="T663" s="176"/>
      <c r="U663" s="176"/>
      <c r="V663" s="176"/>
      <c r="W663" s="176"/>
      <c r="X663" s="176"/>
      <c r="Y663" s="176"/>
      <c r="Z663" s="176"/>
    </row>
    <row r="664">
      <c r="A664" s="267"/>
      <c r="B664" s="249"/>
      <c r="C664" s="219"/>
      <c r="D664" s="268"/>
      <c r="E664" s="252"/>
      <c r="F664" s="250"/>
      <c r="G664" s="243"/>
      <c r="H664" s="243"/>
      <c r="I664" s="243"/>
      <c r="J664" s="172"/>
      <c r="K664" s="269"/>
      <c r="L664" s="270"/>
      <c r="M664" s="271"/>
      <c r="N664" s="176"/>
      <c r="O664" s="176"/>
      <c r="P664" s="249"/>
      <c r="Q664" s="249"/>
      <c r="R664" s="176"/>
      <c r="S664" s="176"/>
      <c r="T664" s="176"/>
      <c r="U664" s="176"/>
      <c r="V664" s="176"/>
      <c r="W664" s="176"/>
      <c r="X664" s="176"/>
      <c r="Y664" s="176"/>
      <c r="Z664" s="176"/>
    </row>
    <row r="665">
      <c r="A665" s="267"/>
      <c r="B665" s="249"/>
      <c r="C665" s="219"/>
      <c r="D665" s="268"/>
      <c r="E665" s="252"/>
      <c r="F665" s="250"/>
      <c r="G665" s="243"/>
      <c r="H665" s="243"/>
      <c r="I665" s="243"/>
      <c r="J665" s="172"/>
      <c r="K665" s="269"/>
      <c r="L665" s="270"/>
      <c r="M665" s="271"/>
      <c r="N665" s="176"/>
      <c r="O665" s="176"/>
      <c r="P665" s="249"/>
      <c r="Q665" s="249"/>
      <c r="R665" s="176"/>
      <c r="S665" s="176"/>
      <c r="T665" s="176"/>
      <c r="U665" s="176"/>
      <c r="V665" s="176"/>
      <c r="W665" s="176"/>
      <c r="X665" s="176"/>
      <c r="Y665" s="176"/>
      <c r="Z665" s="176"/>
    </row>
    <row r="666">
      <c r="A666" s="267"/>
      <c r="B666" s="249"/>
      <c r="C666" s="219"/>
      <c r="D666" s="268"/>
      <c r="E666" s="252"/>
      <c r="F666" s="250"/>
      <c r="G666" s="243"/>
      <c r="H666" s="243"/>
      <c r="I666" s="243"/>
      <c r="J666" s="172"/>
      <c r="K666" s="269"/>
      <c r="L666" s="270"/>
      <c r="M666" s="271"/>
      <c r="N666" s="176"/>
      <c r="O666" s="176"/>
      <c r="P666" s="249"/>
      <c r="Q666" s="249"/>
      <c r="R666" s="176"/>
      <c r="S666" s="176"/>
      <c r="T666" s="176"/>
      <c r="U666" s="176"/>
      <c r="V666" s="176"/>
      <c r="W666" s="176"/>
      <c r="X666" s="176"/>
      <c r="Y666" s="176"/>
      <c r="Z666" s="176"/>
    </row>
    <row r="667">
      <c r="A667" s="267"/>
      <c r="B667" s="249"/>
      <c r="C667" s="219"/>
      <c r="D667" s="268"/>
      <c r="E667" s="252"/>
      <c r="F667" s="250"/>
      <c r="G667" s="243"/>
      <c r="H667" s="243"/>
      <c r="I667" s="243"/>
      <c r="J667" s="172"/>
      <c r="K667" s="269"/>
      <c r="L667" s="270"/>
      <c r="M667" s="271"/>
      <c r="N667" s="176"/>
      <c r="O667" s="176"/>
      <c r="P667" s="249"/>
      <c r="Q667" s="249"/>
      <c r="R667" s="176"/>
      <c r="S667" s="176"/>
      <c r="T667" s="176"/>
      <c r="U667" s="176"/>
      <c r="V667" s="176"/>
      <c r="W667" s="176"/>
      <c r="X667" s="176"/>
      <c r="Y667" s="176"/>
      <c r="Z667" s="176"/>
    </row>
    <row r="668">
      <c r="A668" s="267"/>
      <c r="B668" s="249"/>
      <c r="C668" s="219"/>
      <c r="D668" s="268"/>
      <c r="E668" s="252"/>
      <c r="F668" s="250"/>
      <c r="G668" s="243"/>
      <c r="H668" s="243"/>
      <c r="I668" s="243"/>
      <c r="J668" s="172"/>
      <c r="K668" s="269"/>
      <c r="L668" s="270"/>
      <c r="M668" s="271"/>
      <c r="N668" s="176"/>
      <c r="O668" s="176"/>
      <c r="P668" s="249"/>
      <c r="Q668" s="249"/>
      <c r="R668" s="176"/>
      <c r="S668" s="176"/>
      <c r="T668" s="176"/>
      <c r="U668" s="176"/>
      <c r="V668" s="176"/>
      <c r="W668" s="176"/>
      <c r="X668" s="176"/>
      <c r="Y668" s="176"/>
      <c r="Z668" s="176"/>
    </row>
    <row r="669">
      <c r="A669" s="267"/>
      <c r="B669" s="249"/>
      <c r="C669" s="219"/>
      <c r="D669" s="268"/>
      <c r="E669" s="252"/>
      <c r="F669" s="250"/>
      <c r="G669" s="243"/>
      <c r="H669" s="243"/>
      <c r="I669" s="243"/>
      <c r="J669" s="172"/>
      <c r="K669" s="269"/>
      <c r="L669" s="270"/>
      <c r="M669" s="271"/>
      <c r="N669" s="176"/>
      <c r="O669" s="176"/>
      <c r="P669" s="249"/>
      <c r="Q669" s="249"/>
      <c r="R669" s="176"/>
      <c r="S669" s="176"/>
      <c r="T669" s="176"/>
      <c r="U669" s="176"/>
      <c r="V669" s="176"/>
      <c r="W669" s="176"/>
      <c r="X669" s="176"/>
      <c r="Y669" s="176"/>
      <c r="Z669" s="176"/>
    </row>
    <row r="670">
      <c r="A670" s="267"/>
      <c r="B670" s="249"/>
      <c r="C670" s="219"/>
      <c r="D670" s="268"/>
      <c r="E670" s="252"/>
      <c r="F670" s="250"/>
      <c r="G670" s="243"/>
      <c r="H670" s="243"/>
      <c r="I670" s="243"/>
      <c r="J670" s="172"/>
      <c r="K670" s="269"/>
      <c r="L670" s="270"/>
      <c r="M670" s="271"/>
      <c r="N670" s="176"/>
      <c r="O670" s="176"/>
      <c r="P670" s="249"/>
      <c r="Q670" s="249"/>
      <c r="R670" s="176"/>
      <c r="S670" s="176"/>
      <c r="T670" s="176"/>
      <c r="U670" s="176"/>
      <c r="V670" s="176"/>
      <c r="W670" s="176"/>
      <c r="X670" s="176"/>
      <c r="Y670" s="176"/>
      <c r="Z670" s="176"/>
    </row>
    <row r="671">
      <c r="A671" s="267"/>
      <c r="B671" s="249"/>
      <c r="C671" s="219"/>
      <c r="D671" s="268"/>
      <c r="E671" s="252"/>
      <c r="F671" s="250"/>
      <c r="G671" s="243"/>
      <c r="H671" s="243"/>
      <c r="I671" s="243"/>
      <c r="J671" s="172"/>
      <c r="K671" s="269"/>
      <c r="L671" s="270"/>
      <c r="M671" s="271"/>
      <c r="N671" s="176"/>
      <c r="O671" s="176"/>
      <c r="P671" s="249"/>
      <c r="Q671" s="249"/>
      <c r="R671" s="176"/>
      <c r="S671" s="176"/>
      <c r="T671" s="176"/>
      <c r="U671" s="176"/>
      <c r="V671" s="176"/>
      <c r="W671" s="176"/>
      <c r="X671" s="176"/>
      <c r="Y671" s="176"/>
      <c r="Z671" s="176"/>
    </row>
    <row r="672">
      <c r="A672" s="267"/>
      <c r="B672" s="249"/>
      <c r="C672" s="219"/>
      <c r="D672" s="268"/>
      <c r="E672" s="252"/>
      <c r="F672" s="250"/>
      <c r="G672" s="243"/>
      <c r="H672" s="243"/>
      <c r="I672" s="243"/>
      <c r="J672" s="172"/>
      <c r="K672" s="269"/>
      <c r="L672" s="270"/>
      <c r="M672" s="271"/>
      <c r="N672" s="176"/>
      <c r="O672" s="176"/>
      <c r="P672" s="249"/>
      <c r="Q672" s="249"/>
      <c r="R672" s="176"/>
      <c r="S672" s="176"/>
      <c r="T672" s="176"/>
      <c r="U672" s="176"/>
      <c r="V672" s="176"/>
      <c r="W672" s="176"/>
      <c r="X672" s="176"/>
      <c r="Y672" s="176"/>
      <c r="Z672" s="176"/>
    </row>
    <row r="673">
      <c r="A673" s="267"/>
      <c r="B673" s="249"/>
      <c r="C673" s="219"/>
      <c r="D673" s="268"/>
      <c r="E673" s="252"/>
      <c r="F673" s="250"/>
      <c r="G673" s="243"/>
      <c r="H673" s="243"/>
      <c r="I673" s="243"/>
      <c r="J673" s="172"/>
      <c r="K673" s="269"/>
      <c r="L673" s="270"/>
      <c r="M673" s="271"/>
      <c r="N673" s="176"/>
      <c r="O673" s="176"/>
      <c r="P673" s="249"/>
      <c r="Q673" s="249"/>
      <c r="R673" s="176"/>
      <c r="S673" s="176"/>
      <c r="T673" s="176"/>
      <c r="U673" s="176"/>
      <c r="V673" s="176"/>
      <c r="W673" s="176"/>
      <c r="X673" s="176"/>
      <c r="Y673" s="176"/>
      <c r="Z673" s="176"/>
    </row>
    <row r="674">
      <c r="A674" s="267"/>
      <c r="B674" s="249"/>
      <c r="C674" s="219"/>
      <c r="D674" s="268"/>
      <c r="E674" s="252"/>
      <c r="F674" s="250"/>
      <c r="G674" s="243"/>
      <c r="H674" s="243"/>
      <c r="I674" s="243"/>
      <c r="J674" s="172"/>
      <c r="K674" s="269"/>
      <c r="L674" s="270"/>
      <c r="M674" s="271"/>
      <c r="N674" s="176"/>
      <c r="O674" s="176"/>
      <c r="P674" s="249"/>
      <c r="Q674" s="249"/>
      <c r="R674" s="176"/>
      <c r="S674" s="176"/>
      <c r="T674" s="176"/>
      <c r="U674" s="176"/>
      <c r="V674" s="176"/>
      <c r="W674" s="176"/>
      <c r="X674" s="176"/>
      <c r="Y674" s="176"/>
      <c r="Z674" s="176"/>
    </row>
    <row r="675">
      <c r="A675" s="267"/>
      <c r="B675" s="249"/>
      <c r="C675" s="219"/>
      <c r="D675" s="268"/>
      <c r="E675" s="252"/>
      <c r="F675" s="250"/>
      <c r="G675" s="243"/>
      <c r="H675" s="243"/>
      <c r="I675" s="243"/>
      <c r="J675" s="172"/>
      <c r="K675" s="269"/>
      <c r="L675" s="270"/>
      <c r="M675" s="271"/>
      <c r="N675" s="176"/>
      <c r="O675" s="176"/>
      <c r="P675" s="249"/>
      <c r="Q675" s="249"/>
      <c r="R675" s="176"/>
      <c r="S675" s="176"/>
      <c r="T675" s="176"/>
      <c r="U675" s="176"/>
      <c r="V675" s="176"/>
      <c r="W675" s="176"/>
      <c r="X675" s="176"/>
      <c r="Y675" s="176"/>
      <c r="Z675" s="176"/>
    </row>
    <row r="676">
      <c r="A676" s="267"/>
      <c r="B676" s="249"/>
      <c r="C676" s="219"/>
      <c r="D676" s="268"/>
      <c r="E676" s="252"/>
      <c r="F676" s="250"/>
      <c r="G676" s="243"/>
      <c r="H676" s="243"/>
      <c r="I676" s="243"/>
      <c r="J676" s="172"/>
      <c r="K676" s="269"/>
      <c r="L676" s="270"/>
      <c r="M676" s="271"/>
      <c r="N676" s="176"/>
      <c r="O676" s="176"/>
      <c r="P676" s="249"/>
      <c r="Q676" s="249"/>
      <c r="R676" s="176"/>
      <c r="S676" s="176"/>
      <c r="T676" s="176"/>
      <c r="U676" s="176"/>
      <c r="V676" s="176"/>
      <c r="W676" s="176"/>
      <c r="X676" s="176"/>
      <c r="Y676" s="176"/>
      <c r="Z676" s="176"/>
    </row>
    <row r="677">
      <c r="A677" s="267"/>
      <c r="B677" s="249"/>
      <c r="C677" s="219"/>
      <c r="D677" s="268"/>
      <c r="E677" s="252"/>
      <c r="F677" s="250"/>
      <c r="G677" s="243"/>
      <c r="H677" s="243"/>
      <c r="I677" s="243"/>
      <c r="J677" s="172"/>
      <c r="K677" s="269"/>
      <c r="L677" s="270"/>
      <c r="M677" s="271"/>
      <c r="N677" s="176"/>
      <c r="O677" s="176"/>
      <c r="P677" s="249"/>
      <c r="Q677" s="249"/>
      <c r="R677" s="176"/>
      <c r="S677" s="176"/>
      <c r="T677" s="176"/>
      <c r="U677" s="176"/>
      <c r="V677" s="176"/>
      <c r="W677" s="176"/>
      <c r="X677" s="176"/>
      <c r="Y677" s="176"/>
      <c r="Z677" s="176"/>
    </row>
    <row r="678">
      <c r="A678" s="267"/>
      <c r="B678" s="249"/>
      <c r="C678" s="219"/>
      <c r="D678" s="268"/>
      <c r="E678" s="252"/>
      <c r="F678" s="250"/>
      <c r="G678" s="243"/>
      <c r="H678" s="243"/>
      <c r="I678" s="243"/>
      <c r="J678" s="172"/>
      <c r="K678" s="269"/>
      <c r="L678" s="270"/>
      <c r="M678" s="271"/>
      <c r="N678" s="176"/>
      <c r="O678" s="176"/>
      <c r="P678" s="249"/>
      <c r="Q678" s="249"/>
      <c r="R678" s="176"/>
      <c r="S678" s="176"/>
      <c r="T678" s="176"/>
      <c r="U678" s="176"/>
      <c r="V678" s="176"/>
      <c r="W678" s="176"/>
      <c r="X678" s="176"/>
      <c r="Y678" s="176"/>
      <c r="Z678" s="176"/>
    </row>
    <row r="679">
      <c r="A679" s="267"/>
      <c r="B679" s="249"/>
      <c r="C679" s="219"/>
      <c r="D679" s="268"/>
      <c r="E679" s="252"/>
      <c r="F679" s="250"/>
      <c r="G679" s="243"/>
      <c r="H679" s="243"/>
      <c r="I679" s="243"/>
      <c r="J679" s="172"/>
      <c r="K679" s="269"/>
      <c r="L679" s="270"/>
      <c r="M679" s="271"/>
      <c r="N679" s="176"/>
      <c r="O679" s="176"/>
      <c r="P679" s="249"/>
      <c r="Q679" s="249"/>
      <c r="R679" s="176"/>
      <c r="S679" s="176"/>
      <c r="T679" s="176"/>
      <c r="U679" s="176"/>
      <c r="V679" s="176"/>
      <c r="W679" s="176"/>
      <c r="X679" s="176"/>
      <c r="Y679" s="176"/>
      <c r="Z679" s="176"/>
    </row>
    <row r="680">
      <c r="A680" s="267"/>
      <c r="B680" s="249"/>
      <c r="C680" s="219"/>
      <c r="D680" s="268"/>
      <c r="E680" s="252"/>
      <c r="F680" s="250"/>
      <c r="G680" s="243"/>
      <c r="H680" s="243"/>
      <c r="I680" s="243"/>
      <c r="J680" s="172"/>
      <c r="K680" s="269"/>
      <c r="L680" s="270"/>
      <c r="M680" s="271"/>
      <c r="N680" s="176"/>
      <c r="O680" s="176"/>
      <c r="P680" s="249"/>
      <c r="Q680" s="249"/>
      <c r="R680" s="176"/>
      <c r="S680" s="176"/>
      <c r="T680" s="176"/>
      <c r="U680" s="176"/>
      <c r="V680" s="176"/>
      <c r="W680" s="176"/>
      <c r="X680" s="176"/>
      <c r="Y680" s="176"/>
      <c r="Z680" s="176"/>
    </row>
    <row r="681">
      <c r="A681" s="267"/>
      <c r="B681" s="249"/>
      <c r="C681" s="219"/>
      <c r="D681" s="268"/>
      <c r="E681" s="252"/>
      <c r="F681" s="250"/>
      <c r="G681" s="243"/>
      <c r="H681" s="243"/>
      <c r="I681" s="243"/>
      <c r="J681" s="172"/>
      <c r="K681" s="269"/>
      <c r="L681" s="270"/>
      <c r="M681" s="271"/>
      <c r="N681" s="176"/>
      <c r="O681" s="176"/>
      <c r="P681" s="249"/>
      <c r="Q681" s="249"/>
      <c r="R681" s="176"/>
      <c r="S681" s="176"/>
      <c r="T681" s="176"/>
      <c r="U681" s="176"/>
      <c r="V681" s="176"/>
      <c r="W681" s="176"/>
      <c r="X681" s="176"/>
      <c r="Y681" s="176"/>
      <c r="Z681" s="176"/>
    </row>
    <row r="682">
      <c r="A682" s="267"/>
      <c r="B682" s="249"/>
      <c r="C682" s="219"/>
      <c r="D682" s="268"/>
      <c r="E682" s="252"/>
      <c r="F682" s="250"/>
      <c r="G682" s="243"/>
      <c r="H682" s="243"/>
      <c r="I682" s="243"/>
      <c r="J682" s="172"/>
      <c r="K682" s="269"/>
      <c r="L682" s="270"/>
      <c r="M682" s="271"/>
      <c r="N682" s="176"/>
      <c r="O682" s="176"/>
      <c r="P682" s="249"/>
      <c r="Q682" s="249"/>
      <c r="R682" s="176"/>
      <c r="S682" s="176"/>
      <c r="T682" s="176"/>
      <c r="U682" s="176"/>
      <c r="V682" s="176"/>
      <c r="W682" s="176"/>
      <c r="X682" s="176"/>
      <c r="Y682" s="176"/>
      <c r="Z682" s="176"/>
    </row>
    <row r="683">
      <c r="A683" s="267"/>
      <c r="B683" s="249"/>
      <c r="C683" s="219"/>
      <c r="D683" s="268"/>
      <c r="E683" s="252"/>
      <c r="F683" s="250"/>
      <c r="G683" s="243"/>
      <c r="H683" s="243"/>
      <c r="I683" s="243"/>
      <c r="J683" s="172"/>
      <c r="K683" s="269"/>
      <c r="L683" s="270"/>
      <c r="M683" s="271"/>
      <c r="N683" s="176"/>
      <c r="O683" s="176"/>
      <c r="P683" s="249"/>
      <c r="Q683" s="249"/>
      <c r="R683" s="176"/>
      <c r="S683" s="176"/>
      <c r="T683" s="176"/>
      <c r="U683" s="176"/>
      <c r="V683" s="176"/>
      <c r="W683" s="176"/>
      <c r="X683" s="176"/>
      <c r="Y683" s="176"/>
      <c r="Z683" s="176"/>
    </row>
    <row r="684">
      <c r="A684" s="267"/>
      <c r="B684" s="249"/>
      <c r="C684" s="219"/>
      <c r="D684" s="268"/>
      <c r="E684" s="252"/>
      <c r="F684" s="250"/>
      <c r="G684" s="243"/>
      <c r="H684" s="243"/>
      <c r="I684" s="243"/>
      <c r="J684" s="172"/>
      <c r="K684" s="269"/>
      <c r="L684" s="270"/>
      <c r="M684" s="271"/>
      <c r="N684" s="176"/>
      <c r="O684" s="176"/>
      <c r="P684" s="249"/>
      <c r="Q684" s="249"/>
      <c r="R684" s="176"/>
      <c r="S684" s="176"/>
      <c r="T684" s="176"/>
      <c r="U684" s="176"/>
      <c r="V684" s="176"/>
      <c r="W684" s="176"/>
      <c r="X684" s="176"/>
      <c r="Y684" s="176"/>
      <c r="Z684" s="176"/>
    </row>
    <row r="685">
      <c r="A685" s="267"/>
      <c r="B685" s="249"/>
      <c r="C685" s="219"/>
      <c r="D685" s="268"/>
      <c r="E685" s="252"/>
      <c r="F685" s="250"/>
      <c r="G685" s="243"/>
      <c r="H685" s="243"/>
      <c r="I685" s="243"/>
      <c r="J685" s="172"/>
      <c r="K685" s="269"/>
      <c r="L685" s="270"/>
      <c r="M685" s="271"/>
      <c r="N685" s="176"/>
      <c r="O685" s="176"/>
      <c r="P685" s="249"/>
      <c r="Q685" s="249"/>
      <c r="R685" s="176"/>
      <c r="S685" s="176"/>
      <c r="T685" s="176"/>
      <c r="U685" s="176"/>
      <c r="V685" s="176"/>
      <c r="W685" s="176"/>
      <c r="X685" s="176"/>
      <c r="Y685" s="176"/>
      <c r="Z685" s="176"/>
    </row>
    <row r="686">
      <c r="A686" s="267"/>
      <c r="B686" s="249"/>
      <c r="C686" s="219"/>
      <c r="D686" s="268"/>
      <c r="E686" s="252"/>
      <c r="F686" s="250"/>
      <c r="G686" s="243"/>
      <c r="H686" s="243"/>
      <c r="I686" s="243"/>
      <c r="J686" s="172"/>
      <c r="K686" s="269"/>
      <c r="L686" s="270"/>
      <c r="M686" s="271"/>
      <c r="N686" s="176"/>
      <c r="O686" s="176"/>
      <c r="P686" s="249"/>
      <c r="Q686" s="249"/>
      <c r="R686" s="176"/>
      <c r="S686" s="176"/>
      <c r="T686" s="176"/>
      <c r="U686" s="176"/>
      <c r="V686" s="176"/>
      <c r="W686" s="176"/>
      <c r="X686" s="176"/>
      <c r="Y686" s="176"/>
      <c r="Z686" s="176"/>
    </row>
    <row r="687">
      <c r="A687" s="267"/>
      <c r="B687" s="249"/>
      <c r="C687" s="219"/>
      <c r="D687" s="268"/>
      <c r="E687" s="252"/>
      <c r="F687" s="250"/>
      <c r="G687" s="243"/>
      <c r="H687" s="243"/>
      <c r="I687" s="243"/>
      <c r="J687" s="172"/>
      <c r="K687" s="269"/>
      <c r="L687" s="270"/>
      <c r="M687" s="271"/>
      <c r="N687" s="176"/>
      <c r="O687" s="176"/>
      <c r="P687" s="249"/>
      <c r="Q687" s="249"/>
      <c r="R687" s="176"/>
      <c r="S687" s="176"/>
      <c r="T687" s="176"/>
      <c r="U687" s="176"/>
      <c r="V687" s="176"/>
      <c r="W687" s="176"/>
      <c r="X687" s="176"/>
      <c r="Y687" s="176"/>
      <c r="Z687" s="176"/>
    </row>
    <row r="688">
      <c r="A688" s="267"/>
      <c r="B688" s="249"/>
      <c r="C688" s="219"/>
      <c r="D688" s="268"/>
      <c r="E688" s="252"/>
      <c r="F688" s="250"/>
      <c r="G688" s="243"/>
      <c r="H688" s="243"/>
      <c r="I688" s="243"/>
      <c r="J688" s="172"/>
      <c r="K688" s="269"/>
      <c r="L688" s="270"/>
      <c r="M688" s="271"/>
      <c r="N688" s="176"/>
      <c r="O688" s="176"/>
      <c r="P688" s="249"/>
      <c r="Q688" s="249"/>
      <c r="R688" s="176"/>
      <c r="S688" s="176"/>
      <c r="T688" s="176"/>
      <c r="U688" s="176"/>
      <c r="V688" s="176"/>
      <c r="W688" s="176"/>
      <c r="X688" s="176"/>
      <c r="Y688" s="176"/>
      <c r="Z688" s="176"/>
    </row>
    <row r="689">
      <c r="A689" s="267"/>
      <c r="B689" s="249"/>
      <c r="C689" s="219"/>
      <c r="D689" s="268"/>
      <c r="E689" s="252"/>
      <c r="F689" s="250"/>
      <c r="G689" s="243"/>
      <c r="H689" s="243"/>
      <c r="I689" s="243"/>
      <c r="J689" s="172"/>
      <c r="K689" s="269"/>
      <c r="L689" s="270"/>
      <c r="M689" s="271"/>
      <c r="N689" s="176"/>
      <c r="O689" s="176"/>
      <c r="P689" s="249"/>
      <c r="Q689" s="249"/>
      <c r="R689" s="176"/>
      <c r="S689" s="176"/>
      <c r="T689" s="176"/>
      <c r="U689" s="176"/>
      <c r="V689" s="176"/>
      <c r="W689" s="176"/>
      <c r="X689" s="176"/>
      <c r="Y689" s="176"/>
      <c r="Z689" s="176"/>
    </row>
    <row r="690">
      <c r="A690" s="267"/>
      <c r="B690" s="249"/>
      <c r="C690" s="219"/>
      <c r="D690" s="268"/>
      <c r="E690" s="252"/>
      <c r="F690" s="250"/>
      <c r="G690" s="243"/>
      <c r="H690" s="243"/>
      <c r="I690" s="243"/>
      <c r="J690" s="172"/>
      <c r="K690" s="269"/>
      <c r="L690" s="270"/>
      <c r="M690" s="271"/>
      <c r="N690" s="176"/>
      <c r="O690" s="176"/>
      <c r="P690" s="249"/>
      <c r="Q690" s="249"/>
      <c r="R690" s="176"/>
      <c r="S690" s="176"/>
      <c r="T690" s="176"/>
      <c r="U690" s="176"/>
      <c r="V690" s="176"/>
      <c r="W690" s="176"/>
      <c r="X690" s="176"/>
      <c r="Y690" s="176"/>
      <c r="Z690" s="176"/>
    </row>
    <row r="691">
      <c r="A691" s="267"/>
      <c r="B691" s="249"/>
      <c r="C691" s="219"/>
      <c r="D691" s="268"/>
      <c r="E691" s="252"/>
      <c r="F691" s="250"/>
      <c r="G691" s="243"/>
      <c r="H691" s="243"/>
      <c r="I691" s="243"/>
      <c r="J691" s="172"/>
      <c r="K691" s="269"/>
      <c r="L691" s="270"/>
      <c r="M691" s="271"/>
      <c r="N691" s="176"/>
      <c r="O691" s="176"/>
      <c r="P691" s="249"/>
      <c r="Q691" s="249"/>
      <c r="R691" s="176"/>
      <c r="S691" s="176"/>
      <c r="T691" s="176"/>
      <c r="U691" s="176"/>
      <c r="V691" s="176"/>
      <c r="W691" s="176"/>
      <c r="X691" s="176"/>
      <c r="Y691" s="176"/>
      <c r="Z691" s="176"/>
    </row>
    <row r="692">
      <c r="A692" s="267"/>
      <c r="B692" s="249"/>
      <c r="C692" s="219"/>
      <c r="D692" s="268"/>
      <c r="E692" s="252"/>
      <c r="F692" s="250"/>
      <c r="G692" s="243"/>
      <c r="H692" s="243"/>
      <c r="I692" s="243"/>
      <c r="J692" s="172"/>
      <c r="K692" s="269"/>
      <c r="L692" s="270"/>
      <c r="M692" s="271"/>
      <c r="N692" s="176"/>
      <c r="O692" s="176"/>
      <c r="P692" s="249"/>
      <c r="Q692" s="249"/>
      <c r="R692" s="176"/>
      <c r="S692" s="176"/>
      <c r="T692" s="176"/>
      <c r="U692" s="176"/>
      <c r="V692" s="176"/>
      <c r="W692" s="176"/>
      <c r="X692" s="176"/>
      <c r="Y692" s="176"/>
      <c r="Z692" s="176"/>
    </row>
    <row r="693">
      <c r="A693" s="267"/>
      <c r="B693" s="249"/>
      <c r="C693" s="219"/>
      <c r="D693" s="268"/>
      <c r="E693" s="252"/>
      <c r="F693" s="250"/>
      <c r="G693" s="243"/>
      <c r="H693" s="243"/>
      <c r="I693" s="243"/>
      <c r="J693" s="172"/>
      <c r="K693" s="269"/>
      <c r="L693" s="270"/>
      <c r="M693" s="271"/>
      <c r="N693" s="176"/>
      <c r="O693" s="176"/>
      <c r="P693" s="249"/>
      <c r="Q693" s="249"/>
      <c r="R693" s="176"/>
      <c r="S693" s="176"/>
      <c r="T693" s="176"/>
      <c r="U693" s="176"/>
      <c r="V693" s="176"/>
      <c r="W693" s="176"/>
      <c r="X693" s="176"/>
      <c r="Y693" s="176"/>
      <c r="Z693" s="176"/>
    </row>
    <row r="694">
      <c r="A694" s="267"/>
      <c r="B694" s="249"/>
      <c r="C694" s="219"/>
      <c r="D694" s="268"/>
      <c r="E694" s="252"/>
      <c r="F694" s="250"/>
      <c r="G694" s="243"/>
      <c r="H694" s="243"/>
      <c r="I694" s="243"/>
      <c r="J694" s="172"/>
      <c r="K694" s="269"/>
      <c r="L694" s="270"/>
      <c r="M694" s="271"/>
      <c r="N694" s="176"/>
      <c r="O694" s="176"/>
      <c r="P694" s="249"/>
      <c r="Q694" s="249"/>
      <c r="R694" s="176"/>
      <c r="S694" s="176"/>
      <c r="T694" s="176"/>
      <c r="U694" s="176"/>
      <c r="V694" s="176"/>
      <c r="W694" s="176"/>
      <c r="X694" s="176"/>
      <c r="Y694" s="176"/>
      <c r="Z694" s="176"/>
    </row>
    <row r="695">
      <c r="A695" s="267"/>
      <c r="B695" s="249"/>
      <c r="C695" s="219"/>
      <c r="D695" s="268"/>
      <c r="E695" s="252"/>
      <c r="F695" s="250"/>
      <c r="G695" s="243"/>
      <c r="H695" s="243"/>
      <c r="I695" s="243"/>
      <c r="J695" s="172"/>
      <c r="K695" s="269"/>
      <c r="L695" s="270"/>
      <c r="M695" s="271"/>
      <c r="N695" s="176"/>
      <c r="O695" s="176"/>
      <c r="P695" s="249"/>
      <c r="Q695" s="249"/>
      <c r="R695" s="176"/>
      <c r="S695" s="176"/>
      <c r="T695" s="176"/>
      <c r="U695" s="176"/>
      <c r="V695" s="176"/>
      <c r="W695" s="176"/>
      <c r="X695" s="176"/>
      <c r="Y695" s="176"/>
      <c r="Z695" s="176"/>
    </row>
    <row r="696">
      <c r="A696" s="267"/>
      <c r="B696" s="249"/>
      <c r="C696" s="219"/>
      <c r="D696" s="268"/>
      <c r="E696" s="252"/>
      <c r="F696" s="250"/>
      <c r="G696" s="243"/>
      <c r="H696" s="243"/>
      <c r="I696" s="243"/>
      <c r="J696" s="172"/>
      <c r="K696" s="269"/>
      <c r="L696" s="270"/>
      <c r="M696" s="271"/>
      <c r="N696" s="176"/>
      <c r="O696" s="176"/>
      <c r="P696" s="249"/>
      <c r="Q696" s="249"/>
      <c r="R696" s="176"/>
      <c r="S696" s="176"/>
      <c r="T696" s="176"/>
      <c r="U696" s="176"/>
      <c r="V696" s="176"/>
      <c r="W696" s="176"/>
      <c r="X696" s="176"/>
      <c r="Y696" s="176"/>
      <c r="Z696" s="176"/>
    </row>
    <row r="697">
      <c r="A697" s="267"/>
      <c r="B697" s="249"/>
      <c r="C697" s="219"/>
      <c r="D697" s="268"/>
      <c r="E697" s="252"/>
      <c r="F697" s="250"/>
      <c r="G697" s="243"/>
      <c r="H697" s="243"/>
      <c r="I697" s="243"/>
      <c r="J697" s="172"/>
      <c r="K697" s="269"/>
      <c r="L697" s="270"/>
      <c r="M697" s="271"/>
      <c r="N697" s="176"/>
      <c r="O697" s="176"/>
      <c r="P697" s="249"/>
      <c r="Q697" s="249"/>
      <c r="R697" s="176"/>
      <c r="S697" s="176"/>
      <c r="T697" s="176"/>
      <c r="U697" s="176"/>
      <c r="V697" s="176"/>
      <c r="W697" s="176"/>
      <c r="X697" s="176"/>
      <c r="Y697" s="176"/>
      <c r="Z697" s="176"/>
    </row>
    <row r="698">
      <c r="A698" s="267"/>
      <c r="B698" s="249"/>
      <c r="C698" s="219"/>
      <c r="D698" s="268"/>
      <c r="E698" s="252"/>
      <c r="F698" s="250"/>
      <c r="G698" s="243"/>
      <c r="H698" s="243"/>
      <c r="I698" s="243"/>
      <c r="J698" s="172"/>
      <c r="K698" s="269"/>
      <c r="L698" s="270"/>
      <c r="M698" s="271"/>
      <c r="N698" s="176"/>
      <c r="O698" s="176"/>
      <c r="P698" s="249"/>
      <c r="Q698" s="249"/>
      <c r="R698" s="176"/>
      <c r="S698" s="176"/>
      <c r="T698" s="176"/>
      <c r="U698" s="176"/>
      <c r="V698" s="176"/>
      <c r="W698" s="176"/>
      <c r="X698" s="176"/>
      <c r="Y698" s="176"/>
      <c r="Z698" s="176"/>
    </row>
    <row r="699">
      <c r="A699" s="267"/>
      <c r="B699" s="249"/>
      <c r="C699" s="219"/>
      <c r="D699" s="268"/>
      <c r="E699" s="252"/>
      <c r="F699" s="250"/>
      <c r="G699" s="243"/>
      <c r="H699" s="243"/>
      <c r="I699" s="243"/>
      <c r="J699" s="172"/>
      <c r="K699" s="269"/>
      <c r="L699" s="270"/>
      <c r="M699" s="271"/>
      <c r="N699" s="176"/>
      <c r="O699" s="176"/>
      <c r="P699" s="249"/>
      <c r="Q699" s="249"/>
      <c r="R699" s="176"/>
      <c r="S699" s="176"/>
      <c r="T699" s="176"/>
      <c r="U699" s="176"/>
      <c r="V699" s="176"/>
      <c r="W699" s="176"/>
      <c r="X699" s="176"/>
      <c r="Y699" s="176"/>
      <c r="Z699" s="176"/>
    </row>
    <row r="700">
      <c r="A700" s="267"/>
      <c r="B700" s="249"/>
      <c r="C700" s="219"/>
      <c r="D700" s="268"/>
      <c r="E700" s="252"/>
      <c r="F700" s="250"/>
      <c r="G700" s="243"/>
      <c r="H700" s="243"/>
      <c r="I700" s="243"/>
      <c r="J700" s="172"/>
      <c r="K700" s="269"/>
      <c r="L700" s="270"/>
      <c r="M700" s="271"/>
      <c r="N700" s="176"/>
      <c r="O700" s="176"/>
      <c r="P700" s="249"/>
      <c r="Q700" s="249"/>
      <c r="R700" s="176"/>
      <c r="S700" s="176"/>
      <c r="T700" s="176"/>
      <c r="U700" s="176"/>
      <c r="V700" s="176"/>
      <c r="W700" s="176"/>
      <c r="X700" s="176"/>
      <c r="Y700" s="176"/>
      <c r="Z700" s="176"/>
    </row>
    <row r="701">
      <c r="A701" s="267"/>
      <c r="B701" s="249"/>
      <c r="C701" s="219"/>
      <c r="D701" s="268"/>
      <c r="E701" s="252"/>
      <c r="F701" s="250"/>
      <c r="G701" s="243"/>
      <c r="H701" s="243"/>
      <c r="I701" s="243"/>
      <c r="J701" s="172"/>
      <c r="K701" s="269"/>
      <c r="L701" s="270"/>
      <c r="M701" s="271"/>
      <c r="N701" s="176"/>
      <c r="O701" s="176"/>
      <c r="P701" s="249"/>
      <c r="Q701" s="249"/>
      <c r="R701" s="176"/>
      <c r="S701" s="176"/>
      <c r="T701" s="176"/>
      <c r="U701" s="176"/>
      <c r="V701" s="176"/>
      <c r="W701" s="176"/>
      <c r="X701" s="176"/>
      <c r="Y701" s="176"/>
      <c r="Z701" s="176"/>
    </row>
    <row r="702">
      <c r="A702" s="249"/>
      <c r="B702" s="249"/>
      <c r="C702" s="219"/>
      <c r="D702" s="268"/>
      <c r="E702" s="252"/>
      <c r="F702" s="250"/>
      <c r="G702" s="243"/>
      <c r="H702" s="243"/>
      <c r="I702" s="243"/>
      <c r="J702" s="172"/>
      <c r="K702" s="269"/>
      <c r="L702" s="270"/>
      <c r="M702" s="271"/>
      <c r="N702" s="176"/>
      <c r="O702" s="176"/>
      <c r="P702" s="249"/>
      <c r="Q702" s="249"/>
      <c r="R702" s="176"/>
      <c r="S702" s="176"/>
      <c r="T702" s="176"/>
      <c r="U702" s="176"/>
      <c r="V702" s="176"/>
      <c r="W702" s="176"/>
      <c r="X702" s="176"/>
      <c r="Y702" s="176"/>
      <c r="Z702" s="176"/>
    </row>
    <row r="703">
      <c r="A703" s="249"/>
      <c r="B703" s="249"/>
      <c r="C703" s="219"/>
      <c r="D703" s="268"/>
      <c r="E703" s="252"/>
      <c r="F703" s="250"/>
      <c r="G703" s="243"/>
      <c r="H703" s="243"/>
      <c r="I703" s="243"/>
      <c r="J703" s="172"/>
      <c r="K703" s="269"/>
      <c r="L703" s="270"/>
      <c r="M703" s="271"/>
      <c r="N703" s="176"/>
      <c r="O703" s="176"/>
      <c r="P703" s="249"/>
      <c r="Q703" s="249"/>
      <c r="R703" s="176"/>
      <c r="S703" s="176"/>
      <c r="T703" s="176"/>
      <c r="U703" s="176"/>
      <c r="V703" s="176"/>
      <c r="W703" s="176"/>
      <c r="X703" s="176"/>
      <c r="Y703" s="176"/>
      <c r="Z703" s="176"/>
    </row>
    <row r="704">
      <c r="A704" s="249"/>
      <c r="B704" s="249"/>
      <c r="C704" s="219"/>
      <c r="D704" s="268"/>
      <c r="E704" s="252"/>
      <c r="F704" s="250"/>
      <c r="G704" s="243"/>
      <c r="H704" s="243"/>
      <c r="I704" s="243"/>
      <c r="J704" s="172"/>
      <c r="K704" s="269"/>
      <c r="L704" s="270"/>
      <c r="M704" s="271"/>
      <c r="N704" s="176"/>
      <c r="O704" s="176"/>
      <c r="P704" s="249"/>
      <c r="Q704" s="249"/>
      <c r="R704" s="176"/>
      <c r="S704" s="176"/>
      <c r="T704" s="176"/>
      <c r="U704" s="176"/>
      <c r="V704" s="176"/>
      <c r="W704" s="176"/>
      <c r="X704" s="176"/>
      <c r="Y704" s="176"/>
      <c r="Z704" s="176"/>
    </row>
    <row r="705">
      <c r="A705" s="249"/>
      <c r="B705" s="249"/>
      <c r="C705" s="219"/>
      <c r="D705" s="268"/>
      <c r="E705" s="252"/>
      <c r="F705" s="250"/>
      <c r="G705" s="243"/>
      <c r="H705" s="243"/>
      <c r="I705" s="243"/>
      <c r="J705" s="172"/>
      <c r="K705" s="269"/>
      <c r="L705" s="270"/>
      <c r="M705" s="271"/>
      <c r="N705" s="176"/>
      <c r="O705" s="176"/>
      <c r="P705" s="249"/>
      <c r="Q705" s="249"/>
      <c r="R705" s="176"/>
      <c r="S705" s="176"/>
      <c r="T705" s="176"/>
      <c r="U705" s="176"/>
      <c r="V705" s="176"/>
      <c r="W705" s="176"/>
      <c r="X705" s="176"/>
      <c r="Y705" s="176"/>
      <c r="Z705" s="176"/>
    </row>
    <row r="706">
      <c r="A706" s="249"/>
      <c r="B706" s="249"/>
      <c r="C706" s="219"/>
      <c r="D706" s="268"/>
      <c r="E706" s="252"/>
      <c r="F706" s="250"/>
      <c r="G706" s="243"/>
      <c r="H706" s="243"/>
      <c r="I706" s="243"/>
      <c r="J706" s="172"/>
      <c r="K706" s="269"/>
      <c r="L706" s="270"/>
      <c r="M706" s="271"/>
      <c r="N706" s="176"/>
      <c r="O706" s="176"/>
      <c r="P706" s="249"/>
      <c r="Q706" s="249"/>
      <c r="R706" s="176"/>
      <c r="S706" s="176"/>
      <c r="T706" s="176"/>
      <c r="U706" s="176"/>
      <c r="V706" s="176"/>
      <c r="W706" s="176"/>
      <c r="X706" s="176"/>
      <c r="Y706" s="176"/>
      <c r="Z706" s="176"/>
    </row>
    <row r="707">
      <c r="A707" s="249"/>
      <c r="B707" s="249"/>
      <c r="C707" s="219"/>
      <c r="D707" s="268"/>
      <c r="E707" s="252"/>
      <c r="F707" s="250"/>
      <c r="G707" s="243"/>
      <c r="H707" s="243"/>
      <c r="I707" s="243"/>
      <c r="J707" s="172"/>
      <c r="K707" s="269"/>
      <c r="L707" s="270"/>
      <c r="M707" s="271"/>
      <c r="N707" s="176"/>
      <c r="O707" s="176"/>
      <c r="P707" s="249"/>
      <c r="Q707" s="249"/>
      <c r="R707" s="176"/>
      <c r="S707" s="176"/>
      <c r="T707" s="176"/>
      <c r="U707" s="176"/>
      <c r="V707" s="176"/>
      <c r="W707" s="176"/>
      <c r="X707" s="176"/>
      <c r="Y707" s="176"/>
      <c r="Z707" s="176"/>
    </row>
    <row r="708">
      <c r="A708" s="249"/>
      <c r="B708" s="249"/>
      <c r="C708" s="219"/>
      <c r="D708" s="268"/>
      <c r="E708" s="252"/>
      <c r="F708" s="250"/>
      <c r="G708" s="243"/>
      <c r="H708" s="243"/>
      <c r="I708" s="243"/>
      <c r="J708" s="172"/>
      <c r="K708" s="269"/>
      <c r="L708" s="270"/>
      <c r="M708" s="271"/>
      <c r="N708" s="176"/>
      <c r="O708" s="176"/>
      <c r="P708" s="249"/>
      <c r="Q708" s="249"/>
      <c r="R708" s="176"/>
      <c r="S708" s="176"/>
      <c r="T708" s="176"/>
      <c r="U708" s="176"/>
      <c r="V708" s="176"/>
      <c r="W708" s="176"/>
      <c r="X708" s="176"/>
      <c r="Y708" s="176"/>
      <c r="Z708" s="176"/>
    </row>
    <row r="709">
      <c r="A709" s="249"/>
      <c r="B709" s="249"/>
      <c r="C709" s="219"/>
      <c r="D709" s="268"/>
      <c r="E709" s="252"/>
      <c r="F709" s="250"/>
      <c r="G709" s="243"/>
      <c r="H709" s="243"/>
      <c r="I709" s="243"/>
      <c r="J709" s="172"/>
      <c r="K709" s="269"/>
      <c r="L709" s="270"/>
      <c r="M709" s="271"/>
      <c r="N709" s="176"/>
      <c r="O709" s="176"/>
      <c r="P709" s="249"/>
      <c r="Q709" s="249"/>
      <c r="R709" s="176"/>
      <c r="S709" s="176"/>
      <c r="T709" s="176"/>
      <c r="U709" s="176"/>
      <c r="V709" s="176"/>
      <c r="W709" s="176"/>
      <c r="X709" s="176"/>
      <c r="Y709" s="176"/>
      <c r="Z709" s="176"/>
    </row>
    <row r="710">
      <c r="A710" s="249"/>
      <c r="B710" s="249"/>
      <c r="C710" s="219"/>
      <c r="D710" s="268"/>
      <c r="E710" s="252"/>
      <c r="F710" s="250"/>
      <c r="G710" s="243"/>
      <c r="H710" s="243"/>
      <c r="I710" s="243"/>
      <c r="J710" s="172"/>
      <c r="K710" s="269"/>
      <c r="L710" s="270"/>
      <c r="M710" s="271"/>
      <c r="N710" s="176"/>
      <c r="O710" s="176"/>
      <c r="P710" s="249"/>
      <c r="Q710" s="249"/>
      <c r="R710" s="176"/>
      <c r="S710" s="176"/>
      <c r="T710" s="176"/>
      <c r="U710" s="176"/>
      <c r="V710" s="176"/>
      <c r="W710" s="176"/>
      <c r="X710" s="176"/>
      <c r="Y710" s="176"/>
      <c r="Z710" s="176"/>
    </row>
    <row r="711">
      <c r="A711" s="249"/>
      <c r="B711" s="249"/>
      <c r="C711" s="219"/>
      <c r="D711" s="268"/>
      <c r="E711" s="252"/>
      <c r="F711" s="250"/>
      <c r="G711" s="243"/>
      <c r="H711" s="243"/>
      <c r="I711" s="243"/>
      <c r="J711" s="172"/>
      <c r="K711" s="269"/>
      <c r="L711" s="270"/>
      <c r="M711" s="271"/>
      <c r="N711" s="176"/>
      <c r="O711" s="176"/>
      <c r="P711" s="249"/>
      <c r="Q711" s="249"/>
      <c r="R711" s="176"/>
      <c r="S711" s="176"/>
      <c r="T711" s="176"/>
      <c r="U711" s="176"/>
      <c r="V711" s="176"/>
      <c r="W711" s="176"/>
      <c r="X711" s="176"/>
      <c r="Y711" s="176"/>
      <c r="Z711" s="176"/>
    </row>
    <row r="712">
      <c r="A712" s="249"/>
      <c r="B712" s="249"/>
      <c r="C712" s="219"/>
      <c r="D712" s="268"/>
      <c r="E712" s="252"/>
      <c r="F712" s="250"/>
      <c r="G712" s="243"/>
      <c r="H712" s="243"/>
      <c r="I712" s="243"/>
      <c r="J712" s="172"/>
      <c r="K712" s="269"/>
      <c r="L712" s="270"/>
      <c r="M712" s="271"/>
      <c r="N712" s="176"/>
      <c r="O712" s="176"/>
      <c r="P712" s="249"/>
      <c r="Q712" s="249"/>
      <c r="R712" s="176"/>
      <c r="S712" s="176"/>
      <c r="T712" s="176"/>
      <c r="U712" s="176"/>
      <c r="V712" s="176"/>
      <c r="W712" s="176"/>
      <c r="X712" s="176"/>
      <c r="Y712" s="176"/>
      <c r="Z712" s="176"/>
    </row>
    <row r="713">
      <c r="A713" s="249"/>
      <c r="B713" s="249"/>
      <c r="C713" s="219"/>
      <c r="D713" s="268"/>
      <c r="E713" s="252"/>
      <c r="F713" s="250"/>
      <c r="G713" s="243"/>
      <c r="H713" s="243"/>
      <c r="I713" s="243"/>
      <c r="J713" s="172"/>
      <c r="K713" s="269"/>
      <c r="L713" s="270"/>
      <c r="M713" s="271"/>
      <c r="N713" s="176"/>
      <c r="O713" s="176"/>
      <c r="P713" s="249"/>
      <c r="Q713" s="249"/>
      <c r="R713" s="176"/>
      <c r="S713" s="176"/>
      <c r="T713" s="176"/>
      <c r="U713" s="176"/>
      <c r="V713" s="176"/>
      <c r="W713" s="176"/>
      <c r="X713" s="176"/>
      <c r="Y713" s="176"/>
      <c r="Z713" s="176"/>
    </row>
    <row r="714">
      <c r="A714" s="249"/>
      <c r="B714" s="249"/>
      <c r="C714" s="219"/>
      <c r="D714" s="268"/>
      <c r="E714" s="252"/>
      <c r="F714" s="250"/>
      <c r="G714" s="243"/>
      <c r="H714" s="243"/>
      <c r="I714" s="243"/>
      <c r="J714" s="172"/>
      <c r="K714" s="269"/>
      <c r="L714" s="270"/>
      <c r="M714" s="271"/>
      <c r="N714" s="176"/>
      <c r="O714" s="176"/>
      <c r="P714" s="249"/>
      <c r="Q714" s="249"/>
      <c r="R714" s="176"/>
      <c r="S714" s="176"/>
      <c r="T714" s="176"/>
      <c r="U714" s="176"/>
      <c r="V714" s="176"/>
      <c r="W714" s="176"/>
      <c r="X714" s="176"/>
      <c r="Y714" s="176"/>
      <c r="Z714" s="176"/>
    </row>
    <row r="715">
      <c r="A715" s="249"/>
      <c r="B715" s="249"/>
      <c r="C715" s="219"/>
      <c r="D715" s="268"/>
      <c r="E715" s="252"/>
      <c r="F715" s="250"/>
      <c r="G715" s="243"/>
      <c r="H715" s="243"/>
      <c r="I715" s="243"/>
      <c r="J715" s="172"/>
      <c r="K715" s="269"/>
      <c r="L715" s="270"/>
      <c r="M715" s="271"/>
      <c r="N715" s="176"/>
      <c r="O715" s="176"/>
      <c r="P715" s="249"/>
      <c r="Q715" s="249"/>
      <c r="R715" s="176"/>
      <c r="S715" s="176"/>
      <c r="T715" s="176"/>
      <c r="U715" s="176"/>
      <c r="V715" s="176"/>
      <c r="W715" s="176"/>
      <c r="X715" s="176"/>
      <c r="Y715" s="176"/>
      <c r="Z715" s="176"/>
    </row>
    <row r="716">
      <c r="A716" s="249"/>
      <c r="B716" s="249"/>
      <c r="C716" s="219"/>
      <c r="D716" s="268"/>
      <c r="E716" s="252"/>
      <c r="F716" s="250"/>
      <c r="G716" s="243"/>
      <c r="H716" s="243"/>
      <c r="I716" s="243"/>
      <c r="J716" s="172"/>
      <c r="K716" s="269"/>
      <c r="L716" s="270"/>
      <c r="M716" s="271"/>
      <c r="N716" s="176"/>
      <c r="O716" s="176"/>
      <c r="P716" s="249"/>
      <c r="Q716" s="249"/>
      <c r="R716" s="176"/>
      <c r="S716" s="176"/>
      <c r="T716" s="176"/>
      <c r="U716" s="176"/>
      <c r="V716" s="176"/>
      <c r="W716" s="176"/>
      <c r="X716" s="176"/>
      <c r="Y716" s="176"/>
      <c r="Z716" s="176"/>
    </row>
    <row r="717">
      <c r="A717" s="249"/>
      <c r="B717" s="249"/>
      <c r="C717" s="219"/>
      <c r="D717" s="268"/>
      <c r="E717" s="252"/>
      <c r="F717" s="250"/>
      <c r="G717" s="243"/>
      <c r="H717" s="243"/>
      <c r="I717" s="243"/>
      <c r="J717" s="172"/>
      <c r="K717" s="269"/>
      <c r="L717" s="270"/>
      <c r="M717" s="271" t="str">
        <f t="shared" ref="M717:M865" si="28">A717</f>
        <v/>
      </c>
      <c r="N717" s="176"/>
      <c r="O717" s="176"/>
      <c r="P717" s="249"/>
      <c r="Q717" s="249"/>
      <c r="R717" s="176"/>
      <c r="S717" s="176"/>
      <c r="T717" s="176"/>
      <c r="U717" s="176"/>
      <c r="V717" s="176"/>
      <c r="W717" s="176"/>
      <c r="X717" s="176"/>
      <c r="Y717" s="176"/>
      <c r="Z717" s="176"/>
    </row>
    <row r="718">
      <c r="A718" s="249"/>
      <c r="B718" s="249"/>
      <c r="C718" s="219"/>
      <c r="D718" s="268"/>
      <c r="E718" s="252"/>
      <c r="F718" s="250"/>
      <c r="G718" s="243"/>
      <c r="H718" s="243"/>
      <c r="I718" s="243"/>
      <c r="J718" s="172"/>
      <c r="K718" s="269"/>
      <c r="L718" s="270"/>
      <c r="M718" s="271" t="str">
        <f t="shared" si="28"/>
        <v/>
      </c>
      <c r="N718" s="176"/>
      <c r="O718" s="176"/>
      <c r="P718" s="249"/>
      <c r="Q718" s="249"/>
      <c r="R718" s="176"/>
      <c r="S718" s="176"/>
      <c r="T718" s="176"/>
      <c r="U718" s="176"/>
      <c r="V718" s="176"/>
      <c r="W718" s="176"/>
      <c r="X718" s="176"/>
      <c r="Y718" s="176"/>
      <c r="Z718" s="176"/>
    </row>
    <row r="719">
      <c r="A719" s="249"/>
      <c r="B719" s="249"/>
      <c r="C719" s="219"/>
      <c r="D719" s="268"/>
      <c r="E719" s="252"/>
      <c r="F719" s="250"/>
      <c r="G719" s="243"/>
      <c r="H719" s="243"/>
      <c r="I719" s="243"/>
      <c r="J719" s="172"/>
      <c r="K719" s="269"/>
      <c r="L719" s="270"/>
      <c r="M719" s="271" t="str">
        <f t="shared" si="28"/>
        <v/>
      </c>
      <c r="N719" s="176"/>
      <c r="O719" s="176"/>
      <c r="P719" s="249"/>
      <c r="Q719" s="249"/>
      <c r="R719" s="176"/>
      <c r="S719" s="176"/>
      <c r="T719" s="176"/>
      <c r="U719" s="176"/>
      <c r="V719" s="176"/>
      <c r="W719" s="176"/>
      <c r="X719" s="176"/>
      <c r="Y719" s="176"/>
      <c r="Z719" s="176"/>
    </row>
    <row r="720">
      <c r="A720" s="249"/>
      <c r="B720" s="249"/>
      <c r="C720" s="219"/>
      <c r="D720" s="268"/>
      <c r="E720" s="252"/>
      <c r="F720" s="250"/>
      <c r="G720" s="243"/>
      <c r="H720" s="243"/>
      <c r="I720" s="243"/>
      <c r="J720" s="172"/>
      <c r="K720" s="269"/>
      <c r="L720" s="270"/>
      <c r="M720" s="271" t="str">
        <f t="shared" si="28"/>
        <v/>
      </c>
      <c r="N720" s="176"/>
      <c r="O720" s="176"/>
      <c r="P720" s="249"/>
      <c r="Q720" s="249"/>
      <c r="R720" s="176"/>
      <c r="S720" s="176"/>
      <c r="T720" s="176"/>
      <c r="U720" s="176"/>
      <c r="V720" s="176"/>
      <c r="W720" s="176"/>
      <c r="X720" s="176"/>
      <c r="Y720" s="176"/>
      <c r="Z720" s="176"/>
    </row>
    <row r="721">
      <c r="A721" s="249"/>
      <c r="B721" s="249"/>
      <c r="C721" s="219"/>
      <c r="D721" s="268"/>
      <c r="E721" s="252"/>
      <c r="F721" s="250"/>
      <c r="G721" s="243"/>
      <c r="H721" s="243"/>
      <c r="I721" s="243"/>
      <c r="J721" s="172"/>
      <c r="K721" s="269"/>
      <c r="L721" s="270"/>
      <c r="M721" s="271" t="str">
        <f t="shared" si="28"/>
        <v/>
      </c>
      <c r="N721" s="176"/>
      <c r="O721" s="176"/>
      <c r="P721" s="249"/>
      <c r="Q721" s="249"/>
      <c r="R721" s="176"/>
      <c r="S721" s="176"/>
      <c r="T721" s="176"/>
      <c r="U721" s="176"/>
      <c r="V721" s="176"/>
      <c r="W721" s="176"/>
      <c r="X721" s="176"/>
      <c r="Y721" s="176"/>
      <c r="Z721" s="176"/>
    </row>
    <row r="722">
      <c r="A722" s="249"/>
      <c r="B722" s="249"/>
      <c r="C722" s="219"/>
      <c r="D722" s="268"/>
      <c r="E722" s="252"/>
      <c r="F722" s="250"/>
      <c r="G722" s="243"/>
      <c r="H722" s="243"/>
      <c r="I722" s="243"/>
      <c r="J722" s="172"/>
      <c r="K722" s="269"/>
      <c r="L722" s="270"/>
      <c r="M722" s="271" t="str">
        <f t="shared" si="28"/>
        <v/>
      </c>
      <c r="N722" s="176"/>
      <c r="O722" s="176"/>
      <c r="P722" s="249"/>
      <c r="Q722" s="249"/>
      <c r="R722" s="176"/>
      <c r="S722" s="176"/>
      <c r="T722" s="176"/>
      <c r="U722" s="176"/>
      <c r="V722" s="176"/>
      <c r="W722" s="176"/>
      <c r="X722" s="176"/>
      <c r="Y722" s="176"/>
      <c r="Z722" s="176"/>
    </row>
    <row r="723">
      <c r="A723" s="249"/>
      <c r="B723" s="249"/>
      <c r="C723" s="219"/>
      <c r="D723" s="268"/>
      <c r="E723" s="252"/>
      <c r="F723" s="250"/>
      <c r="G723" s="243"/>
      <c r="H723" s="243"/>
      <c r="I723" s="243"/>
      <c r="J723" s="172"/>
      <c r="K723" s="269"/>
      <c r="L723" s="270"/>
      <c r="M723" s="271" t="str">
        <f t="shared" si="28"/>
        <v/>
      </c>
      <c r="N723" s="176"/>
      <c r="O723" s="176"/>
      <c r="P723" s="249"/>
      <c r="Q723" s="249"/>
      <c r="R723" s="176"/>
      <c r="S723" s="176"/>
      <c r="T723" s="176"/>
      <c r="U723" s="176"/>
      <c r="V723" s="176"/>
      <c r="W723" s="176"/>
      <c r="X723" s="176"/>
      <c r="Y723" s="176"/>
      <c r="Z723" s="176"/>
    </row>
    <row r="724">
      <c r="A724" s="249"/>
      <c r="B724" s="249"/>
      <c r="C724" s="219"/>
      <c r="D724" s="268"/>
      <c r="E724" s="252"/>
      <c r="F724" s="250"/>
      <c r="G724" s="243"/>
      <c r="H724" s="243"/>
      <c r="I724" s="243"/>
      <c r="J724" s="172"/>
      <c r="K724" s="269"/>
      <c r="L724" s="270"/>
      <c r="M724" s="271" t="str">
        <f t="shared" si="28"/>
        <v/>
      </c>
      <c r="N724" s="176"/>
      <c r="O724" s="176"/>
      <c r="P724" s="249"/>
      <c r="Q724" s="249"/>
      <c r="R724" s="176"/>
      <c r="S724" s="176"/>
      <c r="T724" s="176"/>
      <c r="U724" s="176"/>
      <c r="V724" s="176"/>
      <c r="W724" s="176"/>
      <c r="X724" s="176"/>
      <c r="Y724" s="176"/>
      <c r="Z724" s="176"/>
    </row>
    <row r="725">
      <c r="A725" s="249"/>
      <c r="B725" s="249"/>
      <c r="C725" s="219"/>
      <c r="D725" s="268"/>
      <c r="E725" s="252"/>
      <c r="F725" s="250"/>
      <c r="G725" s="243"/>
      <c r="H725" s="243"/>
      <c r="I725" s="243"/>
      <c r="J725" s="172"/>
      <c r="K725" s="269"/>
      <c r="L725" s="270"/>
      <c r="M725" s="271" t="str">
        <f t="shared" si="28"/>
        <v/>
      </c>
      <c r="N725" s="176"/>
      <c r="O725" s="176"/>
      <c r="P725" s="249"/>
      <c r="Q725" s="249"/>
      <c r="R725" s="176"/>
      <c r="S725" s="176"/>
      <c r="T725" s="176"/>
      <c r="U725" s="176"/>
      <c r="V725" s="176"/>
      <c r="W725" s="176"/>
      <c r="X725" s="176"/>
      <c r="Y725" s="176"/>
      <c r="Z725" s="176"/>
    </row>
    <row r="726">
      <c r="A726" s="249"/>
      <c r="B726" s="249"/>
      <c r="C726" s="219"/>
      <c r="D726" s="268"/>
      <c r="E726" s="252"/>
      <c r="F726" s="250"/>
      <c r="G726" s="243"/>
      <c r="H726" s="243"/>
      <c r="I726" s="243"/>
      <c r="J726" s="172"/>
      <c r="K726" s="269"/>
      <c r="L726" s="270"/>
      <c r="M726" s="271" t="str">
        <f t="shared" si="28"/>
        <v/>
      </c>
      <c r="N726" s="176"/>
      <c r="O726" s="176"/>
      <c r="P726" s="249"/>
      <c r="Q726" s="249"/>
      <c r="R726" s="176"/>
      <c r="S726" s="176"/>
      <c r="T726" s="176"/>
      <c r="U726" s="176"/>
      <c r="V726" s="176"/>
      <c r="W726" s="176"/>
      <c r="X726" s="176"/>
      <c r="Y726" s="176"/>
      <c r="Z726" s="176"/>
    </row>
    <row r="727">
      <c r="A727" s="249"/>
      <c r="B727" s="249"/>
      <c r="C727" s="219"/>
      <c r="D727" s="268"/>
      <c r="E727" s="252"/>
      <c r="F727" s="250"/>
      <c r="G727" s="243"/>
      <c r="H727" s="243"/>
      <c r="I727" s="243"/>
      <c r="J727" s="172"/>
      <c r="K727" s="269"/>
      <c r="L727" s="270"/>
      <c r="M727" s="271" t="str">
        <f t="shared" si="28"/>
        <v/>
      </c>
      <c r="N727" s="176"/>
      <c r="O727" s="176"/>
      <c r="P727" s="249"/>
      <c r="Q727" s="249"/>
      <c r="R727" s="176"/>
      <c r="S727" s="176"/>
      <c r="T727" s="176"/>
      <c r="U727" s="176"/>
      <c r="V727" s="176"/>
      <c r="W727" s="176"/>
      <c r="X727" s="176"/>
      <c r="Y727" s="176"/>
      <c r="Z727" s="176"/>
    </row>
    <row r="728">
      <c r="A728" s="249"/>
      <c r="B728" s="249"/>
      <c r="C728" s="219"/>
      <c r="D728" s="268"/>
      <c r="E728" s="252"/>
      <c r="F728" s="250"/>
      <c r="G728" s="243"/>
      <c r="H728" s="243"/>
      <c r="I728" s="243"/>
      <c r="J728" s="172"/>
      <c r="K728" s="269"/>
      <c r="L728" s="270"/>
      <c r="M728" s="271" t="str">
        <f t="shared" si="28"/>
        <v/>
      </c>
      <c r="N728" s="176"/>
      <c r="O728" s="176"/>
      <c r="P728" s="249"/>
      <c r="Q728" s="249"/>
      <c r="R728" s="176"/>
      <c r="S728" s="176"/>
      <c r="T728" s="176"/>
      <c r="U728" s="176"/>
      <c r="V728" s="176"/>
      <c r="W728" s="176"/>
      <c r="X728" s="176"/>
      <c r="Y728" s="176"/>
      <c r="Z728" s="176"/>
    </row>
    <row r="729">
      <c r="A729" s="249"/>
      <c r="B729" s="249"/>
      <c r="C729" s="219"/>
      <c r="D729" s="268"/>
      <c r="E729" s="252"/>
      <c r="F729" s="250"/>
      <c r="G729" s="243"/>
      <c r="H729" s="243"/>
      <c r="I729" s="243"/>
      <c r="J729" s="172"/>
      <c r="K729" s="269"/>
      <c r="L729" s="270"/>
      <c r="M729" s="271" t="str">
        <f t="shared" si="28"/>
        <v/>
      </c>
      <c r="N729" s="176"/>
      <c r="O729" s="176"/>
      <c r="P729" s="249"/>
      <c r="Q729" s="249"/>
      <c r="R729" s="176"/>
      <c r="S729" s="176"/>
      <c r="T729" s="176"/>
      <c r="U729" s="176"/>
      <c r="V729" s="176"/>
      <c r="W729" s="176"/>
      <c r="X729" s="176"/>
      <c r="Y729" s="176"/>
      <c r="Z729" s="176"/>
    </row>
    <row r="730">
      <c r="A730" s="249"/>
      <c r="B730" s="249"/>
      <c r="C730" s="219"/>
      <c r="D730" s="268"/>
      <c r="E730" s="252"/>
      <c r="F730" s="250"/>
      <c r="G730" s="243"/>
      <c r="H730" s="243"/>
      <c r="I730" s="243"/>
      <c r="J730" s="172"/>
      <c r="K730" s="269"/>
      <c r="L730" s="270"/>
      <c r="M730" s="271" t="str">
        <f t="shared" si="28"/>
        <v/>
      </c>
      <c r="N730" s="176"/>
      <c r="O730" s="176"/>
      <c r="P730" s="249"/>
      <c r="Q730" s="249"/>
      <c r="R730" s="176"/>
      <c r="S730" s="176"/>
      <c r="T730" s="176"/>
      <c r="U730" s="176"/>
      <c r="V730" s="176"/>
      <c r="W730" s="176"/>
      <c r="X730" s="176"/>
      <c r="Y730" s="176"/>
      <c r="Z730" s="176"/>
    </row>
    <row r="731">
      <c r="A731" s="249"/>
      <c r="B731" s="249"/>
      <c r="C731" s="219"/>
      <c r="D731" s="268"/>
      <c r="E731" s="252"/>
      <c r="F731" s="250"/>
      <c r="G731" s="243"/>
      <c r="H731" s="243"/>
      <c r="I731" s="243"/>
      <c r="J731" s="172"/>
      <c r="K731" s="269"/>
      <c r="L731" s="270"/>
      <c r="M731" s="271" t="str">
        <f t="shared" si="28"/>
        <v/>
      </c>
      <c r="N731" s="176"/>
      <c r="O731" s="176"/>
      <c r="P731" s="249"/>
      <c r="Q731" s="249"/>
      <c r="R731" s="176"/>
      <c r="S731" s="176"/>
      <c r="T731" s="176"/>
      <c r="U731" s="176"/>
      <c r="V731" s="176"/>
      <c r="W731" s="176"/>
      <c r="X731" s="176"/>
      <c r="Y731" s="176"/>
      <c r="Z731" s="176"/>
    </row>
    <row r="732">
      <c r="A732" s="249"/>
      <c r="B732" s="249"/>
      <c r="C732" s="219"/>
      <c r="D732" s="268"/>
      <c r="E732" s="252"/>
      <c r="F732" s="250"/>
      <c r="G732" s="243"/>
      <c r="H732" s="243"/>
      <c r="I732" s="243"/>
      <c r="J732" s="172"/>
      <c r="K732" s="269"/>
      <c r="L732" s="270"/>
      <c r="M732" s="271" t="str">
        <f t="shared" si="28"/>
        <v/>
      </c>
      <c r="N732" s="176"/>
      <c r="O732" s="176"/>
      <c r="P732" s="249"/>
      <c r="Q732" s="249"/>
      <c r="R732" s="176"/>
      <c r="S732" s="176"/>
      <c r="T732" s="176"/>
      <c r="U732" s="176"/>
      <c r="V732" s="176"/>
      <c r="W732" s="176"/>
      <c r="X732" s="176"/>
      <c r="Y732" s="176"/>
      <c r="Z732" s="176"/>
    </row>
    <row r="733">
      <c r="A733" s="249"/>
      <c r="B733" s="249"/>
      <c r="C733" s="219"/>
      <c r="D733" s="268"/>
      <c r="E733" s="252"/>
      <c r="F733" s="250"/>
      <c r="G733" s="243"/>
      <c r="H733" s="243"/>
      <c r="I733" s="243"/>
      <c r="J733" s="172"/>
      <c r="K733" s="269"/>
      <c r="L733" s="270"/>
      <c r="M733" s="271" t="str">
        <f t="shared" si="28"/>
        <v/>
      </c>
      <c r="N733" s="176"/>
      <c r="O733" s="176"/>
      <c r="P733" s="249"/>
      <c r="Q733" s="249"/>
      <c r="R733" s="176"/>
      <c r="S733" s="176"/>
      <c r="T733" s="176"/>
      <c r="U733" s="176"/>
      <c r="V733" s="176"/>
      <c r="W733" s="176"/>
      <c r="X733" s="176"/>
      <c r="Y733" s="176"/>
      <c r="Z733" s="176"/>
    </row>
    <row r="734">
      <c r="A734" s="249"/>
      <c r="B734" s="249"/>
      <c r="C734" s="219"/>
      <c r="D734" s="268"/>
      <c r="E734" s="252"/>
      <c r="F734" s="250"/>
      <c r="G734" s="243"/>
      <c r="H734" s="243"/>
      <c r="I734" s="243"/>
      <c r="J734" s="172"/>
      <c r="K734" s="269"/>
      <c r="L734" s="270"/>
      <c r="M734" s="271" t="str">
        <f t="shared" si="28"/>
        <v/>
      </c>
      <c r="N734" s="176"/>
      <c r="O734" s="176"/>
      <c r="P734" s="249"/>
      <c r="Q734" s="249"/>
      <c r="R734" s="176"/>
      <c r="S734" s="176"/>
      <c r="T734" s="176"/>
      <c r="U734" s="176"/>
      <c r="V734" s="176"/>
      <c r="W734" s="176"/>
      <c r="X734" s="176"/>
      <c r="Y734" s="176"/>
      <c r="Z734" s="176"/>
    </row>
    <row r="735">
      <c r="A735" s="249"/>
      <c r="B735" s="249"/>
      <c r="C735" s="219"/>
      <c r="D735" s="268"/>
      <c r="E735" s="252"/>
      <c r="F735" s="250"/>
      <c r="G735" s="243"/>
      <c r="H735" s="243"/>
      <c r="I735" s="243"/>
      <c r="J735" s="172"/>
      <c r="K735" s="269"/>
      <c r="L735" s="270"/>
      <c r="M735" s="271" t="str">
        <f t="shared" si="28"/>
        <v/>
      </c>
      <c r="N735" s="176"/>
      <c r="O735" s="176"/>
      <c r="P735" s="249"/>
      <c r="Q735" s="249"/>
      <c r="R735" s="176"/>
      <c r="S735" s="176"/>
      <c r="T735" s="176"/>
      <c r="U735" s="176"/>
      <c r="V735" s="176"/>
      <c r="W735" s="176"/>
      <c r="X735" s="176"/>
      <c r="Y735" s="176"/>
      <c r="Z735" s="176"/>
    </row>
    <row r="736">
      <c r="A736" s="249"/>
      <c r="B736" s="249"/>
      <c r="C736" s="219"/>
      <c r="D736" s="268"/>
      <c r="E736" s="252"/>
      <c r="F736" s="250"/>
      <c r="G736" s="243"/>
      <c r="H736" s="243"/>
      <c r="I736" s="243"/>
      <c r="J736" s="172"/>
      <c r="K736" s="269"/>
      <c r="L736" s="270"/>
      <c r="M736" s="271" t="str">
        <f t="shared" si="28"/>
        <v/>
      </c>
      <c r="N736" s="176"/>
      <c r="O736" s="176"/>
      <c r="P736" s="249"/>
      <c r="Q736" s="249"/>
      <c r="R736" s="176"/>
      <c r="S736" s="176"/>
      <c r="T736" s="176"/>
      <c r="U736" s="176"/>
      <c r="V736" s="176"/>
      <c r="W736" s="176"/>
      <c r="X736" s="176"/>
      <c r="Y736" s="176"/>
      <c r="Z736" s="176"/>
    </row>
    <row r="737">
      <c r="A737" s="249"/>
      <c r="B737" s="249"/>
      <c r="C737" s="219"/>
      <c r="D737" s="268"/>
      <c r="E737" s="252"/>
      <c r="F737" s="250"/>
      <c r="G737" s="243"/>
      <c r="H737" s="243"/>
      <c r="I737" s="243"/>
      <c r="J737" s="172"/>
      <c r="K737" s="269"/>
      <c r="L737" s="270"/>
      <c r="M737" s="271" t="str">
        <f t="shared" si="28"/>
        <v/>
      </c>
      <c r="N737" s="176"/>
      <c r="O737" s="176"/>
      <c r="P737" s="249"/>
      <c r="Q737" s="249"/>
      <c r="R737" s="176"/>
      <c r="S737" s="176"/>
      <c r="T737" s="176"/>
      <c r="U737" s="176"/>
      <c r="V737" s="176"/>
      <c r="W737" s="176"/>
      <c r="X737" s="176"/>
      <c r="Y737" s="176"/>
      <c r="Z737" s="176"/>
    </row>
    <row r="738">
      <c r="A738" s="249"/>
      <c r="B738" s="249"/>
      <c r="C738" s="219"/>
      <c r="D738" s="268"/>
      <c r="E738" s="252"/>
      <c r="F738" s="250"/>
      <c r="G738" s="243"/>
      <c r="H738" s="243"/>
      <c r="I738" s="243"/>
      <c r="J738" s="172"/>
      <c r="K738" s="269"/>
      <c r="L738" s="270"/>
      <c r="M738" s="271" t="str">
        <f t="shared" si="28"/>
        <v/>
      </c>
      <c r="N738" s="176"/>
      <c r="O738" s="176"/>
      <c r="P738" s="249"/>
      <c r="Q738" s="249"/>
      <c r="R738" s="176"/>
      <c r="S738" s="176"/>
      <c r="T738" s="176"/>
      <c r="U738" s="176"/>
      <c r="V738" s="176"/>
      <c r="W738" s="176"/>
      <c r="X738" s="176"/>
      <c r="Y738" s="176"/>
      <c r="Z738" s="176"/>
    </row>
    <row r="739">
      <c r="A739" s="249"/>
      <c r="B739" s="249"/>
      <c r="C739" s="219"/>
      <c r="D739" s="268"/>
      <c r="E739" s="252"/>
      <c r="F739" s="250"/>
      <c r="G739" s="243"/>
      <c r="H739" s="243"/>
      <c r="I739" s="243"/>
      <c r="J739" s="172"/>
      <c r="K739" s="269"/>
      <c r="L739" s="270"/>
      <c r="M739" s="271" t="str">
        <f t="shared" si="28"/>
        <v/>
      </c>
      <c r="N739" s="176"/>
      <c r="O739" s="176"/>
      <c r="P739" s="249"/>
      <c r="Q739" s="249"/>
      <c r="R739" s="176"/>
      <c r="S739" s="176"/>
      <c r="T739" s="176"/>
      <c r="U739" s="176"/>
      <c r="V739" s="176"/>
      <c r="W739" s="176"/>
      <c r="X739" s="176"/>
      <c r="Y739" s="176"/>
      <c r="Z739" s="176"/>
    </row>
    <row r="740">
      <c r="A740" s="249"/>
      <c r="B740" s="249"/>
      <c r="C740" s="219"/>
      <c r="D740" s="268"/>
      <c r="E740" s="252"/>
      <c r="F740" s="250"/>
      <c r="G740" s="243"/>
      <c r="H740" s="243"/>
      <c r="I740" s="243"/>
      <c r="J740" s="172"/>
      <c r="K740" s="269"/>
      <c r="L740" s="270"/>
      <c r="M740" s="271" t="str">
        <f t="shared" si="28"/>
        <v/>
      </c>
      <c r="N740" s="176"/>
      <c r="O740" s="176"/>
      <c r="P740" s="249"/>
      <c r="Q740" s="249"/>
      <c r="R740" s="176"/>
      <c r="S740" s="176"/>
      <c r="T740" s="176"/>
      <c r="U740" s="176"/>
      <c r="V740" s="176"/>
      <c r="W740" s="176"/>
      <c r="X740" s="176"/>
      <c r="Y740" s="176"/>
      <c r="Z740" s="176"/>
    </row>
    <row r="741">
      <c r="A741" s="249"/>
      <c r="B741" s="249"/>
      <c r="C741" s="219"/>
      <c r="D741" s="268"/>
      <c r="E741" s="252"/>
      <c r="F741" s="250"/>
      <c r="G741" s="243"/>
      <c r="H741" s="243"/>
      <c r="I741" s="243"/>
      <c r="J741" s="172"/>
      <c r="K741" s="269"/>
      <c r="L741" s="270"/>
      <c r="M741" s="271" t="str">
        <f t="shared" si="28"/>
        <v/>
      </c>
      <c r="N741" s="176"/>
      <c r="O741" s="176"/>
      <c r="P741" s="249"/>
      <c r="Q741" s="249"/>
      <c r="R741" s="176"/>
      <c r="S741" s="176"/>
      <c r="T741" s="176"/>
      <c r="U741" s="176"/>
      <c r="V741" s="176"/>
      <c r="W741" s="176"/>
      <c r="X741" s="176"/>
      <c r="Y741" s="176"/>
      <c r="Z741" s="176"/>
    </row>
    <row r="742">
      <c r="A742" s="249"/>
      <c r="B742" s="249"/>
      <c r="C742" s="219"/>
      <c r="D742" s="268"/>
      <c r="E742" s="252"/>
      <c r="F742" s="250"/>
      <c r="G742" s="243"/>
      <c r="H742" s="243"/>
      <c r="I742" s="243"/>
      <c r="J742" s="172"/>
      <c r="K742" s="269"/>
      <c r="L742" s="270"/>
      <c r="M742" s="271" t="str">
        <f t="shared" si="28"/>
        <v/>
      </c>
      <c r="N742" s="176"/>
      <c r="O742" s="176"/>
      <c r="P742" s="249"/>
      <c r="Q742" s="249"/>
      <c r="R742" s="176"/>
      <c r="S742" s="176"/>
      <c r="T742" s="176"/>
      <c r="U742" s="176"/>
      <c r="V742" s="176"/>
      <c r="W742" s="176"/>
      <c r="X742" s="176"/>
      <c r="Y742" s="176"/>
      <c r="Z742" s="176"/>
    </row>
    <row r="743">
      <c r="A743" s="249"/>
      <c r="B743" s="249"/>
      <c r="C743" s="219"/>
      <c r="D743" s="268"/>
      <c r="E743" s="252"/>
      <c r="F743" s="250"/>
      <c r="G743" s="243"/>
      <c r="H743" s="243"/>
      <c r="I743" s="243"/>
      <c r="J743" s="172"/>
      <c r="K743" s="269"/>
      <c r="L743" s="270"/>
      <c r="M743" s="271" t="str">
        <f t="shared" si="28"/>
        <v/>
      </c>
      <c r="N743" s="176"/>
      <c r="O743" s="176"/>
      <c r="P743" s="249"/>
      <c r="Q743" s="249"/>
      <c r="R743" s="176"/>
      <c r="S743" s="176"/>
      <c r="T743" s="176"/>
      <c r="U743" s="176"/>
      <c r="V743" s="176"/>
      <c r="W743" s="176"/>
      <c r="X743" s="176"/>
      <c r="Y743" s="176"/>
      <c r="Z743" s="176"/>
    </row>
    <row r="744">
      <c r="A744" s="249"/>
      <c r="B744" s="249"/>
      <c r="C744" s="219"/>
      <c r="D744" s="268"/>
      <c r="E744" s="252"/>
      <c r="F744" s="250"/>
      <c r="G744" s="243"/>
      <c r="H744" s="243"/>
      <c r="I744" s="243"/>
      <c r="J744" s="172"/>
      <c r="K744" s="269"/>
      <c r="L744" s="270"/>
      <c r="M744" s="271" t="str">
        <f t="shared" si="28"/>
        <v/>
      </c>
      <c r="N744" s="176"/>
      <c r="O744" s="176"/>
      <c r="P744" s="249"/>
      <c r="Q744" s="249"/>
      <c r="R744" s="176"/>
      <c r="S744" s="176"/>
      <c r="T744" s="176"/>
      <c r="U744" s="176"/>
      <c r="V744" s="176"/>
      <c r="W744" s="176"/>
      <c r="X744" s="176"/>
      <c r="Y744" s="176"/>
      <c r="Z744" s="176"/>
    </row>
    <row r="745">
      <c r="A745" s="249"/>
      <c r="B745" s="249"/>
      <c r="C745" s="219"/>
      <c r="D745" s="268"/>
      <c r="E745" s="252"/>
      <c r="F745" s="250"/>
      <c r="G745" s="243"/>
      <c r="H745" s="243"/>
      <c r="I745" s="243"/>
      <c r="J745" s="172"/>
      <c r="K745" s="269"/>
      <c r="L745" s="270"/>
      <c r="M745" s="271" t="str">
        <f t="shared" si="28"/>
        <v/>
      </c>
      <c r="N745" s="176"/>
      <c r="O745" s="176"/>
      <c r="P745" s="249"/>
      <c r="Q745" s="249"/>
      <c r="R745" s="176"/>
      <c r="S745" s="176"/>
      <c r="T745" s="176"/>
      <c r="U745" s="176"/>
      <c r="V745" s="176"/>
      <c r="W745" s="176"/>
      <c r="X745" s="176"/>
      <c r="Y745" s="176"/>
      <c r="Z745" s="176"/>
    </row>
    <row r="746">
      <c r="A746" s="249"/>
      <c r="B746" s="249"/>
      <c r="C746" s="219"/>
      <c r="D746" s="268"/>
      <c r="E746" s="252"/>
      <c r="F746" s="250"/>
      <c r="G746" s="243"/>
      <c r="H746" s="243"/>
      <c r="I746" s="243"/>
      <c r="J746" s="172"/>
      <c r="K746" s="269"/>
      <c r="L746" s="270"/>
      <c r="M746" s="271" t="str">
        <f t="shared" si="28"/>
        <v/>
      </c>
      <c r="N746" s="176"/>
      <c r="O746" s="176"/>
      <c r="P746" s="249"/>
      <c r="Q746" s="249"/>
      <c r="R746" s="176"/>
      <c r="S746" s="176"/>
      <c r="T746" s="176"/>
      <c r="U746" s="176"/>
      <c r="V746" s="176"/>
      <c r="W746" s="176"/>
      <c r="X746" s="176"/>
      <c r="Y746" s="176"/>
      <c r="Z746" s="176"/>
    </row>
    <row r="747">
      <c r="A747" s="249"/>
      <c r="B747" s="249"/>
      <c r="C747" s="219"/>
      <c r="D747" s="268"/>
      <c r="E747" s="252"/>
      <c r="F747" s="250"/>
      <c r="G747" s="243"/>
      <c r="H747" s="243"/>
      <c r="I747" s="243"/>
      <c r="J747" s="172"/>
      <c r="K747" s="269"/>
      <c r="L747" s="270"/>
      <c r="M747" s="271" t="str">
        <f t="shared" si="28"/>
        <v/>
      </c>
      <c r="N747" s="176"/>
      <c r="O747" s="176"/>
      <c r="P747" s="249"/>
      <c r="Q747" s="249"/>
      <c r="R747" s="176"/>
      <c r="S747" s="176"/>
      <c r="T747" s="176"/>
      <c r="U747" s="176"/>
      <c r="V747" s="176"/>
      <c r="W747" s="176"/>
      <c r="X747" s="176"/>
      <c r="Y747" s="176"/>
      <c r="Z747" s="176"/>
    </row>
    <row r="748">
      <c r="A748" s="249"/>
      <c r="B748" s="249"/>
      <c r="C748" s="219"/>
      <c r="D748" s="268"/>
      <c r="E748" s="252"/>
      <c r="F748" s="250"/>
      <c r="G748" s="243"/>
      <c r="H748" s="243"/>
      <c r="I748" s="243"/>
      <c r="J748" s="172"/>
      <c r="K748" s="269"/>
      <c r="L748" s="270"/>
      <c r="M748" s="271" t="str">
        <f t="shared" si="28"/>
        <v/>
      </c>
      <c r="N748" s="176"/>
      <c r="O748" s="176"/>
      <c r="P748" s="249"/>
      <c r="Q748" s="249"/>
      <c r="R748" s="176"/>
      <c r="S748" s="176"/>
      <c r="T748" s="176"/>
      <c r="U748" s="176"/>
      <c r="V748" s="176"/>
      <c r="W748" s="176"/>
      <c r="X748" s="176"/>
      <c r="Y748" s="176"/>
      <c r="Z748" s="176"/>
    </row>
    <row r="749">
      <c r="A749" s="249"/>
      <c r="B749" s="249"/>
      <c r="C749" s="219"/>
      <c r="D749" s="268"/>
      <c r="E749" s="252"/>
      <c r="F749" s="250"/>
      <c r="G749" s="243"/>
      <c r="H749" s="243"/>
      <c r="I749" s="243"/>
      <c r="J749" s="172"/>
      <c r="K749" s="269"/>
      <c r="L749" s="270"/>
      <c r="M749" s="271" t="str">
        <f t="shared" si="28"/>
        <v/>
      </c>
      <c r="N749" s="176"/>
      <c r="O749" s="176"/>
      <c r="P749" s="249"/>
      <c r="Q749" s="249"/>
      <c r="R749" s="176"/>
      <c r="S749" s="176"/>
      <c r="T749" s="176"/>
      <c r="U749" s="176"/>
      <c r="V749" s="176"/>
      <c r="W749" s="176"/>
      <c r="X749" s="176"/>
      <c r="Y749" s="176"/>
      <c r="Z749" s="176"/>
    </row>
    <row r="750">
      <c r="A750" s="249"/>
      <c r="B750" s="249"/>
      <c r="C750" s="219"/>
      <c r="D750" s="268"/>
      <c r="E750" s="252"/>
      <c r="F750" s="250"/>
      <c r="G750" s="243"/>
      <c r="H750" s="243"/>
      <c r="I750" s="243"/>
      <c r="J750" s="172"/>
      <c r="K750" s="269"/>
      <c r="L750" s="270"/>
      <c r="M750" s="271" t="str">
        <f t="shared" si="28"/>
        <v/>
      </c>
      <c r="N750" s="176"/>
      <c r="O750" s="176"/>
      <c r="P750" s="249"/>
      <c r="Q750" s="249"/>
      <c r="R750" s="176"/>
      <c r="S750" s="176"/>
      <c r="T750" s="176"/>
      <c r="U750" s="176"/>
      <c r="V750" s="176"/>
      <c r="W750" s="176"/>
      <c r="X750" s="176"/>
      <c r="Y750" s="176"/>
      <c r="Z750" s="176"/>
    </row>
    <row r="751">
      <c r="A751" s="249"/>
      <c r="B751" s="249"/>
      <c r="C751" s="219"/>
      <c r="D751" s="268"/>
      <c r="E751" s="252"/>
      <c r="F751" s="250"/>
      <c r="G751" s="243"/>
      <c r="H751" s="243"/>
      <c r="I751" s="243"/>
      <c r="J751" s="172"/>
      <c r="K751" s="269"/>
      <c r="L751" s="270"/>
      <c r="M751" s="271" t="str">
        <f t="shared" si="28"/>
        <v/>
      </c>
      <c r="N751" s="176"/>
      <c r="O751" s="176"/>
      <c r="P751" s="249"/>
      <c r="Q751" s="249"/>
      <c r="R751" s="176"/>
      <c r="S751" s="176"/>
      <c r="T751" s="176"/>
      <c r="U751" s="176"/>
      <c r="V751" s="176"/>
      <c r="W751" s="176"/>
      <c r="X751" s="176"/>
      <c r="Y751" s="176"/>
      <c r="Z751" s="176"/>
    </row>
    <row r="752">
      <c r="A752" s="249"/>
      <c r="B752" s="249"/>
      <c r="C752" s="219"/>
      <c r="D752" s="268"/>
      <c r="E752" s="252"/>
      <c r="F752" s="250"/>
      <c r="G752" s="243"/>
      <c r="H752" s="243"/>
      <c r="I752" s="243"/>
      <c r="J752" s="172"/>
      <c r="K752" s="269"/>
      <c r="L752" s="270"/>
      <c r="M752" s="271" t="str">
        <f t="shared" si="28"/>
        <v/>
      </c>
      <c r="N752" s="176"/>
      <c r="O752" s="176"/>
      <c r="P752" s="249"/>
      <c r="Q752" s="249"/>
      <c r="R752" s="176"/>
      <c r="S752" s="176"/>
      <c r="T752" s="176"/>
      <c r="U752" s="176"/>
      <c r="V752" s="176"/>
      <c r="W752" s="176"/>
      <c r="X752" s="176"/>
      <c r="Y752" s="176"/>
      <c r="Z752" s="176"/>
    </row>
    <row r="753">
      <c r="A753" s="249"/>
      <c r="B753" s="249"/>
      <c r="C753" s="219"/>
      <c r="D753" s="268"/>
      <c r="E753" s="252"/>
      <c r="F753" s="250"/>
      <c r="G753" s="243"/>
      <c r="H753" s="243"/>
      <c r="I753" s="243"/>
      <c r="J753" s="172"/>
      <c r="K753" s="269"/>
      <c r="L753" s="270"/>
      <c r="M753" s="271" t="str">
        <f t="shared" si="28"/>
        <v/>
      </c>
      <c r="N753" s="176"/>
      <c r="O753" s="176"/>
      <c r="P753" s="249"/>
      <c r="Q753" s="249"/>
      <c r="R753" s="176"/>
      <c r="S753" s="176"/>
      <c r="T753" s="176"/>
      <c r="U753" s="176"/>
      <c r="V753" s="176"/>
      <c r="W753" s="176"/>
      <c r="X753" s="176"/>
      <c r="Y753" s="176"/>
      <c r="Z753" s="176"/>
    </row>
    <row r="754">
      <c r="A754" s="249"/>
      <c r="B754" s="249"/>
      <c r="C754" s="219"/>
      <c r="D754" s="268"/>
      <c r="E754" s="252"/>
      <c r="F754" s="250"/>
      <c r="G754" s="243"/>
      <c r="H754" s="243"/>
      <c r="I754" s="243"/>
      <c r="J754" s="172"/>
      <c r="K754" s="269"/>
      <c r="L754" s="270"/>
      <c r="M754" s="271" t="str">
        <f t="shared" si="28"/>
        <v/>
      </c>
      <c r="N754" s="176"/>
      <c r="O754" s="176"/>
      <c r="P754" s="249"/>
      <c r="Q754" s="249"/>
      <c r="R754" s="176"/>
      <c r="S754" s="176"/>
      <c r="T754" s="176"/>
      <c r="U754" s="176"/>
      <c r="V754" s="176"/>
      <c r="W754" s="176"/>
      <c r="X754" s="176"/>
      <c r="Y754" s="176"/>
      <c r="Z754" s="176"/>
    </row>
    <row r="755">
      <c r="A755" s="249"/>
      <c r="B755" s="249"/>
      <c r="C755" s="219"/>
      <c r="D755" s="268"/>
      <c r="E755" s="252"/>
      <c r="F755" s="250"/>
      <c r="G755" s="243"/>
      <c r="H755" s="243"/>
      <c r="I755" s="243"/>
      <c r="J755" s="172"/>
      <c r="K755" s="269"/>
      <c r="L755" s="270"/>
      <c r="M755" s="271" t="str">
        <f t="shared" si="28"/>
        <v/>
      </c>
      <c r="N755" s="176"/>
      <c r="O755" s="176"/>
      <c r="P755" s="249"/>
      <c r="Q755" s="249"/>
      <c r="R755" s="176"/>
      <c r="S755" s="176"/>
      <c r="T755" s="176"/>
      <c r="U755" s="176"/>
      <c r="V755" s="176"/>
      <c r="W755" s="176"/>
      <c r="X755" s="176"/>
      <c r="Y755" s="176"/>
      <c r="Z755" s="176"/>
    </row>
    <row r="756">
      <c r="A756" s="249"/>
      <c r="B756" s="249"/>
      <c r="C756" s="219"/>
      <c r="D756" s="268"/>
      <c r="E756" s="252"/>
      <c r="F756" s="250"/>
      <c r="G756" s="243"/>
      <c r="H756" s="243"/>
      <c r="I756" s="243"/>
      <c r="J756" s="172"/>
      <c r="K756" s="269"/>
      <c r="L756" s="270"/>
      <c r="M756" s="271" t="str">
        <f t="shared" si="28"/>
        <v/>
      </c>
      <c r="N756" s="176"/>
      <c r="O756" s="176"/>
      <c r="P756" s="249"/>
      <c r="Q756" s="249"/>
      <c r="R756" s="176"/>
      <c r="S756" s="176"/>
      <c r="T756" s="176"/>
      <c r="U756" s="176"/>
      <c r="V756" s="176"/>
      <c r="W756" s="176"/>
      <c r="X756" s="176"/>
      <c r="Y756" s="176"/>
      <c r="Z756" s="176"/>
    </row>
    <row r="757">
      <c r="A757" s="249"/>
      <c r="B757" s="249"/>
      <c r="C757" s="219"/>
      <c r="D757" s="268"/>
      <c r="E757" s="252"/>
      <c r="F757" s="250"/>
      <c r="G757" s="243"/>
      <c r="H757" s="243"/>
      <c r="I757" s="243"/>
      <c r="J757" s="172"/>
      <c r="K757" s="269"/>
      <c r="L757" s="270"/>
      <c r="M757" s="271" t="str">
        <f t="shared" si="28"/>
        <v/>
      </c>
      <c r="N757" s="176"/>
      <c r="O757" s="176"/>
      <c r="P757" s="249"/>
      <c r="Q757" s="249"/>
      <c r="R757" s="176"/>
      <c r="S757" s="176"/>
      <c r="T757" s="176"/>
      <c r="U757" s="176"/>
      <c r="V757" s="176"/>
      <c r="W757" s="176"/>
      <c r="X757" s="176"/>
      <c r="Y757" s="176"/>
      <c r="Z757" s="176"/>
    </row>
    <row r="758">
      <c r="A758" s="249"/>
      <c r="B758" s="249"/>
      <c r="C758" s="219"/>
      <c r="D758" s="268"/>
      <c r="E758" s="252"/>
      <c r="F758" s="250"/>
      <c r="G758" s="243"/>
      <c r="H758" s="243"/>
      <c r="I758" s="243"/>
      <c r="J758" s="172"/>
      <c r="K758" s="269"/>
      <c r="L758" s="270"/>
      <c r="M758" s="271" t="str">
        <f t="shared" si="28"/>
        <v/>
      </c>
      <c r="N758" s="176"/>
      <c r="O758" s="176"/>
      <c r="P758" s="249"/>
      <c r="Q758" s="249"/>
      <c r="R758" s="176"/>
      <c r="S758" s="176"/>
      <c r="T758" s="176"/>
      <c r="U758" s="176"/>
      <c r="V758" s="176"/>
      <c r="W758" s="176"/>
      <c r="X758" s="176"/>
      <c r="Y758" s="176"/>
      <c r="Z758" s="176"/>
    </row>
    <row r="759">
      <c r="A759" s="249"/>
      <c r="B759" s="249"/>
      <c r="C759" s="219"/>
      <c r="D759" s="268"/>
      <c r="E759" s="252"/>
      <c r="F759" s="250"/>
      <c r="G759" s="243"/>
      <c r="H759" s="243"/>
      <c r="I759" s="243"/>
      <c r="J759" s="172"/>
      <c r="K759" s="269"/>
      <c r="L759" s="270"/>
      <c r="M759" s="271" t="str">
        <f t="shared" si="28"/>
        <v/>
      </c>
      <c r="N759" s="176"/>
      <c r="O759" s="176"/>
      <c r="P759" s="249"/>
      <c r="Q759" s="249"/>
      <c r="R759" s="176"/>
      <c r="S759" s="176"/>
      <c r="T759" s="176"/>
      <c r="U759" s="176"/>
      <c r="V759" s="176"/>
      <c r="W759" s="176"/>
      <c r="X759" s="176"/>
      <c r="Y759" s="176"/>
      <c r="Z759" s="176"/>
    </row>
    <row r="760">
      <c r="A760" s="249"/>
      <c r="B760" s="249"/>
      <c r="C760" s="219"/>
      <c r="D760" s="268"/>
      <c r="E760" s="252"/>
      <c r="F760" s="250"/>
      <c r="G760" s="243"/>
      <c r="H760" s="243"/>
      <c r="I760" s="243"/>
      <c r="J760" s="172"/>
      <c r="K760" s="269"/>
      <c r="L760" s="270"/>
      <c r="M760" s="271" t="str">
        <f t="shared" si="28"/>
        <v/>
      </c>
      <c r="N760" s="176"/>
      <c r="O760" s="176"/>
      <c r="P760" s="249"/>
      <c r="Q760" s="249"/>
      <c r="R760" s="176"/>
      <c r="S760" s="176"/>
      <c r="T760" s="176"/>
      <c r="U760" s="176"/>
      <c r="V760" s="176"/>
      <c r="W760" s="176"/>
      <c r="X760" s="176"/>
      <c r="Y760" s="176"/>
      <c r="Z760" s="176"/>
    </row>
    <row r="761">
      <c r="A761" s="249"/>
      <c r="B761" s="249"/>
      <c r="C761" s="219"/>
      <c r="D761" s="268"/>
      <c r="E761" s="252"/>
      <c r="F761" s="250"/>
      <c r="G761" s="243"/>
      <c r="H761" s="243"/>
      <c r="I761" s="243"/>
      <c r="J761" s="172"/>
      <c r="K761" s="269"/>
      <c r="L761" s="270"/>
      <c r="M761" s="271" t="str">
        <f t="shared" si="28"/>
        <v/>
      </c>
      <c r="N761" s="176"/>
      <c r="O761" s="176"/>
      <c r="P761" s="249"/>
      <c r="Q761" s="249"/>
      <c r="R761" s="176"/>
      <c r="S761" s="176"/>
      <c r="T761" s="176"/>
      <c r="U761" s="176"/>
      <c r="V761" s="176"/>
      <c r="W761" s="176"/>
      <c r="X761" s="176"/>
      <c r="Y761" s="176"/>
      <c r="Z761" s="176"/>
    </row>
    <row r="762">
      <c r="A762" s="249"/>
      <c r="B762" s="249"/>
      <c r="C762" s="219"/>
      <c r="D762" s="268"/>
      <c r="E762" s="252"/>
      <c r="F762" s="250"/>
      <c r="G762" s="243"/>
      <c r="H762" s="243"/>
      <c r="I762" s="243"/>
      <c r="J762" s="172"/>
      <c r="K762" s="269"/>
      <c r="L762" s="270"/>
      <c r="M762" s="271" t="str">
        <f t="shared" si="28"/>
        <v/>
      </c>
      <c r="N762" s="176"/>
      <c r="O762" s="176"/>
      <c r="P762" s="249"/>
      <c r="Q762" s="249"/>
      <c r="R762" s="176"/>
      <c r="S762" s="176"/>
      <c r="T762" s="176"/>
      <c r="U762" s="176"/>
      <c r="V762" s="176"/>
      <c r="W762" s="176"/>
      <c r="X762" s="176"/>
      <c r="Y762" s="176"/>
      <c r="Z762" s="176"/>
    </row>
    <row r="763">
      <c r="A763" s="249"/>
      <c r="B763" s="249"/>
      <c r="C763" s="219"/>
      <c r="D763" s="268"/>
      <c r="E763" s="252"/>
      <c r="F763" s="250"/>
      <c r="G763" s="243"/>
      <c r="H763" s="243"/>
      <c r="I763" s="243"/>
      <c r="J763" s="172"/>
      <c r="K763" s="269"/>
      <c r="L763" s="270"/>
      <c r="M763" s="271" t="str">
        <f t="shared" si="28"/>
        <v/>
      </c>
      <c r="N763" s="176"/>
      <c r="O763" s="176"/>
      <c r="P763" s="249"/>
      <c r="Q763" s="249"/>
      <c r="R763" s="176"/>
      <c r="S763" s="176"/>
      <c r="T763" s="176"/>
      <c r="U763" s="176"/>
      <c r="V763" s="176"/>
      <c r="W763" s="176"/>
      <c r="X763" s="176"/>
      <c r="Y763" s="176"/>
      <c r="Z763" s="176"/>
    </row>
    <row r="764">
      <c r="A764" s="249"/>
      <c r="B764" s="249"/>
      <c r="C764" s="219"/>
      <c r="D764" s="268"/>
      <c r="E764" s="252"/>
      <c r="F764" s="250"/>
      <c r="G764" s="243"/>
      <c r="H764" s="243"/>
      <c r="I764" s="243"/>
      <c r="J764" s="172"/>
      <c r="K764" s="269"/>
      <c r="L764" s="270"/>
      <c r="M764" s="271" t="str">
        <f t="shared" si="28"/>
        <v/>
      </c>
      <c r="N764" s="176"/>
      <c r="O764" s="176"/>
      <c r="P764" s="249"/>
      <c r="Q764" s="249"/>
      <c r="R764" s="176"/>
      <c r="S764" s="176"/>
      <c r="T764" s="176"/>
      <c r="U764" s="176"/>
      <c r="V764" s="176"/>
      <c r="W764" s="176"/>
      <c r="X764" s="176"/>
      <c r="Y764" s="176"/>
      <c r="Z764" s="176"/>
    </row>
    <row r="765">
      <c r="A765" s="249"/>
      <c r="B765" s="249"/>
      <c r="C765" s="219"/>
      <c r="D765" s="268"/>
      <c r="E765" s="252"/>
      <c r="F765" s="250"/>
      <c r="G765" s="243"/>
      <c r="H765" s="243"/>
      <c r="I765" s="243"/>
      <c r="J765" s="172"/>
      <c r="K765" s="269"/>
      <c r="L765" s="270"/>
      <c r="M765" s="271" t="str">
        <f t="shared" si="28"/>
        <v/>
      </c>
      <c r="N765" s="176"/>
      <c r="O765" s="176"/>
      <c r="P765" s="249"/>
      <c r="Q765" s="249"/>
      <c r="R765" s="176"/>
      <c r="S765" s="176"/>
      <c r="T765" s="176"/>
      <c r="U765" s="176"/>
      <c r="V765" s="176"/>
      <c r="W765" s="176"/>
      <c r="X765" s="176"/>
      <c r="Y765" s="176"/>
      <c r="Z765" s="176"/>
    </row>
    <row r="766">
      <c r="A766" s="249"/>
      <c r="B766" s="249"/>
      <c r="C766" s="219"/>
      <c r="D766" s="268"/>
      <c r="E766" s="252"/>
      <c r="F766" s="250"/>
      <c r="G766" s="243"/>
      <c r="H766" s="243"/>
      <c r="I766" s="243"/>
      <c r="J766" s="172"/>
      <c r="K766" s="269"/>
      <c r="L766" s="270"/>
      <c r="M766" s="271" t="str">
        <f t="shared" si="28"/>
        <v/>
      </c>
      <c r="N766" s="176"/>
      <c r="O766" s="176"/>
      <c r="P766" s="249"/>
      <c r="Q766" s="249"/>
      <c r="R766" s="176"/>
      <c r="S766" s="176"/>
      <c r="T766" s="176"/>
      <c r="U766" s="176"/>
      <c r="V766" s="176"/>
      <c r="W766" s="176"/>
      <c r="X766" s="176"/>
      <c r="Y766" s="176"/>
      <c r="Z766" s="176"/>
    </row>
    <row r="767">
      <c r="A767" s="249"/>
      <c r="B767" s="249"/>
      <c r="C767" s="219"/>
      <c r="D767" s="268"/>
      <c r="E767" s="252"/>
      <c r="F767" s="250"/>
      <c r="G767" s="243"/>
      <c r="H767" s="243"/>
      <c r="I767" s="243"/>
      <c r="J767" s="172"/>
      <c r="K767" s="269"/>
      <c r="L767" s="270"/>
      <c r="M767" s="271" t="str">
        <f t="shared" si="28"/>
        <v/>
      </c>
      <c r="N767" s="176"/>
      <c r="O767" s="176"/>
      <c r="P767" s="249"/>
      <c r="Q767" s="249"/>
      <c r="R767" s="176"/>
      <c r="S767" s="176"/>
      <c r="T767" s="176"/>
      <c r="U767" s="176"/>
      <c r="V767" s="176"/>
      <c r="W767" s="176"/>
      <c r="X767" s="176"/>
      <c r="Y767" s="176"/>
      <c r="Z767" s="176"/>
    </row>
    <row r="768">
      <c r="A768" s="249"/>
      <c r="B768" s="249"/>
      <c r="C768" s="219"/>
      <c r="D768" s="268"/>
      <c r="E768" s="252"/>
      <c r="F768" s="250"/>
      <c r="G768" s="243"/>
      <c r="H768" s="243"/>
      <c r="I768" s="243"/>
      <c r="J768" s="172"/>
      <c r="K768" s="269"/>
      <c r="L768" s="270"/>
      <c r="M768" s="271" t="str">
        <f t="shared" si="28"/>
        <v/>
      </c>
      <c r="N768" s="176"/>
      <c r="O768" s="176"/>
      <c r="P768" s="249"/>
      <c r="Q768" s="249"/>
      <c r="R768" s="176"/>
      <c r="S768" s="176"/>
      <c r="T768" s="176"/>
      <c r="U768" s="176"/>
      <c r="V768" s="176"/>
      <c r="W768" s="176"/>
      <c r="X768" s="176"/>
      <c r="Y768" s="176"/>
      <c r="Z768" s="176"/>
    </row>
    <row r="769">
      <c r="A769" s="249"/>
      <c r="B769" s="249"/>
      <c r="C769" s="219"/>
      <c r="D769" s="268"/>
      <c r="E769" s="252"/>
      <c r="F769" s="250"/>
      <c r="G769" s="243"/>
      <c r="H769" s="243"/>
      <c r="I769" s="243"/>
      <c r="J769" s="172"/>
      <c r="K769" s="269"/>
      <c r="L769" s="270"/>
      <c r="M769" s="271" t="str">
        <f t="shared" si="28"/>
        <v/>
      </c>
      <c r="N769" s="176"/>
      <c r="O769" s="176"/>
      <c r="P769" s="249"/>
      <c r="Q769" s="249"/>
      <c r="R769" s="176"/>
      <c r="S769" s="176"/>
      <c r="T769" s="176"/>
      <c r="U769" s="176"/>
      <c r="V769" s="176"/>
      <c r="W769" s="176"/>
      <c r="X769" s="176"/>
      <c r="Y769" s="176"/>
      <c r="Z769" s="176"/>
    </row>
    <row r="770">
      <c r="A770" s="249"/>
      <c r="B770" s="249"/>
      <c r="C770" s="219"/>
      <c r="D770" s="268"/>
      <c r="E770" s="252"/>
      <c r="F770" s="250"/>
      <c r="G770" s="243"/>
      <c r="H770" s="243"/>
      <c r="I770" s="243"/>
      <c r="J770" s="172"/>
      <c r="K770" s="269"/>
      <c r="L770" s="270"/>
      <c r="M770" s="271" t="str">
        <f t="shared" si="28"/>
        <v/>
      </c>
      <c r="N770" s="176"/>
      <c r="O770" s="176"/>
      <c r="P770" s="249"/>
      <c r="Q770" s="249"/>
      <c r="R770" s="176"/>
      <c r="S770" s="176"/>
      <c r="T770" s="176"/>
      <c r="U770" s="176"/>
      <c r="V770" s="176"/>
      <c r="W770" s="176"/>
      <c r="X770" s="176"/>
      <c r="Y770" s="176"/>
      <c r="Z770" s="176"/>
    </row>
    <row r="771">
      <c r="A771" s="249"/>
      <c r="B771" s="249"/>
      <c r="C771" s="219"/>
      <c r="D771" s="268"/>
      <c r="E771" s="252"/>
      <c r="F771" s="250"/>
      <c r="G771" s="243"/>
      <c r="H771" s="243"/>
      <c r="I771" s="243"/>
      <c r="J771" s="172"/>
      <c r="K771" s="269"/>
      <c r="L771" s="270"/>
      <c r="M771" s="271" t="str">
        <f t="shared" si="28"/>
        <v/>
      </c>
      <c r="N771" s="176"/>
      <c r="O771" s="176"/>
      <c r="P771" s="249"/>
      <c r="Q771" s="249"/>
      <c r="R771" s="176"/>
      <c r="S771" s="176"/>
      <c r="T771" s="176"/>
      <c r="U771" s="176"/>
      <c r="V771" s="176"/>
      <c r="W771" s="176"/>
      <c r="X771" s="176"/>
      <c r="Y771" s="176"/>
      <c r="Z771" s="176"/>
    </row>
    <row r="772">
      <c r="A772" s="249"/>
      <c r="B772" s="249"/>
      <c r="C772" s="219"/>
      <c r="D772" s="268"/>
      <c r="E772" s="252"/>
      <c r="F772" s="250"/>
      <c r="G772" s="243"/>
      <c r="H772" s="243"/>
      <c r="I772" s="243"/>
      <c r="J772" s="172"/>
      <c r="K772" s="269"/>
      <c r="L772" s="270"/>
      <c r="M772" s="271" t="str">
        <f t="shared" si="28"/>
        <v/>
      </c>
      <c r="N772" s="176"/>
      <c r="O772" s="176"/>
      <c r="P772" s="249"/>
      <c r="Q772" s="249"/>
      <c r="R772" s="176"/>
      <c r="S772" s="176"/>
      <c r="T772" s="176"/>
      <c r="U772" s="176"/>
      <c r="V772" s="176"/>
      <c r="W772" s="176"/>
      <c r="X772" s="176"/>
      <c r="Y772" s="176"/>
      <c r="Z772" s="176"/>
    </row>
    <row r="773">
      <c r="A773" s="249"/>
      <c r="B773" s="249"/>
      <c r="C773" s="219"/>
      <c r="D773" s="268"/>
      <c r="E773" s="252"/>
      <c r="F773" s="250"/>
      <c r="G773" s="243"/>
      <c r="H773" s="243"/>
      <c r="I773" s="243"/>
      <c r="J773" s="172"/>
      <c r="K773" s="269"/>
      <c r="L773" s="270"/>
      <c r="M773" s="271" t="str">
        <f t="shared" si="28"/>
        <v/>
      </c>
      <c r="N773" s="176"/>
      <c r="O773" s="176"/>
      <c r="P773" s="249"/>
      <c r="Q773" s="249"/>
      <c r="R773" s="176"/>
      <c r="S773" s="176"/>
      <c r="T773" s="176"/>
      <c r="U773" s="176"/>
      <c r="V773" s="176"/>
      <c r="W773" s="176"/>
      <c r="X773" s="176"/>
      <c r="Y773" s="176"/>
      <c r="Z773" s="176"/>
    </row>
    <row r="774">
      <c r="A774" s="249"/>
      <c r="B774" s="249"/>
      <c r="C774" s="219"/>
      <c r="D774" s="268"/>
      <c r="E774" s="252"/>
      <c r="F774" s="250"/>
      <c r="G774" s="243"/>
      <c r="H774" s="243"/>
      <c r="I774" s="243"/>
      <c r="J774" s="172"/>
      <c r="K774" s="269"/>
      <c r="L774" s="270"/>
      <c r="M774" s="271" t="str">
        <f t="shared" si="28"/>
        <v/>
      </c>
      <c r="N774" s="176"/>
      <c r="O774" s="176"/>
      <c r="P774" s="249"/>
      <c r="Q774" s="249"/>
      <c r="R774" s="176"/>
      <c r="S774" s="176"/>
      <c r="T774" s="176"/>
      <c r="U774" s="176"/>
      <c r="V774" s="176"/>
      <c r="W774" s="176"/>
      <c r="X774" s="176"/>
      <c r="Y774" s="176"/>
      <c r="Z774" s="176"/>
    </row>
    <row r="775">
      <c r="A775" s="249"/>
      <c r="B775" s="249"/>
      <c r="C775" s="219"/>
      <c r="D775" s="268"/>
      <c r="E775" s="252"/>
      <c r="F775" s="250"/>
      <c r="G775" s="243"/>
      <c r="H775" s="243"/>
      <c r="I775" s="243"/>
      <c r="J775" s="172"/>
      <c r="K775" s="269"/>
      <c r="L775" s="270"/>
      <c r="M775" s="271" t="str">
        <f t="shared" si="28"/>
        <v/>
      </c>
      <c r="N775" s="176"/>
      <c r="O775" s="176"/>
      <c r="P775" s="249"/>
      <c r="Q775" s="249"/>
      <c r="R775" s="176"/>
      <c r="S775" s="176"/>
      <c r="T775" s="176"/>
      <c r="U775" s="176"/>
      <c r="V775" s="176"/>
      <c r="W775" s="176"/>
      <c r="X775" s="176"/>
      <c r="Y775" s="176"/>
      <c r="Z775" s="176"/>
    </row>
    <row r="776">
      <c r="A776" s="249"/>
      <c r="B776" s="249"/>
      <c r="C776" s="219"/>
      <c r="D776" s="268"/>
      <c r="E776" s="252"/>
      <c r="F776" s="250"/>
      <c r="G776" s="243"/>
      <c r="H776" s="243"/>
      <c r="I776" s="243"/>
      <c r="J776" s="172"/>
      <c r="K776" s="269"/>
      <c r="L776" s="270"/>
      <c r="M776" s="271" t="str">
        <f t="shared" si="28"/>
        <v/>
      </c>
      <c r="N776" s="176"/>
      <c r="O776" s="176"/>
      <c r="P776" s="249"/>
      <c r="Q776" s="249"/>
      <c r="R776" s="176"/>
      <c r="S776" s="176"/>
      <c r="T776" s="176"/>
      <c r="U776" s="176"/>
      <c r="V776" s="176"/>
      <c r="W776" s="176"/>
      <c r="X776" s="176"/>
      <c r="Y776" s="176"/>
      <c r="Z776" s="176"/>
    </row>
    <row r="777">
      <c r="A777" s="249"/>
      <c r="B777" s="249"/>
      <c r="C777" s="219"/>
      <c r="D777" s="268"/>
      <c r="E777" s="252"/>
      <c r="F777" s="250"/>
      <c r="G777" s="243"/>
      <c r="H777" s="243"/>
      <c r="I777" s="243"/>
      <c r="J777" s="172"/>
      <c r="K777" s="269"/>
      <c r="L777" s="270"/>
      <c r="M777" s="271" t="str">
        <f t="shared" si="28"/>
        <v/>
      </c>
      <c r="N777" s="176"/>
      <c r="O777" s="176"/>
      <c r="P777" s="249"/>
      <c r="Q777" s="249"/>
      <c r="R777" s="176"/>
      <c r="S777" s="176"/>
      <c r="T777" s="176"/>
      <c r="U777" s="176"/>
      <c r="V777" s="176"/>
      <c r="W777" s="176"/>
      <c r="X777" s="176"/>
      <c r="Y777" s="176"/>
      <c r="Z777" s="176"/>
    </row>
    <row r="778">
      <c r="A778" s="249"/>
      <c r="B778" s="249"/>
      <c r="C778" s="219"/>
      <c r="D778" s="268"/>
      <c r="E778" s="252"/>
      <c r="F778" s="250"/>
      <c r="G778" s="243"/>
      <c r="H778" s="243"/>
      <c r="I778" s="243"/>
      <c r="J778" s="172"/>
      <c r="K778" s="269"/>
      <c r="L778" s="270"/>
      <c r="M778" s="271" t="str">
        <f t="shared" si="28"/>
        <v/>
      </c>
      <c r="N778" s="176"/>
      <c r="O778" s="176"/>
      <c r="P778" s="249"/>
      <c r="Q778" s="249"/>
      <c r="R778" s="176"/>
      <c r="S778" s="176"/>
      <c r="T778" s="176"/>
      <c r="U778" s="176"/>
      <c r="V778" s="176"/>
      <c r="W778" s="176"/>
      <c r="X778" s="176"/>
      <c r="Y778" s="176"/>
      <c r="Z778" s="176"/>
    </row>
    <row r="779">
      <c r="A779" s="249"/>
      <c r="B779" s="249"/>
      <c r="C779" s="219"/>
      <c r="D779" s="268"/>
      <c r="E779" s="252"/>
      <c r="F779" s="250"/>
      <c r="G779" s="243"/>
      <c r="H779" s="243"/>
      <c r="I779" s="243"/>
      <c r="J779" s="172"/>
      <c r="K779" s="269"/>
      <c r="L779" s="270"/>
      <c r="M779" s="271" t="str">
        <f t="shared" si="28"/>
        <v/>
      </c>
      <c r="N779" s="176"/>
      <c r="O779" s="176"/>
      <c r="P779" s="249"/>
      <c r="Q779" s="249"/>
      <c r="R779" s="176"/>
      <c r="S779" s="176"/>
      <c r="T779" s="176"/>
      <c r="U779" s="176"/>
      <c r="V779" s="176"/>
      <c r="W779" s="176"/>
      <c r="X779" s="176"/>
      <c r="Y779" s="176"/>
      <c r="Z779" s="176"/>
    </row>
    <row r="780">
      <c r="A780" s="249"/>
      <c r="B780" s="249"/>
      <c r="C780" s="219"/>
      <c r="D780" s="268"/>
      <c r="E780" s="252"/>
      <c r="F780" s="250"/>
      <c r="G780" s="243"/>
      <c r="H780" s="243"/>
      <c r="I780" s="243"/>
      <c r="J780" s="172"/>
      <c r="K780" s="269"/>
      <c r="L780" s="270"/>
      <c r="M780" s="271" t="str">
        <f t="shared" si="28"/>
        <v/>
      </c>
      <c r="N780" s="176"/>
      <c r="O780" s="176"/>
      <c r="P780" s="249"/>
      <c r="Q780" s="249"/>
      <c r="R780" s="176"/>
      <c r="S780" s="176"/>
      <c r="T780" s="176"/>
      <c r="U780" s="176"/>
      <c r="V780" s="176"/>
      <c r="W780" s="176"/>
      <c r="X780" s="176"/>
      <c r="Y780" s="176"/>
      <c r="Z780" s="176"/>
    </row>
    <row r="781">
      <c r="A781" s="249"/>
      <c r="B781" s="249"/>
      <c r="C781" s="219"/>
      <c r="D781" s="268"/>
      <c r="E781" s="252"/>
      <c r="F781" s="250"/>
      <c r="G781" s="243"/>
      <c r="H781" s="243"/>
      <c r="I781" s="243"/>
      <c r="J781" s="172"/>
      <c r="K781" s="269"/>
      <c r="L781" s="270"/>
      <c r="M781" s="271" t="str">
        <f t="shared" si="28"/>
        <v/>
      </c>
      <c r="N781" s="176"/>
      <c r="O781" s="176"/>
      <c r="P781" s="249"/>
      <c r="Q781" s="249"/>
      <c r="R781" s="176"/>
      <c r="S781" s="176"/>
      <c r="T781" s="176"/>
      <c r="U781" s="176"/>
      <c r="V781" s="176"/>
      <c r="W781" s="176"/>
      <c r="X781" s="176"/>
      <c r="Y781" s="176"/>
      <c r="Z781" s="176"/>
    </row>
    <row r="782">
      <c r="A782" s="249"/>
      <c r="B782" s="249"/>
      <c r="C782" s="219"/>
      <c r="D782" s="268"/>
      <c r="E782" s="252"/>
      <c r="F782" s="250"/>
      <c r="G782" s="243"/>
      <c r="H782" s="243"/>
      <c r="I782" s="243"/>
      <c r="J782" s="172"/>
      <c r="K782" s="269"/>
      <c r="L782" s="270"/>
      <c r="M782" s="271" t="str">
        <f t="shared" si="28"/>
        <v/>
      </c>
      <c r="N782" s="176"/>
      <c r="O782" s="176"/>
      <c r="P782" s="249"/>
      <c r="Q782" s="249"/>
      <c r="R782" s="176"/>
      <c r="S782" s="176"/>
      <c r="T782" s="176"/>
      <c r="U782" s="176"/>
      <c r="V782" s="176"/>
      <c r="W782" s="176"/>
      <c r="X782" s="176"/>
      <c r="Y782" s="176"/>
      <c r="Z782" s="176"/>
    </row>
    <row r="783">
      <c r="A783" s="249"/>
      <c r="B783" s="249"/>
      <c r="C783" s="219"/>
      <c r="D783" s="268"/>
      <c r="E783" s="252"/>
      <c r="F783" s="250"/>
      <c r="G783" s="243"/>
      <c r="H783" s="243"/>
      <c r="I783" s="243"/>
      <c r="J783" s="172"/>
      <c r="K783" s="269"/>
      <c r="L783" s="270"/>
      <c r="M783" s="271" t="str">
        <f t="shared" si="28"/>
        <v/>
      </c>
      <c r="N783" s="176"/>
      <c r="O783" s="176"/>
      <c r="P783" s="249"/>
      <c r="Q783" s="249"/>
      <c r="R783" s="176"/>
      <c r="S783" s="176"/>
      <c r="T783" s="176"/>
      <c r="U783" s="176"/>
      <c r="V783" s="176"/>
      <c r="W783" s="176"/>
      <c r="X783" s="176"/>
      <c r="Y783" s="176"/>
      <c r="Z783" s="176"/>
    </row>
    <row r="784">
      <c r="A784" s="249"/>
      <c r="B784" s="249"/>
      <c r="C784" s="219"/>
      <c r="D784" s="268"/>
      <c r="E784" s="252"/>
      <c r="F784" s="250"/>
      <c r="G784" s="243"/>
      <c r="H784" s="243"/>
      <c r="I784" s="243"/>
      <c r="J784" s="172"/>
      <c r="K784" s="269"/>
      <c r="L784" s="270"/>
      <c r="M784" s="271" t="str">
        <f t="shared" si="28"/>
        <v/>
      </c>
      <c r="N784" s="176"/>
      <c r="O784" s="176"/>
      <c r="P784" s="249"/>
      <c r="Q784" s="249"/>
      <c r="R784" s="176"/>
      <c r="S784" s="176"/>
      <c r="T784" s="176"/>
      <c r="U784" s="176"/>
      <c r="V784" s="176"/>
      <c r="W784" s="176"/>
      <c r="X784" s="176"/>
      <c r="Y784" s="176"/>
      <c r="Z784" s="176"/>
    </row>
    <row r="785">
      <c r="A785" s="249"/>
      <c r="B785" s="249"/>
      <c r="C785" s="219"/>
      <c r="D785" s="268"/>
      <c r="E785" s="252"/>
      <c r="F785" s="250"/>
      <c r="G785" s="243"/>
      <c r="H785" s="243"/>
      <c r="I785" s="243"/>
      <c r="J785" s="172"/>
      <c r="K785" s="269"/>
      <c r="L785" s="270"/>
      <c r="M785" s="271" t="str">
        <f t="shared" si="28"/>
        <v/>
      </c>
      <c r="N785" s="176"/>
      <c r="O785" s="176"/>
      <c r="P785" s="249"/>
      <c r="Q785" s="249"/>
      <c r="R785" s="176"/>
      <c r="S785" s="176"/>
      <c r="T785" s="176"/>
      <c r="U785" s="176"/>
      <c r="V785" s="176"/>
      <c r="W785" s="176"/>
      <c r="X785" s="176"/>
      <c r="Y785" s="176"/>
      <c r="Z785" s="176"/>
    </row>
    <row r="786">
      <c r="A786" s="249"/>
      <c r="B786" s="249"/>
      <c r="C786" s="219"/>
      <c r="D786" s="268"/>
      <c r="E786" s="252"/>
      <c r="F786" s="250"/>
      <c r="G786" s="243"/>
      <c r="H786" s="243"/>
      <c r="I786" s="243"/>
      <c r="J786" s="172"/>
      <c r="K786" s="269"/>
      <c r="L786" s="270"/>
      <c r="M786" s="271" t="str">
        <f t="shared" si="28"/>
        <v/>
      </c>
      <c r="N786" s="176"/>
      <c r="O786" s="176"/>
      <c r="P786" s="249"/>
      <c r="Q786" s="249"/>
      <c r="R786" s="176"/>
      <c r="S786" s="176"/>
      <c r="T786" s="176"/>
      <c r="U786" s="176"/>
      <c r="V786" s="176"/>
      <c r="W786" s="176"/>
      <c r="X786" s="176"/>
      <c r="Y786" s="176"/>
      <c r="Z786" s="176"/>
    </row>
    <row r="787">
      <c r="A787" s="249"/>
      <c r="B787" s="249"/>
      <c r="C787" s="219"/>
      <c r="D787" s="268"/>
      <c r="E787" s="252"/>
      <c r="F787" s="250"/>
      <c r="G787" s="243"/>
      <c r="H787" s="243"/>
      <c r="I787" s="243"/>
      <c r="J787" s="172"/>
      <c r="K787" s="269"/>
      <c r="L787" s="270"/>
      <c r="M787" s="271" t="str">
        <f t="shared" si="28"/>
        <v/>
      </c>
      <c r="N787" s="176"/>
      <c r="O787" s="176"/>
      <c r="P787" s="249"/>
      <c r="Q787" s="249"/>
      <c r="R787" s="176"/>
      <c r="S787" s="176"/>
      <c r="T787" s="176"/>
      <c r="U787" s="176"/>
      <c r="V787" s="176"/>
      <c r="W787" s="176"/>
      <c r="X787" s="176"/>
      <c r="Y787" s="176"/>
      <c r="Z787" s="176"/>
    </row>
    <row r="788">
      <c r="A788" s="249"/>
      <c r="B788" s="249"/>
      <c r="C788" s="219"/>
      <c r="D788" s="268"/>
      <c r="E788" s="252"/>
      <c r="F788" s="250"/>
      <c r="G788" s="243"/>
      <c r="H788" s="243"/>
      <c r="I788" s="243"/>
      <c r="J788" s="172"/>
      <c r="K788" s="269"/>
      <c r="L788" s="270"/>
      <c r="M788" s="271" t="str">
        <f t="shared" si="28"/>
        <v/>
      </c>
      <c r="N788" s="176"/>
      <c r="O788" s="176"/>
      <c r="P788" s="249"/>
      <c r="Q788" s="249"/>
      <c r="R788" s="176"/>
      <c r="S788" s="176"/>
      <c r="T788" s="176"/>
      <c r="U788" s="176"/>
      <c r="V788" s="176"/>
      <c r="W788" s="176"/>
      <c r="X788" s="176"/>
      <c r="Y788" s="176"/>
      <c r="Z788" s="176"/>
    </row>
    <row r="789">
      <c r="A789" s="249"/>
      <c r="B789" s="249"/>
      <c r="C789" s="219"/>
      <c r="D789" s="268"/>
      <c r="E789" s="252"/>
      <c r="F789" s="250"/>
      <c r="G789" s="243"/>
      <c r="H789" s="243"/>
      <c r="I789" s="243"/>
      <c r="J789" s="172"/>
      <c r="K789" s="269"/>
      <c r="L789" s="270"/>
      <c r="M789" s="271" t="str">
        <f t="shared" si="28"/>
        <v/>
      </c>
      <c r="N789" s="176"/>
      <c r="O789" s="176"/>
      <c r="P789" s="249"/>
      <c r="Q789" s="249"/>
      <c r="R789" s="176"/>
      <c r="S789" s="176"/>
      <c r="T789" s="176"/>
      <c r="U789" s="176"/>
      <c r="V789" s="176"/>
      <c r="W789" s="176"/>
      <c r="X789" s="176"/>
      <c r="Y789" s="176"/>
      <c r="Z789" s="176"/>
    </row>
    <row r="790">
      <c r="A790" s="249"/>
      <c r="B790" s="249"/>
      <c r="C790" s="219"/>
      <c r="D790" s="268"/>
      <c r="E790" s="252"/>
      <c r="F790" s="250"/>
      <c r="G790" s="243"/>
      <c r="H790" s="243"/>
      <c r="I790" s="243"/>
      <c r="J790" s="172"/>
      <c r="K790" s="269"/>
      <c r="L790" s="270"/>
      <c r="M790" s="271" t="str">
        <f t="shared" si="28"/>
        <v/>
      </c>
      <c r="N790" s="176"/>
      <c r="O790" s="176"/>
      <c r="P790" s="249"/>
      <c r="Q790" s="249"/>
      <c r="R790" s="176"/>
      <c r="S790" s="176"/>
      <c r="T790" s="176"/>
      <c r="U790" s="176"/>
      <c r="V790" s="176"/>
      <c r="W790" s="176"/>
      <c r="X790" s="176"/>
      <c r="Y790" s="176"/>
      <c r="Z790" s="176"/>
    </row>
    <row r="791">
      <c r="A791" s="249"/>
      <c r="B791" s="249"/>
      <c r="C791" s="219"/>
      <c r="D791" s="268"/>
      <c r="E791" s="252"/>
      <c r="F791" s="250"/>
      <c r="G791" s="243"/>
      <c r="H791" s="243"/>
      <c r="I791" s="243"/>
      <c r="J791" s="172"/>
      <c r="K791" s="269"/>
      <c r="L791" s="270"/>
      <c r="M791" s="271" t="str">
        <f t="shared" si="28"/>
        <v/>
      </c>
      <c r="N791" s="176"/>
      <c r="O791" s="176"/>
      <c r="P791" s="249"/>
      <c r="Q791" s="249"/>
      <c r="R791" s="176"/>
      <c r="S791" s="176"/>
      <c r="T791" s="176"/>
      <c r="U791" s="176"/>
      <c r="V791" s="176"/>
      <c r="W791" s="176"/>
      <c r="X791" s="176"/>
      <c r="Y791" s="176"/>
      <c r="Z791" s="176"/>
    </row>
    <row r="792">
      <c r="A792" s="249"/>
      <c r="B792" s="249"/>
      <c r="C792" s="219"/>
      <c r="D792" s="268"/>
      <c r="E792" s="252"/>
      <c r="F792" s="250"/>
      <c r="G792" s="243"/>
      <c r="H792" s="243"/>
      <c r="I792" s="243"/>
      <c r="J792" s="172"/>
      <c r="K792" s="269"/>
      <c r="L792" s="270"/>
      <c r="M792" s="271" t="str">
        <f t="shared" si="28"/>
        <v/>
      </c>
      <c r="N792" s="176"/>
      <c r="O792" s="176"/>
      <c r="P792" s="249"/>
      <c r="Q792" s="249"/>
      <c r="R792" s="176"/>
      <c r="S792" s="176"/>
      <c r="T792" s="176"/>
      <c r="U792" s="176"/>
      <c r="V792" s="176"/>
      <c r="W792" s="176"/>
      <c r="X792" s="176"/>
      <c r="Y792" s="176"/>
      <c r="Z792" s="176"/>
    </row>
    <row r="793">
      <c r="A793" s="249"/>
      <c r="B793" s="249"/>
      <c r="C793" s="219"/>
      <c r="D793" s="268"/>
      <c r="E793" s="252"/>
      <c r="F793" s="250"/>
      <c r="G793" s="243"/>
      <c r="H793" s="243"/>
      <c r="I793" s="243"/>
      <c r="J793" s="172"/>
      <c r="K793" s="269"/>
      <c r="L793" s="270"/>
      <c r="M793" s="271" t="str">
        <f t="shared" si="28"/>
        <v/>
      </c>
      <c r="N793" s="176"/>
      <c r="O793" s="176"/>
      <c r="P793" s="249"/>
      <c r="Q793" s="249"/>
      <c r="R793" s="176"/>
      <c r="S793" s="176"/>
      <c r="T793" s="176"/>
      <c r="U793" s="176"/>
      <c r="V793" s="176"/>
      <c r="W793" s="176"/>
      <c r="X793" s="176"/>
      <c r="Y793" s="176"/>
      <c r="Z793" s="176"/>
    </row>
    <row r="794">
      <c r="A794" s="249"/>
      <c r="B794" s="249"/>
      <c r="C794" s="219"/>
      <c r="D794" s="268"/>
      <c r="E794" s="252"/>
      <c r="F794" s="250"/>
      <c r="G794" s="243"/>
      <c r="H794" s="243"/>
      <c r="I794" s="243"/>
      <c r="J794" s="172"/>
      <c r="K794" s="269"/>
      <c r="L794" s="270"/>
      <c r="M794" s="271" t="str">
        <f t="shared" si="28"/>
        <v/>
      </c>
      <c r="N794" s="176"/>
      <c r="O794" s="176"/>
      <c r="P794" s="249"/>
      <c r="Q794" s="249"/>
      <c r="R794" s="176"/>
      <c r="S794" s="176"/>
      <c r="T794" s="176"/>
      <c r="U794" s="176"/>
      <c r="V794" s="176"/>
      <c r="W794" s="176"/>
      <c r="X794" s="176"/>
      <c r="Y794" s="176"/>
      <c r="Z794" s="176"/>
    </row>
    <row r="795">
      <c r="A795" s="249"/>
      <c r="B795" s="249"/>
      <c r="C795" s="219"/>
      <c r="D795" s="268"/>
      <c r="E795" s="252"/>
      <c r="F795" s="250"/>
      <c r="G795" s="243"/>
      <c r="H795" s="243"/>
      <c r="I795" s="243"/>
      <c r="J795" s="172"/>
      <c r="K795" s="269"/>
      <c r="L795" s="270"/>
      <c r="M795" s="271" t="str">
        <f t="shared" si="28"/>
        <v/>
      </c>
      <c r="N795" s="176"/>
      <c r="O795" s="176"/>
      <c r="P795" s="249"/>
      <c r="Q795" s="249"/>
      <c r="R795" s="176"/>
      <c r="S795" s="176"/>
      <c r="T795" s="176"/>
      <c r="U795" s="176"/>
      <c r="V795" s="176"/>
      <c r="W795" s="176"/>
      <c r="X795" s="176"/>
      <c r="Y795" s="176"/>
      <c r="Z795" s="176"/>
    </row>
    <row r="796">
      <c r="A796" s="249"/>
      <c r="B796" s="249"/>
      <c r="C796" s="219"/>
      <c r="D796" s="268"/>
      <c r="E796" s="252"/>
      <c r="F796" s="250"/>
      <c r="G796" s="243"/>
      <c r="H796" s="243"/>
      <c r="I796" s="243"/>
      <c r="J796" s="172"/>
      <c r="K796" s="269"/>
      <c r="L796" s="270"/>
      <c r="M796" s="271" t="str">
        <f t="shared" si="28"/>
        <v/>
      </c>
      <c r="N796" s="176"/>
      <c r="O796" s="176"/>
      <c r="P796" s="249"/>
      <c r="Q796" s="249"/>
      <c r="R796" s="176"/>
      <c r="S796" s="176"/>
      <c r="T796" s="176"/>
      <c r="U796" s="176"/>
      <c r="V796" s="176"/>
      <c r="W796" s="176"/>
      <c r="X796" s="176"/>
      <c r="Y796" s="176"/>
      <c r="Z796" s="176"/>
    </row>
    <row r="797">
      <c r="A797" s="249"/>
      <c r="B797" s="249"/>
      <c r="C797" s="219"/>
      <c r="D797" s="268"/>
      <c r="E797" s="252"/>
      <c r="F797" s="250"/>
      <c r="G797" s="243"/>
      <c r="H797" s="243"/>
      <c r="I797" s="243"/>
      <c r="J797" s="172"/>
      <c r="K797" s="269"/>
      <c r="L797" s="270"/>
      <c r="M797" s="271" t="str">
        <f t="shared" si="28"/>
        <v/>
      </c>
      <c r="N797" s="176"/>
      <c r="O797" s="176"/>
      <c r="P797" s="249"/>
      <c r="Q797" s="249"/>
      <c r="R797" s="176"/>
      <c r="S797" s="176"/>
      <c r="T797" s="176"/>
      <c r="U797" s="176"/>
      <c r="V797" s="176"/>
      <c r="W797" s="176"/>
      <c r="X797" s="176"/>
      <c r="Y797" s="176"/>
      <c r="Z797" s="176"/>
    </row>
    <row r="798">
      <c r="A798" s="249"/>
      <c r="B798" s="249"/>
      <c r="C798" s="219"/>
      <c r="D798" s="268"/>
      <c r="E798" s="252"/>
      <c r="F798" s="250"/>
      <c r="G798" s="243"/>
      <c r="H798" s="243"/>
      <c r="I798" s="243"/>
      <c r="J798" s="172"/>
      <c r="K798" s="269"/>
      <c r="L798" s="270"/>
      <c r="M798" s="271" t="str">
        <f t="shared" si="28"/>
        <v/>
      </c>
      <c r="N798" s="176"/>
      <c r="O798" s="176"/>
      <c r="P798" s="249"/>
      <c r="Q798" s="249"/>
      <c r="R798" s="176"/>
      <c r="S798" s="176"/>
      <c r="T798" s="176"/>
      <c r="U798" s="176"/>
      <c r="V798" s="176"/>
      <c r="W798" s="176"/>
      <c r="X798" s="176"/>
      <c r="Y798" s="176"/>
      <c r="Z798" s="176"/>
    </row>
    <row r="799">
      <c r="A799" s="249"/>
      <c r="B799" s="249"/>
      <c r="C799" s="219"/>
      <c r="D799" s="268"/>
      <c r="E799" s="252"/>
      <c r="F799" s="250"/>
      <c r="G799" s="243"/>
      <c r="H799" s="243"/>
      <c r="I799" s="243"/>
      <c r="J799" s="172"/>
      <c r="K799" s="269"/>
      <c r="L799" s="270"/>
      <c r="M799" s="271" t="str">
        <f t="shared" si="28"/>
        <v/>
      </c>
      <c r="N799" s="176"/>
      <c r="O799" s="176"/>
      <c r="P799" s="249"/>
      <c r="Q799" s="249"/>
      <c r="R799" s="176"/>
      <c r="S799" s="176"/>
      <c r="T799" s="176"/>
      <c r="U799" s="176"/>
      <c r="V799" s="176"/>
      <c r="W799" s="176"/>
      <c r="X799" s="176"/>
      <c r="Y799" s="176"/>
      <c r="Z799" s="176"/>
    </row>
    <row r="800">
      <c r="A800" s="249"/>
      <c r="B800" s="249"/>
      <c r="C800" s="219"/>
      <c r="D800" s="268"/>
      <c r="E800" s="252"/>
      <c r="F800" s="250"/>
      <c r="G800" s="243"/>
      <c r="H800" s="243"/>
      <c r="I800" s="243"/>
      <c r="J800" s="172"/>
      <c r="K800" s="269"/>
      <c r="L800" s="270"/>
      <c r="M800" s="271" t="str">
        <f t="shared" si="28"/>
        <v/>
      </c>
      <c r="N800" s="176"/>
      <c r="O800" s="176"/>
      <c r="P800" s="249"/>
      <c r="Q800" s="249"/>
      <c r="R800" s="176"/>
      <c r="S800" s="176"/>
      <c r="T800" s="176"/>
      <c r="U800" s="176"/>
      <c r="V800" s="176"/>
      <c r="W800" s="176"/>
      <c r="X800" s="176"/>
      <c r="Y800" s="176"/>
      <c r="Z800" s="176"/>
    </row>
    <row r="801">
      <c r="A801" s="249"/>
      <c r="B801" s="249"/>
      <c r="C801" s="219"/>
      <c r="D801" s="268"/>
      <c r="E801" s="252"/>
      <c r="F801" s="250"/>
      <c r="G801" s="243"/>
      <c r="H801" s="243"/>
      <c r="I801" s="243"/>
      <c r="J801" s="172"/>
      <c r="K801" s="269"/>
      <c r="L801" s="270"/>
      <c r="M801" s="271" t="str">
        <f t="shared" si="28"/>
        <v/>
      </c>
      <c r="N801" s="176"/>
      <c r="O801" s="176"/>
      <c r="P801" s="249"/>
      <c r="Q801" s="249"/>
      <c r="R801" s="176"/>
      <c r="S801" s="176"/>
      <c r="T801" s="176"/>
      <c r="U801" s="176"/>
      <c r="V801" s="176"/>
      <c r="W801" s="176"/>
      <c r="X801" s="176"/>
      <c r="Y801" s="176"/>
      <c r="Z801" s="176"/>
    </row>
    <row r="802">
      <c r="A802" s="249"/>
      <c r="B802" s="249"/>
      <c r="C802" s="219"/>
      <c r="D802" s="268"/>
      <c r="E802" s="252"/>
      <c r="F802" s="250"/>
      <c r="G802" s="243"/>
      <c r="H802" s="243"/>
      <c r="I802" s="243"/>
      <c r="J802" s="172"/>
      <c r="K802" s="269"/>
      <c r="L802" s="270"/>
      <c r="M802" s="271" t="str">
        <f t="shared" si="28"/>
        <v/>
      </c>
      <c r="N802" s="176"/>
      <c r="O802" s="176"/>
      <c r="P802" s="249"/>
      <c r="Q802" s="249"/>
      <c r="R802" s="176"/>
      <c r="S802" s="176"/>
      <c r="T802" s="176"/>
      <c r="U802" s="176"/>
      <c r="V802" s="176"/>
      <c r="W802" s="176"/>
      <c r="X802" s="176"/>
      <c r="Y802" s="176"/>
      <c r="Z802" s="176"/>
    </row>
    <row r="803">
      <c r="A803" s="249"/>
      <c r="B803" s="249"/>
      <c r="C803" s="219"/>
      <c r="D803" s="268"/>
      <c r="E803" s="252"/>
      <c r="F803" s="250"/>
      <c r="G803" s="243"/>
      <c r="H803" s="243"/>
      <c r="I803" s="243"/>
      <c r="J803" s="172"/>
      <c r="K803" s="269"/>
      <c r="L803" s="270"/>
      <c r="M803" s="271" t="str">
        <f t="shared" si="28"/>
        <v/>
      </c>
      <c r="N803" s="176"/>
      <c r="O803" s="176"/>
      <c r="P803" s="249"/>
      <c r="Q803" s="249"/>
      <c r="R803" s="176"/>
      <c r="S803" s="176"/>
      <c r="T803" s="176"/>
      <c r="U803" s="176"/>
      <c r="V803" s="176"/>
      <c r="W803" s="176"/>
      <c r="X803" s="176"/>
      <c r="Y803" s="176"/>
      <c r="Z803" s="176"/>
    </row>
    <row r="804">
      <c r="A804" s="249"/>
      <c r="B804" s="249"/>
      <c r="C804" s="219"/>
      <c r="D804" s="268"/>
      <c r="E804" s="252"/>
      <c r="F804" s="250"/>
      <c r="G804" s="243"/>
      <c r="H804" s="243"/>
      <c r="I804" s="243"/>
      <c r="J804" s="172"/>
      <c r="K804" s="269"/>
      <c r="L804" s="270"/>
      <c r="M804" s="271" t="str">
        <f t="shared" si="28"/>
        <v/>
      </c>
      <c r="N804" s="176"/>
      <c r="O804" s="176"/>
      <c r="P804" s="249"/>
      <c r="Q804" s="249"/>
      <c r="R804" s="176"/>
      <c r="S804" s="176"/>
      <c r="T804" s="176"/>
      <c r="U804" s="176"/>
      <c r="V804" s="176"/>
      <c r="W804" s="176"/>
      <c r="X804" s="176"/>
      <c r="Y804" s="176"/>
      <c r="Z804" s="176"/>
    </row>
    <row r="805">
      <c r="A805" s="249"/>
      <c r="B805" s="249"/>
      <c r="C805" s="219"/>
      <c r="D805" s="268"/>
      <c r="E805" s="252"/>
      <c r="F805" s="250"/>
      <c r="G805" s="243"/>
      <c r="H805" s="243"/>
      <c r="I805" s="243"/>
      <c r="J805" s="172"/>
      <c r="K805" s="269"/>
      <c r="L805" s="270"/>
      <c r="M805" s="271" t="str">
        <f t="shared" si="28"/>
        <v/>
      </c>
      <c r="N805" s="176"/>
      <c r="O805" s="176"/>
      <c r="P805" s="249"/>
      <c r="Q805" s="249"/>
      <c r="R805" s="176"/>
      <c r="S805" s="176"/>
      <c r="T805" s="176"/>
      <c r="U805" s="176"/>
      <c r="V805" s="176"/>
      <c r="W805" s="176"/>
      <c r="X805" s="176"/>
      <c r="Y805" s="176"/>
      <c r="Z805" s="176"/>
    </row>
    <row r="806">
      <c r="A806" s="249"/>
      <c r="B806" s="249"/>
      <c r="C806" s="219"/>
      <c r="D806" s="268"/>
      <c r="E806" s="252"/>
      <c r="F806" s="250"/>
      <c r="G806" s="243"/>
      <c r="H806" s="243"/>
      <c r="I806" s="243"/>
      <c r="J806" s="172"/>
      <c r="K806" s="269"/>
      <c r="L806" s="270"/>
      <c r="M806" s="271" t="str">
        <f t="shared" si="28"/>
        <v/>
      </c>
      <c r="N806" s="176"/>
      <c r="O806" s="176"/>
      <c r="P806" s="249"/>
      <c r="Q806" s="249"/>
      <c r="R806" s="176"/>
      <c r="S806" s="176"/>
      <c r="T806" s="176"/>
      <c r="U806" s="176"/>
      <c r="V806" s="176"/>
      <c r="W806" s="176"/>
      <c r="X806" s="176"/>
      <c r="Y806" s="176"/>
      <c r="Z806" s="176"/>
    </row>
    <row r="807">
      <c r="A807" s="249"/>
      <c r="B807" s="249"/>
      <c r="C807" s="219"/>
      <c r="D807" s="268"/>
      <c r="E807" s="252"/>
      <c r="F807" s="250"/>
      <c r="G807" s="243"/>
      <c r="H807" s="243"/>
      <c r="I807" s="243"/>
      <c r="J807" s="172"/>
      <c r="K807" s="269"/>
      <c r="L807" s="270"/>
      <c r="M807" s="271" t="str">
        <f t="shared" si="28"/>
        <v/>
      </c>
      <c r="N807" s="176"/>
      <c r="O807" s="176"/>
      <c r="P807" s="249"/>
      <c r="Q807" s="249"/>
      <c r="R807" s="176"/>
      <c r="S807" s="176"/>
      <c r="T807" s="176"/>
      <c r="U807" s="176"/>
      <c r="V807" s="176"/>
      <c r="W807" s="176"/>
      <c r="X807" s="176"/>
      <c r="Y807" s="176"/>
      <c r="Z807" s="176"/>
    </row>
    <row r="808">
      <c r="A808" s="249"/>
      <c r="B808" s="249"/>
      <c r="C808" s="219"/>
      <c r="D808" s="268"/>
      <c r="E808" s="252"/>
      <c r="F808" s="250"/>
      <c r="G808" s="243"/>
      <c r="H808" s="243"/>
      <c r="I808" s="243"/>
      <c r="J808" s="172"/>
      <c r="K808" s="269"/>
      <c r="L808" s="270"/>
      <c r="M808" s="271" t="str">
        <f t="shared" si="28"/>
        <v/>
      </c>
      <c r="N808" s="176"/>
      <c r="O808" s="176"/>
      <c r="P808" s="249"/>
      <c r="Q808" s="249"/>
      <c r="R808" s="176"/>
      <c r="S808" s="176"/>
      <c r="T808" s="176"/>
      <c r="U808" s="176"/>
      <c r="V808" s="176"/>
      <c r="W808" s="176"/>
      <c r="X808" s="176"/>
      <c r="Y808" s="176"/>
      <c r="Z808" s="176"/>
    </row>
    <row r="809">
      <c r="A809" s="249"/>
      <c r="B809" s="249"/>
      <c r="C809" s="219"/>
      <c r="D809" s="268"/>
      <c r="E809" s="252"/>
      <c r="F809" s="250"/>
      <c r="G809" s="243"/>
      <c r="H809" s="243"/>
      <c r="I809" s="243"/>
      <c r="J809" s="172"/>
      <c r="K809" s="269"/>
      <c r="L809" s="270"/>
      <c r="M809" s="271" t="str">
        <f t="shared" si="28"/>
        <v/>
      </c>
      <c r="N809" s="176"/>
      <c r="O809" s="176"/>
      <c r="P809" s="249"/>
      <c r="Q809" s="249"/>
      <c r="R809" s="176"/>
      <c r="S809" s="176"/>
      <c r="T809" s="176"/>
      <c r="U809" s="176"/>
      <c r="V809" s="176"/>
      <c r="W809" s="176"/>
      <c r="X809" s="176"/>
      <c r="Y809" s="176"/>
      <c r="Z809" s="176"/>
    </row>
    <row r="810">
      <c r="A810" s="249"/>
      <c r="B810" s="249"/>
      <c r="C810" s="219"/>
      <c r="D810" s="268"/>
      <c r="E810" s="252"/>
      <c r="F810" s="250"/>
      <c r="G810" s="243"/>
      <c r="H810" s="243"/>
      <c r="I810" s="243"/>
      <c r="J810" s="172"/>
      <c r="K810" s="269"/>
      <c r="L810" s="270"/>
      <c r="M810" s="271" t="str">
        <f t="shared" si="28"/>
        <v/>
      </c>
      <c r="N810" s="176"/>
      <c r="O810" s="176"/>
      <c r="P810" s="249"/>
      <c r="Q810" s="249"/>
      <c r="R810" s="176"/>
      <c r="S810" s="176"/>
      <c r="T810" s="176"/>
      <c r="U810" s="176"/>
      <c r="V810" s="176"/>
      <c r="W810" s="176"/>
      <c r="X810" s="176"/>
      <c r="Y810" s="176"/>
      <c r="Z810" s="176"/>
    </row>
    <row r="811">
      <c r="A811" s="249"/>
      <c r="B811" s="249"/>
      <c r="C811" s="219"/>
      <c r="D811" s="268"/>
      <c r="E811" s="252"/>
      <c r="F811" s="250"/>
      <c r="G811" s="243"/>
      <c r="H811" s="243"/>
      <c r="I811" s="243"/>
      <c r="J811" s="172"/>
      <c r="K811" s="269"/>
      <c r="L811" s="270"/>
      <c r="M811" s="271" t="str">
        <f t="shared" si="28"/>
        <v/>
      </c>
      <c r="N811" s="176"/>
      <c r="O811" s="176"/>
      <c r="P811" s="249"/>
      <c r="Q811" s="249"/>
      <c r="R811" s="176"/>
      <c r="S811" s="176"/>
      <c r="T811" s="176"/>
      <c r="U811" s="176"/>
      <c r="V811" s="176"/>
      <c r="W811" s="176"/>
      <c r="X811" s="176"/>
      <c r="Y811" s="176"/>
      <c r="Z811" s="176"/>
    </row>
    <row r="812">
      <c r="A812" s="249"/>
      <c r="B812" s="249"/>
      <c r="C812" s="219"/>
      <c r="D812" s="268"/>
      <c r="E812" s="252"/>
      <c r="F812" s="250"/>
      <c r="G812" s="243"/>
      <c r="H812" s="243"/>
      <c r="I812" s="243"/>
      <c r="J812" s="172"/>
      <c r="K812" s="269"/>
      <c r="L812" s="270"/>
      <c r="M812" s="271" t="str">
        <f t="shared" si="28"/>
        <v/>
      </c>
      <c r="N812" s="176"/>
      <c r="O812" s="176"/>
      <c r="P812" s="249"/>
      <c r="Q812" s="249"/>
      <c r="R812" s="176"/>
      <c r="S812" s="176"/>
      <c r="T812" s="176"/>
      <c r="U812" s="176"/>
      <c r="V812" s="176"/>
      <c r="W812" s="176"/>
      <c r="X812" s="176"/>
      <c r="Y812" s="176"/>
      <c r="Z812" s="176"/>
    </row>
    <row r="813">
      <c r="A813" s="249"/>
      <c r="B813" s="249"/>
      <c r="C813" s="219"/>
      <c r="D813" s="268"/>
      <c r="E813" s="252"/>
      <c r="F813" s="250"/>
      <c r="G813" s="243"/>
      <c r="H813" s="243"/>
      <c r="I813" s="243"/>
      <c r="J813" s="172"/>
      <c r="K813" s="269"/>
      <c r="L813" s="270"/>
      <c r="M813" s="271" t="str">
        <f t="shared" si="28"/>
        <v/>
      </c>
      <c r="N813" s="176"/>
      <c r="O813" s="176"/>
      <c r="P813" s="249"/>
      <c r="Q813" s="249"/>
      <c r="R813" s="176"/>
      <c r="S813" s="176"/>
      <c r="T813" s="176"/>
      <c r="U813" s="176"/>
      <c r="V813" s="176"/>
      <c r="W813" s="176"/>
      <c r="X813" s="176"/>
      <c r="Y813" s="176"/>
      <c r="Z813" s="176"/>
    </row>
    <row r="814">
      <c r="A814" s="249"/>
      <c r="B814" s="249"/>
      <c r="C814" s="219"/>
      <c r="D814" s="268"/>
      <c r="E814" s="252"/>
      <c r="F814" s="250"/>
      <c r="G814" s="243"/>
      <c r="H814" s="243"/>
      <c r="I814" s="243"/>
      <c r="J814" s="172"/>
      <c r="K814" s="269"/>
      <c r="L814" s="270"/>
      <c r="M814" s="271" t="str">
        <f t="shared" si="28"/>
        <v/>
      </c>
      <c r="N814" s="176"/>
      <c r="O814" s="176"/>
      <c r="P814" s="249"/>
      <c r="Q814" s="249"/>
      <c r="R814" s="176"/>
      <c r="S814" s="176"/>
      <c r="T814" s="176"/>
      <c r="U814" s="176"/>
      <c r="V814" s="176"/>
      <c r="W814" s="176"/>
      <c r="X814" s="176"/>
      <c r="Y814" s="176"/>
      <c r="Z814" s="176"/>
    </row>
    <row r="815">
      <c r="A815" s="249"/>
      <c r="B815" s="249"/>
      <c r="C815" s="219"/>
      <c r="D815" s="268"/>
      <c r="E815" s="252"/>
      <c r="F815" s="250"/>
      <c r="G815" s="243"/>
      <c r="H815" s="243"/>
      <c r="I815" s="243"/>
      <c r="J815" s="172"/>
      <c r="K815" s="269"/>
      <c r="L815" s="270"/>
      <c r="M815" s="271" t="str">
        <f t="shared" si="28"/>
        <v/>
      </c>
      <c r="N815" s="176"/>
      <c r="O815" s="176"/>
      <c r="P815" s="249"/>
      <c r="Q815" s="249"/>
      <c r="R815" s="176"/>
      <c r="S815" s="176"/>
      <c r="T815" s="176"/>
      <c r="U815" s="176"/>
      <c r="V815" s="176"/>
      <c r="W815" s="176"/>
      <c r="X815" s="176"/>
      <c r="Y815" s="176"/>
      <c r="Z815" s="176"/>
    </row>
    <row r="816">
      <c r="A816" s="249"/>
      <c r="B816" s="249"/>
      <c r="C816" s="219"/>
      <c r="D816" s="268"/>
      <c r="E816" s="252"/>
      <c r="F816" s="250"/>
      <c r="G816" s="243"/>
      <c r="H816" s="243"/>
      <c r="I816" s="243"/>
      <c r="J816" s="172"/>
      <c r="K816" s="269"/>
      <c r="L816" s="270"/>
      <c r="M816" s="271" t="str">
        <f t="shared" si="28"/>
        <v/>
      </c>
      <c r="N816" s="176"/>
      <c r="O816" s="176"/>
      <c r="P816" s="249"/>
      <c r="Q816" s="249"/>
      <c r="R816" s="176"/>
      <c r="S816" s="176"/>
      <c r="T816" s="176"/>
      <c r="U816" s="176"/>
      <c r="V816" s="176"/>
      <c r="W816" s="176"/>
      <c r="X816" s="176"/>
      <c r="Y816" s="176"/>
      <c r="Z816" s="176"/>
    </row>
    <row r="817">
      <c r="A817" s="249"/>
      <c r="B817" s="249"/>
      <c r="C817" s="219"/>
      <c r="D817" s="268"/>
      <c r="E817" s="252"/>
      <c r="F817" s="250"/>
      <c r="G817" s="243"/>
      <c r="H817" s="243"/>
      <c r="I817" s="243"/>
      <c r="J817" s="172"/>
      <c r="K817" s="269"/>
      <c r="L817" s="270"/>
      <c r="M817" s="271" t="str">
        <f t="shared" si="28"/>
        <v/>
      </c>
      <c r="N817" s="176"/>
      <c r="O817" s="176"/>
      <c r="P817" s="249"/>
      <c r="Q817" s="249"/>
      <c r="R817" s="176"/>
      <c r="S817" s="176"/>
      <c r="T817" s="176"/>
      <c r="U817" s="176"/>
      <c r="V817" s="176"/>
      <c r="W817" s="176"/>
      <c r="X817" s="176"/>
      <c r="Y817" s="176"/>
      <c r="Z817" s="176"/>
    </row>
    <row r="818">
      <c r="A818" s="249"/>
      <c r="B818" s="249"/>
      <c r="C818" s="219"/>
      <c r="D818" s="268"/>
      <c r="E818" s="252"/>
      <c r="F818" s="250"/>
      <c r="G818" s="243"/>
      <c r="H818" s="243"/>
      <c r="I818" s="243"/>
      <c r="J818" s="172"/>
      <c r="K818" s="269"/>
      <c r="L818" s="270"/>
      <c r="M818" s="271" t="str">
        <f t="shared" si="28"/>
        <v/>
      </c>
      <c r="N818" s="176"/>
      <c r="O818" s="176"/>
      <c r="P818" s="249"/>
      <c r="Q818" s="249"/>
      <c r="R818" s="176"/>
      <c r="S818" s="176"/>
      <c r="T818" s="176"/>
      <c r="U818" s="176"/>
      <c r="V818" s="176"/>
      <c r="W818" s="176"/>
      <c r="X818" s="176"/>
      <c r="Y818" s="176"/>
      <c r="Z818" s="176"/>
    </row>
    <row r="819">
      <c r="A819" s="249"/>
      <c r="B819" s="249"/>
      <c r="C819" s="219"/>
      <c r="D819" s="268"/>
      <c r="E819" s="252"/>
      <c r="F819" s="250"/>
      <c r="G819" s="243"/>
      <c r="H819" s="243"/>
      <c r="I819" s="243"/>
      <c r="J819" s="172"/>
      <c r="K819" s="269"/>
      <c r="L819" s="270"/>
      <c r="M819" s="271" t="str">
        <f t="shared" si="28"/>
        <v/>
      </c>
      <c r="N819" s="176"/>
      <c r="O819" s="176"/>
      <c r="P819" s="249"/>
      <c r="Q819" s="249"/>
      <c r="R819" s="176"/>
      <c r="S819" s="176"/>
      <c r="T819" s="176"/>
      <c r="U819" s="176"/>
      <c r="V819" s="176"/>
      <c r="W819" s="176"/>
      <c r="X819" s="176"/>
      <c r="Y819" s="176"/>
      <c r="Z819" s="176"/>
    </row>
    <row r="820">
      <c r="A820" s="249"/>
      <c r="B820" s="249"/>
      <c r="C820" s="219"/>
      <c r="D820" s="268"/>
      <c r="E820" s="252"/>
      <c r="F820" s="250"/>
      <c r="G820" s="243"/>
      <c r="H820" s="243"/>
      <c r="I820" s="243"/>
      <c r="J820" s="172"/>
      <c r="K820" s="269"/>
      <c r="L820" s="270"/>
      <c r="M820" s="271" t="str">
        <f t="shared" si="28"/>
        <v/>
      </c>
      <c r="N820" s="176"/>
      <c r="O820" s="176"/>
      <c r="P820" s="249"/>
      <c r="Q820" s="249"/>
      <c r="R820" s="176"/>
      <c r="S820" s="176"/>
      <c r="T820" s="176"/>
      <c r="U820" s="176"/>
      <c r="V820" s="176"/>
      <c r="W820" s="176"/>
      <c r="X820" s="176"/>
      <c r="Y820" s="176"/>
      <c r="Z820" s="176"/>
    </row>
    <row r="821">
      <c r="A821" s="249"/>
      <c r="B821" s="249"/>
      <c r="C821" s="219"/>
      <c r="D821" s="268"/>
      <c r="E821" s="252"/>
      <c r="F821" s="250"/>
      <c r="G821" s="243"/>
      <c r="H821" s="243"/>
      <c r="I821" s="243"/>
      <c r="J821" s="172"/>
      <c r="K821" s="269"/>
      <c r="L821" s="270"/>
      <c r="M821" s="271" t="str">
        <f t="shared" si="28"/>
        <v/>
      </c>
      <c r="N821" s="176"/>
      <c r="O821" s="176"/>
      <c r="P821" s="249"/>
      <c r="Q821" s="249"/>
      <c r="R821" s="176"/>
      <c r="S821" s="176"/>
      <c r="T821" s="176"/>
      <c r="U821" s="176"/>
      <c r="V821" s="176"/>
      <c r="W821" s="176"/>
      <c r="X821" s="176"/>
      <c r="Y821" s="176"/>
      <c r="Z821" s="176"/>
    </row>
    <row r="822">
      <c r="A822" s="249"/>
      <c r="B822" s="249"/>
      <c r="C822" s="219"/>
      <c r="D822" s="268"/>
      <c r="E822" s="252"/>
      <c r="F822" s="250"/>
      <c r="G822" s="243"/>
      <c r="H822" s="243"/>
      <c r="I822" s="243"/>
      <c r="J822" s="172"/>
      <c r="K822" s="269"/>
      <c r="L822" s="270"/>
      <c r="M822" s="271" t="str">
        <f t="shared" si="28"/>
        <v/>
      </c>
      <c r="N822" s="176"/>
      <c r="O822" s="176"/>
      <c r="P822" s="249"/>
      <c r="Q822" s="249"/>
      <c r="R822" s="176"/>
      <c r="S822" s="176"/>
      <c r="T822" s="176"/>
      <c r="U822" s="176"/>
      <c r="V822" s="176"/>
      <c r="W822" s="176"/>
      <c r="X822" s="176"/>
      <c r="Y822" s="176"/>
      <c r="Z822" s="176"/>
    </row>
    <row r="823">
      <c r="A823" s="249"/>
      <c r="B823" s="249"/>
      <c r="C823" s="219"/>
      <c r="D823" s="268"/>
      <c r="E823" s="252"/>
      <c r="F823" s="250"/>
      <c r="G823" s="243"/>
      <c r="H823" s="243"/>
      <c r="I823" s="243"/>
      <c r="J823" s="172"/>
      <c r="K823" s="269"/>
      <c r="L823" s="270"/>
      <c r="M823" s="271" t="str">
        <f t="shared" si="28"/>
        <v/>
      </c>
      <c r="N823" s="176"/>
      <c r="O823" s="176"/>
      <c r="P823" s="249"/>
      <c r="Q823" s="249"/>
      <c r="R823" s="176"/>
      <c r="S823" s="176"/>
      <c r="T823" s="176"/>
      <c r="U823" s="176"/>
      <c r="V823" s="176"/>
      <c r="W823" s="176"/>
      <c r="X823" s="176"/>
      <c r="Y823" s="176"/>
      <c r="Z823" s="176"/>
    </row>
    <row r="824">
      <c r="A824" s="249"/>
      <c r="B824" s="249"/>
      <c r="C824" s="219"/>
      <c r="D824" s="268"/>
      <c r="E824" s="252"/>
      <c r="F824" s="250"/>
      <c r="G824" s="243"/>
      <c r="H824" s="243"/>
      <c r="I824" s="243"/>
      <c r="J824" s="172"/>
      <c r="K824" s="269"/>
      <c r="L824" s="270"/>
      <c r="M824" s="271" t="str">
        <f t="shared" si="28"/>
        <v/>
      </c>
      <c r="N824" s="176"/>
      <c r="O824" s="176"/>
      <c r="P824" s="249"/>
      <c r="Q824" s="249"/>
      <c r="R824" s="176"/>
      <c r="S824" s="176"/>
      <c r="T824" s="176"/>
      <c r="U824" s="176"/>
      <c r="V824" s="176"/>
      <c r="W824" s="176"/>
      <c r="X824" s="176"/>
      <c r="Y824" s="176"/>
      <c r="Z824" s="176"/>
    </row>
    <row r="825">
      <c r="A825" s="249"/>
      <c r="B825" s="249"/>
      <c r="C825" s="219"/>
      <c r="D825" s="268"/>
      <c r="E825" s="252"/>
      <c r="F825" s="250"/>
      <c r="G825" s="243"/>
      <c r="H825" s="243"/>
      <c r="I825" s="243"/>
      <c r="J825" s="172"/>
      <c r="K825" s="269"/>
      <c r="L825" s="270"/>
      <c r="M825" s="271" t="str">
        <f t="shared" si="28"/>
        <v/>
      </c>
      <c r="N825" s="176"/>
      <c r="O825" s="176"/>
      <c r="P825" s="249"/>
      <c r="Q825" s="249"/>
      <c r="R825" s="176"/>
      <c r="S825" s="176"/>
      <c r="T825" s="176"/>
      <c r="U825" s="176"/>
      <c r="V825" s="176"/>
      <c r="W825" s="176"/>
      <c r="X825" s="176"/>
      <c r="Y825" s="176"/>
      <c r="Z825" s="176"/>
    </row>
    <row r="826">
      <c r="A826" s="249"/>
      <c r="B826" s="249"/>
      <c r="C826" s="219"/>
      <c r="D826" s="268"/>
      <c r="E826" s="252"/>
      <c r="F826" s="250"/>
      <c r="G826" s="243"/>
      <c r="H826" s="243"/>
      <c r="I826" s="243"/>
      <c r="J826" s="172"/>
      <c r="K826" s="269"/>
      <c r="L826" s="270"/>
      <c r="M826" s="271" t="str">
        <f t="shared" si="28"/>
        <v/>
      </c>
      <c r="N826" s="176"/>
      <c r="O826" s="176"/>
      <c r="P826" s="249"/>
      <c r="Q826" s="249"/>
      <c r="R826" s="176"/>
      <c r="S826" s="176"/>
      <c r="T826" s="176"/>
      <c r="U826" s="176"/>
      <c r="V826" s="176"/>
      <c r="W826" s="176"/>
      <c r="X826" s="176"/>
      <c r="Y826" s="176"/>
      <c r="Z826" s="176"/>
    </row>
    <row r="827">
      <c r="A827" s="249"/>
      <c r="B827" s="249"/>
      <c r="C827" s="219"/>
      <c r="D827" s="268"/>
      <c r="E827" s="252"/>
      <c r="F827" s="250"/>
      <c r="G827" s="243"/>
      <c r="H827" s="243"/>
      <c r="I827" s="243"/>
      <c r="J827" s="172"/>
      <c r="K827" s="269"/>
      <c r="L827" s="270"/>
      <c r="M827" s="271" t="str">
        <f t="shared" si="28"/>
        <v/>
      </c>
      <c r="N827" s="176"/>
      <c r="O827" s="176"/>
      <c r="P827" s="249"/>
      <c r="Q827" s="249"/>
      <c r="R827" s="176"/>
      <c r="S827" s="176"/>
      <c r="T827" s="176"/>
      <c r="U827" s="176"/>
      <c r="V827" s="176"/>
      <c r="W827" s="176"/>
      <c r="X827" s="176"/>
      <c r="Y827" s="176"/>
      <c r="Z827" s="176"/>
    </row>
    <row r="828">
      <c r="A828" s="249"/>
      <c r="B828" s="249"/>
      <c r="C828" s="219"/>
      <c r="D828" s="268"/>
      <c r="E828" s="252"/>
      <c r="F828" s="250"/>
      <c r="G828" s="243"/>
      <c r="H828" s="243"/>
      <c r="I828" s="243"/>
      <c r="J828" s="172"/>
      <c r="K828" s="269"/>
      <c r="L828" s="270"/>
      <c r="M828" s="271" t="str">
        <f t="shared" si="28"/>
        <v/>
      </c>
      <c r="N828" s="176"/>
      <c r="O828" s="176"/>
      <c r="P828" s="249"/>
      <c r="Q828" s="249"/>
      <c r="R828" s="176"/>
      <c r="S828" s="176"/>
      <c r="T828" s="176"/>
      <c r="U828" s="176"/>
      <c r="V828" s="176"/>
      <c r="W828" s="176"/>
      <c r="X828" s="176"/>
      <c r="Y828" s="176"/>
      <c r="Z828" s="176"/>
    </row>
    <row r="829">
      <c r="A829" s="249"/>
      <c r="B829" s="249"/>
      <c r="C829" s="219"/>
      <c r="D829" s="268"/>
      <c r="E829" s="252"/>
      <c r="F829" s="250"/>
      <c r="G829" s="243"/>
      <c r="H829" s="243"/>
      <c r="I829" s="243"/>
      <c r="J829" s="172"/>
      <c r="K829" s="269"/>
      <c r="L829" s="270"/>
      <c r="M829" s="271" t="str">
        <f t="shared" si="28"/>
        <v/>
      </c>
      <c r="N829" s="176"/>
      <c r="O829" s="176"/>
      <c r="P829" s="249"/>
      <c r="Q829" s="249"/>
      <c r="R829" s="176"/>
      <c r="S829" s="176"/>
      <c r="T829" s="176"/>
      <c r="U829" s="176"/>
      <c r="V829" s="176"/>
      <c r="W829" s="176"/>
      <c r="X829" s="176"/>
      <c r="Y829" s="176"/>
      <c r="Z829" s="176"/>
    </row>
    <row r="830">
      <c r="A830" s="249"/>
      <c r="B830" s="249"/>
      <c r="C830" s="219"/>
      <c r="D830" s="268"/>
      <c r="E830" s="252"/>
      <c r="F830" s="250"/>
      <c r="G830" s="243"/>
      <c r="H830" s="243"/>
      <c r="I830" s="243"/>
      <c r="J830" s="172"/>
      <c r="K830" s="269"/>
      <c r="L830" s="270"/>
      <c r="M830" s="271" t="str">
        <f t="shared" si="28"/>
        <v/>
      </c>
      <c r="N830" s="176"/>
      <c r="O830" s="176"/>
      <c r="P830" s="249"/>
      <c r="Q830" s="249"/>
      <c r="R830" s="176"/>
      <c r="S830" s="176"/>
      <c r="T830" s="176"/>
      <c r="U830" s="176"/>
      <c r="V830" s="176"/>
      <c r="W830" s="176"/>
      <c r="X830" s="176"/>
      <c r="Y830" s="176"/>
      <c r="Z830" s="176"/>
    </row>
    <row r="831">
      <c r="A831" s="249"/>
      <c r="B831" s="249"/>
      <c r="C831" s="219"/>
      <c r="D831" s="268"/>
      <c r="E831" s="252"/>
      <c r="F831" s="250"/>
      <c r="G831" s="243"/>
      <c r="H831" s="243"/>
      <c r="I831" s="243"/>
      <c r="J831" s="172"/>
      <c r="K831" s="269"/>
      <c r="L831" s="270"/>
      <c r="M831" s="271" t="str">
        <f t="shared" si="28"/>
        <v/>
      </c>
      <c r="N831" s="176"/>
      <c r="O831" s="176"/>
      <c r="P831" s="249"/>
      <c r="Q831" s="249"/>
      <c r="R831" s="176"/>
      <c r="S831" s="176"/>
      <c r="T831" s="176"/>
      <c r="U831" s="176"/>
      <c r="V831" s="176"/>
      <c r="W831" s="176"/>
      <c r="X831" s="176"/>
      <c r="Y831" s="176"/>
      <c r="Z831" s="176"/>
    </row>
    <row r="832">
      <c r="A832" s="249"/>
      <c r="B832" s="249"/>
      <c r="C832" s="219"/>
      <c r="D832" s="268"/>
      <c r="E832" s="252"/>
      <c r="F832" s="250"/>
      <c r="G832" s="243"/>
      <c r="H832" s="243"/>
      <c r="I832" s="243"/>
      <c r="J832" s="172"/>
      <c r="K832" s="269"/>
      <c r="L832" s="270"/>
      <c r="M832" s="271" t="str">
        <f t="shared" si="28"/>
        <v/>
      </c>
      <c r="N832" s="176"/>
      <c r="O832" s="176"/>
      <c r="P832" s="249"/>
      <c r="Q832" s="249"/>
      <c r="R832" s="176"/>
      <c r="S832" s="176"/>
      <c r="T832" s="176"/>
      <c r="U832" s="176"/>
      <c r="V832" s="176"/>
      <c r="W832" s="176"/>
      <c r="X832" s="176"/>
      <c r="Y832" s="176"/>
      <c r="Z832" s="176"/>
    </row>
    <row r="833">
      <c r="A833" s="249"/>
      <c r="B833" s="249"/>
      <c r="C833" s="219"/>
      <c r="D833" s="268"/>
      <c r="E833" s="252"/>
      <c r="F833" s="250"/>
      <c r="G833" s="243"/>
      <c r="H833" s="243"/>
      <c r="I833" s="243"/>
      <c r="J833" s="172"/>
      <c r="K833" s="269"/>
      <c r="L833" s="270"/>
      <c r="M833" s="271" t="str">
        <f t="shared" si="28"/>
        <v/>
      </c>
      <c r="N833" s="176"/>
      <c r="O833" s="176"/>
      <c r="P833" s="249"/>
      <c r="Q833" s="249"/>
      <c r="R833" s="176"/>
      <c r="S833" s="176"/>
      <c r="T833" s="176"/>
      <c r="U833" s="176"/>
      <c r="V833" s="176"/>
      <c r="W833" s="176"/>
      <c r="X833" s="176"/>
      <c r="Y833" s="176"/>
      <c r="Z833" s="176"/>
    </row>
    <row r="834">
      <c r="A834" s="249"/>
      <c r="B834" s="249"/>
      <c r="C834" s="219"/>
      <c r="D834" s="268"/>
      <c r="E834" s="252"/>
      <c r="F834" s="250"/>
      <c r="G834" s="243"/>
      <c r="H834" s="243"/>
      <c r="I834" s="243"/>
      <c r="J834" s="172"/>
      <c r="K834" s="269"/>
      <c r="L834" s="270"/>
      <c r="M834" s="271" t="str">
        <f t="shared" si="28"/>
        <v/>
      </c>
      <c r="N834" s="176"/>
      <c r="O834" s="176"/>
      <c r="P834" s="249"/>
      <c r="Q834" s="249"/>
      <c r="R834" s="176"/>
      <c r="S834" s="176"/>
      <c r="T834" s="176"/>
      <c r="U834" s="176"/>
      <c r="V834" s="176"/>
      <c r="W834" s="176"/>
      <c r="X834" s="176"/>
      <c r="Y834" s="176"/>
      <c r="Z834" s="176"/>
    </row>
    <row r="835">
      <c r="A835" s="249"/>
      <c r="B835" s="249"/>
      <c r="C835" s="219"/>
      <c r="D835" s="268"/>
      <c r="E835" s="252"/>
      <c r="F835" s="250"/>
      <c r="G835" s="243"/>
      <c r="H835" s="243"/>
      <c r="I835" s="243"/>
      <c r="J835" s="172"/>
      <c r="K835" s="269"/>
      <c r="L835" s="270"/>
      <c r="M835" s="271" t="str">
        <f t="shared" si="28"/>
        <v/>
      </c>
      <c r="N835" s="176"/>
      <c r="O835" s="176"/>
      <c r="P835" s="249"/>
      <c r="Q835" s="249"/>
      <c r="R835" s="176"/>
      <c r="S835" s="176"/>
      <c r="T835" s="176"/>
      <c r="U835" s="176"/>
      <c r="V835" s="176"/>
      <c r="W835" s="176"/>
      <c r="X835" s="176"/>
      <c r="Y835" s="176"/>
      <c r="Z835" s="176"/>
    </row>
    <row r="836">
      <c r="A836" s="249"/>
      <c r="B836" s="249"/>
      <c r="C836" s="219"/>
      <c r="D836" s="268"/>
      <c r="E836" s="252"/>
      <c r="F836" s="250"/>
      <c r="G836" s="243"/>
      <c r="H836" s="243"/>
      <c r="I836" s="243"/>
      <c r="J836" s="172"/>
      <c r="K836" s="269"/>
      <c r="L836" s="270"/>
      <c r="M836" s="271" t="str">
        <f t="shared" si="28"/>
        <v/>
      </c>
      <c r="N836" s="176"/>
      <c r="O836" s="176"/>
      <c r="P836" s="249"/>
      <c r="Q836" s="249"/>
      <c r="R836" s="176"/>
      <c r="S836" s="176"/>
      <c r="T836" s="176"/>
      <c r="U836" s="176"/>
      <c r="V836" s="176"/>
      <c r="W836" s="176"/>
      <c r="X836" s="176"/>
      <c r="Y836" s="176"/>
      <c r="Z836" s="176"/>
    </row>
    <row r="837">
      <c r="A837" s="249"/>
      <c r="B837" s="249"/>
      <c r="C837" s="219"/>
      <c r="D837" s="268"/>
      <c r="E837" s="252"/>
      <c r="F837" s="250"/>
      <c r="G837" s="243"/>
      <c r="H837" s="243"/>
      <c r="I837" s="243"/>
      <c r="J837" s="172"/>
      <c r="K837" s="269"/>
      <c r="L837" s="270"/>
      <c r="M837" s="271" t="str">
        <f t="shared" si="28"/>
        <v/>
      </c>
      <c r="N837" s="176"/>
      <c r="O837" s="176"/>
      <c r="P837" s="249"/>
      <c r="Q837" s="249"/>
      <c r="R837" s="176"/>
      <c r="S837" s="176"/>
      <c r="T837" s="176"/>
      <c r="U837" s="176"/>
      <c r="V837" s="176"/>
      <c r="W837" s="176"/>
      <c r="X837" s="176"/>
      <c r="Y837" s="176"/>
      <c r="Z837" s="176"/>
    </row>
    <row r="838">
      <c r="A838" s="249"/>
      <c r="B838" s="249"/>
      <c r="C838" s="219"/>
      <c r="D838" s="268"/>
      <c r="E838" s="252"/>
      <c r="F838" s="250"/>
      <c r="G838" s="243"/>
      <c r="H838" s="243"/>
      <c r="I838" s="243"/>
      <c r="J838" s="172"/>
      <c r="K838" s="269"/>
      <c r="L838" s="270"/>
      <c r="M838" s="271" t="str">
        <f t="shared" si="28"/>
        <v/>
      </c>
      <c r="N838" s="176"/>
      <c r="O838" s="176"/>
      <c r="P838" s="249"/>
      <c r="Q838" s="249"/>
      <c r="R838" s="176"/>
      <c r="S838" s="176"/>
      <c r="T838" s="176"/>
      <c r="U838" s="176"/>
      <c r="V838" s="176"/>
      <c r="W838" s="176"/>
      <c r="X838" s="176"/>
      <c r="Y838" s="176"/>
      <c r="Z838" s="176"/>
    </row>
    <row r="839">
      <c r="A839" s="249"/>
      <c r="B839" s="249"/>
      <c r="C839" s="219"/>
      <c r="D839" s="268"/>
      <c r="E839" s="252"/>
      <c r="F839" s="250"/>
      <c r="G839" s="243"/>
      <c r="H839" s="243"/>
      <c r="I839" s="243"/>
      <c r="J839" s="172"/>
      <c r="K839" s="269"/>
      <c r="L839" s="270"/>
      <c r="M839" s="271" t="str">
        <f t="shared" si="28"/>
        <v/>
      </c>
      <c r="N839" s="176"/>
      <c r="O839" s="176"/>
      <c r="P839" s="249"/>
      <c r="Q839" s="249"/>
      <c r="R839" s="176"/>
      <c r="S839" s="176"/>
      <c r="T839" s="176"/>
      <c r="U839" s="176"/>
      <c r="V839" s="176"/>
      <c r="W839" s="176"/>
      <c r="X839" s="176"/>
      <c r="Y839" s="176"/>
      <c r="Z839" s="176"/>
    </row>
    <row r="840">
      <c r="A840" s="249"/>
      <c r="B840" s="249"/>
      <c r="C840" s="219"/>
      <c r="D840" s="268"/>
      <c r="E840" s="252"/>
      <c r="F840" s="250"/>
      <c r="G840" s="243"/>
      <c r="H840" s="243"/>
      <c r="I840" s="243"/>
      <c r="J840" s="172"/>
      <c r="K840" s="269"/>
      <c r="L840" s="270"/>
      <c r="M840" s="271" t="str">
        <f t="shared" si="28"/>
        <v/>
      </c>
      <c r="N840" s="176"/>
      <c r="O840" s="176"/>
      <c r="P840" s="249"/>
      <c r="Q840" s="249"/>
      <c r="R840" s="176"/>
      <c r="S840" s="176"/>
      <c r="T840" s="176"/>
      <c r="U840" s="176"/>
      <c r="V840" s="176"/>
      <c r="W840" s="176"/>
      <c r="X840" s="176"/>
      <c r="Y840" s="176"/>
      <c r="Z840" s="176"/>
    </row>
    <row r="841">
      <c r="A841" s="249"/>
      <c r="B841" s="249"/>
      <c r="C841" s="219"/>
      <c r="D841" s="268"/>
      <c r="E841" s="252"/>
      <c r="F841" s="250"/>
      <c r="G841" s="243"/>
      <c r="H841" s="243"/>
      <c r="I841" s="243"/>
      <c r="J841" s="172"/>
      <c r="K841" s="269"/>
      <c r="L841" s="270"/>
      <c r="M841" s="271" t="str">
        <f t="shared" si="28"/>
        <v/>
      </c>
      <c r="N841" s="176"/>
      <c r="O841" s="176"/>
      <c r="P841" s="249"/>
      <c r="Q841" s="249"/>
      <c r="R841" s="176"/>
      <c r="S841" s="176"/>
      <c r="T841" s="176"/>
      <c r="U841" s="176"/>
      <c r="V841" s="176"/>
      <c r="W841" s="176"/>
      <c r="X841" s="176"/>
      <c r="Y841" s="176"/>
      <c r="Z841" s="176"/>
    </row>
    <row r="842">
      <c r="A842" s="249"/>
      <c r="B842" s="249"/>
      <c r="C842" s="219"/>
      <c r="D842" s="268"/>
      <c r="E842" s="252"/>
      <c r="F842" s="250"/>
      <c r="G842" s="243"/>
      <c r="H842" s="243"/>
      <c r="I842" s="243"/>
      <c r="J842" s="172"/>
      <c r="K842" s="269"/>
      <c r="L842" s="270"/>
      <c r="M842" s="271" t="str">
        <f t="shared" si="28"/>
        <v/>
      </c>
      <c r="N842" s="176"/>
      <c r="O842" s="176"/>
      <c r="P842" s="249"/>
      <c r="Q842" s="249"/>
      <c r="R842" s="176"/>
      <c r="S842" s="176"/>
      <c r="T842" s="176"/>
      <c r="U842" s="176"/>
      <c r="V842" s="176"/>
      <c r="W842" s="176"/>
      <c r="X842" s="176"/>
      <c r="Y842" s="176"/>
      <c r="Z842" s="176"/>
    </row>
    <row r="843">
      <c r="A843" s="249"/>
      <c r="B843" s="249"/>
      <c r="C843" s="219"/>
      <c r="D843" s="268"/>
      <c r="E843" s="252"/>
      <c r="F843" s="250"/>
      <c r="G843" s="243"/>
      <c r="H843" s="243"/>
      <c r="I843" s="243"/>
      <c r="J843" s="172"/>
      <c r="K843" s="269"/>
      <c r="L843" s="270"/>
      <c r="M843" s="271" t="str">
        <f t="shared" si="28"/>
        <v/>
      </c>
      <c r="N843" s="176"/>
      <c r="O843" s="176"/>
      <c r="P843" s="249"/>
      <c r="Q843" s="249"/>
      <c r="R843" s="176"/>
      <c r="S843" s="176"/>
      <c r="T843" s="176"/>
      <c r="U843" s="176"/>
      <c r="V843" s="176"/>
      <c r="W843" s="176"/>
      <c r="X843" s="176"/>
      <c r="Y843" s="176"/>
      <c r="Z843" s="176"/>
    </row>
    <row r="844">
      <c r="A844" s="249"/>
      <c r="B844" s="249"/>
      <c r="C844" s="219"/>
      <c r="D844" s="268"/>
      <c r="E844" s="252"/>
      <c r="F844" s="250"/>
      <c r="G844" s="243"/>
      <c r="H844" s="243"/>
      <c r="I844" s="243"/>
      <c r="J844" s="172"/>
      <c r="K844" s="269"/>
      <c r="L844" s="270"/>
      <c r="M844" s="271" t="str">
        <f t="shared" si="28"/>
        <v/>
      </c>
      <c r="N844" s="176"/>
      <c r="O844" s="176"/>
      <c r="P844" s="249"/>
      <c r="Q844" s="249"/>
      <c r="R844" s="176"/>
      <c r="S844" s="176"/>
      <c r="T844" s="176"/>
      <c r="U844" s="176"/>
      <c r="V844" s="176"/>
      <c r="W844" s="176"/>
      <c r="X844" s="176"/>
      <c r="Y844" s="176"/>
      <c r="Z844" s="176"/>
    </row>
    <row r="845">
      <c r="A845" s="249"/>
      <c r="B845" s="249"/>
      <c r="C845" s="219"/>
      <c r="D845" s="268"/>
      <c r="E845" s="252"/>
      <c r="F845" s="250"/>
      <c r="G845" s="243"/>
      <c r="H845" s="243"/>
      <c r="I845" s="243"/>
      <c r="J845" s="172"/>
      <c r="K845" s="269"/>
      <c r="L845" s="270"/>
      <c r="M845" s="271" t="str">
        <f t="shared" si="28"/>
        <v/>
      </c>
      <c r="N845" s="176"/>
      <c r="O845" s="176"/>
      <c r="P845" s="249"/>
      <c r="Q845" s="249"/>
      <c r="R845" s="176"/>
      <c r="S845" s="176"/>
      <c r="T845" s="176"/>
      <c r="U845" s="176"/>
      <c r="V845" s="176"/>
      <c r="W845" s="176"/>
      <c r="X845" s="176"/>
      <c r="Y845" s="176"/>
      <c r="Z845" s="176"/>
    </row>
    <row r="846">
      <c r="A846" s="249"/>
      <c r="B846" s="249"/>
      <c r="C846" s="219"/>
      <c r="D846" s="268"/>
      <c r="E846" s="252"/>
      <c r="F846" s="250"/>
      <c r="G846" s="243"/>
      <c r="H846" s="243"/>
      <c r="I846" s="243"/>
      <c r="J846" s="172"/>
      <c r="K846" s="269"/>
      <c r="L846" s="270"/>
      <c r="M846" s="271" t="str">
        <f t="shared" si="28"/>
        <v/>
      </c>
      <c r="N846" s="176"/>
      <c r="O846" s="176"/>
      <c r="P846" s="249"/>
      <c r="Q846" s="249"/>
      <c r="R846" s="176"/>
      <c r="S846" s="176"/>
      <c r="T846" s="176"/>
      <c r="U846" s="176"/>
      <c r="V846" s="176"/>
      <c r="W846" s="176"/>
      <c r="X846" s="176"/>
      <c r="Y846" s="176"/>
      <c r="Z846" s="176"/>
    </row>
    <row r="847">
      <c r="A847" s="249"/>
      <c r="B847" s="249"/>
      <c r="C847" s="219"/>
      <c r="D847" s="268"/>
      <c r="E847" s="252"/>
      <c r="F847" s="250"/>
      <c r="G847" s="243"/>
      <c r="H847" s="243"/>
      <c r="I847" s="243"/>
      <c r="J847" s="172"/>
      <c r="K847" s="269"/>
      <c r="L847" s="270"/>
      <c r="M847" s="271" t="str">
        <f t="shared" si="28"/>
        <v/>
      </c>
      <c r="N847" s="176"/>
      <c r="O847" s="176"/>
      <c r="P847" s="249"/>
      <c r="Q847" s="249"/>
      <c r="R847" s="176"/>
      <c r="S847" s="176"/>
      <c r="T847" s="176"/>
      <c r="U847" s="176"/>
      <c r="V847" s="176"/>
      <c r="W847" s="176"/>
      <c r="X847" s="176"/>
      <c r="Y847" s="176"/>
      <c r="Z847" s="176"/>
    </row>
    <row r="848">
      <c r="A848" s="249"/>
      <c r="B848" s="249"/>
      <c r="C848" s="219"/>
      <c r="D848" s="268"/>
      <c r="E848" s="252"/>
      <c r="F848" s="250"/>
      <c r="G848" s="243"/>
      <c r="H848" s="243"/>
      <c r="I848" s="243"/>
      <c r="J848" s="172"/>
      <c r="K848" s="269"/>
      <c r="L848" s="270"/>
      <c r="M848" s="271" t="str">
        <f t="shared" si="28"/>
        <v/>
      </c>
      <c r="N848" s="176"/>
      <c r="O848" s="176"/>
      <c r="P848" s="249"/>
      <c r="Q848" s="249"/>
      <c r="R848" s="176"/>
      <c r="S848" s="176"/>
      <c r="T848" s="176"/>
      <c r="U848" s="176"/>
      <c r="V848" s="176"/>
      <c r="W848" s="176"/>
      <c r="X848" s="176"/>
      <c r="Y848" s="176"/>
      <c r="Z848" s="176"/>
    </row>
    <row r="849">
      <c r="A849" s="249"/>
      <c r="B849" s="249"/>
      <c r="C849" s="219"/>
      <c r="D849" s="268"/>
      <c r="E849" s="252"/>
      <c r="F849" s="250"/>
      <c r="G849" s="243"/>
      <c r="H849" s="243"/>
      <c r="I849" s="243"/>
      <c r="J849" s="172"/>
      <c r="K849" s="269"/>
      <c r="L849" s="270"/>
      <c r="M849" s="271" t="str">
        <f t="shared" si="28"/>
        <v/>
      </c>
      <c r="N849" s="176"/>
      <c r="O849" s="176"/>
      <c r="P849" s="249"/>
      <c r="Q849" s="249"/>
      <c r="R849" s="176"/>
      <c r="S849" s="176"/>
      <c r="T849" s="176"/>
      <c r="U849" s="176"/>
      <c r="V849" s="176"/>
      <c r="W849" s="176"/>
      <c r="X849" s="176"/>
      <c r="Y849" s="176"/>
      <c r="Z849" s="176"/>
    </row>
    <row r="850">
      <c r="A850" s="249"/>
      <c r="B850" s="249"/>
      <c r="C850" s="219"/>
      <c r="D850" s="268"/>
      <c r="E850" s="252"/>
      <c r="F850" s="250"/>
      <c r="G850" s="243"/>
      <c r="H850" s="243"/>
      <c r="I850" s="243"/>
      <c r="J850" s="172"/>
      <c r="K850" s="269"/>
      <c r="L850" s="270"/>
      <c r="M850" s="271" t="str">
        <f t="shared" si="28"/>
        <v/>
      </c>
      <c r="N850" s="176"/>
      <c r="O850" s="176"/>
      <c r="P850" s="249"/>
      <c r="Q850" s="249"/>
      <c r="R850" s="176"/>
      <c r="S850" s="176"/>
      <c r="T850" s="176"/>
      <c r="U850" s="176"/>
      <c r="V850" s="176"/>
      <c r="W850" s="176"/>
      <c r="X850" s="176"/>
      <c r="Y850" s="176"/>
      <c r="Z850" s="176"/>
    </row>
    <row r="851">
      <c r="A851" s="249"/>
      <c r="B851" s="249"/>
      <c r="C851" s="219"/>
      <c r="D851" s="268"/>
      <c r="E851" s="252"/>
      <c r="F851" s="250"/>
      <c r="G851" s="243"/>
      <c r="H851" s="243"/>
      <c r="I851" s="243"/>
      <c r="J851" s="172"/>
      <c r="K851" s="269"/>
      <c r="L851" s="270"/>
      <c r="M851" s="271" t="str">
        <f t="shared" si="28"/>
        <v/>
      </c>
      <c r="N851" s="176"/>
      <c r="O851" s="176"/>
      <c r="P851" s="249"/>
      <c r="Q851" s="249"/>
      <c r="R851" s="176"/>
      <c r="S851" s="176"/>
      <c r="T851" s="176"/>
      <c r="U851" s="176"/>
      <c r="V851" s="176"/>
      <c r="W851" s="176"/>
      <c r="X851" s="176"/>
      <c r="Y851" s="176"/>
      <c r="Z851" s="176"/>
    </row>
    <row r="852">
      <c r="A852" s="249"/>
      <c r="B852" s="249"/>
      <c r="C852" s="219"/>
      <c r="D852" s="268"/>
      <c r="E852" s="252"/>
      <c r="F852" s="250"/>
      <c r="G852" s="243"/>
      <c r="H852" s="243"/>
      <c r="I852" s="243"/>
      <c r="J852" s="172"/>
      <c r="K852" s="269"/>
      <c r="L852" s="270"/>
      <c r="M852" s="271" t="str">
        <f t="shared" si="28"/>
        <v/>
      </c>
      <c r="N852" s="176"/>
      <c r="O852" s="176"/>
      <c r="P852" s="249"/>
      <c r="Q852" s="249"/>
      <c r="R852" s="176"/>
      <c r="S852" s="176"/>
      <c r="T852" s="176"/>
      <c r="U852" s="176"/>
      <c r="V852" s="176"/>
      <c r="W852" s="176"/>
      <c r="X852" s="176"/>
      <c r="Y852" s="176"/>
      <c r="Z852" s="176"/>
    </row>
    <row r="853">
      <c r="A853" s="249"/>
      <c r="B853" s="249"/>
      <c r="C853" s="219"/>
      <c r="D853" s="268"/>
      <c r="E853" s="252"/>
      <c r="F853" s="250"/>
      <c r="G853" s="243"/>
      <c r="H853" s="243"/>
      <c r="I853" s="243"/>
      <c r="J853" s="172"/>
      <c r="K853" s="269"/>
      <c r="L853" s="270"/>
      <c r="M853" s="271" t="str">
        <f t="shared" si="28"/>
        <v/>
      </c>
      <c r="N853" s="176"/>
      <c r="O853" s="176"/>
      <c r="P853" s="249"/>
      <c r="Q853" s="249"/>
      <c r="R853" s="176"/>
      <c r="S853" s="176"/>
      <c r="T853" s="176"/>
      <c r="U853" s="176"/>
      <c r="V853" s="176"/>
      <c r="W853" s="176"/>
      <c r="X853" s="176"/>
      <c r="Y853" s="176"/>
      <c r="Z853" s="176"/>
    </row>
    <row r="854">
      <c r="A854" s="249"/>
      <c r="B854" s="249"/>
      <c r="C854" s="219"/>
      <c r="D854" s="268"/>
      <c r="E854" s="252"/>
      <c r="F854" s="250"/>
      <c r="G854" s="243"/>
      <c r="H854" s="243"/>
      <c r="I854" s="243"/>
      <c r="J854" s="172"/>
      <c r="K854" s="269"/>
      <c r="L854" s="270"/>
      <c r="M854" s="271" t="str">
        <f t="shared" si="28"/>
        <v/>
      </c>
      <c r="N854" s="176"/>
      <c r="O854" s="176"/>
      <c r="P854" s="249"/>
      <c r="Q854" s="249"/>
      <c r="R854" s="176"/>
      <c r="S854" s="176"/>
      <c r="T854" s="176"/>
      <c r="U854" s="176"/>
      <c r="V854" s="176"/>
      <c r="W854" s="176"/>
      <c r="X854" s="176"/>
      <c r="Y854" s="176"/>
      <c r="Z854" s="176"/>
    </row>
    <row r="855">
      <c r="A855" s="249"/>
      <c r="B855" s="249"/>
      <c r="C855" s="219"/>
      <c r="D855" s="268"/>
      <c r="E855" s="252"/>
      <c r="F855" s="250"/>
      <c r="G855" s="243"/>
      <c r="H855" s="243"/>
      <c r="I855" s="243"/>
      <c r="J855" s="172"/>
      <c r="K855" s="269"/>
      <c r="L855" s="270"/>
      <c r="M855" s="271" t="str">
        <f t="shared" si="28"/>
        <v/>
      </c>
      <c r="N855" s="176"/>
      <c r="O855" s="176"/>
      <c r="P855" s="249"/>
      <c r="Q855" s="249"/>
      <c r="R855" s="176"/>
      <c r="S855" s="176"/>
      <c r="T855" s="176"/>
      <c r="U855" s="176"/>
      <c r="V855" s="176"/>
      <c r="W855" s="176"/>
      <c r="X855" s="176"/>
      <c r="Y855" s="176"/>
      <c r="Z855" s="176"/>
    </row>
    <row r="856">
      <c r="A856" s="249"/>
      <c r="B856" s="249"/>
      <c r="C856" s="219"/>
      <c r="D856" s="268"/>
      <c r="E856" s="252"/>
      <c r="F856" s="250"/>
      <c r="G856" s="243"/>
      <c r="H856" s="243"/>
      <c r="I856" s="243"/>
      <c r="J856" s="172"/>
      <c r="K856" s="269"/>
      <c r="L856" s="270"/>
      <c r="M856" s="271" t="str">
        <f t="shared" si="28"/>
        <v/>
      </c>
      <c r="N856" s="176"/>
      <c r="O856" s="176"/>
      <c r="P856" s="249"/>
      <c r="Q856" s="249"/>
      <c r="R856" s="176"/>
      <c r="S856" s="176"/>
      <c r="T856" s="176"/>
      <c r="U856" s="176"/>
      <c r="V856" s="176"/>
      <c r="W856" s="176"/>
      <c r="X856" s="176"/>
      <c r="Y856" s="176"/>
      <c r="Z856" s="176"/>
    </row>
    <row r="857">
      <c r="A857" s="249"/>
      <c r="B857" s="249"/>
      <c r="C857" s="219"/>
      <c r="D857" s="268"/>
      <c r="E857" s="252"/>
      <c r="F857" s="250"/>
      <c r="G857" s="243"/>
      <c r="H857" s="243"/>
      <c r="I857" s="243"/>
      <c r="J857" s="172"/>
      <c r="K857" s="269"/>
      <c r="L857" s="270"/>
      <c r="M857" s="271" t="str">
        <f t="shared" si="28"/>
        <v/>
      </c>
      <c r="N857" s="176"/>
      <c r="O857" s="176"/>
      <c r="P857" s="249"/>
      <c r="Q857" s="249"/>
      <c r="R857" s="176"/>
      <c r="S857" s="176"/>
      <c r="T857" s="176"/>
      <c r="U857" s="176"/>
      <c r="V857" s="176"/>
      <c r="W857" s="176"/>
      <c r="X857" s="176"/>
      <c r="Y857" s="176"/>
      <c r="Z857" s="176"/>
    </row>
    <row r="858">
      <c r="A858" s="249"/>
      <c r="B858" s="249"/>
      <c r="C858" s="219"/>
      <c r="D858" s="268"/>
      <c r="E858" s="252"/>
      <c r="F858" s="250"/>
      <c r="G858" s="243"/>
      <c r="H858" s="243"/>
      <c r="I858" s="243"/>
      <c r="J858" s="172"/>
      <c r="K858" s="269"/>
      <c r="L858" s="270"/>
      <c r="M858" s="271" t="str">
        <f t="shared" si="28"/>
        <v/>
      </c>
      <c r="N858" s="176"/>
      <c r="O858" s="176"/>
      <c r="P858" s="249"/>
      <c r="Q858" s="249"/>
      <c r="R858" s="176"/>
      <c r="S858" s="176"/>
      <c r="T858" s="176"/>
      <c r="U858" s="176"/>
      <c r="V858" s="176"/>
      <c r="W858" s="176"/>
      <c r="X858" s="176"/>
      <c r="Y858" s="176"/>
      <c r="Z858" s="176"/>
    </row>
    <row r="859">
      <c r="A859" s="249"/>
      <c r="B859" s="249"/>
      <c r="C859" s="219"/>
      <c r="D859" s="268"/>
      <c r="E859" s="252"/>
      <c r="F859" s="250"/>
      <c r="G859" s="243"/>
      <c r="H859" s="243"/>
      <c r="I859" s="243"/>
      <c r="J859" s="172"/>
      <c r="K859" s="269"/>
      <c r="L859" s="270"/>
      <c r="M859" s="271" t="str">
        <f t="shared" si="28"/>
        <v/>
      </c>
      <c r="N859" s="176"/>
      <c r="O859" s="176"/>
      <c r="P859" s="249"/>
      <c r="Q859" s="249"/>
      <c r="R859" s="176"/>
      <c r="S859" s="176"/>
      <c r="T859" s="176"/>
      <c r="U859" s="176"/>
      <c r="V859" s="176"/>
      <c r="W859" s="176"/>
      <c r="X859" s="176"/>
      <c r="Y859" s="176"/>
      <c r="Z859" s="176"/>
    </row>
    <row r="860">
      <c r="A860" s="249"/>
      <c r="B860" s="249"/>
      <c r="C860" s="219"/>
      <c r="D860" s="268"/>
      <c r="E860" s="252"/>
      <c r="F860" s="250"/>
      <c r="G860" s="243"/>
      <c r="H860" s="243"/>
      <c r="I860" s="243"/>
      <c r="J860" s="172"/>
      <c r="K860" s="269"/>
      <c r="L860" s="270"/>
      <c r="M860" s="271" t="str">
        <f t="shared" si="28"/>
        <v/>
      </c>
      <c r="N860" s="176"/>
      <c r="O860" s="176"/>
      <c r="P860" s="249"/>
      <c r="Q860" s="249"/>
      <c r="R860" s="176"/>
      <c r="S860" s="176"/>
      <c r="T860" s="176"/>
      <c r="U860" s="176"/>
      <c r="V860" s="176"/>
      <c r="W860" s="176"/>
      <c r="X860" s="176"/>
      <c r="Y860" s="176"/>
      <c r="Z860" s="176"/>
    </row>
    <row r="861">
      <c r="A861" s="249"/>
      <c r="B861" s="249"/>
      <c r="C861" s="219"/>
      <c r="D861" s="268"/>
      <c r="E861" s="252"/>
      <c r="F861" s="250"/>
      <c r="G861" s="243"/>
      <c r="H861" s="243"/>
      <c r="I861" s="243"/>
      <c r="J861" s="172"/>
      <c r="K861" s="269"/>
      <c r="L861" s="270"/>
      <c r="M861" s="271" t="str">
        <f t="shared" si="28"/>
        <v/>
      </c>
      <c r="N861" s="176"/>
      <c r="O861" s="176"/>
      <c r="P861" s="249"/>
      <c r="Q861" s="249"/>
      <c r="R861" s="176"/>
      <c r="S861" s="176"/>
      <c r="T861" s="176"/>
      <c r="U861" s="176"/>
      <c r="V861" s="176"/>
      <c r="W861" s="176"/>
      <c r="X861" s="176"/>
      <c r="Y861" s="176"/>
      <c r="Z861" s="176"/>
    </row>
    <row r="862">
      <c r="A862" s="249"/>
      <c r="B862" s="249"/>
      <c r="C862" s="219"/>
      <c r="D862" s="268"/>
      <c r="E862" s="252"/>
      <c r="F862" s="250"/>
      <c r="G862" s="243"/>
      <c r="H862" s="243"/>
      <c r="I862" s="243"/>
      <c r="J862" s="172"/>
      <c r="K862" s="269"/>
      <c r="L862" s="270"/>
      <c r="M862" s="271" t="str">
        <f t="shared" si="28"/>
        <v/>
      </c>
      <c r="N862" s="176"/>
      <c r="O862" s="176"/>
      <c r="P862" s="249"/>
      <c r="Q862" s="249"/>
      <c r="R862" s="176"/>
      <c r="S862" s="176"/>
      <c r="T862" s="176"/>
      <c r="U862" s="176"/>
      <c r="V862" s="176"/>
      <c r="W862" s="176"/>
      <c r="X862" s="176"/>
      <c r="Y862" s="176"/>
      <c r="Z862" s="176"/>
    </row>
    <row r="863">
      <c r="A863" s="249"/>
      <c r="B863" s="249"/>
      <c r="C863" s="219"/>
      <c r="D863" s="268"/>
      <c r="E863" s="252"/>
      <c r="F863" s="250"/>
      <c r="G863" s="243"/>
      <c r="H863" s="243"/>
      <c r="I863" s="243"/>
      <c r="J863" s="172"/>
      <c r="K863" s="269"/>
      <c r="L863" s="270"/>
      <c r="M863" s="271" t="str">
        <f t="shared" si="28"/>
        <v/>
      </c>
      <c r="N863" s="176"/>
      <c r="O863" s="176"/>
      <c r="P863" s="249"/>
      <c r="Q863" s="249"/>
      <c r="R863" s="176"/>
      <c r="S863" s="176"/>
      <c r="T863" s="176"/>
      <c r="U863" s="176"/>
      <c r="V863" s="176"/>
      <c r="W863" s="176"/>
      <c r="X863" s="176"/>
      <c r="Y863" s="176"/>
      <c r="Z863" s="176"/>
    </row>
    <row r="864">
      <c r="A864" s="249"/>
      <c r="B864" s="249"/>
      <c r="C864" s="219"/>
      <c r="D864" s="268"/>
      <c r="E864" s="252"/>
      <c r="F864" s="250"/>
      <c r="G864" s="243"/>
      <c r="H864" s="243"/>
      <c r="I864" s="243"/>
      <c r="J864" s="172"/>
      <c r="K864" s="269"/>
      <c r="L864" s="270"/>
      <c r="M864" s="271" t="str">
        <f t="shared" si="28"/>
        <v/>
      </c>
      <c r="N864" s="176"/>
      <c r="O864" s="176"/>
      <c r="P864" s="249"/>
      <c r="Q864" s="249"/>
      <c r="R864" s="176"/>
      <c r="S864" s="176"/>
      <c r="T864" s="176"/>
      <c r="U864" s="176"/>
      <c r="V864" s="176"/>
      <c r="W864" s="176"/>
      <c r="X864" s="176"/>
      <c r="Y864" s="176"/>
      <c r="Z864" s="176"/>
    </row>
    <row r="865">
      <c r="A865" s="249"/>
      <c r="B865" s="249"/>
      <c r="C865" s="219"/>
      <c r="D865" s="268"/>
      <c r="E865" s="252"/>
      <c r="F865" s="250"/>
      <c r="G865" s="243"/>
      <c r="H865" s="243"/>
      <c r="I865" s="243"/>
      <c r="J865" s="172"/>
      <c r="K865" s="269"/>
      <c r="L865" s="270"/>
      <c r="M865" s="271" t="str">
        <f t="shared" si="28"/>
        <v/>
      </c>
      <c r="N865" s="176"/>
      <c r="O865" s="176"/>
      <c r="P865" s="249"/>
      <c r="Q865" s="249"/>
      <c r="R865" s="176"/>
      <c r="S865" s="176"/>
      <c r="T865" s="176"/>
      <c r="U865" s="176"/>
      <c r="V865" s="176"/>
      <c r="W865" s="176"/>
      <c r="X865" s="176"/>
      <c r="Y865" s="176"/>
      <c r="Z865" s="176"/>
    </row>
  </sheetData>
  <autoFilter ref="$A$3:$Z$655">
    <sortState ref="A3:Z655">
      <sortCondition descending="1" ref="L3:L655"/>
      <sortCondition descending="1" ref="A3:A655"/>
      <sortCondition ref="E3:E655"/>
      <sortCondition ref="F3:F655"/>
      <sortCondition descending="1" ref="G3:G655"/>
      <sortCondition descending="1" ref="K3:K655"/>
    </sortState>
  </autoFilter>
  <hyperlinks>
    <hyperlink r:id="rId1" ref="C1"/>
    <hyperlink r:id="rId2" ref="C2"/>
    <hyperlink r:id="rId3" ref="C403"/>
    <hyperlink r:id="rId4" ref="C546"/>
  </hyperlinks>
  <drawing r:id="rId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2175</v>
      </c>
      <c r="B1" s="2">
        <f>sum(B3:B901)</f>
        <v>626.5086609</v>
      </c>
    </row>
    <row r="2">
      <c r="A2" s="246" t="s">
        <v>1</v>
      </c>
      <c r="B2" s="247" t="s">
        <v>2</v>
      </c>
    </row>
    <row r="3">
      <c r="A3" s="5" t="s">
        <v>867</v>
      </c>
      <c r="B3" s="6">
        <v>41.637955671470756</v>
      </c>
    </row>
    <row r="4">
      <c r="A4" s="5" t="s">
        <v>32</v>
      </c>
      <c r="B4" s="6">
        <v>28.734153079101038</v>
      </c>
    </row>
    <row r="5">
      <c r="A5" s="5" t="s">
        <v>48</v>
      </c>
      <c r="B5" s="6">
        <v>27.299399273702033</v>
      </c>
    </row>
    <row r="6">
      <c r="A6" s="5" t="s">
        <v>5</v>
      </c>
      <c r="B6" s="6">
        <v>25.465454542171724</v>
      </c>
    </row>
    <row r="7">
      <c r="A7" s="5" t="s">
        <v>868</v>
      </c>
      <c r="B7" s="6">
        <v>23.725393071527673</v>
      </c>
    </row>
    <row r="8">
      <c r="A8" s="5" t="s">
        <v>11</v>
      </c>
      <c r="B8" s="6">
        <v>22.93117468459529</v>
      </c>
    </row>
    <row r="9">
      <c r="A9" s="5" t="s">
        <v>21</v>
      </c>
      <c r="B9" s="6">
        <v>21.342565995819132</v>
      </c>
    </row>
    <row r="10">
      <c r="A10" s="5" t="s">
        <v>20</v>
      </c>
      <c r="B10" s="6">
        <v>19.092987860066096</v>
      </c>
    </row>
    <row r="11">
      <c r="A11" s="5" t="s">
        <v>56</v>
      </c>
      <c r="B11" s="6">
        <v>15.949231073849342</v>
      </c>
    </row>
    <row r="12">
      <c r="A12" s="5" t="s">
        <v>8</v>
      </c>
      <c r="B12" s="6">
        <v>15.627177473897067</v>
      </c>
    </row>
    <row r="13">
      <c r="A13" s="129" t="s">
        <v>870</v>
      </c>
      <c r="B13" s="6">
        <v>15.211333280026158</v>
      </c>
    </row>
    <row r="14">
      <c r="A14" s="5" t="s">
        <v>7</v>
      </c>
      <c r="B14" s="6">
        <v>12.994781394851827</v>
      </c>
    </row>
    <row r="15">
      <c r="A15" s="5" t="s">
        <v>1920</v>
      </c>
      <c r="B15" s="6">
        <v>12.979790175209711</v>
      </c>
    </row>
    <row r="16">
      <c r="A16" s="129" t="s">
        <v>10</v>
      </c>
      <c r="B16" s="6">
        <v>10.919109433231572</v>
      </c>
    </row>
    <row r="17">
      <c r="A17" s="5" t="s">
        <v>6</v>
      </c>
      <c r="B17" s="6">
        <v>10.631731659333262</v>
      </c>
    </row>
    <row r="18">
      <c r="A18" s="5" t="s">
        <v>13</v>
      </c>
      <c r="B18" s="6">
        <v>10.521895286492313</v>
      </c>
    </row>
    <row r="19">
      <c r="A19" s="5" t="s">
        <v>128</v>
      </c>
      <c r="B19" s="6">
        <v>10.475044061063391</v>
      </c>
    </row>
    <row r="20">
      <c r="A20" s="5" t="s">
        <v>9</v>
      </c>
      <c r="B20" s="6">
        <v>10.064136879189993</v>
      </c>
    </row>
    <row r="21">
      <c r="A21" s="5" t="s">
        <v>12</v>
      </c>
      <c r="B21" s="6">
        <v>9.445460085313833</v>
      </c>
    </row>
    <row r="22">
      <c r="A22" s="129" t="s">
        <v>519</v>
      </c>
      <c r="B22" s="6">
        <v>8.991094546008505</v>
      </c>
    </row>
    <row r="23">
      <c r="A23" s="5" t="s">
        <v>18</v>
      </c>
      <c r="B23" s="6">
        <v>8.736447587733977</v>
      </c>
    </row>
    <row r="24">
      <c r="A24" s="5" t="s">
        <v>26</v>
      </c>
      <c r="B24" s="6">
        <v>8.63928420950478</v>
      </c>
    </row>
    <row r="25">
      <c r="A25" s="5" t="s">
        <v>1228</v>
      </c>
      <c r="B25" s="6">
        <v>8.34962095217945</v>
      </c>
    </row>
    <row r="26">
      <c r="A26" s="5" t="s">
        <v>44</v>
      </c>
      <c r="B26" s="6">
        <v>7.839279188720447</v>
      </c>
    </row>
    <row r="27">
      <c r="A27" s="5" t="s">
        <v>51</v>
      </c>
      <c r="B27" s="6">
        <v>7.181618334928153</v>
      </c>
    </row>
    <row r="28">
      <c r="A28" s="5" t="s">
        <v>98</v>
      </c>
      <c r="B28" s="6">
        <v>7.117614793650413</v>
      </c>
    </row>
    <row r="29">
      <c r="A29" s="5" t="s">
        <v>845</v>
      </c>
      <c r="B29" s="6">
        <v>6.772330926718759</v>
      </c>
    </row>
    <row r="30">
      <c r="A30" s="5" t="s">
        <v>25</v>
      </c>
      <c r="B30" s="6">
        <v>6.5174663924436285</v>
      </c>
    </row>
    <row r="31">
      <c r="A31" s="5" t="s">
        <v>92</v>
      </c>
      <c r="B31" s="6">
        <v>6.440392778577612</v>
      </c>
    </row>
    <row r="32">
      <c r="A32" s="129" t="s">
        <v>101</v>
      </c>
      <c r="B32" s="6">
        <v>5.7013215696723645</v>
      </c>
    </row>
    <row r="33">
      <c r="A33" s="5" t="s">
        <v>74</v>
      </c>
      <c r="B33" s="6">
        <v>5.67696499080685</v>
      </c>
    </row>
    <row r="34">
      <c r="A34" s="5" t="s">
        <v>62</v>
      </c>
      <c r="B34" s="6">
        <v>5.67696499080685</v>
      </c>
    </row>
    <row r="35">
      <c r="A35" s="5" t="s">
        <v>1231</v>
      </c>
      <c r="B35" s="6">
        <v>5.323294641570455</v>
      </c>
    </row>
    <row r="36">
      <c r="A36" s="5" t="s">
        <v>107</v>
      </c>
      <c r="B36" s="6">
        <v>5.273706375087512</v>
      </c>
    </row>
    <row r="37">
      <c r="A37" s="5" t="s">
        <v>590</v>
      </c>
      <c r="B37" s="6">
        <v>5.24053886875863</v>
      </c>
    </row>
    <row r="38">
      <c r="A38" s="5" t="s">
        <v>879</v>
      </c>
      <c r="B38" s="6">
        <v>4.825820076620226</v>
      </c>
    </row>
    <row r="39">
      <c r="A39" s="9" t="s">
        <v>46</v>
      </c>
      <c r="B39" s="6">
        <v>4.797793294191259</v>
      </c>
    </row>
    <row r="40">
      <c r="A40" s="5" t="s">
        <v>38</v>
      </c>
      <c r="B40" s="6">
        <v>4.745617518603819</v>
      </c>
    </row>
    <row r="41">
      <c r="A41" s="5" t="s">
        <v>873</v>
      </c>
      <c r="B41" s="6">
        <v>4.627516069323409</v>
      </c>
    </row>
    <row r="42">
      <c r="A42" s="5" t="s">
        <v>75</v>
      </c>
      <c r="B42" s="6">
        <v>4.624524530282994</v>
      </c>
    </row>
    <row r="43">
      <c r="A43" s="5" t="s">
        <v>97</v>
      </c>
      <c r="B43" s="6">
        <v>4.456662899608241</v>
      </c>
    </row>
    <row r="44">
      <c r="A44" s="5" t="s">
        <v>55</v>
      </c>
      <c r="B44" s="6">
        <v>4.31494158974287</v>
      </c>
    </row>
    <row r="45">
      <c r="A45" s="5" t="s">
        <v>34</v>
      </c>
      <c r="B45" s="6">
        <v>4.2813744523689365</v>
      </c>
    </row>
    <row r="46">
      <c r="A46" s="5" t="s">
        <v>1577</v>
      </c>
      <c r="B46" s="6">
        <v>4.034651282485779</v>
      </c>
    </row>
    <row r="47">
      <c r="A47" s="5" t="s">
        <v>871</v>
      </c>
      <c r="B47" s="6">
        <v>3.938758855710489</v>
      </c>
    </row>
    <row r="48">
      <c r="A48" s="5" t="s">
        <v>22</v>
      </c>
      <c r="B48" s="6">
        <v>3.933219585125169</v>
      </c>
    </row>
    <row r="49">
      <c r="A49" s="5" t="s">
        <v>181</v>
      </c>
      <c r="B49" s="6">
        <v>3.8842209949637185</v>
      </c>
    </row>
    <row r="50">
      <c r="A50" s="5" t="s">
        <v>60</v>
      </c>
      <c r="B50" s="6">
        <v>3.7992542974411925</v>
      </c>
    </row>
    <row r="51">
      <c r="A51" s="5" t="s">
        <v>33</v>
      </c>
      <c r="B51" s="6">
        <v>3.7870572594201057</v>
      </c>
    </row>
    <row r="52">
      <c r="A52" s="5" t="s">
        <v>77</v>
      </c>
      <c r="B52" s="6">
        <v>3.748344372707818</v>
      </c>
    </row>
    <row r="53">
      <c r="A53" s="5" t="s">
        <v>64</v>
      </c>
      <c r="B53" s="6">
        <v>3.616839001500281</v>
      </c>
    </row>
    <row r="54">
      <c r="A54" s="5" t="s">
        <v>1578</v>
      </c>
      <c r="B54" s="6">
        <v>3.616839001500281</v>
      </c>
    </row>
    <row r="55">
      <c r="A55" s="5" t="s">
        <v>85</v>
      </c>
      <c r="B55" s="6">
        <v>3.5669069051945383</v>
      </c>
    </row>
    <row r="56">
      <c r="A56" s="5" t="s">
        <v>30</v>
      </c>
      <c r="B56" s="6">
        <v>3.4823088433664466</v>
      </c>
    </row>
    <row r="57">
      <c r="A57" s="5" t="s">
        <v>43</v>
      </c>
      <c r="B57" s="6">
        <v>3.3743555897745843</v>
      </c>
    </row>
    <row r="58">
      <c r="A58" s="5" t="s">
        <v>149</v>
      </c>
      <c r="B58" s="6">
        <v>3.3137347471744625</v>
      </c>
    </row>
    <row r="59">
      <c r="A59" s="5" t="s">
        <v>119</v>
      </c>
      <c r="B59" s="6">
        <v>3.3137347471744625</v>
      </c>
    </row>
    <row r="60">
      <c r="A60" s="5" t="s">
        <v>37</v>
      </c>
      <c r="B60" s="6">
        <v>3.2537921515623234</v>
      </c>
    </row>
    <row r="61">
      <c r="A61" s="5" t="s">
        <v>58</v>
      </c>
      <c r="B61" s="6">
        <v>3.1748665858781457</v>
      </c>
    </row>
    <row r="62">
      <c r="A62" s="5" t="s">
        <v>157</v>
      </c>
      <c r="B62" s="6">
        <v>3.149163819444721</v>
      </c>
    </row>
    <row r="63">
      <c r="A63" s="5" t="s">
        <v>876</v>
      </c>
      <c r="B63" s="6">
        <v>3.067275463373523</v>
      </c>
    </row>
    <row r="64">
      <c r="A64" s="5" t="s">
        <v>70</v>
      </c>
      <c r="B64" s="6">
        <v>2.6139868074593675</v>
      </c>
    </row>
    <row r="65">
      <c r="A65" s="5" t="s">
        <v>883</v>
      </c>
      <c r="B65" s="6">
        <v>2.594197923871094</v>
      </c>
    </row>
    <row r="66">
      <c r="A66" s="5" t="s">
        <v>885</v>
      </c>
      <c r="B66" s="6">
        <v>2.4966912716951914</v>
      </c>
    </row>
    <row r="67">
      <c r="A67" s="5" t="s">
        <v>69</v>
      </c>
      <c r="B67" s="6">
        <v>2.4966912716951914</v>
      </c>
    </row>
    <row r="68">
      <c r="A68" s="5" t="s">
        <v>108</v>
      </c>
      <c r="B68" s="6">
        <v>2.4739108490665025</v>
      </c>
    </row>
    <row r="69">
      <c r="A69" s="5" t="s">
        <v>63</v>
      </c>
      <c r="B69" s="6">
        <v>2.4123022959109424</v>
      </c>
    </row>
    <row r="70">
      <c r="A70" s="5" t="s">
        <v>50</v>
      </c>
      <c r="B70" s="6">
        <v>2.214755612965594</v>
      </c>
    </row>
    <row r="71">
      <c r="A71" s="129" t="s">
        <v>61</v>
      </c>
      <c r="B71" s="6">
        <v>2.1816211610329006</v>
      </c>
    </row>
    <row r="72">
      <c r="A72" s="129" t="s">
        <v>122</v>
      </c>
      <c r="B72" s="6">
        <v>2.17339410384518</v>
      </c>
    </row>
    <row r="73">
      <c r="A73" s="5" t="s">
        <v>29</v>
      </c>
      <c r="B73" s="6">
        <v>2.082513373269988</v>
      </c>
    </row>
    <row r="74">
      <c r="A74" s="5" t="s">
        <v>57</v>
      </c>
      <c r="B74" s="6">
        <v>1.998096257979082</v>
      </c>
    </row>
    <row r="75">
      <c r="A75" s="5" t="s">
        <v>53</v>
      </c>
      <c r="B75" s="6">
        <v>1.9379971188005944</v>
      </c>
    </row>
    <row r="76">
      <c r="A76" s="5" t="s">
        <v>200</v>
      </c>
      <c r="B76" s="6">
        <v>1.6952373436672292</v>
      </c>
    </row>
    <row r="77">
      <c r="A77" s="5" t="s">
        <v>884</v>
      </c>
      <c r="B77" s="6">
        <v>1.6796477962159204</v>
      </c>
    </row>
    <row r="78">
      <c r="A78" s="5" t="s">
        <v>1579</v>
      </c>
      <c r="B78" s="6">
        <v>1.6796477962159204</v>
      </c>
    </row>
    <row r="79">
      <c r="A79" s="5" t="s">
        <v>100</v>
      </c>
      <c r="B79" s="6">
        <v>1.6568673735872312</v>
      </c>
    </row>
    <row r="80">
      <c r="A80" s="5" t="s">
        <v>154</v>
      </c>
      <c r="B80" s="6">
        <v>1.6568673735872312</v>
      </c>
    </row>
    <row r="81">
      <c r="A81" s="5" t="s">
        <v>882</v>
      </c>
      <c r="B81" s="6">
        <v>1.6568673735872312</v>
      </c>
    </row>
    <row r="82">
      <c r="A82" s="5" t="s">
        <v>150</v>
      </c>
      <c r="B82" s="6">
        <v>1.6568673735872312</v>
      </c>
    </row>
    <row r="83">
      <c r="A83" s="5" t="s">
        <v>114</v>
      </c>
      <c r="B83" s="6">
        <v>1.6568673735872312</v>
      </c>
    </row>
    <row r="84">
      <c r="A84" s="5" t="s">
        <v>207</v>
      </c>
      <c r="B84" s="6">
        <v>1.6568673735872312</v>
      </c>
    </row>
    <row r="85">
      <c r="A85" s="5" t="s">
        <v>2176</v>
      </c>
      <c r="B85" s="6">
        <v>1.6568673735872312</v>
      </c>
    </row>
    <row r="86">
      <c r="A86" s="5" t="s">
        <v>233</v>
      </c>
      <c r="B86" s="6">
        <f>0.817+0.83982389810796</f>
        <v>1.656823898</v>
      </c>
    </row>
    <row r="87">
      <c r="A87" s="5" t="s">
        <v>121</v>
      </c>
      <c r="B87" s="6">
        <v>1.5990076838235558</v>
      </c>
    </row>
    <row r="88">
      <c r="A88" s="5" t="s">
        <v>184</v>
      </c>
      <c r="B88" s="6">
        <v>1.5335887597422238</v>
      </c>
    </row>
    <row r="89">
      <c r="A89" s="5" t="s">
        <v>222</v>
      </c>
      <c r="B89" s="6">
        <v>1.4516716550176298</v>
      </c>
    </row>
    <row r="90">
      <c r="A90" s="5" t="s">
        <v>173</v>
      </c>
      <c r="B90" s="6">
        <v>1.3935128013493585</v>
      </c>
    </row>
    <row r="91">
      <c r="A91" s="5" t="s">
        <v>282</v>
      </c>
      <c r="B91" s="6">
        <v>1.216274669973044</v>
      </c>
    </row>
    <row r="92">
      <c r="A92" s="5" t="s">
        <v>133</v>
      </c>
      <c r="B92" s="6">
        <v>0.855413445559269</v>
      </c>
    </row>
    <row r="93">
      <c r="A93" s="5" t="s">
        <v>167</v>
      </c>
      <c r="B93" s="6">
        <v>0.8398238981079602</v>
      </c>
    </row>
    <row r="94">
      <c r="A94" s="5" t="s">
        <v>138</v>
      </c>
      <c r="B94" s="6">
        <v>0.8398238981079602</v>
      </c>
    </row>
    <row r="95">
      <c r="A95" s="5" t="s">
        <v>137</v>
      </c>
      <c r="B95" s="6">
        <v>0.8398238981079602</v>
      </c>
    </row>
    <row r="96">
      <c r="A96" s="5" t="s">
        <v>2177</v>
      </c>
      <c r="B96" s="6">
        <v>0.8398238981079602</v>
      </c>
    </row>
    <row r="97">
      <c r="A97" s="5" t="s">
        <v>874</v>
      </c>
      <c r="B97" s="6">
        <v>0.8398238981079602</v>
      </c>
    </row>
    <row r="98">
      <c r="A98" s="5" t="s">
        <v>2178</v>
      </c>
      <c r="B98" s="6">
        <v>0.8398238981079602</v>
      </c>
    </row>
    <row r="99">
      <c r="A99" s="5" t="s">
        <v>880</v>
      </c>
      <c r="B99" s="6">
        <v>0.8398238981079602</v>
      </c>
    </row>
    <row r="100">
      <c r="A100" s="5" t="s">
        <v>307</v>
      </c>
      <c r="B100" s="6">
        <v>0.8398238981079602</v>
      </c>
    </row>
    <row r="101">
      <c r="A101" s="5" t="s">
        <v>308</v>
      </c>
      <c r="B101" s="6">
        <v>0.8398238981079602</v>
      </c>
    </row>
    <row r="102">
      <c r="A102" s="5" t="s">
        <v>95</v>
      </c>
      <c r="B102" s="6">
        <v>0.8398238981079602</v>
      </c>
    </row>
    <row r="103">
      <c r="A103" s="5" t="s">
        <v>313</v>
      </c>
      <c r="B103" s="6">
        <v>0.817043475479271</v>
      </c>
    </row>
    <row r="104">
      <c r="A104" s="5" t="s">
        <v>1923</v>
      </c>
      <c r="B104" s="6">
        <v>0.817043475479271</v>
      </c>
    </row>
    <row r="105">
      <c r="A105" s="5" t="s">
        <v>209</v>
      </c>
      <c r="B105" s="6">
        <v>0.817043475479271</v>
      </c>
    </row>
    <row r="106">
      <c r="A106" s="5" t="s">
        <v>229</v>
      </c>
      <c r="B106" s="6">
        <v>0.817043475479271</v>
      </c>
    </row>
    <row r="107">
      <c r="A107" s="5" t="s">
        <v>65</v>
      </c>
      <c r="B107" s="6">
        <v>0.817043475479271</v>
      </c>
    </row>
    <row r="108">
      <c r="A108" s="5" t="s">
        <v>40</v>
      </c>
      <c r="B108" s="6">
        <v>0.817043475479271</v>
      </c>
    </row>
    <row r="109">
      <c r="A109" s="320" t="s">
        <v>81</v>
      </c>
      <c r="B109" s="6">
        <v>0.817043475479271</v>
      </c>
    </row>
    <row r="110">
      <c r="A110" s="5" t="s">
        <v>144</v>
      </c>
      <c r="B110" s="6">
        <v>0.817043475479271</v>
      </c>
    </row>
    <row r="111">
      <c r="A111" s="5" t="s">
        <v>869</v>
      </c>
      <c r="B111" s="6">
        <v>0.817043475479271</v>
      </c>
    </row>
    <row r="112">
      <c r="A112" s="5" t="s">
        <v>151</v>
      </c>
      <c r="B112" s="6">
        <v>0.817043475479271</v>
      </c>
    </row>
    <row r="113">
      <c r="A113" s="5" t="s">
        <v>340</v>
      </c>
      <c r="B113" s="6">
        <v>0.6486415707528427</v>
      </c>
    </row>
    <row r="114">
      <c r="A114" s="5"/>
      <c r="B114" s="247"/>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t="str">
        <f t="shared" ref="A134:A147" si="1">C134</f>
        <v/>
      </c>
      <c r="B134" s="6"/>
    </row>
    <row r="135">
      <c r="A135" s="5" t="str">
        <f t="shared" si="1"/>
        <v/>
      </c>
      <c r="B135" s="6"/>
    </row>
    <row r="136">
      <c r="A136" s="5" t="str">
        <f t="shared" si="1"/>
        <v/>
      </c>
      <c r="B136" s="6"/>
    </row>
    <row r="137">
      <c r="A137" s="5" t="str">
        <f t="shared" si="1"/>
        <v/>
      </c>
      <c r="B137" s="6"/>
    </row>
    <row r="138">
      <c r="A138" s="5" t="str">
        <f t="shared" si="1"/>
        <v/>
      </c>
      <c r="B138" s="6"/>
    </row>
    <row r="139">
      <c r="A139" s="5" t="str">
        <f t="shared" si="1"/>
        <v/>
      </c>
      <c r="B139" s="6"/>
    </row>
    <row r="140">
      <c r="A140" s="5" t="str">
        <f t="shared" si="1"/>
        <v/>
      </c>
      <c r="B140" s="6"/>
    </row>
    <row r="141">
      <c r="A141" s="5" t="str">
        <f t="shared" si="1"/>
        <v/>
      </c>
      <c r="B141" s="6"/>
    </row>
    <row r="142">
      <c r="A142" s="5" t="str">
        <f t="shared" si="1"/>
        <v/>
      </c>
      <c r="B142" s="6"/>
    </row>
    <row r="143">
      <c r="A143" s="5" t="str">
        <f t="shared" si="1"/>
        <v/>
      </c>
      <c r="B143" s="6"/>
    </row>
    <row r="144">
      <c r="A144" s="5" t="str">
        <f t="shared" si="1"/>
        <v/>
      </c>
      <c r="B144" s="6"/>
    </row>
    <row r="145">
      <c r="A145" s="5" t="str">
        <f t="shared" si="1"/>
        <v/>
      </c>
      <c r="B145" s="6"/>
    </row>
    <row r="146">
      <c r="A146" s="5" t="str">
        <f t="shared" si="1"/>
        <v/>
      </c>
      <c r="B146" s="6"/>
    </row>
    <row r="147">
      <c r="A147" s="5" t="str">
        <f t="shared" si="1"/>
        <v/>
      </c>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1" t="str">
        <f>IFERROR(__xludf.DUMMYFUNCTION("IMPORTRANGE(""https://docs.google.com/spreadsheets/d/1w42k9GfciiSM6r7FzeC9JiCo2eiq4xTJJfxLGa2MBw4/edit#gid=84976526"",""Database!c2:F900"")"),"Discord WITH 
###")</f>
        <v>Discord WITH 
###</v>
      </c>
      <c r="B1" s="112" t="str">
        <f>IFERROR(__xludf.DUMMYFUNCTION("""COMPUTED_VALUE"""),"Discord short")</f>
        <v>Discord short</v>
      </c>
      <c r="C1" s="18" t="str">
        <f>IFERROR(__xludf.DUMMYFUNCTION("""COMPUTED_VALUE"""),"Telegram")</f>
        <v>Telegram</v>
      </c>
      <c r="D1" s="112" t="str">
        <f>IFERROR(__xludf.DUMMYFUNCTION("""COMPUTED_VALUE"""),"IH &amp; CSTK Handle")</f>
        <v>IH &amp; CSTK Handle</v>
      </c>
    </row>
    <row r="2">
      <c r="A2" s="18"/>
      <c r="B2" s="18"/>
      <c r="C2" s="18"/>
      <c r="D2" s="18"/>
    </row>
    <row r="3">
      <c r="A3" s="18" t="str">
        <f>IFERROR(__xludf.DUMMYFUNCTION("""COMPUTED_VALUE"""),"bends#3537")</f>
        <v>bends#3537</v>
      </c>
      <c r="B3" s="18"/>
      <c r="C3" s="18"/>
      <c r="D3" s="18" t="str">
        <f>IFERROR(__xludf.DUMMYFUNCTION("""COMPUTED_VALUE"""),"bends#3537")</f>
        <v>bends#3537</v>
      </c>
    </row>
    <row r="4">
      <c r="A4" s="18"/>
      <c r="B4" s="18"/>
      <c r="C4" s="18"/>
      <c r="D4" s="18"/>
    </row>
    <row r="5">
      <c r="A5" s="18"/>
      <c r="B5" s="18"/>
      <c r="C5" s="18" t="str">
        <f>IFERROR(__xludf.DUMMYFUNCTION("""COMPUTED_VALUE"""),"franzihei")</f>
        <v>franzihei</v>
      </c>
      <c r="D5" s="18" t="str">
        <f>IFERROR(__xludf.DUMMYFUNCTION("""COMPUTED_VALUE"""),"franzihei")</f>
        <v>franzihei</v>
      </c>
    </row>
    <row r="6">
      <c r="A6" s="18"/>
      <c r="B6" s="18"/>
      <c r="C6" s="18"/>
      <c r="D6" s="18"/>
    </row>
    <row r="7">
      <c r="A7" s="18" t="str">
        <f>IFERROR(__xludf.DUMMYFUNCTION("""COMPUTED_VALUE"""),"liviade#1387")</f>
        <v>liviade#1387</v>
      </c>
      <c r="B7" s="18" t="str">
        <f>IFERROR(__xludf.DUMMYFUNCTION("""COMPUTED_VALUE"""),"liviade")</f>
        <v>liviade</v>
      </c>
      <c r="C7" s="18" t="str">
        <f>IFERROR(__xludf.DUMMYFUNCTION("""COMPUTED_VALUE"""),"liviade")</f>
        <v>liviade</v>
      </c>
      <c r="D7" s="18" t="str">
        <f>IFERROR(__xludf.DUMMYFUNCTION("""COMPUTED_VALUE"""),"liviade")</f>
        <v>liviade</v>
      </c>
    </row>
    <row r="8">
      <c r="A8" s="18"/>
      <c r="B8" s="18"/>
      <c r="C8" s="18"/>
      <c r="D8" s="18"/>
    </row>
    <row r="9">
      <c r="A9" s="18"/>
      <c r="B9" s="18"/>
      <c r="C9" s="18"/>
      <c r="D9" s="18"/>
    </row>
    <row r="10">
      <c r="A10" s="18"/>
      <c r="B10" s="18"/>
      <c r="C10" s="18"/>
      <c r="D10" s="18"/>
    </row>
    <row r="11">
      <c r="A11" s="18"/>
      <c r="B11" s="18"/>
      <c r="C11" s="18"/>
      <c r="D11" s="18"/>
    </row>
    <row r="12">
      <c r="A12" s="18"/>
      <c r="B12" s="18"/>
      <c r="C12" s="18" t="str">
        <f>IFERROR(__xludf.DUMMYFUNCTION("""COMPUTED_VALUE"""),"arbreton")</f>
        <v>arbreton</v>
      </c>
      <c r="D12" s="18" t="str">
        <f>IFERROR(__xludf.DUMMYFUNCTION("""COMPUTED_VALUE"""),"arbreton")</f>
        <v>arbreton</v>
      </c>
    </row>
    <row r="13">
      <c r="A13" s="18" t="str">
        <f>IFERROR(__xludf.DUMMYFUNCTION("""COMPUTED_VALUE"""),"gabi#4807")</f>
        <v>gabi#4807</v>
      </c>
      <c r="B13" s="18"/>
      <c r="C13" s="18" t="str">
        <f>IFERROR(__xludf.DUMMYFUNCTION("""COMPUTED_VALUE"""),"xgabi")</f>
        <v>xgabi</v>
      </c>
      <c r="D13" s="18" t="str">
        <f>IFERROR(__xludf.DUMMYFUNCTION("""COMPUTED_VALUE"""),"xgabi")</f>
        <v>xgabi</v>
      </c>
    </row>
    <row r="14">
      <c r="A14" s="18" t="str">
        <f>IFERROR(__xludf.DUMMYFUNCTION("""COMPUTED_VALUE"""),"0xJoshua#0888")</f>
        <v>0xJoshua#0888</v>
      </c>
      <c r="B14" s="18"/>
      <c r="C14" s="18"/>
      <c r="D14" s="18" t="str">
        <f>IFERROR(__xludf.DUMMYFUNCTION("""COMPUTED_VALUE"""),"0xJoshua#0888")</f>
        <v>0xJoshua#0888</v>
      </c>
    </row>
    <row r="15">
      <c r="A15" s="18"/>
      <c r="B15" s="18"/>
      <c r="C15" s="18"/>
      <c r="D15" s="18"/>
    </row>
    <row r="16">
      <c r="A16" s="18" t="str">
        <f>IFERROR(__xludf.DUMMYFUNCTION("""COMPUTED_VALUE"""),"Nuggan#5183")</f>
        <v>Nuggan#5183</v>
      </c>
      <c r="B16" s="18"/>
      <c r="C16" s="18"/>
      <c r="D16" s="18" t="str">
        <f>IFERROR(__xludf.DUMMYFUNCTION("""COMPUTED_VALUE"""),"Nuggan#5183")</f>
        <v>Nuggan#5183</v>
      </c>
    </row>
    <row r="17">
      <c r="A17" s="18"/>
      <c r="B17" s="18"/>
      <c r="C17" s="18"/>
      <c r="D17" s="18"/>
    </row>
    <row r="18">
      <c r="A18" s="18"/>
      <c r="B18" s="18"/>
      <c r="C18" s="18"/>
      <c r="D18" s="18"/>
    </row>
    <row r="19">
      <c r="A19" s="18"/>
      <c r="B19" s="18"/>
      <c r="C19" s="18"/>
      <c r="D19" s="18"/>
    </row>
    <row r="20">
      <c r="A20" s="18" t="str">
        <f>IFERROR(__xludf.DUMMYFUNCTION("""COMPUTED_VALUE"""),"sem  🐝#0161")</f>
        <v>sem  🐝#0161</v>
      </c>
      <c r="B20" s="18" t="str">
        <f>IFERROR(__xludf.DUMMYFUNCTION("""COMPUTED_VALUE"""),"sem 🐝")</f>
        <v>sem 🐝</v>
      </c>
      <c r="C20" s="18" t="str">
        <f>IFERROR(__xludf.DUMMYFUNCTION("""COMPUTED_VALUE"""),"sembrestels")</f>
        <v>sembrestels</v>
      </c>
      <c r="D20" s="18" t="str">
        <f>IFERROR(__xludf.DUMMYFUNCTION("""COMPUTED_VALUE"""),"sembrestels")</f>
        <v>sembrestels</v>
      </c>
    </row>
    <row r="21">
      <c r="A21" s="18" t="str">
        <f>IFERROR(__xludf.DUMMYFUNCTION("""COMPUTED_VALUE"""),"alison#1131")</f>
        <v>alison#1131</v>
      </c>
      <c r="B21" s="18"/>
      <c r="C21" s="18" t="str">
        <f>IFERROR(__xludf.DUMMYFUNCTION("""COMPUTED_VALUE"""),"existenialstoic")</f>
        <v>existenialstoic</v>
      </c>
      <c r="D21" s="18" t="str">
        <f>IFERROR(__xludf.DUMMYFUNCTION("""COMPUTED_VALUE"""),"existenialstoic")</f>
        <v>existenialstoic</v>
      </c>
    </row>
    <row r="22">
      <c r="A22" s="18"/>
      <c r="B22" s="18"/>
      <c r="C22" s="18"/>
      <c r="D22" s="18"/>
    </row>
    <row r="23">
      <c r="A23" s="18"/>
      <c r="B23" s="18"/>
      <c r="C23" s="18" t="str">
        <f>IFERROR(__xludf.DUMMYFUNCTION("""COMPUTED_VALUE"""),"abcoathup")</f>
        <v>abcoathup</v>
      </c>
      <c r="D23" s="18"/>
    </row>
    <row r="24">
      <c r="A24" s="18"/>
      <c r="B24" s="18"/>
      <c r="C24" s="18"/>
      <c r="D24" s="18"/>
    </row>
    <row r="25">
      <c r="A25" s="18"/>
      <c r="B25" s="18"/>
      <c r="C25" s="18" t="str">
        <f>IFERROR(__xludf.DUMMYFUNCTION("""COMPUTED_VALUE"""),"acryptomuppet")</f>
        <v>acryptomuppet</v>
      </c>
      <c r="D25" s="18" t="str">
        <f>IFERROR(__xludf.DUMMYFUNCTION("""COMPUTED_VALUE"""),"acryptomuppet")</f>
        <v>acryptomuppet</v>
      </c>
    </row>
    <row r="26">
      <c r="A26" s="18"/>
      <c r="B26" s="18"/>
      <c r="C26" s="18" t="str">
        <f>IFERROR(__xludf.DUMMYFUNCTION("""COMPUTED_VALUE"""),"a_bornstein")</f>
        <v>a_bornstein</v>
      </c>
      <c r="D26" s="18" t="str">
        <f>IFERROR(__xludf.DUMMYFUNCTION("""COMPUTED_VALUE"""),"a_bornstein")</f>
        <v>a_bornstein</v>
      </c>
    </row>
    <row r="27">
      <c r="A27" s="18" t="str">
        <f>IFERROR(__xludf.DUMMYFUNCTION("""COMPUTED_VALUE"""),"dunks411 | Adept Camp#2178")</f>
        <v>dunks411 | Adept Camp#2178</v>
      </c>
      <c r="B27" s="18"/>
      <c r="C27" s="18" t="str">
        <f>IFERROR(__xludf.DUMMYFUNCTION("""COMPUTED_VALUE"""),"dunks412")</f>
        <v>dunks412</v>
      </c>
      <c r="D27" s="18" t="str">
        <f>IFERROR(__xludf.DUMMYFUNCTION("""COMPUTED_VALUE"""),"dunks411 | Adept Camp#2178")</f>
        <v>dunks411 | Adept Camp#2178</v>
      </c>
    </row>
    <row r="28">
      <c r="A28" s="18" t="str">
        <f>IFERROR(__xludf.DUMMYFUNCTION("""COMPUTED_VALUE"""),"adnfx2#9648")</f>
        <v>adnfx2#9648</v>
      </c>
      <c r="B28" s="18"/>
      <c r="C28" s="18"/>
      <c r="D28" s="18" t="str">
        <f>IFERROR(__xludf.DUMMYFUNCTION("""COMPUTED_VALUE"""),"adnfx2#9648")</f>
        <v>adnfx2#9648</v>
      </c>
    </row>
    <row r="29">
      <c r="A29" s="18"/>
      <c r="B29" s="18"/>
      <c r="C29" s="18"/>
      <c r="D29" s="18"/>
    </row>
    <row r="30">
      <c r="A30" s="18"/>
      <c r="B30" s="18"/>
      <c r="C30" s="18" t="str">
        <f>IFERROR(__xludf.DUMMYFUNCTION("""COMPUTED_VALUE"""),"AdrienDLT")</f>
        <v>AdrienDLT</v>
      </c>
      <c r="D30" s="18" t="str">
        <f>IFERROR(__xludf.DUMMYFUNCTION("""COMPUTED_VALUE"""),"AdrienDLT")</f>
        <v>AdrienDLT</v>
      </c>
    </row>
    <row r="31">
      <c r="A31" s="18"/>
      <c r="B31" s="18"/>
      <c r="C31" s="18" t="str">
        <f>IFERROR(__xludf.DUMMYFUNCTION("""COMPUTED_VALUE"""),"AdrienDLT")</f>
        <v>AdrienDLT</v>
      </c>
      <c r="D31" s="18" t="str">
        <f>IFERROR(__xludf.DUMMYFUNCTION("""COMPUTED_VALUE"""),"AdrienDLT")</f>
        <v>AdrienDLT</v>
      </c>
    </row>
    <row r="32">
      <c r="A32" s="18"/>
      <c r="B32" s="18"/>
      <c r="C32" s="18"/>
      <c r="D32" s="18"/>
    </row>
    <row r="33">
      <c r="A33" s="18"/>
      <c r="B33" s="18"/>
      <c r="C33" s="18"/>
      <c r="D33" s="18"/>
    </row>
    <row r="34">
      <c r="A34" s="18" t="str">
        <f>IFERROR(__xludf.DUMMYFUNCTION("""COMPUTED_VALUE"""),"Aidan | LTF#1666")</f>
        <v>Aidan | LTF#1666</v>
      </c>
      <c r="B34" s="18"/>
      <c r="C34" s="18" t="str">
        <f>IFERROR(__xludf.DUMMYFUNCTION("""COMPUTED_VALUE"""),"aidanbrodieo")</f>
        <v>aidanbrodieo</v>
      </c>
      <c r="D34" s="18" t="str">
        <f>IFERROR(__xludf.DUMMYFUNCTION("""COMPUTED_VALUE"""),"aidanbrodieo")</f>
        <v>aidanbrodieo</v>
      </c>
    </row>
    <row r="35">
      <c r="A35" s="18"/>
      <c r="B35" s="18"/>
      <c r="C35" s="18"/>
      <c r="D35" s="18"/>
    </row>
    <row r="36">
      <c r="A36" s="18" t="str">
        <f>IFERROR(__xludf.DUMMYFUNCTION("""COMPUTED_VALUE"""),"akrtws#4246")</f>
        <v>akrtws#4246</v>
      </c>
      <c r="B36" s="18" t="str">
        <f>IFERROR(__xludf.DUMMYFUNCTION("""COMPUTED_VALUE"""),"akrtws")</f>
        <v>akrtws</v>
      </c>
      <c r="C36" s="18" t="str">
        <f>IFERROR(__xludf.DUMMYFUNCTION("""COMPUTED_VALUE"""),"akrtws")</f>
        <v>akrtws</v>
      </c>
      <c r="D36" s="18" t="str">
        <f>IFERROR(__xludf.DUMMYFUNCTION("""COMPUTED_VALUE"""),"akrtws")</f>
        <v>akrtws</v>
      </c>
    </row>
    <row r="37">
      <c r="A37" s="18"/>
      <c r="B37" s="18"/>
      <c r="C37" s="18"/>
      <c r="D37" s="18"/>
    </row>
    <row r="38">
      <c r="A38" s="18"/>
      <c r="B38" s="18"/>
      <c r="C38" s="18"/>
      <c r="D38" s="18"/>
    </row>
    <row r="39">
      <c r="A39" s="18"/>
      <c r="B39" s="18"/>
      <c r="C39" s="18" t="str">
        <f>IFERROR(__xludf.DUMMYFUNCTION("""COMPUTED_VALUE"""),"proofoftom")</f>
        <v>proofoftom</v>
      </c>
      <c r="D39" s="18" t="str">
        <f>IFERROR(__xludf.DUMMYFUNCTION("""COMPUTED_VALUE"""),"proofoftom")</f>
        <v>proofoftom</v>
      </c>
    </row>
    <row r="40">
      <c r="A40" s="18"/>
      <c r="B40" s="18"/>
      <c r="C40" s="18"/>
      <c r="D40" s="18"/>
    </row>
    <row r="41">
      <c r="A41" s="18"/>
      <c r="B41" s="18"/>
      <c r="C41" s="18"/>
      <c r="D41" s="18"/>
    </row>
    <row r="42">
      <c r="A42" s="18"/>
      <c r="B42" s="18"/>
      <c r="C42" s="18"/>
      <c r="D42" s="18"/>
    </row>
    <row r="43">
      <c r="A43" s="18" t="str">
        <f>IFERROR(__xludf.DUMMYFUNCTION("""COMPUTED_VALUE"""),"AmwFund#0979")</f>
        <v>AmwFund#0979</v>
      </c>
      <c r="B43" s="18" t="str">
        <f>IFERROR(__xludf.DUMMYFUNCTION("""COMPUTED_VALUE"""),"craig")</f>
        <v>craig</v>
      </c>
      <c r="C43" s="18" t="str">
        <f>IFERROR(__xludf.DUMMYFUNCTION("""COMPUTED_VALUE"""),"cranders71")</f>
        <v>cranders71</v>
      </c>
      <c r="D43" s="18" t="str">
        <f>IFERROR(__xludf.DUMMYFUNCTION("""COMPUTED_VALUE"""),"cranders71")</f>
        <v>cranders71</v>
      </c>
    </row>
    <row r="44">
      <c r="A44" s="18" t="str">
        <f>IFERROR(__xludf.DUMMYFUNCTION("""COMPUTED_VALUE"""),"eduardovegap#0422")</f>
        <v>eduardovegap#0422</v>
      </c>
      <c r="B44" s="18" t="str">
        <f>IFERROR(__xludf.DUMMYFUNCTION("""COMPUTED_VALUE"""),"eduardovegap")</f>
        <v>eduardovegap</v>
      </c>
      <c r="C44" s="18" t="str">
        <f>IFERROR(__xludf.DUMMYFUNCTION("""COMPUTED_VALUE"""),"vegayp")</f>
        <v>vegayp</v>
      </c>
      <c r="D44" s="18" t="str">
        <f>IFERROR(__xludf.DUMMYFUNCTION("""COMPUTED_VALUE"""),"vegayp")</f>
        <v>vegayp</v>
      </c>
    </row>
    <row r="45">
      <c r="A45" s="18"/>
      <c r="B45" s="18"/>
      <c r="C45" s="18"/>
      <c r="D45" s="18"/>
    </row>
    <row r="46">
      <c r="A46" s="18"/>
      <c r="B46" s="18"/>
      <c r="C46" s="18"/>
      <c r="D46" s="18"/>
    </row>
    <row r="47">
      <c r="A47" s="18" t="str">
        <f>IFERROR(__xludf.DUMMYFUNCTION("""COMPUTED_VALUE"""),"andythegreenie#7463")</f>
        <v>andythegreenie#7463</v>
      </c>
      <c r="B47" s="18"/>
      <c r="C47" s="18"/>
      <c r="D47" s="18" t="str">
        <f>IFERROR(__xludf.DUMMYFUNCTION("""COMPUTED_VALUE"""),"andythegreenie#7463")</f>
        <v>andythegreenie#7463</v>
      </c>
    </row>
    <row r="48">
      <c r="A48" s="18"/>
      <c r="B48" s="18"/>
      <c r="C48" s="18" t="str">
        <f>IFERROR(__xludf.DUMMYFUNCTION("""COMPUTED_VALUE"""),"AnjaBlaj")</f>
        <v>AnjaBlaj</v>
      </c>
      <c r="D48" s="18" t="str">
        <f>IFERROR(__xludf.DUMMYFUNCTION("""COMPUTED_VALUE"""),"anjablaj")</f>
        <v>anjablaj</v>
      </c>
    </row>
    <row r="49">
      <c r="A49" s="18" t="str">
        <f>IFERROR(__xludf.DUMMYFUNCTION("""COMPUTED_VALUE"""),"cryptonio#7187")</f>
        <v>cryptonio#7187</v>
      </c>
      <c r="B49" s="18" t="str">
        <f>IFERROR(__xludf.DUMMYFUNCTION("""COMPUTED_VALUE"""),"antoniopaglino")</f>
        <v>antoniopaglino</v>
      </c>
      <c r="C49" s="18" t="str">
        <f>IFERROR(__xludf.DUMMYFUNCTION("""COMPUTED_VALUE"""),"antoniopaglino")</f>
        <v>antoniopaglino</v>
      </c>
      <c r="D49" s="18" t="str">
        <f>IFERROR(__xludf.DUMMYFUNCTION("""COMPUTED_VALUE"""),"antoniopaglino")</f>
        <v>antoniopaglino</v>
      </c>
    </row>
    <row r="50">
      <c r="A50" s="18"/>
      <c r="B50" s="18"/>
      <c r="C50" s="18"/>
      <c r="D50" s="18"/>
    </row>
    <row r="51">
      <c r="A51" s="18"/>
      <c r="B51" s="18"/>
      <c r="C51" s="18"/>
      <c r="D51" s="18"/>
    </row>
    <row r="52">
      <c r="A52" s="18"/>
      <c r="B52" s="18"/>
      <c r="C52" s="18" t="str">
        <f>IFERROR(__xludf.DUMMYFUNCTION("""COMPUTED_VALUE"""),"aragonproject")</f>
        <v>aragonproject</v>
      </c>
      <c r="D52" s="18" t="str">
        <f>IFERROR(__xludf.DUMMYFUNCTION("""COMPUTED_VALUE"""),"aragonproject")</f>
        <v>aragonproject</v>
      </c>
    </row>
    <row r="53">
      <c r="A53" s="18"/>
      <c r="B53" s="18"/>
      <c r="C53" s="18" t="str">
        <f>IFERROR(__xludf.DUMMYFUNCTION("""COMPUTED_VALUE"""),"arcorren")</f>
        <v>arcorren</v>
      </c>
      <c r="D53" s="18" t="str">
        <f>IFERROR(__xludf.DUMMYFUNCTION("""COMPUTED_VALUE"""),"arcorren")</f>
        <v>arcorren</v>
      </c>
    </row>
    <row r="54">
      <c r="A54" s="18"/>
      <c r="B54" s="18"/>
      <c r="C54" s="18" t="str">
        <f>IFERROR(__xludf.DUMMYFUNCTION("""COMPUTED_VALUE"""),"lab10collective")</f>
        <v>lab10collective</v>
      </c>
      <c r="D54" s="18" t="str">
        <f>IFERROR(__xludf.DUMMYFUNCTION("""COMPUTED_VALUE"""),"lab10collective")</f>
        <v>lab10collective</v>
      </c>
    </row>
    <row r="55">
      <c r="A55" s="18"/>
      <c r="B55" s="18"/>
      <c r="C55" s="18"/>
      <c r="D55" s="18"/>
    </row>
    <row r="56">
      <c r="A56" s="18"/>
      <c r="B56" s="18"/>
      <c r="C56" s="18"/>
      <c r="D56" s="18"/>
    </row>
    <row r="57">
      <c r="A57" s="18" t="str">
        <f>IFERROR(__xludf.DUMMYFUNCTION("""COMPUTED_VALUE"""),"Ata#4155")</f>
        <v>Ata#4155</v>
      </c>
      <c r="B57" s="18"/>
      <c r="C57" s="18" t="str">
        <f>IFERROR(__xludf.DUMMYFUNCTION("""COMPUTED_VALUE"""),"atacas")</f>
        <v>atacas</v>
      </c>
      <c r="D57" s="18" t="str">
        <f>IFERROR(__xludf.DUMMYFUNCTION("""COMPUTED_VALUE"""),"atacas")</f>
        <v>atacas</v>
      </c>
    </row>
    <row r="58">
      <c r="A58" s="18"/>
      <c r="B58" s="18"/>
      <c r="C58" s="18"/>
      <c r="D58" s="18"/>
    </row>
    <row r="59">
      <c r="A59" s="18"/>
      <c r="B59" s="18"/>
      <c r="C59" s="18"/>
      <c r="D59" s="18"/>
    </row>
    <row r="60">
      <c r="A60" s="18"/>
      <c r="B60" s="18"/>
      <c r="C60" s="18" t="str">
        <f>IFERROR(__xludf.DUMMYFUNCTION("""COMPUTED_VALUE"""),"AdaptDAO")</f>
        <v>AdaptDAO</v>
      </c>
      <c r="D60" s="18" t="str">
        <f>IFERROR(__xludf.DUMMYFUNCTION("""COMPUTED_VALUE"""),"AdaptDAO")</f>
        <v>AdaptDAO</v>
      </c>
    </row>
    <row r="61">
      <c r="A61" s="18"/>
      <c r="B61" s="18"/>
      <c r="C61" s="18" t="str">
        <f>IFERROR(__xludf.DUMMYFUNCTION("""COMPUTED_VALUE"""),"auryn_macmillan")</f>
        <v>auryn_macmillan</v>
      </c>
      <c r="D61" s="18" t="str">
        <f>IFERROR(__xludf.DUMMYFUNCTION("""COMPUTED_VALUE"""),"auryn_macmillan")</f>
        <v>auryn_macmillan</v>
      </c>
    </row>
    <row r="62">
      <c r="A62" s="18"/>
      <c r="B62" s="18"/>
      <c r="C62" s="18" t="str">
        <f>IFERROR(__xludf.DUMMYFUNCTION("""COMPUTED_VALUE"""),"babycrypt2")</f>
        <v>babycrypt2</v>
      </c>
      <c r="D62" s="18" t="str">
        <f>IFERROR(__xludf.DUMMYFUNCTION("""COMPUTED_VALUE"""),"babycrypt2")</f>
        <v>babycrypt2</v>
      </c>
    </row>
    <row r="63">
      <c r="A63" s="18"/>
      <c r="B63" s="18"/>
      <c r="C63" s="18" t="str">
        <f>IFERROR(__xludf.DUMMYFUNCTION("""COMPUTED_VALUE"""),"BagholderMcFomoIII")</f>
        <v>BagholderMcFomoIII</v>
      </c>
      <c r="D63" s="18"/>
    </row>
    <row r="64">
      <c r="A64" s="18"/>
      <c r="B64" s="18"/>
      <c r="C64" s="18"/>
      <c r="D64" s="18"/>
    </row>
    <row r="65">
      <c r="A65" s="18"/>
      <c r="B65" s="18"/>
      <c r="C65" s="18" t="str">
        <f>IFERROR(__xludf.DUMMYFUNCTION("""COMPUTED_VALUE"""),"banteg")</f>
        <v>banteg</v>
      </c>
      <c r="D65" s="18" t="str">
        <f>IFERROR(__xludf.DUMMYFUNCTION("""COMPUTED_VALUE"""),"banteg")</f>
        <v>banteg</v>
      </c>
    </row>
    <row r="66">
      <c r="A66" s="18"/>
      <c r="B66" s="18"/>
      <c r="C66" s="18"/>
      <c r="D66" s="18"/>
    </row>
    <row r="67">
      <c r="A67" s="18"/>
      <c r="B67" s="18"/>
      <c r="C67" s="18"/>
      <c r="D67" s="18"/>
    </row>
    <row r="68">
      <c r="A68" s="18"/>
      <c r="B68" s="18"/>
      <c r="C68" s="18" t="str">
        <f>IFERROR(__xludf.DUMMYFUNCTION("""COMPUTED_VALUE"""),"thebeautyway")</f>
        <v>thebeautyway</v>
      </c>
      <c r="D68" s="18" t="str">
        <f>IFERROR(__xludf.DUMMYFUNCTION("""COMPUTED_VALUE"""),"thebeautyway")</f>
        <v>thebeautyway</v>
      </c>
    </row>
    <row r="69">
      <c r="A69" s="18"/>
      <c r="B69" s="18"/>
      <c r="C69" s="18"/>
      <c r="D69" s="18"/>
    </row>
    <row r="70">
      <c r="A70" s="18"/>
      <c r="B70" s="18"/>
      <c r="C70" s="18"/>
      <c r="D70" s="18"/>
    </row>
    <row r="71">
      <c r="A71" s="18" t="str">
        <f>IFERROR(__xludf.DUMMYFUNCTION("""COMPUTED_VALUE"""),"Juankbell#7458")</f>
        <v>Juankbell#7458</v>
      </c>
      <c r="B71" s="18"/>
      <c r="C71" s="18" t="str">
        <f>IFERROR(__xludf.DUMMYFUNCTION("""COMPUTED_VALUE"""),"JuankBell")</f>
        <v>JuankBell</v>
      </c>
      <c r="D71" s="18" t="str">
        <f>IFERROR(__xludf.DUMMYFUNCTION("""COMPUTED_VALUE"""),"JuankBell")</f>
        <v>JuankBell</v>
      </c>
    </row>
    <row r="72">
      <c r="A72" s="18" t="str">
        <f>IFERROR(__xludf.DUMMYFUNCTION("""COMPUTED_VALUE"""),"dexVicente#4828")</f>
        <v>dexVicente#4828</v>
      </c>
      <c r="B72" s="18"/>
      <c r="C72" s="18" t="str">
        <f>IFERROR(__xludf.DUMMYFUNCTION("""COMPUTED_VALUE"""),"JoseVicente1")</f>
        <v>JoseVicente1</v>
      </c>
      <c r="D72" s="18" t="str">
        <f>IFERROR(__xludf.DUMMYFUNCTION("""COMPUTED_VALUE"""),"JoseVicente1")</f>
        <v>JoseVicente1</v>
      </c>
    </row>
    <row r="73">
      <c r="A73" s="18"/>
      <c r="B73" s="18"/>
      <c r="C73" s="18"/>
      <c r="D73" s="18"/>
    </row>
    <row r="74">
      <c r="A74" s="18" t="str">
        <f>IFERROR(__xludf.DUMMYFUNCTION("""COMPUTED_VALUE"""),"BenScholtz#3339")</f>
        <v>BenScholtz#3339</v>
      </c>
      <c r="B74" s="18"/>
      <c r="C74" s="18" t="str">
        <f>IFERROR(__xludf.DUMMYFUNCTION("""COMPUTED_VALUE"""),"BenjaminScholtz")</f>
        <v>BenjaminScholtz</v>
      </c>
      <c r="D74" s="18" t="str">
        <f>IFERROR(__xludf.DUMMYFUNCTION("""COMPUTED_VALUE"""),"BenjaminScholtz")</f>
        <v>BenjaminScholtz</v>
      </c>
    </row>
    <row r="75">
      <c r="A75" s="18"/>
      <c r="B75" s="18"/>
      <c r="C75" s="18" t="str">
        <f>IFERROR(__xludf.DUMMYFUNCTION("""COMPUTED_VALUE"""),"CoachB")</f>
        <v>CoachB</v>
      </c>
      <c r="D75" s="18" t="str">
        <f>IFERROR(__xludf.DUMMYFUNCTION("""COMPUTED_VALUE"""),"CoachB")</f>
        <v>CoachB</v>
      </c>
    </row>
    <row r="76">
      <c r="A76" s="18"/>
      <c r="B76" s="18"/>
      <c r="C76" s="18" t="str">
        <f>IFERROR(__xludf.DUMMYFUNCTION("""COMPUTED_VALUE"""),"betolive")</f>
        <v>betolive</v>
      </c>
      <c r="D76" s="18" t="str">
        <f>IFERROR(__xludf.DUMMYFUNCTION("""COMPUTED_VALUE"""),"betolive")</f>
        <v>betolive</v>
      </c>
    </row>
    <row r="77">
      <c r="A77" s="18"/>
      <c r="B77" s="18"/>
      <c r="C77" s="18"/>
      <c r="D77" s="18"/>
    </row>
    <row r="78">
      <c r="A78" s="18"/>
      <c r="B78" s="18"/>
      <c r="C78" s="18" t="str">
        <f>IFERROR(__xludf.DUMMYFUNCTION("""COMPUTED_VALUE"""),"bierlingm")</f>
        <v>bierlingm</v>
      </c>
      <c r="D78" s="18" t="str">
        <f>IFERROR(__xludf.DUMMYFUNCTION("""COMPUTED_VALUE"""),"bierlingm")</f>
        <v>bierlingm</v>
      </c>
    </row>
    <row r="79">
      <c r="A79" s="18"/>
      <c r="B79" s="18"/>
      <c r="C79" s="18"/>
      <c r="D79" s="18"/>
    </row>
    <row r="80">
      <c r="A80" s="18"/>
      <c r="B80" s="18"/>
      <c r="C80" s="18" t="str">
        <f>IFERROR(__xludf.DUMMYFUNCTION("""COMPUTED_VALUE"""),"bitfwd")</f>
        <v>bitfwd</v>
      </c>
      <c r="D80" s="18" t="str">
        <f>IFERROR(__xludf.DUMMYFUNCTION("""COMPUTED_VALUE"""),"bitfwd")</f>
        <v>bitfwd</v>
      </c>
    </row>
    <row r="81">
      <c r="A81" s="18" t="str">
        <f>IFERROR(__xludf.DUMMYFUNCTION("""COMPUTED_VALUE"""),"bitsikka#8855")</f>
        <v>bitsikka#8855</v>
      </c>
      <c r="B81" s="18"/>
      <c r="C81" s="18" t="str">
        <f>IFERROR(__xludf.DUMMYFUNCTION("""COMPUTED_VALUE"""),"gyalbo")</f>
        <v>gyalbo</v>
      </c>
      <c r="D81" s="18" t="str">
        <f>IFERROR(__xludf.DUMMYFUNCTION("""COMPUTED_VALUE"""),"gyalbo")</f>
        <v>gyalbo</v>
      </c>
    </row>
    <row r="82">
      <c r="A82" s="18" t="str">
        <f>IFERROR(__xludf.DUMMYFUNCTION("""COMPUTED_VALUE"""),"Sparrow 🐙 DADA#2791")</f>
        <v>Sparrow 🐙 DADA#2791</v>
      </c>
      <c r="B82" s="18"/>
      <c r="C82" s="18" t="str">
        <f>IFERROR(__xludf.DUMMYFUNCTION("""COMPUTED_VALUE"""),"blackboxdotart")</f>
        <v>blackboxdotart</v>
      </c>
      <c r="D82" s="18" t="str">
        <f>IFERROR(__xludf.DUMMYFUNCTION("""COMPUTED_VALUE"""),"blackboxdotart")</f>
        <v>blackboxdotart</v>
      </c>
    </row>
    <row r="83">
      <c r="A83" s="18" t="str">
        <f>IFERROR(__xludf.DUMMYFUNCTION("""COMPUTED_VALUE"""),"blairv#2323")</f>
        <v>blairv#2323</v>
      </c>
      <c r="B83" s="18"/>
      <c r="C83" s="18" t="str">
        <f>IFERROR(__xludf.DUMMYFUNCTION("""COMPUTED_VALUE"""),"BlairV")</f>
        <v>BlairV</v>
      </c>
      <c r="D83" s="18" t="str">
        <f>IFERROR(__xludf.DUMMYFUNCTION("""COMPUTED_VALUE"""),"BlairV")</f>
        <v>BlairV</v>
      </c>
    </row>
    <row r="84">
      <c r="A84" s="18"/>
      <c r="B84" s="18"/>
      <c r="C84" s="18"/>
      <c r="D84" s="18"/>
    </row>
    <row r="85">
      <c r="A85" s="18"/>
      <c r="B85" s="18"/>
      <c r="C85" s="18"/>
      <c r="D85" s="18"/>
    </row>
    <row r="86">
      <c r="A86" s="18" t="str">
        <f>IFERROR(__xludf.DUMMYFUNCTION("""COMPUTED_VALUE"""),"James | NEAR#0357")</f>
        <v>James | NEAR#0357</v>
      </c>
      <c r="B86" s="18"/>
      <c r="C86" s="18" t="str">
        <f>IFERROR(__xludf.DUMMYFUNCTION("""COMPUTED_VALUE"""),"jwaup")</f>
        <v>jwaup</v>
      </c>
      <c r="D86" s="18" t="str">
        <f>IFERROR(__xludf.DUMMYFUNCTION("""COMPUTED_VALUE"""),"jwaup")</f>
        <v>jwaup</v>
      </c>
    </row>
    <row r="87">
      <c r="A87" s="18"/>
      <c r="B87" s="18"/>
      <c r="C87" s="18"/>
      <c r="D87" s="18"/>
    </row>
    <row r="88">
      <c r="A88" s="18" t="str">
        <f>IFERROR(__xludf.DUMMYFUNCTION("""COMPUTED_VALUE"""),"Block Enthusiast#4019")</f>
        <v>Block Enthusiast#4019</v>
      </c>
      <c r="B88" s="18"/>
      <c r="C88" s="18" t="str">
        <f>IFERROR(__xludf.DUMMYFUNCTION("""COMPUTED_VALUE"""),"BlockEnthusiast")</f>
        <v>BlockEnthusiast</v>
      </c>
      <c r="D88" s="18" t="str">
        <f>IFERROR(__xludf.DUMMYFUNCTION("""COMPUTED_VALUE"""),"BlockEnthusiast")</f>
        <v>BlockEnthusiast</v>
      </c>
    </row>
    <row r="89">
      <c r="A89" s="18"/>
      <c r="B89" s="18"/>
      <c r="C89" s="18" t="str">
        <f>IFERROR(__xludf.DUMMYFUNCTION("""COMPUTED_VALUE"""),"blogginjesus")</f>
        <v>blogginjesus</v>
      </c>
      <c r="D89" s="18" t="str">
        <f>IFERROR(__xludf.DUMMYFUNCTION("""COMPUTED_VALUE"""),"blogginjesus")</f>
        <v>blogginjesus</v>
      </c>
    </row>
    <row r="90">
      <c r="A90" s="18"/>
      <c r="B90" s="18"/>
      <c r="C90" s="18"/>
      <c r="D90" s="18"/>
    </row>
    <row r="91">
      <c r="A91" s="18" t="str">
        <f>IFERROR(__xludf.DUMMYFUNCTION("""COMPUTED_VALUE"""),"andythegreenie#7463")</f>
        <v>andythegreenie#7463</v>
      </c>
      <c r="B91" s="18"/>
      <c r="C91" s="18"/>
      <c r="D91" s="18"/>
    </row>
    <row r="92">
      <c r="A92" s="18"/>
      <c r="B92" s="18"/>
      <c r="C92" s="18" t="str">
        <f>IFERROR(__xludf.DUMMYFUNCTION("""COMPUTED_VALUE"""),"bowenfeng1")</f>
        <v>bowenfeng1</v>
      </c>
      <c r="D92" s="18" t="str">
        <f>IFERROR(__xludf.DUMMYFUNCTION("""COMPUTED_VALUE"""),"bowenfeng1")</f>
        <v>bowenfeng1</v>
      </c>
    </row>
    <row r="93">
      <c r="A93" s="18" t="str">
        <f>IFERROR(__xludf.DUMMYFUNCTION("""COMPUTED_VALUE"""),"MisterBoyfriend#7096")</f>
        <v>MisterBoyfriend#7096</v>
      </c>
      <c r="B93" s="18" t="str">
        <f>IFERROR(__xludf.DUMMYFUNCTION("""COMPUTED_VALUE"""),"MisterBoyfriend")</f>
        <v>MisterBoyfriend</v>
      </c>
      <c r="C93" s="18" t="str">
        <f>IFERROR(__xludf.DUMMYFUNCTION("""COMPUTED_VALUE"""),"MisterBoyfriend")</f>
        <v>MisterBoyfriend</v>
      </c>
      <c r="D93" s="18" t="str">
        <f>IFERROR(__xludf.DUMMYFUNCTION("""COMPUTED_VALUE"""),"MisterBoyfriend")</f>
        <v>MisterBoyfriend</v>
      </c>
    </row>
    <row r="94">
      <c r="A94" s="18"/>
      <c r="B94" s="18"/>
      <c r="C94" s="18" t="str">
        <f>IFERROR(__xludf.DUMMYFUNCTION("""COMPUTED_VALUE"""),"Bradym")</f>
        <v>Bradym</v>
      </c>
      <c r="D94" s="18" t="str">
        <f>IFERROR(__xludf.DUMMYFUNCTION("""COMPUTED_VALUE"""),"Bradym")</f>
        <v>Bradym</v>
      </c>
    </row>
    <row r="95">
      <c r="A95" s="18"/>
      <c r="B95" s="18"/>
      <c r="C95" s="18"/>
      <c r="D95" s="18"/>
    </row>
    <row r="96">
      <c r="A96" s="18"/>
      <c r="B96" s="18"/>
      <c r="C96" s="18" t="str">
        <f>IFERROR(__xludf.DUMMYFUNCTION("""COMPUTED_VALUE"""),"castall")</f>
        <v>castall</v>
      </c>
      <c r="D96" s="18" t="str">
        <f>IFERROR(__xludf.DUMMYFUNCTION("""COMPUTED_VALUE"""),"castall")</f>
        <v>castall</v>
      </c>
    </row>
    <row r="97">
      <c r="A97" s="18"/>
      <c r="B97" s="18"/>
      <c r="C97" s="18" t="str">
        <f>IFERROR(__xludf.DUMMYFUNCTION("""COMPUTED_VALUE"""),"castall")</f>
        <v>castall</v>
      </c>
      <c r="D97" s="18" t="str">
        <f>IFERROR(__xludf.DUMMYFUNCTION("""COMPUTED_VALUE"""),"castall")</f>
        <v>castall</v>
      </c>
    </row>
    <row r="98">
      <c r="A98" s="18"/>
      <c r="B98" s="18"/>
      <c r="C98" s="18"/>
      <c r="D98" s="18"/>
    </row>
    <row r="99">
      <c r="A99" s="18"/>
      <c r="B99" s="18"/>
      <c r="C99" s="18" t="str">
        <f>IFERROR(__xludf.DUMMYFUNCTION("""COMPUTED_VALUE"""),"brunoahualli")</f>
        <v>brunoahualli</v>
      </c>
      <c r="D99" s="18"/>
    </row>
    <row r="100">
      <c r="A100" s="18"/>
      <c r="B100" s="18"/>
      <c r="C100" s="18"/>
      <c r="D100" s="18"/>
    </row>
    <row r="101">
      <c r="A101" s="18" t="str">
        <f>IFERROR(__xludf.DUMMYFUNCTION("""COMPUTED_VALUE"""),"Adam Stallard#5971")</f>
        <v>Adam Stallard#5971</v>
      </c>
      <c r="B101" s="18" t="str">
        <f>IFERROR(__xludf.DUMMYFUNCTION("""COMPUTED_VALUE"""),"Adam Stallard")</f>
        <v>Adam Stallard</v>
      </c>
      <c r="C101" s="18" t="str">
        <f>IFERROR(__xludf.DUMMYFUNCTION("""COMPUTED_VALUE"""),"castall")</f>
        <v>castall</v>
      </c>
      <c r="D101" s="18" t="str">
        <f>IFERROR(__xludf.DUMMYFUNCTION("""COMPUTED_VALUE"""),"castall")</f>
        <v>castall</v>
      </c>
    </row>
    <row r="102">
      <c r="A102" s="18"/>
      <c r="B102" s="18"/>
      <c r="C102" s="18"/>
      <c r="D102" s="18"/>
    </row>
    <row r="103">
      <c r="A103" s="18"/>
      <c r="B103" s="18"/>
      <c r="C103" s="18" t="str">
        <f>IFERROR(__xludf.DUMMYFUNCTION("""COMPUTED_VALUE"""),"sergei_tran")</f>
        <v>sergei_tran</v>
      </c>
      <c r="D103" s="18" t="str">
        <f>IFERROR(__xludf.DUMMYFUNCTION("""COMPUTED_VALUE"""),"sergei_tran")</f>
        <v>sergei_tran</v>
      </c>
    </row>
    <row r="104">
      <c r="A104" s="18"/>
      <c r="B104" s="18"/>
      <c r="C104" s="18" t="str">
        <f>IFERROR(__xludf.DUMMYFUNCTION("""COMPUTED_VALUE"""),"rubenrussel7")</f>
        <v>rubenrussel7</v>
      </c>
      <c r="D104" s="18" t="str">
        <f>IFERROR(__xludf.DUMMYFUNCTION("""COMPUTED_VALUE"""),"rubenrussel7")</f>
        <v>rubenrussel7</v>
      </c>
    </row>
    <row r="105">
      <c r="A105" s="18"/>
      <c r="B105" s="18"/>
      <c r="C105" s="18" t="str">
        <f>IFERROR(__xludf.DUMMYFUNCTION("""COMPUTED_VALUE"""),"carlfarterson")</f>
        <v>carlfarterson</v>
      </c>
      <c r="D105" s="18" t="str">
        <f>IFERROR(__xludf.DUMMYFUNCTION("""COMPUTED_VALUE"""),"carlfarterson")</f>
        <v>carlfarterson</v>
      </c>
    </row>
    <row r="106">
      <c r="A106" s="18"/>
      <c r="B106" s="18"/>
      <c r="C106" s="18"/>
      <c r="D106" s="18"/>
    </row>
    <row r="107">
      <c r="A107" s="18"/>
      <c r="B107" s="18"/>
      <c r="C107" s="18" t="str">
        <f>IFERROR(__xludf.DUMMYFUNCTION("""COMPUTED_VALUE"""),"Gfriis")</f>
        <v>Gfriis</v>
      </c>
      <c r="D107" s="18" t="str">
        <f>IFERROR(__xludf.DUMMYFUNCTION("""COMPUTED_VALUE"""),"Gfriis")</f>
        <v>Gfriis</v>
      </c>
    </row>
    <row r="108">
      <c r="A108" s="18"/>
      <c r="B108" s="18"/>
      <c r="C108" s="18"/>
      <c r="D108" s="18"/>
    </row>
    <row r="109">
      <c r="A109" s="18"/>
      <c r="B109" s="18"/>
      <c r="C109" s="18" t="str">
        <f>IFERROR(__xludf.DUMMYFUNCTION("""COMPUTED_VALUE"""),"cemfd")</f>
        <v>cemfd</v>
      </c>
      <c r="D109" s="18" t="str">
        <f>IFERROR(__xludf.DUMMYFUNCTION("""COMPUTED_VALUE"""),"cemfd")</f>
        <v>cemfd</v>
      </c>
    </row>
    <row r="110">
      <c r="A110" s="18"/>
      <c r="B110" s="18"/>
      <c r="C110" s="18"/>
      <c r="D110" s="18"/>
    </row>
    <row r="111">
      <c r="A111" s="18"/>
      <c r="B111" s="18"/>
      <c r="C111" s="18"/>
      <c r="D111" s="18"/>
    </row>
    <row r="112">
      <c r="A112" s="18"/>
      <c r="B112" s="18"/>
      <c r="C112" s="18"/>
      <c r="D112" s="18"/>
    </row>
    <row r="113">
      <c r="A113" s="18"/>
      <c r="B113" s="18"/>
      <c r="C113" s="18"/>
      <c r="D113" s="18"/>
    </row>
    <row r="114">
      <c r="A114" s="18" t="str">
        <f>IFERROR(__xludf.DUMMYFUNCTION("""COMPUTED_VALUE"""),"chuygarcia92🐝#6692")</f>
        <v>chuygarcia92🐝#6692</v>
      </c>
      <c r="B114" s="18"/>
      <c r="C114" s="18" t="str">
        <f>IFERROR(__xludf.DUMMYFUNCTION("""COMPUTED_VALUE"""),"chuygarcia92")</f>
        <v>chuygarcia92</v>
      </c>
      <c r="D114" s="18" t="str">
        <f>IFERROR(__xludf.DUMMYFUNCTION("""COMPUTED_VALUE"""),"chuygarcia92")</f>
        <v>chuygarcia92</v>
      </c>
    </row>
    <row r="115">
      <c r="A115" s="18"/>
      <c r="B115" s="18"/>
      <c r="C115" s="18"/>
      <c r="D115" s="18"/>
    </row>
    <row r="116">
      <c r="A116" s="18"/>
      <c r="B116" s="18"/>
      <c r="C116" s="18"/>
      <c r="D116" s="18"/>
    </row>
    <row r="117">
      <c r="A117" s="18" t="str">
        <f>IFERROR(__xludf.DUMMYFUNCTION("""COMPUTED_VALUE"""),"CJ_33Logic#3171")</f>
        <v>CJ_33Logic#3171</v>
      </c>
      <c r="B117" s="18"/>
      <c r="C117" s="18"/>
      <c r="D117" s="18" t="str">
        <f>IFERROR(__xludf.DUMMYFUNCTION("""COMPUTED_VALUE"""),"CJ_33Logic#3171")</f>
        <v>CJ_33Logic#3171</v>
      </c>
    </row>
    <row r="118">
      <c r="A118" s="18"/>
      <c r="B118" s="18"/>
      <c r="C118" s="18"/>
      <c r="D118" s="18"/>
    </row>
    <row r="119">
      <c r="A119" s="18"/>
      <c r="B119" s="18"/>
      <c r="C119" s="18" t="str">
        <f>IFERROR(__xludf.DUMMYFUNCTION("""COMPUTED_VALUE"""),"CleanApp")</f>
        <v>CleanApp</v>
      </c>
      <c r="D119" s="18" t="str">
        <f>IFERROR(__xludf.DUMMYFUNCTION("""COMPUTED_VALUE"""),"CleanApp")</f>
        <v>CleanApp</v>
      </c>
    </row>
    <row r="120">
      <c r="A120" s="18"/>
      <c r="B120" s="18"/>
      <c r="C120" s="18"/>
      <c r="D120" s="18"/>
    </row>
    <row r="121">
      <c r="A121" s="18"/>
      <c r="B121" s="18"/>
      <c r="C121" s="18"/>
      <c r="D121" s="18"/>
    </row>
    <row r="122">
      <c r="A122" s="18"/>
      <c r="B122" s="18"/>
      <c r="C122" s="18"/>
      <c r="D122" s="18"/>
    </row>
    <row r="123">
      <c r="A123" s="18"/>
      <c r="B123" s="18"/>
      <c r="C123" s="18"/>
      <c r="D123" s="18"/>
    </row>
    <row r="124">
      <c r="A124" s="18"/>
      <c r="B124" s="18"/>
      <c r="C124" s="18"/>
      <c r="D124" s="18"/>
    </row>
    <row r="125">
      <c r="A125" s="18" t="str">
        <f>IFERROR(__xludf.DUMMYFUNCTION("""COMPUTED_VALUE"""),"CMD Burrito#2759")</f>
        <v>CMD Burrito#2759</v>
      </c>
      <c r="B125" s="18"/>
      <c r="C125" s="18" t="str">
        <f>IFERROR(__xludf.DUMMYFUNCTION("""COMPUTED_VALUE"""),"ComandoBurrito")</f>
        <v>ComandoBurrito</v>
      </c>
      <c r="D125" s="18" t="str">
        <f>IFERROR(__xludf.DUMMYFUNCTION("""COMPUTED_VALUE"""),"ComandoBurrito")</f>
        <v>ComandoBurrito</v>
      </c>
    </row>
    <row r="126">
      <c r="A126" s="18" t="str">
        <f>IFERROR(__xludf.DUMMYFUNCTION("""COMPUTED_VALUE"""),"HazardJ#9101")</f>
        <v>HazardJ#9101</v>
      </c>
      <c r="B126" s="18"/>
      <c r="C126" s="18"/>
      <c r="D126" s="18" t="str">
        <f>IFERROR(__xludf.DUMMYFUNCTION("""COMPUTED_VALUE"""),"HazardJ#9101")</f>
        <v>HazardJ#9101</v>
      </c>
    </row>
    <row r="127">
      <c r="A127" s="18"/>
      <c r="B127" s="18"/>
      <c r="C127" s="18"/>
      <c r="D127" s="18"/>
    </row>
    <row r="128">
      <c r="A128" s="18"/>
      <c r="B128" s="18"/>
      <c r="C128" s="18"/>
      <c r="D128" s="18"/>
    </row>
    <row r="129">
      <c r="A129" s="18"/>
      <c r="B129" s="18"/>
      <c r="C129" s="18"/>
      <c r="D129" s="18"/>
    </row>
    <row r="130">
      <c r="A130" s="18"/>
      <c r="B130" s="18"/>
      <c r="C130" s="18"/>
      <c r="D130" s="18"/>
    </row>
    <row r="131">
      <c r="A131" s="18"/>
      <c r="B131" s="18"/>
      <c r="C131" s="18" t="str">
        <f>IFERROR(__xludf.DUMMYFUNCTION("""COMPUTED_VALUE"""),"coopahtroopanew")</f>
        <v>coopahtroopanew</v>
      </c>
      <c r="D131" s="18" t="str">
        <f>IFERROR(__xludf.DUMMYFUNCTION("""COMPUTED_VALUE"""),"coopahtroopanew")</f>
        <v>coopahtroopanew</v>
      </c>
    </row>
    <row r="132">
      <c r="A132" s="18"/>
      <c r="B132" s="18"/>
      <c r="C132" s="18"/>
      <c r="D132" s="18"/>
    </row>
    <row r="133">
      <c r="A133" s="18"/>
      <c r="B133" s="18"/>
      <c r="C133" s="18"/>
      <c r="D133" s="18"/>
    </row>
    <row r="134">
      <c r="A134" s="18"/>
      <c r="B134" s="18"/>
      <c r="C134" s="18"/>
      <c r="D134" s="18"/>
    </row>
    <row r="135">
      <c r="A135" s="18"/>
      <c r="B135" s="18"/>
      <c r="C135" s="18"/>
      <c r="D135" s="18"/>
    </row>
    <row r="136">
      <c r="A136" s="18"/>
      <c r="B136" s="18"/>
      <c r="C136" s="18"/>
      <c r="D136" s="18"/>
    </row>
    <row r="137">
      <c r="A137" s="18" t="str">
        <f>IFERROR(__xludf.DUMMYFUNCTION("""COMPUTED_VALUE"""),"AmwFund#0979")</f>
        <v>AmwFund#0979</v>
      </c>
      <c r="B137" s="18" t="str">
        <f>IFERROR(__xludf.DUMMYFUNCTION("""COMPUTED_VALUE"""),"Craig")</f>
        <v>Craig</v>
      </c>
      <c r="C137" s="18" t="str">
        <f>IFERROR(__xludf.DUMMYFUNCTION("""COMPUTED_VALUE"""),"cranders71")</f>
        <v>cranders71</v>
      </c>
      <c r="D137" s="18" t="str">
        <f>IFERROR(__xludf.DUMMYFUNCTION("""COMPUTED_VALUE"""),"cranders71")</f>
        <v>cranders71</v>
      </c>
    </row>
    <row r="138">
      <c r="A138" s="18" t="str">
        <f>IFERROR(__xludf.DUMMYFUNCTION("""COMPUTED_VALUE"""),"Crazy Kay#0224")</f>
        <v>Crazy Kay#0224</v>
      </c>
      <c r="B138" s="18"/>
      <c r="C138" s="18"/>
      <c r="D138" s="18" t="str">
        <f>IFERROR(__xludf.DUMMYFUNCTION("""COMPUTED_VALUE"""),"Crazy Kay#0224")</f>
        <v>Crazy Kay#0224</v>
      </c>
    </row>
    <row r="139">
      <c r="A139" s="18"/>
      <c r="B139" s="18"/>
      <c r="C139" s="18" t="str">
        <f>IFERROR(__xludf.DUMMYFUNCTION("""COMPUTED_VALUE"""),"crypt0dawg")</f>
        <v>crypt0dawg</v>
      </c>
      <c r="D139" s="18" t="str">
        <f>IFERROR(__xludf.DUMMYFUNCTION("""COMPUTED_VALUE"""),"crypt0dawg")</f>
        <v>crypt0dawg</v>
      </c>
    </row>
    <row r="140">
      <c r="A140" s="18"/>
      <c r="B140" s="18"/>
      <c r="C140" s="18"/>
      <c r="D140" s="18"/>
    </row>
    <row r="141">
      <c r="A141" s="18"/>
      <c r="B141" s="18"/>
      <c r="C141" s="18"/>
      <c r="D141" s="18"/>
    </row>
    <row r="142">
      <c r="A142" s="18"/>
      <c r="B142" s="18"/>
      <c r="C142" s="18"/>
      <c r="D142" s="18"/>
    </row>
    <row r="143">
      <c r="A143" s="18"/>
      <c r="B143" s="18"/>
      <c r="C143" s="18"/>
      <c r="D143" s="18"/>
    </row>
    <row r="144">
      <c r="A144" s="18"/>
      <c r="B144" s="18"/>
      <c r="C144" s="18"/>
      <c r="D144" s="18"/>
    </row>
    <row r="145">
      <c r="A145" s="18"/>
      <c r="B145" s="18"/>
      <c r="C145" s="18"/>
      <c r="D145" s="18"/>
    </row>
    <row r="146">
      <c r="A146" s="18"/>
      <c r="B146" s="18"/>
      <c r="C146" s="18"/>
      <c r="D146" s="18"/>
    </row>
    <row r="147">
      <c r="A147" s="18"/>
      <c r="B147" s="18"/>
      <c r="C147" s="18"/>
      <c r="D147" s="18"/>
    </row>
    <row r="148">
      <c r="A148" s="18"/>
      <c r="B148" s="18"/>
      <c r="C148" s="18" t="str">
        <f>IFERROR(__xludf.DUMMYFUNCTION("""COMPUTED_VALUE"""),"tunoncedemalis")</f>
        <v>tunoncedemalis</v>
      </c>
      <c r="D148" s="18" t="str">
        <f>IFERROR(__xludf.DUMMYFUNCTION("""COMPUTED_VALUE"""),"tunoncedemalis")</f>
        <v>tunoncedemalis</v>
      </c>
    </row>
    <row r="149">
      <c r="A149" s="18"/>
      <c r="B149" s="18"/>
      <c r="C149" s="18" t="str">
        <f>IFERROR(__xludf.DUMMYFUNCTION("""COMPUTED_VALUE"""),"CryptononymousEconomist")</f>
        <v>CryptononymousEconomist</v>
      </c>
      <c r="D149" s="18"/>
    </row>
    <row r="150">
      <c r="A150" s="18"/>
      <c r="B150" s="18"/>
      <c r="C150" s="18"/>
      <c r="D150" s="18"/>
    </row>
    <row r="151">
      <c r="A151" s="18"/>
      <c r="B151" s="18"/>
      <c r="C151" s="18" t="str">
        <f>IFERROR(__xludf.DUMMYFUNCTION("""COMPUTED_VALUE"""),"cryptoscamdb ")</f>
        <v>cryptoscamdb </v>
      </c>
      <c r="D151" s="18" t="str">
        <f>IFERROR(__xludf.DUMMYFUNCTION("""COMPUTED_VALUE"""),"cryptoscamdb ")</f>
        <v>cryptoscamdb </v>
      </c>
    </row>
    <row r="152">
      <c r="A152" s="18" t="str">
        <f>IFERROR(__xludf.DUMMYFUNCTION("""COMPUTED_VALUE"""),"Tonga#3112")</f>
        <v>Tonga#3112</v>
      </c>
      <c r="B152" s="18"/>
      <c r="C152" s="18" t="str">
        <f>IFERROR(__xludf.DUMMYFUNCTION("""COMPUTED_VALUE"""),"Tonga2020")</f>
        <v>Tonga2020</v>
      </c>
      <c r="D152" s="18" t="str">
        <f>IFERROR(__xludf.DUMMYFUNCTION("""COMPUTED_VALUE"""),"Tonga2020")</f>
        <v>Tonga2020</v>
      </c>
    </row>
    <row r="153">
      <c r="A153" s="18"/>
      <c r="B153" s="18"/>
      <c r="C153" s="18"/>
      <c r="D153" s="18"/>
    </row>
    <row r="154">
      <c r="A154" s="18"/>
      <c r="B154" s="18"/>
      <c r="C154" s="18" t="str">
        <f>IFERROR(__xludf.DUMMYFUNCTION("""COMPUTED_VALUE"""),"csageland")</f>
        <v>csageland</v>
      </c>
      <c r="D154" s="18" t="str">
        <f>IFERROR(__xludf.DUMMYFUNCTION("""COMPUTED_VALUE"""),"csageland")</f>
        <v>csageland</v>
      </c>
    </row>
    <row r="155">
      <c r="A155" s="18"/>
      <c r="B155" s="18"/>
      <c r="C155" s="18"/>
      <c r="D155" s="18"/>
    </row>
    <row r="156">
      <c r="A156" s="18"/>
      <c r="B156" s="18"/>
      <c r="C156" s="18"/>
      <c r="D156" s="18"/>
    </row>
    <row r="157">
      <c r="A157" s="18"/>
      <c r="B157" s="18"/>
      <c r="C157" s="18" t="str">
        <f>IFERROR(__xludf.DUMMYFUNCTION("""COMPUTED_VALUE"""),"crypt0dawg")</f>
        <v>crypt0dawg</v>
      </c>
      <c r="D157" s="18" t="str">
        <f>IFERROR(__xludf.DUMMYFUNCTION("""COMPUTED_VALUE"""),"crypt0dawg")</f>
        <v>crypt0dawg</v>
      </c>
    </row>
    <row r="158">
      <c r="A158" s="18"/>
      <c r="B158" s="18"/>
      <c r="C158" s="18" t="str">
        <f>IFERROR(__xludf.DUMMYFUNCTION("""COMPUTED_VALUE"""),"(dadabit)")</f>
        <v>(dadabit)</v>
      </c>
      <c r="D158" s="18" t="str">
        <f>IFERROR(__xludf.DUMMYFUNCTION("""COMPUTED_VALUE"""),"(dadabit)")</f>
        <v>(dadabit)</v>
      </c>
    </row>
    <row r="159">
      <c r="A159" s="18" t="str">
        <f>IFERROR(__xludf.DUMMYFUNCTION("""COMPUTED_VALUE"""),"Nelson DaLN#0173")</f>
        <v>Nelson DaLN#0173</v>
      </c>
      <c r="B159" s="18" t="str">
        <f>IFERROR(__xludf.DUMMYFUNCTION("""COMPUTED_VALUE"""),"Nelson DaLN")</f>
        <v>Nelson DaLN</v>
      </c>
      <c r="C159" s="18" t="str">
        <f>IFERROR(__xludf.DUMMYFUNCTION("""COMPUTED_VALUE"""),"nelsonm")</f>
        <v>nelsonm</v>
      </c>
      <c r="D159" s="18" t="str">
        <f>IFERROR(__xludf.DUMMYFUNCTION("""COMPUTED_VALUE"""),"nelsonm")</f>
        <v>nelsonm</v>
      </c>
    </row>
    <row r="160">
      <c r="A160" s="18"/>
      <c r="B160" s="18"/>
      <c r="C160" s="18"/>
      <c r="D160" s="18"/>
    </row>
    <row r="161">
      <c r="A161" s="18" t="str">
        <f>IFERROR(__xludf.DUMMYFUNCTION("""COMPUTED_VALUE"""),"danielo#2815")</f>
        <v>danielo#2815</v>
      </c>
      <c r="B161" s="18"/>
      <c r="C161" s="18" t="str">
        <f>IFERROR(__xludf.DUMMYFUNCTION("""COMPUTED_VALUE"""),"danlessa")</f>
        <v>danlessa</v>
      </c>
      <c r="D161" s="18" t="str">
        <f>IFERROR(__xludf.DUMMYFUNCTION("""COMPUTED_VALUE"""),"danlessa")</f>
        <v>danlessa</v>
      </c>
    </row>
    <row r="162">
      <c r="A162" s="18"/>
      <c r="B162" s="18"/>
      <c r="C162" s="18"/>
      <c r="D162" s="18"/>
    </row>
    <row r="163">
      <c r="A163" s="18"/>
      <c r="B163" s="18"/>
      <c r="C163" s="18" t="str">
        <f>IFERROR(__xludf.DUMMYFUNCTION("""COMPUTED_VALUE"""),"Elementarycomplexity")</f>
        <v>Elementarycomplexity</v>
      </c>
      <c r="D163" s="18" t="str">
        <f>IFERROR(__xludf.DUMMYFUNCTION("""COMPUTED_VALUE"""),"Elementarycomplexity")</f>
        <v>Elementarycomplexity</v>
      </c>
    </row>
    <row r="164">
      <c r="A164" s="18"/>
      <c r="B164" s="18"/>
      <c r="C164" s="18" t="str">
        <f>IFERROR(__xludf.DUMMYFUNCTION("""COMPUTED_VALUE"""),"DAO_Research ")</f>
        <v>DAO_Research </v>
      </c>
      <c r="D164" s="18" t="str">
        <f>IFERROR(__xludf.DUMMYFUNCTION("""COMPUTED_VALUE"""),"DAO_Research ")</f>
        <v>DAO_Research </v>
      </c>
    </row>
    <row r="165">
      <c r="A165" s="18"/>
      <c r="B165" s="18"/>
      <c r="C165" s="18" t="str">
        <f>IFERROR(__xludf.DUMMYFUNCTION("""COMPUTED_VALUE"""),"niranb")</f>
        <v>niranb</v>
      </c>
      <c r="D165" s="18" t="str">
        <f>IFERROR(__xludf.DUMMYFUNCTION("""COMPUTED_VALUE"""),"niranb")</f>
        <v>niranb</v>
      </c>
    </row>
    <row r="166">
      <c r="A166" s="18"/>
      <c r="B166" s="18"/>
      <c r="C166" s="18" t="str">
        <f>IFERROR(__xludf.DUMMYFUNCTION("""COMPUTED_VALUE"""),"dappnode")</f>
        <v>dappnode</v>
      </c>
      <c r="D166" s="18" t="str">
        <f>IFERROR(__xludf.DUMMYFUNCTION("""COMPUTED_VALUE"""),"dappnode")</f>
        <v>dappnode</v>
      </c>
    </row>
    <row r="167">
      <c r="A167" s="18"/>
      <c r="B167" s="18"/>
      <c r="C167" s="18"/>
      <c r="D167" s="18"/>
    </row>
    <row r="168">
      <c r="A168" s="18" t="str">
        <f>IFERROR(__xludf.DUMMYFUNCTION("""COMPUTED_VALUE"""),"ddan#2489")</f>
        <v>ddan#2489</v>
      </c>
      <c r="B168" s="18"/>
      <c r="C168" s="18" t="str">
        <f>IFERROR(__xludf.DUMMYFUNCTION("""COMPUTED_VALUE"""),"ddan22")</f>
        <v>ddan22</v>
      </c>
      <c r="D168" s="18" t="str">
        <f>IFERROR(__xludf.DUMMYFUNCTION("""COMPUTED_VALUE"""),"ddan#2489")</f>
        <v>ddan#2489</v>
      </c>
    </row>
    <row r="169">
      <c r="A169" s="18" t="str">
        <f>IFERROR(__xludf.DUMMYFUNCTION("""COMPUTED_VALUE"""),"dandigitally#2489")</f>
        <v>dandigitally#2489</v>
      </c>
      <c r="B169" s="18"/>
      <c r="C169" s="18" t="str">
        <f>IFERROR(__xludf.DUMMYFUNCTION("""COMPUTED_VALUE"""),"ddan22")</f>
        <v>ddan22</v>
      </c>
      <c r="D169" s="18" t="str">
        <f>IFERROR(__xludf.DUMMYFUNCTION("""COMPUTED_VALUE"""),"ddan#2489")</f>
        <v>ddan#2489</v>
      </c>
    </row>
    <row r="170">
      <c r="A170" s="18"/>
      <c r="B170" s="18"/>
      <c r="C170" s="18" t="str">
        <f>IFERROR(__xludf.DUMMYFUNCTION("""COMPUTED_VALUE"""),"dazuck")</f>
        <v>dazuck</v>
      </c>
      <c r="D170" s="18" t="str">
        <f>IFERROR(__xludf.DUMMYFUNCTION("""COMPUTED_VALUE"""),"dazuck")</f>
        <v>dazuck</v>
      </c>
    </row>
    <row r="171">
      <c r="A171" s="18"/>
      <c r="B171" s="18"/>
      <c r="C171" s="18"/>
      <c r="D171" s="18"/>
    </row>
    <row r="172">
      <c r="A172" s="18"/>
      <c r="B172" s="18"/>
      <c r="C172" s="18"/>
      <c r="D172" s="18"/>
    </row>
    <row r="173">
      <c r="A173" s="18" t="str">
        <f>IFERROR(__xludf.DUMMYFUNCTION("""COMPUTED_VALUE"""),"Deepcryptodive#1044")</f>
        <v>Deepcryptodive#1044</v>
      </c>
      <c r="B173" s="18" t="str">
        <f>IFERROR(__xludf.DUMMYFUNCTION("""COMPUTED_VALUE"""),"Deepcryptodive")</f>
        <v>Deepcryptodive</v>
      </c>
      <c r="C173" s="18" t="str">
        <f>IFERROR(__xludf.DUMMYFUNCTION("""COMPUTED_VALUE"""),"deepcryptodive")</f>
        <v>deepcryptodive</v>
      </c>
      <c r="D173" s="18" t="str">
        <f>IFERROR(__xludf.DUMMYFUNCTION("""COMPUTED_VALUE"""),"deepcryptodive")</f>
        <v>deepcryptodive</v>
      </c>
    </row>
    <row r="174">
      <c r="A174" s="18"/>
      <c r="B174" s="18"/>
      <c r="C174" s="18" t="str">
        <f>IFERROR(__xludf.DUMMYFUNCTION("""COMPUTED_VALUE"""),"eeeit")</f>
        <v>eeeit</v>
      </c>
      <c r="D174" s="18" t="str">
        <f>IFERROR(__xludf.DUMMYFUNCTION("""COMPUTED_VALUE"""),"eeeit")</f>
        <v>eeeit</v>
      </c>
    </row>
    <row r="175">
      <c r="A175" s="18"/>
      <c r="B175" s="18"/>
      <c r="C175" s="18"/>
      <c r="D175" s="18"/>
    </row>
    <row r="176">
      <c r="A176" s="18"/>
      <c r="B176" s="18"/>
      <c r="C176" s="18"/>
      <c r="D176" s="18"/>
    </row>
    <row r="177">
      <c r="A177" s="18"/>
      <c r="B177" s="18"/>
      <c r="C177" s="18" t="str">
        <f>IFERROR(__xludf.DUMMYFUNCTION("""COMPUTED_VALUE"""),"DekRekt")</f>
        <v>DekRekt</v>
      </c>
      <c r="D177" s="18" t="str">
        <f>IFERROR(__xludf.DUMMYFUNCTION("""COMPUTED_VALUE"""),"DekRekt")</f>
        <v>DekRekt</v>
      </c>
    </row>
    <row r="178">
      <c r="A178" s="18"/>
      <c r="B178" s="18"/>
      <c r="C178" s="18"/>
      <c r="D178" s="18"/>
    </row>
    <row r="179">
      <c r="A179" s="18"/>
      <c r="B179" s="18"/>
      <c r="C179" s="18"/>
      <c r="D179" s="18"/>
    </row>
    <row r="180">
      <c r="A180" s="18"/>
      <c r="B180" s="18"/>
      <c r="C180" s="18"/>
      <c r="D180" s="18"/>
    </row>
    <row r="181">
      <c r="A181" s="18"/>
      <c r="B181" s="18"/>
      <c r="C181" s="18"/>
      <c r="D181" s="18"/>
    </row>
    <row r="182">
      <c r="A182" s="18"/>
      <c r="B182" s="18"/>
      <c r="C182" s="18"/>
      <c r="D182" s="18"/>
    </row>
    <row r="183">
      <c r="A183" s="18"/>
      <c r="B183" s="18"/>
      <c r="C183" s="18" t="str">
        <f>IFERROR(__xludf.DUMMYFUNCTION("""COMPUTED_VALUE"""),"maxsemenchuk ")</f>
        <v>maxsemenchuk </v>
      </c>
      <c r="D183" s="18" t="str">
        <f>IFERROR(__xludf.DUMMYFUNCTION("""COMPUTED_VALUE"""),"maxsemenchuk ")</f>
        <v>maxsemenchuk </v>
      </c>
    </row>
    <row r="184">
      <c r="A184" s="18"/>
      <c r="B184" s="18"/>
      <c r="C184" s="18"/>
      <c r="D184" s="18"/>
    </row>
    <row r="185">
      <c r="A185" s="18"/>
      <c r="B185" s="18"/>
      <c r="C185" s="18"/>
      <c r="D185" s="18"/>
    </row>
    <row r="186">
      <c r="A186" s="18"/>
      <c r="B186" s="18"/>
      <c r="C186" s="18"/>
      <c r="D186" s="18"/>
    </row>
    <row r="187">
      <c r="A187" s="18"/>
      <c r="B187" s="18"/>
      <c r="C187" s="18"/>
      <c r="D187" s="18"/>
    </row>
    <row r="188">
      <c r="A188" s="18"/>
      <c r="B188" s="18"/>
      <c r="C188" s="18"/>
      <c r="D188" s="18"/>
    </row>
    <row r="189">
      <c r="A189" s="18"/>
      <c r="B189" s="18"/>
      <c r="C189" s="18"/>
      <c r="D189" s="18"/>
    </row>
    <row r="190">
      <c r="A190" s="18"/>
      <c r="B190" s="18"/>
      <c r="C190" s="18" t="str">
        <f>IFERROR(__xludf.DUMMYFUNCTION("""COMPUTED_VALUE"""),"dizzypaty")</f>
        <v>dizzypaty</v>
      </c>
      <c r="D190" s="18" t="str">
        <f>IFERROR(__xludf.DUMMYFUNCTION("""COMPUTED_VALUE"""),"dizzypaty")</f>
        <v>dizzypaty</v>
      </c>
    </row>
    <row r="191">
      <c r="A191" s="18"/>
      <c r="B191" s="18"/>
      <c r="C191" s="18"/>
      <c r="D191" s="18"/>
    </row>
    <row r="192">
      <c r="A192" s="18"/>
      <c r="B192" s="18"/>
      <c r="C192" s="18"/>
      <c r="D192" s="18"/>
    </row>
    <row r="193">
      <c r="A193" s="18"/>
      <c r="B193" s="18"/>
      <c r="C193" s="18"/>
      <c r="D193" s="18"/>
    </row>
    <row r="194">
      <c r="A194" s="18"/>
      <c r="B194" s="18"/>
      <c r="C194" s="18"/>
      <c r="D194" s="18"/>
    </row>
    <row r="195">
      <c r="A195" s="18"/>
      <c r="B195" s="18"/>
      <c r="C195" s="18"/>
      <c r="D195" s="18"/>
    </row>
    <row r="196">
      <c r="A196" s="18"/>
      <c r="B196" s="18"/>
      <c r="C196" s="18"/>
      <c r="D196" s="18"/>
    </row>
    <row r="197">
      <c r="A197" s="18" t="str">
        <f>IFERROR(__xludf.DUMMYFUNCTION("""COMPUTED_VALUE"""),"Felipe Duarte#8100")</f>
        <v>Felipe Duarte#8100</v>
      </c>
      <c r="B197" s="18"/>
      <c r="C197" s="18" t="str">
        <f>IFERROR(__xludf.DUMMYFUNCTION("""COMPUTED_VALUE"""),"Elementarycomplexity")</f>
        <v>Elementarycomplexity</v>
      </c>
      <c r="D197" s="18" t="str">
        <f>IFERROR(__xludf.DUMMYFUNCTION("""COMPUTED_VALUE"""),"Elementarycomplexity")</f>
        <v>Elementarycomplexity</v>
      </c>
    </row>
    <row r="198">
      <c r="A198" s="18"/>
      <c r="B198" s="18"/>
      <c r="C198" s="18"/>
      <c r="D198" s="18"/>
    </row>
    <row r="199">
      <c r="A199" s="18"/>
      <c r="B199" s="18"/>
      <c r="C199" s="18"/>
      <c r="D199" s="18"/>
    </row>
    <row r="200">
      <c r="A200" s="18"/>
      <c r="B200" s="18"/>
      <c r="C200" s="18" t="str">
        <f>IFERROR(__xludf.DUMMYFUNCTION("""COMPUTED_VALUE"""),"edendh")</f>
        <v>edendh</v>
      </c>
      <c r="D200" s="18" t="str">
        <f>IFERROR(__xludf.DUMMYFUNCTION("""COMPUTED_VALUE"""),"edendh")</f>
        <v>edendh</v>
      </c>
    </row>
    <row r="201">
      <c r="A201" s="18"/>
      <c r="B201" s="18"/>
      <c r="C201" s="18"/>
      <c r="D201" s="18"/>
    </row>
    <row r="202">
      <c r="A202" s="18"/>
      <c r="B202" s="18"/>
      <c r="C202" s="18" t="str">
        <f>IFERROR(__xludf.DUMMYFUNCTION("""COMPUTED_VALUE"""),"eduadiez")</f>
        <v>eduadiez</v>
      </c>
      <c r="D202" s="18" t="str">
        <f>IFERROR(__xludf.DUMMYFUNCTION("""COMPUTED_VALUE"""),"eduadiez")</f>
        <v>eduadiez</v>
      </c>
    </row>
    <row r="203">
      <c r="A203" s="18"/>
      <c r="B203" s="18"/>
      <c r="C203" s="18"/>
      <c r="D203" s="18"/>
    </row>
    <row r="204">
      <c r="A204" s="18"/>
      <c r="B204" s="18"/>
      <c r="C204" s="18"/>
      <c r="D204" s="18"/>
    </row>
    <row r="205">
      <c r="A205" s="18" t="str">
        <f>IFERROR(__xludf.DUMMYFUNCTION("""COMPUTED_VALUE"""),"solsista#5370")</f>
        <v>solsista#5370</v>
      </c>
      <c r="B205" s="18" t="str">
        <f>IFERROR(__xludf.DUMMYFUNCTION("""COMPUTED_VALUE"""),"solsista")</f>
        <v>solsista</v>
      </c>
      <c r="C205" s="18" t="str">
        <f>IFERROR(__xludf.DUMMYFUNCTION("""COMPUTED_VALUE"""),"solsista")</f>
        <v>solsista</v>
      </c>
      <c r="D205" s="18" t="str">
        <f>IFERROR(__xludf.DUMMYFUNCTION("""COMPUTED_VALUE"""),"solsista")</f>
        <v>solsista</v>
      </c>
    </row>
    <row r="206">
      <c r="A206" s="18"/>
      <c r="B206" s="18"/>
      <c r="C206" s="18"/>
      <c r="D206" s="18"/>
    </row>
    <row r="207">
      <c r="A207" s="18"/>
      <c r="B207" s="18"/>
      <c r="C207" s="18"/>
      <c r="D207" s="18"/>
    </row>
    <row r="208">
      <c r="A208" s="18"/>
      <c r="B208" s="18"/>
      <c r="C208" s="18"/>
      <c r="D208" s="18"/>
    </row>
    <row r="209">
      <c r="A209" s="18"/>
      <c r="B209" s="18"/>
      <c r="C209" s="18"/>
      <c r="D209" s="18"/>
    </row>
    <row r="210">
      <c r="A210" s="18"/>
      <c r="B210" s="18"/>
      <c r="C210" s="18"/>
      <c r="D210" s="18"/>
    </row>
    <row r="211">
      <c r="A211" s="18"/>
      <c r="B211" s="18"/>
      <c r="C211" s="18" t="str">
        <f>IFERROR(__xludf.DUMMYFUNCTION("""COMPUTED_VALUE"""),"emilianobonassi")</f>
        <v>emilianobonassi</v>
      </c>
      <c r="D211" s="18" t="str">
        <f>IFERROR(__xludf.DUMMYFUNCTION("""COMPUTED_VALUE"""),"emilianobonassi")</f>
        <v>emilianobonassi</v>
      </c>
    </row>
    <row r="212">
      <c r="A212" s="18"/>
      <c r="B212" s="18"/>
      <c r="C212" s="18"/>
      <c r="D212" s="18"/>
    </row>
    <row r="213">
      <c r="A213" s="18"/>
      <c r="B213" s="18"/>
      <c r="C213" s="18" t="str">
        <f>IFERROR(__xludf.DUMMYFUNCTION("""COMPUTED_VALUE"""),"EpacrisFormosa")</f>
        <v>EpacrisFormosa</v>
      </c>
      <c r="D213" s="18"/>
    </row>
    <row r="214">
      <c r="A214" s="18"/>
      <c r="B214" s="18"/>
      <c r="C214" s="18"/>
      <c r="D214" s="18"/>
    </row>
    <row r="215">
      <c r="A215" s="18"/>
      <c r="B215" s="18"/>
      <c r="C215" s="18"/>
      <c r="D215" s="18"/>
    </row>
    <row r="216">
      <c r="A216" s="18"/>
      <c r="B216" s="18"/>
      <c r="C216" s="18" t="str">
        <f>IFERROR(__xludf.DUMMYFUNCTION("""COMPUTED_VALUE"""),"eskalexia")</f>
        <v>eskalexia</v>
      </c>
      <c r="D216" s="18" t="str">
        <f>IFERROR(__xludf.DUMMYFUNCTION("""COMPUTED_VALUE"""),"eskalexia")</f>
        <v>eskalexia</v>
      </c>
    </row>
    <row r="217">
      <c r="A217" s="18"/>
      <c r="B217" s="18"/>
      <c r="C217" s="18"/>
      <c r="D217" s="18"/>
    </row>
    <row r="218">
      <c r="A218" s="18"/>
      <c r="B218" s="18"/>
      <c r="C218" s="18"/>
      <c r="D218" s="18"/>
    </row>
    <row r="219">
      <c r="A219" s="18"/>
      <c r="B219" s="18"/>
      <c r="C219" s="18"/>
      <c r="D219" s="18"/>
    </row>
    <row r="220">
      <c r="A220" s="18"/>
      <c r="B220" s="18"/>
      <c r="C220" s="18"/>
      <c r="D220" s="18"/>
    </row>
    <row r="221">
      <c r="A221" s="18"/>
      <c r="B221" s="18"/>
      <c r="C221" s="18"/>
      <c r="D221" s="18"/>
    </row>
    <row r="222">
      <c r="A222" s="18"/>
      <c r="B222" s="18"/>
      <c r="C222" s="18" t="str">
        <f>IFERROR(__xludf.DUMMYFUNCTION("""COMPUTED_VALUE"""),"ethicraul")</f>
        <v>ethicraul</v>
      </c>
      <c r="D222" s="18" t="str">
        <f>IFERROR(__xludf.DUMMYFUNCTION("""COMPUTED_VALUE"""),"ethicraul")</f>
        <v>ethicraul</v>
      </c>
    </row>
    <row r="223">
      <c r="A223" s="18"/>
      <c r="B223" s="18"/>
      <c r="C223" s="18"/>
      <c r="D223" s="18"/>
    </row>
    <row r="224">
      <c r="A224" s="18"/>
      <c r="B224" s="18"/>
      <c r="C224" s="18"/>
      <c r="D224" s="18"/>
    </row>
    <row r="225">
      <c r="A225" s="18"/>
      <c r="B225" s="18"/>
      <c r="C225" s="18"/>
      <c r="D225" s="18"/>
    </row>
    <row r="226">
      <c r="A226" s="18"/>
      <c r="B226" s="18"/>
      <c r="C226" s="18" t="str">
        <f>IFERROR(__xludf.DUMMYFUNCTION("""COMPUTED_VALUE"""),"CodersInBlack")</f>
        <v>CodersInBlack</v>
      </c>
      <c r="D226" s="18" t="str">
        <f>IFERROR(__xludf.DUMMYFUNCTION("""COMPUTED_VALUE"""),"CodersInBlack")</f>
        <v>CodersInBlack</v>
      </c>
    </row>
    <row r="227">
      <c r="A227" s="18"/>
      <c r="B227" s="18"/>
      <c r="C227" s="18"/>
      <c r="D227" s="18"/>
    </row>
    <row r="228">
      <c r="A228" s="18"/>
      <c r="B228" s="18"/>
      <c r="C228" s="18" t="str">
        <f>IFERROR(__xludf.DUMMYFUNCTION("""COMPUTED_VALUE"""),"exiledsurfer")</f>
        <v>exiledsurfer</v>
      </c>
      <c r="D228" s="18" t="str">
        <f>IFERROR(__xludf.DUMMYFUNCTION("""COMPUTED_VALUE"""),"exiledsurfer")</f>
        <v>exiledsurfer</v>
      </c>
    </row>
    <row r="229">
      <c r="A229" s="18"/>
      <c r="B229" s="18"/>
      <c r="C229" s="18"/>
      <c r="D229" s="18"/>
    </row>
    <row r="230">
      <c r="A230" s="18" t="str">
        <f>IFERROR(__xludf.DUMMYFUNCTION("""COMPUTED_VALUE"""),"fabiomendes#4802")</f>
        <v>fabiomendes#4802</v>
      </c>
      <c r="B230" s="18"/>
      <c r="C230" s="18" t="str">
        <f>IFERROR(__xludf.DUMMYFUNCTION("""COMPUTED_VALUE"""),"fabiosmendes")</f>
        <v>fabiosmendes</v>
      </c>
      <c r="D230" s="18" t="str">
        <f>IFERROR(__xludf.DUMMYFUNCTION("""COMPUTED_VALUE"""),"fabiosmendes")</f>
        <v>fabiosmendes</v>
      </c>
    </row>
    <row r="231">
      <c r="A231" s="18"/>
      <c r="B231" s="18"/>
      <c r="C231" s="18" t="str">
        <f>IFERROR(__xludf.DUMMYFUNCTION("""COMPUTED_VALUE"""),"Fabriciosx")</f>
        <v>Fabriciosx</v>
      </c>
      <c r="D231" s="18" t="str">
        <f>IFERROR(__xludf.DUMMYFUNCTION("""COMPUTED_VALUE"""),"Fabriciosx")</f>
        <v>Fabriciosx</v>
      </c>
    </row>
    <row r="232">
      <c r="A232" s="18"/>
      <c r="B232" s="18"/>
      <c r="C232" s="18"/>
      <c r="D232" s="18"/>
    </row>
    <row r="233">
      <c r="A233" s="18" t="str">
        <f>IFERROR(__xludf.DUMMYFUNCTION("""COMPUTED_VALUE"""),"发锐站长#8454")</f>
        <v>发锐站长#8454</v>
      </c>
      <c r="B233" s="18"/>
      <c r="C233" s="18" t="str">
        <f>IFERROR(__xludf.DUMMYFUNCTION("""COMPUTED_VALUE"""),"fatrui")</f>
        <v>fatrui</v>
      </c>
      <c r="D233" s="18" t="str">
        <f>IFERROR(__xludf.DUMMYFUNCTION("""COMPUTED_VALUE"""),"fatrui")</f>
        <v>fatrui</v>
      </c>
    </row>
    <row r="234">
      <c r="A234" s="18"/>
      <c r="B234" s="18"/>
      <c r="C234" s="18"/>
      <c r="D234" s="18"/>
    </row>
    <row r="235">
      <c r="A235" s="18"/>
      <c r="B235" s="18"/>
      <c r="C235" s="18" t="str">
        <f>IFERROR(__xludf.DUMMYFUNCTION("""COMPUTED_VALUE"""),"felix_macht")</f>
        <v>felix_macht</v>
      </c>
      <c r="D235" s="18" t="str">
        <f>IFERROR(__xludf.DUMMYFUNCTION("""COMPUTED_VALUE"""),"felix_macht")</f>
        <v>felix_macht</v>
      </c>
    </row>
    <row r="236">
      <c r="A236" s="18" t="str">
        <f>IFERROR(__xludf.DUMMYFUNCTION("""COMPUTED_VALUE"""),"felixfalafel#5606")</f>
        <v>felixfalafel#5606</v>
      </c>
      <c r="B236" s="18"/>
      <c r="C236" s="18" t="str">
        <f>IFERROR(__xludf.DUMMYFUNCTION("""COMPUTED_VALUE"""),"felixfalafel")</f>
        <v>felixfalafel</v>
      </c>
      <c r="D236" s="18" t="str">
        <f>IFERROR(__xludf.DUMMYFUNCTION("""COMPUTED_VALUE"""),"felixfalafel")</f>
        <v>felixfalafel</v>
      </c>
    </row>
    <row r="237">
      <c r="A237" s="18"/>
      <c r="B237" s="18"/>
      <c r="C237" s="18" t="str">
        <f>IFERROR(__xludf.DUMMYFUNCTION("""COMPUTED_VALUE"""),"ferdinandrg")</f>
        <v>ferdinandrg</v>
      </c>
      <c r="D237" s="18" t="str">
        <f>IFERROR(__xludf.DUMMYFUNCTION("""COMPUTED_VALUE"""),"ferdinandrg")</f>
        <v>ferdinandrg</v>
      </c>
    </row>
    <row r="238">
      <c r="A238" s="18"/>
      <c r="B238" s="18"/>
      <c r="C238" s="18"/>
      <c r="D238" s="18"/>
    </row>
    <row r="239">
      <c r="A239" s="18"/>
      <c r="B239" s="18"/>
      <c r="C239" s="18"/>
      <c r="D239" s="18"/>
    </row>
    <row r="240">
      <c r="A240" s="18"/>
      <c r="B240" s="18"/>
      <c r="C240" s="18" t="str">
        <f>IFERROR(__xludf.DUMMYFUNCTION("""COMPUTED_VALUE"""),"flakoubay")</f>
        <v>flakoubay</v>
      </c>
      <c r="D240" s="18" t="str">
        <f>IFERROR(__xludf.DUMMYFUNCTION("""COMPUTED_VALUE"""),"flakoubay")</f>
        <v>flakoubay</v>
      </c>
    </row>
    <row r="241">
      <c r="A241" s="18"/>
      <c r="B241" s="18"/>
      <c r="C241" s="18"/>
      <c r="D241" s="18"/>
    </row>
    <row r="242">
      <c r="A242" s="18" t="str">
        <f>IFERROR(__xludf.DUMMYFUNCTION("""COMPUTED_VALUE"""),"zero_2hero#1086")</f>
        <v>zero_2hero#1086</v>
      </c>
      <c r="B242" s="18"/>
      <c r="C242" s="18" t="str">
        <f>IFERROR(__xludf.DUMMYFUNCTION("""COMPUTED_VALUE"""),"Andfletcher")</f>
        <v>Andfletcher</v>
      </c>
      <c r="D242" s="18" t="str">
        <f>IFERROR(__xludf.DUMMYFUNCTION("""COMPUTED_VALUE"""),"Andfletcher")</f>
        <v>Andfletcher</v>
      </c>
    </row>
    <row r="243">
      <c r="A243" s="18"/>
      <c r="B243" s="18"/>
      <c r="C243" s="18" t="str">
        <f>IFERROR(__xludf.DUMMYFUNCTION("""COMPUTED_VALUE"""),"Fluchtzwerg")</f>
        <v>Fluchtzwerg</v>
      </c>
      <c r="D243" s="18" t="str">
        <f>IFERROR(__xludf.DUMMYFUNCTION("""COMPUTED_VALUE"""),"Fluchtzwerg")</f>
        <v>Fluchtzwerg</v>
      </c>
    </row>
    <row r="244">
      <c r="A244" s="18" t="str">
        <f>IFERROR(__xludf.DUMMYFUNCTION("""COMPUTED_VALUE"""),"FabiM#5629")</f>
        <v>FabiM#5629</v>
      </c>
      <c r="B244" s="18" t="str">
        <f>IFERROR(__xludf.DUMMYFUNCTION("""COMPUTED_VALUE"""),"FabiM")</f>
        <v>FabiM</v>
      </c>
      <c r="C244" s="18" t="str">
        <f>IFERROR(__xludf.DUMMYFUNCTION("""COMPUTED_VALUE"""),"fabimol")</f>
        <v>fabimol</v>
      </c>
      <c r="D244" s="18" t="str">
        <f>IFERROR(__xludf.DUMMYFUNCTION("""COMPUTED_VALUE"""),"fabimol")</f>
        <v>fabimol</v>
      </c>
    </row>
    <row r="245">
      <c r="A245" s="18"/>
      <c r="B245" s="18"/>
      <c r="C245" s="18" t="str">
        <f>IFERROR(__xludf.DUMMYFUNCTION("""COMPUTED_VALUE"""),"fonship")</f>
        <v>fonship</v>
      </c>
      <c r="D245" s="18" t="str">
        <f>IFERROR(__xludf.DUMMYFUNCTION("""COMPUTED_VALUE"""),"fonship")</f>
        <v>fonship</v>
      </c>
    </row>
    <row r="246">
      <c r="A246" s="18" t="str">
        <f>IFERROR(__xludf.DUMMYFUNCTION("""COMPUTED_VALUE"""),"freddbomba#9290")</f>
        <v>freddbomba#9290</v>
      </c>
      <c r="B246" s="18" t="str">
        <f>IFERROR(__xludf.DUMMYFUNCTION("""COMPUTED_VALUE"""),"freddbomba")</f>
        <v>freddbomba</v>
      </c>
      <c r="C246" s="18" t="str">
        <f>IFERROR(__xludf.DUMMYFUNCTION("""COMPUTED_VALUE"""),"freddbomba")</f>
        <v>freddbomba</v>
      </c>
      <c r="D246" s="18" t="str">
        <f>IFERROR(__xludf.DUMMYFUNCTION("""COMPUTED_VALUE"""),"freddbomba")</f>
        <v>freddbomba</v>
      </c>
    </row>
    <row r="247">
      <c r="A247" s="18" t="str">
        <f>IFERROR(__xludf.DUMMYFUNCTION("""COMPUTED_VALUE"""),"freedumbs00#3857")</f>
        <v>freedumbs00#3857</v>
      </c>
      <c r="B247" s="18" t="str">
        <f>IFERROR(__xludf.DUMMYFUNCTION("""COMPUTED_VALUE"""),"freedumbs00")</f>
        <v>freedumbs00</v>
      </c>
      <c r="C247" s="18" t="str">
        <f>IFERROR(__xludf.DUMMYFUNCTION("""COMPUTED_VALUE"""),"freedumbs00")</f>
        <v>freedumbs00</v>
      </c>
      <c r="D247" s="18" t="str">
        <f>IFERROR(__xludf.DUMMYFUNCTION("""COMPUTED_VALUE"""),"freedumbs00")</f>
        <v>freedumbs00</v>
      </c>
    </row>
    <row r="248">
      <c r="A248" s="18"/>
      <c r="B248" s="18"/>
      <c r="C248" s="18" t="str">
        <f>IFERROR(__xludf.DUMMYFUNCTION("""COMPUTED_VALUE"""),"solsista")</f>
        <v>solsista</v>
      </c>
      <c r="D248" s="18" t="str">
        <f>IFERROR(__xludf.DUMMYFUNCTION("""COMPUTED_VALUE"""),"solsista")</f>
        <v>solsista</v>
      </c>
    </row>
    <row r="249">
      <c r="A249" s="18"/>
      <c r="B249" s="18"/>
      <c r="C249" s="18"/>
      <c r="D249" s="18"/>
    </row>
    <row r="250">
      <c r="A250" s="18"/>
      <c r="B250" s="18"/>
      <c r="C250" s="18"/>
      <c r="D250" s="18"/>
    </row>
    <row r="251">
      <c r="A251" s="18"/>
      <c r="B251" s="18"/>
      <c r="C251" s="18"/>
      <c r="D251" s="18"/>
    </row>
    <row r="252">
      <c r="A252" s="18"/>
      <c r="B252" s="18"/>
      <c r="C252" s="18"/>
      <c r="D252" s="18"/>
    </row>
    <row r="253">
      <c r="A253" s="18" t="str">
        <f>IFERROR(__xludf.DUMMYFUNCTION("""COMPUTED_VALUE"""),"fabri#1083")</f>
        <v>fabri#1083</v>
      </c>
      <c r="B253" s="18"/>
      <c r="C253" s="18" t="str">
        <f>IFERROR(__xludf.DUMMYFUNCTION("""COMPUTED_VALUE"""),"fvigevani")</f>
        <v>fvigevani</v>
      </c>
      <c r="D253" s="18" t="str">
        <f>IFERROR(__xludf.DUMMYFUNCTION("""COMPUTED_VALUE"""),"fvigevani")</f>
        <v>fvigevani</v>
      </c>
    </row>
    <row r="254">
      <c r="A254" s="18"/>
      <c r="B254" s="18"/>
      <c r="C254" s="18" t="str">
        <f>IFERROR(__xludf.DUMMYFUNCTION("""COMPUTED_VALUE"""),"JonathanBSci")</f>
        <v>JonathanBSci</v>
      </c>
      <c r="D254" s="18" t="str">
        <f>IFERROR(__xludf.DUMMYFUNCTION("""COMPUTED_VALUE"""),"JonathanBSci")</f>
        <v>JonathanBSci</v>
      </c>
    </row>
    <row r="255">
      <c r="A255" s="18"/>
      <c r="B255" s="18"/>
      <c r="C255" s="18"/>
      <c r="D255" s="18"/>
    </row>
    <row r="256">
      <c r="A256" s="18"/>
      <c r="B256" s="18"/>
      <c r="C256" s="18"/>
      <c r="D256" s="18"/>
    </row>
    <row r="257">
      <c r="A257" s="18"/>
      <c r="B257" s="18"/>
      <c r="C257" s="18"/>
      <c r="D257" s="18"/>
    </row>
    <row r="258">
      <c r="A258" s="18"/>
      <c r="B258" s="18"/>
      <c r="C258" s="18"/>
      <c r="D258" s="18"/>
    </row>
    <row r="259">
      <c r="A259" s="18"/>
      <c r="B259" s="18"/>
      <c r="C259" s="18"/>
      <c r="D259" s="18"/>
    </row>
    <row r="260">
      <c r="A260" s="18"/>
      <c r="B260" s="18"/>
      <c r="C260" s="18" t="str">
        <f>IFERROR(__xludf.DUMMYFUNCTION("""COMPUTED_VALUE"""),"masurka")</f>
        <v>masurka</v>
      </c>
      <c r="D260" s="18" t="str">
        <f>IFERROR(__xludf.DUMMYFUNCTION("""COMPUTED_VALUE"""),"masurka")</f>
        <v>masurka</v>
      </c>
    </row>
    <row r="261">
      <c r="A261" s="18"/>
      <c r="B261" s="18"/>
      <c r="C261" s="18" t="str">
        <f>IFERROR(__xludf.DUMMYFUNCTION("""COMPUTED_VALUE"""),"youngkidwarrior")</f>
        <v>youngkidwarrior</v>
      </c>
      <c r="D261" s="18" t="str">
        <f>IFERROR(__xludf.DUMMYFUNCTION("""COMPUTED_VALUE"""),"youngkidwarrior")</f>
        <v>youngkidwarrior</v>
      </c>
    </row>
    <row r="262">
      <c r="A262" s="18"/>
      <c r="B262" s="18"/>
      <c r="C262" s="18"/>
      <c r="D262" s="18"/>
    </row>
    <row r="263">
      <c r="A263" s="18"/>
      <c r="B263" s="18"/>
      <c r="C263" s="18" t="str">
        <f>IFERROR(__xludf.DUMMYFUNCTION("""COMPUTED_VALUE"""),"owocki")</f>
        <v>owocki</v>
      </c>
      <c r="D263" s="18" t="str">
        <f>IFERROR(__xludf.DUMMYFUNCTION("""COMPUTED_VALUE"""),"owocki")</f>
        <v>owocki</v>
      </c>
    </row>
    <row r="264">
      <c r="A264" s="18"/>
      <c r="B264" s="18" t="str">
        <f>IFERROR(__xludf.DUMMYFUNCTION("""COMPUTED_VALUE"""),"danibelle")</f>
        <v>danibelle</v>
      </c>
      <c r="C264" s="18" t="str">
        <f>IFERROR(__xludf.DUMMYFUNCTION("""COMPUTED_VALUE"""),"danibelle")</f>
        <v>danibelle</v>
      </c>
      <c r="D264" s="18" t="str">
        <f>IFERROR(__xludf.DUMMYFUNCTION("""COMPUTED_VALUE"""),"danibelle")</f>
        <v>danibelle</v>
      </c>
    </row>
    <row r="265">
      <c r="A265" s="18"/>
      <c r="B265" s="18"/>
      <c r="C265" s="18"/>
      <c r="D265" s="18"/>
    </row>
    <row r="266">
      <c r="A266" s="18"/>
      <c r="B266" s="18"/>
      <c r="C266" s="18"/>
      <c r="D266" s="18"/>
    </row>
    <row r="267">
      <c r="A267" s="18"/>
      <c r="B267" s="18"/>
      <c r="C267" s="18"/>
      <c r="D267" s="18"/>
    </row>
    <row r="268">
      <c r="A268" s="18"/>
      <c r="B268" s="18"/>
      <c r="C268" s="18"/>
      <c r="D268" s="18"/>
    </row>
    <row r="269">
      <c r="A269" s="18"/>
      <c r="B269" s="18"/>
      <c r="C269" s="18" t="str">
        <f>IFERROR(__xludf.DUMMYFUNCTION("""COMPUTED_VALUE"""),"morgangr")</f>
        <v>morgangr</v>
      </c>
      <c r="D269" s="18" t="str">
        <f>IFERROR(__xludf.DUMMYFUNCTION("""COMPUTED_VALUE"""),"morgangr")</f>
        <v>morgangr</v>
      </c>
    </row>
    <row r="270">
      <c r="A270" s="18"/>
      <c r="B270" s="18"/>
      <c r="C270" s="18"/>
      <c r="D270" s="18"/>
    </row>
    <row r="271">
      <c r="A271" s="18" t="str">
        <f>IFERROR(__xludf.DUMMYFUNCTION("""COMPUTED_VALUE"""),"Gregory | Regen Network#1990")</f>
        <v>Gregory | Regen Network#1990</v>
      </c>
      <c r="B271" s="18"/>
      <c r="C271" s="18" t="str">
        <f>IFERROR(__xludf.DUMMYFUNCTION("""COMPUTED_VALUE"""),"cpt_grog")</f>
        <v>cpt_grog</v>
      </c>
      <c r="D271" s="18" t="str">
        <f>IFERROR(__xludf.DUMMYFUNCTION("""COMPUTED_VALUE"""),"cpt_grog")</f>
        <v>cpt_grog</v>
      </c>
    </row>
    <row r="272">
      <c r="A272" s="18"/>
      <c r="B272" s="18"/>
      <c r="C272" s="18"/>
      <c r="D272" s="18"/>
    </row>
    <row r="273">
      <c r="A273" s="18"/>
      <c r="B273" s="18"/>
      <c r="C273" s="18" t="str">
        <f>IFERROR(__xludf.DUMMYFUNCTION("""COMPUTED_VALUE"""),"glefevre")</f>
        <v>glefevre</v>
      </c>
      <c r="D273" s="18" t="str">
        <f>IFERROR(__xludf.DUMMYFUNCTION("""COMPUTED_VALUE"""),"glefevre")</f>
        <v>glefevre</v>
      </c>
    </row>
    <row r="274">
      <c r="A274" s="18"/>
      <c r="B274" s="18"/>
      <c r="C274" s="18" t="str">
        <f>IFERROR(__xludf.DUMMYFUNCTION("""COMPUTED_VALUE"""),"gumshed")</f>
        <v>gumshed</v>
      </c>
      <c r="D274" s="18" t="str">
        <f>IFERROR(__xludf.DUMMYFUNCTION("""COMPUTED_VALUE"""),"gumshed")</f>
        <v>gumshed</v>
      </c>
    </row>
    <row r="275">
      <c r="A275" s="18"/>
      <c r="B275" s="18"/>
      <c r="C275" s="18" t="str">
        <f>IFERROR(__xludf.DUMMYFUNCTION("""COMPUTED_VALUE"""),"Gfriis")</f>
        <v>Gfriis</v>
      </c>
      <c r="D275" s="18" t="str">
        <f>IFERROR(__xludf.DUMMYFUNCTION("""COMPUTED_VALUE"""),"Gfriis")</f>
        <v>Gfriis</v>
      </c>
    </row>
    <row r="276">
      <c r="A276" s="18" t="str">
        <f>IFERROR(__xludf.DUMMYFUNCTION("""COMPUTED_VALUE"""),"Guto Martino#1306")</f>
        <v>Guto Martino#1306</v>
      </c>
      <c r="B276" s="18"/>
      <c r="C276" s="18"/>
      <c r="D276" s="18"/>
    </row>
    <row r="277">
      <c r="A277" s="18" t="str">
        <f>IFERROR(__xludf.DUMMYFUNCTION("""COMPUTED_VALUE"""),"Guy James#3266")</f>
        <v>Guy James#3266</v>
      </c>
      <c r="B277" s="18"/>
      <c r="C277" s="18"/>
      <c r="D277" s="18"/>
    </row>
    <row r="278">
      <c r="A278" s="18"/>
      <c r="B278" s="18"/>
      <c r="C278" s="18" t="str">
        <f>IFERROR(__xludf.DUMMYFUNCTION("""COMPUTED_VALUE"""),"gyanlakshmi")</f>
        <v>gyanlakshmi</v>
      </c>
      <c r="D278" s="18" t="str">
        <f>IFERROR(__xludf.DUMMYFUNCTION("""COMPUTED_VALUE"""),"gyanlakshmi")</f>
        <v>gyanlakshmi</v>
      </c>
    </row>
    <row r="279">
      <c r="A279" s="18"/>
      <c r="B279" s="18"/>
      <c r="C279" s="18"/>
      <c r="D279" s="18"/>
    </row>
    <row r="280">
      <c r="A280" s="18" t="str">
        <f>IFERROR(__xludf.DUMMYFUNCTION("""COMPUTED_VALUE"""),"hanna_nevermind#9543")</f>
        <v>hanna_nevermind#9543</v>
      </c>
      <c r="B280" s="18"/>
      <c r="C280" s="18" t="str">
        <f>IFERROR(__xludf.DUMMYFUNCTION("""COMPUTED_VALUE"""),"hanna_nevermind")</f>
        <v>hanna_nevermind</v>
      </c>
      <c r="D280" s="18" t="str">
        <f>IFERROR(__xludf.DUMMYFUNCTION("""COMPUTED_VALUE"""),"hanna_nevermind")</f>
        <v>hanna_nevermind</v>
      </c>
    </row>
    <row r="281">
      <c r="A281" s="18"/>
      <c r="B281" s="18"/>
      <c r="C281" s="18"/>
      <c r="D281" s="18"/>
    </row>
    <row r="282">
      <c r="A282" s="18"/>
      <c r="B282" s="18"/>
      <c r="C282" s="18"/>
      <c r="D282" s="18"/>
    </row>
    <row r="283">
      <c r="A283" s="18"/>
      <c r="B283" s="18"/>
      <c r="C283" s="18" t="str">
        <f>IFERROR(__xludf.DUMMYFUNCTION("""COMPUTED_VALUE"""),"HappyMoneyMan founder Telos SF")</f>
        <v>HappyMoneyMan founder Telos SF</v>
      </c>
      <c r="D283" s="18" t="str">
        <f>IFERROR(__xludf.DUMMYFUNCTION("""COMPUTED_VALUE"""),"HappyMoneyMan founder Telos SF")</f>
        <v>HappyMoneyMan founder Telos SF</v>
      </c>
    </row>
    <row r="284">
      <c r="A284" s="18"/>
      <c r="B284" s="18"/>
      <c r="C284" s="18"/>
      <c r="D284" s="18"/>
    </row>
    <row r="285">
      <c r="A285" s="18"/>
      <c r="B285" s="18"/>
      <c r="C285" s="18"/>
      <c r="D285" s="18"/>
    </row>
    <row r="286">
      <c r="A286" s="18"/>
      <c r="B286" s="18"/>
      <c r="C286" s="18"/>
      <c r="D286" s="18"/>
    </row>
    <row r="287">
      <c r="A287" s="18"/>
      <c r="B287" s="18"/>
      <c r="C287" s="18"/>
      <c r="D287" s="18"/>
    </row>
    <row r="288">
      <c r="A288" s="18"/>
      <c r="B288" s="18"/>
      <c r="C288" s="18"/>
      <c r="D288" s="18"/>
    </row>
    <row r="289">
      <c r="A289" s="18"/>
      <c r="B289" s="18"/>
      <c r="C289" s="18" t="str">
        <f>IFERROR(__xludf.DUMMYFUNCTION("""COMPUTED_VALUE"""),"HBesso31")</f>
        <v>HBesso31</v>
      </c>
      <c r="D289" s="18" t="str">
        <f>IFERROR(__xludf.DUMMYFUNCTION("""COMPUTED_VALUE"""),"HBesso31")</f>
        <v>HBesso31</v>
      </c>
    </row>
    <row r="290">
      <c r="A290" s="18"/>
      <c r="B290" s="18"/>
      <c r="C290" s="18"/>
      <c r="D290" s="18"/>
    </row>
    <row r="291">
      <c r="A291" s="18" t="str">
        <f>IFERROR(__xludf.DUMMYFUNCTION("""COMPUTED_VALUE"""),"hxrts#1659")</f>
        <v>hxrts#1659</v>
      </c>
      <c r="B291" s="18"/>
      <c r="C291" s="18" t="str">
        <f>IFERROR(__xludf.DUMMYFUNCTION("""COMPUTED_VALUE"""),"hxrts")</f>
        <v>hxrts</v>
      </c>
      <c r="D291" s="18" t="str">
        <f>IFERROR(__xludf.DUMMYFUNCTION("""COMPUTED_VALUE"""),"hxrts")</f>
        <v>hxrts</v>
      </c>
    </row>
    <row r="292">
      <c r="A292" s="18"/>
      <c r="B292" s="18"/>
      <c r="C292" s="18"/>
      <c r="D292" s="18"/>
    </row>
    <row r="293">
      <c r="A293" s="18"/>
      <c r="B293" s="18"/>
      <c r="C293" s="18"/>
      <c r="D293" s="18"/>
    </row>
    <row r="294">
      <c r="A294" s="18"/>
      <c r="B294" s="18"/>
      <c r="C294" s="18" t="str">
        <f>IFERROR(__xludf.DUMMYFUNCTION("""COMPUTED_VALUE"""),"davidkish")</f>
        <v>davidkish</v>
      </c>
      <c r="D294" s="18" t="str">
        <f>IFERROR(__xludf.DUMMYFUNCTION("""COMPUTED_VALUE"""),"davidkish")</f>
        <v>davidkish</v>
      </c>
    </row>
    <row r="295">
      <c r="A295" s="18"/>
      <c r="B295" s="18"/>
      <c r="C295" s="18"/>
      <c r="D295" s="18"/>
    </row>
    <row r="296">
      <c r="A296" s="18"/>
      <c r="B296" s="18"/>
      <c r="C296" s="18"/>
      <c r="D296" s="18"/>
    </row>
    <row r="297">
      <c r="A297" s="18"/>
      <c r="B297" s="18"/>
      <c r="C297" s="18"/>
      <c r="D297" s="18"/>
    </row>
    <row r="298">
      <c r="A298" s="18"/>
      <c r="B298" s="18"/>
      <c r="C298" s="18"/>
      <c r="D298" s="18"/>
    </row>
    <row r="299">
      <c r="A299" s="18"/>
      <c r="B299" s="18"/>
      <c r="C299" s="18"/>
      <c r="D299" s="18"/>
    </row>
    <row r="300">
      <c r="A300" s="18"/>
      <c r="B300" s="18"/>
      <c r="C300" s="18"/>
      <c r="D300" s="18"/>
    </row>
    <row r="301">
      <c r="A301" s="18"/>
      <c r="B301" s="18"/>
      <c r="C301" s="18"/>
      <c r="D301" s="18"/>
    </row>
    <row r="302">
      <c r="A302" s="18"/>
      <c r="B302" s="18"/>
      <c r="C302" s="18"/>
      <c r="D302" s="18"/>
    </row>
    <row r="303">
      <c r="A303" s="18"/>
      <c r="B303" s="18"/>
      <c r="C303" s="18" t="str">
        <f>IFERROR(__xludf.DUMMYFUNCTION("""COMPUTED_VALUE"""),"Interaxis")</f>
        <v>Interaxis</v>
      </c>
      <c r="D303" s="18" t="str">
        <f>IFERROR(__xludf.DUMMYFUNCTION("""COMPUTED_VALUE"""),"Interaxis")</f>
        <v>Interaxis</v>
      </c>
    </row>
    <row r="304">
      <c r="A304" s="18" t="str">
        <f>IFERROR(__xludf.DUMMYFUNCTION("""COMPUTED_VALUE"""),"irenioskamoska#7519")</f>
        <v>irenioskamoska#7519</v>
      </c>
      <c r="B304" s="18"/>
      <c r="C304" s="18"/>
      <c r="D304" s="18" t="str">
        <f>IFERROR(__xludf.DUMMYFUNCTION("""COMPUTED_VALUE"""),"irenioskamoska#7519")</f>
        <v>irenioskamoska#7519</v>
      </c>
    </row>
    <row r="305">
      <c r="A305" s="18"/>
      <c r="B305" s="18"/>
      <c r="C305" s="18"/>
      <c r="D305" s="18"/>
    </row>
    <row r="306">
      <c r="A306" s="18"/>
      <c r="B306" s="18"/>
      <c r="C306" s="18"/>
      <c r="D306" s="18"/>
    </row>
    <row r="307">
      <c r="A307" s="18"/>
      <c r="B307" s="18"/>
      <c r="C307" s="18" t="str">
        <f>IFERROR(__xludf.DUMMYFUNCTION("""COMPUTED_VALUE"""),"IvanThinking")</f>
        <v>IvanThinking</v>
      </c>
      <c r="D307" s="18" t="str">
        <f>IFERROR(__xludf.DUMMYFUNCTION("""COMPUTED_VALUE"""),"IvanThinking")</f>
        <v>IvanThinking</v>
      </c>
    </row>
    <row r="308">
      <c r="A308" s="18" t="str">
        <f>IFERROR(__xludf.DUMMYFUNCTION("""COMPUTED_VALUE"""),"iviangita#3204")</f>
        <v>iviangita#3204</v>
      </c>
      <c r="B308" s="18" t="str">
        <f>IFERROR(__xludf.DUMMYFUNCTION("""COMPUTED_VALUE"""),"iviangita")</f>
        <v>iviangita</v>
      </c>
      <c r="C308" s="18" t="str">
        <f>IFERROR(__xludf.DUMMYFUNCTION("""COMPUTED_VALUE"""),"iviangita")</f>
        <v>iviangita</v>
      </c>
      <c r="D308" s="18" t="str">
        <f>IFERROR(__xludf.DUMMYFUNCTION("""COMPUTED_VALUE"""),"iviangita")</f>
        <v>iviangita</v>
      </c>
    </row>
    <row r="309">
      <c r="A309" s="18"/>
      <c r="B309" s="18"/>
      <c r="C309" s="18"/>
      <c r="D309" s="18"/>
    </row>
    <row r="310">
      <c r="A310" s="18"/>
      <c r="B310" s="18"/>
      <c r="C310" s="18"/>
      <c r="D310" s="18"/>
    </row>
    <row r="311">
      <c r="A311" s="18" t="str">
        <f>IFERROR(__xludf.DUMMYFUNCTION("""COMPUTED_VALUE"""),"jameszaki#0232")</f>
        <v>jameszaki#0232</v>
      </c>
      <c r="B311" s="18"/>
      <c r="C311" s="18" t="str">
        <f>IFERROR(__xludf.DUMMYFUNCTION("""COMPUTED_VALUE"""),"jameszaki")</f>
        <v>jameszaki</v>
      </c>
      <c r="D311" s="18" t="str">
        <f>IFERROR(__xludf.DUMMYFUNCTION("""COMPUTED_VALUE"""),"jameszaki")</f>
        <v>jameszaki</v>
      </c>
    </row>
    <row r="312">
      <c r="A312" s="18"/>
      <c r="B312" s="18"/>
      <c r="C312" s="18"/>
      <c r="D312" s="18"/>
    </row>
    <row r="313">
      <c r="A313" s="18"/>
      <c r="B313" s="18"/>
      <c r="C313" s="18"/>
      <c r="D313" s="18"/>
    </row>
    <row r="314">
      <c r="A314" s="18"/>
      <c r="B314" s="18"/>
      <c r="C314" s="18"/>
      <c r="D314" s="18"/>
    </row>
    <row r="315">
      <c r="A315" s="18"/>
      <c r="B315" s="18"/>
      <c r="C315" s="18"/>
      <c r="D315" s="18"/>
    </row>
    <row r="316">
      <c r="A316" s="18"/>
      <c r="B316" s="18"/>
      <c r="C316" s="18" t="str">
        <f>IFERROR(__xludf.DUMMYFUNCTION("""COMPUTED_VALUE"""),"fghtuji")</f>
        <v>fghtuji</v>
      </c>
      <c r="D316" s="18" t="str">
        <f>IFERROR(__xludf.DUMMYFUNCTION("""COMPUTED_VALUE"""),"fghtuji")</f>
        <v>fghtuji</v>
      </c>
    </row>
    <row r="317">
      <c r="A317" s="18"/>
      <c r="B317" s="18"/>
      <c r="C317" s="18" t="str">
        <f>IFERROR(__xludf.DUMMYFUNCTION("""COMPUTED_VALUE"""),"JASONCHEWYL")</f>
        <v>JASONCHEWYL</v>
      </c>
      <c r="D317" s="18" t="str">
        <f>IFERROR(__xludf.DUMMYFUNCTION("""COMPUTED_VALUE"""),"JASONCHEWYL")</f>
        <v>JASONCHEWYL</v>
      </c>
    </row>
    <row r="318">
      <c r="A318" s="18"/>
      <c r="B318" s="18"/>
      <c r="C318" s="18"/>
      <c r="D318" s="18"/>
    </row>
    <row r="319">
      <c r="A319" s="18"/>
      <c r="B319" s="18"/>
      <c r="C319" s="18"/>
      <c r="D319" s="18"/>
    </row>
    <row r="320">
      <c r="A320" s="18"/>
      <c r="B320" s="18"/>
      <c r="C320" s="18"/>
      <c r="D320" s="18"/>
    </row>
    <row r="321">
      <c r="A321" s="18"/>
      <c r="B321" s="18"/>
      <c r="C321" s="18"/>
      <c r="D321" s="18"/>
    </row>
    <row r="322">
      <c r="A322" s="18"/>
      <c r="B322" s="18"/>
      <c r="C322" s="18"/>
      <c r="D322" s="18"/>
    </row>
    <row r="323">
      <c r="A323" s="18" t="str">
        <f>IFERROR(__xludf.DUMMYFUNCTION("""COMPUTED_VALUE"""),"JeffEmmett#7202")</f>
        <v>JeffEmmett#7202</v>
      </c>
      <c r="B323" s="18"/>
      <c r="C323" s="18" t="str">
        <f>IFERROR(__xludf.DUMMYFUNCTION("""COMPUTED_VALUE"""),"jeffemmett")</f>
        <v>jeffemmett</v>
      </c>
      <c r="D323" s="18" t="str">
        <f>IFERROR(__xludf.DUMMYFUNCTION("""COMPUTED_VALUE"""),"jeffemmett")</f>
        <v>jeffemmett</v>
      </c>
    </row>
    <row r="324">
      <c r="A324" s="18"/>
      <c r="B324" s="18"/>
      <c r="C324" s="18" t="str">
        <f>IFERROR(__xludf.DUMMYFUNCTION("""COMPUTED_VALUE"""),"JelasBarkah")</f>
        <v>JelasBarkah</v>
      </c>
      <c r="D324" s="18" t="str">
        <f>IFERROR(__xludf.DUMMYFUNCTION("""COMPUTED_VALUE"""),"JelasBarkah")</f>
        <v>JelasBarkah</v>
      </c>
    </row>
    <row r="325">
      <c r="A325" s="18"/>
      <c r="B325" s="18"/>
      <c r="C325" s="18" t="str">
        <f>IFERROR(__xludf.DUMMYFUNCTION("""COMPUTED_VALUE"""),"jamiepitts")</f>
        <v>jamiepitts</v>
      </c>
      <c r="D325" s="18" t="str">
        <f>IFERROR(__xludf.DUMMYFUNCTION("""COMPUTED_VALUE"""),"jamiepitts")</f>
        <v>jamiepitts</v>
      </c>
    </row>
    <row r="326">
      <c r="A326" s="18" t="str">
        <f>IFERROR(__xludf.DUMMYFUNCTION("""COMPUTED_VALUE"""),"JessicaZartler#2263")</f>
        <v>JessicaZartler#2263</v>
      </c>
      <c r="B326" s="18" t="str">
        <f>IFERROR(__xludf.DUMMYFUNCTION("""COMPUTED_VALUE"""),"JessicaZartler")</f>
        <v>JessicaZartler</v>
      </c>
      <c r="C326" s="18" t="str">
        <f>IFERROR(__xludf.DUMMYFUNCTION("""COMPUTED_VALUE"""),"JessicaZartler")</f>
        <v>JessicaZartler</v>
      </c>
      <c r="D326" s="18" t="str">
        <f>IFERROR(__xludf.DUMMYFUNCTION("""COMPUTED_VALUE"""),"JessicaZartler")</f>
        <v>JessicaZartler</v>
      </c>
    </row>
    <row r="327">
      <c r="A327" s="18"/>
      <c r="B327" s="18"/>
      <c r="C327" s="18" t="str">
        <f>IFERROR(__xludf.DUMMYFUNCTION("""COMPUTED_VALUE"""),"JonathanBSci")</f>
        <v>JonathanBSci</v>
      </c>
      <c r="D327" s="18" t="str">
        <f>IFERROR(__xludf.DUMMYFUNCTION("""COMPUTED_VALUE"""),"JonathanBSci")</f>
        <v>JonathanBSci</v>
      </c>
    </row>
    <row r="328">
      <c r="A328" s="18"/>
      <c r="B328" s="18"/>
      <c r="C328" s="18"/>
      <c r="D328" s="18"/>
    </row>
    <row r="329">
      <c r="A329" s="18"/>
      <c r="B329" s="18"/>
      <c r="C329" s="18" t="str">
        <f>IFERROR(__xludf.DUMMYFUNCTION("""COMPUTED_VALUE"""),"JoeEchidna")</f>
        <v>JoeEchidna</v>
      </c>
      <c r="D329" s="18" t="str">
        <f>IFERROR(__xludf.DUMMYFUNCTION("""COMPUTED_VALUE"""),"JoeEchidna")</f>
        <v>JoeEchidna</v>
      </c>
    </row>
    <row r="330">
      <c r="A330" s="18"/>
      <c r="B330" s="18"/>
      <c r="C330" s="18"/>
      <c r="D330" s="18"/>
    </row>
    <row r="331">
      <c r="A331" s="18"/>
      <c r="B331" s="18"/>
      <c r="C331" s="18" t="str">
        <f>IFERROR(__xludf.DUMMYFUNCTION("""COMPUTED_VALUE"""),"JohnKellden")</f>
        <v>JohnKellden</v>
      </c>
      <c r="D331" s="18" t="str">
        <f>IFERROR(__xludf.DUMMYFUNCTION("""COMPUTED_VALUE"""),"JohnKellden")</f>
        <v>JohnKellden</v>
      </c>
    </row>
    <row r="332">
      <c r="A332" s="18"/>
      <c r="B332" s="18"/>
      <c r="C332" s="18" t="str">
        <f>IFERROR(__xludf.DUMMYFUNCTION("""COMPUTED_VALUE"""),"Seedsalchemist")</f>
        <v>Seedsalchemist</v>
      </c>
      <c r="D332" s="18" t="str">
        <f>IFERROR(__xludf.DUMMYFUNCTION("""COMPUTED_VALUE"""),"Seedsalchemist")</f>
        <v>Seedsalchemist</v>
      </c>
    </row>
    <row r="333">
      <c r="A333" s="18"/>
      <c r="B333" s="18"/>
      <c r="C333" s="18"/>
      <c r="D333" s="18"/>
    </row>
    <row r="334">
      <c r="A334" s="18"/>
      <c r="B334" s="18"/>
      <c r="C334" s="18"/>
      <c r="D334" s="18"/>
    </row>
    <row r="335">
      <c r="A335" s="18"/>
      <c r="B335" s="18"/>
      <c r="C335" s="18"/>
      <c r="D335" s="18"/>
    </row>
    <row r="336">
      <c r="A336" s="18"/>
      <c r="B336" s="18"/>
      <c r="C336" s="18"/>
      <c r="D336" s="18"/>
    </row>
    <row r="337">
      <c r="A337" s="18"/>
      <c r="B337" s="18"/>
      <c r="C337" s="18" t="str">
        <f>IFERROR(__xludf.DUMMYFUNCTION("""COMPUTED_VALUE"""),"Juan_A_Lleo")</f>
        <v>Juan_A_Lleo</v>
      </c>
      <c r="D337" s="18" t="str">
        <f>IFERROR(__xludf.DUMMYFUNCTION("""COMPUTED_VALUE"""),"Juan_A_Lleo")</f>
        <v>Juan_A_Lleo</v>
      </c>
    </row>
    <row r="338">
      <c r="A338" s="18"/>
      <c r="B338" s="18"/>
      <c r="C338" s="18"/>
      <c r="D338" s="18"/>
    </row>
    <row r="339">
      <c r="A339" s="18"/>
      <c r="B339" s="18"/>
      <c r="C339" s="18" t="str">
        <f>IFERROR(__xludf.DUMMYFUNCTION("""COMPUTED_VALUE"""),"julienbrg")</f>
        <v>julienbrg</v>
      </c>
      <c r="D339" s="18" t="str">
        <f>IFERROR(__xludf.DUMMYFUNCTION("""COMPUTED_VALUE"""),"julienbrg")</f>
        <v>julienbrg</v>
      </c>
    </row>
    <row r="340">
      <c r="A340" s="18"/>
      <c r="B340" s="18"/>
      <c r="C340" s="18"/>
      <c r="D340" s="18"/>
    </row>
    <row r="341">
      <c r="A341" s="18"/>
      <c r="B341" s="18"/>
      <c r="C341" s="18" t="str">
        <f>IFERROR(__xludf.DUMMYFUNCTION("""COMPUTED_VALUE"""),"jwaup")</f>
        <v>jwaup</v>
      </c>
      <c r="D341" s="18" t="str">
        <f>IFERROR(__xludf.DUMMYFUNCTION("""COMPUTED_VALUE"""),"jwaup")</f>
        <v>jwaup</v>
      </c>
    </row>
    <row r="342">
      <c r="A342" s="18"/>
      <c r="B342" s="18"/>
      <c r="C342" s="18"/>
      <c r="D342" s="18"/>
    </row>
    <row r="343">
      <c r="A343" s="18"/>
      <c r="B343" s="18"/>
      <c r="C343" s="18"/>
      <c r="D343" s="18"/>
    </row>
    <row r="344">
      <c r="A344" s="18" t="str">
        <f>IFERROR(__xludf.DUMMYFUNCTION("""COMPUTED_VALUE""")," ")</f>
        <v> </v>
      </c>
      <c r="B344" s="18"/>
      <c r="C344" s="18"/>
      <c r="D344" s="18"/>
    </row>
    <row r="345">
      <c r="A345" s="18"/>
      <c r="B345" s="18"/>
      <c r="C345" s="18"/>
      <c r="D345" s="18"/>
    </row>
    <row r="346">
      <c r="A346" s="18"/>
      <c r="B346" s="18"/>
      <c r="C346" s="18"/>
      <c r="D346" s="18"/>
    </row>
    <row r="347">
      <c r="A347" s="18" t="str">
        <f>IFERROR(__xludf.DUMMYFUNCTION("""COMPUTED_VALUE"""),"karmaticacid#1218")</f>
        <v>karmaticacid#1218</v>
      </c>
      <c r="B347" s="18" t="str">
        <f>IFERROR(__xludf.DUMMYFUNCTION("""COMPUTED_VALUE"""),"Lauren")</f>
        <v>Lauren</v>
      </c>
      <c r="C347" s="18" t="str">
        <f>IFERROR(__xludf.DUMMYFUNCTION("""COMPUTED_VALUE"""),"Laurenluz")</f>
        <v>Laurenluz</v>
      </c>
      <c r="D347" s="18" t="str">
        <f>IFERROR(__xludf.DUMMYFUNCTION("""COMPUTED_VALUE"""),"Laurenluz")</f>
        <v>Laurenluz</v>
      </c>
    </row>
    <row r="348">
      <c r="A348" s="18"/>
      <c r="B348" s="18"/>
      <c r="C348" s="18"/>
      <c r="D348" s="18"/>
    </row>
    <row r="349">
      <c r="A349" s="18" t="str">
        <f>IFERROR(__xludf.DUMMYFUNCTION("""COMPUTED_VALUE"""),"kei#9866")</f>
        <v>kei#9866</v>
      </c>
      <c r="B349" s="18"/>
      <c r="C349" s="18" t="str">
        <f>IFERROR(__xludf.DUMMYFUNCTION("""COMPUTED_VALUE"""),"keikreutler")</f>
        <v>keikreutler</v>
      </c>
      <c r="D349" s="18" t="str">
        <f>IFERROR(__xludf.DUMMYFUNCTION("""COMPUTED_VALUE"""),"kei#9866")</f>
        <v>kei#9866</v>
      </c>
    </row>
    <row r="350">
      <c r="A350" s="18"/>
      <c r="B350" s="18"/>
      <c r="C350" s="18"/>
      <c r="D350" s="18"/>
    </row>
    <row r="351">
      <c r="A351" s="18"/>
      <c r="B351" s="18"/>
      <c r="C351" s="18" t="str">
        <f>IFERROR(__xludf.DUMMYFUNCTION("""COMPUTED_VALUE"""),"kentphilly")</f>
        <v>kentphilly</v>
      </c>
      <c r="D351" s="18" t="str">
        <f>IFERROR(__xludf.DUMMYFUNCTION("""COMPUTED_VALUE"""),"kentphilly")</f>
        <v>kentphilly</v>
      </c>
    </row>
    <row r="352">
      <c r="A352" s="18"/>
      <c r="B352" s="18"/>
      <c r="C352" s="18"/>
      <c r="D352" s="18"/>
    </row>
    <row r="353">
      <c r="A353" s="18" t="str">
        <f>IFERROR(__xludf.DUMMYFUNCTION("""COMPUTED_VALUE"""),"KZ Flyer#0926")</f>
        <v>KZ Flyer#0926</v>
      </c>
      <c r="B353" s="18"/>
      <c r="C353" s="18" t="str">
        <f>IFERROR(__xludf.DUMMYFUNCTION("""COMPUTED_VALUE"""),"KZFlyer")</f>
        <v>KZFlyer</v>
      </c>
      <c r="D353" s="18" t="str">
        <f>IFERROR(__xludf.DUMMYFUNCTION("""COMPUTED_VALUE"""),"KZ Flyer#0926")</f>
        <v>KZ Flyer#0926</v>
      </c>
    </row>
    <row r="354">
      <c r="A354" s="18"/>
      <c r="B354" s="18"/>
      <c r="C354" s="18"/>
      <c r="D354" s="18"/>
    </row>
    <row r="355">
      <c r="A355" s="18"/>
      <c r="B355" s="18"/>
      <c r="C355" s="18"/>
      <c r="D355" s="18"/>
    </row>
    <row r="356">
      <c r="A356" s="18"/>
      <c r="B356" s="18"/>
      <c r="C356" s="18"/>
      <c r="D356" s="18"/>
    </row>
    <row r="357">
      <c r="A357" s="18" t="str">
        <f>IFERROR(__xludf.DUMMYFUNCTION("""COMPUTED_VALUE"""),"Dan Knobelsdorf.eth#0326")</f>
        <v>Dan Knobelsdorf.eth#0326</v>
      </c>
      <c r="B357" s="18" t="str">
        <f>IFERROR(__xludf.DUMMYFUNCTION("""COMPUTED_VALUE"""),"Dan Knobelsdorf.eth")</f>
        <v>Dan Knobelsdorf.eth</v>
      </c>
      <c r="C357" s="18" t="str">
        <f>IFERROR(__xludf.DUMMYFUNCTION("""COMPUTED_VALUE"""),"knobsDAO")</f>
        <v>knobsDAO</v>
      </c>
      <c r="D357" s="18" t="str">
        <f>IFERROR(__xludf.DUMMYFUNCTION("""COMPUTED_VALUE"""),"knobsDAO")</f>
        <v>knobsDAO</v>
      </c>
    </row>
    <row r="358">
      <c r="A358" s="18" t="str">
        <f>IFERROR(__xludf.DUMMYFUNCTION("""COMPUTED_VALUE"""),"geleeroyale#3228")</f>
        <v>geleeroyale#3228</v>
      </c>
      <c r="B358" s="18"/>
      <c r="C358" s="18" t="str">
        <f>IFERROR(__xludf.DUMMYFUNCTION("""COMPUTED_VALUE"""),"geleeroyale")</f>
        <v>geleeroyale</v>
      </c>
      <c r="D358" s="18" t="str">
        <f>IFERROR(__xludf.DUMMYFUNCTION("""COMPUTED_VALUE"""),"geleeroyale")</f>
        <v>geleeroyale</v>
      </c>
    </row>
    <row r="359">
      <c r="A359" s="18" t="str">
        <f>IFERROR(__xludf.DUMMYFUNCTION("""COMPUTED_VALUE"""),"Kris#8703")</f>
        <v>Kris#8703</v>
      </c>
      <c r="B359" s="18" t="str">
        <f>IFERROR(__xludf.DUMMYFUNCTION("""COMPUTED_VALUE"""),"Kris")</f>
        <v>Kris</v>
      </c>
      <c r="C359" s="18" t="str">
        <f>IFERROR(__xludf.DUMMYFUNCTION("""COMPUTED_VALUE"""),"Krisjones")</f>
        <v>Krisjones</v>
      </c>
      <c r="D359" s="18" t="str">
        <f>IFERROR(__xludf.DUMMYFUNCTION("""COMPUTED_VALUE"""),"Krisjones")</f>
        <v>Krisjones</v>
      </c>
    </row>
    <row r="360">
      <c r="A360" s="18" t="str">
        <f>IFERROR(__xludf.DUMMYFUNCTION("""COMPUTED_VALUE"""),"kristofer#1475")</f>
        <v>kristofer#1475</v>
      </c>
      <c r="B360" s="18"/>
      <c r="C360" s="18" t="str">
        <f>IFERROR(__xludf.DUMMYFUNCTION("""COMPUTED_VALUE"""),"kristoferkristofer")</f>
        <v>kristoferkristofer</v>
      </c>
      <c r="D360" s="18" t="str">
        <f>IFERROR(__xludf.DUMMYFUNCTION("""COMPUTED_VALUE"""),"kristoferkristofer")</f>
        <v>kristoferkristofer</v>
      </c>
    </row>
    <row r="361">
      <c r="A361" s="18" t="str">
        <f>IFERROR(__xludf.DUMMYFUNCTION("""COMPUTED_VALUE"""),"krrisis#4754")</f>
        <v>krrisis#4754</v>
      </c>
      <c r="B361" s="18"/>
      <c r="C361" s="18" t="str">
        <f>IFERROR(__xludf.DUMMYFUNCTION("""COMPUTED_VALUE"""),"krrisis")</f>
        <v>krrisis</v>
      </c>
      <c r="D361" s="18" t="str">
        <f>IFERROR(__xludf.DUMMYFUNCTION("""COMPUTED_VALUE"""),"krrisis")</f>
        <v>krrisis</v>
      </c>
    </row>
    <row r="362">
      <c r="A362" s="18"/>
      <c r="B362" s="18"/>
      <c r="C362" s="18"/>
      <c r="D362" s="18"/>
    </row>
    <row r="363">
      <c r="A363" s="18"/>
      <c r="B363" s="18"/>
      <c r="C363" s="18"/>
      <c r="D363" s="18"/>
    </row>
    <row r="364">
      <c r="A364" s="18"/>
      <c r="B364" s="18"/>
      <c r="C364" s="18" t="str">
        <f>IFERROR(__xludf.DUMMYFUNCTION("""COMPUTED_VALUE"""),"kyle_stargarden")</f>
        <v>kyle_stargarden</v>
      </c>
      <c r="D364" s="18" t="str">
        <f>IFERROR(__xludf.DUMMYFUNCTION("""COMPUTED_VALUE"""),"kyle_stargarden")</f>
        <v>kyle_stargarden</v>
      </c>
    </row>
    <row r="365">
      <c r="A365" s="18"/>
      <c r="B365" s="18"/>
      <c r="C365" s="18" t="str">
        <f>IFERROR(__xludf.DUMMYFUNCTION("""COMPUTED_VALUE"""),"lab10collective")</f>
        <v>lab10collective</v>
      </c>
      <c r="D365" s="18" t="str">
        <f>IFERROR(__xludf.DUMMYFUNCTION("""COMPUTED_VALUE"""),"lab10collective")</f>
        <v>lab10collective</v>
      </c>
    </row>
    <row r="366">
      <c r="A366" s="18" t="str">
        <f>IFERROR(__xludf.DUMMYFUNCTION("""COMPUTED_VALUE"""),"Leanne#9678")</f>
        <v>Leanne#9678</v>
      </c>
      <c r="B366" s="18"/>
      <c r="C366" s="18"/>
      <c r="D366" s="18" t="str">
        <f>IFERROR(__xludf.DUMMYFUNCTION("""COMPUTED_VALUE"""),"Leanne#9678")</f>
        <v>Leanne#9678</v>
      </c>
    </row>
    <row r="367">
      <c r="A367" s="18"/>
      <c r="B367" s="18"/>
      <c r="C367" s="18"/>
      <c r="D367" s="18"/>
    </row>
    <row r="368">
      <c r="A368" s="18"/>
      <c r="B368" s="18"/>
      <c r="C368" s="18"/>
      <c r="D368" s="18"/>
    </row>
    <row r="369">
      <c r="A369" s="18" t="str">
        <f>IFERROR(__xludf.DUMMYFUNCTION("""COMPUTED_VALUE"""),"lefterisjp | Rotki#7253")</f>
        <v>lefterisjp | Rotki#7253</v>
      </c>
      <c r="B369" s="18" t="str">
        <f>IFERROR(__xludf.DUMMYFUNCTION("""COMPUTED_VALUE"""),"lefterisjp | Rotki")</f>
        <v>lefterisjp | Rotki</v>
      </c>
      <c r="C369" s="18" t="str">
        <f>IFERROR(__xludf.DUMMYFUNCTION("""COMPUTED_VALUE"""),"lefterisjp")</f>
        <v>lefterisjp</v>
      </c>
      <c r="D369" s="18" t="str">
        <f>IFERROR(__xludf.DUMMYFUNCTION("""COMPUTED_VALUE"""),"lefterisjp")</f>
        <v>lefterisjp</v>
      </c>
    </row>
    <row r="370">
      <c r="A370" s="18"/>
      <c r="B370" s="18"/>
      <c r="C370" s="18" t="str">
        <f>IFERROR(__xludf.DUMMYFUNCTION("""COMPUTED_VALUE"""),"Lenkla")</f>
        <v>Lenkla</v>
      </c>
      <c r="D370" s="18" t="str">
        <f>IFERROR(__xludf.DUMMYFUNCTION("""COMPUTED_VALUE"""),"Lenkla")</f>
        <v>Lenkla</v>
      </c>
    </row>
    <row r="371">
      <c r="A371" s="18"/>
      <c r="B371" s="18"/>
      <c r="C371" s="18"/>
      <c r="D371" s="18"/>
    </row>
    <row r="372">
      <c r="A372" s="18"/>
      <c r="B372" s="18"/>
      <c r="C372" s="18"/>
      <c r="D372" s="18"/>
    </row>
    <row r="373">
      <c r="A373" s="18"/>
      <c r="B373" s="18"/>
      <c r="C373" s="18"/>
      <c r="D373" s="18"/>
    </row>
    <row r="374">
      <c r="A374" s="18"/>
      <c r="B374" s="18"/>
      <c r="C374" s="18" t="str">
        <f>IFERROR(__xludf.DUMMYFUNCTION("""COMPUTED_VALUE"""),"livethelifetv")</f>
        <v>livethelifetv</v>
      </c>
      <c r="D374" s="18" t="str">
        <f>IFERROR(__xludf.DUMMYFUNCTION("""COMPUTED_VALUE"""),"livethelifetv")</f>
        <v>livethelifetv</v>
      </c>
    </row>
    <row r="375">
      <c r="A375" s="18" t="str">
        <f>IFERROR(__xludf.DUMMYFUNCTION("""COMPUTED_VALUE"""),"lkngtn#1051")</f>
        <v>lkngtn#1051</v>
      </c>
      <c r="B375" s="18" t="str">
        <f>IFERROR(__xludf.DUMMYFUNCTION("""COMPUTED_VALUE"""),"lkngtn")</f>
        <v>lkngtn</v>
      </c>
      <c r="C375" s="18" t="str">
        <f>IFERROR(__xludf.DUMMYFUNCTION("""COMPUTED_VALUE"""),"lkngtn")</f>
        <v>lkngtn</v>
      </c>
      <c r="D375" s="18" t="str">
        <f>IFERROR(__xludf.DUMMYFUNCTION("""COMPUTED_VALUE"""),"lkngtn")</f>
        <v>lkngtn</v>
      </c>
    </row>
    <row r="376">
      <c r="A376" s="18"/>
      <c r="B376" s="18"/>
      <c r="C376" s="18" t="str">
        <f>IFERROR(__xludf.DUMMYFUNCTION("""COMPUTED_VALUE"""),"loie_giveth")</f>
        <v>loie_giveth</v>
      </c>
      <c r="D376" s="18" t="str">
        <f>IFERROR(__xludf.DUMMYFUNCTION("""COMPUTED_VALUE"""),"loie_giveth")</f>
        <v>loie_giveth</v>
      </c>
    </row>
    <row r="377">
      <c r="A377" s="18"/>
      <c r="B377" s="18"/>
      <c r="C377" s="18"/>
      <c r="D377" s="18"/>
    </row>
    <row r="378">
      <c r="A378" s="18" t="str">
        <f>IFERROR(__xludf.DUMMYFUNCTION("""COMPUTED_VALUE"""),"CaseyR#2795")</f>
        <v>CaseyR#2795</v>
      </c>
      <c r="B378" s="18"/>
      <c r="C378" s="18" t="str">
        <f>IFERROR(__xludf.DUMMYFUNCTION("""COMPUTED_VALUE"""),"CaseyR")</f>
        <v>CaseyR</v>
      </c>
      <c r="D378" s="18" t="str">
        <f>IFERROR(__xludf.DUMMYFUNCTION("""COMPUTED_VALUE"""),"CaseyR#2795")</f>
        <v>CaseyR#2795</v>
      </c>
    </row>
    <row r="379">
      <c r="A379" s="18"/>
      <c r="B379" s="18"/>
      <c r="C379" s="18"/>
      <c r="D379" s="18"/>
    </row>
    <row r="380">
      <c r="A380" s="18"/>
      <c r="B380" s="18"/>
      <c r="C380" s="18"/>
      <c r="D380" s="18"/>
    </row>
    <row r="381">
      <c r="A381" s="18"/>
      <c r="B381" s="18"/>
      <c r="C381" s="18" t="str">
        <f>IFERROR(__xludf.DUMMYFUNCTION("""COMPUTED_VALUE"""),"lukestokes")</f>
        <v>lukestokes</v>
      </c>
      <c r="D381" s="18" t="str">
        <f>IFERROR(__xludf.DUMMYFUNCTION("""COMPUTED_VALUE"""),"lukestokes")</f>
        <v>lukestokes</v>
      </c>
    </row>
    <row r="382">
      <c r="A382" s="18" t="str">
        <f>IFERROR(__xludf.DUMMYFUNCTION("""COMPUTED_VALUE"""),"LuukDAO#5294")</f>
        <v>LuukDAO#5294</v>
      </c>
      <c r="B382" s="18"/>
      <c r="C382" s="18" t="str">
        <f>IFERROR(__xludf.DUMMYFUNCTION("""COMPUTED_VALUE"""),"Luukweber")</f>
        <v>Luukweber</v>
      </c>
      <c r="D382" s="18" t="str">
        <f>IFERROR(__xludf.DUMMYFUNCTION("""COMPUTED_VALUE"""),"Luukweber")</f>
        <v>Luukweber</v>
      </c>
    </row>
    <row r="383">
      <c r="A383" s="18" t="str">
        <f>IFERROR(__xludf.DUMMYFUNCTION("""COMPUTED_VALUE"""),"magenta#9858")</f>
        <v>magenta#9858</v>
      </c>
      <c r="B383" s="18"/>
      <c r="C383" s="18" t="str">
        <f>IFERROR(__xludf.DUMMYFUNCTION("""COMPUTED_VALUE"""),"magentaceiba")</f>
        <v>magentaceiba</v>
      </c>
      <c r="D383" s="18" t="str">
        <f>IFERROR(__xludf.DUMMYFUNCTION("""COMPUTED_VALUE"""),"magentaceiba")</f>
        <v>magentaceiba</v>
      </c>
    </row>
    <row r="384">
      <c r="A384" s="18"/>
      <c r="B384" s="18"/>
      <c r="C384" s="18"/>
      <c r="D384" s="18"/>
    </row>
    <row r="385">
      <c r="A385" s="18"/>
      <c r="B385" s="18"/>
      <c r="C385" s="18"/>
      <c r="D385" s="18"/>
    </row>
    <row r="386">
      <c r="A386" s="18"/>
      <c r="B386" s="18"/>
      <c r="C386" s="18"/>
      <c r="D386" s="18"/>
    </row>
    <row r="387">
      <c r="A387" s="18"/>
      <c r="B387" s="18"/>
      <c r="C387" s="18"/>
      <c r="D387" s="18"/>
    </row>
    <row r="388">
      <c r="A388" s="18"/>
      <c r="B388" s="18"/>
      <c r="C388" s="18"/>
      <c r="D388" s="18"/>
    </row>
    <row r="389">
      <c r="A389" s="18" t="str">
        <f>IFERROR(__xludf.DUMMYFUNCTION("""COMPUTED_VALUE"""),"ManuAlzuru | 🥑#5047")</f>
        <v>ManuAlzuru | 🥑#5047</v>
      </c>
      <c r="B389" s="18"/>
      <c r="C389" s="18" t="str">
        <f>IFERROR(__xludf.DUMMYFUNCTION("""COMPUTED_VALUE"""),"ManuAlzuru")</f>
        <v>ManuAlzuru</v>
      </c>
      <c r="D389" s="18" t="str">
        <f>IFERROR(__xludf.DUMMYFUNCTION("""COMPUTED_VALUE"""),"ManuAlzuru")</f>
        <v>ManuAlzuru</v>
      </c>
    </row>
    <row r="390">
      <c r="A390" s="18"/>
      <c r="B390" s="18"/>
      <c r="C390" s="18"/>
      <c r="D390" s="18"/>
    </row>
    <row r="391">
      <c r="A391" s="18"/>
      <c r="B391" s="18"/>
      <c r="C391" s="18"/>
      <c r="D391" s="18"/>
    </row>
    <row r="392">
      <c r="A392" s="18"/>
      <c r="B392" s="18"/>
      <c r="C392" s="18"/>
      <c r="D392" s="18"/>
    </row>
    <row r="393">
      <c r="A393" s="18" t="str">
        <f>IFERROR(__xludf.DUMMYFUNCTION("""COMPUTED_VALUE"""),"markop#2007")</f>
        <v>markop#2007</v>
      </c>
      <c r="B393" s="18" t="str">
        <f>IFERROR(__xludf.DUMMYFUNCTION("""COMPUTED_VALUE"""),"markop")</f>
        <v>markop</v>
      </c>
      <c r="C393" s="18" t="str">
        <f>IFERROR(__xludf.DUMMYFUNCTION("""COMPUTED_VALUE"""),"markop")</f>
        <v>markop</v>
      </c>
      <c r="D393" s="18" t="str">
        <f>IFERROR(__xludf.DUMMYFUNCTION("""COMPUTED_VALUE"""),"markop")</f>
        <v>markop</v>
      </c>
    </row>
    <row r="394">
      <c r="A394" s="18" t="str">
        <f>IFERROR(__xludf.DUMMYFUNCTION("""COMPUTED_VALUE"""),"markusbkoch#6770")</f>
        <v>markusbkoch#6770</v>
      </c>
      <c r="B394" s="18"/>
      <c r="C394" s="18" t="str">
        <f>IFERROR(__xludf.DUMMYFUNCTION("""COMPUTED_VALUE"""),"markusbkoch")</f>
        <v>markusbkoch</v>
      </c>
      <c r="D394" s="18" t="str">
        <f>IFERROR(__xludf.DUMMYFUNCTION("""COMPUTED_VALUE"""),"markusbkoch#6770")</f>
        <v>markusbkoch#6770</v>
      </c>
    </row>
    <row r="395">
      <c r="A395" s="18"/>
      <c r="B395" s="18"/>
      <c r="C395" s="18"/>
      <c r="D395" s="18"/>
    </row>
    <row r="396">
      <c r="A396" s="18" t="str">
        <f>IFERROR(__xludf.DUMMYFUNCTION("""COMPUTED_VALUE"""),"mateodaza#3156")</f>
        <v>mateodaza#3156</v>
      </c>
      <c r="B396" s="18" t="str">
        <f>IFERROR(__xludf.DUMMYFUNCTION("""COMPUTED_VALUE"""),"mateodaza")</f>
        <v>mateodaza</v>
      </c>
      <c r="C396" s="18" t="str">
        <f>IFERROR(__xludf.DUMMYFUNCTION("""COMPUTED_VALUE"""),"mateodaza")</f>
        <v>mateodaza</v>
      </c>
      <c r="D396" s="18" t="str">
        <f>IFERROR(__xludf.DUMMYFUNCTION("""COMPUTED_VALUE"""),"mateodaza")</f>
        <v>mateodaza</v>
      </c>
    </row>
    <row r="397">
      <c r="A397" s="18"/>
      <c r="B397" s="18"/>
      <c r="C397" s="18" t="str">
        <f>IFERROR(__xludf.DUMMYFUNCTION("""COMPUTED_VALUE"""),"matslats")</f>
        <v>matslats</v>
      </c>
      <c r="D397" s="18" t="str">
        <f>IFERROR(__xludf.DUMMYFUNCTION("""COMPUTED_VALUE"""),"matslats")</f>
        <v>matslats</v>
      </c>
    </row>
    <row r="398">
      <c r="A398" s="18"/>
      <c r="B398" s="18"/>
      <c r="C398" s="18" t="str">
        <f>IFERROR(__xludf.DUMMYFUNCTION("""COMPUTED_VALUE"""),"matthewcarano")</f>
        <v>matthewcarano</v>
      </c>
      <c r="D398" s="18" t="str">
        <f>IFERROR(__xludf.DUMMYFUNCTION("""COMPUTED_VALUE"""),"matthewcarano")</f>
        <v>matthewcarano</v>
      </c>
    </row>
    <row r="399">
      <c r="A399" s="18"/>
      <c r="B399" s="18"/>
      <c r="C399" s="18"/>
      <c r="D399" s="18"/>
    </row>
    <row r="400">
      <c r="A400" s="18" t="str">
        <f>IFERROR(__xludf.DUMMYFUNCTION("""COMPUTED_VALUE"""),"Michel Bauwens#1511")</f>
        <v>Michel Bauwens#1511</v>
      </c>
      <c r="B400" s="18"/>
      <c r="C400" s="18"/>
      <c r="D400" s="18" t="str">
        <f>IFERROR(__xludf.DUMMYFUNCTION("""COMPUTED_VALUE"""),"Michel Bauwens#1511")</f>
        <v>Michel Bauwens#1511</v>
      </c>
    </row>
    <row r="401">
      <c r="A401" s="18"/>
      <c r="B401" s="18"/>
      <c r="C401" s="18"/>
      <c r="D401" s="18"/>
    </row>
    <row r="402">
      <c r="A402" s="18"/>
      <c r="B402" s="18"/>
      <c r="C402" s="18" t="str">
        <f>IFERROR(__xludf.DUMMYFUNCTION("""COMPUTED_VALUE"""),"mercedesrodsim")</f>
        <v>mercedesrodsim</v>
      </c>
      <c r="D402" s="18"/>
    </row>
    <row r="403">
      <c r="A403" s="18"/>
      <c r="B403" s="18"/>
      <c r="C403" s="18"/>
      <c r="D403" s="18"/>
    </row>
    <row r="404">
      <c r="A404" s="18"/>
      <c r="B404" s="18"/>
      <c r="C404" s="18"/>
      <c r="D404" s="18"/>
    </row>
    <row r="405">
      <c r="A405" s="18"/>
      <c r="B405" s="18"/>
      <c r="C405" s="18"/>
      <c r="D405" s="18"/>
    </row>
    <row r="406">
      <c r="A406" s="18" t="str">
        <f>IFERROR(__xludf.DUMMYFUNCTION("""COMPUTED_VALUE"""),"Merlin Egalite#6277")</f>
        <v>Merlin Egalite#6277</v>
      </c>
      <c r="B406" s="18" t="str">
        <f>IFERROR(__xludf.DUMMYFUNCTION("""COMPUTED_VALUE"""),"Merlin Egalite")</f>
        <v>Merlin Egalite</v>
      </c>
      <c r="C406" s="18" t="str">
        <f>IFERROR(__xludf.DUMMYFUNCTION("""COMPUTED_VALUE"""),"MerlinEgalite")</f>
        <v>MerlinEgalite</v>
      </c>
      <c r="D406" s="18" t="str">
        <f>IFERROR(__xludf.DUMMYFUNCTION("""COMPUTED_VALUE"""),"MerlinEgalite")</f>
        <v>MerlinEgalite</v>
      </c>
    </row>
    <row r="407">
      <c r="A407" s="18"/>
      <c r="B407" s="18"/>
      <c r="C407" s="18" t="str">
        <f>IFERROR(__xludf.DUMMYFUNCTION("""COMPUTED_VALUE"""),"meta_cartel and MetaCartel")</f>
        <v>meta_cartel and MetaCartel</v>
      </c>
      <c r="D407" s="18" t="str">
        <f>IFERROR(__xludf.DUMMYFUNCTION("""COMPUTED_VALUE"""),"meta_cartel and MetaCartel")</f>
        <v>meta_cartel and MetaCartel</v>
      </c>
    </row>
    <row r="408">
      <c r="A408" s="18" t="str">
        <f>IFERROR(__xludf.DUMMYFUNCTION("""COMPUTED_VALUE"""),"METADREAMER#11")</f>
        <v>METADREAMER#11</v>
      </c>
      <c r="B408" s="18" t="str">
        <f>IFERROR(__xludf.DUMMYFUNCTION("""COMPUTED_VALUE"""),"METADREAMER")</f>
        <v>METADREAMER</v>
      </c>
      <c r="C408" s="18" t="str">
        <f>IFERROR(__xludf.DUMMYFUNCTION("""COMPUTED_VALUE"""),"META_DREAMER")</f>
        <v>META_DREAMER</v>
      </c>
      <c r="D408" s="18" t="str">
        <f>IFERROR(__xludf.DUMMYFUNCTION("""COMPUTED_VALUE"""),"META_DREAMER")</f>
        <v>META_DREAMER</v>
      </c>
    </row>
    <row r="409">
      <c r="A409" s="18"/>
      <c r="B409" s="18"/>
      <c r="C409" s="18"/>
      <c r="D409" s="18" t="str">
        <f>IFERROR(__xludf.DUMMYFUNCTION("""COMPUTED_VALUE"""),"Messaged at Metagame/Meta")</f>
        <v>Messaged at Metagame/Meta</v>
      </c>
    </row>
    <row r="410">
      <c r="A410" s="18"/>
      <c r="B410" s="18"/>
      <c r="C410" s="18" t="str">
        <f>IFERROR(__xludf.DUMMYFUNCTION("""COMPUTED_VALUE"""),"michaelr10")</f>
        <v>michaelr10</v>
      </c>
      <c r="D410" s="18" t="str">
        <f>IFERROR(__xludf.DUMMYFUNCTION("""COMPUTED_VALUE"""),"michaelr10")</f>
        <v>michaelr10</v>
      </c>
    </row>
    <row r="411">
      <c r="A411" s="18"/>
      <c r="B411" s="18"/>
      <c r="C411" s="18"/>
      <c r="D411" s="18"/>
    </row>
    <row r="412">
      <c r="A412" s="18"/>
      <c r="B412" s="18"/>
      <c r="C412" s="18"/>
      <c r="D412" s="18"/>
    </row>
    <row r="413">
      <c r="A413" s="18"/>
      <c r="B413" s="18"/>
      <c r="C413" s="18" t="str">
        <f>IFERROR(__xludf.DUMMYFUNCTION("""COMPUTED_VALUE"""),"MinervaWallet")</f>
        <v>MinervaWallet</v>
      </c>
      <c r="D413" s="18" t="str">
        <f>IFERROR(__xludf.DUMMYFUNCTION("""COMPUTED_VALUE"""),"MinervaWallet")</f>
        <v>MinervaWallet</v>
      </c>
    </row>
    <row r="414">
      <c r="A414" s="18"/>
      <c r="B414" s="18"/>
      <c r="C414" s="18"/>
      <c r="D414" s="18"/>
    </row>
    <row r="415">
      <c r="A415" s="18"/>
      <c r="B415" s="18"/>
      <c r="C415" s="18"/>
      <c r="D415" s="18"/>
    </row>
    <row r="416">
      <c r="A416" s="18"/>
      <c r="B416" s="18"/>
      <c r="C416" s="18"/>
      <c r="D416" s="18"/>
    </row>
    <row r="417">
      <c r="A417" s="18"/>
      <c r="B417" s="18"/>
      <c r="C417" s="18"/>
      <c r="D417" s="18"/>
    </row>
    <row r="418">
      <c r="A418" s="18"/>
      <c r="B418" s="18"/>
      <c r="C418" s="18"/>
      <c r="D418" s="18"/>
    </row>
    <row r="419">
      <c r="A419" s="18"/>
      <c r="B419" s="18"/>
      <c r="C419" s="18"/>
      <c r="D419" s="18"/>
    </row>
    <row r="420">
      <c r="A420" s="18"/>
      <c r="B420" s="18"/>
      <c r="C420" s="18"/>
      <c r="D420" s="18"/>
    </row>
    <row r="421">
      <c r="A421" s="18" t="str">
        <f>IFERROR(__xludf.DUMMYFUNCTION("""COMPUTED_VALUE"""),"moritzfelipe#9923")</f>
        <v>moritzfelipe#9923</v>
      </c>
      <c r="B421" s="18"/>
      <c r="C421" s="18" t="str">
        <f>IFERROR(__xludf.DUMMYFUNCTION("""COMPUTED_VALUE"""),"moritz_felipe")</f>
        <v>moritz_felipe</v>
      </c>
      <c r="D421" s="18" t="str">
        <f>IFERROR(__xludf.DUMMYFUNCTION("""COMPUTED_VALUE"""),"moritzfelipe#9923")</f>
        <v>moritzfelipe#9923</v>
      </c>
    </row>
    <row r="422">
      <c r="A422" s="18"/>
      <c r="B422" s="18"/>
      <c r="C422" s="18"/>
      <c r="D422" s="18"/>
    </row>
    <row r="423">
      <c r="A423" s="18" t="str">
        <f>IFERROR(__xludf.DUMMYFUNCTION("""COMPUTED_VALUE"""),"Anna-Marie.Swan#8824")</f>
        <v>Anna-Marie.Swan#8824</v>
      </c>
      <c r="B423" s="18"/>
      <c r="C423" s="18"/>
      <c r="D423" s="18" t="str">
        <f>IFERROR(__xludf.DUMMYFUNCTION("""COMPUTED_VALUE"""),"AnnaMarieSwan#8824")</f>
        <v>AnnaMarieSwan#8824</v>
      </c>
    </row>
    <row r="424">
      <c r="A424" s="18"/>
      <c r="B424" s="18"/>
      <c r="C424" s="18"/>
      <c r="D424" s="18"/>
    </row>
    <row r="425">
      <c r="A425" s="18"/>
      <c r="B425" s="18"/>
      <c r="C425" s="18"/>
      <c r="D425" s="18"/>
    </row>
    <row r="426">
      <c r="A426" s="18"/>
      <c r="B426" s="18"/>
      <c r="C426" s="18"/>
      <c r="D426" s="18"/>
    </row>
    <row r="427">
      <c r="A427" s="18"/>
      <c r="B427" s="18"/>
      <c r="C427" s="18"/>
      <c r="D427" s="18"/>
    </row>
    <row r="428">
      <c r="A428" s="18"/>
      <c r="B428" s="18"/>
      <c r="C428" s="18"/>
      <c r="D428" s="18"/>
    </row>
    <row r="429">
      <c r="A429" s="18" t="str">
        <f>IFERROR(__xludf.DUMMYFUNCTION("""COMPUTED_VALUE"""),"mZ#3472")</f>
        <v>mZ#3472</v>
      </c>
      <c r="B429" s="18"/>
      <c r="C429" s="18" t="str">
        <f>IFERROR(__xludf.DUMMYFUNCTION("""COMPUTED_VALUE"""),"mzargham")</f>
        <v>mzargham</v>
      </c>
      <c r="D429" s="18" t="str">
        <f>IFERROR(__xludf.DUMMYFUNCTION("""COMPUTED_VALUE"""),"mzargham")</f>
        <v>mzargham</v>
      </c>
    </row>
    <row r="430">
      <c r="A430" s="18"/>
      <c r="B430" s="18"/>
      <c r="C430" s="18"/>
      <c r="D430" s="18"/>
    </row>
    <row r="431">
      <c r="A431" s="18"/>
      <c r="B431" s="18"/>
      <c r="C431" s="18" t="str">
        <f>IFERROR(__xludf.DUMMYFUNCTION("""COMPUTED_VALUE"""),"nattop")</f>
        <v>nattop</v>
      </c>
      <c r="D431" s="18" t="str">
        <f>IFERROR(__xludf.DUMMYFUNCTION("""COMPUTED_VALUE"""),"nattop")</f>
        <v>nattop</v>
      </c>
    </row>
    <row r="432">
      <c r="A432" s="18" t="str">
        <f>IFERROR(__xludf.DUMMYFUNCTION("""COMPUTED_VALUE"""),"natesuits#4789")</f>
        <v>natesuits#4789</v>
      </c>
      <c r="B432" s="18" t="str">
        <f>IFERROR(__xludf.DUMMYFUNCTION("""COMPUTED_VALUE"""),"natesuits")</f>
        <v>natesuits</v>
      </c>
      <c r="C432" s="18" t="str">
        <f>IFERROR(__xludf.DUMMYFUNCTION("""COMPUTED_VALUE"""),"naynaysoo")</f>
        <v>naynaysoo</v>
      </c>
      <c r="D432" s="18" t="str">
        <f>IFERROR(__xludf.DUMMYFUNCTION("""COMPUTED_VALUE"""),"naynaysoo")</f>
        <v>naynaysoo</v>
      </c>
    </row>
    <row r="433">
      <c r="A433" s="18"/>
      <c r="B433" s="18"/>
      <c r="C433" s="18"/>
      <c r="D433" s="18"/>
    </row>
    <row r="434">
      <c r="A434" s="18"/>
      <c r="B434" s="18"/>
      <c r="C434" s="18"/>
      <c r="D434" s="18"/>
    </row>
    <row r="435">
      <c r="A435" s="18"/>
      <c r="B435" s="18"/>
      <c r="C435" s="18"/>
      <c r="D435" s="18"/>
    </row>
    <row r="436">
      <c r="A436" s="18"/>
      <c r="B436" s="18"/>
      <c r="C436" s="18"/>
      <c r="D436" s="18"/>
    </row>
    <row r="437">
      <c r="A437" s="18"/>
      <c r="B437" s="18"/>
      <c r="C437" s="18" t="str">
        <f>IFERROR(__xludf.DUMMYFUNCTION("""COMPUTED_VALUE"""),"nigdaemon")</f>
        <v>nigdaemon</v>
      </c>
      <c r="D437" s="18" t="str">
        <f>IFERROR(__xludf.DUMMYFUNCTION("""COMPUTED_VALUE"""),"nigdaemon")</f>
        <v>nigdaemon</v>
      </c>
    </row>
    <row r="438">
      <c r="A438" s="18" t="str">
        <f>IFERROR(__xludf.DUMMYFUNCTION("""COMPUTED_VALUE"""),"Nikoline#5376")</f>
        <v>Nikoline#5376</v>
      </c>
      <c r="B438" s="18" t="str">
        <f>IFERROR(__xludf.DUMMYFUNCTION("""COMPUTED_VALUE"""),"Nikoline")</f>
        <v>Nikoline</v>
      </c>
      <c r="C438" s="18" t="str">
        <f>IFERROR(__xludf.DUMMYFUNCTION("""COMPUTED_VALUE"""),"nikoline_nik")</f>
        <v>nikoline_nik</v>
      </c>
      <c r="D438" s="18" t="str">
        <f>IFERROR(__xludf.DUMMYFUNCTION("""COMPUTED_VALUE"""),"nikoline_nik")</f>
        <v>nikoline_nik</v>
      </c>
    </row>
    <row r="439">
      <c r="A439" s="18"/>
      <c r="B439" s="18"/>
      <c r="C439" s="18"/>
      <c r="D439" s="18"/>
    </row>
    <row r="440">
      <c r="A440" s="18" t="str">
        <f>IFERROR(__xludf.DUMMYFUNCTION("""COMPUTED_VALUE"""),"Niran | Panvala#9353")</f>
        <v>Niran | Panvala#9353</v>
      </c>
      <c r="B440" s="18"/>
      <c r="C440" s="18" t="str">
        <f>IFERROR(__xludf.DUMMYFUNCTION("""COMPUTED_VALUE"""),"niranb")</f>
        <v>niranb</v>
      </c>
      <c r="D440" s="18" t="str">
        <f>IFERROR(__xludf.DUMMYFUNCTION("""COMPUTED_VALUE"""),"niranb")</f>
        <v>niranb</v>
      </c>
    </row>
    <row r="441">
      <c r="A441" s="18"/>
      <c r="B441" s="18"/>
      <c r="C441" s="18"/>
      <c r="D441" s="18"/>
    </row>
    <row r="442">
      <c r="A442" s="18"/>
      <c r="B442" s="18"/>
      <c r="C442" s="18" t="str">
        <f>IFERROR(__xludf.DUMMYFUNCTION("""COMPUTED_VALUE"""),"rpp63")</f>
        <v>rpp63</v>
      </c>
      <c r="D442" s="18" t="str">
        <f>IFERROR(__xludf.DUMMYFUNCTION("""COMPUTED_VALUE"""),"rpp63")</f>
        <v>rpp63</v>
      </c>
    </row>
    <row r="443">
      <c r="A443" s="18"/>
      <c r="B443" s="18"/>
      <c r="C443" s="18" t="str">
        <f>IFERROR(__xludf.DUMMYFUNCTION("""COMPUTED_VALUE"""),"ntnsndr")</f>
        <v>ntnsndr</v>
      </c>
      <c r="D443" s="18" t="str">
        <f>IFERROR(__xludf.DUMMYFUNCTION("""COMPUTED_VALUE"""),"ntnsndr")</f>
        <v>ntnsndr</v>
      </c>
    </row>
    <row r="444">
      <c r="A444" s="18"/>
      <c r="B444" s="18"/>
      <c r="C444" s="18" t="str">
        <f>IFERROR(__xludf.DUMMYFUNCTION("""COMPUTED_VALUE"""),"NukeManDan")</f>
        <v>NukeManDan</v>
      </c>
      <c r="D444" s="18" t="str">
        <f>IFERROR(__xludf.DUMMYFUNCTION("""COMPUTED_VALUE"""),"NukeManDan")</f>
        <v>NukeManDan</v>
      </c>
    </row>
    <row r="445">
      <c r="A445" s="18"/>
      <c r="B445" s="18"/>
      <c r="C445" s="18"/>
      <c r="D445" s="18"/>
    </row>
    <row r="446">
      <c r="A446" s="18"/>
      <c r="B446" s="18"/>
      <c r="C446" s="18"/>
      <c r="D446" s="18"/>
    </row>
    <row r="447">
      <c r="A447" s="18"/>
      <c r="B447" s="18"/>
      <c r="C447" s="18"/>
      <c r="D447" s="18"/>
    </row>
    <row r="448">
      <c r="A448" s="18"/>
      <c r="B448" s="18"/>
      <c r="C448" s="18"/>
      <c r="D448" s="18"/>
    </row>
    <row r="449">
      <c r="A449" s="18"/>
      <c r="B449" s="18"/>
      <c r="C449" s="18"/>
      <c r="D449" s="18"/>
    </row>
    <row r="450">
      <c r="A450" s="18"/>
      <c r="B450" s="18"/>
      <c r="C450" s="18"/>
      <c r="D450" s="18"/>
    </row>
    <row r="451">
      <c r="A451" s="18" t="str">
        <f>IFERROR(__xludf.DUMMYFUNCTION("""COMPUTED_VALUE"""),"oed#0829")</f>
        <v>oed#0829</v>
      </c>
      <c r="B451" s="18"/>
      <c r="C451" s="18" t="str">
        <f>IFERROR(__xludf.DUMMYFUNCTION("""COMPUTED_VALUE"""),"oedth")</f>
        <v>oedth</v>
      </c>
      <c r="D451" s="18" t="str">
        <f>IFERROR(__xludf.DUMMYFUNCTION("""COMPUTED_VALUE"""),"oedth")</f>
        <v>oedth</v>
      </c>
    </row>
    <row r="452">
      <c r="A452" s="18"/>
      <c r="B452" s="18"/>
      <c r="C452" s="18" t="str">
        <f>IFERROR(__xludf.DUMMYFUNCTION("""COMPUTED_VALUE"""),"GotStMiklos")</f>
        <v>GotStMiklos</v>
      </c>
      <c r="D452" s="18" t="str">
        <f>IFERROR(__xludf.DUMMYFUNCTION("""COMPUTED_VALUE"""),"GotStMiklos")</f>
        <v>GotStMiklos</v>
      </c>
    </row>
    <row r="453">
      <c r="A453" s="18"/>
      <c r="B453" s="18"/>
      <c r="C453" s="18"/>
      <c r="D453" s="18"/>
    </row>
    <row r="454">
      <c r="A454" s="18"/>
      <c r="B454" s="18"/>
      <c r="C454" s="18" t="str">
        <f>IFERROR(__xludf.DUMMYFUNCTION("""COMPUTED_VALUE"""),"OKDuncan")</f>
        <v>OKDuncan</v>
      </c>
      <c r="D454" s="18" t="str">
        <f>IFERROR(__xludf.DUMMYFUNCTION("""COMPUTED_VALUE"""),"OKDuncan")</f>
        <v>OKDuncan</v>
      </c>
    </row>
    <row r="455">
      <c r="A455" s="18"/>
      <c r="B455" s="18"/>
      <c r="C455" s="18"/>
      <c r="D455" s="18"/>
    </row>
    <row r="456">
      <c r="A456" s="18"/>
      <c r="B456" s="18"/>
      <c r="C456" s="18"/>
      <c r="D456" s="18"/>
    </row>
    <row r="457">
      <c r="A457" s="18"/>
      <c r="B457" s="18"/>
      <c r="C457" s="18" t="str">
        <f>IFERROR(__xludf.DUMMYFUNCTION("""COMPUTED_VALUE"""),"ontologymachine")</f>
        <v>ontologymachine</v>
      </c>
      <c r="D457" s="18" t="str">
        <f>IFERROR(__xludf.DUMMYFUNCTION("""COMPUTED_VALUE"""),"ontologymachine")</f>
        <v>ontologymachine</v>
      </c>
    </row>
    <row r="458">
      <c r="A458" s="18"/>
      <c r="B458" s="18"/>
      <c r="C458" s="18"/>
      <c r="D458" s="18"/>
    </row>
    <row r="459">
      <c r="A459" s="18"/>
      <c r="B459" s="18"/>
      <c r="C459" s="18"/>
      <c r="D459" s="18"/>
    </row>
    <row r="460">
      <c r="A460" s="18"/>
      <c r="B460" s="18"/>
      <c r="C460" s="18"/>
      <c r="D460" s="18"/>
    </row>
    <row r="461">
      <c r="A461" s="18"/>
      <c r="B461" s="18"/>
      <c r="C461" s="18"/>
      <c r="D461" s="18"/>
    </row>
    <row r="462">
      <c r="A462" s="18"/>
      <c r="B462" s="18"/>
      <c r="C462" s="18"/>
      <c r="D462" s="18"/>
    </row>
    <row r="463">
      <c r="A463" s="18"/>
      <c r="B463" s="18"/>
      <c r="C463" s="18" t="str">
        <f>IFERROR(__xludf.DUMMYFUNCTION("""COMPUTED_VALUE"""),"phil_h")</f>
        <v>phil_h</v>
      </c>
      <c r="D463" s="18" t="str">
        <f>IFERROR(__xludf.DUMMYFUNCTION("""COMPUTED_VALUE"""),"phil_h")</f>
        <v>phil_h</v>
      </c>
    </row>
    <row r="464">
      <c r="A464" s="18"/>
      <c r="B464" s="18"/>
      <c r="C464" s="18" t="str">
        <f>IFERROR(__xludf.DUMMYFUNCTION("""COMPUTED_VALUE"""),"magentaceiba")</f>
        <v>magentaceiba</v>
      </c>
      <c r="D464" s="18"/>
    </row>
    <row r="465">
      <c r="A465" s="18"/>
      <c r="B465" s="18"/>
      <c r="C465" s="18"/>
      <c r="D465" s="18"/>
    </row>
    <row r="466">
      <c r="A466" s="18" t="str">
        <f>IFERROR(__xludf.DUMMYFUNCTION("""COMPUTED_VALUE"""),"Owocki#3458")</f>
        <v>Owocki#3458</v>
      </c>
      <c r="B466" s="18" t="str">
        <f>IFERROR(__xludf.DUMMYFUNCTION("""COMPUTED_VALUE"""),"Owocki")</f>
        <v>Owocki</v>
      </c>
      <c r="C466" s="18" t="str">
        <f>IFERROR(__xludf.DUMMYFUNCTION("""COMPUTED_VALUE"""),"owocki")</f>
        <v>owocki</v>
      </c>
      <c r="D466" s="18" t="str">
        <f>IFERROR(__xludf.DUMMYFUNCTION("""COMPUTED_VALUE"""),"owocki")</f>
        <v>owocki</v>
      </c>
    </row>
    <row r="467">
      <c r="A467" s="18"/>
      <c r="B467" s="18"/>
      <c r="C467" s="18" t="str">
        <f>IFERROR(__xludf.DUMMYFUNCTION("""COMPUTED_VALUE"""),"p_a_s_l_a_r")</f>
        <v>p_a_s_l_a_r</v>
      </c>
      <c r="D467" s="18" t="str">
        <f>IFERROR(__xludf.DUMMYFUNCTION("""COMPUTED_VALUE"""),"p_a_s_l_a_r")</f>
        <v>p_a_s_l_a_r</v>
      </c>
    </row>
    <row r="468">
      <c r="A468" s="18"/>
      <c r="B468" s="18"/>
      <c r="C468" s="18"/>
      <c r="D468" s="18"/>
    </row>
    <row r="469">
      <c r="A469" s="18"/>
      <c r="B469" s="18"/>
      <c r="C469" s="18"/>
      <c r="D469" s="18"/>
    </row>
    <row r="470">
      <c r="A470" s="18"/>
      <c r="B470" s="18"/>
      <c r="C470" s="18" t="str">
        <f>IFERROR(__xludf.DUMMYFUNCTION("""COMPUTED_VALUE"""),"niranb")</f>
        <v>niranb</v>
      </c>
      <c r="D470" s="18" t="str">
        <f>IFERROR(__xludf.DUMMYFUNCTION("""COMPUTED_VALUE"""),"niranb")</f>
        <v>niranb</v>
      </c>
    </row>
    <row r="471">
      <c r="A471" s="18" t="str">
        <f>IFERROR(__xludf.DUMMYFUNCTION("""COMPUTED_VALUE"""),"Pat ✨#3662")</f>
        <v>Pat ✨#3662</v>
      </c>
      <c r="B471" s="18" t="str">
        <f>IFERROR(__xludf.DUMMYFUNCTION("""COMPUTED_VALUE"""),"Pat ✨")</f>
        <v>Pat ✨</v>
      </c>
      <c r="C471" s="18" t="str">
        <f>IFERROR(__xludf.DUMMYFUNCTION("""COMPUTED_VALUE"""),"papa_raw")</f>
        <v>papa_raw</v>
      </c>
      <c r="D471" s="18" t="str">
        <f>IFERROR(__xludf.DUMMYFUNCTION("""COMPUTED_VALUE"""),"papa_raw")</f>
        <v>papa_raw</v>
      </c>
    </row>
    <row r="472">
      <c r="A472" s="18"/>
      <c r="B472" s="18"/>
      <c r="C472" s="18" t="str">
        <f>IFERROR(__xludf.DUMMYFUNCTION("""COMPUTED_VALUE"""),"morgangr")</f>
        <v>morgangr</v>
      </c>
      <c r="D472" s="18" t="str">
        <f>IFERROR(__xludf.DUMMYFUNCTION("""COMPUTED_VALUE"""),"morgangr")</f>
        <v>morgangr</v>
      </c>
    </row>
    <row r="473">
      <c r="A473" s="18"/>
      <c r="B473" s="18"/>
      <c r="C473" s="18"/>
      <c r="D473" s="18"/>
    </row>
    <row r="474">
      <c r="A474" s="18"/>
      <c r="B474" s="18"/>
      <c r="C474" s="18" t="str">
        <f>IFERROR(__xludf.DUMMYFUNCTION("""COMPUTED_VALUE"""),"phil_h")</f>
        <v>phil_h</v>
      </c>
      <c r="D474" s="18" t="str">
        <f>IFERROR(__xludf.DUMMYFUNCTION("""COMPUTED_VALUE"""),"phil_h")</f>
        <v>phil_h</v>
      </c>
    </row>
    <row r="475">
      <c r="A475" s="18"/>
      <c r="B475" s="18"/>
      <c r="C475" s="18"/>
      <c r="D475" s="18"/>
    </row>
    <row r="476">
      <c r="A476" s="18"/>
      <c r="B476" s="18"/>
      <c r="C476" s="18"/>
      <c r="D476" s="18"/>
    </row>
    <row r="477">
      <c r="A477" s="18" t="str">
        <f>IFERROR(__xludf.DUMMYFUNCTION("""COMPUTED_VALUE"""),"Paula I Ape Unit#8497")</f>
        <v>Paula I Ape Unit#8497</v>
      </c>
      <c r="B477" s="18"/>
      <c r="C477" s="18" t="str">
        <f>IFERROR(__xludf.DUMMYFUNCTION("""COMPUTED_VALUE"""),"pehkah")</f>
        <v>pehkah</v>
      </c>
      <c r="D477" s="18" t="str">
        <f>IFERROR(__xludf.DUMMYFUNCTION("""COMPUTED_VALUE"""),"pehkah")</f>
        <v>pehkah</v>
      </c>
    </row>
    <row r="478">
      <c r="A478" s="18" t="str">
        <f>IFERROR(__xludf.DUMMYFUNCTION("""COMPUTED_VALUE"""),"Paul Haas#7536")</f>
        <v>Paul Haas#7536</v>
      </c>
      <c r="B478" s="18" t="str">
        <f>IFERROR(__xludf.DUMMYFUNCTION("""COMPUTED_VALUE"""),"Paul Haas")</f>
        <v>Paul Haas</v>
      </c>
      <c r="C478" s="18" t="str">
        <f>IFERROR(__xludf.DUMMYFUNCTION("""COMPUTED_VALUE"""),"uPaul")</f>
        <v>uPaul</v>
      </c>
      <c r="D478" s="18" t="str">
        <f>IFERROR(__xludf.DUMMYFUNCTION("""COMPUTED_VALUE"""),"uPaul")</f>
        <v>uPaul</v>
      </c>
    </row>
    <row r="479">
      <c r="A479" s="18"/>
      <c r="B479" s="18"/>
      <c r="C479" s="18" t="str">
        <f>IFERROR(__xludf.DUMMYFUNCTION("""COMPUTED_VALUE"""),"paulsalis")</f>
        <v>paulsalis</v>
      </c>
      <c r="D479" s="18" t="str">
        <f>IFERROR(__xludf.DUMMYFUNCTION("""COMPUTED_VALUE"""),"paulsalis")</f>
        <v>paulsalis</v>
      </c>
    </row>
    <row r="480">
      <c r="A480" s="18"/>
      <c r="B480" s="18"/>
      <c r="C480" s="18" t="str">
        <f>IFERROR(__xludf.DUMMYFUNCTION("""COMPUTED_VALUE"""),"paxthemax")</f>
        <v>paxthemax</v>
      </c>
      <c r="D480" s="18" t="str">
        <f>IFERROR(__xludf.DUMMYFUNCTION("""COMPUTED_VALUE"""),"paxthemax")</f>
        <v>paxthemax</v>
      </c>
    </row>
    <row r="481">
      <c r="A481" s="18"/>
      <c r="B481" s="18"/>
      <c r="C481" s="18"/>
      <c r="D481" s="18"/>
    </row>
    <row r="482">
      <c r="A482" s="18"/>
      <c r="B482" s="18"/>
      <c r="C482" s="18"/>
      <c r="D482" s="18"/>
    </row>
    <row r="483">
      <c r="A483" s="18"/>
      <c r="B483" s="18"/>
      <c r="C483" s="18"/>
      <c r="D483" s="18"/>
    </row>
    <row r="484">
      <c r="A484" s="18" t="str">
        <f>IFERROR(__xludf.DUMMYFUNCTION("""COMPUTED_VALUE"""),"🐙 peth don't need your eth#8052")</f>
        <v>🐙 peth don't need your eth#8052</v>
      </c>
      <c r="B484" s="18"/>
      <c r="C484" s="18" t="str">
        <f>IFERROR(__xludf.DUMMYFUNCTION("""COMPUTED_VALUE"""),"petheth")</f>
        <v>petheth</v>
      </c>
      <c r="D484" s="18" t="str">
        <f>IFERROR(__xludf.DUMMYFUNCTION("""COMPUTED_VALUE"""),"petheth")</f>
        <v>petheth</v>
      </c>
    </row>
    <row r="485">
      <c r="A485" s="18" t="str">
        <f>IFERROR(__xludf.DUMMYFUNCTION("""COMPUTED_VALUE"""),"metaverde#2503")</f>
        <v>metaverde#2503</v>
      </c>
      <c r="B485" s="18" t="str">
        <f>IFERROR(__xludf.DUMMYFUNCTION("""COMPUTED_VALUE"""),"metaverde")</f>
        <v>metaverde</v>
      </c>
      <c r="C485" s="18" t="str">
        <f>IFERROR(__xludf.DUMMYFUNCTION("""COMPUTED_VALUE"""),"metaverde")</f>
        <v>metaverde</v>
      </c>
      <c r="D485" s="18" t="str">
        <f>IFERROR(__xludf.DUMMYFUNCTION("""COMPUTED_VALUE"""),"metaverde")</f>
        <v>metaverde</v>
      </c>
    </row>
    <row r="486">
      <c r="A486" s="18" t="str">
        <f>IFERROR(__xludf.DUMMYFUNCTION("""COMPUTED_VALUE"""),"philh#1102")</f>
        <v>philh#1102</v>
      </c>
      <c r="B486" s="18" t="str">
        <f>IFERROR(__xludf.DUMMYFUNCTION("""COMPUTED_VALUE"""),"philh")</f>
        <v>philh</v>
      </c>
      <c r="C486" s="18" t="str">
        <f>IFERROR(__xludf.DUMMYFUNCTION("""COMPUTED_VALUE"""),"phil_h")</f>
        <v>phil_h</v>
      </c>
      <c r="D486" s="18" t="str">
        <f>IFERROR(__xludf.DUMMYFUNCTION("""COMPUTED_VALUE"""),"phil_h")</f>
        <v>phil_h</v>
      </c>
    </row>
    <row r="487">
      <c r="A487" s="18"/>
      <c r="B487" s="18"/>
      <c r="C487" s="18"/>
      <c r="D487" s="18"/>
    </row>
    <row r="488">
      <c r="A488" s="18"/>
      <c r="B488" s="18"/>
      <c r="C488" s="18" t="str">
        <f>IFERROR(__xludf.DUMMYFUNCTION("""COMPUTED_VALUE"""),"Lanski13")</f>
        <v>Lanski13</v>
      </c>
      <c r="D488" s="18" t="str">
        <f>IFERROR(__xludf.DUMMYFUNCTION("""COMPUTED_VALUE"""),"Lanski13")</f>
        <v>Lanski13</v>
      </c>
    </row>
    <row r="489">
      <c r="A489" s="18"/>
      <c r="B489" s="18"/>
      <c r="C489" s="18"/>
      <c r="D489" s="18"/>
    </row>
    <row r="490">
      <c r="A490" s="18"/>
      <c r="B490" s="18"/>
      <c r="C490" s="18"/>
      <c r="D490" s="18"/>
    </row>
    <row r="491">
      <c r="A491" s="18"/>
      <c r="B491" s="18"/>
      <c r="C491" s="18" t="str">
        <f>IFERROR(__xludf.DUMMYFUNCTION("""COMPUTED_VALUE"""),"positonic")</f>
        <v>positonic</v>
      </c>
      <c r="D491" s="18" t="str">
        <f>IFERROR(__xludf.DUMMYFUNCTION("""COMPUTED_VALUE"""),"positonic")</f>
        <v>positonic</v>
      </c>
    </row>
    <row r="492">
      <c r="A492" s="18" t="str">
        <f>IFERROR(__xludf.DUMMYFUNCTION("""COMPUTED_VALUE"""),"pprhsk#6151")</f>
        <v>pprhsk#6151</v>
      </c>
      <c r="B492" s="18" t="str">
        <f>IFERROR(__xludf.DUMMYFUNCTION("""COMPUTED_VALUE"""),"pprhsk")</f>
        <v>pprhsk</v>
      </c>
      <c r="C492" s="18" t="str">
        <f>IFERROR(__xludf.DUMMYFUNCTION("""COMPUTED_VALUE"""),"pprhsk")</f>
        <v>pprhsk</v>
      </c>
      <c r="D492" s="18" t="str">
        <f>IFERROR(__xludf.DUMMYFUNCTION("""COMPUTED_VALUE"""),"pprhsk")</f>
        <v>pprhsk</v>
      </c>
    </row>
    <row r="493">
      <c r="A493" s="18"/>
      <c r="B493" s="18"/>
      <c r="C493" s="18"/>
      <c r="D493" s="18"/>
    </row>
    <row r="494">
      <c r="A494" s="18"/>
      <c r="B494" s="18"/>
      <c r="C494" s="18"/>
      <c r="D494" s="18"/>
    </row>
    <row r="495">
      <c r="A495" s="18"/>
      <c r="B495" s="18"/>
      <c r="C495" s="18"/>
      <c r="D495" s="18"/>
    </row>
    <row r="496">
      <c r="A496" s="18" t="str">
        <f>IFERROR(__xludf.DUMMYFUNCTION("""COMPUTED_VALUE"""),"Pronoia🐙#2154")</f>
        <v>Pronoia🐙#2154</v>
      </c>
      <c r="B496" s="18"/>
      <c r="C496" s="18"/>
      <c r="D496" s="18" t="str">
        <f>IFERROR(__xludf.DUMMYFUNCTION("""COMPUTED_VALUE"""),"Pronoia🐙#2154")</f>
        <v>Pronoia🐙#2154</v>
      </c>
    </row>
    <row r="497">
      <c r="A497" s="18"/>
      <c r="B497" s="18"/>
      <c r="C497" s="18" t="str">
        <f>IFERROR(__xludf.DUMMYFUNCTION("""COMPUTED_VALUE"""),"proofoftom")</f>
        <v>proofoftom</v>
      </c>
      <c r="D497" s="18" t="str">
        <f>IFERROR(__xludf.DUMMYFUNCTION("""COMPUTED_VALUE"""),"proofoftom")</f>
        <v>proofoftom</v>
      </c>
    </row>
    <row r="498">
      <c r="A498" s="18"/>
      <c r="B498" s="18"/>
      <c r="C498" s="18"/>
      <c r="D498" s="18"/>
    </row>
    <row r="499">
      <c r="A499" s="18"/>
      <c r="B499" s="18"/>
      <c r="C499" s="18"/>
      <c r="D499" s="18"/>
    </row>
    <row r="500">
      <c r="A500" s="18"/>
      <c r="B500" s="18"/>
      <c r="C500" s="18"/>
      <c r="D500" s="18"/>
    </row>
    <row r="501">
      <c r="A501" s="18"/>
      <c r="B501" s="18"/>
      <c r="C501" s="18" t="str">
        <f>IFERROR(__xludf.DUMMYFUNCTION("""COMPUTED_VALUE"""),"quartagiulio")</f>
        <v>quartagiulio</v>
      </c>
      <c r="D501" s="18" t="str">
        <f>IFERROR(__xludf.DUMMYFUNCTION("""COMPUTED_VALUE"""),"quartagiulio")</f>
        <v>quartagiulio</v>
      </c>
    </row>
    <row r="502">
      <c r="A502" s="18"/>
      <c r="B502" s="18"/>
      <c r="C502" s="18"/>
      <c r="D502" s="18"/>
    </row>
    <row r="503">
      <c r="A503" s="18" t="str">
        <f>IFERROR(__xludf.DUMMYFUNCTION("""COMPUTED_VALUE"""),"tjayrush#9164")</f>
        <v>tjayrush#9164</v>
      </c>
      <c r="B503" s="18"/>
      <c r="C503" s="18" t="str">
        <f>IFERROR(__xludf.DUMMYFUNCTION("""COMPUTED_VALUE"""),"tjayrush")</f>
        <v>tjayrush</v>
      </c>
      <c r="D503" s="18" t="str">
        <f>IFERROR(__xludf.DUMMYFUNCTION("""COMPUTED_VALUE"""),"tjayrush")</f>
        <v>tjayrush</v>
      </c>
    </row>
    <row r="504">
      <c r="A504" s="18"/>
      <c r="B504" s="18"/>
      <c r="C504" s="18"/>
      <c r="D504" s="18"/>
    </row>
    <row r="505">
      <c r="A505" s="18"/>
      <c r="B505" s="18"/>
      <c r="C505" s="18"/>
      <c r="D505" s="18"/>
    </row>
    <row r="506">
      <c r="A506" s="18"/>
      <c r="B506" s="18"/>
      <c r="C506" s="18" t="str">
        <f>IFERROR(__xludf.DUMMYFUNCTION("""COMPUTED_VALUE"""),"rodrigouy")</f>
        <v>rodrigouy</v>
      </c>
      <c r="D506" s="18" t="str">
        <f>IFERROR(__xludf.DUMMYFUNCTION("""COMPUTED_VALUE"""),"rodrigouy")</f>
        <v>rodrigouy</v>
      </c>
    </row>
    <row r="507">
      <c r="A507" s="18"/>
      <c r="B507" s="18"/>
      <c r="C507" s="18"/>
      <c r="D507" s="18"/>
    </row>
    <row r="508">
      <c r="A508" s="18"/>
      <c r="B508" s="18"/>
      <c r="C508" s="18"/>
      <c r="D508" s="18"/>
    </row>
    <row r="509">
      <c r="A509" s="18"/>
      <c r="B509" s="18"/>
      <c r="C509" s="18"/>
      <c r="D509" s="18"/>
    </row>
    <row r="510">
      <c r="A510" s="18"/>
      <c r="B510" s="18"/>
      <c r="C510" s="18" t="str">
        <f>IFERROR(__xludf.DUMMYFUNCTION("""COMPUTED_VALUE"""),"taulantramabaja")</f>
        <v>taulantramabaja</v>
      </c>
      <c r="D510" s="18" t="str">
        <f>IFERROR(__xludf.DUMMYFUNCTION("""COMPUTED_VALUE"""),"taulantramabaja")</f>
        <v>taulantramabaja</v>
      </c>
    </row>
    <row r="511">
      <c r="A511" s="18" t="str">
        <f>IFERROR(__xludf.DUMMYFUNCTION("""COMPUTED_VALUE"""),"GraceRachmany#9780")</f>
        <v>GraceRachmany#9780</v>
      </c>
      <c r="B511" s="18"/>
      <c r="C511" s="18" t="str">
        <f>IFERROR(__xludf.DUMMYFUNCTION("""COMPUTED_VALUE"""),"GraceRachmany")</f>
        <v>GraceRachmany</v>
      </c>
      <c r="D511" s="18" t="str">
        <f>IFERROR(__xludf.DUMMYFUNCTION("""COMPUTED_VALUE"""),"GraceRachmany")</f>
        <v>GraceRachmany</v>
      </c>
    </row>
    <row r="512">
      <c r="A512" s="18"/>
      <c r="B512" s="18"/>
      <c r="C512" s="18" t="str">
        <f>IFERROR(__xludf.DUMMYFUNCTION("""COMPUTED_VALUE"""),"cpt_grog")</f>
        <v>cpt_grog</v>
      </c>
      <c r="D512" s="18" t="str">
        <f>IFERROR(__xludf.DUMMYFUNCTION("""COMPUTED_VALUE"""),"cpt_grog")</f>
        <v>cpt_grog</v>
      </c>
    </row>
    <row r="513">
      <c r="A513" s="18"/>
      <c r="B513" s="18"/>
      <c r="C513" s="18"/>
      <c r="D513" s="18"/>
    </row>
    <row r="514">
      <c r="A514" s="18"/>
      <c r="B514" s="18"/>
      <c r="C514" s="18"/>
      <c r="D514" s="18"/>
    </row>
    <row r="515">
      <c r="A515" s="18"/>
      <c r="B515" s="18"/>
      <c r="C515" s="18" t="str">
        <f>IFERROR(__xludf.DUMMYFUNCTION("""COMPUTED_VALUE"""),"reneil1337")</f>
        <v>reneil1337</v>
      </c>
      <c r="D515" s="18" t="str">
        <f>IFERROR(__xludf.DUMMYFUNCTION("""COMPUTED_VALUE"""),"reneil1337")</f>
        <v>reneil1337</v>
      </c>
    </row>
    <row r="516">
      <c r="A516" s="18"/>
      <c r="B516" s="18"/>
      <c r="C516" s="18" t="str">
        <f>IFERROR(__xludf.DUMMYFUNCTION("""COMPUTED_VALUE"""),"RenzoD5")</f>
        <v>RenzoD5</v>
      </c>
      <c r="D516" s="18" t="str">
        <f>IFERROR(__xludf.DUMMYFUNCTION("""COMPUTED_VALUE"""),"RenzoD5")</f>
        <v>RenzoD5</v>
      </c>
    </row>
    <row r="517">
      <c r="A517" s="18"/>
      <c r="B517" s="18"/>
      <c r="C517" s="18" t="str">
        <f>IFERROR(__xludf.DUMMYFUNCTION("""COMPUTED_VALUE"""),"RezBrandon")</f>
        <v>RezBrandon</v>
      </c>
      <c r="D517" s="18" t="str">
        <f>IFERROR(__xludf.DUMMYFUNCTION("""COMPUTED_VALUE"""),"RezBrandon")</f>
        <v>RezBrandon</v>
      </c>
    </row>
    <row r="518">
      <c r="A518" s="18"/>
      <c r="B518" s="18"/>
      <c r="C518" s="18" t="str">
        <f>IFERROR(__xludf.DUMMYFUNCTION("""COMPUTED_VALUE"""),"rflxvty")</f>
        <v>rflxvty</v>
      </c>
      <c r="D518" s="18" t="str">
        <f>IFERROR(__xludf.DUMMYFUNCTION("""COMPUTED_VALUE"""),"rflxvty")</f>
        <v>rflxvty</v>
      </c>
    </row>
    <row r="519">
      <c r="A519" s="18"/>
      <c r="B519" s="18"/>
      <c r="C519" s="18"/>
      <c r="D519" s="18"/>
    </row>
    <row r="520">
      <c r="A520" s="18"/>
      <c r="B520" s="18"/>
      <c r="C520" s="18" t="str">
        <f>IFERROR(__xludf.DUMMYFUNCTION("""COMPUTED_VALUE"""),"Seedsalchemist")</f>
        <v>Seedsalchemist</v>
      </c>
      <c r="D520" s="18" t="str">
        <f>IFERROR(__xludf.DUMMYFUNCTION("""COMPUTED_VALUE"""),"Seedsalchemist")</f>
        <v>Seedsalchemist</v>
      </c>
    </row>
    <row r="521">
      <c r="A521" s="18"/>
      <c r="B521" s="18"/>
      <c r="C521" s="18"/>
      <c r="D521" s="18"/>
    </row>
    <row r="522">
      <c r="A522" s="18"/>
      <c r="B522" s="18"/>
      <c r="C522" s="18"/>
      <c r="D522" s="18"/>
    </row>
    <row r="523">
      <c r="A523" s="18"/>
      <c r="B523" s="18"/>
      <c r="C523" s="18"/>
      <c r="D523" s="18"/>
    </row>
    <row r="524">
      <c r="A524" s="18"/>
      <c r="B524" s="18"/>
      <c r="C524" s="18" t="str">
        <f>IFERROR(__xludf.DUMMYFUNCTION("""COMPUTED_VALUE"""),"rotkichat")</f>
        <v>rotkichat</v>
      </c>
      <c r="D524" s="18" t="str">
        <f>IFERROR(__xludf.DUMMYFUNCTION("""COMPUTED_VALUE"""),"rotkichat")</f>
        <v>rotkichat</v>
      </c>
    </row>
    <row r="525">
      <c r="A525" s="18" t="str">
        <f>IFERROR(__xludf.DUMMYFUNCTION("""COMPUTED_VALUE"""),"Ruben Russel#6434")</f>
        <v>Ruben Russel#6434</v>
      </c>
      <c r="B525" s="18"/>
      <c r="C525" s="18" t="str">
        <f>IFERROR(__xludf.DUMMYFUNCTION("""COMPUTED_VALUE"""),"rubenrussel7")</f>
        <v>rubenrussel7</v>
      </c>
      <c r="D525" s="18" t="str">
        <f>IFERROR(__xludf.DUMMYFUNCTION("""COMPUTED_VALUE"""),"rubenrussel7")</f>
        <v>rubenrussel7</v>
      </c>
    </row>
    <row r="526">
      <c r="A526" s="18"/>
      <c r="B526" s="18"/>
      <c r="C526" s="18"/>
      <c r="D526" s="18"/>
    </row>
    <row r="527">
      <c r="A527" s="18"/>
      <c r="B527" s="18"/>
      <c r="C527" s="18"/>
      <c r="D527" s="18"/>
    </row>
    <row r="528">
      <c r="A528" s="18"/>
      <c r="B528" s="18"/>
      <c r="C528" s="18" t="str">
        <f>IFERROR(__xludf.DUMMYFUNCTION("""COMPUTED_VALUE"""),"danibelle")</f>
        <v>danibelle</v>
      </c>
      <c r="D528" s="18" t="str">
        <f>IFERROR(__xludf.DUMMYFUNCTION("""COMPUTED_VALUE"""),"danibelle")</f>
        <v>danibelle</v>
      </c>
    </row>
    <row r="529">
      <c r="A529" s="18" t="str">
        <f>IFERROR(__xludf.DUMMYFUNCTION("""COMPUTED_VALUE"""),"ryanchrypto#3588")</f>
        <v>ryanchrypto#3588</v>
      </c>
      <c r="B529" s="18" t="str">
        <f>IFERROR(__xludf.DUMMYFUNCTION("""COMPUTED_VALUE"""),"ryanchrypto")</f>
        <v>ryanchrypto</v>
      </c>
      <c r="C529" s="18" t="str">
        <f>IFERROR(__xludf.DUMMYFUNCTION("""COMPUTED_VALUE"""),"ryanchrypto")</f>
        <v>ryanchrypto</v>
      </c>
      <c r="D529" s="18" t="str">
        <f>IFERROR(__xludf.DUMMYFUNCTION("""COMPUTED_VALUE"""),"ryanchrypto")</f>
        <v>ryanchrypto</v>
      </c>
    </row>
    <row r="530">
      <c r="A530" s="18"/>
      <c r="B530" s="18"/>
      <c r="C530" s="18"/>
      <c r="D530" s="18"/>
    </row>
    <row r="531">
      <c r="A531" s="18"/>
      <c r="B531" s="18"/>
      <c r="C531" s="18"/>
      <c r="D531" s="18"/>
    </row>
    <row r="532">
      <c r="A532" s="18"/>
      <c r="B532" s="18"/>
      <c r="C532" s="18"/>
      <c r="D532" s="18"/>
    </row>
    <row r="533">
      <c r="A533" s="18"/>
      <c r="B533" s="18"/>
      <c r="C533" s="18"/>
      <c r="D533" s="18"/>
    </row>
    <row r="534">
      <c r="A534" s="18" t="str">
        <f>IFERROR(__xludf.DUMMYFUNCTION("""COMPUTED_VALUE"""),"santigs#9769")</f>
        <v>santigs#9769</v>
      </c>
      <c r="B534" s="18" t="str">
        <f>IFERROR(__xludf.DUMMYFUNCTION("""COMPUTED_VALUE"""),"santigs")</f>
        <v>santigs</v>
      </c>
      <c r="C534" s="18" t="str">
        <f>IFERROR(__xludf.DUMMYFUNCTION("""COMPUTED_VALUE"""),"Santigs67")</f>
        <v>Santigs67</v>
      </c>
      <c r="D534" s="18" t="str">
        <f>IFERROR(__xludf.DUMMYFUNCTION("""COMPUTED_VALUE"""),"Santigs67")</f>
        <v>Santigs67</v>
      </c>
    </row>
    <row r="535">
      <c r="A535" s="18" t="str">
        <f>IFERROR(__xludf.DUMMYFUNCTION("""COMPUTED_VALUE"""),"Santiago#0325")</f>
        <v>Santiago#0325</v>
      </c>
      <c r="B535" s="18"/>
      <c r="C535" s="18" t="str">
        <f>IFERROR(__xludf.DUMMYFUNCTION("""COMPUTED_VALUE"""),"sgonzt")</f>
        <v>sgonzt</v>
      </c>
      <c r="D535" s="18" t="str">
        <f>IFERROR(__xludf.DUMMYFUNCTION("""COMPUTED_VALUE"""),"sgonzt")</f>
        <v>sgonzt</v>
      </c>
    </row>
    <row r="536">
      <c r="A536" s="18"/>
      <c r="B536" s="18"/>
      <c r="C536" s="18" t="str">
        <f>IFERROR(__xludf.DUMMYFUNCTION("""COMPUTED_VALUE"""),"Julian_Richter")</f>
        <v>Julian_Richter</v>
      </c>
      <c r="D536" s="18" t="str">
        <f>IFERROR(__xludf.DUMMYFUNCTION("""COMPUTED_VALUE"""),"Julian_Richter")</f>
        <v>Julian_Richter</v>
      </c>
    </row>
    <row r="537">
      <c r="A537" s="18"/>
      <c r="B537" s="18"/>
      <c r="C537" s="18" t="str">
        <f>IFERROR(__xludf.DUMMYFUNCTION("""COMPUTED_VALUE"""),"scupytrooples")</f>
        <v>scupytrooples</v>
      </c>
      <c r="D537" s="18" t="str">
        <f>IFERROR(__xludf.DUMMYFUNCTION("""COMPUTED_VALUE"""),"scupytrooples")</f>
        <v>scupytrooples</v>
      </c>
    </row>
    <row r="538">
      <c r="A538" s="18" t="str">
        <f>IFERROR(__xludf.DUMMYFUNCTION("""COMPUTED_VALUE"""),"solsista")</f>
        <v>solsista</v>
      </c>
      <c r="B538" s="18"/>
      <c r="C538" s="18" t="str">
        <f>IFERROR(__xludf.DUMMYFUNCTION("""COMPUTED_VALUE"""),"solsista")</f>
        <v>solsista</v>
      </c>
      <c r="D538" s="18" t="str">
        <f>IFERROR(__xludf.DUMMYFUNCTION("""COMPUTED_VALUE"""),"solsista")</f>
        <v>solsista</v>
      </c>
    </row>
    <row r="539">
      <c r="A539" s="18"/>
      <c r="B539" s="18"/>
      <c r="C539" s="18"/>
      <c r="D539" s="18"/>
    </row>
    <row r="540">
      <c r="A540" s="18"/>
      <c r="B540" s="18"/>
      <c r="C540" s="18" t="str">
        <f>IFERROR(__xludf.DUMMYFUNCTION("""COMPUTED_VALUE"""),"sepu85")</f>
        <v>sepu85</v>
      </c>
      <c r="D540" s="18" t="str">
        <f>IFERROR(__xludf.DUMMYFUNCTION("""COMPUTED_VALUE"""),"sepu85")</f>
        <v>sepu85</v>
      </c>
    </row>
    <row r="541">
      <c r="A541" s="18"/>
      <c r="B541" s="18"/>
      <c r="C541" s="18"/>
      <c r="D541" s="18"/>
    </row>
    <row r="542">
      <c r="A542" s="18"/>
      <c r="B542" s="18"/>
      <c r="C542" s="18"/>
      <c r="D542" s="18"/>
    </row>
    <row r="543">
      <c r="A543" s="18"/>
      <c r="B543" s="18"/>
      <c r="C543" s="18"/>
      <c r="D543" s="18"/>
    </row>
    <row r="544">
      <c r="A544" s="18"/>
      <c r="B544" s="18"/>
      <c r="C544" s="18"/>
      <c r="D544" s="18"/>
    </row>
    <row r="545">
      <c r="A545" s="18" t="str">
        <f>IFERROR(__xludf.DUMMYFUNCTION("""COMPUTED_VALUE"""),"shermin#6154")</f>
        <v>shermin#6154</v>
      </c>
      <c r="B545" s="18"/>
      <c r="C545" s="18" t="str">
        <f>IFERROR(__xludf.DUMMYFUNCTION("""COMPUTED_VALUE"""),"sherminv")</f>
        <v>sherminv</v>
      </c>
      <c r="D545" s="18" t="str">
        <f>IFERROR(__xludf.DUMMYFUNCTION("""COMPUTED_VALUE"""),"sherminv")</f>
        <v>sherminv</v>
      </c>
    </row>
    <row r="546">
      <c r="A546" s="18"/>
      <c r="B546" s="18"/>
      <c r="C546" s="18"/>
      <c r="D546" s="18"/>
    </row>
    <row r="547">
      <c r="A547" s="18"/>
      <c r="B547" s="18"/>
      <c r="C547" s="18" t="str">
        <f>IFERROR(__xludf.DUMMYFUNCTION("""COMPUTED_VALUE"""),"kristoferkristofer ")</f>
        <v>kristoferkristofer </v>
      </c>
      <c r="D547" s="18" t="str">
        <f>IFERROR(__xludf.DUMMYFUNCTION("""COMPUTED_VALUE"""),"kristoferkristofer ")</f>
        <v>kristoferkristofer </v>
      </c>
    </row>
    <row r="548">
      <c r="A548" s="18"/>
      <c r="B548" s="18"/>
      <c r="C548" s="18"/>
      <c r="D548" s="18"/>
    </row>
    <row r="549">
      <c r="A549" s="18"/>
      <c r="B549" s="18"/>
      <c r="C549" s="18"/>
      <c r="D549" s="18"/>
    </row>
    <row r="550">
      <c r="A550" s="18" t="str">
        <f>IFERROR(__xludf.DUMMYFUNCTION("""COMPUTED_VALUE"""),"simondlr#8472")</f>
        <v>simondlr#8472</v>
      </c>
      <c r="B550" s="18"/>
      <c r="C550" s="18" t="str">
        <f>IFERROR(__xludf.DUMMYFUNCTION("""COMPUTED_VALUE"""),"simondlr")</f>
        <v>simondlr</v>
      </c>
      <c r="D550" s="18" t="str">
        <f>IFERROR(__xludf.DUMMYFUNCTION("""COMPUTED_VALUE"""),"simondlr")</f>
        <v>simondlr</v>
      </c>
    </row>
    <row r="551">
      <c r="A551" s="18"/>
      <c r="B551" s="18"/>
      <c r="C551" s="18" t="str">
        <f>IFERROR(__xludf.DUMMYFUNCTION("""COMPUTED_VALUE"""),"Smokyish")</f>
        <v>Smokyish</v>
      </c>
      <c r="D551" s="18" t="str">
        <f>IFERROR(__xludf.DUMMYFUNCTION("""COMPUTED_VALUE"""),"Smokyish")</f>
        <v>Smokyish</v>
      </c>
    </row>
    <row r="552">
      <c r="A552" s="18"/>
      <c r="B552" s="18"/>
      <c r="C552" s="18"/>
      <c r="D552" s="18"/>
    </row>
    <row r="553">
      <c r="A553" s="18"/>
      <c r="B553" s="18"/>
      <c r="C553" s="18" t="str">
        <f>IFERROR(__xludf.DUMMYFUNCTION("""COMPUTED_VALUE"""),"SofiaDW3")</f>
        <v>SofiaDW3</v>
      </c>
      <c r="D553" s="18" t="str">
        <f>IFERROR(__xludf.DUMMYFUNCTION("""COMPUTED_VALUE"""),"SofiaDW3")</f>
        <v>SofiaDW3</v>
      </c>
    </row>
    <row r="554">
      <c r="A554" s="18"/>
      <c r="B554" s="18"/>
      <c r="C554" s="18" t="str">
        <f>IFERROR(__xludf.DUMMYFUNCTION("""COMPUTED_VALUE"""),"solarpunk_girl")</f>
        <v>solarpunk_girl</v>
      </c>
      <c r="D554" s="18" t="str">
        <f>IFERROR(__xludf.DUMMYFUNCTION("""COMPUTED_VALUE"""),"solarpunk_girl")</f>
        <v>solarpunk_girl</v>
      </c>
    </row>
    <row r="555">
      <c r="A555" s="18"/>
      <c r="B555" s="18"/>
      <c r="C555" s="18"/>
      <c r="D555" s="18"/>
    </row>
    <row r="556">
      <c r="A556" s="18"/>
      <c r="B556" s="18"/>
      <c r="C556" s="18"/>
      <c r="D556" s="18"/>
    </row>
    <row r="557">
      <c r="A557" s="18"/>
      <c r="B557" s="18"/>
      <c r="C557" s="18" t="str">
        <f>IFERROR(__xludf.DUMMYFUNCTION("""COMPUTED_VALUE"""),"Sponnet2")</f>
        <v>Sponnet2</v>
      </c>
      <c r="D557" s="18" t="str">
        <f>IFERROR(__xludf.DUMMYFUNCTION("""COMPUTED_VALUE"""),"Sponnet2")</f>
        <v>Sponnet2</v>
      </c>
    </row>
    <row r="558">
      <c r="A558" s="18"/>
      <c r="B558" s="18"/>
      <c r="C558" s="18"/>
      <c r="D558" s="18"/>
    </row>
    <row r="559">
      <c r="A559" s="18"/>
      <c r="B559" s="18"/>
      <c r="C559" s="18" t="str">
        <f>IFERROR(__xludf.DUMMYFUNCTION("""COMPUTED_VALUE"""),"staccop2p")</f>
        <v>staccop2p</v>
      </c>
      <c r="D559" s="18" t="str">
        <f>IFERROR(__xludf.DUMMYFUNCTION("""COMPUTED_VALUE"""),"staccop2p")</f>
        <v>staccop2p</v>
      </c>
    </row>
    <row r="560">
      <c r="A560" s="18"/>
      <c r="B560" s="18"/>
      <c r="C560" s="18"/>
      <c r="D560" s="18"/>
    </row>
    <row r="561">
      <c r="A561" s="18"/>
      <c r="B561" s="18"/>
      <c r="C561" s="18" t="str">
        <f>IFERROR(__xludf.DUMMYFUNCTION("""COMPUTED_VALUE"""),"stellarmagnet")</f>
        <v>stellarmagnet</v>
      </c>
      <c r="D561" s="18" t="str">
        <f>IFERROR(__xludf.DUMMYFUNCTION("""COMPUTED_VALUE"""),"stellarmagnet")</f>
        <v>stellarmagnet</v>
      </c>
    </row>
    <row r="562">
      <c r="A562" s="18"/>
      <c r="B562" s="18"/>
      <c r="C562" s="18" t="str">
        <f>IFERROR(__xludf.DUMMYFUNCTION("""COMPUTED_VALUE"""),"stephen_yo")</f>
        <v>stephen_yo</v>
      </c>
      <c r="D562" s="18" t="str">
        <f>IFERROR(__xludf.DUMMYFUNCTION("""COMPUTED_VALUE"""),"stephen_yo")</f>
        <v>stephen_yo</v>
      </c>
    </row>
    <row r="563">
      <c r="A563" s="18"/>
      <c r="B563" s="18"/>
      <c r="C563" s="18"/>
      <c r="D563" s="18"/>
    </row>
    <row r="564">
      <c r="A564" s="18"/>
      <c r="B564" s="18"/>
      <c r="C564" s="18"/>
      <c r="D564" s="18"/>
    </row>
    <row r="565">
      <c r="A565" s="18"/>
      <c r="B565" s="18"/>
      <c r="C565" s="18" t="str">
        <f>IFERROR(__xludf.DUMMYFUNCTION("""COMPUTED_VALUE"""),"owocki")</f>
        <v>owocki</v>
      </c>
      <c r="D565" s="18" t="str">
        <f>IFERROR(__xludf.DUMMYFUNCTION("""COMPUTED_VALUE"""),"owocki")</f>
        <v>owocki</v>
      </c>
    </row>
    <row r="566">
      <c r="A566" s="18"/>
      <c r="B566" s="18"/>
      <c r="C566" s="18"/>
      <c r="D566" s="18"/>
    </row>
    <row r="567">
      <c r="A567" s="18"/>
      <c r="B567" s="18"/>
      <c r="C567" s="18"/>
      <c r="D567" s="18"/>
    </row>
    <row r="568">
      <c r="A568" s="18"/>
      <c r="B568" s="18"/>
      <c r="C568" s="18"/>
      <c r="D568" s="18"/>
    </row>
    <row r="569">
      <c r="A569" s="18" t="str">
        <f>IFERROR(__xludf.DUMMYFUNCTION("""COMPUTED_VALUE"""),"Tam2140#9361")</f>
        <v>Tam2140#9361</v>
      </c>
      <c r="B569" s="18" t="str">
        <f>IFERROR(__xludf.DUMMYFUNCTION("""COMPUTED_VALUE"""),"Tam2140")</f>
        <v>Tam2140</v>
      </c>
      <c r="C569" s="18" t="str">
        <f>IFERROR(__xludf.DUMMYFUNCTION("""COMPUTED_VALUE"""),"Tam2140")</f>
        <v>Tam2140</v>
      </c>
      <c r="D569" s="18" t="str">
        <f>IFERROR(__xludf.DUMMYFUNCTION("""COMPUTED_VALUE"""),"Tam2140")</f>
        <v>Tam2140</v>
      </c>
    </row>
    <row r="570">
      <c r="A570" s="18"/>
      <c r="B570" s="18"/>
      <c r="C570" s="18"/>
      <c r="D570" s="18"/>
    </row>
    <row r="571">
      <c r="A571" s="18" t="str">
        <f>IFERROR(__xludf.DUMMYFUNCTION("""COMPUTED_VALUE"""),"Kademlia#2253")</f>
        <v>Kademlia#2253</v>
      </c>
      <c r="B571" s="18"/>
      <c r="C571" s="18" t="str">
        <f>IFERROR(__xludf.DUMMYFUNCTION("""COMPUTED_VALUE"""),"TannrA")</f>
        <v>TannrA</v>
      </c>
      <c r="D571" s="18" t="str">
        <f>IFERROR(__xludf.DUMMYFUNCTION("""COMPUTED_VALUE"""),"TannrA")</f>
        <v>TannrA</v>
      </c>
    </row>
    <row r="572">
      <c r="A572" s="18"/>
      <c r="B572" s="18"/>
      <c r="C572" s="18"/>
      <c r="D572" s="18"/>
    </row>
    <row r="573">
      <c r="A573" s="18"/>
      <c r="B573" s="18"/>
      <c r="C573" s="18"/>
      <c r="D573" s="18"/>
    </row>
    <row r="574">
      <c r="A574" s="18"/>
      <c r="B574" s="18"/>
      <c r="C574" s="18" t="str">
        <f>IFERROR(__xludf.DUMMYFUNCTION("""COMPUTED_VALUE"""),"tayken ")</f>
        <v>tayken </v>
      </c>
      <c r="D574" s="18" t="str">
        <f>IFERROR(__xludf.DUMMYFUNCTION("""COMPUTED_VALUE"""),"tayken ")</f>
        <v>tayken </v>
      </c>
    </row>
    <row r="575">
      <c r="A575" s="18" t="str">
        <f>IFERROR(__xludf.DUMMYFUNCTION("""COMPUTED_VALUE"""),"The Blockchain Socialist#5005")</f>
        <v>The Blockchain Socialist#5005</v>
      </c>
      <c r="B575" s="18"/>
      <c r="C575" s="18"/>
      <c r="D575" s="18" t="str">
        <f>IFERROR(__xludf.DUMMYFUNCTION("""COMPUTED_VALUE"""),"The Blockchain Socialist#5005")</f>
        <v>The Blockchain Socialist#5005</v>
      </c>
    </row>
    <row r="576">
      <c r="A576" s="18"/>
      <c r="B576" s="18"/>
      <c r="C576" s="18"/>
      <c r="D576" s="18"/>
    </row>
    <row r="577">
      <c r="A577" s="18"/>
      <c r="B577" s="18"/>
      <c r="C577" s="18"/>
      <c r="D577" s="18"/>
    </row>
    <row r="578">
      <c r="A578" s="18"/>
      <c r="B578" s="18"/>
      <c r="C578" s="18"/>
      <c r="D578" s="18"/>
    </row>
    <row r="579">
      <c r="A579" s="18"/>
      <c r="B579" s="18"/>
      <c r="C579" s="18" t="str">
        <f>IFERROR(__xludf.DUMMYFUNCTION("""COMPUTED_VALUE"""),"akrtws")</f>
        <v>akrtws</v>
      </c>
      <c r="D579" s="18" t="str">
        <f>IFERROR(__xludf.DUMMYFUNCTION("""COMPUTED_VALUE"""),"akrtws")</f>
        <v>akrtws</v>
      </c>
    </row>
    <row r="580">
      <c r="A580" s="18" t="str">
        <f>IFERROR(__xludf.DUMMYFUNCTION("""COMPUTED_VALUE"""),"terry#6288")</f>
        <v>terry#6288</v>
      </c>
      <c r="B580" s="18"/>
      <c r="C580" s="18"/>
      <c r="D580" s="18" t="str">
        <f>IFERROR(__xludf.DUMMYFUNCTION("""COMPUTED_VALUE"""),"terry#6288")</f>
        <v>terry#6288</v>
      </c>
    </row>
    <row r="581">
      <c r="A581" s="18"/>
      <c r="B581" s="18"/>
      <c r="C581" s="18"/>
      <c r="D581" s="18"/>
    </row>
    <row r="582">
      <c r="A582" s="18"/>
      <c r="B582" s="18"/>
      <c r="C582" s="18"/>
      <c r="D582" s="18"/>
    </row>
    <row r="583">
      <c r="A583" s="18"/>
      <c r="B583" s="18"/>
      <c r="C583" s="18" t="str">
        <f>IFERROR(__xludf.DUMMYFUNCTION("""COMPUTED_VALUE"""),"thecryptodrive")</f>
        <v>thecryptodrive</v>
      </c>
      <c r="D583" s="18"/>
    </row>
    <row r="584">
      <c r="A584" s="18"/>
      <c r="B584" s="18"/>
      <c r="C584" s="18"/>
      <c r="D584" s="18"/>
    </row>
    <row r="585">
      <c r="A585" s="18"/>
      <c r="B585" s="18"/>
      <c r="C585" s="18"/>
      <c r="D585" s="18"/>
    </row>
    <row r="586">
      <c r="A586" s="18" t="str">
        <f>IFERROR(__xludf.DUMMYFUNCTION("""COMPUTED_VALUE"""),"griff#3281")</f>
        <v>griff#3281</v>
      </c>
      <c r="B586" s="18" t="str">
        <f>IFERROR(__xludf.DUMMYFUNCTION("""COMPUTED_VALUE"""),"griff")</f>
        <v>griff</v>
      </c>
      <c r="C586" s="18" t="str">
        <f>IFERROR(__xludf.DUMMYFUNCTION("""COMPUTED_VALUE"""),"GriffGreen")</f>
        <v>GriffGreen</v>
      </c>
      <c r="D586" s="18" t="str">
        <f>IFERROR(__xludf.DUMMYFUNCTION("""COMPUTED_VALUE"""),"GriffGreen")</f>
        <v>GriffGreen</v>
      </c>
    </row>
    <row r="587">
      <c r="A587" s="18" t="str">
        <f>IFERROR(__xludf.DUMMYFUNCTION("""COMPUTED_VALUE"""),"danibelle#1111")</f>
        <v>danibelle#1111</v>
      </c>
      <c r="B587" s="18"/>
      <c r="C587" s="18" t="str">
        <f>IFERROR(__xludf.DUMMYFUNCTION("""COMPUTED_VALUE"""),"danibelle")</f>
        <v>danibelle</v>
      </c>
      <c r="D587" s="18" t="str">
        <f>IFERROR(__xludf.DUMMYFUNCTION("""COMPUTED_VALUE"""),"danibelle")</f>
        <v>danibelle</v>
      </c>
    </row>
    <row r="588">
      <c r="A588" s="18"/>
      <c r="B588" s="18"/>
      <c r="C588" s="18"/>
      <c r="D588" s="18"/>
    </row>
    <row r="589">
      <c r="A589" s="18"/>
      <c r="B589" s="18"/>
      <c r="C589" s="18" t="str">
        <f>IFERROR(__xludf.DUMMYFUNCTION("""COMPUTED_VALUE"""),"thibauld")</f>
        <v>thibauld</v>
      </c>
      <c r="D589" s="18" t="str">
        <f>IFERROR(__xludf.DUMMYFUNCTION("""COMPUTED_VALUE"""),"thibauld")</f>
        <v>thibauld</v>
      </c>
    </row>
    <row r="590">
      <c r="A590" s="18"/>
      <c r="B590" s="18"/>
      <c r="C590" s="18"/>
      <c r="D590" s="18"/>
    </row>
    <row r="591">
      <c r="A591" s="18"/>
      <c r="B591" s="18"/>
      <c r="C591" s="18"/>
      <c r="D591" s="18"/>
    </row>
    <row r="592">
      <c r="A592" s="18"/>
      <c r="B592" s="18"/>
      <c r="C592" s="18"/>
      <c r="D592" s="18"/>
    </row>
    <row r="593">
      <c r="A593" s="18"/>
      <c r="B593" s="18"/>
      <c r="C593" s="18" t="str">
        <f>IFERROR(__xludf.DUMMYFUNCTION("""COMPUTED_VALUE"""),"tjayrush")</f>
        <v>tjayrush</v>
      </c>
      <c r="D593" s="18" t="str">
        <f>IFERROR(__xludf.DUMMYFUNCTION("""COMPUTED_VALUE"""),"tjayrush")</f>
        <v>tjayrush</v>
      </c>
    </row>
    <row r="594">
      <c r="A594" s="18"/>
      <c r="B594" s="18"/>
      <c r="C594" s="18" t="str">
        <f>IFERROR(__xludf.DUMMYFUNCTION("""COMPUTED_VALUE"""),"todd_y")</f>
        <v>todd_y</v>
      </c>
      <c r="D594" s="18" t="str">
        <f>IFERROR(__xludf.DUMMYFUNCTION("""COMPUTED_VALUE"""),"todd_y")</f>
        <v>todd_y</v>
      </c>
    </row>
    <row r="595">
      <c r="A595" s="18"/>
      <c r="B595" s="18"/>
      <c r="C595" s="18" t="str">
        <f>IFERROR(__xludf.DUMMYFUNCTION("""COMPUTED_VALUE"""),"TokenBrice")</f>
        <v>TokenBrice</v>
      </c>
      <c r="D595" s="18" t="str">
        <f>IFERROR(__xludf.DUMMYFUNCTION("""COMPUTED_VALUE"""),"TokenBrice")</f>
        <v>TokenBrice</v>
      </c>
    </row>
    <row r="596">
      <c r="A596" s="18"/>
      <c r="B596" s="18"/>
      <c r="C596" s="18" t="str">
        <f>IFERROR(__xludf.DUMMYFUNCTION("""COMPUTED_VALUE"""),"akrtws ")</f>
        <v>akrtws </v>
      </c>
      <c r="D596" s="18" t="str">
        <f>IFERROR(__xludf.DUMMYFUNCTION("""COMPUTED_VALUE"""),"akrtws ")</f>
        <v>akrtws </v>
      </c>
    </row>
    <row r="597">
      <c r="A597" s="18"/>
      <c r="B597" s="18"/>
      <c r="C597" s="18"/>
      <c r="D597" s="18"/>
    </row>
    <row r="598">
      <c r="A598" s="18"/>
      <c r="B598" s="18"/>
      <c r="C598" s="18"/>
      <c r="D598" s="18"/>
    </row>
    <row r="599">
      <c r="A599" s="18"/>
      <c r="B599" s="18"/>
      <c r="C599" s="18"/>
      <c r="D599" s="18"/>
    </row>
    <row r="600">
      <c r="A600" s="18"/>
      <c r="B600" s="18"/>
      <c r="C600" s="18"/>
      <c r="D600" s="18"/>
    </row>
    <row r="601">
      <c r="A601" s="18" t="str">
        <f>IFERROR(__xludf.DUMMYFUNCTION("""COMPUTED_VALUE"""),"trentmc0#2875")</f>
        <v>trentmc0#2875</v>
      </c>
      <c r="B601" s="18" t="str">
        <f>IFERROR(__xludf.DUMMYFUNCTION("""COMPUTED_VALUE"""),"trentmc0")</f>
        <v>trentmc0</v>
      </c>
      <c r="C601" s="18" t="str">
        <f>IFERROR(__xludf.DUMMYFUNCTION("""COMPUTED_VALUE"""),"trentmc0")</f>
        <v>trentmc0</v>
      </c>
      <c r="D601" s="18" t="str">
        <f>IFERROR(__xludf.DUMMYFUNCTION("""COMPUTED_VALUE"""),"trentmc0")</f>
        <v>trentmc0</v>
      </c>
    </row>
    <row r="602">
      <c r="A602" s="18"/>
      <c r="B602" s="18"/>
      <c r="C602" s="18"/>
      <c r="D602" s="18"/>
    </row>
    <row r="603">
      <c r="A603" s="18"/>
      <c r="B603" s="18"/>
      <c r="C603" s="18"/>
      <c r="D603" s="18"/>
    </row>
    <row r="604">
      <c r="A604" s="18"/>
      <c r="B604" s="18"/>
      <c r="C604" s="18"/>
      <c r="D604" s="18"/>
    </row>
    <row r="605">
      <c r="A605" s="18"/>
      <c r="B605" s="18"/>
      <c r="C605" s="18"/>
      <c r="D605" s="18"/>
    </row>
    <row r="606">
      <c r="A606" s="18"/>
      <c r="B606" s="18"/>
      <c r="C606" s="18"/>
      <c r="D606" s="18"/>
    </row>
    <row r="607">
      <c r="A607" s="18" t="str">
        <f>IFERROR(__xludf.DUMMYFUNCTION("""COMPUTED_VALUE"""),"T Wells#9070")</f>
        <v>T Wells#9070</v>
      </c>
      <c r="B607" s="18"/>
      <c r="C607" s="18"/>
      <c r="D607" s="18" t="str">
        <f>IFERROR(__xludf.DUMMYFUNCTION("""COMPUTED_VALUE"""),"T Wells#9070")</f>
        <v>T Wells#9070</v>
      </c>
    </row>
    <row r="608">
      <c r="A608" s="18"/>
      <c r="B608" s="18"/>
      <c r="C608" s="18"/>
      <c r="D608" s="18"/>
    </row>
    <row r="609">
      <c r="A609" s="18" t="str">
        <f>IFERROR(__xludf.DUMMYFUNCTION("""COMPUTED_VALUE"""),"Typto#7037")</f>
        <v>Typto#7037</v>
      </c>
      <c r="B609" s="18" t="str">
        <f>IFERROR(__xludf.DUMMYFUNCTION("""COMPUTED_VALUE"""),"Typto")</f>
        <v>Typto</v>
      </c>
      <c r="C609" s="18" t="str">
        <f>IFERROR(__xludf.DUMMYFUNCTION("""COMPUTED_VALUE"""),"Typto")</f>
        <v>Typto</v>
      </c>
      <c r="D609" s="18" t="str">
        <f>IFERROR(__xludf.DUMMYFUNCTION("""COMPUTED_VALUE"""),"Typto")</f>
        <v>Typto</v>
      </c>
    </row>
    <row r="610">
      <c r="A610" s="18" t="str">
        <f>IFERROR(__xludf.DUMMYFUNCTION("""COMPUTED_VALUE"""),"tze42#7710")</f>
        <v>tze42#7710</v>
      </c>
      <c r="B610" s="18" t="str">
        <f>IFERROR(__xludf.DUMMYFUNCTION("""COMPUTED_VALUE"""),"tze42")</f>
        <v>tze42</v>
      </c>
      <c r="C610" s="18" t="str">
        <f>IFERROR(__xludf.DUMMYFUNCTION("""COMPUTED_VALUE"""),"tze42")</f>
        <v>tze42</v>
      </c>
      <c r="D610" s="18" t="str">
        <f>IFERROR(__xludf.DUMMYFUNCTION("""COMPUTED_VALUE"""),"tze42")</f>
        <v>tze42</v>
      </c>
    </row>
    <row r="611">
      <c r="A611" s="18"/>
      <c r="B611" s="18"/>
      <c r="C611" s="18" t="str">
        <f>IFERROR(__xludf.DUMMYFUNCTION("""COMPUTED_VALUE"""),"unclebobcrypto")</f>
        <v>unclebobcrypto</v>
      </c>
      <c r="D611" s="18" t="str">
        <f>IFERROR(__xludf.DUMMYFUNCTION("""COMPUTED_VALUE"""),"unclebobcrypto")</f>
        <v>unclebobcrypto</v>
      </c>
    </row>
    <row r="612">
      <c r="A612" s="18"/>
      <c r="B612" s="18"/>
      <c r="C612" s="18"/>
      <c r="D612" s="18"/>
    </row>
    <row r="613">
      <c r="A613" s="18"/>
      <c r="B613" s="18"/>
      <c r="C613" s="18" t="str">
        <f>IFERROR(__xludf.DUMMYFUNCTION("""COMPUTED_VALUE"""),"unifidao")</f>
        <v>unifidao</v>
      </c>
      <c r="D613" s="18" t="str">
        <f>IFERROR(__xludf.DUMMYFUNCTION("""COMPUTED_VALUE"""),"unifidao")</f>
        <v>unifidao</v>
      </c>
    </row>
    <row r="614">
      <c r="A614" s="18" t="str">
        <f>IFERROR(__xludf.DUMMYFUNCTION("""COMPUTED_VALUE"""),"unquale#1948")</f>
        <v>unquale#1948</v>
      </c>
      <c r="B614" s="18" t="str">
        <f>IFERROR(__xludf.DUMMYFUNCTION("""COMPUTED_VALUE"""),"unquale")</f>
        <v>unquale</v>
      </c>
      <c r="C614" s="18" t="str">
        <f>IFERROR(__xludf.DUMMYFUNCTION("""COMPUTED_VALUE"""),"unquaLe")</f>
        <v>unquaLe</v>
      </c>
      <c r="D614" s="18" t="str">
        <f>IFERROR(__xludf.DUMMYFUNCTION("""COMPUTED_VALUE"""),"unquaLe")</f>
        <v>unquaLe</v>
      </c>
    </row>
    <row r="615">
      <c r="A615" s="18" t="str">
        <f>IFERROR(__xludf.DUMMYFUNCTION("""COMPUTED_VALUE"""),"Miles#9305")</f>
        <v>Miles#9305</v>
      </c>
      <c r="B615" s="18"/>
      <c r="C615" s="18"/>
      <c r="D615" s="18" t="str">
        <f>IFERROR(__xludf.DUMMYFUNCTION("""COMPUTED_VALUE"""),"Miles#9305")</f>
        <v>Miles#9305</v>
      </c>
    </row>
    <row r="616">
      <c r="A616" s="18"/>
      <c r="B616" s="18"/>
      <c r="C616" s="18"/>
      <c r="D616" s="18"/>
    </row>
    <row r="617">
      <c r="A617" s="18"/>
      <c r="B617" s="18"/>
      <c r="C617" s="18"/>
      <c r="D617" s="18"/>
    </row>
    <row r="618">
      <c r="A618" s="18"/>
      <c r="B618" s="18"/>
      <c r="C618" s="18"/>
      <c r="D618" s="18"/>
    </row>
    <row r="619">
      <c r="A619" s="18"/>
      <c r="B619" s="18"/>
      <c r="C619" s="18"/>
      <c r="D619" s="18"/>
    </row>
    <row r="620">
      <c r="A620" s="18"/>
      <c r="B620" s="18"/>
      <c r="C620" s="18"/>
      <c r="D620" s="18"/>
    </row>
    <row r="621">
      <c r="A621" s="18"/>
      <c r="B621" s="18"/>
      <c r="C621" s="18"/>
      <c r="D621" s="18"/>
    </row>
    <row r="622">
      <c r="A622" s="18" t="str">
        <f>IFERROR(__xludf.DUMMYFUNCTION("""COMPUTED_VALUE"""),"Vitor Marthendal#0090")</f>
        <v>Vitor Marthendal#0090</v>
      </c>
      <c r="B622" s="18"/>
      <c r="C622" s="18" t="str">
        <f>IFERROR(__xludf.DUMMYFUNCTION("""COMPUTED_VALUE"""),"VitorMarthendal")</f>
        <v>VitorMarthendal</v>
      </c>
      <c r="D622" s="18" t="str">
        <f>IFERROR(__xludf.DUMMYFUNCTION("""COMPUTED_VALUE"""),"VitorMarthendal")</f>
        <v>VitorMarthendal</v>
      </c>
    </row>
    <row r="623">
      <c r="A623" s="18" t="str">
        <f>IFERROR(__xludf.DUMMYFUNCTION("""COMPUTED_VALUE"""),"cyprien#1812")</f>
        <v>cyprien#1812</v>
      </c>
      <c r="B623" s="18"/>
      <c r="C623" s="18" t="str">
        <f>IFERROR(__xludf.DUMMYFUNCTION("""COMPUTED_VALUE"""),"vntrp")</f>
        <v>vntrp</v>
      </c>
      <c r="D623" s="18" t="str">
        <f>IFERROR(__xludf.DUMMYFUNCTION("""COMPUTED_VALUE"""),"vntrp")</f>
        <v>vntrp</v>
      </c>
    </row>
    <row r="624">
      <c r="A624" s="18"/>
      <c r="B624" s="18"/>
      <c r="C624" s="18" t="str">
        <f>IFERROR(__xludf.DUMMYFUNCTION("""COMPUTED_VALUE"""),"ferranrego")</f>
        <v>ferranrego</v>
      </c>
      <c r="D624" s="18" t="str">
        <f>IFERROR(__xludf.DUMMYFUNCTION("""COMPUTED_VALUE"""),"ferranrego")</f>
        <v>ferranrego</v>
      </c>
    </row>
    <row r="625">
      <c r="A625" s="18"/>
      <c r="B625" s="18"/>
      <c r="C625" s="18" t="str">
        <f>IFERROR(__xludf.DUMMYFUNCTION("""COMPUTED_VALUE"""),"voyagermedia")</f>
        <v>voyagermedia</v>
      </c>
      <c r="D625" s="18" t="str">
        <f>IFERROR(__xludf.DUMMYFUNCTION("""COMPUTED_VALUE"""),"voyagermedia")</f>
        <v>voyagermedia</v>
      </c>
    </row>
    <row r="626">
      <c r="A626" s="18"/>
      <c r="B626" s="18"/>
      <c r="C626" s="18"/>
      <c r="D626" s="18"/>
    </row>
    <row r="627">
      <c r="A627" s="18" t="str">
        <f>IFERROR(__xludf.DUMMYFUNCTION("""COMPUTED_VALUE"""),"Vyvy-vi#5040")</f>
        <v>Vyvy-vi#5040</v>
      </c>
      <c r="B627" s="18"/>
      <c r="C627" s="18" t="str">
        <f>IFERROR(__xludf.DUMMYFUNCTION("""COMPUTED_VALUE"""),"Vyvy_vi")</f>
        <v>Vyvy_vi</v>
      </c>
      <c r="D627" s="18" t="str">
        <f>IFERROR(__xludf.DUMMYFUNCTION("""COMPUTED_VALUE"""),"Vyvy-vi#5040")</f>
        <v>Vyvy-vi#5040</v>
      </c>
    </row>
    <row r="628">
      <c r="A628" s="18"/>
      <c r="B628" s="18"/>
      <c r="C628" s="18"/>
      <c r="D628" s="18"/>
    </row>
    <row r="629">
      <c r="A629" s="18"/>
      <c r="B629" s="18"/>
      <c r="C629" s="18"/>
      <c r="D629" s="18"/>
    </row>
    <row r="630">
      <c r="A630" s="18"/>
      <c r="B630" s="18"/>
      <c r="C630" s="18"/>
      <c r="D630" s="18"/>
    </row>
    <row r="631">
      <c r="A631" s="18"/>
      <c r="B631" s="18"/>
      <c r="C631" s="18"/>
      <c r="D631" s="18"/>
    </row>
    <row r="632">
      <c r="A632" s="18"/>
      <c r="B632" s="18"/>
      <c r="C632" s="18"/>
      <c r="D632" s="18"/>
    </row>
    <row r="633">
      <c r="A633" s="18"/>
      <c r="B633" s="18"/>
      <c r="C633" s="18"/>
      <c r="D633" s="18"/>
    </row>
    <row r="634">
      <c r="A634" s="18"/>
      <c r="B634" s="18"/>
      <c r="C634" s="18"/>
      <c r="D634" s="18"/>
    </row>
    <row r="635">
      <c r="A635" s="18"/>
      <c r="B635" s="18"/>
      <c r="C635" s="18"/>
      <c r="D635" s="18"/>
    </row>
    <row r="636">
      <c r="A636" s="18" t="str">
        <f>IFERROR(__xludf.DUMMYFUNCTION("""COMPUTED_VALUE"""),"WhyldWanderer#7002")</f>
        <v>WhyldWanderer#7002</v>
      </c>
      <c r="B636" s="18"/>
      <c r="C636" s="18"/>
      <c r="D636" s="18" t="str">
        <f>IFERROR(__xludf.DUMMYFUNCTION("""COMPUTED_VALUE"""),"WhyldWanderer#7002")</f>
        <v>WhyldWanderer#7002</v>
      </c>
    </row>
    <row r="637">
      <c r="A637" s="18"/>
      <c r="B637" s="18"/>
      <c r="C637" s="18"/>
      <c r="D637" s="18"/>
    </row>
    <row r="638">
      <c r="A638" s="18" t="str">
        <f>IFERROR(__xludf.DUMMYFUNCTION("""COMPUTED_VALUE"""),"willszal#6405")</f>
        <v>willszal#6405</v>
      </c>
      <c r="B638" s="18"/>
      <c r="C638" s="18"/>
      <c r="D638" s="18" t="str">
        <f>IFERROR(__xludf.DUMMYFUNCTION("""COMPUTED_VALUE"""),"willszal#6405")</f>
        <v>willszal#6405</v>
      </c>
    </row>
    <row r="639">
      <c r="A639" s="18"/>
      <c r="B639" s="18"/>
      <c r="C639" s="18" t="str">
        <f>IFERROR(__xludf.DUMMYFUNCTION("""COMPUTED_VALUE"""),"willyogo")</f>
        <v>willyogo</v>
      </c>
      <c r="D639" s="18" t="str">
        <f>IFERROR(__xludf.DUMMYFUNCTION("""COMPUTED_VALUE"""),"willyogo")</f>
        <v>willyogo</v>
      </c>
    </row>
    <row r="640">
      <c r="A640" s="18"/>
      <c r="B640" s="18"/>
      <c r="C640" s="18" t="str">
        <f>IFERROR(__xludf.DUMMYFUNCTION("""COMPUTED_VALUE"""),"wipabramson")</f>
        <v>wipabramson</v>
      </c>
      <c r="D640" s="18" t="str">
        <f>IFERROR(__xludf.DUMMYFUNCTION("""COMPUTED_VALUE"""),"wipabramson")</f>
        <v>wipabramson</v>
      </c>
    </row>
    <row r="641">
      <c r="A641" s="18"/>
      <c r="B641" s="18"/>
      <c r="C641" s="18"/>
      <c r="D641" s="18"/>
    </row>
    <row r="642">
      <c r="A642" s="18"/>
      <c r="B642" s="18"/>
      <c r="C642" s="18"/>
      <c r="D642" s="18"/>
    </row>
    <row r="643">
      <c r="A643" s="18"/>
      <c r="B643" s="18"/>
      <c r="C643" s="18" t="str">
        <f>IFERROR(__xludf.DUMMYFUNCTION("""COMPUTED_VALUE"""),"willruddick")</f>
        <v>willruddick</v>
      </c>
      <c r="D643" s="18" t="str">
        <f>IFERROR(__xludf.DUMMYFUNCTION("""COMPUTED_VALUE"""),"willruddick")</f>
        <v>willruddick</v>
      </c>
    </row>
    <row r="644">
      <c r="A644" s="18" t="str">
        <f>IFERROR(__xludf.DUMMYFUNCTION("""COMPUTED_VALUE"""),"wslyvh#1059")</f>
        <v>wslyvh#1059</v>
      </c>
      <c r="B644" s="18"/>
      <c r="C644" s="18" t="str">
        <f>IFERROR(__xludf.DUMMYFUNCTION("""COMPUTED_VALUE"""),"wslyvh")</f>
        <v>wslyvh</v>
      </c>
      <c r="D644" s="18" t="str">
        <f>IFERROR(__xludf.DUMMYFUNCTION("""COMPUTED_VALUE"""),"wslyvh")</f>
        <v>wslyvh</v>
      </c>
    </row>
    <row r="645">
      <c r="A645" s="18"/>
      <c r="B645" s="18"/>
      <c r="C645" s="18" t="str">
        <f>IFERROR(__xludf.DUMMYFUNCTION("""COMPUTED_VALUE"""),"Wunluv")</f>
        <v>Wunluv</v>
      </c>
      <c r="D645" s="18" t="str">
        <f>IFERROR(__xludf.DUMMYFUNCTION("""COMPUTED_VALUE"""),"Wunluv")</f>
        <v>Wunluv</v>
      </c>
    </row>
    <row r="646">
      <c r="A646" s="18"/>
      <c r="B646" s="18"/>
      <c r="C646" s="18"/>
      <c r="D646" s="18"/>
    </row>
    <row r="647">
      <c r="A647" s="18"/>
      <c r="B647" s="18"/>
      <c r="C647" s="18" t="str">
        <f>IFERROR(__xludf.DUMMYFUNCTION("""COMPUTED_VALUE"""),"xibot0x")</f>
        <v>xibot0x</v>
      </c>
      <c r="D647" s="18" t="str">
        <f>IFERROR(__xludf.DUMMYFUNCTION("""COMPUTED_VALUE"""),"xibot0x")</f>
        <v>xibot0x</v>
      </c>
    </row>
    <row r="648">
      <c r="A648" s="18"/>
      <c r="B648" s="18"/>
      <c r="C648" s="18" t="str">
        <f>IFERROR(__xludf.DUMMYFUNCTION("""COMPUTED_VALUE"""),"xdaistable")</f>
        <v>xdaistable</v>
      </c>
      <c r="D648" s="18" t="str">
        <f>IFERROR(__xludf.DUMMYFUNCTION("""COMPUTED_VALUE"""),"xdaistable")</f>
        <v>xdaistable</v>
      </c>
    </row>
    <row r="649">
      <c r="A649" s="18"/>
      <c r="B649" s="18"/>
      <c r="C649" s="18"/>
      <c r="D649" s="18"/>
    </row>
    <row r="650">
      <c r="A650" s="18"/>
      <c r="B650" s="18"/>
      <c r="C650" s="18" t="str">
        <f>IFERROR(__xludf.DUMMYFUNCTION("""COMPUTED_VALUE"""),"XQTStrategy")</f>
        <v>XQTStrategy</v>
      </c>
      <c r="D650" s="18" t="str">
        <f>IFERROR(__xludf.DUMMYFUNCTION("""COMPUTED_VALUE"""),"XQTStrategy")</f>
        <v>XQTStrategy</v>
      </c>
    </row>
    <row r="651">
      <c r="A651" s="18"/>
      <c r="B651" s="18"/>
      <c r="C651" s="18"/>
      <c r="D651" s="18"/>
    </row>
    <row r="652">
      <c r="A652" s="18"/>
      <c r="B652" s="18"/>
      <c r="C652" s="18" t="str">
        <f>IFERROR(__xludf.DUMMYFUNCTION("""COMPUTED_VALUE"""),"Yalormewn")</f>
        <v>Yalormewn</v>
      </c>
      <c r="D652" s="18"/>
    </row>
    <row r="653">
      <c r="A653" s="18"/>
      <c r="B653" s="18"/>
      <c r="C653" s="18" t="str">
        <f>IFERROR(__xludf.DUMMYFUNCTION("""COMPUTED_VALUE"""),"yangwao")</f>
        <v>yangwao</v>
      </c>
      <c r="D653" s="18" t="str">
        <f>IFERROR(__xludf.DUMMYFUNCTION("""COMPUTED_VALUE"""),"yangwao")</f>
        <v>yangwao</v>
      </c>
    </row>
    <row r="654">
      <c r="A654" s="18"/>
      <c r="B654" s="18"/>
      <c r="C654" s="18" t="str">
        <f>IFERROR(__xludf.DUMMYFUNCTION("""COMPUTED_VALUE"""),"yegorgolovnia")</f>
        <v>yegorgolovnia</v>
      </c>
      <c r="D654" s="18" t="str">
        <f>IFERROR(__xludf.DUMMYFUNCTION("""COMPUTED_VALUE"""),"yegorgolovnia")</f>
        <v>yegorgolovnia</v>
      </c>
    </row>
    <row r="655">
      <c r="A655" s="18" t="str">
        <f>IFERROR(__xludf.DUMMYFUNCTION("""COMPUTED_VALUE"""),"ygg_anderson#4998")</f>
        <v>ygg_anderson#4998</v>
      </c>
      <c r="B655" s="18" t="str">
        <f>IFERROR(__xludf.DUMMYFUNCTION("""COMPUTED_VALUE"""),"ygg_anderson")</f>
        <v>ygg_anderson</v>
      </c>
      <c r="C655" s="18" t="str">
        <f>IFERROR(__xludf.DUMMYFUNCTION("""COMPUTED_VALUE"""),"ygganderson")</f>
        <v>ygganderson</v>
      </c>
      <c r="D655" s="18" t="str">
        <f>IFERROR(__xludf.DUMMYFUNCTION("""COMPUTED_VALUE"""),"ygganderson")</f>
        <v>ygganderson</v>
      </c>
    </row>
    <row r="656">
      <c r="A656" s="18"/>
      <c r="B656" s="18"/>
      <c r="C656" s="18" t="str">
        <f>IFERROR(__xludf.DUMMYFUNCTION("""COMPUTED_VALUE"""),"ygg_anderson")</f>
        <v>ygg_anderson</v>
      </c>
      <c r="D656" s="18" t="str">
        <f>IFERROR(__xludf.DUMMYFUNCTION("""COMPUTED_VALUE"""),"ygganderson")</f>
        <v>ygganderson</v>
      </c>
    </row>
    <row r="657">
      <c r="A657" s="18" t="str">
        <f>IFERROR(__xludf.DUMMYFUNCTION("""COMPUTED_VALUE"""),"melvera#6237")</f>
        <v>melvera#6237</v>
      </c>
      <c r="B657" s="18" t="str">
        <f>IFERROR(__xludf.DUMMYFUNCTION("""COMPUTED_VALUE"""),"melvera")</f>
        <v>melvera</v>
      </c>
      <c r="C657" s="18" t="str">
        <f>IFERROR(__xludf.DUMMYFUNCTION("""COMPUTED_VALUE"""),"MelVera")</f>
        <v>MelVera</v>
      </c>
      <c r="D657" s="18" t="str">
        <f>IFERROR(__xludf.DUMMYFUNCTION("""COMPUTED_VALUE"""),"melvera")</f>
        <v>melvera</v>
      </c>
    </row>
    <row r="658">
      <c r="A658" s="18"/>
      <c r="B658" s="18"/>
      <c r="C658" s="18"/>
      <c r="D658" s="18"/>
    </row>
    <row r="659">
      <c r="A659" s="18" t="str">
        <f>IFERROR(__xludf.DUMMYFUNCTION("""COMPUTED_VALUE"""),"Mayu ☪Dev Protocol🌟#8814")</f>
        <v>Mayu ☪Dev Protocol🌟#8814</v>
      </c>
      <c r="B659" s="18" t="str">
        <f>IFERROR(__xludf.DUMMYFUNCTION("""COMPUTED_VALUE"""),"Mayu ☪Dev Protocol")</f>
        <v>Mayu ☪Dev Protocol</v>
      </c>
      <c r="C659" s="18" t="str">
        <f>IFERROR(__xludf.DUMMYFUNCTION("""COMPUTED_VALUE"""),"yume_mayu")</f>
        <v>yume_mayu</v>
      </c>
      <c r="D659" s="18" t="str">
        <f>IFERROR(__xludf.DUMMYFUNCTION("""COMPUTED_VALUE"""),"Mayu ☪Dev Protocol🌟#8814")</f>
        <v>Mayu ☪Dev Protocol🌟#8814</v>
      </c>
    </row>
    <row r="660">
      <c r="A660" s="18" t="str">
        <f>IFERROR(__xludf.DUMMYFUNCTION("""COMPUTED_VALUE"""),"Latigo#0122")</f>
        <v>Latigo#0122</v>
      </c>
      <c r="B660" s="18"/>
      <c r="C660" s="18" t="str">
        <f>IFERROR(__xludf.DUMMYFUNCTION("""COMPUTED_VALUE"""),"Darren432")</f>
        <v>Darren432</v>
      </c>
      <c r="D660" s="18"/>
    </row>
    <row r="661">
      <c r="A661" s="18"/>
      <c r="B661" s="18"/>
      <c r="C661" s="18"/>
      <c r="D661" s="18"/>
    </row>
    <row r="662">
      <c r="A662" s="18" t="str">
        <f>IFERROR(__xludf.DUMMYFUNCTION("""COMPUTED_VALUE"""),"Zeptimus#3359")</f>
        <v>Zeptimus#3359</v>
      </c>
      <c r="B662" s="18" t="str">
        <f>IFERROR(__xludf.DUMMYFUNCTION("""COMPUTED_VALUE"""),"Zeptimus")</f>
        <v>Zeptimus</v>
      </c>
      <c r="C662" s="18" t="str">
        <f>IFERROR(__xludf.DUMMYFUNCTION("""COMPUTED_VALUE"""),"zeptimusQ")</f>
        <v>zeptimusQ</v>
      </c>
      <c r="D662" s="18" t="str">
        <f>IFERROR(__xludf.DUMMYFUNCTION("""COMPUTED_VALUE"""),"zeptimusQ")</f>
        <v>zeptimusQ</v>
      </c>
    </row>
    <row r="663">
      <c r="A663" s="18"/>
      <c r="B663" s="18"/>
      <c r="C663" s="18"/>
      <c r="D663" s="18"/>
    </row>
    <row r="664">
      <c r="A664" s="18"/>
      <c r="B664" s="18"/>
      <c r="C664" s="18" t="str">
        <f>IFERROR(__xludf.DUMMYFUNCTION("""COMPUTED_VALUE"""),"zo_oma")</f>
        <v>zo_oma</v>
      </c>
      <c r="D664" s="18" t="str">
        <f>IFERROR(__xludf.DUMMYFUNCTION("""COMPUTED_VALUE"""),"zo_oma")</f>
        <v>zo_oma</v>
      </c>
    </row>
    <row r="665">
      <c r="A665" s="18" t="str">
        <f>IFERROR(__xludf.DUMMYFUNCTION("""COMPUTED_VALUE"""),"ZoushHoang#2376")</f>
        <v>ZoushHoang#2376</v>
      </c>
      <c r="B665" s="18"/>
      <c r="C665" s="18"/>
      <c r="D665" s="18" t="str">
        <f>IFERROR(__xludf.DUMMYFUNCTION("""COMPUTED_VALUE"""),"ZoushHoang#2376")</f>
        <v>ZoushHoang#2376</v>
      </c>
    </row>
    <row r="666">
      <c r="A666" s="18"/>
      <c r="B666" s="18"/>
      <c r="C666" s="18"/>
      <c r="D666" s="18"/>
    </row>
    <row r="667">
      <c r="A667" s="18"/>
      <c r="B667" s="18"/>
      <c r="C667" s="18" t="str">
        <f>IFERROR(__xludf.DUMMYFUNCTION("""COMPUTED_VALUE"""),"blockchainberlin")</f>
        <v>blockchainberlin</v>
      </c>
      <c r="D667" s="18" t="str">
        <f>IFERROR(__xludf.DUMMYFUNCTION("""COMPUTED_VALUE"""),"blockchainberlin")</f>
        <v>blockchainberlin</v>
      </c>
    </row>
    <row r="668">
      <c r="A668" s="18" t="str">
        <f>IFERROR(__xludf.DUMMYFUNCTION("""COMPUTED_VALUE"""),"danlessa#2831")</f>
        <v>danlessa#2831</v>
      </c>
      <c r="B668" s="18"/>
      <c r="C668" s="18"/>
      <c r="D668" s="18" t="str">
        <f>IFERROR(__xludf.DUMMYFUNCTION("""COMPUTED_VALUE"""),"danlessa")</f>
        <v>danlessa</v>
      </c>
    </row>
    <row r="669">
      <c r="A669" s="18" t="str">
        <f>IFERROR(__xludf.DUMMYFUNCTION("""COMPUTED_VALUE"""),"lkngtn 🐝#1051")</f>
        <v>lkngtn 🐝#1051</v>
      </c>
      <c r="B669" s="18"/>
      <c r="C669" s="18"/>
      <c r="D669" s="18" t="str">
        <f>IFERROR(__xludf.DUMMYFUNCTION("""COMPUTED_VALUE"""),"lkngtn")</f>
        <v>lkngtn</v>
      </c>
    </row>
    <row r="670">
      <c r="A670" s="18" t="str">
        <f>IFERROR(__xludf.DUMMYFUNCTION("""COMPUTED_VALUE"""),"AnnaMarieSwan#8824")</f>
        <v>AnnaMarieSwan#8824</v>
      </c>
      <c r="B670" s="18"/>
      <c r="C670" s="18" t="str">
        <f>IFERROR(__xludf.DUMMYFUNCTION("""COMPUTED_VALUE"""),"Anna-Marie Swan")</f>
        <v>Anna-Marie Swan</v>
      </c>
      <c r="D670" s="18" t="str">
        <f>IFERROR(__xludf.DUMMYFUNCTION("""COMPUTED_VALUE"""),"AnnaMarieSwan#8824")</f>
        <v>AnnaMarieSwan#8824</v>
      </c>
    </row>
    <row r="671">
      <c r="A671" s="18" t="str">
        <f>IFERROR(__xludf.DUMMYFUNCTION("""COMPUTED_VALUE"""),"Tonga 🐝#3112")</f>
        <v>Tonga 🐝#3112</v>
      </c>
      <c r="B671" s="18"/>
      <c r="C671" s="18"/>
      <c r="D671" s="18" t="str">
        <f>IFERROR(__xludf.DUMMYFUNCTION("""COMPUTED_VALUE"""),"Tonga2020")</f>
        <v>Tonga2020</v>
      </c>
    </row>
    <row r="672">
      <c r="A672" s="18"/>
      <c r="B672" s="18"/>
      <c r="C672" s="18" t="str">
        <f>IFERROR(__xludf.DUMMYFUNCTION("""COMPUTED_VALUE"""),"Luukdao")</f>
        <v>Luukdao</v>
      </c>
      <c r="D672" s="18" t="str">
        <f>IFERROR(__xludf.DUMMYFUNCTION("""COMPUTED_VALUE"""),"Luukweber")</f>
        <v>Luukweber</v>
      </c>
    </row>
    <row r="673">
      <c r="A673" s="18"/>
      <c r="B673" s="18"/>
      <c r="C673" s="18"/>
      <c r="D673" s="18"/>
    </row>
    <row r="674">
      <c r="A674" s="18" t="str">
        <f>IFERROR(__xludf.DUMMYFUNCTION("""COMPUTED_VALUE"""),"PhilKK#0692")</f>
        <v>PhilKK#0692</v>
      </c>
      <c r="B674" s="18"/>
      <c r="C674" s="18" t="str">
        <f>IFERROR(__xludf.DUMMYFUNCTION("""COMPUTED_VALUE"""),"PKK777")</f>
        <v>PKK777</v>
      </c>
      <c r="D674" s="18" t="str">
        <f>IFERROR(__xludf.DUMMYFUNCTION("""COMPUTED_VALUE"""),"PKK777")</f>
        <v>PKK777</v>
      </c>
    </row>
    <row r="675">
      <c r="A675" s="18"/>
      <c r="B675" s="18"/>
      <c r="C675" s="18" t="str">
        <f>IFERROR(__xludf.DUMMYFUNCTION("""COMPUTED_VALUE"""),"brutalfluffy")</f>
        <v>brutalfluffy</v>
      </c>
      <c r="D675" s="18" t="str">
        <f>IFERROR(__xludf.DUMMYFUNCTION("""COMPUTED_VALUE"""),"brutalfluffy")</f>
        <v>brutalfluffy</v>
      </c>
    </row>
    <row r="676">
      <c r="A676" s="18"/>
      <c r="B676" s="18"/>
      <c r="C676" s="18" t="str">
        <f>IFERROR(__xludf.DUMMYFUNCTION("""COMPUTED_VALUE"""),"pacobacpac")</f>
        <v>pacobacpac</v>
      </c>
      <c r="D676" s="18" t="str">
        <f>IFERROR(__xludf.DUMMYFUNCTION("""COMPUTED_VALUE"""),"pacobacpac")</f>
        <v>pacobacpac</v>
      </c>
    </row>
    <row r="677">
      <c r="A677" s="18" t="str">
        <f>IFERROR(__xludf.DUMMYFUNCTION("""COMPUTED_VALUE"""),"rosamoc#5482")</f>
        <v>rosamoc#5482</v>
      </c>
      <c r="B677" s="18"/>
      <c r="C677" s="18" t="str">
        <f>IFERROR(__xludf.DUMMYFUNCTION("""COMPUTED_VALUE"""),"rosamoc")</f>
        <v>rosamoc</v>
      </c>
      <c r="D677" s="18" t="str">
        <f>IFERROR(__xludf.DUMMYFUNCTION("""COMPUTED_VALUE"""),"rosamoc")</f>
        <v>rosamoc</v>
      </c>
    </row>
    <row r="678">
      <c r="A678" s="18" t="str">
        <f>IFERROR(__xludf.DUMMYFUNCTION("""COMPUTED_VALUE"""),"divine_comedian#5493")</f>
        <v>divine_comedian#5493</v>
      </c>
      <c r="B678" s="18"/>
      <c r="C678" s="18" t="str">
        <f>IFERROR(__xludf.DUMMYFUNCTION("""COMPUTED_VALUE"""),"divine_comedian")</f>
        <v>divine_comedian</v>
      </c>
      <c r="D678" s="18" t="str">
        <f>IFERROR(__xludf.DUMMYFUNCTION("""COMPUTED_VALUE"""),"divine_comedian")</f>
        <v>divine_comedian</v>
      </c>
    </row>
    <row r="679">
      <c r="A679" s="18" t="str">
        <f>IFERROR(__xludf.DUMMYFUNCTION("""COMPUTED_VALUE"""),"Mount Manu#3530")</f>
        <v>Mount Manu#3530</v>
      </c>
      <c r="B679" s="18"/>
      <c r="C679" s="18" t="str">
        <f>IFERROR(__xludf.DUMMYFUNCTION("""COMPUTED_VALUE"""),"immanent7")</f>
        <v>immanent7</v>
      </c>
      <c r="D679" s="18" t="str">
        <f>IFERROR(__xludf.DUMMYFUNCTION("""COMPUTED_VALUE"""),"Mount Manu#3530")</f>
        <v>Mount Manu#3530</v>
      </c>
    </row>
    <row r="680">
      <c r="A680" s="18" t="str">
        <f>IFERROR(__xludf.DUMMYFUNCTION("""COMPUTED_VALUE"""),"Letty#5399")</f>
        <v>Letty#5399</v>
      </c>
      <c r="B680" s="18"/>
      <c r="C680" s="18" t="str">
        <f>IFERROR(__xludf.DUMMYFUNCTION("""COMPUTED_VALUE"""),"letty_gar")</f>
        <v>letty_gar</v>
      </c>
      <c r="D680" s="18" t="str">
        <f>IFERROR(__xludf.DUMMYFUNCTION("""COMPUTED_VALUE"""),"Letty#5399")</f>
        <v>Letty#5399</v>
      </c>
    </row>
    <row r="681">
      <c r="A681" s="18" t="str">
        <f>IFERROR(__xludf.DUMMYFUNCTION("""COMPUTED_VALUE"""),"dandigital#2489")</f>
        <v>dandigital#2489</v>
      </c>
      <c r="B681" s="18"/>
      <c r="C681" s="18"/>
      <c r="D681" s="18" t="str">
        <f>IFERROR(__xludf.DUMMYFUNCTION("""COMPUTED_VALUE"""),"ddan#2489")</f>
        <v>ddan#2489</v>
      </c>
    </row>
    <row r="682">
      <c r="A682" s="18" t="str">
        <f>IFERROR(__xludf.DUMMYFUNCTION("""COMPUTED_VALUE"""),"durgadas#9280")</f>
        <v>durgadas#9280</v>
      </c>
      <c r="B682" s="18"/>
      <c r="C682" s="18" t="str">
        <f>IFERROR(__xludf.DUMMYFUNCTION("""COMPUTED_VALUE"""),"durgadasji")</f>
        <v>durgadasji</v>
      </c>
      <c r="D682" s="18" t="str">
        <f>IFERROR(__xludf.DUMMYFUNCTION("""COMPUTED_VALUE"""),"durgadasji")</f>
        <v>durgadasji</v>
      </c>
    </row>
    <row r="683">
      <c r="A683" s="18" t="str">
        <f>IFERROR(__xludf.DUMMYFUNCTION("""COMPUTED_VALUE"""),"sjdthree#8498")</f>
        <v>sjdthree#8498</v>
      </c>
      <c r="B683" s="18"/>
      <c r="C683" s="18" t="str">
        <f>IFERROR(__xludf.DUMMYFUNCTION("""COMPUTED_VALUE"""),"sjdthree")</f>
        <v>sjdthree</v>
      </c>
      <c r="D683" s="18" t="str">
        <f>IFERROR(__xludf.DUMMYFUNCTION("""COMPUTED_VALUE"""),"sjdthree#8498")</f>
        <v>sjdthree#8498</v>
      </c>
    </row>
    <row r="684">
      <c r="A684" s="18" t="str">
        <f>IFERROR(__xludf.DUMMYFUNCTION("""COMPUTED_VALUE"""),"Caeser (PST)#0046")</f>
        <v>Caeser (PST)#0046</v>
      </c>
      <c r="B684" s="18"/>
      <c r="C684" s="18" t="str">
        <f>IFERROR(__xludf.DUMMYFUNCTION("""COMPUTED_VALUE"""),"shawn_westrick")</f>
        <v>shawn_westrick</v>
      </c>
      <c r="D684" s="18" t="str">
        <f>IFERROR(__xludf.DUMMYFUNCTION("""COMPUTED_VALUE"""),"shawn_westrick")</f>
        <v>shawn_westrick</v>
      </c>
    </row>
    <row r="685">
      <c r="A685" s="18" t="str">
        <f>IFERROR(__xludf.DUMMYFUNCTION("""COMPUTED_VALUE"""),"rdfbbx#6437")</f>
        <v>rdfbbx#6437</v>
      </c>
      <c r="B685" s="18"/>
      <c r="C685" s="18"/>
      <c r="D685" s="18" t="str">
        <f>IFERROR(__xludf.DUMMYFUNCTION("""COMPUTED_VALUE"""),"rdfbbx#6437")</f>
        <v>rdfbbx#6437</v>
      </c>
    </row>
    <row r="686">
      <c r="A686" s="18" t="str">
        <f>IFERROR(__xludf.DUMMYFUNCTION("""COMPUTED_VALUE"""),"PaulaBerman#9915")</f>
        <v>PaulaBerman#9915</v>
      </c>
      <c r="B686" s="18"/>
      <c r="C686" s="18"/>
      <c r="D686" s="18" t="str">
        <f>IFERROR(__xludf.DUMMYFUNCTION("""COMPUTED_VALUE"""),"PaulaBerman#9915")</f>
        <v>PaulaBerman#9915</v>
      </c>
    </row>
    <row r="687">
      <c r="A687" s="18" t="str">
        <f>IFERROR(__xludf.DUMMYFUNCTION("""COMPUTED_VALUE"""),"Michal#7390")</f>
        <v>Michal#7390</v>
      </c>
      <c r="B687" s="18"/>
      <c r="C687" s="18"/>
      <c r="D687" s="18" t="str">
        <f>IFERROR(__xludf.DUMMYFUNCTION("""COMPUTED_VALUE"""),"Michal#7390")</f>
        <v>Michal#7390</v>
      </c>
    </row>
    <row r="688">
      <c r="A688" s="18" t="str">
        <f>IFERROR(__xludf.DUMMYFUNCTION("""COMPUTED_VALUE"""),"sknuth#9426")</f>
        <v>sknuth#9426</v>
      </c>
      <c r="B688" s="18"/>
      <c r="C688" s="18"/>
      <c r="D688" s="18" t="str">
        <f>IFERROR(__xludf.DUMMYFUNCTION("""COMPUTED_VALUE"""),"sknuth#9426")</f>
        <v>sknuth#9426</v>
      </c>
    </row>
    <row r="689">
      <c r="A689" s="18" t="str">
        <f>IFERROR(__xludf.DUMMYFUNCTION("""COMPUTED_VALUE"""),"paulo_#7945")</f>
        <v>paulo_#7945</v>
      </c>
      <c r="B689" s="18"/>
      <c r="C689" s="18" t="str">
        <f>IFERROR(__xludf.DUMMYFUNCTION("""COMPUTED_VALUE"""),"paulo_c2d")</f>
        <v>paulo_c2d</v>
      </c>
      <c r="D689" s="18" t="str">
        <f>IFERROR(__xludf.DUMMYFUNCTION("""COMPUTED_VALUE"""),"paulo_c2d")</f>
        <v>paulo_c2d</v>
      </c>
    </row>
    <row r="690">
      <c r="A690" s="18" t="str">
        <f>IFERROR(__xludf.DUMMYFUNCTION("""COMPUTED_VALUE"""),"celineflash#7578")</f>
        <v>celineflash#7578</v>
      </c>
      <c r="B690" s="18"/>
      <c r="C690" s="18" t="str">
        <f>IFERROR(__xludf.DUMMYFUNCTION("""COMPUTED_VALUE"""),"celineflash")</f>
        <v>celineflash</v>
      </c>
      <c r="D690" s="18" t="str">
        <f>IFERROR(__xludf.DUMMYFUNCTION("""COMPUTED_VALUE"""),"celineflash")</f>
        <v>celineflash</v>
      </c>
    </row>
    <row r="691">
      <c r="A691" s="18"/>
      <c r="B691" s="18"/>
      <c r="C691" s="18" t="str">
        <f>IFERROR(__xludf.DUMMYFUNCTION("""COMPUTED_VALUE"""),"vivszaid")</f>
        <v>vivszaid</v>
      </c>
      <c r="D691" s="18" t="str">
        <f>IFERROR(__xludf.DUMMYFUNCTION("""COMPUTED_VALUE"""),"vivszaid")</f>
        <v>vivszaid</v>
      </c>
    </row>
    <row r="692">
      <c r="A692" s="18"/>
      <c r="B692" s="18"/>
      <c r="C692" s="18" t="str">
        <f>IFERROR(__xludf.DUMMYFUNCTION("""COMPUTED_VALUE"""),"anthonyoliai")</f>
        <v>anthonyoliai</v>
      </c>
      <c r="D692" s="18" t="str">
        <f>IFERROR(__xludf.DUMMYFUNCTION("""COMPUTED_VALUE"""),"anthonyoliai")</f>
        <v>anthonyoliai</v>
      </c>
    </row>
    <row r="693">
      <c r="A693" s="18"/>
      <c r="B693" s="18"/>
      <c r="C693" s="18" t="str">
        <f>IFERROR(__xludf.DUMMYFUNCTION("""COMPUTED_VALUE"""),"katalenacaban")</f>
        <v>katalenacaban</v>
      </c>
      <c r="D693" s="18" t="str">
        <f>IFERROR(__xludf.DUMMYFUNCTION("""COMPUTED_VALUE"""),"katalenacaban")</f>
        <v>katalenacaban</v>
      </c>
    </row>
    <row r="694">
      <c r="A694" s="18"/>
      <c r="B694" s="18"/>
      <c r="C694" s="18" t="str">
        <f>IFERROR(__xludf.DUMMYFUNCTION("""COMPUTED_VALUE"""),"fiorebotta")</f>
        <v>fiorebotta</v>
      </c>
      <c r="D694" s="18" t="str">
        <f>IFERROR(__xludf.DUMMYFUNCTION("""COMPUTED_VALUE"""),"fiorebotta")</f>
        <v>fiorebotta</v>
      </c>
    </row>
    <row r="695">
      <c r="A695" s="18" t="str">
        <f>IFERROR(__xludf.DUMMYFUNCTION("""COMPUTED_VALUE"""),"Amin#2164")</f>
        <v>Amin#2164</v>
      </c>
      <c r="B695" s="18"/>
      <c r="C695" s="18" t="str">
        <f>IFERROR(__xludf.DUMMYFUNCTION("""COMPUTED_VALUE"""),"aminlatifi")</f>
        <v>aminlatifi</v>
      </c>
      <c r="D695" s="18" t="str">
        <f>IFERROR(__xludf.DUMMYFUNCTION("""COMPUTED_VALUE"""),"aminlatifi")</f>
        <v>aminlatifi</v>
      </c>
    </row>
    <row r="696">
      <c r="A696" s="18"/>
      <c r="B696" s="18"/>
      <c r="C696" s="18" t="str">
        <f>IFERROR(__xludf.DUMMYFUNCTION("""COMPUTED_VALUE"""),"jantinine")</f>
        <v>jantinine</v>
      </c>
      <c r="D696" s="18" t="str">
        <f>IFERROR(__xludf.DUMMYFUNCTION("""COMPUTED_VALUE"""),"jantinine")</f>
        <v>jantinine</v>
      </c>
    </row>
    <row r="697">
      <c r="A697" s="18" t="str">
        <f>IFERROR(__xludf.DUMMYFUNCTION("""COMPUTED_VALUE"""),"heater#9765")</f>
        <v>heater#9765</v>
      </c>
      <c r="B697" s="18" t="str">
        <f>IFERROR(__xludf.DUMMYFUNCTION("""COMPUTED_VALUE"""),"heater")</f>
        <v>heater</v>
      </c>
      <c r="C697" s="18" t="str">
        <f>IFERROR(__xludf.DUMMYFUNCTION("""COMPUTED_VALUE"""),"heater03")</f>
        <v>heater03</v>
      </c>
      <c r="D697" s="18" t="str">
        <f>IFERROR(__xludf.DUMMYFUNCTION("""COMPUTED_VALUE"""),"heater03")</f>
        <v>heater03</v>
      </c>
    </row>
    <row r="698">
      <c r="A698" s="18" t="str">
        <f>IFERROR(__xludf.DUMMYFUNCTION("""COMPUTED_VALUE"""),"gagarine#9410")</f>
        <v>gagarine#9410</v>
      </c>
      <c r="B698" s="18"/>
      <c r="C698" s="18"/>
      <c r="D698" s="18" t="str">
        <f>IFERROR(__xludf.DUMMYFUNCTION("""COMPUTED_VALUE"""),"gagarine#9410")</f>
        <v>gagarine#9410</v>
      </c>
    </row>
    <row r="699">
      <c r="A699" s="18" t="str">
        <f>IFERROR(__xludf.DUMMYFUNCTION("""COMPUTED_VALUE"""),"REOS#2250")</f>
        <v>REOS#2250</v>
      </c>
      <c r="B699" s="18"/>
      <c r="C699" s="18" t="str">
        <f>IFERROR(__xludf.DUMMYFUNCTION("""COMPUTED_VALUE"""),"reos13")</f>
        <v>reos13</v>
      </c>
      <c r="D699" s="18" t="str">
        <f>IFERROR(__xludf.DUMMYFUNCTION("""COMPUTED_VALUE"""),"REOS#2250")</f>
        <v>REOS#2250</v>
      </c>
    </row>
    <row r="700">
      <c r="A700" s="18" t="str">
        <f>IFERROR(__xludf.DUMMYFUNCTION("""COMPUTED_VALUE"""),"stan#3519")</f>
        <v>stan#3519</v>
      </c>
      <c r="B700" s="18"/>
      <c r="C700" s="18"/>
      <c r="D700" s="18" t="str">
        <f>IFERROR(__xludf.DUMMYFUNCTION("""COMPUTED_VALUE"""),"stan#3519")</f>
        <v>stan#3519</v>
      </c>
    </row>
    <row r="701">
      <c r="A701" s="18" t="str">
        <f>IFERROR(__xludf.DUMMYFUNCTION("""COMPUTED_VALUE"""),"Block Enthusiast#4019")</f>
        <v>Block Enthusiast#4019</v>
      </c>
      <c r="B701" s="18"/>
      <c r="C701" s="18"/>
      <c r="D701" s="18" t="str">
        <f>IFERROR(__xludf.DUMMYFUNCTION("""COMPUTED_VALUE"""),"Block Enthusiast#4019")</f>
        <v>Block Enthusiast#4019</v>
      </c>
    </row>
    <row r="702">
      <c r="A702" s="18" t="str">
        <f>IFERROR(__xludf.DUMMYFUNCTION("""COMPUTED_VALUE"""),"DeepTroop#4783")</f>
        <v>DeepTroop#4783</v>
      </c>
      <c r="B702" s="18"/>
      <c r="C702" s="18"/>
      <c r="D702" s="18" t="str">
        <f>IFERROR(__xludf.DUMMYFUNCTION("""COMPUTED_VALUE"""),"DeepTroop#4783")</f>
        <v>DeepTroop#4783</v>
      </c>
    </row>
    <row r="703">
      <c r="A703" s="18" t="str">
        <f>IFERROR(__xludf.DUMMYFUNCTION("""COMPUTED_VALUE"""),"sbilbao#9715")</f>
        <v>sbilbao#9715</v>
      </c>
      <c r="B703" s="18"/>
      <c r="C703" s="18" t="str">
        <f>IFERROR(__xludf.DUMMYFUNCTION("""COMPUTED_VALUE"""),"sbilbao")</f>
        <v>sbilbao</v>
      </c>
      <c r="D703" s="18" t="str">
        <f>IFERROR(__xludf.DUMMYFUNCTION("""COMPUTED_VALUE"""),"sbilbao")</f>
        <v>sbilbao</v>
      </c>
    </row>
    <row r="704">
      <c r="A704" s="18" t="str">
        <f>IFERROR(__xludf.DUMMYFUNCTION("""COMPUTED_VALUE"""),"tommy,🐙#3630")</f>
        <v>tommy,🐙#3630</v>
      </c>
      <c r="B704" s="18"/>
      <c r="C704" s="18" t="str">
        <f>IFERROR(__xludf.DUMMYFUNCTION("""COMPUTED_VALUE"""),"tommycomma")</f>
        <v>tommycomma</v>
      </c>
      <c r="D704" s="18" t="str">
        <f>IFERROR(__xludf.DUMMYFUNCTION("""COMPUTED_VALUE"""),"tommy,🐙#3630")</f>
        <v>tommy,🐙#3630</v>
      </c>
    </row>
    <row r="705">
      <c r="A705" s="18" t="str">
        <f>IFERROR(__xludf.DUMMYFUNCTION("""COMPUTED_VALUE"""),"aleezagroks#1479")</f>
        <v>aleezagroks#1479</v>
      </c>
      <c r="B705" s="18"/>
      <c r="C705" s="18" t="str">
        <f>IFERROR(__xludf.DUMMYFUNCTION("""COMPUTED_VALUE"""),"aleezagroks")</f>
        <v>aleezagroks</v>
      </c>
      <c r="D705" s="18" t="str">
        <f>IFERROR(__xludf.DUMMYFUNCTION("""COMPUTED_VALUE"""),"aleezagroks")</f>
        <v>aleezagroks</v>
      </c>
    </row>
    <row r="706">
      <c r="A706" s="18"/>
      <c r="B706" s="18"/>
      <c r="C706" s="18" t="str">
        <f>IFERROR(__xludf.DUMMYFUNCTION("""COMPUTED_VALUE"""),"melvera")</f>
        <v>melvera</v>
      </c>
      <c r="D706" s="18" t="str">
        <f>IFERROR(__xludf.DUMMYFUNCTION("""COMPUTED_VALUE"""),"melvera")</f>
        <v>melvera</v>
      </c>
    </row>
    <row r="707">
      <c r="A707" s="18" t="str">
        <f>IFERROR(__xludf.DUMMYFUNCTION("""COMPUTED_VALUE"""),"MehighCB#4516")</f>
        <v>MehighCB#4516</v>
      </c>
      <c r="B707" s="18"/>
      <c r="C707" s="18" t="str">
        <f>IFERROR(__xludf.DUMMYFUNCTION("""COMPUTED_VALUE"""),"mehigher")</f>
        <v>mehigher</v>
      </c>
      <c r="D707" s="18" t="str">
        <f>IFERROR(__xludf.DUMMYFUNCTION("""COMPUTED_VALUE"""),"mehigher")</f>
        <v>mehigher</v>
      </c>
    </row>
    <row r="708">
      <c r="A708" s="18" t="str">
        <f>IFERROR(__xludf.DUMMYFUNCTION("""COMPUTED_VALUE"""),"mercedesrodsim#1317")</f>
        <v>mercedesrodsim#1317</v>
      </c>
      <c r="B708" s="18"/>
      <c r="C708" s="18" t="str">
        <f>IFERROR(__xludf.DUMMYFUNCTION("""COMPUTED_VALUE"""),"mercedesrodsim")</f>
        <v>mercedesrodsim</v>
      </c>
      <c r="D708" s="18" t="str">
        <f>IFERROR(__xludf.DUMMYFUNCTION("""COMPUTED_VALUE"""),"mercedesrodsim")</f>
        <v>mercedesrodsim</v>
      </c>
    </row>
    <row r="709">
      <c r="A709" s="18"/>
      <c r="B709" s="18"/>
      <c r="C709" s="18" t="str">
        <f>IFERROR(__xludf.DUMMYFUNCTION("""COMPUTED_VALUE"""),"fabianvb")</f>
        <v>fabianvb</v>
      </c>
      <c r="D709" s="18" t="str">
        <f>IFERROR(__xludf.DUMMYFUNCTION("""COMPUTED_VALUE"""),"fabianvb")</f>
        <v>fabianvb</v>
      </c>
    </row>
    <row r="710">
      <c r="A710" s="18"/>
      <c r="B710" s="18"/>
      <c r="C710" s="18" t="str">
        <f>IFERROR(__xludf.DUMMYFUNCTION("""COMPUTED_VALUE"""),"maxsong123")</f>
        <v>maxsong123</v>
      </c>
      <c r="D710" s="18" t="str">
        <f>IFERROR(__xludf.DUMMYFUNCTION("""COMPUTED_VALUE"""),"maxsong123")</f>
        <v>maxsong123</v>
      </c>
    </row>
    <row r="711">
      <c r="A711" s="18"/>
      <c r="B711" s="18"/>
      <c r="C711" s="18" t="str">
        <f>IFERROR(__xludf.DUMMYFUNCTION("""COMPUTED_VALUE"""),"ludo_lb")</f>
        <v>ludo_lb</v>
      </c>
      <c r="D711" s="18" t="str">
        <f>IFERROR(__xludf.DUMMYFUNCTION("""COMPUTED_VALUE"""),"ludo_lb")</f>
        <v>ludo_lb</v>
      </c>
    </row>
    <row r="712">
      <c r="A712" s="18" t="str">
        <f>IFERROR(__xludf.DUMMYFUNCTION("""COMPUTED_VALUE"""),"Lydia#2825")</f>
        <v>Lydia#2825</v>
      </c>
      <c r="B712" s="18"/>
      <c r="C712" s="18"/>
      <c r="D712" s="18" t="str">
        <f>IFERROR(__xludf.DUMMYFUNCTION("""COMPUTED_VALUE"""),"Lydia#2825")</f>
        <v>Lydia#2825</v>
      </c>
    </row>
    <row r="713">
      <c r="A713" s="18" t="str">
        <f>IFERROR(__xludf.DUMMYFUNCTION("""COMPUTED_VALUE"""),"baartch#5796")</f>
        <v>baartch#5796</v>
      </c>
      <c r="B713" s="18"/>
      <c r="C713" s="18"/>
      <c r="D713" s="18" t="str">
        <f>IFERROR(__xludf.DUMMYFUNCTION("""COMPUTED_VALUE"""),"baartch#5796")</f>
        <v>baartch#5796</v>
      </c>
    </row>
    <row r="714">
      <c r="A714" s="18" t="str">
        <f>IFERROR(__xludf.DUMMYFUNCTION("""COMPUTED_VALUE"""),"DecentralizeSDGs#7544")</f>
        <v>DecentralizeSDGs#7544</v>
      </c>
      <c r="B714" s="18"/>
      <c r="C714" s="18" t="str">
        <f>IFERROR(__xludf.DUMMYFUNCTION("""COMPUTED_VALUE"""),"decentralizesdgs")</f>
        <v>decentralizesdgs</v>
      </c>
      <c r="D714" s="18" t="str">
        <f>IFERROR(__xludf.DUMMYFUNCTION("""COMPUTED_VALUE"""),"decentralizesdgs")</f>
        <v>decentralizesdgs</v>
      </c>
    </row>
    <row r="715">
      <c r="A715" s="18" t="str">
        <f>IFERROR(__xludf.DUMMYFUNCTION("""COMPUTED_VALUE"""),"rafaelcalcada#1402")</f>
        <v>rafaelcalcada#1402</v>
      </c>
      <c r="B715" s="18"/>
      <c r="C715" s="18"/>
      <c r="D715" s="18" t="str">
        <f>IFERROR(__xludf.DUMMYFUNCTION("""COMPUTED_VALUE"""),"rafaelcalcada#1402")</f>
        <v>rafaelcalcada#1402</v>
      </c>
    </row>
    <row r="716">
      <c r="A716" s="18" t="str">
        <f>IFERROR(__xludf.DUMMYFUNCTION("""COMPUTED_VALUE"""),"LeonS#5914")</f>
        <v>LeonS#5914</v>
      </c>
      <c r="B716" s="18"/>
      <c r="C716" s="18"/>
      <c r="D716" s="18" t="str">
        <f>IFERROR(__xludf.DUMMYFUNCTION("""COMPUTED_VALUE"""),"LeonS#5914")</f>
        <v>LeonS#5914</v>
      </c>
    </row>
    <row r="717">
      <c r="A717" s="18" t="str">
        <f>IFERROR(__xludf.DUMMYFUNCTION("""COMPUTED_VALUE"""),"dysbulic 🐙#3391")</f>
        <v>dysbulic 🐙#3391</v>
      </c>
      <c r="B717" s="18"/>
      <c r="C717" s="18"/>
      <c r="D717" s="18" t="str">
        <f>IFERROR(__xludf.DUMMYFUNCTION("""COMPUTED_VALUE"""),"dysbulic 🐙#3391")</f>
        <v>dysbulic 🐙#3391</v>
      </c>
    </row>
    <row r="718">
      <c r="A718" s="18"/>
      <c r="B718" s="18"/>
      <c r="C718" s="18" t="str">
        <f>IFERROR(__xludf.DUMMYFUNCTION("""COMPUTED_VALUE"""),"sugasug")</f>
        <v>sugasug</v>
      </c>
      <c r="D718" s="18" t="str">
        <f>IFERROR(__xludf.DUMMYFUNCTION("""COMPUTED_VALUE"""),"Suga#8514")</f>
        <v>Suga#8514</v>
      </c>
    </row>
    <row r="719">
      <c r="A719" s="18" t="str">
        <f>IFERROR(__xludf.DUMMYFUNCTION("""COMPUTED_VALUE"""),"Suga#8514")</f>
        <v>Suga#8514</v>
      </c>
      <c r="B719" s="18"/>
      <c r="C719" s="18" t="str">
        <f>IFERROR(__xludf.DUMMYFUNCTION("""COMPUTED_VALUE"""),"kdmasuga")</f>
        <v>kdmasuga</v>
      </c>
      <c r="D719" s="18" t="str">
        <f>IFERROR(__xludf.DUMMYFUNCTION("""COMPUTED_VALUE"""),"Suga#8514")</f>
        <v>Suga#8514</v>
      </c>
    </row>
    <row r="720">
      <c r="A720" s="18" t="str">
        <f>IFERROR(__xludf.DUMMYFUNCTION("""COMPUTED_VALUE"""),"sinsan#3757")</f>
        <v>sinsan#3757</v>
      </c>
      <c r="B720" s="18"/>
      <c r="C720" s="18"/>
      <c r="D720" s="18" t="str">
        <f>IFERROR(__xludf.DUMMYFUNCTION("""COMPUTED_VALUE"""),"sinsan#3757")</f>
        <v>sinsan#3757</v>
      </c>
    </row>
    <row r="721">
      <c r="A721" s="18" t="str">
        <f>IFERROR(__xludf.DUMMYFUNCTION("""COMPUTED_VALUE"""),"24nico#9513")</f>
        <v>24nico#9513</v>
      </c>
      <c r="B721" s="18"/>
      <c r="C721" s="18" t="str">
        <f>IFERROR(__xludf.DUMMYFUNCTION("""COMPUTED_VALUE"""),"officialnico")</f>
        <v>officialnico</v>
      </c>
      <c r="D721" s="18" t="str">
        <f>IFERROR(__xludf.DUMMYFUNCTION("""COMPUTED_VALUE"""),"officialnico")</f>
        <v>officialnico</v>
      </c>
    </row>
    <row r="722">
      <c r="A722" s="18" t="str">
        <f>IFERROR(__xludf.DUMMYFUNCTION("""COMPUTED_VALUE"""),"lanski#3094")</f>
        <v>lanski#3094</v>
      </c>
      <c r="B722" s="18"/>
      <c r="C722" s="18" t="str">
        <f>IFERROR(__xludf.DUMMYFUNCTION("""COMPUTED_VALUE"""),"lanski13")</f>
        <v>lanski13</v>
      </c>
      <c r="D722" s="18" t="str">
        <f>IFERROR(__xludf.DUMMYFUNCTION("""COMPUTED_VALUE"""),"lanski13")</f>
        <v>lanski13</v>
      </c>
    </row>
    <row r="723">
      <c r="A723" s="18" t="str">
        <f>IFERROR(__xludf.DUMMYFUNCTION("""COMPUTED_VALUE"""),"maghaali#6154")</f>
        <v>maghaali#6154</v>
      </c>
      <c r="B723" s="18"/>
      <c r="C723" s="18"/>
      <c r="D723" s="18" t="str">
        <f>IFERROR(__xludf.DUMMYFUNCTION("""COMPUTED_VALUE"""),"maghaali#6154")</f>
        <v>maghaali#6154</v>
      </c>
    </row>
    <row r="724">
      <c r="A724" s="18" t="str">
        <f>IFERROR(__xludf.DUMMYFUNCTION("""COMPUTED_VALUE"""),"johann#1308")</f>
        <v>johann#1308</v>
      </c>
      <c r="B724" s="18"/>
      <c r="C724" s="18"/>
      <c r="D724" s="18" t="str">
        <f>IFERROR(__xludf.DUMMYFUNCTION("""COMPUTED_VALUE"""),"johann#1308")</f>
        <v>johann#1308</v>
      </c>
    </row>
    <row r="725">
      <c r="A725" s="18" t="str">
        <f>IFERROR(__xludf.DUMMYFUNCTION("""COMPUTED_VALUE"""),"BK#7471")</f>
        <v>BK#7471</v>
      </c>
      <c r="B725" s="18"/>
      <c r="C725" s="18"/>
      <c r="D725" s="18" t="str">
        <f>IFERROR(__xludf.DUMMYFUNCTION("""COMPUTED_VALUE"""),"BK#7471")</f>
        <v>BK#7471</v>
      </c>
    </row>
    <row r="726">
      <c r="A726" s="18" t="str">
        <f>IFERROR(__xludf.DUMMYFUNCTION("""COMPUTED_VALUE"""),"davidhq#6023")</f>
        <v>davidhq#6023</v>
      </c>
      <c r="B726" s="18"/>
      <c r="C726" s="18" t="str">
        <f>IFERROR(__xludf.DUMMYFUNCTION("""COMPUTED_VALUE"""),"davidhq")</f>
        <v>davidhq</v>
      </c>
      <c r="D726" s="18" t="str">
        <f>IFERROR(__xludf.DUMMYFUNCTION("""COMPUTED_VALUE"""),"davidhq")</f>
        <v>davidhq</v>
      </c>
    </row>
    <row r="727">
      <c r="A727" s="18" t="str">
        <f>IFERROR(__xludf.DUMMYFUNCTION("""COMPUTED_VALUE"""),"Tyler#4822")</f>
        <v>Tyler#4822</v>
      </c>
      <c r="B727" s="18"/>
      <c r="C727" s="18" t="str">
        <f>IFERROR(__xludf.DUMMYFUNCTION("""COMPUTED_VALUE"""),"tylerdmace")</f>
        <v>tylerdmace</v>
      </c>
      <c r="D727" s="18" t="str">
        <f>IFERROR(__xludf.DUMMYFUNCTION("""COMPUTED_VALUE"""),"tylerdmace")</f>
        <v>tylerdmace</v>
      </c>
    </row>
    <row r="728">
      <c r="A728" s="18" t="str">
        <f>IFERROR(__xludf.DUMMYFUNCTION("""COMPUTED_VALUE"""),"paul2#3057")</f>
        <v>paul2#3057</v>
      </c>
      <c r="B728" s="18"/>
      <c r="C728" s="18"/>
      <c r="D728" s="18" t="str">
        <f>IFERROR(__xludf.DUMMYFUNCTION("""COMPUTED_VALUE"""),"paul2#3057")</f>
        <v>paul2#3057</v>
      </c>
    </row>
    <row r="729">
      <c r="A729" s="18" t="str">
        <f>IFERROR(__xludf.DUMMYFUNCTION("""COMPUTED_VALUE"""),"Kike Bell#8265")</f>
        <v>Kike Bell#8265</v>
      </c>
      <c r="B729" s="18"/>
      <c r="C729" s="18"/>
      <c r="D729" s="18" t="str">
        <f>IFERROR(__xludf.DUMMYFUNCTION("""COMPUTED_VALUE"""),"Kike Bell#8265")</f>
        <v>Kike Bell#8265</v>
      </c>
    </row>
    <row r="730">
      <c r="A730" s="18" t="str">
        <f>IFERROR(__xludf.DUMMYFUNCTION("""COMPUTED_VALUE"""),"ddan#2489")</f>
        <v>ddan#2489</v>
      </c>
      <c r="B730" s="18"/>
      <c r="C730" s="18"/>
      <c r="D730" s="18" t="str">
        <f>IFERROR(__xludf.DUMMYFUNCTION("""COMPUTED_VALUE"""),"ddan#2489")</f>
        <v>ddan#2489</v>
      </c>
    </row>
    <row r="731">
      <c r="A731" s="18" t="str">
        <f>IFERROR(__xludf.DUMMYFUNCTION("""COMPUTED_VALUE"""),"kalesalad#3511")</f>
        <v>kalesalad#3511</v>
      </c>
      <c r="B731" s="18"/>
      <c r="C731" s="18"/>
      <c r="D731" s="18" t="str">
        <f>IFERROR(__xludf.DUMMYFUNCTION("""COMPUTED_VALUE"""),"kalesalad#3511")</f>
        <v>kalesalad#3511</v>
      </c>
    </row>
    <row r="732">
      <c r="A732" s="18" t="str">
        <f>IFERROR(__xludf.DUMMYFUNCTION("""COMPUTED_VALUE"""),"willjgriff 🐝#6164")</f>
        <v>willjgriff 🐝#6164</v>
      </c>
      <c r="B732" s="18"/>
      <c r="C732" s="322" t="str">
        <f>IFERROR(__xludf.DUMMYFUNCTION("""COMPUTED_VALUE"""),"willjgriff")</f>
        <v>willjgriff</v>
      </c>
      <c r="D732" s="322" t="str">
        <f>IFERROR(__xludf.DUMMYFUNCTION("""COMPUTED_VALUE"""),"willjgriff")</f>
        <v>willjgriff</v>
      </c>
    </row>
    <row r="733">
      <c r="A733" s="18" t="str">
        <f>IFERROR(__xludf.DUMMYFUNCTION("""COMPUTED_VALUE"""),"Si Chen#0557")</f>
        <v>Si Chen#0557</v>
      </c>
      <c r="B733" s="18"/>
      <c r="C733" s="18"/>
      <c r="D733" s="18" t="str">
        <f>IFERROR(__xludf.DUMMYFUNCTION("""COMPUTED_VALUE"""),"Si Chen#0557")</f>
        <v>Si Chen#0557</v>
      </c>
    </row>
    <row r="734">
      <c r="A734" s="18" t="str">
        <f>IFERROR(__xludf.DUMMYFUNCTION("""COMPUTED_VALUE"""),"graven#6675")</f>
        <v>graven#6675</v>
      </c>
      <c r="B734" s="18"/>
      <c r="C734" s="18"/>
      <c r="D734" s="18" t="str">
        <f>IFERROR(__xludf.DUMMYFUNCTION("""COMPUTED_VALUE"""),"graven#6675")</f>
        <v>graven#6675</v>
      </c>
    </row>
    <row r="735">
      <c r="A735" s="18" t="str">
        <f>IFERROR(__xludf.DUMMYFUNCTION("""COMPUTED_VALUE"""),"kaikai520#0224")</f>
        <v>kaikai520#0224</v>
      </c>
      <c r="B735" s="18"/>
      <c r="C735" s="18"/>
      <c r="D735" s="18" t="str">
        <f>IFERROR(__xludf.DUMMYFUNCTION("""COMPUTED_VALUE"""),"kaikai520#0224")</f>
        <v>kaikai520#0224</v>
      </c>
    </row>
    <row r="736">
      <c r="A736" s="18"/>
      <c r="B736" s="18"/>
      <c r="C736" s="18" t="str">
        <f>IFERROR(__xludf.DUMMYFUNCTION("""COMPUTED_VALUE"""),"ollitiainen")</f>
        <v>ollitiainen</v>
      </c>
      <c r="D736" s="18" t="str">
        <f>IFERROR(__xludf.DUMMYFUNCTION("""COMPUTED_VALUE"""),"ollitiainen")</f>
        <v>ollitiainen</v>
      </c>
    </row>
    <row r="737">
      <c r="A737" s="18" t="str">
        <f>IFERROR(__xludf.DUMMYFUNCTION("""COMPUTED_VALUE"""),"Rex#1134")</f>
        <v>Rex#1134</v>
      </c>
      <c r="B737" s="18"/>
      <c r="C737" s="18" t="str">
        <f>IFERROR(__xludf.DUMMYFUNCTION("""COMPUTED_VALUE"""),"ShinkaRex")</f>
        <v>ShinkaRex</v>
      </c>
      <c r="D737" s="18" t="str">
        <f>IFERROR(__xludf.DUMMYFUNCTION("""COMPUTED_VALUE"""),"Rex#1134")</f>
        <v>Rex#1134</v>
      </c>
    </row>
    <row r="738">
      <c r="A738" s="18" t="str">
        <f>IFERROR(__xludf.DUMMYFUNCTION("""COMPUTED_VALUE"""),"monstrosity#5714")</f>
        <v>monstrosity#5714</v>
      </c>
      <c r="B738" s="18"/>
      <c r="C738" s="18" t="str">
        <f>IFERROR(__xludf.DUMMYFUNCTION("""COMPUTED_VALUE"""),"monstros1ty")</f>
        <v>monstros1ty</v>
      </c>
      <c r="D738" s="18" t="str">
        <f>IFERROR(__xludf.DUMMYFUNCTION("""COMPUTED_VALUE"""),"monstros1ty")</f>
        <v>monstros1ty</v>
      </c>
    </row>
    <row r="739">
      <c r="A739" s="18"/>
      <c r="B739" s="18"/>
      <c r="C739" s="18" t="str">
        <f>IFERROR(__xludf.DUMMYFUNCTION("""COMPUTED_VALUE"""),"emalinus")</f>
        <v>emalinus</v>
      </c>
      <c r="D739" s="18" t="str">
        <f>IFERROR(__xludf.DUMMYFUNCTION("""COMPUTED_VALUE"""),"emalinus")</f>
        <v>emalinus</v>
      </c>
    </row>
    <row r="740">
      <c r="A740" s="18"/>
      <c r="B740" s="18"/>
      <c r="C740" s="18" t="str">
        <f>IFERROR(__xludf.DUMMYFUNCTION("""COMPUTED_VALUE"""),"rokkranjc")</f>
        <v>rokkranjc</v>
      </c>
      <c r="D740" s="18" t="str">
        <f>IFERROR(__xludf.DUMMYFUNCTION("""COMPUTED_VALUE"""),"rokkranjc")</f>
        <v>rokkranjc</v>
      </c>
    </row>
    <row r="741">
      <c r="A741" s="18"/>
      <c r="B741" s="18"/>
      <c r="C741" s="18" t="str">
        <f>IFERROR(__xludf.DUMMYFUNCTION("""COMPUTED_VALUE"""),"adriamb")</f>
        <v>adriamb</v>
      </c>
      <c r="D741" s="18" t="str">
        <f>IFERROR(__xludf.DUMMYFUNCTION("""COMPUTED_VALUE"""),"adriamb")</f>
        <v>adriamb</v>
      </c>
    </row>
    <row r="742">
      <c r="A742" s="18"/>
      <c r="B742" s="18"/>
      <c r="C742" s="18" t="str">
        <f>IFERROR(__xludf.DUMMYFUNCTION("""COMPUTED_VALUE"""),"felixfritsch")</f>
        <v>felixfritsch</v>
      </c>
      <c r="D742" s="18" t="str">
        <f>IFERROR(__xludf.DUMMYFUNCTION("""COMPUTED_VALUE"""),"felixfalafel")</f>
        <v>felixfalafel</v>
      </c>
    </row>
    <row r="743">
      <c r="A743" s="18"/>
      <c r="B743" s="18"/>
      <c r="C743" s="18" t="str">
        <f>IFERROR(__xludf.DUMMYFUNCTION("""COMPUTED_VALUE"""),"meedabyte")</f>
        <v>meedabyte</v>
      </c>
      <c r="D743" s="18" t="str">
        <f>IFERROR(__xludf.DUMMYFUNCTION("""COMPUTED_VALUE"""),"meedabyte")</f>
        <v>meedabyte</v>
      </c>
    </row>
    <row r="744">
      <c r="A744" s="18" t="str">
        <f>IFERROR(__xludf.DUMMYFUNCTION("""COMPUTED_VALUE"""),"zeroknowledge#8287")</f>
        <v>zeroknowledge#8287</v>
      </c>
      <c r="B744" s="18"/>
      <c r="C744" s="18"/>
      <c r="D744" s="18" t="str">
        <f>IFERROR(__xludf.DUMMYFUNCTION("""COMPUTED_VALUE"""),"zeroknowledge#8287")</f>
        <v>zeroknowledge#8287</v>
      </c>
    </row>
    <row r="745">
      <c r="A745" s="18" t="str">
        <f>IFERROR(__xludf.DUMMYFUNCTION("""COMPUTED_VALUE"""),"Kris Paruch#0738")</f>
        <v>Kris Paruch#0738</v>
      </c>
      <c r="B745" s="18"/>
      <c r="C745" s="18" t="str">
        <f>IFERROR(__xludf.DUMMYFUNCTION("""COMPUTED_VALUE"""),"krisparuch")</f>
        <v>krisparuch</v>
      </c>
      <c r="D745" s="18" t="str">
        <f>IFERROR(__xludf.DUMMYFUNCTION("""COMPUTED_VALUE"""),"krisparuch")</f>
        <v>krisparuch</v>
      </c>
    </row>
    <row r="746">
      <c r="A746" s="18" t="str">
        <f>IFERROR(__xludf.DUMMYFUNCTION("""COMPUTED_VALUE"""),"jpaulet#3269")</f>
        <v>jpaulet#3269</v>
      </c>
      <c r="B746" s="18"/>
      <c r="C746" s="18"/>
      <c r="D746" s="18" t="str">
        <f>IFERROR(__xludf.DUMMYFUNCTION("""COMPUTED_VALUE"""),"jpaulet#3269")</f>
        <v>jpaulet#3269</v>
      </c>
    </row>
    <row r="747">
      <c r="A747" s="18" t="str">
        <f>IFERROR(__xludf.DUMMYFUNCTION("""COMPUTED_VALUE"""),"NIEK_NIK#9215")</f>
        <v>NIEK_NIK#9215</v>
      </c>
      <c r="B747" s="18"/>
      <c r="C747" s="18"/>
      <c r="D747" s="18" t="str">
        <f>IFERROR(__xludf.DUMMYFUNCTION("""COMPUTED_VALUE"""),"nikoline_nik")</f>
        <v>nikoline_nik</v>
      </c>
    </row>
    <row r="748">
      <c r="A748" s="18" t="str">
        <f>IFERROR(__xludf.DUMMYFUNCTION("""COMPUTED_VALUE"""),"OK#8891")</f>
        <v>OK#8891</v>
      </c>
      <c r="B748" s="18"/>
      <c r="C748" s="18"/>
      <c r="D748" s="18" t="str">
        <f>IFERROR(__xludf.DUMMYFUNCTION("""COMPUTED_VALUE"""),"OK#8891")</f>
        <v>OK#8891</v>
      </c>
    </row>
    <row r="749">
      <c r="A749" s="18" t="str">
        <f>IFERROR(__xludf.DUMMYFUNCTION("""COMPUTED_VALUE"""),"bimboom66#4846")</f>
        <v>bimboom66#4846</v>
      </c>
      <c r="B749" s="18"/>
      <c r="C749" s="18"/>
      <c r="D749" s="18" t="str">
        <f>IFERROR(__xludf.DUMMYFUNCTION("""COMPUTED_VALUE"""),"bimboom66#4846")</f>
        <v>bimboom66#4846</v>
      </c>
    </row>
    <row r="750">
      <c r="A750" s="18" t="str">
        <f>IFERROR(__xludf.DUMMYFUNCTION("""COMPUTED_VALUE"""),"prasad_h#9454")</f>
        <v>prasad_h#9454</v>
      </c>
      <c r="B750" s="18"/>
      <c r="C750" s="18"/>
      <c r="D750" s="18" t="str">
        <f>IFERROR(__xludf.DUMMYFUNCTION("""COMPUTED_VALUE"""),"prasad_h#9454")</f>
        <v>prasad_h#9454</v>
      </c>
    </row>
    <row r="751">
      <c r="A751" s="18" t="str">
        <f>IFERROR(__xludf.DUMMYFUNCTION("""COMPUTED_VALUE"""),"decap#9400")</f>
        <v>decap#9400</v>
      </c>
      <c r="B751" s="18"/>
      <c r="C751" s="18"/>
      <c r="D751" s="18" t="str">
        <f>IFERROR(__xludf.DUMMYFUNCTION("""COMPUTED_VALUE"""),"decap#9400")</f>
        <v>decap#9400</v>
      </c>
    </row>
    <row r="752">
      <c r="A752" s="18" t="str">
        <f>IFERROR(__xludf.DUMMYFUNCTION("""COMPUTED_VALUE"""),"randomshinichi#1165")</f>
        <v>randomshinichi#1165</v>
      </c>
      <c r="B752" s="18"/>
      <c r="C752" s="18" t="str">
        <f>IFERROR(__xludf.DUMMYFUNCTION("""COMPUTED_VALUE"""),"randomshinichi")</f>
        <v>randomshinichi</v>
      </c>
      <c r="D752" s="18" t="str">
        <f>IFERROR(__xludf.DUMMYFUNCTION("""COMPUTED_VALUE"""),"randomshinichi")</f>
        <v>randomshinichi</v>
      </c>
    </row>
    <row r="753">
      <c r="A753" s="18" t="str">
        <f>IFERROR(__xludf.DUMMYFUNCTION("""COMPUTED_VALUE"""),"barnabe#7926")</f>
        <v>barnabe#7926</v>
      </c>
      <c r="B753" s="18"/>
      <c r="C753" s="18" t="str">
        <f>IFERROR(__xludf.DUMMYFUNCTION("""COMPUTED_VALUE"""),"barnabemonnot")</f>
        <v>barnabemonnot</v>
      </c>
      <c r="D753" s="18" t="str">
        <f>IFERROR(__xludf.DUMMYFUNCTION("""COMPUTED_VALUE"""),"barnabemonnot")</f>
        <v>barnabemonnot</v>
      </c>
    </row>
    <row r="754">
      <c r="A754" s="18" t="str">
        <f>IFERROR(__xludf.DUMMYFUNCTION("""COMPUTED_VALUE"""),"NirV#4850")</f>
        <v>NirV#4850</v>
      </c>
      <c r="B754" s="18"/>
      <c r="C754" s="18"/>
      <c r="D754" s="18" t="str">
        <f>IFERROR(__xludf.DUMMYFUNCTION("""COMPUTED_VALUE"""),"NirV#4850")</f>
        <v>NirV#4850</v>
      </c>
    </row>
    <row r="755">
      <c r="A755" s="18" t="str">
        <f>IFERROR(__xludf.DUMMYFUNCTION("""COMPUTED_VALUE"""),"Thales#8858")</f>
        <v>Thales#8858</v>
      </c>
      <c r="B755" s="18"/>
      <c r="C755" s="18"/>
      <c r="D755" s="18" t="str">
        <f>IFERROR(__xludf.DUMMYFUNCTION("""COMPUTED_VALUE"""),"Thales#8858")</f>
        <v>Thales#8858</v>
      </c>
    </row>
    <row r="756">
      <c r="A756" s="18" t="str">
        <f>IFERROR(__xludf.DUMMYFUNCTION("""COMPUTED_VALUE"""),"🐙 octopus#5508")</f>
        <v>🐙 octopus#5508</v>
      </c>
      <c r="B756" s="18"/>
      <c r="C756" s="18"/>
      <c r="D756" s="18" t="str">
        <f>IFERROR(__xludf.DUMMYFUNCTION("""COMPUTED_VALUE"""),"🐙 octopus#5508")</f>
        <v>🐙 octopus#5508</v>
      </c>
    </row>
    <row r="757">
      <c r="A757" s="18" t="str">
        <f>IFERROR(__xludf.DUMMYFUNCTION("""COMPUTED_VALUE"""),"terry#6288")</f>
        <v>terry#6288</v>
      </c>
      <c r="B757" s="18"/>
      <c r="C757" s="18"/>
      <c r="D757" s="18" t="str">
        <f>IFERROR(__xludf.DUMMYFUNCTION("""COMPUTED_VALUE"""),"terry#6288")</f>
        <v>terry#6288</v>
      </c>
    </row>
    <row r="758">
      <c r="A758" s="18" t="str">
        <f>IFERROR(__xludf.DUMMYFUNCTION("""COMPUTED_VALUE"""),"Mike Elias#4724")</f>
        <v>Mike Elias#4724</v>
      </c>
      <c r="B758" s="18"/>
      <c r="C758" s="18"/>
      <c r="D758" s="18" t="str">
        <f>IFERROR(__xludf.DUMMYFUNCTION("""COMPUTED_VALUE"""),"Mike Elias#4724")</f>
        <v>Mike Elias#4724</v>
      </c>
    </row>
    <row r="759">
      <c r="A759" s="18" t="str">
        <f>IFERROR(__xludf.DUMMYFUNCTION("""COMPUTED_VALUE"""),"Tyler Golato#5399")</f>
        <v>Tyler Golato#5399</v>
      </c>
      <c r="B759" s="18"/>
      <c r="C759" s="18"/>
      <c r="D759" s="18" t="str">
        <f>IFERROR(__xludf.DUMMYFUNCTION("""COMPUTED_VALUE"""),"Tyler Golato#5399")</f>
        <v>Tyler Golato#5399</v>
      </c>
    </row>
    <row r="760">
      <c r="A760" s="18"/>
      <c r="B760" s="18"/>
      <c r="C760" s="18" t="str">
        <f>IFERROR(__xludf.DUMMYFUNCTION("""COMPUTED_VALUE"""),"francescovaub")</f>
        <v>francescovaub</v>
      </c>
      <c r="D760" s="18" t="str">
        <f>IFERROR(__xludf.DUMMYFUNCTION("""COMPUTED_VALUE"""),"francescovaub")</f>
        <v>francescovaub</v>
      </c>
    </row>
    <row r="761">
      <c r="A761" s="18" t="str">
        <f>IFERROR(__xludf.DUMMYFUNCTION("""COMPUTED_VALUE"""),"Mettodo#7010")</f>
        <v>Mettodo#7010</v>
      </c>
      <c r="B761" s="18"/>
      <c r="C761" s="18" t="str">
        <f>IFERROR(__xludf.DUMMYFUNCTION("""COMPUTED_VALUE"""),"Mettodo")</f>
        <v>Mettodo</v>
      </c>
      <c r="D761" s="18" t="str">
        <f>IFERROR(__xludf.DUMMYFUNCTION("""COMPUTED_VALUE"""),"Mettodo#7010")</f>
        <v>Mettodo#7010</v>
      </c>
    </row>
    <row r="762">
      <c r="A762" s="18" t="str">
        <f>IFERROR(__xludf.DUMMYFUNCTION("""COMPUTED_VALUE"""),"patogit#7853")</f>
        <v>patogit#7853</v>
      </c>
      <c r="B762" s="18"/>
      <c r="C762" s="18"/>
      <c r="D762" s="18" t="str">
        <f>IFERROR(__xludf.DUMMYFUNCTION("""COMPUTED_VALUE"""),"patogit#7853")</f>
        <v>patogit#7853</v>
      </c>
    </row>
    <row r="763">
      <c r="A763" s="18" t="str">
        <f>IFERROR(__xludf.DUMMYFUNCTION("""COMPUTED_VALUE"""),"EFRA#7972")</f>
        <v>EFRA#7972</v>
      </c>
      <c r="B763" s="18"/>
      <c r="C763" s="18"/>
      <c r="D763" s="18" t="str">
        <f>IFERROR(__xludf.DUMMYFUNCTION("""COMPUTED_VALUE"""),"EFRA#7972")</f>
        <v>EFRA#7972</v>
      </c>
    </row>
    <row r="764">
      <c r="A764" s="18" t="str">
        <f>IFERROR(__xludf.DUMMYFUNCTION("""COMPUTED_VALUE"""),"rodbot2#3621")</f>
        <v>rodbot2#3621</v>
      </c>
      <c r="B764" s="18"/>
      <c r="C764" s="18"/>
      <c r="D764" s="18" t="str">
        <f>IFERROR(__xludf.DUMMYFUNCTION("""COMPUTED_VALUE"""),"rodbot2#3621")</f>
        <v>rodbot2#3621</v>
      </c>
    </row>
    <row r="765">
      <c r="A765" s="18" t="str">
        <f>IFERROR(__xludf.DUMMYFUNCTION("""COMPUTED_VALUE"""),"cryptonio#7187")</f>
        <v>cryptonio#7187</v>
      </c>
      <c r="B765" s="18"/>
      <c r="C765" s="18"/>
      <c r="D765" s="18" t="str">
        <f>IFERROR(__xludf.DUMMYFUNCTION("""COMPUTED_VALUE"""),"cryptonio#7187")</f>
        <v>cryptonio#7187</v>
      </c>
    </row>
    <row r="766">
      <c r="A766" s="18" t="str">
        <f>IFERROR(__xludf.DUMMYFUNCTION("""COMPUTED_VALUE"""),"Jsimbouras#2339")</f>
        <v>Jsimbouras#2339</v>
      </c>
      <c r="B766" s="18"/>
      <c r="C766" s="18" t="str">
        <f>IFERROR(__xludf.DUMMYFUNCTION("""COMPUTED_VALUE"""),"JamesSimbouras")</f>
        <v>JamesSimbouras</v>
      </c>
      <c r="D766" s="18" t="str">
        <f>IFERROR(__xludf.DUMMYFUNCTION("""COMPUTED_VALUE"""),"JamesSimbouras")</f>
        <v>JamesSimbouras</v>
      </c>
    </row>
    <row r="767">
      <c r="A767" s="18" t="str">
        <f>IFERROR(__xludf.DUMMYFUNCTION("""COMPUTED_VALUE"""),"ChrisCyphert#4148")</f>
        <v>ChrisCyphert#4148</v>
      </c>
      <c r="B767" s="18"/>
      <c r="C767" s="18" t="str">
        <f>IFERROR(__xludf.DUMMYFUNCTION("""COMPUTED_VALUE"""),"chriscyber")</f>
        <v>chriscyber</v>
      </c>
      <c r="D767" s="18" t="str">
        <f>IFERROR(__xludf.DUMMYFUNCTION("""COMPUTED_VALUE"""),"chriscyber")</f>
        <v>chriscyber</v>
      </c>
    </row>
    <row r="768">
      <c r="A768" s="18" t="str">
        <f>IFERROR(__xludf.DUMMYFUNCTION("""COMPUTED_VALUE"""),"lEscanore#7764")</f>
        <v>lEscanore#7764</v>
      </c>
      <c r="B768" s="18"/>
      <c r="C768" s="18" t="str">
        <f>IFERROR(__xludf.DUMMYFUNCTION("""COMPUTED_VALUE"""),"lescanore")</f>
        <v>lescanore</v>
      </c>
      <c r="D768" s="18" t="str">
        <f>IFERROR(__xludf.DUMMYFUNCTION("""COMPUTED_VALUE"""),"lescanore")</f>
        <v>lescanore</v>
      </c>
    </row>
    <row r="769">
      <c r="A769" s="18" t="str">
        <f>IFERROR(__xludf.DUMMYFUNCTION("""COMPUTED_VALUE"""),"BadJuju#1050")</f>
        <v>BadJuju#1050</v>
      </c>
      <c r="B769" s="18"/>
      <c r="C769" s="18"/>
      <c r="D769" s="18" t="str">
        <f>IFERROR(__xludf.DUMMYFUNCTION("""COMPUTED_VALUE"""),"BadJuju#1050")</f>
        <v>BadJuju#1050</v>
      </c>
    </row>
    <row r="770">
      <c r="A770" s="18" t="str">
        <f>IFERROR(__xludf.DUMMYFUNCTION("""COMPUTED_VALUE"""),"Christian_RegenNetwork#5044")</f>
        <v>Christian_RegenNetwork#5044</v>
      </c>
      <c r="B770" s="18"/>
      <c r="C770" s="18"/>
      <c r="D770" s="18" t="str">
        <f>IFERROR(__xludf.DUMMYFUNCTION("""COMPUTED_VALUE"""),"Christian_RegenNetwork#5044")</f>
        <v>Christian_RegenNetwork#5044</v>
      </c>
    </row>
    <row r="771">
      <c r="A771" s="18" t="str">
        <f>IFERROR(__xludf.DUMMYFUNCTION("""COMPUTED_VALUE"""),"eli_#0534")</f>
        <v>eli_#0534</v>
      </c>
      <c r="B771" s="18"/>
      <c r="C771" s="18" t="str">
        <f>IFERROR(__xludf.DUMMYFUNCTION("""COMPUTED_VALUE"""),"elihanover")</f>
        <v>elihanover</v>
      </c>
      <c r="D771" s="18" t="str">
        <f>IFERROR(__xludf.DUMMYFUNCTION("""COMPUTED_VALUE"""),"elihanover")</f>
        <v>elihanover</v>
      </c>
    </row>
    <row r="772">
      <c r="A772" s="18" t="str">
        <f>IFERROR(__xludf.DUMMYFUNCTION("""COMPUTED_VALUE"""),"rogervs#1094")</f>
        <v>rogervs#1094</v>
      </c>
      <c r="B772" s="18"/>
      <c r="C772" s="18"/>
      <c r="D772" s="18" t="str">
        <f>IFERROR(__xludf.DUMMYFUNCTION("""COMPUTED_VALUE"""),"rogervs#1094")</f>
        <v>rogervs#1094</v>
      </c>
    </row>
    <row r="773">
      <c r="A773" s="18" t="str">
        <f>IFERROR(__xludf.DUMMYFUNCTION("""COMPUTED_VALUE"""),"JamesF#7637")</f>
        <v>JamesF#7637</v>
      </c>
      <c r="B773" s="18"/>
      <c r="C773" s="18" t="str">
        <f>IFERROR(__xludf.DUMMYFUNCTION("""COMPUTED_VALUE"""),"positonic")</f>
        <v>positonic</v>
      </c>
      <c r="D773" s="18" t="str">
        <f>IFERROR(__xludf.DUMMYFUNCTION("""COMPUTED_VALUE"""),"positonic")</f>
        <v>positonic</v>
      </c>
    </row>
    <row r="774">
      <c r="A774" s="18" t="str">
        <f>IFERROR(__xludf.DUMMYFUNCTION("""COMPUTED_VALUE"""),"witwiki#0518")</f>
        <v>witwiki#0518</v>
      </c>
      <c r="B774" s="18"/>
      <c r="C774" s="18" t="str">
        <f>IFERROR(__xludf.DUMMYFUNCTION("""COMPUTED_VALUE"""),"witwiki3")</f>
        <v>witwiki3</v>
      </c>
      <c r="D774" s="18" t="str">
        <f>IFERROR(__xludf.DUMMYFUNCTION("""COMPUTED_VALUE"""),"witwiki3")</f>
        <v>witwiki3</v>
      </c>
    </row>
    <row r="775">
      <c r="A775" s="18"/>
      <c r="B775" s="18"/>
      <c r="C775" s="18" t="str">
        <f>IFERROR(__xludf.DUMMYFUNCTION("""COMPUTED_VALUE"""),"gcrewe")</f>
        <v>gcrewe</v>
      </c>
      <c r="D775" s="18" t="str">
        <f>IFERROR(__xludf.DUMMYFUNCTION("""COMPUTED_VALUE"""),"gcrewe")</f>
        <v>gcrewe</v>
      </c>
    </row>
    <row r="776">
      <c r="A776" s="18"/>
      <c r="B776" s="18"/>
      <c r="C776" s="18" t="str">
        <f>IFERROR(__xludf.DUMMYFUNCTION("""COMPUTED_VALUE"""),"dahlberry")</f>
        <v>dahlberry</v>
      </c>
      <c r="D776" s="18" t="str">
        <f>IFERROR(__xludf.DUMMYFUNCTION("""COMPUTED_VALUE"""),"dahlberry")</f>
        <v>dahlberry</v>
      </c>
    </row>
    <row r="777">
      <c r="A777" s="18" t="str">
        <f>IFERROR(__xludf.DUMMYFUNCTION("""COMPUTED_VALUE"""),"Wright#9119")</f>
        <v>Wright#9119</v>
      </c>
      <c r="B777" s="18"/>
      <c r="C777" s="18"/>
      <c r="D777" s="18" t="str">
        <f>IFERROR(__xludf.DUMMYFUNCTION("""COMPUTED_VALUE"""),"Wright#9119")</f>
        <v>Wright#9119</v>
      </c>
    </row>
    <row r="778">
      <c r="A778" s="18"/>
      <c r="B778" s="18"/>
      <c r="C778" s="18" t="str">
        <f>IFERROR(__xludf.DUMMYFUNCTION("""COMPUTED_VALUE"""),"tomerba")</f>
        <v>tomerba</v>
      </c>
      <c r="D778" s="18" t="str">
        <f>IFERROR(__xludf.DUMMYFUNCTION("""COMPUTED_VALUE"""),"tomerba")</f>
        <v>tomerba</v>
      </c>
    </row>
    <row r="779">
      <c r="A779" s="18"/>
      <c r="B779" s="18"/>
      <c r="C779" s="18" t="str">
        <f>IFERROR(__xludf.DUMMYFUNCTION("""COMPUTED_VALUE"""),"atitcomb")</f>
        <v>atitcomb</v>
      </c>
      <c r="D779" s="18" t="str">
        <f>IFERROR(__xludf.DUMMYFUNCTION("""COMPUTED_VALUE"""),"atitcomb")</f>
        <v>atitcomb</v>
      </c>
    </row>
    <row r="780">
      <c r="A780" s="18"/>
      <c r="B780" s="18"/>
      <c r="C780" s="18" t="str">
        <f>IFERROR(__xludf.DUMMYFUNCTION("""COMPUTED_VALUE"""),"ajmaq")</f>
        <v>ajmaq</v>
      </c>
      <c r="D780" s="18" t="str">
        <f>IFERROR(__xludf.DUMMYFUNCTION("""COMPUTED_VALUE"""),"ajmaq")</f>
        <v>ajmaq</v>
      </c>
    </row>
    <row r="781">
      <c r="A781" s="18" t="str">
        <f>IFERROR(__xludf.DUMMYFUNCTION("""COMPUTED_VALUE"""),"Lin#3884")</f>
        <v>Lin#3884</v>
      </c>
      <c r="B781" s="18"/>
      <c r="C781" s="18"/>
      <c r="D781" s="18" t="str">
        <f>IFERROR(__xludf.DUMMYFUNCTION("""COMPUTED_VALUE"""),"Lin#3884")</f>
        <v>Lin#3884</v>
      </c>
    </row>
    <row r="782">
      <c r="A782" s="18" t="str">
        <f>IFERROR(__xludf.DUMMYFUNCTION("""COMPUTED_VALUE"""),"TamedImpala#7142")</f>
        <v>TamedImpala#7142</v>
      </c>
      <c r="B782" s="18"/>
      <c r="C782" s="18"/>
      <c r="D782" s="18" t="str">
        <f>IFERROR(__xludf.DUMMYFUNCTION("""COMPUTED_VALUE"""),"TamedImpala#7142")</f>
        <v>TamedImpala#7142</v>
      </c>
    </row>
    <row r="783">
      <c r="A783" s="18" t="str">
        <f>IFERROR(__xludf.DUMMYFUNCTION("""COMPUTED_VALUE"""),"emmy#1303")</f>
        <v>emmy#1303</v>
      </c>
      <c r="B783" s="18"/>
      <c r="C783" s="18"/>
      <c r="D783" s="18" t="str">
        <f>IFERROR(__xludf.DUMMYFUNCTION("""COMPUTED_VALUE"""),"emmy#1303")</f>
        <v>emmy#1303</v>
      </c>
    </row>
    <row r="784">
      <c r="A784" s="18" t="str">
        <f>IFERROR(__xludf.DUMMYFUNCTION("""COMPUTED_VALUE"""),"itiszacs#2501")</f>
        <v>itiszacs#2501</v>
      </c>
      <c r="B784" s="18"/>
      <c r="C784" s="18"/>
      <c r="D784" s="18" t="str">
        <f>IFERROR(__xludf.DUMMYFUNCTION("""COMPUTED_VALUE"""),"itiszacs#2501")</f>
        <v>itiszacs#2501</v>
      </c>
    </row>
    <row r="785">
      <c r="A785" s="18" t="str">
        <f>IFERROR(__xludf.DUMMYFUNCTION("""COMPUTED_VALUE"""),"alex.v | Gnosis#4495")</f>
        <v>alex.v | Gnosis#4495</v>
      </c>
      <c r="B785" s="18"/>
      <c r="C785" s="18"/>
      <c r="D785" s="18" t="str">
        <f>IFERROR(__xludf.DUMMYFUNCTION("""COMPUTED_VALUE"""),"alex.v | Gnosis#4495")</f>
        <v>alex.v | Gnosis#4495</v>
      </c>
    </row>
    <row r="786">
      <c r="A786" s="18" t="str">
        <f>IFERROR(__xludf.DUMMYFUNCTION("""COMPUTED_VALUE"""),"Ezra#7391")</f>
        <v>Ezra#7391</v>
      </c>
      <c r="B786" s="18"/>
      <c r="C786" s="18"/>
      <c r="D786" s="18" t="str">
        <f>IFERROR(__xludf.DUMMYFUNCTION("""COMPUTED_VALUE"""),"Ezra#7391")</f>
        <v>Ezra#7391</v>
      </c>
    </row>
    <row r="787">
      <c r="A787" s="18" t="str">
        <f>IFERROR(__xludf.DUMMYFUNCTION("""COMPUTED_VALUE"""),"Revathi#5324")</f>
        <v>Revathi#5324</v>
      </c>
      <c r="B787" s="18"/>
      <c r="C787" s="18"/>
      <c r="D787" s="18" t="str">
        <f>IFERROR(__xludf.DUMMYFUNCTION("""COMPUTED_VALUE"""),"Revathi#5324")</f>
        <v>Revathi#5324</v>
      </c>
    </row>
    <row r="788">
      <c r="A788" s="18" t="str">
        <f>IFERROR(__xludf.DUMMYFUNCTION("""COMPUTED_VALUE"""),"Aggre 🗾🗼 Dev Protocol#3446")</f>
        <v>Aggre 🗾🗼 Dev Protocol#3446</v>
      </c>
      <c r="B788" s="18"/>
      <c r="C788" s="18"/>
      <c r="D788" s="18" t="str">
        <f>IFERROR(__xludf.DUMMYFUNCTION("""COMPUTED_VALUE"""),"Aggre 🗾🗼 Dev Protocol#3446")</f>
        <v>Aggre 🗾🗼 Dev Protocol#3446</v>
      </c>
    </row>
    <row r="789">
      <c r="A789" s="18" t="str">
        <f>IFERROR(__xludf.DUMMYFUNCTION("""COMPUTED_VALUE"""),"davidking 🐝#0780")</f>
        <v>davidking 🐝#0780</v>
      </c>
      <c r="B789" s="18"/>
      <c r="C789" s="18"/>
      <c r="D789" s="18" t="str">
        <f>IFERROR(__xludf.DUMMYFUNCTION("""COMPUTED_VALUE"""),"davidking 🐝#0780")</f>
        <v>davidking 🐝#0780</v>
      </c>
    </row>
    <row r="790">
      <c r="A790" s="18" t="str">
        <f>IFERROR(__xludf.DUMMYFUNCTION("""COMPUTED_VALUE"""),"JoeZ#9988")</f>
        <v>JoeZ#9988</v>
      </c>
      <c r="B790" s="18"/>
      <c r="C790" s="18"/>
      <c r="D790" s="18" t="str">
        <f>IFERROR(__xludf.DUMMYFUNCTION("""COMPUTED_VALUE"""),"JoeZ#9988")</f>
        <v>JoeZ#9988</v>
      </c>
    </row>
    <row r="791">
      <c r="A791" s="18" t="str">
        <f>IFERROR(__xludf.DUMMYFUNCTION("""COMPUTED_VALUE"""),"fahern#7639")</f>
        <v>fahern#7639</v>
      </c>
      <c r="B791" s="18"/>
      <c r="C791" s="18"/>
      <c r="D791" s="18" t="str">
        <f>IFERROR(__xludf.DUMMYFUNCTION("""COMPUTED_VALUE"""),"fahern#7639")</f>
        <v>fahern#7639</v>
      </c>
    </row>
    <row r="792">
      <c r="A792" s="18" t="str">
        <f>IFERROR(__xludf.DUMMYFUNCTION("""COMPUTED_VALUE"""),"rad casale#6107")</f>
        <v>rad casale#6107</v>
      </c>
      <c r="B792" s="18"/>
      <c r="C792" s="18"/>
      <c r="D792" s="18" t="str">
        <f>IFERROR(__xludf.DUMMYFUNCTION("""COMPUTED_VALUE"""),"rad casale#6107")</f>
        <v>rad casale#6107</v>
      </c>
    </row>
    <row r="793">
      <c r="A793" s="18" t="str">
        <f>IFERROR(__xludf.DUMMYFUNCTION("""COMPUTED_VALUE"""),"nic#9212")</f>
        <v>nic#9212</v>
      </c>
      <c r="B793" s="18"/>
      <c r="C793" s="18"/>
      <c r="D793" s="18" t="str">
        <f>IFERROR(__xludf.DUMMYFUNCTION("""COMPUTED_VALUE"""),"nic#9212")</f>
        <v>nic#9212</v>
      </c>
    </row>
    <row r="794">
      <c r="A794" s="18" t="str">
        <f>IFERROR(__xludf.DUMMYFUNCTION("""COMPUTED_VALUE"""),"fakepixels#6258")</f>
        <v>fakepixels#6258</v>
      </c>
      <c r="B794" s="18"/>
      <c r="C794" s="18"/>
      <c r="D794" s="18" t="str">
        <f>IFERROR(__xludf.DUMMYFUNCTION("""COMPUTED_VALUE"""),"fakepixels#6258")</f>
        <v>fakepixels#6258</v>
      </c>
    </row>
    <row r="795">
      <c r="A795" s="18" t="str">
        <f>IFERROR(__xludf.DUMMYFUNCTION("""COMPUTED_VALUE"""),"tian#6241")</f>
        <v>tian#6241</v>
      </c>
      <c r="B795" s="18"/>
      <c r="C795" s="18"/>
      <c r="D795" s="18" t="str">
        <f>IFERROR(__xludf.DUMMYFUNCTION("""COMPUTED_VALUE"""),"tian#6241")</f>
        <v>tian#6241</v>
      </c>
    </row>
    <row r="796">
      <c r="A796" s="18" t="str">
        <f>IFERROR(__xludf.DUMMYFUNCTION("""COMPUTED_VALUE"""),"Xlebushek#6643")</f>
        <v>Xlebushek#6643</v>
      </c>
      <c r="B796" s="18"/>
      <c r="C796" s="18"/>
      <c r="D796" s="18" t="str">
        <f>IFERROR(__xludf.DUMMYFUNCTION("""COMPUTED_VALUE"""),"Xlebushek#6643")</f>
        <v>Xlebushek#6643</v>
      </c>
    </row>
    <row r="797">
      <c r="A797" s="18" t="str">
        <f>IFERROR(__xludf.DUMMYFUNCTION("""COMPUTED_VALUE"""),"kaptan48#3044")</f>
        <v>kaptan48#3044</v>
      </c>
      <c r="B797" s="18"/>
      <c r="C797" s="18"/>
      <c r="D797" s="18" t="str">
        <f>IFERROR(__xludf.DUMMYFUNCTION("""COMPUTED_VALUE"""),"kaptan48#3044")</f>
        <v>kaptan48#3044</v>
      </c>
    </row>
    <row r="798">
      <c r="A798" s="18" t="str">
        <f>IFERROR(__xludf.DUMMYFUNCTION("""COMPUTED_VALUE"""),"jantanner#2104")</f>
        <v>jantanner#2104</v>
      </c>
      <c r="B798" s="18"/>
      <c r="C798" s="18"/>
      <c r="D798" s="18" t="str">
        <f>IFERROR(__xludf.DUMMYFUNCTION("""COMPUTED_VALUE"""),"jantanner#2104")</f>
        <v>jantanner#2104</v>
      </c>
    </row>
    <row r="799">
      <c r="A799" s="18" t="str">
        <f>IFERROR(__xludf.DUMMYFUNCTION("""COMPUTED_VALUE"""),"jahed#1529")</f>
        <v>jahed#1529</v>
      </c>
      <c r="B799" s="18"/>
      <c r="C799" s="18"/>
      <c r="D799" s="18" t="str">
        <f>IFERROR(__xludf.DUMMYFUNCTION("""COMPUTED_VALUE"""),"jahed#1529")</f>
        <v>jahed#1529</v>
      </c>
    </row>
    <row r="800">
      <c r="A800" s="18" t="str">
        <f>IFERROR(__xludf.DUMMYFUNCTION("""COMPUTED_VALUE"""),"GOOMBZ#3280")</f>
        <v>GOOMBZ#3280</v>
      </c>
      <c r="B800" s="18"/>
      <c r="C800" s="18"/>
      <c r="D800" s="18" t="str">
        <f>IFERROR(__xludf.DUMMYFUNCTION("""COMPUTED_VALUE"""),"GOOMBZ#3280")</f>
        <v>GOOMBZ#3280</v>
      </c>
    </row>
    <row r="801">
      <c r="A801" s="18" t="str">
        <f>IFERROR(__xludf.DUMMYFUNCTION("""COMPUTED_VALUE"""),"joaonit#7081")</f>
        <v>joaonit#7081</v>
      </c>
      <c r="B801" s="18"/>
      <c r="C801" s="18"/>
      <c r="D801" s="18" t="str">
        <f>IFERROR(__xludf.DUMMYFUNCTION("""COMPUTED_VALUE"""),"joaonit#7081")</f>
        <v>joaonit#7081</v>
      </c>
    </row>
    <row r="802">
      <c r="A802" s="18" t="str">
        <f>IFERROR(__xludf.DUMMYFUNCTION("""COMPUTED_VALUE"""),"JoaoEstellita#3866")</f>
        <v>JoaoEstellita#3866</v>
      </c>
      <c r="B802" s="18"/>
      <c r="C802" s="18"/>
      <c r="D802" s="18" t="str">
        <f>IFERROR(__xludf.DUMMYFUNCTION("""COMPUTED_VALUE"""),"JoaoEstellita#3866")</f>
        <v>JoaoEstellita#3866</v>
      </c>
    </row>
    <row r="803">
      <c r="A803" s="18" t="str">
        <f>IFERROR(__xludf.DUMMYFUNCTION("""COMPUTED_VALUE"""),"D8N1#8408")</f>
        <v>D8N1#8408</v>
      </c>
      <c r="B803" s="18"/>
      <c r="C803" s="18"/>
      <c r="D803" s="18" t="str">
        <f>IFERROR(__xludf.DUMMYFUNCTION("""COMPUTED_VALUE"""),"D8N1#8408")</f>
        <v>D8N1#8408</v>
      </c>
    </row>
    <row r="804">
      <c r="A804" s="18" t="str">
        <f>IFERROR(__xludf.DUMMYFUNCTION("""COMPUTED_VALUE"""),"CurlyBracketEffect#5572")</f>
        <v>CurlyBracketEffect#5572</v>
      </c>
      <c r="B804" s="18"/>
      <c r="C804" s="18"/>
      <c r="D804" s="18" t="str">
        <f>IFERROR(__xludf.DUMMYFUNCTION("""COMPUTED_VALUE"""),"CurlyBracketEffect#5572")</f>
        <v>CurlyBracketEffect#5572</v>
      </c>
    </row>
    <row r="805">
      <c r="A805" s="18" t="str">
        <f>IFERROR(__xludf.DUMMYFUNCTION("""COMPUTED_VALUE"""),"DW#5584")</f>
        <v>DW#5584</v>
      </c>
      <c r="B805" s="18"/>
      <c r="C805" s="18"/>
      <c r="D805" s="18" t="str">
        <f>IFERROR(__xludf.DUMMYFUNCTION("""COMPUTED_VALUE"""),"DW#5584")</f>
        <v>DW#5584</v>
      </c>
    </row>
    <row r="806">
      <c r="A806" s="18" t="str">
        <f>IFERROR(__xludf.DUMMYFUNCTION("""COMPUTED_VALUE"""),"enti#1546")</f>
        <v>enti#1546</v>
      </c>
      <c r="B806" s="18"/>
      <c r="C806" s="18"/>
      <c r="D806" s="18" t="str">
        <f>IFERROR(__xludf.DUMMYFUNCTION("""COMPUTED_VALUE"""),"enti#1546")</f>
        <v>enti#1546</v>
      </c>
    </row>
    <row r="807">
      <c r="A807" s="18" t="str">
        <f>IFERROR(__xludf.DUMMYFUNCTION("""COMPUTED_VALUE"""),"Ermini0#7687")</f>
        <v>Ermini0#7687</v>
      </c>
      <c r="B807" s="18"/>
      <c r="C807" s="18"/>
      <c r="D807" s="18" t="str">
        <f>IFERROR(__xludf.DUMMYFUNCTION("""COMPUTED_VALUE"""),"Ermini0#7687")</f>
        <v>Ermini0#7687</v>
      </c>
    </row>
    <row r="808">
      <c r="A808" s="18" t="str">
        <f>IFERROR(__xludf.DUMMYFUNCTION("""COMPUTED_VALUE"""),"rod266#3161")</f>
        <v>rod266#3161</v>
      </c>
      <c r="B808" s="18"/>
      <c r="C808" s="18"/>
      <c r="D808" s="18" t="str">
        <f>IFERROR(__xludf.DUMMYFUNCTION("""COMPUTED_VALUE"""),"rod266#3161")</f>
        <v>rod266#3161</v>
      </c>
    </row>
    <row r="809">
      <c r="A809" s="18" t="str">
        <f>IFERROR(__xludf.DUMMYFUNCTION("""COMPUTED_VALUE"""),"Shaila#4348")</f>
        <v>Shaila#4348</v>
      </c>
      <c r="B809" s="18"/>
      <c r="C809" s="18"/>
      <c r="D809" s="18" t="str">
        <f>IFERROR(__xludf.DUMMYFUNCTION("""COMPUTED_VALUE"""),"Shaila#4348")</f>
        <v>Shaila#4348</v>
      </c>
    </row>
    <row r="810">
      <c r="A810" s="18"/>
      <c r="B810" s="18"/>
      <c r="C810" s="18"/>
      <c r="D810" s="18"/>
    </row>
    <row r="811">
      <c r="A811" s="18"/>
      <c r="B811" s="18"/>
      <c r="C811" s="18"/>
      <c r="D811" s="18"/>
    </row>
    <row r="812">
      <c r="A812" s="18"/>
      <c r="B812" s="18"/>
      <c r="C812" s="18"/>
      <c r="D812" s="18"/>
    </row>
    <row r="813">
      <c r="A813" s="18"/>
      <c r="B813" s="18"/>
      <c r="C813" s="18"/>
      <c r="D813" s="18"/>
    </row>
    <row r="814">
      <c r="A814" s="18"/>
      <c r="B814" s="18"/>
      <c r="C814" s="18"/>
      <c r="D814" s="18"/>
    </row>
    <row r="815">
      <c r="A815" s="18"/>
      <c r="B815" s="18"/>
      <c r="C815" s="18"/>
      <c r="D815" s="18"/>
    </row>
    <row r="816">
      <c r="A816" s="18"/>
      <c r="B816" s="18"/>
      <c r="C816" s="18"/>
      <c r="D816" s="18"/>
    </row>
    <row r="817">
      <c r="A817" s="18"/>
      <c r="B817" s="18"/>
      <c r="C817" s="18"/>
      <c r="D817" s="18"/>
    </row>
    <row r="818">
      <c r="A818" s="18"/>
      <c r="B818" s="18"/>
      <c r="C818" s="18"/>
      <c r="D818" s="18"/>
    </row>
    <row r="819">
      <c r="A819" s="18"/>
      <c r="B819" s="18"/>
      <c r="C819" s="18"/>
      <c r="D819" s="18"/>
    </row>
    <row r="820">
      <c r="A820" s="18"/>
      <c r="B820" s="18"/>
      <c r="C820" s="18"/>
      <c r="D820" s="18"/>
    </row>
    <row r="821">
      <c r="A821" s="18"/>
      <c r="B821" s="18"/>
      <c r="C821" s="18"/>
      <c r="D821" s="18"/>
    </row>
    <row r="822">
      <c r="A822" s="18"/>
      <c r="B822" s="18"/>
      <c r="C822" s="18"/>
      <c r="D822" s="18"/>
    </row>
    <row r="823">
      <c r="A823" s="18"/>
      <c r="B823" s="18"/>
      <c r="C823" s="18"/>
      <c r="D823" s="18"/>
    </row>
    <row r="824">
      <c r="A824" s="18"/>
      <c r="B824" s="18"/>
      <c r="C824" s="18"/>
      <c r="D824" s="18"/>
    </row>
    <row r="825">
      <c r="A825" s="18"/>
      <c r="B825" s="18"/>
      <c r="C825" s="18"/>
      <c r="D825" s="18"/>
    </row>
    <row r="826">
      <c r="A826" s="18"/>
      <c r="B826" s="18"/>
      <c r="C826" s="18"/>
      <c r="D826" s="18"/>
    </row>
    <row r="827">
      <c r="A827" s="18"/>
      <c r="B827" s="18"/>
      <c r="C827" s="18"/>
      <c r="D827" s="18"/>
    </row>
    <row r="828">
      <c r="A828" s="18"/>
      <c r="B828" s="18"/>
      <c r="C828" s="18"/>
      <c r="D828" s="18"/>
    </row>
    <row r="829">
      <c r="A829" s="18"/>
      <c r="B829" s="18"/>
      <c r="C829" s="18"/>
      <c r="D829" s="18"/>
    </row>
    <row r="830">
      <c r="A830" s="18"/>
      <c r="B830" s="18"/>
      <c r="C830" s="18"/>
      <c r="D830" s="18"/>
    </row>
    <row r="831">
      <c r="A831" s="18"/>
      <c r="B831" s="18"/>
      <c r="C831" s="18"/>
      <c r="D831" s="18"/>
    </row>
    <row r="832">
      <c r="A832" s="18"/>
      <c r="B832" s="18"/>
      <c r="C832" s="18"/>
      <c r="D832" s="18"/>
    </row>
    <row r="833">
      <c r="A833" s="18"/>
      <c r="B833" s="18"/>
      <c r="C833" s="18"/>
      <c r="D833" s="18"/>
    </row>
    <row r="834">
      <c r="A834" s="18"/>
      <c r="B834" s="18"/>
      <c r="C834" s="18"/>
      <c r="D834" s="18"/>
    </row>
    <row r="835">
      <c r="A835" s="18"/>
      <c r="B835" s="18"/>
      <c r="C835" s="18"/>
      <c r="D835" s="18"/>
    </row>
    <row r="836">
      <c r="A836" s="18"/>
      <c r="B836" s="18"/>
      <c r="C836" s="18"/>
      <c r="D836" s="18"/>
    </row>
    <row r="837">
      <c r="A837" s="18"/>
      <c r="B837" s="18"/>
      <c r="C837" s="18"/>
      <c r="D837" s="1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33"/>
      <c r="B1" s="134" t="s">
        <v>1924</v>
      </c>
      <c r="C1" s="233" t="s">
        <v>415</v>
      </c>
      <c r="D1" s="136"/>
      <c r="E1" s="323"/>
      <c r="F1" s="138" t="s">
        <v>416</v>
      </c>
      <c r="G1" s="139">
        <v>800.0</v>
      </c>
      <c r="H1" s="139">
        <v>2500.0</v>
      </c>
      <c r="I1" s="139">
        <v>1000.0</v>
      </c>
      <c r="J1" s="140">
        <f>AVERAGE(G1:I1)</f>
        <v>1433.333333</v>
      </c>
      <c r="K1" s="141" t="s">
        <v>417</v>
      </c>
      <c r="L1" s="142">
        <f>countif(J5:J2001, "&gt;0.000001")</f>
        <v>494</v>
      </c>
      <c r="M1" s="141" t="s">
        <v>418</v>
      </c>
      <c r="N1" s="143">
        <f>J1/L1-1</f>
        <v>1.90148448</v>
      </c>
      <c r="O1" s="144" t="s">
        <v>419</v>
      </c>
      <c r="P1" s="145"/>
      <c r="Q1" s="145"/>
      <c r="R1" s="145"/>
      <c r="S1" s="145"/>
      <c r="T1" s="145"/>
      <c r="U1" s="145"/>
    </row>
    <row r="2">
      <c r="A2" s="146"/>
      <c r="B2" s="134" t="s">
        <v>1925</v>
      </c>
      <c r="C2" s="234" t="s">
        <v>421</v>
      </c>
      <c r="D2" s="148"/>
      <c r="E2" s="323"/>
      <c r="F2" s="149" t="s">
        <v>422</v>
      </c>
      <c r="G2" s="139">
        <f t="shared" ref="G2:K2" si="1">sum(G5:G1514)</f>
        <v>92523</v>
      </c>
      <c r="H2" s="139">
        <f t="shared" si="1"/>
        <v>127551</v>
      </c>
      <c r="I2" s="139">
        <f t="shared" si="1"/>
        <v>55805</v>
      </c>
      <c r="J2" s="150">
        <f t="shared" si="1"/>
        <v>1</v>
      </c>
      <c r="K2" s="151">
        <f t="shared" si="1"/>
        <v>968.0798066</v>
      </c>
      <c r="L2" s="152" t="s">
        <v>416</v>
      </c>
      <c r="M2" s="153"/>
      <c r="N2" s="153" t="s">
        <v>423</v>
      </c>
      <c r="O2" s="145"/>
      <c r="P2" s="145"/>
      <c r="Q2" s="145"/>
      <c r="R2" s="145"/>
      <c r="S2" s="145"/>
      <c r="T2" s="145"/>
      <c r="U2" s="145"/>
    </row>
    <row r="3">
      <c r="A3" s="154" t="s">
        <v>424</v>
      </c>
      <c r="B3" s="154" t="s">
        <v>425</v>
      </c>
      <c r="C3" s="235" t="s">
        <v>426</v>
      </c>
      <c r="D3" s="156"/>
      <c r="E3" s="324" t="s">
        <v>427</v>
      </c>
      <c r="F3" s="158" t="s">
        <v>428</v>
      </c>
      <c r="G3" s="159" t="s">
        <v>2179</v>
      </c>
      <c r="H3" s="159" t="s">
        <v>1926</v>
      </c>
      <c r="I3" s="159" t="s">
        <v>2180</v>
      </c>
      <c r="J3" s="160" t="s">
        <v>432</v>
      </c>
      <c r="K3" s="161" t="s">
        <v>433</v>
      </c>
      <c r="L3" s="162" t="s">
        <v>434</v>
      </c>
      <c r="M3" s="161"/>
      <c r="N3" s="163">
        <f>IFERROR(__xludf.DUMMYFUNCTION("query(iferror(sort({row(A3:A1514)-row(A3)+2-match(sort(A3:A1514),sort(A3:A1514),0),SORT(ROW(A3:A1514)+2-row(A3)+2,A3:A1514,1)},2,1),),""Select Col1"")"),1.0)</f>
        <v>1</v>
      </c>
      <c r="O3" s="163"/>
      <c r="P3" s="164"/>
      <c r="Q3" s="164"/>
      <c r="R3" s="164"/>
      <c r="S3" s="164"/>
      <c r="T3" s="164"/>
      <c r="U3" s="164"/>
      <c r="V3" s="164"/>
      <c r="W3" s="164"/>
      <c r="X3" s="164"/>
      <c r="Y3" s="164"/>
      <c r="Z3" s="164"/>
    </row>
    <row r="4">
      <c r="A4" s="249" t="s">
        <v>37</v>
      </c>
      <c r="B4" s="249" t="s">
        <v>10</v>
      </c>
      <c r="C4" s="219" t="s">
        <v>498</v>
      </c>
      <c r="D4" s="268" t="s">
        <v>495</v>
      </c>
      <c r="E4" s="251">
        <v>44246.0</v>
      </c>
      <c r="F4" s="250" t="s">
        <v>499</v>
      </c>
      <c r="G4" s="171">
        <v>10.0</v>
      </c>
      <c r="H4" s="171">
        <v>20.0</v>
      </c>
      <c r="I4" s="171">
        <v>20.0</v>
      </c>
      <c r="J4" s="325">
        <f t="shared" ref="J4:J161" si="2">(G4/$G$2+H4/$H$2+I4/$I$2)/3</f>
        <v>0.0002077573614</v>
      </c>
      <c r="K4" s="326">
        <f t="shared" ref="K4:K8" si="3">J4*$J$1</f>
        <v>0.2977855513</v>
      </c>
      <c r="L4" s="327">
        <f t="shared" ref="L4:L675" si="4">dsum($A$3:$K1514,"IH per Praise",{$A$3;A4})</f>
        <v>58.88477341</v>
      </c>
      <c r="M4" s="321" t="str">
        <f t="shared" ref="M4:M675" si="5">A4</f>
        <v>simondlr</v>
      </c>
      <c r="N4" s="176">
        <f>IFERROR(__xludf.DUMMYFUNCTION("""COMPUTED_VALUE"""),1.0)</f>
        <v>1</v>
      </c>
      <c r="O4" s="176"/>
      <c r="P4" s="176"/>
      <c r="Q4" s="176"/>
      <c r="R4" s="176"/>
      <c r="S4" s="176"/>
      <c r="T4" s="176"/>
      <c r="U4" s="176"/>
      <c r="V4" s="176"/>
      <c r="W4" s="176"/>
      <c r="X4" s="176"/>
      <c r="Y4" s="176"/>
      <c r="Z4" s="176"/>
    </row>
    <row r="5">
      <c r="A5" s="249" t="s">
        <v>37</v>
      </c>
      <c r="B5" s="249" t="s">
        <v>10</v>
      </c>
      <c r="C5" s="219" t="s">
        <v>2181</v>
      </c>
      <c r="D5" s="268" t="s">
        <v>495</v>
      </c>
      <c r="E5" s="251">
        <v>44253.0</v>
      </c>
      <c r="F5" s="250" t="s">
        <v>499</v>
      </c>
      <c r="G5" s="171">
        <v>10.0</v>
      </c>
      <c r="H5" s="171">
        <v>40.0</v>
      </c>
      <c r="I5" s="171">
        <v>20.0</v>
      </c>
      <c r="J5" s="325">
        <f t="shared" si="2"/>
        <v>0.0002600240364</v>
      </c>
      <c r="K5" s="326">
        <f t="shared" si="3"/>
        <v>0.3727011189</v>
      </c>
      <c r="L5" s="327">
        <f t="shared" si="4"/>
        <v>58.88477341</v>
      </c>
      <c r="M5" s="321" t="str">
        <f t="shared" si="5"/>
        <v>simondlr</v>
      </c>
      <c r="N5" s="176">
        <f>IFERROR(__xludf.DUMMYFUNCTION("""COMPUTED_VALUE"""),2.0)</f>
        <v>2</v>
      </c>
      <c r="O5" s="176"/>
      <c r="P5" s="176"/>
      <c r="Q5" s="176"/>
      <c r="R5" s="176"/>
      <c r="S5" s="176"/>
      <c r="T5" s="176"/>
      <c r="U5" s="176"/>
      <c r="V5" s="176"/>
      <c r="W5" s="176"/>
      <c r="X5" s="176"/>
      <c r="Y5" s="176"/>
      <c r="Z5" s="176"/>
    </row>
    <row r="6">
      <c r="A6" s="267" t="s">
        <v>37</v>
      </c>
      <c r="B6" s="272" t="s">
        <v>1702</v>
      </c>
      <c r="C6" s="273" t="s">
        <v>2182</v>
      </c>
      <c r="D6" s="274" t="s">
        <v>499</v>
      </c>
      <c r="E6" s="328" t="s">
        <v>2183</v>
      </c>
      <c r="F6" s="274" t="s">
        <v>1646</v>
      </c>
      <c r="G6" s="171">
        <v>160.0</v>
      </c>
      <c r="H6" s="171">
        <v>100.0</v>
      </c>
      <c r="I6" s="171">
        <v>400.0</v>
      </c>
      <c r="J6" s="172">
        <f t="shared" si="2"/>
        <v>0.00322703879</v>
      </c>
      <c r="K6" s="269">
        <f t="shared" si="3"/>
        <v>4.625422266</v>
      </c>
      <c r="L6" s="270">
        <f t="shared" si="4"/>
        <v>58.88477341</v>
      </c>
      <c r="M6" s="271" t="str">
        <f t="shared" si="5"/>
        <v>simondlr</v>
      </c>
      <c r="N6" s="176">
        <f>IFERROR(__xludf.DUMMYFUNCTION("""COMPUTED_VALUE"""),3.0)</f>
        <v>3</v>
      </c>
      <c r="O6" s="176"/>
      <c r="P6" s="176"/>
      <c r="Q6" s="176"/>
      <c r="R6" s="176"/>
      <c r="S6" s="176"/>
      <c r="T6" s="176"/>
      <c r="U6" s="176"/>
      <c r="V6" s="176"/>
      <c r="W6" s="176"/>
      <c r="X6" s="176"/>
      <c r="Y6" s="176"/>
      <c r="Z6" s="176"/>
    </row>
    <row r="7">
      <c r="A7" s="267" t="s">
        <v>37</v>
      </c>
      <c r="B7" s="272" t="s">
        <v>1702</v>
      </c>
      <c r="C7" s="273" t="s">
        <v>2184</v>
      </c>
      <c r="D7" s="274" t="s">
        <v>499</v>
      </c>
      <c r="E7" s="328" t="s">
        <v>2183</v>
      </c>
      <c r="F7" s="274" t="s">
        <v>1646</v>
      </c>
      <c r="G7" s="171">
        <v>5000.0</v>
      </c>
      <c r="H7" s="171">
        <v>5000.0</v>
      </c>
      <c r="I7" s="171">
        <v>500.0</v>
      </c>
      <c r="J7" s="172">
        <f t="shared" si="2"/>
        <v>0.03406679794</v>
      </c>
      <c r="K7" s="269">
        <f t="shared" si="3"/>
        <v>48.82907705</v>
      </c>
      <c r="L7" s="270">
        <f t="shared" si="4"/>
        <v>58.88477341</v>
      </c>
      <c r="M7" s="271" t="str">
        <f t="shared" si="5"/>
        <v>simondlr</v>
      </c>
      <c r="N7" s="176">
        <f>IFERROR(__xludf.DUMMYFUNCTION("""COMPUTED_VALUE"""),4.0)</f>
        <v>4</v>
      </c>
      <c r="O7" s="176"/>
      <c r="P7" s="176"/>
      <c r="Q7" s="176"/>
      <c r="R7" s="176"/>
      <c r="S7" s="176"/>
      <c r="T7" s="176"/>
      <c r="U7" s="176"/>
      <c r="V7" s="176"/>
      <c r="W7" s="176"/>
      <c r="X7" s="176"/>
      <c r="Y7" s="176"/>
      <c r="Z7" s="176"/>
    </row>
    <row r="8">
      <c r="A8" s="267" t="s">
        <v>37</v>
      </c>
      <c r="B8" s="272" t="s">
        <v>590</v>
      </c>
      <c r="C8" s="273" t="s">
        <v>2185</v>
      </c>
      <c r="D8" s="274" t="s">
        <v>499</v>
      </c>
      <c r="E8" s="328" t="s">
        <v>2183</v>
      </c>
      <c r="F8" s="274" t="s">
        <v>1646</v>
      </c>
      <c r="G8" s="171">
        <v>300.0</v>
      </c>
      <c r="H8" s="171">
        <v>400.0</v>
      </c>
      <c r="I8" s="171">
        <v>200.0</v>
      </c>
      <c r="J8" s="172">
        <f t="shared" si="2"/>
        <v>0.003320781923</v>
      </c>
      <c r="K8" s="269">
        <f t="shared" si="3"/>
        <v>4.759787423</v>
      </c>
      <c r="L8" s="270">
        <f t="shared" si="4"/>
        <v>58.88477341</v>
      </c>
      <c r="M8" s="271" t="str">
        <f t="shared" si="5"/>
        <v>simondlr</v>
      </c>
      <c r="N8" s="176">
        <f>IFERROR(__xludf.DUMMYFUNCTION("""COMPUTED_VALUE"""),5.0)</f>
        <v>5</v>
      </c>
      <c r="O8" s="176"/>
      <c r="P8" s="176"/>
      <c r="Q8" s="176"/>
      <c r="R8" s="176"/>
      <c r="S8" s="176"/>
      <c r="T8" s="176"/>
      <c r="U8" s="176"/>
      <c r="V8" s="176"/>
      <c r="W8" s="176"/>
      <c r="X8" s="176"/>
      <c r="Y8" s="176"/>
      <c r="Z8" s="176"/>
    </row>
    <row r="9">
      <c r="A9" s="249" t="s">
        <v>3</v>
      </c>
      <c r="B9" s="249" t="s">
        <v>519</v>
      </c>
      <c r="C9" s="329" t="s">
        <v>2186</v>
      </c>
      <c r="D9" s="268" t="s">
        <v>495</v>
      </c>
      <c r="E9" s="251">
        <v>44240.0</v>
      </c>
      <c r="F9" s="250" t="s">
        <v>496</v>
      </c>
      <c r="G9" s="171"/>
      <c r="H9" s="171"/>
      <c r="I9" s="171"/>
      <c r="J9" s="325">
        <f t="shared" si="2"/>
        <v>0</v>
      </c>
      <c r="K9" s="330">
        <v>1.8956228956228953</v>
      </c>
      <c r="L9" s="327">
        <f t="shared" si="4"/>
        <v>49.28619529</v>
      </c>
      <c r="M9" s="321" t="str">
        <f t="shared" si="5"/>
        <v>zeptimusq</v>
      </c>
      <c r="N9" s="176">
        <f>IFERROR(__xludf.DUMMYFUNCTION("""COMPUTED_VALUE"""),1.0)</f>
        <v>1</v>
      </c>
      <c r="O9" s="176"/>
      <c r="P9" s="176"/>
      <c r="Q9" s="176"/>
      <c r="R9" s="176"/>
      <c r="S9" s="176"/>
      <c r="T9" s="176"/>
      <c r="U9" s="176"/>
      <c r="V9" s="176"/>
      <c r="W9" s="176"/>
      <c r="X9" s="176"/>
      <c r="Y9" s="176"/>
      <c r="Z9" s="176"/>
    </row>
    <row r="10">
      <c r="A10" s="249" t="s">
        <v>3</v>
      </c>
      <c r="B10" s="249" t="s">
        <v>867</v>
      </c>
      <c r="C10" s="329" t="s">
        <v>2187</v>
      </c>
      <c r="D10" s="268" t="s">
        <v>495</v>
      </c>
      <c r="E10" s="251">
        <v>44242.0</v>
      </c>
      <c r="F10" s="250" t="s">
        <v>496</v>
      </c>
      <c r="G10" s="243"/>
      <c r="H10" s="243"/>
      <c r="I10" s="243"/>
      <c r="J10" s="325">
        <f t="shared" si="2"/>
        <v>0</v>
      </c>
      <c r="K10" s="326">
        <f>J10*$J$1</f>
        <v>0</v>
      </c>
      <c r="L10" s="327">
        <f t="shared" si="4"/>
        <v>49.28619529</v>
      </c>
      <c r="M10" s="321" t="str">
        <f t="shared" si="5"/>
        <v>zeptimusq</v>
      </c>
      <c r="N10" s="176">
        <f>IFERROR(__xludf.DUMMYFUNCTION("""COMPUTED_VALUE"""),2.0)</f>
        <v>2</v>
      </c>
      <c r="O10" s="176"/>
      <c r="P10" s="176"/>
      <c r="Q10" s="176"/>
      <c r="R10" s="176"/>
      <c r="S10" s="176"/>
      <c r="T10" s="176"/>
      <c r="U10" s="176"/>
      <c r="V10" s="176"/>
      <c r="W10" s="176"/>
      <c r="X10" s="176"/>
      <c r="Y10" s="176"/>
      <c r="Z10" s="176"/>
    </row>
    <row r="11">
      <c r="A11" s="249" t="s">
        <v>3</v>
      </c>
      <c r="B11" s="249" t="s">
        <v>1228</v>
      </c>
      <c r="C11" s="329" t="s">
        <v>2188</v>
      </c>
      <c r="D11" s="268" t="s">
        <v>495</v>
      </c>
      <c r="E11" s="251">
        <v>44243.0</v>
      </c>
      <c r="F11" s="250" t="s">
        <v>496</v>
      </c>
      <c r="G11" s="243"/>
      <c r="H11" s="243"/>
      <c r="I11" s="243"/>
      <c r="J11" s="325">
        <f t="shared" si="2"/>
        <v>0</v>
      </c>
      <c r="K11" s="330">
        <v>1.8956228956228953</v>
      </c>
      <c r="L11" s="327">
        <f t="shared" si="4"/>
        <v>49.28619529</v>
      </c>
      <c r="M11" s="321" t="str">
        <f t="shared" si="5"/>
        <v>zeptimusq</v>
      </c>
      <c r="N11" s="176">
        <f>IFERROR(__xludf.DUMMYFUNCTION("""COMPUTED_VALUE"""),3.0)</f>
        <v>3</v>
      </c>
      <c r="O11" s="176"/>
      <c r="P11" s="176"/>
      <c r="Q11" s="176"/>
      <c r="R11" s="176"/>
      <c r="S11" s="176"/>
      <c r="T11" s="176"/>
      <c r="U11" s="176"/>
      <c r="V11" s="176"/>
      <c r="W11" s="176"/>
      <c r="X11" s="176"/>
      <c r="Y11" s="176"/>
      <c r="Z11" s="176"/>
    </row>
    <row r="12">
      <c r="A12" s="249" t="s">
        <v>3</v>
      </c>
      <c r="B12" s="249" t="s">
        <v>6</v>
      </c>
      <c r="C12" s="329" t="s">
        <v>2189</v>
      </c>
      <c r="D12" s="268" t="s">
        <v>495</v>
      </c>
      <c r="E12" s="251">
        <v>44243.0</v>
      </c>
      <c r="F12" s="250" t="s">
        <v>496</v>
      </c>
      <c r="G12" s="243"/>
      <c r="H12" s="243"/>
      <c r="I12" s="243"/>
      <c r="J12" s="325">
        <f t="shared" si="2"/>
        <v>0</v>
      </c>
      <c r="K12" s="330">
        <v>1.8956228956228953</v>
      </c>
      <c r="L12" s="327">
        <f t="shared" si="4"/>
        <v>49.28619529</v>
      </c>
      <c r="M12" s="321" t="str">
        <f t="shared" si="5"/>
        <v>zeptimusq</v>
      </c>
      <c r="N12" s="176">
        <f>IFERROR(__xludf.DUMMYFUNCTION("""COMPUTED_VALUE"""),4.0)</f>
        <v>4</v>
      </c>
      <c r="O12" s="176"/>
      <c r="P12" s="176"/>
      <c r="Q12" s="176"/>
      <c r="R12" s="176"/>
      <c r="S12" s="176"/>
      <c r="T12" s="176"/>
      <c r="U12" s="176"/>
      <c r="V12" s="176"/>
      <c r="W12" s="176"/>
      <c r="X12" s="176"/>
      <c r="Y12" s="176"/>
      <c r="Z12" s="176"/>
    </row>
    <row r="13">
      <c r="A13" s="249" t="s">
        <v>3</v>
      </c>
      <c r="B13" s="249" t="s">
        <v>43</v>
      </c>
      <c r="C13" s="329" t="s">
        <v>2190</v>
      </c>
      <c r="D13" s="268" t="s">
        <v>495</v>
      </c>
      <c r="E13" s="251">
        <v>44243.0</v>
      </c>
      <c r="F13" s="250" t="s">
        <v>496</v>
      </c>
      <c r="G13" s="243"/>
      <c r="H13" s="243"/>
      <c r="I13" s="243"/>
      <c r="J13" s="325">
        <f t="shared" si="2"/>
        <v>0</v>
      </c>
      <c r="K13" s="330">
        <v>1.8956228956228953</v>
      </c>
      <c r="L13" s="327">
        <f t="shared" si="4"/>
        <v>49.28619529</v>
      </c>
      <c r="M13" s="321" t="str">
        <f t="shared" si="5"/>
        <v>zeptimusq</v>
      </c>
      <c r="N13" s="176">
        <f>IFERROR(__xludf.DUMMYFUNCTION("""COMPUTED_VALUE"""),5.0)</f>
        <v>5</v>
      </c>
      <c r="O13" s="176"/>
      <c r="P13" s="176"/>
      <c r="Q13" s="176"/>
      <c r="R13" s="176"/>
      <c r="S13" s="176"/>
      <c r="T13" s="176"/>
      <c r="U13" s="176"/>
      <c r="V13" s="176"/>
      <c r="W13" s="176"/>
      <c r="X13" s="176"/>
      <c r="Y13" s="176"/>
      <c r="Z13" s="176"/>
    </row>
    <row r="14">
      <c r="A14" s="249" t="s">
        <v>3</v>
      </c>
      <c r="B14" s="249" t="s">
        <v>519</v>
      </c>
      <c r="C14" s="329" t="s">
        <v>2191</v>
      </c>
      <c r="D14" s="268" t="s">
        <v>495</v>
      </c>
      <c r="E14" s="251">
        <v>44244.0</v>
      </c>
      <c r="F14" s="250" t="s">
        <v>496</v>
      </c>
      <c r="G14" s="243"/>
      <c r="H14" s="243"/>
      <c r="I14" s="243"/>
      <c r="J14" s="325">
        <f t="shared" si="2"/>
        <v>0</v>
      </c>
      <c r="K14" s="330">
        <v>1.8956228956228953</v>
      </c>
      <c r="L14" s="327">
        <f t="shared" si="4"/>
        <v>49.28619529</v>
      </c>
      <c r="M14" s="321" t="str">
        <f t="shared" si="5"/>
        <v>zeptimusq</v>
      </c>
      <c r="N14" s="176">
        <f>IFERROR(__xludf.DUMMYFUNCTION("""COMPUTED_VALUE"""),6.0)</f>
        <v>6</v>
      </c>
      <c r="O14" s="176"/>
      <c r="P14" s="176"/>
      <c r="Q14" s="176"/>
      <c r="R14" s="176"/>
      <c r="S14" s="176"/>
      <c r="T14" s="176"/>
      <c r="U14" s="176"/>
      <c r="V14" s="176"/>
      <c r="W14" s="176"/>
      <c r="X14" s="176"/>
      <c r="Y14" s="176"/>
      <c r="Z14" s="176"/>
    </row>
    <row r="15">
      <c r="A15" s="249" t="s">
        <v>3</v>
      </c>
      <c r="B15" s="249" t="s">
        <v>18</v>
      </c>
      <c r="C15" s="329" t="s">
        <v>2192</v>
      </c>
      <c r="D15" s="268" t="s">
        <v>495</v>
      </c>
      <c r="E15" s="251">
        <v>44244.0</v>
      </c>
      <c r="F15" s="250" t="s">
        <v>496</v>
      </c>
      <c r="G15" s="243"/>
      <c r="H15" s="243"/>
      <c r="I15" s="243"/>
      <c r="J15" s="325">
        <f t="shared" si="2"/>
        <v>0</v>
      </c>
      <c r="K15" s="330">
        <v>1.8956228956228953</v>
      </c>
      <c r="L15" s="327">
        <f t="shared" si="4"/>
        <v>49.28619529</v>
      </c>
      <c r="M15" s="321" t="str">
        <f t="shared" si="5"/>
        <v>zeptimusq</v>
      </c>
      <c r="N15" s="176">
        <f>IFERROR(__xludf.DUMMYFUNCTION("""COMPUTED_VALUE"""),7.0)</f>
        <v>7</v>
      </c>
      <c r="O15" s="176"/>
      <c r="P15" s="176"/>
      <c r="Q15" s="176"/>
      <c r="R15" s="176"/>
      <c r="S15" s="176"/>
      <c r="T15" s="176"/>
      <c r="U15" s="176"/>
      <c r="V15" s="176"/>
      <c r="W15" s="176"/>
      <c r="X15" s="176"/>
      <c r="Y15" s="176"/>
      <c r="Z15" s="176"/>
    </row>
    <row r="16">
      <c r="A16" s="249" t="s">
        <v>3</v>
      </c>
      <c r="B16" s="249" t="s">
        <v>590</v>
      </c>
      <c r="C16" s="329" t="s">
        <v>2193</v>
      </c>
      <c r="D16" s="268" t="s">
        <v>495</v>
      </c>
      <c r="E16" s="251">
        <v>44244.0</v>
      </c>
      <c r="F16" s="250" t="s">
        <v>496</v>
      </c>
      <c r="G16" s="243"/>
      <c r="H16" s="243"/>
      <c r="I16" s="243"/>
      <c r="J16" s="325">
        <f t="shared" si="2"/>
        <v>0</v>
      </c>
      <c r="K16" s="330">
        <v>1.8956228956228953</v>
      </c>
      <c r="L16" s="327">
        <f t="shared" si="4"/>
        <v>49.28619529</v>
      </c>
      <c r="M16" s="321" t="str">
        <f t="shared" si="5"/>
        <v>zeptimusq</v>
      </c>
      <c r="N16" s="176">
        <f>IFERROR(__xludf.DUMMYFUNCTION("""COMPUTED_VALUE"""),8.0)</f>
        <v>8</v>
      </c>
      <c r="O16" s="176"/>
      <c r="P16" s="176"/>
      <c r="Q16" s="176"/>
      <c r="R16" s="176"/>
      <c r="S16" s="176"/>
      <c r="T16" s="176"/>
      <c r="U16" s="176"/>
      <c r="V16" s="176"/>
      <c r="W16" s="176"/>
      <c r="X16" s="176"/>
      <c r="Y16" s="176"/>
      <c r="Z16" s="176"/>
    </row>
    <row r="17">
      <c r="A17" s="249" t="s">
        <v>3</v>
      </c>
      <c r="B17" s="249" t="s">
        <v>18</v>
      </c>
      <c r="C17" s="329" t="s">
        <v>2194</v>
      </c>
      <c r="D17" s="268" t="s">
        <v>495</v>
      </c>
      <c r="E17" s="251">
        <v>44244.0</v>
      </c>
      <c r="F17" s="250" t="s">
        <v>496</v>
      </c>
      <c r="G17" s="243"/>
      <c r="H17" s="243"/>
      <c r="I17" s="243"/>
      <c r="J17" s="325">
        <f t="shared" si="2"/>
        <v>0</v>
      </c>
      <c r="K17" s="330">
        <v>1.8956228956228953</v>
      </c>
      <c r="L17" s="327">
        <f t="shared" si="4"/>
        <v>49.28619529</v>
      </c>
      <c r="M17" s="321" t="str">
        <f t="shared" si="5"/>
        <v>zeptimusq</v>
      </c>
      <c r="N17" s="176">
        <f>IFERROR(__xludf.DUMMYFUNCTION("""COMPUTED_VALUE"""),9.0)</f>
        <v>9</v>
      </c>
      <c r="O17" s="176"/>
      <c r="P17" s="176"/>
      <c r="Q17" s="176"/>
      <c r="R17" s="176"/>
      <c r="S17" s="176"/>
      <c r="T17" s="176"/>
      <c r="U17" s="176"/>
      <c r="V17" s="176"/>
      <c r="W17" s="176"/>
      <c r="X17" s="176"/>
      <c r="Y17" s="176"/>
      <c r="Z17" s="176"/>
    </row>
    <row r="18">
      <c r="A18" s="249" t="s">
        <v>3</v>
      </c>
      <c r="B18" s="249" t="s">
        <v>10</v>
      </c>
      <c r="C18" s="329" t="s">
        <v>2195</v>
      </c>
      <c r="D18" s="268" t="s">
        <v>495</v>
      </c>
      <c r="E18" s="251">
        <v>44246.0</v>
      </c>
      <c r="F18" s="250" t="s">
        <v>496</v>
      </c>
      <c r="G18" s="243"/>
      <c r="H18" s="243"/>
      <c r="I18" s="243"/>
      <c r="J18" s="325">
        <f t="shared" si="2"/>
        <v>0</v>
      </c>
      <c r="K18" s="330">
        <v>1.8956228956228953</v>
      </c>
      <c r="L18" s="327">
        <f t="shared" si="4"/>
        <v>49.28619529</v>
      </c>
      <c r="M18" s="321" t="str">
        <f t="shared" si="5"/>
        <v>zeptimusq</v>
      </c>
      <c r="N18" s="176">
        <f>IFERROR(__xludf.DUMMYFUNCTION("""COMPUTED_VALUE"""),10.0)</f>
        <v>10</v>
      </c>
      <c r="O18" s="176"/>
      <c r="P18" s="176"/>
      <c r="Q18" s="176"/>
      <c r="R18" s="176"/>
      <c r="S18" s="176"/>
      <c r="T18" s="176"/>
      <c r="U18" s="176"/>
      <c r="V18" s="176"/>
      <c r="W18" s="176"/>
      <c r="X18" s="176"/>
      <c r="Y18" s="176"/>
      <c r="Z18" s="176"/>
    </row>
    <row r="19">
      <c r="A19" s="249" t="s">
        <v>3</v>
      </c>
      <c r="B19" s="249" t="s">
        <v>10</v>
      </c>
      <c r="C19" s="329" t="s">
        <v>2196</v>
      </c>
      <c r="D19" s="268" t="s">
        <v>495</v>
      </c>
      <c r="E19" s="251">
        <v>44246.0</v>
      </c>
      <c r="F19" s="250" t="s">
        <v>496</v>
      </c>
      <c r="G19" s="243"/>
      <c r="H19" s="243"/>
      <c r="I19" s="243"/>
      <c r="J19" s="325">
        <f t="shared" si="2"/>
        <v>0</v>
      </c>
      <c r="K19" s="330">
        <v>1.8956228956228953</v>
      </c>
      <c r="L19" s="327">
        <f t="shared" si="4"/>
        <v>49.28619529</v>
      </c>
      <c r="M19" s="321" t="str">
        <f t="shared" si="5"/>
        <v>zeptimusq</v>
      </c>
      <c r="N19" s="176">
        <f>IFERROR(__xludf.DUMMYFUNCTION("""COMPUTED_VALUE"""),11.0)</f>
        <v>11</v>
      </c>
      <c r="O19" s="176"/>
      <c r="P19" s="176"/>
      <c r="Q19" s="176"/>
      <c r="R19" s="176"/>
      <c r="S19" s="176"/>
      <c r="T19" s="176"/>
      <c r="U19" s="176"/>
      <c r="V19" s="176"/>
      <c r="W19" s="176"/>
      <c r="X19" s="176"/>
      <c r="Y19" s="176"/>
      <c r="Z19" s="176"/>
    </row>
    <row r="20">
      <c r="A20" s="249" t="s">
        <v>3</v>
      </c>
      <c r="B20" s="249" t="s">
        <v>10</v>
      </c>
      <c r="C20" s="329" t="s">
        <v>2197</v>
      </c>
      <c r="D20" s="268" t="s">
        <v>495</v>
      </c>
      <c r="E20" s="251">
        <v>44246.0</v>
      </c>
      <c r="F20" s="250" t="s">
        <v>496</v>
      </c>
      <c r="G20" s="243"/>
      <c r="H20" s="243"/>
      <c r="I20" s="243"/>
      <c r="J20" s="325">
        <f t="shared" si="2"/>
        <v>0</v>
      </c>
      <c r="K20" s="330">
        <v>1.8956228956228953</v>
      </c>
      <c r="L20" s="327">
        <f t="shared" si="4"/>
        <v>49.28619529</v>
      </c>
      <c r="M20" s="321" t="str">
        <f t="shared" si="5"/>
        <v>zeptimusq</v>
      </c>
      <c r="N20" s="176">
        <f>IFERROR(__xludf.DUMMYFUNCTION("""COMPUTED_VALUE"""),12.0)</f>
        <v>12</v>
      </c>
      <c r="O20" s="176"/>
      <c r="P20" s="176"/>
      <c r="Q20" s="176"/>
      <c r="R20" s="176"/>
      <c r="S20" s="176"/>
      <c r="T20" s="176"/>
      <c r="U20" s="176"/>
      <c r="V20" s="176"/>
      <c r="W20" s="176"/>
      <c r="X20" s="176"/>
      <c r="Y20" s="176"/>
      <c r="Z20" s="176"/>
    </row>
    <row r="21">
      <c r="A21" s="249" t="s">
        <v>3</v>
      </c>
      <c r="B21" s="249" t="s">
        <v>10</v>
      </c>
      <c r="C21" s="329" t="s">
        <v>498</v>
      </c>
      <c r="D21" s="268" t="s">
        <v>495</v>
      </c>
      <c r="E21" s="251">
        <v>44246.0</v>
      </c>
      <c r="F21" s="250" t="s">
        <v>499</v>
      </c>
      <c r="G21" s="243"/>
      <c r="H21" s="243"/>
      <c r="I21" s="243"/>
      <c r="J21" s="325">
        <f t="shared" si="2"/>
        <v>0</v>
      </c>
      <c r="K21" s="330">
        <v>1.8956228956228953</v>
      </c>
      <c r="L21" s="327">
        <f t="shared" si="4"/>
        <v>49.28619529</v>
      </c>
      <c r="M21" s="321" t="str">
        <f t="shared" si="5"/>
        <v>zeptimusq</v>
      </c>
      <c r="N21" s="176">
        <f>IFERROR(__xludf.DUMMYFUNCTION("""COMPUTED_VALUE"""),13.0)</f>
        <v>13</v>
      </c>
      <c r="O21" s="176"/>
      <c r="P21" s="176"/>
      <c r="Q21" s="176"/>
      <c r="R21" s="176"/>
      <c r="S21" s="176"/>
      <c r="T21" s="176"/>
      <c r="U21" s="176"/>
      <c r="V21" s="176"/>
      <c r="W21" s="176"/>
      <c r="X21" s="176"/>
      <c r="Y21" s="176"/>
      <c r="Z21" s="176"/>
    </row>
    <row r="22">
      <c r="A22" s="249" t="s">
        <v>3</v>
      </c>
      <c r="B22" s="249" t="s">
        <v>10</v>
      </c>
      <c r="C22" s="329" t="s">
        <v>500</v>
      </c>
      <c r="D22" s="268" t="s">
        <v>495</v>
      </c>
      <c r="E22" s="251">
        <v>44246.0</v>
      </c>
      <c r="F22" s="250" t="s">
        <v>545</v>
      </c>
      <c r="G22" s="243"/>
      <c r="H22" s="243"/>
      <c r="I22" s="243"/>
      <c r="J22" s="325">
        <f t="shared" si="2"/>
        <v>0</v>
      </c>
      <c r="K22" s="330">
        <v>1.8956228956228953</v>
      </c>
      <c r="L22" s="327">
        <f t="shared" si="4"/>
        <v>49.28619529</v>
      </c>
      <c r="M22" s="321" t="str">
        <f t="shared" si="5"/>
        <v>zeptimusq</v>
      </c>
      <c r="N22" s="176">
        <f>IFERROR(__xludf.DUMMYFUNCTION("""COMPUTED_VALUE"""),14.0)</f>
        <v>14</v>
      </c>
      <c r="O22" s="176"/>
      <c r="P22" s="176"/>
      <c r="Q22" s="176"/>
      <c r="R22" s="176"/>
      <c r="S22" s="176"/>
      <c r="T22" s="176"/>
      <c r="U22" s="176"/>
      <c r="V22" s="176"/>
      <c r="W22" s="176"/>
      <c r="X22" s="176"/>
      <c r="Y22" s="176"/>
      <c r="Z22" s="176"/>
    </row>
    <row r="23">
      <c r="A23" s="249" t="s">
        <v>3</v>
      </c>
      <c r="B23" s="249" t="s">
        <v>10</v>
      </c>
      <c r="C23" s="329" t="s">
        <v>2198</v>
      </c>
      <c r="D23" s="268" t="s">
        <v>495</v>
      </c>
      <c r="E23" s="251">
        <v>44246.0</v>
      </c>
      <c r="F23" s="250" t="s">
        <v>496</v>
      </c>
      <c r="G23" s="243"/>
      <c r="H23" s="243"/>
      <c r="I23" s="243"/>
      <c r="J23" s="325">
        <f t="shared" si="2"/>
        <v>0</v>
      </c>
      <c r="K23" s="330">
        <v>1.8956228956228953</v>
      </c>
      <c r="L23" s="327">
        <f t="shared" si="4"/>
        <v>49.28619529</v>
      </c>
      <c r="M23" s="321" t="str">
        <f t="shared" si="5"/>
        <v>zeptimusq</v>
      </c>
      <c r="N23" s="176">
        <f>IFERROR(__xludf.DUMMYFUNCTION("""COMPUTED_VALUE"""),15.0)</f>
        <v>15</v>
      </c>
      <c r="O23" s="176"/>
      <c r="P23" s="176"/>
      <c r="Q23" s="176"/>
      <c r="R23" s="176"/>
      <c r="S23" s="176"/>
      <c r="T23" s="176"/>
      <c r="U23" s="176"/>
      <c r="V23" s="176"/>
      <c r="W23" s="176"/>
      <c r="X23" s="176"/>
      <c r="Y23" s="176"/>
      <c r="Z23" s="176"/>
    </row>
    <row r="24">
      <c r="A24" s="249" t="s">
        <v>3</v>
      </c>
      <c r="B24" s="249" t="s">
        <v>867</v>
      </c>
      <c r="C24" s="329" t="s">
        <v>2199</v>
      </c>
      <c r="D24" s="268" t="s">
        <v>495</v>
      </c>
      <c r="E24" s="251">
        <v>44249.0</v>
      </c>
      <c r="F24" s="250" t="s">
        <v>496</v>
      </c>
      <c r="G24" s="243"/>
      <c r="H24" s="243"/>
      <c r="I24" s="243"/>
      <c r="J24" s="325">
        <f t="shared" si="2"/>
        <v>0</v>
      </c>
      <c r="K24" s="326">
        <f>J24*$J$1</f>
        <v>0</v>
      </c>
      <c r="L24" s="327">
        <f t="shared" si="4"/>
        <v>49.28619529</v>
      </c>
      <c r="M24" s="321" t="str">
        <f t="shared" si="5"/>
        <v>zeptimusq</v>
      </c>
      <c r="N24" s="176">
        <f>IFERROR(__xludf.DUMMYFUNCTION("""COMPUTED_VALUE"""),16.0)</f>
        <v>16</v>
      </c>
      <c r="O24" s="176"/>
      <c r="P24" s="176"/>
      <c r="Q24" s="176"/>
      <c r="R24" s="176"/>
      <c r="S24" s="176"/>
      <c r="T24" s="176"/>
      <c r="U24" s="176"/>
      <c r="V24" s="176"/>
      <c r="W24" s="176"/>
      <c r="X24" s="176"/>
      <c r="Y24" s="176"/>
      <c r="Z24" s="176"/>
    </row>
    <row r="25">
      <c r="A25" s="249" t="s">
        <v>3</v>
      </c>
      <c r="B25" s="249" t="s">
        <v>43</v>
      </c>
      <c r="C25" s="329" t="s">
        <v>2200</v>
      </c>
      <c r="D25" s="268" t="s">
        <v>495</v>
      </c>
      <c r="E25" s="251">
        <v>44249.0</v>
      </c>
      <c r="F25" s="250" t="s">
        <v>496</v>
      </c>
      <c r="G25" s="243"/>
      <c r="H25" s="243"/>
      <c r="I25" s="243"/>
      <c r="J25" s="325">
        <f t="shared" si="2"/>
        <v>0</v>
      </c>
      <c r="K25" s="330">
        <v>1.8956228956228953</v>
      </c>
      <c r="L25" s="327">
        <f t="shared" si="4"/>
        <v>49.28619529</v>
      </c>
      <c r="M25" s="321" t="str">
        <f t="shared" si="5"/>
        <v>zeptimusq</v>
      </c>
      <c r="N25" s="176">
        <f>IFERROR(__xludf.DUMMYFUNCTION("""COMPUTED_VALUE"""),17.0)</f>
        <v>17</v>
      </c>
      <c r="O25" s="176"/>
      <c r="P25" s="176"/>
      <c r="Q25" s="176"/>
      <c r="R25" s="176"/>
      <c r="S25" s="176"/>
      <c r="T25" s="176"/>
      <c r="U25" s="176"/>
      <c r="V25" s="176"/>
      <c r="W25" s="176"/>
      <c r="X25" s="176"/>
      <c r="Y25" s="176"/>
      <c r="Z25" s="176"/>
    </row>
    <row r="26">
      <c r="A26" s="249" t="s">
        <v>3</v>
      </c>
      <c r="B26" s="249" t="s">
        <v>18</v>
      </c>
      <c r="C26" s="329" t="s">
        <v>2201</v>
      </c>
      <c r="D26" s="268" t="s">
        <v>495</v>
      </c>
      <c r="E26" s="251">
        <v>44250.0</v>
      </c>
      <c r="F26" s="250" t="s">
        <v>496</v>
      </c>
      <c r="G26" s="243"/>
      <c r="H26" s="243"/>
      <c r="I26" s="243"/>
      <c r="J26" s="325">
        <f t="shared" si="2"/>
        <v>0</v>
      </c>
      <c r="K26" s="330">
        <v>1.8956228956228953</v>
      </c>
      <c r="L26" s="327">
        <f t="shared" si="4"/>
        <v>49.28619529</v>
      </c>
      <c r="M26" s="321" t="str">
        <f t="shared" si="5"/>
        <v>zeptimusq</v>
      </c>
      <c r="N26" s="176">
        <f>IFERROR(__xludf.DUMMYFUNCTION("""COMPUTED_VALUE"""),18.0)</f>
        <v>18</v>
      </c>
      <c r="O26" s="176"/>
      <c r="P26" s="176"/>
      <c r="Q26" s="176"/>
      <c r="R26" s="176"/>
      <c r="S26" s="176"/>
      <c r="T26" s="176"/>
      <c r="U26" s="176"/>
      <c r="V26" s="176"/>
      <c r="W26" s="176"/>
      <c r="X26" s="176"/>
      <c r="Y26" s="176"/>
      <c r="Z26" s="176"/>
    </row>
    <row r="27">
      <c r="A27" s="249" t="s">
        <v>3</v>
      </c>
      <c r="B27" s="249" t="s">
        <v>590</v>
      </c>
      <c r="C27" s="329" t="s">
        <v>2202</v>
      </c>
      <c r="D27" s="268" t="s">
        <v>495</v>
      </c>
      <c r="E27" s="251">
        <v>44250.0</v>
      </c>
      <c r="F27" s="250" t="s">
        <v>496</v>
      </c>
      <c r="G27" s="243"/>
      <c r="H27" s="243"/>
      <c r="I27" s="243"/>
      <c r="J27" s="325">
        <f t="shared" si="2"/>
        <v>0</v>
      </c>
      <c r="K27" s="330">
        <v>1.8956228956228953</v>
      </c>
      <c r="L27" s="327">
        <f t="shared" si="4"/>
        <v>49.28619529</v>
      </c>
      <c r="M27" s="321" t="str">
        <f t="shared" si="5"/>
        <v>zeptimusq</v>
      </c>
      <c r="N27" s="176">
        <f>IFERROR(__xludf.DUMMYFUNCTION("""COMPUTED_VALUE"""),19.0)</f>
        <v>19</v>
      </c>
      <c r="O27" s="176"/>
      <c r="P27" s="176"/>
      <c r="Q27" s="176"/>
      <c r="R27" s="176"/>
      <c r="S27" s="176"/>
      <c r="T27" s="176"/>
      <c r="U27" s="176"/>
      <c r="V27" s="176"/>
      <c r="W27" s="176"/>
      <c r="X27" s="176"/>
      <c r="Y27" s="176"/>
      <c r="Z27" s="176"/>
    </row>
    <row r="28">
      <c r="A28" s="249" t="s">
        <v>3</v>
      </c>
      <c r="B28" s="249" t="s">
        <v>10</v>
      </c>
      <c r="C28" s="329" t="s">
        <v>500</v>
      </c>
      <c r="D28" s="268" t="s">
        <v>495</v>
      </c>
      <c r="E28" s="251">
        <v>44253.0</v>
      </c>
      <c r="F28" s="250" t="s">
        <v>496</v>
      </c>
      <c r="G28" s="243"/>
      <c r="H28" s="243"/>
      <c r="I28" s="243"/>
      <c r="J28" s="325">
        <f t="shared" si="2"/>
        <v>0</v>
      </c>
      <c r="K28" s="330">
        <v>1.8956228956228953</v>
      </c>
      <c r="L28" s="327">
        <f t="shared" si="4"/>
        <v>49.28619529</v>
      </c>
      <c r="M28" s="321" t="str">
        <f t="shared" si="5"/>
        <v>zeptimusq</v>
      </c>
      <c r="N28" s="176">
        <f>IFERROR(__xludf.DUMMYFUNCTION("""COMPUTED_VALUE"""),20.0)</f>
        <v>20</v>
      </c>
      <c r="O28" s="176"/>
      <c r="P28" s="176"/>
      <c r="Q28" s="176"/>
      <c r="R28" s="176"/>
      <c r="S28" s="176"/>
      <c r="T28" s="176"/>
      <c r="U28" s="176"/>
      <c r="V28" s="176"/>
      <c r="W28" s="176"/>
      <c r="X28" s="176"/>
      <c r="Y28" s="176"/>
      <c r="Z28" s="176"/>
    </row>
    <row r="29">
      <c r="A29" s="249" t="s">
        <v>3</v>
      </c>
      <c r="B29" s="249" t="s">
        <v>10</v>
      </c>
      <c r="C29" s="329" t="s">
        <v>2181</v>
      </c>
      <c r="D29" s="268" t="s">
        <v>495</v>
      </c>
      <c r="E29" s="251">
        <v>44253.0</v>
      </c>
      <c r="F29" s="250" t="s">
        <v>499</v>
      </c>
      <c r="G29" s="243"/>
      <c r="H29" s="243"/>
      <c r="I29" s="243"/>
      <c r="J29" s="325">
        <f t="shared" si="2"/>
        <v>0</v>
      </c>
      <c r="K29" s="330">
        <v>1.8956228956228953</v>
      </c>
      <c r="L29" s="327">
        <f t="shared" si="4"/>
        <v>49.28619529</v>
      </c>
      <c r="M29" s="321" t="str">
        <f t="shared" si="5"/>
        <v>zeptimusq</v>
      </c>
      <c r="N29" s="176">
        <f>IFERROR(__xludf.DUMMYFUNCTION("""COMPUTED_VALUE"""),21.0)</f>
        <v>21</v>
      </c>
      <c r="O29" s="176"/>
      <c r="P29" s="176"/>
      <c r="Q29" s="176"/>
      <c r="R29" s="176"/>
      <c r="S29" s="176"/>
      <c r="T29" s="176"/>
      <c r="U29" s="176"/>
      <c r="V29" s="176"/>
      <c r="W29" s="176"/>
      <c r="X29" s="176"/>
      <c r="Y29" s="176"/>
      <c r="Z29" s="176"/>
    </row>
    <row r="30">
      <c r="A30" s="249" t="s">
        <v>3</v>
      </c>
      <c r="B30" s="249" t="s">
        <v>10</v>
      </c>
      <c r="C30" s="329" t="s">
        <v>2203</v>
      </c>
      <c r="D30" s="268" t="s">
        <v>495</v>
      </c>
      <c r="E30" s="251">
        <v>44253.0</v>
      </c>
      <c r="F30" s="250" t="s">
        <v>496</v>
      </c>
      <c r="G30" s="243"/>
      <c r="H30" s="243"/>
      <c r="I30" s="243"/>
      <c r="J30" s="325">
        <f t="shared" si="2"/>
        <v>0</v>
      </c>
      <c r="K30" s="330">
        <v>1.8956228956228953</v>
      </c>
      <c r="L30" s="327">
        <f t="shared" si="4"/>
        <v>49.28619529</v>
      </c>
      <c r="M30" s="321" t="str">
        <f t="shared" si="5"/>
        <v>zeptimusq</v>
      </c>
      <c r="N30" s="176">
        <f>IFERROR(__xludf.DUMMYFUNCTION("""COMPUTED_VALUE"""),22.0)</f>
        <v>22</v>
      </c>
      <c r="O30" s="176"/>
      <c r="P30" s="176"/>
      <c r="Q30" s="176"/>
      <c r="R30" s="176"/>
      <c r="S30" s="176"/>
      <c r="T30" s="176"/>
      <c r="U30" s="176"/>
      <c r="V30" s="176"/>
      <c r="W30" s="176"/>
      <c r="X30" s="176"/>
      <c r="Y30" s="176"/>
      <c r="Z30" s="176"/>
    </row>
    <row r="31">
      <c r="A31" s="249" t="s">
        <v>3</v>
      </c>
      <c r="B31" s="249" t="s">
        <v>10</v>
      </c>
      <c r="C31" s="329" t="s">
        <v>2204</v>
      </c>
      <c r="D31" s="268" t="s">
        <v>495</v>
      </c>
      <c r="E31" s="251">
        <v>44253.0</v>
      </c>
      <c r="F31" s="250" t="s">
        <v>496</v>
      </c>
      <c r="G31" s="243"/>
      <c r="H31" s="243"/>
      <c r="I31" s="243"/>
      <c r="J31" s="325">
        <f t="shared" si="2"/>
        <v>0</v>
      </c>
      <c r="K31" s="330">
        <v>1.8956228956228953</v>
      </c>
      <c r="L31" s="327">
        <f t="shared" si="4"/>
        <v>49.28619529</v>
      </c>
      <c r="M31" s="321" t="str">
        <f t="shared" si="5"/>
        <v>zeptimusq</v>
      </c>
      <c r="N31" s="176">
        <f>IFERROR(__xludf.DUMMYFUNCTION("""COMPUTED_VALUE"""),23.0)</f>
        <v>23</v>
      </c>
      <c r="O31" s="176"/>
      <c r="P31" s="176"/>
      <c r="Q31" s="176"/>
      <c r="R31" s="176"/>
      <c r="S31" s="176"/>
      <c r="T31" s="176"/>
      <c r="U31" s="176"/>
      <c r="V31" s="176"/>
      <c r="W31" s="176"/>
      <c r="X31" s="176"/>
      <c r="Y31" s="176"/>
      <c r="Z31" s="176"/>
    </row>
    <row r="32">
      <c r="A32" s="249" t="s">
        <v>3</v>
      </c>
      <c r="B32" s="249" t="s">
        <v>10</v>
      </c>
      <c r="C32" s="329" t="s">
        <v>2205</v>
      </c>
      <c r="D32" s="268" t="s">
        <v>495</v>
      </c>
      <c r="E32" s="251">
        <v>44253.0</v>
      </c>
      <c r="F32" s="250" t="s">
        <v>496</v>
      </c>
      <c r="G32" s="243"/>
      <c r="H32" s="243"/>
      <c r="I32" s="243"/>
      <c r="J32" s="325">
        <f t="shared" si="2"/>
        <v>0</v>
      </c>
      <c r="K32" s="330">
        <v>1.8956228956228953</v>
      </c>
      <c r="L32" s="327">
        <f t="shared" si="4"/>
        <v>49.28619529</v>
      </c>
      <c r="M32" s="321" t="str">
        <f t="shared" si="5"/>
        <v>zeptimusq</v>
      </c>
      <c r="N32" s="176">
        <f>IFERROR(__xludf.DUMMYFUNCTION("""COMPUTED_VALUE"""),24.0)</f>
        <v>24</v>
      </c>
      <c r="O32" s="176"/>
      <c r="P32" s="176"/>
      <c r="Q32" s="176"/>
      <c r="R32" s="176"/>
      <c r="S32" s="176"/>
      <c r="T32" s="176"/>
      <c r="U32" s="176"/>
      <c r="V32" s="176"/>
      <c r="W32" s="176"/>
      <c r="X32" s="176"/>
      <c r="Y32" s="176"/>
      <c r="Z32" s="176"/>
    </row>
    <row r="33">
      <c r="A33" s="249" t="s">
        <v>3</v>
      </c>
      <c r="B33" s="249" t="s">
        <v>10</v>
      </c>
      <c r="C33" s="329" t="s">
        <v>2206</v>
      </c>
      <c r="D33" s="268" t="s">
        <v>495</v>
      </c>
      <c r="E33" s="251">
        <v>44253.0</v>
      </c>
      <c r="F33" s="250" t="s">
        <v>496</v>
      </c>
      <c r="G33" s="243"/>
      <c r="H33" s="243"/>
      <c r="I33" s="243"/>
      <c r="J33" s="325">
        <f t="shared" si="2"/>
        <v>0</v>
      </c>
      <c r="K33" s="330">
        <v>1.8956228956228953</v>
      </c>
      <c r="L33" s="327">
        <f t="shared" si="4"/>
        <v>49.28619529</v>
      </c>
      <c r="M33" s="321" t="str">
        <f t="shared" si="5"/>
        <v>zeptimusq</v>
      </c>
      <c r="N33" s="176">
        <f>IFERROR(__xludf.DUMMYFUNCTION("""COMPUTED_VALUE"""),25.0)</f>
        <v>25</v>
      </c>
      <c r="O33" s="176"/>
      <c r="P33" s="176"/>
      <c r="Q33" s="176"/>
      <c r="R33" s="176"/>
      <c r="S33" s="176"/>
      <c r="T33" s="176"/>
      <c r="U33" s="176"/>
      <c r="V33" s="176"/>
      <c r="W33" s="176"/>
      <c r="X33" s="176"/>
      <c r="Y33" s="176"/>
      <c r="Z33" s="176"/>
    </row>
    <row r="34">
      <c r="A34" s="249" t="s">
        <v>3</v>
      </c>
      <c r="B34" s="249" t="s">
        <v>43</v>
      </c>
      <c r="C34" s="329" t="s">
        <v>2207</v>
      </c>
      <c r="D34" s="268" t="s">
        <v>495</v>
      </c>
      <c r="E34" s="251">
        <v>44253.0</v>
      </c>
      <c r="F34" s="250" t="s">
        <v>496</v>
      </c>
      <c r="G34" s="243"/>
      <c r="H34" s="243"/>
      <c r="I34" s="243"/>
      <c r="J34" s="325">
        <f t="shared" si="2"/>
        <v>0</v>
      </c>
      <c r="K34" s="330">
        <v>1.8956228956228953</v>
      </c>
      <c r="L34" s="327">
        <f t="shared" si="4"/>
        <v>49.28619529</v>
      </c>
      <c r="M34" s="321" t="str">
        <f t="shared" si="5"/>
        <v>zeptimusq</v>
      </c>
      <c r="N34" s="176">
        <f>IFERROR(__xludf.DUMMYFUNCTION("""COMPUTED_VALUE"""),26.0)</f>
        <v>26</v>
      </c>
      <c r="O34" s="176"/>
      <c r="P34" s="176"/>
      <c r="Q34" s="176"/>
      <c r="R34" s="176"/>
      <c r="S34" s="176"/>
      <c r="T34" s="176"/>
      <c r="U34" s="176"/>
      <c r="V34" s="176"/>
      <c r="W34" s="176"/>
      <c r="X34" s="176"/>
      <c r="Y34" s="176"/>
      <c r="Z34" s="176"/>
    </row>
    <row r="35">
      <c r="A35" s="249" t="s">
        <v>3</v>
      </c>
      <c r="B35" s="249" t="s">
        <v>10</v>
      </c>
      <c r="C35" s="329" t="s">
        <v>2208</v>
      </c>
      <c r="D35" s="268" t="s">
        <v>495</v>
      </c>
      <c r="E35" s="251">
        <v>44253.0</v>
      </c>
      <c r="F35" s="250" t="s">
        <v>496</v>
      </c>
      <c r="G35" s="243"/>
      <c r="H35" s="243"/>
      <c r="I35" s="243"/>
      <c r="J35" s="325">
        <f t="shared" si="2"/>
        <v>0</v>
      </c>
      <c r="K35" s="330">
        <v>1.8956228956228953</v>
      </c>
      <c r="L35" s="327">
        <f t="shared" si="4"/>
        <v>49.28619529</v>
      </c>
      <c r="M35" s="321" t="str">
        <f t="shared" si="5"/>
        <v>zeptimusq</v>
      </c>
      <c r="N35" s="176">
        <f>IFERROR(__xludf.DUMMYFUNCTION("""COMPUTED_VALUE"""),27.0)</f>
        <v>27</v>
      </c>
      <c r="O35" s="176"/>
      <c r="P35" s="176"/>
      <c r="Q35" s="176"/>
      <c r="R35" s="176"/>
      <c r="S35" s="176"/>
      <c r="T35" s="176"/>
      <c r="U35" s="176"/>
      <c r="V35" s="176"/>
      <c r="W35" s="176"/>
      <c r="X35" s="176"/>
      <c r="Y35" s="176"/>
      <c r="Z35" s="176"/>
    </row>
    <row r="36">
      <c r="A36" s="267" t="s">
        <v>3</v>
      </c>
      <c r="B36" s="272" t="s">
        <v>1933</v>
      </c>
      <c r="C36" s="273" t="s">
        <v>2209</v>
      </c>
      <c r="D36" s="274" t="s">
        <v>437</v>
      </c>
      <c r="E36" s="328" t="s">
        <v>2210</v>
      </c>
      <c r="F36" s="274" t="s">
        <v>1929</v>
      </c>
      <c r="G36" s="331"/>
      <c r="H36" s="331"/>
      <c r="I36" s="332"/>
      <c r="J36" s="172">
        <f t="shared" si="2"/>
        <v>0</v>
      </c>
      <c r="K36" s="330">
        <v>1.8956228956228953</v>
      </c>
      <c r="L36" s="270">
        <f t="shared" si="4"/>
        <v>49.28619529</v>
      </c>
      <c r="M36" s="271" t="str">
        <f t="shared" si="5"/>
        <v>zeptimusq</v>
      </c>
      <c r="N36" s="176">
        <f>IFERROR(__xludf.DUMMYFUNCTION("""COMPUTED_VALUE"""),28.0)</f>
        <v>28</v>
      </c>
      <c r="O36" s="176"/>
      <c r="P36" s="176"/>
      <c r="Q36" s="176"/>
      <c r="R36" s="176"/>
      <c r="S36" s="176"/>
      <c r="T36" s="176"/>
      <c r="U36" s="176"/>
      <c r="V36" s="176"/>
      <c r="W36" s="176"/>
      <c r="X36" s="176"/>
      <c r="Y36" s="176"/>
      <c r="Z36" s="176"/>
    </row>
    <row r="37">
      <c r="A37" s="249" t="s">
        <v>4</v>
      </c>
      <c r="B37" s="249" t="s">
        <v>18</v>
      </c>
      <c r="C37" s="219" t="s">
        <v>2211</v>
      </c>
      <c r="D37" s="268" t="s">
        <v>495</v>
      </c>
      <c r="E37" s="251">
        <v>44242.0</v>
      </c>
      <c r="F37" s="250" t="s">
        <v>496</v>
      </c>
      <c r="G37" s="171">
        <v>110.0</v>
      </c>
      <c r="H37" s="171">
        <v>1000.0</v>
      </c>
      <c r="I37" s="171">
        <v>100.0</v>
      </c>
      <c r="J37" s="325">
        <f t="shared" si="2"/>
        <v>0.003606949651</v>
      </c>
      <c r="K37" s="326">
        <f t="shared" ref="K37:K83" si="6">J37*$J$1</f>
        <v>5.169961166</v>
      </c>
      <c r="L37" s="327">
        <f t="shared" si="4"/>
        <v>38.09701847</v>
      </c>
      <c r="M37" s="321" t="str">
        <f t="shared" si="5"/>
        <v>santigs67</v>
      </c>
      <c r="N37" s="176">
        <f>IFERROR(__xludf.DUMMYFUNCTION("""COMPUTED_VALUE"""),1.0)</f>
        <v>1</v>
      </c>
      <c r="O37" s="176"/>
      <c r="P37" s="176"/>
      <c r="Q37" s="176"/>
      <c r="R37" s="176"/>
      <c r="S37" s="176"/>
      <c r="T37" s="176"/>
      <c r="U37" s="176"/>
      <c r="V37" s="176"/>
      <c r="W37" s="176"/>
      <c r="X37" s="176"/>
      <c r="Y37" s="176"/>
      <c r="Z37" s="176"/>
    </row>
    <row r="38">
      <c r="A38" s="249" t="s">
        <v>4</v>
      </c>
      <c r="B38" s="249" t="s">
        <v>10</v>
      </c>
      <c r="C38" s="219" t="s">
        <v>2212</v>
      </c>
      <c r="D38" s="268" t="s">
        <v>495</v>
      </c>
      <c r="E38" s="251">
        <v>44246.0</v>
      </c>
      <c r="F38" s="250" t="s">
        <v>496</v>
      </c>
      <c r="G38" s="171">
        <v>550.0</v>
      </c>
      <c r="H38" s="171">
        <v>1000.0</v>
      </c>
      <c r="I38" s="171">
        <v>500.0</v>
      </c>
      <c r="J38" s="325">
        <f t="shared" si="2"/>
        <v>0.007581413249</v>
      </c>
      <c r="K38" s="326">
        <f t="shared" si="6"/>
        <v>10.86669232</v>
      </c>
      <c r="L38" s="327">
        <f t="shared" si="4"/>
        <v>38.09701847</v>
      </c>
      <c r="M38" s="321" t="str">
        <f t="shared" si="5"/>
        <v>santigs67</v>
      </c>
      <c r="N38" s="176">
        <f>IFERROR(__xludf.DUMMYFUNCTION("""COMPUTED_VALUE"""),2.0)</f>
        <v>2</v>
      </c>
      <c r="O38" s="176"/>
      <c r="P38" s="176"/>
      <c r="Q38" s="176"/>
      <c r="R38" s="176"/>
      <c r="S38" s="176"/>
      <c r="T38" s="176"/>
      <c r="U38" s="176"/>
      <c r="V38" s="176"/>
      <c r="W38" s="176"/>
      <c r="X38" s="176"/>
      <c r="Y38" s="176"/>
      <c r="Z38" s="176"/>
    </row>
    <row r="39">
      <c r="A39" s="249" t="s">
        <v>4</v>
      </c>
      <c r="B39" s="249" t="s">
        <v>10</v>
      </c>
      <c r="C39" s="219" t="s">
        <v>2213</v>
      </c>
      <c r="D39" s="268" t="s">
        <v>495</v>
      </c>
      <c r="E39" s="251">
        <v>44246.0</v>
      </c>
      <c r="F39" s="250" t="s">
        <v>496</v>
      </c>
      <c r="G39" s="171">
        <v>400.0</v>
      </c>
      <c r="H39" s="171">
        <v>500.0</v>
      </c>
      <c r="I39" s="171">
        <v>200.0</v>
      </c>
      <c r="J39" s="325">
        <f t="shared" si="2"/>
        <v>0.003942386078</v>
      </c>
      <c r="K39" s="326">
        <f t="shared" si="6"/>
        <v>5.650753378</v>
      </c>
      <c r="L39" s="327">
        <f t="shared" si="4"/>
        <v>38.09701847</v>
      </c>
      <c r="M39" s="321" t="str">
        <f t="shared" si="5"/>
        <v>santigs67</v>
      </c>
      <c r="N39" s="176">
        <f>IFERROR(__xludf.DUMMYFUNCTION("""COMPUTED_VALUE"""),3.0)</f>
        <v>3</v>
      </c>
      <c r="O39" s="176"/>
      <c r="P39" s="176"/>
      <c r="Q39" s="176"/>
      <c r="R39" s="176"/>
      <c r="S39" s="176"/>
      <c r="T39" s="176"/>
      <c r="U39" s="176"/>
      <c r="V39" s="176"/>
      <c r="W39" s="176"/>
      <c r="X39" s="176"/>
      <c r="Y39" s="176"/>
      <c r="Z39" s="176"/>
    </row>
    <row r="40">
      <c r="A40" s="249" t="s">
        <v>4</v>
      </c>
      <c r="B40" s="249" t="s">
        <v>10</v>
      </c>
      <c r="C40" s="219" t="s">
        <v>2197</v>
      </c>
      <c r="D40" s="268" t="s">
        <v>495</v>
      </c>
      <c r="E40" s="251">
        <v>44246.0</v>
      </c>
      <c r="F40" s="250" t="s">
        <v>496</v>
      </c>
      <c r="G40" s="171">
        <v>40.0</v>
      </c>
      <c r="H40" s="171">
        <v>20.0</v>
      </c>
      <c r="I40" s="171">
        <v>50.0</v>
      </c>
      <c r="J40" s="325">
        <f t="shared" si="2"/>
        <v>0.0004950340078</v>
      </c>
      <c r="K40" s="326">
        <f t="shared" si="6"/>
        <v>0.7095487446</v>
      </c>
      <c r="L40" s="327">
        <f t="shared" si="4"/>
        <v>38.09701847</v>
      </c>
      <c r="M40" s="321" t="str">
        <f t="shared" si="5"/>
        <v>santigs67</v>
      </c>
      <c r="N40" s="176">
        <f>IFERROR(__xludf.DUMMYFUNCTION("""COMPUTED_VALUE"""),4.0)</f>
        <v>4</v>
      </c>
      <c r="O40" s="176"/>
      <c r="P40" s="176"/>
      <c r="Q40" s="176"/>
      <c r="R40" s="176"/>
      <c r="S40" s="176"/>
      <c r="T40" s="176"/>
      <c r="U40" s="176"/>
      <c r="V40" s="176"/>
      <c r="W40" s="176"/>
      <c r="X40" s="176"/>
      <c r="Y40" s="176"/>
      <c r="Z40" s="176"/>
    </row>
    <row r="41">
      <c r="A41" s="249" t="s">
        <v>4</v>
      </c>
      <c r="B41" s="249" t="s">
        <v>10</v>
      </c>
      <c r="C41" s="219" t="s">
        <v>2198</v>
      </c>
      <c r="D41" s="268" t="s">
        <v>495</v>
      </c>
      <c r="E41" s="251">
        <v>44246.0</v>
      </c>
      <c r="F41" s="250" t="s">
        <v>496</v>
      </c>
      <c r="G41" s="171">
        <v>80.0</v>
      </c>
      <c r="H41" s="171">
        <v>200.0</v>
      </c>
      <c r="I41" s="171">
        <v>80.0</v>
      </c>
      <c r="J41" s="325">
        <f t="shared" si="2"/>
        <v>0.001288737808</v>
      </c>
      <c r="K41" s="326">
        <f t="shared" si="6"/>
        <v>1.847190857</v>
      </c>
      <c r="L41" s="327">
        <f t="shared" si="4"/>
        <v>38.09701847</v>
      </c>
      <c r="M41" s="321" t="str">
        <f t="shared" si="5"/>
        <v>santigs67</v>
      </c>
      <c r="N41" s="176">
        <f>IFERROR(__xludf.DUMMYFUNCTION("""COMPUTED_VALUE"""),5.0)</f>
        <v>5</v>
      </c>
      <c r="O41" s="176"/>
      <c r="P41" s="176"/>
      <c r="Q41" s="176"/>
      <c r="R41" s="176"/>
      <c r="S41" s="176"/>
      <c r="T41" s="176"/>
      <c r="U41" s="176"/>
      <c r="V41" s="176"/>
      <c r="W41" s="176"/>
      <c r="X41" s="176"/>
      <c r="Y41" s="176"/>
      <c r="Z41" s="176"/>
    </row>
    <row r="42">
      <c r="A42" s="249" t="s">
        <v>4</v>
      </c>
      <c r="B42" s="249" t="s">
        <v>18</v>
      </c>
      <c r="C42" s="219" t="s">
        <v>2201</v>
      </c>
      <c r="D42" s="268" t="s">
        <v>495</v>
      </c>
      <c r="E42" s="251">
        <v>44250.0</v>
      </c>
      <c r="F42" s="250" t="s">
        <v>496</v>
      </c>
      <c r="G42" s="171">
        <v>60.0</v>
      </c>
      <c r="H42" s="171">
        <v>100.0</v>
      </c>
      <c r="I42" s="171">
        <v>80.0</v>
      </c>
      <c r="J42" s="325">
        <f t="shared" si="2"/>
        <v>0.0009553502765</v>
      </c>
      <c r="K42" s="326">
        <f t="shared" si="6"/>
        <v>1.369335396</v>
      </c>
      <c r="L42" s="327">
        <f t="shared" si="4"/>
        <v>38.09701847</v>
      </c>
      <c r="M42" s="321" t="str">
        <f t="shared" si="5"/>
        <v>santigs67</v>
      </c>
      <c r="N42" s="176">
        <f>IFERROR(__xludf.DUMMYFUNCTION("""COMPUTED_VALUE"""),6.0)</f>
        <v>6</v>
      </c>
      <c r="O42" s="176"/>
      <c r="P42" s="176"/>
      <c r="Q42" s="176"/>
      <c r="R42" s="176"/>
      <c r="S42" s="176"/>
      <c r="T42" s="176"/>
      <c r="U42" s="176"/>
      <c r="V42" s="176"/>
      <c r="W42" s="176"/>
      <c r="X42" s="176"/>
      <c r="Y42" s="176"/>
      <c r="Z42" s="176"/>
    </row>
    <row r="43">
      <c r="A43" s="249" t="s">
        <v>4</v>
      </c>
      <c r="B43" s="249" t="s">
        <v>590</v>
      </c>
      <c r="C43" s="219" t="s">
        <v>2202</v>
      </c>
      <c r="D43" s="268" t="s">
        <v>495</v>
      </c>
      <c r="E43" s="251">
        <v>44250.0</v>
      </c>
      <c r="F43" s="250" t="s">
        <v>496</v>
      </c>
      <c r="G43" s="171">
        <v>40.0</v>
      </c>
      <c r="H43" s="171">
        <v>50.0</v>
      </c>
      <c r="I43" s="171">
        <v>100.0</v>
      </c>
      <c r="J43" s="325">
        <f t="shared" si="2"/>
        <v>0.0008720930414</v>
      </c>
      <c r="K43" s="326">
        <f t="shared" si="6"/>
        <v>1.250000026</v>
      </c>
      <c r="L43" s="327">
        <f t="shared" si="4"/>
        <v>38.09701847</v>
      </c>
      <c r="M43" s="321" t="str">
        <f t="shared" si="5"/>
        <v>santigs67</v>
      </c>
      <c r="N43" s="176">
        <f>IFERROR(__xludf.DUMMYFUNCTION("""COMPUTED_VALUE"""),7.0)</f>
        <v>7</v>
      </c>
      <c r="O43" s="176"/>
      <c r="P43" s="176"/>
      <c r="Q43" s="176"/>
      <c r="R43" s="176"/>
      <c r="S43" s="176"/>
      <c r="T43" s="176"/>
      <c r="U43" s="176"/>
      <c r="V43" s="176"/>
      <c r="W43" s="176"/>
      <c r="X43" s="176"/>
      <c r="Y43" s="176"/>
      <c r="Z43" s="176"/>
    </row>
    <row r="44">
      <c r="A44" s="249" t="s">
        <v>4</v>
      </c>
      <c r="B44" s="249" t="s">
        <v>10</v>
      </c>
      <c r="C44" s="219" t="s">
        <v>500</v>
      </c>
      <c r="D44" s="268" t="s">
        <v>495</v>
      </c>
      <c r="E44" s="251">
        <v>44253.0</v>
      </c>
      <c r="F44" s="250" t="s">
        <v>496</v>
      </c>
      <c r="G44" s="171">
        <v>20.0</v>
      </c>
      <c r="H44" s="171">
        <v>100.0</v>
      </c>
      <c r="I44" s="171">
        <v>20.0</v>
      </c>
      <c r="J44" s="325">
        <f t="shared" si="2"/>
        <v>0.0004528511394</v>
      </c>
      <c r="K44" s="326">
        <f t="shared" si="6"/>
        <v>0.6490866332</v>
      </c>
      <c r="L44" s="327">
        <f t="shared" si="4"/>
        <v>38.09701847</v>
      </c>
      <c r="M44" s="321" t="str">
        <f t="shared" si="5"/>
        <v>santigs67</v>
      </c>
      <c r="N44" s="176">
        <f>IFERROR(__xludf.DUMMYFUNCTION("""COMPUTED_VALUE"""),8.0)</f>
        <v>8</v>
      </c>
      <c r="O44" s="176"/>
      <c r="P44" s="176"/>
      <c r="Q44" s="176"/>
      <c r="R44" s="176"/>
      <c r="S44" s="176"/>
      <c r="T44" s="176"/>
      <c r="U44" s="176"/>
      <c r="V44" s="176"/>
      <c r="W44" s="176"/>
      <c r="X44" s="176"/>
      <c r="Y44" s="176"/>
      <c r="Z44" s="176"/>
    </row>
    <row r="45">
      <c r="A45" s="249" t="s">
        <v>4</v>
      </c>
      <c r="B45" s="249" t="s">
        <v>10</v>
      </c>
      <c r="C45" s="219" t="s">
        <v>2214</v>
      </c>
      <c r="D45" s="268" t="s">
        <v>495</v>
      </c>
      <c r="E45" s="251">
        <v>44253.0</v>
      </c>
      <c r="F45" s="250" t="s">
        <v>496</v>
      </c>
      <c r="G45" s="171">
        <v>300.0</v>
      </c>
      <c r="H45" s="171">
        <v>500.0</v>
      </c>
      <c r="I45" s="171">
        <v>200.0</v>
      </c>
      <c r="J45" s="325">
        <f t="shared" si="2"/>
        <v>0.003582115298</v>
      </c>
      <c r="K45" s="326">
        <f t="shared" si="6"/>
        <v>5.134365261</v>
      </c>
      <c r="L45" s="327">
        <f t="shared" si="4"/>
        <v>38.09701847</v>
      </c>
      <c r="M45" s="321" t="str">
        <f t="shared" si="5"/>
        <v>santigs67</v>
      </c>
      <c r="N45" s="176">
        <f>IFERROR(__xludf.DUMMYFUNCTION("""COMPUTED_VALUE"""),9.0)</f>
        <v>9</v>
      </c>
      <c r="O45" s="176"/>
      <c r="P45" s="176"/>
      <c r="Q45" s="176"/>
      <c r="R45" s="176"/>
      <c r="S45" s="176"/>
      <c r="T45" s="176"/>
      <c r="U45" s="176"/>
      <c r="V45" s="176"/>
      <c r="W45" s="176"/>
      <c r="X45" s="176"/>
      <c r="Y45" s="176"/>
      <c r="Z45" s="176"/>
    </row>
    <row r="46">
      <c r="A46" s="249" t="s">
        <v>4</v>
      </c>
      <c r="B46" s="249" t="s">
        <v>10</v>
      </c>
      <c r="C46" s="219" t="s">
        <v>2206</v>
      </c>
      <c r="D46" s="268" t="s">
        <v>495</v>
      </c>
      <c r="E46" s="251">
        <v>44253.0</v>
      </c>
      <c r="F46" s="250" t="s">
        <v>496</v>
      </c>
      <c r="G46" s="171">
        <v>40.0</v>
      </c>
      <c r="H46" s="171">
        <v>20.0</v>
      </c>
      <c r="I46" s="171">
        <v>50.0</v>
      </c>
      <c r="J46" s="325">
        <f t="shared" si="2"/>
        <v>0.0004950340078</v>
      </c>
      <c r="K46" s="326">
        <f t="shared" si="6"/>
        <v>0.7095487446</v>
      </c>
      <c r="L46" s="327">
        <f t="shared" si="4"/>
        <v>38.09701847</v>
      </c>
      <c r="M46" s="321" t="str">
        <f t="shared" si="5"/>
        <v>santigs67</v>
      </c>
      <c r="N46" s="176">
        <f>IFERROR(__xludf.DUMMYFUNCTION("""COMPUTED_VALUE"""),10.0)</f>
        <v>10</v>
      </c>
      <c r="O46" s="176"/>
      <c r="P46" s="176"/>
      <c r="Q46" s="176"/>
      <c r="R46" s="176"/>
      <c r="S46" s="176"/>
      <c r="T46" s="176"/>
      <c r="U46" s="176"/>
      <c r="V46" s="176"/>
      <c r="W46" s="176"/>
      <c r="X46" s="176"/>
      <c r="Y46" s="176"/>
      <c r="Z46" s="176"/>
    </row>
    <row r="47">
      <c r="A47" s="249" t="s">
        <v>4</v>
      </c>
      <c r="B47" s="249" t="s">
        <v>10</v>
      </c>
      <c r="C47" s="219" t="s">
        <v>2208</v>
      </c>
      <c r="D47" s="268" t="s">
        <v>495</v>
      </c>
      <c r="E47" s="251">
        <v>44253.0</v>
      </c>
      <c r="F47" s="250" t="s">
        <v>496</v>
      </c>
      <c r="G47" s="171">
        <v>60.0</v>
      </c>
      <c r="H47" s="171">
        <v>1000.0</v>
      </c>
      <c r="I47" s="171">
        <v>80.0</v>
      </c>
      <c r="J47" s="325">
        <f t="shared" si="2"/>
        <v>0.003307350653</v>
      </c>
      <c r="K47" s="326">
        <f t="shared" si="6"/>
        <v>4.740535936</v>
      </c>
      <c r="L47" s="327">
        <f t="shared" si="4"/>
        <v>38.09701847</v>
      </c>
      <c r="M47" s="321" t="str">
        <f t="shared" si="5"/>
        <v>santigs67</v>
      </c>
      <c r="N47" s="176">
        <f>IFERROR(__xludf.DUMMYFUNCTION("""COMPUTED_VALUE"""),11.0)</f>
        <v>11</v>
      </c>
      <c r="O47" s="176"/>
      <c r="P47" s="176"/>
      <c r="Q47" s="176"/>
      <c r="R47" s="176"/>
      <c r="S47" s="176"/>
      <c r="T47" s="176"/>
      <c r="U47" s="176"/>
      <c r="V47" s="176"/>
      <c r="W47" s="176"/>
      <c r="X47" s="176"/>
      <c r="Y47" s="176"/>
      <c r="Z47" s="176"/>
    </row>
    <row r="48">
      <c r="A48" s="333" t="s">
        <v>12</v>
      </c>
      <c r="B48" s="272" t="s">
        <v>2107</v>
      </c>
      <c r="C48" s="273" t="s">
        <v>2215</v>
      </c>
      <c r="D48" s="274" t="s">
        <v>437</v>
      </c>
      <c r="E48" s="328" t="s">
        <v>2216</v>
      </c>
      <c r="F48" s="274" t="s">
        <v>2129</v>
      </c>
      <c r="G48" s="171">
        <v>100.0</v>
      </c>
      <c r="H48" s="171">
        <v>100.0</v>
      </c>
      <c r="I48" s="171">
        <v>300.0</v>
      </c>
      <c r="J48" s="172">
        <f t="shared" si="2"/>
        <v>0.002413558281</v>
      </c>
      <c r="K48" s="269">
        <f t="shared" si="6"/>
        <v>3.459433536</v>
      </c>
      <c r="L48" s="270">
        <f t="shared" si="4"/>
        <v>35.78736213</v>
      </c>
      <c r="M48" s="271" t="str">
        <f t="shared" si="5"/>
        <v>metaverde</v>
      </c>
      <c r="N48" s="176">
        <f>IFERROR(__xludf.DUMMYFUNCTION("""COMPUTED_VALUE"""),1.0)</f>
        <v>1</v>
      </c>
      <c r="O48" s="176"/>
      <c r="P48" s="176"/>
      <c r="Q48" s="176"/>
      <c r="R48" s="176"/>
      <c r="S48" s="176"/>
      <c r="T48" s="176"/>
      <c r="U48" s="176"/>
      <c r="V48" s="176"/>
      <c r="W48" s="176"/>
      <c r="X48" s="176"/>
      <c r="Y48" s="176"/>
      <c r="Z48" s="176"/>
    </row>
    <row r="49">
      <c r="A49" s="267" t="s">
        <v>12</v>
      </c>
      <c r="B49" s="272" t="s">
        <v>2035</v>
      </c>
      <c r="C49" s="273" t="s">
        <v>2217</v>
      </c>
      <c r="D49" s="274" t="s">
        <v>437</v>
      </c>
      <c r="E49" s="328" t="s">
        <v>2218</v>
      </c>
      <c r="F49" s="274" t="s">
        <v>2129</v>
      </c>
      <c r="G49" s="171">
        <v>40.0</v>
      </c>
      <c r="H49" s="171">
        <v>100.0</v>
      </c>
      <c r="I49" s="171">
        <v>100.0</v>
      </c>
      <c r="J49" s="172">
        <f t="shared" si="2"/>
        <v>0.001002759729</v>
      </c>
      <c r="K49" s="269">
        <f t="shared" si="6"/>
        <v>1.437288945</v>
      </c>
      <c r="L49" s="270">
        <f t="shared" si="4"/>
        <v>35.78736213</v>
      </c>
      <c r="M49" s="271" t="str">
        <f t="shared" si="5"/>
        <v>metaverde</v>
      </c>
      <c r="N49" s="176">
        <f>IFERROR(__xludf.DUMMYFUNCTION("""COMPUTED_VALUE"""),2.0)</f>
        <v>2</v>
      </c>
      <c r="O49" s="176"/>
      <c r="P49" s="176"/>
      <c r="Q49" s="176"/>
      <c r="R49" s="176"/>
      <c r="S49" s="176"/>
      <c r="T49" s="176"/>
      <c r="U49" s="176"/>
      <c r="V49" s="176"/>
      <c r="W49" s="176"/>
      <c r="X49" s="176"/>
      <c r="Y49" s="176"/>
      <c r="Z49" s="176"/>
    </row>
    <row r="50">
      <c r="A50" s="267" t="s">
        <v>12</v>
      </c>
      <c r="B50" s="253" t="s">
        <v>2035</v>
      </c>
      <c r="C50" s="318" t="s">
        <v>2219</v>
      </c>
      <c r="D50" s="319" t="s">
        <v>2220</v>
      </c>
      <c r="E50" s="334" t="s">
        <v>2221</v>
      </c>
      <c r="F50" s="319" t="s">
        <v>2222</v>
      </c>
      <c r="G50" s="312"/>
      <c r="H50" s="312"/>
      <c r="I50" s="312"/>
      <c r="J50" s="172">
        <f t="shared" si="2"/>
        <v>0</v>
      </c>
      <c r="K50" s="269">
        <f t="shared" si="6"/>
        <v>0</v>
      </c>
      <c r="L50" s="270">
        <f t="shared" si="4"/>
        <v>35.78736213</v>
      </c>
      <c r="M50" s="271" t="str">
        <f t="shared" si="5"/>
        <v>metaverde</v>
      </c>
      <c r="N50" s="209">
        <f>IFERROR(__xludf.DUMMYFUNCTION("""COMPUTED_VALUE"""),3.0)</f>
        <v>3</v>
      </c>
      <c r="O50" s="209"/>
      <c r="P50" s="209"/>
      <c r="Q50" s="209"/>
      <c r="R50" s="209"/>
      <c r="S50" s="209"/>
      <c r="T50" s="209"/>
      <c r="U50" s="209"/>
      <c r="V50" s="209"/>
      <c r="W50" s="209"/>
      <c r="X50" s="209"/>
      <c r="Y50" s="209"/>
      <c r="Z50" s="209"/>
    </row>
    <row r="51">
      <c r="A51" s="333" t="s">
        <v>12</v>
      </c>
      <c r="B51" s="272" t="s">
        <v>2035</v>
      </c>
      <c r="C51" s="273" t="s">
        <v>2223</v>
      </c>
      <c r="D51" s="274" t="s">
        <v>437</v>
      </c>
      <c r="E51" s="328" t="s">
        <v>2224</v>
      </c>
      <c r="F51" s="274" t="s">
        <v>1929</v>
      </c>
      <c r="G51" s="171">
        <v>110.0</v>
      </c>
      <c r="H51" s="171">
        <v>100.0</v>
      </c>
      <c r="I51" s="171">
        <v>150.0</v>
      </c>
      <c r="J51" s="172">
        <f t="shared" si="2"/>
        <v>0.001553608296</v>
      </c>
      <c r="K51" s="269">
        <f t="shared" si="6"/>
        <v>2.226838557</v>
      </c>
      <c r="L51" s="270">
        <f t="shared" si="4"/>
        <v>35.78736213</v>
      </c>
      <c r="M51" s="271" t="str">
        <f t="shared" si="5"/>
        <v>metaverde</v>
      </c>
      <c r="N51" s="176">
        <f>IFERROR(__xludf.DUMMYFUNCTION("""COMPUTED_VALUE"""),4.0)</f>
        <v>4</v>
      </c>
      <c r="O51" s="176"/>
      <c r="P51" s="176"/>
      <c r="Q51" s="176"/>
      <c r="R51" s="176"/>
      <c r="S51" s="176"/>
      <c r="T51" s="176"/>
      <c r="U51" s="176"/>
      <c r="V51" s="176"/>
      <c r="W51" s="176"/>
      <c r="X51" s="176"/>
      <c r="Y51" s="176"/>
      <c r="Z51" s="176"/>
    </row>
    <row r="52">
      <c r="A52" s="333" t="s">
        <v>12</v>
      </c>
      <c r="B52" s="272" t="s">
        <v>1933</v>
      </c>
      <c r="C52" s="273" t="s">
        <v>2209</v>
      </c>
      <c r="D52" s="274" t="s">
        <v>437</v>
      </c>
      <c r="E52" s="328" t="s">
        <v>2210</v>
      </c>
      <c r="F52" s="274" t="s">
        <v>1929</v>
      </c>
      <c r="G52" s="171">
        <v>150.0</v>
      </c>
      <c r="H52" s="171">
        <v>200.0</v>
      </c>
      <c r="I52" s="171">
        <v>100.0</v>
      </c>
      <c r="J52" s="172">
        <f t="shared" si="2"/>
        <v>0.001660390962</v>
      </c>
      <c r="K52" s="269">
        <f t="shared" si="6"/>
        <v>2.379893712</v>
      </c>
      <c r="L52" s="270">
        <f t="shared" si="4"/>
        <v>35.78736213</v>
      </c>
      <c r="M52" s="271" t="str">
        <f t="shared" si="5"/>
        <v>metaverde</v>
      </c>
      <c r="N52" s="176">
        <f>IFERROR(__xludf.DUMMYFUNCTION("""COMPUTED_VALUE"""),5.0)</f>
        <v>5</v>
      </c>
      <c r="O52" s="176"/>
      <c r="P52" s="176"/>
      <c r="Q52" s="176"/>
      <c r="R52" s="176"/>
      <c r="S52" s="176"/>
      <c r="T52" s="176"/>
      <c r="U52" s="176"/>
      <c r="V52" s="176"/>
      <c r="W52" s="176"/>
      <c r="X52" s="176"/>
      <c r="Y52" s="176"/>
      <c r="Z52" s="176"/>
    </row>
    <row r="53">
      <c r="A53" s="335" t="s">
        <v>12</v>
      </c>
      <c r="B53" s="249" t="s">
        <v>18</v>
      </c>
      <c r="C53" s="219" t="s">
        <v>2225</v>
      </c>
      <c r="D53" s="268" t="s">
        <v>495</v>
      </c>
      <c r="E53" s="251">
        <v>44242.0</v>
      </c>
      <c r="F53" s="250" t="s">
        <v>496</v>
      </c>
      <c r="G53" s="171">
        <v>250.0</v>
      </c>
      <c r="H53" s="171">
        <v>100.0</v>
      </c>
      <c r="I53" s="171">
        <v>150.0</v>
      </c>
      <c r="J53" s="325">
        <f t="shared" si="2"/>
        <v>0.002057987387</v>
      </c>
      <c r="K53" s="326">
        <f t="shared" si="6"/>
        <v>2.949781921</v>
      </c>
      <c r="L53" s="327">
        <f t="shared" si="4"/>
        <v>35.78736213</v>
      </c>
      <c r="M53" s="321" t="str">
        <f t="shared" si="5"/>
        <v>metaverde</v>
      </c>
      <c r="N53" s="176">
        <f>IFERROR(__xludf.DUMMYFUNCTION("""COMPUTED_VALUE"""),6.0)</f>
        <v>6</v>
      </c>
      <c r="O53" s="176"/>
      <c r="P53" s="176"/>
      <c r="Q53" s="176"/>
      <c r="R53" s="176"/>
      <c r="S53" s="176"/>
      <c r="T53" s="176"/>
      <c r="U53" s="176"/>
      <c r="V53" s="176"/>
      <c r="W53" s="176"/>
      <c r="X53" s="176"/>
      <c r="Y53" s="176"/>
      <c r="Z53" s="176"/>
    </row>
    <row r="54">
      <c r="A54" s="335" t="s">
        <v>12</v>
      </c>
      <c r="B54" s="249" t="s">
        <v>1175</v>
      </c>
      <c r="C54" s="219" t="s">
        <v>2226</v>
      </c>
      <c r="D54" s="268" t="s">
        <v>495</v>
      </c>
      <c r="E54" s="251">
        <v>44242.0</v>
      </c>
      <c r="F54" s="250" t="s">
        <v>496</v>
      </c>
      <c r="G54" s="171">
        <v>120.0</v>
      </c>
      <c r="H54" s="171">
        <v>200.0</v>
      </c>
      <c r="I54" s="171">
        <v>200.0</v>
      </c>
      <c r="J54" s="325">
        <f t="shared" si="2"/>
        <v>0.00214962777</v>
      </c>
      <c r="K54" s="326">
        <f t="shared" si="6"/>
        <v>3.081133137</v>
      </c>
      <c r="L54" s="327">
        <f t="shared" si="4"/>
        <v>35.78736213</v>
      </c>
      <c r="M54" s="321" t="str">
        <f t="shared" si="5"/>
        <v>metaverde</v>
      </c>
      <c r="N54" s="176">
        <f>IFERROR(__xludf.DUMMYFUNCTION("""COMPUTED_VALUE"""),7.0)</f>
        <v>7</v>
      </c>
      <c r="O54" s="176"/>
      <c r="P54" s="176"/>
      <c r="Q54" s="176"/>
      <c r="R54" s="176"/>
      <c r="S54" s="176"/>
      <c r="T54" s="176"/>
      <c r="U54" s="176"/>
      <c r="V54" s="176"/>
      <c r="W54" s="176"/>
      <c r="X54" s="176"/>
      <c r="Y54" s="176"/>
      <c r="Z54" s="176"/>
    </row>
    <row r="55">
      <c r="A55" s="335" t="s">
        <v>12</v>
      </c>
      <c r="B55" s="249" t="s">
        <v>590</v>
      </c>
      <c r="C55" s="219" t="s">
        <v>2227</v>
      </c>
      <c r="D55" s="268" t="s">
        <v>495</v>
      </c>
      <c r="E55" s="251">
        <v>44242.0</v>
      </c>
      <c r="F55" s="250" t="s">
        <v>496</v>
      </c>
      <c r="G55" s="171">
        <v>40.0</v>
      </c>
      <c r="H55" s="171">
        <v>100.0</v>
      </c>
      <c r="I55" s="171">
        <v>100.0</v>
      </c>
      <c r="J55" s="325">
        <f t="shared" si="2"/>
        <v>0.001002759729</v>
      </c>
      <c r="K55" s="326">
        <f t="shared" si="6"/>
        <v>1.437288945</v>
      </c>
      <c r="L55" s="327">
        <f t="shared" si="4"/>
        <v>35.78736213</v>
      </c>
      <c r="M55" s="321" t="str">
        <f t="shared" si="5"/>
        <v>metaverde</v>
      </c>
      <c r="N55" s="176">
        <f>IFERROR(__xludf.DUMMYFUNCTION("""COMPUTED_VALUE"""),8.0)</f>
        <v>8</v>
      </c>
      <c r="O55" s="176"/>
      <c r="P55" s="176"/>
      <c r="Q55" s="176"/>
      <c r="R55" s="176"/>
      <c r="S55" s="176"/>
      <c r="T55" s="176"/>
      <c r="U55" s="176"/>
      <c r="V55" s="176"/>
      <c r="W55" s="176"/>
      <c r="X55" s="176"/>
      <c r="Y55" s="176"/>
      <c r="Z55" s="176"/>
    </row>
    <row r="56">
      <c r="A56" s="249" t="s">
        <v>12</v>
      </c>
      <c r="B56" s="249" t="s">
        <v>6</v>
      </c>
      <c r="C56" s="219" t="s">
        <v>2228</v>
      </c>
      <c r="D56" s="268" t="s">
        <v>495</v>
      </c>
      <c r="E56" s="251">
        <v>44243.0</v>
      </c>
      <c r="F56" s="250" t="s">
        <v>496</v>
      </c>
      <c r="G56" s="171">
        <v>120.0</v>
      </c>
      <c r="H56" s="171">
        <v>150.0</v>
      </c>
      <c r="I56" s="171">
        <v>100.0</v>
      </c>
      <c r="J56" s="325">
        <f t="shared" si="2"/>
        <v>0.00142164304</v>
      </c>
      <c r="K56" s="326">
        <f t="shared" si="6"/>
        <v>2.037688358</v>
      </c>
      <c r="L56" s="327">
        <f t="shared" si="4"/>
        <v>35.78736213</v>
      </c>
      <c r="M56" s="321" t="str">
        <f t="shared" si="5"/>
        <v>metaverde</v>
      </c>
      <c r="N56" s="176">
        <f>IFERROR(__xludf.DUMMYFUNCTION("""COMPUTED_VALUE"""),9.0)</f>
        <v>9</v>
      </c>
      <c r="O56" s="176"/>
      <c r="P56" s="176"/>
      <c r="Q56" s="176"/>
      <c r="R56" s="176"/>
      <c r="S56" s="176"/>
      <c r="T56" s="176"/>
      <c r="U56" s="176"/>
      <c r="V56" s="176"/>
      <c r="W56" s="176"/>
      <c r="X56" s="176"/>
      <c r="Y56" s="176"/>
      <c r="Z56" s="176"/>
    </row>
    <row r="57">
      <c r="A57" s="249" t="s">
        <v>12</v>
      </c>
      <c r="B57" s="249" t="s">
        <v>43</v>
      </c>
      <c r="C57" s="219" t="s">
        <v>2229</v>
      </c>
      <c r="D57" s="268" t="s">
        <v>495</v>
      </c>
      <c r="E57" s="251">
        <v>44243.0</v>
      </c>
      <c r="F57" s="250" t="s">
        <v>496</v>
      </c>
      <c r="G57" s="171">
        <v>250.0</v>
      </c>
      <c r="H57" s="171">
        <v>100.0</v>
      </c>
      <c r="I57" s="171">
        <v>100.0</v>
      </c>
      <c r="J57" s="325">
        <f t="shared" si="2"/>
        <v>0.001759328366</v>
      </c>
      <c r="K57" s="326">
        <f t="shared" si="6"/>
        <v>2.521703991</v>
      </c>
      <c r="L57" s="327">
        <f t="shared" si="4"/>
        <v>35.78736213</v>
      </c>
      <c r="M57" s="321" t="str">
        <f t="shared" si="5"/>
        <v>metaverde</v>
      </c>
      <c r="N57" s="176">
        <f>IFERROR(__xludf.DUMMYFUNCTION("""COMPUTED_VALUE"""),10.0)</f>
        <v>10</v>
      </c>
      <c r="O57" s="176"/>
      <c r="P57" s="176"/>
      <c r="Q57" s="176"/>
      <c r="R57" s="176"/>
      <c r="S57" s="176"/>
      <c r="T57" s="176"/>
      <c r="U57" s="176"/>
      <c r="V57" s="176"/>
      <c r="W57" s="176"/>
      <c r="X57" s="176"/>
      <c r="Y57" s="176"/>
      <c r="Z57" s="176"/>
    </row>
    <row r="58">
      <c r="A58" s="249" t="s">
        <v>12</v>
      </c>
      <c r="B58" s="249" t="s">
        <v>519</v>
      </c>
      <c r="C58" s="219" t="s">
        <v>2191</v>
      </c>
      <c r="D58" s="268" t="s">
        <v>495</v>
      </c>
      <c r="E58" s="251">
        <v>44244.0</v>
      </c>
      <c r="F58" s="250" t="s">
        <v>496</v>
      </c>
      <c r="G58" s="171">
        <v>120.0</v>
      </c>
      <c r="H58" s="171">
        <v>200.0</v>
      </c>
      <c r="I58" s="171">
        <v>100.0</v>
      </c>
      <c r="J58" s="325">
        <f t="shared" si="2"/>
        <v>0.001552309728</v>
      </c>
      <c r="K58" s="326">
        <f t="shared" si="6"/>
        <v>2.224977276</v>
      </c>
      <c r="L58" s="327">
        <f t="shared" si="4"/>
        <v>35.78736213</v>
      </c>
      <c r="M58" s="321" t="str">
        <f t="shared" si="5"/>
        <v>metaverde</v>
      </c>
      <c r="N58" s="176">
        <f>IFERROR(__xludf.DUMMYFUNCTION("""COMPUTED_VALUE"""),11.0)</f>
        <v>11</v>
      </c>
      <c r="O58" s="176"/>
      <c r="P58" s="176"/>
      <c r="Q58" s="176"/>
      <c r="R58" s="176"/>
      <c r="S58" s="176"/>
      <c r="T58" s="176"/>
      <c r="U58" s="176"/>
      <c r="V58" s="176"/>
      <c r="W58" s="176"/>
      <c r="X58" s="176"/>
      <c r="Y58" s="176"/>
      <c r="Z58" s="176"/>
    </row>
    <row r="59">
      <c r="A59" s="249" t="s">
        <v>12</v>
      </c>
      <c r="B59" s="249" t="s">
        <v>25</v>
      </c>
      <c r="C59" s="219" t="s">
        <v>2230</v>
      </c>
      <c r="D59" s="268" t="s">
        <v>495</v>
      </c>
      <c r="E59" s="251">
        <v>44244.0</v>
      </c>
      <c r="F59" s="250" t="s">
        <v>496</v>
      </c>
      <c r="G59" s="171">
        <v>100.0</v>
      </c>
      <c r="H59" s="171">
        <v>400.0</v>
      </c>
      <c r="I59" s="171">
        <v>100.0</v>
      </c>
      <c r="J59" s="325">
        <f t="shared" si="2"/>
        <v>0.002002922322</v>
      </c>
      <c r="K59" s="326">
        <f t="shared" si="6"/>
        <v>2.870855328</v>
      </c>
      <c r="L59" s="327">
        <f t="shared" si="4"/>
        <v>35.78736213</v>
      </c>
      <c r="M59" s="321" t="str">
        <f t="shared" si="5"/>
        <v>metaverde</v>
      </c>
      <c r="N59" s="176">
        <f>IFERROR(__xludf.DUMMYFUNCTION("""COMPUTED_VALUE"""),12.0)</f>
        <v>12</v>
      </c>
      <c r="O59" s="176"/>
      <c r="P59" s="176"/>
      <c r="Q59" s="176"/>
      <c r="R59" s="176"/>
      <c r="S59" s="176"/>
      <c r="T59" s="176"/>
      <c r="U59" s="176"/>
      <c r="V59" s="176"/>
      <c r="W59" s="176"/>
      <c r="X59" s="176"/>
      <c r="Y59" s="176"/>
      <c r="Z59" s="176"/>
    </row>
    <row r="60">
      <c r="A60" s="249" t="s">
        <v>12</v>
      </c>
      <c r="B60" s="249" t="s">
        <v>10</v>
      </c>
      <c r="C60" s="219" t="s">
        <v>2231</v>
      </c>
      <c r="D60" s="268" t="s">
        <v>495</v>
      </c>
      <c r="E60" s="251">
        <v>44246.0</v>
      </c>
      <c r="F60" s="250" t="s">
        <v>496</v>
      </c>
      <c r="G60" s="171">
        <v>130.0</v>
      </c>
      <c r="H60" s="171">
        <v>100.0</v>
      </c>
      <c r="I60" s="171">
        <v>100.0</v>
      </c>
      <c r="J60" s="325">
        <f t="shared" si="2"/>
        <v>0.001327003431</v>
      </c>
      <c r="K60" s="326">
        <f t="shared" si="6"/>
        <v>1.90203825</v>
      </c>
      <c r="L60" s="327">
        <f t="shared" si="4"/>
        <v>35.78736213</v>
      </c>
      <c r="M60" s="321" t="str">
        <f t="shared" si="5"/>
        <v>metaverde</v>
      </c>
      <c r="N60" s="176">
        <f>IFERROR(__xludf.DUMMYFUNCTION("""COMPUTED_VALUE"""),13.0)</f>
        <v>13</v>
      </c>
      <c r="O60" s="176"/>
      <c r="P60" s="176"/>
      <c r="Q60" s="176"/>
      <c r="R60" s="176"/>
      <c r="S60" s="176"/>
      <c r="T60" s="176"/>
      <c r="U60" s="176"/>
      <c r="V60" s="176"/>
      <c r="W60" s="176"/>
      <c r="X60" s="176"/>
      <c r="Y60" s="176"/>
      <c r="Z60" s="176"/>
    </row>
    <row r="61">
      <c r="A61" s="249" t="s">
        <v>12</v>
      </c>
      <c r="B61" s="249" t="s">
        <v>10</v>
      </c>
      <c r="C61" s="219" t="s">
        <v>2232</v>
      </c>
      <c r="D61" s="268" t="s">
        <v>495</v>
      </c>
      <c r="E61" s="251">
        <v>44246.0</v>
      </c>
      <c r="F61" s="250" t="s">
        <v>496</v>
      </c>
      <c r="G61" s="171">
        <v>150.0</v>
      </c>
      <c r="H61" s="171">
        <v>200.0</v>
      </c>
      <c r="I61" s="171">
        <v>150.0</v>
      </c>
      <c r="J61" s="325">
        <f t="shared" si="2"/>
        <v>0.001959049983</v>
      </c>
      <c r="K61" s="326">
        <f t="shared" si="6"/>
        <v>2.807971642</v>
      </c>
      <c r="L61" s="327">
        <f t="shared" si="4"/>
        <v>35.78736213</v>
      </c>
      <c r="M61" s="321" t="str">
        <f t="shared" si="5"/>
        <v>metaverde</v>
      </c>
      <c r="N61" s="176">
        <f>IFERROR(__xludf.DUMMYFUNCTION("""COMPUTED_VALUE"""),14.0)</f>
        <v>14</v>
      </c>
      <c r="O61" s="176"/>
      <c r="P61" s="176"/>
      <c r="Q61" s="176"/>
      <c r="R61" s="176"/>
      <c r="S61" s="176"/>
      <c r="T61" s="176"/>
      <c r="U61" s="176"/>
      <c r="V61" s="176"/>
      <c r="W61" s="176"/>
      <c r="X61" s="176"/>
      <c r="Y61" s="176"/>
      <c r="Z61" s="176"/>
    </row>
    <row r="62">
      <c r="A62" s="249" t="s">
        <v>12</v>
      </c>
      <c r="B62" s="249" t="s">
        <v>18</v>
      </c>
      <c r="C62" s="219" t="s">
        <v>2201</v>
      </c>
      <c r="D62" s="268" t="s">
        <v>495</v>
      </c>
      <c r="E62" s="251">
        <v>44250.0</v>
      </c>
      <c r="F62" s="250" t="s">
        <v>496</v>
      </c>
      <c r="G62" s="171">
        <v>60.0</v>
      </c>
      <c r="H62" s="171">
        <v>100.0</v>
      </c>
      <c r="I62" s="171">
        <v>80.0</v>
      </c>
      <c r="J62" s="325">
        <f t="shared" si="2"/>
        <v>0.0009553502765</v>
      </c>
      <c r="K62" s="326">
        <f t="shared" si="6"/>
        <v>1.369335396</v>
      </c>
      <c r="L62" s="327">
        <f t="shared" si="4"/>
        <v>35.78736213</v>
      </c>
      <c r="M62" s="321" t="str">
        <f t="shared" si="5"/>
        <v>metaverde</v>
      </c>
      <c r="N62" s="176">
        <f>IFERROR(__xludf.DUMMYFUNCTION("""COMPUTED_VALUE"""),15.0)</f>
        <v>15</v>
      </c>
      <c r="O62" s="176"/>
      <c r="P62" s="176"/>
      <c r="Q62" s="176"/>
      <c r="R62" s="176"/>
      <c r="S62" s="176"/>
      <c r="T62" s="176"/>
      <c r="U62" s="176"/>
      <c r="V62" s="176"/>
      <c r="W62" s="176"/>
      <c r="X62" s="176"/>
      <c r="Y62" s="176"/>
      <c r="Z62" s="176"/>
    </row>
    <row r="63">
      <c r="A63" s="335" t="s">
        <v>12</v>
      </c>
      <c r="B63" s="249" t="s">
        <v>10</v>
      </c>
      <c r="C63" s="219" t="s">
        <v>2233</v>
      </c>
      <c r="D63" s="268" t="s">
        <v>495</v>
      </c>
      <c r="E63" s="251">
        <v>44253.0</v>
      </c>
      <c r="F63" s="250" t="s">
        <v>496</v>
      </c>
      <c r="G63" s="171">
        <v>120.0</v>
      </c>
      <c r="H63" s="171">
        <v>200.0</v>
      </c>
      <c r="I63" s="171">
        <v>200.0</v>
      </c>
      <c r="J63" s="325">
        <f t="shared" si="2"/>
        <v>0.00214962777</v>
      </c>
      <c r="K63" s="326">
        <f t="shared" si="6"/>
        <v>3.081133137</v>
      </c>
      <c r="L63" s="327">
        <f t="shared" si="4"/>
        <v>35.78736213</v>
      </c>
      <c r="M63" s="321" t="str">
        <f t="shared" si="5"/>
        <v>metaverde</v>
      </c>
      <c r="N63" s="176">
        <f>IFERROR(__xludf.DUMMYFUNCTION("""COMPUTED_VALUE"""),16.0)</f>
        <v>16</v>
      </c>
      <c r="O63" s="176"/>
      <c r="P63" s="176"/>
      <c r="Q63" s="176"/>
      <c r="R63" s="176"/>
      <c r="S63" s="176"/>
      <c r="T63" s="176"/>
      <c r="U63" s="176"/>
      <c r="V63" s="176"/>
      <c r="W63" s="176"/>
      <c r="X63" s="176"/>
      <c r="Y63" s="176"/>
      <c r="Z63" s="176"/>
    </row>
    <row r="64">
      <c r="A64" s="16" t="s">
        <v>24</v>
      </c>
      <c r="B64" s="272" t="s">
        <v>1702</v>
      </c>
      <c r="C64" s="273" t="s">
        <v>2234</v>
      </c>
      <c r="D64" s="274" t="s">
        <v>499</v>
      </c>
      <c r="E64" s="328" t="s">
        <v>2183</v>
      </c>
      <c r="F64" s="274" t="s">
        <v>1646</v>
      </c>
      <c r="G64" s="171">
        <v>2400.0</v>
      </c>
      <c r="H64" s="171">
        <v>3000.0</v>
      </c>
      <c r="I64" s="171">
        <v>400.0</v>
      </c>
      <c r="J64" s="172">
        <f t="shared" si="2"/>
        <v>0.01887577213</v>
      </c>
      <c r="K64" s="269">
        <f t="shared" si="6"/>
        <v>27.05527339</v>
      </c>
      <c r="L64" s="270">
        <f t="shared" si="4"/>
        <v>34.57891595</v>
      </c>
      <c r="M64" s="271" t="str">
        <f t="shared" si="5"/>
        <v>danlessa</v>
      </c>
      <c r="N64" s="176">
        <f>IFERROR(__xludf.DUMMYFUNCTION("""COMPUTED_VALUE"""),1.0)</f>
        <v>1</v>
      </c>
      <c r="O64" s="176"/>
      <c r="P64" s="176"/>
      <c r="Q64" s="176"/>
      <c r="R64" s="176"/>
      <c r="S64" s="176"/>
      <c r="T64" s="176"/>
      <c r="U64" s="176"/>
      <c r="V64" s="176"/>
      <c r="W64" s="176"/>
      <c r="X64" s="176"/>
      <c r="Y64" s="176"/>
      <c r="Z64" s="176"/>
    </row>
    <row r="65">
      <c r="A65" s="16" t="s">
        <v>24</v>
      </c>
      <c r="B65" s="272" t="s">
        <v>590</v>
      </c>
      <c r="C65" s="273" t="s">
        <v>2235</v>
      </c>
      <c r="D65" s="274" t="s">
        <v>499</v>
      </c>
      <c r="E65" s="328" t="s">
        <v>2183</v>
      </c>
      <c r="F65" s="274" t="s">
        <v>2236</v>
      </c>
      <c r="G65" s="171">
        <v>400.0</v>
      </c>
      <c r="H65" s="171">
        <v>1000.0</v>
      </c>
      <c r="I65" s="171">
        <v>200.0</v>
      </c>
      <c r="J65" s="172">
        <f t="shared" si="2"/>
        <v>0.005249052954</v>
      </c>
      <c r="K65" s="269">
        <f t="shared" si="6"/>
        <v>7.523642567</v>
      </c>
      <c r="L65" s="270">
        <f t="shared" si="4"/>
        <v>34.57891595</v>
      </c>
      <c r="M65" s="271" t="str">
        <f t="shared" si="5"/>
        <v>danlessa</v>
      </c>
      <c r="N65" s="176">
        <f>IFERROR(__xludf.DUMMYFUNCTION("""COMPUTED_VALUE"""),2.0)</f>
        <v>2</v>
      </c>
      <c r="O65" s="176"/>
      <c r="P65" s="176"/>
      <c r="Q65" s="176"/>
      <c r="R65" s="176"/>
      <c r="S65" s="176"/>
      <c r="T65" s="176"/>
      <c r="U65" s="176"/>
      <c r="V65" s="176"/>
      <c r="W65" s="176"/>
      <c r="X65" s="176"/>
      <c r="Y65" s="176"/>
      <c r="Z65" s="176"/>
    </row>
    <row r="66">
      <c r="A66" s="249" t="s">
        <v>5</v>
      </c>
      <c r="B66" s="249" t="s">
        <v>590</v>
      </c>
      <c r="C66" s="219" t="s">
        <v>2237</v>
      </c>
      <c r="D66" s="268" t="s">
        <v>495</v>
      </c>
      <c r="E66" s="251">
        <v>44244.0</v>
      </c>
      <c r="F66" s="250" t="s">
        <v>496</v>
      </c>
      <c r="G66" s="171">
        <v>350.0</v>
      </c>
      <c r="H66" s="171">
        <v>600.0</v>
      </c>
      <c r="I66" s="171">
        <v>200.0</v>
      </c>
      <c r="J66" s="325">
        <f t="shared" si="2"/>
        <v>0.004023584063</v>
      </c>
      <c r="K66" s="326">
        <f t="shared" si="6"/>
        <v>5.767137157</v>
      </c>
      <c r="L66" s="327">
        <f t="shared" si="4"/>
        <v>27.81596939</v>
      </c>
      <c r="M66" s="321" t="str">
        <f t="shared" si="5"/>
        <v>cranders71</v>
      </c>
      <c r="N66" s="176">
        <f>IFERROR(__xludf.DUMMYFUNCTION("""COMPUTED_VALUE"""),1.0)</f>
        <v>1</v>
      </c>
      <c r="O66" s="176"/>
      <c r="P66" s="176"/>
      <c r="Q66" s="176"/>
      <c r="R66" s="176"/>
      <c r="S66" s="176"/>
      <c r="T66" s="176"/>
      <c r="U66" s="176"/>
      <c r="V66" s="176"/>
      <c r="W66" s="176"/>
      <c r="X66" s="176"/>
      <c r="Y66" s="176"/>
      <c r="Z66" s="176"/>
    </row>
    <row r="67">
      <c r="A67" s="335" t="s">
        <v>5</v>
      </c>
      <c r="B67" s="249" t="s">
        <v>1228</v>
      </c>
      <c r="C67" s="219" t="s">
        <v>2238</v>
      </c>
      <c r="D67" s="268" t="s">
        <v>495</v>
      </c>
      <c r="E67" s="251">
        <v>44245.0</v>
      </c>
      <c r="F67" s="250" t="s">
        <v>496</v>
      </c>
      <c r="G67" s="171">
        <v>300.0</v>
      </c>
      <c r="H67" s="171">
        <v>200.0</v>
      </c>
      <c r="I67" s="171">
        <v>200.0</v>
      </c>
      <c r="J67" s="325">
        <f t="shared" si="2"/>
        <v>0.002798115173</v>
      </c>
      <c r="K67" s="326">
        <f t="shared" si="6"/>
        <v>4.010631748</v>
      </c>
      <c r="L67" s="327">
        <f t="shared" si="4"/>
        <v>27.81596939</v>
      </c>
      <c r="M67" s="321" t="str">
        <f t="shared" si="5"/>
        <v>cranders71</v>
      </c>
      <c r="N67" s="176">
        <f>IFERROR(__xludf.DUMMYFUNCTION("""COMPUTED_VALUE"""),2.0)</f>
        <v>2</v>
      </c>
      <c r="O67" s="176"/>
      <c r="P67" s="176"/>
      <c r="Q67" s="176"/>
      <c r="R67" s="176"/>
      <c r="S67" s="176"/>
      <c r="T67" s="176"/>
      <c r="U67" s="176"/>
      <c r="V67" s="176"/>
      <c r="W67" s="176"/>
      <c r="X67" s="176"/>
      <c r="Y67" s="176"/>
      <c r="Z67" s="176"/>
    </row>
    <row r="68">
      <c r="A68" s="335" t="s">
        <v>5</v>
      </c>
      <c r="B68" s="249" t="s">
        <v>10</v>
      </c>
      <c r="C68" s="219" t="s">
        <v>2239</v>
      </c>
      <c r="D68" s="268" t="s">
        <v>495</v>
      </c>
      <c r="E68" s="251">
        <v>44246.0</v>
      </c>
      <c r="F68" s="250" t="s">
        <v>496</v>
      </c>
      <c r="G68" s="171">
        <v>200.0</v>
      </c>
      <c r="H68" s="171">
        <v>300.0</v>
      </c>
      <c r="I68" s="171">
        <v>150.0</v>
      </c>
      <c r="J68" s="325">
        <f t="shared" si="2"/>
        <v>0.002400518747</v>
      </c>
      <c r="K68" s="326">
        <f t="shared" si="6"/>
        <v>3.440743538</v>
      </c>
      <c r="L68" s="327">
        <f t="shared" si="4"/>
        <v>27.81596939</v>
      </c>
      <c r="M68" s="321" t="str">
        <f t="shared" si="5"/>
        <v>cranders71</v>
      </c>
      <c r="N68" s="176">
        <f>IFERROR(__xludf.DUMMYFUNCTION("""COMPUTED_VALUE"""),3.0)</f>
        <v>3</v>
      </c>
      <c r="O68" s="176"/>
      <c r="P68" s="176"/>
      <c r="Q68" s="176"/>
      <c r="R68" s="176"/>
      <c r="S68" s="176"/>
      <c r="T68" s="176"/>
      <c r="U68" s="176"/>
      <c r="V68" s="176"/>
      <c r="W68" s="176"/>
      <c r="X68" s="176"/>
      <c r="Y68" s="176"/>
      <c r="Z68" s="176"/>
    </row>
    <row r="69">
      <c r="A69" s="249" t="s">
        <v>5</v>
      </c>
      <c r="B69" s="249" t="s">
        <v>10</v>
      </c>
      <c r="C69" s="219" t="s">
        <v>2240</v>
      </c>
      <c r="D69" s="268" t="s">
        <v>495</v>
      </c>
      <c r="E69" s="251">
        <v>44246.0</v>
      </c>
      <c r="F69" s="250" t="s">
        <v>496</v>
      </c>
      <c r="G69" s="171">
        <v>300.0</v>
      </c>
      <c r="H69" s="171">
        <v>1000.0</v>
      </c>
      <c r="I69" s="171">
        <v>150.0</v>
      </c>
      <c r="J69" s="325">
        <f t="shared" si="2"/>
        <v>0.004590123153</v>
      </c>
      <c r="K69" s="326">
        <f t="shared" si="6"/>
        <v>6.579176519</v>
      </c>
      <c r="L69" s="327">
        <f t="shared" si="4"/>
        <v>27.81596939</v>
      </c>
      <c r="M69" s="321" t="str">
        <f t="shared" si="5"/>
        <v>cranders71</v>
      </c>
      <c r="N69" s="176">
        <f>IFERROR(__xludf.DUMMYFUNCTION("""COMPUTED_VALUE"""),4.0)</f>
        <v>4</v>
      </c>
      <c r="O69" s="176"/>
      <c r="P69" s="176"/>
      <c r="Q69" s="176"/>
      <c r="R69" s="176"/>
      <c r="S69" s="176"/>
      <c r="T69" s="176"/>
      <c r="U69" s="176"/>
      <c r="V69" s="176"/>
      <c r="W69" s="176"/>
      <c r="X69" s="176"/>
      <c r="Y69" s="176"/>
      <c r="Z69" s="176"/>
    </row>
    <row r="70">
      <c r="A70" s="249" t="s">
        <v>5</v>
      </c>
      <c r="B70" s="249" t="s">
        <v>10</v>
      </c>
      <c r="C70" s="219" t="s">
        <v>2197</v>
      </c>
      <c r="D70" s="268" t="s">
        <v>495</v>
      </c>
      <c r="E70" s="251">
        <v>44246.0</v>
      </c>
      <c r="F70" s="250" t="s">
        <v>496</v>
      </c>
      <c r="G70" s="171">
        <v>40.0</v>
      </c>
      <c r="H70" s="171">
        <v>20.0</v>
      </c>
      <c r="I70" s="171">
        <v>50.0</v>
      </c>
      <c r="J70" s="325">
        <f t="shared" si="2"/>
        <v>0.0004950340078</v>
      </c>
      <c r="K70" s="326">
        <f t="shared" si="6"/>
        <v>0.7095487446</v>
      </c>
      <c r="L70" s="327">
        <f t="shared" si="4"/>
        <v>27.81596939</v>
      </c>
      <c r="M70" s="321" t="str">
        <f t="shared" si="5"/>
        <v>cranders71</v>
      </c>
      <c r="N70" s="176">
        <f>IFERROR(__xludf.DUMMYFUNCTION("""COMPUTED_VALUE"""),5.0)</f>
        <v>5</v>
      </c>
      <c r="O70" s="176"/>
      <c r="P70" s="176"/>
      <c r="Q70" s="176"/>
      <c r="R70" s="176"/>
      <c r="S70" s="176"/>
      <c r="T70" s="176"/>
      <c r="U70" s="176"/>
      <c r="V70" s="176"/>
      <c r="W70" s="176"/>
      <c r="X70" s="176"/>
      <c r="Y70" s="176"/>
      <c r="Z70" s="176"/>
    </row>
    <row r="71">
      <c r="A71" s="249" t="s">
        <v>5</v>
      </c>
      <c r="B71" s="249" t="s">
        <v>10</v>
      </c>
      <c r="C71" s="219" t="s">
        <v>498</v>
      </c>
      <c r="D71" s="268" t="s">
        <v>495</v>
      </c>
      <c r="E71" s="251">
        <v>44246.0</v>
      </c>
      <c r="F71" s="250" t="s">
        <v>499</v>
      </c>
      <c r="G71" s="171">
        <v>10.0</v>
      </c>
      <c r="H71" s="171">
        <v>20.0</v>
      </c>
      <c r="I71" s="171">
        <v>20.0</v>
      </c>
      <c r="J71" s="325">
        <f t="shared" si="2"/>
        <v>0.0002077573614</v>
      </c>
      <c r="K71" s="326">
        <f t="shared" si="6"/>
        <v>0.2977855513</v>
      </c>
      <c r="L71" s="327">
        <f t="shared" si="4"/>
        <v>27.81596939</v>
      </c>
      <c r="M71" s="321" t="str">
        <f t="shared" si="5"/>
        <v>cranders71</v>
      </c>
      <c r="N71" s="176">
        <f>IFERROR(__xludf.DUMMYFUNCTION("""COMPUTED_VALUE"""),6.0)</f>
        <v>6</v>
      </c>
      <c r="O71" s="176"/>
      <c r="P71" s="176"/>
      <c r="Q71" s="176"/>
      <c r="R71" s="176"/>
      <c r="S71" s="176"/>
      <c r="T71" s="176"/>
      <c r="U71" s="176"/>
      <c r="V71" s="176"/>
      <c r="W71" s="176"/>
      <c r="X71" s="176"/>
      <c r="Y71" s="176"/>
      <c r="Z71" s="176"/>
    </row>
    <row r="72">
      <c r="A72" s="249" t="s">
        <v>5</v>
      </c>
      <c r="B72" s="249" t="s">
        <v>10</v>
      </c>
      <c r="C72" s="219" t="s">
        <v>498</v>
      </c>
      <c r="D72" s="268" t="s">
        <v>495</v>
      </c>
      <c r="E72" s="251">
        <v>44246.0</v>
      </c>
      <c r="F72" s="250" t="s">
        <v>499</v>
      </c>
      <c r="G72" s="171">
        <v>10.0</v>
      </c>
      <c r="H72" s="171">
        <v>20.0</v>
      </c>
      <c r="I72" s="171">
        <v>20.0</v>
      </c>
      <c r="J72" s="325">
        <f t="shared" si="2"/>
        <v>0.0002077573614</v>
      </c>
      <c r="K72" s="326">
        <f t="shared" si="6"/>
        <v>0.2977855513</v>
      </c>
      <c r="L72" s="327">
        <f t="shared" si="4"/>
        <v>27.81596939</v>
      </c>
      <c r="M72" s="321" t="str">
        <f t="shared" si="5"/>
        <v>cranders71</v>
      </c>
      <c r="N72" s="176">
        <f>IFERROR(__xludf.DUMMYFUNCTION("""COMPUTED_VALUE"""),7.0)</f>
        <v>7</v>
      </c>
      <c r="O72" s="176"/>
      <c r="P72" s="176"/>
      <c r="Q72" s="176"/>
      <c r="R72" s="176"/>
      <c r="S72" s="176"/>
      <c r="T72" s="176"/>
      <c r="U72" s="176"/>
      <c r="V72" s="176"/>
      <c r="W72" s="176"/>
      <c r="X72" s="176"/>
      <c r="Y72" s="176"/>
      <c r="Z72" s="176"/>
    </row>
    <row r="73">
      <c r="A73" s="249" t="s">
        <v>5</v>
      </c>
      <c r="B73" s="249" t="s">
        <v>10</v>
      </c>
      <c r="C73" s="219" t="s">
        <v>500</v>
      </c>
      <c r="D73" s="268" t="s">
        <v>495</v>
      </c>
      <c r="E73" s="251">
        <v>44246.0</v>
      </c>
      <c r="F73" s="250" t="s">
        <v>545</v>
      </c>
      <c r="G73" s="171">
        <v>20.0</v>
      </c>
      <c r="H73" s="171">
        <v>20.0</v>
      </c>
      <c r="I73" s="171">
        <v>20.0</v>
      </c>
      <c r="J73" s="325">
        <f t="shared" si="2"/>
        <v>0.0002437844393</v>
      </c>
      <c r="K73" s="326">
        <f t="shared" si="6"/>
        <v>0.349424363</v>
      </c>
      <c r="L73" s="327">
        <f t="shared" si="4"/>
        <v>27.81596939</v>
      </c>
      <c r="M73" s="321" t="str">
        <f t="shared" si="5"/>
        <v>cranders71</v>
      </c>
      <c r="N73" s="176">
        <f>IFERROR(__xludf.DUMMYFUNCTION("""COMPUTED_VALUE"""),8.0)</f>
        <v>8</v>
      </c>
      <c r="O73" s="176"/>
      <c r="P73" s="176"/>
      <c r="Q73" s="176"/>
      <c r="R73" s="176"/>
      <c r="S73" s="176"/>
      <c r="T73" s="176"/>
      <c r="U73" s="176"/>
      <c r="V73" s="176"/>
      <c r="W73" s="176"/>
      <c r="X73" s="176"/>
      <c r="Y73" s="176"/>
      <c r="Z73" s="176"/>
    </row>
    <row r="74">
      <c r="A74" s="249" t="s">
        <v>5</v>
      </c>
      <c r="B74" s="249" t="s">
        <v>18</v>
      </c>
      <c r="C74" s="219" t="s">
        <v>2201</v>
      </c>
      <c r="D74" s="268" t="s">
        <v>495</v>
      </c>
      <c r="E74" s="251">
        <v>44250.0</v>
      </c>
      <c r="F74" s="250" t="s">
        <v>496</v>
      </c>
      <c r="G74" s="171">
        <v>60.0</v>
      </c>
      <c r="H74" s="171">
        <v>100.0</v>
      </c>
      <c r="I74" s="171">
        <v>80.0</v>
      </c>
      <c r="J74" s="325">
        <f t="shared" si="2"/>
        <v>0.0009553502765</v>
      </c>
      <c r="K74" s="326">
        <f t="shared" si="6"/>
        <v>1.369335396</v>
      </c>
      <c r="L74" s="327">
        <f t="shared" si="4"/>
        <v>27.81596939</v>
      </c>
      <c r="M74" s="321" t="str">
        <f t="shared" si="5"/>
        <v>cranders71</v>
      </c>
      <c r="N74" s="176">
        <f>IFERROR(__xludf.DUMMYFUNCTION("""COMPUTED_VALUE"""),9.0)</f>
        <v>9</v>
      </c>
      <c r="O74" s="176"/>
      <c r="P74" s="176"/>
      <c r="Q74" s="176"/>
      <c r="R74" s="176"/>
      <c r="S74" s="176"/>
      <c r="T74" s="176"/>
      <c r="U74" s="176"/>
      <c r="V74" s="176"/>
      <c r="W74" s="176"/>
      <c r="X74" s="176"/>
      <c r="Y74" s="176"/>
      <c r="Z74" s="176"/>
    </row>
    <row r="75">
      <c r="A75" s="249" t="s">
        <v>5</v>
      </c>
      <c r="B75" s="249" t="s">
        <v>590</v>
      </c>
      <c r="C75" s="219" t="s">
        <v>2202</v>
      </c>
      <c r="D75" s="268" t="s">
        <v>495</v>
      </c>
      <c r="E75" s="251">
        <v>44250.0</v>
      </c>
      <c r="F75" s="250" t="s">
        <v>496</v>
      </c>
      <c r="G75" s="171">
        <v>40.0</v>
      </c>
      <c r="H75" s="171">
        <v>50.0</v>
      </c>
      <c r="I75" s="171">
        <v>80.0</v>
      </c>
      <c r="J75" s="325">
        <f t="shared" si="2"/>
        <v>0.000752629433</v>
      </c>
      <c r="K75" s="326">
        <f t="shared" si="6"/>
        <v>1.078768854</v>
      </c>
      <c r="L75" s="327">
        <f t="shared" si="4"/>
        <v>27.81596939</v>
      </c>
      <c r="M75" s="321" t="str">
        <f t="shared" si="5"/>
        <v>cranders71</v>
      </c>
      <c r="N75" s="176">
        <f>IFERROR(__xludf.DUMMYFUNCTION("""COMPUTED_VALUE"""),10.0)</f>
        <v>10</v>
      </c>
      <c r="O75" s="176"/>
      <c r="P75" s="176"/>
      <c r="Q75" s="176"/>
      <c r="R75" s="176"/>
      <c r="S75" s="176"/>
      <c r="T75" s="176"/>
      <c r="U75" s="176"/>
      <c r="V75" s="176"/>
      <c r="W75" s="176"/>
      <c r="X75" s="176"/>
      <c r="Y75" s="176"/>
      <c r="Z75" s="176"/>
    </row>
    <row r="76">
      <c r="A76" s="249" t="s">
        <v>5</v>
      </c>
      <c r="B76" s="249" t="s">
        <v>10</v>
      </c>
      <c r="C76" s="219" t="s">
        <v>500</v>
      </c>
      <c r="D76" s="268" t="s">
        <v>495</v>
      </c>
      <c r="E76" s="251">
        <v>44253.0</v>
      </c>
      <c r="F76" s="250" t="s">
        <v>496</v>
      </c>
      <c r="G76" s="171">
        <v>20.0</v>
      </c>
      <c r="H76" s="171">
        <v>100.0</v>
      </c>
      <c r="I76" s="171">
        <v>20.0</v>
      </c>
      <c r="J76" s="325">
        <f t="shared" si="2"/>
        <v>0.0004528511394</v>
      </c>
      <c r="K76" s="326">
        <f t="shared" si="6"/>
        <v>0.6490866332</v>
      </c>
      <c r="L76" s="327">
        <f t="shared" si="4"/>
        <v>27.81596939</v>
      </c>
      <c r="M76" s="321" t="str">
        <f t="shared" si="5"/>
        <v>cranders71</v>
      </c>
      <c r="N76" s="176">
        <f>IFERROR(__xludf.DUMMYFUNCTION("""COMPUTED_VALUE"""),11.0)</f>
        <v>11</v>
      </c>
      <c r="O76" s="176"/>
      <c r="P76" s="176"/>
      <c r="Q76" s="176"/>
      <c r="R76" s="176"/>
      <c r="S76" s="176"/>
      <c r="T76" s="176"/>
      <c r="U76" s="176"/>
      <c r="V76" s="176"/>
      <c r="W76" s="176"/>
      <c r="X76" s="176"/>
      <c r="Y76" s="176"/>
      <c r="Z76" s="176"/>
    </row>
    <row r="77">
      <c r="A77" s="249" t="s">
        <v>5</v>
      </c>
      <c r="B77" s="249" t="s">
        <v>10</v>
      </c>
      <c r="C77" s="219" t="s">
        <v>2181</v>
      </c>
      <c r="D77" s="268" t="s">
        <v>495</v>
      </c>
      <c r="E77" s="251">
        <v>44253.0</v>
      </c>
      <c r="F77" s="250" t="s">
        <v>499</v>
      </c>
      <c r="G77" s="171">
        <v>10.0</v>
      </c>
      <c r="H77" s="171">
        <v>40.0</v>
      </c>
      <c r="I77" s="171">
        <v>20.0</v>
      </c>
      <c r="J77" s="325">
        <f t="shared" si="2"/>
        <v>0.0002600240364</v>
      </c>
      <c r="K77" s="326">
        <f t="shared" si="6"/>
        <v>0.3727011189</v>
      </c>
      <c r="L77" s="327">
        <f t="shared" si="4"/>
        <v>27.81596939</v>
      </c>
      <c r="M77" s="321" t="str">
        <f t="shared" si="5"/>
        <v>cranders71</v>
      </c>
      <c r="N77" s="176">
        <f>IFERROR(__xludf.DUMMYFUNCTION("""COMPUTED_VALUE"""),12.0)</f>
        <v>12</v>
      </c>
      <c r="O77" s="176"/>
      <c r="P77" s="176"/>
      <c r="Q77" s="176"/>
      <c r="R77" s="176"/>
      <c r="S77" s="176"/>
      <c r="T77" s="176"/>
      <c r="U77" s="176"/>
      <c r="V77" s="176"/>
      <c r="W77" s="176"/>
      <c r="X77" s="176"/>
      <c r="Y77" s="176"/>
      <c r="Z77" s="176"/>
    </row>
    <row r="78">
      <c r="A78" s="249" t="s">
        <v>5</v>
      </c>
      <c r="B78" s="249" t="s">
        <v>10</v>
      </c>
      <c r="C78" s="219" t="s">
        <v>2206</v>
      </c>
      <c r="D78" s="268" t="s">
        <v>495</v>
      </c>
      <c r="E78" s="251">
        <v>44253.0</v>
      </c>
      <c r="F78" s="250" t="s">
        <v>496</v>
      </c>
      <c r="G78" s="171">
        <v>40.0</v>
      </c>
      <c r="H78" s="171">
        <v>20.0</v>
      </c>
      <c r="I78" s="171">
        <v>50.0</v>
      </c>
      <c r="J78" s="325">
        <f t="shared" si="2"/>
        <v>0.0004950340078</v>
      </c>
      <c r="K78" s="326">
        <f t="shared" si="6"/>
        <v>0.7095487446</v>
      </c>
      <c r="L78" s="327">
        <f t="shared" si="4"/>
        <v>27.81596939</v>
      </c>
      <c r="M78" s="321" t="str">
        <f t="shared" si="5"/>
        <v>cranders71</v>
      </c>
      <c r="N78" s="176">
        <f>IFERROR(__xludf.DUMMYFUNCTION("""COMPUTED_VALUE"""),13.0)</f>
        <v>13</v>
      </c>
      <c r="O78" s="176"/>
      <c r="P78" s="176"/>
      <c r="Q78" s="176"/>
      <c r="R78" s="176"/>
      <c r="S78" s="176"/>
      <c r="T78" s="176"/>
      <c r="U78" s="176"/>
      <c r="V78" s="176"/>
      <c r="W78" s="176"/>
      <c r="X78" s="176"/>
      <c r="Y78" s="176"/>
      <c r="Z78" s="176"/>
    </row>
    <row r="79">
      <c r="A79" s="267" t="s">
        <v>5</v>
      </c>
      <c r="B79" s="272" t="s">
        <v>2107</v>
      </c>
      <c r="C79" s="273" t="s">
        <v>2241</v>
      </c>
      <c r="D79" s="274" t="s">
        <v>499</v>
      </c>
      <c r="E79" s="328" t="s">
        <v>2242</v>
      </c>
      <c r="F79" s="274" t="s">
        <v>1646</v>
      </c>
      <c r="G79" s="171">
        <v>20.0</v>
      </c>
      <c r="H79" s="171">
        <v>30.0</v>
      </c>
      <c r="I79" s="171">
        <v>100.0</v>
      </c>
      <c r="J79" s="172">
        <f t="shared" si="2"/>
        <v>0.0007477722104</v>
      </c>
      <c r="K79" s="269">
        <f t="shared" si="6"/>
        <v>1.071806835</v>
      </c>
      <c r="L79" s="270">
        <f t="shared" si="4"/>
        <v>27.81596939</v>
      </c>
      <c r="M79" s="271" t="str">
        <f t="shared" si="5"/>
        <v>cranders71</v>
      </c>
      <c r="N79" s="176">
        <f>IFERROR(__xludf.DUMMYFUNCTION("""COMPUTED_VALUE"""),14.0)</f>
        <v>14</v>
      </c>
      <c r="O79" s="176"/>
      <c r="P79" s="176"/>
      <c r="Q79" s="176"/>
      <c r="R79" s="176"/>
      <c r="S79" s="176"/>
      <c r="T79" s="176"/>
      <c r="U79" s="176"/>
      <c r="V79" s="176"/>
      <c r="W79" s="176"/>
      <c r="X79" s="176"/>
      <c r="Y79" s="176"/>
      <c r="Z79" s="176"/>
    </row>
    <row r="80">
      <c r="A80" s="267" t="s">
        <v>5</v>
      </c>
      <c r="B80" s="272" t="s">
        <v>845</v>
      </c>
      <c r="C80" s="273" t="s">
        <v>2243</v>
      </c>
      <c r="D80" s="274" t="s">
        <v>499</v>
      </c>
      <c r="E80" s="328" t="s">
        <v>2242</v>
      </c>
      <c r="F80" s="274" t="s">
        <v>1646</v>
      </c>
      <c r="G80" s="171">
        <v>60.0</v>
      </c>
      <c r="H80" s="171">
        <v>100.0</v>
      </c>
      <c r="I80" s="171">
        <v>50.0</v>
      </c>
      <c r="J80" s="172">
        <f t="shared" si="2"/>
        <v>0.0007761548639</v>
      </c>
      <c r="K80" s="269">
        <f t="shared" si="6"/>
        <v>1.112488638</v>
      </c>
      <c r="L80" s="270">
        <f t="shared" si="4"/>
        <v>27.81596939</v>
      </c>
      <c r="M80" s="271" t="str">
        <f t="shared" si="5"/>
        <v>cranders71</v>
      </c>
      <c r="N80" s="176">
        <f>IFERROR(__xludf.DUMMYFUNCTION("""COMPUTED_VALUE"""),15.0)</f>
        <v>15</v>
      </c>
      <c r="O80" s="176"/>
      <c r="P80" s="176"/>
      <c r="Q80" s="176"/>
      <c r="R80" s="176"/>
      <c r="S80" s="176"/>
      <c r="T80" s="176"/>
      <c r="U80" s="176"/>
      <c r="V80" s="176"/>
      <c r="W80" s="176"/>
      <c r="X80" s="176"/>
      <c r="Y80" s="176"/>
      <c r="Z80" s="176"/>
    </row>
    <row r="81">
      <c r="A81" s="16" t="s">
        <v>47</v>
      </c>
      <c r="B81" s="272" t="s">
        <v>1702</v>
      </c>
      <c r="C81" s="273" t="s">
        <v>2244</v>
      </c>
      <c r="D81" s="274" t="s">
        <v>499</v>
      </c>
      <c r="E81" s="328" t="s">
        <v>2245</v>
      </c>
      <c r="F81" s="274" t="s">
        <v>1646</v>
      </c>
      <c r="G81" s="171">
        <v>1500.0</v>
      </c>
      <c r="H81" s="171">
        <v>2000.0</v>
      </c>
      <c r="I81" s="171">
        <v>200.0</v>
      </c>
      <c r="J81" s="172">
        <f t="shared" si="2"/>
        <v>0.01182536528</v>
      </c>
      <c r="K81" s="269">
        <f t="shared" si="6"/>
        <v>16.94969023</v>
      </c>
      <c r="L81" s="270">
        <f t="shared" si="4"/>
        <v>25.82045028</v>
      </c>
      <c r="M81" s="271" t="str">
        <f t="shared" si="5"/>
        <v>benjaminscholtz</v>
      </c>
      <c r="N81" s="176">
        <f>IFERROR(__xludf.DUMMYFUNCTION("""COMPUTED_VALUE"""),1.0)</f>
        <v>1</v>
      </c>
      <c r="O81" s="176"/>
      <c r="P81" s="176"/>
      <c r="Q81" s="176"/>
      <c r="R81" s="176"/>
      <c r="S81" s="176"/>
      <c r="T81" s="176"/>
      <c r="U81" s="176"/>
      <c r="V81" s="176"/>
      <c r="W81" s="176"/>
      <c r="X81" s="176"/>
      <c r="Y81" s="176"/>
      <c r="Z81" s="176"/>
    </row>
    <row r="82">
      <c r="A82" s="249" t="s">
        <v>47</v>
      </c>
      <c r="B82" s="249" t="s">
        <v>29</v>
      </c>
      <c r="C82" s="219" t="s">
        <v>2246</v>
      </c>
      <c r="D82" s="268" t="s">
        <v>495</v>
      </c>
      <c r="E82" s="251">
        <v>44243.0</v>
      </c>
      <c r="F82" s="250" t="s">
        <v>592</v>
      </c>
      <c r="G82" s="171">
        <v>200.0</v>
      </c>
      <c r="H82" s="171">
        <v>1000.0</v>
      </c>
      <c r="I82" s="171">
        <v>200.0</v>
      </c>
      <c r="J82" s="325">
        <f t="shared" si="2"/>
        <v>0.004528511394</v>
      </c>
      <c r="K82" s="326">
        <f t="shared" si="6"/>
        <v>6.490866332</v>
      </c>
      <c r="L82" s="327">
        <f t="shared" si="4"/>
        <v>25.82045028</v>
      </c>
      <c r="M82" s="321" t="str">
        <f t="shared" si="5"/>
        <v>benjaminscholtz</v>
      </c>
      <c r="N82" s="176">
        <f>IFERROR(__xludf.DUMMYFUNCTION("""COMPUTED_VALUE"""),2.0)</f>
        <v>2</v>
      </c>
      <c r="O82" s="176"/>
      <c r="P82" s="176"/>
      <c r="Q82" s="176"/>
      <c r="R82" s="176"/>
      <c r="S82" s="176"/>
      <c r="T82" s="176"/>
      <c r="U82" s="176"/>
      <c r="V82" s="176"/>
      <c r="W82" s="176"/>
      <c r="X82" s="176"/>
      <c r="Y82" s="176"/>
      <c r="Z82" s="176"/>
    </row>
    <row r="83">
      <c r="A83" s="249" t="s">
        <v>47</v>
      </c>
      <c r="B83" s="249" t="s">
        <v>10</v>
      </c>
      <c r="C83" s="219" t="s">
        <v>2247</v>
      </c>
      <c r="D83" s="268" t="s">
        <v>495</v>
      </c>
      <c r="E83" s="251">
        <v>44253.0</v>
      </c>
      <c r="F83" s="250" t="s">
        <v>496</v>
      </c>
      <c r="G83" s="171">
        <v>150.0</v>
      </c>
      <c r="H83" s="171">
        <v>200.0</v>
      </c>
      <c r="I83" s="171">
        <v>100.0</v>
      </c>
      <c r="J83" s="325">
        <f t="shared" si="2"/>
        <v>0.001660390962</v>
      </c>
      <c r="K83" s="326">
        <f t="shared" si="6"/>
        <v>2.379893712</v>
      </c>
      <c r="L83" s="327">
        <f t="shared" si="4"/>
        <v>25.82045028</v>
      </c>
      <c r="M83" s="321" t="str">
        <f t="shared" si="5"/>
        <v>benjaminscholtz</v>
      </c>
      <c r="N83" s="176">
        <f>IFERROR(__xludf.DUMMYFUNCTION("""COMPUTED_VALUE"""),3.0)</f>
        <v>3</v>
      </c>
      <c r="O83" s="176"/>
      <c r="P83" s="176"/>
      <c r="Q83" s="176"/>
      <c r="R83" s="176"/>
      <c r="S83" s="176"/>
      <c r="T83" s="176"/>
      <c r="U83" s="176"/>
      <c r="V83" s="176"/>
      <c r="W83" s="176"/>
      <c r="X83" s="176"/>
      <c r="Y83" s="176"/>
      <c r="Z83" s="176"/>
    </row>
    <row r="84">
      <c r="A84" s="240" t="s">
        <v>10</v>
      </c>
      <c r="B84" s="240" t="s">
        <v>534</v>
      </c>
      <c r="C84" s="221" t="s">
        <v>535</v>
      </c>
      <c r="D84" s="336"/>
      <c r="E84" s="255"/>
      <c r="F84" s="254"/>
      <c r="G84" s="222"/>
      <c r="H84" s="222"/>
      <c r="I84" s="222"/>
      <c r="J84" s="325">
        <f t="shared" si="2"/>
        <v>0</v>
      </c>
      <c r="K84" s="337">
        <f>51.589*-0.5</f>
        <v>-25.7945</v>
      </c>
      <c r="L84" s="327">
        <f t="shared" si="4"/>
        <v>25.80518089</v>
      </c>
      <c r="M84" s="321" t="str">
        <f t="shared" si="5"/>
        <v>iviangita</v>
      </c>
      <c r="N84" s="209">
        <f>IFERROR(__xludf.DUMMYFUNCTION("""COMPUTED_VALUE"""),1.0)</f>
        <v>1</v>
      </c>
      <c r="O84" s="209"/>
      <c r="P84" s="209"/>
      <c r="Q84" s="209"/>
      <c r="R84" s="209">
        <v>18.802169413641863</v>
      </c>
      <c r="S84" s="209"/>
      <c r="T84" s="209"/>
      <c r="U84" s="209"/>
      <c r="V84" s="209"/>
      <c r="W84" s="209"/>
      <c r="X84" s="209"/>
      <c r="Y84" s="176"/>
      <c r="Z84" s="176"/>
    </row>
    <row r="85">
      <c r="A85" s="249" t="s">
        <v>10</v>
      </c>
      <c r="B85" s="249" t="s">
        <v>925</v>
      </c>
      <c r="C85" s="219" t="s">
        <v>2248</v>
      </c>
      <c r="D85" s="268" t="s">
        <v>495</v>
      </c>
      <c r="E85" s="251">
        <v>44242.0</v>
      </c>
      <c r="F85" s="250" t="s">
        <v>496</v>
      </c>
      <c r="G85" s="171">
        <v>170.0</v>
      </c>
      <c r="H85" s="171">
        <v>100.0</v>
      </c>
      <c r="I85" s="171">
        <v>150.0</v>
      </c>
      <c r="J85" s="325">
        <f t="shared" si="2"/>
        <v>0.001769770763</v>
      </c>
      <c r="K85" s="326">
        <f t="shared" ref="K85:K161" si="7">J85*$J$1</f>
        <v>2.536671427</v>
      </c>
      <c r="L85" s="327">
        <f t="shared" si="4"/>
        <v>25.80518089</v>
      </c>
      <c r="M85" s="321" t="str">
        <f t="shared" si="5"/>
        <v>iviangita</v>
      </c>
      <c r="N85" s="176">
        <f>IFERROR(__xludf.DUMMYFUNCTION("""COMPUTED_VALUE"""),2.0)</f>
        <v>2</v>
      </c>
      <c r="O85" s="176"/>
      <c r="P85" s="176"/>
      <c r="Q85" s="176"/>
      <c r="R85" s="176"/>
      <c r="S85" s="176"/>
      <c r="T85" s="176"/>
      <c r="U85" s="176"/>
      <c r="V85" s="176"/>
      <c r="W85" s="176"/>
      <c r="X85" s="176"/>
      <c r="Y85" s="176"/>
      <c r="Z85" s="176"/>
    </row>
    <row r="86">
      <c r="A86" s="249" t="s">
        <v>10</v>
      </c>
      <c r="B86" s="249" t="s">
        <v>867</v>
      </c>
      <c r="C86" s="219" t="s">
        <v>2187</v>
      </c>
      <c r="D86" s="268" t="s">
        <v>495</v>
      </c>
      <c r="E86" s="251">
        <v>44242.0</v>
      </c>
      <c r="F86" s="250" t="s">
        <v>496</v>
      </c>
      <c r="G86" s="171">
        <v>60.0</v>
      </c>
      <c r="H86" s="171">
        <v>200.0</v>
      </c>
      <c r="I86" s="171">
        <v>100.0</v>
      </c>
      <c r="J86" s="325">
        <f t="shared" si="2"/>
        <v>0.00133614726</v>
      </c>
      <c r="K86" s="326">
        <f t="shared" si="7"/>
        <v>1.915144406</v>
      </c>
      <c r="L86" s="327">
        <f t="shared" si="4"/>
        <v>25.80518089</v>
      </c>
      <c r="M86" s="321" t="str">
        <f t="shared" si="5"/>
        <v>iviangita</v>
      </c>
      <c r="N86" s="176">
        <f>IFERROR(__xludf.DUMMYFUNCTION("""COMPUTED_VALUE"""),3.0)</f>
        <v>3</v>
      </c>
      <c r="O86" s="176"/>
      <c r="P86" s="176"/>
      <c r="Q86" s="176"/>
      <c r="R86" s="176"/>
      <c r="S86" s="176"/>
      <c r="T86" s="176"/>
      <c r="U86" s="176"/>
      <c r="V86" s="176"/>
      <c r="W86" s="176"/>
      <c r="X86" s="176"/>
      <c r="Y86" s="176"/>
      <c r="Z86" s="176"/>
    </row>
    <row r="87">
      <c r="A87" s="249" t="s">
        <v>10</v>
      </c>
      <c r="B87" s="249" t="s">
        <v>1228</v>
      </c>
      <c r="C87" s="219" t="s">
        <v>2188</v>
      </c>
      <c r="D87" s="268" t="s">
        <v>495</v>
      </c>
      <c r="E87" s="251">
        <v>44243.0</v>
      </c>
      <c r="F87" s="250" t="s">
        <v>496</v>
      </c>
      <c r="G87" s="171">
        <v>100.0</v>
      </c>
      <c r="H87" s="171">
        <v>400.0</v>
      </c>
      <c r="I87" s="171">
        <v>150.0</v>
      </c>
      <c r="J87" s="325">
        <f t="shared" si="2"/>
        <v>0.002301581343</v>
      </c>
      <c r="K87" s="326">
        <f t="shared" si="7"/>
        <v>3.298933258</v>
      </c>
      <c r="L87" s="327">
        <f t="shared" si="4"/>
        <v>25.80518089</v>
      </c>
      <c r="M87" s="321" t="str">
        <f t="shared" si="5"/>
        <v>iviangita</v>
      </c>
      <c r="N87" s="176">
        <f>IFERROR(__xludf.DUMMYFUNCTION("""COMPUTED_VALUE"""),4.0)</f>
        <v>4</v>
      </c>
      <c r="O87" s="176"/>
      <c r="P87" s="176"/>
      <c r="Q87" s="176"/>
      <c r="R87" s="176"/>
      <c r="S87" s="176"/>
      <c r="T87" s="176"/>
      <c r="U87" s="176"/>
      <c r="V87" s="176"/>
      <c r="W87" s="176"/>
      <c r="X87" s="176"/>
      <c r="Y87" s="176"/>
      <c r="Z87" s="176"/>
    </row>
    <row r="88">
      <c r="A88" s="249" t="s">
        <v>10</v>
      </c>
      <c r="B88" s="249" t="s">
        <v>10</v>
      </c>
      <c r="C88" s="219" t="s">
        <v>2249</v>
      </c>
      <c r="D88" s="268" t="s">
        <v>495</v>
      </c>
      <c r="E88" s="251">
        <v>44246.0</v>
      </c>
      <c r="F88" s="250" t="s">
        <v>496</v>
      </c>
      <c r="G88" s="171">
        <v>250.0</v>
      </c>
      <c r="H88" s="171">
        <v>1000.0</v>
      </c>
      <c r="I88" s="171">
        <v>150.0</v>
      </c>
      <c r="J88" s="325">
        <f t="shared" si="2"/>
        <v>0.004409987763</v>
      </c>
      <c r="K88" s="326">
        <f t="shared" si="7"/>
        <v>6.320982461</v>
      </c>
      <c r="L88" s="327">
        <f t="shared" si="4"/>
        <v>25.80518089</v>
      </c>
      <c r="M88" s="321" t="str">
        <f t="shared" si="5"/>
        <v>iviangita</v>
      </c>
      <c r="N88" s="176">
        <f>IFERROR(__xludf.DUMMYFUNCTION("""COMPUTED_VALUE"""),5.0)</f>
        <v>5</v>
      </c>
      <c r="O88" s="176"/>
      <c r="P88" s="176"/>
      <c r="Q88" s="176"/>
      <c r="R88" s="176"/>
      <c r="S88" s="176"/>
      <c r="T88" s="176"/>
      <c r="U88" s="176"/>
      <c r="V88" s="176"/>
      <c r="W88" s="176"/>
      <c r="X88" s="176"/>
      <c r="Y88" s="176"/>
      <c r="Z88" s="176"/>
    </row>
    <row r="89">
      <c r="A89" s="249" t="s">
        <v>10</v>
      </c>
      <c r="B89" s="249" t="s">
        <v>10</v>
      </c>
      <c r="C89" s="219" t="s">
        <v>2240</v>
      </c>
      <c r="D89" s="268" t="s">
        <v>495</v>
      </c>
      <c r="E89" s="251">
        <v>44246.0</v>
      </c>
      <c r="F89" s="250" t="s">
        <v>496</v>
      </c>
      <c r="G89" s="171">
        <v>300.0</v>
      </c>
      <c r="H89" s="171">
        <v>400.0</v>
      </c>
      <c r="I89" s="171">
        <v>150.0</v>
      </c>
      <c r="J89" s="325">
        <f t="shared" si="2"/>
        <v>0.003022122902</v>
      </c>
      <c r="K89" s="326">
        <f t="shared" si="7"/>
        <v>4.331709493</v>
      </c>
      <c r="L89" s="327">
        <f t="shared" si="4"/>
        <v>25.80518089</v>
      </c>
      <c r="M89" s="321" t="str">
        <f t="shared" si="5"/>
        <v>iviangita</v>
      </c>
      <c r="N89" s="176">
        <f>IFERROR(__xludf.DUMMYFUNCTION("""COMPUTED_VALUE"""),6.0)</f>
        <v>6</v>
      </c>
      <c r="O89" s="176"/>
      <c r="P89" s="176"/>
      <c r="Q89" s="176"/>
      <c r="R89" s="176"/>
      <c r="S89" s="176"/>
      <c r="T89" s="176"/>
      <c r="U89" s="176"/>
      <c r="V89" s="176"/>
      <c r="W89" s="176"/>
      <c r="X89" s="176"/>
      <c r="Y89" s="176"/>
      <c r="Z89" s="176"/>
    </row>
    <row r="90">
      <c r="A90" s="249" t="s">
        <v>10</v>
      </c>
      <c r="B90" s="249" t="s">
        <v>10</v>
      </c>
      <c r="C90" s="219" t="s">
        <v>2196</v>
      </c>
      <c r="D90" s="268" t="s">
        <v>495</v>
      </c>
      <c r="E90" s="251">
        <v>44246.0</v>
      </c>
      <c r="F90" s="250" t="s">
        <v>496</v>
      </c>
      <c r="G90" s="171">
        <v>120.0</v>
      </c>
      <c r="H90" s="171">
        <v>300.0</v>
      </c>
      <c r="I90" s="171">
        <v>100.0</v>
      </c>
      <c r="J90" s="325">
        <f t="shared" si="2"/>
        <v>0.001813643103</v>
      </c>
      <c r="K90" s="326">
        <f t="shared" si="7"/>
        <v>2.599555114</v>
      </c>
      <c r="L90" s="327">
        <f t="shared" si="4"/>
        <v>25.80518089</v>
      </c>
      <c r="M90" s="321" t="str">
        <f t="shared" si="5"/>
        <v>iviangita</v>
      </c>
      <c r="N90" s="176">
        <f>IFERROR(__xludf.DUMMYFUNCTION("""COMPUTED_VALUE"""),7.0)</f>
        <v>7</v>
      </c>
      <c r="O90" s="176"/>
      <c r="P90" s="176"/>
      <c r="Q90" s="176"/>
      <c r="R90" s="176"/>
      <c r="S90" s="176"/>
      <c r="T90" s="176"/>
      <c r="U90" s="176"/>
      <c r="V90" s="176"/>
      <c r="W90" s="176"/>
      <c r="X90" s="176"/>
      <c r="Y90" s="176"/>
      <c r="Z90" s="176"/>
    </row>
    <row r="91">
      <c r="A91" s="249" t="s">
        <v>10</v>
      </c>
      <c r="B91" s="249" t="s">
        <v>10</v>
      </c>
      <c r="C91" s="219" t="s">
        <v>2198</v>
      </c>
      <c r="D91" s="268" t="s">
        <v>495</v>
      </c>
      <c r="E91" s="251">
        <v>44246.0</v>
      </c>
      <c r="F91" s="250" t="s">
        <v>496</v>
      </c>
      <c r="G91" s="171">
        <v>50.0</v>
      </c>
      <c r="H91" s="171">
        <v>100.0</v>
      </c>
      <c r="I91" s="171">
        <v>80.0</v>
      </c>
      <c r="J91" s="325">
        <f t="shared" si="2"/>
        <v>0.0009193231985</v>
      </c>
      <c r="K91" s="326">
        <f t="shared" si="7"/>
        <v>1.317696585</v>
      </c>
      <c r="L91" s="327">
        <f t="shared" si="4"/>
        <v>25.80518089</v>
      </c>
      <c r="M91" s="321" t="str">
        <f t="shared" si="5"/>
        <v>iviangita</v>
      </c>
      <c r="N91" s="176">
        <f>IFERROR(__xludf.DUMMYFUNCTION("""COMPUTED_VALUE"""),8.0)</f>
        <v>8</v>
      </c>
      <c r="O91" s="176"/>
      <c r="P91" s="176"/>
      <c r="Q91" s="176"/>
      <c r="R91" s="176"/>
      <c r="S91" s="176"/>
      <c r="T91" s="176"/>
      <c r="U91" s="176"/>
      <c r="V91" s="176"/>
      <c r="W91" s="176"/>
      <c r="X91" s="176"/>
      <c r="Y91" s="176"/>
      <c r="Z91" s="176"/>
    </row>
    <row r="92">
      <c r="A92" s="249" t="s">
        <v>10</v>
      </c>
      <c r="B92" s="249" t="s">
        <v>867</v>
      </c>
      <c r="C92" s="219" t="s">
        <v>2199</v>
      </c>
      <c r="D92" s="268" t="s">
        <v>495</v>
      </c>
      <c r="E92" s="251">
        <v>44249.0</v>
      </c>
      <c r="F92" s="250" t="s">
        <v>496</v>
      </c>
      <c r="G92" s="171">
        <v>60.0</v>
      </c>
      <c r="H92" s="171">
        <v>200.0</v>
      </c>
      <c r="I92" s="171">
        <v>80.0</v>
      </c>
      <c r="J92" s="325">
        <f t="shared" si="2"/>
        <v>0.001216683652</v>
      </c>
      <c r="K92" s="326">
        <f t="shared" si="7"/>
        <v>1.743913234</v>
      </c>
      <c r="L92" s="327">
        <f t="shared" si="4"/>
        <v>25.80518089</v>
      </c>
      <c r="M92" s="321" t="str">
        <f t="shared" si="5"/>
        <v>iviangita</v>
      </c>
      <c r="N92" s="176">
        <f>IFERROR(__xludf.DUMMYFUNCTION("""COMPUTED_VALUE"""),9.0)</f>
        <v>9</v>
      </c>
      <c r="O92" s="176"/>
      <c r="P92" s="176"/>
      <c r="Q92" s="176"/>
      <c r="R92" s="176"/>
      <c r="S92" s="176"/>
      <c r="T92" s="176"/>
      <c r="U92" s="176"/>
      <c r="V92" s="176"/>
      <c r="W92" s="176"/>
      <c r="X92" s="176"/>
      <c r="Y92" s="176"/>
      <c r="Z92" s="176"/>
    </row>
    <row r="93">
      <c r="A93" s="249" t="s">
        <v>10</v>
      </c>
      <c r="B93" s="249" t="s">
        <v>845</v>
      </c>
      <c r="C93" s="219" t="s">
        <v>2250</v>
      </c>
      <c r="D93" s="268" t="s">
        <v>495</v>
      </c>
      <c r="E93" s="251">
        <v>44250.0</v>
      </c>
      <c r="F93" s="250" t="s">
        <v>499</v>
      </c>
      <c r="G93" s="171">
        <v>50.0</v>
      </c>
      <c r="H93" s="171">
        <v>400.0</v>
      </c>
      <c r="I93" s="171">
        <v>200.0</v>
      </c>
      <c r="J93" s="325">
        <f t="shared" si="2"/>
        <v>0.002420104974</v>
      </c>
      <c r="K93" s="326">
        <f t="shared" si="7"/>
        <v>3.46881713</v>
      </c>
      <c r="L93" s="327">
        <f t="shared" si="4"/>
        <v>25.80518089</v>
      </c>
      <c r="M93" s="321" t="str">
        <f t="shared" si="5"/>
        <v>iviangita</v>
      </c>
      <c r="N93" s="176">
        <f>IFERROR(__xludf.DUMMYFUNCTION("""COMPUTED_VALUE"""),10.0)</f>
        <v>10</v>
      </c>
      <c r="O93" s="176"/>
      <c r="P93" s="176"/>
      <c r="Q93" s="176"/>
      <c r="R93" s="176"/>
      <c r="S93" s="176"/>
      <c r="T93" s="176"/>
      <c r="U93" s="176"/>
      <c r="V93" s="176"/>
      <c r="W93" s="176"/>
      <c r="X93" s="176"/>
      <c r="Y93" s="176"/>
      <c r="Z93" s="176"/>
    </row>
    <row r="94">
      <c r="A94" s="249" t="s">
        <v>10</v>
      </c>
      <c r="B94" s="249" t="s">
        <v>867</v>
      </c>
      <c r="C94" s="219" t="s">
        <v>2251</v>
      </c>
      <c r="D94" s="268" t="s">
        <v>495</v>
      </c>
      <c r="E94" s="251">
        <v>44250.0</v>
      </c>
      <c r="F94" s="250" t="s">
        <v>496</v>
      </c>
      <c r="G94" s="171">
        <v>120.0</v>
      </c>
      <c r="H94" s="171">
        <v>300.0</v>
      </c>
      <c r="I94" s="171">
        <v>100.0</v>
      </c>
      <c r="J94" s="325">
        <f t="shared" si="2"/>
        <v>0.001813643103</v>
      </c>
      <c r="K94" s="326">
        <f t="shared" si="7"/>
        <v>2.599555114</v>
      </c>
      <c r="L94" s="327">
        <f t="shared" si="4"/>
        <v>25.80518089</v>
      </c>
      <c r="M94" s="321" t="str">
        <f t="shared" si="5"/>
        <v>iviangita</v>
      </c>
      <c r="N94" s="176">
        <f>IFERROR(__xludf.DUMMYFUNCTION("""COMPUTED_VALUE"""),11.0)</f>
        <v>11</v>
      </c>
      <c r="O94" s="176"/>
      <c r="P94" s="176"/>
      <c r="Q94" s="176"/>
      <c r="R94" s="176"/>
      <c r="S94" s="176"/>
      <c r="T94" s="176"/>
      <c r="U94" s="176"/>
      <c r="V94" s="176"/>
      <c r="W94" s="176"/>
      <c r="X94" s="176"/>
      <c r="Y94" s="176"/>
      <c r="Z94" s="176"/>
    </row>
    <row r="95">
      <c r="A95" s="249" t="s">
        <v>10</v>
      </c>
      <c r="B95" s="249" t="s">
        <v>590</v>
      </c>
      <c r="C95" s="219" t="s">
        <v>2202</v>
      </c>
      <c r="D95" s="268" t="s">
        <v>495</v>
      </c>
      <c r="E95" s="251">
        <v>44250.0</v>
      </c>
      <c r="F95" s="250" t="s">
        <v>496</v>
      </c>
      <c r="G95" s="171">
        <v>40.0</v>
      </c>
      <c r="H95" s="171">
        <v>50.0</v>
      </c>
      <c r="I95" s="171">
        <v>80.0</v>
      </c>
      <c r="J95" s="325">
        <f t="shared" si="2"/>
        <v>0.000752629433</v>
      </c>
      <c r="K95" s="326">
        <f t="shared" si="7"/>
        <v>1.078768854</v>
      </c>
      <c r="L95" s="327">
        <f t="shared" si="4"/>
        <v>25.80518089</v>
      </c>
      <c r="M95" s="321" t="str">
        <f t="shared" si="5"/>
        <v>iviangita</v>
      </c>
      <c r="N95" s="176">
        <f>IFERROR(__xludf.DUMMYFUNCTION("""COMPUTED_VALUE"""),12.0)</f>
        <v>12</v>
      </c>
      <c r="O95" s="176"/>
      <c r="P95" s="176"/>
      <c r="Q95" s="176"/>
      <c r="R95" s="176"/>
      <c r="S95" s="176"/>
      <c r="T95" s="176"/>
      <c r="U95" s="176"/>
      <c r="V95" s="176"/>
      <c r="W95" s="176"/>
      <c r="X95" s="176"/>
      <c r="Y95" s="176"/>
      <c r="Z95" s="176"/>
    </row>
    <row r="96">
      <c r="A96" s="249" t="s">
        <v>10</v>
      </c>
      <c r="B96" s="249" t="s">
        <v>25</v>
      </c>
      <c r="C96" s="219" t="s">
        <v>2252</v>
      </c>
      <c r="D96" s="268" t="s">
        <v>495</v>
      </c>
      <c r="E96" s="251">
        <v>44252.0</v>
      </c>
      <c r="F96" s="250" t="s">
        <v>496</v>
      </c>
      <c r="G96" s="171">
        <v>400.0</v>
      </c>
      <c r="H96" s="171">
        <v>300.0</v>
      </c>
      <c r="I96" s="171">
        <v>150.0</v>
      </c>
      <c r="J96" s="325">
        <f t="shared" si="2"/>
        <v>0.003121060306</v>
      </c>
      <c r="K96" s="326">
        <f t="shared" si="7"/>
        <v>4.473519773</v>
      </c>
      <c r="L96" s="327">
        <f t="shared" si="4"/>
        <v>25.80518089</v>
      </c>
      <c r="M96" s="321" t="str">
        <f t="shared" si="5"/>
        <v>iviangita</v>
      </c>
      <c r="N96" s="176">
        <f>IFERROR(__xludf.DUMMYFUNCTION("""COMPUTED_VALUE"""),13.0)</f>
        <v>13</v>
      </c>
      <c r="O96" s="176"/>
      <c r="P96" s="176"/>
      <c r="Q96" s="176"/>
      <c r="R96" s="176"/>
      <c r="S96" s="176"/>
      <c r="T96" s="176"/>
      <c r="U96" s="176"/>
      <c r="V96" s="176"/>
      <c r="W96" s="176"/>
      <c r="X96" s="176"/>
      <c r="Y96" s="176"/>
      <c r="Z96" s="176"/>
    </row>
    <row r="97">
      <c r="A97" s="249" t="s">
        <v>10</v>
      </c>
      <c r="B97" s="249" t="s">
        <v>10</v>
      </c>
      <c r="C97" s="219" t="s">
        <v>2203</v>
      </c>
      <c r="D97" s="268" t="s">
        <v>495</v>
      </c>
      <c r="E97" s="251">
        <v>44253.0</v>
      </c>
      <c r="F97" s="250" t="s">
        <v>496</v>
      </c>
      <c r="G97" s="171">
        <v>80.0</v>
      </c>
      <c r="H97" s="171">
        <v>200.0</v>
      </c>
      <c r="I97" s="171">
        <v>100.0</v>
      </c>
      <c r="J97" s="325">
        <f t="shared" si="2"/>
        <v>0.001408201416</v>
      </c>
      <c r="K97" s="326">
        <f t="shared" si="7"/>
        <v>2.018422029</v>
      </c>
      <c r="L97" s="327">
        <f t="shared" si="4"/>
        <v>25.80518089</v>
      </c>
      <c r="M97" s="321" t="str">
        <f t="shared" si="5"/>
        <v>iviangita</v>
      </c>
      <c r="N97" s="176">
        <f>IFERROR(__xludf.DUMMYFUNCTION("""COMPUTED_VALUE"""),14.0)</f>
        <v>14</v>
      </c>
      <c r="O97" s="176"/>
      <c r="P97" s="176"/>
      <c r="Q97" s="176"/>
      <c r="R97" s="176"/>
      <c r="S97" s="176"/>
      <c r="T97" s="176"/>
      <c r="U97" s="176"/>
      <c r="V97" s="176"/>
      <c r="W97" s="176"/>
      <c r="X97" s="176"/>
      <c r="Y97" s="176"/>
      <c r="Z97" s="176"/>
    </row>
    <row r="98">
      <c r="A98" s="249" t="s">
        <v>10</v>
      </c>
      <c r="B98" s="249" t="s">
        <v>10</v>
      </c>
      <c r="C98" s="219" t="s">
        <v>2204</v>
      </c>
      <c r="D98" s="268" t="s">
        <v>495</v>
      </c>
      <c r="E98" s="251">
        <v>44253.0</v>
      </c>
      <c r="F98" s="250" t="s">
        <v>496</v>
      </c>
      <c r="G98" s="171">
        <v>250.0</v>
      </c>
      <c r="H98" s="171">
        <v>200.0</v>
      </c>
      <c r="I98" s="171">
        <v>100.0</v>
      </c>
      <c r="J98" s="325">
        <f t="shared" si="2"/>
        <v>0.002020661741</v>
      </c>
      <c r="K98" s="326">
        <f t="shared" si="7"/>
        <v>2.896281829</v>
      </c>
      <c r="L98" s="327">
        <f t="shared" si="4"/>
        <v>25.80518089</v>
      </c>
      <c r="M98" s="321" t="str">
        <f t="shared" si="5"/>
        <v>iviangita</v>
      </c>
      <c r="N98" s="176">
        <f>IFERROR(__xludf.DUMMYFUNCTION("""COMPUTED_VALUE"""),15.0)</f>
        <v>15</v>
      </c>
      <c r="O98" s="176"/>
      <c r="P98" s="176"/>
      <c r="Q98" s="176"/>
      <c r="R98" s="176"/>
      <c r="S98" s="176"/>
      <c r="T98" s="176"/>
      <c r="U98" s="176"/>
      <c r="V98" s="176"/>
      <c r="W98" s="176"/>
      <c r="X98" s="176"/>
      <c r="Y98" s="176"/>
      <c r="Z98" s="176"/>
    </row>
    <row r="99">
      <c r="A99" s="249" t="s">
        <v>10</v>
      </c>
      <c r="B99" s="249" t="s">
        <v>10</v>
      </c>
      <c r="C99" s="219" t="s">
        <v>2208</v>
      </c>
      <c r="D99" s="268" t="s">
        <v>495</v>
      </c>
      <c r="E99" s="251">
        <v>44253.0</v>
      </c>
      <c r="F99" s="250" t="s">
        <v>496</v>
      </c>
      <c r="G99" s="171">
        <v>40.0</v>
      </c>
      <c r="H99" s="171">
        <v>100.0</v>
      </c>
      <c r="I99" s="171">
        <v>80.0</v>
      </c>
      <c r="J99" s="325">
        <f t="shared" si="2"/>
        <v>0.0008832961205</v>
      </c>
      <c r="K99" s="326">
        <f t="shared" si="7"/>
        <v>1.266057773</v>
      </c>
      <c r="L99" s="327">
        <f t="shared" si="4"/>
        <v>25.80518089</v>
      </c>
      <c r="M99" s="321" t="str">
        <f t="shared" si="5"/>
        <v>iviangita</v>
      </c>
      <c r="N99" s="176">
        <f>IFERROR(__xludf.DUMMYFUNCTION("""COMPUTED_VALUE"""),16.0)</f>
        <v>16</v>
      </c>
      <c r="O99" s="176"/>
      <c r="P99" s="176"/>
      <c r="Q99" s="176"/>
      <c r="R99" s="176"/>
      <c r="S99" s="176"/>
      <c r="T99" s="176"/>
      <c r="U99" s="176"/>
      <c r="V99" s="176"/>
      <c r="W99" s="176"/>
      <c r="X99" s="176"/>
      <c r="Y99" s="176"/>
      <c r="Z99" s="176"/>
    </row>
    <row r="100">
      <c r="A100" s="249" t="s">
        <v>10</v>
      </c>
      <c r="B100" s="249" t="s">
        <v>590</v>
      </c>
      <c r="C100" s="219" t="s">
        <v>2253</v>
      </c>
      <c r="D100" s="268" t="s">
        <v>495</v>
      </c>
      <c r="E100" s="251">
        <v>44253.0</v>
      </c>
      <c r="F100" s="250" t="s">
        <v>496</v>
      </c>
      <c r="G100" s="171">
        <v>450.0</v>
      </c>
      <c r="H100" s="171">
        <v>1000.0</v>
      </c>
      <c r="I100" s="171">
        <v>150.0</v>
      </c>
      <c r="J100" s="325">
        <f t="shared" si="2"/>
        <v>0.005130529322</v>
      </c>
      <c r="K100" s="326">
        <f t="shared" si="7"/>
        <v>7.353758695</v>
      </c>
      <c r="L100" s="327">
        <f t="shared" si="4"/>
        <v>25.80518089</v>
      </c>
      <c r="M100" s="321" t="str">
        <f t="shared" si="5"/>
        <v>iviangita</v>
      </c>
      <c r="N100" s="176">
        <f>IFERROR(__xludf.DUMMYFUNCTION("""COMPUTED_VALUE"""),17.0)</f>
        <v>17</v>
      </c>
      <c r="O100" s="176"/>
      <c r="P100" s="176"/>
      <c r="Q100" s="176"/>
      <c r="R100" s="176"/>
      <c r="S100" s="176"/>
      <c r="T100" s="176"/>
      <c r="U100" s="176"/>
      <c r="V100" s="176"/>
      <c r="W100" s="176"/>
      <c r="X100" s="176"/>
      <c r="Y100" s="176"/>
      <c r="Z100" s="176"/>
    </row>
    <row r="101">
      <c r="A101" s="267" t="s">
        <v>10</v>
      </c>
      <c r="B101" s="272" t="s">
        <v>1933</v>
      </c>
      <c r="C101" s="273" t="s">
        <v>2209</v>
      </c>
      <c r="D101" s="274" t="s">
        <v>437</v>
      </c>
      <c r="E101" s="328" t="s">
        <v>2210</v>
      </c>
      <c r="F101" s="274" t="s">
        <v>1929</v>
      </c>
      <c r="G101" s="171">
        <v>150.0</v>
      </c>
      <c r="H101" s="171">
        <v>200.0</v>
      </c>
      <c r="I101" s="171">
        <v>100.0</v>
      </c>
      <c r="J101" s="172">
        <f t="shared" si="2"/>
        <v>0.001660390962</v>
      </c>
      <c r="K101" s="269">
        <f t="shared" si="7"/>
        <v>2.379893712</v>
      </c>
      <c r="L101" s="270">
        <f t="shared" si="4"/>
        <v>25.80518089</v>
      </c>
      <c r="M101" s="271" t="str">
        <f t="shared" si="5"/>
        <v>iviangita</v>
      </c>
      <c r="N101" s="176">
        <f>IFERROR(__xludf.DUMMYFUNCTION("""COMPUTED_VALUE"""),18.0)</f>
        <v>18</v>
      </c>
      <c r="O101" s="176"/>
      <c r="P101" s="176"/>
      <c r="Q101" s="176"/>
      <c r="R101" s="176"/>
      <c r="S101" s="176"/>
      <c r="T101" s="176"/>
      <c r="U101" s="176"/>
      <c r="V101" s="176"/>
      <c r="W101" s="176"/>
      <c r="X101" s="176"/>
      <c r="Y101" s="176"/>
      <c r="Z101" s="176"/>
    </row>
    <row r="102">
      <c r="A102" s="249" t="s">
        <v>11</v>
      </c>
      <c r="B102" s="249" t="s">
        <v>18</v>
      </c>
      <c r="C102" s="219" t="s">
        <v>2211</v>
      </c>
      <c r="D102" s="268" t="s">
        <v>495</v>
      </c>
      <c r="E102" s="251">
        <v>44242.0</v>
      </c>
      <c r="F102" s="250" t="s">
        <v>496</v>
      </c>
      <c r="G102" s="171">
        <v>110.0</v>
      </c>
      <c r="H102" s="171">
        <v>500.0</v>
      </c>
      <c r="I102" s="171">
        <v>100.0</v>
      </c>
      <c r="J102" s="325">
        <f t="shared" si="2"/>
        <v>0.002300282775</v>
      </c>
      <c r="K102" s="326">
        <f t="shared" si="7"/>
        <v>3.297071978</v>
      </c>
      <c r="L102" s="327">
        <f t="shared" si="4"/>
        <v>24.81327975</v>
      </c>
      <c r="M102" s="321" t="str">
        <f t="shared" si="5"/>
        <v>mateodaza</v>
      </c>
      <c r="N102" s="176">
        <f>IFERROR(__xludf.DUMMYFUNCTION("""COMPUTED_VALUE"""),1.0)</f>
        <v>1</v>
      </c>
      <c r="O102" s="176"/>
      <c r="P102" s="176"/>
      <c r="Q102" s="176"/>
      <c r="R102" s="176"/>
      <c r="S102" s="176"/>
      <c r="T102" s="176"/>
      <c r="U102" s="176"/>
      <c r="V102" s="176"/>
      <c r="W102" s="176"/>
      <c r="X102" s="176"/>
      <c r="Y102" s="176"/>
      <c r="Z102" s="176"/>
    </row>
    <row r="103">
      <c r="A103" s="249" t="s">
        <v>11</v>
      </c>
      <c r="B103" s="249" t="s">
        <v>10</v>
      </c>
      <c r="C103" s="219" t="s">
        <v>2212</v>
      </c>
      <c r="D103" s="268" t="s">
        <v>495</v>
      </c>
      <c r="E103" s="251">
        <v>44246.0</v>
      </c>
      <c r="F103" s="250" t="s">
        <v>496</v>
      </c>
      <c r="G103" s="171">
        <v>550.0</v>
      </c>
      <c r="H103" s="171">
        <v>500.0</v>
      </c>
      <c r="I103" s="171">
        <v>200.0</v>
      </c>
      <c r="J103" s="325">
        <f t="shared" si="2"/>
        <v>0.004482792247</v>
      </c>
      <c r="K103" s="326">
        <f t="shared" si="7"/>
        <v>6.425335554</v>
      </c>
      <c r="L103" s="327">
        <f t="shared" si="4"/>
        <v>24.81327975</v>
      </c>
      <c r="M103" s="321" t="str">
        <f t="shared" si="5"/>
        <v>mateodaza</v>
      </c>
      <c r="N103" s="176">
        <f>IFERROR(__xludf.DUMMYFUNCTION("""COMPUTED_VALUE"""),2.0)</f>
        <v>2</v>
      </c>
      <c r="O103" s="176"/>
      <c r="P103" s="176"/>
      <c r="Q103" s="176"/>
      <c r="R103" s="176"/>
      <c r="S103" s="176"/>
      <c r="T103" s="176"/>
      <c r="U103" s="176"/>
      <c r="V103" s="176"/>
      <c r="W103" s="176"/>
      <c r="X103" s="176"/>
      <c r="Y103" s="176"/>
      <c r="Z103" s="176"/>
    </row>
    <row r="104">
      <c r="A104" s="249" t="s">
        <v>11</v>
      </c>
      <c r="B104" s="249" t="s">
        <v>10</v>
      </c>
      <c r="C104" s="219" t="s">
        <v>2254</v>
      </c>
      <c r="D104" s="268" t="s">
        <v>495</v>
      </c>
      <c r="E104" s="251">
        <v>44246.0</v>
      </c>
      <c r="F104" s="250" t="s">
        <v>496</v>
      </c>
      <c r="G104" s="171">
        <v>200.0</v>
      </c>
      <c r="H104" s="171">
        <v>600.0</v>
      </c>
      <c r="I104" s="171">
        <v>100.0</v>
      </c>
      <c r="J104" s="325">
        <f t="shared" si="2"/>
        <v>0.002885859852</v>
      </c>
      <c r="K104" s="326">
        <f t="shared" si="7"/>
        <v>4.136399121</v>
      </c>
      <c r="L104" s="327">
        <f t="shared" si="4"/>
        <v>24.81327975</v>
      </c>
      <c r="M104" s="321" t="str">
        <f t="shared" si="5"/>
        <v>mateodaza</v>
      </c>
      <c r="N104" s="176">
        <f>IFERROR(__xludf.DUMMYFUNCTION("""COMPUTED_VALUE"""),3.0)</f>
        <v>3</v>
      </c>
      <c r="O104" s="176"/>
      <c r="P104" s="176"/>
      <c r="Q104" s="176"/>
      <c r="R104" s="176"/>
      <c r="S104" s="176"/>
      <c r="T104" s="176"/>
      <c r="U104" s="176"/>
      <c r="V104" s="176"/>
      <c r="W104" s="176"/>
      <c r="X104" s="176"/>
      <c r="Y104" s="176"/>
      <c r="Z104" s="176"/>
    </row>
    <row r="105">
      <c r="A105" s="249" t="s">
        <v>11</v>
      </c>
      <c r="B105" s="249" t="s">
        <v>10</v>
      </c>
      <c r="C105" s="219" t="s">
        <v>2197</v>
      </c>
      <c r="D105" s="268" t="s">
        <v>495</v>
      </c>
      <c r="E105" s="251">
        <v>44246.0</v>
      </c>
      <c r="F105" s="250" t="s">
        <v>496</v>
      </c>
      <c r="G105" s="171">
        <v>40.0</v>
      </c>
      <c r="H105" s="171">
        <v>20.0</v>
      </c>
      <c r="I105" s="171">
        <v>50.0</v>
      </c>
      <c r="J105" s="325">
        <f t="shared" si="2"/>
        <v>0.0004950340078</v>
      </c>
      <c r="K105" s="326">
        <f t="shared" si="7"/>
        <v>0.7095487446</v>
      </c>
      <c r="L105" s="327">
        <f t="shared" si="4"/>
        <v>24.81327975</v>
      </c>
      <c r="M105" s="321" t="str">
        <f t="shared" si="5"/>
        <v>mateodaza</v>
      </c>
      <c r="N105" s="176">
        <f>IFERROR(__xludf.DUMMYFUNCTION("""COMPUTED_VALUE"""),4.0)</f>
        <v>4</v>
      </c>
      <c r="O105" s="176"/>
      <c r="P105" s="176"/>
      <c r="Q105" s="176"/>
      <c r="R105" s="176"/>
      <c r="S105" s="176"/>
      <c r="T105" s="176"/>
      <c r="U105" s="176"/>
      <c r="V105" s="176"/>
      <c r="W105" s="176"/>
      <c r="X105" s="176"/>
      <c r="Y105" s="176"/>
      <c r="Z105" s="176"/>
    </row>
    <row r="106">
      <c r="A106" s="249" t="s">
        <v>11</v>
      </c>
      <c r="B106" s="249" t="s">
        <v>18</v>
      </c>
      <c r="C106" s="219" t="s">
        <v>2201</v>
      </c>
      <c r="D106" s="268" t="s">
        <v>495</v>
      </c>
      <c r="E106" s="251">
        <v>44250.0</v>
      </c>
      <c r="F106" s="250" t="s">
        <v>496</v>
      </c>
      <c r="G106" s="171">
        <v>60.0</v>
      </c>
      <c r="H106" s="171">
        <v>100.0</v>
      </c>
      <c r="I106" s="171">
        <v>80.0</v>
      </c>
      <c r="J106" s="325">
        <f t="shared" si="2"/>
        <v>0.0009553502765</v>
      </c>
      <c r="K106" s="326">
        <f t="shared" si="7"/>
        <v>1.369335396</v>
      </c>
      <c r="L106" s="327">
        <f t="shared" si="4"/>
        <v>24.81327975</v>
      </c>
      <c r="M106" s="321" t="str">
        <f t="shared" si="5"/>
        <v>mateodaza</v>
      </c>
      <c r="N106" s="176">
        <f>IFERROR(__xludf.DUMMYFUNCTION("""COMPUTED_VALUE"""),5.0)</f>
        <v>5</v>
      </c>
      <c r="O106" s="176"/>
      <c r="P106" s="176"/>
      <c r="Q106" s="176"/>
      <c r="R106" s="176"/>
      <c r="S106" s="176"/>
      <c r="T106" s="176"/>
      <c r="U106" s="176"/>
      <c r="V106" s="176"/>
      <c r="W106" s="176"/>
      <c r="X106" s="176"/>
      <c r="Y106" s="176"/>
      <c r="Z106" s="176"/>
    </row>
    <row r="107">
      <c r="A107" s="249" t="s">
        <v>11</v>
      </c>
      <c r="B107" s="249" t="s">
        <v>10</v>
      </c>
      <c r="C107" s="219" t="s">
        <v>2214</v>
      </c>
      <c r="D107" s="268" t="s">
        <v>495</v>
      </c>
      <c r="E107" s="251">
        <v>44253.0</v>
      </c>
      <c r="F107" s="250" t="s">
        <v>496</v>
      </c>
      <c r="G107" s="171">
        <v>300.0</v>
      </c>
      <c r="H107" s="171">
        <v>500.0</v>
      </c>
      <c r="I107" s="171">
        <v>100.0</v>
      </c>
      <c r="J107" s="325">
        <f t="shared" si="2"/>
        <v>0.002984797256</v>
      </c>
      <c r="K107" s="326">
        <f t="shared" si="7"/>
        <v>4.278209401</v>
      </c>
      <c r="L107" s="327">
        <f t="shared" si="4"/>
        <v>24.81327975</v>
      </c>
      <c r="M107" s="321" t="str">
        <f t="shared" si="5"/>
        <v>mateodaza</v>
      </c>
      <c r="N107" s="176">
        <f>IFERROR(__xludf.DUMMYFUNCTION("""COMPUTED_VALUE"""),6.0)</f>
        <v>6</v>
      </c>
      <c r="O107" s="176"/>
      <c r="P107" s="176"/>
      <c r="Q107" s="176"/>
      <c r="R107" s="176"/>
      <c r="S107" s="176"/>
      <c r="T107" s="176"/>
      <c r="U107" s="176"/>
      <c r="V107" s="176"/>
      <c r="W107" s="176"/>
      <c r="X107" s="176"/>
      <c r="Y107" s="176"/>
      <c r="Z107" s="176"/>
    </row>
    <row r="108">
      <c r="A108" s="249" t="s">
        <v>11</v>
      </c>
      <c r="B108" s="249" t="s">
        <v>10</v>
      </c>
      <c r="C108" s="219" t="s">
        <v>2255</v>
      </c>
      <c r="D108" s="268" t="s">
        <v>495</v>
      </c>
      <c r="E108" s="251">
        <v>44253.0</v>
      </c>
      <c r="F108" s="250" t="s">
        <v>496</v>
      </c>
      <c r="G108" s="171">
        <v>120.0</v>
      </c>
      <c r="H108" s="171">
        <v>100.0</v>
      </c>
      <c r="I108" s="171">
        <v>80.0</v>
      </c>
      <c r="J108" s="325">
        <f t="shared" si="2"/>
        <v>0.001171512744</v>
      </c>
      <c r="K108" s="326">
        <f t="shared" si="7"/>
        <v>1.679168267</v>
      </c>
      <c r="L108" s="327">
        <f t="shared" si="4"/>
        <v>24.81327975</v>
      </c>
      <c r="M108" s="321" t="str">
        <f t="shared" si="5"/>
        <v>mateodaza</v>
      </c>
      <c r="N108" s="176">
        <f>IFERROR(__xludf.DUMMYFUNCTION("""COMPUTED_VALUE"""),7.0)</f>
        <v>7</v>
      </c>
      <c r="O108" s="176"/>
      <c r="P108" s="176"/>
      <c r="Q108" s="176"/>
      <c r="R108" s="176"/>
      <c r="S108" s="176"/>
      <c r="T108" s="176"/>
      <c r="U108" s="176"/>
      <c r="V108" s="176"/>
      <c r="W108" s="176"/>
      <c r="X108" s="176"/>
      <c r="Y108" s="176"/>
      <c r="Z108" s="176"/>
    </row>
    <row r="109">
      <c r="A109" s="249" t="s">
        <v>11</v>
      </c>
      <c r="B109" s="249" t="s">
        <v>10</v>
      </c>
      <c r="C109" s="219" t="s">
        <v>2247</v>
      </c>
      <c r="D109" s="268" t="s">
        <v>495</v>
      </c>
      <c r="E109" s="251">
        <v>44253.0</v>
      </c>
      <c r="F109" s="250" t="s">
        <v>496</v>
      </c>
      <c r="G109" s="171">
        <v>150.0</v>
      </c>
      <c r="H109" s="171">
        <v>200.0</v>
      </c>
      <c r="I109" s="171">
        <v>80.0</v>
      </c>
      <c r="J109" s="325">
        <f t="shared" si="2"/>
        <v>0.001540927353</v>
      </c>
      <c r="K109" s="326">
        <f t="shared" si="7"/>
        <v>2.20866254</v>
      </c>
      <c r="L109" s="327">
        <f t="shared" si="4"/>
        <v>24.81327975</v>
      </c>
      <c r="M109" s="321" t="str">
        <f t="shared" si="5"/>
        <v>mateodaza</v>
      </c>
      <c r="N109" s="176">
        <f>IFERROR(__xludf.DUMMYFUNCTION("""COMPUTED_VALUE"""),8.0)</f>
        <v>8</v>
      </c>
      <c r="O109" s="176"/>
      <c r="P109" s="176"/>
      <c r="Q109" s="176"/>
      <c r="R109" s="176"/>
      <c r="S109" s="176"/>
      <c r="T109" s="176"/>
      <c r="U109" s="176"/>
      <c r="V109" s="176"/>
      <c r="W109" s="176"/>
      <c r="X109" s="176"/>
      <c r="Y109" s="176"/>
      <c r="Z109" s="176"/>
    </row>
    <row r="110">
      <c r="A110" s="249" t="s">
        <v>11</v>
      </c>
      <c r="B110" s="249" t="s">
        <v>10</v>
      </c>
      <c r="C110" s="219" t="s">
        <v>2206</v>
      </c>
      <c r="D110" s="268" t="s">
        <v>495</v>
      </c>
      <c r="E110" s="251">
        <v>44253.0</v>
      </c>
      <c r="F110" s="250" t="s">
        <v>496</v>
      </c>
      <c r="G110" s="171">
        <v>40.0</v>
      </c>
      <c r="H110" s="171">
        <v>20.0</v>
      </c>
      <c r="I110" s="171">
        <v>50.0</v>
      </c>
      <c r="J110" s="325">
        <f t="shared" si="2"/>
        <v>0.0004950340078</v>
      </c>
      <c r="K110" s="326">
        <f t="shared" si="7"/>
        <v>0.7095487446</v>
      </c>
      <c r="L110" s="327">
        <f t="shared" si="4"/>
        <v>24.81327975</v>
      </c>
      <c r="M110" s="321" t="str">
        <f t="shared" si="5"/>
        <v>mateodaza</v>
      </c>
      <c r="N110" s="176">
        <f>IFERROR(__xludf.DUMMYFUNCTION("""COMPUTED_VALUE"""),9.0)</f>
        <v>9</v>
      </c>
      <c r="O110" s="176"/>
      <c r="P110" s="176"/>
      <c r="Q110" s="176"/>
      <c r="R110" s="176"/>
      <c r="S110" s="176"/>
      <c r="T110" s="176"/>
      <c r="U110" s="176"/>
      <c r="V110" s="176"/>
      <c r="W110" s="176"/>
      <c r="X110" s="176"/>
      <c r="Y110" s="176"/>
      <c r="Z110" s="176"/>
    </row>
    <row r="111">
      <c r="A111" s="249" t="s">
        <v>31</v>
      </c>
      <c r="B111" s="249" t="s">
        <v>845</v>
      </c>
      <c r="C111" s="219" t="s">
        <v>2256</v>
      </c>
      <c r="D111" s="268" t="s">
        <v>495</v>
      </c>
      <c r="E111" s="251">
        <v>44250.0</v>
      </c>
      <c r="F111" s="250" t="s">
        <v>499</v>
      </c>
      <c r="G111" s="171">
        <v>500.0</v>
      </c>
      <c r="H111" s="171">
        <v>4000.0</v>
      </c>
      <c r="I111" s="171">
        <v>150.0</v>
      </c>
      <c r="J111" s="325">
        <f t="shared" si="2"/>
        <v>0.01315066597</v>
      </c>
      <c r="K111" s="326">
        <f t="shared" si="7"/>
        <v>18.84928789</v>
      </c>
      <c r="L111" s="327">
        <f t="shared" si="4"/>
        <v>24.12411613</v>
      </c>
      <c r="M111" s="321" t="str">
        <f t="shared" si="5"/>
        <v>sponnet2</v>
      </c>
      <c r="N111" s="176">
        <f>IFERROR(__xludf.DUMMYFUNCTION("""COMPUTED_VALUE"""),1.0)</f>
        <v>1</v>
      </c>
      <c r="O111" s="176"/>
      <c r="P111" s="176"/>
      <c r="Q111" s="176"/>
      <c r="R111" s="176"/>
      <c r="S111" s="176"/>
      <c r="T111" s="176"/>
      <c r="U111" s="176"/>
      <c r="V111" s="176"/>
      <c r="W111" s="176"/>
      <c r="X111" s="176"/>
      <c r="Y111" s="176"/>
      <c r="Z111" s="176"/>
    </row>
    <row r="112">
      <c r="A112" s="249" t="s">
        <v>31</v>
      </c>
      <c r="B112" s="249" t="s">
        <v>10</v>
      </c>
      <c r="C112" s="219" t="s">
        <v>2257</v>
      </c>
      <c r="D112" s="268" t="s">
        <v>495</v>
      </c>
      <c r="E112" s="251">
        <v>44253.0</v>
      </c>
      <c r="F112" s="250" t="s">
        <v>496</v>
      </c>
      <c r="G112" s="171">
        <v>200.0</v>
      </c>
      <c r="H112" s="171">
        <v>200.0</v>
      </c>
      <c r="I112" s="171">
        <v>150.0</v>
      </c>
      <c r="J112" s="325">
        <f t="shared" si="2"/>
        <v>0.002139185372</v>
      </c>
      <c r="K112" s="326">
        <f t="shared" si="7"/>
        <v>3.0661657</v>
      </c>
      <c r="L112" s="327">
        <f t="shared" si="4"/>
        <v>24.12411613</v>
      </c>
      <c r="M112" s="321" t="str">
        <f t="shared" si="5"/>
        <v>sponnet2</v>
      </c>
      <c r="N112" s="176">
        <f>IFERROR(__xludf.DUMMYFUNCTION("""COMPUTED_VALUE"""),2.0)</f>
        <v>2</v>
      </c>
      <c r="O112" s="176"/>
      <c r="P112" s="176"/>
      <c r="Q112" s="176"/>
      <c r="R112" s="176"/>
      <c r="S112" s="176"/>
      <c r="T112" s="176"/>
      <c r="U112" s="176"/>
      <c r="V112" s="176"/>
      <c r="W112" s="176"/>
      <c r="X112" s="176"/>
      <c r="Y112" s="176"/>
      <c r="Z112" s="176"/>
    </row>
    <row r="113">
      <c r="A113" s="249" t="s">
        <v>31</v>
      </c>
      <c r="B113" s="249" t="s">
        <v>10</v>
      </c>
      <c r="C113" s="219" t="s">
        <v>2247</v>
      </c>
      <c r="D113" s="268" t="s">
        <v>495</v>
      </c>
      <c r="E113" s="251">
        <v>44253.0</v>
      </c>
      <c r="F113" s="250" t="s">
        <v>496</v>
      </c>
      <c r="G113" s="171">
        <v>150.0</v>
      </c>
      <c r="H113" s="171">
        <v>200.0</v>
      </c>
      <c r="I113" s="171">
        <v>80.0</v>
      </c>
      <c r="J113" s="325">
        <f t="shared" si="2"/>
        <v>0.001540927353</v>
      </c>
      <c r="K113" s="326">
        <f t="shared" si="7"/>
        <v>2.20866254</v>
      </c>
      <c r="L113" s="327">
        <f t="shared" si="4"/>
        <v>24.12411613</v>
      </c>
      <c r="M113" s="321" t="str">
        <f t="shared" si="5"/>
        <v>sponnet2</v>
      </c>
      <c r="N113" s="176">
        <f>IFERROR(__xludf.DUMMYFUNCTION("""COMPUTED_VALUE"""),3.0)</f>
        <v>3</v>
      </c>
      <c r="O113" s="176"/>
      <c r="P113" s="176"/>
      <c r="Q113" s="176"/>
      <c r="R113" s="176"/>
      <c r="S113" s="176"/>
      <c r="T113" s="176"/>
      <c r="U113" s="176"/>
      <c r="V113" s="176"/>
      <c r="W113" s="176"/>
      <c r="X113" s="176"/>
      <c r="Y113" s="176"/>
      <c r="Z113" s="176"/>
    </row>
    <row r="114">
      <c r="A114" s="272" t="s">
        <v>2258</v>
      </c>
      <c r="B114" s="272" t="s">
        <v>2107</v>
      </c>
      <c r="C114" s="273" t="s">
        <v>2259</v>
      </c>
      <c r="D114" s="274" t="s">
        <v>437</v>
      </c>
      <c r="E114" s="328" t="s">
        <v>2216</v>
      </c>
      <c r="F114" s="274" t="s">
        <v>2129</v>
      </c>
      <c r="G114" s="171">
        <v>120.0</v>
      </c>
      <c r="H114" s="171">
        <v>100.0</v>
      </c>
      <c r="I114" s="171">
        <v>100.0</v>
      </c>
      <c r="J114" s="172">
        <f t="shared" si="2"/>
        <v>0.001290976353</v>
      </c>
      <c r="K114" s="269">
        <f t="shared" si="7"/>
        <v>1.850399439</v>
      </c>
      <c r="L114" s="270">
        <f t="shared" si="4"/>
        <v>21.99425075</v>
      </c>
      <c r="M114" s="271" t="str">
        <f t="shared" si="5"/>
        <v>@rdfbbx#6437</v>
      </c>
      <c r="N114" s="176">
        <f>IFERROR(__xludf.DUMMYFUNCTION("""COMPUTED_VALUE"""),1.0)</f>
        <v>1</v>
      </c>
      <c r="O114" s="176"/>
      <c r="P114" s="176"/>
      <c r="Q114" s="176"/>
      <c r="R114" s="176"/>
      <c r="S114" s="176"/>
      <c r="T114" s="176"/>
      <c r="U114" s="176"/>
      <c r="V114" s="176"/>
      <c r="W114" s="176"/>
      <c r="X114" s="176"/>
      <c r="Y114" s="176"/>
      <c r="Z114" s="176"/>
    </row>
    <row r="115">
      <c r="A115" s="272" t="s">
        <v>2258</v>
      </c>
      <c r="B115" s="272" t="s">
        <v>2107</v>
      </c>
      <c r="C115" s="273" t="s">
        <v>2215</v>
      </c>
      <c r="D115" s="274" t="s">
        <v>437</v>
      </c>
      <c r="E115" s="328" t="s">
        <v>2216</v>
      </c>
      <c r="F115" s="274" t="s">
        <v>2129</v>
      </c>
      <c r="G115" s="171">
        <v>100.0</v>
      </c>
      <c r="H115" s="171">
        <v>100.0</v>
      </c>
      <c r="I115" s="171">
        <v>100.0</v>
      </c>
      <c r="J115" s="172">
        <f t="shared" si="2"/>
        <v>0.001218922197</v>
      </c>
      <c r="K115" s="269">
        <f t="shared" si="7"/>
        <v>1.747121815</v>
      </c>
      <c r="L115" s="270">
        <f t="shared" si="4"/>
        <v>21.99425075</v>
      </c>
      <c r="M115" s="271" t="str">
        <f t="shared" si="5"/>
        <v>@rdfbbx#6437</v>
      </c>
      <c r="N115" s="176">
        <f>IFERROR(__xludf.DUMMYFUNCTION("""COMPUTED_VALUE"""),2.0)</f>
        <v>2</v>
      </c>
      <c r="O115" s="176"/>
      <c r="P115" s="176"/>
      <c r="Q115" s="176"/>
      <c r="R115" s="176"/>
      <c r="S115" s="176"/>
      <c r="T115" s="176"/>
      <c r="U115" s="176"/>
      <c r="V115" s="176"/>
      <c r="W115" s="176"/>
      <c r="X115" s="176"/>
      <c r="Y115" s="176"/>
      <c r="Z115" s="176"/>
    </row>
    <row r="116">
      <c r="A116" s="253" t="s">
        <v>2258</v>
      </c>
      <c r="B116" s="253" t="s">
        <v>2035</v>
      </c>
      <c r="C116" s="318" t="s">
        <v>2260</v>
      </c>
      <c r="D116" s="319" t="s">
        <v>437</v>
      </c>
      <c r="E116" s="334" t="s">
        <v>2218</v>
      </c>
      <c r="F116" s="319" t="s">
        <v>2129</v>
      </c>
      <c r="G116" s="312"/>
      <c r="H116" s="312"/>
      <c r="I116" s="312"/>
      <c r="J116" s="172">
        <f t="shared" si="2"/>
        <v>0</v>
      </c>
      <c r="K116" s="269">
        <f t="shared" si="7"/>
        <v>0</v>
      </c>
      <c r="L116" s="270">
        <f t="shared" si="4"/>
        <v>21.99425075</v>
      </c>
      <c r="M116" s="271" t="str">
        <f t="shared" si="5"/>
        <v>@rdfbbx#6437</v>
      </c>
      <c r="N116" s="209">
        <f>IFERROR(__xludf.DUMMYFUNCTION("""COMPUTED_VALUE"""),3.0)</f>
        <v>3</v>
      </c>
      <c r="O116" s="209"/>
      <c r="P116" s="209"/>
      <c r="Q116" s="209"/>
      <c r="R116" s="209"/>
      <c r="S116" s="209"/>
      <c r="T116" s="209"/>
      <c r="U116" s="209"/>
      <c r="V116" s="209"/>
      <c r="W116" s="209"/>
      <c r="X116" s="209"/>
      <c r="Y116" s="209"/>
      <c r="Z116" s="209"/>
    </row>
    <row r="117">
      <c r="A117" s="272" t="s">
        <v>2258</v>
      </c>
      <c r="B117" s="272" t="s">
        <v>2035</v>
      </c>
      <c r="C117" s="273" t="s">
        <v>2261</v>
      </c>
      <c r="D117" s="274" t="s">
        <v>499</v>
      </c>
      <c r="E117" s="328" t="s">
        <v>2262</v>
      </c>
      <c r="F117" s="274" t="s">
        <v>1646</v>
      </c>
      <c r="G117" s="171">
        <v>150.0</v>
      </c>
      <c r="H117" s="171">
        <v>200.0</v>
      </c>
      <c r="I117" s="171">
        <v>100.0</v>
      </c>
      <c r="J117" s="172">
        <f t="shared" si="2"/>
        <v>0.001660390962</v>
      </c>
      <c r="K117" s="269">
        <f t="shared" si="7"/>
        <v>2.379893712</v>
      </c>
      <c r="L117" s="270">
        <f t="shared" si="4"/>
        <v>21.99425075</v>
      </c>
      <c r="M117" s="271" t="str">
        <f t="shared" si="5"/>
        <v>@rdfbbx#6437</v>
      </c>
      <c r="N117" s="176">
        <f>IFERROR(__xludf.DUMMYFUNCTION("""COMPUTED_VALUE"""),4.0)</f>
        <v>4</v>
      </c>
      <c r="O117" s="176"/>
      <c r="P117" s="176"/>
      <c r="Q117" s="176"/>
      <c r="R117" s="176"/>
      <c r="S117" s="176"/>
      <c r="T117" s="176"/>
      <c r="U117" s="176"/>
      <c r="V117" s="176"/>
      <c r="W117" s="176"/>
      <c r="X117" s="176"/>
      <c r="Y117" s="176"/>
      <c r="Z117" s="176"/>
    </row>
    <row r="118">
      <c r="A118" s="253" t="s">
        <v>2258</v>
      </c>
      <c r="B118" s="253" t="s">
        <v>2035</v>
      </c>
      <c r="C118" s="318" t="s">
        <v>2263</v>
      </c>
      <c r="D118" s="319" t="s">
        <v>437</v>
      </c>
      <c r="E118" s="334" t="s">
        <v>2262</v>
      </c>
      <c r="F118" s="319" t="s">
        <v>453</v>
      </c>
      <c r="G118" s="312"/>
      <c r="H118" s="312"/>
      <c r="I118" s="312"/>
      <c r="J118" s="172">
        <f t="shared" si="2"/>
        <v>0</v>
      </c>
      <c r="K118" s="269">
        <f t="shared" si="7"/>
        <v>0</v>
      </c>
      <c r="L118" s="270">
        <f t="shared" si="4"/>
        <v>21.99425075</v>
      </c>
      <c r="M118" s="271" t="str">
        <f t="shared" si="5"/>
        <v>@rdfbbx#6437</v>
      </c>
      <c r="N118" s="209">
        <f>IFERROR(__xludf.DUMMYFUNCTION("""COMPUTED_VALUE"""),5.0)</f>
        <v>5</v>
      </c>
      <c r="O118" s="209"/>
      <c r="P118" s="209"/>
      <c r="Q118" s="209"/>
      <c r="R118" s="209"/>
      <c r="S118" s="209"/>
      <c r="T118" s="209"/>
      <c r="U118" s="209"/>
      <c r="V118" s="209"/>
      <c r="W118" s="209"/>
      <c r="X118" s="209"/>
      <c r="Y118" s="209"/>
      <c r="Z118" s="209"/>
    </row>
    <row r="119">
      <c r="A119" s="253" t="s">
        <v>2258</v>
      </c>
      <c r="B119" s="253" t="s">
        <v>2035</v>
      </c>
      <c r="C119" s="318" t="s">
        <v>2260</v>
      </c>
      <c r="D119" s="319" t="s">
        <v>437</v>
      </c>
      <c r="E119" s="334" t="s">
        <v>2262</v>
      </c>
      <c r="F119" s="319" t="s">
        <v>1929</v>
      </c>
      <c r="G119" s="312"/>
      <c r="H119" s="312"/>
      <c r="I119" s="312"/>
      <c r="J119" s="172">
        <f t="shared" si="2"/>
        <v>0</v>
      </c>
      <c r="K119" s="269">
        <f t="shared" si="7"/>
        <v>0</v>
      </c>
      <c r="L119" s="270">
        <f t="shared" si="4"/>
        <v>21.99425075</v>
      </c>
      <c r="M119" s="271" t="str">
        <f t="shared" si="5"/>
        <v>@rdfbbx#6437</v>
      </c>
      <c r="N119" s="209">
        <f>IFERROR(__xludf.DUMMYFUNCTION("""COMPUTED_VALUE"""),6.0)</f>
        <v>6</v>
      </c>
      <c r="O119" s="209"/>
      <c r="P119" s="209"/>
      <c r="Q119" s="209"/>
      <c r="R119" s="209"/>
      <c r="S119" s="209"/>
      <c r="T119" s="209"/>
      <c r="U119" s="209"/>
      <c r="V119" s="209"/>
      <c r="W119" s="209"/>
      <c r="X119" s="209"/>
      <c r="Y119" s="209"/>
      <c r="Z119" s="209"/>
    </row>
    <row r="120">
      <c r="A120" s="253" t="s">
        <v>2258</v>
      </c>
      <c r="B120" s="253" t="s">
        <v>2035</v>
      </c>
      <c r="C120" s="318" t="s">
        <v>2260</v>
      </c>
      <c r="D120" s="319" t="s">
        <v>499</v>
      </c>
      <c r="E120" s="334" t="s">
        <v>2262</v>
      </c>
      <c r="F120" s="319" t="s">
        <v>1646</v>
      </c>
      <c r="G120" s="312"/>
      <c r="H120" s="312"/>
      <c r="I120" s="312"/>
      <c r="J120" s="172">
        <f t="shared" si="2"/>
        <v>0</v>
      </c>
      <c r="K120" s="269">
        <f t="shared" si="7"/>
        <v>0</v>
      </c>
      <c r="L120" s="270">
        <f t="shared" si="4"/>
        <v>21.99425075</v>
      </c>
      <c r="M120" s="271" t="str">
        <f t="shared" si="5"/>
        <v>@rdfbbx#6437</v>
      </c>
      <c r="N120" s="209">
        <f>IFERROR(__xludf.DUMMYFUNCTION("""COMPUTED_VALUE"""),7.0)</f>
        <v>7</v>
      </c>
      <c r="O120" s="209"/>
      <c r="P120" s="209"/>
      <c r="Q120" s="209"/>
      <c r="R120" s="209"/>
      <c r="S120" s="209"/>
      <c r="T120" s="209"/>
      <c r="U120" s="209"/>
      <c r="V120" s="209"/>
      <c r="W120" s="209"/>
      <c r="X120" s="209"/>
      <c r="Y120" s="209"/>
      <c r="Z120" s="209"/>
    </row>
    <row r="121">
      <c r="A121" s="253" t="s">
        <v>2258</v>
      </c>
      <c r="B121" s="253" t="s">
        <v>2035</v>
      </c>
      <c r="C121" s="318" t="s">
        <v>2260</v>
      </c>
      <c r="D121" s="319" t="s">
        <v>437</v>
      </c>
      <c r="E121" s="334" t="s">
        <v>2262</v>
      </c>
      <c r="F121" s="319" t="s">
        <v>1929</v>
      </c>
      <c r="G121" s="312"/>
      <c r="H121" s="312"/>
      <c r="I121" s="312"/>
      <c r="J121" s="172">
        <f t="shared" si="2"/>
        <v>0</v>
      </c>
      <c r="K121" s="269">
        <f t="shared" si="7"/>
        <v>0</v>
      </c>
      <c r="L121" s="270">
        <f t="shared" si="4"/>
        <v>21.99425075</v>
      </c>
      <c r="M121" s="271" t="str">
        <f t="shared" si="5"/>
        <v>@rdfbbx#6437</v>
      </c>
      <c r="N121" s="209">
        <f>IFERROR(__xludf.DUMMYFUNCTION("""COMPUTED_VALUE"""),8.0)</f>
        <v>8</v>
      </c>
      <c r="O121" s="209"/>
      <c r="P121" s="209"/>
      <c r="Q121" s="209"/>
      <c r="R121" s="209"/>
      <c r="S121" s="209"/>
      <c r="T121" s="209"/>
      <c r="U121" s="209"/>
      <c r="V121" s="209"/>
      <c r="W121" s="209"/>
      <c r="X121" s="209"/>
      <c r="Y121" s="209"/>
      <c r="Z121" s="209"/>
    </row>
    <row r="122">
      <c r="A122" s="253" t="s">
        <v>2258</v>
      </c>
      <c r="B122" s="253" t="s">
        <v>2035</v>
      </c>
      <c r="C122" s="318" t="s">
        <v>2260</v>
      </c>
      <c r="D122" s="319" t="s">
        <v>437</v>
      </c>
      <c r="E122" s="334" t="s">
        <v>2262</v>
      </c>
      <c r="F122" s="319" t="s">
        <v>1929</v>
      </c>
      <c r="G122" s="312"/>
      <c r="H122" s="312"/>
      <c r="I122" s="312"/>
      <c r="J122" s="172">
        <f t="shared" si="2"/>
        <v>0</v>
      </c>
      <c r="K122" s="269">
        <f t="shared" si="7"/>
        <v>0</v>
      </c>
      <c r="L122" s="270">
        <f t="shared" si="4"/>
        <v>21.99425075</v>
      </c>
      <c r="M122" s="271" t="str">
        <f t="shared" si="5"/>
        <v>@rdfbbx#6437</v>
      </c>
      <c r="N122" s="209">
        <f>IFERROR(__xludf.DUMMYFUNCTION("""COMPUTED_VALUE"""),9.0)</f>
        <v>9</v>
      </c>
      <c r="O122" s="209"/>
      <c r="P122" s="209"/>
      <c r="Q122" s="209"/>
      <c r="R122" s="209"/>
      <c r="S122" s="209"/>
      <c r="T122" s="209"/>
      <c r="U122" s="209"/>
      <c r="V122" s="209"/>
      <c r="W122" s="209"/>
      <c r="X122" s="209"/>
      <c r="Y122" s="209"/>
      <c r="Z122" s="209"/>
    </row>
    <row r="123">
      <c r="A123" s="253" t="s">
        <v>2258</v>
      </c>
      <c r="B123" s="253" t="s">
        <v>2107</v>
      </c>
      <c r="C123" s="318" t="s">
        <v>2264</v>
      </c>
      <c r="D123" s="319" t="s">
        <v>499</v>
      </c>
      <c r="E123" s="334" t="s">
        <v>2262</v>
      </c>
      <c r="F123" s="319" t="s">
        <v>1646</v>
      </c>
      <c r="G123" s="312"/>
      <c r="H123" s="312"/>
      <c r="I123" s="312"/>
      <c r="J123" s="172">
        <f t="shared" si="2"/>
        <v>0</v>
      </c>
      <c r="K123" s="269">
        <f t="shared" si="7"/>
        <v>0</v>
      </c>
      <c r="L123" s="270">
        <f t="shared" si="4"/>
        <v>21.99425075</v>
      </c>
      <c r="M123" s="271" t="str">
        <f t="shared" si="5"/>
        <v>@rdfbbx#6437</v>
      </c>
      <c r="N123" s="209">
        <f>IFERROR(__xludf.DUMMYFUNCTION("""COMPUTED_VALUE"""),10.0)</f>
        <v>10</v>
      </c>
      <c r="O123" s="209"/>
      <c r="P123" s="209"/>
      <c r="Q123" s="209"/>
      <c r="R123" s="209"/>
      <c r="S123" s="209"/>
      <c r="T123" s="209"/>
      <c r="U123" s="209"/>
      <c r="V123" s="209"/>
      <c r="W123" s="209"/>
      <c r="X123" s="209"/>
      <c r="Y123" s="209"/>
      <c r="Z123" s="209"/>
    </row>
    <row r="124">
      <c r="A124" s="253" t="s">
        <v>2258</v>
      </c>
      <c r="B124" s="253" t="s">
        <v>2035</v>
      </c>
      <c r="C124" s="318" t="s">
        <v>2265</v>
      </c>
      <c r="D124" s="319" t="s">
        <v>499</v>
      </c>
      <c r="E124" s="334" t="s">
        <v>2266</v>
      </c>
      <c r="F124" s="319" t="s">
        <v>1646</v>
      </c>
      <c r="G124" s="312"/>
      <c r="H124" s="312"/>
      <c r="I124" s="312"/>
      <c r="J124" s="172">
        <f t="shared" si="2"/>
        <v>0</v>
      </c>
      <c r="K124" s="269">
        <f t="shared" si="7"/>
        <v>0</v>
      </c>
      <c r="L124" s="270">
        <f t="shared" si="4"/>
        <v>21.99425075</v>
      </c>
      <c r="M124" s="271" t="str">
        <f t="shared" si="5"/>
        <v>@rdfbbx#6437</v>
      </c>
      <c r="N124" s="209">
        <f>IFERROR(__xludf.DUMMYFUNCTION("""COMPUTED_VALUE"""),11.0)</f>
        <v>11</v>
      </c>
      <c r="O124" s="209"/>
      <c r="P124" s="209"/>
      <c r="Q124" s="209"/>
      <c r="R124" s="209"/>
      <c r="S124" s="209"/>
      <c r="T124" s="209"/>
      <c r="U124" s="209"/>
      <c r="V124" s="209"/>
      <c r="W124" s="209"/>
      <c r="X124" s="209"/>
      <c r="Y124" s="209"/>
      <c r="Z124" s="209"/>
    </row>
    <row r="125">
      <c r="A125" s="272" t="s">
        <v>2258</v>
      </c>
      <c r="B125" s="272" t="s">
        <v>2035</v>
      </c>
      <c r="C125" s="273" t="s">
        <v>2267</v>
      </c>
      <c r="D125" s="274" t="s">
        <v>499</v>
      </c>
      <c r="E125" s="328" t="s">
        <v>2266</v>
      </c>
      <c r="F125" s="274" t="s">
        <v>1646</v>
      </c>
      <c r="G125" s="171">
        <v>10.0</v>
      </c>
      <c r="H125" s="171">
        <v>10.0</v>
      </c>
      <c r="I125" s="171">
        <v>15.0</v>
      </c>
      <c r="J125" s="172">
        <f t="shared" si="2"/>
        <v>0.0001517581218</v>
      </c>
      <c r="K125" s="269">
        <f t="shared" si="7"/>
        <v>0.2175199745</v>
      </c>
      <c r="L125" s="270">
        <f t="shared" si="4"/>
        <v>21.99425075</v>
      </c>
      <c r="M125" s="271" t="str">
        <f t="shared" si="5"/>
        <v>@rdfbbx#6437</v>
      </c>
      <c r="N125" s="176">
        <f>IFERROR(__xludf.DUMMYFUNCTION("""COMPUTED_VALUE"""),12.0)</f>
        <v>12</v>
      </c>
      <c r="O125" s="176"/>
      <c r="P125" s="176"/>
      <c r="Q125" s="176"/>
      <c r="R125" s="176"/>
      <c r="S125" s="176"/>
      <c r="T125" s="176"/>
      <c r="U125" s="176"/>
      <c r="V125" s="176"/>
      <c r="W125" s="176"/>
      <c r="X125" s="176"/>
      <c r="Y125" s="176"/>
      <c r="Z125" s="176"/>
    </row>
    <row r="126">
      <c r="A126" s="253" t="s">
        <v>2258</v>
      </c>
      <c r="B126" s="253" t="s">
        <v>2035</v>
      </c>
      <c r="C126" s="318" t="s">
        <v>2268</v>
      </c>
      <c r="D126" s="319" t="s">
        <v>437</v>
      </c>
      <c r="E126" s="334" t="s">
        <v>2269</v>
      </c>
      <c r="F126" s="319" t="s">
        <v>1929</v>
      </c>
      <c r="G126" s="312"/>
      <c r="H126" s="312"/>
      <c r="I126" s="312"/>
      <c r="J126" s="172">
        <f t="shared" si="2"/>
        <v>0</v>
      </c>
      <c r="K126" s="269">
        <f t="shared" si="7"/>
        <v>0</v>
      </c>
      <c r="L126" s="270">
        <f t="shared" si="4"/>
        <v>21.99425075</v>
      </c>
      <c r="M126" s="271" t="str">
        <f t="shared" si="5"/>
        <v>@rdfbbx#6437</v>
      </c>
      <c r="N126" s="209">
        <f>IFERROR(__xludf.DUMMYFUNCTION("""COMPUTED_VALUE"""),13.0)</f>
        <v>13</v>
      </c>
      <c r="O126" s="209"/>
      <c r="P126" s="209"/>
      <c r="Q126" s="209"/>
      <c r="R126" s="209"/>
      <c r="S126" s="209"/>
      <c r="T126" s="209"/>
      <c r="U126" s="209"/>
      <c r="V126" s="209"/>
      <c r="W126" s="209"/>
      <c r="X126" s="209"/>
      <c r="Y126" s="209"/>
      <c r="Z126" s="209"/>
    </row>
    <row r="127">
      <c r="A127" s="253" t="s">
        <v>2258</v>
      </c>
      <c r="B127" s="253" t="s">
        <v>2035</v>
      </c>
      <c r="C127" s="318" t="s">
        <v>2260</v>
      </c>
      <c r="D127" s="319" t="s">
        <v>2270</v>
      </c>
      <c r="E127" s="334" t="s">
        <v>2269</v>
      </c>
      <c r="F127" s="319" t="s">
        <v>2271</v>
      </c>
      <c r="G127" s="312"/>
      <c r="H127" s="312"/>
      <c r="I127" s="312"/>
      <c r="J127" s="172">
        <f t="shared" si="2"/>
        <v>0</v>
      </c>
      <c r="K127" s="269">
        <f t="shared" si="7"/>
        <v>0</v>
      </c>
      <c r="L127" s="270">
        <f t="shared" si="4"/>
        <v>21.99425075</v>
      </c>
      <c r="M127" s="271" t="str">
        <f t="shared" si="5"/>
        <v>@rdfbbx#6437</v>
      </c>
      <c r="N127" s="209">
        <f>IFERROR(__xludf.DUMMYFUNCTION("""COMPUTED_VALUE"""),14.0)</f>
        <v>14</v>
      </c>
      <c r="O127" s="209"/>
      <c r="P127" s="209"/>
      <c r="Q127" s="209"/>
      <c r="R127" s="209"/>
      <c r="S127" s="209"/>
      <c r="T127" s="209"/>
      <c r="U127" s="209"/>
      <c r="V127" s="209"/>
      <c r="W127" s="209"/>
      <c r="X127" s="209"/>
      <c r="Y127" s="209"/>
      <c r="Z127" s="209"/>
    </row>
    <row r="128">
      <c r="A128" s="253" t="s">
        <v>2258</v>
      </c>
      <c r="B128" s="253" t="s">
        <v>2035</v>
      </c>
      <c r="C128" s="318" t="s">
        <v>2260</v>
      </c>
      <c r="D128" s="319" t="s">
        <v>2270</v>
      </c>
      <c r="E128" s="334" t="s">
        <v>2269</v>
      </c>
      <c r="F128" s="319" t="s">
        <v>2271</v>
      </c>
      <c r="G128" s="312"/>
      <c r="H128" s="312"/>
      <c r="I128" s="312"/>
      <c r="J128" s="172">
        <f t="shared" si="2"/>
        <v>0</v>
      </c>
      <c r="K128" s="269">
        <f t="shared" si="7"/>
        <v>0</v>
      </c>
      <c r="L128" s="270">
        <f t="shared" si="4"/>
        <v>21.99425075</v>
      </c>
      <c r="M128" s="271" t="str">
        <f t="shared" si="5"/>
        <v>@rdfbbx#6437</v>
      </c>
      <c r="N128" s="209">
        <f>IFERROR(__xludf.DUMMYFUNCTION("""COMPUTED_VALUE"""),15.0)</f>
        <v>15</v>
      </c>
      <c r="O128" s="209"/>
      <c r="P128" s="209"/>
      <c r="Q128" s="209"/>
      <c r="R128" s="209"/>
      <c r="S128" s="209"/>
      <c r="T128" s="209"/>
      <c r="U128" s="209"/>
      <c r="V128" s="209"/>
      <c r="W128" s="209"/>
      <c r="X128" s="209"/>
      <c r="Y128" s="209"/>
      <c r="Z128" s="209"/>
    </row>
    <row r="129">
      <c r="A129" s="253" t="s">
        <v>2258</v>
      </c>
      <c r="B129" s="253" t="s">
        <v>2035</v>
      </c>
      <c r="C129" s="318" t="s">
        <v>2260</v>
      </c>
      <c r="D129" s="319" t="s">
        <v>437</v>
      </c>
      <c r="E129" s="334" t="s">
        <v>2269</v>
      </c>
      <c r="F129" s="319" t="s">
        <v>1929</v>
      </c>
      <c r="G129" s="312"/>
      <c r="H129" s="312"/>
      <c r="I129" s="312"/>
      <c r="J129" s="172">
        <f t="shared" si="2"/>
        <v>0</v>
      </c>
      <c r="K129" s="269">
        <f t="shared" si="7"/>
        <v>0</v>
      </c>
      <c r="L129" s="270">
        <f t="shared" si="4"/>
        <v>21.99425075</v>
      </c>
      <c r="M129" s="271" t="str">
        <f t="shared" si="5"/>
        <v>@rdfbbx#6437</v>
      </c>
      <c r="N129" s="209">
        <f>IFERROR(__xludf.DUMMYFUNCTION("""COMPUTED_VALUE"""),16.0)</f>
        <v>16</v>
      </c>
      <c r="O129" s="209"/>
      <c r="P129" s="209"/>
      <c r="Q129" s="209"/>
      <c r="R129" s="209"/>
      <c r="S129" s="209"/>
      <c r="T129" s="209"/>
      <c r="U129" s="209"/>
      <c r="V129" s="209"/>
      <c r="W129" s="209"/>
      <c r="X129" s="209"/>
      <c r="Y129" s="209"/>
      <c r="Z129" s="209"/>
    </row>
    <row r="130">
      <c r="A130" s="253" t="s">
        <v>2258</v>
      </c>
      <c r="B130" s="253" t="s">
        <v>2035</v>
      </c>
      <c r="C130" s="318" t="s">
        <v>2268</v>
      </c>
      <c r="D130" s="319" t="s">
        <v>437</v>
      </c>
      <c r="E130" s="334" t="s">
        <v>2269</v>
      </c>
      <c r="F130" s="319" t="s">
        <v>1929</v>
      </c>
      <c r="G130" s="312"/>
      <c r="H130" s="312"/>
      <c r="I130" s="312"/>
      <c r="J130" s="172">
        <f t="shared" si="2"/>
        <v>0</v>
      </c>
      <c r="K130" s="269">
        <f t="shared" si="7"/>
        <v>0</v>
      </c>
      <c r="L130" s="270">
        <f t="shared" si="4"/>
        <v>21.99425075</v>
      </c>
      <c r="M130" s="271" t="str">
        <f t="shared" si="5"/>
        <v>@rdfbbx#6437</v>
      </c>
      <c r="N130" s="209">
        <f>IFERROR(__xludf.DUMMYFUNCTION("""COMPUTED_VALUE"""),17.0)</f>
        <v>17</v>
      </c>
      <c r="O130" s="209"/>
      <c r="P130" s="209"/>
      <c r="Q130" s="209"/>
      <c r="R130" s="209"/>
      <c r="S130" s="209"/>
      <c r="T130" s="209"/>
      <c r="U130" s="209"/>
      <c r="V130" s="209"/>
      <c r="W130" s="209"/>
      <c r="X130" s="209"/>
      <c r="Y130" s="209"/>
      <c r="Z130" s="209"/>
    </row>
    <row r="131">
      <c r="A131" s="253" t="s">
        <v>2258</v>
      </c>
      <c r="B131" s="253" t="s">
        <v>2035</v>
      </c>
      <c r="C131" s="318" t="s">
        <v>2260</v>
      </c>
      <c r="D131" s="319" t="s">
        <v>437</v>
      </c>
      <c r="E131" s="334" t="s">
        <v>2269</v>
      </c>
      <c r="F131" s="319" t="s">
        <v>1929</v>
      </c>
      <c r="G131" s="312"/>
      <c r="H131" s="312"/>
      <c r="I131" s="312"/>
      <c r="J131" s="172">
        <f t="shared" si="2"/>
        <v>0</v>
      </c>
      <c r="K131" s="269">
        <f t="shared" si="7"/>
        <v>0</v>
      </c>
      <c r="L131" s="270">
        <f t="shared" si="4"/>
        <v>21.99425075</v>
      </c>
      <c r="M131" s="271" t="str">
        <f t="shared" si="5"/>
        <v>@rdfbbx#6437</v>
      </c>
      <c r="N131" s="209">
        <f>IFERROR(__xludf.DUMMYFUNCTION("""COMPUTED_VALUE"""),18.0)</f>
        <v>18</v>
      </c>
      <c r="O131" s="209"/>
      <c r="P131" s="209"/>
      <c r="Q131" s="209"/>
      <c r="R131" s="209"/>
      <c r="S131" s="209"/>
      <c r="T131" s="209"/>
      <c r="U131" s="209"/>
      <c r="V131" s="209"/>
      <c r="W131" s="209"/>
      <c r="X131" s="209"/>
      <c r="Y131" s="209"/>
      <c r="Z131" s="209"/>
    </row>
    <row r="132">
      <c r="A132" s="253" t="s">
        <v>2258</v>
      </c>
      <c r="B132" s="253" t="s">
        <v>2035</v>
      </c>
      <c r="C132" s="318" t="s">
        <v>2272</v>
      </c>
      <c r="D132" s="319" t="s">
        <v>437</v>
      </c>
      <c r="E132" s="334" t="s">
        <v>2269</v>
      </c>
      <c r="F132" s="319" t="s">
        <v>1929</v>
      </c>
      <c r="G132" s="312"/>
      <c r="H132" s="312"/>
      <c r="I132" s="312"/>
      <c r="J132" s="172">
        <f t="shared" si="2"/>
        <v>0</v>
      </c>
      <c r="K132" s="269">
        <f t="shared" si="7"/>
        <v>0</v>
      </c>
      <c r="L132" s="270">
        <f t="shared" si="4"/>
        <v>21.99425075</v>
      </c>
      <c r="M132" s="271" t="str">
        <f t="shared" si="5"/>
        <v>@rdfbbx#6437</v>
      </c>
      <c r="N132" s="209">
        <f>IFERROR(__xludf.DUMMYFUNCTION("""COMPUTED_VALUE"""),19.0)</f>
        <v>19</v>
      </c>
      <c r="O132" s="209"/>
      <c r="P132" s="209"/>
      <c r="Q132" s="209"/>
      <c r="R132" s="209"/>
      <c r="S132" s="209"/>
      <c r="T132" s="209"/>
      <c r="U132" s="209"/>
      <c r="V132" s="209"/>
      <c r="W132" s="209"/>
      <c r="X132" s="209"/>
      <c r="Y132" s="209"/>
      <c r="Z132" s="209"/>
    </row>
    <row r="133">
      <c r="A133" s="253" t="s">
        <v>2258</v>
      </c>
      <c r="B133" s="253" t="s">
        <v>2035</v>
      </c>
      <c r="C133" s="318" t="s">
        <v>2273</v>
      </c>
      <c r="D133" s="319" t="s">
        <v>437</v>
      </c>
      <c r="E133" s="334" t="s">
        <v>2269</v>
      </c>
      <c r="F133" s="319" t="s">
        <v>1929</v>
      </c>
      <c r="G133" s="312"/>
      <c r="H133" s="312"/>
      <c r="I133" s="312"/>
      <c r="J133" s="172">
        <f t="shared" si="2"/>
        <v>0</v>
      </c>
      <c r="K133" s="269">
        <f t="shared" si="7"/>
        <v>0</v>
      </c>
      <c r="L133" s="270">
        <f t="shared" si="4"/>
        <v>21.99425075</v>
      </c>
      <c r="M133" s="271" t="str">
        <f t="shared" si="5"/>
        <v>@rdfbbx#6437</v>
      </c>
      <c r="N133" s="209">
        <f>IFERROR(__xludf.DUMMYFUNCTION("""COMPUTED_VALUE"""),20.0)</f>
        <v>20</v>
      </c>
      <c r="O133" s="209"/>
      <c r="P133" s="209"/>
      <c r="Q133" s="209"/>
      <c r="R133" s="209"/>
      <c r="S133" s="209"/>
      <c r="T133" s="209"/>
      <c r="U133" s="209"/>
      <c r="V133" s="209"/>
      <c r="W133" s="209"/>
      <c r="X133" s="209"/>
      <c r="Y133" s="209"/>
      <c r="Z133" s="209"/>
    </row>
    <row r="134">
      <c r="A134" s="253" t="s">
        <v>2258</v>
      </c>
      <c r="B134" s="253" t="s">
        <v>2035</v>
      </c>
      <c r="C134" s="318" t="s">
        <v>2273</v>
      </c>
      <c r="D134" s="319" t="s">
        <v>437</v>
      </c>
      <c r="E134" s="334" t="s">
        <v>2269</v>
      </c>
      <c r="F134" s="319" t="s">
        <v>1929</v>
      </c>
      <c r="G134" s="312"/>
      <c r="H134" s="312"/>
      <c r="I134" s="312"/>
      <c r="J134" s="172">
        <f t="shared" si="2"/>
        <v>0</v>
      </c>
      <c r="K134" s="269">
        <f t="shared" si="7"/>
        <v>0</v>
      </c>
      <c r="L134" s="270">
        <f t="shared" si="4"/>
        <v>21.99425075</v>
      </c>
      <c r="M134" s="271" t="str">
        <f t="shared" si="5"/>
        <v>@rdfbbx#6437</v>
      </c>
      <c r="N134" s="209">
        <f>IFERROR(__xludf.DUMMYFUNCTION("""COMPUTED_VALUE"""),21.0)</f>
        <v>21</v>
      </c>
      <c r="O134" s="209"/>
      <c r="P134" s="209"/>
      <c r="Q134" s="209"/>
      <c r="R134" s="209"/>
      <c r="S134" s="209"/>
      <c r="T134" s="209"/>
      <c r="U134" s="209"/>
      <c r="V134" s="209"/>
      <c r="W134" s="209"/>
      <c r="X134" s="209"/>
      <c r="Y134" s="209"/>
      <c r="Z134" s="209"/>
    </row>
    <row r="135">
      <c r="A135" s="253" t="s">
        <v>2258</v>
      </c>
      <c r="B135" s="253" t="s">
        <v>2035</v>
      </c>
      <c r="C135" s="318" t="s">
        <v>2274</v>
      </c>
      <c r="D135" s="319" t="s">
        <v>2270</v>
      </c>
      <c r="E135" s="334" t="s">
        <v>2269</v>
      </c>
      <c r="F135" s="319" t="s">
        <v>2271</v>
      </c>
      <c r="G135" s="312"/>
      <c r="H135" s="312"/>
      <c r="I135" s="312"/>
      <c r="J135" s="172">
        <f t="shared" si="2"/>
        <v>0</v>
      </c>
      <c r="K135" s="269">
        <f t="shared" si="7"/>
        <v>0</v>
      </c>
      <c r="L135" s="270">
        <f t="shared" si="4"/>
        <v>21.99425075</v>
      </c>
      <c r="M135" s="271" t="str">
        <f t="shared" si="5"/>
        <v>@rdfbbx#6437</v>
      </c>
      <c r="N135" s="209">
        <f>IFERROR(__xludf.DUMMYFUNCTION("""COMPUTED_VALUE"""),22.0)</f>
        <v>22</v>
      </c>
      <c r="O135" s="209"/>
      <c r="P135" s="209"/>
      <c r="Q135" s="209"/>
      <c r="R135" s="209"/>
      <c r="S135" s="209"/>
      <c r="T135" s="209"/>
      <c r="U135" s="209"/>
      <c r="V135" s="209"/>
      <c r="W135" s="209"/>
      <c r="X135" s="209"/>
      <c r="Y135" s="209"/>
      <c r="Z135" s="209"/>
    </row>
    <row r="136">
      <c r="A136" s="253" t="s">
        <v>2258</v>
      </c>
      <c r="B136" s="253" t="s">
        <v>2035</v>
      </c>
      <c r="C136" s="318" t="s">
        <v>2275</v>
      </c>
      <c r="D136" s="319" t="s">
        <v>2270</v>
      </c>
      <c r="E136" s="334" t="s">
        <v>2269</v>
      </c>
      <c r="F136" s="319" t="s">
        <v>2271</v>
      </c>
      <c r="G136" s="312"/>
      <c r="H136" s="312"/>
      <c r="I136" s="312"/>
      <c r="J136" s="172">
        <f t="shared" si="2"/>
        <v>0</v>
      </c>
      <c r="K136" s="269">
        <f t="shared" si="7"/>
        <v>0</v>
      </c>
      <c r="L136" s="270">
        <f t="shared" si="4"/>
        <v>21.99425075</v>
      </c>
      <c r="M136" s="271" t="str">
        <f t="shared" si="5"/>
        <v>@rdfbbx#6437</v>
      </c>
      <c r="N136" s="209">
        <f>IFERROR(__xludf.DUMMYFUNCTION("""COMPUTED_VALUE"""),23.0)</f>
        <v>23</v>
      </c>
      <c r="O136" s="209"/>
      <c r="P136" s="209"/>
      <c r="Q136" s="209"/>
      <c r="R136" s="209"/>
      <c r="S136" s="209"/>
      <c r="T136" s="209"/>
      <c r="U136" s="209"/>
      <c r="V136" s="209"/>
      <c r="W136" s="209"/>
      <c r="X136" s="209"/>
      <c r="Y136" s="209"/>
      <c r="Z136" s="209"/>
    </row>
    <row r="137">
      <c r="A137" s="253" t="s">
        <v>2258</v>
      </c>
      <c r="B137" s="253" t="s">
        <v>2035</v>
      </c>
      <c r="C137" s="318" t="s">
        <v>2275</v>
      </c>
      <c r="D137" s="319" t="s">
        <v>437</v>
      </c>
      <c r="E137" s="334" t="s">
        <v>2269</v>
      </c>
      <c r="F137" s="319" t="s">
        <v>1929</v>
      </c>
      <c r="G137" s="312"/>
      <c r="H137" s="312"/>
      <c r="I137" s="312"/>
      <c r="J137" s="172">
        <f t="shared" si="2"/>
        <v>0</v>
      </c>
      <c r="K137" s="269">
        <f t="shared" si="7"/>
        <v>0</v>
      </c>
      <c r="L137" s="270">
        <f t="shared" si="4"/>
        <v>21.99425075</v>
      </c>
      <c r="M137" s="271" t="str">
        <f t="shared" si="5"/>
        <v>@rdfbbx#6437</v>
      </c>
      <c r="N137" s="209">
        <f>IFERROR(__xludf.DUMMYFUNCTION("""COMPUTED_VALUE"""),24.0)</f>
        <v>24</v>
      </c>
      <c r="O137" s="209"/>
      <c r="P137" s="209"/>
      <c r="Q137" s="209"/>
      <c r="R137" s="209"/>
      <c r="S137" s="209"/>
      <c r="T137" s="209"/>
      <c r="U137" s="209"/>
      <c r="V137" s="209"/>
      <c r="W137" s="209"/>
      <c r="X137" s="209"/>
      <c r="Y137" s="209"/>
      <c r="Z137" s="209"/>
    </row>
    <row r="138">
      <c r="A138" s="253" t="s">
        <v>2258</v>
      </c>
      <c r="B138" s="253" t="s">
        <v>2035</v>
      </c>
      <c r="C138" s="318" t="s">
        <v>2276</v>
      </c>
      <c r="D138" s="319" t="s">
        <v>437</v>
      </c>
      <c r="E138" s="334" t="s">
        <v>2269</v>
      </c>
      <c r="F138" s="319" t="s">
        <v>1929</v>
      </c>
      <c r="G138" s="312"/>
      <c r="H138" s="312"/>
      <c r="I138" s="312"/>
      <c r="J138" s="172">
        <f t="shared" si="2"/>
        <v>0</v>
      </c>
      <c r="K138" s="269">
        <f t="shared" si="7"/>
        <v>0</v>
      </c>
      <c r="L138" s="270">
        <f t="shared" si="4"/>
        <v>21.99425075</v>
      </c>
      <c r="M138" s="271" t="str">
        <f t="shared" si="5"/>
        <v>@rdfbbx#6437</v>
      </c>
      <c r="N138" s="209">
        <f>IFERROR(__xludf.DUMMYFUNCTION("""COMPUTED_VALUE"""),25.0)</f>
        <v>25</v>
      </c>
      <c r="O138" s="209"/>
      <c r="P138" s="209"/>
      <c r="Q138" s="209"/>
      <c r="R138" s="209"/>
      <c r="S138" s="209"/>
      <c r="T138" s="209"/>
      <c r="U138" s="209"/>
      <c r="V138" s="209"/>
      <c r="W138" s="209"/>
      <c r="X138" s="209"/>
      <c r="Y138" s="209"/>
      <c r="Z138" s="209"/>
    </row>
    <row r="139">
      <c r="A139" s="253" t="s">
        <v>2258</v>
      </c>
      <c r="B139" s="253" t="s">
        <v>2035</v>
      </c>
      <c r="C139" s="318" t="s">
        <v>2277</v>
      </c>
      <c r="D139" s="319" t="s">
        <v>437</v>
      </c>
      <c r="E139" s="334" t="s">
        <v>2269</v>
      </c>
      <c r="F139" s="319" t="s">
        <v>1929</v>
      </c>
      <c r="G139" s="312"/>
      <c r="H139" s="312"/>
      <c r="I139" s="312"/>
      <c r="J139" s="172">
        <f t="shared" si="2"/>
        <v>0</v>
      </c>
      <c r="K139" s="269">
        <f t="shared" si="7"/>
        <v>0</v>
      </c>
      <c r="L139" s="270">
        <f t="shared" si="4"/>
        <v>21.99425075</v>
      </c>
      <c r="M139" s="271" t="str">
        <f t="shared" si="5"/>
        <v>@rdfbbx#6437</v>
      </c>
      <c r="N139" s="209">
        <f>IFERROR(__xludf.DUMMYFUNCTION("""COMPUTED_VALUE"""),26.0)</f>
        <v>26</v>
      </c>
      <c r="O139" s="209"/>
      <c r="P139" s="209"/>
      <c r="Q139" s="209"/>
      <c r="R139" s="209"/>
      <c r="S139" s="209"/>
      <c r="T139" s="209"/>
      <c r="U139" s="209"/>
      <c r="V139" s="209"/>
      <c r="W139" s="209"/>
      <c r="X139" s="209"/>
      <c r="Y139" s="209"/>
      <c r="Z139" s="209"/>
    </row>
    <row r="140">
      <c r="A140" s="338" t="s">
        <v>2258</v>
      </c>
      <c r="B140" s="253" t="s">
        <v>2035</v>
      </c>
      <c r="C140" s="318" t="s">
        <v>2278</v>
      </c>
      <c r="D140" s="319" t="s">
        <v>2270</v>
      </c>
      <c r="E140" s="334" t="s">
        <v>2269</v>
      </c>
      <c r="F140" s="319" t="s">
        <v>2271</v>
      </c>
      <c r="G140" s="312"/>
      <c r="H140" s="312"/>
      <c r="I140" s="312"/>
      <c r="J140" s="172">
        <f t="shared" si="2"/>
        <v>0</v>
      </c>
      <c r="K140" s="269">
        <f t="shared" si="7"/>
        <v>0</v>
      </c>
      <c r="L140" s="270">
        <f t="shared" si="4"/>
        <v>21.99425075</v>
      </c>
      <c r="M140" s="271" t="str">
        <f t="shared" si="5"/>
        <v>@rdfbbx#6437</v>
      </c>
      <c r="N140" s="209">
        <f>IFERROR(__xludf.DUMMYFUNCTION("""COMPUTED_VALUE"""),27.0)</f>
        <v>27</v>
      </c>
      <c r="O140" s="209"/>
      <c r="P140" s="209"/>
      <c r="Q140" s="209"/>
      <c r="R140" s="209"/>
      <c r="S140" s="209"/>
      <c r="T140" s="209"/>
      <c r="U140" s="209"/>
      <c r="V140" s="209"/>
      <c r="W140" s="209"/>
      <c r="X140" s="209"/>
      <c r="Y140" s="209"/>
      <c r="Z140" s="209"/>
    </row>
    <row r="141">
      <c r="A141" s="338" t="s">
        <v>2258</v>
      </c>
      <c r="B141" s="253" t="s">
        <v>2035</v>
      </c>
      <c r="C141" s="318" t="s">
        <v>2260</v>
      </c>
      <c r="D141" s="319" t="s">
        <v>499</v>
      </c>
      <c r="E141" s="334" t="s">
        <v>2269</v>
      </c>
      <c r="F141" s="319" t="s">
        <v>1646</v>
      </c>
      <c r="G141" s="312"/>
      <c r="H141" s="312"/>
      <c r="I141" s="312"/>
      <c r="J141" s="172">
        <f t="shared" si="2"/>
        <v>0</v>
      </c>
      <c r="K141" s="269">
        <f t="shared" si="7"/>
        <v>0</v>
      </c>
      <c r="L141" s="270">
        <f t="shared" si="4"/>
        <v>21.99425075</v>
      </c>
      <c r="M141" s="271" t="str">
        <f t="shared" si="5"/>
        <v>@rdfbbx#6437</v>
      </c>
      <c r="N141" s="209">
        <f>IFERROR(__xludf.DUMMYFUNCTION("""COMPUTED_VALUE"""),28.0)</f>
        <v>28</v>
      </c>
      <c r="O141" s="209"/>
      <c r="P141" s="209"/>
      <c r="Q141" s="209"/>
      <c r="R141" s="209"/>
      <c r="S141" s="209"/>
      <c r="T141" s="209"/>
      <c r="U141" s="209"/>
      <c r="V141" s="209"/>
      <c r="W141" s="209"/>
      <c r="X141" s="209"/>
      <c r="Y141" s="209"/>
      <c r="Z141" s="209"/>
    </row>
    <row r="142">
      <c r="A142" s="338" t="s">
        <v>2258</v>
      </c>
      <c r="B142" s="253" t="s">
        <v>2035</v>
      </c>
      <c r="C142" s="318" t="s">
        <v>2279</v>
      </c>
      <c r="D142" s="319" t="s">
        <v>499</v>
      </c>
      <c r="E142" s="334" t="s">
        <v>2269</v>
      </c>
      <c r="F142" s="319" t="s">
        <v>1646</v>
      </c>
      <c r="G142" s="312"/>
      <c r="H142" s="312"/>
      <c r="I142" s="312"/>
      <c r="J142" s="172">
        <f t="shared" si="2"/>
        <v>0</v>
      </c>
      <c r="K142" s="269">
        <f t="shared" si="7"/>
        <v>0</v>
      </c>
      <c r="L142" s="270">
        <f t="shared" si="4"/>
        <v>21.99425075</v>
      </c>
      <c r="M142" s="271" t="str">
        <f t="shared" si="5"/>
        <v>@rdfbbx#6437</v>
      </c>
      <c r="N142" s="209">
        <f>IFERROR(__xludf.DUMMYFUNCTION("""COMPUTED_VALUE"""),29.0)</f>
        <v>29</v>
      </c>
      <c r="O142" s="209"/>
      <c r="P142" s="209"/>
      <c r="Q142" s="209"/>
      <c r="R142" s="209"/>
      <c r="S142" s="209"/>
      <c r="T142" s="209"/>
      <c r="U142" s="209"/>
      <c r="V142" s="209"/>
      <c r="W142" s="209"/>
      <c r="X142" s="209"/>
      <c r="Y142" s="209"/>
      <c r="Z142" s="209"/>
    </row>
    <row r="143">
      <c r="A143" s="253" t="s">
        <v>2258</v>
      </c>
      <c r="B143" s="253" t="s">
        <v>2035</v>
      </c>
      <c r="C143" s="318" t="s">
        <v>2280</v>
      </c>
      <c r="D143" s="319" t="s">
        <v>499</v>
      </c>
      <c r="E143" s="334" t="s">
        <v>2269</v>
      </c>
      <c r="F143" s="319" t="s">
        <v>1646</v>
      </c>
      <c r="G143" s="312"/>
      <c r="H143" s="312"/>
      <c r="I143" s="312"/>
      <c r="J143" s="172">
        <f t="shared" si="2"/>
        <v>0</v>
      </c>
      <c r="K143" s="269">
        <f t="shared" si="7"/>
        <v>0</v>
      </c>
      <c r="L143" s="270">
        <f t="shared" si="4"/>
        <v>21.99425075</v>
      </c>
      <c r="M143" s="271" t="str">
        <f t="shared" si="5"/>
        <v>@rdfbbx#6437</v>
      </c>
      <c r="N143" s="209">
        <f>IFERROR(__xludf.DUMMYFUNCTION("""COMPUTED_VALUE"""),30.0)</f>
        <v>30</v>
      </c>
      <c r="O143" s="209"/>
      <c r="P143" s="209"/>
      <c r="Q143" s="209"/>
      <c r="R143" s="209"/>
      <c r="S143" s="209"/>
      <c r="T143" s="209"/>
      <c r="U143" s="209"/>
      <c r="V143" s="209"/>
      <c r="W143" s="209"/>
      <c r="X143" s="209"/>
      <c r="Y143" s="209"/>
      <c r="Z143" s="209"/>
    </row>
    <row r="144">
      <c r="A144" s="253" t="s">
        <v>2258</v>
      </c>
      <c r="B144" s="253" t="s">
        <v>2035</v>
      </c>
      <c r="C144" s="318" t="s">
        <v>2281</v>
      </c>
      <c r="D144" s="319" t="s">
        <v>499</v>
      </c>
      <c r="E144" s="334" t="s">
        <v>2269</v>
      </c>
      <c r="F144" s="319" t="s">
        <v>1646</v>
      </c>
      <c r="G144" s="312"/>
      <c r="H144" s="312"/>
      <c r="I144" s="312"/>
      <c r="J144" s="172">
        <f t="shared" si="2"/>
        <v>0</v>
      </c>
      <c r="K144" s="269">
        <f t="shared" si="7"/>
        <v>0</v>
      </c>
      <c r="L144" s="270">
        <f t="shared" si="4"/>
        <v>21.99425075</v>
      </c>
      <c r="M144" s="271" t="str">
        <f t="shared" si="5"/>
        <v>@rdfbbx#6437</v>
      </c>
      <c r="N144" s="209">
        <f>IFERROR(__xludf.DUMMYFUNCTION("""COMPUTED_VALUE"""),31.0)</f>
        <v>31</v>
      </c>
      <c r="O144" s="209"/>
      <c r="P144" s="209"/>
      <c r="Q144" s="209"/>
      <c r="R144" s="209"/>
      <c r="S144" s="209"/>
      <c r="T144" s="209"/>
      <c r="U144" s="209"/>
      <c r="V144" s="209"/>
      <c r="W144" s="209"/>
      <c r="X144" s="209"/>
      <c r="Y144" s="209"/>
      <c r="Z144" s="209"/>
    </row>
    <row r="145">
      <c r="A145" s="253" t="s">
        <v>2258</v>
      </c>
      <c r="B145" s="253" t="s">
        <v>2035</v>
      </c>
      <c r="C145" s="318" t="s">
        <v>2281</v>
      </c>
      <c r="D145" s="319" t="s">
        <v>499</v>
      </c>
      <c r="E145" s="334" t="s">
        <v>2269</v>
      </c>
      <c r="F145" s="319" t="s">
        <v>1646</v>
      </c>
      <c r="G145" s="312"/>
      <c r="H145" s="312"/>
      <c r="I145" s="312"/>
      <c r="J145" s="172">
        <f t="shared" si="2"/>
        <v>0</v>
      </c>
      <c r="K145" s="269">
        <f t="shared" si="7"/>
        <v>0</v>
      </c>
      <c r="L145" s="270">
        <f t="shared" si="4"/>
        <v>21.99425075</v>
      </c>
      <c r="M145" s="271" t="str">
        <f t="shared" si="5"/>
        <v>@rdfbbx#6437</v>
      </c>
      <c r="N145" s="209">
        <f>IFERROR(__xludf.DUMMYFUNCTION("""COMPUTED_VALUE"""),32.0)</f>
        <v>32</v>
      </c>
      <c r="O145" s="209"/>
      <c r="P145" s="209"/>
      <c r="Q145" s="209"/>
      <c r="R145" s="209"/>
      <c r="S145" s="209"/>
      <c r="T145" s="209"/>
      <c r="U145" s="209"/>
      <c r="V145" s="209"/>
      <c r="W145" s="209"/>
      <c r="X145" s="209"/>
      <c r="Y145" s="209"/>
      <c r="Z145" s="209"/>
    </row>
    <row r="146">
      <c r="A146" s="253" t="s">
        <v>2258</v>
      </c>
      <c r="B146" s="253" t="s">
        <v>2035</v>
      </c>
      <c r="C146" s="318" t="s">
        <v>2281</v>
      </c>
      <c r="D146" s="319" t="s">
        <v>437</v>
      </c>
      <c r="E146" s="334" t="s">
        <v>2269</v>
      </c>
      <c r="F146" s="319" t="s">
        <v>1929</v>
      </c>
      <c r="G146" s="312"/>
      <c r="H146" s="312"/>
      <c r="I146" s="312"/>
      <c r="J146" s="172">
        <f t="shared" si="2"/>
        <v>0</v>
      </c>
      <c r="K146" s="269">
        <f t="shared" si="7"/>
        <v>0</v>
      </c>
      <c r="L146" s="270">
        <f t="shared" si="4"/>
        <v>21.99425075</v>
      </c>
      <c r="M146" s="271" t="str">
        <f t="shared" si="5"/>
        <v>@rdfbbx#6437</v>
      </c>
      <c r="N146" s="209">
        <f>IFERROR(__xludf.DUMMYFUNCTION("""COMPUTED_VALUE"""),33.0)</f>
        <v>33</v>
      </c>
      <c r="O146" s="209"/>
      <c r="P146" s="209"/>
      <c r="Q146" s="209"/>
      <c r="R146" s="209"/>
      <c r="S146" s="209"/>
      <c r="T146" s="209"/>
      <c r="U146" s="209"/>
      <c r="V146" s="209"/>
      <c r="W146" s="209"/>
      <c r="X146" s="209"/>
      <c r="Y146" s="209"/>
      <c r="Z146" s="209"/>
    </row>
    <row r="147">
      <c r="A147" s="253" t="s">
        <v>2258</v>
      </c>
      <c r="B147" s="253" t="s">
        <v>2035</v>
      </c>
      <c r="C147" s="318" t="s">
        <v>2280</v>
      </c>
      <c r="D147" s="319" t="s">
        <v>437</v>
      </c>
      <c r="E147" s="334" t="s">
        <v>2269</v>
      </c>
      <c r="F147" s="319" t="s">
        <v>1929</v>
      </c>
      <c r="G147" s="312"/>
      <c r="H147" s="312"/>
      <c r="I147" s="312"/>
      <c r="J147" s="172">
        <f t="shared" si="2"/>
        <v>0</v>
      </c>
      <c r="K147" s="269">
        <f t="shared" si="7"/>
        <v>0</v>
      </c>
      <c r="L147" s="270">
        <f t="shared" si="4"/>
        <v>21.99425075</v>
      </c>
      <c r="M147" s="271" t="str">
        <f t="shared" si="5"/>
        <v>@rdfbbx#6437</v>
      </c>
      <c r="N147" s="209">
        <f>IFERROR(__xludf.DUMMYFUNCTION("""COMPUTED_VALUE"""),34.0)</f>
        <v>34</v>
      </c>
      <c r="O147" s="209"/>
      <c r="P147" s="209"/>
      <c r="Q147" s="209"/>
      <c r="R147" s="209"/>
      <c r="S147" s="209"/>
      <c r="T147" s="209"/>
      <c r="U147" s="209"/>
      <c r="V147" s="209"/>
      <c r="W147" s="209"/>
      <c r="X147" s="209"/>
      <c r="Y147" s="209"/>
      <c r="Z147" s="209"/>
    </row>
    <row r="148">
      <c r="A148" s="253" t="s">
        <v>2258</v>
      </c>
      <c r="B148" s="253" t="s">
        <v>2035</v>
      </c>
      <c r="C148" s="318" t="s">
        <v>2260</v>
      </c>
      <c r="D148" s="319" t="s">
        <v>437</v>
      </c>
      <c r="E148" s="334" t="s">
        <v>2269</v>
      </c>
      <c r="F148" s="319" t="s">
        <v>1929</v>
      </c>
      <c r="G148" s="312"/>
      <c r="H148" s="312"/>
      <c r="I148" s="312"/>
      <c r="J148" s="172">
        <f t="shared" si="2"/>
        <v>0</v>
      </c>
      <c r="K148" s="269">
        <f t="shared" si="7"/>
        <v>0</v>
      </c>
      <c r="L148" s="270">
        <f t="shared" si="4"/>
        <v>21.99425075</v>
      </c>
      <c r="M148" s="271" t="str">
        <f t="shared" si="5"/>
        <v>@rdfbbx#6437</v>
      </c>
      <c r="N148" s="209">
        <f>IFERROR(__xludf.DUMMYFUNCTION("""COMPUTED_VALUE"""),35.0)</f>
        <v>35</v>
      </c>
      <c r="O148" s="209"/>
      <c r="P148" s="209"/>
      <c r="Q148" s="209"/>
      <c r="R148" s="209"/>
      <c r="S148" s="209"/>
      <c r="T148" s="209"/>
      <c r="U148" s="209"/>
      <c r="V148" s="209"/>
      <c r="W148" s="209"/>
      <c r="X148" s="209"/>
      <c r="Y148" s="209"/>
      <c r="Z148" s="209"/>
    </row>
    <row r="149">
      <c r="A149" s="253" t="s">
        <v>2258</v>
      </c>
      <c r="B149" s="253" t="s">
        <v>2035</v>
      </c>
      <c r="C149" s="318" t="s">
        <v>2282</v>
      </c>
      <c r="D149" s="319" t="s">
        <v>499</v>
      </c>
      <c r="E149" s="334" t="s">
        <v>2269</v>
      </c>
      <c r="F149" s="319" t="s">
        <v>1646</v>
      </c>
      <c r="G149" s="312"/>
      <c r="H149" s="312"/>
      <c r="I149" s="312"/>
      <c r="J149" s="172">
        <f t="shared" si="2"/>
        <v>0</v>
      </c>
      <c r="K149" s="269">
        <f t="shared" si="7"/>
        <v>0</v>
      </c>
      <c r="L149" s="270">
        <f t="shared" si="4"/>
        <v>21.99425075</v>
      </c>
      <c r="M149" s="271" t="str">
        <f t="shared" si="5"/>
        <v>@rdfbbx#6437</v>
      </c>
      <c r="N149" s="209">
        <f>IFERROR(__xludf.DUMMYFUNCTION("""COMPUTED_VALUE"""),36.0)</f>
        <v>36</v>
      </c>
      <c r="O149" s="209"/>
      <c r="P149" s="209"/>
      <c r="Q149" s="209"/>
      <c r="R149" s="209"/>
      <c r="S149" s="209"/>
      <c r="T149" s="209"/>
      <c r="U149" s="209"/>
      <c r="V149" s="209"/>
      <c r="W149" s="209"/>
      <c r="X149" s="209"/>
      <c r="Y149" s="209"/>
      <c r="Z149" s="209"/>
    </row>
    <row r="150">
      <c r="A150" s="338" t="s">
        <v>2258</v>
      </c>
      <c r="B150" s="253" t="s">
        <v>2035</v>
      </c>
      <c r="C150" s="318" t="s">
        <v>2283</v>
      </c>
      <c r="D150" s="319" t="s">
        <v>437</v>
      </c>
      <c r="E150" s="334" t="s">
        <v>2269</v>
      </c>
      <c r="F150" s="319" t="s">
        <v>1929</v>
      </c>
      <c r="G150" s="312"/>
      <c r="H150" s="312"/>
      <c r="I150" s="312"/>
      <c r="J150" s="172">
        <f t="shared" si="2"/>
        <v>0</v>
      </c>
      <c r="K150" s="269">
        <f t="shared" si="7"/>
        <v>0</v>
      </c>
      <c r="L150" s="270">
        <f t="shared" si="4"/>
        <v>21.99425075</v>
      </c>
      <c r="M150" s="271" t="str">
        <f t="shared" si="5"/>
        <v>@rdfbbx#6437</v>
      </c>
      <c r="N150" s="209">
        <f>IFERROR(__xludf.DUMMYFUNCTION("""COMPUTED_VALUE"""),37.0)</f>
        <v>37</v>
      </c>
      <c r="O150" s="209"/>
      <c r="P150" s="209"/>
      <c r="Q150" s="209"/>
      <c r="R150" s="209"/>
      <c r="S150" s="209"/>
      <c r="T150" s="209"/>
      <c r="U150" s="209"/>
      <c r="V150" s="209"/>
      <c r="W150" s="209"/>
      <c r="X150" s="209"/>
      <c r="Y150" s="209"/>
      <c r="Z150" s="209"/>
    </row>
    <row r="151">
      <c r="A151" s="253" t="s">
        <v>2258</v>
      </c>
      <c r="B151" s="253" t="s">
        <v>2035</v>
      </c>
      <c r="C151" s="318" t="s">
        <v>2260</v>
      </c>
      <c r="D151" s="319" t="s">
        <v>437</v>
      </c>
      <c r="E151" s="334" t="s">
        <v>2269</v>
      </c>
      <c r="F151" s="319" t="s">
        <v>1929</v>
      </c>
      <c r="G151" s="312"/>
      <c r="H151" s="312"/>
      <c r="I151" s="312"/>
      <c r="J151" s="172">
        <f t="shared" si="2"/>
        <v>0</v>
      </c>
      <c r="K151" s="269">
        <f t="shared" si="7"/>
        <v>0</v>
      </c>
      <c r="L151" s="270">
        <f t="shared" si="4"/>
        <v>21.99425075</v>
      </c>
      <c r="M151" s="271" t="str">
        <f t="shared" si="5"/>
        <v>@rdfbbx#6437</v>
      </c>
      <c r="N151" s="209">
        <f>IFERROR(__xludf.DUMMYFUNCTION("""COMPUTED_VALUE"""),38.0)</f>
        <v>38</v>
      </c>
      <c r="O151" s="209"/>
      <c r="P151" s="209"/>
      <c r="Q151" s="209"/>
      <c r="R151" s="209"/>
      <c r="S151" s="209"/>
      <c r="T151" s="209"/>
      <c r="U151" s="209"/>
      <c r="V151" s="209"/>
      <c r="W151" s="209"/>
      <c r="X151" s="209"/>
      <c r="Y151" s="209"/>
      <c r="Z151" s="209"/>
    </row>
    <row r="152">
      <c r="A152" s="253" t="s">
        <v>2258</v>
      </c>
      <c r="B152" s="253" t="s">
        <v>2035</v>
      </c>
      <c r="C152" s="318" t="s">
        <v>2284</v>
      </c>
      <c r="D152" s="319" t="s">
        <v>437</v>
      </c>
      <c r="E152" s="334" t="s">
        <v>2269</v>
      </c>
      <c r="F152" s="319" t="s">
        <v>1929</v>
      </c>
      <c r="G152" s="312"/>
      <c r="H152" s="312"/>
      <c r="I152" s="312"/>
      <c r="J152" s="172">
        <f t="shared" si="2"/>
        <v>0</v>
      </c>
      <c r="K152" s="269">
        <f t="shared" si="7"/>
        <v>0</v>
      </c>
      <c r="L152" s="270">
        <f t="shared" si="4"/>
        <v>21.99425075</v>
      </c>
      <c r="M152" s="271" t="str">
        <f t="shared" si="5"/>
        <v>@rdfbbx#6437</v>
      </c>
      <c r="N152" s="209">
        <f>IFERROR(__xludf.DUMMYFUNCTION("""COMPUTED_VALUE"""),39.0)</f>
        <v>39</v>
      </c>
      <c r="O152" s="209"/>
      <c r="P152" s="209"/>
      <c r="Q152" s="209"/>
      <c r="R152" s="209"/>
      <c r="S152" s="209"/>
      <c r="T152" s="209"/>
      <c r="U152" s="209"/>
      <c r="V152" s="209"/>
      <c r="W152" s="209"/>
      <c r="X152" s="209"/>
      <c r="Y152" s="209"/>
      <c r="Z152" s="209"/>
    </row>
    <row r="153">
      <c r="A153" s="272" t="s">
        <v>2258</v>
      </c>
      <c r="B153" s="272" t="s">
        <v>2035</v>
      </c>
      <c r="C153" s="273" t="s">
        <v>2285</v>
      </c>
      <c r="D153" s="274" t="s">
        <v>437</v>
      </c>
      <c r="E153" s="328" t="s">
        <v>2286</v>
      </c>
      <c r="F153" s="274" t="s">
        <v>1929</v>
      </c>
      <c r="G153" s="171">
        <v>40.0</v>
      </c>
      <c r="H153" s="171">
        <v>60.0</v>
      </c>
      <c r="I153" s="171">
        <v>100.0</v>
      </c>
      <c r="J153" s="172">
        <f t="shared" si="2"/>
        <v>0.0008982263789</v>
      </c>
      <c r="K153" s="269">
        <f t="shared" si="7"/>
        <v>1.28745781</v>
      </c>
      <c r="L153" s="270">
        <f t="shared" si="4"/>
        <v>21.99425075</v>
      </c>
      <c r="M153" s="271" t="str">
        <f t="shared" si="5"/>
        <v>@rdfbbx#6437</v>
      </c>
      <c r="N153" s="176">
        <f>IFERROR(__xludf.DUMMYFUNCTION("""COMPUTED_VALUE"""),40.0)</f>
        <v>40</v>
      </c>
      <c r="O153" s="176"/>
      <c r="P153" s="176"/>
      <c r="Q153" s="176"/>
      <c r="R153" s="176"/>
      <c r="S153" s="176"/>
      <c r="T153" s="176"/>
      <c r="U153" s="176"/>
      <c r="V153" s="176"/>
      <c r="W153" s="176"/>
      <c r="X153" s="176"/>
      <c r="Y153" s="176"/>
      <c r="Z153" s="176"/>
    </row>
    <row r="154">
      <c r="A154" s="253" t="s">
        <v>2258</v>
      </c>
      <c r="B154" s="253" t="s">
        <v>2035</v>
      </c>
      <c r="C154" s="318" t="s">
        <v>2287</v>
      </c>
      <c r="D154" s="319" t="s">
        <v>499</v>
      </c>
      <c r="E154" s="334" t="s">
        <v>2286</v>
      </c>
      <c r="F154" s="319" t="s">
        <v>1646</v>
      </c>
      <c r="G154" s="312"/>
      <c r="H154" s="312"/>
      <c r="I154" s="312"/>
      <c r="J154" s="172">
        <f t="shared" si="2"/>
        <v>0</v>
      </c>
      <c r="K154" s="269">
        <f t="shared" si="7"/>
        <v>0</v>
      </c>
      <c r="L154" s="270">
        <f t="shared" si="4"/>
        <v>21.99425075</v>
      </c>
      <c r="M154" s="271" t="str">
        <f t="shared" si="5"/>
        <v>@rdfbbx#6437</v>
      </c>
      <c r="N154" s="209">
        <f>IFERROR(__xludf.DUMMYFUNCTION("""COMPUTED_VALUE"""),41.0)</f>
        <v>41</v>
      </c>
      <c r="O154" s="209"/>
      <c r="P154" s="209"/>
      <c r="Q154" s="209"/>
      <c r="R154" s="209"/>
      <c r="S154" s="209"/>
      <c r="T154" s="209"/>
      <c r="U154" s="209"/>
      <c r="V154" s="209"/>
      <c r="W154" s="209"/>
      <c r="X154" s="209"/>
      <c r="Y154" s="209"/>
      <c r="Z154" s="209"/>
    </row>
    <row r="155">
      <c r="A155" s="272" t="s">
        <v>2258</v>
      </c>
      <c r="B155" s="272" t="s">
        <v>845</v>
      </c>
      <c r="C155" s="273" t="s">
        <v>2243</v>
      </c>
      <c r="D155" s="274" t="s">
        <v>499</v>
      </c>
      <c r="E155" s="328" t="s">
        <v>2242</v>
      </c>
      <c r="F155" s="274" t="s">
        <v>1646</v>
      </c>
      <c r="G155" s="171">
        <v>60.0</v>
      </c>
      <c r="H155" s="171">
        <v>100.0</v>
      </c>
      <c r="I155" s="171">
        <v>50.0</v>
      </c>
      <c r="J155" s="172">
        <f t="shared" si="2"/>
        <v>0.0007761548639</v>
      </c>
      <c r="K155" s="269">
        <f t="shared" si="7"/>
        <v>1.112488638</v>
      </c>
      <c r="L155" s="270">
        <f t="shared" si="4"/>
        <v>21.99425075</v>
      </c>
      <c r="M155" s="271" t="str">
        <f t="shared" si="5"/>
        <v>@rdfbbx#6437</v>
      </c>
      <c r="N155" s="176">
        <f>IFERROR(__xludf.DUMMYFUNCTION("""COMPUTED_VALUE"""),42.0)</f>
        <v>42</v>
      </c>
      <c r="O155" s="176"/>
      <c r="P155" s="176"/>
      <c r="Q155" s="176"/>
      <c r="R155" s="176"/>
      <c r="S155" s="176"/>
      <c r="T155" s="176"/>
      <c r="U155" s="176"/>
      <c r="V155" s="176"/>
      <c r="W155" s="176"/>
      <c r="X155" s="176"/>
      <c r="Y155" s="176"/>
      <c r="Z155" s="176"/>
    </row>
    <row r="156">
      <c r="A156" s="253" t="s">
        <v>2258</v>
      </c>
      <c r="B156" s="253" t="s">
        <v>2035</v>
      </c>
      <c r="C156" s="318" t="s">
        <v>2288</v>
      </c>
      <c r="D156" s="319" t="s">
        <v>499</v>
      </c>
      <c r="E156" s="334" t="s">
        <v>2183</v>
      </c>
      <c r="F156" s="319" t="s">
        <v>2289</v>
      </c>
      <c r="G156" s="312"/>
      <c r="H156" s="312"/>
      <c r="I156" s="222"/>
      <c r="J156" s="172">
        <f t="shared" si="2"/>
        <v>0</v>
      </c>
      <c r="K156" s="269">
        <f t="shared" si="7"/>
        <v>0</v>
      </c>
      <c r="L156" s="270">
        <f t="shared" si="4"/>
        <v>21.99425075</v>
      </c>
      <c r="M156" s="271" t="str">
        <f t="shared" si="5"/>
        <v>@rdfbbx#6437</v>
      </c>
      <c r="N156" s="209">
        <f>IFERROR(__xludf.DUMMYFUNCTION("""COMPUTED_VALUE"""),43.0)</f>
        <v>43</v>
      </c>
      <c r="O156" s="209"/>
      <c r="P156" s="209"/>
      <c r="Q156" s="209"/>
      <c r="R156" s="209"/>
      <c r="S156" s="209"/>
      <c r="T156" s="209"/>
      <c r="U156" s="209"/>
      <c r="V156" s="209"/>
      <c r="W156" s="209"/>
      <c r="X156" s="209"/>
      <c r="Y156" s="209"/>
      <c r="Z156" s="209"/>
    </row>
    <row r="157">
      <c r="A157" s="272" t="s">
        <v>2258</v>
      </c>
      <c r="B157" s="272" t="s">
        <v>1702</v>
      </c>
      <c r="C157" s="273" t="s">
        <v>2290</v>
      </c>
      <c r="D157" s="274" t="s">
        <v>499</v>
      </c>
      <c r="E157" s="328" t="s">
        <v>2291</v>
      </c>
      <c r="F157" s="274" t="s">
        <v>1646</v>
      </c>
      <c r="G157" s="171">
        <v>300.0</v>
      </c>
      <c r="H157" s="171">
        <v>300.0</v>
      </c>
      <c r="I157" s="171">
        <v>200.0</v>
      </c>
      <c r="J157" s="172">
        <f t="shared" si="2"/>
        <v>0.003059448548</v>
      </c>
      <c r="K157" s="269">
        <f t="shared" si="7"/>
        <v>4.385209585</v>
      </c>
      <c r="L157" s="270">
        <f t="shared" si="4"/>
        <v>21.99425075</v>
      </c>
      <c r="M157" s="271" t="str">
        <f t="shared" si="5"/>
        <v>@rdfbbx#6437</v>
      </c>
      <c r="N157" s="176">
        <f>IFERROR(__xludf.DUMMYFUNCTION("""COMPUTED_VALUE"""),44.0)</f>
        <v>44</v>
      </c>
      <c r="O157" s="176"/>
      <c r="P157" s="176"/>
      <c r="Q157" s="176"/>
      <c r="R157" s="176"/>
      <c r="S157" s="176"/>
      <c r="T157" s="176"/>
      <c r="U157" s="176"/>
      <c r="V157" s="176"/>
      <c r="W157" s="176"/>
      <c r="X157" s="176"/>
      <c r="Y157" s="176"/>
      <c r="Z157" s="176"/>
    </row>
    <row r="158">
      <c r="A158" s="272" t="s">
        <v>2258</v>
      </c>
      <c r="B158" s="272" t="s">
        <v>12</v>
      </c>
      <c r="C158" s="273" t="s">
        <v>2292</v>
      </c>
      <c r="D158" s="274" t="s">
        <v>437</v>
      </c>
      <c r="E158" s="328" t="s">
        <v>2224</v>
      </c>
      <c r="F158" s="274" t="s">
        <v>1929</v>
      </c>
      <c r="G158" s="171">
        <v>150.0</v>
      </c>
      <c r="H158" s="171">
        <v>200.0</v>
      </c>
      <c r="I158" s="171">
        <v>100.0</v>
      </c>
      <c r="J158" s="172">
        <f t="shared" si="2"/>
        <v>0.001660390962</v>
      </c>
      <c r="K158" s="269">
        <f t="shared" si="7"/>
        <v>2.379893712</v>
      </c>
      <c r="L158" s="270">
        <f t="shared" si="4"/>
        <v>21.99425075</v>
      </c>
      <c r="M158" s="271" t="str">
        <f t="shared" si="5"/>
        <v>@rdfbbx#6437</v>
      </c>
      <c r="N158" s="176">
        <f>IFERROR(__xludf.DUMMYFUNCTION("""COMPUTED_VALUE"""),45.0)</f>
        <v>45</v>
      </c>
      <c r="O158" s="176"/>
      <c r="P158" s="176"/>
      <c r="Q158" s="176"/>
      <c r="R158" s="176"/>
      <c r="S158" s="176"/>
      <c r="T158" s="176"/>
      <c r="U158" s="176"/>
      <c r="V158" s="176"/>
      <c r="W158" s="176"/>
      <c r="X158" s="176"/>
      <c r="Y158" s="176"/>
      <c r="Z158" s="176"/>
    </row>
    <row r="159">
      <c r="A159" s="272" t="s">
        <v>2258</v>
      </c>
      <c r="B159" s="272" t="s">
        <v>2035</v>
      </c>
      <c r="C159" s="273" t="s">
        <v>2223</v>
      </c>
      <c r="D159" s="274" t="s">
        <v>437</v>
      </c>
      <c r="E159" s="328" t="s">
        <v>2224</v>
      </c>
      <c r="F159" s="274" t="s">
        <v>1929</v>
      </c>
      <c r="G159" s="171">
        <v>110.0</v>
      </c>
      <c r="H159" s="171">
        <v>100.0</v>
      </c>
      <c r="I159" s="171">
        <v>150.0</v>
      </c>
      <c r="J159" s="172">
        <f t="shared" si="2"/>
        <v>0.001553608296</v>
      </c>
      <c r="K159" s="269">
        <f t="shared" si="7"/>
        <v>2.226838557</v>
      </c>
      <c r="L159" s="270">
        <f t="shared" si="4"/>
        <v>21.99425075</v>
      </c>
      <c r="M159" s="271" t="str">
        <f t="shared" si="5"/>
        <v>@rdfbbx#6437</v>
      </c>
      <c r="N159" s="176">
        <f>IFERROR(__xludf.DUMMYFUNCTION("""COMPUTED_VALUE"""),46.0)</f>
        <v>46</v>
      </c>
      <c r="O159" s="176"/>
      <c r="P159" s="176"/>
      <c r="Q159" s="176"/>
      <c r="R159" s="176"/>
      <c r="S159" s="176"/>
      <c r="T159" s="176"/>
      <c r="U159" s="176"/>
      <c r="V159" s="176"/>
      <c r="W159" s="176"/>
      <c r="X159" s="176"/>
      <c r="Y159" s="176"/>
      <c r="Z159" s="176"/>
    </row>
    <row r="160">
      <c r="A160" s="272" t="s">
        <v>2258</v>
      </c>
      <c r="B160" s="272" t="s">
        <v>12</v>
      </c>
      <c r="C160" s="273" t="s">
        <v>2293</v>
      </c>
      <c r="D160" s="274" t="s">
        <v>437</v>
      </c>
      <c r="E160" s="328" t="s">
        <v>2294</v>
      </c>
      <c r="F160" s="274" t="s">
        <v>1929</v>
      </c>
      <c r="G160" s="171">
        <v>10.0</v>
      </c>
      <c r="H160" s="171">
        <v>100.0</v>
      </c>
      <c r="I160" s="171">
        <v>80.0</v>
      </c>
      <c r="J160" s="172">
        <f t="shared" si="2"/>
        <v>0.0007752148867</v>
      </c>
      <c r="K160" s="269">
        <f t="shared" si="7"/>
        <v>1.111141338</v>
      </c>
      <c r="L160" s="270">
        <f t="shared" si="4"/>
        <v>21.99425075</v>
      </c>
      <c r="M160" s="271" t="str">
        <f t="shared" si="5"/>
        <v>@rdfbbx#6437</v>
      </c>
      <c r="N160" s="176">
        <f>IFERROR(__xludf.DUMMYFUNCTION("""COMPUTED_VALUE"""),47.0)</f>
        <v>47</v>
      </c>
      <c r="O160" s="176"/>
      <c r="P160" s="176"/>
      <c r="Q160" s="176"/>
      <c r="R160" s="176"/>
      <c r="S160" s="176"/>
      <c r="T160" s="176"/>
      <c r="U160" s="176"/>
      <c r="V160" s="176"/>
      <c r="W160" s="176"/>
      <c r="X160" s="176"/>
      <c r="Y160" s="176"/>
      <c r="Z160" s="176"/>
    </row>
    <row r="161">
      <c r="A161" s="272" t="s">
        <v>2258</v>
      </c>
      <c r="B161" s="272" t="s">
        <v>1702</v>
      </c>
      <c r="C161" s="273" t="s">
        <v>2034</v>
      </c>
      <c r="D161" s="274" t="s">
        <v>437</v>
      </c>
      <c r="E161" s="328" t="s">
        <v>2295</v>
      </c>
      <c r="F161" s="274" t="s">
        <v>1929</v>
      </c>
      <c r="G161" s="171">
        <v>400.0</v>
      </c>
      <c r="H161" s="171">
        <v>100.0</v>
      </c>
      <c r="I161" s="171">
        <v>100.0</v>
      </c>
      <c r="J161" s="172">
        <f t="shared" si="2"/>
        <v>0.002299734535</v>
      </c>
      <c r="K161" s="269">
        <f t="shared" si="7"/>
        <v>3.296286167</v>
      </c>
      <c r="L161" s="270">
        <f t="shared" si="4"/>
        <v>21.99425075</v>
      </c>
      <c r="M161" s="271" t="str">
        <f t="shared" si="5"/>
        <v>@rdfbbx#6437</v>
      </c>
      <c r="N161" s="176">
        <f>IFERROR(__xludf.DUMMYFUNCTION("""COMPUTED_VALUE"""),48.0)</f>
        <v>48</v>
      </c>
      <c r="O161" s="176"/>
      <c r="P161" s="176"/>
      <c r="Q161" s="176"/>
      <c r="R161" s="176"/>
      <c r="S161" s="176"/>
      <c r="T161" s="176"/>
      <c r="U161" s="176"/>
      <c r="V161" s="176"/>
      <c r="W161" s="176"/>
      <c r="X161" s="176"/>
      <c r="Y161" s="176"/>
      <c r="Z161" s="176"/>
    </row>
    <row r="162">
      <c r="A162" s="253" t="s">
        <v>2258</v>
      </c>
      <c r="B162" s="253" t="s">
        <v>2035</v>
      </c>
      <c r="C162" s="318" t="s">
        <v>2260</v>
      </c>
      <c r="D162" s="319" t="s">
        <v>437</v>
      </c>
      <c r="E162" s="334" t="s">
        <v>2216</v>
      </c>
      <c r="F162" s="319" t="s">
        <v>2129</v>
      </c>
      <c r="G162" s="312"/>
      <c r="H162" s="312"/>
      <c r="I162" s="312"/>
      <c r="J162" s="339"/>
      <c r="K162" s="337"/>
      <c r="L162" s="270">
        <f t="shared" si="4"/>
        <v>21.99425075</v>
      </c>
      <c r="M162" s="271" t="str">
        <f t="shared" si="5"/>
        <v>@rdfbbx#6437</v>
      </c>
      <c r="N162" s="209">
        <f>IFERROR(__xludf.DUMMYFUNCTION("""COMPUTED_VALUE"""),49.0)</f>
        <v>49</v>
      </c>
      <c r="O162" s="209"/>
      <c r="P162" s="209"/>
      <c r="Q162" s="209"/>
      <c r="R162" s="209"/>
      <c r="S162" s="209"/>
      <c r="T162" s="209"/>
      <c r="U162" s="209"/>
      <c r="V162" s="209"/>
      <c r="W162" s="209"/>
      <c r="X162" s="209"/>
      <c r="Y162" s="209"/>
      <c r="Z162" s="209"/>
    </row>
    <row r="163">
      <c r="A163" s="249" t="s">
        <v>8</v>
      </c>
      <c r="B163" s="249" t="s">
        <v>29</v>
      </c>
      <c r="C163" s="219" t="s">
        <v>2296</v>
      </c>
      <c r="D163" s="268" t="s">
        <v>495</v>
      </c>
      <c r="E163" s="251">
        <v>44242.0</v>
      </c>
      <c r="F163" s="250" t="s">
        <v>499</v>
      </c>
      <c r="G163" s="171">
        <v>200.0</v>
      </c>
      <c r="H163" s="171">
        <v>100.0</v>
      </c>
      <c r="I163" s="171">
        <v>150.0</v>
      </c>
      <c r="J163" s="325">
        <f t="shared" ref="J163:J294" si="8">(G163/$G$2+H163/$H$2+I163/$I$2)/3</f>
        <v>0.001877851997</v>
      </c>
      <c r="K163" s="326">
        <f t="shared" ref="K163:K171" si="9">J163*$J$1</f>
        <v>2.691587863</v>
      </c>
      <c r="L163" s="327">
        <f t="shared" si="4"/>
        <v>21.93320459</v>
      </c>
      <c r="M163" s="321" t="str">
        <f t="shared" si="5"/>
        <v>solsista</v>
      </c>
      <c r="N163" s="176">
        <f>IFERROR(__xludf.DUMMYFUNCTION("""COMPUTED_VALUE"""),1.0)</f>
        <v>1</v>
      </c>
      <c r="O163" s="176"/>
      <c r="P163" s="176"/>
      <c r="Q163" s="176"/>
      <c r="R163" s="176"/>
      <c r="S163" s="176"/>
      <c r="T163" s="176"/>
      <c r="U163" s="176"/>
      <c r="V163" s="176"/>
      <c r="W163" s="176"/>
      <c r="X163" s="176"/>
      <c r="Y163" s="176"/>
      <c r="Z163" s="176"/>
    </row>
    <row r="164">
      <c r="A164" s="249" t="s">
        <v>8</v>
      </c>
      <c r="B164" s="249" t="s">
        <v>590</v>
      </c>
      <c r="C164" s="219" t="s">
        <v>2297</v>
      </c>
      <c r="D164" s="268" t="s">
        <v>495</v>
      </c>
      <c r="E164" s="251">
        <v>44242.0</v>
      </c>
      <c r="F164" s="250" t="s">
        <v>496</v>
      </c>
      <c r="G164" s="171">
        <v>210.0</v>
      </c>
      <c r="H164" s="171">
        <v>100.0</v>
      </c>
      <c r="I164" s="171">
        <v>150.0</v>
      </c>
      <c r="J164" s="325">
        <f t="shared" si="8"/>
        <v>0.001913879075</v>
      </c>
      <c r="K164" s="326">
        <f t="shared" si="9"/>
        <v>2.743226674</v>
      </c>
      <c r="L164" s="327">
        <f t="shared" si="4"/>
        <v>21.93320459</v>
      </c>
      <c r="M164" s="321" t="str">
        <f t="shared" si="5"/>
        <v>solsista</v>
      </c>
      <c r="N164" s="176">
        <f>IFERROR(__xludf.DUMMYFUNCTION("""COMPUTED_VALUE"""),2.0)</f>
        <v>2</v>
      </c>
      <c r="O164" s="176"/>
      <c r="P164" s="176"/>
      <c r="Q164" s="176"/>
      <c r="R164" s="176"/>
      <c r="S164" s="176"/>
      <c r="T164" s="176"/>
      <c r="U164" s="176"/>
      <c r="V164" s="176"/>
      <c r="W164" s="176"/>
      <c r="X164" s="176"/>
      <c r="Y164" s="176"/>
      <c r="Z164" s="176"/>
    </row>
    <row r="165">
      <c r="A165" s="249" t="s">
        <v>8</v>
      </c>
      <c r="B165" s="249" t="s">
        <v>18</v>
      </c>
      <c r="C165" s="219" t="s">
        <v>2192</v>
      </c>
      <c r="D165" s="268" t="s">
        <v>495</v>
      </c>
      <c r="E165" s="251">
        <v>44244.0</v>
      </c>
      <c r="F165" s="250" t="s">
        <v>496</v>
      </c>
      <c r="G165" s="171">
        <v>60.0</v>
      </c>
      <c r="H165" s="171">
        <v>100.0</v>
      </c>
      <c r="I165" s="171">
        <v>100.0</v>
      </c>
      <c r="J165" s="325">
        <f t="shared" si="8"/>
        <v>0.001074813885</v>
      </c>
      <c r="K165" s="326">
        <f t="shared" si="9"/>
        <v>1.540566568</v>
      </c>
      <c r="L165" s="327">
        <f t="shared" si="4"/>
        <v>21.93320459</v>
      </c>
      <c r="M165" s="321" t="str">
        <f t="shared" si="5"/>
        <v>solsista</v>
      </c>
      <c r="N165" s="176">
        <f>IFERROR(__xludf.DUMMYFUNCTION("""COMPUTED_VALUE"""),3.0)</f>
        <v>3</v>
      </c>
      <c r="O165" s="176"/>
      <c r="P165" s="176"/>
      <c r="Q165" s="176"/>
      <c r="R165" s="176"/>
      <c r="S165" s="176"/>
      <c r="T165" s="176"/>
      <c r="U165" s="176"/>
      <c r="V165" s="176"/>
      <c r="W165" s="176"/>
      <c r="X165" s="176"/>
      <c r="Y165" s="176"/>
      <c r="Z165" s="176"/>
    </row>
    <row r="166">
      <c r="A166" s="249" t="s">
        <v>8</v>
      </c>
      <c r="B166" s="249" t="s">
        <v>590</v>
      </c>
      <c r="C166" s="219" t="s">
        <v>2298</v>
      </c>
      <c r="D166" s="268" t="s">
        <v>495</v>
      </c>
      <c r="E166" s="251">
        <v>44244.0</v>
      </c>
      <c r="F166" s="250" t="s">
        <v>496</v>
      </c>
      <c r="G166" s="171">
        <v>80.0</v>
      </c>
      <c r="H166" s="171">
        <v>100.0</v>
      </c>
      <c r="I166" s="171">
        <v>100.0</v>
      </c>
      <c r="J166" s="325">
        <f t="shared" si="8"/>
        <v>0.001146868041</v>
      </c>
      <c r="K166" s="326">
        <f t="shared" si="9"/>
        <v>1.643844192</v>
      </c>
      <c r="L166" s="327">
        <f t="shared" si="4"/>
        <v>21.93320459</v>
      </c>
      <c r="M166" s="321" t="str">
        <f t="shared" si="5"/>
        <v>solsista</v>
      </c>
      <c r="N166" s="176">
        <f>IFERROR(__xludf.DUMMYFUNCTION("""COMPUTED_VALUE"""),4.0)</f>
        <v>4</v>
      </c>
      <c r="O166" s="176"/>
      <c r="P166" s="176"/>
      <c r="Q166" s="176"/>
      <c r="R166" s="176"/>
      <c r="S166" s="176"/>
      <c r="T166" s="176"/>
      <c r="U166" s="176"/>
      <c r="V166" s="176"/>
      <c r="W166" s="176"/>
      <c r="X166" s="176"/>
      <c r="Y166" s="176"/>
      <c r="Z166" s="176"/>
    </row>
    <row r="167">
      <c r="A167" s="249" t="s">
        <v>8</v>
      </c>
      <c r="B167" s="249" t="s">
        <v>590</v>
      </c>
      <c r="C167" s="219" t="s">
        <v>2299</v>
      </c>
      <c r="D167" s="268" t="s">
        <v>495</v>
      </c>
      <c r="E167" s="251">
        <v>44244.0</v>
      </c>
      <c r="F167" s="250" t="s">
        <v>496</v>
      </c>
      <c r="G167" s="171">
        <v>220.0</v>
      </c>
      <c r="H167" s="171">
        <v>100.0</v>
      </c>
      <c r="I167" s="171">
        <v>200.0</v>
      </c>
      <c r="J167" s="325">
        <f t="shared" si="8"/>
        <v>0.002248565174</v>
      </c>
      <c r="K167" s="326">
        <f t="shared" si="9"/>
        <v>3.222943416</v>
      </c>
      <c r="L167" s="327">
        <f t="shared" si="4"/>
        <v>21.93320459</v>
      </c>
      <c r="M167" s="321" t="str">
        <f t="shared" si="5"/>
        <v>solsista</v>
      </c>
      <c r="N167" s="176">
        <f>IFERROR(__xludf.DUMMYFUNCTION("""COMPUTED_VALUE"""),5.0)</f>
        <v>5</v>
      </c>
      <c r="O167" s="176"/>
      <c r="P167" s="176"/>
      <c r="Q167" s="176"/>
      <c r="R167" s="176"/>
      <c r="S167" s="176"/>
      <c r="T167" s="176"/>
      <c r="U167" s="176"/>
      <c r="V167" s="176"/>
      <c r="W167" s="176"/>
      <c r="X167" s="176"/>
      <c r="Y167" s="176"/>
      <c r="Z167" s="176"/>
    </row>
    <row r="168">
      <c r="A168" s="249" t="s">
        <v>8</v>
      </c>
      <c r="B168" s="249" t="s">
        <v>10</v>
      </c>
      <c r="C168" s="219" t="s">
        <v>494</v>
      </c>
      <c r="D168" s="268" t="s">
        <v>495</v>
      </c>
      <c r="E168" s="251">
        <v>44253.0</v>
      </c>
      <c r="F168" s="250" t="s">
        <v>496</v>
      </c>
      <c r="G168" s="171">
        <v>100.0</v>
      </c>
      <c r="H168" s="171">
        <v>300.0</v>
      </c>
      <c r="I168" s="171">
        <v>100.0</v>
      </c>
      <c r="J168" s="325">
        <f t="shared" si="8"/>
        <v>0.001741588947</v>
      </c>
      <c r="K168" s="326">
        <f t="shared" si="9"/>
        <v>2.496277491</v>
      </c>
      <c r="L168" s="327">
        <f t="shared" si="4"/>
        <v>21.93320459</v>
      </c>
      <c r="M168" s="321" t="str">
        <f t="shared" si="5"/>
        <v>solsista</v>
      </c>
      <c r="N168" s="176">
        <f>IFERROR(__xludf.DUMMYFUNCTION("""COMPUTED_VALUE"""),6.0)</f>
        <v>6</v>
      </c>
      <c r="O168" s="176"/>
      <c r="P168" s="176"/>
      <c r="Q168" s="176"/>
      <c r="R168" s="176"/>
      <c r="S168" s="176"/>
      <c r="T168" s="176"/>
      <c r="U168" s="176"/>
      <c r="V168" s="176"/>
      <c r="W168" s="176"/>
      <c r="X168" s="176"/>
      <c r="Y168" s="176"/>
      <c r="Z168" s="176"/>
    </row>
    <row r="169">
      <c r="A169" s="249" t="s">
        <v>8</v>
      </c>
      <c r="B169" s="249" t="s">
        <v>10</v>
      </c>
      <c r="C169" s="219" t="s">
        <v>2300</v>
      </c>
      <c r="D169" s="268" t="s">
        <v>495</v>
      </c>
      <c r="E169" s="251">
        <v>44253.0</v>
      </c>
      <c r="F169" s="250" t="s">
        <v>496</v>
      </c>
      <c r="G169" s="171">
        <v>180.0</v>
      </c>
      <c r="H169" s="171">
        <v>200.0</v>
      </c>
      <c r="I169" s="171">
        <v>200.0</v>
      </c>
      <c r="J169" s="325">
        <f t="shared" si="8"/>
        <v>0.002365790237</v>
      </c>
      <c r="K169" s="326">
        <f t="shared" si="9"/>
        <v>3.390966007</v>
      </c>
      <c r="L169" s="327">
        <f t="shared" si="4"/>
        <v>21.93320459</v>
      </c>
      <c r="M169" s="321" t="str">
        <f t="shared" si="5"/>
        <v>solsista</v>
      </c>
      <c r="N169" s="176">
        <f>IFERROR(__xludf.DUMMYFUNCTION("""COMPUTED_VALUE"""),7.0)</f>
        <v>7</v>
      </c>
      <c r="O169" s="176"/>
      <c r="P169" s="176"/>
      <c r="Q169" s="176"/>
      <c r="R169" s="176"/>
      <c r="S169" s="176"/>
      <c r="T169" s="176"/>
      <c r="U169" s="176"/>
      <c r="V169" s="176"/>
      <c r="W169" s="176"/>
      <c r="X169" s="176"/>
      <c r="Y169" s="176"/>
      <c r="Z169" s="176"/>
    </row>
    <row r="170">
      <c r="A170" s="249" t="s">
        <v>8</v>
      </c>
      <c r="B170" s="249" t="s">
        <v>10</v>
      </c>
      <c r="C170" s="219" t="s">
        <v>2301</v>
      </c>
      <c r="D170" s="268" t="s">
        <v>495</v>
      </c>
      <c r="E170" s="251">
        <v>44253.0</v>
      </c>
      <c r="F170" s="250" t="s">
        <v>496</v>
      </c>
      <c r="G170" s="171">
        <v>200.0</v>
      </c>
      <c r="H170" s="171">
        <v>200.0</v>
      </c>
      <c r="I170" s="171">
        <v>200.0</v>
      </c>
      <c r="J170" s="325">
        <f t="shared" si="8"/>
        <v>0.002437844393</v>
      </c>
      <c r="K170" s="326">
        <f t="shared" si="9"/>
        <v>3.49424363</v>
      </c>
      <c r="L170" s="327">
        <f t="shared" si="4"/>
        <v>21.93320459</v>
      </c>
      <c r="M170" s="321" t="str">
        <f t="shared" si="5"/>
        <v>solsista</v>
      </c>
      <c r="N170" s="176">
        <f>IFERROR(__xludf.DUMMYFUNCTION("""COMPUTED_VALUE"""),8.0)</f>
        <v>8</v>
      </c>
      <c r="O170" s="176"/>
      <c r="P170" s="176"/>
      <c r="Q170" s="176"/>
      <c r="R170" s="176"/>
      <c r="S170" s="176"/>
      <c r="T170" s="176"/>
      <c r="U170" s="176"/>
      <c r="V170" s="176"/>
      <c r="W170" s="176"/>
      <c r="X170" s="176"/>
      <c r="Y170" s="176"/>
      <c r="Z170" s="176"/>
    </row>
    <row r="171">
      <c r="A171" s="249" t="s">
        <v>8</v>
      </c>
      <c r="B171" s="249" t="s">
        <v>10</v>
      </c>
      <c r="C171" s="219" t="s">
        <v>2206</v>
      </c>
      <c r="D171" s="268" t="s">
        <v>495</v>
      </c>
      <c r="E171" s="251">
        <v>44253.0</v>
      </c>
      <c r="F171" s="250" t="s">
        <v>496</v>
      </c>
      <c r="G171" s="171">
        <v>40.0</v>
      </c>
      <c r="H171" s="171">
        <v>20.0</v>
      </c>
      <c r="I171" s="171">
        <v>50.0</v>
      </c>
      <c r="J171" s="325">
        <f t="shared" si="8"/>
        <v>0.0004950340078</v>
      </c>
      <c r="K171" s="326">
        <f t="shared" si="9"/>
        <v>0.7095487446</v>
      </c>
      <c r="L171" s="327">
        <f t="shared" si="4"/>
        <v>21.93320459</v>
      </c>
      <c r="M171" s="321" t="str">
        <f t="shared" si="5"/>
        <v>solsista</v>
      </c>
      <c r="N171" s="176">
        <f>IFERROR(__xludf.DUMMYFUNCTION("""COMPUTED_VALUE"""),9.0)</f>
        <v>9</v>
      </c>
      <c r="O171" s="176"/>
      <c r="P171" s="176"/>
      <c r="Q171" s="176"/>
      <c r="R171" s="176"/>
      <c r="S171" s="176"/>
      <c r="T171" s="176"/>
      <c r="U171" s="176"/>
      <c r="V171" s="176"/>
      <c r="W171" s="176"/>
      <c r="X171" s="176"/>
      <c r="Y171" s="176"/>
      <c r="Z171" s="176"/>
    </row>
    <row r="172">
      <c r="A172" s="240" t="s">
        <v>50</v>
      </c>
      <c r="B172" s="240" t="s">
        <v>534</v>
      </c>
      <c r="C172" s="221" t="s">
        <v>535</v>
      </c>
      <c r="D172" s="336"/>
      <c r="E172" s="255"/>
      <c r="F172" s="254"/>
      <c r="G172" s="222"/>
      <c r="H172" s="222"/>
      <c r="I172" s="222"/>
      <c r="J172" s="325">
        <f t="shared" si="8"/>
        <v>0</v>
      </c>
      <c r="K172" s="337">
        <f>20.915*-0.85</f>
        <v>-17.77775</v>
      </c>
      <c r="L172" s="327">
        <f t="shared" si="4"/>
        <v>3.137739612</v>
      </c>
      <c r="M172" s="321" t="str">
        <f t="shared" si="5"/>
        <v>geleeroyale</v>
      </c>
      <c r="N172" s="209">
        <f>IFERROR(__xludf.DUMMYFUNCTION("""COMPUTED_VALUE"""),1.0)</f>
        <v>1</v>
      </c>
      <c r="O172" s="209"/>
      <c r="P172" s="209"/>
      <c r="Q172" s="209"/>
      <c r="R172" s="209">
        <v>18.802169413641863</v>
      </c>
      <c r="S172" s="209"/>
      <c r="T172" s="209"/>
      <c r="U172" s="209"/>
      <c r="V172" s="209"/>
      <c r="W172" s="209"/>
      <c r="X172" s="209"/>
      <c r="Y172" s="176"/>
      <c r="Z172" s="176"/>
    </row>
    <row r="173">
      <c r="A173" s="16" t="s">
        <v>50</v>
      </c>
      <c r="B173" s="272" t="s">
        <v>1958</v>
      </c>
      <c r="C173" s="273" t="s">
        <v>2302</v>
      </c>
      <c r="D173" s="274" t="s">
        <v>437</v>
      </c>
      <c r="E173" s="328" t="s">
        <v>2303</v>
      </c>
      <c r="F173" s="274" t="s">
        <v>1929</v>
      </c>
      <c r="G173" s="171">
        <v>220.0</v>
      </c>
      <c r="H173" s="171">
        <v>200.0</v>
      </c>
      <c r="I173" s="171">
        <v>200.0</v>
      </c>
      <c r="J173" s="172">
        <f t="shared" si="8"/>
        <v>0.002509898549</v>
      </c>
      <c r="K173" s="269">
        <f t="shared" ref="K173:K209" si="10">J173*$J$1</f>
        <v>3.597521254</v>
      </c>
      <c r="L173" s="270">
        <f t="shared" si="4"/>
        <v>3.137739612</v>
      </c>
      <c r="M173" s="271" t="str">
        <f t="shared" si="5"/>
        <v>geleeroyale</v>
      </c>
      <c r="N173" s="176">
        <f>IFERROR(__xludf.DUMMYFUNCTION("""COMPUTED_VALUE"""),2.0)</f>
        <v>2</v>
      </c>
      <c r="O173" s="176"/>
      <c r="P173" s="176"/>
      <c r="Q173" s="176"/>
      <c r="R173" s="176"/>
      <c r="S173" s="176"/>
      <c r="T173" s="176"/>
      <c r="U173" s="176"/>
      <c r="V173" s="176"/>
      <c r="W173" s="176"/>
      <c r="X173" s="176"/>
      <c r="Y173" s="176"/>
      <c r="Z173" s="176"/>
    </row>
    <row r="174">
      <c r="A174" s="16" t="s">
        <v>50</v>
      </c>
      <c r="B174" s="253" t="s">
        <v>12</v>
      </c>
      <c r="C174" s="318" t="s">
        <v>2304</v>
      </c>
      <c r="D174" s="319" t="s">
        <v>437</v>
      </c>
      <c r="E174" s="334" t="s">
        <v>2305</v>
      </c>
      <c r="F174" s="319" t="s">
        <v>1929</v>
      </c>
      <c r="G174" s="312"/>
      <c r="H174" s="312"/>
      <c r="I174" s="222"/>
      <c r="J174" s="172">
        <f t="shared" si="8"/>
        <v>0</v>
      </c>
      <c r="K174" s="269">
        <f t="shared" si="10"/>
        <v>0</v>
      </c>
      <c r="L174" s="270">
        <f t="shared" si="4"/>
        <v>3.137739612</v>
      </c>
      <c r="M174" s="271" t="str">
        <f t="shared" si="5"/>
        <v>geleeroyale</v>
      </c>
      <c r="N174" s="209">
        <f>IFERROR(__xludf.DUMMYFUNCTION("""COMPUTED_VALUE"""),3.0)</f>
        <v>3</v>
      </c>
      <c r="O174" s="209"/>
      <c r="P174" s="209"/>
      <c r="Q174" s="209"/>
      <c r="R174" s="209"/>
      <c r="S174" s="209"/>
      <c r="T174" s="209"/>
      <c r="U174" s="209"/>
      <c r="V174" s="209"/>
      <c r="W174" s="209"/>
      <c r="X174" s="209"/>
      <c r="Y174" s="209"/>
      <c r="Z174" s="209"/>
    </row>
    <row r="175">
      <c r="A175" s="16" t="s">
        <v>50</v>
      </c>
      <c r="B175" s="253" t="s">
        <v>12</v>
      </c>
      <c r="C175" s="318" t="s">
        <v>2306</v>
      </c>
      <c r="D175" s="319" t="s">
        <v>437</v>
      </c>
      <c r="E175" s="334" t="s">
        <v>2305</v>
      </c>
      <c r="F175" s="319" t="s">
        <v>1929</v>
      </c>
      <c r="G175" s="312"/>
      <c r="H175" s="312"/>
      <c r="I175" s="222"/>
      <c r="J175" s="172">
        <f t="shared" si="8"/>
        <v>0</v>
      </c>
      <c r="K175" s="269">
        <f t="shared" si="10"/>
        <v>0</v>
      </c>
      <c r="L175" s="270">
        <f t="shared" si="4"/>
        <v>3.137739612</v>
      </c>
      <c r="M175" s="271" t="str">
        <f t="shared" si="5"/>
        <v>geleeroyale</v>
      </c>
      <c r="N175" s="176">
        <f>IFERROR(__xludf.DUMMYFUNCTION("""COMPUTED_VALUE"""),4.0)</f>
        <v>4</v>
      </c>
      <c r="O175" s="176"/>
      <c r="P175" s="176"/>
      <c r="Q175" s="176"/>
      <c r="R175" s="176"/>
      <c r="S175" s="176"/>
      <c r="T175" s="176"/>
      <c r="U175" s="176"/>
      <c r="V175" s="176"/>
      <c r="W175" s="176"/>
      <c r="X175" s="176"/>
      <c r="Y175" s="176"/>
      <c r="Z175" s="176"/>
    </row>
    <row r="176">
      <c r="A176" s="16" t="s">
        <v>50</v>
      </c>
      <c r="B176" s="272" t="s">
        <v>12</v>
      </c>
      <c r="C176" s="273" t="s">
        <v>2307</v>
      </c>
      <c r="D176" s="274" t="s">
        <v>437</v>
      </c>
      <c r="E176" s="328" t="s">
        <v>2294</v>
      </c>
      <c r="F176" s="274" t="s">
        <v>1929</v>
      </c>
      <c r="G176" s="171">
        <v>250.0</v>
      </c>
      <c r="H176" s="171">
        <v>200.0</v>
      </c>
      <c r="I176" s="171">
        <v>200.0</v>
      </c>
      <c r="J176" s="172">
        <f t="shared" si="8"/>
        <v>0.002617979783</v>
      </c>
      <c r="K176" s="269">
        <f t="shared" si="10"/>
        <v>3.752437689</v>
      </c>
      <c r="L176" s="270">
        <f t="shared" si="4"/>
        <v>3.137739612</v>
      </c>
      <c r="M176" s="271" t="str">
        <f t="shared" si="5"/>
        <v>geleeroyale</v>
      </c>
      <c r="N176" s="176">
        <f>IFERROR(__xludf.DUMMYFUNCTION("""COMPUTED_VALUE"""),5.0)</f>
        <v>5</v>
      </c>
      <c r="O176" s="176"/>
      <c r="P176" s="176"/>
      <c r="Q176" s="176"/>
      <c r="R176" s="176"/>
      <c r="S176" s="176"/>
      <c r="T176" s="176"/>
      <c r="U176" s="176"/>
      <c r="V176" s="176"/>
      <c r="W176" s="176"/>
      <c r="X176" s="176"/>
      <c r="Y176" s="176"/>
      <c r="Z176" s="176"/>
    </row>
    <row r="177">
      <c r="A177" s="249" t="s">
        <v>50</v>
      </c>
      <c r="B177" s="249" t="s">
        <v>845</v>
      </c>
      <c r="C177" s="219" t="s">
        <v>2256</v>
      </c>
      <c r="D177" s="268" t="s">
        <v>495</v>
      </c>
      <c r="E177" s="251">
        <v>44250.0</v>
      </c>
      <c r="F177" s="250" t="s">
        <v>499</v>
      </c>
      <c r="G177" s="171">
        <v>500.0</v>
      </c>
      <c r="H177" s="171">
        <v>300.0</v>
      </c>
      <c r="I177" s="171">
        <v>150.0</v>
      </c>
      <c r="J177" s="325">
        <f t="shared" si="8"/>
        <v>0.003481331086</v>
      </c>
      <c r="K177" s="326">
        <f t="shared" si="10"/>
        <v>4.98990789</v>
      </c>
      <c r="L177" s="327">
        <f t="shared" si="4"/>
        <v>3.137739612</v>
      </c>
      <c r="M177" s="321" t="str">
        <f t="shared" si="5"/>
        <v>geleeroyale</v>
      </c>
      <c r="N177" s="176">
        <f>IFERROR(__xludf.DUMMYFUNCTION("""COMPUTED_VALUE"""),6.0)</f>
        <v>6</v>
      </c>
      <c r="O177" s="176"/>
      <c r="P177" s="176"/>
      <c r="Q177" s="176"/>
      <c r="R177" s="176"/>
      <c r="S177" s="176"/>
      <c r="T177" s="176"/>
      <c r="U177" s="176"/>
      <c r="V177" s="176"/>
      <c r="W177" s="176"/>
      <c r="X177" s="176"/>
      <c r="Y177" s="176"/>
      <c r="Z177" s="176"/>
    </row>
    <row r="178">
      <c r="A178" s="249" t="s">
        <v>50</v>
      </c>
      <c r="B178" s="249" t="s">
        <v>10</v>
      </c>
      <c r="C178" s="219" t="s">
        <v>2203</v>
      </c>
      <c r="D178" s="268" t="s">
        <v>495</v>
      </c>
      <c r="E178" s="251">
        <v>44253.0</v>
      </c>
      <c r="F178" s="250" t="s">
        <v>496</v>
      </c>
      <c r="G178" s="171">
        <v>80.0</v>
      </c>
      <c r="H178" s="171">
        <v>300.0</v>
      </c>
      <c r="I178" s="171">
        <v>200.0</v>
      </c>
      <c r="J178" s="325">
        <f t="shared" si="8"/>
        <v>0.002266852833</v>
      </c>
      <c r="K178" s="326">
        <f t="shared" si="10"/>
        <v>3.249155727</v>
      </c>
      <c r="L178" s="327">
        <f t="shared" si="4"/>
        <v>3.137739612</v>
      </c>
      <c r="M178" s="321" t="str">
        <f t="shared" si="5"/>
        <v>geleeroyale</v>
      </c>
      <c r="N178" s="176">
        <f>IFERROR(__xludf.DUMMYFUNCTION("""COMPUTED_VALUE"""),7.0)</f>
        <v>7</v>
      </c>
      <c r="O178" s="176"/>
      <c r="P178" s="176"/>
      <c r="Q178" s="176"/>
      <c r="R178" s="176"/>
      <c r="S178" s="176"/>
      <c r="T178" s="176"/>
      <c r="U178" s="176"/>
      <c r="V178" s="176"/>
      <c r="W178" s="176"/>
      <c r="X178" s="176"/>
      <c r="Y178" s="176"/>
      <c r="Z178" s="176"/>
    </row>
    <row r="179">
      <c r="A179" s="249" t="s">
        <v>50</v>
      </c>
      <c r="B179" s="249" t="s">
        <v>10</v>
      </c>
      <c r="C179" s="219" t="s">
        <v>2257</v>
      </c>
      <c r="D179" s="268" t="s">
        <v>495</v>
      </c>
      <c r="E179" s="251">
        <v>44253.0</v>
      </c>
      <c r="F179" s="250" t="s">
        <v>496</v>
      </c>
      <c r="G179" s="171">
        <v>210.0</v>
      </c>
      <c r="H179" s="171">
        <v>200.0</v>
      </c>
      <c r="I179" s="171">
        <v>150.0</v>
      </c>
      <c r="J179" s="325">
        <f t="shared" si="8"/>
        <v>0.00217521245</v>
      </c>
      <c r="K179" s="326">
        <f t="shared" si="10"/>
        <v>3.117804512</v>
      </c>
      <c r="L179" s="327">
        <f t="shared" si="4"/>
        <v>3.137739612</v>
      </c>
      <c r="M179" s="321" t="str">
        <f t="shared" si="5"/>
        <v>geleeroyale</v>
      </c>
      <c r="N179" s="176">
        <f>IFERROR(__xludf.DUMMYFUNCTION("""COMPUTED_VALUE"""),8.0)</f>
        <v>8</v>
      </c>
      <c r="O179" s="176"/>
      <c r="P179" s="176"/>
      <c r="Q179" s="176"/>
      <c r="R179" s="176"/>
      <c r="S179" s="176"/>
      <c r="T179" s="176"/>
      <c r="U179" s="176"/>
      <c r="V179" s="176"/>
      <c r="W179" s="176"/>
      <c r="X179" s="176"/>
      <c r="Y179" s="176"/>
      <c r="Z179" s="176"/>
    </row>
    <row r="180">
      <c r="A180" s="249" t="s">
        <v>50</v>
      </c>
      <c r="B180" s="249" t="s">
        <v>10</v>
      </c>
      <c r="C180" s="219" t="s">
        <v>2247</v>
      </c>
      <c r="D180" s="268" t="s">
        <v>495</v>
      </c>
      <c r="E180" s="251">
        <v>44253.0</v>
      </c>
      <c r="F180" s="250" t="s">
        <v>496</v>
      </c>
      <c r="G180" s="171">
        <v>150.0</v>
      </c>
      <c r="H180" s="171">
        <v>200.0</v>
      </c>
      <c r="I180" s="171">
        <v>80.0</v>
      </c>
      <c r="J180" s="325">
        <f t="shared" si="8"/>
        <v>0.001540927353</v>
      </c>
      <c r="K180" s="326">
        <f t="shared" si="10"/>
        <v>2.20866254</v>
      </c>
      <c r="L180" s="327">
        <f t="shared" si="4"/>
        <v>3.137739612</v>
      </c>
      <c r="M180" s="321" t="str">
        <f t="shared" si="5"/>
        <v>geleeroyale</v>
      </c>
      <c r="N180" s="176">
        <f>IFERROR(__xludf.DUMMYFUNCTION("""COMPUTED_VALUE"""),9.0)</f>
        <v>9</v>
      </c>
      <c r="O180" s="176"/>
      <c r="P180" s="176"/>
      <c r="Q180" s="176"/>
      <c r="R180" s="176"/>
      <c r="S180" s="176"/>
      <c r="T180" s="176"/>
      <c r="U180" s="176"/>
      <c r="V180" s="176"/>
      <c r="W180" s="176"/>
      <c r="X180" s="176"/>
      <c r="Y180" s="176"/>
      <c r="Z180" s="176"/>
    </row>
    <row r="181">
      <c r="A181" s="253" t="s">
        <v>2308</v>
      </c>
      <c r="B181" s="253" t="s">
        <v>2035</v>
      </c>
      <c r="C181" s="318" t="s">
        <v>2219</v>
      </c>
      <c r="D181" s="319" t="s">
        <v>2220</v>
      </c>
      <c r="E181" s="334" t="s">
        <v>2221</v>
      </c>
      <c r="F181" s="319" t="s">
        <v>2222</v>
      </c>
      <c r="G181" s="312"/>
      <c r="H181" s="312"/>
      <c r="I181" s="312"/>
      <c r="J181" s="172">
        <f t="shared" si="8"/>
        <v>0</v>
      </c>
      <c r="K181" s="269">
        <f t="shared" si="10"/>
        <v>0</v>
      </c>
      <c r="L181" s="270">
        <f t="shared" si="4"/>
        <v>19.88521334</v>
      </c>
      <c r="M181" s="271" t="str">
        <f t="shared" si="5"/>
        <v>@Vyvy-vi#5040</v>
      </c>
      <c r="N181" s="209">
        <f>IFERROR(__xludf.DUMMYFUNCTION("""COMPUTED_VALUE"""),1.0)</f>
        <v>1</v>
      </c>
      <c r="O181" s="209"/>
      <c r="P181" s="209"/>
      <c r="Q181" s="209"/>
      <c r="R181" s="209"/>
      <c r="S181" s="209"/>
      <c r="T181" s="209"/>
      <c r="U181" s="209"/>
      <c r="V181" s="209"/>
      <c r="W181" s="209"/>
      <c r="X181" s="209"/>
      <c r="Y181" s="209"/>
      <c r="Z181" s="209"/>
    </row>
    <row r="182">
      <c r="A182" s="272" t="s">
        <v>2308</v>
      </c>
      <c r="B182" s="272" t="s">
        <v>12</v>
      </c>
      <c r="C182" s="273" t="s">
        <v>2309</v>
      </c>
      <c r="D182" s="274" t="s">
        <v>437</v>
      </c>
      <c r="E182" s="328" t="s">
        <v>2224</v>
      </c>
      <c r="F182" s="274" t="s">
        <v>1929</v>
      </c>
      <c r="G182" s="171">
        <v>800.0</v>
      </c>
      <c r="H182" s="171">
        <v>1000.0</v>
      </c>
      <c r="I182" s="171">
        <v>100.0</v>
      </c>
      <c r="J182" s="172">
        <f t="shared" si="8"/>
        <v>0.00609281803</v>
      </c>
      <c r="K182" s="269">
        <f t="shared" si="10"/>
        <v>8.733039176</v>
      </c>
      <c r="L182" s="270">
        <f t="shared" si="4"/>
        <v>19.88521334</v>
      </c>
      <c r="M182" s="271" t="str">
        <f t="shared" si="5"/>
        <v>@Vyvy-vi#5040</v>
      </c>
      <c r="N182" s="176">
        <f>IFERROR(__xludf.DUMMYFUNCTION("""COMPUTED_VALUE"""),2.0)</f>
        <v>2</v>
      </c>
      <c r="O182" s="176"/>
      <c r="P182" s="176"/>
      <c r="Q182" s="176"/>
      <c r="R182" s="176"/>
      <c r="S182" s="176"/>
      <c r="T182" s="176"/>
      <c r="U182" s="176"/>
      <c r="V182" s="176"/>
      <c r="W182" s="176"/>
      <c r="X182" s="176"/>
      <c r="Y182" s="176"/>
      <c r="Z182" s="176"/>
    </row>
    <row r="183">
      <c r="A183" s="272" t="s">
        <v>2308</v>
      </c>
      <c r="B183" s="272" t="s">
        <v>2035</v>
      </c>
      <c r="C183" s="273" t="s">
        <v>2223</v>
      </c>
      <c r="D183" s="274" t="s">
        <v>437</v>
      </c>
      <c r="E183" s="328" t="s">
        <v>2224</v>
      </c>
      <c r="F183" s="274" t="s">
        <v>1929</v>
      </c>
      <c r="G183" s="171">
        <v>110.0</v>
      </c>
      <c r="H183" s="171">
        <v>100.0</v>
      </c>
      <c r="I183" s="171">
        <v>150.0</v>
      </c>
      <c r="J183" s="172">
        <f t="shared" si="8"/>
        <v>0.001553608296</v>
      </c>
      <c r="K183" s="269">
        <f t="shared" si="10"/>
        <v>2.226838557</v>
      </c>
      <c r="L183" s="270">
        <f t="shared" si="4"/>
        <v>19.88521334</v>
      </c>
      <c r="M183" s="271" t="str">
        <f t="shared" si="5"/>
        <v>@Vyvy-vi#5040</v>
      </c>
      <c r="N183" s="176">
        <f>IFERROR(__xludf.DUMMYFUNCTION("""COMPUTED_VALUE"""),3.0)</f>
        <v>3</v>
      </c>
      <c r="O183" s="176"/>
      <c r="P183" s="176"/>
      <c r="Q183" s="176"/>
      <c r="R183" s="176"/>
      <c r="S183" s="176"/>
      <c r="T183" s="176"/>
      <c r="U183" s="176"/>
      <c r="V183" s="176"/>
      <c r="W183" s="176"/>
      <c r="X183" s="176"/>
      <c r="Y183" s="176"/>
      <c r="Z183" s="176"/>
    </row>
    <row r="184">
      <c r="A184" s="272" t="s">
        <v>2308</v>
      </c>
      <c r="B184" s="272" t="s">
        <v>12</v>
      </c>
      <c r="C184" s="273" t="s">
        <v>2310</v>
      </c>
      <c r="D184" s="274" t="s">
        <v>437</v>
      </c>
      <c r="E184" s="328" t="s">
        <v>2305</v>
      </c>
      <c r="F184" s="274" t="s">
        <v>1929</v>
      </c>
      <c r="G184" s="171">
        <v>300.0</v>
      </c>
      <c r="H184" s="171">
        <v>100.0</v>
      </c>
      <c r="I184" s="171">
        <v>200.0</v>
      </c>
      <c r="J184" s="172">
        <f t="shared" si="8"/>
        <v>0.002536781798</v>
      </c>
      <c r="K184" s="269">
        <f t="shared" si="10"/>
        <v>3.63605391</v>
      </c>
      <c r="L184" s="270">
        <f t="shared" si="4"/>
        <v>19.88521334</v>
      </c>
      <c r="M184" s="271" t="str">
        <f t="shared" si="5"/>
        <v>@Vyvy-vi#5040</v>
      </c>
      <c r="N184" s="176">
        <f>IFERROR(__xludf.DUMMYFUNCTION("""COMPUTED_VALUE"""),4.0)</f>
        <v>4</v>
      </c>
      <c r="O184" s="176"/>
      <c r="P184" s="176"/>
      <c r="Q184" s="176"/>
      <c r="R184" s="176"/>
      <c r="S184" s="176"/>
      <c r="T184" s="176"/>
      <c r="U184" s="176"/>
      <c r="V184" s="176"/>
      <c r="W184" s="176"/>
      <c r="X184" s="176"/>
      <c r="Y184" s="176"/>
      <c r="Z184" s="176"/>
    </row>
    <row r="185">
      <c r="A185" s="272" t="s">
        <v>2308</v>
      </c>
      <c r="B185" s="272" t="s">
        <v>1933</v>
      </c>
      <c r="C185" s="273" t="s">
        <v>2311</v>
      </c>
      <c r="D185" s="274" t="s">
        <v>437</v>
      </c>
      <c r="E185" s="328" t="s">
        <v>2305</v>
      </c>
      <c r="F185" s="274" t="s">
        <v>1929</v>
      </c>
      <c r="G185" s="171">
        <v>180.0</v>
      </c>
      <c r="H185" s="171">
        <v>300.0</v>
      </c>
      <c r="I185" s="171">
        <v>100.0</v>
      </c>
      <c r="J185" s="172">
        <f t="shared" si="8"/>
        <v>0.002029805571</v>
      </c>
      <c r="K185" s="269">
        <f t="shared" si="10"/>
        <v>2.909387984</v>
      </c>
      <c r="L185" s="270">
        <f t="shared" si="4"/>
        <v>19.88521334</v>
      </c>
      <c r="M185" s="271" t="str">
        <f t="shared" si="5"/>
        <v>@Vyvy-vi#5040</v>
      </c>
      <c r="N185" s="176">
        <f>IFERROR(__xludf.DUMMYFUNCTION("""COMPUTED_VALUE"""),5.0)</f>
        <v>5</v>
      </c>
      <c r="O185" s="176"/>
      <c r="P185" s="176"/>
      <c r="Q185" s="176"/>
      <c r="R185" s="176"/>
      <c r="S185" s="176"/>
      <c r="T185" s="176"/>
      <c r="U185" s="176"/>
      <c r="V185" s="176"/>
      <c r="W185" s="176"/>
      <c r="X185" s="176"/>
      <c r="Y185" s="176"/>
      <c r="Z185" s="176"/>
    </row>
    <row r="186">
      <c r="A186" s="272" t="s">
        <v>2308</v>
      </c>
      <c r="B186" s="272" t="s">
        <v>12</v>
      </c>
      <c r="C186" s="273" t="s">
        <v>2312</v>
      </c>
      <c r="D186" s="274" t="s">
        <v>437</v>
      </c>
      <c r="E186" s="328" t="s">
        <v>2294</v>
      </c>
      <c r="F186" s="274" t="s">
        <v>1929</v>
      </c>
      <c r="G186" s="171">
        <v>150.0</v>
      </c>
      <c r="H186" s="171">
        <v>200.0</v>
      </c>
      <c r="I186" s="171">
        <v>100.0</v>
      </c>
      <c r="J186" s="172">
        <f t="shared" si="8"/>
        <v>0.001660390962</v>
      </c>
      <c r="K186" s="269">
        <f t="shared" si="10"/>
        <v>2.379893712</v>
      </c>
      <c r="L186" s="270">
        <f t="shared" si="4"/>
        <v>19.88521334</v>
      </c>
      <c r="M186" s="271" t="str">
        <f t="shared" si="5"/>
        <v>@Vyvy-vi#5040</v>
      </c>
      <c r="N186" s="176">
        <f>IFERROR(__xludf.DUMMYFUNCTION("""COMPUTED_VALUE"""),6.0)</f>
        <v>6</v>
      </c>
      <c r="O186" s="176"/>
      <c r="P186" s="176"/>
      <c r="Q186" s="176"/>
      <c r="R186" s="176"/>
      <c r="S186" s="176"/>
      <c r="T186" s="176"/>
      <c r="U186" s="176"/>
      <c r="V186" s="176"/>
      <c r="W186" s="176"/>
      <c r="X186" s="176"/>
      <c r="Y186" s="176"/>
      <c r="Z186" s="176"/>
    </row>
    <row r="187">
      <c r="A187" s="249" t="s">
        <v>22</v>
      </c>
      <c r="B187" s="249" t="s">
        <v>10</v>
      </c>
      <c r="C187" s="219" t="s">
        <v>2313</v>
      </c>
      <c r="D187" s="268" t="s">
        <v>495</v>
      </c>
      <c r="E187" s="251">
        <v>44246.0</v>
      </c>
      <c r="F187" s="250" t="s">
        <v>496</v>
      </c>
      <c r="G187" s="171">
        <v>300.0</v>
      </c>
      <c r="H187" s="171">
        <v>1000.0</v>
      </c>
      <c r="I187" s="171">
        <v>200.0</v>
      </c>
      <c r="J187" s="325">
        <f t="shared" si="8"/>
        <v>0.004888782174</v>
      </c>
      <c r="K187" s="326">
        <f t="shared" si="10"/>
        <v>7.007254449</v>
      </c>
      <c r="L187" s="327">
        <f t="shared" si="4"/>
        <v>19.54347445</v>
      </c>
      <c r="M187" s="321" t="str">
        <f t="shared" si="5"/>
        <v>naynaysoo</v>
      </c>
      <c r="N187" s="176">
        <f>IFERROR(__xludf.DUMMYFUNCTION("""COMPUTED_VALUE"""),1.0)</f>
        <v>1</v>
      </c>
      <c r="O187" s="176"/>
      <c r="P187" s="176"/>
      <c r="Q187" s="176"/>
      <c r="R187" s="176"/>
      <c r="S187" s="176"/>
      <c r="T187" s="176"/>
      <c r="U187" s="176"/>
      <c r="V187" s="176"/>
      <c r="W187" s="176"/>
      <c r="X187" s="176"/>
      <c r="Y187" s="176"/>
      <c r="Z187" s="176"/>
    </row>
    <row r="188">
      <c r="A188" s="249" t="s">
        <v>22</v>
      </c>
      <c r="B188" s="249" t="s">
        <v>18</v>
      </c>
      <c r="C188" s="219" t="s">
        <v>2201</v>
      </c>
      <c r="D188" s="268" t="s">
        <v>495</v>
      </c>
      <c r="E188" s="251">
        <v>44250.0</v>
      </c>
      <c r="F188" s="250" t="s">
        <v>496</v>
      </c>
      <c r="G188" s="171">
        <v>60.0</v>
      </c>
      <c r="H188" s="171">
        <v>100.0</v>
      </c>
      <c r="I188" s="171">
        <v>80.0</v>
      </c>
      <c r="J188" s="325">
        <f t="shared" si="8"/>
        <v>0.0009553502765</v>
      </c>
      <c r="K188" s="326">
        <f t="shared" si="10"/>
        <v>1.369335396</v>
      </c>
      <c r="L188" s="327">
        <f t="shared" si="4"/>
        <v>19.54347445</v>
      </c>
      <c r="M188" s="321" t="str">
        <f t="shared" si="5"/>
        <v>naynaysoo</v>
      </c>
      <c r="N188" s="176">
        <f>IFERROR(__xludf.DUMMYFUNCTION("""COMPUTED_VALUE"""),2.0)</f>
        <v>2</v>
      </c>
      <c r="O188" s="176"/>
      <c r="P188" s="176"/>
      <c r="Q188" s="176"/>
      <c r="R188" s="176"/>
      <c r="S188" s="176"/>
      <c r="T188" s="176"/>
      <c r="U188" s="176"/>
      <c r="V188" s="176"/>
      <c r="W188" s="176"/>
      <c r="X188" s="176"/>
      <c r="Y188" s="176"/>
      <c r="Z188" s="176"/>
    </row>
    <row r="189">
      <c r="A189" s="249" t="s">
        <v>22</v>
      </c>
      <c r="B189" s="249" t="s">
        <v>590</v>
      </c>
      <c r="C189" s="219" t="s">
        <v>2202</v>
      </c>
      <c r="D189" s="268" t="s">
        <v>495</v>
      </c>
      <c r="E189" s="251">
        <v>44250.0</v>
      </c>
      <c r="F189" s="250" t="s">
        <v>496</v>
      </c>
      <c r="G189" s="171">
        <v>40.0</v>
      </c>
      <c r="H189" s="171">
        <v>50.0</v>
      </c>
      <c r="I189" s="171">
        <v>80.0</v>
      </c>
      <c r="J189" s="325">
        <f t="shared" si="8"/>
        <v>0.000752629433</v>
      </c>
      <c r="K189" s="326">
        <f t="shared" si="10"/>
        <v>1.078768854</v>
      </c>
      <c r="L189" s="327">
        <f t="shared" si="4"/>
        <v>19.54347445</v>
      </c>
      <c r="M189" s="321" t="str">
        <f t="shared" si="5"/>
        <v>naynaysoo</v>
      </c>
      <c r="N189" s="176">
        <f>IFERROR(__xludf.DUMMYFUNCTION("""COMPUTED_VALUE"""),3.0)</f>
        <v>3</v>
      </c>
      <c r="O189" s="176"/>
      <c r="P189" s="176"/>
      <c r="Q189" s="176"/>
      <c r="R189" s="176"/>
      <c r="S189" s="176"/>
      <c r="T189" s="176"/>
      <c r="U189" s="176"/>
      <c r="V189" s="176"/>
      <c r="W189" s="176"/>
      <c r="X189" s="176"/>
      <c r="Y189" s="176"/>
      <c r="Z189" s="176"/>
    </row>
    <row r="190">
      <c r="A190" s="249" t="s">
        <v>22</v>
      </c>
      <c r="B190" s="249" t="s">
        <v>10</v>
      </c>
      <c r="C190" s="219" t="s">
        <v>2314</v>
      </c>
      <c r="D190" s="268" t="s">
        <v>495</v>
      </c>
      <c r="E190" s="251">
        <v>44253.0</v>
      </c>
      <c r="F190" s="250" t="s">
        <v>496</v>
      </c>
      <c r="G190" s="171">
        <v>250.0</v>
      </c>
      <c r="H190" s="171">
        <v>300.0</v>
      </c>
      <c r="I190" s="171">
        <v>150.0</v>
      </c>
      <c r="J190" s="325">
        <f t="shared" si="8"/>
        <v>0.002580654137</v>
      </c>
      <c r="K190" s="326">
        <f t="shared" si="10"/>
        <v>3.698937597</v>
      </c>
      <c r="L190" s="327">
        <f t="shared" si="4"/>
        <v>19.54347445</v>
      </c>
      <c r="M190" s="321" t="str">
        <f t="shared" si="5"/>
        <v>naynaysoo</v>
      </c>
      <c r="N190" s="176">
        <f>IFERROR(__xludf.DUMMYFUNCTION("""COMPUTED_VALUE"""),4.0)</f>
        <v>4</v>
      </c>
      <c r="O190" s="176"/>
      <c r="P190" s="176"/>
      <c r="Q190" s="176"/>
      <c r="R190" s="176"/>
      <c r="S190" s="176"/>
      <c r="T190" s="176"/>
      <c r="U190" s="176"/>
      <c r="V190" s="176"/>
      <c r="W190" s="176"/>
      <c r="X190" s="176"/>
      <c r="Y190" s="176"/>
      <c r="Z190" s="176"/>
    </row>
    <row r="191">
      <c r="A191" s="249" t="s">
        <v>22</v>
      </c>
      <c r="B191" s="249" t="s">
        <v>10</v>
      </c>
      <c r="C191" s="219" t="s">
        <v>2315</v>
      </c>
      <c r="D191" s="268" t="s">
        <v>495</v>
      </c>
      <c r="E191" s="251">
        <v>44253.0</v>
      </c>
      <c r="F191" s="250" t="s">
        <v>496</v>
      </c>
      <c r="G191" s="171">
        <v>300.0</v>
      </c>
      <c r="H191" s="171">
        <v>200.0</v>
      </c>
      <c r="I191" s="171">
        <v>200.0</v>
      </c>
      <c r="J191" s="325">
        <f t="shared" si="8"/>
        <v>0.002798115173</v>
      </c>
      <c r="K191" s="326">
        <f t="shared" si="10"/>
        <v>4.010631748</v>
      </c>
      <c r="L191" s="327">
        <f t="shared" si="4"/>
        <v>19.54347445</v>
      </c>
      <c r="M191" s="321" t="str">
        <f t="shared" si="5"/>
        <v>naynaysoo</v>
      </c>
      <c r="N191" s="176">
        <f>IFERROR(__xludf.DUMMYFUNCTION("""COMPUTED_VALUE"""),5.0)</f>
        <v>5</v>
      </c>
      <c r="O191" s="176"/>
      <c r="P191" s="176"/>
      <c r="Q191" s="176"/>
      <c r="R191" s="176"/>
      <c r="S191" s="176"/>
      <c r="T191" s="176"/>
      <c r="U191" s="176"/>
      <c r="V191" s="176"/>
      <c r="W191" s="176"/>
      <c r="X191" s="176"/>
      <c r="Y191" s="176"/>
      <c r="Z191" s="176"/>
    </row>
    <row r="192">
      <c r="A192" s="249" t="s">
        <v>22</v>
      </c>
      <c r="B192" s="249" t="s">
        <v>10</v>
      </c>
      <c r="C192" s="219" t="s">
        <v>2208</v>
      </c>
      <c r="D192" s="268" t="s">
        <v>495</v>
      </c>
      <c r="E192" s="251">
        <v>44253.0</v>
      </c>
      <c r="F192" s="250" t="s">
        <v>496</v>
      </c>
      <c r="G192" s="171">
        <v>40.0</v>
      </c>
      <c r="H192" s="171">
        <v>100.0</v>
      </c>
      <c r="I192" s="171">
        <v>80.0</v>
      </c>
      <c r="J192" s="325">
        <f t="shared" si="8"/>
        <v>0.0008832961205</v>
      </c>
      <c r="K192" s="326">
        <f t="shared" si="10"/>
        <v>1.266057773</v>
      </c>
      <c r="L192" s="327">
        <f t="shared" si="4"/>
        <v>19.54347445</v>
      </c>
      <c r="M192" s="321" t="str">
        <f t="shared" si="5"/>
        <v>naynaysoo</v>
      </c>
      <c r="N192" s="176">
        <f>IFERROR(__xludf.DUMMYFUNCTION("""COMPUTED_VALUE"""),6.0)</f>
        <v>6</v>
      </c>
      <c r="O192" s="176"/>
      <c r="P192" s="176"/>
      <c r="Q192" s="176"/>
      <c r="R192" s="176"/>
      <c r="S192" s="176"/>
      <c r="T192" s="176"/>
      <c r="U192" s="176"/>
      <c r="V192" s="176"/>
      <c r="W192" s="176"/>
      <c r="X192" s="176"/>
      <c r="Y192" s="176"/>
      <c r="Z192" s="176"/>
    </row>
    <row r="193">
      <c r="A193" s="267" t="s">
        <v>22</v>
      </c>
      <c r="B193" s="272" t="s">
        <v>845</v>
      </c>
      <c r="C193" s="273" t="s">
        <v>2243</v>
      </c>
      <c r="D193" s="274" t="s">
        <v>499</v>
      </c>
      <c r="E193" s="328" t="s">
        <v>2242</v>
      </c>
      <c r="F193" s="274" t="s">
        <v>1646</v>
      </c>
      <c r="G193" s="171">
        <v>60.0</v>
      </c>
      <c r="H193" s="171">
        <v>100.0</v>
      </c>
      <c r="I193" s="171">
        <v>50.0</v>
      </c>
      <c r="J193" s="172">
        <f t="shared" si="8"/>
        <v>0.0007761548639</v>
      </c>
      <c r="K193" s="269">
        <f t="shared" si="10"/>
        <v>1.112488638</v>
      </c>
      <c r="L193" s="270">
        <f t="shared" si="4"/>
        <v>19.54347445</v>
      </c>
      <c r="M193" s="271" t="str">
        <f t="shared" si="5"/>
        <v>naynaysoo</v>
      </c>
      <c r="N193" s="176">
        <f>IFERROR(__xludf.DUMMYFUNCTION("""COMPUTED_VALUE"""),7.0)</f>
        <v>7</v>
      </c>
      <c r="O193" s="176"/>
      <c r="P193" s="176"/>
      <c r="Q193" s="176"/>
      <c r="R193" s="176"/>
      <c r="S193" s="176"/>
      <c r="T193" s="176"/>
      <c r="U193" s="176"/>
      <c r="V193" s="176"/>
      <c r="W193" s="176"/>
      <c r="X193" s="176"/>
      <c r="Y193" s="176"/>
      <c r="Z193" s="176"/>
    </row>
    <row r="194">
      <c r="A194" s="249" t="s">
        <v>21</v>
      </c>
      <c r="B194" s="249" t="s">
        <v>10</v>
      </c>
      <c r="C194" s="219" t="s">
        <v>2316</v>
      </c>
      <c r="D194" s="268" t="s">
        <v>495</v>
      </c>
      <c r="E194" s="251">
        <v>44246.0</v>
      </c>
      <c r="F194" s="250" t="s">
        <v>496</v>
      </c>
      <c r="G194" s="171">
        <v>600.0</v>
      </c>
      <c r="H194" s="171">
        <v>700.0</v>
      </c>
      <c r="I194" s="171">
        <v>200.0</v>
      </c>
      <c r="J194" s="325">
        <f t="shared" si="8"/>
        <v>0.005185594387</v>
      </c>
      <c r="K194" s="326">
        <f t="shared" si="10"/>
        <v>7.432685288</v>
      </c>
      <c r="L194" s="327">
        <f t="shared" si="4"/>
        <v>19.30675942</v>
      </c>
      <c r="M194" s="321" t="str">
        <f t="shared" si="5"/>
        <v>shawn_westrick</v>
      </c>
      <c r="N194" s="176">
        <f>IFERROR(__xludf.DUMMYFUNCTION("""COMPUTED_VALUE"""),1.0)</f>
        <v>1</v>
      </c>
      <c r="O194" s="176"/>
      <c r="P194" s="176"/>
      <c r="Q194" s="176"/>
      <c r="R194" s="176"/>
      <c r="S194" s="176"/>
      <c r="T194" s="176"/>
      <c r="U194" s="176"/>
      <c r="V194" s="176"/>
      <c r="W194" s="176"/>
      <c r="X194" s="176"/>
      <c r="Y194" s="176"/>
      <c r="Z194" s="176"/>
    </row>
    <row r="195">
      <c r="A195" s="249" t="s">
        <v>21</v>
      </c>
      <c r="B195" s="249" t="s">
        <v>10</v>
      </c>
      <c r="C195" s="219" t="s">
        <v>2197</v>
      </c>
      <c r="D195" s="268" t="s">
        <v>495</v>
      </c>
      <c r="E195" s="251">
        <v>44246.0</v>
      </c>
      <c r="F195" s="250" t="s">
        <v>496</v>
      </c>
      <c r="G195" s="171">
        <v>40.0</v>
      </c>
      <c r="H195" s="171">
        <v>20.0</v>
      </c>
      <c r="I195" s="171">
        <v>50.0</v>
      </c>
      <c r="J195" s="325">
        <f t="shared" si="8"/>
        <v>0.0004950340078</v>
      </c>
      <c r="K195" s="326">
        <f t="shared" si="10"/>
        <v>0.7095487446</v>
      </c>
      <c r="L195" s="327">
        <f t="shared" si="4"/>
        <v>19.30675942</v>
      </c>
      <c r="M195" s="321" t="str">
        <f t="shared" si="5"/>
        <v>shawn_westrick</v>
      </c>
      <c r="N195" s="176">
        <f>IFERROR(__xludf.DUMMYFUNCTION("""COMPUTED_VALUE"""),2.0)</f>
        <v>2</v>
      </c>
      <c r="O195" s="176"/>
      <c r="P195" s="176"/>
      <c r="Q195" s="176"/>
      <c r="R195" s="176"/>
      <c r="S195" s="176"/>
      <c r="T195" s="176"/>
      <c r="U195" s="176"/>
      <c r="V195" s="176"/>
      <c r="W195" s="176"/>
      <c r="X195" s="176"/>
      <c r="Y195" s="176"/>
      <c r="Z195" s="176"/>
    </row>
    <row r="196">
      <c r="A196" s="249" t="s">
        <v>21</v>
      </c>
      <c r="B196" s="249" t="s">
        <v>10</v>
      </c>
      <c r="C196" s="219" t="s">
        <v>2198</v>
      </c>
      <c r="D196" s="268" t="s">
        <v>495</v>
      </c>
      <c r="E196" s="251">
        <v>44246.0</v>
      </c>
      <c r="F196" s="250" t="s">
        <v>496</v>
      </c>
      <c r="G196" s="171">
        <v>120.0</v>
      </c>
      <c r="H196" s="171">
        <v>200.0</v>
      </c>
      <c r="I196" s="171">
        <v>80.0</v>
      </c>
      <c r="J196" s="325">
        <f t="shared" si="8"/>
        <v>0.001432846119</v>
      </c>
      <c r="K196" s="326">
        <f t="shared" si="10"/>
        <v>2.053746104</v>
      </c>
      <c r="L196" s="327">
        <f t="shared" si="4"/>
        <v>19.30675942</v>
      </c>
      <c r="M196" s="321" t="str">
        <f t="shared" si="5"/>
        <v>shawn_westrick</v>
      </c>
      <c r="N196" s="176">
        <f>IFERROR(__xludf.DUMMYFUNCTION("""COMPUTED_VALUE"""),3.0)</f>
        <v>3</v>
      </c>
      <c r="O196" s="176"/>
      <c r="P196" s="176"/>
      <c r="Q196" s="176"/>
      <c r="R196" s="176"/>
      <c r="S196" s="176"/>
      <c r="T196" s="176"/>
      <c r="U196" s="176"/>
      <c r="V196" s="176"/>
      <c r="W196" s="176"/>
      <c r="X196" s="176"/>
      <c r="Y196" s="176"/>
      <c r="Z196" s="176"/>
    </row>
    <row r="197">
      <c r="A197" s="249" t="s">
        <v>21</v>
      </c>
      <c r="B197" s="249" t="s">
        <v>10</v>
      </c>
      <c r="C197" s="219" t="s">
        <v>2317</v>
      </c>
      <c r="D197" s="268" t="s">
        <v>495</v>
      </c>
      <c r="E197" s="251">
        <v>44253.0</v>
      </c>
      <c r="F197" s="250" t="s">
        <v>496</v>
      </c>
      <c r="G197" s="171">
        <v>600.0</v>
      </c>
      <c r="H197" s="171">
        <v>300.0</v>
      </c>
      <c r="I197" s="171">
        <v>200.0</v>
      </c>
      <c r="J197" s="325">
        <f t="shared" si="8"/>
        <v>0.004140260887</v>
      </c>
      <c r="K197" s="326">
        <f t="shared" si="10"/>
        <v>5.934373937</v>
      </c>
      <c r="L197" s="327">
        <f t="shared" si="4"/>
        <v>19.30675942</v>
      </c>
      <c r="M197" s="321" t="str">
        <f t="shared" si="5"/>
        <v>shawn_westrick</v>
      </c>
      <c r="N197" s="176">
        <f>IFERROR(__xludf.DUMMYFUNCTION("""COMPUTED_VALUE"""),4.0)</f>
        <v>4</v>
      </c>
      <c r="O197" s="176"/>
      <c r="P197" s="176"/>
      <c r="Q197" s="176"/>
      <c r="R197" s="176"/>
      <c r="S197" s="176"/>
      <c r="T197" s="176"/>
      <c r="U197" s="176"/>
      <c r="V197" s="176"/>
      <c r="W197" s="176"/>
      <c r="X197" s="176"/>
      <c r="Y197" s="176"/>
      <c r="Z197" s="176"/>
    </row>
    <row r="198">
      <c r="A198" s="249" t="s">
        <v>21</v>
      </c>
      <c r="B198" s="249" t="s">
        <v>10</v>
      </c>
      <c r="C198" s="219" t="s">
        <v>2206</v>
      </c>
      <c r="D198" s="268" t="s">
        <v>495</v>
      </c>
      <c r="E198" s="251">
        <v>44253.0</v>
      </c>
      <c r="F198" s="250" t="s">
        <v>496</v>
      </c>
      <c r="G198" s="171">
        <v>40.0</v>
      </c>
      <c r="H198" s="171">
        <v>20.0</v>
      </c>
      <c r="I198" s="171">
        <v>50.0</v>
      </c>
      <c r="J198" s="325">
        <f t="shared" si="8"/>
        <v>0.0004950340078</v>
      </c>
      <c r="K198" s="326">
        <f t="shared" si="10"/>
        <v>0.7095487446</v>
      </c>
      <c r="L198" s="327">
        <f t="shared" si="4"/>
        <v>19.30675942</v>
      </c>
      <c r="M198" s="321" t="str">
        <f t="shared" si="5"/>
        <v>shawn_westrick</v>
      </c>
      <c r="N198" s="176">
        <f>IFERROR(__xludf.DUMMYFUNCTION("""COMPUTED_VALUE"""),5.0)</f>
        <v>5</v>
      </c>
      <c r="O198" s="176"/>
      <c r="P198" s="176"/>
      <c r="Q198" s="176"/>
      <c r="R198" s="176"/>
      <c r="S198" s="176"/>
      <c r="T198" s="176"/>
      <c r="U198" s="176"/>
      <c r="V198" s="176"/>
      <c r="W198" s="176"/>
      <c r="X198" s="176"/>
      <c r="Y198" s="176"/>
      <c r="Z198" s="176"/>
    </row>
    <row r="199">
      <c r="A199" s="249" t="s">
        <v>21</v>
      </c>
      <c r="B199" s="249" t="s">
        <v>10</v>
      </c>
      <c r="C199" s="219" t="s">
        <v>2208</v>
      </c>
      <c r="D199" s="268" t="s">
        <v>495</v>
      </c>
      <c r="E199" s="251">
        <v>44253.0</v>
      </c>
      <c r="F199" s="250" t="s">
        <v>496</v>
      </c>
      <c r="G199" s="171">
        <v>200.0</v>
      </c>
      <c r="H199" s="171">
        <v>200.0</v>
      </c>
      <c r="I199" s="171">
        <v>80.0</v>
      </c>
      <c r="J199" s="325">
        <f t="shared" si="8"/>
        <v>0.001721062743</v>
      </c>
      <c r="K199" s="326">
        <f t="shared" si="10"/>
        <v>2.466856598</v>
      </c>
      <c r="L199" s="327">
        <f t="shared" si="4"/>
        <v>19.30675942</v>
      </c>
      <c r="M199" s="321" t="str">
        <f t="shared" si="5"/>
        <v>shawn_westrick</v>
      </c>
      <c r="N199" s="176">
        <f>IFERROR(__xludf.DUMMYFUNCTION("""COMPUTED_VALUE"""),6.0)</f>
        <v>6</v>
      </c>
      <c r="O199" s="176"/>
      <c r="P199" s="176"/>
      <c r="Q199" s="176"/>
      <c r="R199" s="176"/>
      <c r="S199" s="176"/>
      <c r="T199" s="176"/>
      <c r="U199" s="176"/>
      <c r="V199" s="176"/>
      <c r="W199" s="176"/>
      <c r="X199" s="176"/>
      <c r="Y199" s="176"/>
      <c r="Z199" s="176"/>
    </row>
    <row r="200">
      <c r="A200" s="16" t="s">
        <v>64</v>
      </c>
      <c r="B200" s="272" t="s">
        <v>590</v>
      </c>
      <c r="C200" s="273" t="s">
        <v>2318</v>
      </c>
      <c r="D200" s="274" t="s">
        <v>499</v>
      </c>
      <c r="E200" s="328" t="s">
        <v>2291</v>
      </c>
      <c r="F200" s="274" t="s">
        <v>1646</v>
      </c>
      <c r="G200" s="171">
        <v>1500.0</v>
      </c>
      <c r="H200" s="171">
        <v>2000.0</v>
      </c>
      <c r="I200" s="171">
        <v>400.0</v>
      </c>
      <c r="J200" s="172">
        <f t="shared" si="8"/>
        <v>0.01302000136</v>
      </c>
      <c r="K200" s="269">
        <f t="shared" si="10"/>
        <v>18.66200195</v>
      </c>
      <c r="L200" s="270">
        <f t="shared" si="4"/>
        <v>18.66200195</v>
      </c>
      <c r="M200" s="271" t="str">
        <f t="shared" si="5"/>
        <v>trentmc0</v>
      </c>
      <c r="N200" s="176">
        <f>IFERROR(__xludf.DUMMYFUNCTION("""COMPUTED_VALUE"""),1.0)</f>
        <v>1</v>
      </c>
      <c r="O200" s="176"/>
      <c r="P200" s="176"/>
      <c r="Q200" s="176"/>
      <c r="R200" s="176"/>
      <c r="S200" s="176"/>
      <c r="T200" s="176"/>
      <c r="U200" s="176"/>
      <c r="V200" s="176"/>
      <c r="W200" s="176"/>
      <c r="X200" s="176"/>
      <c r="Y200" s="176"/>
      <c r="Z200" s="176"/>
    </row>
    <row r="201">
      <c r="A201" s="16" t="s">
        <v>38</v>
      </c>
      <c r="B201" s="272" t="s">
        <v>590</v>
      </c>
      <c r="C201" s="273" t="s">
        <v>2319</v>
      </c>
      <c r="D201" s="274" t="s">
        <v>499</v>
      </c>
      <c r="E201" s="328" t="s">
        <v>2291</v>
      </c>
      <c r="F201" s="274" t="s">
        <v>1646</v>
      </c>
      <c r="G201" s="171">
        <v>800.0</v>
      </c>
      <c r="H201" s="171">
        <v>1000.0</v>
      </c>
      <c r="I201" s="171">
        <v>400.0</v>
      </c>
      <c r="J201" s="172">
        <f t="shared" si="8"/>
        <v>0.007884772156</v>
      </c>
      <c r="K201" s="269">
        <f t="shared" si="10"/>
        <v>11.30150676</v>
      </c>
      <c r="L201" s="270">
        <f t="shared" si="4"/>
        <v>18.38715838</v>
      </c>
      <c r="M201" s="271" t="str">
        <f t="shared" si="5"/>
        <v>danibelle</v>
      </c>
      <c r="N201" s="176">
        <f>IFERROR(__xludf.DUMMYFUNCTION("""COMPUTED_VALUE"""),1.0)</f>
        <v>1</v>
      </c>
      <c r="O201" s="176"/>
      <c r="P201" s="176"/>
      <c r="Q201" s="176"/>
      <c r="R201" s="176"/>
      <c r="S201" s="176"/>
      <c r="T201" s="176"/>
      <c r="U201" s="176"/>
      <c r="V201" s="176"/>
      <c r="W201" s="176"/>
      <c r="X201" s="176"/>
      <c r="Y201" s="176"/>
      <c r="Z201" s="176"/>
    </row>
    <row r="202">
      <c r="A202" s="16" t="s">
        <v>38</v>
      </c>
      <c r="B202" s="272" t="s">
        <v>2107</v>
      </c>
      <c r="C202" s="273" t="s">
        <v>2320</v>
      </c>
      <c r="D202" s="274" t="s">
        <v>499</v>
      </c>
      <c r="E202" s="328" t="s">
        <v>2245</v>
      </c>
      <c r="F202" s="274" t="s">
        <v>1646</v>
      </c>
      <c r="G202" s="171">
        <v>320.0</v>
      </c>
      <c r="H202" s="171">
        <v>300.0</v>
      </c>
      <c r="I202" s="171">
        <v>100.0</v>
      </c>
      <c r="J202" s="172">
        <f t="shared" si="8"/>
        <v>0.002534184662</v>
      </c>
      <c r="K202" s="269">
        <f t="shared" si="10"/>
        <v>3.632331349</v>
      </c>
      <c r="L202" s="270">
        <f t="shared" si="4"/>
        <v>18.38715838</v>
      </c>
      <c r="M202" s="271" t="str">
        <f t="shared" si="5"/>
        <v>danibelle</v>
      </c>
      <c r="N202" s="176">
        <f>IFERROR(__xludf.DUMMYFUNCTION("""COMPUTED_VALUE"""),2.0)</f>
        <v>2</v>
      </c>
      <c r="O202" s="176"/>
      <c r="P202" s="176"/>
      <c r="Q202" s="176"/>
      <c r="R202" s="176"/>
      <c r="S202" s="176"/>
      <c r="T202" s="176"/>
      <c r="U202" s="176"/>
      <c r="V202" s="176"/>
      <c r="W202" s="176"/>
      <c r="X202" s="176"/>
      <c r="Y202" s="176"/>
      <c r="Z202" s="176"/>
    </row>
    <row r="203">
      <c r="A203" s="249" t="s">
        <v>38</v>
      </c>
      <c r="B203" s="249" t="s">
        <v>10</v>
      </c>
      <c r="C203" s="219" t="s">
        <v>498</v>
      </c>
      <c r="D203" s="268" t="s">
        <v>495</v>
      </c>
      <c r="E203" s="251">
        <v>44246.0</v>
      </c>
      <c r="F203" s="250" t="s">
        <v>499</v>
      </c>
      <c r="G203" s="171">
        <v>10.0</v>
      </c>
      <c r="H203" s="171">
        <v>20.0</v>
      </c>
      <c r="I203" s="171">
        <v>20.0</v>
      </c>
      <c r="J203" s="325">
        <f t="shared" si="8"/>
        <v>0.0002077573614</v>
      </c>
      <c r="K203" s="326">
        <f t="shared" si="10"/>
        <v>0.2977855513</v>
      </c>
      <c r="L203" s="327">
        <f t="shared" si="4"/>
        <v>18.38715838</v>
      </c>
      <c r="M203" s="321" t="str">
        <f t="shared" si="5"/>
        <v>danibelle</v>
      </c>
      <c r="N203" s="176">
        <f>IFERROR(__xludf.DUMMYFUNCTION("""COMPUTED_VALUE"""),3.0)</f>
        <v>3</v>
      </c>
      <c r="O203" s="176"/>
      <c r="P203" s="176"/>
      <c r="Q203" s="176"/>
      <c r="R203" s="176"/>
      <c r="S203" s="176"/>
      <c r="T203" s="176"/>
      <c r="U203" s="176"/>
      <c r="V203" s="176"/>
      <c r="W203" s="176"/>
      <c r="X203" s="176"/>
      <c r="Y203" s="176"/>
      <c r="Z203" s="176"/>
    </row>
    <row r="204">
      <c r="A204" s="249" t="s">
        <v>38</v>
      </c>
      <c r="B204" s="249" t="s">
        <v>10</v>
      </c>
      <c r="C204" s="219" t="s">
        <v>498</v>
      </c>
      <c r="D204" s="268" t="s">
        <v>495</v>
      </c>
      <c r="E204" s="251">
        <v>44246.0</v>
      </c>
      <c r="F204" s="250" t="s">
        <v>499</v>
      </c>
      <c r="G204" s="171">
        <v>10.0</v>
      </c>
      <c r="H204" s="171">
        <v>20.0</v>
      </c>
      <c r="I204" s="171">
        <v>20.0</v>
      </c>
      <c r="J204" s="325">
        <f t="shared" si="8"/>
        <v>0.0002077573614</v>
      </c>
      <c r="K204" s="326">
        <f t="shared" si="10"/>
        <v>0.2977855513</v>
      </c>
      <c r="L204" s="327">
        <f t="shared" si="4"/>
        <v>18.38715838</v>
      </c>
      <c r="M204" s="321" t="str">
        <f t="shared" si="5"/>
        <v>danibelle</v>
      </c>
      <c r="N204" s="176">
        <f>IFERROR(__xludf.DUMMYFUNCTION("""COMPUTED_VALUE"""),4.0)</f>
        <v>4</v>
      </c>
      <c r="O204" s="176"/>
      <c r="P204" s="176"/>
      <c r="Q204" s="176"/>
      <c r="R204" s="176"/>
      <c r="S204" s="176"/>
      <c r="T204" s="176"/>
      <c r="U204" s="176"/>
      <c r="V204" s="176"/>
      <c r="W204" s="176"/>
      <c r="X204" s="176"/>
      <c r="Y204" s="176"/>
      <c r="Z204" s="176"/>
    </row>
    <row r="205">
      <c r="A205" s="249" t="s">
        <v>38</v>
      </c>
      <c r="B205" s="249" t="s">
        <v>10</v>
      </c>
      <c r="C205" s="219" t="s">
        <v>500</v>
      </c>
      <c r="D205" s="268" t="s">
        <v>495</v>
      </c>
      <c r="E205" s="251">
        <v>44253.0</v>
      </c>
      <c r="F205" s="250" t="s">
        <v>496</v>
      </c>
      <c r="G205" s="171">
        <v>20.0</v>
      </c>
      <c r="H205" s="171">
        <v>100.0</v>
      </c>
      <c r="I205" s="171">
        <v>20.0</v>
      </c>
      <c r="J205" s="325">
        <f t="shared" si="8"/>
        <v>0.0004528511394</v>
      </c>
      <c r="K205" s="326">
        <f t="shared" si="10"/>
        <v>0.6490866332</v>
      </c>
      <c r="L205" s="327">
        <f t="shared" si="4"/>
        <v>18.38715838</v>
      </c>
      <c r="M205" s="321" t="str">
        <f t="shared" si="5"/>
        <v>danibelle</v>
      </c>
      <c r="N205" s="176">
        <f>IFERROR(__xludf.DUMMYFUNCTION("""COMPUTED_VALUE"""),5.0)</f>
        <v>5</v>
      </c>
      <c r="O205" s="176"/>
      <c r="P205" s="176"/>
      <c r="Q205" s="176"/>
      <c r="R205" s="176"/>
      <c r="S205" s="176"/>
      <c r="T205" s="176"/>
      <c r="U205" s="176"/>
      <c r="V205" s="176"/>
      <c r="W205" s="176"/>
      <c r="X205" s="176"/>
      <c r="Y205" s="176"/>
      <c r="Z205" s="176"/>
    </row>
    <row r="206">
      <c r="A206" s="249" t="s">
        <v>38</v>
      </c>
      <c r="B206" s="249" t="s">
        <v>10</v>
      </c>
      <c r="C206" s="219" t="s">
        <v>2247</v>
      </c>
      <c r="D206" s="268" t="s">
        <v>495</v>
      </c>
      <c r="E206" s="251">
        <v>44253.0</v>
      </c>
      <c r="F206" s="250" t="s">
        <v>496</v>
      </c>
      <c r="G206" s="171">
        <v>150.0</v>
      </c>
      <c r="H206" s="171">
        <v>200.0</v>
      </c>
      <c r="I206" s="171">
        <v>80.0</v>
      </c>
      <c r="J206" s="325">
        <f t="shared" si="8"/>
        <v>0.001540927353</v>
      </c>
      <c r="K206" s="326">
        <f t="shared" si="10"/>
        <v>2.20866254</v>
      </c>
      <c r="L206" s="327">
        <f t="shared" si="4"/>
        <v>18.38715838</v>
      </c>
      <c r="M206" s="321" t="str">
        <f t="shared" si="5"/>
        <v>danibelle</v>
      </c>
      <c r="N206" s="176">
        <f>IFERROR(__xludf.DUMMYFUNCTION("""COMPUTED_VALUE"""),6.0)</f>
        <v>6</v>
      </c>
      <c r="O206" s="176"/>
      <c r="P206" s="176"/>
      <c r="Q206" s="176"/>
      <c r="R206" s="176"/>
      <c r="S206" s="176"/>
      <c r="T206" s="176"/>
      <c r="U206" s="176"/>
      <c r="V206" s="176"/>
      <c r="W206" s="176"/>
      <c r="X206" s="176"/>
      <c r="Y206" s="176"/>
      <c r="Z206" s="176"/>
    </row>
    <row r="207">
      <c r="A207" s="131" t="s">
        <v>89</v>
      </c>
      <c r="B207" s="272" t="s">
        <v>1702</v>
      </c>
      <c r="C207" s="273" t="s">
        <v>2321</v>
      </c>
      <c r="D207" s="274" t="s">
        <v>499</v>
      </c>
      <c r="E207" s="328" t="s">
        <v>2183</v>
      </c>
      <c r="F207" s="274" t="s">
        <v>1646</v>
      </c>
      <c r="G207" s="171">
        <v>1100.0</v>
      </c>
      <c r="H207" s="171">
        <v>2000.0</v>
      </c>
      <c r="I207" s="171">
        <v>100.0</v>
      </c>
      <c r="J207" s="172">
        <f t="shared" si="8"/>
        <v>0.00978696412</v>
      </c>
      <c r="K207" s="269">
        <f t="shared" si="10"/>
        <v>14.0279819</v>
      </c>
      <c r="L207" s="270">
        <f t="shared" si="4"/>
        <v>14.0279819</v>
      </c>
      <c r="M207" s="271" t="str">
        <f t="shared" si="5"/>
        <v>upaul</v>
      </c>
      <c r="N207" s="176">
        <f>IFERROR(__xludf.DUMMYFUNCTION("""COMPUTED_VALUE"""),1.0)</f>
        <v>1</v>
      </c>
      <c r="O207" s="176"/>
      <c r="P207" s="176"/>
      <c r="Q207" s="176"/>
      <c r="R207" s="176"/>
      <c r="S207" s="176"/>
      <c r="T207" s="176"/>
      <c r="U207" s="176"/>
      <c r="V207" s="176"/>
      <c r="W207" s="176"/>
      <c r="X207" s="176"/>
      <c r="Y207" s="176"/>
      <c r="Z207" s="176"/>
    </row>
    <row r="208">
      <c r="A208" s="272" t="s">
        <v>2322</v>
      </c>
      <c r="B208" s="272" t="s">
        <v>1702</v>
      </c>
      <c r="C208" s="273" t="s">
        <v>2323</v>
      </c>
      <c r="D208" s="274" t="s">
        <v>499</v>
      </c>
      <c r="E208" s="328" t="s">
        <v>2183</v>
      </c>
      <c r="F208" s="274" t="s">
        <v>1646</v>
      </c>
      <c r="G208" s="171">
        <v>700.0</v>
      </c>
      <c r="H208" s="171">
        <v>1000.0</v>
      </c>
      <c r="I208" s="171">
        <v>200.0</v>
      </c>
      <c r="J208" s="172">
        <f t="shared" si="8"/>
        <v>0.006329865292</v>
      </c>
      <c r="K208" s="269">
        <f t="shared" si="10"/>
        <v>9.072806919</v>
      </c>
      <c r="L208" s="270">
        <f t="shared" si="4"/>
        <v>13.4580165</v>
      </c>
      <c r="M208" s="271" t="str">
        <f t="shared" si="5"/>
        <v>@sjdthree#8498</v>
      </c>
      <c r="N208" s="176">
        <f>IFERROR(__xludf.DUMMYFUNCTION("""COMPUTED_VALUE"""),1.0)</f>
        <v>1</v>
      </c>
      <c r="O208" s="176"/>
      <c r="P208" s="176"/>
      <c r="Q208" s="176"/>
      <c r="R208" s="176"/>
      <c r="S208" s="176"/>
      <c r="T208" s="176"/>
      <c r="U208" s="176"/>
      <c r="V208" s="176"/>
      <c r="W208" s="176"/>
      <c r="X208" s="176"/>
      <c r="Y208" s="176"/>
      <c r="Z208" s="176"/>
    </row>
    <row r="209">
      <c r="A209" s="272" t="s">
        <v>2322</v>
      </c>
      <c r="B209" s="272" t="s">
        <v>1702</v>
      </c>
      <c r="C209" s="273" t="s">
        <v>2324</v>
      </c>
      <c r="D209" s="274" t="s">
        <v>499</v>
      </c>
      <c r="E209" s="328" t="s">
        <v>2291</v>
      </c>
      <c r="F209" s="274" t="s">
        <v>1646</v>
      </c>
      <c r="G209" s="171">
        <v>300.0</v>
      </c>
      <c r="H209" s="171">
        <v>300.0</v>
      </c>
      <c r="I209" s="171">
        <v>200.0</v>
      </c>
      <c r="J209" s="172">
        <f t="shared" si="8"/>
        <v>0.003059448548</v>
      </c>
      <c r="K209" s="269">
        <f t="shared" si="10"/>
        <v>4.385209585</v>
      </c>
      <c r="L209" s="270">
        <f t="shared" si="4"/>
        <v>13.4580165</v>
      </c>
      <c r="M209" s="271" t="str">
        <f t="shared" si="5"/>
        <v>@sjdthree#8498</v>
      </c>
      <c r="N209" s="176">
        <f>IFERROR(__xludf.DUMMYFUNCTION("""COMPUTED_VALUE"""),2.0)</f>
        <v>2</v>
      </c>
      <c r="O209" s="176"/>
      <c r="P209" s="176"/>
      <c r="Q209" s="176"/>
      <c r="R209" s="176"/>
      <c r="S209" s="176"/>
      <c r="T209" s="176"/>
      <c r="U209" s="176"/>
      <c r="V209" s="176"/>
      <c r="W209" s="176"/>
      <c r="X209" s="176"/>
      <c r="Y209" s="176"/>
      <c r="Z209" s="176"/>
    </row>
    <row r="210">
      <c r="A210" s="240" t="s">
        <v>55</v>
      </c>
      <c r="B210" s="240" t="s">
        <v>534</v>
      </c>
      <c r="C210" s="221" t="s">
        <v>688</v>
      </c>
      <c r="D210" s="336"/>
      <c r="E210" s="255"/>
      <c r="F210" s="254"/>
      <c r="G210" s="209"/>
      <c r="H210" s="222"/>
      <c r="I210" s="222"/>
      <c r="J210" s="325">
        <f t="shared" si="8"/>
        <v>0</v>
      </c>
      <c r="K210" s="337">
        <f>26.625*-0.5</f>
        <v>-13.3125</v>
      </c>
      <c r="L210" s="327">
        <f t="shared" si="4"/>
        <v>13.31726536</v>
      </c>
      <c r="M210" s="321" t="str">
        <f t="shared" si="5"/>
        <v>atacas</v>
      </c>
      <c r="N210" s="209">
        <f>IFERROR(__xludf.DUMMYFUNCTION("""COMPUTED_VALUE"""),1.0)</f>
        <v>1</v>
      </c>
      <c r="O210" s="176"/>
      <c r="P210" s="176"/>
      <c r="Q210" s="176"/>
      <c r="R210" s="176">
        <v>6.463920504925881</v>
      </c>
      <c r="S210" s="176"/>
      <c r="T210" s="176"/>
      <c r="U210" s="176"/>
      <c r="V210" s="176"/>
      <c r="W210" s="176"/>
      <c r="X210" s="176"/>
      <c r="Y210" s="176"/>
      <c r="Z210" s="176"/>
    </row>
    <row r="211">
      <c r="A211" s="249" t="s">
        <v>55</v>
      </c>
      <c r="B211" s="253" t="s">
        <v>2163</v>
      </c>
      <c r="C211" s="318" t="s">
        <v>2325</v>
      </c>
      <c r="D211" s="319" t="s">
        <v>499</v>
      </c>
      <c r="E211" s="334" t="s">
        <v>2245</v>
      </c>
      <c r="F211" s="319" t="s">
        <v>1646</v>
      </c>
      <c r="G211" s="312"/>
      <c r="H211" s="312"/>
      <c r="I211" s="222"/>
      <c r="J211" s="172">
        <f t="shared" si="8"/>
        <v>0</v>
      </c>
      <c r="K211" s="269">
        <f t="shared" ref="K211:K221" si="11">J211*$J$1</f>
        <v>0</v>
      </c>
      <c r="L211" s="270">
        <f t="shared" si="4"/>
        <v>13.31726536</v>
      </c>
      <c r="M211" s="271" t="str">
        <f t="shared" si="5"/>
        <v>atacas</v>
      </c>
      <c r="N211" s="176">
        <f>IFERROR(__xludf.DUMMYFUNCTION("""COMPUTED_VALUE"""),2.0)</f>
        <v>2</v>
      </c>
      <c r="O211" s="176"/>
      <c r="P211" s="176"/>
      <c r="Q211" s="176"/>
      <c r="R211" s="176"/>
      <c r="S211" s="176"/>
      <c r="T211" s="176"/>
      <c r="U211" s="176"/>
      <c r="V211" s="176"/>
      <c r="W211" s="176"/>
      <c r="X211" s="176"/>
      <c r="Y211" s="176"/>
      <c r="Z211" s="176"/>
    </row>
    <row r="212">
      <c r="A212" s="249" t="s">
        <v>55</v>
      </c>
      <c r="B212" s="249" t="s">
        <v>10</v>
      </c>
      <c r="C212" s="219" t="s">
        <v>2326</v>
      </c>
      <c r="D212" s="268" t="s">
        <v>495</v>
      </c>
      <c r="E212" s="251">
        <v>44246.0</v>
      </c>
      <c r="F212" s="250" t="s">
        <v>496</v>
      </c>
      <c r="G212" s="171">
        <v>900.0</v>
      </c>
      <c r="H212" s="171">
        <v>1000.0</v>
      </c>
      <c r="I212" s="171">
        <v>250.0</v>
      </c>
      <c r="J212" s="325">
        <f t="shared" si="8"/>
        <v>0.007349065872</v>
      </c>
      <c r="K212" s="326">
        <f t="shared" si="11"/>
        <v>10.53366108</v>
      </c>
      <c r="L212" s="327">
        <f t="shared" si="4"/>
        <v>13.31726536</v>
      </c>
      <c r="M212" s="321" t="str">
        <f t="shared" si="5"/>
        <v>atacas</v>
      </c>
      <c r="N212" s="176">
        <f>IFERROR(__xludf.DUMMYFUNCTION("""COMPUTED_VALUE"""),3.0)</f>
        <v>3</v>
      </c>
      <c r="O212" s="176"/>
      <c r="P212" s="176"/>
      <c r="Q212" s="176"/>
      <c r="R212" s="176"/>
      <c r="S212" s="176"/>
      <c r="T212" s="176"/>
      <c r="U212" s="176"/>
      <c r="V212" s="176"/>
      <c r="W212" s="176"/>
      <c r="X212" s="176"/>
      <c r="Y212" s="176"/>
      <c r="Z212" s="176"/>
    </row>
    <row r="213">
      <c r="A213" s="249" t="s">
        <v>55</v>
      </c>
      <c r="B213" s="249" t="s">
        <v>10</v>
      </c>
      <c r="C213" s="219" t="s">
        <v>2327</v>
      </c>
      <c r="D213" s="268" t="s">
        <v>495</v>
      </c>
      <c r="E213" s="251">
        <v>44253.0</v>
      </c>
      <c r="F213" s="250" t="s">
        <v>496</v>
      </c>
      <c r="G213" s="171">
        <v>600.0</v>
      </c>
      <c r="H213" s="171">
        <v>1000.0</v>
      </c>
      <c r="I213" s="171">
        <v>250.0</v>
      </c>
      <c r="J213" s="325">
        <f t="shared" si="8"/>
        <v>0.006268253534</v>
      </c>
      <c r="K213" s="326">
        <f t="shared" si="11"/>
        <v>8.984496731</v>
      </c>
      <c r="L213" s="327">
        <f t="shared" si="4"/>
        <v>13.31726536</v>
      </c>
      <c r="M213" s="321" t="str">
        <f t="shared" si="5"/>
        <v>atacas</v>
      </c>
      <c r="N213" s="176">
        <f>IFERROR(__xludf.DUMMYFUNCTION("""COMPUTED_VALUE"""),4.0)</f>
        <v>4</v>
      </c>
      <c r="O213" s="176"/>
      <c r="P213" s="176"/>
      <c r="Q213" s="176"/>
      <c r="R213" s="176"/>
      <c r="S213" s="176"/>
      <c r="T213" s="176"/>
      <c r="U213" s="176"/>
      <c r="V213" s="176"/>
      <c r="W213" s="176"/>
      <c r="X213" s="176"/>
      <c r="Y213" s="176"/>
      <c r="Z213" s="176"/>
    </row>
    <row r="214">
      <c r="A214" s="267" t="s">
        <v>55</v>
      </c>
      <c r="B214" s="272" t="s">
        <v>2163</v>
      </c>
      <c r="C214" s="273" t="s">
        <v>2328</v>
      </c>
      <c r="D214" s="274" t="s">
        <v>499</v>
      </c>
      <c r="E214" s="328" t="s">
        <v>2245</v>
      </c>
      <c r="F214" s="274" t="s">
        <v>1646</v>
      </c>
      <c r="G214" s="171">
        <v>600.0</v>
      </c>
      <c r="H214" s="171">
        <v>500.0</v>
      </c>
      <c r="I214" s="171">
        <v>250.0</v>
      </c>
      <c r="J214" s="172">
        <f t="shared" si="8"/>
        <v>0.004961586658</v>
      </c>
      <c r="K214" s="269">
        <f t="shared" si="11"/>
        <v>7.111607543</v>
      </c>
      <c r="L214" s="270">
        <f t="shared" si="4"/>
        <v>13.31726536</v>
      </c>
      <c r="M214" s="271" t="str">
        <f t="shared" si="5"/>
        <v>atacas</v>
      </c>
      <c r="N214" s="176">
        <f>IFERROR(__xludf.DUMMYFUNCTION("""COMPUTED_VALUE"""),5.0)</f>
        <v>5</v>
      </c>
      <c r="O214" s="176"/>
      <c r="P214" s="176"/>
      <c r="Q214" s="176"/>
      <c r="R214" s="176"/>
      <c r="S214" s="176"/>
      <c r="T214" s="176"/>
      <c r="U214" s="176"/>
      <c r="V214" s="176"/>
      <c r="W214" s="176"/>
      <c r="X214" s="176"/>
      <c r="Y214" s="176"/>
      <c r="Z214" s="176"/>
    </row>
    <row r="215">
      <c r="A215" s="249" t="s">
        <v>27</v>
      </c>
      <c r="B215" s="249" t="s">
        <v>519</v>
      </c>
      <c r="C215" s="219" t="s">
        <v>2329</v>
      </c>
      <c r="D215" s="268" t="s">
        <v>495</v>
      </c>
      <c r="E215" s="251">
        <v>44245.0</v>
      </c>
      <c r="F215" s="250" t="s">
        <v>521</v>
      </c>
      <c r="G215" s="171">
        <v>40.0</v>
      </c>
      <c r="H215" s="171">
        <v>50.0</v>
      </c>
      <c r="I215" s="171">
        <v>100.0</v>
      </c>
      <c r="J215" s="325">
        <f t="shared" si="8"/>
        <v>0.0008720930414</v>
      </c>
      <c r="K215" s="326">
        <f t="shared" si="11"/>
        <v>1.250000026</v>
      </c>
      <c r="L215" s="327">
        <f t="shared" si="4"/>
        <v>13.20701058</v>
      </c>
      <c r="M215" s="321" t="str">
        <f t="shared" si="5"/>
        <v>merlinegalite</v>
      </c>
      <c r="N215" s="176">
        <f>IFERROR(__xludf.DUMMYFUNCTION("""COMPUTED_VALUE"""),1.0)</f>
        <v>1</v>
      </c>
      <c r="O215" s="176"/>
      <c r="P215" s="176"/>
      <c r="Q215" s="176"/>
      <c r="R215" s="176"/>
      <c r="S215" s="176"/>
      <c r="T215" s="176"/>
      <c r="U215" s="176"/>
      <c r="V215" s="176"/>
      <c r="W215" s="176"/>
      <c r="X215" s="176"/>
      <c r="Y215" s="176"/>
      <c r="Z215" s="176"/>
    </row>
    <row r="216">
      <c r="A216" s="249" t="s">
        <v>27</v>
      </c>
      <c r="B216" s="249" t="s">
        <v>845</v>
      </c>
      <c r="C216" s="219" t="s">
        <v>2256</v>
      </c>
      <c r="D216" s="268" t="s">
        <v>495</v>
      </c>
      <c r="E216" s="251">
        <v>44250.0</v>
      </c>
      <c r="F216" s="250" t="s">
        <v>499</v>
      </c>
      <c r="G216" s="171">
        <v>500.0</v>
      </c>
      <c r="H216" s="171">
        <v>400.0</v>
      </c>
      <c r="I216" s="171">
        <v>150.0</v>
      </c>
      <c r="J216" s="325">
        <f t="shared" si="8"/>
        <v>0.003742664461</v>
      </c>
      <c r="K216" s="326">
        <f t="shared" si="11"/>
        <v>5.364485728</v>
      </c>
      <c r="L216" s="327">
        <f t="shared" si="4"/>
        <v>13.20701058</v>
      </c>
      <c r="M216" s="321" t="str">
        <f t="shared" si="5"/>
        <v>merlinegalite</v>
      </c>
      <c r="N216" s="176">
        <f>IFERROR(__xludf.DUMMYFUNCTION("""COMPUTED_VALUE"""),2.0)</f>
        <v>2</v>
      </c>
      <c r="O216" s="176"/>
      <c r="P216" s="176"/>
      <c r="Q216" s="176"/>
      <c r="R216" s="176"/>
      <c r="S216" s="176"/>
      <c r="T216" s="176"/>
      <c r="U216" s="176"/>
      <c r="V216" s="176"/>
      <c r="W216" s="176"/>
      <c r="X216" s="176"/>
      <c r="Y216" s="176"/>
      <c r="Z216" s="176"/>
    </row>
    <row r="217">
      <c r="A217" s="249" t="s">
        <v>27</v>
      </c>
      <c r="B217" s="249" t="s">
        <v>519</v>
      </c>
      <c r="C217" s="219" t="s">
        <v>2329</v>
      </c>
      <c r="D217" s="268" t="s">
        <v>495</v>
      </c>
      <c r="E217" s="251">
        <v>44251.0</v>
      </c>
      <c r="F217" s="250" t="s">
        <v>521</v>
      </c>
      <c r="G217" s="171">
        <v>40.0</v>
      </c>
      <c r="H217" s="171">
        <v>100.0</v>
      </c>
      <c r="I217" s="171">
        <v>80.0</v>
      </c>
      <c r="J217" s="325">
        <f t="shared" si="8"/>
        <v>0.0008832961205</v>
      </c>
      <c r="K217" s="326">
        <f t="shared" si="11"/>
        <v>1.266057773</v>
      </c>
      <c r="L217" s="327">
        <f t="shared" si="4"/>
        <v>13.20701058</v>
      </c>
      <c r="M217" s="321" t="str">
        <f t="shared" si="5"/>
        <v>merlinegalite</v>
      </c>
      <c r="N217" s="176">
        <f>IFERROR(__xludf.DUMMYFUNCTION("""COMPUTED_VALUE"""),3.0)</f>
        <v>3</v>
      </c>
      <c r="O217" s="176"/>
      <c r="P217" s="176"/>
      <c r="Q217" s="176"/>
      <c r="R217" s="176"/>
      <c r="S217" s="176"/>
      <c r="T217" s="176"/>
      <c r="U217" s="176"/>
      <c r="V217" s="176"/>
      <c r="W217" s="176"/>
      <c r="X217" s="176"/>
      <c r="Y217" s="176"/>
      <c r="Z217" s="176"/>
    </row>
    <row r="218">
      <c r="A218" s="249" t="s">
        <v>27</v>
      </c>
      <c r="B218" s="249" t="s">
        <v>10</v>
      </c>
      <c r="C218" s="219" t="s">
        <v>2257</v>
      </c>
      <c r="D218" s="268" t="s">
        <v>495</v>
      </c>
      <c r="E218" s="251">
        <v>44253.0</v>
      </c>
      <c r="F218" s="250" t="s">
        <v>496</v>
      </c>
      <c r="G218" s="171">
        <v>210.0</v>
      </c>
      <c r="H218" s="171">
        <v>200.0</v>
      </c>
      <c r="I218" s="171">
        <v>150.0</v>
      </c>
      <c r="J218" s="325">
        <f t="shared" si="8"/>
        <v>0.00217521245</v>
      </c>
      <c r="K218" s="326">
        <f t="shared" si="11"/>
        <v>3.117804512</v>
      </c>
      <c r="L218" s="327">
        <f t="shared" si="4"/>
        <v>13.20701058</v>
      </c>
      <c r="M218" s="321" t="str">
        <f t="shared" si="5"/>
        <v>merlinegalite</v>
      </c>
      <c r="N218" s="176">
        <f>IFERROR(__xludf.DUMMYFUNCTION("""COMPUTED_VALUE"""),4.0)</f>
        <v>4</v>
      </c>
      <c r="O218" s="176"/>
      <c r="P218" s="176"/>
      <c r="Q218" s="176"/>
      <c r="R218" s="176"/>
      <c r="S218" s="176"/>
      <c r="T218" s="176"/>
      <c r="U218" s="176"/>
      <c r="V218" s="176"/>
      <c r="W218" s="176"/>
      <c r="X218" s="176"/>
      <c r="Y218" s="176"/>
      <c r="Z218" s="176"/>
    </row>
    <row r="219">
      <c r="A219" s="249" t="s">
        <v>27</v>
      </c>
      <c r="B219" s="249" t="s">
        <v>10</v>
      </c>
      <c r="C219" s="219" t="s">
        <v>2247</v>
      </c>
      <c r="D219" s="268" t="s">
        <v>495</v>
      </c>
      <c r="E219" s="251">
        <v>44253.0</v>
      </c>
      <c r="F219" s="250" t="s">
        <v>496</v>
      </c>
      <c r="G219" s="171">
        <v>150.0</v>
      </c>
      <c r="H219" s="171">
        <v>200.0</v>
      </c>
      <c r="I219" s="171">
        <v>80.0</v>
      </c>
      <c r="J219" s="325">
        <f t="shared" si="8"/>
        <v>0.001540927353</v>
      </c>
      <c r="K219" s="326">
        <f t="shared" si="11"/>
        <v>2.20866254</v>
      </c>
      <c r="L219" s="327">
        <f t="shared" si="4"/>
        <v>13.20701058</v>
      </c>
      <c r="M219" s="321" t="str">
        <f t="shared" si="5"/>
        <v>merlinegalite</v>
      </c>
      <c r="N219" s="176">
        <f>IFERROR(__xludf.DUMMYFUNCTION("""COMPUTED_VALUE"""),5.0)</f>
        <v>5</v>
      </c>
      <c r="O219" s="176"/>
      <c r="P219" s="176"/>
      <c r="Q219" s="176"/>
      <c r="R219" s="176"/>
      <c r="S219" s="176"/>
      <c r="T219" s="176"/>
      <c r="U219" s="176"/>
      <c r="V219" s="176"/>
      <c r="W219" s="176"/>
      <c r="X219" s="176"/>
      <c r="Y219" s="176"/>
      <c r="Z219" s="176"/>
    </row>
    <row r="220">
      <c r="A220" s="16" t="s">
        <v>68</v>
      </c>
      <c r="B220" s="272" t="s">
        <v>590</v>
      </c>
      <c r="C220" s="273" t="s">
        <v>2330</v>
      </c>
      <c r="D220" s="274" t="s">
        <v>499</v>
      </c>
      <c r="E220" s="328" t="s">
        <v>2183</v>
      </c>
      <c r="F220" s="274" t="s">
        <v>1646</v>
      </c>
      <c r="G220" s="171">
        <v>600.0</v>
      </c>
      <c r="H220" s="171">
        <v>1000.0</v>
      </c>
      <c r="I220" s="171">
        <v>200.0</v>
      </c>
      <c r="J220" s="172">
        <f t="shared" si="8"/>
        <v>0.005969594513</v>
      </c>
      <c r="K220" s="269">
        <f t="shared" si="11"/>
        <v>8.556418801</v>
      </c>
      <c r="L220" s="270">
        <f t="shared" si="4"/>
        <v>12.68343433</v>
      </c>
      <c r="M220" s="271" t="str">
        <f t="shared" si="5"/>
        <v>tylerdmace</v>
      </c>
      <c r="N220" s="176">
        <f>IFERROR(__xludf.DUMMYFUNCTION("""COMPUTED_VALUE"""),1.0)</f>
        <v>1</v>
      </c>
      <c r="O220" s="176"/>
      <c r="P220" s="176"/>
      <c r="Q220" s="176"/>
      <c r="R220" s="176"/>
      <c r="S220" s="176"/>
      <c r="T220" s="176"/>
      <c r="U220" s="176"/>
      <c r="V220" s="176"/>
      <c r="W220" s="176"/>
      <c r="X220" s="176"/>
      <c r="Y220" s="176"/>
      <c r="Z220" s="176"/>
    </row>
    <row r="221">
      <c r="A221" s="16" t="s">
        <v>68</v>
      </c>
      <c r="B221" s="272" t="s">
        <v>2163</v>
      </c>
      <c r="C221" s="273" t="s">
        <v>2331</v>
      </c>
      <c r="D221" s="274" t="s">
        <v>499</v>
      </c>
      <c r="E221" s="328" t="s">
        <v>2291</v>
      </c>
      <c r="F221" s="274" t="s">
        <v>1646</v>
      </c>
      <c r="G221" s="171">
        <v>250.0</v>
      </c>
      <c r="H221" s="171">
        <v>300.0</v>
      </c>
      <c r="I221" s="171">
        <v>200.0</v>
      </c>
      <c r="J221" s="172">
        <f t="shared" si="8"/>
        <v>0.002879313158</v>
      </c>
      <c r="K221" s="269">
        <f t="shared" si="11"/>
        <v>4.127015527</v>
      </c>
      <c r="L221" s="270">
        <f t="shared" si="4"/>
        <v>12.68343433</v>
      </c>
      <c r="M221" s="271" t="str">
        <f t="shared" si="5"/>
        <v>tylerdmace</v>
      </c>
      <c r="N221" s="176">
        <f>IFERROR(__xludf.DUMMYFUNCTION("""COMPUTED_VALUE"""),2.0)</f>
        <v>2</v>
      </c>
      <c r="O221" s="176"/>
      <c r="P221" s="176"/>
      <c r="Q221" s="176"/>
      <c r="R221" s="176"/>
      <c r="S221" s="176"/>
      <c r="T221" s="176"/>
      <c r="U221" s="176"/>
      <c r="V221" s="176"/>
      <c r="W221" s="176"/>
      <c r="X221" s="176"/>
      <c r="Y221" s="176"/>
      <c r="Z221" s="176"/>
    </row>
    <row r="222">
      <c r="A222" s="253" t="s">
        <v>18</v>
      </c>
      <c r="B222" s="240" t="s">
        <v>534</v>
      </c>
      <c r="C222" s="221" t="s">
        <v>741</v>
      </c>
      <c r="D222" s="336"/>
      <c r="E222" s="255"/>
      <c r="F222" s="254"/>
      <c r="G222" s="222"/>
      <c r="H222" s="222"/>
      <c r="I222" s="222"/>
      <c r="J222" s="325">
        <f t="shared" si="8"/>
        <v>0</v>
      </c>
      <c r="K222" s="337">
        <f>79.595*-0.85</f>
        <v>-67.65575</v>
      </c>
      <c r="L222" s="327">
        <f t="shared" si="4"/>
        <v>11.95672351</v>
      </c>
      <c r="M222" s="321" t="str">
        <f t="shared" si="5"/>
        <v>liviade</v>
      </c>
      <c r="N222" s="209">
        <f>IFERROR(__xludf.DUMMYFUNCTION("""COMPUTED_VALUE"""),1.0)</f>
        <v>1</v>
      </c>
      <c r="O222" s="209"/>
      <c r="P222" s="209"/>
      <c r="Q222" s="209"/>
      <c r="R222" s="209"/>
      <c r="S222" s="209"/>
      <c r="T222" s="209"/>
      <c r="U222" s="209"/>
      <c r="V222" s="209"/>
      <c r="W222" s="209"/>
      <c r="X222" s="209"/>
      <c r="Y222" s="176"/>
      <c r="Z222" s="176"/>
    </row>
    <row r="223">
      <c r="A223" s="249" t="s">
        <v>18</v>
      </c>
      <c r="B223" s="249" t="s">
        <v>18</v>
      </c>
      <c r="C223" s="219" t="s">
        <v>2211</v>
      </c>
      <c r="D223" s="268" t="s">
        <v>495</v>
      </c>
      <c r="E223" s="251">
        <v>44242.0</v>
      </c>
      <c r="F223" s="250" t="s">
        <v>496</v>
      </c>
      <c r="G223" s="171">
        <v>110.0</v>
      </c>
      <c r="H223" s="171">
        <v>300.0</v>
      </c>
      <c r="I223" s="171">
        <v>100.0</v>
      </c>
      <c r="J223" s="325">
        <f t="shared" si="8"/>
        <v>0.001777616025</v>
      </c>
      <c r="K223" s="326">
        <f t="shared" ref="K223:K250" si="12">J223*$J$1</f>
        <v>2.547916302</v>
      </c>
      <c r="L223" s="327">
        <f t="shared" si="4"/>
        <v>11.95672351</v>
      </c>
      <c r="M223" s="321" t="str">
        <f t="shared" si="5"/>
        <v>liviade</v>
      </c>
      <c r="N223" s="176">
        <f>IFERROR(__xludf.DUMMYFUNCTION("""COMPUTED_VALUE"""),2.0)</f>
        <v>2</v>
      </c>
      <c r="O223" s="176"/>
      <c r="P223" s="176"/>
      <c r="Q223" s="176"/>
      <c r="R223" s="176"/>
      <c r="S223" s="176"/>
      <c r="T223" s="176"/>
      <c r="U223" s="176"/>
      <c r="V223" s="176"/>
      <c r="W223" s="176"/>
      <c r="X223" s="176"/>
      <c r="Y223" s="176"/>
      <c r="Z223" s="176"/>
    </row>
    <row r="224">
      <c r="A224" s="249" t="s">
        <v>18</v>
      </c>
      <c r="B224" s="249" t="s">
        <v>867</v>
      </c>
      <c r="C224" s="219" t="s">
        <v>2332</v>
      </c>
      <c r="D224" s="268" t="s">
        <v>495</v>
      </c>
      <c r="E224" s="251">
        <v>44243.0</v>
      </c>
      <c r="F224" s="250" t="s">
        <v>496</v>
      </c>
      <c r="G224" s="171">
        <v>100.0</v>
      </c>
      <c r="H224" s="171">
        <v>300.0</v>
      </c>
      <c r="I224" s="171">
        <v>100.0</v>
      </c>
      <c r="J224" s="325">
        <f t="shared" si="8"/>
        <v>0.001741588947</v>
      </c>
      <c r="K224" s="326">
        <f t="shared" si="12"/>
        <v>2.496277491</v>
      </c>
      <c r="L224" s="327">
        <f t="shared" si="4"/>
        <v>11.95672351</v>
      </c>
      <c r="M224" s="321" t="str">
        <f t="shared" si="5"/>
        <v>liviade</v>
      </c>
      <c r="N224" s="176">
        <f>IFERROR(__xludf.DUMMYFUNCTION("""COMPUTED_VALUE"""),3.0)</f>
        <v>3</v>
      </c>
      <c r="O224" s="176"/>
      <c r="P224" s="176"/>
      <c r="Q224" s="176"/>
      <c r="R224" s="176"/>
      <c r="S224" s="176"/>
      <c r="T224" s="176"/>
      <c r="U224" s="176"/>
      <c r="V224" s="176"/>
      <c r="W224" s="176"/>
      <c r="X224" s="176"/>
      <c r="Y224" s="176"/>
      <c r="Z224" s="176"/>
    </row>
    <row r="225">
      <c r="A225" s="249" t="s">
        <v>18</v>
      </c>
      <c r="B225" s="249" t="s">
        <v>1228</v>
      </c>
      <c r="C225" s="219" t="s">
        <v>2333</v>
      </c>
      <c r="D225" s="268" t="s">
        <v>495</v>
      </c>
      <c r="E225" s="251">
        <v>44243.0</v>
      </c>
      <c r="F225" s="250" t="s">
        <v>496</v>
      </c>
      <c r="G225" s="171">
        <v>240.0</v>
      </c>
      <c r="H225" s="171">
        <v>400.0</v>
      </c>
      <c r="I225" s="171">
        <v>200.0</v>
      </c>
      <c r="J225" s="325">
        <f t="shared" si="8"/>
        <v>0.003104619455</v>
      </c>
      <c r="K225" s="326">
        <f t="shared" si="12"/>
        <v>4.449954553</v>
      </c>
      <c r="L225" s="327">
        <f t="shared" si="4"/>
        <v>11.95672351</v>
      </c>
      <c r="M225" s="321" t="str">
        <f t="shared" si="5"/>
        <v>liviade</v>
      </c>
      <c r="N225" s="176">
        <f>IFERROR(__xludf.DUMMYFUNCTION("""COMPUTED_VALUE"""),4.0)</f>
        <v>4</v>
      </c>
      <c r="O225" s="176"/>
      <c r="P225" s="176"/>
      <c r="Q225" s="176"/>
      <c r="R225" s="176"/>
      <c r="S225" s="176"/>
      <c r="T225" s="176"/>
      <c r="U225" s="176"/>
      <c r="V225" s="176"/>
      <c r="W225" s="176"/>
      <c r="X225" s="176"/>
      <c r="Y225" s="176"/>
      <c r="Z225" s="176"/>
    </row>
    <row r="226">
      <c r="A226" s="249" t="s">
        <v>18</v>
      </c>
      <c r="B226" s="249" t="s">
        <v>18</v>
      </c>
      <c r="C226" s="219" t="s">
        <v>2192</v>
      </c>
      <c r="D226" s="268" t="s">
        <v>495</v>
      </c>
      <c r="E226" s="251">
        <v>44244.0</v>
      </c>
      <c r="F226" s="250" t="s">
        <v>496</v>
      </c>
      <c r="G226" s="171">
        <v>60.0</v>
      </c>
      <c r="H226" s="171">
        <v>100.0</v>
      </c>
      <c r="I226" s="171">
        <v>100.0</v>
      </c>
      <c r="J226" s="325">
        <f t="shared" si="8"/>
        <v>0.001074813885</v>
      </c>
      <c r="K226" s="326">
        <f t="shared" si="12"/>
        <v>1.540566568</v>
      </c>
      <c r="L226" s="327">
        <f t="shared" si="4"/>
        <v>11.95672351</v>
      </c>
      <c r="M226" s="321" t="str">
        <f t="shared" si="5"/>
        <v>liviade</v>
      </c>
      <c r="N226" s="176">
        <f>IFERROR(__xludf.DUMMYFUNCTION("""COMPUTED_VALUE"""),5.0)</f>
        <v>5</v>
      </c>
      <c r="O226" s="176"/>
      <c r="P226" s="176"/>
      <c r="Q226" s="176"/>
      <c r="R226" s="176"/>
      <c r="S226" s="176"/>
      <c r="T226" s="176"/>
      <c r="U226" s="176"/>
      <c r="V226" s="176"/>
      <c r="W226" s="176"/>
      <c r="X226" s="176"/>
      <c r="Y226" s="176"/>
      <c r="Z226" s="176"/>
    </row>
    <row r="227">
      <c r="A227" s="249" t="s">
        <v>18</v>
      </c>
      <c r="B227" s="249" t="s">
        <v>18</v>
      </c>
      <c r="C227" s="219" t="s">
        <v>2194</v>
      </c>
      <c r="D227" s="268" t="s">
        <v>495</v>
      </c>
      <c r="E227" s="251">
        <v>44244.0</v>
      </c>
      <c r="F227" s="250" t="s">
        <v>496</v>
      </c>
      <c r="G227" s="171">
        <v>100.0</v>
      </c>
      <c r="H227" s="171">
        <v>150.0</v>
      </c>
      <c r="I227" s="171">
        <v>50.0</v>
      </c>
      <c r="J227" s="325">
        <f t="shared" si="8"/>
        <v>0.001050929863</v>
      </c>
      <c r="K227" s="326">
        <f t="shared" si="12"/>
        <v>1.506332804</v>
      </c>
      <c r="L227" s="327">
        <f t="shared" si="4"/>
        <v>11.95672351</v>
      </c>
      <c r="M227" s="321" t="str">
        <f t="shared" si="5"/>
        <v>liviade</v>
      </c>
      <c r="N227" s="176">
        <f>IFERROR(__xludf.DUMMYFUNCTION("""COMPUTED_VALUE"""),6.0)</f>
        <v>6</v>
      </c>
      <c r="O227" s="176"/>
      <c r="P227" s="176"/>
      <c r="Q227" s="176"/>
      <c r="R227" s="176"/>
      <c r="S227" s="176"/>
      <c r="T227" s="176"/>
      <c r="U227" s="176"/>
      <c r="V227" s="176"/>
      <c r="W227" s="176"/>
      <c r="X227" s="176"/>
      <c r="Y227" s="176"/>
      <c r="Z227" s="176"/>
    </row>
    <row r="228">
      <c r="A228" s="249" t="s">
        <v>18</v>
      </c>
      <c r="B228" s="249" t="s">
        <v>1228</v>
      </c>
      <c r="C228" s="219" t="s">
        <v>2334</v>
      </c>
      <c r="D228" s="268" t="s">
        <v>495</v>
      </c>
      <c r="E228" s="251">
        <v>44245.0</v>
      </c>
      <c r="F228" s="250" t="s">
        <v>496</v>
      </c>
      <c r="G228" s="171">
        <v>100.0</v>
      </c>
      <c r="H228" s="171">
        <v>100.0</v>
      </c>
      <c r="I228" s="171">
        <v>100.0</v>
      </c>
      <c r="J228" s="325">
        <f t="shared" si="8"/>
        <v>0.001218922197</v>
      </c>
      <c r="K228" s="326">
        <f t="shared" si="12"/>
        <v>1.747121815</v>
      </c>
      <c r="L228" s="327">
        <f t="shared" si="4"/>
        <v>11.95672351</v>
      </c>
      <c r="M228" s="321" t="str">
        <f t="shared" si="5"/>
        <v>liviade</v>
      </c>
      <c r="N228" s="176">
        <f>IFERROR(__xludf.DUMMYFUNCTION("""COMPUTED_VALUE"""),7.0)</f>
        <v>7</v>
      </c>
      <c r="O228" s="176"/>
      <c r="P228" s="176"/>
      <c r="Q228" s="176"/>
      <c r="R228" s="176"/>
      <c r="S228" s="176"/>
      <c r="T228" s="176"/>
      <c r="U228" s="176"/>
      <c r="V228" s="176"/>
      <c r="W228" s="176"/>
      <c r="X228" s="176"/>
      <c r="Y228" s="176"/>
      <c r="Z228" s="176"/>
    </row>
    <row r="229">
      <c r="A229" s="249" t="s">
        <v>18</v>
      </c>
      <c r="B229" s="249" t="s">
        <v>1228</v>
      </c>
      <c r="C229" s="219" t="s">
        <v>2335</v>
      </c>
      <c r="D229" s="268" t="s">
        <v>495</v>
      </c>
      <c r="E229" s="251">
        <v>44245.0</v>
      </c>
      <c r="F229" s="250" t="s">
        <v>496</v>
      </c>
      <c r="G229" s="171">
        <v>250.0</v>
      </c>
      <c r="H229" s="171">
        <v>400.0</v>
      </c>
      <c r="I229" s="171">
        <v>200.0</v>
      </c>
      <c r="J229" s="325">
        <f t="shared" si="8"/>
        <v>0.003140646533</v>
      </c>
      <c r="K229" s="326">
        <f t="shared" si="12"/>
        <v>4.501593364</v>
      </c>
      <c r="L229" s="327">
        <f t="shared" si="4"/>
        <v>11.95672351</v>
      </c>
      <c r="M229" s="321" t="str">
        <f t="shared" si="5"/>
        <v>liviade</v>
      </c>
      <c r="N229" s="176">
        <f>IFERROR(__xludf.DUMMYFUNCTION("""COMPUTED_VALUE"""),8.0)</f>
        <v>8</v>
      </c>
      <c r="O229" s="176"/>
      <c r="P229" s="176"/>
      <c r="Q229" s="176"/>
      <c r="R229" s="176"/>
      <c r="S229" s="176"/>
      <c r="T229" s="176"/>
      <c r="U229" s="176"/>
      <c r="V229" s="176"/>
      <c r="W229" s="176"/>
      <c r="X229" s="176"/>
      <c r="Y229" s="176"/>
      <c r="Z229" s="176"/>
    </row>
    <row r="230">
      <c r="A230" s="249" t="s">
        <v>18</v>
      </c>
      <c r="B230" s="249" t="s">
        <v>10</v>
      </c>
      <c r="C230" s="219" t="s">
        <v>2336</v>
      </c>
      <c r="D230" s="268" t="s">
        <v>495</v>
      </c>
      <c r="E230" s="251">
        <v>44246.0</v>
      </c>
      <c r="F230" s="250" t="s">
        <v>496</v>
      </c>
      <c r="G230" s="171">
        <v>400.0</v>
      </c>
      <c r="H230" s="171">
        <v>500.0</v>
      </c>
      <c r="I230" s="171">
        <v>250.0</v>
      </c>
      <c r="J230" s="325">
        <f t="shared" si="8"/>
        <v>0.004241045099</v>
      </c>
      <c r="K230" s="326">
        <f t="shared" si="12"/>
        <v>6.078831308</v>
      </c>
      <c r="L230" s="327">
        <f t="shared" si="4"/>
        <v>11.95672351</v>
      </c>
      <c r="M230" s="321" t="str">
        <f t="shared" si="5"/>
        <v>liviade</v>
      </c>
      <c r="N230" s="176">
        <f>IFERROR(__xludf.DUMMYFUNCTION("""COMPUTED_VALUE"""),9.0)</f>
        <v>9</v>
      </c>
      <c r="O230" s="176"/>
      <c r="P230" s="176"/>
      <c r="Q230" s="176"/>
      <c r="R230" s="176"/>
      <c r="S230" s="176"/>
      <c r="T230" s="176"/>
      <c r="U230" s="176"/>
      <c r="V230" s="176"/>
      <c r="W230" s="176"/>
      <c r="X230" s="176"/>
      <c r="Y230" s="176"/>
      <c r="Z230" s="176"/>
    </row>
    <row r="231">
      <c r="A231" s="249" t="s">
        <v>18</v>
      </c>
      <c r="B231" s="249" t="s">
        <v>10</v>
      </c>
      <c r="C231" s="219" t="s">
        <v>2254</v>
      </c>
      <c r="D231" s="268" t="s">
        <v>495</v>
      </c>
      <c r="E231" s="251">
        <v>44246.0</v>
      </c>
      <c r="F231" s="250" t="s">
        <v>496</v>
      </c>
      <c r="G231" s="171">
        <v>200.0</v>
      </c>
      <c r="H231" s="171">
        <v>400.0</v>
      </c>
      <c r="I231" s="171">
        <v>100.0</v>
      </c>
      <c r="J231" s="325">
        <f t="shared" si="8"/>
        <v>0.002363193102</v>
      </c>
      <c r="K231" s="326">
        <f t="shared" si="12"/>
        <v>3.387243446</v>
      </c>
      <c r="L231" s="327">
        <f t="shared" si="4"/>
        <v>11.95672351</v>
      </c>
      <c r="M231" s="321" t="str">
        <f t="shared" si="5"/>
        <v>liviade</v>
      </c>
      <c r="N231" s="176">
        <f>IFERROR(__xludf.DUMMYFUNCTION("""COMPUTED_VALUE"""),10.0)</f>
        <v>10</v>
      </c>
      <c r="O231" s="176"/>
      <c r="P231" s="176"/>
      <c r="Q231" s="176"/>
      <c r="R231" s="176"/>
      <c r="S231" s="176"/>
      <c r="T231" s="176"/>
      <c r="U231" s="176"/>
      <c r="V231" s="176"/>
      <c r="W231" s="176"/>
      <c r="X231" s="176"/>
      <c r="Y231" s="176"/>
      <c r="Z231" s="176"/>
    </row>
    <row r="232">
      <c r="A232" s="249" t="s">
        <v>18</v>
      </c>
      <c r="B232" s="249" t="s">
        <v>10</v>
      </c>
      <c r="C232" s="219" t="s">
        <v>2197</v>
      </c>
      <c r="D232" s="268" t="s">
        <v>495</v>
      </c>
      <c r="E232" s="251">
        <v>44246.0</v>
      </c>
      <c r="F232" s="250" t="s">
        <v>496</v>
      </c>
      <c r="G232" s="171">
        <v>40.0</v>
      </c>
      <c r="H232" s="171">
        <v>20.0</v>
      </c>
      <c r="I232" s="171">
        <v>50.0</v>
      </c>
      <c r="J232" s="325">
        <f t="shared" si="8"/>
        <v>0.0004950340078</v>
      </c>
      <c r="K232" s="326">
        <f t="shared" si="12"/>
        <v>0.7095487446</v>
      </c>
      <c r="L232" s="327">
        <f t="shared" si="4"/>
        <v>11.95672351</v>
      </c>
      <c r="M232" s="321" t="str">
        <f t="shared" si="5"/>
        <v>liviade</v>
      </c>
      <c r="N232" s="176">
        <f>IFERROR(__xludf.DUMMYFUNCTION("""COMPUTED_VALUE"""),11.0)</f>
        <v>11</v>
      </c>
      <c r="O232" s="176"/>
      <c r="P232" s="176"/>
      <c r="Q232" s="176"/>
      <c r="R232" s="176"/>
      <c r="S232" s="176"/>
      <c r="T232" s="176"/>
      <c r="U232" s="176"/>
      <c r="V232" s="176"/>
      <c r="W232" s="176"/>
      <c r="X232" s="176"/>
      <c r="Y232" s="176"/>
      <c r="Z232" s="176"/>
    </row>
    <row r="233">
      <c r="A233" s="249" t="s">
        <v>18</v>
      </c>
      <c r="B233" s="249" t="s">
        <v>10</v>
      </c>
      <c r="C233" s="219" t="s">
        <v>494</v>
      </c>
      <c r="D233" s="268" t="s">
        <v>495</v>
      </c>
      <c r="E233" s="251">
        <v>44246.0</v>
      </c>
      <c r="F233" s="250" t="s">
        <v>545</v>
      </c>
      <c r="G233" s="171">
        <v>20.0</v>
      </c>
      <c r="H233" s="171">
        <v>300.0</v>
      </c>
      <c r="I233" s="171">
        <v>20.0</v>
      </c>
      <c r="J233" s="325">
        <f t="shared" si="8"/>
        <v>0.0009755178897</v>
      </c>
      <c r="K233" s="326">
        <f t="shared" si="12"/>
        <v>1.398242309</v>
      </c>
      <c r="L233" s="327">
        <f t="shared" si="4"/>
        <v>11.95672351</v>
      </c>
      <c r="M233" s="321" t="str">
        <f t="shared" si="5"/>
        <v>liviade</v>
      </c>
      <c r="N233" s="176">
        <f>IFERROR(__xludf.DUMMYFUNCTION("""COMPUTED_VALUE"""),12.0)</f>
        <v>12</v>
      </c>
      <c r="O233" s="176"/>
      <c r="P233" s="176"/>
      <c r="Q233" s="176"/>
      <c r="R233" s="176"/>
      <c r="S233" s="176"/>
      <c r="T233" s="176"/>
      <c r="U233" s="176"/>
      <c r="V233" s="176"/>
      <c r="W233" s="176"/>
      <c r="X233" s="176"/>
      <c r="Y233" s="176"/>
      <c r="Z233" s="176"/>
    </row>
    <row r="234">
      <c r="A234" s="249" t="s">
        <v>18</v>
      </c>
      <c r="B234" s="249" t="s">
        <v>867</v>
      </c>
      <c r="C234" s="219" t="s">
        <v>2199</v>
      </c>
      <c r="D234" s="268" t="s">
        <v>495</v>
      </c>
      <c r="E234" s="251">
        <v>44249.0</v>
      </c>
      <c r="F234" s="250" t="s">
        <v>496</v>
      </c>
      <c r="G234" s="171">
        <v>60.0</v>
      </c>
      <c r="H234" s="171">
        <v>200.0</v>
      </c>
      <c r="I234" s="171">
        <v>80.0</v>
      </c>
      <c r="J234" s="325">
        <f t="shared" si="8"/>
        <v>0.001216683652</v>
      </c>
      <c r="K234" s="326">
        <f t="shared" si="12"/>
        <v>1.743913234</v>
      </c>
      <c r="L234" s="327">
        <f t="shared" si="4"/>
        <v>11.95672351</v>
      </c>
      <c r="M234" s="321" t="str">
        <f t="shared" si="5"/>
        <v>liviade</v>
      </c>
      <c r="N234" s="176">
        <f>IFERROR(__xludf.DUMMYFUNCTION("""COMPUTED_VALUE"""),13.0)</f>
        <v>13</v>
      </c>
      <c r="O234" s="176"/>
      <c r="P234" s="176"/>
      <c r="Q234" s="176"/>
      <c r="R234" s="176"/>
      <c r="S234" s="176"/>
      <c r="T234" s="176"/>
      <c r="U234" s="176"/>
      <c r="V234" s="176"/>
      <c r="W234" s="176"/>
      <c r="X234" s="176"/>
      <c r="Y234" s="176"/>
      <c r="Z234" s="176"/>
    </row>
    <row r="235">
      <c r="A235" s="249" t="s">
        <v>18</v>
      </c>
      <c r="B235" s="249" t="s">
        <v>867</v>
      </c>
      <c r="C235" s="219" t="s">
        <v>2337</v>
      </c>
      <c r="D235" s="268" t="s">
        <v>495</v>
      </c>
      <c r="E235" s="251">
        <v>44250.0</v>
      </c>
      <c r="F235" s="250" t="s">
        <v>496</v>
      </c>
      <c r="G235" s="171">
        <v>400.0</v>
      </c>
      <c r="H235" s="171">
        <v>200.0</v>
      </c>
      <c r="I235" s="171">
        <v>100.0</v>
      </c>
      <c r="J235" s="325">
        <f t="shared" si="8"/>
        <v>0.00256106791</v>
      </c>
      <c r="K235" s="326">
        <f t="shared" si="12"/>
        <v>3.670864005</v>
      </c>
      <c r="L235" s="327">
        <f t="shared" si="4"/>
        <v>11.95672351</v>
      </c>
      <c r="M235" s="321" t="str">
        <f t="shared" si="5"/>
        <v>liviade</v>
      </c>
      <c r="N235" s="176">
        <f>IFERROR(__xludf.DUMMYFUNCTION("""COMPUTED_VALUE"""),14.0)</f>
        <v>14</v>
      </c>
      <c r="O235" s="176"/>
      <c r="P235" s="176"/>
      <c r="Q235" s="176"/>
      <c r="R235" s="176"/>
      <c r="S235" s="176"/>
      <c r="T235" s="176"/>
      <c r="U235" s="176"/>
      <c r="V235" s="176"/>
      <c r="W235" s="176"/>
      <c r="X235" s="176"/>
      <c r="Y235" s="176"/>
      <c r="Z235" s="176"/>
    </row>
    <row r="236">
      <c r="A236" s="249" t="s">
        <v>18</v>
      </c>
      <c r="B236" s="249" t="s">
        <v>590</v>
      </c>
      <c r="C236" s="219" t="s">
        <v>2202</v>
      </c>
      <c r="D236" s="268" t="s">
        <v>495</v>
      </c>
      <c r="E236" s="251">
        <v>44250.0</v>
      </c>
      <c r="F236" s="250" t="s">
        <v>496</v>
      </c>
      <c r="G236" s="171">
        <v>40.0</v>
      </c>
      <c r="H236" s="171">
        <v>50.0</v>
      </c>
      <c r="I236" s="171">
        <v>80.0</v>
      </c>
      <c r="J236" s="325">
        <f t="shared" si="8"/>
        <v>0.000752629433</v>
      </c>
      <c r="K236" s="326">
        <f t="shared" si="12"/>
        <v>1.078768854</v>
      </c>
      <c r="L236" s="327">
        <f t="shared" si="4"/>
        <v>11.95672351</v>
      </c>
      <c r="M236" s="321" t="str">
        <f t="shared" si="5"/>
        <v>liviade</v>
      </c>
      <c r="N236" s="176">
        <f>IFERROR(__xludf.DUMMYFUNCTION("""COMPUTED_VALUE"""),15.0)</f>
        <v>15</v>
      </c>
      <c r="O236" s="176"/>
      <c r="P236" s="176"/>
      <c r="Q236" s="176"/>
      <c r="R236" s="176"/>
      <c r="S236" s="176"/>
      <c r="T236" s="176"/>
      <c r="U236" s="176"/>
      <c r="V236" s="176"/>
      <c r="W236" s="176"/>
      <c r="X236" s="176"/>
      <c r="Y236" s="176"/>
      <c r="Z236" s="176"/>
    </row>
    <row r="237">
      <c r="A237" s="249" t="s">
        <v>18</v>
      </c>
      <c r="B237" s="249" t="s">
        <v>867</v>
      </c>
      <c r="C237" s="219" t="s">
        <v>2338</v>
      </c>
      <c r="D237" s="268" t="s">
        <v>495</v>
      </c>
      <c r="E237" s="251">
        <v>44251.0</v>
      </c>
      <c r="F237" s="250" t="s">
        <v>496</v>
      </c>
      <c r="G237" s="171">
        <v>200.0</v>
      </c>
      <c r="H237" s="171">
        <v>200.0</v>
      </c>
      <c r="I237" s="171">
        <v>250.0</v>
      </c>
      <c r="J237" s="325">
        <f t="shared" si="8"/>
        <v>0.002736503414</v>
      </c>
      <c r="K237" s="326">
        <f t="shared" si="12"/>
        <v>3.922321561</v>
      </c>
      <c r="L237" s="327">
        <f t="shared" si="4"/>
        <v>11.95672351</v>
      </c>
      <c r="M237" s="321" t="str">
        <f t="shared" si="5"/>
        <v>liviade</v>
      </c>
      <c r="N237" s="176">
        <f>IFERROR(__xludf.DUMMYFUNCTION("""COMPUTED_VALUE"""),16.0)</f>
        <v>16</v>
      </c>
      <c r="O237" s="176"/>
      <c r="P237" s="176"/>
      <c r="Q237" s="176"/>
      <c r="R237" s="176"/>
      <c r="S237" s="176"/>
      <c r="T237" s="176"/>
      <c r="U237" s="176"/>
      <c r="V237" s="176"/>
      <c r="W237" s="176"/>
      <c r="X237" s="176"/>
      <c r="Y237" s="176"/>
      <c r="Z237" s="176"/>
    </row>
    <row r="238">
      <c r="A238" s="249" t="s">
        <v>18</v>
      </c>
      <c r="B238" s="249" t="s">
        <v>10</v>
      </c>
      <c r="C238" s="219" t="s">
        <v>494</v>
      </c>
      <c r="D238" s="268" t="s">
        <v>495</v>
      </c>
      <c r="E238" s="251">
        <v>44253.0</v>
      </c>
      <c r="F238" s="250" t="s">
        <v>496</v>
      </c>
      <c r="G238" s="171">
        <v>100.0</v>
      </c>
      <c r="H238" s="171">
        <v>300.0</v>
      </c>
      <c r="I238" s="171">
        <v>150.0</v>
      </c>
      <c r="J238" s="325">
        <f t="shared" si="8"/>
        <v>0.002040247968</v>
      </c>
      <c r="K238" s="326">
        <f t="shared" si="12"/>
        <v>2.924355421</v>
      </c>
      <c r="L238" s="327">
        <f t="shared" si="4"/>
        <v>11.95672351</v>
      </c>
      <c r="M238" s="321" t="str">
        <f t="shared" si="5"/>
        <v>liviade</v>
      </c>
      <c r="N238" s="176">
        <f>IFERROR(__xludf.DUMMYFUNCTION("""COMPUTED_VALUE"""),17.0)</f>
        <v>17</v>
      </c>
      <c r="O238" s="176"/>
      <c r="P238" s="176"/>
      <c r="Q238" s="176"/>
      <c r="R238" s="176"/>
      <c r="S238" s="176"/>
      <c r="T238" s="176"/>
      <c r="U238" s="176"/>
      <c r="V238" s="176"/>
      <c r="W238" s="176"/>
      <c r="X238" s="176"/>
      <c r="Y238" s="176"/>
      <c r="Z238" s="176"/>
    </row>
    <row r="239">
      <c r="A239" s="249" t="s">
        <v>18</v>
      </c>
      <c r="B239" s="249" t="s">
        <v>10</v>
      </c>
      <c r="C239" s="219" t="s">
        <v>2181</v>
      </c>
      <c r="D239" s="268" t="s">
        <v>495</v>
      </c>
      <c r="E239" s="251">
        <v>44253.0</v>
      </c>
      <c r="F239" s="250" t="s">
        <v>499</v>
      </c>
      <c r="G239" s="171">
        <v>10.0</v>
      </c>
      <c r="H239" s="171">
        <v>40.0</v>
      </c>
      <c r="I239" s="171">
        <v>20.0</v>
      </c>
      <c r="J239" s="325">
        <f t="shared" si="8"/>
        <v>0.0002600240364</v>
      </c>
      <c r="K239" s="326">
        <f t="shared" si="12"/>
        <v>0.3727011189</v>
      </c>
      <c r="L239" s="327">
        <f t="shared" si="4"/>
        <v>11.95672351</v>
      </c>
      <c r="M239" s="321" t="str">
        <f t="shared" si="5"/>
        <v>liviade</v>
      </c>
      <c r="N239" s="176">
        <f>IFERROR(__xludf.DUMMYFUNCTION("""COMPUTED_VALUE"""),18.0)</f>
        <v>18</v>
      </c>
      <c r="O239" s="176"/>
      <c r="P239" s="176"/>
      <c r="Q239" s="176"/>
      <c r="R239" s="176"/>
      <c r="S239" s="176"/>
      <c r="T239" s="176"/>
      <c r="U239" s="176"/>
      <c r="V239" s="176"/>
      <c r="W239" s="176"/>
      <c r="X239" s="176"/>
      <c r="Y239" s="176"/>
      <c r="Z239" s="176"/>
    </row>
    <row r="240">
      <c r="A240" s="249" t="s">
        <v>18</v>
      </c>
      <c r="B240" s="249" t="s">
        <v>10</v>
      </c>
      <c r="C240" s="219" t="s">
        <v>2339</v>
      </c>
      <c r="D240" s="268" t="s">
        <v>495</v>
      </c>
      <c r="E240" s="251">
        <v>44253.0</v>
      </c>
      <c r="F240" s="250" t="s">
        <v>496</v>
      </c>
      <c r="G240" s="171">
        <v>400.0</v>
      </c>
      <c r="H240" s="171">
        <v>200.0</v>
      </c>
      <c r="I240" s="171">
        <v>100.0</v>
      </c>
      <c r="J240" s="325">
        <f t="shared" si="8"/>
        <v>0.00256106791</v>
      </c>
      <c r="K240" s="326">
        <f t="shared" si="12"/>
        <v>3.670864005</v>
      </c>
      <c r="L240" s="327">
        <f t="shared" si="4"/>
        <v>11.95672351</v>
      </c>
      <c r="M240" s="321" t="str">
        <f t="shared" si="5"/>
        <v>liviade</v>
      </c>
      <c r="N240" s="176">
        <f>IFERROR(__xludf.DUMMYFUNCTION("""COMPUTED_VALUE"""),19.0)</f>
        <v>19</v>
      </c>
      <c r="O240" s="176"/>
      <c r="P240" s="176"/>
      <c r="Q240" s="176"/>
      <c r="R240" s="176"/>
      <c r="S240" s="176"/>
      <c r="T240" s="176"/>
      <c r="U240" s="176"/>
      <c r="V240" s="176"/>
      <c r="W240" s="176"/>
      <c r="X240" s="176"/>
      <c r="Y240" s="176"/>
      <c r="Z240" s="176"/>
    </row>
    <row r="241">
      <c r="A241" s="249" t="s">
        <v>18</v>
      </c>
      <c r="B241" s="249" t="s">
        <v>10</v>
      </c>
      <c r="C241" s="219" t="s">
        <v>2255</v>
      </c>
      <c r="D241" s="268" t="s">
        <v>495</v>
      </c>
      <c r="E241" s="251">
        <v>44253.0</v>
      </c>
      <c r="F241" s="250" t="s">
        <v>496</v>
      </c>
      <c r="G241" s="171">
        <v>120.0</v>
      </c>
      <c r="H241" s="171">
        <v>100.0</v>
      </c>
      <c r="I241" s="171">
        <v>80.0</v>
      </c>
      <c r="J241" s="325">
        <f t="shared" si="8"/>
        <v>0.001171512744</v>
      </c>
      <c r="K241" s="326">
        <f t="shared" si="12"/>
        <v>1.679168267</v>
      </c>
      <c r="L241" s="327">
        <f t="shared" si="4"/>
        <v>11.95672351</v>
      </c>
      <c r="M241" s="321" t="str">
        <f t="shared" si="5"/>
        <v>liviade</v>
      </c>
      <c r="N241" s="176">
        <f>IFERROR(__xludf.DUMMYFUNCTION("""COMPUTED_VALUE"""),20.0)</f>
        <v>20</v>
      </c>
      <c r="O241" s="176"/>
      <c r="P241" s="176"/>
      <c r="Q241" s="176"/>
      <c r="R241" s="176"/>
      <c r="S241" s="176"/>
      <c r="T241" s="176"/>
      <c r="U241" s="176"/>
      <c r="V241" s="176"/>
      <c r="W241" s="176"/>
      <c r="X241" s="176"/>
      <c r="Y241" s="176"/>
      <c r="Z241" s="176"/>
    </row>
    <row r="242">
      <c r="A242" s="249" t="s">
        <v>18</v>
      </c>
      <c r="B242" s="249" t="s">
        <v>10</v>
      </c>
      <c r="C242" s="219" t="s">
        <v>2205</v>
      </c>
      <c r="D242" s="268" t="s">
        <v>495</v>
      </c>
      <c r="E242" s="251">
        <v>44253.0</v>
      </c>
      <c r="F242" s="250" t="s">
        <v>496</v>
      </c>
      <c r="G242" s="171">
        <v>60.0</v>
      </c>
      <c r="H242" s="171">
        <v>100.0</v>
      </c>
      <c r="I242" s="171">
        <v>250.0</v>
      </c>
      <c r="J242" s="325">
        <f t="shared" si="8"/>
        <v>0.001970790948</v>
      </c>
      <c r="K242" s="326">
        <f t="shared" si="12"/>
        <v>2.824800359</v>
      </c>
      <c r="L242" s="327">
        <f t="shared" si="4"/>
        <v>11.95672351</v>
      </c>
      <c r="M242" s="321" t="str">
        <f t="shared" si="5"/>
        <v>liviade</v>
      </c>
      <c r="N242" s="176">
        <f>IFERROR(__xludf.DUMMYFUNCTION("""COMPUTED_VALUE"""),21.0)</f>
        <v>21</v>
      </c>
      <c r="O242" s="176"/>
      <c r="P242" s="176"/>
      <c r="Q242" s="176"/>
      <c r="R242" s="176"/>
      <c r="S242" s="176"/>
      <c r="T242" s="176"/>
      <c r="U242" s="176"/>
      <c r="V242" s="176"/>
      <c r="W242" s="176"/>
      <c r="X242" s="176"/>
      <c r="Y242" s="176"/>
      <c r="Z242" s="176"/>
    </row>
    <row r="243">
      <c r="A243" s="249" t="s">
        <v>18</v>
      </c>
      <c r="B243" s="249" t="s">
        <v>10</v>
      </c>
      <c r="C243" s="219" t="s">
        <v>2340</v>
      </c>
      <c r="D243" s="268" t="s">
        <v>495</v>
      </c>
      <c r="E243" s="251">
        <v>44253.0</v>
      </c>
      <c r="F243" s="250" t="s">
        <v>496</v>
      </c>
      <c r="G243" s="171">
        <v>150.0</v>
      </c>
      <c r="H243" s="171">
        <v>200.0</v>
      </c>
      <c r="I243" s="171">
        <v>250.0</v>
      </c>
      <c r="J243" s="325">
        <f t="shared" si="8"/>
        <v>0.002556368025</v>
      </c>
      <c r="K243" s="326">
        <f t="shared" si="12"/>
        <v>3.664127502</v>
      </c>
      <c r="L243" s="327">
        <f t="shared" si="4"/>
        <v>11.95672351</v>
      </c>
      <c r="M243" s="321" t="str">
        <f t="shared" si="5"/>
        <v>liviade</v>
      </c>
      <c r="N243" s="176">
        <f>IFERROR(__xludf.DUMMYFUNCTION("""COMPUTED_VALUE"""),22.0)</f>
        <v>22</v>
      </c>
      <c r="O243" s="176"/>
      <c r="P243" s="176"/>
      <c r="Q243" s="176"/>
      <c r="R243" s="176"/>
      <c r="S243" s="176"/>
      <c r="T243" s="176"/>
      <c r="U243" s="176"/>
      <c r="V243" s="176"/>
      <c r="W243" s="176"/>
      <c r="X243" s="176"/>
      <c r="Y243" s="176"/>
      <c r="Z243" s="176"/>
    </row>
    <row r="244">
      <c r="A244" s="249" t="s">
        <v>18</v>
      </c>
      <c r="B244" s="249" t="s">
        <v>10</v>
      </c>
      <c r="C244" s="219" t="s">
        <v>2341</v>
      </c>
      <c r="D244" s="268" t="s">
        <v>495</v>
      </c>
      <c r="E244" s="251">
        <v>44253.0</v>
      </c>
      <c r="F244" s="250" t="s">
        <v>496</v>
      </c>
      <c r="G244" s="171">
        <v>350.0</v>
      </c>
      <c r="H244" s="171">
        <v>300.0</v>
      </c>
      <c r="I244" s="171">
        <v>150.0</v>
      </c>
      <c r="J244" s="325">
        <f t="shared" si="8"/>
        <v>0.002940924917</v>
      </c>
      <c r="K244" s="326">
        <f t="shared" si="12"/>
        <v>4.215325714</v>
      </c>
      <c r="L244" s="327">
        <f t="shared" si="4"/>
        <v>11.95672351</v>
      </c>
      <c r="M244" s="321" t="str">
        <f t="shared" si="5"/>
        <v>liviade</v>
      </c>
      <c r="N244" s="176">
        <f>IFERROR(__xludf.DUMMYFUNCTION("""COMPUTED_VALUE"""),23.0)</f>
        <v>23</v>
      </c>
      <c r="O244" s="176"/>
      <c r="P244" s="176"/>
      <c r="Q244" s="176"/>
      <c r="R244" s="176"/>
      <c r="S244" s="176"/>
      <c r="T244" s="176"/>
      <c r="U244" s="176"/>
      <c r="V244" s="176"/>
      <c r="W244" s="176"/>
      <c r="X244" s="176"/>
      <c r="Y244" s="176"/>
      <c r="Z244" s="176"/>
    </row>
    <row r="245">
      <c r="A245" s="249" t="s">
        <v>18</v>
      </c>
      <c r="B245" s="249" t="s">
        <v>10</v>
      </c>
      <c r="C245" s="219" t="s">
        <v>2301</v>
      </c>
      <c r="D245" s="268" t="s">
        <v>495</v>
      </c>
      <c r="E245" s="251">
        <v>44253.0</v>
      </c>
      <c r="F245" s="250" t="s">
        <v>496</v>
      </c>
      <c r="G245" s="171">
        <v>200.0</v>
      </c>
      <c r="H245" s="171">
        <v>200.0</v>
      </c>
      <c r="I245" s="171">
        <v>250.0</v>
      </c>
      <c r="J245" s="325">
        <f t="shared" si="8"/>
        <v>0.002736503414</v>
      </c>
      <c r="K245" s="326">
        <f t="shared" si="12"/>
        <v>3.922321561</v>
      </c>
      <c r="L245" s="327">
        <f t="shared" si="4"/>
        <v>11.95672351</v>
      </c>
      <c r="M245" s="321" t="str">
        <f t="shared" si="5"/>
        <v>liviade</v>
      </c>
      <c r="N245" s="176">
        <f>IFERROR(__xludf.DUMMYFUNCTION("""COMPUTED_VALUE"""),24.0)</f>
        <v>24</v>
      </c>
      <c r="O245" s="176"/>
      <c r="P245" s="176"/>
      <c r="Q245" s="176"/>
      <c r="R245" s="176"/>
      <c r="S245" s="176"/>
      <c r="T245" s="176"/>
      <c r="U245" s="176"/>
      <c r="V245" s="176"/>
      <c r="W245" s="176"/>
      <c r="X245" s="176"/>
      <c r="Y245" s="176"/>
      <c r="Z245" s="176"/>
    </row>
    <row r="246">
      <c r="A246" s="249" t="s">
        <v>18</v>
      </c>
      <c r="B246" s="249" t="s">
        <v>10</v>
      </c>
      <c r="C246" s="219" t="s">
        <v>2206</v>
      </c>
      <c r="D246" s="268" t="s">
        <v>495</v>
      </c>
      <c r="E246" s="251">
        <v>44253.0</v>
      </c>
      <c r="F246" s="250" t="s">
        <v>496</v>
      </c>
      <c r="G246" s="171">
        <v>40.0</v>
      </c>
      <c r="H246" s="171">
        <v>20.0</v>
      </c>
      <c r="I246" s="171">
        <v>50.0</v>
      </c>
      <c r="J246" s="325">
        <f t="shared" si="8"/>
        <v>0.0004950340078</v>
      </c>
      <c r="K246" s="326">
        <f t="shared" si="12"/>
        <v>0.7095487446</v>
      </c>
      <c r="L246" s="327">
        <f t="shared" si="4"/>
        <v>11.95672351</v>
      </c>
      <c r="M246" s="321" t="str">
        <f t="shared" si="5"/>
        <v>liviade</v>
      </c>
      <c r="N246" s="176">
        <f>IFERROR(__xludf.DUMMYFUNCTION("""COMPUTED_VALUE"""),25.0)</f>
        <v>25</v>
      </c>
      <c r="O246" s="176"/>
      <c r="P246" s="176"/>
      <c r="Q246" s="176"/>
      <c r="R246" s="176"/>
      <c r="S246" s="176"/>
      <c r="T246" s="176"/>
      <c r="U246" s="176"/>
      <c r="V246" s="176"/>
      <c r="W246" s="176"/>
      <c r="X246" s="176"/>
      <c r="Y246" s="176"/>
      <c r="Z246" s="176"/>
    </row>
    <row r="247">
      <c r="A247" s="249" t="s">
        <v>18</v>
      </c>
      <c r="B247" s="249" t="s">
        <v>10</v>
      </c>
      <c r="C247" s="219" t="s">
        <v>2208</v>
      </c>
      <c r="D247" s="268" t="s">
        <v>495</v>
      </c>
      <c r="E247" s="251">
        <v>44253.0</v>
      </c>
      <c r="F247" s="250" t="s">
        <v>496</v>
      </c>
      <c r="G247" s="171">
        <v>40.0</v>
      </c>
      <c r="H247" s="171">
        <v>100.0</v>
      </c>
      <c r="I247" s="171">
        <v>80.0</v>
      </c>
      <c r="J247" s="325">
        <f t="shared" si="8"/>
        <v>0.0008832961205</v>
      </c>
      <c r="K247" s="326">
        <f t="shared" si="12"/>
        <v>1.266057773</v>
      </c>
      <c r="L247" s="327">
        <f t="shared" si="4"/>
        <v>11.95672351</v>
      </c>
      <c r="M247" s="321" t="str">
        <f t="shared" si="5"/>
        <v>liviade</v>
      </c>
      <c r="N247" s="176">
        <f>IFERROR(__xludf.DUMMYFUNCTION("""COMPUTED_VALUE"""),26.0)</f>
        <v>26</v>
      </c>
      <c r="O247" s="176"/>
      <c r="P247" s="176"/>
      <c r="Q247" s="176"/>
      <c r="R247" s="176"/>
      <c r="S247" s="176"/>
      <c r="T247" s="176"/>
      <c r="U247" s="176"/>
      <c r="V247" s="176"/>
      <c r="W247" s="176"/>
      <c r="X247" s="176"/>
      <c r="Y247" s="176"/>
      <c r="Z247" s="176"/>
    </row>
    <row r="248">
      <c r="A248" s="267" t="s">
        <v>18</v>
      </c>
      <c r="B248" s="272" t="s">
        <v>2107</v>
      </c>
      <c r="C248" s="273" t="s">
        <v>2342</v>
      </c>
      <c r="D248" s="274" t="s">
        <v>499</v>
      </c>
      <c r="E248" s="328" t="s">
        <v>2291</v>
      </c>
      <c r="F248" s="274" t="s">
        <v>1646</v>
      </c>
      <c r="G248" s="171">
        <v>300.0</v>
      </c>
      <c r="H248" s="171">
        <v>300.0</v>
      </c>
      <c r="I248" s="171">
        <v>250.0</v>
      </c>
      <c r="J248" s="172">
        <f t="shared" si="8"/>
        <v>0.003358107569</v>
      </c>
      <c r="K248" s="269">
        <f t="shared" si="12"/>
        <v>4.813287516</v>
      </c>
      <c r="L248" s="270">
        <f t="shared" si="4"/>
        <v>11.95672351</v>
      </c>
      <c r="M248" s="271" t="str">
        <f t="shared" si="5"/>
        <v>liviade</v>
      </c>
      <c r="N248" s="176">
        <f>IFERROR(__xludf.DUMMYFUNCTION("""COMPUTED_VALUE"""),27.0)</f>
        <v>27</v>
      </c>
      <c r="O248" s="176"/>
      <c r="P248" s="176"/>
      <c r="Q248" s="176"/>
      <c r="R248" s="176"/>
      <c r="S248" s="176"/>
      <c r="T248" s="176"/>
      <c r="U248" s="176"/>
      <c r="V248" s="176"/>
      <c r="W248" s="176"/>
      <c r="X248" s="176"/>
      <c r="Y248" s="176"/>
      <c r="Z248" s="176"/>
    </row>
    <row r="249">
      <c r="A249" s="267" t="s">
        <v>18</v>
      </c>
      <c r="B249" s="272" t="s">
        <v>1702</v>
      </c>
      <c r="C249" s="273" t="s">
        <v>2324</v>
      </c>
      <c r="D249" s="274" t="s">
        <v>499</v>
      </c>
      <c r="E249" s="328" t="s">
        <v>2291</v>
      </c>
      <c r="F249" s="274" t="s">
        <v>1646</v>
      </c>
      <c r="G249" s="171">
        <v>300.0</v>
      </c>
      <c r="H249" s="171">
        <v>300.0</v>
      </c>
      <c r="I249" s="171">
        <v>200.0</v>
      </c>
      <c r="J249" s="172">
        <f t="shared" si="8"/>
        <v>0.003059448548</v>
      </c>
      <c r="K249" s="269">
        <f t="shared" si="12"/>
        <v>4.385209585</v>
      </c>
      <c r="L249" s="270">
        <f t="shared" si="4"/>
        <v>11.95672351</v>
      </c>
      <c r="M249" s="271" t="str">
        <f t="shared" si="5"/>
        <v>liviade</v>
      </c>
      <c r="N249" s="176">
        <f>IFERROR(__xludf.DUMMYFUNCTION("""COMPUTED_VALUE"""),28.0)</f>
        <v>28</v>
      </c>
      <c r="O249" s="176"/>
      <c r="P249" s="176"/>
      <c r="Q249" s="176"/>
      <c r="R249" s="176"/>
      <c r="S249" s="176"/>
      <c r="T249" s="176"/>
      <c r="U249" s="176"/>
      <c r="V249" s="176"/>
      <c r="W249" s="176"/>
      <c r="X249" s="176"/>
      <c r="Y249" s="176"/>
      <c r="Z249" s="176"/>
    </row>
    <row r="250">
      <c r="A250" s="267" t="s">
        <v>18</v>
      </c>
      <c r="B250" s="272" t="s">
        <v>2163</v>
      </c>
      <c r="C250" s="273" t="s">
        <v>2325</v>
      </c>
      <c r="D250" s="274" t="s">
        <v>499</v>
      </c>
      <c r="E250" s="328" t="s">
        <v>2245</v>
      </c>
      <c r="F250" s="274" t="s">
        <v>1646</v>
      </c>
      <c r="G250" s="171">
        <v>300.0</v>
      </c>
      <c r="H250" s="171">
        <v>300.0</v>
      </c>
      <c r="I250" s="171">
        <v>200.0</v>
      </c>
      <c r="J250" s="172">
        <f t="shared" si="8"/>
        <v>0.003059448548</v>
      </c>
      <c r="K250" s="269">
        <f t="shared" si="12"/>
        <v>4.385209585</v>
      </c>
      <c r="L250" s="270">
        <f t="shared" si="4"/>
        <v>11.95672351</v>
      </c>
      <c r="M250" s="271" t="str">
        <f t="shared" si="5"/>
        <v>liviade</v>
      </c>
      <c r="N250" s="176">
        <f>IFERROR(__xludf.DUMMYFUNCTION("""COMPUTED_VALUE"""),29.0)</f>
        <v>29</v>
      </c>
      <c r="O250" s="176"/>
      <c r="P250" s="176"/>
      <c r="Q250" s="176"/>
      <c r="R250" s="176"/>
      <c r="S250" s="176"/>
      <c r="T250" s="176"/>
      <c r="U250" s="176"/>
      <c r="V250" s="176"/>
      <c r="W250" s="176"/>
      <c r="X250" s="176"/>
      <c r="Y250" s="176"/>
      <c r="Z250" s="176"/>
    </row>
    <row r="251">
      <c r="A251" s="253" t="s">
        <v>7</v>
      </c>
      <c r="B251" s="240" t="s">
        <v>534</v>
      </c>
      <c r="C251" s="221" t="s">
        <v>2008</v>
      </c>
      <c r="D251" s="336"/>
      <c r="E251" s="340"/>
      <c r="F251" s="221"/>
      <c r="G251" s="222"/>
      <c r="H251" s="222"/>
      <c r="I251" s="222"/>
      <c r="J251" s="325">
        <f t="shared" si="8"/>
        <v>0</v>
      </c>
      <c r="K251" s="337">
        <f>23.818*-0.5</f>
        <v>-11.909</v>
      </c>
      <c r="L251" s="341">
        <f t="shared" si="4"/>
        <v>11.91432022</v>
      </c>
      <c r="M251" s="342" t="str">
        <f t="shared" si="5"/>
        <v>ygganderson</v>
      </c>
      <c r="N251" s="209">
        <f>IFERROR(__xludf.DUMMYFUNCTION("""COMPUTED_VALUE"""),1.0)</f>
        <v>1</v>
      </c>
      <c r="O251" s="209"/>
      <c r="P251" s="209"/>
      <c r="Q251" s="209"/>
      <c r="R251" s="209"/>
      <c r="S251" s="209"/>
      <c r="T251" s="209"/>
      <c r="U251" s="209"/>
      <c r="V251" s="209"/>
      <c r="W251" s="209"/>
      <c r="X251" s="209"/>
      <c r="Y251" s="209"/>
      <c r="Z251" s="209"/>
    </row>
    <row r="252">
      <c r="A252" s="249" t="s">
        <v>7</v>
      </c>
      <c r="B252" s="249" t="s">
        <v>10</v>
      </c>
      <c r="C252" s="219" t="s">
        <v>2343</v>
      </c>
      <c r="D252" s="268" t="s">
        <v>495</v>
      </c>
      <c r="E252" s="251">
        <v>44246.0</v>
      </c>
      <c r="F252" s="250" t="s">
        <v>496</v>
      </c>
      <c r="G252" s="171">
        <v>400.0</v>
      </c>
      <c r="H252" s="171">
        <v>500.0</v>
      </c>
      <c r="I252" s="171">
        <v>200.0</v>
      </c>
      <c r="J252" s="325">
        <f t="shared" si="8"/>
        <v>0.003942386078</v>
      </c>
      <c r="K252" s="326">
        <f t="shared" ref="K252:K260" si="13">J252*$J$1</f>
        <v>5.650753378</v>
      </c>
      <c r="L252" s="327">
        <f t="shared" si="4"/>
        <v>11.91432022</v>
      </c>
      <c r="M252" s="321" t="str">
        <f t="shared" si="5"/>
        <v>ygganderson</v>
      </c>
      <c r="N252" s="176">
        <f>IFERROR(__xludf.DUMMYFUNCTION("""COMPUTED_VALUE"""),2.0)</f>
        <v>2</v>
      </c>
      <c r="O252" s="176"/>
      <c r="P252" s="176"/>
      <c r="Q252" s="176"/>
      <c r="R252" s="176"/>
      <c r="S252" s="176"/>
      <c r="T252" s="176"/>
      <c r="U252" s="176"/>
      <c r="V252" s="176"/>
      <c r="W252" s="176"/>
      <c r="X252" s="176"/>
      <c r="Y252" s="176"/>
      <c r="Z252" s="176"/>
    </row>
    <row r="253">
      <c r="A253" s="249" t="s">
        <v>7</v>
      </c>
      <c r="B253" s="249" t="s">
        <v>10</v>
      </c>
      <c r="C253" s="219" t="s">
        <v>2197</v>
      </c>
      <c r="D253" s="268" t="s">
        <v>495</v>
      </c>
      <c r="E253" s="251">
        <v>44246.0</v>
      </c>
      <c r="F253" s="250" t="s">
        <v>496</v>
      </c>
      <c r="G253" s="171">
        <v>40.0</v>
      </c>
      <c r="H253" s="171">
        <v>20.0</v>
      </c>
      <c r="I253" s="171">
        <v>50.0</v>
      </c>
      <c r="J253" s="325">
        <f t="shared" si="8"/>
        <v>0.0004950340078</v>
      </c>
      <c r="K253" s="326">
        <f t="shared" si="13"/>
        <v>0.7095487446</v>
      </c>
      <c r="L253" s="327">
        <f t="shared" si="4"/>
        <v>11.91432022</v>
      </c>
      <c r="M253" s="321" t="str">
        <f t="shared" si="5"/>
        <v>ygganderson</v>
      </c>
      <c r="N253" s="176">
        <f>IFERROR(__xludf.DUMMYFUNCTION("""COMPUTED_VALUE"""),3.0)</f>
        <v>3</v>
      </c>
      <c r="O253" s="176"/>
      <c r="P253" s="176"/>
      <c r="Q253" s="176"/>
      <c r="R253" s="176"/>
      <c r="S253" s="176"/>
      <c r="T253" s="176"/>
      <c r="U253" s="176"/>
      <c r="V253" s="176"/>
      <c r="W253" s="176"/>
      <c r="X253" s="176"/>
      <c r="Y253" s="176"/>
      <c r="Z253" s="176"/>
    </row>
    <row r="254">
      <c r="A254" s="249" t="s">
        <v>7</v>
      </c>
      <c r="B254" s="249" t="s">
        <v>10</v>
      </c>
      <c r="C254" s="219" t="s">
        <v>500</v>
      </c>
      <c r="D254" s="268" t="s">
        <v>495</v>
      </c>
      <c r="E254" s="251">
        <v>44246.0</v>
      </c>
      <c r="F254" s="250" t="s">
        <v>545</v>
      </c>
      <c r="G254" s="171">
        <v>20.0</v>
      </c>
      <c r="H254" s="171">
        <v>20.0</v>
      </c>
      <c r="I254" s="171">
        <v>20.0</v>
      </c>
      <c r="J254" s="325">
        <f t="shared" si="8"/>
        <v>0.0002437844393</v>
      </c>
      <c r="K254" s="326">
        <f t="shared" si="13"/>
        <v>0.349424363</v>
      </c>
      <c r="L254" s="327">
        <f t="shared" si="4"/>
        <v>11.91432022</v>
      </c>
      <c r="M254" s="321" t="str">
        <f t="shared" si="5"/>
        <v>ygganderson</v>
      </c>
      <c r="N254" s="176">
        <f>IFERROR(__xludf.DUMMYFUNCTION("""COMPUTED_VALUE"""),4.0)</f>
        <v>4</v>
      </c>
      <c r="O254" s="176"/>
      <c r="P254" s="176"/>
      <c r="Q254" s="176"/>
      <c r="R254" s="176"/>
      <c r="S254" s="176"/>
      <c r="T254" s="176"/>
      <c r="U254" s="176"/>
      <c r="V254" s="176"/>
      <c r="W254" s="176"/>
      <c r="X254" s="176"/>
      <c r="Y254" s="176"/>
      <c r="Z254" s="176"/>
    </row>
    <row r="255">
      <c r="A255" s="249" t="s">
        <v>7</v>
      </c>
      <c r="B255" s="249" t="s">
        <v>10</v>
      </c>
      <c r="C255" s="219" t="s">
        <v>494</v>
      </c>
      <c r="D255" s="268" t="s">
        <v>495</v>
      </c>
      <c r="E255" s="251">
        <v>44246.0</v>
      </c>
      <c r="F255" s="250" t="s">
        <v>545</v>
      </c>
      <c r="G255" s="171">
        <v>20.0</v>
      </c>
      <c r="H255" s="171">
        <v>300.0</v>
      </c>
      <c r="I255" s="171">
        <v>20.0</v>
      </c>
      <c r="J255" s="325">
        <f t="shared" si="8"/>
        <v>0.0009755178897</v>
      </c>
      <c r="K255" s="326">
        <f t="shared" si="13"/>
        <v>1.398242309</v>
      </c>
      <c r="L255" s="327">
        <f t="shared" si="4"/>
        <v>11.91432022</v>
      </c>
      <c r="M255" s="321" t="str">
        <f t="shared" si="5"/>
        <v>ygganderson</v>
      </c>
      <c r="N255" s="176">
        <f>IFERROR(__xludf.DUMMYFUNCTION("""COMPUTED_VALUE"""),5.0)</f>
        <v>5</v>
      </c>
      <c r="O255" s="176"/>
      <c r="P255" s="176"/>
      <c r="Q255" s="176"/>
      <c r="R255" s="176"/>
      <c r="S255" s="176"/>
      <c r="T255" s="176"/>
      <c r="U255" s="176"/>
      <c r="V255" s="176"/>
      <c r="W255" s="176"/>
      <c r="X255" s="176"/>
      <c r="Y255" s="176"/>
      <c r="Z255" s="176"/>
    </row>
    <row r="256">
      <c r="A256" s="249" t="s">
        <v>7</v>
      </c>
      <c r="B256" s="249" t="s">
        <v>867</v>
      </c>
      <c r="C256" s="219" t="s">
        <v>2344</v>
      </c>
      <c r="D256" s="268" t="s">
        <v>495</v>
      </c>
      <c r="E256" s="251">
        <v>44250.0</v>
      </c>
      <c r="F256" s="250" t="s">
        <v>496</v>
      </c>
      <c r="G256" s="171">
        <v>200.0</v>
      </c>
      <c r="H256" s="171">
        <v>100.0</v>
      </c>
      <c r="I256" s="171">
        <v>200.0</v>
      </c>
      <c r="J256" s="325">
        <f t="shared" si="8"/>
        <v>0.002176511018</v>
      </c>
      <c r="K256" s="326">
        <f t="shared" si="13"/>
        <v>3.119665793</v>
      </c>
      <c r="L256" s="327">
        <f t="shared" si="4"/>
        <v>11.91432022</v>
      </c>
      <c r="M256" s="321" t="str">
        <f t="shared" si="5"/>
        <v>ygganderson</v>
      </c>
      <c r="N256" s="176">
        <f>IFERROR(__xludf.DUMMYFUNCTION("""COMPUTED_VALUE"""),6.0)</f>
        <v>6</v>
      </c>
      <c r="O256" s="176"/>
      <c r="P256" s="176"/>
      <c r="Q256" s="176"/>
      <c r="R256" s="176"/>
      <c r="S256" s="176"/>
      <c r="T256" s="176"/>
      <c r="U256" s="176"/>
      <c r="V256" s="176"/>
      <c r="W256" s="176"/>
      <c r="X256" s="176"/>
      <c r="Y256" s="176"/>
      <c r="Z256" s="176"/>
    </row>
    <row r="257">
      <c r="A257" s="249" t="s">
        <v>7</v>
      </c>
      <c r="B257" s="249" t="s">
        <v>10</v>
      </c>
      <c r="C257" s="219" t="s">
        <v>500</v>
      </c>
      <c r="D257" s="268" t="s">
        <v>495</v>
      </c>
      <c r="E257" s="251">
        <v>44253.0</v>
      </c>
      <c r="F257" s="250" t="s">
        <v>496</v>
      </c>
      <c r="G257" s="171">
        <v>20.0</v>
      </c>
      <c r="H257" s="171">
        <v>100.0</v>
      </c>
      <c r="I257" s="171">
        <v>20.0</v>
      </c>
      <c r="J257" s="325">
        <f t="shared" si="8"/>
        <v>0.0004528511394</v>
      </c>
      <c r="K257" s="326">
        <f t="shared" si="13"/>
        <v>0.6490866332</v>
      </c>
      <c r="L257" s="327">
        <f t="shared" si="4"/>
        <v>11.91432022</v>
      </c>
      <c r="M257" s="321" t="str">
        <f t="shared" si="5"/>
        <v>ygganderson</v>
      </c>
      <c r="N257" s="176">
        <f>IFERROR(__xludf.DUMMYFUNCTION("""COMPUTED_VALUE"""),7.0)</f>
        <v>7</v>
      </c>
      <c r="O257" s="176"/>
      <c r="P257" s="176"/>
      <c r="Q257" s="176"/>
      <c r="R257" s="176"/>
      <c r="S257" s="176"/>
      <c r="T257" s="176"/>
      <c r="U257" s="176"/>
      <c r="V257" s="176"/>
      <c r="W257" s="176"/>
      <c r="X257" s="176"/>
      <c r="Y257" s="176"/>
      <c r="Z257" s="176"/>
    </row>
    <row r="258">
      <c r="A258" s="249" t="s">
        <v>7</v>
      </c>
      <c r="B258" s="249" t="s">
        <v>10</v>
      </c>
      <c r="C258" s="219" t="s">
        <v>2345</v>
      </c>
      <c r="D258" s="268" t="s">
        <v>495</v>
      </c>
      <c r="E258" s="251">
        <v>44253.0</v>
      </c>
      <c r="F258" s="250" t="s">
        <v>496</v>
      </c>
      <c r="G258" s="171">
        <v>600.0</v>
      </c>
      <c r="H258" s="171">
        <v>300.0</v>
      </c>
      <c r="I258" s="171">
        <v>200.0</v>
      </c>
      <c r="J258" s="325">
        <f t="shared" si="8"/>
        <v>0.004140260887</v>
      </c>
      <c r="K258" s="326">
        <f t="shared" si="13"/>
        <v>5.934373937</v>
      </c>
      <c r="L258" s="327">
        <f t="shared" si="4"/>
        <v>11.91432022</v>
      </c>
      <c r="M258" s="321" t="str">
        <f t="shared" si="5"/>
        <v>ygganderson</v>
      </c>
      <c r="N258" s="176">
        <f>IFERROR(__xludf.DUMMYFUNCTION("""COMPUTED_VALUE"""),8.0)</f>
        <v>8</v>
      </c>
      <c r="O258" s="176"/>
      <c r="P258" s="176"/>
      <c r="Q258" s="176"/>
      <c r="R258" s="176"/>
      <c r="S258" s="176"/>
      <c r="T258" s="176"/>
      <c r="U258" s="176"/>
      <c r="V258" s="176"/>
      <c r="W258" s="176"/>
      <c r="X258" s="176"/>
      <c r="Y258" s="176"/>
      <c r="Z258" s="176"/>
    </row>
    <row r="259">
      <c r="A259" s="249" t="s">
        <v>7</v>
      </c>
      <c r="B259" s="249" t="s">
        <v>10</v>
      </c>
      <c r="C259" s="219" t="s">
        <v>2247</v>
      </c>
      <c r="D259" s="268" t="s">
        <v>495</v>
      </c>
      <c r="E259" s="251">
        <v>44253.0</v>
      </c>
      <c r="F259" s="250" t="s">
        <v>496</v>
      </c>
      <c r="G259" s="171">
        <v>150.0</v>
      </c>
      <c r="H259" s="171">
        <v>200.0</v>
      </c>
      <c r="I259" s="171">
        <v>100.0</v>
      </c>
      <c r="J259" s="325">
        <f t="shared" si="8"/>
        <v>0.001660390962</v>
      </c>
      <c r="K259" s="326">
        <f t="shared" si="13"/>
        <v>2.379893712</v>
      </c>
      <c r="L259" s="327">
        <f t="shared" si="4"/>
        <v>11.91432022</v>
      </c>
      <c r="M259" s="321" t="str">
        <f t="shared" si="5"/>
        <v>ygganderson</v>
      </c>
      <c r="N259" s="176">
        <f>IFERROR(__xludf.DUMMYFUNCTION("""COMPUTED_VALUE"""),9.0)</f>
        <v>9</v>
      </c>
      <c r="O259" s="176"/>
      <c r="P259" s="176"/>
      <c r="Q259" s="176"/>
      <c r="R259" s="176"/>
      <c r="S259" s="176"/>
      <c r="T259" s="176"/>
      <c r="U259" s="176"/>
      <c r="V259" s="176"/>
      <c r="W259" s="176"/>
      <c r="X259" s="176"/>
      <c r="Y259" s="176"/>
      <c r="Z259" s="176"/>
    </row>
    <row r="260">
      <c r="A260" s="267" t="s">
        <v>925</v>
      </c>
      <c r="B260" s="272" t="s">
        <v>2107</v>
      </c>
      <c r="C260" s="273" t="s">
        <v>2320</v>
      </c>
      <c r="D260" s="274" t="s">
        <v>499</v>
      </c>
      <c r="E260" s="328" t="s">
        <v>2245</v>
      </c>
      <c r="F260" s="274" t="s">
        <v>1646</v>
      </c>
      <c r="G260" s="171">
        <v>320.0</v>
      </c>
      <c r="H260" s="171">
        <v>300.0</v>
      </c>
      <c r="I260" s="171">
        <v>100.0</v>
      </c>
      <c r="J260" s="172">
        <f t="shared" si="8"/>
        <v>0.002534184662</v>
      </c>
      <c r="K260" s="269">
        <f t="shared" si="13"/>
        <v>3.632331349</v>
      </c>
      <c r="L260" s="270">
        <f t="shared" si="4"/>
        <v>11.91432022</v>
      </c>
      <c r="M260" s="271" t="str">
        <f t="shared" si="5"/>
        <v>Ygganderson</v>
      </c>
      <c r="N260" s="176">
        <f>IFERROR(__xludf.DUMMYFUNCTION("""COMPUTED_VALUE"""),10.0)</f>
        <v>10</v>
      </c>
      <c r="O260" s="176"/>
      <c r="P260" s="176"/>
      <c r="Q260" s="176"/>
      <c r="R260" s="176"/>
      <c r="S260" s="176"/>
      <c r="T260" s="176"/>
      <c r="U260" s="176"/>
      <c r="V260" s="176"/>
      <c r="W260" s="176"/>
      <c r="X260" s="176"/>
      <c r="Y260" s="176"/>
      <c r="Z260" s="176"/>
    </row>
    <row r="261">
      <c r="A261" s="240" t="s">
        <v>16</v>
      </c>
      <c r="B261" s="240" t="s">
        <v>534</v>
      </c>
      <c r="C261" s="256" t="s">
        <v>684</v>
      </c>
      <c r="D261" s="343"/>
      <c r="E261" s="344"/>
      <c r="F261" s="343"/>
      <c r="G261" s="253"/>
      <c r="H261" s="253"/>
      <c r="I261" s="253"/>
      <c r="J261" s="325">
        <f t="shared" si="8"/>
        <v>0</v>
      </c>
      <c r="K261" s="345">
        <f>72.034*-0.85</f>
        <v>-61.2289</v>
      </c>
      <c r="L261" s="327">
        <f t="shared" si="4"/>
        <v>10.80477003</v>
      </c>
      <c r="M261" s="321" t="str">
        <f t="shared" si="5"/>
        <v>griffgreen</v>
      </c>
      <c r="N261" s="343">
        <f>IFERROR(__xludf.DUMMYFUNCTION("""COMPUTED_VALUE"""),1.0)</f>
        <v>1</v>
      </c>
      <c r="O261" s="343"/>
      <c r="P261" s="343"/>
      <c r="Q261" s="343"/>
      <c r="R261" s="343"/>
      <c r="S261" s="343"/>
      <c r="T261" s="343"/>
      <c r="U261" s="343"/>
      <c r="V261" s="343"/>
      <c r="W261" s="343"/>
      <c r="X261" s="343"/>
      <c r="Y261" s="226"/>
      <c r="Z261" s="226"/>
    </row>
    <row r="262">
      <c r="A262" s="249" t="s">
        <v>16</v>
      </c>
      <c r="B262" s="249" t="s">
        <v>63</v>
      </c>
      <c r="C262" s="219" t="s">
        <v>2346</v>
      </c>
      <c r="D262" s="268" t="s">
        <v>495</v>
      </c>
      <c r="E262" s="251">
        <v>44241.0</v>
      </c>
      <c r="F262" s="250" t="s">
        <v>627</v>
      </c>
      <c r="G262" s="243"/>
      <c r="H262" s="243"/>
      <c r="I262" s="243"/>
      <c r="J262" s="325">
        <f t="shared" si="8"/>
        <v>0</v>
      </c>
      <c r="K262" s="330">
        <v>1.8956228956228953</v>
      </c>
      <c r="L262" s="327">
        <f t="shared" si="4"/>
        <v>10.80477003</v>
      </c>
      <c r="M262" s="321" t="str">
        <f t="shared" si="5"/>
        <v>griffgreen</v>
      </c>
      <c r="N262" s="176">
        <f>IFERROR(__xludf.DUMMYFUNCTION("""COMPUTED_VALUE"""),2.0)</f>
        <v>2</v>
      </c>
      <c r="O262" s="176"/>
      <c r="P262" s="176"/>
      <c r="Q262" s="176"/>
      <c r="R262" s="176"/>
      <c r="S262" s="176"/>
      <c r="T262" s="176"/>
      <c r="U262" s="176"/>
      <c r="V262" s="176"/>
      <c r="W262" s="176"/>
      <c r="X262" s="176"/>
      <c r="Y262" s="176"/>
      <c r="Z262" s="176"/>
    </row>
    <row r="263">
      <c r="A263" s="249" t="s">
        <v>16</v>
      </c>
      <c r="B263" s="249" t="s">
        <v>519</v>
      </c>
      <c r="C263" s="219" t="s">
        <v>2347</v>
      </c>
      <c r="D263" s="268" t="s">
        <v>495</v>
      </c>
      <c r="E263" s="251">
        <v>44242.0</v>
      </c>
      <c r="F263" s="250" t="s">
        <v>496</v>
      </c>
      <c r="G263" s="243"/>
      <c r="H263" s="243"/>
      <c r="I263" s="243"/>
      <c r="J263" s="325">
        <f t="shared" si="8"/>
        <v>0</v>
      </c>
      <c r="K263" s="326">
        <f>J263*$J$1</f>
        <v>0</v>
      </c>
      <c r="L263" s="327">
        <f t="shared" si="4"/>
        <v>10.80477003</v>
      </c>
      <c r="M263" s="321" t="str">
        <f t="shared" si="5"/>
        <v>griffgreen</v>
      </c>
      <c r="N263" s="176">
        <f>IFERROR(__xludf.DUMMYFUNCTION("""COMPUTED_VALUE"""),3.0)</f>
        <v>3</v>
      </c>
      <c r="O263" s="176"/>
      <c r="P263" s="176"/>
      <c r="Q263" s="176"/>
      <c r="R263" s="176"/>
      <c r="S263" s="176"/>
      <c r="T263" s="176"/>
      <c r="U263" s="176"/>
      <c r="V263" s="176"/>
      <c r="W263" s="176"/>
      <c r="X263" s="176"/>
      <c r="Y263" s="176"/>
      <c r="Z263" s="176"/>
    </row>
    <row r="264">
      <c r="A264" s="249" t="s">
        <v>16</v>
      </c>
      <c r="B264" s="249" t="s">
        <v>1228</v>
      </c>
      <c r="C264" s="219" t="s">
        <v>2348</v>
      </c>
      <c r="D264" s="268" t="s">
        <v>495</v>
      </c>
      <c r="E264" s="251">
        <v>44243.0</v>
      </c>
      <c r="F264" s="250" t="s">
        <v>496</v>
      </c>
      <c r="G264" s="243"/>
      <c r="H264" s="243"/>
      <c r="I264" s="243"/>
      <c r="J264" s="325">
        <f t="shared" si="8"/>
        <v>0</v>
      </c>
      <c r="K264" s="330">
        <v>1.8956228956228953</v>
      </c>
      <c r="L264" s="327">
        <f t="shared" si="4"/>
        <v>10.80477003</v>
      </c>
      <c r="M264" s="321" t="str">
        <f t="shared" si="5"/>
        <v>griffgreen</v>
      </c>
      <c r="N264" s="176">
        <f>IFERROR(__xludf.DUMMYFUNCTION("""COMPUTED_VALUE"""),4.0)</f>
        <v>4</v>
      </c>
      <c r="O264" s="176"/>
      <c r="P264" s="176"/>
      <c r="Q264" s="176"/>
      <c r="R264" s="176"/>
      <c r="S264" s="176"/>
      <c r="T264" s="176"/>
      <c r="U264" s="176"/>
      <c r="V264" s="176"/>
      <c r="W264" s="176"/>
      <c r="X264" s="176"/>
      <c r="Y264" s="176"/>
      <c r="Z264" s="176"/>
    </row>
    <row r="265">
      <c r="A265" s="249" t="s">
        <v>16</v>
      </c>
      <c r="B265" s="249" t="s">
        <v>590</v>
      </c>
      <c r="C265" s="219" t="s">
        <v>2349</v>
      </c>
      <c r="D265" s="268" t="s">
        <v>495</v>
      </c>
      <c r="E265" s="251">
        <v>44244.0</v>
      </c>
      <c r="F265" s="250" t="s">
        <v>496</v>
      </c>
      <c r="G265" s="243"/>
      <c r="H265" s="243"/>
      <c r="I265" s="243"/>
      <c r="J265" s="325">
        <f t="shared" si="8"/>
        <v>0</v>
      </c>
      <c r="K265" s="330">
        <v>1.8956228956228953</v>
      </c>
      <c r="L265" s="327">
        <f t="shared" si="4"/>
        <v>10.80477003</v>
      </c>
      <c r="M265" s="321" t="str">
        <f t="shared" si="5"/>
        <v>griffgreen</v>
      </c>
      <c r="N265" s="176">
        <f>IFERROR(__xludf.DUMMYFUNCTION("""COMPUTED_VALUE"""),5.0)</f>
        <v>5</v>
      </c>
      <c r="O265" s="176"/>
      <c r="P265" s="176"/>
      <c r="Q265" s="176"/>
      <c r="R265" s="176"/>
      <c r="S265" s="176"/>
      <c r="T265" s="176"/>
      <c r="U265" s="176"/>
      <c r="V265" s="176"/>
      <c r="W265" s="176"/>
      <c r="X265" s="176"/>
      <c r="Y265" s="176"/>
      <c r="Z265" s="176"/>
    </row>
    <row r="266">
      <c r="A266" s="249" t="s">
        <v>16</v>
      </c>
      <c r="B266" s="249" t="s">
        <v>5</v>
      </c>
      <c r="C266" s="219" t="s">
        <v>2350</v>
      </c>
      <c r="D266" s="268" t="s">
        <v>495</v>
      </c>
      <c r="E266" s="251">
        <v>44244.0</v>
      </c>
      <c r="F266" s="250" t="s">
        <v>496</v>
      </c>
      <c r="G266" s="243"/>
      <c r="H266" s="243"/>
      <c r="I266" s="243"/>
      <c r="J266" s="325">
        <f t="shared" si="8"/>
        <v>0</v>
      </c>
      <c r="K266" s="330">
        <v>1.8956228956228953</v>
      </c>
      <c r="L266" s="327">
        <f t="shared" si="4"/>
        <v>10.80477003</v>
      </c>
      <c r="M266" s="321" t="str">
        <f t="shared" si="5"/>
        <v>griffgreen</v>
      </c>
      <c r="N266" s="176">
        <f>IFERROR(__xludf.DUMMYFUNCTION("""COMPUTED_VALUE"""),6.0)</f>
        <v>6</v>
      </c>
      <c r="O266" s="176"/>
      <c r="P266" s="176"/>
      <c r="Q266" s="176"/>
      <c r="R266" s="176"/>
      <c r="S266" s="176"/>
      <c r="T266" s="176"/>
      <c r="U266" s="176"/>
      <c r="V266" s="176"/>
      <c r="W266" s="176"/>
      <c r="X266" s="176"/>
      <c r="Y266" s="176"/>
      <c r="Z266" s="176"/>
    </row>
    <row r="267">
      <c r="A267" s="249" t="s">
        <v>16</v>
      </c>
      <c r="B267" s="249" t="s">
        <v>925</v>
      </c>
      <c r="C267" s="219" t="s">
        <v>2351</v>
      </c>
      <c r="D267" s="268" t="s">
        <v>495</v>
      </c>
      <c r="E267" s="251">
        <v>44244.0</v>
      </c>
      <c r="F267" s="250" t="s">
        <v>496</v>
      </c>
      <c r="G267" s="243"/>
      <c r="H267" s="243"/>
      <c r="I267" s="243"/>
      <c r="J267" s="325">
        <f t="shared" si="8"/>
        <v>0</v>
      </c>
      <c r="K267" s="330">
        <v>1.8956228956228953</v>
      </c>
      <c r="L267" s="327">
        <f t="shared" si="4"/>
        <v>10.80477003</v>
      </c>
      <c r="M267" s="321" t="str">
        <f t="shared" si="5"/>
        <v>griffgreen</v>
      </c>
      <c r="N267" s="176">
        <f>IFERROR(__xludf.DUMMYFUNCTION("""COMPUTED_VALUE"""),7.0)</f>
        <v>7</v>
      </c>
      <c r="O267" s="176"/>
      <c r="P267" s="176"/>
      <c r="Q267" s="176"/>
      <c r="R267" s="176"/>
      <c r="S267" s="176"/>
      <c r="T267" s="176"/>
      <c r="U267" s="176"/>
      <c r="V267" s="176"/>
      <c r="W267" s="176"/>
      <c r="X267" s="176"/>
      <c r="Y267" s="176"/>
      <c r="Z267" s="176"/>
    </row>
    <row r="268">
      <c r="A268" s="249" t="s">
        <v>16</v>
      </c>
      <c r="B268" s="249" t="s">
        <v>519</v>
      </c>
      <c r="C268" s="219" t="s">
        <v>2329</v>
      </c>
      <c r="D268" s="268" t="s">
        <v>495</v>
      </c>
      <c r="E268" s="251">
        <v>44245.0</v>
      </c>
      <c r="F268" s="250" t="s">
        <v>521</v>
      </c>
      <c r="G268" s="243"/>
      <c r="H268" s="243"/>
      <c r="I268" s="243"/>
      <c r="J268" s="325">
        <f t="shared" si="8"/>
        <v>0</v>
      </c>
      <c r="K268" s="326">
        <f>J268*$J$1</f>
        <v>0</v>
      </c>
      <c r="L268" s="327">
        <f t="shared" si="4"/>
        <v>10.80477003</v>
      </c>
      <c r="M268" s="321" t="str">
        <f t="shared" si="5"/>
        <v>griffgreen</v>
      </c>
      <c r="N268" s="176">
        <f>IFERROR(__xludf.DUMMYFUNCTION("""COMPUTED_VALUE"""),8.0)</f>
        <v>8</v>
      </c>
      <c r="O268" s="176"/>
      <c r="P268" s="176"/>
      <c r="Q268" s="176"/>
      <c r="R268" s="176"/>
      <c r="S268" s="176"/>
      <c r="T268" s="176"/>
      <c r="U268" s="176"/>
      <c r="V268" s="176"/>
      <c r="W268" s="176"/>
      <c r="X268" s="176"/>
      <c r="Y268" s="176"/>
      <c r="Z268" s="176"/>
    </row>
    <row r="269">
      <c r="A269" s="249" t="s">
        <v>16</v>
      </c>
      <c r="B269" s="249" t="s">
        <v>1228</v>
      </c>
      <c r="C269" s="219" t="s">
        <v>2238</v>
      </c>
      <c r="D269" s="268" t="s">
        <v>495</v>
      </c>
      <c r="E269" s="251">
        <v>44245.0</v>
      </c>
      <c r="F269" s="250" t="s">
        <v>496</v>
      </c>
      <c r="G269" s="243"/>
      <c r="H269" s="243"/>
      <c r="I269" s="243"/>
      <c r="J269" s="325">
        <f t="shared" si="8"/>
        <v>0</v>
      </c>
      <c r="K269" s="330">
        <v>1.8956228956228953</v>
      </c>
      <c r="L269" s="327">
        <f t="shared" si="4"/>
        <v>10.80477003</v>
      </c>
      <c r="M269" s="321" t="str">
        <f t="shared" si="5"/>
        <v>griffgreen</v>
      </c>
      <c r="N269" s="176">
        <f>IFERROR(__xludf.DUMMYFUNCTION("""COMPUTED_VALUE"""),9.0)</f>
        <v>9</v>
      </c>
      <c r="O269" s="176"/>
      <c r="P269" s="176"/>
      <c r="Q269" s="176"/>
      <c r="R269" s="176"/>
      <c r="S269" s="176"/>
      <c r="T269" s="176"/>
      <c r="U269" s="176"/>
      <c r="V269" s="176"/>
      <c r="W269" s="176"/>
      <c r="X269" s="176"/>
      <c r="Y269" s="176"/>
      <c r="Z269" s="176"/>
    </row>
    <row r="270">
      <c r="A270" s="249" t="s">
        <v>16</v>
      </c>
      <c r="B270" s="249" t="s">
        <v>1228</v>
      </c>
      <c r="C270" s="219" t="s">
        <v>2334</v>
      </c>
      <c r="D270" s="268" t="s">
        <v>495</v>
      </c>
      <c r="E270" s="251">
        <v>44245.0</v>
      </c>
      <c r="F270" s="250" t="s">
        <v>496</v>
      </c>
      <c r="G270" s="243"/>
      <c r="H270" s="243"/>
      <c r="I270" s="243"/>
      <c r="J270" s="325">
        <f t="shared" si="8"/>
        <v>0</v>
      </c>
      <c r="K270" s="330">
        <v>1.8956228956228953</v>
      </c>
      <c r="L270" s="327">
        <f t="shared" si="4"/>
        <v>10.80477003</v>
      </c>
      <c r="M270" s="321" t="str">
        <f t="shared" si="5"/>
        <v>griffgreen</v>
      </c>
      <c r="N270" s="176">
        <f>IFERROR(__xludf.DUMMYFUNCTION("""COMPUTED_VALUE"""),10.0)</f>
        <v>10</v>
      </c>
      <c r="O270" s="176"/>
      <c r="P270" s="176"/>
      <c r="Q270" s="176"/>
      <c r="R270" s="176"/>
      <c r="S270" s="176"/>
      <c r="T270" s="176"/>
      <c r="U270" s="176"/>
      <c r="V270" s="176"/>
      <c r="W270" s="176"/>
      <c r="X270" s="176"/>
      <c r="Y270" s="176"/>
      <c r="Z270" s="176"/>
    </row>
    <row r="271">
      <c r="A271" s="249" t="s">
        <v>16</v>
      </c>
      <c r="B271" s="249" t="s">
        <v>10</v>
      </c>
      <c r="C271" s="219" t="s">
        <v>2352</v>
      </c>
      <c r="D271" s="268" t="s">
        <v>495</v>
      </c>
      <c r="E271" s="251">
        <v>44246.0</v>
      </c>
      <c r="F271" s="250" t="s">
        <v>496</v>
      </c>
      <c r="G271" s="243"/>
      <c r="H271" s="243"/>
      <c r="I271" s="243"/>
      <c r="J271" s="325">
        <f t="shared" si="8"/>
        <v>0</v>
      </c>
      <c r="K271" s="330">
        <v>1.8956228956228953</v>
      </c>
      <c r="L271" s="327">
        <f t="shared" si="4"/>
        <v>10.80477003</v>
      </c>
      <c r="M271" s="321" t="str">
        <f t="shared" si="5"/>
        <v>griffgreen</v>
      </c>
      <c r="N271" s="176">
        <f>IFERROR(__xludf.DUMMYFUNCTION("""COMPUTED_VALUE"""),11.0)</f>
        <v>11</v>
      </c>
      <c r="O271" s="176"/>
      <c r="P271" s="176"/>
      <c r="Q271" s="176"/>
      <c r="R271" s="176"/>
      <c r="S271" s="176"/>
      <c r="T271" s="176"/>
      <c r="U271" s="176"/>
      <c r="V271" s="176"/>
      <c r="W271" s="176"/>
      <c r="X271" s="176"/>
      <c r="Y271" s="176"/>
      <c r="Z271" s="176"/>
    </row>
    <row r="272">
      <c r="A272" s="249" t="s">
        <v>16</v>
      </c>
      <c r="B272" s="249" t="s">
        <v>10</v>
      </c>
      <c r="C272" s="219" t="s">
        <v>2353</v>
      </c>
      <c r="D272" s="268" t="s">
        <v>495</v>
      </c>
      <c r="E272" s="251">
        <v>44246.0</v>
      </c>
      <c r="F272" s="250" t="s">
        <v>496</v>
      </c>
      <c r="G272" s="243"/>
      <c r="H272" s="243"/>
      <c r="I272" s="171"/>
      <c r="J272" s="325">
        <f t="shared" si="8"/>
        <v>0</v>
      </c>
      <c r="K272" s="330">
        <v>1.8956228956228953</v>
      </c>
      <c r="L272" s="327">
        <f t="shared" si="4"/>
        <v>10.80477003</v>
      </c>
      <c r="M272" s="321" t="str">
        <f t="shared" si="5"/>
        <v>griffgreen</v>
      </c>
      <c r="N272" s="176">
        <f>IFERROR(__xludf.DUMMYFUNCTION("""COMPUTED_VALUE"""),12.0)</f>
        <v>12</v>
      </c>
      <c r="O272" s="176"/>
      <c r="P272" s="176"/>
      <c r="Q272" s="176"/>
      <c r="R272" s="176"/>
      <c r="S272" s="176"/>
      <c r="T272" s="176"/>
      <c r="U272" s="176"/>
      <c r="V272" s="176"/>
      <c r="W272" s="176"/>
      <c r="X272" s="176"/>
      <c r="Y272" s="176"/>
      <c r="Z272" s="176"/>
    </row>
    <row r="273">
      <c r="A273" s="249" t="s">
        <v>16</v>
      </c>
      <c r="B273" s="249" t="s">
        <v>10</v>
      </c>
      <c r="C273" s="219" t="s">
        <v>2354</v>
      </c>
      <c r="D273" s="268" t="s">
        <v>495</v>
      </c>
      <c r="E273" s="251">
        <v>44246.0</v>
      </c>
      <c r="F273" s="250" t="s">
        <v>496</v>
      </c>
      <c r="G273" s="243"/>
      <c r="H273" s="243"/>
      <c r="I273" s="171"/>
      <c r="J273" s="325">
        <f t="shared" si="8"/>
        <v>0</v>
      </c>
      <c r="K273" s="330">
        <v>1.8956228956228953</v>
      </c>
      <c r="L273" s="327">
        <f t="shared" si="4"/>
        <v>10.80477003</v>
      </c>
      <c r="M273" s="321" t="str">
        <f t="shared" si="5"/>
        <v>griffgreen</v>
      </c>
      <c r="N273" s="176">
        <f>IFERROR(__xludf.DUMMYFUNCTION("""COMPUTED_VALUE"""),13.0)</f>
        <v>13</v>
      </c>
      <c r="O273" s="176"/>
      <c r="P273" s="176"/>
      <c r="Q273" s="176"/>
      <c r="R273" s="176"/>
      <c r="S273" s="176"/>
      <c r="T273" s="176"/>
      <c r="U273" s="176"/>
      <c r="V273" s="176"/>
      <c r="W273" s="176"/>
      <c r="X273" s="176"/>
      <c r="Y273" s="176"/>
      <c r="Z273" s="176"/>
    </row>
    <row r="274">
      <c r="A274" s="249" t="s">
        <v>16</v>
      </c>
      <c r="B274" s="249" t="s">
        <v>10</v>
      </c>
      <c r="C274" s="219" t="s">
        <v>2197</v>
      </c>
      <c r="D274" s="268" t="s">
        <v>495</v>
      </c>
      <c r="E274" s="251">
        <v>44246.0</v>
      </c>
      <c r="F274" s="250" t="s">
        <v>496</v>
      </c>
      <c r="G274" s="243"/>
      <c r="H274" s="243"/>
      <c r="I274" s="171"/>
      <c r="J274" s="325">
        <f t="shared" si="8"/>
        <v>0</v>
      </c>
      <c r="K274" s="330">
        <v>1.8956228956228953</v>
      </c>
      <c r="L274" s="327">
        <f t="shared" si="4"/>
        <v>10.80477003</v>
      </c>
      <c r="M274" s="321" t="str">
        <f t="shared" si="5"/>
        <v>griffgreen</v>
      </c>
      <c r="N274" s="176">
        <f>IFERROR(__xludf.DUMMYFUNCTION("""COMPUTED_VALUE"""),14.0)</f>
        <v>14</v>
      </c>
      <c r="O274" s="176"/>
      <c r="P274" s="176"/>
      <c r="Q274" s="176"/>
      <c r="R274" s="176"/>
      <c r="S274" s="176"/>
      <c r="T274" s="176"/>
      <c r="U274" s="176"/>
      <c r="V274" s="176"/>
      <c r="W274" s="176"/>
      <c r="X274" s="176"/>
      <c r="Y274" s="176"/>
      <c r="Z274" s="176"/>
    </row>
    <row r="275">
      <c r="A275" s="249" t="s">
        <v>16</v>
      </c>
      <c r="B275" s="249" t="s">
        <v>10</v>
      </c>
      <c r="C275" s="219" t="s">
        <v>498</v>
      </c>
      <c r="D275" s="268" t="s">
        <v>495</v>
      </c>
      <c r="E275" s="251">
        <v>44246.0</v>
      </c>
      <c r="F275" s="250" t="s">
        <v>499</v>
      </c>
      <c r="G275" s="243"/>
      <c r="H275" s="243"/>
      <c r="I275" s="243"/>
      <c r="J275" s="325">
        <f t="shared" si="8"/>
        <v>0</v>
      </c>
      <c r="K275" s="330">
        <v>1.8956228956228953</v>
      </c>
      <c r="L275" s="327">
        <f t="shared" si="4"/>
        <v>10.80477003</v>
      </c>
      <c r="M275" s="321" t="str">
        <f t="shared" si="5"/>
        <v>griffgreen</v>
      </c>
      <c r="N275" s="176">
        <f>IFERROR(__xludf.DUMMYFUNCTION("""COMPUTED_VALUE"""),15.0)</f>
        <v>15</v>
      </c>
      <c r="O275" s="176"/>
      <c r="P275" s="176"/>
      <c r="Q275" s="176"/>
      <c r="R275" s="176"/>
      <c r="S275" s="176"/>
      <c r="T275" s="176"/>
      <c r="U275" s="176"/>
      <c r="V275" s="176"/>
      <c r="W275" s="176"/>
      <c r="X275" s="176"/>
      <c r="Y275" s="176"/>
      <c r="Z275" s="176"/>
    </row>
    <row r="276">
      <c r="A276" s="249" t="s">
        <v>16</v>
      </c>
      <c r="B276" s="249" t="s">
        <v>10</v>
      </c>
      <c r="C276" s="219" t="s">
        <v>500</v>
      </c>
      <c r="D276" s="268" t="s">
        <v>495</v>
      </c>
      <c r="E276" s="251">
        <v>44246.0</v>
      </c>
      <c r="F276" s="250" t="s">
        <v>545</v>
      </c>
      <c r="G276" s="243"/>
      <c r="H276" s="243"/>
      <c r="I276" s="243"/>
      <c r="J276" s="325">
        <f t="shared" si="8"/>
        <v>0</v>
      </c>
      <c r="K276" s="330">
        <v>1.8956228956228953</v>
      </c>
      <c r="L276" s="327">
        <f t="shared" si="4"/>
        <v>10.80477003</v>
      </c>
      <c r="M276" s="321" t="str">
        <f t="shared" si="5"/>
        <v>griffgreen</v>
      </c>
      <c r="N276" s="176">
        <f>IFERROR(__xludf.DUMMYFUNCTION("""COMPUTED_VALUE"""),16.0)</f>
        <v>16</v>
      </c>
      <c r="O276" s="176"/>
      <c r="P276" s="176"/>
      <c r="Q276" s="176"/>
      <c r="R276" s="176"/>
      <c r="S276" s="176"/>
      <c r="T276" s="176"/>
      <c r="U276" s="176"/>
      <c r="V276" s="176"/>
      <c r="W276" s="176"/>
      <c r="X276" s="176"/>
      <c r="Y276" s="176"/>
      <c r="Z276" s="176"/>
    </row>
    <row r="277">
      <c r="A277" s="249" t="s">
        <v>16</v>
      </c>
      <c r="B277" s="249" t="s">
        <v>10</v>
      </c>
      <c r="C277" s="219" t="s">
        <v>494</v>
      </c>
      <c r="D277" s="268" t="s">
        <v>495</v>
      </c>
      <c r="E277" s="251">
        <v>44246.0</v>
      </c>
      <c r="F277" s="250" t="s">
        <v>545</v>
      </c>
      <c r="G277" s="243"/>
      <c r="H277" s="243"/>
      <c r="I277" s="243"/>
      <c r="J277" s="325">
        <f t="shared" si="8"/>
        <v>0</v>
      </c>
      <c r="K277" s="330">
        <v>1.8956228956228953</v>
      </c>
      <c r="L277" s="327">
        <f t="shared" si="4"/>
        <v>10.80477003</v>
      </c>
      <c r="M277" s="321" t="str">
        <f t="shared" si="5"/>
        <v>griffgreen</v>
      </c>
      <c r="N277" s="176">
        <f>IFERROR(__xludf.DUMMYFUNCTION("""COMPUTED_VALUE"""),17.0)</f>
        <v>17</v>
      </c>
      <c r="O277" s="176"/>
      <c r="P277" s="176"/>
      <c r="Q277" s="176"/>
      <c r="R277" s="176"/>
      <c r="S277" s="176"/>
      <c r="T277" s="176"/>
      <c r="U277" s="176"/>
      <c r="V277" s="176"/>
      <c r="W277" s="176"/>
      <c r="X277" s="176"/>
      <c r="Y277" s="176"/>
      <c r="Z277" s="176"/>
    </row>
    <row r="278">
      <c r="A278" s="249" t="s">
        <v>16</v>
      </c>
      <c r="B278" s="249" t="s">
        <v>10</v>
      </c>
      <c r="C278" s="219" t="s">
        <v>2198</v>
      </c>
      <c r="D278" s="268" t="s">
        <v>495</v>
      </c>
      <c r="E278" s="251">
        <v>44246.0</v>
      </c>
      <c r="F278" s="250" t="s">
        <v>496</v>
      </c>
      <c r="G278" s="243"/>
      <c r="H278" s="243"/>
      <c r="I278" s="243"/>
      <c r="J278" s="325">
        <f t="shared" si="8"/>
        <v>0</v>
      </c>
      <c r="K278" s="330">
        <v>1.8956228956228953</v>
      </c>
      <c r="L278" s="327">
        <f t="shared" si="4"/>
        <v>10.80477003</v>
      </c>
      <c r="M278" s="321" t="str">
        <f t="shared" si="5"/>
        <v>griffgreen</v>
      </c>
      <c r="N278" s="176">
        <f>IFERROR(__xludf.DUMMYFUNCTION("""COMPUTED_VALUE"""),18.0)</f>
        <v>18</v>
      </c>
      <c r="O278" s="176"/>
      <c r="P278" s="176"/>
      <c r="Q278" s="176"/>
      <c r="R278" s="176"/>
      <c r="S278" s="176"/>
      <c r="T278" s="176"/>
      <c r="U278" s="176"/>
      <c r="V278" s="176"/>
      <c r="W278" s="176"/>
      <c r="X278" s="176"/>
      <c r="Y278" s="176"/>
      <c r="Z278" s="176"/>
    </row>
    <row r="279">
      <c r="A279" s="249" t="s">
        <v>16</v>
      </c>
      <c r="B279" s="249" t="s">
        <v>867</v>
      </c>
      <c r="C279" s="219" t="s">
        <v>2199</v>
      </c>
      <c r="D279" s="268" t="s">
        <v>495</v>
      </c>
      <c r="E279" s="251">
        <v>44249.0</v>
      </c>
      <c r="F279" s="250" t="s">
        <v>496</v>
      </c>
      <c r="G279" s="243"/>
      <c r="H279" s="243"/>
      <c r="I279" s="243"/>
      <c r="J279" s="325">
        <f t="shared" si="8"/>
        <v>0</v>
      </c>
      <c r="K279" s="330">
        <v>1.8956228956228953</v>
      </c>
      <c r="L279" s="327">
        <f t="shared" si="4"/>
        <v>10.80477003</v>
      </c>
      <c r="M279" s="321" t="str">
        <f t="shared" si="5"/>
        <v>griffgreen</v>
      </c>
      <c r="N279" s="176">
        <f>IFERROR(__xludf.DUMMYFUNCTION("""COMPUTED_VALUE"""),19.0)</f>
        <v>19</v>
      </c>
      <c r="O279" s="176"/>
      <c r="P279" s="176"/>
      <c r="Q279" s="176"/>
      <c r="R279" s="176"/>
      <c r="S279" s="176"/>
      <c r="T279" s="176"/>
      <c r="U279" s="176"/>
      <c r="V279" s="176"/>
      <c r="W279" s="176"/>
      <c r="X279" s="176"/>
      <c r="Y279" s="176"/>
      <c r="Z279" s="176"/>
    </row>
    <row r="280">
      <c r="A280" s="249" t="s">
        <v>16</v>
      </c>
      <c r="B280" s="249" t="s">
        <v>845</v>
      </c>
      <c r="C280" s="219" t="s">
        <v>2256</v>
      </c>
      <c r="D280" s="268" t="s">
        <v>495</v>
      </c>
      <c r="E280" s="251">
        <v>44250.0</v>
      </c>
      <c r="F280" s="250" t="s">
        <v>499</v>
      </c>
      <c r="G280" s="243"/>
      <c r="H280" s="243"/>
      <c r="I280" s="243"/>
      <c r="J280" s="325">
        <f t="shared" si="8"/>
        <v>0</v>
      </c>
      <c r="K280" s="330">
        <v>1.8956228956228953</v>
      </c>
      <c r="L280" s="327">
        <f t="shared" si="4"/>
        <v>10.80477003</v>
      </c>
      <c r="M280" s="321" t="str">
        <f t="shared" si="5"/>
        <v>griffgreen</v>
      </c>
      <c r="N280" s="176">
        <f>IFERROR(__xludf.DUMMYFUNCTION("""COMPUTED_VALUE"""),20.0)</f>
        <v>20</v>
      </c>
      <c r="O280" s="176"/>
      <c r="P280" s="176"/>
      <c r="Q280" s="176"/>
      <c r="R280" s="176"/>
      <c r="S280" s="176"/>
      <c r="T280" s="176"/>
      <c r="U280" s="176"/>
      <c r="V280" s="176"/>
      <c r="W280" s="176"/>
      <c r="X280" s="176"/>
      <c r="Y280" s="176"/>
      <c r="Z280" s="176"/>
    </row>
    <row r="281">
      <c r="A281" s="249" t="s">
        <v>16</v>
      </c>
      <c r="B281" s="249" t="s">
        <v>18</v>
      </c>
      <c r="C281" s="219" t="s">
        <v>2201</v>
      </c>
      <c r="D281" s="268" t="s">
        <v>495</v>
      </c>
      <c r="E281" s="251">
        <v>44250.0</v>
      </c>
      <c r="F281" s="250" t="s">
        <v>496</v>
      </c>
      <c r="G281" s="243"/>
      <c r="H281" s="243"/>
      <c r="I281" s="243"/>
      <c r="J281" s="325">
        <f t="shared" si="8"/>
        <v>0</v>
      </c>
      <c r="K281" s="330">
        <v>1.8956228956228953</v>
      </c>
      <c r="L281" s="327">
        <f t="shared" si="4"/>
        <v>10.80477003</v>
      </c>
      <c r="M281" s="321" t="str">
        <f t="shared" si="5"/>
        <v>griffgreen</v>
      </c>
      <c r="N281" s="176">
        <f>IFERROR(__xludf.DUMMYFUNCTION("""COMPUTED_VALUE"""),21.0)</f>
        <v>21</v>
      </c>
      <c r="O281" s="176"/>
      <c r="P281" s="176"/>
      <c r="Q281" s="176"/>
      <c r="R281" s="176"/>
      <c r="S281" s="176"/>
      <c r="T281" s="176"/>
      <c r="U281" s="176"/>
      <c r="V281" s="176"/>
      <c r="W281" s="176"/>
      <c r="X281" s="176"/>
      <c r="Y281" s="176"/>
      <c r="Z281" s="176"/>
    </row>
    <row r="282">
      <c r="A282" s="249" t="s">
        <v>16</v>
      </c>
      <c r="B282" s="249" t="s">
        <v>590</v>
      </c>
      <c r="C282" s="219" t="s">
        <v>2202</v>
      </c>
      <c r="D282" s="268" t="s">
        <v>495</v>
      </c>
      <c r="E282" s="251">
        <v>44250.0</v>
      </c>
      <c r="F282" s="250" t="s">
        <v>496</v>
      </c>
      <c r="G282" s="243"/>
      <c r="H282" s="243"/>
      <c r="I282" s="243"/>
      <c r="J282" s="325">
        <f t="shared" si="8"/>
        <v>0</v>
      </c>
      <c r="K282" s="330">
        <v>1.8956228956228953</v>
      </c>
      <c r="L282" s="327">
        <f t="shared" si="4"/>
        <v>10.80477003</v>
      </c>
      <c r="M282" s="321" t="str">
        <f t="shared" si="5"/>
        <v>griffgreen</v>
      </c>
      <c r="N282" s="176">
        <f>IFERROR(__xludf.DUMMYFUNCTION("""COMPUTED_VALUE"""),22.0)</f>
        <v>22</v>
      </c>
      <c r="O282" s="176"/>
      <c r="P282" s="176"/>
      <c r="Q282" s="176"/>
      <c r="R282" s="176"/>
      <c r="S282" s="176"/>
      <c r="T282" s="176"/>
      <c r="U282" s="176"/>
      <c r="V282" s="176"/>
      <c r="W282" s="176"/>
      <c r="X282" s="176"/>
      <c r="Y282" s="176"/>
      <c r="Z282" s="176"/>
    </row>
    <row r="283">
      <c r="A283" s="249" t="s">
        <v>16</v>
      </c>
      <c r="B283" s="249" t="s">
        <v>519</v>
      </c>
      <c r="C283" s="219" t="s">
        <v>2329</v>
      </c>
      <c r="D283" s="268" t="s">
        <v>495</v>
      </c>
      <c r="E283" s="251">
        <v>44251.0</v>
      </c>
      <c r="F283" s="250" t="s">
        <v>521</v>
      </c>
      <c r="G283" s="243"/>
      <c r="H283" s="243"/>
      <c r="I283" s="243"/>
      <c r="J283" s="325">
        <f t="shared" si="8"/>
        <v>0</v>
      </c>
      <c r="K283" s="326">
        <f>J283*$J$1</f>
        <v>0</v>
      </c>
      <c r="L283" s="327">
        <f t="shared" si="4"/>
        <v>10.80477003</v>
      </c>
      <c r="M283" s="321" t="str">
        <f t="shared" si="5"/>
        <v>griffgreen</v>
      </c>
      <c r="N283" s="176">
        <f>IFERROR(__xludf.DUMMYFUNCTION("""COMPUTED_VALUE"""),23.0)</f>
        <v>23</v>
      </c>
      <c r="O283" s="176"/>
      <c r="P283" s="176"/>
      <c r="Q283" s="176"/>
      <c r="R283" s="176"/>
      <c r="S283" s="176"/>
      <c r="T283" s="176"/>
      <c r="U283" s="176"/>
      <c r="V283" s="176"/>
      <c r="W283" s="176"/>
      <c r="X283" s="176"/>
      <c r="Y283" s="176"/>
      <c r="Z283" s="176"/>
    </row>
    <row r="284">
      <c r="A284" s="249" t="s">
        <v>16</v>
      </c>
      <c r="B284" s="249" t="s">
        <v>10</v>
      </c>
      <c r="C284" s="219" t="s">
        <v>500</v>
      </c>
      <c r="D284" s="268" t="s">
        <v>495</v>
      </c>
      <c r="E284" s="251">
        <v>44253.0</v>
      </c>
      <c r="F284" s="250" t="s">
        <v>496</v>
      </c>
      <c r="G284" s="243"/>
      <c r="H284" s="243"/>
      <c r="I284" s="243"/>
      <c r="J284" s="325">
        <f t="shared" si="8"/>
        <v>0</v>
      </c>
      <c r="K284" s="330">
        <v>1.8956228956228953</v>
      </c>
      <c r="L284" s="327">
        <f t="shared" si="4"/>
        <v>10.80477003</v>
      </c>
      <c r="M284" s="321" t="str">
        <f t="shared" si="5"/>
        <v>griffgreen</v>
      </c>
      <c r="N284" s="176">
        <f>IFERROR(__xludf.DUMMYFUNCTION("""COMPUTED_VALUE"""),24.0)</f>
        <v>24</v>
      </c>
      <c r="O284" s="176"/>
      <c r="P284" s="176"/>
      <c r="Q284" s="176"/>
      <c r="R284" s="176"/>
      <c r="S284" s="176"/>
      <c r="T284" s="176"/>
      <c r="U284" s="176"/>
      <c r="V284" s="176"/>
      <c r="W284" s="176"/>
      <c r="X284" s="176"/>
      <c r="Y284" s="176"/>
      <c r="Z284" s="176"/>
    </row>
    <row r="285">
      <c r="A285" s="249" t="s">
        <v>16</v>
      </c>
      <c r="B285" s="249" t="s">
        <v>10</v>
      </c>
      <c r="C285" s="219" t="s">
        <v>494</v>
      </c>
      <c r="D285" s="268" t="s">
        <v>495</v>
      </c>
      <c r="E285" s="251">
        <v>44253.0</v>
      </c>
      <c r="F285" s="250" t="s">
        <v>496</v>
      </c>
      <c r="G285" s="243"/>
      <c r="H285" s="243"/>
      <c r="I285" s="243"/>
      <c r="J285" s="325">
        <f t="shared" si="8"/>
        <v>0</v>
      </c>
      <c r="K285" s="330">
        <v>1.8956228956228953</v>
      </c>
      <c r="L285" s="327">
        <f t="shared" si="4"/>
        <v>10.80477003</v>
      </c>
      <c r="M285" s="321" t="str">
        <f t="shared" si="5"/>
        <v>griffgreen</v>
      </c>
      <c r="N285" s="176">
        <f>IFERROR(__xludf.DUMMYFUNCTION("""COMPUTED_VALUE"""),25.0)</f>
        <v>25</v>
      </c>
      <c r="O285" s="176"/>
      <c r="P285" s="176"/>
      <c r="Q285" s="176"/>
      <c r="R285" s="176"/>
      <c r="S285" s="176"/>
      <c r="T285" s="176"/>
      <c r="U285" s="176"/>
      <c r="V285" s="176"/>
      <c r="W285" s="176"/>
      <c r="X285" s="176"/>
      <c r="Y285" s="176"/>
      <c r="Z285" s="176"/>
    </row>
    <row r="286">
      <c r="A286" s="249" t="s">
        <v>16</v>
      </c>
      <c r="B286" s="249" t="s">
        <v>10</v>
      </c>
      <c r="C286" s="219" t="s">
        <v>2181</v>
      </c>
      <c r="D286" s="268" t="s">
        <v>495</v>
      </c>
      <c r="E286" s="251">
        <v>44253.0</v>
      </c>
      <c r="F286" s="250" t="s">
        <v>499</v>
      </c>
      <c r="G286" s="243"/>
      <c r="H286" s="243"/>
      <c r="I286" s="243"/>
      <c r="J286" s="325">
        <f t="shared" si="8"/>
        <v>0</v>
      </c>
      <c r="K286" s="330">
        <v>1.8956228956228953</v>
      </c>
      <c r="L286" s="327">
        <f t="shared" si="4"/>
        <v>10.80477003</v>
      </c>
      <c r="M286" s="321" t="str">
        <f t="shared" si="5"/>
        <v>griffgreen</v>
      </c>
      <c r="N286" s="176">
        <f>IFERROR(__xludf.DUMMYFUNCTION("""COMPUTED_VALUE"""),26.0)</f>
        <v>26</v>
      </c>
      <c r="O286" s="176"/>
      <c r="P286" s="176"/>
      <c r="Q286" s="176"/>
      <c r="R286" s="176"/>
      <c r="S286" s="176"/>
      <c r="T286" s="176"/>
      <c r="U286" s="176"/>
      <c r="V286" s="176"/>
      <c r="W286" s="176"/>
      <c r="X286" s="176"/>
      <c r="Y286" s="176"/>
      <c r="Z286" s="176"/>
    </row>
    <row r="287">
      <c r="A287" s="249" t="s">
        <v>16</v>
      </c>
      <c r="B287" s="249" t="s">
        <v>10</v>
      </c>
      <c r="C287" s="219" t="s">
        <v>2345</v>
      </c>
      <c r="D287" s="268" t="s">
        <v>495</v>
      </c>
      <c r="E287" s="251">
        <v>44253.0</v>
      </c>
      <c r="F287" s="250" t="s">
        <v>496</v>
      </c>
      <c r="G287" s="243"/>
      <c r="H287" s="243"/>
      <c r="I287" s="243"/>
      <c r="J287" s="325">
        <f t="shared" si="8"/>
        <v>0</v>
      </c>
      <c r="K287" s="330">
        <v>1.8956228956228953</v>
      </c>
      <c r="L287" s="327">
        <f t="shared" si="4"/>
        <v>10.80477003</v>
      </c>
      <c r="M287" s="321" t="str">
        <f t="shared" si="5"/>
        <v>griffgreen</v>
      </c>
      <c r="N287" s="176">
        <f>IFERROR(__xludf.DUMMYFUNCTION("""COMPUTED_VALUE"""),27.0)</f>
        <v>27</v>
      </c>
      <c r="O287" s="176"/>
      <c r="P287" s="176"/>
      <c r="Q287" s="176"/>
      <c r="R287" s="176"/>
      <c r="S287" s="176"/>
      <c r="T287" s="176"/>
      <c r="U287" s="176"/>
      <c r="V287" s="176"/>
      <c r="W287" s="176"/>
      <c r="X287" s="176"/>
      <c r="Y287" s="176"/>
      <c r="Z287" s="176"/>
    </row>
    <row r="288">
      <c r="A288" s="249" t="s">
        <v>16</v>
      </c>
      <c r="B288" s="249" t="s">
        <v>10</v>
      </c>
      <c r="C288" s="219" t="s">
        <v>2257</v>
      </c>
      <c r="D288" s="268" t="s">
        <v>495</v>
      </c>
      <c r="E288" s="251">
        <v>44253.0</v>
      </c>
      <c r="F288" s="250" t="s">
        <v>496</v>
      </c>
      <c r="G288" s="243"/>
      <c r="H288" s="243"/>
      <c r="I288" s="243"/>
      <c r="J288" s="325">
        <f t="shared" si="8"/>
        <v>0</v>
      </c>
      <c r="K288" s="330">
        <v>1.8956228956228953</v>
      </c>
      <c r="L288" s="327">
        <f t="shared" si="4"/>
        <v>10.80477003</v>
      </c>
      <c r="M288" s="321" t="str">
        <f t="shared" si="5"/>
        <v>griffgreen</v>
      </c>
      <c r="N288" s="176">
        <f>IFERROR(__xludf.DUMMYFUNCTION("""COMPUTED_VALUE"""),28.0)</f>
        <v>28</v>
      </c>
      <c r="O288" s="176"/>
      <c r="P288" s="176"/>
      <c r="Q288" s="176"/>
      <c r="R288" s="176"/>
      <c r="S288" s="176"/>
      <c r="T288" s="176"/>
      <c r="U288" s="176"/>
      <c r="V288" s="176"/>
      <c r="W288" s="176"/>
      <c r="X288" s="176"/>
      <c r="Y288" s="176"/>
      <c r="Z288" s="176"/>
    </row>
    <row r="289">
      <c r="A289" s="249" t="s">
        <v>16</v>
      </c>
      <c r="B289" s="249" t="s">
        <v>10</v>
      </c>
      <c r="C289" s="219" t="s">
        <v>2247</v>
      </c>
      <c r="D289" s="268" t="s">
        <v>495</v>
      </c>
      <c r="E289" s="251">
        <v>44253.0</v>
      </c>
      <c r="F289" s="250" t="s">
        <v>496</v>
      </c>
      <c r="G289" s="243"/>
      <c r="H289" s="243"/>
      <c r="I289" s="243"/>
      <c r="J289" s="325">
        <f t="shared" si="8"/>
        <v>0</v>
      </c>
      <c r="K289" s="330">
        <v>1.8956228956228953</v>
      </c>
      <c r="L289" s="327">
        <f t="shared" si="4"/>
        <v>10.80477003</v>
      </c>
      <c r="M289" s="321" t="str">
        <f t="shared" si="5"/>
        <v>griffgreen</v>
      </c>
      <c r="N289" s="176">
        <f>IFERROR(__xludf.DUMMYFUNCTION("""COMPUTED_VALUE"""),29.0)</f>
        <v>29</v>
      </c>
      <c r="O289" s="176"/>
      <c r="P289" s="176"/>
      <c r="Q289" s="176"/>
      <c r="R289" s="176"/>
      <c r="S289" s="176"/>
      <c r="T289" s="176"/>
      <c r="U289" s="176"/>
      <c r="V289" s="176"/>
      <c r="W289" s="176"/>
      <c r="X289" s="176"/>
      <c r="Y289" s="176"/>
      <c r="Z289" s="176"/>
    </row>
    <row r="290">
      <c r="A290" s="249" t="s">
        <v>16</v>
      </c>
      <c r="B290" s="249" t="s">
        <v>10</v>
      </c>
      <c r="C290" s="219" t="s">
        <v>2355</v>
      </c>
      <c r="D290" s="268" t="s">
        <v>495</v>
      </c>
      <c r="E290" s="251">
        <v>44253.0</v>
      </c>
      <c r="F290" s="250" t="s">
        <v>496</v>
      </c>
      <c r="G290" s="243"/>
      <c r="H290" s="243"/>
      <c r="I290" s="243"/>
      <c r="J290" s="325">
        <f t="shared" si="8"/>
        <v>0</v>
      </c>
      <c r="K290" s="330">
        <v>1.8956228956228953</v>
      </c>
      <c r="L290" s="327">
        <f t="shared" si="4"/>
        <v>10.80477003</v>
      </c>
      <c r="M290" s="321" t="str">
        <f t="shared" si="5"/>
        <v>griffgreen</v>
      </c>
      <c r="N290" s="176">
        <f>IFERROR(__xludf.DUMMYFUNCTION("""COMPUTED_VALUE"""),30.0)</f>
        <v>30</v>
      </c>
      <c r="O290" s="176"/>
      <c r="P290" s="176"/>
      <c r="Q290" s="176"/>
      <c r="R290" s="176"/>
      <c r="S290" s="176"/>
      <c r="T290" s="176"/>
      <c r="U290" s="176"/>
      <c r="V290" s="176"/>
      <c r="W290" s="176"/>
      <c r="X290" s="176"/>
      <c r="Y290" s="176"/>
      <c r="Z290" s="176"/>
    </row>
    <row r="291">
      <c r="A291" s="249" t="s">
        <v>16</v>
      </c>
      <c r="B291" s="249" t="s">
        <v>10</v>
      </c>
      <c r="C291" s="219" t="s">
        <v>2206</v>
      </c>
      <c r="D291" s="268" t="s">
        <v>495</v>
      </c>
      <c r="E291" s="251">
        <v>44253.0</v>
      </c>
      <c r="F291" s="250" t="s">
        <v>496</v>
      </c>
      <c r="G291" s="243"/>
      <c r="H291" s="243"/>
      <c r="I291" s="243"/>
      <c r="J291" s="325">
        <f t="shared" si="8"/>
        <v>0</v>
      </c>
      <c r="K291" s="330">
        <v>1.8956228956228953</v>
      </c>
      <c r="L291" s="327">
        <f t="shared" si="4"/>
        <v>10.80477003</v>
      </c>
      <c r="M291" s="321" t="str">
        <f t="shared" si="5"/>
        <v>griffgreen</v>
      </c>
      <c r="N291" s="176">
        <f>IFERROR(__xludf.DUMMYFUNCTION("""COMPUTED_VALUE"""),31.0)</f>
        <v>31</v>
      </c>
      <c r="O291" s="176"/>
      <c r="P291" s="176"/>
      <c r="Q291" s="176"/>
      <c r="R291" s="176"/>
      <c r="S291" s="176"/>
      <c r="T291" s="176"/>
      <c r="U291" s="176"/>
      <c r="V291" s="176"/>
      <c r="W291" s="176"/>
      <c r="X291" s="176"/>
      <c r="Y291" s="176"/>
      <c r="Z291" s="176"/>
    </row>
    <row r="292">
      <c r="A292" s="249" t="s">
        <v>16</v>
      </c>
      <c r="B292" s="249" t="s">
        <v>10</v>
      </c>
      <c r="C292" s="219" t="s">
        <v>2208</v>
      </c>
      <c r="D292" s="268" t="s">
        <v>495</v>
      </c>
      <c r="E292" s="251">
        <v>44253.0</v>
      </c>
      <c r="F292" s="250" t="s">
        <v>496</v>
      </c>
      <c r="G292" s="243"/>
      <c r="H292" s="243"/>
      <c r="I292" s="243"/>
      <c r="J292" s="325">
        <f t="shared" si="8"/>
        <v>0</v>
      </c>
      <c r="K292" s="330">
        <v>1.8956228956228953</v>
      </c>
      <c r="L292" s="327">
        <f t="shared" si="4"/>
        <v>10.80477003</v>
      </c>
      <c r="M292" s="321" t="str">
        <f t="shared" si="5"/>
        <v>griffgreen</v>
      </c>
      <c r="N292" s="176">
        <f>IFERROR(__xludf.DUMMYFUNCTION("""COMPUTED_VALUE"""),32.0)</f>
        <v>32</v>
      </c>
      <c r="O292" s="176"/>
      <c r="P292" s="176"/>
      <c r="Q292" s="176"/>
      <c r="R292" s="176"/>
      <c r="S292" s="176"/>
      <c r="T292" s="176"/>
      <c r="U292" s="176"/>
      <c r="V292" s="176"/>
      <c r="W292" s="176"/>
      <c r="X292" s="176"/>
      <c r="Y292" s="176"/>
      <c r="Z292" s="176"/>
    </row>
    <row r="293">
      <c r="A293" s="249" t="s">
        <v>16</v>
      </c>
      <c r="B293" s="272" t="s">
        <v>2107</v>
      </c>
      <c r="C293" s="273" t="s">
        <v>2215</v>
      </c>
      <c r="D293" s="274" t="s">
        <v>437</v>
      </c>
      <c r="E293" s="328" t="s">
        <v>2216</v>
      </c>
      <c r="F293" s="274" t="s">
        <v>2129</v>
      </c>
      <c r="G293" s="243"/>
      <c r="H293" s="243"/>
      <c r="I293" s="171"/>
      <c r="J293" s="172">
        <f t="shared" si="8"/>
        <v>0</v>
      </c>
      <c r="K293" s="330">
        <v>1.8956228956228953</v>
      </c>
      <c r="L293" s="270">
        <f t="shared" si="4"/>
        <v>10.80477003</v>
      </c>
      <c r="M293" s="271" t="str">
        <f t="shared" si="5"/>
        <v>griffgreen</v>
      </c>
      <c r="N293" s="176">
        <f>IFERROR(__xludf.DUMMYFUNCTION("""COMPUTED_VALUE"""),33.0)</f>
        <v>33</v>
      </c>
      <c r="O293" s="176"/>
      <c r="P293" s="176"/>
      <c r="Q293" s="176"/>
      <c r="R293" s="176"/>
      <c r="S293" s="176"/>
      <c r="T293" s="176"/>
      <c r="U293" s="176"/>
      <c r="V293" s="176"/>
      <c r="W293" s="176"/>
      <c r="X293" s="176"/>
      <c r="Y293" s="176"/>
      <c r="Z293" s="176"/>
    </row>
    <row r="294">
      <c r="A294" s="249" t="s">
        <v>16</v>
      </c>
      <c r="B294" s="272" t="s">
        <v>2107</v>
      </c>
      <c r="C294" s="273" t="s">
        <v>2356</v>
      </c>
      <c r="D294" s="274" t="s">
        <v>437</v>
      </c>
      <c r="E294" s="328" t="s">
        <v>2218</v>
      </c>
      <c r="F294" s="274" t="s">
        <v>2129</v>
      </c>
      <c r="G294" s="243"/>
      <c r="H294" s="243"/>
      <c r="I294" s="171"/>
      <c r="J294" s="172">
        <f t="shared" si="8"/>
        <v>0</v>
      </c>
      <c r="K294" s="330">
        <v>1.8956228956228953</v>
      </c>
      <c r="L294" s="270">
        <f t="shared" si="4"/>
        <v>10.80477003</v>
      </c>
      <c r="M294" s="271" t="str">
        <f t="shared" si="5"/>
        <v>griffgreen</v>
      </c>
      <c r="N294" s="176">
        <f>IFERROR(__xludf.DUMMYFUNCTION("""COMPUTED_VALUE"""),34.0)</f>
        <v>34</v>
      </c>
      <c r="O294" s="176"/>
      <c r="P294" s="176"/>
      <c r="Q294" s="176"/>
      <c r="R294" s="176"/>
      <c r="S294" s="176"/>
      <c r="T294" s="176"/>
      <c r="U294" s="176"/>
      <c r="V294" s="176"/>
      <c r="W294" s="176"/>
      <c r="X294" s="176"/>
      <c r="Y294" s="176"/>
      <c r="Z294" s="176"/>
    </row>
    <row r="295">
      <c r="A295" s="249" t="s">
        <v>16</v>
      </c>
      <c r="B295" s="253" t="s">
        <v>2035</v>
      </c>
      <c r="C295" s="318" t="s">
        <v>2357</v>
      </c>
      <c r="D295" s="319" t="s">
        <v>437</v>
      </c>
      <c r="E295" s="334" t="s">
        <v>2218</v>
      </c>
      <c r="F295" s="319" t="s">
        <v>2129</v>
      </c>
      <c r="G295" s="312"/>
      <c r="H295" s="312"/>
      <c r="I295" s="312"/>
      <c r="J295" s="339"/>
      <c r="K295" s="337"/>
      <c r="L295" s="270">
        <f t="shared" si="4"/>
        <v>10.80477003</v>
      </c>
      <c r="M295" s="271" t="str">
        <f t="shared" si="5"/>
        <v>griffgreen</v>
      </c>
      <c r="N295" s="209">
        <f>IFERROR(__xludf.DUMMYFUNCTION("""COMPUTED_VALUE"""),35.0)</f>
        <v>35</v>
      </c>
      <c r="O295" s="209"/>
      <c r="P295" s="209"/>
      <c r="Q295" s="209"/>
      <c r="R295" s="209"/>
      <c r="S295" s="209"/>
      <c r="T295" s="209"/>
      <c r="U295" s="209"/>
      <c r="V295" s="209"/>
      <c r="W295" s="209"/>
      <c r="X295" s="209"/>
      <c r="Y295" s="209"/>
      <c r="Z295" s="209"/>
    </row>
    <row r="296">
      <c r="A296" s="249" t="s">
        <v>16</v>
      </c>
      <c r="B296" s="253" t="s">
        <v>2035</v>
      </c>
      <c r="C296" s="318" t="s">
        <v>2263</v>
      </c>
      <c r="D296" s="319" t="s">
        <v>437</v>
      </c>
      <c r="E296" s="334" t="s">
        <v>2262</v>
      </c>
      <c r="F296" s="319" t="s">
        <v>453</v>
      </c>
      <c r="G296" s="312"/>
      <c r="H296" s="312"/>
      <c r="I296" s="312"/>
      <c r="J296" s="339"/>
      <c r="K296" s="337"/>
      <c r="L296" s="270">
        <f t="shared" si="4"/>
        <v>10.80477003</v>
      </c>
      <c r="M296" s="271" t="str">
        <f t="shared" si="5"/>
        <v>griffgreen</v>
      </c>
      <c r="N296" s="209">
        <f>IFERROR(__xludf.DUMMYFUNCTION("""COMPUTED_VALUE"""),36.0)</f>
        <v>36</v>
      </c>
      <c r="O296" s="209"/>
      <c r="P296" s="209"/>
      <c r="Q296" s="209"/>
      <c r="R296" s="209"/>
      <c r="S296" s="209"/>
      <c r="T296" s="209"/>
      <c r="U296" s="209"/>
      <c r="V296" s="209"/>
      <c r="W296" s="209"/>
      <c r="X296" s="209"/>
      <c r="Y296" s="209"/>
      <c r="Z296" s="209"/>
    </row>
    <row r="297">
      <c r="A297" s="249" t="s">
        <v>16</v>
      </c>
      <c r="B297" s="253" t="s">
        <v>2035</v>
      </c>
      <c r="C297" s="318" t="s">
        <v>2358</v>
      </c>
      <c r="D297" s="319" t="s">
        <v>499</v>
      </c>
      <c r="E297" s="334" t="s">
        <v>2262</v>
      </c>
      <c r="F297" s="319" t="s">
        <v>1646</v>
      </c>
      <c r="G297" s="312"/>
      <c r="H297" s="312"/>
      <c r="I297" s="312"/>
      <c r="J297" s="339"/>
      <c r="K297" s="337"/>
      <c r="L297" s="270">
        <f t="shared" si="4"/>
        <v>10.80477003</v>
      </c>
      <c r="M297" s="271" t="str">
        <f t="shared" si="5"/>
        <v>griffgreen</v>
      </c>
      <c r="N297" s="209">
        <f>IFERROR(__xludf.DUMMYFUNCTION("""COMPUTED_VALUE"""),37.0)</f>
        <v>37</v>
      </c>
      <c r="O297" s="209"/>
      <c r="P297" s="209"/>
      <c r="Q297" s="209"/>
      <c r="R297" s="209"/>
      <c r="S297" s="209"/>
      <c r="T297" s="209"/>
      <c r="U297" s="209"/>
      <c r="V297" s="209"/>
      <c r="W297" s="209"/>
      <c r="X297" s="209"/>
      <c r="Y297" s="209"/>
      <c r="Z297" s="209"/>
    </row>
    <row r="298">
      <c r="A298" s="249" t="s">
        <v>16</v>
      </c>
      <c r="B298" s="253" t="s">
        <v>2035</v>
      </c>
      <c r="C298" s="318" t="s">
        <v>2358</v>
      </c>
      <c r="D298" s="319" t="s">
        <v>437</v>
      </c>
      <c r="E298" s="334" t="s">
        <v>2262</v>
      </c>
      <c r="F298" s="319" t="s">
        <v>1929</v>
      </c>
      <c r="G298" s="312"/>
      <c r="H298" s="312"/>
      <c r="I298" s="312"/>
      <c r="J298" s="339"/>
      <c r="K298" s="337"/>
      <c r="L298" s="270">
        <f t="shared" si="4"/>
        <v>10.80477003</v>
      </c>
      <c r="M298" s="271" t="str">
        <f t="shared" si="5"/>
        <v>griffgreen</v>
      </c>
      <c r="N298" s="209">
        <f>IFERROR(__xludf.DUMMYFUNCTION("""COMPUTED_VALUE"""),38.0)</f>
        <v>38</v>
      </c>
      <c r="O298" s="209"/>
      <c r="P298" s="209"/>
      <c r="Q298" s="209"/>
      <c r="R298" s="209"/>
      <c r="S298" s="209"/>
      <c r="T298" s="209"/>
      <c r="U298" s="209"/>
      <c r="V298" s="209"/>
      <c r="W298" s="209"/>
      <c r="X298" s="209"/>
      <c r="Y298" s="209"/>
      <c r="Z298" s="209"/>
    </row>
    <row r="299">
      <c r="A299" s="249" t="s">
        <v>16</v>
      </c>
      <c r="B299" s="253" t="s">
        <v>1702</v>
      </c>
      <c r="C299" s="318" t="s">
        <v>2359</v>
      </c>
      <c r="D299" s="319" t="s">
        <v>499</v>
      </c>
      <c r="E299" s="334" t="s">
        <v>2266</v>
      </c>
      <c r="F299" s="319" t="s">
        <v>1646</v>
      </c>
      <c r="G299" s="312"/>
      <c r="H299" s="312"/>
      <c r="I299" s="312"/>
      <c r="J299" s="339"/>
      <c r="K299" s="337"/>
      <c r="L299" s="270">
        <f t="shared" si="4"/>
        <v>10.80477003</v>
      </c>
      <c r="M299" s="271" t="str">
        <f t="shared" si="5"/>
        <v>griffgreen</v>
      </c>
      <c r="N299" s="209">
        <f>IFERROR(__xludf.DUMMYFUNCTION("""COMPUTED_VALUE"""),39.0)</f>
        <v>39</v>
      </c>
      <c r="O299" s="209"/>
      <c r="P299" s="209"/>
      <c r="Q299" s="209"/>
      <c r="R299" s="209"/>
      <c r="S299" s="209"/>
      <c r="T299" s="209"/>
      <c r="U299" s="209"/>
      <c r="V299" s="209"/>
      <c r="W299" s="209"/>
      <c r="X299" s="209"/>
      <c r="Y299" s="209"/>
      <c r="Z299" s="209"/>
    </row>
    <row r="300">
      <c r="A300" s="249" t="s">
        <v>16</v>
      </c>
      <c r="B300" s="253" t="s">
        <v>2035</v>
      </c>
      <c r="C300" s="318" t="s">
        <v>2265</v>
      </c>
      <c r="D300" s="319" t="s">
        <v>499</v>
      </c>
      <c r="E300" s="334" t="s">
        <v>2266</v>
      </c>
      <c r="F300" s="319" t="s">
        <v>1646</v>
      </c>
      <c r="G300" s="312"/>
      <c r="H300" s="312"/>
      <c r="I300" s="312"/>
      <c r="J300" s="339"/>
      <c r="K300" s="337"/>
      <c r="L300" s="270">
        <f t="shared" si="4"/>
        <v>10.80477003</v>
      </c>
      <c r="M300" s="271" t="str">
        <f t="shared" si="5"/>
        <v>griffgreen</v>
      </c>
      <c r="N300" s="209">
        <f>IFERROR(__xludf.DUMMYFUNCTION("""COMPUTED_VALUE"""),40.0)</f>
        <v>40</v>
      </c>
      <c r="O300" s="209"/>
      <c r="P300" s="209"/>
      <c r="Q300" s="209"/>
      <c r="R300" s="209"/>
      <c r="S300" s="209"/>
      <c r="T300" s="209"/>
      <c r="U300" s="209"/>
      <c r="V300" s="209"/>
      <c r="W300" s="209"/>
      <c r="X300" s="209"/>
      <c r="Y300" s="209"/>
      <c r="Z300" s="209"/>
    </row>
    <row r="301">
      <c r="A301" s="253" t="s">
        <v>16</v>
      </c>
      <c r="B301" s="253" t="s">
        <v>2035</v>
      </c>
      <c r="C301" s="318" t="s">
        <v>2267</v>
      </c>
      <c r="D301" s="319" t="s">
        <v>499</v>
      </c>
      <c r="E301" s="334" t="s">
        <v>2266</v>
      </c>
      <c r="F301" s="319" t="s">
        <v>1646</v>
      </c>
      <c r="G301" s="312"/>
      <c r="H301" s="312"/>
      <c r="I301" s="222"/>
      <c r="J301" s="339"/>
      <c r="K301" s="337"/>
      <c r="L301" s="270">
        <f t="shared" si="4"/>
        <v>10.80477003</v>
      </c>
      <c r="M301" s="271" t="str">
        <f t="shared" si="5"/>
        <v>griffgreen</v>
      </c>
      <c r="N301" s="209">
        <f>IFERROR(__xludf.DUMMYFUNCTION("""COMPUTED_VALUE"""),41.0)</f>
        <v>41</v>
      </c>
      <c r="O301" s="209"/>
      <c r="P301" s="209"/>
      <c r="Q301" s="209"/>
      <c r="R301" s="209"/>
      <c r="S301" s="209"/>
      <c r="T301" s="209"/>
      <c r="U301" s="209"/>
      <c r="V301" s="209"/>
      <c r="W301" s="209"/>
      <c r="X301" s="209"/>
      <c r="Y301" s="209"/>
      <c r="Z301" s="209"/>
    </row>
    <row r="302">
      <c r="A302" s="249" t="s">
        <v>16</v>
      </c>
      <c r="B302" s="253" t="s">
        <v>2035</v>
      </c>
      <c r="C302" s="318" t="s">
        <v>2283</v>
      </c>
      <c r="D302" s="319" t="s">
        <v>437</v>
      </c>
      <c r="E302" s="334" t="s">
        <v>2269</v>
      </c>
      <c r="F302" s="319" t="s">
        <v>1929</v>
      </c>
      <c r="G302" s="312"/>
      <c r="H302" s="312"/>
      <c r="I302" s="312"/>
      <c r="J302" s="339"/>
      <c r="K302" s="337"/>
      <c r="L302" s="270">
        <f t="shared" si="4"/>
        <v>10.80477003</v>
      </c>
      <c r="M302" s="271" t="str">
        <f t="shared" si="5"/>
        <v>griffgreen</v>
      </c>
      <c r="N302" s="209">
        <f>IFERROR(__xludf.DUMMYFUNCTION("""COMPUTED_VALUE"""),42.0)</f>
        <v>42</v>
      </c>
      <c r="O302" s="209"/>
      <c r="P302" s="209"/>
      <c r="Q302" s="209"/>
      <c r="R302" s="209"/>
      <c r="S302" s="209"/>
      <c r="T302" s="209"/>
      <c r="U302" s="209"/>
      <c r="V302" s="209"/>
      <c r="W302" s="209"/>
      <c r="X302" s="209"/>
      <c r="Y302" s="209"/>
      <c r="Z302" s="209"/>
    </row>
    <row r="303">
      <c r="A303" s="249" t="s">
        <v>16</v>
      </c>
      <c r="B303" s="253" t="s">
        <v>2035</v>
      </c>
      <c r="C303" s="318" t="s">
        <v>2284</v>
      </c>
      <c r="D303" s="319" t="s">
        <v>437</v>
      </c>
      <c r="E303" s="334" t="s">
        <v>2269</v>
      </c>
      <c r="F303" s="319" t="s">
        <v>1929</v>
      </c>
      <c r="G303" s="312"/>
      <c r="H303" s="312"/>
      <c r="I303" s="312"/>
      <c r="J303" s="339"/>
      <c r="K303" s="337"/>
      <c r="L303" s="270">
        <f t="shared" si="4"/>
        <v>10.80477003</v>
      </c>
      <c r="M303" s="271" t="str">
        <f t="shared" si="5"/>
        <v>griffgreen</v>
      </c>
      <c r="N303" s="209">
        <f>IFERROR(__xludf.DUMMYFUNCTION("""COMPUTED_VALUE"""),43.0)</f>
        <v>43</v>
      </c>
      <c r="O303" s="209"/>
      <c r="P303" s="209"/>
      <c r="Q303" s="209"/>
      <c r="R303" s="209"/>
      <c r="S303" s="209"/>
      <c r="T303" s="209"/>
      <c r="U303" s="209"/>
      <c r="V303" s="209"/>
      <c r="W303" s="209"/>
      <c r="X303" s="209"/>
      <c r="Y303" s="209"/>
      <c r="Z303" s="209"/>
    </row>
    <row r="304">
      <c r="A304" s="249" t="s">
        <v>16</v>
      </c>
      <c r="B304" s="272" t="s">
        <v>2035</v>
      </c>
      <c r="C304" s="273" t="s">
        <v>2285</v>
      </c>
      <c r="D304" s="274" t="s">
        <v>437</v>
      </c>
      <c r="E304" s="328" t="s">
        <v>2286</v>
      </c>
      <c r="F304" s="274" t="s">
        <v>1929</v>
      </c>
      <c r="G304" s="243"/>
      <c r="H304" s="243"/>
      <c r="I304" s="171"/>
      <c r="J304" s="172">
        <f t="shared" ref="J304:J675" si="14">(G304/$G$2+H304/$H$2+I304/$I$2)/3</f>
        <v>0</v>
      </c>
      <c r="K304" s="330">
        <v>1.8956228956228953</v>
      </c>
      <c r="L304" s="270">
        <f t="shared" si="4"/>
        <v>10.80477003</v>
      </c>
      <c r="M304" s="271" t="str">
        <f t="shared" si="5"/>
        <v>griffgreen</v>
      </c>
      <c r="N304" s="176">
        <f>IFERROR(__xludf.DUMMYFUNCTION("""COMPUTED_VALUE"""),44.0)</f>
        <v>44</v>
      </c>
      <c r="O304" s="176"/>
      <c r="P304" s="176"/>
      <c r="Q304" s="176"/>
      <c r="R304" s="176"/>
      <c r="S304" s="176"/>
      <c r="T304" s="176"/>
      <c r="U304" s="176"/>
      <c r="V304" s="176"/>
      <c r="W304" s="176"/>
      <c r="X304" s="176"/>
      <c r="Y304" s="176"/>
      <c r="Z304" s="176"/>
    </row>
    <row r="305">
      <c r="A305" s="249" t="s">
        <v>16</v>
      </c>
      <c r="B305" s="272" t="s">
        <v>2035</v>
      </c>
      <c r="C305" s="273" t="s">
        <v>2360</v>
      </c>
      <c r="D305" s="274" t="s">
        <v>499</v>
      </c>
      <c r="E305" s="328" t="s">
        <v>2286</v>
      </c>
      <c r="F305" s="274" t="s">
        <v>1646</v>
      </c>
      <c r="G305" s="243"/>
      <c r="H305" s="243"/>
      <c r="I305" s="171"/>
      <c r="J305" s="172">
        <f t="shared" si="14"/>
        <v>0</v>
      </c>
      <c r="K305" s="330">
        <v>1.8956228956228953</v>
      </c>
      <c r="L305" s="270">
        <f t="shared" si="4"/>
        <v>10.80477003</v>
      </c>
      <c r="M305" s="271" t="str">
        <f t="shared" si="5"/>
        <v>griffgreen</v>
      </c>
      <c r="N305" s="176">
        <f>IFERROR(__xludf.DUMMYFUNCTION("""COMPUTED_VALUE"""),45.0)</f>
        <v>45</v>
      </c>
      <c r="O305" s="176"/>
      <c r="P305" s="176"/>
      <c r="Q305" s="176"/>
      <c r="R305" s="176"/>
      <c r="S305" s="176"/>
      <c r="T305" s="176"/>
      <c r="U305" s="176"/>
      <c r="V305" s="176"/>
      <c r="W305" s="176"/>
      <c r="X305" s="176"/>
      <c r="Y305" s="176"/>
      <c r="Z305" s="176"/>
    </row>
    <row r="306">
      <c r="A306" s="249" t="s">
        <v>16</v>
      </c>
      <c r="B306" s="272" t="s">
        <v>845</v>
      </c>
      <c r="C306" s="273" t="s">
        <v>2243</v>
      </c>
      <c r="D306" s="274" t="s">
        <v>499</v>
      </c>
      <c r="E306" s="328" t="s">
        <v>2242</v>
      </c>
      <c r="F306" s="274" t="s">
        <v>1646</v>
      </c>
      <c r="G306" s="243"/>
      <c r="H306" s="243"/>
      <c r="I306" s="171"/>
      <c r="J306" s="172">
        <f t="shared" si="14"/>
        <v>0</v>
      </c>
      <c r="K306" s="330">
        <v>1.8956228956228953</v>
      </c>
      <c r="L306" s="270">
        <f t="shared" si="4"/>
        <v>10.80477003</v>
      </c>
      <c r="M306" s="271" t="str">
        <f t="shared" si="5"/>
        <v>griffgreen</v>
      </c>
      <c r="N306" s="176">
        <f>IFERROR(__xludf.DUMMYFUNCTION("""COMPUTED_VALUE"""),46.0)</f>
        <v>46</v>
      </c>
      <c r="O306" s="176"/>
      <c r="P306" s="176"/>
      <c r="Q306" s="176"/>
      <c r="R306" s="176"/>
      <c r="S306" s="176"/>
      <c r="T306" s="176"/>
      <c r="U306" s="176"/>
      <c r="V306" s="176"/>
      <c r="W306" s="176"/>
      <c r="X306" s="176"/>
      <c r="Y306" s="176"/>
      <c r="Z306" s="176"/>
    </row>
    <row r="307">
      <c r="A307" s="249" t="s">
        <v>16</v>
      </c>
      <c r="B307" s="272" t="s">
        <v>2035</v>
      </c>
      <c r="C307" s="273" t="s">
        <v>2361</v>
      </c>
      <c r="D307" s="274" t="s">
        <v>2220</v>
      </c>
      <c r="E307" s="328" t="s">
        <v>2221</v>
      </c>
      <c r="F307" s="274" t="s">
        <v>2222</v>
      </c>
      <c r="G307" s="243"/>
      <c r="H307" s="243"/>
      <c r="I307" s="171"/>
      <c r="J307" s="172">
        <f t="shared" si="14"/>
        <v>0</v>
      </c>
      <c r="K307" s="330">
        <v>1.8956228956228953</v>
      </c>
      <c r="L307" s="270">
        <f t="shared" si="4"/>
        <v>10.80477003</v>
      </c>
      <c r="M307" s="271" t="str">
        <f t="shared" si="5"/>
        <v>griffgreen</v>
      </c>
      <c r="N307" s="176">
        <f>IFERROR(__xludf.DUMMYFUNCTION("""COMPUTED_VALUE"""),47.0)</f>
        <v>47</v>
      </c>
      <c r="O307" s="176"/>
      <c r="P307" s="176"/>
      <c r="Q307" s="176"/>
      <c r="R307" s="176"/>
      <c r="S307" s="176"/>
      <c r="T307" s="176"/>
      <c r="U307" s="176"/>
      <c r="V307" s="176"/>
      <c r="W307" s="176"/>
      <c r="X307" s="176"/>
      <c r="Y307" s="176"/>
      <c r="Z307" s="176"/>
    </row>
    <row r="308">
      <c r="A308" s="249" t="s">
        <v>16</v>
      </c>
      <c r="B308" s="272" t="s">
        <v>2163</v>
      </c>
      <c r="C308" s="273" t="s">
        <v>2362</v>
      </c>
      <c r="D308" s="274" t="s">
        <v>499</v>
      </c>
      <c r="E308" s="328" t="s">
        <v>2183</v>
      </c>
      <c r="F308" s="274" t="s">
        <v>1646</v>
      </c>
      <c r="G308" s="243"/>
      <c r="H308" s="243"/>
      <c r="I308" s="171"/>
      <c r="J308" s="172">
        <f t="shared" si="14"/>
        <v>0</v>
      </c>
      <c r="K308" s="330">
        <v>1.8956228956228953</v>
      </c>
      <c r="L308" s="270">
        <f t="shared" si="4"/>
        <v>10.80477003</v>
      </c>
      <c r="M308" s="271" t="str">
        <f t="shared" si="5"/>
        <v>griffgreen</v>
      </c>
      <c r="N308" s="176">
        <f>IFERROR(__xludf.DUMMYFUNCTION("""COMPUTED_VALUE"""),48.0)</f>
        <v>48</v>
      </c>
      <c r="O308" s="176"/>
      <c r="P308" s="176"/>
      <c r="Q308" s="176"/>
      <c r="R308" s="176"/>
      <c r="S308" s="176"/>
      <c r="T308" s="176"/>
      <c r="U308" s="176"/>
      <c r="V308" s="176"/>
      <c r="W308" s="176"/>
      <c r="X308" s="176"/>
      <c r="Y308" s="176"/>
      <c r="Z308" s="176"/>
    </row>
    <row r="309">
      <c r="A309" s="249" t="s">
        <v>16</v>
      </c>
      <c r="B309" s="272" t="s">
        <v>2107</v>
      </c>
      <c r="C309" s="273" t="s">
        <v>2363</v>
      </c>
      <c r="D309" s="274" t="s">
        <v>499</v>
      </c>
      <c r="E309" s="328" t="s">
        <v>2183</v>
      </c>
      <c r="F309" s="274" t="s">
        <v>2236</v>
      </c>
      <c r="G309" s="243"/>
      <c r="H309" s="243"/>
      <c r="I309" s="243"/>
      <c r="J309" s="172">
        <f t="shared" si="14"/>
        <v>0</v>
      </c>
      <c r="K309" s="330">
        <v>1.8956228956228953</v>
      </c>
      <c r="L309" s="270">
        <f t="shared" si="4"/>
        <v>10.80477003</v>
      </c>
      <c r="M309" s="271" t="str">
        <f t="shared" si="5"/>
        <v>griffgreen</v>
      </c>
      <c r="N309" s="176">
        <f>IFERROR(__xludf.DUMMYFUNCTION("""COMPUTED_VALUE"""),49.0)</f>
        <v>49</v>
      </c>
      <c r="O309" s="176"/>
      <c r="P309" s="176"/>
      <c r="Q309" s="176"/>
      <c r="R309" s="176"/>
      <c r="S309" s="176"/>
      <c r="T309" s="176"/>
      <c r="U309" s="176"/>
      <c r="V309" s="176"/>
      <c r="W309" s="176"/>
      <c r="X309" s="176"/>
      <c r="Y309" s="176"/>
      <c r="Z309" s="176"/>
    </row>
    <row r="310">
      <c r="A310" s="253" t="s">
        <v>16</v>
      </c>
      <c r="B310" s="253" t="s">
        <v>2035</v>
      </c>
      <c r="C310" s="318" t="s">
        <v>2288</v>
      </c>
      <c r="D310" s="319" t="s">
        <v>499</v>
      </c>
      <c r="E310" s="334" t="s">
        <v>2183</v>
      </c>
      <c r="F310" s="319" t="s">
        <v>2289</v>
      </c>
      <c r="G310" s="312"/>
      <c r="H310" s="312"/>
      <c r="I310" s="312"/>
      <c r="J310" s="172">
        <f t="shared" si="14"/>
        <v>0</v>
      </c>
      <c r="K310" s="337"/>
      <c r="L310" s="270">
        <f t="shared" si="4"/>
        <v>10.80477003</v>
      </c>
      <c r="M310" s="271" t="str">
        <f t="shared" si="5"/>
        <v>griffgreen</v>
      </c>
      <c r="N310" s="209">
        <f>IFERROR(__xludf.DUMMYFUNCTION("""COMPUTED_VALUE"""),50.0)</f>
        <v>50</v>
      </c>
      <c r="O310" s="209"/>
      <c r="P310" s="209"/>
      <c r="Q310" s="209"/>
      <c r="R310" s="209"/>
      <c r="S310" s="209"/>
      <c r="T310" s="209"/>
      <c r="U310" s="209"/>
      <c r="V310" s="209"/>
      <c r="W310" s="209"/>
      <c r="X310" s="209"/>
      <c r="Y310" s="209"/>
      <c r="Z310" s="209"/>
    </row>
    <row r="311">
      <c r="A311" s="249" t="s">
        <v>16</v>
      </c>
      <c r="B311" s="272" t="s">
        <v>1933</v>
      </c>
      <c r="C311" s="273" t="s">
        <v>2364</v>
      </c>
      <c r="D311" s="274" t="s">
        <v>437</v>
      </c>
      <c r="E311" s="328" t="s">
        <v>2305</v>
      </c>
      <c r="F311" s="274" t="s">
        <v>1929</v>
      </c>
      <c r="G311" s="243"/>
      <c r="H311" s="243"/>
      <c r="I311" s="243"/>
      <c r="J311" s="172">
        <f t="shared" si="14"/>
        <v>0</v>
      </c>
      <c r="K311" s="330">
        <v>1.8956228956228953</v>
      </c>
      <c r="L311" s="270">
        <f t="shared" si="4"/>
        <v>10.80477003</v>
      </c>
      <c r="M311" s="271" t="str">
        <f t="shared" si="5"/>
        <v>griffgreen</v>
      </c>
      <c r="N311" s="176">
        <f>IFERROR(__xludf.DUMMYFUNCTION("""COMPUTED_VALUE"""),51.0)</f>
        <v>51</v>
      </c>
      <c r="O311" s="176"/>
      <c r="P311" s="176"/>
      <c r="Q311" s="176"/>
      <c r="R311" s="176"/>
      <c r="S311" s="176"/>
      <c r="T311" s="176"/>
      <c r="U311" s="176"/>
      <c r="V311" s="176"/>
      <c r="W311" s="176"/>
      <c r="X311" s="176"/>
      <c r="Y311" s="176"/>
      <c r="Z311" s="176"/>
    </row>
    <row r="312">
      <c r="A312" s="253" t="s">
        <v>16</v>
      </c>
      <c r="B312" s="253" t="s">
        <v>2107</v>
      </c>
      <c r="C312" s="318" t="s">
        <v>2260</v>
      </c>
      <c r="D312" s="319" t="s">
        <v>499</v>
      </c>
      <c r="E312" s="334" t="s">
        <v>2294</v>
      </c>
      <c r="F312" s="319" t="s">
        <v>1646</v>
      </c>
      <c r="G312" s="312"/>
      <c r="H312" s="312"/>
      <c r="I312" s="312"/>
      <c r="J312" s="172">
        <f t="shared" si="14"/>
        <v>0</v>
      </c>
      <c r="K312" s="337"/>
      <c r="L312" s="270">
        <f t="shared" si="4"/>
        <v>10.80477003</v>
      </c>
      <c r="M312" s="271" t="str">
        <f t="shared" si="5"/>
        <v>griffgreen</v>
      </c>
      <c r="N312" s="209">
        <f>IFERROR(__xludf.DUMMYFUNCTION("""COMPUTED_VALUE"""),52.0)</f>
        <v>52</v>
      </c>
      <c r="O312" s="209"/>
      <c r="P312" s="209"/>
      <c r="Q312" s="209"/>
      <c r="R312" s="209"/>
      <c r="S312" s="209"/>
      <c r="T312" s="209"/>
      <c r="U312" s="209"/>
      <c r="V312" s="209"/>
      <c r="W312" s="209"/>
      <c r="X312" s="209"/>
      <c r="Y312" s="209"/>
      <c r="Z312" s="209"/>
    </row>
    <row r="313">
      <c r="A313" s="272" t="s">
        <v>16</v>
      </c>
      <c r="B313" s="272" t="s">
        <v>1702</v>
      </c>
      <c r="C313" s="273" t="s">
        <v>2034</v>
      </c>
      <c r="D313" s="274" t="s">
        <v>437</v>
      </c>
      <c r="E313" s="328" t="s">
        <v>2295</v>
      </c>
      <c r="F313" s="274" t="s">
        <v>1929</v>
      </c>
      <c r="G313" s="331"/>
      <c r="H313" s="331"/>
      <c r="I313" s="331"/>
      <c r="J313" s="172">
        <f t="shared" si="14"/>
        <v>0</v>
      </c>
      <c r="K313" s="330">
        <v>1.8956228956228953</v>
      </c>
      <c r="L313" s="270">
        <f t="shared" si="4"/>
        <v>10.80477003</v>
      </c>
      <c r="M313" s="271" t="str">
        <f t="shared" si="5"/>
        <v>griffgreen</v>
      </c>
      <c r="N313" s="145">
        <f>IFERROR(__xludf.DUMMYFUNCTION("""COMPUTED_VALUE"""),53.0)</f>
        <v>53</v>
      </c>
      <c r="O313" s="145"/>
      <c r="P313" s="145"/>
      <c r="Q313" s="145"/>
      <c r="R313" s="145"/>
      <c r="S313" s="145"/>
      <c r="T313" s="145"/>
      <c r="U313" s="145"/>
      <c r="V313" s="145"/>
      <c r="W313" s="145"/>
      <c r="X313" s="145"/>
      <c r="Y313" s="145"/>
      <c r="Z313" s="145"/>
    </row>
    <row r="314">
      <c r="A314" s="249" t="s">
        <v>19</v>
      </c>
      <c r="B314" s="249" t="s">
        <v>10</v>
      </c>
      <c r="C314" s="219" t="s">
        <v>2365</v>
      </c>
      <c r="D314" s="268" t="s">
        <v>495</v>
      </c>
      <c r="E314" s="251">
        <v>44246.0</v>
      </c>
      <c r="F314" s="250" t="s">
        <v>496</v>
      </c>
      <c r="G314" s="171">
        <v>550.0</v>
      </c>
      <c r="H314" s="171">
        <v>600.0</v>
      </c>
      <c r="I314" s="171">
        <v>400.0</v>
      </c>
      <c r="J314" s="325">
        <f t="shared" si="14"/>
        <v>0.005938761706</v>
      </c>
      <c r="K314" s="326">
        <f t="shared" ref="K314:K330" si="15">J314*$J$1</f>
        <v>8.512225112</v>
      </c>
      <c r="L314" s="327">
        <f t="shared" si="4"/>
        <v>10.72088765</v>
      </c>
      <c r="M314" s="321" t="str">
        <f t="shared" si="5"/>
        <v>mzargham</v>
      </c>
      <c r="N314" s="176">
        <f>IFERROR(__xludf.DUMMYFUNCTION("""COMPUTED_VALUE"""),1.0)</f>
        <v>1</v>
      </c>
      <c r="O314" s="176"/>
      <c r="P314" s="176"/>
      <c r="Q314" s="176"/>
      <c r="R314" s="176"/>
      <c r="S314" s="176"/>
      <c r="T314" s="176"/>
      <c r="U314" s="176"/>
      <c r="V314" s="176"/>
      <c r="W314" s="176"/>
      <c r="X314" s="176"/>
      <c r="Y314" s="176"/>
      <c r="Z314" s="176"/>
    </row>
    <row r="315">
      <c r="A315" s="249" t="s">
        <v>19</v>
      </c>
      <c r="B315" s="249" t="s">
        <v>10</v>
      </c>
      <c r="C315" s="219" t="s">
        <v>2247</v>
      </c>
      <c r="D315" s="268" t="s">
        <v>495</v>
      </c>
      <c r="E315" s="251">
        <v>44253.0</v>
      </c>
      <c r="F315" s="250" t="s">
        <v>496</v>
      </c>
      <c r="G315" s="171">
        <v>150.0</v>
      </c>
      <c r="H315" s="171">
        <v>200.0</v>
      </c>
      <c r="I315" s="171">
        <v>80.0</v>
      </c>
      <c r="J315" s="325">
        <f t="shared" si="14"/>
        <v>0.001540927353</v>
      </c>
      <c r="K315" s="326">
        <f t="shared" si="15"/>
        <v>2.20866254</v>
      </c>
      <c r="L315" s="327">
        <f t="shared" si="4"/>
        <v>10.72088765</v>
      </c>
      <c r="M315" s="321" t="str">
        <f t="shared" si="5"/>
        <v>mzargham</v>
      </c>
      <c r="N315" s="176">
        <f>IFERROR(__xludf.DUMMYFUNCTION("""COMPUTED_VALUE"""),2.0)</f>
        <v>2</v>
      </c>
      <c r="O315" s="176"/>
      <c r="P315" s="176"/>
      <c r="Q315" s="176"/>
      <c r="R315" s="176"/>
      <c r="S315" s="176"/>
      <c r="T315" s="176"/>
      <c r="U315" s="176"/>
      <c r="V315" s="176"/>
      <c r="W315" s="176"/>
      <c r="X315" s="176"/>
      <c r="Y315" s="176"/>
      <c r="Z315" s="176"/>
    </row>
    <row r="316">
      <c r="A316" s="249" t="s">
        <v>13</v>
      </c>
      <c r="B316" s="249" t="s">
        <v>1228</v>
      </c>
      <c r="C316" s="219" t="s">
        <v>2334</v>
      </c>
      <c r="D316" s="268" t="s">
        <v>495</v>
      </c>
      <c r="E316" s="251">
        <v>44245.0</v>
      </c>
      <c r="F316" s="250" t="s">
        <v>496</v>
      </c>
      <c r="G316" s="171">
        <v>100.0</v>
      </c>
      <c r="H316" s="171">
        <v>200.0</v>
      </c>
      <c r="I316" s="171">
        <v>100.0</v>
      </c>
      <c r="J316" s="325">
        <f t="shared" si="14"/>
        <v>0.001480255572</v>
      </c>
      <c r="K316" s="326">
        <f t="shared" si="15"/>
        <v>2.121699653</v>
      </c>
      <c r="L316" s="327">
        <f t="shared" si="4"/>
        <v>9.923013282</v>
      </c>
      <c r="M316" s="321" t="str">
        <f t="shared" si="5"/>
        <v>durgadasji</v>
      </c>
      <c r="N316" s="176">
        <f>IFERROR(__xludf.DUMMYFUNCTION("""COMPUTED_VALUE"""),1.0)</f>
        <v>1</v>
      </c>
      <c r="O316" s="176"/>
      <c r="P316" s="176"/>
      <c r="Q316" s="176"/>
      <c r="R316" s="176"/>
      <c r="S316" s="176"/>
      <c r="T316" s="176"/>
      <c r="U316" s="176"/>
      <c r="V316" s="176"/>
      <c r="W316" s="176"/>
      <c r="X316" s="176"/>
      <c r="Y316" s="176"/>
      <c r="Z316" s="176"/>
    </row>
    <row r="317">
      <c r="A317" s="249" t="s">
        <v>13</v>
      </c>
      <c r="B317" s="249" t="s">
        <v>10</v>
      </c>
      <c r="C317" s="219" t="s">
        <v>2366</v>
      </c>
      <c r="D317" s="268" t="s">
        <v>495</v>
      </c>
      <c r="E317" s="251">
        <v>44253.0</v>
      </c>
      <c r="F317" s="250" t="s">
        <v>496</v>
      </c>
      <c r="G317" s="171">
        <v>200.0</v>
      </c>
      <c r="H317" s="171">
        <v>200.0</v>
      </c>
      <c r="I317" s="171">
        <v>200.0</v>
      </c>
      <c r="J317" s="325">
        <f t="shared" si="14"/>
        <v>0.002437844393</v>
      </c>
      <c r="K317" s="326">
        <f t="shared" si="15"/>
        <v>3.49424363</v>
      </c>
      <c r="L317" s="327">
        <f t="shared" si="4"/>
        <v>9.923013282</v>
      </c>
      <c r="M317" s="321" t="str">
        <f t="shared" si="5"/>
        <v>durgadasji</v>
      </c>
      <c r="N317" s="176">
        <f>IFERROR(__xludf.DUMMYFUNCTION("""COMPUTED_VALUE"""),2.0)</f>
        <v>2</v>
      </c>
      <c r="O317" s="176"/>
      <c r="P317" s="176"/>
      <c r="Q317" s="176"/>
      <c r="R317" s="176"/>
      <c r="S317" s="176"/>
      <c r="T317" s="176"/>
      <c r="U317" s="176"/>
      <c r="V317" s="176"/>
      <c r="W317" s="176"/>
      <c r="X317" s="176"/>
      <c r="Y317" s="176"/>
      <c r="Z317" s="176"/>
    </row>
    <row r="318">
      <c r="A318" s="249" t="s">
        <v>13</v>
      </c>
      <c r="B318" s="249" t="s">
        <v>10</v>
      </c>
      <c r="C318" s="219" t="s">
        <v>2367</v>
      </c>
      <c r="D318" s="268" t="s">
        <v>495</v>
      </c>
      <c r="E318" s="251">
        <v>44253.0</v>
      </c>
      <c r="F318" s="250" t="s">
        <v>496</v>
      </c>
      <c r="G318" s="171">
        <v>220.0</v>
      </c>
      <c r="H318" s="171">
        <v>200.0</v>
      </c>
      <c r="I318" s="171">
        <v>200.0</v>
      </c>
      <c r="J318" s="325">
        <f t="shared" si="14"/>
        <v>0.002509898549</v>
      </c>
      <c r="K318" s="326">
        <f t="shared" si="15"/>
        <v>3.597521254</v>
      </c>
      <c r="L318" s="327">
        <f t="shared" si="4"/>
        <v>9.923013282</v>
      </c>
      <c r="M318" s="321" t="str">
        <f t="shared" si="5"/>
        <v>durgadasji</v>
      </c>
      <c r="N318" s="176">
        <f>IFERROR(__xludf.DUMMYFUNCTION("""COMPUTED_VALUE"""),3.0)</f>
        <v>3</v>
      </c>
      <c r="O318" s="176"/>
      <c r="P318" s="176"/>
      <c r="Q318" s="176"/>
      <c r="R318" s="176"/>
      <c r="S318" s="176"/>
      <c r="T318" s="176"/>
      <c r="U318" s="176"/>
      <c r="V318" s="176"/>
      <c r="W318" s="176"/>
      <c r="X318" s="176"/>
      <c r="Y318" s="176"/>
      <c r="Z318" s="176"/>
    </row>
    <row r="319">
      <c r="A319" s="249" t="s">
        <v>13</v>
      </c>
      <c r="B319" s="249" t="s">
        <v>10</v>
      </c>
      <c r="C319" s="219" t="s">
        <v>2206</v>
      </c>
      <c r="D319" s="268" t="s">
        <v>495</v>
      </c>
      <c r="E319" s="251">
        <v>44253.0</v>
      </c>
      <c r="F319" s="250" t="s">
        <v>496</v>
      </c>
      <c r="G319" s="171">
        <v>40.0</v>
      </c>
      <c r="H319" s="171">
        <v>20.0</v>
      </c>
      <c r="I319" s="171">
        <v>50.0</v>
      </c>
      <c r="J319" s="325">
        <f t="shared" si="14"/>
        <v>0.0004950340078</v>
      </c>
      <c r="K319" s="326">
        <f t="shared" si="15"/>
        <v>0.7095487446</v>
      </c>
      <c r="L319" s="327">
        <f t="shared" si="4"/>
        <v>9.923013282</v>
      </c>
      <c r="M319" s="321" t="str">
        <f t="shared" si="5"/>
        <v>durgadasji</v>
      </c>
      <c r="N319" s="176">
        <f>IFERROR(__xludf.DUMMYFUNCTION("""COMPUTED_VALUE"""),4.0)</f>
        <v>4</v>
      </c>
      <c r="O319" s="176"/>
      <c r="P319" s="176"/>
      <c r="Q319" s="176"/>
      <c r="R319" s="176"/>
      <c r="S319" s="176"/>
      <c r="T319" s="176"/>
      <c r="U319" s="176"/>
      <c r="V319" s="176"/>
      <c r="W319" s="176"/>
      <c r="X319" s="176"/>
      <c r="Y319" s="176"/>
      <c r="Z319" s="176"/>
    </row>
    <row r="320">
      <c r="A320" s="249" t="s">
        <v>112</v>
      </c>
      <c r="B320" s="249" t="s">
        <v>10</v>
      </c>
      <c r="C320" s="219" t="s">
        <v>2257</v>
      </c>
      <c r="D320" s="268" t="s">
        <v>495</v>
      </c>
      <c r="E320" s="251">
        <v>44253.0</v>
      </c>
      <c r="F320" s="250" t="s">
        <v>496</v>
      </c>
      <c r="G320" s="171">
        <v>210.0</v>
      </c>
      <c r="H320" s="171">
        <v>200.0</v>
      </c>
      <c r="I320" s="171">
        <v>150.0</v>
      </c>
      <c r="J320" s="325">
        <f t="shared" si="14"/>
        <v>0.00217521245</v>
      </c>
      <c r="K320" s="326">
        <f t="shared" si="15"/>
        <v>3.117804512</v>
      </c>
      <c r="L320" s="327">
        <f t="shared" si="4"/>
        <v>9.614060047</v>
      </c>
      <c r="M320" s="321" t="str">
        <f t="shared" si="5"/>
        <v>paxthemax</v>
      </c>
      <c r="N320" s="176">
        <f>IFERROR(__xludf.DUMMYFUNCTION("""COMPUTED_VALUE"""),1.0)</f>
        <v>1</v>
      </c>
      <c r="O320" s="176"/>
      <c r="P320" s="176"/>
      <c r="Q320" s="176"/>
      <c r="R320" s="176"/>
      <c r="S320" s="176"/>
      <c r="T320" s="176"/>
      <c r="U320" s="176"/>
      <c r="V320" s="176"/>
      <c r="W320" s="176"/>
      <c r="X320" s="176"/>
      <c r="Y320" s="176"/>
      <c r="Z320" s="176"/>
    </row>
    <row r="321">
      <c r="A321" s="249" t="s">
        <v>112</v>
      </c>
      <c r="B321" s="249" t="s">
        <v>10</v>
      </c>
      <c r="C321" s="219" t="s">
        <v>2247</v>
      </c>
      <c r="D321" s="268" t="s">
        <v>495</v>
      </c>
      <c r="E321" s="251">
        <v>44253.0</v>
      </c>
      <c r="F321" s="250" t="s">
        <v>496</v>
      </c>
      <c r="G321" s="171">
        <v>400.0</v>
      </c>
      <c r="H321" s="171">
        <v>1000.0</v>
      </c>
      <c r="I321" s="171">
        <v>80.0</v>
      </c>
      <c r="J321" s="325">
        <f t="shared" si="14"/>
        <v>0.004532271303</v>
      </c>
      <c r="K321" s="326">
        <f t="shared" si="15"/>
        <v>6.496255534</v>
      </c>
      <c r="L321" s="327">
        <f t="shared" si="4"/>
        <v>9.614060047</v>
      </c>
      <c r="M321" s="321" t="str">
        <f t="shared" si="5"/>
        <v>paxthemax</v>
      </c>
      <c r="N321" s="176">
        <f>IFERROR(__xludf.DUMMYFUNCTION("""COMPUTED_VALUE"""),2.0)</f>
        <v>2</v>
      </c>
      <c r="O321" s="176"/>
      <c r="P321" s="176"/>
      <c r="Q321" s="176"/>
      <c r="R321" s="176"/>
      <c r="S321" s="176"/>
      <c r="T321" s="176"/>
      <c r="U321" s="176"/>
      <c r="V321" s="176"/>
      <c r="W321" s="176"/>
      <c r="X321" s="176"/>
      <c r="Y321" s="176"/>
      <c r="Z321" s="176"/>
    </row>
    <row r="322">
      <c r="A322" s="272" t="s">
        <v>2368</v>
      </c>
      <c r="B322" s="272" t="s">
        <v>590</v>
      </c>
      <c r="C322" s="273" t="s">
        <v>2369</v>
      </c>
      <c r="D322" s="274" t="s">
        <v>499</v>
      </c>
      <c r="E322" s="328" t="s">
        <v>2291</v>
      </c>
      <c r="F322" s="274" t="s">
        <v>1646</v>
      </c>
      <c r="G322" s="171">
        <v>800.0</v>
      </c>
      <c r="H322" s="171">
        <v>1000.0</v>
      </c>
      <c r="I322" s="171">
        <v>200.0</v>
      </c>
      <c r="J322" s="172">
        <f t="shared" si="14"/>
        <v>0.006690136072</v>
      </c>
      <c r="K322" s="269">
        <f t="shared" si="15"/>
        <v>9.589195036</v>
      </c>
      <c r="L322" s="270">
        <f t="shared" si="4"/>
        <v>9.589195036</v>
      </c>
      <c r="M322" s="271" t="str">
        <f t="shared" si="5"/>
        <v>@moritzfelipe#9923</v>
      </c>
      <c r="N322" s="176">
        <f>IFERROR(__xludf.DUMMYFUNCTION("""COMPUTED_VALUE"""),1.0)</f>
        <v>1</v>
      </c>
      <c r="O322" s="176"/>
      <c r="P322" s="176"/>
      <c r="Q322" s="176"/>
      <c r="R322" s="176"/>
      <c r="S322" s="176"/>
      <c r="T322" s="176"/>
      <c r="U322" s="176"/>
      <c r="V322" s="176"/>
      <c r="W322" s="176"/>
      <c r="X322" s="176"/>
      <c r="Y322" s="176"/>
      <c r="Z322" s="176"/>
    </row>
    <row r="323">
      <c r="A323" s="16" t="s">
        <v>42</v>
      </c>
      <c r="B323" s="272" t="s">
        <v>590</v>
      </c>
      <c r="C323" s="273" t="s">
        <v>2370</v>
      </c>
      <c r="D323" s="274" t="s">
        <v>499</v>
      </c>
      <c r="E323" s="328" t="s">
        <v>2291</v>
      </c>
      <c r="F323" s="274" t="s">
        <v>1646</v>
      </c>
      <c r="G323" s="171">
        <v>300.0</v>
      </c>
      <c r="H323" s="171">
        <v>500.0</v>
      </c>
      <c r="I323" s="171">
        <v>150.0</v>
      </c>
      <c r="J323" s="172">
        <f t="shared" si="14"/>
        <v>0.003283456277</v>
      </c>
      <c r="K323" s="269">
        <f t="shared" si="15"/>
        <v>4.706287331</v>
      </c>
      <c r="L323" s="270">
        <f t="shared" si="4"/>
        <v>9.479180909</v>
      </c>
      <c r="M323" s="271" t="str">
        <f t="shared" si="5"/>
        <v>tannra</v>
      </c>
      <c r="N323" s="176">
        <f>IFERROR(__xludf.DUMMYFUNCTION("""COMPUTED_VALUE"""),1.0)</f>
        <v>1</v>
      </c>
      <c r="O323" s="176"/>
      <c r="P323" s="176"/>
      <c r="Q323" s="176"/>
      <c r="R323" s="176"/>
      <c r="S323" s="176"/>
      <c r="T323" s="176"/>
      <c r="U323" s="176"/>
      <c r="V323" s="176"/>
      <c r="W323" s="176"/>
      <c r="X323" s="176"/>
      <c r="Y323" s="176"/>
      <c r="Z323" s="176"/>
    </row>
    <row r="324">
      <c r="A324" s="249" t="s">
        <v>42</v>
      </c>
      <c r="B324" s="249" t="s">
        <v>29</v>
      </c>
      <c r="C324" s="219" t="s">
        <v>2371</v>
      </c>
      <c r="D324" s="268" t="s">
        <v>495</v>
      </c>
      <c r="E324" s="251">
        <v>44243.0</v>
      </c>
      <c r="F324" s="250" t="s">
        <v>592</v>
      </c>
      <c r="G324" s="171">
        <v>230.0</v>
      </c>
      <c r="H324" s="171">
        <v>500.0</v>
      </c>
      <c r="I324" s="171">
        <v>200.0</v>
      </c>
      <c r="J324" s="325">
        <f t="shared" si="14"/>
        <v>0.003329925753</v>
      </c>
      <c r="K324" s="326">
        <f t="shared" si="15"/>
        <v>4.772893579</v>
      </c>
      <c r="L324" s="327">
        <f t="shared" si="4"/>
        <v>9.479180909</v>
      </c>
      <c r="M324" s="321" t="str">
        <f t="shared" si="5"/>
        <v>tannra</v>
      </c>
      <c r="N324" s="176">
        <f>IFERROR(__xludf.DUMMYFUNCTION("""COMPUTED_VALUE"""),2.0)</f>
        <v>2</v>
      </c>
      <c r="O324" s="176"/>
      <c r="P324" s="176"/>
      <c r="Q324" s="176"/>
      <c r="R324" s="176"/>
      <c r="S324" s="176"/>
      <c r="T324" s="176"/>
      <c r="U324" s="176"/>
      <c r="V324" s="176"/>
      <c r="W324" s="176"/>
      <c r="X324" s="176"/>
      <c r="Y324" s="176"/>
      <c r="Z324" s="176"/>
    </row>
    <row r="325">
      <c r="A325" s="16" t="s">
        <v>96</v>
      </c>
      <c r="B325" s="272" t="s">
        <v>1702</v>
      </c>
      <c r="C325" s="273" t="s">
        <v>2372</v>
      </c>
      <c r="D325" s="274" t="s">
        <v>499</v>
      </c>
      <c r="E325" s="328" t="s">
        <v>2183</v>
      </c>
      <c r="F325" s="274" t="s">
        <v>1646</v>
      </c>
      <c r="G325" s="171">
        <v>400.0</v>
      </c>
      <c r="H325" s="171">
        <v>1000.0</v>
      </c>
      <c r="I325" s="171">
        <v>150.0</v>
      </c>
      <c r="J325" s="172">
        <f t="shared" si="14"/>
        <v>0.004950393933</v>
      </c>
      <c r="K325" s="269">
        <f t="shared" si="15"/>
        <v>7.095564637</v>
      </c>
      <c r="L325" s="270">
        <f t="shared" si="4"/>
        <v>9.304227176</v>
      </c>
      <c r="M325" s="271" t="str">
        <f t="shared" si="5"/>
        <v>pacobacpac</v>
      </c>
      <c r="N325" s="176">
        <f>IFERROR(__xludf.DUMMYFUNCTION("""COMPUTED_VALUE"""),1.0)</f>
        <v>1</v>
      </c>
      <c r="O325" s="176"/>
      <c r="P325" s="176"/>
      <c r="Q325" s="176"/>
      <c r="R325" s="176"/>
      <c r="S325" s="176"/>
      <c r="T325" s="176"/>
      <c r="U325" s="176"/>
      <c r="V325" s="176"/>
      <c r="W325" s="176"/>
      <c r="X325" s="176"/>
      <c r="Y325" s="176"/>
      <c r="Z325" s="176"/>
    </row>
    <row r="326">
      <c r="A326" s="249" t="s">
        <v>96</v>
      </c>
      <c r="B326" s="249" t="s">
        <v>10</v>
      </c>
      <c r="C326" s="219" t="s">
        <v>2247</v>
      </c>
      <c r="D326" s="268" t="s">
        <v>495</v>
      </c>
      <c r="E326" s="251">
        <v>44253.0</v>
      </c>
      <c r="F326" s="250" t="s">
        <v>496</v>
      </c>
      <c r="G326" s="171">
        <v>150.0</v>
      </c>
      <c r="H326" s="171">
        <v>200.0</v>
      </c>
      <c r="I326" s="171">
        <v>80.0</v>
      </c>
      <c r="J326" s="325">
        <f t="shared" si="14"/>
        <v>0.001540927353</v>
      </c>
      <c r="K326" s="326">
        <f t="shared" si="15"/>
        <v>2.20866254</v>
      </c>
      <c r="L326" s="327">
        <f t="shared" si="4"/>
        <v>9.304227176</v>
      </c>
      <c r="M326" s="321" t="str">
        <f t="shared" si="5"/>
        <v>pacobacpac</v>
      </c>
      <c r="N326" s="176">
        <f>IFERROR(__xludf.DUMMYFUNCTION("""COMPUTED_VALUE"""),2.0)</f>
        <v>2</v>
      </c>
      <c r="O326" s="176"/>
      <c r="P326" s="176"/>
      <c r="Q326" s="176"/>
      <c r="R326" s="176"/>
      <c r="S326" s="176"/>
      <c r="T326" s="176"/>
      <c r="U326" s="176"/>
      <c r="V326" s="176"/>
      <c r="W326" s="176"/>
      <c r="X326" s="176"/>
      <c r="Y326" s="176"/>
      <c r="Z326" s="176"/>
    </row>
    <row r="327">
      <c r="A327" s="16" t="s">
        <v>23</v>
      </c>
      <c r="B327" s="272" t="s">
        <v>38</v>
      </c>
      <c r="C327" s="273" t="s">
        <v>2373</v>
      </c>
      <c r="D327" s="274" t="s">
        <v>499</v>
      </c>
      <c r="E327" s="328" t="s">
        <v>2245</v>
      </c>
      <c r="F327" s="274" t="s">
        <v>1646</v>
      </c>
      <c r="G327" s="171">
        <v>230.0</v>
      </c>
      <c r="H327" s="171">
        <v>400.0</v>
      </c>
      <c r="I327" s="171">
        <v>200.0</v>
      </c>
      <c r="J327" s="172">
        <f t="shared" si="14"/>
        <v>0.003068592377</v>
      </c>
      <c r="K327" s="269">
        <f t="shared" si="15"/>
        <v>4.398315741</v>
      </c>
      <c r="L327" s="270">
        <f t="shared" si="4"/>
        <v>8.951804907</v>
      </c>
      <c r="M327" s="271" t="str">
        <f t="shared" si="5"/>
        <v>laurenluz</v>
      </c>
      <c r="N327" s="176">
        <f>IFERROR(__xludf.DUMMYFUNCTION("""COMPUTED_VALUE"""),1.0)</f>
        <v>1</v>
      </c>
      <c r="O327" s="176"/>
      <c r="P327" s="176"/>
      <c r="Q327" s="176"/>
      <c r="R327" s="176"/>
      <c r="S327" s="176"/>
      <c r="T327" s="176"/>
      <c r="U327" s="176"/>
      <c r="V327" s="176"/>
      <c r="W327" s="176"/>
      <c r="X327" s="176"/>
      <c r="Y327" s="176"/>
      <c r="Z327" s="176"/>
    </row>
    <row r="328">
      <c r="A328" s="249" t="s">
        <v>23</v>
      </c>
      <c r="B328" s="249" t="s">
        <v>519</v>
      </c>
      <c r="C328" s="219" t="s">
        <v>2329</v>
      </c>
      <c r="D328" s="268" t="s">
        <v>495</v>
      </c>
      <c r="E328" s="251">
        <v>44245.0</v>
      </c>
      <c r="F328" s="250" t="s">
        <v>521</v>
      </c>
      <c r="G328" s="171">
        <v>40.0</v>
      </c>
      <c r="H328" s="171">
        <v>50.0</v>
      </c>
      <c r="I328" s="171">
        <v>80.0</v>
      </c>
      <c r="J328" s="325">
        <f t="shared" si="14"/>
        <v>0.000752629433</v>
      </c>
      <c r="K328" s="326">
        <f t="shared" si="15"/>
        <v>1.078768854</v>
      </c>
      <c r="L328" s="327">
        <f t="shared" si="4"/>
        <v>8.951804907</v>
      </c>
      <c r="M328" s="321" t="str">
        <f t="shared" si="5"/>
        <v>laurenluz</v>
      </c>
      <c r="N328" s="176">
        <f>IFERROR(__xludf.DUMMYFUNCTION("""COMPUTED_VALUE"""),2.0)</f>
        <v>2</v>
      </c>
      <c r="O328" s="176"/>
      <c r="P328" s="176"/>
      <c r="Q328" s="176"/>
      <c r="R328" s="176"/>
      <c r="S328" s="176"/>
      <c r="T328" s="176"/>
      <c r="U328" s="176"/>
      <c r="V328" s="176"/>
      <c r="W328" s="176"/>
      <c r="X328" s="176"/>
      <c r="Y328" s="176"/>
      <c r="Z328" s="176"/>
    </row>
    <row r="329">
      <c r="A329" s="249" t="s">
        <v>23</v>
      </c>
      <c r="B329" s="249" t="s">
        <v>519</v>
      </c>
      <c r="C329" s="219" t="s">
        <v>2329</v>
      </c>
      <c r="D329" s="268" t="s">
        <v>495</v>
      </c>
      <c r="E329" s="251">
        <v>44251.0</v>
      </c>
      <c r="F329" s="250" t="s">
        <v>521</v>
      </c>
      <c r="G329" s="171">
        <v>40.0</v>
      </c>
      <c r="H329" s="171">
        <v>100.0</v>
      </c>
      <c r="I329" s="171">
        <v>80.0</v>
      </c>
      <c r="J329" s="325">
        <f t="shared" si="14"/>
        <v>0.0008832961205</v>
      </c>
      <c r="K329" s="326">
        <f t="shared" si="15"/>
        <v>1.266057773</v>
      </c>
      <c r="L329" s="327">
        <f t="shared" si="4"/>
        <v>8.951804907</v>
      </c>
      <c r="M329" s="321" t="str">
        <f t="shared" si="5"/>
        <v>laurenluz</v>
      </c>
      <c r="N329" s="176">
        <f>IFERROR(__xludf.DUMMYFUNCTION("""COMPUTED_VALUE"""),3.0)</f>
        <v>3</v>
      </c>
      <c r="O329" s="176"/>
      <c r="P329" s="176"/>
      <c r="Q329" s="176"/>
      <c r="R329" s="176"/>
      <c r="S329" s="176"/>
      <c r="T329" s="176"/>
      <c r="U329" s="176"/>
      <c r="V329" s="176"/>
      <c r="W329" s="176"/>
      <c r="X329" s="176"/>
      <c r="Y329" s="176"/>
      <c r="Z329" s="176"/>
    </row>
    <row r="330">
      <c r="A330" s="249" t="s">
        <v>23</v>
      </c>
      <c r="B330" s="249" t="s">
        <v>10</v>
      </c>
      <c r="C330" s="219" t="s">
        <v>2247</v>
      </c>
      <c r="D330" s="268" t="s">
        <v>495</v>
      </c>
      <c r="E330" s="251">
        <v>44253.0</v>
      </c>
      <c r="F330" s="250" t="s">
        <v>496</v>
      </c>
      <c r="G330" s="171">
        <v>150.0</v>
      </c>
      <c r="H330" s="171">
        <v>200.0</v>
      </c>
      <c r="I330" s="171">
        <v>80.0</v>
      </c>
      <c r="J330" s="325">
        <f t="shared" si="14"/>
        <v>0.001540927353</v>
      </c>
      <c r="K330" s="326">
        <f t="shared" si="15"/>
        <v>2.20866254</v>
      </c>
      <c r="L330" s="327">
        <f t="shared" si="4"/>
        <v>8.951804907</v>
      </c>
      <c r="M330" s="321" t="str">
        <f t="shared" si="5"/>
        <v>laurenluz</v>
      </c>
      <c r="N330" s="176">
        <f>IFERROR(__xludf.DUMMYFUNCTION("""COMPUTED_VALUE"""),4.0)</f>
        <v>4</v>
      </c>
      <c r="O330" s="176"/>
      <c r="P330" s="176"/>
      <c r="Q330" s="176"/>
      <c r="R330" s="176"/>
      <c r="S330" s="176"/>
      <c r="T330" s="176"/>
      <c r="U330" s="176"/>
      <c r="V330" s="176"/>
      <c r="W330" s="176"/>
      <c r="X330" s="176"/>
      <c r="Y330" s="176"/>
      <c r="Z330" s="176"/>
    </row>
    <row r="331">
      <c r="A331" s="240" t="s">
        <v>28</v>
      </c>
      <c r="B331" s="240" t="s">
        <v>534</v>
      </c>
      <c r="C331" s="221" t="s">
        <v>781</v>
      </c>
      <c r="D331" s="336"/>
      <c r="E331" s="340"/>
      <c r="F331" s="254"/>
      <c r="G331" s="312"/>
      <c r="H331" s="222"/>
      <c r="I331" s="222"/>
      <c r="J331" s="325">
        <f t="shared" si="14"/>
        <v>0</v>
      </c>
      <c r="K331" s="337">
        <f>57.569*-0.85</f>
        <v>-48.93365</v>
      </c>
      <c r="L331" s="327">
        <f t="shared" si="4"/>
        <v>8.640675255</v>
      </c>
      <c r="M331" s="321" t="str">
        <f t="shared" si="5"/>
        <v>tam2140</v>
      </c>
      <c r="N331" s="209">
        <f>IFERROR(__xludf.DUMMYFUNCTION("""COMPUTED_VALUE"""),1.0)</f>
        <v>1</v>
      </c>
      <c r="O331" s="209"/>
      <c r="P331" s="209"/>
      <c r="Q331" s="209"/>
      <c r="R331" s="209">
        <v>27.866735844582376</v>
      </c>
      <c r="S331" s="209"/>
      <c r="T331" s="209"/>
      <c r="U331" s="209"/>
      <c r="V331" s="209"/>
      <c r="W331" s="209"/>
      <c r="X331" s="209"/>
      <c r="Y331" s="176"/>
      <c r="Z331" s="176"/>
    </row>
    <row r="332">
      <c r="A332" s="249" t="s">
        <v>28</v>
      </c>
      <c r="B332" s="249" t="s">
        <v>519</v>
      </c>
      <c r="C332" s="219" t="s">
        <v>2186</v>
      </c>
      <c r="D332" s="268" t="s">
        <v>495</v>
      </c>
      <c r="E332" s="251">
        <v>44240.0</v>
      </c>
      <c r="F332" s="250" t="s">
        <v>496</v>
      </c>
      <c r="G332" s="171">
        <v>220.0</v>
      </c>
      <c r="H332" s="171">
        <v>300.0</v>
      </c>
      <c r="I332" s="171">
        <v>200.0</v>
      </c>
      <c r="J332" s="325">
        <f t="shared" si="14"/>
        <v>0.002771231924</v>
      </c>
      <c r="K332" s="326">
        <f t="shared" ref="K332:K369" si="16">J332*$J$1</f>
        <v>3.972099092</v>
      </c>
      <c r="L332" s="327">
        <f t="shared" si="4"/>
        <v>8.640675255</v>
      </c>
      <c r="M332" s="321" t="str">
        <f t="shared" si="5"/>
        <v>tam2140</v>
      </c>
      <c r="N332" s="176">
        <f>IFERROR(__xludf.DUMMYFUNCTION("""COMPUTED_VALUE"""),2.0)</f>
        <v>2</v>
      </c>
      <c r="O332" s="176"/>
      <c r="P332" s="176"/>
      <c r="Q332" s="176"/>
      <c r="R332" s="176"/>
      <c r="S332" s="176"/>
      <c r="T332" s="176"/>
      <c r="U332" s="176"/>
      <c r="V332" s="176"/>
      <c r="W332" s="176"/>
      <c r="X332" s="176"/>
      <c r="Y332" s="176"/>
      <c r="Z332" s="176"/>
    </row>
    <row r="333">
      <c r="A333" s="249" t="s">
        <v>28</v>
      </c>
      <c r="B333" s="249" t="s">
        <v>519</v>
      </c>
      <c r="C333" s="219" t="s">
        <v>2347</v>
      </c>
      <c r="D333" s="268" t="s">
        <v>495</v>
      </c>
      <c r="E333" s="251">
        <v>44242.0</v>
      </c>
      <c r="F333" s="250" t="s">
        <v>496</v>
      </c>
      <c r="G333" s="171">
        <v>230.0</v>
      </c>
      <c r="H333" s="171">
        <v>500.0</v>
      </c>
      <c r="I333" s="171">
        <v>200.0</v>
      </c>
      <c r="J333" s="325">
        <f t="shared" si="14"/>
        <v>0.003329925753</v>
      </c>
      <c r="K333" s="326">
        <f t="shared" si="16"/>
        <v>4.772893579</v>
      </c>
      <c r="L333" s="327">
        <f t="shared" si="4"/>
        <v>8.640675255</v>
      </c>
      <c r="M333" s="321" t="str">
        <f t="shared" si="5"/>
        <v>tam2140</v>
      </c>
      <c r="N333" s="176">
        <f>IFERROR(__xludf.DUMMYFUNCTION("""COMPUTED_VALUE"""),3.0)</f>
        <v>3</v>
      </c>
      <c r="O333" s="176"/>
      <c r="P333" s="176"/>
      <c r="Q333" s="176"/>
      <c r="R333" s="176"/>
      <c r="S333" s="176"/>
      <c r="T333" s="176"/>
      <c r="U333" s="176"/>
      <c r="V333" s="176"/>
      <c r="W333" s="176"/>
      <c r="X333" s="176"/>
      <c r="Y333" s="176"/>
      <c r="Z333" s="176"/>
    </row>
    <row r="334">
      <c r="A334" s="249" t="s">
        <v>28</v>
      </c>
      <c r="B334" s="249" t="s">
        <v>5</v>
      </c>
      <c r="C334" s="219" t="s">
        <v>2350</v>
      </c>
      <c r="D334" s="268" t="s">
        <v>495</v>
      </c>
      <c r="E334" s="251">
        <v>44244.0</v>
      </c>
      <c r="F334" s="250" t="s">
        <v>496</v>
      </c>
      <c r="G334" s="171">
        <v>200.0</v>
      </c>
      <c r="H334" s="171">
        <v>200.0</v>
      </c>
      <c r="I334" s="171">
        <v>150.0</v>
      </c>
      <c r="J334" s="325">
        <f t="shared" si="14"/>
        <v>0.002139185372</v>
      </c>
      <c r="K334" s="326">
        <f t="shared" si="16"/>
        <v>3.0661657</v>
      </c>
      <c r="L334" s="327">
        <f t="shared" si="4"/>
        <v>8.640675255</v>
      </c>
      <c r="M334" s="321" t="str">
        <f t="shared" si="5"/>
        <v>tam2140</v>
      </c>
      <c r="N334" s="176">
        <f>IFERROR(__xludf.DUMMYFUNCTION("""COMPUTED_VALUE"""),4.0)</f>
        <v>4</v>
      </c>
      <c r="O334" s="176"/>
      <c r="P334" s="176"/>
      <c r="Q334" s="176"/>
      <c r="R334" s="176"/>
      <c r="S334" s="176"/>
      <c r="T334" s="176"/>
      <c r="U334" s="176"/>
      <c r="V334" s="176"/>
      <c r="W334" s="176"/>
      <c r="X334" s="176"/>
      <c r="Y334" s="176"/>
      <c r="Z334" s="176"/>
    </row>
    <row r="335">
      <c r="A335" s="249" t="s">
        <v>28</v>
      </c>
      <c r="B335" s="249" t="s">
        <v>1228</v>
      </c>
      <c r="C335" s="219" t="s">
        <v>2334</v>
      </c>
      <c r="D335" s="268" t="s">
        <v>495</v>
      </c>
      <c r="E335" s="251">
        <v>44245.0</v>
      </c>
      <c r="F335" s="250" t="s">
        <v>496</v>
      </c>
      <c r="G335" s="171">
        <v>100.0</v>
      </c>
      <c r="H335" s="171">
        <v>100.0</v>
      </c>
      <c r="I335" s="171">
        <v>100.0</v>
      </c>
      <c r="J335" s="325">
        <f t="shared" si="14"/>
        <v>0.001218922197</v>
      </c>
      <c r="K335" s="326">
        <f t="shared" si="16"/>
        <v>1.747121815</v>
      </c>
      <c r="L335" s="327">
        <f t="shared" si="4"/>
        <v>8.640675255</v>
      </c>
      <c r="M335" s="321" t="str">
        <f t="shared" si="5"/>
        <v>tam2140</v>
      </c>
      <c r="N335" s="176">
        <f>IFERROR(__xludf.DUMMYFUNCTION("""COMPUTED_VALUE"""),5.0)</f>
        <v>5</v>
      </c>
      <c r="O335" s="176"/>
      <c r="P335" s="176"/>
      <c r="Q335" s="176"/>
      <c r="R335" s="176"/>
      <c r="S335" s="176"/>
      <c r="T335" s="176"/>
      <c r="U335" s="176"/>
      <c r="V335" s="176"/>
      <c r="W335" s="176"/>
      <c r="X335" s="176"/>
      <c r="Y335" s="176"/>
      <c r="Z335" s="176"/>
    </row>
    <row r="336">
      <c r="A336" s="249" t="s">
        <v>28</v>
      </c>
      <c r="B336" s="249" t="s">
        <v>10</v>
      </c>
      <c r="C336" s="219" t="s">
        <v>2374</v>
      </c>
      <c r="D336" s="268" t="s">
        <v>495</v>
      </c>
      <c r="E336" s="251">
        <v>44246.0</v>
      </c>
      <c r="F336" s="250" t="s">
        <v>496</v>
      </c>
      <c r="G336" s="171">
        <v>450.0</v>
      </c>
      <c r="H336" s="171">
        <v>500.0</v>
      </c>
      <c r="I336" s="171">
        <v>200.0</v>
      </c>
      <c r="J336" s="325">
        <f t="shared" si="14"/>
        <v>0.004122521468</v>
      </c>
      <c r="K336" s="326">
        <f t="shared" si="16"/>
        <v>5.908947437</v>
      </c>
      <c r="L336" s="327">
        <f t="shared" si="4"/>
        <v>8.640675255</v>
      </c>
      <c r="M336" s="321" t="str">
        <f t="shared" si="5"/>
        <v>tam2140</v>
      </c>
      <c r="N336" s="176">
        <f>IFERROR(__xludf.DUMMYFUNCTION("""COMPUTED_VALUE"""),6.0)</f>
        <v>6</v>
      </c>
      <c r="O336" s="176"/>
      <c r="P336" s="176"/>
      <c r="Q336" s="176"/>
      <c r="R336" s="176"/>
      <c r="S336" s="176"/>
      <c r="T336" s="176"/>
      <c r="U336" s="176"/>
      <c r="V336" s="176"/>
      <c r="W336" s="176"/>
      <c r="X336" s="176"/>
      <c r="Y336" s="176"/>
      <c r="Z336" s="176"/>
    </row>
    <row r="337">
      <c r="A337" s="249" t="s">
        <v>28</v>
      </c>
      <c r="B337" s="249" t="s">
        <v>10</v>
      </c>
      <c r="C337" s="219" t="s">
        <v>2197</v>
      </c>
      <c r="D337" s="268" t="s">
        <v>495</v>
      </c>
      <c r="E337" s="251">
        <v>44246.0</v>
      </c>
      <c r="F337" s="250" t="s">
        <v>496</v>
      </c>
      <c r="G337" s="171">
        <v>40.0</v>
      </c>
      <c r="H337" s="171">
        <v>20.0</v>
      </c>
      <c r="I337" s="171">
        <v>50.0</v>
      </c>
      <c r="J337" s="325">
        <f t="shared" si="14"/>
        <v>0.0004950340078</v>
      </c>
      <c r="K337" s="326">
        <f t="shared" si="16"/>
        <v>0.7095487446</v>
      </c>
      <c r="L337" s="327">
        <f t="shared" si="4"/>
        <v>8.640675255</v>
      </c>
      <c r="M337" s="321" t="str">
        <f t="shared" si="5"/>
        <v>tam2140</v>
      </c>
      <c r="N337" s="176">
        <f>IFERROR(__xludf.DUMMYFUNCTION("""COMPUTED_VALUE"""),7.0)</f>
        <v>7</v>
      </c>
      <c r="O337" s="176"/>
      <c r="P337" s="176"/>
      <c r="Q337" s="176"/>
      <c r="R337" s="176"/>
      <c r="S337" s="176"/>
      <c r="T337" s="176"/>
      <c r="U337" s="176"/>
      <c r="V337" s="176"/>
      <c r="W337" s="176"/>
      <c r="X337" s="176"/>
      <c r="Y337" s="176"/>
      <c r="Z337" s="176"/>
    </row>
    <row r="338">
      <c r="A338" s="249" t="s">
        <v>28</v>
      </c>
      <c r="B338" s="249" t="s">
        <v>10</v>
      </c>
      <c r="C338" s="219" t="s">
        <v>500</v>
      </c>
      <c r="D338" s="268" t="s">
        <v>495</v>
      </c>
      <c r="E338" s="251">
        <v>44246.0</v>
      </c>
      <c r="F338" s="250" t="s">
        <v>545</v>
      </c>
      <c r="G338" s="171">
        <v>20.0</v>
      </c>
      <c r="H338" s="171">
        <v>20.0</v>
      </c>
      <c r="I338" s="171">
        <v>20.0</v>
      </c>
      <c r="J338" s="325">
        <f t="shared" si="14"/>
        <v>0.0002437844393</v>
      </c>
      <c r="K338" s="326">
        <f t="shared" si="16"/>
        <v>0.349424363</v>
      </c>
      <c r="L338" s="327">
        <f t="shared" si="4"/>
        <v>8.640675255</v>
      </c>
      <c r="M338" s="321" t="str">
        <f t="shared" si="5"/>
        <v>tam2140</v>
      </c>
      <c r="N338" s="176">
        <f>IFERROR(__xludf.DUMMYFUNCTION("""COMPUTED_VALUE"""),8.0)</f>
        <v>8</v>
      </c>
      <c r="O338" s="176"/>
      <c r="P338" s="176"/>
      <c r="Q338" s="176"/>
      <c r="R338" s="176"/>
      <c r="S338" s="176"/>
      <c r="T338" s="176"/>
      <c r="U338" s="176"/>
      <c r="V338" s="176"/>
      <c r="W338" s="176"/>
      <c r="X338" s="176"/>
      <c r="Y338" s="176"/>
      <c r="Z338" s="176"/>
    </row>
    <row r="339">
      <c r="A339" s="249" t="s">
        <v>28</v>
      </c>
      <c r="B339" s="249" t="s">
        <v>519</v>
      </c>
      <c r="C339" s="219" t="s">
        <v>2375</v>
      </c>
      <c r="D339" s="268" t="s">
        <v>495</v>
      </c>
      <c r="E339" s="251">
        <v>44249.0</v>
      </c>
      <c r="F339" s="250" t="s">
        <v>499</v>
      </c>
      <c r="G339" s="171">
        <v>50.0</v>
      </c>
      <c r="H339" s="171">
        <v>100.0</v>
      </c>
      <c r="I339" s="171">
        <v>200.0</v>
      </c>
      <c r="J339" s="325">
        <f t="shared" si="14"/>
        <v>0.001636104849</v>
      </c>
      <c r="K339" s="326">
        <f t="shared" si="16"/>
        <v>2.345083617</v>
      </c>
      <c r="L339" s="327">
        <f t="shared" si="4"/>
        <v>8.640675255</v>
      </c>
      <c r="M339" s="321" t="str">
        <f t="shared" si="5"/>
        <v>tam2140</v>
      </c>
      <c r="N339" s="176">
        <f>IFERROR(__xludf.DUMMYFUNCTION("""COMPUTED_VALUE"""),9.0)</f>
        <v>9</v>
      </c>
      <c r="O339" s="176"/>
      <c r="P339" s="176"/>
      <c r="Q339" s="176"/>
      <c r="R339" s="176"/>
      <c r="S339" s="176"/>
      <c r="T339" s="176"/>
      <c r="U339" s="176"/>
      <c r="V339" s="176"/>
      <c r="W339" s="176"/>
      <c r="X339" s="176"/>
      <c r="Y339" s="176"/>
      <c r="Z339" s="176"/>
    </row>
    <row r="340">
      <c r="A340" s="249" t="s">
        <v>28</v>
      </c>
      <c r="B340" s="249" t="s">
        <v>845</v>
      </c>
      <c r="C340" s="219" t="s">
        <v>2256</v>
      </c>
      <c r="D340" s="268" t="s">
        <v>495</v>
      </c>
      <c r="E340" s="251">
        <v>44250.0</v>
      </c>
      <c r="F340" s="250" t="s">
        <v>499</v>
      </c>
      <c r="G340" s="171">
        <v>500.0</v>
      </c>
      <c r="H340" s="171">
        <v>300.0</v>
      </c>
      <c r="I340" s="171">
        <v>150.0</v>
      </c>
      <c r="J340" s="325">
        <f t="shared" si="14"/>
        <v>0.003481331086</v>
      </c>
      <c r="K340" s="326">
        <f t="shared" si="16"/>
        <v>4.98990789</v>
      </c>
      <c r="L340" s="327">
        <f t="shared" si="4"/>
        <v>8.640675255</v>
      </c>
      <c r="M340" s="321" t="str">
        <f t="shared" si="5"/>
        <v>tam2140</v>
      </c>
      <c r="N340" s="176">
        <f>IFERROR(__xludf.DUMMYFUNCTION("""COMPUTED_VALUE"""),10.0)</f>
        <v>10</v>
      </c>
      <c r="O340" s="176"/>
      <c r="P340" s="176"/>
      <c r="Q340" s="176"/>
      <c r="R340" s="176"/>
      <c r="S340" s="176"/>
      <c r="T340" s="176"/>
      <c r="U340" s="176"/>
      <c r="V340" s="176"/>
      <c r="W340" s="176"/>
      <c r="X340" s="176"/>
      <c r="Y340" s="176"/>
      <c r="Z340" s="176"/>
    </row>
    <row r="341">
      <c r="A341" s="249" t="s">
        <v>28</v>
      </c>
      <c r="B341" s="249" t="s">
        <v>18</v>
      </c>
      <c r="C341" s="219" t="s">
        <v>2201</v>
      </c>
      <c r="D341" s="268" t="s">
        <v>495</v>
      </c>
      <c r="E341" s="251">
        <v>44250.0</v>
      </c>
      <c r="F341" s="250" t="s">
        <v>496</v>
      </c>
      <c r="G341" s="171">
        <v>60.0</v>
      </c>
      <c r="H341" s="171">
        <v>100.0</v>
      </c>
      <c r="I341" s="171">
        <v>80.0</v>
      </c>
      <c r="J341" s="325">
        <f t="shared" si="14"/>
        <v>0.0009553502765</v>
      </c>
      <c r="K341" s="326">
        <f t="shared" si="16"/>
        <v>1.369335396</v>
      </c>
      <c r="L341" s="327">
        <f t="shared" si="4"/>
        <v>8.640675255</v>
      </c>
      <c r="M341" s="321" t="str">
        <f t="shared" si="5"/>
        <v>tam2140</v>
      </c>
      <c r="N341" s="176">
        <f>IFERROR(__xludf.DUMMYFUNCTION("""COMPUTED_VALUE"""),11.0)</f>
        <v>11</v>
      </c>
      <c r="O341" s="176"/>
      <c r="P341" s="176"/>
      <c r="Q341" s="176"/>
      <c r="R341" s="176"/>
      <c r="S341" s="176"/>
      <c r="T341" s="176"/>
      <c r="U341" s="176"/>
      <c r="V341" s="176"/>
      <c r="W341" s="176"/>
      <c r="X341" s="176"/>
      <c r="Y341" s="176"/>
      <c r="Z341" s="176"/>
    </row>
    <row r="342">
      <c r="A342" s="249" t="s">
        <v>28</v>
      </c>
      <c r="B342" s="249" t="s">
        <v>590</v>
      </c>
      <c r="C342" s="219" t="s">
        <v>2202</v>
      </c>
      <c r="D342" s="268" t="s">
        <v>495</v>
      </c>
      <c r="E342" s="251">
        <v>44250.0</v>
      </c>
      <c r="F342" s="250" t="s">
        <v>496</v>
      </c>
      <c r="G342" s="171">
        <v>40.0</v>
      </c>
      <c r="H342" s="171">
        <v>50.0</v>
      </c>
      <c r="I342" s="171">
        <v>80.0</v>
      </c>
      <c r="J342" s="325">
        <f t="shared" si="14"/>
        <v>0.000752629433</v>
      </c>
      <c r="K342" s="326">
        <f t="shared" si="16"/>
        <v>1.078768854</v>
      </c>
      <c r="L342" s="327">
        <f t="shared" si="4"/>
        <v>8.640675255</v>
      </c>
      <c r="M342" s="321" t="str">
        <f t="shared" si="5"/>
        <v>tam2140</v>
      </c>
      <c r="N342" s="176">
        <f>IFERROR(__xludf.DUMMYFUNCTION("""COMPUTED_VALUE"""),12.0)</f>
        <v>12</v>
      </c>
      <c r="O342" s="176"/>
      <c r="P342" s="176"/>
      <c r="Q342" s="176"/>
      <c r="R342" s="176"/>
      <c r="S342" s="176"/>
      <c r="T342" s="176"/>
      <c r="U342" s="176"/>
      <c r="V342" s="176"/>
      <c r="W342" s="176"/>
      <c r="X342" s="176"/>
      <c r="Y342" s="176"/>
      <c r="Z342" s="176"/>
    </row>
    <row r="343">
      <c r="A343" s="249" t="s">
        <v>28</v>
      </c>
      <c r="B343" s="249" t="s">
        <v>10</v>
      </c>
      <c r="C343" s="219" t="s">
        <v>500</v>
      </c>
      <c r="D343" s="268" t="s">
        <v>495</v>
      </c>
      <c r="E343" s="251">
        <v>44253.0</v>
      </c>
      <c r="F343" s="250" t="s">
        <v>496</v>
      </c>
      <c r="G343" s="171">
        <v>20.0</v>
      </c>
      <c r="H343" s="171">
        <v>100.0</v>
      </c>
      <c r="I343" s="171">
        <v>20.0</v>
      </c>
      <c r="J343" s="325">
        <f t="shared" si="14"/>
        <v>0.0004528511394</v>
      </c>
      <c r="K343" s="326">
        <f t="shared" si="16"/>
        <v>0.6490866332</v>
      </c>
      <c r="L343" s="327">
        <f t="shared" si="4"/>
        <v>8.640675255</v>
      </c>
      <c r="M343" s="321" t="str">
        <f t="shared" si="5"/>
        <v>tam2140</v>
      </c>
      <c r="N343" s="176">
        <f>IFERROR(__xludf.DUMMYFUNCTION("""COMPUTED_VALUE"""),13.0)</f>
        <v>13</v>
      </c>
      <c r="O343" s="176"/>
      <c r="P343" s="176"/>
      <c r="Q343" s="176"/>
      <c r="R343" s="176"/>
      <c r="S343" s="176"/>
      <c r="T343" s="176"/>
      <c r="U343" s="176"/>
      <c r="V343" s="176"/>
      <c r="W343" s="176"/>
      <c r="X343" s="176"/>
      <c r="Y343" s="176"/>
      <c r="Z343" s="176"/>
    </row>
    <row r="344">
      <c r="A344" s="249" t="s">
        <v>28</v>
      </c>
      <c r="B344" s="249" t="s">
        <v>10</v>
      </c>
      <c r="C344" s="219" t="s">
        <v>494</v>
      </c>
      <c r="D344" s="268" t="s">
        <v>495</v>
      </c>
      <c r="E344" s="251">
        <v>44253.0</v>
      </c>
      <c r="F344" s="250" t="s">
        <v>496</v>
      </c>
      <c r="G344" s="171">
        <v>100.0</v>
      </c>
      <c r="H344" s="171">
        <v>300.0</v>
      </c>
      <c r="I344" s="171">
        <v>100.0</v>
      </c>
      <c r="J344" s="325">
        <f t="shared" si="14"/>
        <v>0.001741588947</v>
      </c>
      <c r="K344" s="326">
        <f t="shared" si="16"/>
        <v>2.496277491</v>
      </c>
      <c r="L344" s="327">
        <f t="shared" si="4"/>
        <v>8.640675255</v>
      </c>
      <c r="M344" s="321" t="str">
        <f t="shared" si="5"/>
        <v>tam2140</v>
      </c>
      <c r="N344" s="176">
        <f>IFERROR(__xludf.DUMMYFUNCTION("""COMPUTED_VALUE"""),14.0)</f>
        <v>14</v>
      </c>
      <c r="O344" s="176"/>
      <c r="P344" s="176"/>
      <c r="Q344" s="176"/>
      <c r="R344" s="176"/>
      <c r="S344" s="176"/>
      <c r="T344" s="176"/>
      <c r="U344" s="176"/>
      <c r="V344" s="176"/>
      <c r="W344" s="176"/>
      <c r="X344" s="176"/>
      <c r="Y344" s="176"/>
      <c r="Z344" s="176"/>
    </row>
    <row r="345">
      <c r="A345" s="249" t="s">
        <v>28</v>
      </c>
      <c r="B345" s="249" t="s">
        <v>10</v>
      </c>
      <c r="C345" s="219" t="s">
        <v>2314</v>
      </c>
      <c r="D345" s="268" t="s">
        <v>495</v>
      </c>
      <c r="E345" s="251">
        <v>44253.0</v>
      </c>
      <c r="F345" s="250" t="s">
        <v>496</v>
      </c>
      <c r="G345" s="171">
        <v>200.0</v>
      </c>
      <c r="H345" s="171">
        <v>300.0</v>
      </c>
      <c r="I345" s="171">
        <v>150.0</v>
      </c>
      <c r="J345" s="325">
        <f t="shared" si="14"/>
        <v>0.002400518747</v>
      </c>
      <c r="K345" s="326">
        <f t="shared" si="16"/>
        <v>3.440743538</v>
      </c>
      <c r="L345" s="327">
        <f t="shared" si="4"/>
        <v>8.640675255</v>
      </c>
      <c r="M345" s="321" t="str">
        <f t="shared" si="5"/>
        <v>tam2140</v>
      </c>
      <c r="N345" s="176">
        <f>IFERROR(__xludf.DUMMYFUNCTION("""COMPUTED_VALUE"""),15.0)</f>
        <v>15</v>
      </c>
      <c r="O345" s="176"/>
      <c r="P345" s="176"/>
      <c r="Q345" s="176"/>
      <c r="R345" s="176"/>
      <c r="S345" s="176"/>
      <c r="T345" s="176"/>
      <c r="U345" s="176"/>
      <c r="V345" s="176"/>
      <c r="W345" s="176"/>
      <c r="X345" s="176"/>
      <c r="Y345" s="176"/>
      <c r="Z345" s="176"/>
    </row>
    <row r="346">
      <c r="A346" s="249" t="s">
        <v>28</v>
      </c>
      <c r="B346" s="249" t="s">
        <v>10</v>
      </c>
      <c r="C346" s="219" t="s">
        <v>2233</v>
      </c>
      <c r="D346" s="268" t="s">
        <v>495</v>
      </c>
      <c r="E346" s="251">
        <v>44253.0</v>
      </c>
      <c r="F346" s="250" t="s">
        <v>496</v>
      </c>
      <c r="G346" s="171">
        <v>120.0</v>
      </c>
      <c r="H346" s="171">
        <v>200.0</v>
      </c>
      <c r="I346" s="171">
        <v>200.0</v>
      </c>
      <c r="J346" s="325">
        <f t="shared" si="14"/>
        <v>0.00214962777</v>
      </c>
      <c r="K346" s="326">
        <f t="shared" si="16"/>
        <v>3.081133137</v>
      </c>
      <c r="L346" s="327">
        <f t="shared" si="4"/>
        <v>8.640675255</v>
      </c>
      <c r="M346" s="321" t="str">
        <f t="shared" si="5"/>
        <v>tam2140</v>
      </c>
      <c r="N346" s="176">
        <f>IFERROR(__xludf.DUMMYFUNCTION("""COMPUTED_VALUE"""),16.0)</f>
        <v>16</v>
      </c>
      <c r="O346" s="176"/>
      <c r="P346" s="176"/>
      <c r="Q346" s="176"/>
      <c r="R346" s="176"/>
      <c r="S346" s="176"/>
      <c r="T346" s="176"/>
      <c r="U346" s="176"/>
      <c r="V346" s="176"/>
      <c r="W346" s="176"/>
      <c r="X346" s="176"/>
      <c r="Y346" s="176"/>
      <c r="Z346" s="176"/>
    </row>
    <row r="347">
      <c r="A347" s="249" t="s">
        <v>28</v>
      </c>
      <c r="B347" s="249" t="s">
        <v>10</v>
      </c>
      <c r="C347" s="219" t="s">
        <v>2255</v>
      </c>
      <c r="D347" s="268" t="s">
        <v>495</v>
      </c>
      <c r="E347" s="251">
        <v>44253.0</v>
      </c>
      <c r="F347" s="250" t="s">
        <v>496</v>
      </c>
      <c r="G347" s="171">
        <v>120.0</v>
      </c>
      <c r="H347" s="171">
        <v>100.0</v>
      </c>
      <c r="I347" s="171">
        <v>80.0</v>
      </c>
      <c r="J347" s="325">
        <f t="shared" si="14"/>
        <v>0.001171512744</v>
      </c>
      <c r="K347" s="326">
        <f t="shared" si="16"/>
        <v>1.679168267</v>
      </c>
      <c r="L347" s="327">
        <f t="shared" si="4"/>
        <v>8.640675255</v>
      </c>
      <c r="M347" s="321" t="str">
        <f t="shared" si="5"/>
        <v>tam2140</v>
      </c>
      <c r="N347" s="176">
        <f>IFERROR(__xludf.DUMMYFUNCTION("""COMPUTED_VALUE"""),17.0)</f>
        <v>17</v>
      </c>
      <c r="O347" s="176"/>
      <c r="P347" s="176"/>
      <c r="Q347" s="176"/>
      <c r="R347" s="176"/>
      <c r="S347" s="176"/>
      <c r="T347" s="176"/>
      <c r="U347" s="176"/>
      <c r="V347" s="176"/>
      <c r="W347" s="176"/>
      <c r="X347" s="176"/>
      <c r="Y347" s="176"/>
      <c r="Z347" s="176"/>
    </row>
    <row r="348">
      <c r="A348" s="249" t="s">
        <v>28</v>
      </c>
      <c r="B348" s="249" t="s">
        <v>10</v>
      </c>
      <c r="C348" s="219" t="s">
        <v>2376</v>
      </c>
      <c r="D348" s="268" t="s">
        <v>495</v>
      </c>
      <c r="E348" s="251">
        <v>44253.0</v>
      </c>
      <c r="F348" s="250" t="s">
        <v>496</v>
      </c>
      <c r="G348" s="171">
        <v>240.0</v>
      </c>
      <c r="H348" s="171">
        <v>300.0</v>
      </c>
      <c r="I348" s="171">
        <v>200.0</v>
      </c>
      <c r="J348" s="325">
        <f t="shared" si="14"/>
        <v>0.00284328608</v>
      </c>
      <c r="K348" s="326">
        <f t="shared" si="16"/>
        <v>4.075376715</v>
      </c>
      <c r="L348" s="327">
        <f t="shared" si="4"/>
        <v>8.640675255</v>
      </c>
      <c r="M348" s="321" t="str">
        <f t="shared" si="5"/>
        <v>tam2140</v>
      </c>
      <c r="N348" s="176">
        <f>IFERROR(__xludf.DUMMYFUNCTION("""COMPUTED_VALUE"""),18.0)</f>
        <v>18</v>
      </c>
      <c r="O348" s="176"/>
      <c r="P348" s="176"/>
      <c r="Q348" s="176"/>
      <c r="R348" s="176"/>
      <c r="S348" s="176"/>
      <c r="T348" s="176"/>
      <c r="U348" s="176"/>
      <c r="V348" s="176"/>
      <c r="W348" s="176"/>
      <c r="X348" s="176"/>
      <c r="Y348" s="176"/>
      <c r="Z348" s="176"/>
    </row>
    <row r="349">
      <c r="A349" s="249" t="s">
        <v>28</v>
      </c>
      <c r="B349" s="249" t="s">
        <v>10</v>
      </c>
      <c r="C349" s="219" t="s">
        <v>2257</v>
      </c>
      <c r="D349" s="268" t="s">
        <v>495</v>
      </c>
      <c r="E349" s="251">
        <v>44253.0</v>
      </c>
      <c r="F349" s="250" t="s">
        <v>496</v>
      </c>
      <c r="G349" s="171">
        <v>210.0</v>
      </c>
      <c r="H349" s="171">
        <v>200.0</v>
      </c>
      <c r="I349" s="171">
        <v>150.0</v>
      </c>
      <c r="J349" s="325">
        <f t="shared" si="14"/>
        <v>0.00217521245</v>
      </c>
      <c r="K349" s="326">
        <f t="shared" si="16"/>
        <v>3.117804512</v>
      </c>
      <c r="L349" s="327">
        <f t="shared" si="4"/>
        <v>8.640675255</v>
      </c>
      <c r="M349" s="321" t="str">
        <f t="shared" si="5"/>
        <v>tam2140</v>
      </c>
      <c r="N349" s="176">
        <f>IFERROR(__xludf.DUMMYFUNCTION("""COMPUTED_VALUE"""),19.0)</f>
        <v>19</v>
      </c>
      <c r="O349" s="176"/>
      <c r="P349" s="176"/>
      <c r="Q349" s="176"/>
      <c r="R349" s="176"/>
      <c r="S349" s="176"/>
      <c r="T349" s="176"/>
      <c r="U349" s="176"/>
      <c r="V349" s="176"/>
      <c r="W349" s="176"/>
      <c r="X349" s="176"/>
      <c r="Y349" s="176"/>
      <c r="Z349" s="176"/>
    </row>
    <row r="350">
      <c r="A350" s="249" t="s">
        <v>28</v>
      </c>
      <c r="B350" s="249" t="s">
        <v>10</v>
      </c>
      <c r="C350" s="219" t="s">
        <v>2206</v>
      </c>
      <c r="D350" s="268" t="s">
        <v>495</v>
      </c>
      <c r="E350" s="251">
        <v>44253.0</v>
      </c>
      <c r="F350" s="250" t="s">
        <v>496</v>
      </c>
      <c r="G350" s="171">
        <v>40.0</v>
      </c>
      <c r="H350" s="171">
        <v>20.0</v>
      </c>
      <c r="I350" s="171">
        <v>50.0</v>
      </c>
      <c r="J350" s="325">
        <f t="shared" si="14"/>
        <v>0.0004950340078</v>
      </c>
      <c r="K350" s="326">
        <f t="shared" si="16"/>
        <v>0.7095487446</v>
      </c>
      <c r="L350" s="327">
        <f t="shared" si="4"/>
        <v>8.640675255</v>
      </c>
      <c r="M350" s="321" t="str">
        <f t="shared" si="5"/>
        <v>tam2140</v>
      </c>
      <c r="N350" s="176">
        <f>IFERROR(__xludf.DUMMYFUNCTION("""COMPUTED_VALUE"""),20.0)</f>
        <v>20</v>
      </c>
      <c r="O350" s="176"/>
      <c r="P350" s="176"/>
      <c r="Q350" s="176"/>
      <c r="R350" s="176"/>
      <c r="S350" s="176"/>
      <c r="T350" s="176"/>
      <c r="U350" s="176"/>
      <c r="V350" s="176"/>
      <c r="W350" s="176"/>
      <c r="X350" s="176"/>
      <c r="Y350" s="176"/>
      <c r="Z350" s="176"/>
    </row>
    <row r="351">
      <c r="A351" s="267" t="s">
        <v>28</v>
      </c>
      <c r="B351" s="272" t="s">
        <v>2035</v>
      </c>
      <c r="C351" s="273" t="s">
        <v>2360</v>
      </c>
      <c r="D351" s="274" t="s">
        <v>499</v>
      </c>
      <c r="E351" s="328" t="s">
        <v>2286</v>
      </c>
      <c r="F351" s="274" t="s">
        <v>1646</v>
      </c>
      <c r="G351" s="171">
        <v>40.0</v>
      </c>
      <c r="H351" s="171">
        <v>60.0</v>
      </c>
      <c r="I351" s="171">
        <v>100.0</v>
      </c>
      <c r="J351" s="172">
        <f t="shared" si="14"/>
        <v>0.0008982263789</v>
      </c>
      <c r="K351" s="269">
        <f t="shared" si="16"/>
        <v>1.28745781</v>
      </c>
      <c r="L351" s="270">
        <f t="shared" si="4"/>
        <v>8.640675255</v>
      </c>
      <c r="M351" s="271" t="str">
        <f t="shared" si="5"/>
        <v>tam2140</v>
      </c>
      <c r="N351" s="176">
        <f>IFERROR(__xludf.DUMMYFUNCTION("""COMPUTED_VALUE"""),21.0)</f>
        <v>21</v>
      </c>
      <c r="O351" s="176"/>
      <c r="P351" s="176"/>
      <c r="Q351" s="176"/>
      <c r="R351" s="176"/>
      <c r="S351" s="176"/>
      <c r="T351" s="176"/>
      <c r="U351" s="176"/>
      <c r="V351" s="176"/>
      <c r="W351" s="176"/>
      <c r="X351" s="176"/>
      <c r="Y351" s="176"/>
      <c r="Z351" s="176"/>
    </row>
    <row r="352">
      <c r="A352" s="267" t="s">
        <v>28</v>
      </c>
      <c r="B352" s="272" t="s">
        <v>2107</v>
      </c>
      <c r="C352" s="273" t="s">
        <v>2377</v>
      </c>
      <c r="D352" s="274" t="s">
        <v>499</v>
      </c>
      <c r="E352" s="328" t="s">
        <v>2378</v>
      </c>
      <c r="F352" s="274" t="s">
        <v>1646</v>
      </c>
      <c r="G352" s="171">
        <v>100.0</v>
      </c>
      <c r="H352" s="171">
        <v>100.0</v>
      </c>
      <c r="I352" s="171">
        <v>100.0</v>
      </c>
      <c r="J352" s="172">
        <f t="shared" si="14"/>
        <v>0.001218922197</v>
      </c>
      <c r="K352" s="269">
        <f t="shared" si="16"/>
        <v>1.747121815</v>
      </c>
      <c r="L352" s="270">
        <f t="shared" si="4"/>
        <v>8.640675255</v>
      </c>
      <c r="M352" s="271" t="str">
        <f t="shared" si="5"/>
        <v>tam2140</v>
      </c>
      <c r="N352" s="176">
        <f>IFERROR(__xludf.DUMMYFUNCTION("""COMPUTED_VALUE"""),22.0)</f>
        <v>22</v>
      </c>
      <c r="O352" s="176"/>
      <c r="P352" s="176"/>
      <c r="Q352" s="176"/>
      <c r="R352" s="176"/>
      <c r="S352" s="176"/>
      <c r="T352" s="176"/>
      <c r="U352" s="176"/>
      <c r="V352" s="176"/>
      <c r="W352" s="176"/>
      <c r="X352" s="176"/>
      <c r="Y352" s="176"/>
      <c r="Z352" s="176"/>
    </row>
    <row r="353">
      <c r="A353" s="267" t="s">
        <v>28</v>
      </c>
      <c r="B353" s="272" t="s">
        <v>845</v>
      </c>
      <c r="C353" s="273" t="s">
        <v>2243</v>
      </c>
      <c r="D353" s="274" t="s">
        <v>499</v>
      </c>
      <c r="E353" s="328" t="s">
        <v>2242</v>
      </c>
      <c r="F353" s="274" t="s">
        <v>1646</v>
      </c>
      <c r="G353" s="171">
        <v>60.0</v>
      </c>
      <c r="H353" s="171">
        <v>100.0</v>
      </c>
      <c r="I353" s="171">
        <v>50.0</v>
      </c>
      <c r="J353" s="172">
        <f t="shared" si="14"/>
        <v>0.0007761548639</v>
      </c>
      <c r="K353" s="269">
        <f t="shared" si="16"/>
        <v>1.112488638</v>
      </c>
      <c r="L353" s="270">
        <f t="shared" si="4"/>
        <v>8.640675255</v>
      </c>
      <c r="M353" s="271" t="str">
        <f t="shared" si="5"/>
        <v>tam2140</v>
      </c>
      <c r="N353" s="176">
        <f>IFERROR(__xludf.DUMMYFUNCTION("""COMPUTED_VALUE"""),23.0)</f>
        <v>23</v>
      </c>
      <c r="O353" s="176"/>
      <c r="P353" s="176"/>
      <c r="Q353" s="176"/>
      <c r="R353" s="176"/>
      <c r="S353" s="176"/>
      <c r="T353" s="176"/>
      <c r="U353" s="176"/>
      <c r="V353" s="176"/>
      <c r="W353" s="176"/>
      <c r="X353" s="176"/>
      <c r="Y353" s="176"/>
      <c r="Z353" s="176"/>
    </row>
    <row r="354">
      <c r="A354" s="267" t="s">
        <v>28</v>
      </c>
      <c r="B354" s="272" t="s">
        <v>12</v>
      </c>
      <c r="C354" s="273" t="s">
        <v>2379</v>
      </c>
      <c r="D354" s="274" t="s">
        <v>437</v>
      </c>
      <c r="E354" s="328" t="s">
        <v>2224</v>
      </c>
      <c r="F354" s="274" t="s">
        <v>1929</v>
      </c>
      <c r="G354" s="171">
        <v>200.0</v>
      </c>
      <c r="H354" s="171">
        <v>300.0</v>
      </c>
      <c r="I354" s="171">
        <v>200.0</v>
      </c>
      <c r="J354" s="172">
        <f t="shared" si="14"/>
        <v>0.002699177768</v>
      </c>
      <c r="K354" s="269">
        <f t="shared" si="16"/>
        <v>3.868821468</v>
      </c>
      <c r="L354" s="270">
        <f t="shared" si="4"/>
        <v>8.640675255</v>
      </c>
      <c r="M354" s="271" t="str">
        <f t="shared" si="5"/>
        <v>tam2140</v>
      </c>
      <c r="N354" s="176">
        <f>IFERROR(__xludf.DUMMYFUNCTION("""COMPUTED_VALUE"""),24.0)</f>
        <v>24</v>
      </c>
      <c r="O354" s="176"/>
      <c r="P354" s="176"/>
      <c r="Q354" s="176"/>
      <c r="R354" s="176"/>
      <c r="S354" s="176"/>
      <c r="T354" s="176"/>
      <c r="U354" s="176"/>
      <c r="V354" s="176"/>
      <c r="W354" s="176"/>
      <c r="X354" s="176"/>
      <c r="Y354" s="176"/>
      <c r="Z354" s="176"/>
    </row>
    <row r="355">
      <c r="A355" s="267" t="s">
        <v>53</v>
      </c>
      <c r="B355" s="272" t="s">
        <v>590</v>
      </c>
      <c r="C355" s="273" t="s">
        <v>2380</v>
      </c>
      <c r="D355" s="274" t="s">
        <v>499</v>
      </c>
      <c r="E355" s="328" t="s">
        <v>2245</v>
      </c>
      <c r="F355" s="274" t="s">
        <v>1646</v>
      </c>
      <c r="G355" s="171">
        <v>700.0</v>
      </c>
      <c r="H355" s="171">
        <v>1000.0</v>
      </c>
      <c r="I355" s="171">
        <v>100.0</v>
      </c>
      <c r="J355" s="172">
        <f t="shared" si="14"/>
        <v>0.00573254725</v>
      </c>
      <c r="K355" s="269">
        <f t="shared" si="16"/>
        <v>8.216651058</v>
      </c>
      <c r="L355" s="270">
        <f t="shared" si="4"/>
        <v>8.216651058</v>
      </c>
      <c r="M355" s="271" t="str">
        <f t="shared" si="5"/>
        <v>vntrp</v>
      </c>
      <c r="N355" s="176">
        <f>IFERROR(__xludf.DUMMYFUNCTION("""COMPUTED_VALUE"""),1.0)</f>
        <v>1</v>
      </c>
      <c r="O355" s="176"/>
      <c r="P355" s="176"/>
      <c r="Q355" s="176"/>
      <c r="R355" s="176"/>
      <c r="S355" s="176"/>
      <c r="T355" s="176"/>
      <c r="U355" s="176"/>
      <c r="V355" s="176"/>
      <c r="W355" s="176"/>
      <c r="X355" s="176"/>
      <c r="Y355" s="176"/>
      <c r="Z355" s="176"/>
    </row>
    <row r="356">
      <c r="A356" s="249" t="s">
        <v>9</v>
      </c>
      <c r="B356" s="249" t="s">
        <v>10</v>
      </c>
      <c r="C356" s="219" t="s">
        <v>498</v>
      </c>
      <c r="D356" s="268" t="s">
        <v>495</v>
      </c>
      <c r="E356" s="251">
        <v>44246.0</v>
      </c>
      <c r="F356" s="250" t="s">
        <v>499</v>
      </c>
      <c r="G356" s="171">
        <v>10.0</v>
      </c>
      <c r="H356" s="171">
        <v>20.0</v>
      </c>
      <c r="I356" s="171">
        <v>20.0</v>
      </c>
      <c r="J356" s="325">
        <f t="shared" si="14"/>
        <v>0.0002077573614</v>
      </c>
      <c r="K356" s="326">
        <f t="shared" si="16"/>
        <v>0.2977855513</v>
      </c>
      <c r="L356" s="327">
        <f t="shared" si="4"/>
        <v>8.173181427</v>
      </c>
      <c r="M356" s="321" t="str">
        <f t="shared" si="5"/>
        <v>akrtws</v>
      </c>
      <c r="N356" s="176">
        <f>IFERROR(__xludf.DUMMYFUNCTION("""COMPUTED_VALUE"""),1.0)</f>
        <v>1</v>
      </c>
      <c r="O356" s="176"/>
      <c r="P356" s="176"/>
      <c r="Q356" s="176"/>
      <c r="R356" s="176"/>
      <c r="S356" s="176"/>
      <c r="T356" s="176"/>
      <c r="U356" s="176"/>
      <c r="V356" s="176"/>
      <c r="W356" s="176"/>
      <c r="X356" s="176"/>
      <c r="Y356" s="176"/>
      <c r="Z356" s="176"/>
    </row>
    <row r="357">
      <c r="A357" s="249" t="s">
        <v>9</v>
      </c>
      <c r="B357" s="249" t="s">
        <v>10</v>
      </c>
      <c r="C357" s="219" t="s">
        <v>498</v>
      </c>
      <c r="D357" s="268" t="s">
        <v>495</v>
      </c>
      <c r="E357" s="251">
        <v>44246.0</v>
      </c>
      <c r="F357" s="250" t="s">
        <v>499</v>
      </c>
      <c r="G357" s="171">
        <v>10.0</v>
      </c>
      <c r="H357" s="171">
        <v>20.0</v>
      </c>
      <c r="I357" s="171">
        <v>20.0</v>
      </c>
      <c r="J357" s="325">
        <f t="shared" si="14"/>
        <v>0.0002077573614</v>
      </c>
      <c r="K357" s="326">
        <f t="shared" si="16"/>
        <v>0.2977855513</v>
      </c>
      <c r="L357" s="327">
        <f t="shared" si="4"/>
        <v>8.173181427</v>
      </c>
      <c r="M357" s="321" t="str">
        <f t="shared" si="5"/>
        <v>akrtws</v>
      </c>
      <c r="N357" s="176">
        <f>IFERROR(__xludf.DUMMYFUNCTION("""COMPUTED_VALUE"""),2.0)</f>
        <v>2</v>
      </c>
      <c r="O357" s="176"/>
      <c r="P357" s="176"/>
      <c r="Q357" s="176"/>
      <c r="R357" s="176"/>
      <c r="S357" s="176"/>
      <c r="T357" s="176"/>
      <c r="U357" s="176"/>
      <c r="V357" s="176"/>
      <c r="W357" s="176"/>
      <c r="X357" s="176"/>
      <c r="Y357" s="176"/>
      <c r="Z357" s="176"/>
    </row>
    <row r="358">
      <c r="A358" s="249" t="s">
        <v>9</v>
      </c>
      <c r="B358" s="249" t="s">
        <v>10</v>
      </c>
      <c r="C358" s="219" t="s">
        <v>500</v>
      </c>
      <c r="D358" s="268" t="s">
        <v>495</v>
      </c>
      <c r="E358" s="251">
        <v>44246.0</v>
      </c>
      <c r="F358" s="250" t="s">
        <v>545</v>
      </c>
      <c r="G358" s="171">
        <v>20.0</v>
      </c>
      <c r="H358" s="171">
        <v>20.0</v>
      </c>
      <c r="I358" s="171">
        <v>20.0</v>
      </c>
      <c r="J358" s="325">
        <f t="shared" si="14"/>
        <v>0.0002437844393</v>
      </c>
      <c r="K358" s="326">
        <f t="shared" si="16"/>
        <v>0.349424363</v>
      </c>
      <c r="L358" s="327">
        <f t="shared" si="4"/>
        <v>8.173181427</v>
      </c>
      <c r="M358" s="321" t="str">
        <f t="shared" si="5"/>
        <v>akrtws</v>
      </c>
      <c r="N358" s="176">
        <f>IFERROR(__xludf.DUMMYFUNCTION("""COMPUTED_VALUE"""),3.0)</f>
        <v>3</v>
      </c>
      <c r="O358" s="176"/>
      <c r="P358" s="176"/>
      <c r="Q358" s="176"/>
      <c r="R358" s="176"/>
      <c r="S358" s="176"/>
      <c r="T358" s="176"/>
      <c r="U358" s="176"/>
      <c r="V358" s="176"/>
      <c r="W358" s="176"/>
      <c r="X358" s="176"/>
      <c r="Y358" s="176"/>
      <c r="Z358" s="176"/>
    </row>
    <row r="359">
      <c r="A359" s="249" t="s">
        <v>9</v>
      </c>
      <c r="B359" s="249" t="s">
        <v>10</v>
      </c>
      <c r="C359" s="219" t="s">
        <v>500</v>
      </c>
      <c r="D359" s="268" t="s">
        <v>495</v>
      </c>
      <c r="E359" s="251">
        <v>44253.0</v>
      </c>
      <c r="F359" s="250" t="s">
        <v>496</v>
      </c>
      <c r="G359" s="171">
        <v>20.0</v>
      </c>
      <c r="H359" s="171">
        <v>100.0</v>
      </c>
      <c r="I359" s="171">
        <v>20.0</v>
      </c>
      <c r="J359" s="325">
        <f t="shared" si="14"/>
        <v>0.0004528511394</v>
      </c>
      <c r="K359" s="326">
        <f t="shared" si="16"/>
        <v>0.6490866332</v>
      </c>
      <c r="L359" s="327">
        <f t="shared" si="4"/>
        <v>8.173181427</v>
      </c>
      <c r="M359" s="321" t="str">
        <f t="shared" si="5"/>
        <v>akrtws</v>
      </c>
      <c r="N359" s="176">
        <f>IFERROR(__xludf.DUMMYFUNCTION("""COMPUTED_VALUE"""),4.0)</f>
        <v>4</v>
      </c>
      <c r="O359" s="176"/>
      <c r="P359" s="176"/>
      <c r="Q359" s="176"/>
      <c r="R359" s="176"/>
      <c r="S359" s="176"/>
      <c r="T359" s="176"/>
      <c r="U359" s="176"/>
      <c r="V359" s="176"/>
      <c r="W359" s="176"/>
      <c r="X359" s="176"/>
      <c r="Y359" s="176"/>
      <c r="Z359" s="176"/>
    </row>
    <row r="360">
      <c r="A360" s="249" t="s">
        <v>9</v>
      </c>
      <c r="B360" s="249" t="s">
        <v>10</v>
      </c>
      <c r="C360" s="219" t="s">
        <v>2381</v>
      </c>
      <c r="D360" s="268" t="s">
        <v>495</v>
      </c>
      <c r="E360" s="251">
        <v>44253.0</v>
      </c>
      <c r="F360" s="250" t="s">
        <v>496</v>
      </c>
      <c r="G360" s="171">
        <v>300.0</v>
      </c>
      <c r="H360" s="171">
        <v>200.0</v>
      </c>
      <c r="I360" s="171">
        <v>500.0</v>
      </c>
      <c r="J360" s="325">
        <f t="shared" si="14"/>
        <v>0.004590069299</v>
      </c>
      <c r="K360" s="326">
        <f t="shared" si="16"/>
        <v>6.579099328</v>
      </c>
      <c r="L360" s="327">
        <f t="shared" si="4"/>
        <v>8.173181427</v>
      </c>
      <c r="M360" s="321" t="str">
        <f t="shared" si="5"/>
        <v>akrtws</v>
      </c>
      <c r="N360" s="176">
        <f>IFERROR(__xludf.DUMMYFUNCTION("""COMPUTED_VALUE"""),5.0)</f>
        <v>5</v>
      </c>
      <c r="O360" s="176"/>
      <c r="P360" s="176"/>
      <c r="Q360" s="176"/>
      <c r="R360" s="176"/>
      <c r="S360" s="176"/>
      <c r="T360" s="176"/>
      <c r="U360" s="176"/>
      <c r="V360" s="176"/>
      <c r="W360" s="176"/>
      <c r="X360" s="176"/>
      <c r="Y360" s="176"/>
      <c r="Z360" s="176"/>
    </row>
    <row r="361">
      <c r="A361" s="16" t="s">
        <v>86</v>
      </c>
      <c r="B361" s="272" t="s">
        <v>1702</v>
      </c>
      <c r="C361" s="273" t="s">
        <v>2382</v>
      </c>
      <c r="D361" s="274" t="s">
        <v>499</v>
      </c>
      <c r="E361" s="328" t="s">
        <v>2183</v>
      </c>
      <c r="F361" s="274" t="s">
        <v>1646</v>
      </c>
      <c r="G361" s="171">
        <v>400.0</v>
      </c>
      <c r="H361" s="171">
        <v>500.0</v>
      </c>
      <c r="I361" s="171">
        <v>300.0</v>
      </c>
      <c r="J361" s="172">
        <f t="shared" si="14"/>
        <v>0.00453970412</v>
      </c>
      <c r="K361" s="269">
        <f t="shared" si="16"/>
        <v>6.506909238</v>
      </c>
      <c r="L361" s="270">
        <f t="shared" si="4"/>
        <v>7.826482542</v>
      </c>
      <c r="M361" s="271" t="str">
        <f t="shared" si="5"/>
        <v>misterboyfriend</v>
      </c>
      <c r="N361" s="176">
        <f>IFERROR(__xludf.DUMMYFUNCTION("""COMPUTED_VALUE"""),1.0)</f>
        <v>1</v>
      </c>
      <c r="O361" s="176"/>
      <c r="P361" s="176"/>
      <c r="Q361" s="176"/>
      <c r="R361" s="176"/>
      <c r="S361" s="176"/>
      <c r="T361" s="176"/>
      <c r="U361" s="176"/>
      <c r="V361" s="176"/>
      <c r="W361" s="176"/>
      <c r="X361" s="176"/>
      <c r="Y361" s="176"/>
      <c r="Z361" s="176"/>
    </row>
    <row r="362">
      <c r="A362" s="249" t="s">
        <v>86</v>
      </c>
      <c r="B362" s="249" t="s">
        <v>10</v>
      </c>
      <c r="C362" s="219" t="s">
        <v>498</v>
      </c>
      <c r="D362" s="268" t="s">
        <v>495</v>
      </c>
      <c r="E362" s="251">
        <v>44246.0</v>
      </c>
      <c r="F362" s="250" t="s">
        <v>499</v>
      </c>
      <c r="G362" s="171">
        <v>10.0</v>
      </c>
      <c r="H362" s="171">
        <v>20.0</v>
      </c>
      <c r="I362" s="171">
        <v>20.0</v>
      </c>
      <c r="J362" s="325">
        <f t="shared" si="14"/>
        <v>0.0002077573614</v>
      </c>
      <c r="K362" s="326">
        <f t="shared" si="16"/>
        <v>0.2977855513</v>
      </c>
      <c r="L362" s="327">
        <f t="shared" si="4"/>
        <v>7.826482542</v>
      </c>
      <c r="M362" s="321" t="str">
        <f t="shared" si="5"/>
        <v>misterboyfriend</v>
      </c>
      <c r="N362" s="176">
        <f>IFERROR(__xludf.DUMMYFUNCTION("""COMPUTED_VALUE"""),2.0)</f>
        <v>2</v>
      </c>
      <c r="O362" s="176"/>
      <c r="P362" s="176"/>
      <c r="Q362" s="176"/>
      <c r="R362" s="176"/>
      <c r="S362" s="176"/>
      <c r="T362" s="176"/>
      <c r="U362" s="176"/>
      <c r="V362" s="176"/>
      <c r="W362" s="176"/>
      <c r="X362" s="176"/>
      <c r="Y362" s="176"/>
      <c r="Z362" s="176"/>
    </row>
    <row r="363">
      <c r="A363" s="249" t="s">
        <v>86</v>
      </c>
      <c r="B363" s="249" t="s">
        <v>10</v>
      </c>
      <c r="C363" s="219" t="s">
        <v>500</v>
      </c>
      <c r="D363" s="268" t="s">
        <v>495</v>
      </c>
      <c r="E363" s="251">
        <v>44253.0</v>
      </c>
      <c r="F363" s="250" t="s">
        <v>496</v>
      </c>
      <c r="G363" s="171">
        <v>20.0</v>
      </c>
      <c r="H363" s="171">
        <v>100.0</v>
      </c>
      <c r="I363" s="171">
        <v>20.0</v>
      </c>
      <c r="J363" s="325">
        <f t="shared" si="14"/>
        <v>0.0004528511394</v>
      </c>
      <c r="K363" s="326">
        <f t="shared" si="16"/>
        <v>0.6490866332</v>
      </c>
      <c r="L363" s="327">
        <f t="shared" si="4"/>
        <v>7.826482542</v>
      </c>
      <c r="M363" s="321" t="str">
        <f t="shared" si="5"/>
        <v>misterboyfriend</v>
      </c>
      <c r="N363" s="176">
        <f>IFERROR(__xludf.DUMMYFUNCTION("""COMPUTED_VALUE"""),3.0)</f>
        <v>3</v>
      </c>
      <c r="O363" s="176"/>
      <c r="P363" s="176"/>
      <c r="Q363" s="176"/>
      <c r="R363" s="176"/>
      <c r="S363" s="176"/>
      <c r="T363" s="176"/>
      <c r="U363" s="176"/>
      <c r="V363" s="176"/>
      <c r="W363" s="176"/>
      <c r="X363" s="176"/>
      <c r="Y363" s="176"/>
      <c r="Z363" s="176"/>
    </row>
    <row r="364">
      <c r="A364" s="249" t="s">
        <v>86</v>
      </c>
      <c r="B364" s="249" t="s">
        <v>10</v>
      </c>
      <c r="C364" s="219" t="s">
        <v>2181</v>
      </c>
      <c r="D364" s="268" t="s">
        <v>495</v>
      </c>
      <c r="E364" s="251">
        <v>44253.0</v>
      </c>
      <c r="F364" s="250" t="s">
        <v>499</v>
      </c>
      <c r="G364" s="171">
        <v>10.0</v>
      </c>
      <c r="H364" s="171">
        <v>40.0</v>
      </c>
      <c r="I364" s="171">
        <v>20.0</v>
      </c>
      <c r="J364" s="325">
        <f t="shared" si="14"/>
        <v>0.0002600240364</v>
      </c>
      <c r="K364" s="326">
        <f t="shared" si="16"/>
        <v>0.3727011189</v>
      </c>
      <c r="L364" s="327">
        <f t="shared" si="4"/>
        <v>7.826482542</v>
      </c>
      <c r="M364" s="321" t="str">
        <f t="shared" si="5"/>
        <v>misterboyfriend</v>
      </c>
      <c r="N364" s="176">
        <f>IFERROR(__xludf.DUMMYFUNCTION("""COMPUTED_VALUE"""),4.0)</f>
        <v>4</v>
      </c>
      <c r="O364" s="176"/>
      <c r="P364" s="176"/>
      <c r="Q364" s="176"/>
      <c r="R364" s="176"/>
      <c r="S364" s="176"/>
      <c r="T364" s="176"/>
      <c r="U364" s="176"/>
      <c r="V364" s="176"/>
      <c r="W364" s="176"/>
      <c r="X364" s="176"/>
      <c r="Y364" s="176"/>
      <c r="Z364" s="176"/>
    </row>
    <row r="365">
      <c r="A365" s="249" t="s">
        <v>142</v>
      </c>
      <c r="B365" s="249" t="s">
        <v>43</v>
      </c>
      <c r="C365" s="219" t="s">
        <v>2383</v>
      </c>
      <c r="D365" s="268" t="s">
        <v>495</v>
      </c>
      <c r="E365" s="251">
        <v>44243.0</v>
      </c>
      <c r="F365" s="250" t="s">
        <v>499</v>
      </c>
      <c r="G365" s="171">
        <v>160.0</v>
      </c>
      <c r="H365" s="171">
        <v>300.0</v>
      </c>
      <c r="I365" s="171">
        <v>150.0</v>
      </c>
      <c r="J365" s="325">
        <f t="shared" si="14"/>
        <v>0.002256410436</v>
      </c>
      <c r="K365" s="326">
        <f t="shared" si="16"/>
        <v>3.234188291</v>
      </c>
      <c r="L365" s="327">
        <f t="shared" si="4"/>
        <v>7.737642936</v>
      </c>
      <c r="M365" s="321" t="str">
        <f t="shared" si="5"/>
        <v>josiprajevic</v>
      </c>
      <c r="N365" s="176">
        <f>IFERROR(__xludf.DUMMYFUNCTION("""COMPUTED_VALUE"""),1.0)</f>
        <v>1</v>
      </c>
      <c r="O365" s="176"/>
      <c r="P365" s="176"/>
      <c r="Q365" s="176"/>
      <c r="R365" s="176"/>
      <c r="S365" s="176"/>
      <c r="T365" s="176"/>
      <c r="U365" s="176"/>
      <c r="V365" s="176"/>
      <c r="W365" s="176"/>
      <c r="X365" s="176"/>
      <c r="Y365" s="176"/>
      <c r="Z365" s="176"/>
    </row>
    <row r="366">
      <c r="A366" s="249" t="s">
        <v>142</v>
      </c>
      <c r="B366" s="249" t="s">
        <v>43</v>
      </c>
      <c r="C366" s="219" t="s">
        <v>2384</v>
      </c>
      <c r="D366" s="268" t="s">
        <v>495</v>
      </c>
      <c r="E366" s="251">
        <v>44250.0</v>
      </c>
      <c r="F366" s="250" t="s">
        <v>499</v>
      </c>
      <c r="G366" s="171">
        <v>120.0</v>
      </c>
      <c r="H366" s="171">
        <v>200.0</v>
      </c>
      <c r="I366" s="171">
        <v>150.0</v>
      </c>
      <c r="J366" s="325">
        <f t="shared" si="14"/>
        <v>0.001850968749</v>
      </c>
      <c r="K366" s="326">
        <f t="shared" si="16"/>
        <v>2.653055206</v>
      </c>
      <c r="L366" s="327">
        <f t="shared" si="4"/>
        <v>7.737642936</v>
      </c>
      <c r="M366" s="321" t="str">
        <f t="shared" si="5"/>
        <v>josiprajevic</v>
      </c>
      <c r="N366" s="176">
        <f>IFERROR(__xludf.DUMMYFUNCTION("""COMPUTED_VALUE"""),2.0)</f>
        <v>2</v>
      </c>
      <c r="O366" s="176"/>
      <c r="P366" s="176"/>
      <c r="Q366" s="176"/>
      <c r="R366" s="176"/>
      <c r="S366" s="176"/>
      <c r="T366" s="176"/>
      <c r="U366" s="176"/>
      <c r="V366" s="176"/>
      <c r="W366" s="176"/>
      <c r="X366" s="176"/>
      <c r="Y366" s="176"/>
      <c r="Z366" s="176"/>
    </row>
    <row r="367">
      <c r="A367" s="249" t="s">
        <v>142</v>
      </c>
      <c r="B367" s="249" t="s">
        <v>43</v>
      </c>
      <c r="C367" s="219" t="s">
        <v>2385</v>
      </c>
      <c r="D367" s="268" t="s">
        <v>495</v>
      </c>
      <c r="E367" s="251">
        <v>44251.0</v>
      </c>
      <c r="F367" s="250" t="s">
        <v>499</v>
      </c>
      <c r="G367" s="171">
        <v>120.0</v>
      </c>
      <c r="H367" s="171">
        <v>100.0</v>
      </c>
      <c r="I367" s="171">
        <v>100.0</v>
      </c>
      <c r="J367" s="325">
        <f t="shared" si="14"/>
        <v>0.001290976353</v>
      </c>
      <c r="K367" s="326">
        <f t="shared" si="16"/>
        <v>1.850399439</v>
      </c>
      <c r="L367" s="327">
        <f t="shared" si="4"/>
        <v>7.737642936</v>
      </c>
      <c r="M367" s="321" t="str">
        <f t="shared" si="5"/>
        <v>josiprajevic</v>
      </c>
      <c r="N367" s="176">
        <f>IFERROR(__xludf.DUMMYFUNCTION("""COMPUTED_VALUE"""),3.0)</f>
        <v>3</v>
      </c>
      <c r="O367" s="176"/>
      <c r="P367" s="176"/>
      <c r="Q367" s="176"/>
      <c r="R367" s="176"/>
      <c r="S367" s="176"/>
      <c r="T367" s="176"/>
      <c r="U367" s="176"/>
      <c r="V367" s="176"/>
      <c r="W367" s="176"/>
      <c r="X367" s="176"/>
      <c r="Y367" s="176"/>
      <c r="Z367" s="176"/>
    </row>
    <row r="368">
      <c r="A368" s="249" t="s">
        <v>26</v>
      </c>
      <c r="B368" s="249" t="s">
        <v>10</v>
      </c>
      <c r="C368" s="219" t="s">
        <v>2345</v>
      </c>
      <c r="D368" s="268" t="s">
        <v>495</v>
      </c>
      <c r="E368" s="251">
        <v>44253.0</v>
      </c>
      <c r="F368" s="250" t="s">
        <v>496</v>
      </c>
      <c r="G368" s="171">
        <v>600.0</v>
      </c>
      <c r="H368" s="171">
        <v>300.0</v>
      </c>
      <c r="I368" s="171">
        <v>150.0</v>
      </c>
      <c r="J368" s="325">
        <f t="shared" si="14"/>
        <v>0.003841601866</v>
      </c>
      <c r="K368" s="326">
        <f t="shared" si="16"/>
        <v>5.506296007</v>
      </c>
      <c r="L368" s="327">
        <f t="shared" si="4"/>
        <v>7.714958547</v>
      </c>
      <c r="M368" s="321" t="str">
        <f t="shared" si="5"/>
        <v>sgonzt</v>
      </c>
      <c r="N368" s="176">
        <f>IFERROR(__xludf.DUMMYFUNCTION("""COMPUTED_VALUE"""),1.0)</f>
        <v>1</v>
      </c>
      <c r="O368" s="176"/>
      <c r="P368" s="176"/>
      <c r="Q368" s="176"/>
      <c r="R368" s="176"/>
      <c r="S368" s="176"/>
      <c r="T368" s="176"/>
      <c r="U368" s="176"/>
      <c r="V368" s="176"/>
      <c r="W368" s="176"/>
      <c r="X368" s="176"/>
      <c r="Y368" s="176"/>
      <c r="Z368" s="176"/>
    </row>
    <row r="369">
      <c r="A369" s="249" t="s">
        <v>26</v>
      </c>
      <c r="B369" s="249" t="s">
        <v>10</v>
      </c>
      <c r="C369" s="219" t="s">
        <v>2247</v>
      </c>
      <c r="D369" s="268" t="s">
        <v>495</v>
      </c>
      <c r="E369" s="251">
        <v>44253.0</v>
      </c>
      <c r="F369" s="250" t="s">
        <v>496</v>
      </c>
      <c r="G369" s="171">
        <v>150.0</v>
      </c>
      <c r="H369" s="171">
        <v>200.0</v>
      </c>
      <c r="I369" s="171">
        <v>80.0</v>
      </c>
      <c r="J369" s="325">
        <f t="shared" si="14"/>
        <v>0.001540927353</v>
      </c>
      <c r="K369" s="326">
        <f t="shared" si="16"/>
        <v>2.20866254</v>
      </c>
      <c r="L369" s="327">
        <f t="shared" si="4"/>
        <v>7.714958547</v>
      </c>
      <c r="M369" s="321" t="str">
        <f t="shared" si="5"/>
        <v>sgonzt</v>
      </c>
      <c r="N369" s="176">
        <f>IFERROR(__xludf.DUMMYFUNCTION("""COMPUTED_VALUE"""),2.0)</f>
        <v>2</v>
      </c>
      <c r="O369" s="176"/>
      <c r="P369" s="176"/>
      <c r="Q369" s="176"/>
      <c r="R369" s="176"/>
      <c r="S369" s="176"/>
      <c r="T369" s="176"/>
      <c r="U369" s="176"/>
      <c r="V369" s="176"/>
      <c r="W369" s="176"/>
      <c r="X369" s="176"/>
      <c r="Y369" s="176"/>
      <c r="Z369" s="176"/>
    </row>
    <row r="370">
      <c r="A370" s="343" t="s">
        <v>6</v>
      </c>
      <c r="B370" s="240" t="s">
        <v>534</v>
      </c>
      <c r="C370" s="346" t="s">
        <v>2386</v>
      </c>
      <c r="D370" s="336"/>
      <c r="E370" s="255"/>
      <c r="F370" s="254"/>
      <c r="G370" s="222"/>
      <c r="H370" s="222"/>
      <c r="I370" s="222"/>
      <c r="J370" s="325">
        <f t="shared" si="14"/>
        <v>0</v>
      </c>
      <c r="K370" s="337">
        <f>49.791*-0.85</f>
        <v>-42.32235</v>
      </c>
      <c r="L370" s="327">
        <f t="shared" si="4"/>
        <v>7.479808895</v>
      </c>
      <c r="M370" s="321" t="str">
        <f t="shared" si="5"/>
        <v>sembrestels</v>
      </c>
      <c r="N370" s="153">
        <f>IFERROR(__xludf.DUMMYFUNCTION("""COMPUTED_VALUE"""),1.0)</f>
        <v>1</v>
      </c>
      <c r="O370" s="209"/>
      <c r="P370" s="209"/>
      <c r="Q370" s="209"/>
      <c r="R370" s="209">
        <v>57.049855624848725</v>
      </c>
      <c r="S370" s="209"/>
      <c r="T370" s="209"/>
      <c r="U370" s="209"/>
      <c r="V370" s="209"/>
      <c r="W370" s="209"/>
      <c r="X370" s="209"/>
      <c r="Y370" s="176"/>
      <c r="Z370" s="176"/>
    </row>
    <row r="371">
      <c r="A371" s="249" t="s">
        <v>6</v>
      </c>
      <c r="B371" s="249" t="s">
        <v>6</v>
      </c>
      <c r="C371" s="219" t="s">
        <v>2387</v>
      </c>
      <c r="D371" s="268" t="s">
        <v>495</v>
      </c>
      <c r="E371" s="251">
        <v>44240.0</v>
      </c>
      <c r="F371" s="250" t="s">
        <v>627</v>
      </c>
      <c r="G371" s="171">
        <v>210.0</v>
      </c>
      <c r="H371" s="171">
        <v>300.0</v>
      </c>
      <c r="I371" s="171">
        <v>200.0</v>
      </c>
      <c r="J371" s="325">
        <f t="shared" si="14"/>
        <v>0.002735204846</v>
      </c>
      <c r="K371" s="326">
        <f t="shared" ref="K371:K393" si="17">J371*$J$1</f>
        <v>3.92046028</v>
      </c>
      <c r="L371" s="327">
        <f t="shared" si="4"/>
        <v>7.479808895</v>
      </c>
      <c r="M371" s="321" t="str">
        <f t="shared" si="5"/>
        <v>sembrestels</v>
      </c>
      <c r="N371" s="176">
        <f>IFERROR(__xludf.DUMMYFUNCTION("""COMPUTED_VALUE"""),2.0)</f>
        <v>2</v>
      </c>
      <c r="O371" s="176"/>
      <c r="P371" s="176"/>
      <c r="Q371" s="176"/>
      <c r="R371" s="176"/>
      <c r="S371" s="176"/>
      <c r="T371" s="176"/>
      <c r="U371" s="176"/>
      <c r="V371" s="176"/>
      <c r="W371" s="176"/>
      <c r="X371" s="176"/>
      <c r="Y371" s="176"/>
      <c r="Z371" s="176"/>
    </row>
    <row r="372">
      <c r="A372" s="249" t="s">
        <v>6</v>
      </c>
      <c r="B372" s="249" t="s">
        <v>867</v>
      </c>
      <c r="C372" s="219" t="s">
        <v>2388</v>
      </c>
      <c r="D372" s="268" t="s">
        <v>495</v>
      </c>
      <c r="E372" s="251">
        <v>44240.0</v>
      </c>
      <c r="F372" s="250" t="s">
        <v>496</v>
      </c>
      <c r="G372" s="171">
        <v>90.0</v>
      </c>
      <c r="H372" s="171">
        <v>100.0</v>
      </c>
      <c r="I372" s="171">
        <v>150.0</v>
      </c>
      <c r="J372" s="325">
        <f t="shared" si="14"/>
        <v>0.00148155414</v>
      </c>
      <c r="K372" s="326">
        <f t="shared" si="17"/>
        <v>2.123560934</v>
      </c>
      <c r="L372" s="327">
        <f t="shared" si="4"/>
        <v>7.479808895</v>
      </c>
      <c r="M372" s="321" t="str">
        <f t="shared" si="5"/>
        <v>sembrestels</v>
      </c>
      <c r="N372" s="176">
        <f>IFERROR(__xludf.DUMMYFUNCTION("""COMPUTED_VALUE"""),3.0)</f>
        <v>3</v>
      </c>
      <c r="O372" s="176"/>
      <c r="P372" s="176"/>
      <c r="Q372" s="176"/>
      <c r="R372" s="176"/>
      <c r="S372" s="176"/>
      <c r="T372" s="176"/>
      <c r="U372" s="176"/>
      <c r="V372" s="176"/>
      <c r="W372" s="176"/>
      <c r="X372" s="176"/>
      <c r="Y372" s="176"/>
      <c r="Z372" s="176"/>
    </row>
    <row r="373">
      <c r="A373" s="249" t="s">
        <v>6</v>
      </c>
      <c r="B373" s="249" t="s">
        <v>63</v>
      </c>
      <c r="C373" s="219" t="s">
        <v>2346</v>
      </c>
      <c r="D373" s="268" t="s">
        <v>495</v>
      </c>
      <c r="E373" s="251">
        <v>44241.0</v>
      </c>
      <c r="F373" s="250" t="s">
        <v>627</v>
      </c>
      <c r="G373" s="171">
        <v>200.0</v>
      </c>
      <c r="H373" s="171">
        <v>300.0</v>
      </c>
      <c r="I373" s="171">
        <v>150.0</v>
      </c>
      <c r="J373" s="325">
        <f t="shared" si="14"/>
        <v>0.002400518747</v>
      </c>
      <c r="K373" s="326">
        <f t="shared" si="17"/>
        <v>3.440743538</v>
      </c>
      <c r="L373" s="327">
        <f t="shared" si="4"/>
        <v>7.479808895</v>
      </c>
      <c r="M373" s="321" t="str">
        <f t="shared" si="5"/>
        <v>sembrestels</v>
      </c>
      <c r="N373" s="176">
        <f>IFERROR(__xludf.DUMMYFUNCTION("""COMPUTED_VALUE"""),4.0)</f>
        <v>4</v>
      </c>
      <c r="O373" s="176"/>
      <c r="P373" s="176"/>
      <c r="Q373" s="176"/>
      <c r="R373" s="176"/>
      <c r="S373" s="176"/>
      <c r="T373" s="176"/>
      <c r="U373" s="176"/>
      <c r="V373" s="176"/>
      <c r="W373" s="176"/>
      <c r="X373" s="176"/>
      <c r="Y373" s="176"/>
      <c r="Z373" s="176"/>
    </row>
    <row r="374">
      <c r="A374" s="249" t="s">
        <v>6</v>
      </c>
      <c r="B374" s="249" t="s">
        <v>1228</v>
      </c>
      <c r="C374" s="219" t="s">
        <v>2348</v>
      </c>
      <c r="D374" s="268" t="s">
        <v>495</v>
      </c>
      <c r="E374" s="251">
        <v>44243.0</v>
      </c>
      <c r="F374" s="250" t="s">
        <v>496</v>
      </c>
      <c r="G374" s="171">
        <v>50.0</v>
      </c>
      <c r="H374" s="171">
        <v>100.0</v>
      </c>
      <c r="I374" s="171">
        <v>100.0</v>
      </c>
      <c r="J374" s="325">
        <f t="shared" si="14"/>
        <v>0.001038786807</v>
      </c>
      <c r="K374" s="326">
        <f t="shared" si="17"/>
        <v>1.488927757</v>
      </c>
      <c r="L374" s="327">
        <f t="shared" si="4"/>
        <v>7.479808895</v>
      </c>
      <c r="M374" s="321" t="str">
        <f t="shared" si="5"/>
        <v>sembrestels</v>
      </c>
      <c r="N374" s="176">
        <f>IFERROR(__xludf.DUMMYFUNCTION("""COMPUTED_VALUE"""),5.0)</f>
        <v>5</v>
      </c>
      <c r="O374" s="176"/>
      <c r="P374" s="176"/>
      <c r="Q374" s="176"/>
      <c r="R374" s="176"/>
      <c r="S374" s="176"/>
      <c r="T374" s="176"/>
      <c r="U374" s="176"/>
      <c r="V374" s="176"/>
      <c r="W374" s="176"/>
      <c r="X374" s="176"/>
      <c r="Y374" s="176"/>
      <c r="Z374" s="176"/>
    </row>
    <row r="375">
      <c r="A375" s="249" t="s">
        <v>6</v>
      </c>
      <c r="B375" s="249" t="s">
        <v>10</v>
      </c>
      <c r="C375" s="219" t="s">
        <v>2352</v>
      </c>
      <c r="D375" s="268" t="s">
        <v>495</v>
      </c>
      <c r="E375" s="251">
        <v>44246.0</v>
      </c>
      <c r="F375" s="250" t="s">
        <v>496</v>
      </c>
      <c r="G375" s="171">
        <v>250.0</v>
      </c>
      <c r="H375" s="171">
        <v>1000.0</v>
      </c>
      <c r="I375" s="171">
        <v>250.0</v>
      </c>
      <c r="J375" s="325">
        <f t="shared" si="14"/>
        <v>0.005007305805</v>
      </c>
      <c r="K375" s="326">
        <f t="shared" si="17"/>
        <v>7.177138321</v>
      </c>
      <c r="L375" s="327">
        <f t="shared" si="4"/>
        <v>7.479808895</v>
      </c>
      <c r="M375" s="321" t="str">
        <f t="shared" si="5"/>
        <v>sembrestels</v>
      </c>
      <c r="N375" s="176">
        <f>IFERROR(__xludf.DUMMYFUNCTION("""COMPUTED_VALUE"""),6.0)</f>
        <v>6</v>
      </c>
      <c r="O375" s="176"/>
      <c r="P375" s="176"/>
      <c r="Q375" s="176"/>
      <c r="R375" s="176"/>
      <c r="S375" s="176"/>
      <c r="T375" s="176"/>
      <c r="U375" s="176"/>
      <c r="V375" s="176"/>
      <c r="W375" s="176"/>
      <c r="X375" s="176"/>
      <c r="Y375" s="176"/>
      <c r="Z375" s="176"/>
    </row>
    <row r="376">
      <c r="A376" s="249" t="s">
        <v>6</v>
      </c>
      <c r="B376" s="249" t="s">
        <v>10</v>
      </c>
      <c r="C376" s="219" t="s">
        <v>2389</v>
      </c>
      <c r="D376" s="268" t="s">
        <v>495</v>
      </c>
      <c r="E376" s="251">
        <v>44246.0</v>
      </c>
      <c r="F376" s="250" t="s">
        <v>496</v>
      </c>
      <c r="G376" s="171">
        <v>100.0</v>
      </c>
      <c r="H376" s="171">
        <v>100.0</v>
      </c>
      <c r="I376" s="171">
        <v>100.0</v>
      </c>
      <c r="J376" s="325">
        <f t="shared" si="14"/>
        <v>0.001218922197</v>
      </c>
      <c r="K376" s="326">
        <f t="shared" si="17"/>
        <v>1.747121815</v>
      </c>
      <c r="L376" s="327">
        <f t="shared" si="4"/>
        <v>7.479808895</v>
      </c>
      <c r="M376" s="321" t="str">
        <f t="shared" si="5"/>
        <v>sembrestels</v>
      </c>
      <c r="N376" s="176">
        <f>IFERROR(__xludf.DUMMYFUNCTION("""COMPUTED_VALUE"""),7.0)</f>
        <v>7</v>
      </c>
      <c r="O376" s="176"/>
      <c r="P376" s="176"/>
      <c r="Q376" s="176"/>
      <c r="R376" s="176"/>
      <c r="S376" s="176"/>
      <c r="T376" s="176"/>
      <c r="U376" s="176"/>
      <c r="V376" s="176"/>
      <c r="W376" s="176"/>
      <c r="X376" s="176"/>
      <c r="Y376" s="176"/>
      <c r="Z376" s="176"/>
    </row>
    <row r="377">
      <c r="A377" s="249" t="s">
        <v>6</v>
      </c>
      <c r="B377" s="249" t="s">
        <v>10</v>
      </c>
      <c r="C377" s="219" t="s">
        <v>2197</v>
      </c>
      <c r="D377" s="268" t="s">
        <v>495</v>
      </c>
      <c r="E377" s="251">
        <v>44246.0</v>
      </c>
      <c r="F377" s="250" t="s">
        <v>496</v>
      </c>
      <c r="G377" s="171">
        <v>40.0</v>
      </c>
      <c r="H377" s="171">
        <v>20.0</v>
      </c>
      <c r="I377" s="171">
        <v>50.0</v>
      </c>
      <c r="J377" s="325">
        <f t="shared" si="14"/>
        <v>0.0004950340078</v>
      </c>
      <c r="K377" s="326">
        <f t="shared" si="17"/>
        <v>0.7095487446</v>
      </c>
      <c r="L377" s="327">
        <f t="shared" si="4"/>
        <v>7.479808895</v>
      </c>
      <c r="M377" s="321" t="str">
        <f t="shared" si="5"/>
        <v>sembrestels</v>
      </c>
      <c r="N377" s="176">
        <f>IFERROR(__xludf.DUMMYFUNCTION("""COMPUTED_VALUE"""),8.0)</f>
        <v>8</v>
      </c>
      <c r="O377" s="176"/>
      <c r="P377" s="176"/>
      <c r="Q377" s="176"/>
      <c r="R377" s="176"/>
      <c r="S377" s="176"/>
      <c r="T377" s="176"/>
      <c r="U377" s="176"/>
      <c r="V377" s="176"/>
      <c r="W377" s="176"/>
      <c r="X377" s="176"/>
      <c r="Y377" s="176"/>
      <c r="Z377" s="176"/>
    </row>
    <row r="378">
      <c r="A378" s="249" t="s">
        <v>6</v>
      </c>
      <c r="B378" s="249" t="s">
        <v>6</v>
      </c>
      <c r="C378" s="219" t="s">
        <v>2390</v>
      </c>
      <c r="D378" s="268" t="s">
        <v>495</v>
      </c>
      <c r="E378" s="251">
        <v>44246.0</v>
      </c>
      <c r="F378" s="250" t="s">
        <v>627</v>
      </c>
      <c r="G378" s="171">
        <v>240.0</v>
      </c>
      <c r="H378" s="171">
        <v>400.0</v>
      </c>
      <c r="I378" s="171">
        <v>200.0</v>
      </c>
      <c r="J378" s="325">
        <f t="shared" si="14"/>
        <v>0.003104619455</v>
      </c>
      <c r="K378" s="326">
        <f t="shared" si="17"/>
        <v>4.449954553</v>
      </c>
      <c r="L378" s="327">
        <f t="shared" si="4"/>
        <v>7.479808895</v>
      </c>
      <c r="M378" s="321" t="str">
        <f t="shared" si="5"/>
        <v>sembrestels</v>
      </c>
      <c r="N378" s="176">
        <f>IFERROR(__xludf.DUMMYFUNCTION("""COMPUTED_VALUE"""),9.0)</f>
        <v>9</v>
      </c>
      <c r="O378" s="176"/>
      <c r="P378" s="176"/>
      <c r="Q378" s="176"/>
      <c r="R378" s="176"/>
      <c r="S378" s="176"/>
      <c r="T378" s="176"/>
      <c r="U378" s="176"/>
      <c r="V378" s="176"/>
      <c r="W378" s="176"/>
      <c r="X378" s="176"/>
      <c r="Y378" s="176"/>
      <c r="Z378" s="176"/>
    </row>
    <row r="379">
      <c r="A379" s="249" t="s">
        <v>6</v>
      </c>
      <c r="B379" s="249" t="s">
        <v>6</v>
      </c>
      <c r="C379" s="219" t="s">
        <v>2391</v>
      </c>
      <c r="D379" s="268" t="s">
        <v>495</v>
      </c>
      <c r="E379" s="251">
        <v>44246.0</v>
      </c>
      <c r="F379" s="250" t="s">
        <v>627</v>
      </c>
      <c r="G379" s="171">
        <v>240.0</v>
      </c>
      <c r="H379" s="171">
        <v>400.0</v>
      </c>
      <c r="I379" s="171">
        <v>200.0</v>
      </c>
      <c r="J379" s="325">
        <f t="shared" si="14"/>
        <v>0.003104619455</v>
      </c>
      <c r="K379" s="326">
        <f t="shared" si="17"/>
        <v>4.449954553</v>
      </c>
      <c r="L379" s="327">
        <f t="shared" si="4"/>
        <v>7.479808895</v>
      </c>
      <c r="M379" s="321" t="str">
        <f t="shared" si="5"/>
        <v>sembrestels</v>
      </c>
      <c r="N379" s="176">
        <f>IFERROR(__xludf.DUMMYFUNCTION("""COMPUTED_VALUE"""),10.0)</f>
        <v>10</v>
      </c>
      <c r="O379" s="176"/>
      <c r="P379" s="176"/>
      <c r="Q379" s="176"/>
      <c r="R379" s="176"/>
      <c r="S379" s="176"/>
      <c r="T379" s="176"/>
      <c r="U379" s="176"/>
      <c r="V379" s="176"/>
      <c r="W379" s="176"/>
      <c r="X379" s="176"/>
      <c r="Y379" s="176"/>
      <c r="Z379" s="176"/>
    </row>
    <row r="380">
      <c r="A380" s="249" t="s">
        <v>6</v>
      </c>
      <c r="B380" s="249" t="s">
        <v>10</v>
      </c>
      <c r="C380" s="219" t="s">
        <v>494</v>
      </c>
      <c r="D380" s="268" t="s">
        <v>495</v>
      </c>
      <c r="E380" s="251">
        <v>44246.0</v>
      </c>
      <c r="F380" s="250" t="s">
        <v>545</v>
      </c>
      <c r="G380" s="171">
        <v>20.0</v>
      </c>
      <c r="H380" s="171">
        <v>300.0</v>
      </c>
      <c r="I380" s="171">
        <v>20.0</v>
      </c>
      <c r="J380" s="325">
        <f t="shared" si="14"/>
        <v>0.0009755178897</v>
      </c>
      <c r="K380" s="326">
        <f t="shared" si="17"/>
        <v>1.398242309</v>
      </c>
      <c r="L380" s="327">
        <f t="shared" si="4"/>
        <v>7.479808895</v>
      </c>
      <c r="M380" s="321" t="str">
        <f t="shared" si="5"/>
        <v>sembrestels</v>
      </c>
      <c r="N380" s="176">
        <f>IFERROR(__xludf.DUMMYFUNCTION("""COMPUTED_VALUE"""),11.0)</f>
        <v>11</v>
      </c>
      <c r="O380" s="176"/>
      <c r="P380" s="176"/>
      <c r="Q380" s="176"/>
      <c r="R380" s="176"/>
      <c r="S380" s="176"/>
      <c r="T380" s="176"/>
      <c r="U380" s="176"/>
      <c r="V380" s="176"/>
      <c r="W380" s="176"/>
      <c r="X380" s="176"/>
      <c r="Y380" s="176"/>
      <c r="Z380" s="176"/>
    </row>
    <row r="381">
      <c r="A381" s="249" t="s">
        <v>6</v>
      </c>
      <c r="B381" s="249" t="s">
        <v>867</v>
      </c>
      <c r="C381" s="219" t="s">
        <v>2199</v>
      </c>
      <c r="D381" s="268" t="s">
        <v>495</v>
      </c>
      <c r="E381" s="251">
        <v>44249.0</v>
      </c>
      <c r="F381" s="250" t="s">
        <v>496</v>
      </c>
      <c r="G381" s="171">
        <v>60.0</v>
      </c>
      <c r="H381" s="171">
        <v>100.0</v>
      </c>
      <c r="I381" s="171">
        <v>80.0</v>
      </c>
      <c r="J381" s="325">
        <f t="shared" si="14"/>
        <v>0.0009553502765</v>
      </c>
      <c r="K381" s="326">
        <f t="shared" si="17"/>
        <v>1.369335396</v>
      </c>
      <c r="L381" s="327">
        <f t="shared" si="4"/>
        <v>7.479808895</v>
      </c>
      <c r="M381" s="321" t="str">
        <f t="shared" si="5"/>
        <v>sembrestels</v>
      </c>
      <c r="N381" s="176">
        <f>IFERROR(__xludf.DUMMYFUNCTION("""COMPUTED_VALUE"""),12.0)</f>
        <v>12</v>
      </c>
      <c r="O381" s="176"/>
      <c r="P381" s="176"/>
      <c r="Q381" s="176"/>
      <c r="R381" s="176"/>
      <c r="S381" s="176"/>
      <c r="T381" s="176"/>
      <c r="U381" s="176"/>
      <c r="V381" s="176"/>
      <c r="W381" s="176"/>
      <c r="X381" s="176"/>
      <c r="Y381" s="176"/>
      <c r="Z381" s="176"/>
    </row>
    <row r="382">
      <c r="A382" s="249" t="s">
        <v>6</v>
      </c>
      <c r="B382" s="249" t="s">
        <v>10</v>
      </c>
      <c r="C382" s="219" t="s">
        <v>2392</v>
      </c>
      <c r="D382" s="268" t="s">
        <v>495</v>
      </c>
      <c r="E382" s="251">
        <v>44249.0</v>
      </c>
      <c r="F382" s="250" t="s">
        <v>496</v>
      </c>
      <c r="G382" s="171">
        <v>40.0</v>
      </c>
      <c r="H382" s="171">
        <v>100.0</v>
      </c>
      <c r="I382" s="171">
        <v>150.0</v>
      </c>
      <c r="J382" s="325">
        <f t="shared" si="14"/>
        <v>0.00130141875</v>
      </c>
      <c r="K382" s="326">
        <f t="shared" si="17"/>
        <v>1.865366875</v>
      </c>
      <c r="L382" s="327">
        <f t="shared" si="4"/>
        <v>7.479808895</v>
      </c>
      <c r="M382" s="321" t="str">
        <f t="shared" si="5"/>
        <v>sembrestels</v>
      </c>
      <c r="N382" s="176">
        <f>IFERROR(__xludf.DUMMYFUNCTION("""COMPUTED_VALUE"""),13.0)</f>
        <v>13</v>
      </c>
      <c r="O382" s="176"/>
      <c r="P382" s="176"/>
      <c r="Q382" s="176"/>
      <c r="R382" s="176"/>
      <c r="S382" s="176"/>
      <c r="T382" s="176"/>
      <c r="U382" s="176"/>
      <c r="V382" s="176"/>
      <c r="W382" s="176"/>
      <c r="X382" s="176"/>
      <c r="Y382" s="176"/>
      <c r="Z382" s="176"/>
    </row>
    <row r="383">
      <c r="A383" s="249" t="s">
        <v>6</v>
      </c>
      <c r="B383" s="249" t="s">
        <v>867</v>
      </c>
      <c r="C383" s="219" t="s">
        <v>2393</v>
      </c>
      <c r="D383" s="268" t="s">
        <v>495</v>
      </c>
      <c r="E383" s="251">
        <v>44249.0</v>
      </c>
      <c r="F383" s="250" t="s">
        <v>496</v>
      </c>
      <c r="G383" s="171">
        <v>210.0</v>
      </c>
      <c r="H383" s="171">
        <v>200.0</v>
      </c>
      <c r="I383" s="171">
        <v>150.0</v>
      </c>
      <c r="J383" s="325">
        <f t="shared" si="14"/>
        <v>0.00217521245</v>
      </c>
      <c r="K383" s="326">
        <f t="shared" si="17"/>
        <v>3.117804512</v>
      </c>
      <c r="L383" s="327">
        <f t="shared" si="4"/>
        <v>7.479808895</v>
      </c>
      <c r="M383" s="321" t="str">
        <f t="shared" si="5"/>
        <v>sembrestels</v>
      </c>
      <c r="N383" s="176">
        <f>IFERROR(__xludf.DUMMYFUNCTION("""COMPUTED_VALUE"""),14.0)</f>
        <v>14</v>
      </c>
      <c r="O383" s="176"/>
      <c r="P383" s="176"/>
      <c r="Q383" s="176"/>
      <c r="R383" s="176"/>
      <c r="S383" s="176"/>
      <c r="T383" s="176"/>
      <c r="U383" s="176"/>
      <c r="V383" s="176"/>
      <c r="W383" s="176"/>
      <c r="X383" s="176"/>
      <c r="Y383" s="176"/>
      <c r="Z383" s="176"/>
    </row>
    <row r="384">
      <c r="A384" s="249" t="s">
        <v>6</v>
      </c>
      <c r="B384" s="249" t="s">
        <v>6</v>
      </c>
      <c r="C384" s="219" t="s">
        <v>2394</v>
      </c>
      <c r="D384" s="268" t="s">
        <v>495</v>
      </c>
      <c r="E384" s="251">
        <v>44253.0</v>
      </c>
      <c r="F384" s="250" t="s">
        <v>627</v>
      </c>
      <c r="G384" s="171">
        <v>180.0</v>
      </c>
      <c r="H384" s="171">
        <v>300.0</v>
      </c>
      <c r="I384" s="171">
        <v>150.0</v>
      </c>
      <c r="J384" s="325">
        <f t="shared" si="14"/>
        <v>0.002328464592</v>
      </c>
      <c r="K384" s="326">
        <f t="shared" si="17"/>
        <v>3.337465915</v>
      </c>
      <c r="L384" s="327">
        <f t="shared" si="4"/>
        <v>7.479808895</v>
      </c>
      <c r="M384" s="321" t="str">
        <f t="shared" si="5"/>
        <v>sembrestels</v>
      </c>
      <c r="N384" s="176">
        <f>IFERROR(__xludf.DUMMYFUNCTION("""COMPUTED_VALUE"""),15.0)</f>
        <v>15</v>
      </c>
      <c r="O384" s="176"/>
      <c r="P384" s="176"/>
      <c r="Q384" s="176"/>
      <c r="R384" s="176"/>
      <c r="S384" s="176"/>
      <c r="T384" s="176"/>
      <c r="U384" s="176"/>
      <c r="V384" s="176"/>
      <c r="W384" s="176"/>
      <c r="X384" s="176"/>
      <c r="Y384" s="176"/>
      <c r="Z384" s="176"/>
    </row>
    <row r="385">
      <c r="A385" s="249" t="s">
        <v>6</v>
      </c>
      <c r="B385" s="249" t="s">
        <v>10</v>
      </c>
      <c r="C385" s="219" t="s">
        <v>494</v>
      </c>
      <c r="D385" s="268" t="s">
        <v>495</v>
      </c>
      <c r="E385" s="251">
        <v>44253.0</v>
      </c>
      <c r="F385" s="250" t="s">
        <v>496</v>
      </c>
      <c r="G385" s="171">
        <v>100.0</v>
      </c>
      <c r="H385" s="171">
        <v>300.0</v>
      </c>
      <c r="I385" s="171">
        <v>100.0</v>
      </c>
      <c r="J385" s="325">
        <f t="shared" si="14"/>
        <v>0.001741588947</v>
      </c>
      <c r="K385" s="326">
        <f t="shared" si="17"/>
        <v>2.496277491</v>
      </c>
      <c r="L385" s="327">
        <f t="shared" si="4"/>
        <v>7.479808895</v>
      </c>
      <c r="M385" s="321" t="str">
        <f t="shared" si="5"/>
        <v>sembrestels</v>
      </c>
      <c r="N385" s="176">
        <f>IFERROR(__xludf.DUMMYFUNCTION("""COMPUTED_VALUE"""),16.0)</f>
        <v>16</v>
      </c>
      <c r="O385" s="176"/>
      <c r="P385" s="176"/>
      <c r="Q385" s="176"/>
      <c r="R385" s="176"/>
      <c r="S385" s="176"/>
      <c r="T385" s="176"/>
      <c r="U385" s="176"/>
      <c r="V385" s="176"/>
      <c r="W385" s="176"/>
      <c r="X385" s="176"/>
      <c r="Y385" s="176"/>
      <c r="Z385" s="176"/>
    </row>
    <row r="386">
      <c r="A386" s="249" t="s">
        <v>6</v>
      </c>
      <c r="B386" s="249" t="s">
        <v>10</v>
      </c>
      <c r="C386" s="219" t="s">
        <v>2395</v>
      </c>
      <c r="D386" s="268" t="s">
        <v>495</v>
      </c>
      <c r="E386" s="251">
        <v>44253.0</v>
      </c>
      <c r="F386" s="250" t="s">
        <v>496</v>
      </c>
      <c r="G386" s="171">
        <v>250.0</v>
      </c>
      <c r="H386" s="171">
        <v>400.0</v>
      </c>
      <c r="I386" s="171">
        <v>200.0</v>
      </c>
      <c r="J386" s="325">
        <f t="shared" si="14"/>
        <v>0.003140646533</v>
      </c>
      <c r="K386" s="326">
        <f t="shared" si="17"/>
        <v>4.501593364</v>
      </c>
      <c r="L386" s="327">
        <f t="shared" si="4"/>
        <v>7.479808895</v>
      </c>
      <c r="M386" s="321" t="str">
        <f t="shared" si="5"/>
        <v>sembrestels</v>
      </c>
      <c r="N386" s="176">
        <f>IFERROR(__xludf.DUMMYFUNCTION("""COMPUTED_VALUE"""),17.0)</f>
        <v>17</v>
      </c>
      <c r="O386" s="176"/>
      <c r="P386" s="176"/>
      <c r="Q386" s="176"/>
      <c r="R386" s="176"/>
      <c r="S386" s="176"/>
      <c r="T386" s="176"/>
      <c r="U386" s="176"/>
      <c r="V386" s="176"/>
      <c r="W386" s="176"/>
      <c r="X386" s="176"/>
      <c r="Y386" s="176"/>
      <c r="Z386" s="176"/>
    </row>
    <row r="387">
      <c r="A387" s="249" t="s">
        <v>6</v>
      </c>
      <c r="B387" s="249" t="s">
        <v>10</v>
      </c>
      <c r="C387" s="219" t="s">
        <v>2247</v>
      </c>
      <c r="D387" s="268" t="s">
        <v>495</v>
      </c>
      <c r="E387" s="251">
        <v>44253.0</v>
      </c>
      <c r="F387" s="250" t="s">
        <v>496</v>
      </c>
      <c r="G387" s="171">
        <v>150.0</v>
      </c>
      <c r="H387" s="171">
        <v>200.0</v>
      </c>
      <c r="I387" s="171">
        <v>80.0</v>
      </c>
      <c r="J387" s="325">
        <f t="shared" si="14"/>
        <v>0.001540927353</v>
      </c>
      <c r="K387" s="326">
        <f t="shared" si="17"/>
        <v>2.20866254</v>
      </c>
      <c r="L387" s="327">
        <f t="shared" si="4"/>
        <v>7.479808895</v>
      </c>
      <c r="M387" s="321" t="str">
        <f t="shared" si="5"/>
        <v>sembrestels</v>
      </c>
      <c r="N387" s="176">
        <f>IFERROR(__xludf.DUMMYFUNCTION("""COMPUTED_VALUE"""),18.0)</f>
        <v>18</v>
      </c>
      <c r="O387" s="176"/>
      <c r="P387" s="176"/>
      <c r="Q387" s="176"/>
      <c r="R387" s="176"/>
      <c r="S387" s="176"/>
      <c r="T387" s="176"/>
      <c r="U387" s="176"/>
      <c r="V387" s="176"/>
      <c r="W387" s="176"/>
      <c r="X387" s="176"/>
      <c r="Y387" s="176"/>
      <c r="Z387" s="176"/>
    </row>
    <row r="388">
      <c r="A388" s="16" t="s">
        <v>66</v>
      </c>
      <c r="B388" s="272" t="s">
        <v>1702</v>
      </c>
      <c r="C388" s="273" t="s">
        <v>2396</v>
      </c>
      <c r="D388" s="274" t="s">
        <v>499</v>
      </c>
      <c r="E388" s="328" t="s">
        <v>2183</v>
      </c>
      <c r="F388" s="274" t="s">
        <v>1646</v>
      </c>
      <c r="G388" s="171">
        <v>400.0</v>
      </c>
      <c r="H388" s="171">
        <v>1000.0</v>
      </c>
      <c r="I388" s="171">
        <v>150.0</v>
      </c>
      <c r="J388" s="172">
        <f t="shared" si="14"/>
        <v>0.004950393933</v>
      </c>
      <c r="K388" s="269">
        <f t="shared" si="17"/>
        <v>7.095564637</v>
      </c>
      <c r="L388" s="270">
        <f t="shared" si="4"/>
        <v>7.095564637</v>
      </c>
      <c r="M388" s="271" t="str">
        <f t="shared" si="5"/>
        <v>willjgriff</v>
      </c>
      <c r="N388" s="176">
        <f>IFERROR(__xludf.DUMMYFUNCTION("""COMPUTED_VALUE"""),1.0)</f>
        <v>1</v>
      </c>
      <c r="O388" s="176"/>
      <c r="P388" s="176"/>
      <c r="Q388" s="176"/>
      <c r="R388" s="176"/>
      <c r="S388" s="176"/>
      <c r="T388" s="176"/>
      <c r="U388" s="176"/>
      <c r="V388" s="176"/>
      <c r="W388" s="176"/>
      <c r="X388" s="176"/>
      <c r="Y388" s="176"/>
      <c r="Z388" s="176"/>
    </row>
    <row r="389">
      <c r="A389" s="249" t="s">
        <v>48</v>
      </c>
      <c r="B389" s="249" t="s">
        <v>6</v>
      </c>
      <c r="C389" s="219" t="s">
        <v>2397</v>
      </c>
      <c r="D389" s="268" t="s">
        <v>495</v>
      </c>
      <c r="E389" s="251">
        <v>44243.0</v>
      </c>
      <c r="F389" s="250" t="s">
        <v>496</v>
      </c>
      <c r="G389" s="171">
        <v>80.0</v>
      </c>
      <c r="H389" s="171">
        <v>150.0</v>
      </c>
      <c r="I389" s="171">
        <v>100.0</v>
      </c>
      <c r="J389" s="325">
        <f t="shared" si="14"/>
        <v>0.001277534728</v>
      </c>
      <c r="K389" s="326">
        <f t="shared" si="17"/>
        <v>1.831133111</v>
      </c>
      <c r="L389" s="327">
        <f t="shared" si="4"/>
        <v>7.014513504</v>
      </c>
      <c r="M389" s="321" t="str">
        <f t="shared" si="5"/>
        <v>divine_comedian</v>
      </c>
      <c r="N389" s="176">
        <f>IFERROR(__xludf.DUMMYFUNCTION("""COMPUTED_VALUE"""),1.0)</f>
        <v>1</v>
      </c>
      <c r="O389" s="176"/>
      <c r="P389" s="176"/>
      <c r="Q389" s="176"/>
      <c r="R389" s="176"/>
      <c r="S389" s="176"/>
      <c r="T389" s="176"/>
      <c r="U389" s="176"/>
      <c r="V389" s="176"/>
      <c r="W389" s="176"/>
      <c r="X389" s="176"/>
      <c r="Y389" s="176"/>
      <c r="Z389" s="176"/>
    </row>
    <row r="390">
      <c r="A390" s="249" t="s">
        <v>48</v>
      </c>
      <c r="B390" s="249" t="s">
        <v>590</v>
      </c>
      <c r="C390" s="219" t="s">
        <v>2398</v>
      </c>
      <c r="D390" s="268" t="s">
        <v>495</v>
      </c>
      <c r="E390" s="251">
        <v>44243.0</v>
      </c>
      <c r="F390" s="250" t="s">
        <v>496</v>
      </c>
      <c r="G390" s="171">
        <v>1.0</v>
      </c>
      <c r="H390" s="171">
        <v>1.0</v>
      </c>
      <c r="I390" s="171">
        <v>50.0</v>
      </c>
      <c r="J390" s="325">
        <f t="shared" si="14"/>
        <v>0.0003048750625</v>
      </c>
      <c r="K390" s="326">
        <f t="shared" si="17"/>
        <v>0.4369875896</v>
      </c>
      <c r="L390" s="327">
        <f t="shared" si="4"/>
        <v>7.014513504</v>
      </c>
      <c r="M390" s="321" t="str">
        <f t="shared" si="5"/>
        <v>divine_comedian</v>
      </c>
      <c r="N390" s="176">
        <f>IFERROR(__xludf.DUMMYFUNCTION("""COMPUTED_VALUE"""),2.0)</f>
        <v>2</v>
      </c>
      <c r="O390" s="176"/>
      <c r="P390" s="176"/>
      <c r="Q390" s="176"/>
      <c r="R390" s="176"/>
      <c r="S390" s="176"/>
      <c r="T390" s="176"/>
      <c r="U390" s="176"/>
      <c r="V390" s="176"/>
      <c r="W390" s="176"/>
      <c r="X390" s="176"/>
      <c r="Y390" s="176"/>
      <c r="Z390" s="176"/>
    </row>
    <row r="391">
      <c r="A391" s="249" t="s">
        <v>48</v>
      </c>
      <c r="B391" s="249" t="s">
        <v>519</v>
      </c>
      <c r="C391" s="219" t="s">
        <v>2191</v>
      </c>
      <c r="D391" s="268" t="s">
        <v>495</v>
      </c>
      <c r="E391" s="251">
        <v>44244.0</v>
      </c>
      <c r="F391" s="250" t="s">
        <v>496</v>
      </c>
      <c r="G391" s="171">
        <v>120.0</v>
      </c>
      <c r="H391" s="171">
        <v>200.0</v>
      </c>
      <c r="I391" s="171">
        <v>100.0</v>
      </c>
      <c r="J391" s="325">
        <f t="shared" si="14"/>
        <v>0.001552309728</v>
      </c>
      <c r="K391" s="326">
        <f t="shared" si="17"/>
        <v>2.224977276</v>
      </c>
      <c r="L391" s="327">
        <f t="shared" si="4"/>
        <v>7.014513504</v>
      </c>
      <c r="M391" s="321" t="str">
        <f t="shared" si="5"/>
        <v>divine_comedian</v>
      </c>
      <c r="N391" s="176">
        <f>IFERROR(__xludf.DUMMYFUNCTION("""COMPUTED_VALUE"""),3.0)</f>
        <v>3</v>
      </c>
      <c r="O391" s="176"/>
      <c r="P391" s="176"/>
      <c r="Q391" s="176"/>
      <c r="R391" s="176"/>
      <c r="S391" s="176"/>
      <c r="T391" s="176"/>
      <c r="U391" s="176"/>
      <c r="V391" s="176"/>
      <c r="W391" s="176"/>
      <c r="X391" s="176"/>
      <c r="Y391" s="176"/>
      <c r="Z391" s="176"/>
    </row>
    <row r="392">
      <c r="A392" s="249" t="s">
        <v>48</v>
      </c>
      <c r="B392" s="249" t="s">
        <v>10</v>
      </c>
      <c r="C392" s="219" t="s">
        <v>2399</v>
      </c>
      <c r="D392" s="268" t="s">
        <v>495</v>
      </c>
      <c r="E392" s="251">
        <v>44253.0</v>
      </c>
      <c r="F392" s="250" t="s">
        <v>496</v>
      </c>
      <c r="G392" s="171">
        <v>40.0</v>
      </c>
      <c r="H392" s="171">
        <v>200.0</v>
      </c>
      <c r="I392" s="171">
        <v>100.0</v>
      </c>
      <c r="J392" s="325">
        <f t="shared" si="14"/>
        <v>0.001264093104</v>
      </c>
      <c r="K392" s="326">
        <f t="shared" si="17"/>
        <v>1.811866783</v>
      </c>
      <c r="L392" s="327">
        <f t="shared" si="4"/>
        <v>7.014513504</v>
      </c>
      <c r="M392" s="321" t="str">
        <f t="shared" si="5"/>
        <v>divine_comedian</v>
      </c>
      <c r="N392" s="176">
        <f>IFERROR(__xludf.DUMMYFUNCTION("""COMPUTED_VALUE"""),4.0)</f>
        <v>4</v>
      </c>
      <c r="O392" s="176"/>
      <c r="P392" s="176"/>
      <c r="Q392" s="176"/>
      <c r="R392" s="176"/>
      <c r="S392" s="176"/>
      <c r="T392" s="176"/>
      <c r="U392" s="176"/>
      <c r="V392" s="176"/>
      <c r="W392" s="176"/>
      <c r="X392" s="176"/>
      <c r="Y392" s="176"/>
      <c r="Z392" s="176"/>
    </row>
    <row r="393">
      <c r="A393" s="249" t="s">
        <v>48</v>
      </c>
      <c r="B393" s="249" t="s">
        <v>10</v>
      </c>
      <c r="C393" s="219" t="s">
        <v>2206</v>
      </c>
      <c r="D393" s="268" t="s">
        <v>495</v>
      </c>
      <c r="E393" s="251">
        <v>44253.0</v>
      </c>
      <c r="F393" s="250" t="s">
        <v>496</v>
      </c>
      <c r="G393" s="171">
        <v>40.0</v>
      </c>
      <c r="H393" s="171">
        <v>20.0</v>
      </c>
      <c r="I393" s="171">
        <v>50.0</v>
      </c>
      <c r="J393" s="325">
        <f t="shared" si="14"/>
        <v>0.0004950340078</v>
      </c>
      <c r="K393" s="326">
        <f t="shared" si="17"/>
        <v>0.7095487446</v>
      </c>
      <c r="L393" s="327">
        <f t="shared" si="4"/>
        <v>7.014513504</v>
      </c>
      <c r="M393" s="321" t="str">
        <f t="shared" si="5"/>
        <v>divine_comedian</v>
      </c>
      <c r="N393" s="176">
        <f>IFERROR(__xludf.DUMMYFUNCTION("""COMPUTED_VALUE"""),5.0)</f>
        <v>5</v>
      </c>
      <c r="O393" s="176"/>
      <c r="P393" s="176"/>
      <c r="Q393" s="176"/>
      <c r="R393" s="176"/>
      <c r="S393" s="176"/>
      <c r="T393" s="176"/>
      <c r="U393" s="176"/>
      <c r="V393" s="176"/>
      <c r="W393" s="176"/>
      <c r="X393" s="176"/>
      <c r="Y393" s="176"/>
      <c r="Z393" s="176"/>
    </row>
    <row r="394">
      <c r="A394" s="240" t="s">
        <v>73</v>
      </c>
      <c r="B394" s="240" t="s">
        <v>534</v>
      </c>
      <c r="C394" s="221" t="s">
        <v>839</v>
      </c>
      <c r="D394" s="336"/>
      <c r="E394" s="255"/>
      <c r="F394" s="254"/>
      <c r="G394" s="222"/>
      <c r="H394" s="222"/>
      <c r="I394" s="222"/>
      <c r="J394" s="172">
        <f t="shared" si="14"/>
        <v>0</v>
      </c>
      <c r="K394" s="345">
        <f>12.936*-0.5</f>
        <v>-6.468</v>
      </c>
      <c r="L394" s="327">
        <f t="shared" si="4"/>
        <v>6.470419806</v>
      </c>
      <c r="M394" s="321" t="str">
        <f t="shared" si="5"/>
        <v>aminlatifi</v>
      </c>
      <c r="N394" s="209">
        <f>IFERROR(__xludf.DUMMYFUNCTION("""COMPUTED_VALUE"""),1.0)</f>
        <v>1</v>
      </c>
      <c r="O394" s="209"/>
      <c r="P394" s="209"/>
      <c r="Q394" s="209"/>
      <c r="R394" s="209">
        <v>18.802169413641863</v>
      </c>
      <c r="S394" s="209"/>
      <c r="T394" s="209"/>
      <c r="U394" s="209"/>
      <c r="V394" s="209"/>
      <c r="W394" s="209"/>
      <c r="X394" s="209"/>
      <c r="Y394" s="176"/>
      <c r="Z394" s="176"/>
    </row>
    <row r="395">
      <c r="A395" s="249" t="s">
        <v>73</v>
      </c>
      <c r="B395" s="249" t="s">
        <v>845</v>
      </c>
      <c r="C395" s="219" t="s">
        <v>2256</v>
      </c>
      <c r="D395" s="268" t="s">
        <v>495</v>
      </c>
      <c r="E395" s="251">
        <v>44250.0</v>
      </c>
      <c r="F395" s="250" t="s">
        <v>499</v>
      </c>
      <c r="G395" s="171">
        <v>500.0</v>
      </c>
      <c r="H395" s="171">
        <v>1000.0</v>
      </c>
      <c r="I395" s="171">
        <v>150.0</v>
      </c>
      <c r="J395" s="325">
        <f t="shared" si="14"/>
        <v>0.005310664712</v>
      </c>
      <c r="K395" s="326">
        <f t="shared" ref="K395:K397" si="18">J395*$J$1</f>
        <v>7.611952754</v>
      </c>
      <c r="L395" s="327">
        <f t="shared" si="4"/>
        <v>6.470419806</v>
      </c>
      <c r="M395" s="321" t="str">
        <f t="shared" si="5"/>
        <v>aminlatifi</v>
      </c>
      <c r="N395" s="176">
        <f>IFERROR(__xludf.DUMMYFUNCTION("""COMPUTED_VALUE"""),2.0)</f>
        <v>2</v>
      </c>
      <c r="O395" s="176"/>
      <c r="P395" s="176"/>
      <c r="Q395" s="176"/>
      <c r="R395" s="176"/>
      <c r="S395" s="176"/>
      <c r="T395" s="176"/>
      <c r="U395" s="176"/>
      <c r="V395" s="176"/>
      <c r="W395" s="176"/>
      <c r="X395" s="176"/>
      <c r="Y395" s="176"/>
      <c r="Z395" s="176"/>
    </row>
    <row r="396">
      <c r="A396" s="249" t="s">
        <v>73</v>
      </c>
      <c r="B396" s="249" t="s">
        <v>10</v>
      </c>
      <c r="C396" s="219" t="s">
        <v>2257</v>
      </c>
      <c r="D396" s="268" t="s">
        <v>495</v>
      </c>
      <c r="E396" s="251">
        <v>44253.0</v>
      </c>
      <c r="F396" s="250" t="s">
        <v>496</v>
      </c>
      <c r="G396" s="171">
        <v>210.0</v>
      </c>
      <c r="H396" s="171">
        <v>200.0</v>
      </c>
      <c r="I396" s="171">
        <v>150.0</v>
      </c>
      <c r="J396" s="325">
        <f t="shared" si="14"/>
        <v>0.00217521245</v>
      </c>
      <c r="K396" s="326">
        <f t="shared" si="18"/>
        <v>3.117804512</v>
      </c>
      <c r="L396" s="327">
        <f t="shared" si="4"/>
        <v>6.470419806</v>
      </c>
      <c r="M396" s="321" t="str">
        <f t="shared" si="5"/>
        <v>aminlatifi</v>
      </c>
      <c r="N396" s="176">
        <f>IFERROR(__xludf.DUMMYFUNCTION("""COMPUTED_VALUE"""),3.0)</f>
        <v>3</v>
      </c>
      <c r="O396" s="176"/>
      <c r="P396" s="176"/>
      <c r="Q396" s="176"/>
      <c r="R396" s="176"/>
      <c r="S396" s="176"/>
      <c r="T396" s="176"/>
      <c r="U396" s="176"/>
      <c r="V396" s="176"/>
      <c r="W396" s="176"/>
      <c r="X396" s="176"/>
      <c r="Y396" s="176"/>
      <c r="Z396" s="176"/>
    </row>
    <row r="397">
      <c r="A397" s="249" t="s">
        <v>73</v>
      </c>
      <c r="B397" s="249" t="s">
        <v>10</v>
      </c>
      <c r="C397" s="219" t="s">
        <v>2247</v>
      </c>
      <c r="D397" s="268" t="s">
        <v>495</v>
      </c>
      <c r="E397" s="251">
        <v>44253.0</v>
      </c>
      <c r="F397" s="250" t="s">
        <v>496</v>
      </c>
      <c r="G397" s="171">
        <v>150.0</v>
      </c>
      <c r="H397" s="171">
        <v>200.0</v>
      </c>
      <c r="I397" s="171">
        <v>80.0</v>
      </c>
      <c r="J397" s="325">
        <f t="shared" si="14"/>
        <v>0.001540927353</v>
      </c>
      <c r="K397" s="326">
        <f t="shared" si="18"/>
        <v>2.20866254</v>
      </c>
      <c r="L397" s="327">
        <f t="shared" si="4"/>
        <v>6.470419806</v>
      </c>
      <c r="M397" s="321" t="str">
        <f t="shared" si="5"/>
        <v>aminlatifi</v>
      </c>
      <c r="N397" s="176">
        <f>IFERROR(__xludf.DUMMYFUNCTION("""COMPUTED_VALUE"""),4.0)</f>
        <v>4</v>
      </c>
      <c r="O397" s="176"/>
      <c r="P397" s="176"/>
      <c r="Q397" s="176"/>
      <c r="R397" s="176"/>
      <c r="S397" s="176"/>
      <c r="T397" s="176"/>
      <c r="U397" s="176"/>
      <c r="V397" s="176"/>
      <c r="W397" s="176"/>
      <c r="X397" s="176"/>
      <c r="Y397" s="176"/>
      <c r="Z397" s="176"/>
    </row>
    <row r="398">
      <c r="A398" s="240" t="s">
        <v>14</v>
      </c>
      <c r="B398" s="240" t="s">
        <v>534</v>
      </c>
      <c r="C398" s="221" t="s">
        <v>741</v>
      </c>
      <c r="D398" s="336"/>
      <c r="E398" s="255"/>
      <c r="F398" s="254"/>
      <c r="G398" s="222"/>
      <c r="H398" s="222"/>
      <c r="I398" s="222"/>
      <c r="J398" s="325">
        <f t="shared" si="14"/>
        <v>0</v>
      </c>
      <c r="K398" s="337">
        <f>43.004*-0.85</f>
        <v>-36.5534</v>
      </c>
      <c r="L398" s="327">
        <f t="shared" si="4"/>
        <v>6.459898129</v>
      </c>
      <c r="M398" s="321" t="str">
        <f t="shared" si="5"/>
        <v>jessicazartler</v>
      </c>
      <c r="N398" s="209">
        <f>IFERROR(__xludf.DUMMYFUNCTION("""COMPUTED_VALUE"""),1.0)</f>
        <v>1</v>
      </c>
      <c r="O398" s="209"/>
      <c r="P398" s="209"/>
      <c r="Q398" s="209"/>
      <c r="R398" s="209"/>
      <c r="S398" s="209"/>
      <c r="T398" s="209"/>
      <c r="U398" s="209"/>
      <c r="V398" s="209"/>
      <c r="W398" s="209"/>
      <c r="X398" s="209"/>
      <c r="Y398" s="176"/>
      <c r="Z398" s="176"/>
    </row>
    <row r="399">
      <c r="A399" s="249" t="s">
        <v>14</v>
      </c>
      <c r="B399" s="249" t="s">
        <v>1228</v>
      </c>
      <c r="C399" s="219" t="s">
        <v>2400</v>
      </c>
      <c r="D399" s="268" t="s">
        <v>495</v>
      </c>
      <c r="E399" s="251">
        <v>44243.0</v>
      </c>
      <c r="F399" s="250" t="s">
        <v>496</v>
      </c>
      <c r="G399" s="171">
        <v>60.0</v>
      </c>
      <c r="H399" s="171">
        <v>100.0</v>
      </c>
      <c r="I399" s="171">
        <v>100.0</v>
      </c>
      <c r="J399" s="325">
        <f t="shared" si="14"/>
        <v>0.001074813885</v>
      </c>
      <c r="K399" s="326">
        <f t="shared" ref="K399:K418" si="19">J399*$J$1</f>
        <v>1.540566568</v>
      </c>
      <c r="L399" s="327">
        <f t="shared" si="4"/>
        <v>6.459898129</v>
      </c>
      <c r="M399" s="321" t="str">
        <f t="shared" si="5"/>
        <v>jessicazartler</v>
      </c>
      <c r="N399" s="176">
        <f>IFERROR(__xludf.DUMMYFUNCTION("""COMPUTED_VALUE"""),2.0)</f>
        <v>2</v>
      </c>
      <c r="O399" s="176"/>
      <c r="P399" s="176"/>
      <c r="Q399" s="176"/>
      <c r="R399" s="176"/>
      <c r="S399" s="176"/>
      <c r="T399" s="176"/>
      <c r="U399" s="176"/>
      <c r="V399" s="176"/>
      <c r="W399" s="176"/>
      <c r="X399" s="176"/>
      <c r="Y399" s="176"/>
      <c r="Z399" s="176"/>
    </row>
    <row r="400">
      <c r="A400" s="249" t="s">
        <v>14</v>
      </c>
      <c r="B400" s="249" t="s">
        <v>43</v>
      </c>
      <c r="C400" s="219" t="s">
        <v>2401</v>
      </c>
      <c r="D400" s="268" t="s">
        <v>495</v>
      </c>
      <c r="E400" s="251">
        <v>44243.0</v>
      </c>
      <c r="F400" s="250" t="s">
        <v>496</v>
      </c>
      <c r="G400" s="171">
        <v>120.0</v>
      </c>
      <c r="H400" s="171">
        <v>200.0</v>
      </c>
      <c r="I400" s="171">
        <v>100.0</v>
      </c>
      <c r="J400" s="325">
        <f t="shared" si="14"/>
        <v>0.001552309728</v>
      </c>
      <c r="K400" s="326">
        <f t="shared" si="19"/>
        <v>2.224977276</v>
      </c>
      <c r="L400" s="327">
        <f t="shared" si="4"/>
        <v>6.459898129</v>
      </c>
      <c r="M400" s="321" t="str">
        <f t="shared" si="5"/>
        <v>jessicazartler</v>
      </c>
      <c r="N400" s="176">
        <f>IFERROR(__xludf.DUMMYFUNCTION("""COMPUTED_VALUE"""),3.0)</f>
        <v>3</v>
      </c>
      <c r="O400" s="176"/>
      <c r="P400" s="176"/>
      <c r="Q400" s="176"/>
      <c r="R400" s="176"/>
      <c r="S400" s="176"/>
      <c r="T400" s="176"/>
      <c r="U400" s="176"/>
      <c r="V400" s="176"/>
      <c r="W400" s="176"/>
      <c r="X400" s="176"/>
      <c r="Y400" s="176"/>
      <c r="Z400" s="176"/>
    </row>
    <row r="401">
      <c r="A401" s="249" t="s">
        <v>14</v>
      </c>
      <c r="B401" s="249" t="s">
        <v>5</v>
      </c>
      <c r="C401" s="219" t="s">
        <v>2350</v>
      </c>
      <c r="D401" s="268" t="s">
        <v>495</v>
      </c>
      <c r="E401" s="251">
        <v>44244.0</v>
      </c>
      <c r="F401" s="250" t="s">
        <v>496</v>
      </c>
      <c r="G401" s="171">
        <v>200.0</v>
      </c>
      <c r="H401" s="171">
        <v>200.0</v>
      </c>
      <c r="I401" s="171">
        <v>150.0</v>
      </c>
      <c r="J401" s="325">
        <f t="shared" si="14"/>
        <v>0.002139185372</v>
      </c>
      <c r="K401" s="326">
        <f t="shared" si="19"/>
        <v>3.0661657</v>
      </c>
      <c r="L401" s="327">
        <f t="shared" si="4"/>
        <v>6.459898129</v>
      </c>
      <c r="M401" s="321" t="str">
        <f t="shared" si="5"/>
        <v>jessicazartler</v>
      </c>
      <c r="N401" s="176">
        <f>IFERROR(__xludf.DUMMYFUNCTION("""COMPUTED_VALUE"""),4.0)</f>
        <v>4</v>
      </c>
      <c r="O401" s="176"/>
      <c r="P401" s="176"/>
      <c r="Q401" s="176"/>
      <c r="R401" s="176"/>
      <c r="S401" s="176"/>
      <c r="T401" s="176"/>
      <c r="U401" s="176"/>
      <c r="V401" s="176"/>
      <c r="W401" s="176"/>
      <c r="X401" s="176"/>
      <c r="Y401" s="176"/>
      <c r="Z401" s="176"/>
    </row>
    <row r="402">
      <c r="A402" s="249" t="s">
        <v>14</v>
      </c>
      <c r="B402" s="249" t="s">
        <v>1228</v>
      </c>
      <c r="C402" s="219" t="s">
        <v>2238</v>
      </c>
      <c r="D402" s="268" t="s">
        <v>495</v>
      </c>
      <c r="E402" s="251">
        <v>44245.0</v>
      </c>
      <c r="F402" s="250" t="s">
        <v>496</v>
      </c>
      <c r="G402" s="171">
        <v>200.0</v>
      </c>
      <c r="H402" s="171">
        <v>200.0</v>
      </c>
      <c r="I402" s="171">
        <v>200.0</v>
      </c>
      <c r="J402" s="325">
        <f t="shared" si="14"/>
        <v>0.002437844393</v>
      </c>
      <c r="K402" s="326">
        <f t="shared" si="19"/>
        <v>3.49424363</v>
      </c>
      <c r="L402" s="327">
        <f t="shared" si="4"/>
        <v>6.459898129</v>
      </c>
      <c r="M402" s="321" t="str">
        <f t="shared" si="5"/>
        <v>jessicazartler</v>
      </c>
      <c r="N402" s="176">
        <f>IFERROR(__xludf.DUMMYFUNCTION("""COMPUTED_VALUE"""),5.0)</f>
        <v>5</v>
      </c>
      <c r="O402" s="176"/>
      <c r="P402" s="176"/>
      <c r="Q402" s="176"/>
      <c r="R402" s="176"/>
      <c r="S402" s="176"/>
      <c r="T402" s="176"/>
      <c r="U402" s="176"/>
      <c r="V402" s="176"/>
      <c r="W402" s="176"/>
      <c r="X402" s="176"/>
      <c r="Y402" s="176"/>
      <c r="Z402" s="176"/>
    </row>
    <row r="403">
      <c r="A403" s="249" t="s">
        <v>14</v>
      </c>
      <c r="B403" s="249" t="s">
        <v>1228</v>
      </c>
      <c r="C403" s="219" t="s">
        <v>2334</v>
      </c>
      <c r="D403" s="268" t="s">
        <v>495</v>
      </c>
      <c r="E403" s="251">
        <v>44245.0</v>
      </c>
      <c r="F403" s="250" t="s">
        <v>496</v>
      </c>
      <c r="G403" s="171">
        <v>100.0</v>
      </c>
      <c r="H403" s="171">
        <v>100.0</v>
      </c>
      <c r="I403" s="171">
        <v>100.0</v>
      </c>
      <c r="J403" s="325">
        <f t="shared" si="14"/>
        <v>0.001218922197</v>
      </c>
      <c r="K403" s="326">
        <f t="shared" si="19"/>
        <v>1.747121815</v>
      </c>
      <c r="L403" s="327">
        <f t="shared" si="4"/>
        <v>6.459898129</v>
      </c>
      <c r="M403" s="321" t="str">
        <f t="shared" si="5"/>
        <v>jessicazartler</v>
      </c>
      <c r="N403" s="176">
        <f>IFERROR(__xludf.DUMMYFUNCTION("""COMPUTED_VALUE"""),6.0)</f>
        <v>6</v>
      </c>
      <c r="O403" s="176"/>
      <c r="P403" s="176"/>
      <c r="Q403" s="176"/>
      <c r="R403" s="176"/>
      <c r="S403" s="176"/>
      <c r="T403" s="176"/>
      <c r="U403" s="176"/>
      <c r="V403" s="176"/>
      <c r="W403" s="176"/>
      <c r="X403" s="176"/>
      <c r="Y403" s="176"/>
      <c r="Z403" s="176"/>
    </row>
    <row r="404">
      <c r="A404" s="249" t="s">
        <v>14</v>
      </c>
      <c r="B404" s="249" t="s">
        <v>10</v>
      </c>
      <c r="C404" s="219" t="s">
        <v>2402</v>
      </c>
      <c r="D404" s="268" t="s">
        <v>495</v>
      </c>
      <c r="E404" s="251">
        <v>44246.0</v>
      </c>
      <c r="F404" s="250" t="s">
        <v>496</v>
      </c>
      <c r="G404" s="171">
        <v>200.0</v>
      </c>
      <c r="H404" s="171">
        <v>300.0</v>
      </c>
      <c r="I404" s="171">
        <v>200.0</v>
      </c>
      <c r="J404" s="325">
        <f t="shared" si="14"/>
        <v>0.002699177768</v>
      </c>
      <c r="K404" s="326">
        <f t="shared" si="19"/>
        <v>3.868821468</v>
      </c>
      <c r="L404" s="327">
        <f t="shared" si="4"/>
        <v>6.459898129</v>
      </c>
      <c r="M404" s="321" t="str">
        <f t="shared" si="5"/>
        <v>jessicazartler</v>
      </c>
      <c r="N404" s="176">
        <f>IFERROR(__xludf.DUMMYFUNCTION("""COMPUTED_VALUE"""),7.0)</f>
        <v>7</v>
      </c>
      <c r="O404" s="176"/>
      <c r="P404" s="176"/>
      <c r="Q404" s="176"/>
      <c r="R404" s="176"/>
      <c r="S404" s="176"/>
      <c r="T404" s="176"/>
      <c r="U404" s="176"/>
      <c r="V404" s="176"/>
      <c r="W404" s="176"/>
      <c r="X404" s="176"/>
      <c r="Y404" s="176"/>
      <c r="Z404" s="176"/>
    </row>
    <row r="405">
      <c r="A405" s="249" t="s">
        <v>14</v>
      </c>
      <c r="B405" s="249" t="s">
        <v>10</v>
      </c>
      <c r="C405" s="219" t="s">
        <v>2197</v>
      </c>
      <c r="D405" s="268" t="s">
        <v>495</v>
      </c>
      <c r="E405" s="251">
        <v>44246.0</v>
      </c>
      <c r="F405" s="250" t="s">
        <v>496</v>
      </c>
      <c r="G405" s="171">
        <v>40.0</v>
      </c>
      <c r="H405" s="171">
        <v>20.0</v>
      </c>
      <c r="I405" s="171">
        <v>50.0</v>
      </c>
      <c r="J405" s="325">
        <f t="shared" si="14"/>
        <v>0.0004950340078</v>
      </c>
      <c r="K405" s="326">
        <f t="shared" si="19"/>
        <v>0.7095487446</v>
      </c>
      <c r="L405" s="327">
        <f t="shared" si="4"/>
        <v>6.459898129</v>
      </c>
      <c r="M405" s="321" t="str">
        <f t="shared" si="5"/>
        <v>jessicazartler</v>
      </c>
      <c r="N405" s="176">
        <f>IFERROR(__xludf.DUMMYFUNCTION("""COMPUTED_VALUE"""),8.0)</f>
        <v>8</v>
      </c>
      <c r="O405" s="176"/>
      <c r="P405" s="176"/>
      <c r="Q405" s="176"/>
      <c r="R405" s="176"/>
      <c r="S405" s="176"/>
      <c r="T405" s="176"/>
      <c r="U405" s="176"/>
      <c r="V405" s="176"/>
      <c r="W405" s="176"/>
      <c r="X405" s="176"/>
      <c r="Y405" s="176"/>
      <c r="Z405" s="176"/>
    </row>
    <row r="406">
      <c r="A406" s="249" t="s">
        <v>14</v>
      </c>
      <c r="B406" s="249" t="s">
        <v>10</v>
      </c>
      <c r="C406" s="219" t="s">
        <v>498</v>
      </c>
      <c r="D406" s="268" t="s">
        <v>495</v>
      </c>
      <c r="E406" s="251">
        <v>44246.0</v>
      </c>
      <c r="F406" s="250" t="s">
        <v>499</v>
      </c>
      <c r="G406" s="171">
        <v>10.0</v>
      </c>
      <c r="H406" s="171">
        <v>20.0</v>
      </c>
      <c r="I406" s="171">
        <v>20.0</v>
      </c>
      <c r="J406" s="325">
        <f t="shared" si="14"/>
        <v>0.0002077573614</v>
      </c>
      <c r="K406" s="326">
        <f t="shared" si="19"/>
        <v>0.2977855513</v>
      </c>
      <c r="L406" s="327">
        <f t="shared" si="4"/>
        <v>6.459898129</v>
      </c>
      <c r="M406" s="321" t="str">
        <f t="shared" si="5"/>
        <v>jessicazartler</v>
      </c>
      <c r="N406" s="176">
        <f>IFERROR(__xludf.DUMMYFUNCTION("""COMPUTED_VALUE"""),9.0)</f>
        <v>9</v>
      </c>
      <c r="O406" s="176"/>
      <c r="P406" s="176"/>
      <c r="Q406" s="176"/>
      <c r="R406" s="176"/>
      <c r="S406" s="176"/>
      <c r="T406" s="176"/>
      <c r="U406" s="176"/>
      <c r="V406" s="176"/>
      <c r="W406" s="176"/>
      <c r="X406" s="176"/>
      <c r="Y406" s="176"/>
      <c r="Z406" s="176"/>
    </row>
    <row r="407">
      <c r="A407" s="249" t="s">
        <v>14</v>
      </c>
      <c r="B407" s="249" t="s">
        <v>10</v>
      </c>
      <c r="C407" s="219" t="s">
        <v>500</v>
      </c>
      <c r="D407" s="268" t="s">
        <v>495</v>
      </c>
      <c r="E407" s="251">
        <v>44246.0</v>
      </c>
      <c r="F407" s="250" t="s">
        <v>545</v>
      </c>
      <c r="G407" s="171">
        <v>20.0</v>
      </c>
      <c r="H407" s="171">
        <v>20.0</v>
      </c>
      <c r="I407" s="171">
        <v>20.0</v>
      </c>
      <c r="J407" s="325">
        <f t="shared" si="14"/>
        <v>0.0002437844393</v>
      </c>
      <c r="K407" s="326">
        <f t="shared" si="19"/>
        <v>0.349424363</v>
      </c>
      <c r="L407" s="327">
        <f t="shared" si="4"/>
        <v>6.459898129</v>
      </c>
      <c r="M407" s="321" t="str">
        <f t="shared" si="5"/>
        <v>jessicazartler</v>
      </c>
      <c r="N407" s="176">
        <f>IFERROR(__xludf.DUMMYFUNCTION("""COMPUTED_VALUE"""),10.0)</f>
        <v>10</v>
      </c>
      <c r="O407" s="176"/>
      <c r="P407" s="176"/>
      <c r="Q407" s="176"/>
      <c r="R407" s="176"/>
      <c r="S407" s="176"/>
      <c r="T407" s="176"/>
      <c r="U407" s="176"/>
      <c r="V407" s="176"/>
      <c r="W407" s="176"/>
      <c r="X407" s="176"/>
      <c r="Y407" s="176"/>
      <c r="Z407" s="176"/>
    </row>
    <row r="408">
      <c r="A408" s="249" t="s">
        <v>14</v>
      </c>
      <c r="B408" s="249" t="s">
        <v>10</v>
      </c>
      <c r="C408" s="219" t="s">
        <v>494</v>
      </c>
      <c r="D408" s="268" t="s">
        <v>495</v>
      </c>
      <c r="E408" s="251">
        <v>44246.0</v>
      </c>
      <c r="F408" s="250" t="s">
        <v>545</v>
      </c>
      <c r="G408" s="171">
        <v>20.0</v>
      </c>
      <c r="H408" s="171">
        <v>300.0</v>
      </c>
      <c r="I408" s="171">
        <v>20.0</v>
      </c>
      <c r="J408" s="325">
        <f t="shared" si="14"/>
        <v>0.0009755178897</v>
      </c>
      <c r="K408" s="326">
        <f t="shared" si="19"/>
        <v>1.398242309</v>
      </c>
      <c r="L408" s="327">
        <f t="shared" si="4"/>
        <v>6.459898129</v>
      </c>
      <c r="M408" s="321" t="str">
        <f t="shared" si="5"/>
        <v>jessicazartler</v>
      </c>
      <c r="N408" s="176">
        <f>IFERROR(__xludf.DUMMYFUNCTION("""COMPUTED_VALUE"""),11.0)</f>
        <v>11</v>
      </c>
      <c r="O408" s="176"/>
      <c r="P408" s="176"/>
      <c r="Q408" s="176"/>
      <c r="R408" s="176"/>
      <c r="S408" s="176"/>
      <c r="T408" s="176"/>
      <c r="U408" s="176"/>
      <c r="V408" s="176"/>
      <c r="W408" s="176"/>
      <c r="X408" s="176"/>
      <c r="Y408" s="176"/>
      <c r="Z408" s="176"/>
    </row>
    <row r="409">
      <c r="A409" s="249" t="s">
        <v>14</v>
      </c>
      <c r="B409" s="249" t="s">
        <v>867</v>
      </c>
      <c r="C409" s="219" t="s">
        <v>2403</v>
      </c>
      <c r="D409" s="268" t="s">
        <v>495</v>
      </c>
      <c r="E409" s="251">
        <v>44247.0</v>
      </c>
      <c r="F409" s="250" t="s">
        <v>496</v>
      </c>
      <c r="G409" s="171">
        <v>400.0</v>
      </c>
      <c r="H409" s="171">
        <v>30.0</v>
      </c>
      <c r="I409" s="171">
        <v>100.0</v>
      </c>
      <c r="J409" s="325">
        <f t="shared" si="14"/>
        <v>0.002116801173</v>
      </c>
      <c r="K409" s="326">
        <f t="shared" si="19"/>
        <v>3.034081681</v>
      </c>
      <c r="L409" s="327">
        <f t="shared" si="4"/>
        <v>6.459898129</v>
      </c>
      <c r="M409" s="321" t="str">
        <f t="shared" si="5"/>
        <v>jessicazartler</v>
      </c>
      <c r="N409" s="176">
        <f>IFERROR(__xludf.DUMMYFUNCTION("""COMPUTED_VALUE"""),12.0)</f>
        <v>12</v>
      </c>
      <c r="O409" s="176"/>
      <c r="P409" s="176"/>
      <c r="Q409" s="176"/>
      <c r="R409" s="176"/>
      <c r="S409" s="176"/>
      <c r="T409" s="176"/>
      <c r="U409" s="176"/>
      <c r="V409" s="176"/>
      <c r="W409" s="176"/>
      <c r="X409" s="176"/>
      <c r="Y409" s="176"/>
      <c r="Z409" s="176"/>
    </row>
    <row r="410">
      <c r="A410" s="249" t="s">
        <v>14</v>
      </c>
      <c r="B410" s="249" t="s">
        <v>590</v>
      </c>
      <c r="C410" s="219" t="s">
        <v>2202</v>
      </c>
      <c r="D410" s="268" t="s">
        <v>495</v>
      </c>
      <c r="E410" s="251">
        <v>44250.0</v>
      </c>
      <c r="F410" s="250" t="s">
        <v>496</v>
      </c>
      <c r="G410" s="171">
        <v>60.0</v>
      </c>
      <c r="H410" s="171">
        <v>50.0</v>
      </c>
      <c r="I410" s="171">
        <v>80.0</v>
      </c>
      <c r="J410" s="325">
        <f t="shared" si="14"/>
        <v>0.0008246835889</v>
      </c>
      <c r="K410" s="326">
        <f t="shared" si="19"/>
        <v>1.182046477</v>
      </c>
      <c r="L410" s="327">
        <f t="shared" si="4"/>
        <v>6.459898129</v>
      </c>
      <c r="M410" s="321" t="str">
        <f t="shared" si="5"/>
        <v>jessicazartler</v>
      </c>
      <c r="N410" s="176">
        <f>IFERROR(__xludf.DUMMYFUNCTION("""COMPUTED_VALUE"""),13.0)</f>
        <v>13</v>
      </c>
      <c r="O410" s="176"/>
      <c r="P410" s="176"/>
      <c r="Q410" s="176"/>
      <c r="R410" s="176"/>
      <c r="S410" s="176"/>
      <c r="T410" s="176"/>
      <c r="U410" s="176"/>
      <c r="V410" s="176"/>
      <c r="W410" s="176"/>
      <c r="X410" s="176"/>
      <c r="Y410" s="176"/>
      <c r="Z410" s="176"/>
    </row>
    <row r="411">
      <c r="A411" s="249" t="s">
        <v>14</v>
      </c>
      <c r="B411" s="249" t="s">
        <v>10</v>
      </c>
      <c r="C411" s="219" t="s">
        <v>500</v>
      </c>
      <c r="D411" s="268" t="s">
        <v>495</v>
      </c>
      <c r="E411" s="251">
        <v>44253.0</v>
      </c>
      <c r="F411" s="250" t="s">
        <v>496</v>
      </c>
      <c r="G411" s="171">
        <v>20.0</v>
      </c>
      <c r="H411" s="171">
        <v>100.0</v>
      </c>
      <c r="I411" s="171">
        <v>20.0</v>
      </c>
      <c r="J411" s="325">
        <f t="shared" si="14"/>
        <v>0.0004528511394</v>
      </c>
      <c r="K411" s="326">
        <f t="shared" si="19"/>
        <v>0.6490866332</v>
      </c>
      <c r="L411" s="327">
        <f t="shared" si="4"/>
        <v>6.459898129</v>
      </c>
      <c r="M411" s="321" t="str">
        <f t="shared" si="5"/>
        <v>jessicazartler</v>
      </c>
      <c r="N411" s="176">
        <f>IFERROR(__xludf.DUMMYFUNCTION("""COMPUTED_VALUE"""),14.0)</f>
        <v>14</v>
      </c>
      <c r="O411" s="176"/>
      <c r="P411" s="176"/>
      <c r="Q411" s="176"/>
      <c r="R411" s="176"/>
      <c r="S411" s="176"/>
      <c r="T411" s="176"/>
      <c r="U411" s="176"/>
      <c r="V411" s="176"/>
      <c r="W411" s="176"/>
      <c r="X411" s="176"/>
      <c r="Y411" s="176"/>
      <c r="Z411" s="176"/>
    </row>
    <row r="412">
      <c r="A412" s="249" t="s">
        <v>14</v>
      </c>
      <c r="B412" s="249" t="s">
        <v>10</v>
      </c>
      <c r="C412" s="219" t="s">
        <v>2203</v>
      </c>
      <c r="D412" s="268" t="s">
        <v>495</v>
      </c>
      <c r="E412" s="251">
        <v>44253.0</v>
      </c>
      <c r="F412" s="250" t="s">
        <v>496</v>
      </c>
      <c r="G412" s="171">
        <v>80.0</v>
      </c>
      <c r="H412" s="171">
        <v>200.0</v>
      </c>
      <c r="I412" s="171">
        <v>100.0</v>
      </c>
      <c r="J412" s="325">
        <f t="shared" si="14"/>
        <v>0.001408201416</v>
      </c>
      <c r="K412" s="326">
        <f t="shared" si="19"/>
        <v>2.018422029</v>
      </c>
      <c r="L412" s="327">
        <f t="shared" si="4"/>
        <v>6.459898129</v>
      </c>
      <c r="M412" s="321" t="str">
        <f t="shared" si="5"/>
        <v>jessicazartler</v>
      </c>
      <c r="N412" s="176">
        <f>IFERROR(__xludf.DUMMYFUNCTION("""COMPUTED_VALUE"""),15.0)</f>
        <v>15</v>
      </c>
      <c r="O412" s="176"/>
      <c r="P412" s="176"/>
      <c r="Q412" s="176"/>
      <c r="R412" s="176"/>
      <c r="S412" s="176"/>
      <c r="T412" s="176"/>
      <c r="U412" s="176"/>
      <c r="V412" s="176"/>
      <c r="W412" s="176"/>
      <c r="X412" s="176"/>
      <c r="Y412" s="176"/>
      <c r="Z412" s="176"/>
    </row>
    <row r="413">
      <c r="A413" s="249" t="s">
        <v>14</v>
      </c>
      <c r="B413" s="249" t="s">
        <v>10</v>
      </c>
      <c r="C413" s="219" t="s">
        <v>2404</v>
      </c>
      <c r="D413" s="268" t="s">
        <v>495</v>
      </c>
      <c r="E413" s="251">
        <v>44253.0</v>
      </c>
      <c r="F413" s="250" t="s">
        <v>496</v>
      </c>
      <c r="G413" s="171">
        <v>230.0</v>
      </c>
      <c r="H413" s="171">
        <v>200.0</v>
      </c>
      <c r="I413" s="171">
        <v>100.0</v>
      </c>
      <c r="J413" s="325">
        <f t="shared" si="14"/>
        <v>0.001948607585</v>
      </c>
      <c r="K413" s="326">
        <f t="shared" si="19"/>
        <v>2.793004205</v>
      </c>
      <c r="L413" s="327">
        <f t="shared" si="4"/>
        <v>6.459898129</v>
      </c>
      <c r="M413" s="321" t="str">
        <f t="shared" si="5"/>
        <v>jessicazartler</v>
      </c>
      <c r="N413" s="176">
        <f>IFERROR(__xludf.DUMMYFUNCTION("""COMPUTED_VALUE"""),16.0)</f>
        <v>16</v>
      </c>
      <c r="O413" s="176"/>
      <c r="P413" s="176"/>
      <c r="Q413" s="176"/>
      <c r="R413" s="176"/>
      <c r="S413" s="176"/>
      <c r="T413" s="176"/>
      <c r="U413" s="176"/>
      <c r="V413" s="176"/>
      <c r="W413" s="176"/>
      <c r="X413" s="176"/>
      <c r="Y413" s="176"/>
      <c r="Z413" s="176"/>
    </row>
    <row r="414">
      <c r="A414" s="249" t="s">
        <v>14</v>
      </c>
      <c r="B414" s="249" t="s">
        <v>10</v>
      </c>
      <c r="C414" s="219" t="s">
        <v>2301</v>
      </c>
      <c r="D414" s="268" t="s">
        <v>495</v>
      </c>
      <c r="E414" s="251">
        <v>44253.0</v>
      </c>
      <c r="F414" s="250" t="s">
        <v>496</v>
      </c>
      <c r="G414" s="171">
        <v>200.0</v>
      </c>
      <c r="H414" s="171">
        <v>200.0</v>
      </c>
      <c r="I414" s="171">
        <v>200.0</v>
      </c>
      <c r="J414" s="325">
        <f t="shared" si="14"/>
        <v>0.002437844393</v>
      </c>
      <c r="K414" s="326">
        <f t="shared" si="19"/>
        <v>3.49424363</v>
      </c>
      <c r="L414" s="327">
        <f t="shared" si="4"/>
        <v>6.459898129</v>
      </c>
      <c r="M414" s="321" t="str">
        <f t="shared" si="5"/>
        <v>jessicazartler</v>
      </c>
      <c r="N414" s="176">
        <f>IFERROR(__xludf.DUMMYFUNCTION("""COMPUTED_VALUE"""),17.0)</f>
        <v>17</v>
      </c>
      <c r="O414" s="176"/>
      <c r="P414" s="176"/>
      <c r="Q414" s="176"/>
      <c r="R414" s="176"/>
      <c r="S414" s="176"/>
      <c r="T414" s="176"/>
      <c r="U414" s="176"/>
      <c r="V414" s="176"/>
      <c r="W414" s="176"/>
      <c r="X414" s="176"/>
      <c r="Y414" s="176"/>
      <c r="Z414" s="176"/>
    </row>
    <row r="415">
      <c r="A415" s="249" t="s">
        <v>14</v>
      </c>
      <c r="B415" s="249" t="s">
        <v>10</v>
      </c>
      <c r="C415" s="219" t="s">
        <v>2405</v>
      </c>
      <c r="D415" s="268" t="s">
        <v>495</v>
      </c>
      <c r="E415" s="251">
        <v>44253.0</v>
      </c>
      <c r="F415" s="250" t="s">
        <v>496</v>
      </c>
      <c r="G415" s="171">
        <v>340.0</v>
      </c>
      <c r="H415" s="171">
        <v>300.0</v>
      </c>
      <c r="I415" s="171">
        <v>200.0</v>
      </c>
      <c r="J415" s="325">
        <f t="shared" si="14"/>
        <v>0.00320355686</v>
      </c>
      <c r="K415" s="326">
        <f t="shared" si="19"/>
        <v>4.591764832</v>
      </c>
      <c r="L415" s="327">
        <f t="shared" si="4"/>
        <v>6.459898129</v>
      </c>
      <c r="M415" s="321" t="str">
        <f t="shared" si="5"/>
        <v>jessicazartler</v>
      </c>
      <c r="N415" s="176">
        <f>IFERROR(__xludf.DUMMYFUNCTION("""COMPUTED_VALUE"""),18.0)</f>
        <v>18</v>
      </c>
      <c r="O415" s="176"/>
      <c r="P415" s="176"/>
      <c r="Q415" s="176"/>
      <c r="R415" s="176"/>
      <c r="S415" s="176"/>
      <c r="T415" s="176"/>
      <c r="U415" s="176"/>
      <c r="V415" s="176"/>
      <c r="W415" s="176"/>
      <c r="X415" s="176"/>
      <c r="Y415" s="176"/>
      <c r="Z415" s="176"/>
    </row>
    <row r="416">
      <c r="A416" s="249" t="s">
        <v>14</v>
      </c>
      <c r="B416" s="249" t="s">
        <v>10</v>
      </c>
      <c r="C416" s="219" t="s">
        <v>2206</v>
      </c>
      <c r="D416" s="268" t="s">
        <v>495</v>
      </c>
      <c r="E416" s="251">
        <v>44253.0</v>
      </c>
      <c r="F416" s="250" t="s">
        <v>496</v>
      </c>
      <c r="G416" s="171">
        <v>40.0</v>
      </c>
      <c r="H416" s="171">
        <v>20.0</v>
      </c>
      <c r="I416" s="171">
        <v>50.0</v>
      </c>
      <c r="J416" s="325">
        <f t="shared" si="14"/>
        <v>0.0004950340078</v>
      </c>
      <c r="K416" s="326">
        <f t="shared" si="19"/>
        <v>0.7095487446</v>
      </c>
      <c r="L416" s="327">
        <f t="shared" si="4"/>
        <v>6.459898129</v>
      </c>
      <c r="M416" s="321" t="str">
        <f t="shared" si="5"/>
        <v>jessicazartler</v>
      </c>
      <c r="N416" s="176">
        <f>IFERROR(__xludf.DUMMYFUNCTION("""COMPUTED_VALUE"""),19.0)</f>
        <v>19</v>
      </c>
      <c r="O416" s="176"/>
      <c r="P416" s="176"/>
      <c r="Q416" s="176"/>
      <c r="R416" s="176"/>
      <c r="S416" s="176"/>
      <c r="T416" s="176"/>
      <c r="U416" s="176"/>
      <c r="V416" s="176"/>
      <c r="W416" s="176"/>
      <c r="X416" s="176"/>
      <c r="Y416" s="176"/>
      <c r="Z416" s="176"/>
    </row>
    <row r="417">
      <c r="A417" s="267" t="s">
        <v>14</v>
      </c>
      <c r="B417" s="272" t="s">
        <v>12</v>
      </c>
      <c r="C417" s="273" t="s">
        <v>2406</v>
      </c>
      <c r="D417" s="274" t="s">
        <v>437</v>
      </c>
      <c r="E417" s="328" t="s">
        <v>2224</v>
      </c>
      <c r="F417" s="274" t="s">
        <v>1929</v>
      </c>
      <c r="G417" s="171">
        <v>110.0</v>
      </c>
      <c r="H417" s="171">
        <v>100.0</v>
      </c>
      <c r="I417" s="171">
        <v>100.0</v>
      </c>
      <c r="J417" s="172">
        <f t="shared" si="14"/>
        <v>0.001254949275</v>
      </c>
      <c r="K417" s="269">
        <f t="shared" si="19"/>
        <v>1.798760627</v>
      </c>
      <c r="L417" s="270">
        <f t="shared" si="4"/>
        <v>6.459898129</v>
      </c>
      <c r="M417" s="271" t="str">
        <f t="shared" si="5"/>
        <v>jessicazartler</v>
      </c>
      <c r="N417" s="176">
        <f>IFERROR(__xludf.DUMMYFUNCTION("""COMPUTED_VALUE"""),20.0)</f>
        <v>20</v>
      </c>
      <c r="O417" s="176"/>
      <c r="P417" s="176"/>
      <c r="Q417" s="176"/>
      <c r="R417" s="176"/>
      <c r="S417" s="176"/>
      <c r="T417" s="176"/>
      <c r="U417" s="176"/>
      <c r="V417" s="176"/>
      <c r="W417" s="176"/>
      <c r="X417" s="176"/>
      <c r="Y417" s="176"/>
      <c r="Z417" s="176"/>
    </row>
    <row r="418">
      <c r="A418" s="267" t="s">
        <v>14</v>
      </c>
      <c r="B418" s="272" t="s">
        <v>38</v>
      </c>
      <c r="C418" s="273" t="s">
        <v>2407</v>
      </c>
      <c r="D418" s="274" t="s">
        <v>499</v>
      </c>
      <c r="E418" s="328" t="s">
        <v>2245</v>
      </c>
      <c r="F418" s="274" t="s">
        <v>1646</v>
      </c>
      <c r="G418" s="171">
        <v>400.0</v>
      </c>
      <c r="H418" s="171">
        <v>300.0</v>
      </c>
      <c r="I418" s="171">
        <v>100.0</v>
      </c>
      <c r="J418" s="172">
        <f t="shared" si="14"/>
        <v>0.002822401286</v>
      </c>
      <c r="K418" s="269">
        <f t="shared" si="19"/>
        <v>4.045441843</v>
      </c>
      <c r="L418" s="270">
        <f t="shared" si="4"/>
        <v>6.459898129</v>
      </c>
      <c r="M418" s="271" t="str">
        <f t="shared" si="5"/>
        <v>jessicazartler</v>
      </c>
      <c r="N418" s="176">
        <f>IFERROR(__xludf.DUMMYFUNCTION("""COMPUTED_VALUE"""),21.0)</f>
        <v>21</v>
      </c>
      <c r="O418" s="176"/>
      <c r="P418" s="176"/>
      <c r="Q418" s="176"/>
      <c r="R418" s="176"/>
      <c r="S418" s="176"/>
      <c r="T418" s="176"/>
      <c r="U418" s="176"/>
      <c r="V418" s="176"/>
      <c r="W418" s="176"/>
      <c r="X418" s="176"/>
      <c r="Y418" s="176"/>
      <c r="Z418" s="176"/>
    </row>
    <row r="419">
      <c r="A419" s="253" t="s">
        <v>35</v>
      </c>
      <c r="B419" s="253" t="s">
        <v>534</v>
      </c>
      <c r="C419" s="347" t="s">
        <v>693</v>
      </c>
      <c r="D419" s="343"/>
      <c r="E419" s="344"/>
      <c r="F419" s="343"/>
      <c r="G419" s="253"/>
      <c r="H419" s="253"/>
      <c r="I419" s="253"/>
      <c r="J419" s="172">
        <f t="shared" si="14"/>
        <v>0</v>
      </c>
      <c r="K419" s="299">
        <f>41.855*-0.85</f>
        <v>-35.57675</v>
      </c>
      <c r="L419" s="270">
        <f t="shared" si="4"/>
        <v>6.286065299</v>
      </c>
      <c r="M419" s="271" t="str">
        <f t="shared" si="5"/>
        <v>vitormarthendal</v>
      </c>
      <c r="N419" s="348">
        <f>IFERROR(__xludf.DUMMYFUNCTION("""COMPUTED_VALUE"""),1.0)</f>
        <v>1</v>
      </c>
      <c r="O419" s="343"/>
      <c r="P419" s="343"/>
      <c r="Q419" s="343"/>
      <c r="R419" s="336">
        <v>57.049855624848725</v>
      </c>
      <c r="S419" s="343"/>
      <c r="T419" s="343"/>
      <c r="U419" s="343"/>
      <c r="V419" s="343"/>
      <c r="W419" s="343"/>
      <c r="X419" s="343"/>
      <c r="Y419" s="226"/>
      <c r="Z419" s="226"/>
    </row>
    <row r="420">
      <c r="A420" s="249" t="s">
        <v>35</v>
      </c>
      <c r="B420" s="249" t="s">
        <v>925</v>
      </c>
      <c r="C420" s="219" t="s">
        <v>2351</v>
      </c>
      <c r="D420" s="268" t="s">
        <v>495</v>
      </c>
      <c r="E420" s="251">
        <v>44244.0</v>
      </c>
      <c r="F420" s="250" t="s">
        <v>496</v>
      </c>
      <c r="G420" s="171">
        <v>1200.0</v>
      </c>
      <c r="H420" s="171">
        <v>1000.0</v>
      </c>
      <c r="I420" s="171">
        <v>150.0</v>
      </c>
      <c r="J420" s="325">
        <f t="shared" si="14"/>
        <v>0.007832560169</v>
      </c>
      <c r="K420" s="326">
        <f t="shared" ref="K420:K434" si="20">J420*$J$1</f>
        <v>11.22666958</v>
      </c>
      <c r="L420" s="327">
        <f t="shared" si="4"/>
        <v>6.286065299</v>
      </c>
      <c r="M420" s="321" t="str">
        <f t="shared" si="5"/>
        <v>vitormarthendal</v>
      </c>
      <c r="N420" s="176">
        <f>IFERROR(__xludf.DUMMYFUNCTION("""COMPUTED_VALUE"""),2.0)</f>
        <v>2</v>
      </c>
      <c r="O420" s="176"/>
      <c r="P420" s="176"/>
      <c r="Q420" s="176"/>
      <c r="R420" s="176"/>
      <c r="S420" s="176"/>
      <c r="T420" s="176"/>
      <c r="U420" s="176"/>
      <c r="V420" s="176"/>
      <c r="W420" s="176"/>
      <c r="X420" s="176"/>
      <c r="Y420" s="176"/>
      <c r="Z420" s="176"/>
    </row>
    <row r="421">
      <c r="A421" s="249" t="s">
        <v>35</v>
      </c>
      <c r="B421" s="249" t="s">
        <v>519</v>
      </c>
      <c r="C421" s="219" t="s">
        <v>2329</v>
      </c>
      <c r="D421" s="268" t="s">
        <v>495</v>
      </c>
      <c r="E421" s="251">
        <v>44245.0</v>
      </c>
      <c r="F421" s="250" t="s">
        <v>521</v>
      </c>
      <c r="G421" s="171">
        <v>40.0</v>
      </c>
      <c r="H421" s="171">
        <v>50.0</v>
      </c>
      <c r="I421" s="171">
        <v>80.0</v>
      </c>
      <c r="J421" s="325">
        <f t="shared" si="14"/>
        <v>0.000752629433</v>
      </c>
      <c r="K421" s="326">
        <f t="shared" si="20"/>
        <v>1.078768854</v>
      </c>
      <c r="L421" s="327">
        <f t="shared" si="4"/>
        <v>6.286065299</v>
      </c>
      <c r="M421" s="321" t="str">
        <f t="shared" si="5"/>
        <v>vitormarthendal</v>
      </c>
      <c r="N421" s="176">
        <f>IFERROR(__xludf.DUMMYFUNCTION("""COMPUTED_VALUE"""),3.0)</f>
        <v>3</v>
      </c>
      <c r="O421" s="176"/>
      <c r="P421" s="176"/>
      <c r="Q421" s="176"/>
      <c r="R421" s="176"/>
      <c r="S421" s="176"/>
      <c r="T421" s="176"/>
      <c r="U421" s="176"/>
      <c r="V421" s="176"/>
      <c r="W421" s="176"/>
      <c r="X421" s="176"/>
      <c r="Y421" s="176"/>
      <c r="Z421" s="176"/>
    </row>
    <row r="422">
      <c r="A422" s="249" t="s">
        <v>35</v>
      </c>
      <c r="B422" s="249" t="s">
        <v>43</v>
      </c>
      <c r="C422" s="219" t="s">
        <v>2408</v>
      </c>
      <c r="D422" s="268" t="s">
        <v>495</v>
      </c>
      <c r="E422" s="251">
        <v>44245.0</v>
      </c>
      <c r="F422" s="250" t="s">
        <v>521</v>
      </c>
      <c r="G422" s="171">
        <v>400.0</v>
      </c>
      <c r="H422" s="171">
        <v>300.0</v>
      </c>
      <c r="I422" s="171">
        <v>100.0</v>
      </c>
      <c r="J422" s="325">
        <f t="shared" si="14"/>
        <v>0.002822401286</v>
      </c>
      <c r="K422" s="326">
        <f t="shared" si="20"/>
        <v>4.045441843</v>
      </c>
      <c r="L422" s="327">
        <f t="shared" si="4"/>
        <v>6.286065299</v>
      </c>
      <c r="M422" s="321" t="str">
        <f t="shared" si="5"/>
        <v>vitormarthendal</v>
      </c>
      <c r="N422" s="176">
        <f>IFERROR(__xludf.DUMMYFUNCTION("""COMPUTED_VALUE"""),4.0)</f>
        <v>4</v>
      </c>
      <c r="O422" s="176"/>
      <c r="P422" s="176"/>
      <c r="Q422" s="176"/>
      <c r="R422" s="176"/>
      <c r="S422" s="176"/>
      <c r="T422" s="176"/>
      <c r="U422" s="176"/>
      <c r="V422" s="176"/>
      <c r="W422" s="176"/>
      <c r="X422" s="176"/>
      <c r="Y422" s="176"/>
      <c r="Z422" s="176"/>
    </row>
    <row r="423">
      <c r="A423" s="249" t="s">
        <v>35</v>
      </c>
      <c r="B423" s="249" t="s">
        <v>10</v>
      </c>
      <c r="C423" s="219" t="s">
        <v>2409</v>
      </c>
      <c r="D423" s="268" t="s">
        <v>495</v>
      </c>
      <c r="E423" s="251">
        <v>44246.0</v>
      </c>
      <c r="F423" s="250" t="s">
        <v>496</v>
      </c>
      <c r="G423" s="171">
        <v>900.0</v>
      </c>
      <c r="H423" s="171">
        <v>1000.0</v>
      </c>
      <c r="I423" s="171">
        <v>200.0</v>
      </c>
      <c r="J423" s="325">
        <f t="shared" si="14"/>
        <v>0.007050406851</v>
      </c>
      <c r="K423" s="326">
        <f t="shared" si="20"/>
        <v>10.10558315</v>
      </c>
      <c r="L423" s="327">
        <f t="shared" si="4"/>
        <v>6.286065299</v>
      </c>
      <c r="M423" s="321" t="str">
        <f t="shared" si="5"/>
        <v>vitormarthendal</v>
      </c>
      <c r="N423" s="176">
        <f>IFERROR(__xludf.DUMMYFUNCTION("""COMPUTED_VALUE"""),5.0)</f>
        <v>5</v>
      </c>
      <c r="O423" s="176"/>
      <c r="P423" s="176"/>
      <c r="Q423" s="176"/>
      <c r="R423" s="176"/>
      <c r="S423" s="176"/>
      <c r="T423" s="176"/>
      <c r="U423" s="176"/>
      <c r="V423" s="176"/>
      <c r="W423" s="176"/>
      <c r="X423" s="176"/>
      <c r="Y423" s="176"/>
      <c r="Z423" s="176"/>
    </row>
    <row r="424">
      <c r="A424" s="249" t="s">
        <v>35</v>
      </c>
      <c r="B424" s="249" t="s">
        <v>519</v>
      </c>
      <c r="C424" s="219" t="s">
        <v>2329</v>
      </c>
      <c r="D424" s="268" t="s">
        <v>495</v>
      </c>
      <c r="E424" s="251">
        <v>44251.0</v>
      </c>
      <c r="F424" s="250" t="s">
        <v>521</v>
      </c>
      <c r="G424" s="171">
        <v>40.0</v>
      </c>
      <c r="H424" s="171">
        <v>100.0</v>
      </c>
      <c r="I424" s="171">
        <v>80.0</v>
      </c>
      <c r="J424" s="325">
        <f t="shared" si="14"/>
        <v>0.0008832961205</v>
      </c>
      <c r="K424" s="326">
        <f t="shared" si="20"/>
        <v>1.266057773</v>
      </c>
      <c r="L424" s="327">
        <f t="shared" si="4"/>
        <v>6.286065299</v>
      </c>
      <c r="M424" s="321" t="str">
        <f t="shared" si="5"/>
        <v>vitormarthendal</v>
      </c>
      <c r="N424" s="176">
        <f>IFERROR(__xludf.DUMMYFUNCTION("""COMPUTED_VALUE"""),6.0)</f>
        <v>6</v>
      </c>
      <c r="O424" s="176"/>
      <c r="P424" s="176"/>
      <c r="Q424" s="176"/>
      <c r="R424" s="176"/>
      <c r="S424" s="176"/>
      <c r="T424" s="176"/>
      <c r="U424" s="176"/>
      <c r="V424" s="176"/>
      <c r="W424" s="176"/>
      <c r="X424" s="176"/>
      <c r="Y424" s="176"/>
      <c r="Z424" s="176"/>
    </row>
    <row r="425">
      <c r="A425" s="249" t="s">
        <v>35</v>
      </c>
      <c r="B425" s="249" t="s">
        <v>10</v>
      </c>
      <c r="C425" s="219" t="s">
        <v>2345</v>
      </c>
      <c r="D425" s="268" t="s">
        <v>495</v>
      </c>
      <c r="E425" s="251">
        <v>44253.0</v>
      </c>
      <c r="F425" s="250" t="s">
        <v>496</v>
      </c>
      <c r="G425" s="171">
        <v>600.0</v>
      </c>
      <c r="H425" s="171">
        <v>300.0</v>
      </c>
      <c r="I425" s="171">
        <v>150.0</v>
      </c>
      <c r="J425" s="325">
        <f t="shared" si="14"/>
        <v>0.003841601866</v>
      </c>
      <c r="K425" s="326">
        <f t="shared" si="20"/>
        <v>5.506296007</v>
      </c>
      <c r="L425" s="327">
        <f t="shared" si="4"/>
        <v>6.286065299</v>
      </c>
      <c r="M425" s="321" t="str">
        <f t="shared" si="5"/>
        <v>vitormarthendal</v>
      </c>
      <c r="N425" s="176">
        <f>IFERROR(__xludf.DUMMYFUNCTION("""COMPUTED_VALUE"""),7.0)</f>
        <v>7</v>
      </c>
      <c r="O425" s="176"/>
      <c r="P425" s="176"/>
      <c r="Q425" s="176"/>
      <c r="R425" s="176"/>
      <c r="S425" s="176"/>
      <c r="T425" s="176"/>
      <c r="U425" s="176"/>
      <c r="V425" s="176"/>
      <c r="W425" s="176"/>
      <c r="X425" s="176"/>
      <c r="Y425" s="176"/>
      <c r="Z425" s="176"/>
    </row>
    <row r="426">
      <c r="A426" s="249" t="s">
        <v>35</v>
      </c>
      <c r="B426" s="249" t="s">
        <v>10</v>
      </c>
      <c r="C426" s="219" t="s">
        <v>2247</v>
      </c>
      <c r="D426" s="268" t="s">
        <v>495</v>
      </c>
      <c r="E426" s="251">
        <v>44253.0</v>
      </c>
      <c r="F426" s="250" t="s">
        <v>496</v>
      </c>
      <c r="G426" s="171">
        <v>150.0</v>
      </c>
      <c r="H426" s="171">
        <v>200.0</v>
      </c>
      <c r="I426" s="171">
        <v>80.0</v>
      </c>
      <c r="J426" s="325">
        <f t="shared" si="14"/>
        <v>0.001540927353</v>
      </c>
      <c r="K426" s="326">
        <f t="shared" si="20"/>
        <v>2.20866254</v>
      </c>
      <c r="L426" s="327">
        <f t="shared" si="4"/>
        <v>6.286065299</v>
      </c>
      <c r="M426" s="321" t="str">
        <f t="shared" si="5"/>
        <v>vitormarthendal</v>
      </c>
      <c r="N426" s="176">
        <f>IFERROR(__xludf.DUMMYFUNCTION("""COMPUTED_VALUE"""),8.0)</f>
        <v>8</v>
      </c>
      <c r="O426" s="176"/>
      <c r="P426" s="176"/>
      <c r="Q426" s="176"/>
      <c r="R426" s="176"/>
      <c r="S426" s="176"/>
      <c r="T426" s="176"/>
      <c r="U426" s="176"/>
      <c r="V426" s="176"/>
      <c r="W426" s="176"/>
      <c r="X426" s="176"/>
      <c r="Y426" s="176"/>
      <c r="Z426" s="176"/>
    </row>
    <row r="427">
      <c r="A427" s="267" t="s">
        <v>35</v>
      </c>
      <c r="B427" s="272" t="s">
        <v>2410</v>
      </c>
      <c r="C427" s="273" t="s">
        <v>2411</v>
      </c>
      <c r="D427" s="274" t="s">
        <v>499</v>
      </c>
      <c r="E427" s="328" t="s">
        <v>2412</v>
      </c>
      <c r="F427" s="274" t="s">
        <v>1646</v>
      </c>
      <c r="G427" s="171">
        <v>550.0</v>
      </c>
      <c r="H427" s="171">
        <v>500.0</v>
      </c>
      <c r="I427" s="171">
        <v>200.0</v>
      </c>
      <c r="J427" s="172">
        <f t="shared" si="14"/>
        <v>0.004482792247</v>
      </c>
      <c r="K427" s="269">
        <f t="shared" si="20"/>
        <v>6.425335554</v>
      </c>
      <c r="L427" s="270">
        <f t="shared" si="4"/>
        <v>6.286065299</v>
      </c>
      <c r="M427" s="271" t="str">
        <f t="shared" si="5"/>
        <v>vitormarthendal</v>
      </c>
      <c r="N427" s="176">
        <f>IFERROR(__xludf.DUMMYFUNCTION("""COMPUTED_VALUE"""),9.0)</f>
        <v>9</v>
      </c>
      <c r="O427" s="176"/>
      <c r="P427" s="176"/>
      <c r="Q427" s="176"/>
      <c r="R427" s="176"/>
      <c r="S427" s="176"/>
      <c r="T427" s="176"/>
      <c r="U427" s="176"/>
      <c r="V427" s="176"/>
      <c r="W427" s="176"/>
      <c r="X427" s="176"/>
      <c r="Y427" s="176"/>
      <c r="Z427" s="176"/>
    </row>
    <row r="428">
      <c r="A428" s="249" t="s">
        <v>40</v>
      </c>
      <c r="B428" s="249" t="s">
        <v>519</v>
      </c>
      <c r="C428" s="219" t="s">
        <v>2413</v>
      </c>
      <c r="D428" s="268" t="s">
        <v>495</v>
      </c>
      <c r="E428" s="251">
        <v>44242.0</v>
      </c>
      <c r="F428" s="250" t="s">
        <v>496</v>
      </c>
      <c r="G428" s="171">
        <v>240.0</v>
      </c>
      <c r="H428" s="171">
        <v>1000.0</v>
      </c>
      <c r="I428" s="171">
        <v>150.0</v>
      </c>
      <c r="J428" s="325">
        <f t="shared" si="14"/>
        <v>0.004373960685</v>
      </c>
      <c r="K428" s="326">
        <f t="shared" si="20"/>
        <v>6.269343649</v>
      </c>
      <c r="L428" s="327">
        <f t="shared" si="4"/>
        <v>6.269343649</v>
      </c>
      <c r="M428" s="321" t="str">
        <f t="shared" si="5"/>
        <v>lkngtn</v>
      </c>
      <c r="N428" s="176">
        <f>IFERROR(__xludf.DUMMYFUNCTION("""COMPUTED_VALUE"""),1.0)</f>
        <v>1</v>
      </c>
      <c r="O428" s="176"/>
      <c r="P428" s="176"/>
      <c r="Q428" s="176"/>
      <c r="R428" s="176"/>
      <c r="S428" s="176"/>
      <c r="T428" s="176"/>
      <c r="U428" s="176"/>
      <c r="V428" s="176"/>
      <c r="W428" s="176"/>
      <c r="X428" s="176"/>
      <c r="Y428" s="176"/>
      <c r="Z428" s="176"/>
    </row>
    <row r="429">
      <c r="A429" s="249" t="s">
        <v>98</v>
      </c>
      <c r="B429" s="249" t="s">
        <v>29</v>
      </c>
      <c r="C429" s="219" t="s">
        <v>2296</v>
      </c>
      <c r="D429" s="268" t="s">
        <v>495</v>
      </c>
      <c r="E429" s="251">
        <v>44242.0</v>
      </c>
      <c r="F429" s="250" t="s">
        <v>499</v>
      </c>
      <c r="G429" s="171">
        <v>200.0</v>
      </c>
      <c r="H429" s="171">
        <v>100.0</v>
      </c>
      <c r="I429" s="171">
        <v>150.0</v>
      </c>
      <c r="J429" s="325">
        <f t="shared" si="14"/>
        <v>0.001877851997</v>
      </c>
      <c r="K429" s="326">
        <f t="shared" si="20"/>
        <v>2.691587863</v>
      </c>
      <c r="L429" s="327">
        <f t="shared" si="4"/>
        <v>6.209108249</v>
      </c>
      <c r="M429" s="321" t="str">
        <f t="shared" si="5"/>
        <v>pehkah</v>
      </c>
      <c r="N429" s="176">
        <f>IFERROR(__xludf.DUMMYFUNCTION("""COMPUTED_VALUE"""),1.0)</f>
        <v>1</v>
      </c>
      <c r="O429" s="176"/>
      <c r="P429" s="176"/>
      <c r="Q429" s="176"/>
      <c r="R429" s="176"/>
      <c r="S429" s="176"/>
      <c r="T429" s="176"/>
      <c r="U429" s="176"/>
      <c r="V429" s="176"/>
      <c r="W429" s="176"/>
      <c r="X429" s="176"/>
      <c r="Y429" s="176"/>
      <c r="Z429" s="176"/>
    </row>
    <row r="430">
      <c r="A430" s="249" t="s">
        <v>98</v>
      </c>
      <c r="B430" s="249" t="s">
        <v>10</v>
      </c>
      <c r="C430" s="219" t="s">
        <v>2414</v>
      </c>
      <c r="D430" s="268" t="s">
        <v>495</v>
      </c>
      <c r="E430" s="251">
        <v>44253.0</v>
      </c>
      <c r="F430" s="250" t="s">
        <v>496</v>
      </c>
      <c r="G430" s="171">
        <v>150.0</v>
      </c>
      <c r="H430" s="171">
        <v>200.0</v>
      </c>
      <c r="I430" s="171">
        <v>150.0</v>
      </c>
      <c r="J430" s="325">
        <f t="shared" si="14"/>
        <v>0.001959049983</v>
      </c>
      <c r="K430" s="326">
        <f t="shared" si="20"/>
        <v>2.807971642</v>
      </c>
      <c r="L430" s="327">
        <f t="shared" si="4"/>
        <v>6.209108249</v>
      </c>
      <c r="M430" s="321" t="str">
        <f t="shared" si="5"/>
        <v>pehkah</v>
      </c>
      <c r="N430" s="176">
        <f>IFERROR(__xludf.DUMMYFUNCTION("""COMPUTED_VALUE"""),2.0)</f>
        <v>2</v>
      </c>
      <c r="O430" s="176"/>
      <c r="P430" s="176"/>
      <c r="Q430" s="176"/>
      <c r="R430" s="176"/>
      <c r="S430" s="176"/>
      <c r="T430" s="176"/>
      <c r="U430" s="176"/>
      <c r="V430" s="176"/>
      <c r="W430" s="176"/>
      <c r="X430" s="176"/>
      <c r="Y430" s="176"/>
      <c r="Z430" s="176"/>
    </row>
    <row r="431">
      <c r="A431" s="249" t="s">
        <v>98</v>
      </c>
      <c r="B431" s="249" t="s">
        <v>10</v>
      </c>
      <c r="C431" s="219" t="s">
        <v>2206</v>
      </c>
      <c r="D431" s="268" t="s">
        <v>495</v>
      </c>
      <c r="E431" s="251">
        <v>44253.0</v>
      </c>
      <c r="F431" s="250" t="s">
        <v>496</v>
      </c>
      <c r="G431" s="171">
        <v>40.0</v>
      </c>
      <c r="H431" s="171">
        <v>20.0</v>
      </c>
      <c r="I431" s="171">
        <v>50.0</v>
      </c>
      <c r="J431" s="325">
        <f t="shared" si="14"/>
        <v>0.0004950340078</v>
      </c>
      <c r="K431" s="326">
        <f t="shared" si="20"/>
        <v>0.7095487446</v>
      </c>
      <c r="L431" s="327">
        <f t="shared" si="4"/>
        <v>6.209108249</v>
      </c>
      <c r="M431" s="321" t="str">
        <f t="shared" si="5"/>
        <v>pehkah</v>
      </c>
      <c r="N431" s="176">
        <f>IFERROR(__xludf.DUMMYFUNCTION("""COMPUTED_VALUE"""),3.0)</f>
        <v>3</v>
      </c>
      <c r="O431" s="176"/>
      <c r="P431" s="176"/>
      <c r="Q431" s="176"/>
      <c r="R431" s="176"/>
      <c r="S431" s="176"/>
      <c r="T431" s="176"/>
      <c r="U431" s="176"/>
      <c r="V431" s="176"/>
      <c r="W431" s="176"/>
      <c r="X431" s="176"/>
      <c r="Y431" s="176"/>
      <c r="Z431" s="176"/>
    </row>
    <row r="432">
      <c r="A432" s="249" t="s">
        <v>117</v>
      </c>
      <c r="B432" s="249" t="s">
        <v>18</v>
      </c>
      <c r="C432" s="219" t="s">
        <v>2415</v>
      </c>
      <c r="D432" s="268" t="s">
        <v>495</v>
      </c>
      <c r="E432" s="251">
        <v>44249.0</v>
      </c>
      <c r="F432" s="250" t="s">
        <v>499</v>
      </c>
      <c r="G432" s="171">
        <v>120.0</v>
      </c>
      <c r="H432" s="171">
        <v>300.0</v>
      </c>
      <c r="I432" s="171">
        <v>150.0</v>
      </c>
      <c r="J432" s="325">
        <f t="shared" si="14"/>
        <v>0.002112302124</v>
      </c>
      <c r="K432" s="326">
        <f t="shared" si="20"/>
        <v>3.027633044</v>
      </c>
      <c r="L432" s="327">
        <f t="shared" si="4"/>
        <v>6.145437556</v>
      </c>
      <c r="M432" s="321" t="str">
        <f t="shared" si="5"/>
        <v>gfriis</v>
      </c>
      <c r="N432" s="176">
        <f>IFERROR(__xludf.DUMMYFUNCTION("""COMPUTED_VALUE"""),1.0)</f>
        <v>1</v>
      </c>
      <c r="O432" s="176"/>
      <c r="P432" s="176"/>
      <c r="Q432" s="176"/>
      <c r="R432" s="176"/>
      <c r="S432" s="176"/>
      <c r="T432" s="176"/>
      <c r="U432" s="176"/>
      <c r="V432" s="176"/>
      <c r="W432" s="176"/>
      <c r="X432" s="176"/>
      <c r="Y432" s="176"/>
      <c r="Z432" s="176"/>
    </row>
    <row r="433">
      <c r="A433" s="249" t="s">
        <v>117</v>
      </c>
      <c r="B433" s="249" t="s">
        <v>10</v>
      </c>
      <c r="C433" s="219" t="s">
        <v>2257</v>
      </c>
      <c r="D433" s="268" t="s">
        <v>495</v>
      </c>
      <c r="E433" s="251">
        <v>44253.0</v>
      </c>
      <c r="F433" s="250" t="s">
        <v>496</v>
      </c>
      <c r="G433" s="171">
        <v>210.0</v>
      </c>
      <c r="H433" s="171">
        <v>200.0</v>
      </c>
      <c r="I433" s="171">
        <v>150.0</v>
      </c>
      <c r="J433" s="325">
        <f t="shared" si="14"/>
        <v>0.00217521245</v>
      </c>
      <c r="K433" s="326">
        <f t="shared" si="20"/>
        <v>3.117804512</v>
      </c>
      <c r="L433" s="327">
        <f t="shared" si="4"/>
        <v>6.145437556</v>
      </c>
      <c r="M433" s="321" t="str">
        <f t="shared" si="5"/>
        <v>gfriis</v>
      </c>
      <c r="N433" s="176">
        <f>IFERROR(__xludf.DUMMYFUNCTION("""COMPUTED_VALUE"""),2.0)</f>
        <v>2</v>
      </c>
      <c r="O433" s="176"/>
      <c r="P433" s="176"/>
      <c r="Q433" s="176"/>
      <c r="R433" s="176"/>
      <c r="S433" s="176"/>
      <c r="T433" s="176"/>
      <c r="U433" s="176"/>
      <c r="V433" s="176"/>
      <c r="W433" s="176"/>
      <c r="X433" s="176"/>
      <c r="Y433" s="176"/>
      <c r="Z433" s="176"/>
    </row>
    <row r="434">
      <c r="A434" s="249" t="s">
        <v>104</v>
      </c>
      <c r="B434" s="249" t="s">
        <v>10</v>
      </c>
      <c r="C434" s="219" t="s">
        <v>2257</v>
      </c>
      <c r="D434" s="268" t="s">
        <v>495</v>
      </c>
      <c r="E434" s="251">
        <v>44253.0</v>
      </c>
      <c r="F434" s="250" t="s">
        <v>496</v>
      </c>
      <c r="G434" s="171">
        <v>210.0</v>
      </c>
      <c r="H434" s="171">
        <v>1000.0</v>
      </c>
      <c r="I434" s="171">
        <v>150.0</v>
      </c>
      <c r="J434" s="325">
        <f t="shared" si="14"/>
        <v>0.004265879451</v>
      </c>
      <c r="K434" s="326">
        <f t="shared" si="20"/>
        <v>6.114427214</v>
      </c>
      <c r="L434" s="327">
        <f t="shared" si="4"/>
        <v>6.114427214</v>
      </c>
      <c r="M434" s="321" t="str">
        <f t="shared" si="5"/>
        <v>coachb</v>
      </c>
      <c r="N434" s="176">
        <f>IFERROR(__xludf.DUMMYFUNCTION("""COMPUTED_VALUE"""),1.0)</f>
        <v>1</v>
      </c>
      <c r="O434" s="176"/>
      <c r="P434" s="176"/>
      <c r="Q434" s="176"/>
      <c r="R434" s="176"/>
      <c r="S434" s="176"/>
      <c r="T434" s="176"/>
      <c r="U434" s="176"/>
      <c r="V434" s="176"/>
      <c r="W434" s="176"/>
      <c r="X434" s="176"/>
      <c r="Y434" s="176"/>
      <c r="Z434" s="176"/>
    </row>
    <row r="435">
      <c r="A435" s="343" t="s">
        <v>43</v>
      </c>
      <c r="B435" s="240" t="s">
        <v>534</v>
      </c>
      <c r="C435" s="221" t="s">
        <v>794</v>
      </c>
      <c r="D435" s="336"/>
      <c r="E435" s="255"/>
      <c r="F435" s="254"/>
      <c r="G435" s="222"/>
      <c r="H435" s="222"/>
      <c r="I435" s="222"/>
      <c r="J435" s="325">
        <f t="shared" si="14"/>
        <v>0</v>
      </c>
      <c r="K435" s="345">
        <f>40.49*-0.85</f>
        <v>-34.4165</v>
      </c>
      <c r="L435" s="327">
        <f t="shared" si="4"/>
        <v>6.081605125</v>
      </c>
      <c r="M435" s="321" t="str">
        <f t="shared" si="5"/>
        <v>markop</v>
      </c>
      <c r="N435" s="209">
        <f>IFERROR(__xludf.DUMMYFUNCTION("""COMPUTED_VALUE"""),1.0)</f>
        <v>1</v>
      </c>
      <c r="O435" s="209"/>
      <c r="P435" s="209"/>
      <c r="Q435" s="209"/>
      <c r="R435" s="209">
        <v>18.848124090566696</v>
      </c>
      <c r="S435" s="209"/>
      <c r="T435" s="209"/>
      <c r="U435" s="209"/>
      <c r="V435" s="209"/>
      <c r="W435" s="209"/>
      <c r="X435" s="209"/>
      <c r="Y435" s="176"/>
      <c r="Z435" s="176"/>
    </row>
    <row r="436">
      <c r="A436" s="249" t="s">
        <v>43</v>
      </c>
      <c r="B436" s="249" t="s">
        <v>519</v>
      </c>
      <c r="C436" s="219" t="s">
        <v>2329</v>
      </c>
      <c r="D436" s="268" t="s">
        <v>495</v>
      </c>
      <c r="E436" s="251">
        <v>44245.0</v>
      </c>
      <c r="F436" s="250" t="s">
        <v>521</v>
      </c>
      <c r="G436" s="171">
        <v>40.0</v>
      </c>
      <c r="H436" s="171">
        <v>50.0</v>
      </c>
      <c r="I436" s="171">
        <v>100.0</v>
      </c>
      <c r="J436" s="325">
        <f t="shared" si="14"/>
        <v>0.0008720930414</v>
      </c>
      <c r="K436" s="326">
        <f t="shared" ref="K436:K452" si="21">J436*$J$1</f>
        <v>1.250000026</v>
      </c>
      <c r="L436" s="327">
        <f t="shared" si="4"/>
        <v>6.081605125</v>
      </c>
      <c r="M436" s="321" t="str">
        <f t="shared" si="5"/>
        <v>markop</v>
      </c>
      <c r="N436" s="176">
        <f>IFERROR(__xludf.DUMMYFUNCTION("""COMPUTED_VALUE"""),2.0)</f>
        <v>2</v>
      </c>
      <c r="O436" s="176"/>
      <c r="P436" s="176"/>
      <c r="Q436" s="176"/>
      <c r="R436" s="176"/>
      <c r="S436" s="176"/>
      <c r="T436" s="176"/>
      <c r="U436" s="176"/>
      <c r="V436" s="176"/>
      <c r="W436" s="176"/>
      <c r="X436" s="176"/>
      <c r="Y436" s="176"/>
      <c r="Z436" s="176"/>
    </row>
    <row r="437">
      <c r="A437" s="249" t="s">
        <v>43</v>
      </c>
      <c r="B437" s="249" t="s">
        <v>845</v>
      </c>
      <c r="C437" s="219" t="s">
        <v>2256</v>
      </c>
      <c r="D437" s="268" t="s">
        <v>495</v>
      </c>
      <c r="E437" s="251">
        <v>44250.0</v>
      </c>
      <c r="F437" s="250" t="s">
        <v>499</v>
      </c>
      <c r="G437" s="171">
        <v>500.0</v>
      </c>
      <c r="H437" s="171">
        <v>400.0</v>
      </c>
      <c r="I437" s="171">
        <v>150.0</v>
      </c>
      <c r="J437" s="325">
        <f t="shared" si="14"/>
        <v>0.003742664461</v>
      </c>
      <c r="K437" s="326">
        <f t="shared" si="21"/>
        <v>5.364485728</v>
      </c>
      <c r="L437" s="327">
        <f t="shared" si="4"/>
        <v>6.081605125</v>
      </c>
      <c r="M437" s="321" t="str">
        <f t="shared" si="5"/>
        <v>markop</v>
      </c>
      <c r="N437" s="176">
        <f>IFERROR(__xludf.DUMMYFUNCTION("""COMPUTED_VALUE"""),3.0)</f>
        <v>3</v>
      </c>
      <c r="O437" s="176"/>
      <c r="P437" s="176"/>
      <c r="Q437" s="176"/>
      <c r="R437" s="176"/>
      <c r="S437" s="176"/>
      <c r="T437" s="176"/>
      <c r="U437" s="176"/>
      <c r="V437" s="176"/>
      <c r="W437" s="176"/>
      <c r="X437" s="176"/>
      <c r="Y437" s="176"/>
      <c r="Z437" s="176"/>
    </row>
    <row r="438">
      <c r="A438" s="249" t="s">
        <v>43</v>
      </c>
      <c r="B438" s="249" t="s">
        <v>867</v>
      </c>
      <c r="C438" s="219" t="s">
        <v>2416</v>
      </c>
      <c r="D438" s="268" t="s">
        <v>495</v>
      </c>
      <c r="E438" s="251">
        <v>44250.0</v>
      </c>
      <c r="F438" s="250" t="s">
        <v>496</v>
      </c>
      <c r="G438" s="171">
        <v>300.0</v>
      </c>
      <c r="H438" s="171">
        <v>300.0</v>
      </c>
      <c r="I438" s="171">
        <v>150.0</v>
      </c>
      <c r="J438" s="325">
        <f t="shared" si="14"/>
        <v>0.002760789527</v>
      </c>
      <c r="K438" s="326">
        <f t="shared" si="21"/>
        <v>3.957131655</v>
      </c>
      <c r="L438" s="327">
        <f t="shared" si="4"/>
        <v>6.081605125</v>
      </c>
      <c r="M438" s="321" t="str">
        <f t="shared" si="5"/>
        <v>markop</v>
      </c>
      <c r="N438" s="176">
        <f>IFERROR(__xludf.DUMMYFUNCTION("""COMPUTED_VALUE"""),4.0)</f>
        <v>4</v>
      </c>
      <c r="O438" s="176"/>
      <c r="P438" s="176"/>
      <c r="Q438" s="176"/>
      <c r="R438" s="176"/>
      <c r="S438" s="176"/>
      <c r="T438" s="176"/>
      <c r="U438" s="176"/>
      <c r="V438" s="176"/>
      <c r="W438" s="176"/>
      <c r="X438" s="176"/>
      <c r="Y438" s="176"/>
      <c r="Z438" s="176"/>
    </row>
    <row r="439">
      <c r="A439" s="249" t="s">
        <v>43</v>
      </c>
      <c r="B439" s="249" t="s">
        <v>590</v>
      </c>
      <c r="C439" s="219" t="s">
        <v>2417</v>
      </c>
      <c r="D439" s="268" t="s">
        <v>495</v>
      </c>
      <c r="E439" s="251">
        <v>44250.0</v>
      </c>
      <c r="F439" s="250" t="s">
        <v>496</v>
      </c>
      <c r="G439" s="171">
        <v>300.0</v>
      </c>
      <c r="H439" s="171">
        <v>200.0</v>
      </c>
      <c r="I439" s="171">
        <v>150.0</v>
      </c>
      <c r="J439" s="325">
        <f t="shared" si="14"/>
        <v>0.002499456152</v>
      </c>
      <c r="K439" s="326">
        <f t="shared" si="21"/>
        <v>3.582553818</v>
      </c>
      <c r="L439" s="327">
        <f t="shared" si="4"/>
        <v>6.081605125</v>
      </c>
      <c r="M439" s="321" t="str">
        <f t="shared" si="5"/>
        <v>markop</v>
      </c>
      <c r="N439" s="176">
        <f>IFERROR(__xludf.DUMMYFUNCTION("""COMPUTED_VALUE"""),5.0)</f>
        <v>5</v>
      </c>
      <c r="O439" s="176"/>
      <c r="P439" s="176"/>
      <c r="Q439" s="176"/>
      <c r="R439" s="176"/>
      <c r="S439" s="176"/>
      <c r="T439" s="176"/>
      <c r="U439" s="176"/>
      <c r="V439" s="176"/>
      <c r="W439" s="176"/>
      <c r="X439" s="176"/>
      <c r="Y439" s="176"/>
      <c r="Z439" s="176"/>
    </row>
    <row r="440">
      <c r="A440" s="249" t="s">
        <v>43</v>
      </c>
      <c r="B440" s="249" t="s">
        <v>590</v>
      </c>
      <c r="C440" s="219" t="s">
        <v>2202</v>
      </c>
      <c r="D440" s="268" t="s">
        <v>495</v>
      </c>
      <c r="E440" s="251">
        <v>44250.0</v>
      </c>
      <c r="F440" s="250" t="s">
        <v>496</v>
      </c>
      <c r="G440" s="171">
        <v>60.0</v>
      </c>
      <c r="H440" s="171">
        <v>50.0</v>
      </c>
      <c r="I440" s="171">
        <v>80.0</v>
      </c>
      <c r="J440" s="325">
        <f t="shared" si="14"/>
        <v>0.0008246835889</v>
      </c>
      <c r="K440" s="326">
        <f t="shared" si="21"/>
        <v>1.182046477</v>
      </c>
      <c r="L440" s="327">
        <f t="shared" si="4"/>
        <v>6.081605125</v>
      </c>
      <c r="M440" s="321" t="str">
        <f t="shared" si="5"/>
        <v>markop</v>
      </c>
      <c r="N440" s="176">
        <f>IFERROR(__xludf.DUMMYFUNCTION("""COMPUTED_VALUE"""),6.0)</f>
        <v>6</v>
      </c>
      <c r="O440" s="176"/>
      <c r="P440" s="176"/>
      <c r="Q440" s="176"/>
      <c r="R440" s="176"/>
      <c r="S440" s="176"/>
      <c r="T440" s="176"/>
      <c r="U440" s="176"/>
      <c r="V440" s="176"/>
      <c r="W440" s="176"/>
      <c r="X440" s="176"/>
      <c r="Y440" s="176"/>
      <c r="Z440" s="176"/>
    </row>
    <row r="441">
      <c r="A441" s="249" t="s">
        <v>43</v>
      </c>
      <c r="B441" s="249" t="s">
        <v>519</v>
      </c>
      <c r="C441" s="219" t="s">
        <v>2329</v>
      </c>
      <c r="D441" s="268" t="s">
        <v>495</v>
      </c>
      <c r="E441" s="251">
        <v>44251.0</v>
      </c>
      <c r="F441" s="250" t="s">
        <v>521</v>
      </c>
      <c r="G441" s="171">
        <v>40.0</v>
      </c>
      <c r="H441" s="171">
        <v>100.0</v>
      </c>
      <c r="I441" s="171">
        <v>80.0</v>
      </c>
      <c r="J441" s="325">
        <f t="shared" si="14"/>
        <v>0.0008832961205</v>
      </c>
      <c r="K441" s="326">
        <f t="shared" si="21"/>
        <v>1.266057773</v>
      </c>
      <c r="L441" s="327">
        <f t="shared" si="4"/>
        <v>6.081605125</v>
      </c>
      <c r="M441" s="321" t="str">
        <f t="shared" si="5"/>
        <v>markop</v>
      </c>
      <c r="N441" s="176">
        <f>IFERROR(__xludf.DUMMYFUNCTION("""COMPUTED_VALUE"""),7.0)</f>
        <v>7</v>
      </c>
      <c r="O441" s="176"/>
      <c r="P441" s="176"/>
      <c r="Q441" s="176"/>
      <c r="R441" s="176"/>
      <c r="S441" s="176"/>
      <c r="T441" s="176"/>
      <c r="U441" s="176"/>
      <c r="V441" s="176"/>
      <c r="W441" s="176"/>
      <c r="X441" s="176"/>
      <c r="Y441" s="176"/>
      <c r="Z441" s="176"/>
    </row>
    <row r="442">
      <c r="A442" s="249" t="s">
        <v>43</v>
      </c>
      <c r="B442" s="249" t="s">
        <v>10</v>
      </c>
      <c r="C442" s="219" t="s">
        <v>500</v>
      </c>
      <c r="D442" s="268" t="s">
        <v>495</v>
      </c>
      <c r="E442" s="251">
        <v>44253.0</v>
      </c>
      <c r="F442" s="250" t="s">
        <v>496</v>
      </c>
      <c r="G442" s="171">
        <v>20.0</v>
      </c>
      <c r="H442" s="171">
        <v>100.0</v>
      </c>
      <c r="I442" s="171">
        <v>20.0</v>
      </c>
      <c r="J442" s="325">
        <f t="shared" si="14"/>
        <v>0.0004528511394</v>
      </c>
      <c r="K442" s="326">
        <f t="shared" si="21"/>
        <v>0.6490866332</v>
      </c>
      <c r="L442" s="327">
        <f t="shared" si="4"/>
        <v>6.081605125</v>
      </c>
      <c r="M442" s="321" t="str">
        <f t="shared" si="5"/>
        <v>markop</v>
      </c>
      <c r="N442" s="176">
        <f>IFERROR(__xludf.DUMMYFUNCTION("""COMPUTED_VALUE"""),8.0)</f>
        <v>8</v>
      </c>
      <c r="O442" s="176"/>
      <c r="P442" s="176"/>
      <c r="Q442" s="176"/>
      <c r="R442" s="176"/>
      <c r="S442" s="176"/>
      <c r="T442" s="176"/>
      <c r="U442" s="176"/>
      <c r="V442" s="176"/>
      <c r="W442" s="176"/>
      <c r="X442" s="176"/>
      <c r="Y442" s="176"/>
      <c r="Z442" s="176"/>
    </row>
    <row r="443">
      <c r="A443" s="249" t="s">
        <v>43</v>
      </c>
      <c r="B443" s="249" t="s">
        <v>10</v>
      </c>
      <c r="C443" s="219" t="s">
        <v>494</v>
      </c>
      <c r="D443" s="268" t="s">
        <v>495</v>
      </c>
      <c r="E443" s="251">
        <v>44253.0</v>
      </c>
      <c r="F443" s="250" t="s">
        <v>496</v>
      </c>
      <c r="G443" s="171">
        <v>100.0</v>
      </c>
      <c r="H443" s="171">
        <v>300.0</v>
      </c>
      <c r="I443" s="171">
        <v>100.0</v>
      </c>
      <c r="J443" s="325">
        <f t="shared" si="14"/>
        <v>0.001741588947</v>
      </c>
      <c r="K443" s="326">
        <f t="shared" si="21"/>
        <v>2.496277491</v>
      </c>
      <c r="L443" s="327">
        <f t="shared" si="4"/>
        <v>6.081605125</v>
      </c>
      <c r="M443" s="321" t="str">
        <f t="shared" si="5"/>
        <v>markop</v>
      </c>
      <c r="N443" s="176">
        <f>IFERROR(__xludf.DUMMYFUNCTION("""COMPUTED_VALUE"""),9.0)</f>
        <v>9</v>
      </c>
      <c r="O443" s="176"/>
      <c r="P443" s="176"/>
      <c r="Q443" s="176"/>
      <c r="R443" s="176"/>
      <c r="S443" s="176"/>
      <c r="T443" s="176"/>
      <c r="U443" s="176"/>
      <c r="V443" s="176"/>
      <c r="W443" s="176"/>
      <c r="X443" s="176"/>
      <c r="Y443" s="176"/>
      <c r="Z443" s="176"/>
    </row>
    <row r="444">
      <c r="A444" s="249" t="s">
        <v>43</v>
      </c>
      <c r="B444" s="249" t="s">
        <v>10</v>
      </c>
      <c r="C444" s="219" t="s">
        <v>2181</v>
      </c>
      <c r="D444" s="268" t="s">
        <v>495</v>
      </c>
      <c r="E444" s="251">
        <v>44253.0</v>
      </c>
      <c r="F444" s="250" t="s">
        <v>499</v>
      </c>
      <c r="G444" s="171">
        <v>10.0</v>
      </c>
      <c r="H444" s="171">
        <v>40.0</v>
      </c>
      <c r="I444" s="171">
        <v>20.0</v>
      </c>
      <c r="J444" s="325">
        <f t="shared" si="14"/>
        <v>0.0002600240364</v>
      </c>
      <c r="K444" s="326">
        <f t="shared" si="21"/>
        <v>0.3727011189</v>
      </c>
      <c r="L444" s="327">
        <f t="shared" si="4"/>
        <v>6.081605125</v>
      </c>
      <c r="M444" s="321" t="str">
        <f t="shared" si="5"/>
        <v>markop</v>
      </c>
      <c r="N444" s="176">
        <f>IFERROR(__xludf.DUMMYFUNCTION("""COMPUTED_VALUE"""),10.0)</f>
        <v>10</v>
      </c>
      <c r="O444" s="176"/>
      <c r="P444" s="176"/>
      <c r="Q444" s="176"/>
      <c r="R444" s="176"/>
      <c r="S444" s="176"/>
      <c r="T444" s="176"/>
      <c r="U444" s="176"/>
      <c r="V444" s="176"/>
      <c r="W444" s="176"/>
      <c r="X444" s="176"/>
      <c r="Y444" s="176"/>
      <c r="Z444" s="176"/>
    </row>
    <row r="445">
      <c r="A445" s="249" t="s">
        <v>43</v>
      </c>
      <c r="B445" s="249" t="s">
        <v>10</v>
      </c>
      <c r="C445" s="219" t="s">
        <v>2203</v>
      </c>
      <c r="D445" s="268" t="s">
        <v>495</v>
      </c>
      <c r="E445" s="251">
        <v>44253.0</v>
      </c>
      <c r="F445" s="250" t="s">
        <v>496</v>
      </c>
      <c r="G445" s="171">
        <v>80.0</v>
      </c>
      <c r="H445" s="171">
        <v>200.0</v>
      </c>
      <c r="I445" s="171">
        <v>150.0</v>
      </c>
      <c r="J445" s="325">
        <f t="shared" si="14"/>
        <v>0.001706860437</v>
      </c>
      <c r="K445" s="326">
        <f t="shared" si="21"/>
        <v>2.44649996</v>
      </c>
      <c r="L445" s="327">
        <f t="shared" si="4"/>
        <v>6.081605125</v>
      </c>
      <c r="M445" s="321" t="str">
        <f t="shared" si="5"/>
        <v>markop</v>
      </c>
      <c r="N445" s="176">
        <f>IFERROR(__xludf.DUMMYFUNCTION("""COMPUTED_VALUE"""),11.0)</f>
        <v>11</v>
      </c>
      <c r="O445" s="176"/>
      <c r="P445" s="176"/>
      <c r="Q445" s="176"/>
      <c r="R445" s="176"/>
      <c r="S445" s="176"/>
      <c r="T445" s="176"/>
      <c r="U445" s="176"/>
      <c r="V445" s="176"/>
      <c r="W445" s="176"/>
      <c r="X445" s="176"/>
      <c r="Y445" s="176"/>
      <c r="Z445" s="176"/>
    </row>
    <row r="446">
      <c r="A446" s="249" t="s">
        <v>43</v>
      </c>
      <c r="B446" s="249" t="s">
        <v>10</v>
      </c>
      <c r="C446" s="219" t="s">
        <v>2418</v>
      </c>
      <c r="D446" s="268" t="s">
        <v>495</v>
      </c>
      <c r="E446" s="251">
        <v>44253.0</v>
      </c>
      <c r="F446" s="250" t="s">
        <v>496</v>
      </c>
      <c r="G446" s="171">
        <v>800.0</v>
      </c>
      <c r="H446" s="171">
        <v>300.0</v>
      </c>
      <c r="I446" s="171">
        <v>100.0</v>
      </c>
      <c r="J446" s="325">
        <f t="shared" si="14"/>
        <v>0.004263484404</v>
      </c>
      <c r="K446" s="326">
        <f t="shared" si="21"/>
        <v>6.110994312</v>
      </c>
      <c r="L446" s="327">
        <f t="shared" si="4"/>
        <v>6.081605125</v>
      </c>
      <c r="M446" s="321" t="str">
        <f t="shared" si="5"/>
        <v>markop</v>
      </c>
      <c r="N446" s="176">
        <f>IFERROR(__xludf.DUMMYFUNCTION("""COMPUTED_VALUE"""),12.0)</f>
        <v>12</v>
      </c>
      <c r="O446" s="176"/>
      <c r="P446" s="176"/>
      <c r="Q446" s="176"/>
      <c r="R446" s="176"/>
      <c r="S446" s="176"/>
      <c r="T446" s="176"/>
      <c r="U446" s="176"/>
      <c r="V446" s="176"/>
      <c r="W446" s="176"/>
      <c r="X446" s="176"/>
      <c r="Y446" s="176"/>
      <c r="Z446" s="176"/>
    </row>
    <row r="447">
      <c r="A447" s="249" t="s">
        <v>43</v>
      </c>
      <c r="B447" s="249" t="s">
        <v>10</v>
      </c>
      <c r="C447" s="219" t="s">
        <v>2257</v>
      </c>
      <c r="D447" s="268" t="s">
        <v>495</v>
      </c>
      <c r="E447" s="251">
        <v>44253.0</v>
      </c>
      <c r="F447" s="250" t="s">
        <v>496</v>
      </c>
      <c r="G447" s="171">
        <v>210.0</v>
      </c>
      <c r="H447" s="171">
        <v>200.0</v>
      </c>
      <c r="I447" s="171">
        <v>150.0</v>
      </c>
      <c r="J447" s="325">
        <f t="shared" si="14"/>
        <v>0.00217521245</v>
      </c>
      <c r="K447" s="326">
        <f t="shared" si="21"/>
        <v>3.117804512</v>
      </c>
      <c r="L447" s="327">
        <f t="shared" si="4"/>
        <v>6.081605125</v>
      </c>
      <c r="M447" s="321" t="str">
        <f t="shared" si="5"/>
        <v>markop</v>
      </c>
      <c r="N447" s="176">
        <f>IFERROR(__xludf.DUMMYFUNCTION("""COMPUTED_VALUE"""),13.0)</f>
        <v>13</v>
      </c>
      <c r="O447" s="176"/>
      <c r="P447" s="176"/>
      <c r="Q447" s="176"/>
      <c r="R447" s="176"/>
      <c r="S447" s="176"/>
      <c r="T447" s="176"/>
      <c r="U447" s="176"/>
      <c r="V447" s="176"/>
      <c r="W447" s="176"/>
      <c r="X447" s="176"/>
      <c r="Y447" s="176"/>
      <c r="Z447" s="176"/>
    </row>
    <row r="448">
      <c r="A448" s="249" t="s">
        <v>43</v>
      </c>
      <c r="B448" s="249" t="s">
        <v>10</v>
      </c>
      <c r="C448" s="219" t="s">
        <v>2247</v>
      </c>
      <c r="D448" s="268" t="s">
        <v>495</v>
      </c>
      <c r="E448" s="251">
        <v>44253.0</v>
      </c>
      <c r="F448" s="250" t="s">
        <v>496</v>
      </c>
      <c r="G448" s="171">
        <v>150.0</v>
      </c>
      <c r="H448" s="171">
        <v>200.0</v>
      </c>
      <c r="I448" s="171">
        <v>80.0</v>
      </c>
      <c r="J448" s="325">
        <f t="shared" si="14"/>
        <v>0.001540927353</v>
      </c>
      <c r="K448" s="326">
        <f t="shared" si="21"/>
        <v>2.20866254</v>
      </c>
      <c r="L448" s="327">
        <f t="shared" si="4"/>
        <v>6.081605125</v>
      </c>
      <c r="M448" s="321" t="str">
        <f t="shared" si="5"/>
        <v>markop</v>
      </c>
      <c r="N448" s="176">
        <f>IFERROR(__xludf.DUMMYFUNCTION("""COMPUTED_VALUE"""),14.0)</f>
        <v>14</v>
      </c>
      <c r="O448" s="176"/>
      <c r="P448" s="176"/>
      <c r="Q448" s="176"/>
      <c r="R448" s="176"/>
      <c r="S448" s="176"/>
      <c r="T448" s="176"/>
      <c r="U448" s="176"/>
      <c r="V448" s="176"/>
      <c r="W448" s="176"/>
      <c r="X448" s="176"/>
      <c r="Y448" s="176"/>
      <c r="Z448" s="176"/>
    </row>
    <row r="449">
      <c r="A449" s="249" t="s">
        <v>43</v>
      </c>
      <c r="B449" s="249" t="s">
        <v>10</v>
      </c>
      <c r="C449" s="219" t="s">
        <v>2419</v>
      </c>
      <c r="D449" s="268" t="s">
        <v>495</v>
      </c>
      <c r="E449" s="251">
        <v>44253.0</v>
      </c>
      <c r="F449" s="250" t="s">
        <v>496</v>
      </c>
      <c r="G449" s="171">
        <v>220.0</v>
      </c>
      <c r="H449" s="171">
        <v>200.0</v>
      </c>
      <c r="I449" s="171">
        <v>100.0</v>
      </c>
      <c r="J449" s="325">
        <f t="shared" si="14"/>
        <v>0.001912580507</v>
      </c>
      <c r="K449" s="326">
        <f t="shared" si="21"/>
        <v>2.741365394</v>
      </c>
      <c r="L449" s="327">
        <f t="shared" si="4"/>
        <v>6.081605125</v>
      </c>
      <c r="M449" s="321" t="str">
        <f t="shared" si="5"/>
        <v>markop</v>
      </c>
      <c r="N449" s="176">
        <f>IFERROR(__xludf.DUMMYFUNCTION("""COMPUTED_VALUE"""),15.0)</f>
        <v>15</v>
      </c>
      <c r="O449" s="176"/>
      <c r="P449" s="176"/>
      <c r="Q449" s="176"/>
      <c r="R449" s="176"/>
      <c r="S449" s="176"/>
      <c r="T449" s="176"/>
      <c r="U449" s="176"/>
      <c r="V449" s="176"/>
      <c r="W449" s="176"/>
      <c r="X449" s="176"/>
      <c r="Y449" s="176"/>
      <c r="Z449" s="176"/>
    </row>
    <row r="450">
      <c r="A450" s="267" t="s">
        <v>43</v>
      </c>
      <c r="B450" s="272" t="s">
        <v>1958</v>
      </c>
      <c r="C450" s="273" t="s">
        <v>2420</v>
      </c>
      <c r="D450" s="274" t="s">
        <v>437</v>
      </c>
      <c r="E450" s="328" t="s">
        <v>2305</v>
      </c>
      <c r="F450" s="274" t="s">
        <v>1929</v>
      </c>
      <c r="G450" s="171">
        <v>250.0</v>
      </c>
      <c r="H450" s="171">
        <v>200.0</v>
      </c>
      <c r="I450" s="171">
        <v>200.0</v>
      </c>
      <c r="J450" s="172">
        <f t="shared" si="14"/>
        <v>0.002617979783</v>
      </c>
      <c r="K450" s="269">
        <f t="shared" si="21"/>
        <v>3.752437689</v>
      </c>
      <c r="L450" s="270">
        <f t="shared" si="4"/>
        <v>6.081605125</v>
      </c>
      <c r="M450" s="271" t="str">
        <f t="shared" si="5"/>
        <v>markop</v>
      </c>
      <c r="N450" s="176">
        <f>IFERROR(__xludf.DUMMYFUNCTION("""COMPUTED_VALUE"""),16.0)</f>
        <v>16</v>
      </c>
      <c r="O450" s="176"/>
      <c r="P450" s="176"/>
      <c r="Q450" s="176"/>
      <c r="R450" s="176"/>
      <c r="S450" s="176"/>
      <c r="T450" s="176"/>
      <c r="U450" s="176"/>
      <c r="V450" s="176"/>
      <c r="W450" s="176"/>
      <c r="X450" s="176"/>
      <c r="Y450" s="176"/>
      <c r="Z450" s="176"/>
    </row>
    <row r="451">
      <c r="A451" s="249" t="s">
        <v>56</v>
      </c>
      <c r="B451" s="249" t="s">
        <v>43</v>
      </c>
      <c r="C451" s="219" t="s">
        <v>2401</v>
      </c>
      <c r="D451" s="268" t="s">
        <v>495</v>
      </c>
      <c r="E451" s="251">
        <v>44243.0</v>
      </c>
      <c r="F451" s="250" t="s">
        <v>496</v>
      </c>
      <c r="G451" s="171">
        <v>120.0</v>
      </c>
      <c r="H451" s="171">
        <v>200.0</v>
      </c>
      <c r="I451" s="171">
        <v>100.0</v>
      </c>
      <c r="J451" s="325">
        <f t="shared" si="14"/>
        <v>0.001552309728</v>
      </c>
      <c r="K451" s="326">
        <f t="shared" si="21"/>
        <v>2.224977276</v>
      </c>
      <c r="L451" s="327">
        <f t="shared" si="4"/>
        <v>5.923914873</v>
      </c>
      <c r="M451" s="321" t="str">
        <f t="shared" si="5"/>
        <v>rosamoc</v>
      </c>
      <c r="N451" s="176">
        <f>IFERROR(__xludf.DUMMYFUNCTION("""COMPUTED_VALUE"""),1.0)</f>
        <v>1</v>
      </c>
      <c r="O451" s="176"/>
      <c r="P451" s="176"/>
      <c r="Q451" s="176"/>
      <c r="R451" s="176"/>
      <c r="S451" s="176"/>
      <c r="T451" s="176"/>
      <c r="U451" s="176"/>
      <c r="V451" s="176"/>
      <c r="W451" s="176"/>
      <c r="X451" s="176"/>
      <c r="Y451" s="176"/>
      <c r="Z451" s="176"/>
    </row>
    <row r="452">
      <c r="A452" s="249" t="s">
        <v>56</v>
      </c>
      <c r="B452" s="249" t="s">
        <v>43</v>
      </c>
      <c r="C452" s="219" t="s">
        <v>2421</v>
      </c>
      <c r="D452" s="268" t="s">
        <v>495</v>
      </c>
      <c r="E452" s="251">
        <v>44253.0</v>
      </c>
      <c r="F452" s="250" t="s">
        <v>496</v>
      </c>
      <c r="G452" s="171">
        <v>250.0</v>
      </c>
      <c r="H452" s="171">
        <v>300.0</v>
      </c>
      <c r="I452" s="171">
        <v>150.0</v>
      </c>
      <c r="J452" s="325">
        <f t="shared" si="14"/>
        <v>0.002580654137</v>
      </c>
      <c r="K452" s="326">
        <f t="shared" si="21"/>
        <v>3.698937597</v>
      </c>
      <c r="L452" s="327">
        <f t="shared" si="4"/>
        <v>5.923914873</v>
      </c>
      <c r="M452" s="321" t="str">
        <f t="shared" si="5"/>
        <v>rosamoc</v>
      </c>
      <c r="N452" s="176">
        <f>IFERROR(__xludf.DUMMYFUNCTION("""COMPUTED_VALUE"""),2.0)</f>
        <v>2</v>
      </c>
      <c r="O452" s="176"/>
      <c r="P452" s="176"/>
      <c r="Q452" s="176"/>
      <c r="R452" s="176"/>
      <c r="S452" s="176"/>
      <c r="T452" s="176"/>
      <c r="U452" s="176"/>
      <c r="V452" s="176"/>
      <c r="W452" s="176"/>
      <c r="X452" s="176"/>
      <c r="Y452" s="176"/>
      <c r="Z452" s="176"/>
    </row>
    <row r="453">
      <c r="A453" s="240" t="s">
        <v>15</v>
      </c>
      <c r="B453" s="240" t="s">
        <v>534</v>
      </c>
      <c r="C453" s="221" t="s">
        <v>684</v>
      </c>
      <c r="D453" s="336"/>
      <c r="E453" s="255"/>
      <c r="F453" s="254"/>
      <c r="G453" s="222"/>
      <c r="H453" s="222"/>
      <c r="I453" s="222"/>
      <c r="J453" s="325">
        <f t="shared" si="14"/>
        <v>0</v>
      </c>
      <c r="K453" s="337">
        <f>37.912*-0.85</f>
        <v>-32.2252</v>
      </c>
      <c r="L453" s="327">
        <f t="shared" si="4"/>
        <v>5.687257912</v>
      </c>
      <c r="M453" s="321" t="str">
        <f t="shared" si="5"/>
        <v>juankbell</v>
      </c>
      <c r="N453" s="209">
        <f>IFERROR(__xludf.DUMMYFUNCTION("""COMPUTED_VALUE"""),1.0)</f>
        <v>1</v>
      </c>
      <c r="O453" s="209"/>
      <c r="P453" s="209"/>
      <c r="Q453" s="209"/>
      <c r="R453" s="209">
        <v>36.89669088595067</v>
      </c>
      <c r="S453" s="209"/>
      <c r="T453" s="209"/>
      <c r="U453" s="209"/>
      <c r="V453" s="209"/>
      <c r="W453" s="209"/>
      <c r="X453" s="209"/>
      <c r="Y453" s="176"/>
      <c r="Z453" s="176"/>
    </row>
    <row r="454">
      <c r="A454" s="249" t="s">
        <v>15</v>
      </c>
      <c r="B454" s="249" t="s">
        <v>867</v>
      </c>
      <c r="C454" s="329" t="s">
        <v>2422</v>
      </c>
      <c r="D454" s="268" t="s">
        <v>495</v>
      </c>
      <c r="E454" s="251">
        <v>44242.0</v>
      </c>
      <c r="F454" s="250" t="s">
        <v>496</v>
      </c>
      <c r="G454" s="243"/>
      <c r="H454" s="243"/>
      <c r="I454" s="243"/>
      <c r="J454" s="325">
        <f t="shared" si="14"/>
        <v>0</v>
      </c>
      <c r="K454" s="330">
        <v>1.8956228956228953</v>
      </c>
      <c r="L454" s="327">
        <f t="shared" si="4"/>
        <v>5.687257912</v>
      </c>
      <c r="M454" s="321" t="str">
        <f t="shared" si="5"/>
        <v>juankbell</v>
      </c>
      <c r="N454" s="176">
        <f>IFERROR(__xludf.DUMMYFUNCTION("""COMPUTED_VALUE"""),2.0)</f>
        <v>2</v>
      </c>
      <c r="O454" s="176"/>
      <c r="P454" s="176"/>
      <c r="Q454" s="176"/>
      <c r="R454" s="176"/>
      <c r="S454" s="176"/>
      <c r="T454" s="176"/>
      <c r="U454" s="176"/>
      <c r="V454" s="176"/>
      <c r="W454" s="176"/>
      <c r="X454" s="176"/>
      <c r="Y454" s="176"/>
      <c r="Z454" s="176"/>
    </row>
    <row r="455">
      <c r="A455" s="249" t="s">
        <v>15</v>
      </c>
      <c r="B455" s="249" t="s">
        <v>867</v>
      </c>
      <c r="C455" s="329" t="s">
        <v>2187</v>
      </c>
      <c r="D455" s="268" t="s">
        <v>495</v>
      </c>
      <c r="E455" s="251">
        <v>44242.0</v>
      </c>
      <c r="F455" s="250" t="s">
        <v>496</v>
      </c>
      <c r="G455" s="243"/>
      <c r="H455" s="243"/>
      <c r="I455" s="243"/>
      <c r="J455" s="325">
        <f t="shared" si="14"/>
        <v>0</v>
      </c>
      <c r="K455" s="330">
        <v>1.8956228956228953</v>
      </c>
      <c r="L455" s="327">
        <f t="shared" si="4"/>
        <v>5.687257912</v>
      </c>
      <c r="M455" s="321" t="str">
        <f t="shared" si="5"/>
        <v>juankbell</v>
      </c>
      <c r="N455" s="176">
        <f>IFERROR(__xludf.DUMMYFUNCTION("""COMPUTED_VALUE"""),3.0)</f>
        <v>3</v>
      </c>
      <c r="O455" s="176"/>
      <c r="P455" s="176"/>
      <c r="Q455" s="176"/>
      <c r="R455" s="176"/>
      <c r="S455" s="176"/>
      <c r="T455" s="176"/>
      <c r="U455" s="176"/>
      <c r="V455" s="176"/>
      <c r="W455" s="176"/>
      <c r="X455" s="176"/>
      <c r="Y455" s="176"/>
      <c r="Z455" s="176"/>
    </row>
    <row r="456">
      <c r="A456" s="249" t="s">
        <v>15</v>
      </c>
      <c r="B456" s="249" t="s">
        <v>867</v>
      </c>
      <c r="C456" s="329" t="s">
        <v>2423</v>
      </c>
      <c r="D456" s="268" t="s">
        <v>495</v>
      </c>
      <c r="E456" s="251">
        <v>44243.0</v>
      </c>
      <c r="F456" s="250" t="s">
        <v>496</v>
      </c>
      <c r="G456" s="243"/>
      <c r="H456" s="243"/>
      <c r="I456" s="243"/>
      <c r="J456" s="325">
        <f t="shared" si="14"/>
        <v>0</v>
      </c>
      <c r="K456" s="330">
        <v>1.8956228956228953</v>
      </c>
      <c r="L456" s="327">
        <f t="shared" si="4"/>
        <v>5.687257912</v>
      </c>
      <c r="M456" s="321" t="str">
        <f t="shared" si="5"/>
        <v>juankbell</v>
      </c>
      <c r="N456" s="176">
        <f>IFERROR(__xludf.DUMMYFUNCTION("""COMPUTED_VALUE"""),4.0)</f>
        <v>4</v>
      </c>
      <c r="O456" s="176"/>
      <c r="P456" s="176"/>
      <c r="Q456" s="176"/>
      <c r="R456" s="176"/>
      <c r="S456" s="176"/>
      <c r="T456" s="176"/>
      <c r="U456" s="176"/>
      <c r="V456" s="176"/>
      <c r="W456" s="176"/>
      <c r="X456" s="176"/>
      <c r="Y456" s="176"/>
      <c r="Z456" s="176"/>
    </row>
    <row r="457">
      <c r="A457" s="249" t="s">
        <v>15</v>
      </c>
      <c r="B457" s="249" t="s">
        <v>18</v>
      </c>
      <c r="C457" s="329" t="s">
        <v>2194</v>
      </c>
      <c r="D457" s="268" t="s">
        <v>495</v>
      </c>
      <c r="E457" s="251">
        <v>44244.0</v>
      </c>
      <c r="F457" s="250" t="s">
        <v>496</v>
      </c>
      <c r="G457" s="243"/>
      <c r="H457" s="243"/>
      <c r="I457" s="243"/>
      <c r="J457" s="325">
        <f t="shared" si="14"/>
        <v>0</v>
      </c>
      <c r="K457" s="330">
        <v>1.8956228956228953</v>
      </c>
      <c r="L457" s="327">
        <f t="shared" si="4"/>
        <v>5.687257912</v>
      </c>
      <c r="M457" s="321" t="str">
        <f t="shared" si="5"/>
        <v>juankbell</v>
      </c>
      <c r="N457" s="176">
        <f>IFERROR(__xludf.DUMMYFUNCTION("""COMPUTED_VALUE"""),5.0)</f>
        <v>5</v>
      </c>
      <c r="O457" s="176"/>
      <c r="P457" s="176"/>
      <c r="Q457" s="176"/>
      <c r="R457" s="176"/>
      <c r="S457" s="176"/>
      <c r="T457" s="176"/>
      <c r="U457" s="176"/>
      <c r="V457" s="176"/>
      <c r="W457" s="176"/>
      <c r="X457" s="176"/>
      <c r="Y457" s="176"/>
      <c r="Z457" s="176"/>
    </row>
    <row r="458">
      <c r="A458" s="249" t="s">
        <v>15</v>
      </c>
      <c r="B458" s="249" t="s">
        <v>5</v>
      </c>
      <c r="C458" s="329" t="s">
        <v>2350</v>
      </c>
      <c r="D458" s="268" t="s">
        <v>495</v>
      </c>
      <c r="E458" s="251">
        <v>44244.0</v>
      </c>
      <c r="F458" s="250" t="s">
        <v>496</v>
      </c>
      <c r="G458" s="243"/>
      <c r="H458" s="243"/>
      <c r="I458" s="243"/>
      <c r="J458" s="325">
        <f t="shared" si="14"/>
        <v>0</v>
      </c>
      <c r="K458" s="330">
        <v>1.8956228956228953</v>
      </c>
      <c r="L458" s="327">
        <f t="shared" si="4"/>
        <v>5.687257912</v>
      </c>
      <c r="M458" s="321" t="str">
        <f t="shared" si="5"/>
        <v>juankbell</v>
      </c>
      <c r="N458" s="176">
        <f>IFERROR(__xludf.DUMMYFUNCTION("""COMPUTED_VALUE"""),6.0)</f>
        <v>6</v>
      </c>
      <c r="O458" s="176"/>
      <c r="P458" s="176"/>
      <c r="Q458" s="176"/>
      <c r="R458" s="176"/>
      <c r="S458" s="176"/>
      <c r="T458" s="176"/>
      <c r="U458" s="176"/>
      <c r="V458" s="176"/>
      <c r="W458" s="176"/>
      <c r="X458" s="176"/>
      <c r="Y458" s="176"/>
      <c r="Z458" s="176"/>
    </row>
    <row r="459">
      <c r="A459" s="249" t="s">
        <v>15</v>
      </c>
      <c r="B459" s="249" t="s">
        <v>590</v>
      </c>
      <c r="C459" s="329" t="s">
        <v>2424</v>
      </c>
      <c r="D459" s="268" t="s">
        <v>495</v>
      </c>
      <c r="E459" s="251">
        <v>44245.0</v>
      </c>
      <c r="F459" s="250" t="s">
        <v>496</v>
      </c>
      <c r="G459" s="243"/>
      <c r="H459" s="243"/>
      <c r="I459" s="243"/>
      <c r="J459" s="325">
        <f t="shared" si="14"/>
        <v>0</v>
      </c>
      <c r="K459" s="330">
        <v>1.8956228956228953</v>
      </c>
      <c r="L459" s="327">
        <f t="shared" si="4"/>
        <v>5.687257912</v>
      </c>
      <c r="M459" s="321" t="str">
        <f t="shared" si="5"/>
        <v>juankbell</v>
      </c>
      <c r="N459" s="176">
        <f>IFERROR(__xludf.DUMMYFUNCTION("""COMPUTED_VALUE"""),7.0)</f>
        <v>7</v>
      </c>
      <c r="O459" s="176"/>
      <c r="P459" s="176"/>
      <c r="Q459" s="176"/>
      <c r="R459" s="176"/>
      <c r="S459" s="176"/>
      <c r="T459" s="176"/>
      <c r="U459" s="176"/>
      <c r="V459" s="176"/>
      <c r="W459" s="176"/>
      <c r="X459" s="176"/>
      <c r="Y459" s="176"/>
      <c r="Z459" s="176"/>
    </row>
    <row r="460">
      <c r="A460" s="249" t="s">
        <v>15</v>
      </c>
      <c r="B460" s="249" t="s">
        <v>10</v>
      </c>
      <c r="C460" s="329" t="s">
        <v>2425</v>
      </c>
      <c r="D460" s="268" t="s">
        <v>495</v>
      </c>
      <c r="E460" s="251">
        <v>44246.0</v>
      </c>
      <c r="F460" s="250" t="s">
        <v>496</v>
      </c>
      <c r="G460" s="243"/>
      <c r="H460" s="243"/>
      <c r="I460" s="243"/>
      <c r="J460" s="325">
        <f t="shared" si="14"/>
        <v>0</v>
      </c>
      <c r="K460" s="330">
        <v>1.8956228956228953</v>
      </c>
      <c r="L460" s="327">
        <f t="shared" si="4"/>
        <v>5.687257912</v>
      </c>
      <c r="M460" s="321" t="str">
        <f t="shared" si="5"/>
        <v>juankbell</v>
      </c>
      <c r="N460" s="176">
        <f>IFERROR(__xludf.DUMMYFUNCTION("""COMPUTED_VALUE"""),8.0)</f>
        <v>8</v>
      </c>
      <c r="O460" s="176"/>
      <c r="P460" s="176"/>
      <c r="Q460" s="176"/>
      <c r="R460" s="176"/>
      <c r="S460" s="176"/>
      <c r="T460" s="176"/>
      <c r="U460" s="176"/>
      <c r="V460" s="176"/>
      <c r="W460" s="176"/>
      <c r="X460" s="176"/>
      <c r="Y460" s="176"/>
      <c r="Z460" s="176"/>
    </row>
    <row r="461">
      <c r="A461" s="249" t="s">
        <v>15</v>
      </c>
      <c r="B461" s="249" t="s">
        <v>10</v>
      </c>
      <c r="C461" s="329" t="s">
        <v>2197</v>
      </c>
      <c r="D461" s="268" t="s">
        <v>495</v>
      </c>
      <c r="E461" s="251">
        <v>44246.0</v>
      </c>
      <c r="F461" s="250" t="s">
        <v>496</v>
      </c>
      <c r="G461" s="243"/>
      <c r="H461" s="243"/>
      <c r="I461" s="243"/>
      <c r="J461" s="325">
        <f t="shared" si="14"/>
        <v>0</v>
      </c>
      <c r="K461" s="330">
        <v>1.8956228956228953</v>
      </c>
      <c r="L461" s="327">
        <f t="shared" si="4"/>
        <v>5.687257912</v>
      </c>
      <c r="M461" s="321" t="str">
        <f t="shared" si="5"/>
        <v>juankbell</v>
      </c>
      <c r="N461" s="176">
        <f>IFERROR(__xludf.DUMMYFUNCTION("""COMPUTED_VALUE"""),9.0)</f>
        <v>9</v>
      </c>
      <c r="O461" s="176"/>
      <c r="P461" s="176"/>
      <c r="Q461" s="176"/>
      <c r="R461" s="176"/>
      <c r="S461" s="176"/>
      <c r="T461" s="176"/>
      <c r="U461" s="176"/>
      <c r="V461" s="176"/>
      <c r="W461" s="176"/>
      <c r="X461" s="176"/>
      <c r="Y461" s="176"/>
      <c r="Z461" s="176"/>
    </row>
    <row r="462">
      <c r="A462" s="249" t="s">
        <v>15</v>
      </c>
      <c r="B462" s="249" t="s">
        <v>10</v>
      </c>
      <c r="C462" s="329" t="s">
        <v>500</v>
      </c>
      <c r="D462" s="268" t="s">
        <v>495</v>
      </c>
      <c r="E462" s="251">
        <v>44246.0</v>
      </c>
      <c r="F462" s="250" t="s">
        <v>545</v>
      </c>
      <c r="G462" s="243"/>
      <c r="H462" s="243"/>
      <c r="I462" s="243"/>
      <c r="J462" s="325">
        <f t="shared" si="14"/>
        <v>0</v>
      </c>
      <c r="K462" s="330">
        <v>1.8956228956228953</v>
      </c>
      <c r="L462" s="327">
        <f t="shared" si="4"/>
        <v>5.687257912</v>
      </c>
      <c r="M462" s="321" t="str">
        <f t="shared" si="5"/>
        <v>juankbell</v>
      </c>
      <c r="N462" s="176">
        <f>IFERROR(__xludf.DUMMYFUNCTION("""COMPUTED_VALUE"""),10.0)</f>
        <v>10</v>
      </c>
      <c r="O462" s="176"/>
      <c r="P462" s="176"/>
      <c r="Q462" s="176"/>
      <c r="R462" s="176"/>
      <c r="S462" s="176"/>
      <c r="T462" s="176"/>
      <c r="U462" s="176"/>
      <c r="V462" s="176"/>
      <c r="W462" s="176"/>
      <c r="X462" s="176"/>
      <c r="Y462" s="176"/>
      <c r="Z462" s="176"/>
    </row>
    <row r="463">
      <c r="A463" s="249" t="s">
        <v>15</v>
      </c>
      <c r="B463" s="249" t="s">
        <v>10</v>
      </c>
      <c r="C463" s="329" t="s">
        <v>2426</v>
      </c>
      <c r="D463" s="268" t="s">
        <v>495</v>
      </c>
      <c r="E463" s="251">
        <v>44247.0</v>
      </c>
      <c r="F463" s="250" t="s">
        <v>496</v>
      </c>
      <c r="G463" s="243"/>
      <c r="H463" s="243"/>
      <c r="I463" s="243"/>
      <c r="J463" s="325">
        <f t="shared" si="14"/>
        <v>0</v>
      </c>
      <c r="K463" s="330">
        <v>1.8956228956228953</v>
      </c>
      <c r="L463" s="327">
        <f t="shared" si="4"/>
        <v>5.687257912</v>
      </c>
      <c r="M463" s="321" t="str">
        <f t="shared" si="5"/>
        <v>juankbell</v>
      </c>
      <c r="N463" s="176">
        <f>IFERROR(__xludf.DUMMYFUNCTION("""COMPUTED_VALUE"""),11.0)</f>
        <v>11</v>
      </c>
      <c r="O463" s="176"/>
      <c r="P463" s="176"/>
      <c r="Q463" s="176"/>
      <c r="R463" s="176"/>
      <c r="S463" s="176"/>
      <c r="T463" s="176"/>
      <c r="U463" s="176"/>
      <c r="V463" s="176"/>
      <c r="W463" s="176"/>
      <c r="X463" s="176"/>
      <c r="Y463" s="176"/>
      <c r="Z463" s="176"/>
    </row>
    <row r="464">
      <c r="A464" s="249" t="s">
        <v>15</v>
      </c>
      <c r="B464" s="249" t="s">
        <v>867</v>
      </c>
      <c r="C464" s="329" t="s">
        <v>2199</v>
      </c>
      <c r="D464" s="268" t="s">
        <v>495</v>
      </c>
      <c r="E464" s="251">
        <v>44249.0</v>
      </c>
      <c r="F464" s="250" t="s">
        <v>496</v>
      </c>
      <c r="G464" s="243"/>
      <c r="H464" s="243"/>
      <c r="I464" s="243"/>
      <c r="J464" s="325">
        <f t="shared" si="14"/>
        <v>0</v>
      </c>
      <c r="K464" s="330">
        <v>1.8956228956228953</v>
      </c>
      <c r="L464" s="327">
        <f t="shared" si="4"/>
        <v>5.687257912</v>
      </c>
      <c r="M464" s="321" t="str">
        <f t="shared" si="5"/>
        <v>juankbell</v>
      </c>
      <c r="N464" s="176">
        <f>IFERROR(__xludf.DUMMYFUNCTION("""COMPUTED_VALUE"""),12.0)</f>
        <v>12</v>
      </c>
      <c r="O464" s="176"/>
      <c r="P464" s="176"/>
      <c r="Q464" s="176"/>
      <c r="R464" s="176"/>
      <c r="S464" s="176"/>
      <c r="T464" s="176"/>
      <c r="U464" s="176"/>
      <c r="V464" s="176"/>
      <c r="W464" s="176"/>
      <c r="X464" s="176"/>
      <c r="Y464" s="176"/>
      <c r="Z464" s="176"/>
    </row>
    <row r="465">
      <c r="A465" s="249" t="s">
        <v>15</v>
      </c>
      <c r="B465" s="249" t="s">
        <v>18</v>
      </c>
      <c r="C465" s="329" t="s">
        <v>2201</v>
      </c>
      <c r="D465" s="268" t="s">
        <v>495</v>
      </c>
      <c r="E465" s="251">
        <v>44250.0</v>
      </c>
      <c r="F465" s="250" t="s">
        <v>496</v>
      </c>
      <c r="G465" s="243"/>
      <c r="H465" s="243"/>
      <c r="I465" s="243"/>
      <c r="J465" s="325">
        <f t="shared" si="14"/>
        <v>0</v>
      </c>
      <c r="K465" s="330">
        <v>1.8956228956228953</v>
      </c>
      <c r="L465" s="327">
        <f t="shared" si="4"/>
        <v>5.687257912</v>
      </c>
      <c r="M465" s="321" t="str">
        <f t="shared" si="5"/>
        <v>juankbell</v>
      </c>
      <c r="N465" s="176">
        <f>IFERROR(__xludf.DUMMYFUNCTION("""COMPUTED_VALUE"""),13.0)</f>
        <v>13</v>
      </c>
      <c r="O465" s="176"/>
      <c r="P465" s="176"/>
      <c r="Q465" s="176"/>
      <c r="R465" s="176"/>
      <c r="S465" s="176"/>
      <c r="T465" s="176"/>
      <c r="U465" s="176"/>
      <c r="V465" s="176"/>
      <c r="W465" s="176"/>
      <c r="X465" s="176"/>
      <c r="Y465" s="176"/>
      <c r="Z465" s="176"/>
    </row>
    <row r="466">
      <c r="A466" s="249" t="s">
        <v>15</v>
      </c>
      <c r="B466" s="249" t="s">
        <v>590</v>
      </c>
      <c r="C466" s="329" t="s">
        <v>2202</v>
      </c>
      <c r="D466" s="268" t="s">
        <v>495</v>
      </c>
      <c r="E466" s="251">
        <v>44250.0</v>
      </c>
      <c r="F466" s="250" t="s">
        <v>496</v>
      </c>
      <c r="G466" s="243"/>
      <c r="H466" s="243"/>
      <c r="I466" s="243"/>
      <c r="J466" s="325">
        <f t="shared" si="14"/>
        <v>0</v>
      </c>
      <c r="K466" s="330">
        <v>1.8956228956228953</v>
      </c>
      <c r="L466" s="327">
        <f t="shared" si="4"/>
        <v>5.687257912</v>
      </c>
      <c r="M466" s="321" t="str">
        <f t="shared" si="5"/>
        <v>juankbell</v>
      </c>
      <c r="N466" s="176">
        <f>IFERROR(__xludf.DUMMYFUNCTION("""COMPUTED_VALUE"""),14.0)</f>
        <v>14</v>
      </c>
      <c r="O466" s="176"/>
      <c r="P466" s="176"/>
      <c r="Q466" s="176"/>
      <c r="R466" s="176"/>
      <c r="S466" s="176"/>
      <c r="T466" s="176"/>
      <c r="U466" s="176"/>
      <c r="V466" s="176"/>
      <c r="W466" s="176"/>
      <c r="X466" s="176"/>
      <c r="Y466" s="176"/>
      <c r="Z466" s="176"/>
    </row>
    <row r="467">
      <c r="A467" s="249" t="s">
        <v>15</v>
      </c>
      <c r="B467" s="249" t="s">
        <v>10</v>
      </c>
      <c r="C467" s="329" t="s">
        <v>500</v>
      </c>
      <c r="D467" s="268" t="s">
        <v>495</v>
      </c>
      <c r="E467" s="251">
        <v>44253.0</v>
      </c>
      <c r="F467" s="250" t="s">
        <v>496</v>
      </c>
      <c r="G467" s="243"/>
      <c r="H467" s="243"/>
      <c r="I467" s="243"/>
      <c r="J467" s="325">
        <f t="shared" si="14"/>
        <v>0</v>
      </c>
      <c r="K467" s="330">
        <v>1.8956228956228953</v>
      </c>
      <c r="L467" s="327">
        <f t="shared" si="4"/>
        <v>5.687257912</v>
      </c>
      <c r="M467" s="321" t="str">
        <f t="shared" si="5"/>
        <v>juankbell</v>
      </c>
      <c r="N467" s="176">
        <f>IFERROR(__xludf.DUMMYFUNCTION("""COMPUTED_VALUE"""),15.0)</f>
        <v>15</v>
      </c>
      <c r="O467" s="176"/>
      <c r="P467" s="176"/>
      <c r="Q467" s="176"/>
      <c r="R467" s="176"/>
      <c r="S467" s="176"/>
      <c r="T467" s="176"/>
      <c r="U467" s="176"/>
      <c r="V467" s="176"/>
      <c r="W467" s="176"/>
      <c r="X467" s="176"/>
      <c r="Y467" s="176"/>
      <c r="Z467" s="176"/>
    </row>
    <row r="468">
      <c r="A468" s="249" t="s">
        <v>15</v>
      </c>
      <c r="B468" s="249" t="s">
        <v>10</v>
      </c>
      <c r="C468" s="329" t="s">
        <v>2427</v>
      </c>
      <c r="D468" s="268" t="s">
        <v>495</v>
      </c>
      <c r="E468" s="251">
        <v>44253.0</v>
      </c>
      <c r="F468" s="250" t="s">
        <v>496</v>
      </c>
      <c r="G468" s="243"/>
      <c r="H468" s="243"/>
      <c r="I468" s="243"/>
      <c r="J468" s="325">
        <f t="shared" si="14"/>
        <v>0</v>
      </c>
      <c r="K468" s="330">
        <v>1.8956228956228953</v>
      </c>
      <c r="L468" s="327">
        <f t="shared" si="4"/>
        <v>5.687257912</v>
      </c>
      <c r="M468" s="321" t="str">
        <f t="shared" si="5"/>
        <v>juankbell</v>
      </c>
      <c r="N468" s="176">
        <f>IFERROR(__xludf.DUMMYFUNCTION("""COMPUTED_VALUE"""),16.0)</f>
        <v>16</v>
      </c>
      <c r="O468" s="176"/>
      <c r="P468" s="176"/>
      <c r="Q468" s="176"/>
      <c r="R468" s="176"/>
      <c r="S468" s="176"/>
      <c r="T468" s="176"/>
      <c r="U468" s="176"/>
      <c r="V468" s="176"/>
      <c r="W468" s="176"/>
      <c r="X468" s="176"/>
      <c r="Y468" s="176"/>
      <c r="Z468" s="176"/>
    </row>
    <row r="469">
      <c r="A469" s="249" t="s">
        <v>15</v>
      </c>
      <c r="B469" s="249" t="s">
        <v>10</v>
      </c>
      <c r="C469" s="329" t="s">
        <v>2206</v>
      </c>
      <c r="D469" s="268" t="s">
        <v>495</v>
      </c>
      <c r="E469" s="251">
        <v>44253.0</v>
      </c>
      <c r="F469" s="250" t="s">
        <v>496</v>
      </c>
      <c r="G469" s="243"/>
      <c r="H469" s="243"/>
      <c r="I469" s="243"/>
      <c r="J469" s="325">
        <f t="shared" si="14"/>
        <v>0</v>
      </c>
      <c r="K469" s="330">
        <v>1.8956228956228953</v>
      </c>
      <c r="L469" s="327">
        <f t="shared" si="4"/>
        <v>5.687257912</v>
      </c>
      <c r="M469" s="321" t="str">
        <f t="shared" si="5"/>
        <v>juankbell</v>
      </c>
      <c r="N469" s="176">
        <f>IFERROR(__xludf.DUMMYFUNCTION("""COMPUTED_VALUE"""),17.0)</f>
        <v>17</v>
      </c>
      <c r="O469" s="176"/>
      <c r="P469" s="176"/>
      <c r="Q469" s="176"/>
      <c r="R469" s="176"/>
      <c r="S469" s="176"/>
      <c r="T469" s="176"/>
      <c r="U469" s="176"/>
      <c r="V469" s="176"/>
      <c r="W469" s="176"/>
      <c r="X469" s="176"/>
      <c r="Y469" s="176"/>
      <c r="Z469" s="176"/>
    </row>
    <row r="470">
      <c r="A470" s="249" t="s">
        <v>15</v>
      </c>
      <c r="B470" s="249" t="s">
        <v>10</v>
      </c>
      <c r="C470" s="329" t="s">
        <v>2208</v>
      </c>
      <c r="D470" s="268" t="s">
        <v>495</v>
      </c>
      <c r="E470" s="251">
        <v>44253.0</v>
      </c>
      <c r="F470" s="250" t="s">
        <v>496</v>
      </c>
      <c r="G470" s="243"/>
      <c r="H470" s="243"/>
      <c r="I470" s="243"/>
      <c r="J470" s="325">
        <f t="shared" si="14"/>
        <v>0</v>
      </c>
      <c r="K470" s="330">
        <v>1.8956228956228953</v>
      </c>
      <c r="L470" s="327">
        <f t="shared" si="4"/>
        <v>5.687257912</v>
      </c>
      <c r="M470" s="321" t="str">
        <f t="shared" si="5"/>
        <v>juankbell</v>
      </c>
      <c r="N470" s="176">
        <f>IFERROR(__xludf.DUMMYFUNCTION("""COMPUTED_VALUE"""),18.0)</f>
        <v>18</v>
      </c>
      <c r="O470" s="176"/>
      <c r="P470" s="176"/>
      <c r="Q470" s="176"/>
      <c r="R470" s="176"/>
      <c r="S470" s="176"/>
      <c r="T470" s="176"/>
      <c r="U470" s="176"/>
      <c r="V470" s="176"/>
      <c r="W470" s="176"/>
      <c r="X470" s="176"/>
      <c r="Y470" s="176"/>
      <c r="Z470" s="176"/>
    </row>
    <row r="471">
      <c r="A471" s="267" t="s">
        <v>15</v>
      </c>
      <c r="B471" s="272" t="s">
        <v>12</v>
      </c>
      <c r="C471" s="273" t="s">
        <v>2428</v>
      </c>
      <c r="D471" s="274" t="s">
        <v>437</v>
      </c>
      <c r="E471" s="328" t="s">
        <v>2224</v>
      </c>
      <c r="F471" s="274" t="s">
        <v>1929</v>
      </c>
      <c r="G471" s="331"/>
      <c r="H471" s="331"/>
      <c r="I471" s="331"/>
      <c r="J471" s="172">
        <f t="shared" si="14"/>
        <v>0</v>
      </c>
      <c r="K471" s="330">
        <v>1.8956228956228953</v>
      </c>
      <c r="L471" s="270">
        <f t="shared" si="4"/>
        <v>5.687257912</v>
      </c>
      <c r="M471" s="271" t="str">
        <f t="shared" si="5"/>
        <v>juankbell</v>
      </c>
      <c r="N471" s="145">
        <f>IFERROR(__xludf.DUMMYFUNCTION("""COMPUTED_VALUE"""),19.0)</f>
        <v>19</v>
      </c>
      <c r="O471" s="145"/>
      <c r="P471" s="145"/>
      <c r="Q471" s="145"/>
      <c r="R471" s="145"/>
      <c r="S471" s="145"/>
      <c r="T471" s="145"/>
      <c r="U471" s="145"/>
      <c r="V471" s="145"/>
      <c r="W471" s="145"/>
      <c r="X471" s="145"/>
      <c r="Y471" s="145"/>
      <c r="Z471" s="145"/>
    </row>
    <row r="472">
      <c r="A472" s="267" t="s">
        <v>15</v>
      </c>
      <c r="B472" s="272" t="s">
        <v>12</v>
      </c>
      <c r="C472" s="273" t="s">
        <v>2429</v>
      </c>
      <c r="D472" s="274" t="s">
        <v>437</v>
      </c>
      <c r="E472" s="328" t="s">
        <v>2303</v>
      </c>
      <c r="F472" s="274" t="s">
        <v>1929</v>
      </c>
      <c r="G472" s="331"/>
      <c r="H472" s="331"/>
      <c r="I472" s="331"/>
      <c r="J472" s="172">
        <f t="shared" si="14"/>
        <v>0</v>
      </c>
      <c r="K472" s="330">
        <v>1.8956228956228953</v>
      </c>
      <c r="L472" s="270">
        <f t="shared" si="4"/>
        <v>5.687257912</v>
      </c>
      <c r="M472" s="271" t="str">
        <f t="shared" si="5"/>
        <v>juankbell</v>
      </c>
      <c r="N472" s="145">
        <f>IFERROR(__xludf.DUMMYFUNCTION("""COMPUTED_VALUE"""),20.0)</f>
        <v>20</v>
      </c>
      <c r="O472" s="145"/>
      <c r="P472" s="145"/>
      <c r="Q472" s="145"/>
      <c r="R472" s="145"/>
      <c r="S472" s="145"/>
      <c r="T472" s="145"/>
      <c r="U472" s="145"/>
      <c r="V472" s="145"/>
      <c r="W472" s="145"/>
      <c r="X472" s="145"/>
      <c r="Y472" s="145"/>
      <c r="Z472" s="145"/>
    </row>
    <row r="473">
      <c r="A473" s="267" t="s">
        <v>15</v>
      </c>
      <c r="B473" s="272" t="s">
        <v>2430</v>
      </c>
      <c r="C473" s="273" t="s">
        <v>2431</v>
      </c>
      <c r="D473" s="274" t="s">
        <v>437</v>
      </c>
      <c r="E473" s="328" t="s">
        <v>2210</v>
      </c>
      <c r="F473" s="274" t="s">
        <v>1929</v>
      </c>
      <c r="G473" s="331"/>
      <c r="H473" s="331"/>
      <c r="I473" s="331"/>
      <c r="J473" s="172">
        <f t="shared" si="14"/>
        <v>0</v>
      </c>
      <c r="K473" s="330">
        <v>1.8956228956228953</v>
      </c>
      <c r="L473" s="270">
        <f t="shared" si="4"/>
        <v>5.687257912</v>
      </c>
      <c r="M473" s="271" t="str">
        <f t="shared" si="5"/>
        <v>juankbell</v>
      </c>
      <c r="N473" s="145">
        <f>IFERROR(__xludf.DUMMYFUNCTION("""COMPUTED_VALUE"""),21.0)</f>
        <v>21</v>
      </c>
      <c r="O473" s="145"/>
      <c r="P473" s="145"/>
      <c r="Q473" s="145"/>
      <c r="R473" s="145"/>
      <c r="S473" s="145"/>
      <c r="T473" s="145"/>
      <c r="U473" s="145"/>
      <c r="V473" s="145"/>
      <c r="W473" s="145"/>
      <c r="X473" s="145"/>
      <c r="Y473" s="145"/>
      <c r="Z473" s="145"/>
    </row>
    <row r="474">
      <c r="A474" s="249" t="s">
        <v>119</v>
      </c>
      <c r="B474" s="249" t="s">
        <v>10</v>
      </c>
      <c r="C474" s="219" t="s">
        <v>500</v>
      </c>
      <c r="D474" s="268" t="s">
        <v>495</v>
      </c>
      <c r="E474" s="251">
        <v>44246.0</v>
      </c>
      <c r="F474" s="250" t="s">
        <v>545</v>
      </c>
      <c r="G474" s="171">
        <v>20.0</v>
      </c>
      <c r="H474" s="171">
        <v>20.0</v>
      </c>
      <c r="I474" s="171">
        <v>20.0</v>
      </c>
      <c r="J474" s="325">
        <f t="shared" si="14"/>
        <v>0.0002437844393</v>
      </c>
      <c r="K474" s="326">
        <f t="shared" ref="K474:K477" si="22">J474*$J$1</f>
        <v>0.349424363</v>
      </c>
      <c r="L474" s="327">
        <f t="shared" si="4"/>
        <v>5.675891415</v>
      </c>
      <c r="M474" s="321" t="str">
        <f t="shared" si="5"/>
        <v>sergei_tran</v>
      </c>
      <c r="N474" s="176">
        <f>IFERROR(__xludf.DUMMYFUNCTION("""COMPUTED_VALUE"""),1.0)</f>
        <v>1</v>
      </c>
      <c r="O474" s="176"/>
      <c r="P474" s="176"/>
      <c r="Q474" s="176"/>
      <c r="R474" s="176"/>
      <c r="S474" s="176"/>
      <c r="T474" s="176"/>
      <c r="U474" s="176"/>
      <c r="V474" s="176"/>
      <c r="W474" s="176"/>
      <c r="X474" s="176"/>
      <c r="Y474" s="176"/>
      <c r="Z474" s="176"/>
    </row>
    <row r="475">
      <c r="A475" s="249" t="s">
        <v>119</v>
      </c>
      <c r="B475" s="249" t="s">
        <v>10</v>
      </c>
      <c r="C475" s="219" t="s">
        <v>2257</v>
      </c>
      <c r="D475" s="268" t="s">
        <v>495</v>
      </c>
      <c r="E475" s="251">
        <v>44253.0</v>
      </c>
      <c r="F475" s="250" t="s">
        <v>496</v>
      </c>
      <c r="G475" s="171">
        <v>210.0</v>
      </c>
      <c r="H475" s="171">
        <v>200.0</v>
      </c>
      <c r="I475" s="171">
        <v>150.0</v>
      </c>
      <c r="J475" s="325">
        <f t="shared" si="14"/>
        <v>0.00217521245</v>
      </c>
      <c r="K475" s="326">
        <f t="shared" si="22"/>
        <v>3.117804512</v>
      </c>
      <c r="L475" s="327">
        <f t="shared" si="4"/>
        <v>5.675891415</v>
      </c>
      <c r="M475" s="321" t="str">
        <f t="shared" si="5"/>
        <v>sergei_tran</v>
      </c>
      <c r="N475" s="176">
        <f>IFERROR(__xludf.DUMMYFUNCTION("""COMPUTED_VALUE"""),2.0)</f>
        <v>2</v>
      </c>
      <c r="O475" s="176"/>
      <c r="P475" s="176"/>
      <c r="Q475" s="176"/>
      <c r="R475" s="176"/>
      <c r="S475" s="176"/>
      <c r="T475" s="176"/>
      <c r="U475" s="176"/>
      <c r="V475" s="176"/>
      <c r="W475" s="176"/>
      <c r="X475" s="176"/>
      <c r="Y475" s="176"/>
      <c r="Z475" s="176"/>
    </row>
    <row r="476">
      <c r="A476" s="249" t="s">
        <v>119</v>
      </c>
      <c r="B476" s="249" t="s">
        <v>10</v>
      </c>
      <c r="C476" s="219" t="s">
        <v>2247</v>
      </c>
      <c r="D476" s="268" t="s">
        <v>495</v>
      </c>
      <c r="E476" s="251">
        <v>44253.0</v>
      </c>
      <c r="F476" s="250" t="s">
        <v>496</v>
      </c>
      <c r="G476" s="171">
        <v>150.0</v>
      </c>
      <c r="H476" s="171">
        <v>200.0</v>
      </c>
      <c r="I476" s="171">
        <v>80.0</v>
      </c>
      <c r="J476" s="325">
        <f t="shared" si="14"/>
        <v>0.001540927353</v>
      </c>
      <c r="K476" s="326">
        <f t="shared" si="22"/>
        <v>2.20866254</v>
      </c>
      <c r="L476" s="327">
        <f t="shared" si="4"/>
        <v>5.675891415</v>
      </c>
      <c r="M476" s="321" t="str">
        <f t="shared" si="5"/>
        <v>sergei_tran</v>
      </c>
      <c r="N476" s="176">
        <f>IFERROR(__xludf.DUMMYFUNCTION("""COMPUTED_VALUE"""),3.0)</f>
        <v>3</v>
      </c>
      <c r="O476" s="176"/>
      <c r="P476" s="176"/>
      <c r="Q476" s="176"/>
      <c r="R476" s="176"/>
      <c r="S476" s="176"/>
      <c r="T476" s="176"/>
      <c r="U476" s="176"/>
      <c r="V476" s="176"/>
      <c r="W476" s="176"/>
      <c r="X476" s="176"/>
      <c r="Y476" s="176"/>
      <c r="Z476" s="176"/>
    </row>
    <row r="477">
      <c r="A477" s="16" t="s">
        <v>134</v>
      </c>
      <c r="B477" s="272" t="s">
        <v>590</v>
      </c>
      <c r="C477" s="273" t="s">
        <v>2432</v>
      </c>
      <c r="D477" s="274" t="s">
        <v>499</v>
      </c>
      <c r="E477" s="328" t="s">
        <v>2291</v>
      </c>
      <c r="F477" s="274" t="s">
        <v>1646</v>
      </c>
      <c r="G477" s="171">
        <v>400.0</v>
      </c>
      <c r="H477" s="171">
        <v>500.0</v>
      </c>
      <c r="I477" s="171">
        <v>200.0</v>
      </c>
      <c r="J477" s="172">
        <f t="shared" si="14"/>
        <v>0.003942386078</v>
      </c>
      <c r="K477" s="269">
        <f t="shared" si="22"/>
        <v>5.650753378</v>
      </c>
      <c r="L477" s="270">
        <f t="shared" si="4"/>
        <v>5.650753378</v>
      </c>
      <c r="M477" s="271" t="str">
        <f t="shared" si="5"/>
        <v>katebee</v>
      </c>
      <c r="N477" s="176">
        <f>IFERROR(__xludf.DUMMYFUNCTION("""COMPUTED_VALUE"""),1.0)</f>
        <v>1</v>
      </c>
      <c r="O477" s="176"/>
      <c r="P477" s="176"/>
      <c r="Q477" s="176"/>
      <c r="R477" s="176"/>
      <c r="S477" s="176"/>
      <c r="T477" s="176"/>
      <c r="U477" s="176"/>
      <c r="V477" s="176"/>
      <c r="W477" s="176"/>
      <c r="X477" s="176"/>
      <c r="Y477" s="176"/>
      <c r="Z477" s="176"/>
    </row>
    <row r="478">
      <c r="A478" s="240" t="s">
        <v>25</v>
      </c>
      <c r="B478" s="343" t="s">
        <v>534</v>
      </c>
      <c r="C478" s="221" t="s">
        <v>684</v>
      </c>
      <c r="D478" s="343"/>
      <c r="E478" s="344"/>
      <c r="F478" s="343"/>
      <c r="G478" s="343"/>
      <c r="H478" s="253"/>
      <c r="I478" s="253"/>
      <c r="J478" s="172">
        <f t="shared" si="14"/>
        <v>0</v>
      </c>
      <c r="K478" s="299">
        <f>36.832*-0.85</f>
        <v>-31.3072</v>
      </c>
      <c r="L478" s="327">
        <f t="shared" si="4"/>
        <v>5.533341318</v>
      </c>
      <c r="M478" s="321" t="str">
        <f t="shared" si="5"/>
        <v>freedumbs00</v>
      </c>
      <c r="N478" s="336">
        <f>IFERROR(__xludf.DUMMYFUNCTION("""COMPUTED_VALUE"""),1.0)</f>
        <v>1</v>
      </c>
      <c r="O478" s="343"/>
      <c r="P478" s="343"/>
      <c r="Q478" s="343"/>
      <c r="R478" s="336">
        <v>36.89669088595067</v>
      </c>
      <c r="S478" s="343"/>
      <c r="T478" s="343"/>
      <c r="U478" s="343"/>
      <c r="V478" s="343"/>
      <c r="W478" s="343"/>
      <c r="X478" s="343"/>
      <c r="Y478" s="226"/>
      <c r="Z478" s="226"/>
    </row>
    <row r="479">
      <c r="A479" s="249" t="s">
        <v>25</v>
      </c>
      <c r="B479" s="249" t="s">
        <v>519</v>
      </c>
      <c r="C479" s="219" t="s">
        <v>2347</v>
      </c>
      <c r="D479" s="268" t="s">
        <v>495</v>
      </c>
      <c r="E479" s="251">
        <v>44242.0</v>
      </c>
      <c r="F479" s="250" t="s">
        <v>496</v>
      </c>
      <c r="G479" s="171">
        <v>230.0</v>
      </c>
      <c r="H479" s="171">
        <v>500.0</v>
      </c>
      <c r="I479" s="171">
        <v>200.0</v>
      </c>
      <c r="J479" s="325">
        <f t="shared" si="14"/>
        <v>0.003329925753</v>
      </c>
      <c r="K479" s="326">
        <f t="shared" ref="K479:K494" si="23">J479*$J$1</f>
        <v>4.772893579</v>
      </c>
      <c r="L479" s="327">
        <f t="shared" si="4"/>
        <v>5.533341318</v>
      </c>
      <c r="M479" s="321" t="str">
        <f t="shared" si="5"/>
        <v>freedumbs00</v>
      </c>
      <c r="N479" s="176">
        <f>IFERROR(__xludf.DUMMYFUNCTION("""COMPUTED_VALUE"""),2.0)</f>
        <v>2</v>
      </c>
      <c r="O479" s="176"/>
      <c r="P479" s="176"/>
      <c r="Q479" s="176"/>
      <c r="R479" s="176"/>
      <c r="S479" s="176"/>
      <c r="T479" s="176"/>
      <c r="U479" s="176"/>
      <c r="V479" s="176"/>
      <c r="W479" s="176"/>
      <c r="X479" s="176"/>
      <c r="Y479" s="176"/>
      <c r="Z479" s="176"/>
    </row>
    <row r="480">
      <c r="A480" s="249" t="s">
        <v>25</v>
      </c>
      <c r="B480" s="249" t="s">
        <v>1228</v>
      </c>
      <c r="C480" s="219" t="s">
        <v>2348</v>
      </c>
      <c r="D480" s="268" t="s">
        <v>495</v>
      </c>
      <c r="E480" s="251">
        <v>44243.0</v>
      </c>
      <c r="F480" s="250" t="s">
        <v>496</v>
      </c>
      <c r="G480" s="171">
        <v>50.0</v>
      </c>
      <c r="H480" s="171">
        <v>100.0</v>
      </c>
      <c r="I480" s="171">
        <v>100.0</v>
      </c>
      <c r="J480" s="325">
        <f t="shared" si="14"/>
        <v>0.001038786807</v>
      </c>
      <c r="K480" s="326">
        <f t="shared" si="23"/>
        <v>1.488927757</v>
      </c>
      <c r="L480" s="327">
        <f t="shared" si="4"/>
        <v>5.533341318</v>
      </c>
      <c r="M480" s="321" t="str">
        <f t="shared" si="5"/>
        <v>freedumbs00</v>
      </c>
      <c r="N480" s="176">
        <f>IFERROR(__xludf.DUMMYFUNCTION("""COMPUTED_VALUE"""),3.0)</f>
        <v>3</v>
      </c>
      <c r="O480" s="176"/>
      <c r="P480" s="176"/>
      <c r="Q480" s="176"/>
      <c r="R480" s="176"/>
      <c r="S480" s="176"/>
      <c r="T480" s="176"/>
      <c r="U480" s="176"/>
      <c r="V480" s="176"/>
      <c r="W480" s="176"/>
      <c r="X480" s="176"/>
      <c r="Y480" s="176"/>
      <c r="Z480" s="176"/>
    </row>
    <row r="481">
      <c r="A481" s="249" t="s">
        <v>25</v>
      </c>
      <c r="B481" s="249" t="s">
        <v>925</v>
      </c>
      <c r="C481" s="219" t="s">
        <v>2351</v>
      </c>
      <c r="D481" s="268" t="s">
        <v>495</v>
      </c>
      <c r="E481" s="251">
        <v>44244.0</v>
      </c>
      <c r="F481" s="250" t="s">
        <v>496</v>
      </c>
      <c r="G481" s="171">
        <v>400.0</v>
      </c>
      <c r="H481" s="171">
        <v>500.0</v>
      </c>
      <c r="I481" s="171">
        <v>150.0</v>
      </c>
      <c r="J481" s="325">
        <f t="shared" si="14"/>
        <v>0.003643727057</v>
      </c>
      <c r="K481" s="326">
        <f t="shared" si="23"/>
        <v>5.222675448</v>
      </c>
      <c r="L481" s="327">
        <f t="shared" si="4"/>
        <v>5.533341318</v>
      </c>
      <c r="M481" s="321" t="str">
        <f t="shared" si="5"/>
        <v>freedumbs00</v>
      </c>
      <c r="N481" s="176">
        <f>IFERROR(__xludf.DUMMYFUNCTION("""COMPUTED_VALUE"""),4.0)</f>
        <v>4</v>
      </c>
      <c r="O481" s="176"/>
      <c r="P481" s="176"/>
      <c r="Q481" s="176"/>
      <c r="R481" s="176"/>
      <c r="S481" s="176"/>
      <c r="T481" s="176"/>
      <c r="U481" s="176"/>
      <c r="V481" s="176"/>
      <c r="W481" s="176"/>
      <c r="X481" s="176"/>
      <c r="Y481" s="176"/>
      <c r="Z481" s="176"/>
    </row>
    <row r="482">
      <c r="A482" s="249" t="s">
        <v>25</v>
      </c>
      <c r="B482" s="249" t="s">
        <v>10</v>
      </c>
      <c r="C482" s="219" t="s">
        <v>2353</v>
      </c>
      <c r="D482" s="268" t="s">
        <v>495</v>
      </c>
      <c r="E482" s="251">
        <v>44246.0</v>
      </c>
      <c r="F482" s="250" t="s">
        <v>496</v>
      </c>
      <c r="G482" s="171">
        <v>220.0</v>
      </c>
      <c r="H482" s="171">
        <v>300.0</v>
      </c>
      <c r="I482" s="171">
        <v>200.0</v>
      </c>
      <c r="J482" s="325">
        <f t="shared" si="14"/>
        <v>0.002771231924</v>
      </c>
      <c r="K482" s="326">
        <f t="shared" si="23"/>
        <v>3.972099092</v>
      </c>
      <c r="L482" s="327">
        <f t="shared" si="4"/>
        <v>5.533341318</v>
      </c>
      <c r="M482" s="321" t="str">
        <f t="shared" si="5"/>
        <v>freedumbs00</v>
      </c>
      <c r="N482" s="176">
        <f>IFERROR(__xludf.DUMMYFUNCTION("""COMPUTED_VALUE"""),5.0)</f>
        <v>5</v>
      </c>
      <c r="O482" s="176"/>
      <c r="P482" s="176"/>
      <c r="Q482" s="176"/>
      <c r="R482" s="176"/>
      <c r="S482" s="176"/>
      <c r="T482" s="176"/>
      <c r="U482" s="176"/>
      <c r="V482" s="176"/>
      <c r="W482" s="176"/>
      <c r="X482" s="176"/>
      <c r="Y482" s="176"/>
      <c r="Z482" s="176"/>
    </row>
    <row r="483">
      <c r="A483" s="249" t="s">
        <v>25</v>
      </c>
      <c r="B483" s="249" t="s">
        <v>10</v>
      </c>
      <c r="C483" s="219" t="s">
        <v>2433</v>
      </c>
      <c r="D483" s="268" t="s">
        <v>495</v>
      </c>
      <c r="E483" s="251">
        <v>44246.0</v>
      </c>
      <c r="F483" s="250" t="s">
        <v>496</v>
      </c>
      <c r="G483" s="171">
        <v>60.0</v>
      </c>
      <c r="H483" s="171">
        <v>100.0</v>
      </c>
      <c r="I483" s="171">
        <v>100.0</v>
      </c>
      <c r="J483" s="325">
        <f t="shared" si="14"/>
        <v>0.001074813885</v>
      </c>
      <c r="K483" s="326">
        <f t="shared" si="23"/>
        <v>1.540566568</v>
      </c>
      <c r="L483" s="327">
        <f t="shared" si="4"/>
        <v>5.533341318</v>
      </c>
      <c r="M483" s="321" t="str">
        <f t="shared" si="5"/>
        <v>freedumbs00</v>
      </c>
      <c r="N483" s="176">
        <f>IFERROR(__xludf.DUMMYFUNCTION("""COMPUTED_VALUE"""),6.0)</f>
        <v>6</v>
      </c>
      <c r="O483" s="176"/>
      <c r="P483" s="176"/>
      <c r="Q483" s="176"/>
      <c r="R483" s="176"/>
      <c r="S483" s="176"/>
      <c r="T483" s="176"/>
      <c r="U483" s="176"/>
      <c r="V483" s="176"/>
      <c r="W483" s="176"/>
      <c r="X483" s="176"/>
      <c r="Y483" s="176"/>
      <c r="Z483" s="176"/>
    </row>
    <row r="484">
      <c r="A484" s="249" t="s">
        <v>25</v>
      </c>
      <c r="B484" s="249" t="s">
        <v>10</v>
      </c>
      <c r="C484" s="219" t="s">
        <v>500</v>
      </c>
      <c r="D484" s="268" t="s">
        <v>495</v>
      </c>
      <c r="E484" s="251">
        <v>44246.0</v>
      </c>
      <c r="F484" s="250" t="s">
        <v>545</v>
      </c>
      <c r="G484" s="171">
        <v>20.0</v>
      </c>
      <c r="H484" s="171">
        <v>20.0</v>
      </c>
      <c r="I484" s="171">
        <v>20.0</v>
      </c>
      <c r="J484" s="325">
        <f t="shared" si="14"/>
        <v>0.0002437844393</v>
      </c>
      <c r="K484" s="326">
        <f t="shared" si="23"/>
        <v>0.349424363</v>
      </c>
      <c r="L484" s="327">
        <f t="shared" si="4"/>
        <v>5.533341318</v>
      </c>
      <c r="M484" s="321" t="str">
        <f t="shared" si="5"/>
        <v>freedumbs00</v>
      </c>
      <c r="N484" s="176">
        <f>IFERROR(__xludf.DUMMYFUNCTION("""COMPUTED_VALUE"""),7.0)</f>
        <v>7</v>
      </c>
      <c r="O484" s="176"/>
      <c r="P484" s="176"/>
      <c r="Q484" s="176"/>
      <c r="R484" s="176"/>
      <c r="S484" s="176"/>
      <c r="T484" s="176"/>
      <c r="U484" s="176"/>
      <c r="V484" s="176"/>
      <c r="W484" s="176"/>
      <c r="X484" s="176"/>
      <c r="Y484" s="176"/>
      <c r="Z484" s="176"/>
    </row>
    <row r="485">
      <c r="A485" s="249" t="s">
        <v>25</v>
      </c>
      <c r="B485" s="249" t="s">
        <v>18</v>
      </c>
      <c r="C485" s="219" t="s">
        <v>2201</v>
      </c>
      <c r="D485" s="268" t="s">
        <v>495</v>
      </c>
      <c r="E485" s="251">
        <v>44250.0</v>
      </c>
      <c r="F485" s="250" t="s">
        <v>496</v>
      </c>
      <c r="G485" s="171">
        <v>60.0</v>
      </c>
      <c r="H485" s="171">
        <v>100.0</v>
      </c>
      <c r="I485" s="171">
        <v>80.0</v>
      </c>
      <c r="J485" s="325">
        <f t="shared" si="14"/>
        <v>0.0009553502765</v>
      </c>
      <c r="K485" s="326">
        <f t="shared" si="23"/>
        <v>1.369335396</v>
      </c>
      <c r="L485" s="327">
        <f t="shared" si="4"/>
        <v>5.533341318</v>
      </c>
      <c r="M485" s="321" t="str">
        <f t="shared" si="5"/>
        <v>freedumbs00</v>
      </c>
      <c r="N485" s="176">
        <f>IFERROR(__xludf.DUMMYFUNCTION("""COMPUTED_VALUE"""),8.0)</f>
        <v>8</v>
      </c>
      <c r="O485" s="176"/>
      <c r="P485" s="176"/>
      <c r="Q485" s="176"/>
      <c r="R485" s="176"/>
      <c r="S485" s="176"/>
      <c r="T485" s="176"/>
      <c r="U485" s="176"/>
      <c r="V485" s="176"/>
      <c r="W485" s="176"/>
      <c r="X485" s="176"/>
      <c r="Y485" s="176"/>
      <c r="Z485" s="176"/>
    </row>
    <row r="486">
      <c r="A486" s="249" t="s">
        <v>25</v>
      </c>
      <c r="B486" s="249" t="s">
        <v>590</v>
      </c>
      <c r="C486" s="219" t="s">
        <v>2202</v>
      </c>
      <c r="D486" s="268" t="s">
        <v>495</v>
      </c>
      <c r="E486" s="251">
        <v>44250.0</v>
      </c>
      <c r="F486" s="250" t="s">
        <v>496</v>
      </c>
      <c r="G486" s="171">
        <v>40.0</v>
      </c>
      <c r="H486" s="171">
        <v>50.0</v>
      </c>
      <c r="I486" s="171">
        <v>80.0</v>
      </c>
      <c r="J486" s="325">
        <f t="shared" si="14"/>
        <v>0.000752629433</v>
      </c>
      <c r="K486" s="326">
        <f t="shared" si="23"/>
        <v>1.078768854</v>
      </c>
      <c r="L486" s="327">
        <f t="shared" si="4"/>
        <v>5.533341318</v>
      </c>
      <c r="M486" s="321" t="str">
        <f t="shared" si="5"/>
        <v>freedumbs00</v>
      </c>
      <c r="N486" s="176">
        <f>IFERROR(__xludf.DUMMYFUNCTION("""COMPUTED_VALUE"""),9.0)</f>
        <v>9</v>
      </c>
      <c r="O486" s="176"/>
      <c r="P486" s="176"/>
      <c r="Q486" s="176"/>
      <c r="R486" s="176"/>
      <c r="S486" s="176"/>
      <c r="T486" s="176"/>
      <c r="U486" s="176"/>
      <c r="V486" s="176"/>
      <c r="W486" s="176"/>
      <c r="X486" s="176"/>
      <c r="Y486" s="176"/>
      <c r="Z486" s="176"/>
    </row>
    <row r="487">
      <c r="A487" s="249" t="s">
        <v>25</v>
      </c>
      <c r="B487" s="249" t="s">
        <v>10</v>
      </c>
      <c r="C487" s="219" t="s">
        <v>500</v>
      </c>
      <c r="D487" s="268" t="s">
        <v>495</v>
      </c>
      <c r="E487" s="251">
        <v>44253.0</v>
      </c>
      <c r="F487" s="250" t="s">
        <v>496</v>
      </c>
      <c r="G487" s="171">
        <v>20.0</v>
      </c>
      <c r="H487" s="171">
        <v>100.0</v>
      </c>
      <c r="I487" s="171">
        <v>20.0</v>
      </c>
      <c r="J487" s="325">
        <f t="shared" si="14"/>
        <v>0.0004528511394</v>
      </c>
      <c r="K487" s="326">
        <f t="shared" si="23"/>
        <v>0.6490866332</v>
      </c>
      <c r="L487" s="327">
        <f t="shared" si="4"/>
        <v>5.533341318</v>
      </c>
      <c r="M487" s="321" t="str">
        <f t="shared" si="5"/>
        <v>freedumbs00</v>
      </c>
      <c r="N487" s="176">
        <f>IFERROR(__xludf.DUMMYFUNCTION("""COMPUTED_VALUE"""),10.0)</f>
        <v>10</v>
      </c>
      <c r="O487" s="176"/>
      <c r="P487" s="176"/>
      <c r="Q487" s="176"/>
      <c r="R487" s="176"/>
      <c r="S487" s="176"/>
      <c r="T487" s="176"/>
      <c r="U487" s="176"/>
      <c r="V487" s="176"/>
      <c r="W487" s="176"/>
      <c r="X487" s="176"/>
      <c r="Y487" s="176"/>
      <c r="Z487" s="176"/>
    </row>
    <row r="488">
      <c r="A488" s="249" t="s">
        <v>25</v>
      </c>
      <c r="B488" s="249" t="s">
        <v>10</v>
      </c>
      <c r="C488" s="219" t="s">
        <v>2181</v>
      </c>
      <c r="D488" s="268" t="s">
        <v>495</v>
      </c>
      <c r="E488" s="251">
        <v>44253.0</v>
      </c>
      <c r="F488" s="250" t="s">
        <v>499</v>
      </c>
      <c r="G488" s="171">
        <v>10.0</v>
      </c>
      <c r="H488" s="171">
        <v>40.0</v>
      </c>
      <c r="I488" s="171">
        <v>20.0</v>
      </c>
      <c r="J488" s="325">
        <f t="shared" si="14"/>
        <v>0.0002600240364</v>
      </c>
      <c r="K488" s="326">
        <f t="shared" si="23"/>
        <v>0.3727011189</v>
      </c>
      <c r="L488" s="327">
        <f t="shared" si="4"/>
        <v>5.533341318</v>
      </c>
      <c r="M488" s="321" t="str">
        <f t="shared" si="5"/>
        <v>freedumbs00</v>
      </c>
      <c r="N488" s="176">
        <f>IFERROR(__xludf.DUMMYFUNCTION("""COMPUTED_VALUE"""),11.0)</f>
        <v>11</v>
      </c>
      <c r="O488" s="176"/>
      <c r="P488" s="176"/>
      <c r="Q488" s="176"/>
      <c r="R488" s="176"/>
      <c r="S488" s="176"/>
      <c r="T488" s="176"/>
      <c r="U488" s="176"/>
      <c r="V488" s="176"/>
      <c r="W488" s="176"/>
      <c r="X488" s="176"/>
      <c r="Y488" s="176"/>
      <c r="Z488" s="176"/>
    </row>
    <row r="489">
      <c r="A489" s="249" t="s">
        <v>25</v>
      </c>
      <c r="B489" s="249" t="s">
        <v>10</v>
      </c>
      <c r="C489" s="219" t="s">
        <v>2314</v>
      </c>
      <c r="D489" s="268" t="s">
        <v>495</v>
      </c>
      <c r="E489" s="251">
        <v>44253.0</v>
      </c>
      <c r="F489" s="250" t="s">
        <v>496</v>
      </c>
      <c r="G489" s="171">
        <v>200.0</v>
      </c>
      <c r="H489" s="171">
        <v>300.0</v>
      </c>
      <c r="I489" s="171">
        <v>150.0</v>
      </c>
      <c r="J489" s="325">
        <f t="shared" si="14"/>
        <v>0.002400518747</v>
      </c>
      <c r="K489" s="326">
        <f t="shared" si="23"/>
        <v>3.440743538</v>
      </c>
      <c r="L489" s="327">
        <f t="shared" si="4"/>
        <v>5.533341318</v>
      </c>
      <c r="M489" s="321" t="str">
        <f t="shared" si="5"/>
        <v>freedumbs00</v>
      </c>
      <c r="N489" s="176">
        <f>IFERROR(__xludf.DUMMYFUNCTION("""COMPUTED_VALUE"""),12.0)</f>
        <v>12</v>
      </c>
      <c r="O489" s="176"/>
      <c r="P489" s="176"/>
      <c r="Q489" s="176"/>
      <c r="R489" s="176"/>
      <c r="S489" s="176"/>
      <c r="T489" s="176"/>
      <c r="U489" s="176"/>
      <c r="V489" s="176"/>
      <c r="W489" s="176"/>
      <c r="X489" s="176"/>
      <c r="Y489" s="176"/>
      <c r="Z489" s="176"/>
    </row>
    <row r="490">
      <c r="A490" s="249" t="s">
        <v>25</v>
      </c>
      <c r="B490" s="249" t="s">
        <v>10</v>
      </c>
      <c r="C490" s="219" t="s">
        <v>2255</v>
      </c>
      <c r="D490" s="268" t="s">
        <v>495</v>
      </c>
      <c r="E490" s="251">
        <v>44253.0</v>
      </c>
      <c r="F490" s="250" t="s">
        <v>496</v>
      </c>
      <c r="G490" s="171">
        <v>120.0</v>
      </c>
      <c r="H490" s="171">
        <v>100.0</v>
      </c>
      <c r="I490" s="171">
        <v>80.0</v>
      </c>
      <c r="J490" s="325">
        <f t="shared" si="14"/>
        <v>0.001171512744</v>
      </c>
      <c r="K490" s="326">
        <f t="shared" si="23"/>
        <v>1.679168267</v>
      </c>
      <c r="L490" s="327">
        <f t="shared" si="4"/>
        <v>5.533341318</v>
      </c>
      <c r="M490" s="321" t="str">
        <f t="shared" si="5"/>
        <v>freedumbs00</v>
      </c>
      <c r="N490" s="176">
        <f>IFERROR(__xludf.DUMMYFUNCTION("""COMPUTED_VALUE"""),13.0)</f>
        <v>13</v>
      </c>
      <c r="O490" s="176"/>
      <c r="P490" s="176"/>
      <c r="Q490" s="176"/>
      <c r="R490" s="176"/>
      <c r="S490" s="176"/>
      <c r="T490" s="176"/>
      <c r="U490" s="176"/>
      <c r="V490" s="176"/>
      <c r="W490" s="176"/>
      <c r="X490" s="176"/>
      <c r="Y490" s="176"/>
      <c r="Z490" s="176"/>
    </row>
    <row r="491">
      <c r="A491" s="249" t="s">
        <v>25</v>
      </c>
      <c r="B491" s="249" t="s">
        <v>10</v>
      </c>
      <c r="C491" s="219" t="s">
        <v>2257</v>
      </c>
      <c r="D491" s="268" t="s">
        <v>495</v>
      </c>
      <c r="E491" s="251">
        <v>44253.0</v>
      </c>
      <c r="F491" s="250" t="s">
        <v>496</v>
      </c>
      <c r="G491" s="171">
        <v>210.0</v>
      </c>
      <c r="H491" s="171">
        <v>200.0</v>
      </c>
      <c r="I491" s="171">
        <v>150.0</v>
      </c>
      <c r="J491" s="325">
        <f t="shared" si="14"/>
        <v>0.00217521245</v>
      </c>
      <c r="K491" s="326">
        <f t="shared" si="23"/>
        <v>3.117804512</v>
      </c>
      <c r="L491" s="327">
        <f t="shared" si="4"/>
        <v>5.533341318</v>
      </c>
      <c r="M491" s="321" t="str">
        <f t="shared" si="5"/>
        <v>freedumbs00</v>
      </c>
      <c r="N491" s="176">
        <f>IFERROR(__xludf.DUMMYFUNCTION("""COMPUTED_VALUE"""),14.0)</f>
        <v>14</v>
      </c>
      <c r="O491" s="176"/>
      <c r="P491" s="176"/>
      <c r="Q491" s="176"/>
      <c r="R491" s="176"/>
      <c r="S491" s="176"/>
      <c r="T491" s="176"/>
      <c r="U491" s="176"/>
      <c r="V491" s="176"/>
      <c r="W491" s="176"/>
      <c r="X491" s="176"/>
      <c r="Y491" s="176"/>
      <c r="Z491" s="176"/>
    </row>
    <row r="492">
      <c r="A492" s="249" t="s">
        <v>25</v>
      </c>
      <c r="B492" s="249" t="s">
        <v>10</v>
      </c>
      <c r="C492" s="219" t="s">
        <v>2341</v>
      </c>
      <c r="D492" s="268" t="s">
        <v>495</v>
      </c>
      <c r="E492" s="251">
        <v>44253.0</v>
      </c>
      <c r="F492" s="250" t="s">
        <v>496</v>
      </c>
      <c r="G492" s="171">
        <v>300.0</v>
      </c>
      <c r="H492" s="171">
        <v>200.0</v>
      </c>
      <c r="I492" s="171">
        <v>150.0</v>
      </c>
      <c r="J492" s="325">
        <f t="shared" si="14"/>
        <v>0.002499456152</v>
      </c>
      <c r="K492" s="326">
        <f t="shared" si="23"/>
        <v>3.582553818</v>
      </c>
      <c r="L492" s="327">
        <f t="shared" si="4"/>
        <v>5.533341318</v>
      </c>
      <c r="M492" s="321" t="str">
        <f t="shared" si="5"/>
        <v>freedumbs00</v>
      </c>
      <c r="N492" s="176">
        <f>IFERROR(__xludf.DUMMYFUNCTION("""COMPUTED_VALUE"""),15.0)</f>
        <v>15</v>
      </c>
      <c r="O492" s="176"/>
      <c r="P492" s="176"/>
      <c r="Q492" s="176"/>
      <c r="R492" s="176"/>
      <c r="S492" s="176"/>
      <c r="T492" s="176"/>
      <c r="U492" s="176"/>
      <c r="V492" s="176"/>
      <c r="W492" s="176"/>
      <c r="X492" s="176"/>
      <c r="Y492" s="176"/>
      <c r="Z492" s="176"/>
    </row>
    <row r="493">
      <c r="A493" s="249" t="s">
        <v>25</v>
      </c>
      <c r="B493" s="249" t="s">
        <v>10</v>
      </c>
      <c r="C493" s="219" t="s">
        <v>2434</v>
      </c>
      <c r="D493" s="268" t="s">
        <v>495</v>
      </c>
      <c r="E493" s="251">
        <v>44253.0</v>
      </c>
      <c r="F493" s="250" t="s">
        <v>496</v>
      </c>
      <c r="G493" s="171">
        <v>200.0</v>
      </c>
      <c r="H493" s="171">
        <v>200.0</v>
      </c>
      <c r="I493" s="171">
        <v>200.0</v>
      </c>
      <c r="J493" s="325">
        <f t="shared" si="14"/>
        <v>0.002437844393</v>
      </c>
      <c r="K493" s="326">
        <f t="shared" si="23"/>
        <v>3.49424363</v>
      </c>
      <c r="L493" s="327">
        <f t="shared" si="4"/>
        <v>5.533341318</v>
      </c>
      <c r="M493" s="321" t="str">
        <f t="shared" si="5"/>
        <v>freedumbs00</v>
      </c>
      <c r="N493" s="176">
        <f>IFERROR(__xludf.DUMMYFUNCTION("""COMPUTED_VALUE"""),16.0)</f>
        <v>16</v>
      </c>
      <c r="O493" s="176"/>
      <c r="P493" s="176"/>
      <c r="Q493" s="176"/>
      <c r="R493" s="176"/>
      <c r="S493" s="176"/>
      <c r="T493" s="176"/>
      <c r="U493" s="176"/>
      <c r="V493" s="176"/>
      <c r="W493" s="176"/>
      <c r="X493" s="176"/>
      <c r="Y493" s="176"/>
      <c r="Z493" s="176"/>
    </row>
    <row r="494">
      <c r="A494" s="249" t="s">
        <v>25</v>
      </c>
      <c r="B494" s="249" t="s">
        <v>10</v>
      </c>
      <c r="C494" s="219" t="s">
        <v>2206</v>
      </c>
      <c r="D494" s="268" t="s">
        <v>495</v>
      </c>
      <c r="E494" s="251">
        <v>44253.0</v>
      </c>
      <c r="F494" s="250" t="s">
        <v>496</v>
      </c>
      <c r="G494" s="171">
        <v>40.0</v>
      </c>
      <c r="H494" s="171">
        <v>20.0</v>
      </c>
      <c r="I494" s="171">
        <v>50.0</v>
      </c>
      <c r="J494" s="325">
        <f t="shared" si="14"/>
        <v>0.0004950340078</v>
      </c>
      <c r="K494" s="326">
        <f t="shared" si="23"/>
        <v>0.7095487446</v>
      </c>
      <c r="L494" s="327">
        <f t="shared" si="4"/>
        <v>5.533341318</v>
      </c>
      <c r="M494" s="321" t="str">
        <f t="shared" si="5"/>
        <v>freedumbs00</v>
      </c>
      <c r="N494" s="176">
        <f>IFERROR(__xludf.DUMMYFUNCTION("""COMPUTED_VALUE"""),17.0)</f>
        <v>17</v>
      </c>
      <c r="O494" s="176"/>
      <c r="P494" s="176"/>
      <c r="Q494" s="176"/>
      <c r="R494" s="176"/>
      <c r="S494" s="176"/>
      <c r="T494" s="176"/>
      <c r="U494" s="176"/>
      <c r="V494" s="176"/>
      <c r="W494" s="176"/>
      <c r="X494" s="176"/>
      <c r="Y494" s="176"/>
      <c r="Z494" s="176"/>
    </row>
    <row r="495">
      <c r="A495" s="240" t="s">
        <v>59</v>
      </c>
      <c r="B495" s="240" t="s">
        <v>534</v>
      </c>
      <c r="C495" s="349" t="s">
        <v>810</v>
      </c>
      <c r="D495" s="336"/>
      <c r="E495" s="340"/>
      <c r="F495" s="254"/>
      <c r="G495" s="222"/>
      <c r="H495" s="222"/>
      <c r="I495" s="222"/>
      <c r="J495" s="325">
        <f t="shared" si="14"/>
        <v>0</v>
      </c>
      <c r="K495" s="337">
        <f>35.779*-0.85</f>
        <v>-30.41215</v>
      </c>
      <c r="L495" s="327">
        <f t="shared" si="4"/>
        <v>5.374262556</v>
      </c>
      <c r="M495" s="321" t="str">
        <f t="shared" si="5"/>
        <v>krisjones</v>
      </c>
      <c r="N495" s="209">
        <f>IFERROR(__xludf.DUMMYFUNCTION("""COMPUTED_VALUE"""),1.0)</f>
        <v>1</v>
      </c>
      <c r="O495" s="209"/>
      <c r="P495" s="209"/>
      <c r="Q495" s="209"/>
      <c r="R495" s="209">
        <v>14.561258630642886</v>
      </c>
      <c r="S495" s="209"/>
      <c r="T495" s="209"/>
      <c r="U495" s="209"/>
      <c r="V495" s="209"/>
      <c r="W495" s="209"/>
      <c r="X495" s="209"/>
      <c r="Y495" s="176"/>
      <c r="Z495" s="176"/>
    </row>
    <row r="496">
      <c r="A496" s="249" t="s">
        <v>59</v>
      </c>
      <c r="B496" s="249" t="s">
        <v>10</v>
      </c>
      <c r="C496" s="219" t="s">
        <v>2240</v>
      </c>
      <c r="D496" s="268" t="s">
        <v>495</v>
      </c>
      <c r="E496" s="251">
        <v>44246.0</v>
      </c>
      <c r="F496" s="250" t="s">
        <v>496</v>
      </c>
      <c r="G496" s="171">
        <v>300.0</v>
      </c>
      <c r="H496" s="171">
        <v>400.0</v>
      </c>
      <c r="I496" s="171">
        <v>150.0</v>
      </c>
      <c r="J496" s="325">
        <f t="shared" si="14"/>
        <v>0.003022122902</v>
      </c>
      <c r="K496" s="326">
        <f t="shared" ref="K496:K529" si="24">J496*$J$1</f>
        <v>4.331709493</v>
      </c>
      <c r="L496" s="327">
        <f t="shared" si="4"/>
        <v>5.374262556</v>
      </c>
      <c r="M496" s="321" t="str">
        <f t="shared" si="5"/>
        <v>krisjones</v>
      </c>
      <c r="N496" s="176">
        <f>IFERROR(__xludf.DUMMYFUNCTION("""COMPUTED_VALUE"""),2.0)</f>
        <v>2</v>
      </c>
      <c r="O496" s="176"/>
      <c r="P496" s="176"/>
      <c r="Q496" s="176"/>
      <c r="R496" s="176"/>
      <c r="S496" s="176"/>
      <c r="T496" s="176"/>
      <c r="U496" s="176"/>
      <c r="V496" s="176"/>
      <c r="W496" s="176"/>
      <c r="X496" s="176"/>
      <c r="Y496" s="176"/>
      <c r="Z496" s="176"/>
    </row>
    <row r="497">
      <c r="A497" s="249" t="s">
        <v>59</v>
      </c>
      <c r="B497" s="249" t="s">
        <v>10</v>
      </c>
      <c r="C497" s="219" t="s">
        <v>2232</v>
      </c>
      <c r="D497" s="268" t="s">
        <v>495</v>
      </c>
      <c r="E497" s="251">
        <v>44246.0</v>
      </c>
      <c r="F497" s="250" t="s">
        <v>496</v>
      </c>
      <c r="G497" s="171">
        <v>200.0</v>
      </c>
      <c r="H497" s="171">
        <v>400.0</v>
      </c>
      <c r="I497" s="171">
        <v>150.0</v>
      </c>
      <c r="J497" s="325">
        <f t="shared" si="14"/>
        <v>0.002661852123</v>
      </c>
      <c r="K497" s="326">
        <f t="shared" si="24"/>
        <v>3.815321376</v>
      </c>
      <c r="L497" s="327">
        <f t="shared" si="4"/>
        <v>5.374262556</v>
      </c>
      <c r="M497" s="321" t="str">
        <f t="shared" si="5"/>
        <v>krisjones</v>
      </c>
      <c r="N497" s="176">
        <f>IFERROR(__xludf.DUMMYFUNCTION("""COMPUTED_VALUE"""),3.0)</f>
        <v>3</v>
      </c>
      <c r="O497" s="176"/>
      <c r="P497" s="176"/>
      <c r="Q497" s="176"/>
      <c r="R497" s="176"/>
      <c r="S497" s="176"/>
      <c r="T497" s="176"/>
      <c r="U497" s="176"/>
      <c r="V497" s="176"/>
      <c r="W497" s="176"/>
      <c r="X497" s="176"/>
      <c r="Y497" s="176"/>
      <c r="Z497" s="176"/>
    </row>
    <row r="498">
      <c r="A498" s="249" t="s">
        <v>59</v>
      </c>
      <c r="B498" s="249" t="s">
        <v>10</v>
      </c>
      <c r="C498" s="219" t="s">
        <v>2197</v>
      </c>
      <c r="D498" s="268" t="s">
        <v>495</v>
      </c>
      <c r="E498" s="251">
        <v>44246.0</v>
      </c>
      <c r="F498" s="250" t="s">
        <v>496</v>
      </c>
      <c r="G498" s="171">
        <v>40.0</v>
      </c>
      <c r="H498" s="171">
        <v>20.0</v>
      </c>
      <c r="I498" s="171">
        <v>50.0</v>
      </c>
      <c r="J498" s="325">
        <f t="shared" si="14"/>
        <v>0.0004950340078</v>
      </c>
      <c r="K498" s="326">
        <f t="shared" si="24"/>
        <v>0.7095487446</v>
      </c>
      <c r="L498" s="327">
        <f t="shared" si="4"/>
        <v>5.374262556</v>
      </c>
      <c r="M498" s="321" t="str">
        <f t="shared" si="5"/>
        <v>krisjones</v>
      </c>
      <c r="N498" s="176">
        <f>IFERROR(__xludf.DUMMYFUNCTION("""COMPUTED_VALUE"""),4.0)</f>
        <v>4</v>
      </c>
      <c r="O498" s="176"/>
      <c r="P498" s="176"/>
      <c r="Q498" s="176"/>
      <c r="R498" s="176"/>
      <c r="S498" s="176"/>
      <c r="T498" s="176"/>
      <c r="U498" s="176"/>
      <c r="V498" s="176"/>
      <c r="W498" s="176"/>
      <c r="X498" s="176"/>
      <c r="Y498" s="176"/>
      <c r="Z498" s="176"/>
    </row>
    <row r="499">
      <c r="A499" s="249" t="s">
        <v>59</v>
      </c>
      <c r="B499" s="249" t="s">
        <v>10</v>
      </c>
      <c r="C499" s="219" t="s">
        <v>498</v>
      </c>
      <c r="D499" s="268" t="s">
        <v>495</v>
      </c>
      <c r="E499" s="251">
        <v>44246.0</v>
      </c>
      <c r="F499" s="250" t="s">
        <v>499</v>
      </c>
      <c r="G499" s="171">
        <v>10.0</v>
      </c>
      <c r="H499" s="171">
        <v>20.0</v>
      </c>
      <c r="I499" s="171">
        <v>20.0</v>
      </c>
      <c r="J499" s="325">
        <f t="shared" si="14"/>
        <v>0.0002077573614</v>
      </c>
      <c r="K499" s="326">
        <f t="shared" si="24"/>
        <v>0.2977855513</v>
      </c>
      <c r="L499" s="327">
        <f t="shared" si="4"/>
        <v>5.374262556</v>
      </c>
      <c r="M499" s="321" t="str">
        <f t="shared" si="5"/>
        <v>krisjones</v>
      </c>
      <c r="N499" s="176">
        <f>IFERROR(__xludf.DUMMYFUNCTION("""COMPUTED_VALUE"""),5.0)</f>
        <v>5</v>
      </c>
      <c r="O499" s="176"/>
      <c r="P499" s="176"/>
      <c r="Q499" s="176"/>
      <c r="R499" s="176"/>
      <c r="S499" s="176"/>
      <c r="T499" s="176"/>
      <c r="U499" s="176"/>
      <c r="V499" s="176"/>
      <c r="W499" s="176"/>
      <c r="X499" s="176"/>
      <c r="Y499" s="176"/>
      <c r="Z499" s="176"/>
    </row>
    <row r="500">
      <c r="A500" s="249" t="s">
        <v>59</v>
      </c>
      <c r="B500" s="249" t="s">
        <v>590</v>
      </c>
      <c r="C500" s="219" t="s">
        <v>2202</v>
      </c>
      <c r="D500" s="268" t="s">
        <v>495</v>
      </c>
      <c r="E500" s="251">
        <v>44250.0</v>
      </c>
      <c r="F500" s="250" t="s">
        <v>496</v>
      </c>
      <c r="G500" s="171">
        <v>40.0</v>
      </c>
      <c r="H500" s="171">
        <v>50.0</v>
      </c>
      <c r="I500" s="171">
        <v>80.0</v>
      </c>
      <c r="J500" s="325">
        <f t="shared" si="14"/>
        <v>0.000752629433</v>
      </c>
      <c r="K500" s="326">
        <f t="shared" si="24"/>
        <v>1.078768854</v>
      </c>
      <c r="L500" s="327">
        <f t="shared" si="4"/>
        <v>5.374262556</v>
      </c>
      <c r="M500" s="321" t="str">
        <f t="shared" si="5"/>
        <v>krisjones</v>
      </c>
      <c r="N500" s="176">
        <f>IFERROR(__xludf.DUMMYFUNCTION("""COMPUTED_VALUE"""),6.0)</f>
        <v>6</v>
      </c>
      <c r="O500" s="176"/>
      <c r="P500" s="176"/>
      <c r="Q500" s="176"/>
      <c r="R500" s="176"/>
      <c r="S500" s="176"/>
      <c r="T500" s="176"/>
      <c r="U500" s="176"/>
      <c r="V500" s="176"/>
      <c r="W500" s="176"/>
      <c r="X500" s="176"/>
      <c r="Y500" s="176"/>
      <c r="Z500" s="176"/>
    </row>
    <row r="501">
      <c r="A501" s="249" t="s">
        <v>59</v>
      </c>
      <c r="B501" s="249" t="s">
        <v>10</v>
      </c>
      <c r="C501" s="219" t="s">
        <v>2181</v>
      </c>
      <c r="D501" s="268" t="s">
        <v>495</v>
      </c>
      <c r="E501" s="251">
        <v>44253.0</v>
      </c>
      <c r="F501" s="250" t="s">
        <v>499</v>
      </c>
      <c r="G501" s="171">
        <v>10.0</v>
      </c>
      <c r="H501" s="171">
        <v>40.0</v>
      </c>
      <c r="I501" s="171">
        <v>20.0</v>
      </c>
      <c r="J501" s="325">
        <f t="shared" si="14"/>
        <v>0.0002600240364</v>
      </c>
      <c r="K501" s="326">
        <f t="shared" si="24"/>
        <v>0.3727011189</v>
      </c>
      <c r="L501" s="327">
        <f t="shared" si="4"/>
        <v>5.374262556</v>
      </c>
      <c r="M501" s="321" t="str">
        <f t="shared" si="5"/>
        <v>krisjones</v>
      </c>
      <c r="N501" s="176">
        <f>IFERROR(__xludf.DUMMYFUNCTION("""COMPUTED_VALUE"""),7.0)</f>
        <v>7</v>
      </c>
      <c r="O501" s="176"/>
      <c r="P501" s="176"/>
      <c r="Q501" s="176"/>
      <c r="R501" s="176"/>
      <c r="S501" s="176"/>
      <c r="T501" s="176"/>
      <c r="U501" s="176"/>
      <c r="V501" s="176"/>
      <c r="W501" s="176"/>
      <c r="X501" s="176"/>
      <c r="Y501" s="176"/>
      <c r="Z501" s="176"/>
    </row>
    <row r="502">
      <c r="A502" s="249" t="s">
        <v>59</v>
      </c>
      <c r="B502" s="249" t="s">
        <v>10</v>
      </c>
      <c r="C502" s="219" t="s">
        <v>2257</v>
      </c>
      <c r="D502" s="268" t="s">
        <v>495</v>
      </c>
      <c r="E502" s="251">
        <v>44253.0</v>
      </c>
      <c r="F502" s="250" t="s">
        <v>496</v>
      </c>
      <c r="G502" s="171">
        <v>210.0</v>
      </c>
      <c r="H502" s="171">
        <v>200.0</v>
      </c>
      <c r="I502" s="171">
        <v>150.0</v>
      </c>
      <c r="J502" s="325">
        <f t="shared" si="14"/>
        <v>0.00217521245</v>
      </c>
      <c r="K502" s="326">
        <f t="shared" si="24"/>
        <v>3.117804512</v>
      </c>
      <c r="L502" s="327">
        <f t="shared" si="4"/>
        <v>5.374262556</v>
      </c>
      <c r="M502" s="321" t="str">
        <f t="shared" si="5"/>
        <v>krisjones</v>
      </c>
      <c r="N502" s="176">
        <f>IFERROR(__xludf.DUMMYFUNCTION("""COMPUTED_VALUE"""),8.0)</f>
        <v>8</v>
      </c>
      <c r="O502" s="176"/>
      <c r="P502" s="176"/>
      <c r="Q502" s="176"/>
      <c r="R502" s="176"/>
      <c r="S502" s="176"/>
      <c r="T502" s="176"/>
      <c r="U502" s="176"/>
      <c r="V502" s="176"/>
      <c r="W502" s="176"/>
      <c r="X502" s="176"/>
      <c r="Y502" s="176"/>
      <c r="Z502" s="176"/>
    </row>
    <row r="503">
      <c r="A503" s="249" t="s">
        <v>59</v>
      </c>
      <c r="B503" s="249" t="s">
        <v>10</v>
      </c>
      <c r="C503" s="219" t="s">
        <v>2206</v>
      </c>
      <c r="D503" s="268" t="s">
        <v>495</v>
      </c>
      <c r="E503" s="251">
        <v>44253.0</v>
      </c>
      <c r="F503" s="250" t="s">
        <v>496</v>
      </c>
      <c r="G503" s="171">
        <v>40.0</v>
      </c>
      <c r="H503" s="171">
        <v>20.0</v>
      </c>
      <c r="I503" s="171">
        <v>50.0</v>
      </c>
      <c r="J503" s="325">
        <f t="shared" si="14"/>
        <v>0.0004950340078</v>
      </c>
      <c r="K503" s="326">
        <f t="shared" si="24"/>
        <v>0.7095487446</v>
      </c>
      <c r="L503" s="327">
        <f t="shared" si="4"/>
        <v>5.374262556</v>
      </c>
      <c r="M503" s="321" t="str">
        <f t="shared" si="5"/>
        <v>krisjones</v>
      </c>
      <c r="N503" s="176">
        <f>IFERROR(__xludf.DUMMYFUNCTION("""COMPUTED_VALUE"""),9.0)</f>
        <v>9</v>
      </c>
      <c r="O503" s="176"/>
      <c r="P503" s="176"/>
      <c r="Q503" s="176"/>
      <c r="R503" s="176"/>
      <c r="S503" s="176"/>
      <c r="T503" s="176"/>
      <c r="U503" s="176"/>
      <c r="V503" s="176"/>
      <c r="W503" s="176"/>
      <c r="X503" s="176"/>
      <c r="Y503" s="176"/>
      <c r="Z503" s="176"/>
    </row>
    <row r="504">
      <c r="A504" s="249" t="s">
        <v>59</v>
      </c>
      <c r="B504" s="272" t="s">
        <v>2035</v>
      </c>
      <c r="C504" s="273" t="s">
        <v>2435</v>
      </c>
      <c r="D504" s="274" t="s">
        <v>437</v>
      </c>
      <c r="E504" s="328" t="s">
        <v>2216</v>
      </c>
      <c r="F504" s="274" t="s">
        <v>2129</v>
      </c>
      <c r="G504" s="171">
        <v>110.0</v>
      </c>
      <c r="H504" s="171">
        <v>100.0</v>
      </c>
      <c r="I504" s="171">
        <v>100.0</v>
      </c>
      <c r="J504" s="172">
        <f t="shared" si="14"/>
        <v>0.001254949275</v>
      </c>
      <c r="K504" s="269">
        <f t="shared" si="24"/>
        <v>1.798760627</v>
      </c>
      <c r="L504" s="270">
        <f t="shared" si="4"/>
        <v>5.374262556</v>
      </c>
      <c r="M504" s="271" t="str">
        <f t="shared" si="5"/>
        <v>krisjones</v>
      </c>
      <c r="N504" s="176">
        <f>IFERROR(__xludf.DUMMYFUNCTION("""COMPUTED_VALUE"""),10.0)</f>
        <v>10</v>
      </c>
      <c r="O504" s="176"/>
      <c r="P504" s="176"/>
      <c r="Q504" s="176"/>
      <c r="R504" s="176"/>
      <c r="S504" s="176"/>
      <c r="T504" s="176"/>
      <c r="U504" s="176"/>
      <c r="V504" s="176"/>
      <c r="W504" s="176"/>
      <c r="X504" s="176"/>
      <c r="Y504" s="176"/>
      <c r="Z504" s="176"/>
    </row>
    <row r="505">
      <c r="A505" s="240" t="s">
        <v>59</v>
      </c>
      <c r="B505" s="253" t="s">
        <v>2035</v>
      </c>
      <c r="C505" s="318" t="s">
        <v>2357</v>
      </c>
      <c r="D505" s="319" t="s">
        <v>437</v>
      </c>
      <c r="E505" s="334" t="s">
        <v>2218</v>
      </c>
      <c r="F505" s="319" t="s">
        <v>2129</v>
      </c>
      <c r="G505" s="312"/>
      <c r="H505" s="312"/>
      <c r="I505" s="312"/>
      <c r="J505" s="172">
        <f t="shared" si="14"/>
        <v>0</v>
      </c>
      <c r="K505" s="269">
        <f t="shared" si="24"/>
        <v>0</v>
      </c>
      <c r="L505" s="270">
        <f t="shared" si="4"/>
        <v>5.374262556</v>
      </c>
      <c r="M505" s="271" t="str">
        <f t="shared" si="5"/>
        <v>krisjones</v>
      </c>
      <c r="N505" s="209">
        <f>IFERROR(__xludf.DUMMYFUNCTION("""COMPUTED_VALUE"""),11.0)</f>
        <v>11</v>
      </c>
      <c r="O505" s="209"/>
      <c r="P505" s="209"/>
      <c r="Q505" s="209"/>
      <c r="R505" s="209"/>
      <c r="S505" s="209"/>
      <c r="T505" s="209"/>
      <c r="U505" s="209"/>
      <c r="V505" s="209"/>
      <c r="W505" s="209"/>
      <c r="X505" s="209"/>
      <c r="Y505" s="209"/>
      <c r="Z505" s="209"/>
    </row>
    <row r="506">
      <c r="A506" s="249" t="s">
        <v>59</v>
      </c>
      <c r="B506" s="272" t="s">
        <v>12</v>
      </c>
      <c r="C506" s="273" t="s">
        <v>2436</v>
      </c>
      <c r="D506" s="274" t="s">
        <v>437</v>
      </c>
      <c r="E506" s="328" t="s">
        <v>2218</v>
      </c>
      <c r="F506" s="274" t="s">
        <v>2129</v>
      </c>
      <c r="G506" s="171">
        <v>300.0</v>
      </c>
      <c r="H506" s="171">
        <v>300.0</v>
      </c>
      <c r="I506" s="171">
        <v>100.0</v>
      </c>
      <c r="J506" s="172">
        <f t="shared" si="14"/>
        <v>0.002462130506</v>
      </c>
      <c r="K506" s="269">
        <f t="shared" si="24"/>
        <v>3.529053725</v>
      </c>
      <c r="L506" s="270">
        <f t="shared" si="4"/>
        <v>5.374262556</v>
      </c>
      <c r="M506" s="271" t="str">
        <f t="shared" si="5"/>
        <v>krisjones</v>
      </c>
      <c r="N506" s="176">
        <f>IFERROR(__xludf.DUMMYFUNCTION("""COMPUTED_VALUE"""),12.0)</f>
        <v>12</v>
      </c>
      <c r="O506" s="176"/>
      <c r="P506" s="176"/>
      <c r="Q506" s="176"/>
      <c r="R506" s="176"/>
      <c r="S506" s="176"/>
      <c r="T506" s="176"/>
      <c r="U506" s="176"/>
      <c r="V506" s="176"/>
      <c r="W506" s="176"/>
      <c r="X506" s="176"/>
      <c r="Y506" s="176"/>
      <c r="Z506" s="176"/>
    </row>
    <row r="507">
      <c r="A507" s="240" t="s">
        <v>59</v>
      </c>
      <c r="B507" s="253" t="s">
        <v>2035</v>
      </c>
      <c r="C507" s="318" t="s">
        <v>2263</v>
      </c>
      <c r="D507" s="319" t="s">
        <v>437</v>
      </c>
      <c r="E507" s="334" t="s">
        <v>2262</v>
      </c>
      <c r="F507" s="319" t="s">
        <v>453</v>
      </c>
      <c r="G507" s="312"/>
      <c r="H507" s="312"/>
      <c r="I507" s="312"/>
      <c r="J507" s="172">
        <f t="shared" si="14"/>
        <v>0</v>
      </c>
      <c r="K507" s="269">
        <f t="shared" si="24"/>
        <v>0</v>
      </c>
      <c r="L507" s="270">
        <f t="shared" si="4"/>
        <v>5.374262556</v>
      </c>
      <c r="M507" s="271" t="str">
        <f t="shared" si="5"/>
        <v>krisjones</v>
      </c>
      <c r="N507" s="209">
        <f>IFERROR(__xludf.DUMMYFUNCTION("""COMPUTED_VALUE"""),13.0)</f>
        <v>13</v>
      </c>
      <c r="O507" s="209"/>
      <c r="P507" s="209"/>
      <c r="Q507" s="209"/>
      <c r="R507" s="209"/>
      <c r="S507" s="209"/>
      <c r="T507" s="209"/>
      <c r="U507" s="209"/>
      <c r="V507" s="209"/>
      <c r="W507" s="209"/>
      <c r="X507" s="209"/>
      <c r="Y507" s="209"/>
      <c r="Z507" s="209"/>
    </row>
    <row r="508">
      <c r="A508" s="240" t="s">
        <v>59</v>
      </c>
      <c r="B508" s="253" t="s">
        <v>2035</v>
      </c>
      <c r="C508" s="318" t="s">
        <v>2358</v>
      </c>
      <c r="D508" s="319" t="s">
        <v>499</v>
      </c>
      <c r="E508" s="334" t="s">
        <v>2262</v>
      </c>
      <c r="F508" s="319" t="s">
        <v>1646</v>
      </c>
      <c r="G508" s="312"/>
      <c r="H508" s="312"/>
      <c r="I508" s="312"/>
      <c r="J508" s="172">
        <f t="shared" si="14"/>
        <v>0</v>
      </c>
      <c r="K508" s="269">
        <f t="shared" si="24"/>
        <v>0</v>
      </c>
      <c r="L508" s="270">
        <f t="shared" si="4"/>
        <v>5.374262556</v>
      </c>
      <c r="M508" s="271" t="str">
        <f t="shared" si="5"/>
        <v>krisjones</v>
      </c>
      <c r="N508" s="209">
        <f>IFERROR(__xludf.DUMMYFUNCTION("""COMPUTED_VALUE"""),14.0)</f>
        <v>14</v>
      </c>
      <c r="O508" s="209"/>
      <c r="P508" s="209"/>
      <c r="Q508" s="209"/>
      <c r="R508" s="209"/>
      <c r="S508" s="209"/>
      <c r="T508" s="209"/>
      <c r="U508" s="209"/>
      <c r="V508" s="209"/>
      <c r="W508" s="209"/>
      <c r="X508" s="209"/>
      <c r="Y508" s="209"/>
      <c r="Z508" s="209"/>
    </row>
    <row r="509">
      <c r="A509" s="240" t="s">
        <v>59</v>
      </c>
      <c r="B509" s="253" t="s">
        <v>2035</v>
      </c>
      <c r="C509" s="318" t="s">
        <v>2358</v>
      </c>
      <c r="D509" s="319" t="s">
        <v>437</v>
      </c>
      <c r="E509" s="334" t="s">
        <v>2262</v>
      </c>
      <c r="F509" s="319" t="s">
        <v>1929</v>
      </c>
      <c r="G509" s="312"/>
      <c r="H509" s="312"/>
      <c r="I509" s="312"/>
      <c r="J509" s="172">
        <f t="shared" si="14"/>
        <v>0</v>
      </c>
      <c r="K509" s="269">
        <f t="shared" si="24"/>
        <v>0</v>
      </c>
      <c r="L509" s="270">
        <f t="shared" si="4"/>
        <v>5.374262556</v>
      </c>
      <c r="M509" s="271" t="str">
        <f t="shared" si="5"/>
        <v>krisjones</v>
      </c>
      <c r="N509" s="209">
        <f>IFERROR(__xludf.DUMMYFUNCTION("""COMPUTED_VALUE"""),15.0)</f>
        <v>15</v>
      </c>
      <c r="O509" s="209"/>
      <c r="P509" s="209"/>
      <c r="Q509" s="209"/>
      <c r="R509" s="209"/>
      <c r="S509" s="209"/>
      <c r="T509" s="209"/>
      <c r="U509" s="209"/>
      <c r="V509" s="209"/>
      <c r="W509" s="209"/>
      <c r="X509" s="209"/>
      <c r="Y509" s="209"/>
      <c r="Z509" s="209"/>
    </row>
    <row r="510">
      <c r="A510" s="240" t="s">
        <v>59</v>
      </c>
      <c r="B510" s="253" t="s">
        <v>2107</v>
      </c>
      <c r="C510" s="318" t="s">
        <v>2264</v>
      </c>
      <c r="D510" s="319" t="s">
        <v>499</v>
      </c>
      <c r="E510" s="334" t="s">
        <v>2262</v>
      </c>
      <c r="F510" s="319" t="s">
        <v>1646</v>
      </c>
      <c r="G510" s="312"/>
      <c r="H510" s="312"/>
      <c r="I510" s="312"/>
      <c r="J510" s="172">
        <f t="shared" si="14"/>
        <v>0</v>
      </c>
      <c r="K510" s="269">
        <f t="shared" si="24"/>
        <v>0</v>
      </c>
      <c r="L510" s="270">
        <f t="shared" si="4"/>
        <v>5.374262556</v>
      </c>
      <c r="M510" s="271" t="str">
        <f t="shared" si="5"/>
        <v>krisjones</v>
      </c>
      <c r="N510" s="209">
        <f>IFERROR(__xludf.DUMMYFUNCTION("""COMPUTED_VALUE"""),16.0)</f>
        <v>16</v>
      </c>
      <c r="O510" s="209"/>
      <c r="P510" s="209"/>
      <c r="Q510" s="209"/>
      <c r="R510" s="209"/>
      <c r="S510" s="209"/>
      <c r="T510" s="209"/>
      <c r="U510" s="209"/>
      <c r="V510" s="209"/>
      <c r="W510" s="209"/>
      <c r="X510" s="209"/>
      <c r="Y510" s="209"/>
      <c r="Z510" s="209"/>
    </row>
    <row r="511">
      <c r="A511" s="249" t="s">
        <v>59</v>
      </c>
      <c r="B511" s="272" t="s">
        <v>1702</v>
      </c>
      <c r="C511" s="273" t="s">
        <v>2437</v>
      </c>
      <c r="D511" s="274" t="s">
        <v>499</v>
      </c>
      <c r="E511" s="328" t="s">
        <v>2266</v>
      </c>
      <c r="F511" s="274" t="s">
        <v>1646</v>
      </c>
      <c r="G511" s="171">
        <v>20.0</v>
      </c>
      <c r="H511" s="171">
        <v>10.0</v>
      </c>
      <c r="I511" s="171">
        <v>100.0</v>
      </c>
      <c r="J511" s="172">
        <f t="shared" si="14"/>
        <v>0.0006955055354</v>
      </c>
      <c r="K511" s="269">
        <f t="shared" si="24"/>
        <v>0.9968912674</v>
      </c>
      <c r="L511" s="270">
        <f t="shared" si="4"/>
        <v>5.374262556</v>
      </c>
      <c r="M511" s="271" t="str">
        <f t="shared" si="5"/>
        <v>krisjones</v>
      </c>
      <c r="N511" s="176">
        <f>IFERROR(__xludf.DUMMYFUNCTION("""COMPUTED_VALUE"""),17.0)</f>
        <v>17</v>
      </c>
      <c r="O511" s="176"/>
      <c r="P511" s="176"/>
      <c r="Q511" s="176"/>
      <c r="R511" s="176"/>
      <c r="S511" s="176"/>
      <c r="T511" s="176"/>
      <c r="U511" s="176"/>
      <c r="V511" s="176"/>
      <c r="W511" s="176"/>
      <c r="X511" s="176"/>
      <c r="Y511" s="176"/>
      <c r="Z511" s="176"/>
    </row>
    <row r="512">
      <c r="A512" s="240" t="s">
        <v>59</v>
      </c>
      <c r="B512" s="253" t="s">
        <v>2035</v>
      </c>
      <c r="C512" s="318" t="s">
        <v>2283</v>
      </c>
      <c r="D512" s="319" t="s">
        <v>437</v>
      </c>
      <c r="E512" s="334" t="s">
        <v>2269</v>
      </c>
      <c r="F512" s="319" t="s">
        <v>1929</v>
      </c>
      <c r="G512" s="312"/>
      <c r="H512" s="312"/>
      <c r="I512" s="312"/>
      <c r="J512" s="172">
        <f t="shared" si="14"/>
        <v>0</v>
      </c>
      <c r="K512" s="269">
        <f t="shared" si="24"/>
        <v>0</v>
      </c>
      <c r="L512" s="270">
        <f t="shared" si="4"/>
        <v>5.374262556</v>
      </c>
      <c r="M512" s="271" t="str">
        <f t="shared" si="5"/>
        <v>krisjones</v>
      </c>
      <c r="N512" s="209">
        <f>IFERROR(__xludf.DUMMYFUNCTION("""COMPUTED_VALUE"""),18.0)</f>
        <v>18</v>
      </c>
      <c r="O512" s="209"/>
      <c r="P512" s="209"/>
      <c r="Q512" s="209"/>
      <c r="R512" s="209"/>
      <c r="S512" s="209"/>
      <c r="T512" s="209"/>
      <c r="U512" s="209"/>
      <c r="V512" s="209"/>
      <c r="W512" s="209"/>
      <c r="X512" s="209"/>
      <c r="Y512" s="209"/>
      <c r="Z512" s="209"/>
    </row>
    <row r="513">
      <c r="A513" s="240" t="s">
        <v>59</v>
      </c>
      <c r="B513" s="253" t="s">
        <v>2035</v>
      </c>
      <c r="C513" s="318" t="s">
        <v>2260</v>
      </c>
      <c r="D513" s="319" t="s">
        <v>437</v>
      </c>
      <c r="E513" s="334" t="s">
        <v>2269</v>
      </c>
      <c r="F513" s="319" t="s">
        <v>1929</v>
      </c>
      <c r="G513" s="312"/>
      <c r="H513" s="312"/>
      <c r="I513" s="312"/>
      <c r="J513" s="172">
        <f t="shared" si="14"/>
        <v>0</v>
      </c>
      <c r="K513" s="269">
        <f t="shared" si="24"/>
        <v>0</v>
      </c>
      <c r="L513" s="270">
        <f t="shared" si="4"/>
        <v>5.374262556</v>
      </c>
      <c r="M513" s="271" t="str">
        <f t="shared" si="5"/>
        <v>krisjones</v>
      </c>
      <c r="N513" s="209">
        <f>IFERROR(__xludf.DUMMYFUNCTION("""COMPUTED_VALUE"""),19.0)</f>
        <v>19</v>
      </c>
      <c r="O513" s="209"/>
      <c r="P513" s="209"/>
      <c r="Q513" s="209"/>
      <c r="R513" s="209"/>
      <c r="S513" s="209"/>
      <c r="T513" s="209"/>
      <c r="U513" s="209"/>
      <c r="V513" s="209"/>
      <c r="W513" s="209"/>
      <c r="X513" s="209"/>
      <c r="Y513" s="209"/>
      <c r="Z513" s="209"/>
    </row>
    <row r="514">
      <c r="A514" s="240" t="s">
        <v>59</v>
      </c>
      <c r="B514" s="253" t="s">
        <v>2035</v>
      </c>
      <c r="C514" s="318" t="s">
        <v>2284</v>
      </c>
      <c r="D514" s="319" t="s">
        <v>437</v>
      </c>
      <c r="E514" s="334" t="s">
        <v>2269</v>
      </c>
      <c r="F514" s="319" t="s">
        <v>1929</v>
      </c>
      <c r="G514" s="312"/>
      <c r="H514" s="312"/>
      <c r="I514" s="312"/>
      <c r="J514" s="172">
        <f t="shared" si="14"/>
        <v>0</v>
      </c>
      <c r="K514" s="269">
        <f t="shared" si="24"/>
        <v>0</v>
      </c>
      <c r="L514" s="270">
        <f t="shared" si="4"/>
        <v>5.374262556</v>
      </c>
      <c r="M514" s="271" t="str">
        <f t="shared" si="5"/>
        <v>krisjones</v>
      </c>
      <c r="N514" s="209">
        <f>IFERROR(__xludf.DUMMYFUNCTION("""COMPUTED_VALUE"""),20.0)</f>
        <v>20</v>
      </c>
      <c r="O514" s="209"/>
      <c r="P514" s="209"/>
      <c r="Q514" s="209"/>
      <c r="R514" s="209"/>
      <c r="S514" s="209"/>
      <c r="T514" s="209"/>
      <c r="U514" s="209"/>
      <c r="V514" s="209"/>
      <c r="W514" s="209"/>
      <c r="X514" s="209"/>
      <c r="Y514" s="209"/>
      <c r="Z514" s="209"/>
    </row>
    <row r="515">
      <c r="A515" s="267" t="s">
        <v>59</v>
      </c>
      <c r="B515" s="276" t="s">
        <v>2035</v>
      </c>
      <c r="C515" s="277" t="s">
        <v>2285</v>
      </c>
      <c r="D515" s="278" t="s">
        <v>437</v>
      </c>
      <c r="E515" s="350" t="s">
        <v>2286</v>
      </c>
      <c r="F515" s="278" t="s">
        <v>1929</v>
      </c>
      <c r="G515" s="171">
        <v>40.0</v>
      </c>
      <c r="H515" s="171">
        <v>60.0</v>
      </c>
      <c r="I515" s="171">
        <v>100.0</v>
      </c>
      <c r="J515" s="172">
        <f t="shared" si="14"/>
        <v>0.0008982263789</v>
      </c>
      <c r="K515" s="269">
        <f t="shared" si="24"/>
        <v>1.28745781</v>
      </c>
      <c r="L515" s="270">
        <f t="shared" si="4"/>
        <v>5.374262556</v>
      </c>
      <c r="M515" s="271" t="str">
        <f t="shared" si="5"/>
        <v>krisjones</v>
      </c>
      <c r="N515" s="176">
        <f>IFERROR(__xludf.DUMMYFUNCTION("""COMPUTED_VALUE"""),21.0)</f>
        <v>21</v>
      </c>
      <c r="O515" s="176"/>
      <c r="P515" s="176"/>
      <c r="Q515" s="176"/>
      <c r="R515" s="176"/>
      <c r="S515" s="176"/>
      <c r="T515" s="176"/>
      <c r="U515" s="176"/>
      <c r="V515" s="176"/>
      <c r="W515" s="176"/>
      <c r="X515" s="176"/>
      <c r="Y515" s="176"/>
      <c r="Z515" s="176"/>
    </row>
    <row r="516">
      <c r="A516" s="267" t="s">
        <v>59</v>
      </c>
      <c r="B516" s="276" t="s">
        <v>845</v>
      </c>
      <c r="C516" s="277" t="s">
        <v>2243</v>
      </c>
      <c r="D516" s="278" t="s">
        <v>499</v>
      </c>
      <c r="E516" s="350" t="s">
        <v>2242</v>
      </c>
      <c r="F516" s="278" t="s">
        <v>1646</v>
      </c>
      <c r="G516" s="171">
        <v>60.0</v>
      </c>
      <c r="H516" s="171">
        <v>100.0</v>
      </c>
      <c r="I516" s="171">
        <v>50.0</v>
      </c>
      <c r="J516" s="172">
        <f t="shared" si="14"/>
        <v>0.0007761548639</v>
      </c>
      <c r="K516" s="269">
        <f t="shared" si="24"/>
        <v>1.112488638</v>
      </c>
      <c r="L516" s="270">
        <f t="shared" si="4"/>
        <v>5.374262556</v>
      </c>
      <c r="M516" s="271" t="str">
        <f t="shared" si="5"/>
        <v>krisjones</v>
      </c>
      <c r="N516" s="176">
        <f>IFERROR(__xludf.DUMMYFUNCTION("""COMPUTED_VALUE"""),22.0)</f>
        <v>22</v>
      </c>
      <c r="O516" s="176"/>
      <c r="P516" s="176"/>
      <c r="Q516" s="176"/>
      <c r="R516" s="176"/>
      <c r="S516" s="176"/>
      <c r="T516" s="176"/>
      <c r="U516" s="176"/>
      <c r="V516" s="176"/>
      <c r="W516" s="176"/>
      <c r="X516" s="176"/>
      <c r="Y516" s="176"/>
      <c r="Z516" s="176"/>
    </row>
    <row r="517">
      <c r="A517" s="280" t="s">
        <v>59</v>
      </c>
      <c r="B517" s="276" t="s">
        <v>2430</v>
      </c>
      <c r="C517" s="277" t="s">
        <v>2438</v>
      </c>
      <c r="D517" s="278" t="s">
        <v>499</v>
      </c>
      <c r="E517" s="350" t="s">
        <v>2221</v>
      </c>
      <c r="F517" s="278" t="s">
        <v>1646</v>
      </c>
      <c r="G517" s="171">
        <v>50.0</v>
      </c>
      <c r="H517" s="171">
        <v>50.0</v>
      </c>
      <c r="I517" s="171">
        <v>50.0</v>
      </c>
      <c r="J517" s="172">
        <f t="shared" si="14"/>
        <v>0.0006094610983</v>
      </c>
      <c r="K517" s="269">
        <f t="shared" si="24"/>
        <v>0.8735609076</v>
      </c>
      <c r="L517" s="270">
        <f t="shared" si="4"/>
        <v>5.374262556</v>
      </c>
      <c r="M517" s="271" t="str">
        <f t="shared" si="5"/>
        <v>krisjones</v>
      </c>
      <c r="N517" s="176">
        <f>IFERROR(__xludf.DUMMYFUNCTION("""COMPUTED_VALUE"""),23.0)</f>
        <v>23</v>
      </c>
      <c r="O517" s="176"/>
      <c r="P517" s="176"/>
      <c r="Q517" s="176"/>
      <c r="R517" s="176"/>
      <c r="S517" s="176"/>
      <c r="T517" s="176"/>
      <c r="U517" s="176"/>
      <c r="V517" s="176"/>
      <c r="W517" s="176"/>
      <c r="X517" s="176"/>
      <c r="Y517" s="176"/>
      <c r="Z517" s="176"/>
    </row>
    <row r="518">
      <c r="A518" s="280" t="s">
        <v>59</v>
      </c>
      <c r="B518" s="276" t="s">
        <v>2035</v>
      </c>
      <c r="C518" s="277" t="s">
        <v>2361</v>
      </c>
      <c r="D518" s="278" t="s">
        <v>2220</v>
      </c>
      <c r="E518" s="350" t="s">
        <v>2221</v>
      </c>
      <c r="F518" s="278" t="s">
        <v>2222</v>
      </c>
      <c r="G518" s="171">
        <v>100.0</v>
      </c>
      <c r="H518" s="171">
        <v>100.0</v>
      </c>
      <c r="I518" s="171">
        <v>100.0</v>
      </c>
      <c r="J518" s="172">
        <f t="shared" si="14"/>
        <v>0.001218922197</v>
      </c>
      <c r="K518" s="269">
        <f t="shared" si="24"/>
        <v>1.747121815</v>
      </c>
      <c r="L518" s="270">
        <f t="shared" si="4"/>
        <v>5.374262556</v>
      </c>
      <c r="M518" s="271" t="str">
        <f t="shared" si="5"/>
        <v>krisjones</v>
      </c>
      <c r="N518" s="176">
        <f>IFERROR(__xludf.DUMMYFUNCTION("""COMPUTED_VALUE"""),24.0)</f>
        <v>24</v>
      </c>
      <c r="O518" s="176"/>
      <c r="P518" s="176"/>
      <c r="Q518" s="176"/>
      <c r="R518" s="176"/>
      <c r="S518" s="176"/>
      <c r="T518" s="176"/>
      <c r="U518" s="176"/>
      <c r="V518" s="176"/>
      <c r="W518" s="176"/>
      <c r="X518" s="176"/>
      <c r="Y518" s="176"/>
      <c r="Z518" s="176"/>
    </row>
    <row r="519">
      <c r="A519" s="280" t="s">
        <v>59</v>
      </c>
      <c r="B519" s="276" t="s">
        <v>590</v>
      </c>
      <c r="C519" s="277" t="s">
        <v>2439</v>
      </c>
      <c r="D519" s="278" t="s">
        <v>499</v>
      </c>
      <c r="E519" s="350" t="s">
        <v>2183</v>
      </c>
      <c r="F519" s="278" t="s">
        <v>1646</v>
      </c>
      <c r="G519" s="171">
        <v>250.0</v>
      </c>
      <c r="H519" s="171">
        <v>300.0</v>
      </c>
      <c r="I519" s="171">
        <v>100.0</v>
      </c>
      <c r="J519" s="172">
        <f t="shared" si="14"/>
        <v>0.002281995116</v>
      </c>
      <c r="K519" s="269">
        <f t="shared" si="24"/>
        <v>3.270859667</v>
      </c>
      <c r="L519" s="270">
        <f t="shared" si="4"/>
        <v>5.374262556</v>
      </c>
      <c r="M519" s="271" t="str">
        <f t="shared" si="5"/>
        <v>krisjones</v>
      </c>
      <c r="N519" s="176">
        <f>IFERROR(__xludf.DUMMYFUNCTION("""COMPUTED_VALUE"""),25.0)</f>
        <v>25</v>
      </c>
      <c r="O519" s="176"/>
      <c r="P519" s="176"/>
      <c r="Q519" s="176"/>
      <c r="R519" s="176"/>
      <c r="S519" s="176"/>
      <c r="T519" s="176"/>
      <c r="U519" s="176"/>
      <c r="V519" s="176"/>
      <c r="W519" s="176"/>
      <c r="X519" s="176"/>
      <c r="Y519" s="176"/>
      <c r="Z519" s="176"/>
    </row>
    <row r="520">
      <c r="A520" s="280" t="s">
        <v>59</v>
      </c>
      <c r="B520" s="276" t="s">
        <v>590</v>
      </c>
      <c r="C520" s="277" t="s">
        <v>2440</v>
      </c>
      <c r="D520" s="278" t="s">
        <v>499</v>
      </c>
      <c r="E520" s="350" t="s">
        <v>2245</v>
      </c>
      <c r="F520" s="278" t="s">
        <v>1646</v>
      </c>
      <c r="G520" s="171">
        <v>200.0</v>
      </c>
      <c r="H520" s="171">
        <v>300.0</v>
      </c>
      <c r="I520" s="171">
        <v>150.0</v>
      </c>
      <c r="J520" s="172">
        <f t="shared" si="14"/>
        <v>0.002400518747</v>
      </c>
      <c r="K520" s="269">
        <f t="shared" si="24"/>
        <v>3.440743538</v>
      </c>
      <c r="L520" s="270">
        <f t="shared" si="4"/>
        <v>5.374262556</v>
      </c>
      <c r="M520" s="271" t="str">
        <f t="shared" si="5"/>
        <v>krisjones</v>
      </c>
      <c r="N520" s="176">
        <f>IFERROR(__xludf.DUMMYFUNCTION("""COMPUTED_VALUE"""),26.0)</f>
        <v>26</v>
      </c>
      <c r="O520" s="176"/>
      <c r="P520" s="176"/>
      <c r="Q520" s="176"/>
      <c r="R520" s="176"/>
      <c r="S520" s="176"/>
      <c r="T520" s="176"/>
      <c r="U520" s="176"/>
      <c r="V520" s="176"/>
      <c r="W520" s="176"/>
      <c r="X520" s="176"/>
      <c r="Y520" s="176"/>
      <c r="Z520" s="176"/>
    </row>
    <row r="521">
      <c r="A521" s="280" t="s">
        <v>59</v>
      </c>
      <c r="B521" s="276" t="s">
        <v>1702</v>
      </c>
      <c r="C521" s="277" t="s">
        <v>2034</v>
      </c>
      <c r="D521" s="278" t="s">
        <v>437</v>
      </c>
      <c r="E521" s="350" t="s">
        <v>2295</v>
      </c>
      <c r="F521" s="278" t="s">
        <v>1929</v>
      </c>
      <c r="G521" s="171">
        <v>400.0</v>
      </c>
      <c r="H521" s="171">
        <v>100.0</v>
      </c>
      <c r="I521" s="171">
        <v>100.0</v>
      </c>
      <c r="J521" s="172">
        <f t="shared" si="14"/>
        <v>0.002299734535</v>
      </c>
      <c r="K521" s="269">
        <f t="shared" si="24"/>
        <v>3.296286167</v>
      </c>
      <c r="L521" s="270">
        <f t="shared" si="4"/>
        <v>5.374262556</v>
      </c>
      <c r="M521" s="271" t="str">
        <f t="shared" si="5"/>
        <v>krisjones</v>
      </c>
      <c r="N521" s="176">
        <f>IFERROR(__xludf.DUMMYFUNCTION("""COMPUTED_VALUE"""),27.0)</f>
        <v>27</v>
      </c>
      <c r="O521" s="176"/>
      <c r="P521" s="176"/>
      <c r="Q521" s="176"/>
      <c r="R521" s="176"/>
      <c r="S521" s="176"/>
      <c r="T521" s="176"/>
      <c r="U521" s="176"/>
      <c r="V521" s="176"/>
      <c r="W521" s="176"/>
      <c r="X521" s="176"/>
      <c r="Y521" s="176"/>
      <c r="Z521" s="176"/>
    </row>
    <row r="522">
      <c r="A522" s="257" t="s">
        <v>65</v>
      </c>
      <c r="B522" s="257" t="s">
        <v>10</v>
      </c>
      <c r="C522" s="261" t="s">
        <v>2257</v>
      </c>
      <c r="D522" s="281" t="s">
        <v>495</v>
      </c>
      <c r="E522" s="260">
        <v>44253.0</v>
      </c>
      <c r="F522" s="258" t="s">
        <v>496</v>
      </c>
      <c r="G522" s="171">
        <v>210.0</v>
      </c>
      <c r="H522" s="171">
        <v>200.0</v>
      </c>
      <c r="I522" s="171">
        <v>150.0</v>
      </c>
      <c r="J522" s="325">
        <f t="shared" si="14"/>
        <v>0.00217521245</v>
      </c>
      <c r="K522" s="326">
        <f t="shared" si="24"/>
        <v>3.117804512</v>
      </c>
      <c r="L522" s="327">
        <f t="shared" si="4"/>
        <v>5.326467052</v>
      </c>
      <c r="M522" s="321" t="str">
        <f t="shared" si="5"/>
        <v>loie_giveth</v>
      </c>
      <c r="N522" s="176">
        <f>IFERROR(__xludf.DUMMYFUNCTION("""COMPUTED_VALUE"""),1.0)</f>
        <v>1</v>
      </c>
      <c r="O522" s="176"/>
      <c r="P522" s="176"/>
      <c r="Q522" s="176"/>
      <c r="R522" s="176"/>
      <c r="S522" s="176"/>
      <c r="T522" s="176"/>
      <c r="U522" s="176"/>
      <c r="V522" s="176"/>
      <c r="W522" s="176"/>
      <c r="X522" s="176"/>
      <c r="Y522" s="176"/>
      <c r="Z522" s="176"/>
    </row>
    <row r="523">
      <c r="A523" s="257" t="s">
        <v>65</v>
      </c>
      <c r="B523" s="257" t="s">
        <v>10</v>
      </c>
      <c r="C523" s="261" t="s">
        <v>2247</v>
      </c>
      <c r="D523" s="281" t="s">
        <v>495</v>
      </c>
      <c r="E523" s="260">
        <v>44253.0</v>
      </c>
      <c r="F523" s="258" t="s">
        <v>496</v>
      </c>
      <c r="G523" s="171">
        <v>150.0</v>
      </c>
      <c r="H523" s="171">
        <v>200.0</v>
      </c>
      <c r="I523" s="171">
        <v>80.0</v>
      </c>
      <c r="J523" s="325">
        <f t="shared" si="14"/>
        <v>0.001540927353</v>
      </c>
      <c r="K523" s="326">
        <f t="shared" si="24"/>
        <v>2.20866254</v>
      </c>
      <c r="L523" s="327">
        <f t="shared" si="4"/>
        <v>5.326467052</v>
      </c>
      <c r="M523" s="321" t="str">
        <f t="shared" si="5"/>
        <v>loie_giveth</v>
      </c>
      <c r="N523" s="176">
        <f>IFERROR(__xludf.DUMMYFUNCTION("""COMPUTED_VALUE"""),2.0)</f>
        <v>2</v>
      </c>
      <c r="O523" s="176"/>
      <c r="P523" s="176"/>
      <c r="Q523" s="176"/>
      <c r="R523" s="176"/>
      <c r="S523" s="176"/>
      <c r="T523" s="176"/>
      <c r="U523" s="176"/>
      <c r="V523" s="176"/>
      <c r="W523" s="176"/>
      <c r="X523" s="176"/>
      <c r="Y523" s="176"/>
      <c r="Z523" s="176"/>
    </row>
    <row r="524">
      <c r="A524" s="257" t="s">
        <v>70</v>
      </c>
      <c r="B524" s="257" t="s">
        <v>18</v>
      </c>
      <c r="C524" s="261" t="s">
        <v>2194</v>
      </c>
      <c r="D524" s="281" t="s">
        <v>495</v>
      </c>
      <c r="E524" s="260">
        <v>44244.0</v>
      </c>
      <c r="F524" s="258" t="s">
        <v>496</v>
      </c>
      <c r="G524" s="171">
        <v>40.0</v>
      </c>
      <c r="H524" s="171">
        <v>100.0</v>
      </c>
      <c r="I524" s="171">
        <v>50.0</v>
      </c>
      <c r="J524" s="325">
        <f t="shared" si="14"/>
        <v>0.0007041007079</v>
      </c>
      <c r="K524" s="326">
        <f t="shared" si="24"/>
        <v>1.009211015</v>
      </c>
      <c r="L524" s="327">
        <f t="shared" si="4"/>
        <v>5.073887711</v>
      </c>
      <c r="M524" s="321" t="str">
        <f t="shared" si="5"/>
        <v>rubenrussel7</v>
      </c>
      <c r="N524" s="176">
        <f>IFERROR(__xludf.DUMMYFUNCTION("""COMPUTED_VALUE"""),1.0)</f>
        <v>1</v>
      </c>
      <c r="O524" s="176"/>
      <c r="P524" s="176"/>
      <c r="Q524" s="176"/>
      <c r="R524" s="176"/>
      <c r="S524" s="176"/>
      <c r="T524" s="176"/>
      <c r="U524" s="176"/>
      <c r="V524" s="176"/>
      <c r="W524" s="176"/>
      <c r="X524" s="176"/>
      <c r="Y524" s="176"/>
      <c r="Z524" s="176"/>
    </row>
    <row r="525">
      <c r="A525" s="249" t="s">
        <v>70</v>
      </c>
      <c r="B525" s="257" t="s">
        <v>10</v>
      </c>
      <c r="C525" s="261" t="s">
        <v>500</v>
      </c>
      <c r="D525" s="281" t="s">
        <v>495</v>
      </c>
      <c r="E525" s="260">
        <v>44246.0</v>
      </c>
      <c r="F525" s="258" t="s">
        <v>545</v>
      </c>
      <c r="G525" s="171">
        <v>20.0</v>
      </c>
      <c r="H525" s="171">
        <v>20.0</v>
      </c>
      <c r="I525" s="171">
        <v>20.0</v>
      </c>
      <c r="J525" s="325">
        <f t="shared" si="14"/>
        <v>0.0002437844393</v>
      </c>
      <c r="K525" s="326">
        <f t="shared" si="24"/>
        <v>0.349424363</v>
      </c>
      <c r="L525" s="327">
        <f t="shared" si="4"/>
        <v>5.073887711</v>
      </c>
      <c r="M525" s="321" t="str">
        <f t="shared" si="5"/>
        <v>rubenrussel7</v>
      </c>
      <c r="N525" s="176">
        <f>IFERROR(__xludf.DUMMYFUNCTION("""COMPUTED_VALUE"""),2.0)</f>
        <v>2</v>
      </c>
      <c r="O525" s="176"/>
      <c r="P525" s="176"/>
      <c r="Q525" s="176"/>
      <c r="R525" s="176"/>
      <c r="S525" s="176"/>
      <c r="T525" s="176"/>
      <c r="U525" s="176"/>
      <c r="V525" s="176"/>
      <c r="W525" s="176"/>
      <c r="X525" s="176"/>
      <c r="Y525" s="176"/>
      <c r="Z525" s="176"/>
    </row>
    <row r="526">
      <c r="A526" s="257" t="s">
        <v>70</v>
      </c>
      <c r="B526" s="257" t="s">
        <v>10</v>
      </c>
      <c r="C526" s="261" t="s">
        <v>500</v>
      </c>
      <c r="D526" s="281" t="s">
        <v>495</v>
      </c>
      <c r="E526" s="260">
        <v>44253.0</v>
      </c>
      <c r="F526" s="258" t="s">
        <v>496</v>
      </c>
      <c r="G526" s="171">
        <v>20.0</v>
      </c>
      <c r="H526" s="171">
        <v>100.0</v>
      </c>
      <c r="I526" s="171">
        <v>20.0</v>
      </c>
      <c r="J526" s="325">
        <f t="shared" si="14"/>
        <v>0.0004528511394</v>
      </c>
      <c r="K526" s="326">
        <f t="shared" si="24"/>
        <v>0.6490866332</v>
      </c>
      <c r="L526" s="327">
        <f t="shared" si="4"/>
        <v>5.073887711</v>
      </c>
      <c r="M526" s="321" t="str">
        <f t="shared" si="5"/>
        <v>rubenrussel7</v>
      </c>
      <c r="N526" s="176">
        <f>IFERROR(__xludf.DUMMYFUNCTION("""COMPUTED_VALUE"""),3.0)</f>
        <v>3</v>
      </c>
      <c r="O526" s="176"/>
      <c r="P526" s="176"/>
      <c r="Q526" s="176"/>
      <c r="R526" s="176"/>
      <c r="S526" s="176"/>
      <c r="T526" s="176"/>
      <c r="U526" s="176"/>
      <c r="V526" s="176"/>
      <c r="W526" s="176"/>
      <c r="X526" s="176"/>
      <c r="Y526" s="176"/>
      <c r="Z526" s="176"/>
    </row>
    <row r="527">
      <c r="A527" s="257" t="s">
        <v>70</v>
      </c>
      <c r="B527" s="257" t="s">
        <v>10</v>
      </c>
      <c r="C527" s="261" t="s">
        <v>2441</v>
      </c>
      <c r="D527" s="281" t="s">
        <v>495</v>
      </c>
      <c r="E527" s="260">
        <v>44253.0</v>
      </c>
      <c r="F527" s="258" t="s">
        <v>496</v>
      </c>
      <c r="G527" s="171">
        <v>200.0</v>
      </c>
      <c r="H527" s="171">
        <v>200.0</v>
      </c>
      <c r="I527" s="171">
        <v>150.0</v>
      </c>
      <c r="J527" s="325">
        <f t="shared" si="14"/>
        <v>0.002139185372</v>
      </c>
      <c r="K527" s="326">
        <f t="shared" si="24"/>
        <v>3.0661657</v>
      </c>
      <c r="L527" s="327">
        <f t="shared" si="4"/>
        <v>5.073887711</v>
      </c>
      <c r="M527" s="321" t="str">
        <f t="shared" si="5"/>
        <v>rubenrussel7</v>
      </c>
      <c r="N527" s="176">
        <f>IFERROR(__xludf.DUMMYFUNCTION("""COMPUTED_VALUE"""),4.0)</f>
        <v>4</v>
      </c>
      <c r="O527" s="176"/>
      <c r="P527" s="176"/>
      <c r="Q527" s="176"/>
      <c r="R527" s="176"/>
      <c r="S527" s="176"/>
      <c r="T527" s="176"/>
      <c r="U527" s="176"/>
      <c r="V527" s="176"/>
      <c r="W527" s="176"/>
      <c r="X527" s="176"/>
      <c r="Y527" s="176"/>
      <c r="Z527" s="176"/>
    </row>
    <row r="528">
      <c r="A528" s="351" t="s">
        <v>109</v>
      </c>
      <c r="B528" s="276" t="s">
        <v>2163</v>
      </c>
      <c r="C528" s="277" t="s">
        <v>2442</v>
      </c>
      <c r="D528" s="278" t="s">
        <v>499</v>
      </c>
      <c r="E528" s="350" t="s">
        <v>2305</v>
      </c>
      <c r="F528" s="278" t="s">
        <v>1646</v>
      </c>
      <c r="G528" s="171">
        <v>90.0</v>
      </c>
      <c r="H528" s="171">
        <v>200.0</v>
      </c>
      <c r="I528" s="171">
        <v>150.0</v>
      </c>
      <c r="J528" s="172">
        <f t="shared" si="14"/>
        <v>0.001742887515</v>
      </c>
      <c r="K528" s="269">
        <f t="shared" si="24"/>
        <v>2.498138771</v>
      </c>
      <c r="L528" s="270">
        <f t="shared" si="4"/>
        <v>4.94277745</v>
      </c>
      <c r="M528" s="271" t="str">
        <f t="shared" si="5"/>
        <v>chriscyber</v>
      </c>
      <c r="N528" s="176">
        <f>IFERROR(__xludf.DUMMYFUNCTION("""COMPUTED_VALUE"""),1.0)</f>
        <v>1</v>
      </c>
      <c r="O528" s="176"/>
      <c r="P528" s="176"/>
      <c r="Q528" s="176"/>
      <c r="R528" s="176"/>
      <c r="S528" s="176"/>
      <c r="T528" s="176"/>
      <c r="U528" s="176"/>
      <c r="V528" s="176"/>
      <c r="W528" s="176"/>
      <c r="X528" s="176"/>
      <c r="Y528" s="176"/>
      <c r="Z528" s="176"/>
    </row>
    <row r="529">
      <c r="A529" s="351" t="s">
        <v>109</v>
      </c>
      <c r="B529" s="276" t="s">
        <v>2163</v>
      </c>
      <c r="C529" s="277" t="s">
        <v>2443</v>
      </c>
      <c r="D529" s="278" t="s">
        <v>499</v>
      </c>
      <c r="E529" s="350" t="s">
        <v>2305</v>
      </c>
      <c r="F529" s="278" t="s">
        <v>1646</v>
      </c>
      <c r="G529" s="171">
        <v>90.0</v>
      </c>
      <c r="H529" s="171">
        <v>300.0</v>
      </c>
      <c r="I529" s="171">
        <v>100.0</v>
      </c>
      <c r="J529" s="172">
        <f t="shared" si="14"/>
        <v>0.001705561869</v>
      </c>
      <c r="K529" s="269">
        <f t="shared" si="24"/>
        <v>2.444638679</v>
      </c>
      <c r="L529" s="270">
        <f t="shared" si="4"/>
        <v>4.94277745</v>
      </c>
      <c r="M529" s="271" t="str">
        <f t="shared" si="5"/>
        <v>chriscyber</v>
      </c>
      <c r="N529" s="176">
        <f>IFERROR(__xludf.DUMMYFUNCTION("""COMPUTED_VALUE"""),2.0)</f>
        <v>2</v>
      </c>
      <c r="O529" s="176"/>
      <c r="P529" s="176"/>
      <c r="Q529" s="176"/>
      <c r="R529" s="176"/>
      <c r="S529" s="176"/>
      <c r="T529" s="176"/>
      <c r="U529" s="176"/>
      <c r="V529" s="176"/>
      <c r="W529" s="176"/>
      <c r="X529" s="176"/>
      <c r="Y529" s="176"/>
      <c r="Z529" s="176"/>
    </row>
    <row r="530">
      <c r="A530" s="314" t="s">
        <v>33</v>
      </c>
      <c r="B530" s="314" t="s">
        <v>534</v>
      </c>
      <c r="C530" s="352" t="s">
        <v>810</v>
      </c>
      <c r="D530" s="309"/>
      <c r="E530" s="353"/>
      <c r="F530" s="311"/>
      <c r="G530" s="222"/>
      <c r="H530" s="222"/>
      <c r="I530" s="222"/>
      <c r="J530" s="325">
        <f t="shared" si="14"/>
        <v>0</v>
      </c>
      <c r="K530" s="337">
        <f>32.056*-0.85</f>
        <v>-27.2476</v>
      </c>
      <c r="L530" s="327">
        <f t="shared" si="4"/>
        <v>4.815779724</v>
      </c>
      <c r="M530" s="321" t="str">
        <f t="shared" si="5"/>
        <v>vegayp</v>
      </c>
      <c r="N530" s="209">
        <f>IFERROR(__xludf.DUMMYFUNCTION("""COMPUTED_VALUE"""),1.0)</f>
        <v>1</v>
      </c>
      <c r="O530" s="209"/>
      <c r="P530" s="209"/>
      <c r="Q530" s="209"/>
      <c r="R530" s="209">
        <v>18.802169413641863</v>
      </c>
      <c r="S530" s="209"/>
      <c r="T530" s="209"/>
      <c r="U530" s="209"/>
      <c r="V530" s="209"/>
      <c r="W530" s="209"/>
      <c r="X530" s="209"/>
      <c r="Y530" s="176"/>
      <c r="Z530" s="176"/>
    </row>
    <row r="531">
      <c r="A531" s="257" t="s">
        <v>33</v>
      </c>
      <c r="B531" s="257" t="s">
        <v>867</v>
      </c>
      <c r="C531" s="261" t="s">
        <v>2332</v>
      </c>
      <c r="D531" s="281" t="s">
        <v>495</v>
      </c>
      <c r="E531" s="260">
        <v>44243.0</v>
      </c>
      <c r="F531" s="258" t="s">
        <v>496</v>
      </c>
      <c r="G531" s="171">
        <v>100.0</v>
      </c>
      <c r="H531" s="171">
        <v>300.0</v>
      </c>
      <c r="I531" s="171">
        <v>100.0</v>
      </c>
      <c r="J531" s="325">
        <f t="shared" si="14"/>
        <v>0.001741588947</v>
      </c>
      <c r="K531" s="326">
        <f t="shared" ref="K531:K553" si="25">J531*$J$1</f>
        <v>2.496277491</v>
      </c>
      <c r="L531" s="327">
        <f t="shared" si="4"/>
        <v>4.815779724</v>
      </c>
      <c r="M531" s="321" t="str">
        <f t="shared" si="5"/>
        <v>vegayp</v>
      </c>
      <c r="N531" s="176">
        <f>IFERROR(__xludf.DUMMYFUNCTION("""COMPUTED_VALUE"""),2.0)</f>
        <v>2</v>
      </c>
      <c r="O531" s="176"/>
      <c r="P531" s="176"/>
      <c r="Q531" s="176"/>
      <c r="R531" s="176"/>
      <c r="S531" s="176"/>
      <c r="T531" s="176"/>
      <c r="U531" s="176"/>
      <c r="V531" s="176"/>
      <c r="W531" s="176"/>
      <c r="X531" s="176"/>
      <c r="Y531" s="176"/>
      <c r="Z531" s="176"/>
    </row>
    <row r="532">
      <c r="A532" s="257" t="s">
        <v>33</v>
      </c>
      <c r="B532" s="257" t="s">
        <v>43</v>
      </c>
      <c r="C532" s="261" t="s">
        <v>2401</v>
      </c>
      <c r="D532" s="281" t="s">
        <v>495</v>
      </c>
      <c r="E532" s="260">
        <v>44243.0</v>
      </c>
      <c r="F532" s="258" t="s">
        <v>496</v>
      </c>
      <c r="G532" s="171">
        <v>120.0</v>
      </c>
      <c r="H532" s="171">
        <v>300.0</v>
      </c>
      <c r="I532" s="171">
        <v>100.0</v>
      </c>
      <c r="J532" s="325">
        <f t="shared" si="14"/>
        <v>0.001813643103</v>
      </c>
      <c r="K532" s="326">
        <f t="shared" si="25"/>
        <v>2.599555114</v>
      </c>
      <c r="L532" s="327">
        <f t="shared" si="4"/>
        <v>4.815779724</v>
      </c>
      <c r="M532" s="321" t="str">
        <f t="shared" si="5"/>
        <v>vegayp</v>
      </c>
      <c r="N532" s="176">
        <f>IFERROR(__xludf.DUMMYFUNCTION("""COMPUTED_VALUE"""),3.0)</f>
        <v>3</v>
      </c>
      <c r="O532" s="176"/>
      <c r="P532" s="176"/>
      <c r="Q532" s="176"/>
      <c r="R532" s="176"/>
      <c r="S532" s="176"/>
      <c r="T532" s="176"/>
      <c r="U532" s="176"/>
      <c r="V532" s="176"/>
      <c r="W532" s="176"/>
      <c r="X532" s="176"/>
      <c r="Y532" s="176"/>
      <c r="Z532" s="176"/>
    </row>
    <row r="533">
      <c r="A533" s="257" t="s">
        <v>33</v>
      </c>
      <c r="B533" s="257" t="s">
        <v>590</v>
      </c>
      <c r="C533" s="261" t="s">
        <v>2444</v>
      </c>
      <c r="D533" s="281" t="s">
        <v>495</v>
      </c>
      <c r="E533" s="260">
        <v>44244.0</v>
      </c>
      <c r="F533" s="258" t="s">
        <v>496</v>
      </c>
      <c r="G533" s="171">
        <v>170.0</v>
      </c>
      <c r="H533" s="171">
        <v>200.0</v>
      </c>
      <c r="I533" s="171">
        <v>150.0</v>
      </c>
      <c r="J533" s="325">
        <f t="shared" si="14"/>
        <v>0.002031104138</v>
      </c>
      <c r="K533" s="326">
        <f t="shared" si="25"/>
        <v>2.911249265</v>
      </c>
      <c r="L533" s="327">
        <f t="shared" si="4"/>
        <v>4.815779724</v>
      </c>
      <c r="M533" s="321" t="str">
        <f t="shared" si="5"/>
        <v>vegayp</v>
      </c>
      <c r="N533" s="176">
        <f>IFERROR(__xludf.DUMMYFUNCTION("""COMPUTED_VALUE"""),4.0)</f>
        <v>4</v>
      </c>
      <c r="O533" s="176"/>
      <c r="P533" s="176"/>
      <c r="Q533" s="176"/>
      <c r="R533" s="176"/>
      <c r="S533" s="176"/>
      <c r="T533" s="176"/>
      <c r="U533" s="176"/>
      <c r="V533" s="176"/>
      <c r="W533" s="176"/>
      <c r="X533" s="176"/>
      <c r="Y533" s="176"/>
      <c r="Z533" s="176"/>
    </row>
    <row r="534">
      <c r="A534" s="257" t="s">
        <v>33</v>
      </c>
      <c r="B534" s="257" t="s">
        <v>867</v>
      </c>
      <c r="C534" s="261" t="s">
        <v>2445</v>
      </c>
      <c r="D534" s="281" t="s">
        <v>495</v>
      </c>
      <c r="E534" s="260">
        <v>44244.0</v>
      </c>
      <c r="F534" s="258" t="s">
        <v>496</v>
      </c>
      <c r="G534" s="171">
        <v>150.0</v>
      </c>
      <c r="H534" s="171">
        <v>200.0</v>
      </c>
      <c r="I534" s="171">
        <v>100.0</v>
      </c>
      <c r="J534" s="325">
        <f t="shared" si="14"/>
        <v>0.001660390962</v>
      </c>
      <c r="K534" s="326">
        <f t="shared" si="25"/>
        <v>2.379893712</v>
      </c>
      <c r="L534" s="327">
        <f t="shared" si="4"/>
        <v>4.815779724</v>
      </c>
      <c r="M534" s="321" t="str">
        <f t="shared" si="5"/>
        <v>vegayp</v>
      </c>
      <c r="N534" s="176">
        <f>IFERROR(__xludf.DUMMYFUNCTION("""COMPUTED_VALUE"""),5.0)</f>
        <v>5</v>
      </c>
      <c r="O534" s="176"/>
      <c r="P534" s="176"/>
      <c r="Q534" s="176"/>
      <c r="R534" s="176"/>
      <c r="S534" s="176"/>
      <c r="T534" s="176"/>
      <c r="U534" s="176"/>
      <c r="V534" s="176"/>
      <c r="W534" s="176"/>
      <c r="X534" s="176"/>
      <c r="Y534" s="176"/>
      <c r="Z534" s="176"/>
    </row>
    <row r="535">
      <c r="A535" s="257" t="s">
        <v>33</v>
      </c>
      <c r="B535" s="257" t="s">
        <v>18</v>
      </c>
      <c r="C535" s="261" t="s">
        <v>2194</v>
      </c>
      <c r="D535" s="281" t="s">
        <v>495</v>
      </c>
      <c r="E535" s="260">
        <v>44244.0</v>
      </c>
      <c r="F535" s="258" t="s">
        <v>496</v>
      </c>
      <c r="G535" s="171">
        <v>40.0</v>
      </c>
      <c r="H535" s="171">
        <v>150.0</v>
      </c>
      <c r="I535" s="171">
        <v>50.0</v>
      </c>
      <c r="J535" s="325">
        <f t="shared" si="14"/>
        <v>0.0008347673955</v>
      </c>
      <c r="K535" s="326">
        <f t="shared" si="25"/>
        <v>1.196499934</v>
      </c>
      <c r="L535" s="327">
        <f t="shared" si="4"/>
        <v>4.815779724</v>
      </c>
      <c r="M535" s="321" t="str">
        <f t="shared" si="5"/>
        <v>vegayp</v>
      </c>
      <c r="N535" s="176">
        <f>IFERROR(__xludf.DUMMYFUNCTION("""COMPUTED_VALUE"""),6.0)</f>
        <v>6</v>
      </c>
      <c r="O535" s="176"/>
      <c r="P535" s="176"/>
      <c r="Q535" s="176"/>
      <c r="R535" s="176"/>
      <c r="S535" s="176"/>
      <c r="T535" s="176"/>
      <c r="U535" s="176"/>
      <c r="V535" s="176"/>
      <c r="W535" s="176"/>
      <c r="X535" s="176"/>
      <c r="Y535" s="176"/>
      <c r="Z535" s="176"/>
    </row>
    <row r="536">
      <c r="A536" s="257" t="s">
        <v>33</v>
      </c>
      <c r="B536" s="257" t="s">
        <v>70</v>
      </c>
      <c r="C536" s="261" t="s">
        <v>2446</v>
      </c>
      <c r="D536" s="281" t="s">
        <v>495</v>
      </c>
      <c r="E536" s="260">
        <v>44244.0</v>
      </c>
      <c r="F536" s="258" t="s">
        <v>496</v>
      </c>
      <c r="G536" s="171">
        <v>150.0</v>
      </c>
      <c r="H536" s="171">
        <v>100.0</v>
      </c>
      <c r="I536" s="171">
        <v>100.0</v>
      </c>
      <c r="J536" s="325">
        <f t="shared" si="14"/>
        <v>0.001399057586</v>
      </c>
      <c r="K536" s="326">
        <f t="shared" si="25"/>
        <v>2.005315874</v>
      </c>
      <c r="L536" s="327">
        <f t="shared" si="4"/>
        <v>4.815779724</v>
      </c>
      <c r="M536" s="321" t="str">
        <f t="shared" si="5"/>
        <v>vegayp</v>
      </c>
      <c r="N536" s="176">
        <f>IFERROR(__xludf.DUMMYFUNCTION("""COMPUTED_VALUE"""),7.0)</f>
        <v>7</v>
      </c>
      <c r="O536" s="176"/>
      <c r="P536" s="176"/>
      <c r="Q536" s="176"/>
      <c r="R536" s="176"/>
      <c r="S536" s="176"/>
      <c r="T536" s="176"/>
      <c r="U536" s="176"/>
      <c r="V536" s="176"/>
      <c r="W536" s="176"/>
      <c r="X536" s="176"/>
      <c r="Y536" s="176"/>
      <c r="Z536" s="176"/>
    </row>
    <row r="537">
      <c r="A537" s="257" t="s">
        <v>33</v>
      </c>
      <c r="B537" s="257" t="s">
        <v>10</v>
      </c>
      <c r="C537" s="261" t="s">
        <v>2447</v>
      </c>
      <c r="D537" s="281" t="s">
        <v>495</v>
      </c>
      <c r="E537" s="260">
        <v>44246.0</v>
      </c>
      <c r="F537" s="258" t="s">
        <v>496</v>
      </c>
      <c r="G537" s="171">
        <v>200.0</v>
      </c>
      <c r="H537" s="171">
        <v>300.0</v>
      </c>
      <c r="I537" s="171">
        <v>150.0</v>
      </c>
      <c r="J537" s="325">
        <f t="shared" si="14"/>
        <v>0.002400518747</v>
      </c>
      <c r="K537" s="326">
        <f t="shared" si="25"/>
        <v>3.440743538</v>
      </c>
      <c r="L537" s="327">
        <f t="shared" si="4"/>
        <v>4.815779724</v>
      </c>
      <c r="M537" s="321" t="str">
        <f t="shared" si="5"/>
        <v>vegayp</v>
      </c>
      <c r="N537" s="176">
        <f>IFERROR(__xludf.DUMMYFUNCTION("""COMPUTED_VALUE"""),8.0)</f>
        <v>8</v>
      </c>
      <c r="O537" s="176"/>
      <c r="P537" s="176"/>
      <c r="Q537" s="176"/>
      <c r="R537" s="176"/>
      <c r="S537" s="176"/>
      <c r="T537" s="176"/>
      <c r="U537" s="176"/>
      <c r="V537" s="176"/>
      <c r="W537" s="176"/>
      <c r="X537" s="176"/>
      <c r="Y537" s="176"/>
      <c r="Z537" s="176"/>
    </row>
    <row r="538">
      <c r="A538" s="257" t="s">
        <v>33</v>
      </c>
      <c r="B538" s="257" t="s">
        <v>10</v>
      </c>
      <c r="C538" s="261" t="s">
        <v>2197</v>
      </c>
      <c r="D538" s="281" t="s">
        <v>495</v>
      </c>
      <c r="E538" s="260">
        <v>44246.0</v>
      </c>
      <c r="F538" s="258" t="s">
        <v>496</v>
      </c>
      <c r="G538" s="171">
        <v>40.0</v>
      </c>
      <c r="H538" s="171">
        <v>20.0</v>
      </c>
      <c r="I538" s="171">
        <v>50.0</v>
      </c>
      <c r="J538" s="325">
        <f t="shared" si="14"/>
        <v>0.0004950340078</v>
      </c>
      <c r="K538" s="326">
        <f t="shared" si="25"/>
        <v>0.7095487446</v>
      </c>
      <c r="L538" s="327">
        <f t="shared" si="4"/>
        <v>4.815779724</v>
      </c>
      <c r="M538" s="321" t="str">
        <f t="shared" si="5"/>
        <v>vegayp</v>
      </c>
      <c r="N538" s="176">
        <f>IFERROR(__xludf.DUMMYFUNCTION("""COMPUTED_VALUE"""),9.0)</f>
        <v>9</v>
      </c>
      <c r="O538" s="176"/>
      <c r="P538" s="176"/>
      <c r="Q538" s="176"/>
      <c r="R538" s="176"/>
      <c r="S538" s="176"/>
      <c r="T538" s="176"/>
      <c r="U538" s="176"/>
      <c r="V538" s="176"/>
      <c r="W538" s="176"/>
      <c r="X538" s="176"/>
      <c r="Y538" s="176"/>
      <c r="Z538" s="176"/>
    </row>
    <row r="539">
      <c r="A539" s="257" t="s">
        <v>33</v>
      </c>
      <c r="B539" s="257" t="s">
        <v>10</v>
      </c>
      <c r="C539" s="261" t="s">
        <v>498</v>
      </c>
      <c r="D539" s="281" t="s">
        <v>495</v>
      </c>
      <c r="E539" s="260">
        <v>44246.0</v>
      </c>
      <c r="F539" s="258" t="s">
        <v>499</v>
      </c>
      <c r="G539" s="171">
        <v>10.0</v>
      </c>
      <c r="H539" s="171">
        <v>20.0</v>
      </c>
      <c r="I539" s="171">
        <v>20.0</v>
      </c>
      <c r="J539" s="325">
        <f t="shared" si="14"/>
        <v>0.0002077573614</v>
      </c>
      <c r="K539" s="326">
        <f t="shared" si="25"/>
        <v>0.2977855513</v>
      </c>
      <c r="L539" s="327">
        <f t="shared" si="4"/>
        <v>4.815779724</v>
      </c>
      <c r="M539" s="321" t="str">
        <f t="shared" si="5"/>
        <v>vegayp</v>
      </c>
      <c r="N539" s="176">
        <f>IFERROR(__xludf.DUMMYFUNCTION("""COMPUTED_VALUE"""),10.0)</f>
        <v>10</v>
      </c>
      <c r="O539" s="176"/>
      <c r="P539" s="176"/>
      <c r="Q539" s="176"/>
      <c r="R539" s="176"/>
      <c r="S539" s="176"/>
      <c r="T539" s="176"/>
      <c r="U539" s="176"/>
      <c r="V539" s="176"/>
      <c r="W539" s="176"/>
      <c r="X539" s="176"/>
      <c r="Y539" s="176"/>
      <c r="Z539" s="176"/>
    </row>
    <row r="540">
      <c r="A540" s="257" t="s">
        <v>33</v>
      </c>
      <c r="B540" s="257" t="s">
        <v>10</v>
      </c>
      <c r="C540" s="261" t="s">
        <v>500</v>
      </c>
      <c r="D540" s="281" t="s">
        <v>495</v>
      </c>
      <c r="E540" s="260">
        <v>44246.0</v>
      </c>
      <c r="F540" s="258" t="s">
        <v>545</v>
      </c>
      <c r="G540" s="171">
        <v>20.0</v>
      </c>
      <c r="H540" s="171">
        <v>20.0</v>
      </c>
      <c r="I540" s="171">
        <v>20.0</v>
      </c>
      <c r="J540" s="325">
        <f t="shared" si="14"/>
        <v>0.0002437844393</v>
      </c>
      <c r="K540" s="326">
        <f t="shared" si="25"/>
        <v>0.349424363</v>
      </c>
      <c r="L540" s="327">
        <f t="shared" si="4"/>
        <v>4.815779724</v>
      </c>
      <c r="M540" s="321" t="str">
        <f t="shared" si="5"/>
        <v>vegayp</v>
      </c>
      <c r="N540" s="176">
        <f>IFERROR(__xludf.DUMMYFUNCTION("""COMPUTED_VALUE"""),11.0)</f>
        <v>11</v>
      </c>
      <c r="O540" s="176"/>
      <c r="P540" s="176"/>
      <c r="Q540" s="176"/>
      <c r="R540" s="176"/>
      <c r="S540" s="176"/>
      <c r="T540" s="176"/>
      <c r="U540" s="176"/>
      <c r="V540" s="176"/>
      <c r="W540" s="176"/>
      <c r="X540" s="176"/>
      <c r="Y540" s="176"/>
      <c r="Z540" s="176"/>
    </row>
    <row r="541">
      <c r="A541" s="249" t="s">
        <v>33</v>
      </c>
      <c r="B541" s="257" t="s">
        <v>867</v>
      </c>
      <c r="C541" s="261" t="s">
        <v>2337</v>
      </c>
      <c r="D541" s="281" t="s">
        <v>495</v>
      </c>
      <c r="E541" s="260">
        <v>44250.0</v>
      </c>
      <c r="F541" s="258" t="s">
        <v>496</v>
      </c>
      <c r="G541" s="171">
        <v>120.0</v>
      </c>
      <c r="H541" s="171">
        <v>200.0</v>
      </c>
      <c r="I541" s="171">
        <v>100.0</v>
      </c>
      <c r="J541" s="325">
        <f t="shared" si="14"/>
        <v>0.001552309728</v>
      </c>
      <c r="K541" s="326">
        <f t="shared" si="25"/>
        <v>2.224977276</v>
      </c>
      <c r="L541" s="327">
        <f t="shared" si="4"/>
        <v>4.815779724</v>
      </c>
      <c r="M541" s="321" t="str">
        <f t="shared" si="5"/>
        <v>vegayp</v>
      </c>
      <c r="N541" s="176">
        <f>IFERROR(__xludf.DUMMYFUNCTION("""COMPUTED_VALUE"""),12.0)</f>
        <v>12</v>
      </c>
      <c r="O541" s="176"/>
      <c r="P541" s="176"/>
      <c r="Q541" s="176"/>
      <c r="R541" s="176"/>
      <c r="S541" s="176"/>
      <c r="T541" s="176"/>
      <c r="U541" s="176"/>
      <c r="V541" s="176"/>
      <c r="W541" s="176"/>
      <c r="X541" s="176"/>
      <c r="Y541" s="176"/>
      <c r="Z541" s="176"/>
    </row>
    <row r="542">
      <c r="A542" s="257" t="s">
        <v>33</v>
      </c>
      <c r="B542" s="257" t="s">
        <v>590</v>
      </c>
      <c r="C542" s="261" t="s">
        <v>2202</v>
      </c>
      <c r="D542" s="281" t="s">
        <v>495</v>
      </c>
      <c r="E542" s="260">
        <v>44250.0</v>
      </c>
      <c r="F542" s="258" t="s">
        <v>496</v>
      </c>
      <c r="G542" s="171">
        <v>40.0</v>
      </c>
      <c r="H542" s="171">
        <v>50.0</v>
      </c>
      <c r="I542" s="171">
        <v>80.0</v>
      </c>
      <c r="J542" s="325">
        <f t="shared" si="14"/>
        <v>0.000752629433</v>
      </c>
      <c r="K542" s="326">
        <f t="shared" si="25"/>
        <v>1.078768854</v>
      </c>
      <c r="L542" s="327">
        <f t="shared" si="4"/>
        <v>4.815779724</v>
      </c>
      <c r="M542" s="321" t="str">
        <f t="shared" si="5"/>
        <v>vegayp</v>
      </c>
      <c r="N542" s="176">
        <f>IFERROR(__xludf.DUMMYFUNCTION("""COMPUTED_VALUE"""),13.0)</f>
        <v>13</v>
      </c>
      <c r="O542" s="176"/>
      <c r="P542" s="176"/>
      <c r="Q542" s="176"/>
      <c r="R542" s="176"/>
      <c r="S542" s="176"/>
      <c r="T542" s="176"/>
      <c r="U542" s="176"/>
      <c r="V542" s="176"/>
      <c r="W542" s="176"/>
      <c r="X542" s="176"/>
      <c r="Y542" s="176"/>
      <c r="Z542" s="176"/>
    </row>
    <row r="543">
      <c r="A543" s="257" t="s">
        <v>33</v>
      </c>
      <c r="B543" s="257" t="s">
        <v>10</v>
      </c>
      <c r="C543" s="261" t="s">
        <v>500</v>
      </c>
      <c r="D543" s="281" t="s">
        <v>495</v>
      </c>
      <c r="E543" s="260">
        <v>44253.0</v>
      </c>
      <c r="F543" s="258" t="s">
        <v>496</v>
      </c>
      <c r="G543" s="171">
        <v>20.0</v>
      </c>
      <c r="H543" s="171">
        <v>100.0</v>
      </c>
      <c r="I543" s="171">
        <v>20.0</v>
      </c>
      <c r="J543" s="325">
        <f t="shared" si="14"/>
        <v>0.0004528511394</v>
      </c>
      <c r="K543" s="326">
        <f t="shared" si="25"/>
        <v>0.6490866332</v>
      </c>
      <c r="L543" s="327">
        <f t="shared" si="4"/>
        <v>4.815779724</v>
      </c>
      <c r="M543" s="321" t="str">
        <f t="shared" si="5"/>
        <v>vegayp</v>
      </c>
      <c r="N543" s="176">
        <f>IFERROR(__xludf.DUMMYFUNCTION("""COMPUTED_VALUE"""),14.0)</f>
        <v>14</v>
      </c>
      <c r="O543" s="176"/>
      <c r="P543" s="176"/>
      <c r="Q543" s="176"/>
      <c r="R543" s="176"/>
      <c r="S543" s="176"/>
      <c r="T543" s="176"/>
      <c r="U543" s="176"/>
      <c r="V543" s="176"/>
      <c r="W543" s="176"/>
      <c r="X543" s="176"/>
      <c r="Y543" s="176"/>
      <c r="Z543" s="176"/>
    </row>
    <row r="544">
      <c r="A544" s="257" t="s">
        <v>33</v>
      </c>
      <c r="B544" s="257" t="s">
        <v>10</v>
      </c>
      <c r="C544" s="261" t="s">
        <v>2181</v>
      </c>
      <c r="D544" s="281" t="s">
        <v>495</v>
      </c>
      <c r="E544" s="260">
        <v>44253.0</v>
      </c>
      <c r="F544" s="258" t="s">
        <v>499</v>
      </c>
      <c r="G544" s="171">
        <v>10.0</v>
      </c>
      <c r="H544" s="171">
        <v>40.0</v>
      </c>
      <c r="I544" s="171">
        <v>20.0</v>
      </c>
      <c r="J544" s="325">
        <f t="shared" si="14"/>
        <v>0.0002600240364</v>
      </c>
      <c r="K544" s="326">
        <f t="shared" si="25"/>
        <v>0.3727011189</v>
      </c>
      <c r="L544" s="327">
        <f t="shared" si="4"/>
        <v>4.815779724</v>
      </c>
      <c r="M544" s="321" t="str">
        <f t="shared" si="5"/>
        <v>vegayp</v>
      </c>
      <c r="N544" s="176">
        <f>IFERROR(__xludf.DUMMYFUNCTION("""COMPUTED_VALUE"""),15.0)</f>
        <v>15</v>
      </c>
      <c r="O544" s="176"/>
      <c r="P544" s="176"/>
      <c r="Q544" s="176"/>
      <c r="R544" s="176"/>
      <c r="S544" s="176"/>
      <c r="T544" s="176"/>
      <c r="U544" s="176"/>
      <c r="V544" s="176"/>
      <c r="W544" s="176"/>
      <c r="X544" s="176"/>
      <c r="Y544" s="176"/>
      <c r="Z544" s="176"/>
    </row>
    <row r="545">
      <c r="A545" s="257" t="s">
        <v>33</v>
      </c>
      <c r="B545" s="257" t="s">
        <v>10</v>
      </c>
      <c r="C545" s="261" t="s">
        <v>2339</v>
      </c>
      <c r="D545" s="281" t="s">
        <v>495</v>
      </c>
      <c r="E545" s="260">
        <v>44253.0</v>
      </c>
      <c r="F545" s="258" t="s">
        <v>496</v>
      </c>
      <c r="G545" s="171">
        <v>200.0</v>
      </c>
      <c r="H545" s="171">
        <v>200.0</v>
      </c>
      <c r="I545" s="171">
        <v>100.0</v>
      </c>
      <c r="J545" s="325">
        <f t="shared" si="14"/>
        <v>0.001840526351</v>
      </c>
      <c r="K545" s="326">
        <f t="shared" si="25"/>
        <v>2.63808777</v>
      </c>
      <c r="L545" s="327">
        <f t="shared" si="4"/>
        <v>4.815779724</v>
      </c>
      <c r="M545" s="321" t="str">
        <f t="shared" si="5"/>
        <v>vegayp</v>
      </c>
      <c r="N545" s="176">
        <f>IFERROR(__xludf.DUMMYFUNCTION("""COMPUTED_VALUE"""),16.0)</f>
        <v>16</v>
      </c>
      <c r="O545" s="176"/>
      <c r="P545" s="176"/>
      <c r="Q545" s="176"/>
      <c r="R545" s="176"/>
      <c r="S545" s="176"/>
      <c r="T545" s="176"/>
      <c r="U545" s="176"/>
      <c r="V545" s="176"/>
      <c r="W545" s="176"/>
      <c r="X545" s="176"/>
      <c r="Y545" s="176"/>
      <c r="Z545" s="176"/>
    </row>
    <row r="546">
      <c r="A546" s="257" t="s">
        <v>33</v>
      </c>
      <c r="B546" s="257" t="s">
        <v>10</v>
      </c>
      <c r="C546" s="261" t="s">
        <v>2448</v>
      </c>
      <c r="D546" s="281" t="s">
        <v>495</v>
      </c>
      <c r="E546" s="260">
        <v>44253.0</v>
      </c>
      <c r="F546" s="258" t="s">
        <v>496</v>
      </c>
      <c r="G546" s="171">
        <v>210.0</v>
      </c>
      <c r="H546" s="171">
        <v>300.0</v>
      </c>
      <c r="I546" s="171">
        <v>200.0</v>
      </c>
      <c r="J546" s="325">
        <f t="shared" si="14"/>
        <v>0.002735204846</v>
      </c>
      <c r="K546" s="326">
        <f t="shared" si="25"/>
        <v>3.92046028</v>
      </c>
      <c r="L546" s="327">
        <f t="shared" si="4"/>
        <v>4.815779724</v>
      </c>
      <c r="M546" s="321" t="str">
        <f t="shared" si="5"/>
        <v>vegayp</v>
      </c>
      <c r="N546" s="176">
        <f>IFERROR(__xludf.DUMMYFUNCTION("""COMPUTED_VALUE"""),17.0)</f>
        <v>17</v>
      </c>
      <c r="O546" s="176"/>
      <c r="P546" s="176"/>
      <c r="Q546" s="176"/>
      <c r="R546" s="176"/>
      <c r="S546" s="176"/>
      <c r="T546" s="176"/>
      <c r="U546" s="176"/>
      <c r="V546" s="176"/>
      <c r="W546" s="176"/>
      <c r="X546" s="176"/>
      <c r="Y546" s="176"/>
      <c r="Z546" s="176"/>
    </row>
    <row r="547">
      <c r="A547" s="257" t="s">
        <v>33</v>
      </c>
      <c r="B547" s="257" t="s">
        <v>10</v>
      </c>
      <c r="C547" s="261" t="s">
        <v>2404</v>
      </c>
      <c r="D547" s="281" t="s">
        <v>495</v>
      </c>
      <c r="E547" s="260">
        <v>44253.0</v>
      </c>
      <c r="F547" s="258" t="s">
        <v>496</v>
      </c>
      <c r="G547" s="171">
        <v>230.0</v>
      </c>
      <c r="H547" s="171">
        <v>200.0</v>
      </c>
      <c r="I547" s="171">
        <v>100.0</v>
      </c>
      <c r="J547" s="325">
        <f t="shared" si="14"/>
        <v>0.001948607585</v>
      </c>
      <c r="K547" s="326">
        <f t="shared" si="25"/>
        <v>2.793004205</v>
      </c>
      <c r="L547" s="327">
        <f t="shared" si="4"/>
        <v>4.815779724</v>
      </c>
      <c r="M547" s="321" t="str">
        <f t="shared" si="5"/>
        <v>vegayp</v>
      </c>
      <c r="N547" s="176">
        <f>IFERROR(__xludf.DUMMYFUNCTION("""COMPUTED_VALUE"""),18.0)</f>
        <v>18</v>
      </c>
      <c r="O547" s="176"/>
      <c r="P547" s="176"/>
      <c r="Q547" s="176"/>
      <c r="R547" s="176"/>
      <c r="S547" s="176"/>
      <c r="T547" s="176"/>
      <c r="U547" s="176"/>
      <c r="V547" s="176"/>
      <c r="W547" s="176"/>
      <c r="X547" s="176"/>
      <c r="Y547" s="176"/>
      <c r="Z547" s="176"/>
    </row>
    <row r="548">
      <c r="A548" s="351" t="s">
        <v>106</v>
      </c>
      <c r="B548" s="276" t="s">
        <v>2163</v>
      </c>
      <c r="C548" s="277" t="s">
        <v>2449</v>
      </c>
      <c r="D548" s="278" t="s">
        <v>499</v>
      </c>
      <c r="E548" s="350" t="s">
        <v>2245</v>
      </c>
      <c r="F548" s="278" t="s">
        <v>1646</v>
      </c>
      <c r="G548" s="171">
        <v>400.0</v>
      </c>
      <c r="H548" s="171">
        <v>500.0</v>
      </c>
      <c r="I548" s="171">
        <v>100.0</v>
      </c>
      <c r="J548" s="172">
        <f t="shared" si="14"/>
        <v>0.003345068036</v>
      </c>
      <c r="K548" s="269">
        <f t="shared" si="25"/>
        <v>4.794597518</v>
      </c>
      <c r="L548" s="270">
        <f t="shared" si="4"/>
        <v>4.794597518</v>
      </c>
      <c r="M548" s="271" t="str">
        <f t="shared" si="5"/>
        <v>jamessimbouras</v>
      </c>
      <c r="N548" s="176">
        <f>IFERROR(__xludf.DUMMYFUNCTION("""COMPUTED_VALUE"""),1.0)</f>
        <v>1</v>
      </c>
      <c r="O548" s="176"/>
      <c r="P548" s="176"/>
      <c r="Q548" s="176"/>
      <c r="R548" s="176"/>
      <c r="S548" s="176"/>
      <c r="T548" s="176"/>
      <c r="U548" s="176"/>
      <c r="V548" s="176"/>
      <c r="W548" s="176"/>
      <c r="X548" s="176"/>
      <c r="Y548" s="176"/>
      <c r="Z548" s="176"/>
    </row>
    <row r="549">
      <c r="A549" s="351" t="s">
        <v>92</v>
      </c>
      <c r="B549" s="276" t="s">
        <v>2163</v>
      </c>
      <c r="C549" s="277" t="s">
        <v>2449</v>
      </c>
      <c r="D549" s="278" t="s">
        <v>499</v>
      </c>
      <c r="E549" s="350" t="s">
        <v>2245</v>
      </c>
      <c r="F549" s="278" t="s">
        <v>1646</v>
      </c>
      <c r="G549" s="171">
        <v>400.0</v>
      </c>
      <c r="H549" s="171">
        <v>500.0</v>
      </c>
      <c r="I549" s="171">
        <v>100.0</v>
      </c>
      <c r="J549" s="172">
        <f t="shared" si="14"/>
        <v>0.003345068036</v>
      </c>
      <c r="K549" s="269">
        <f t="shared" si="25"/>
        <v>4.794597518</v>
      </c>
      <c r="L549" s="270">
        <f t="shared" si="4"/>
        <v>4.794597518</v>
      </c>
      <c r="M549" s="271" t="str">
        <f t="shared" si="5"/>
        <v>jameszaki</v>
      </c>
      <c r="N549" s="176">
        <f>IFERROR(__xludf.DUMMYFUNCTION("""COMPUTED_VALUE"""),1.0)</f>
        <v>1</v>
      </c>
      <c r="O549" s="176"/>
      <c r="P549" s="176"/>
      <c r="Q549" s="176"/>
      <c r="R549" s="176"/>
      <c r="S549" s="176"/>
      <c r="T549" s="176"/>
      <c r="U549" s="176"/>
      <c r="V549" s="176"/>
      <c r="W549" s="176"/>
      <c r="X549" s="176"/>
      <c r="Y549" s="176"/>
      <c r="Z549" s="176"/>
    </row>
    <row r="550">
      <c r="A550" s="257" t="s">
        <v>71</v>
      </c>
      <c r="B550" s="257" t="s">
        <v>519</v>
      </c>
      <c r="C550" s="261" t="s">
        <v>2450</v>
      </c>
      <c r="D550" s="281" t="s">
        <v>495</v>
      </c>
      <c r="E550" s="260">
        <v>44248.0</v>
      </c>
      <c r="F550" s="258" t="s">
        <v>499</v>
      </c>
      <c r="G550" s="171">
        <v>220.0</v>
      </c>
      <c r="H550" s="171">
        <v>300.0</v>
      </c>
      <c r="I550" s="171">
        <v>200.0</v>
      </c>
      <c r="J550" s="325">
        <f t="shared" si="14"/>
        <v>0.002771231924</v>
      </c>
      <c r="K550" s="326">
        <f t="shared" si="25"/>
        <v>3.972099092</v>
      </c>
      <c r="L550" s="327">
        <f t="shared" si="4"/>
        <v>4.621185725</v>
      </c>
      <c r="M550" s="321" t="str">
        <f t="shared" si="5"/>
        <v>quartagiulio</v>
      </c>
      <c r="N550" s="176">
        <f>IFERROR(__xludf.DUMMYFUNCTION("""COMPUTED_VALUE"""),1.0)</f>
        <v>1</v>
      </c>
      <c r="O550" s="176"/>
      <c r="P550" s="176"/>
      <c r="Q550" s="176"/>
      <c r="R550" s="176"/>
      <c r="S550" s="176"/>
      <c r="T550" s="176"/>
      <c r="U550" s="176"/>
      <c r="V550" s="176"/>
      <c r="W550" s="176"/>
      <c r="X550" s="176"/>
      <c r="Y550" s="176"/>
      <c r="Z550" s="176"/>
    </row>
    <row r="551">
      <c r="A551" s="257" t="s">
        <v>71</v>
      </c>
      <c r="B551" s="257" t="s">
        <v>10</v>
      </c>
      <c r="C551" s="261" t="s">
        <v>500</v>
      </c>
      <c r="D551" s="281" t="s">
        <v>495</v>
      </c>
      <c r="E551" s="260">
        <v>44253.0</v>
      </c>
      <c r="F551" s="258" t="s">
        <v>496</v>
      </c>
      <c r="G551" s="171">
        <v>20.0</v>
      </c>
      <c r="H551" s="171">
        <v>100.0</v>
      </c>
      <c r="I551" s="171">
        <v>20.0</v>
      </c>
      <c r="J551" s="325">
        <f t="shared" si="14"/>
        <v>0.0004528511394</v>
      </c>
      <c r="K551" s="326">
        <f t="shared" si="25"/>
        <v>0.6490866332</v>
      </c>
      <c r="L551" s="327">
        <f t="shared" si="4"/>
        <v>4.621185725</v>
      </c>
      <c r="M551" s="321" t="str">
        <f t="shared" si="5"/>
        <v>quartagiulio</v>
      </c>
      <c r="N551" s="176">
        <f>IFERROR(__xludf.DUMMYFUNCTION("""COMPUTED_VALUE"""),2.0)</f>
        <v>2</v>
      </c>
      <c r="O551" s="176"/>
      <c r="P551" s="176"/>
      <c r="Q551" s="176"/>
      <c r="R551" s="176"/>
      <c r="S551" s="176"/>
      <c r="T551" s="176"/>
      <c r="U551" s="176"/>
      <c r="V551" s="176"/>
      <c r="W551" s="176"/>
      <c r="X551" s="176"/>
      <c r="Y551" s="176"/>
      <c r="Z551" s="176"/>
    </row>
    <row r="552">
      <c r="A552" s="351" t="s">
        <v>120</v>
      </c>
      <c r="B552" s="276" t="s">
        <v>2113</v>
      </c>
      <c r="C552" s="277" t="s">
        <v>2451</v>
      </c>
      <c r="D552" s="278" t="s">
        <v>499</v>
      </c>
      <c r="E552" s="350" t="s">
        <v>2245</v>
      </c>
      <c r="F552" s="278" t="s">
        <v>1646</v>
      </c>
      <c r="G552" s="171">
        <v>400.0</v>
      </c>
      <c r="H552" s="171">
        <v>200.0</v>
      </c>
      <c r="I552" s="171">
        <v>200.0</v>
      </c>
      <c r="J552" s="172">
        <f t="shared" si="14"/>
        <v>0.003158385952</v>
      </c>
      <c r="K552" s="269">
        <f t="shared" si="25"/>
        <v>4.527019865</v>
      </c>
      <c r="L552" s="270">
        <f t="shared" si="4"/>
        <v>4.527019865</v>
      </c>
      <c r="M552" s="271" t="str">
        <f t="shared" si="5"/>
        <v>sepu85</v>
      </c>
      <c r="N552" s="176">
        <f>IFERROR(__xludf.DUMMYFUNCTION("""COMPUTED_VALUE"""),1.0)</f>
        <v>1</v>
      </c>
      <c r="O552" s="176"/>
      <c r="P552" s="176"/>
      <c r="Q552" s="176"/>
      <c r="R552" s="176"/>
      <c r="S552" s="176"/>
      <c r="T552" s="176"/>
      <c r="U552" s="176"/>
      <c r="V552" s="176"/>
      <c r="W552" s="176"/>
      <c r="X552" s="176"/>
      <c r="Y552" s="176"/>
      <c r="Z552" s="176"/>
    </row>
    <row r="553">
      <c r="A553" s="257" t="s">
        <v>1867</v>
      </c>
      <c r="B553" s="257" t="s">
        <v>10</v>
      </c>
      <c r="C553" s="261" t="s">
        <v>2441</v>
      </c>
      <c r="D553" s="281" t="s">
        <v>495</v>
      </c>
      <c r="E553" s="260">
        <v>44253.0</v>
      </c>
      <c r="F553" s="258" t="s">
        <v>496</v>
      </c>
      <c r="G553" s="171">
        <v>260.0</v>
      </c>
      <c r="H553" s="171">
        <v>500.0</v>
      </c>
      <c r="I553" s="171">
        <v>150.0</v>
      </c>
      <c r="J553" s="325">
        <f t="shared" si="14"/>
        <v>0.003139347965</v>
      </c>
      <c r="K553" s="326">
        <f t="shared" si="25"/>
        <v>4.499732084</v>
      </c>
      <c r="L553" s="327">
        <f t="shared" si="4"/>
        <v>4.499732084</v>
      </c>
      <c r="M553" s="321" t="str">
        <f t="shared" si="5"/>
        <v>luukdao</v>
      </c>
      <c r="N553" s="176">
        <f>IFERROR(__xludf.DUMMYFUNCTION("""COMPUTED_VALUE"""),1.0)</f>
        <v>1</v>
      </c>
      <c r="O553" s="176"/>
      <c r="P553" s="176"/>
      <c r="Q553" s="176"/>
      <c r="R553" s="176"/>
      <c r="S553" s="176"/>
      <c r="T553" s="176"/>
      <c r="U553" s="176"/>
      <c r="V553" s="176"/>
      <c r="W553" s="176"/>
      <c r="X553" s="176"/>
      <c r="Y553" s="176"/>
      <c r="Z553" s="176"/>
    </row>
    <row r="554">
      <c r="A554" s="354" t="s">
        <v>61</v>
      </c>
      <c r="B554" s="314" t="s">
        <v>534</v>
      </c>
      <c r="C554" s="355" t="s">
        <v>2452</v>
      </c>
      <c r="D554" s="309"/>
      <c r="E554" s="353"/>
      <c r="F554" s="311"/>
      <c r="G554" s="222"/>
      <c r="H554" s="222"/>
      <c r="I554" s="222"/>
      <c r="J554" s="325">
        <f t="shared" si="14"/>
        <v>0</v>
      </c>
      <c r="K554" s="337">
        <f>29.265*-0.85</f>
        <v>-24.87525</v>
      </c>
      <c r="L554" s="327">
        <f t="shared" si="4"/>
        <v>4.396729809</v>
      </c>
      <c r="M554" s="321" t="str">
        <f t="shared" si="5"/>
        <v>fabimol</v>
      </c>
      <c r="N554" s="209">
        <f>IFERROR(__xludf.DUMMYFUNCTION("""COMPUTED_VALUE"""),1.0)</f>
        <v>1</v>
      </c>
      <c r="O554" s="176"/>
      <c r="P554" s="176"/>
      <c r="Q554" s="176"/>
      <c r="R554" s="176">
        <v>15.387070331364484</v>
      </c>
      <c r="S554" s="176"/>
      <c r="T554" s="176"/>
      <c r="U554" s="176"/>
      <c r="V554" s="176"/>
      <c r="W554" s="176"/>
      <c r="X554" s="176"/>
      <c r="Y554" s="176"/>
      <c r="Z554" s="176"/>
    </row>
    <row r="555">
      <c r="A555" s="257" t="s">
        <v>61</v>
      </c>
      <c r="B555" s="257" t="s">
        <v>1175</v>
      </c>
      <c r="C555" s="261" t="s">
        <v>2453</v>
      </c>
      <c r="D555" s="281" t="s">
        <v>495</v>
      </c>
      <c r="E555" s="260">
        <v>44240.0</v>
      </c>
      <c r="F555" s="258" t="s">
        <v>627</v>
      </c>
      <c r="G555" s="171">
        <v>220.0</v>
      </c>
      <c r="H555" s="171">
        <v>200.0</v>
      </c>
      <c r="I555" s="171">
        <v>200.0</v>
      </c>
      <c r="J555" s="325">
        <f t="shared" si="14"/>
        <v>0.002509898549</v>
      </c>
      <c r="K555" s="326">
        <f t="shared" ref="K555:K563" si="26">J555*$J$1</f>
        <v>3.597521254</v>
      </c>
      <c r="L555" s="327">
        <f t="shared" si="4"/>
        <v>4.396729809</v>
      </c>
      <c r="M555" s="321" t="str">
        <f t="shared" si="5"/>
        <v>fabimol</v>
      </c>
      <c r="N555" s="176">
        <f>IFERROR(__xludf.DUMMYFUNCTION("""COMPUTED_VALUE"""),2.0)</f>
        <v>2</v>
      </c>
      <c r="O555" s="176"/>
      <c r="P555" s="176"/>
      <c r="Q555" s="176"/>
      <c r="R555" s="176"/>
      <c r="S555" s="176"/>
      <c r="T555" s="176"/>
      <c r="U555" s="176"/>
      <c r="V555" s="176"/>
      <c r="W555" s="176"/>
      <c r="X555" s="176"/>
      <c r="Y555" s="176"/>
      <c r="Z555" s="176"/>
    </row>
    <row r="556">
      <c r="A556" s="257" t="s">
        <v>61</v>
      </c>
      <c r="B556" s="257" t="s">
        <v>1175</v>
      </c>
      <c r="C556" s="261" t="s">
        <v>2454</v>
      </c>
      <c r="D556" s="281" t="s">
        <v>495</v>
      </c>
      <c r="E556" s="260">
        <v>44243.0</v>
      </c>
      <c r="F556" s="258" t="s">
        <v>627</v>
      </c>
      <c r="G556" s="171">
        <v>180.0</v>
      </c>
      <c r="H556" s="171">
        <v>300.0</v>
      </c>
      <c r="I556" s="171">
        <v>200.0</v>
      </c>
      <c r="J556" s="325">
        <f t="shared" si="14"/>
        <v>0.002627123613</v>
      </c>
      <c r="K556" s="326">
        <f t="shared" si="26"/>
        <v>3.765543845</v>
      </c>
      <c r="L556" s="327">
        <f t="shared" si="4"/>
        <v>4.396729809</v>
      </c>
      <c r="M556" s="321" t="str">
        <f t="shared" si="5"/>
        <v>fabimol</v>
      </c>
      <c r="N556" s="176">
        <f>IFERROR(__xludf.DUMMYFUNCTION("""COMPUTED_VALUE"""),3.0)</f>
        <v>3</v>
      </c>
      <c r="O556" s="176"/>
      <c r="P556" s="176"/>
      <c r="Q556" s="176"/>
      <c r="R556" s="176"/>
      <c r="S556" s="176"/>
      <c r="T556" s="176"/>
      <c r="U556" s="176"/>
      <c r="V556" s="176"/>
      <c r="W556" s="176"/>
      <c r="X556" s="176"/>
      <c r="Y556" s="176"/>
      <c r="Z556" s="176"/>
    </row>
    <row r="557">
      <c r="A557" s="257" t="s">
        <v>61</v>
      </c>
      <c r="B557" s="257" t="s">
        <v>1175</v>
      </c>
      <c r="C557" s="261" t="s">
        <v>2455</v>
      </c>
      <c r="D557" s="281" t="s">
        <v>495</v>
      </c>
      <c r="E557" s="260">
        <v>44243.0</v>
      </c>
      <c r="F557" s="258" t="s">
        <v>627</v>
      </c>
      <c r="G557" s="171">
        <v>240.0</v>
      </c>
      <c r="H557" s="171">
        <v>450.0</v>
      </c>
      <c r="I557" s="171">
        <v>200.0</v>
      </c>
      <c r="J557" s="325">
        <f t="shared" si="14"/>
        <v>0.003235286143</v>
      </c>
      <c r="K557" s="326">
        <f t="shared" si="26"/>
        <v>4.637243472</v>
      </c>
      <c r="L557" s="327">
        <f t="shared" si="4"/>
        <v>4.396729809</v>
      </c>
      <c r="M557" s="321" t="str">
        <f t="shared" si="5"/>
        <v>fabimol</v>
      </c>
      <c r="N557" s="176">
        <f>IFERROR(__xludf.DUMMYFUNCTION("""COMPUTED_VALUE"""),4.0)</f>
        <v>4</v>
      </c>
      <c r="O557" s="176"/>
      <c r="P557" s="176"/>
      <c r="Q557" s="176"/>
      <c r="R557" s="176"/>
      <c r="S557" s="176"/>
      <c r="T557" s="176"/>
      <c r="U557" s="176"/>
      <c r="V557" s="176"/>
      <c r="W557" s="176"/>
      <c r="X557" s="176"/>
      <c r="Y557" s="176"/>
      <c r="Z557" s="176"/>
    </row>
    <row r="558">
      <c r="A558" s="257" t="s">
        <v>61</v>
      </c>
      <c r="B558" s="257" t="s">
        <v>10</v>
      </c>
      <c r="C558" s="261" t="s">
        <v>2456</v>
      </c>
      <c r="D558" s="281" t="s">
        <v>495</v>
      </c>
      <c r="E558" s="260">
        <v>44246.0</v>
      </c>
      <c r="F558" s="258" t="s">
        <v>496</v>
      </c>
      <c r="G558" s="171">
        <v>260.0</v>
      </c>
      <c r="H558" s="171">
        <v>300.0</v>
      </c>
      <c r="I558" s="171">
        <v>100.0</v>
      </c>
      <c r="J558" s="325">
        <f t="shared" si="14"/>
        <v>0.002318022194</v>
      </c>
      <c r="K558" s="326">
        <f t="shared" si="26"/>
        <v>3.322498478</v>
      </c>
      <c r="L558" s="327">
        <f t="shared" si="4"/>
        <v>4.396729809</v>
      </c>
      <c r="M558" s="321" t="str">
        <f t="shared" si="5"/>
        <v>fabimol</v>
      </c>
      <c r="N558" s="176">
        <f>IFERROR(__xludf.DUMMYFUNCTION("""COMPUTED_VALUE"""),5.0)</f>
        <v>5</v>
      </c>
      <c r="O558" s="176"/>
      <c r="P558" s="176"/>
      <c r="Q558" s="176"/>
      <c r="R558" s="176"/>
      <c r="S558" s="176"/>
      <c r="T558" s="176"/>
      <c r="U558" s="176"/>
      <c r="V558" s="176"/>
      <c r="W558" s="176"/>
      <c r="X558" s="176"/>
      <c r="Y558" s="176"/>
      <c r="Z558" s="176"/>
    </row>
    <row r="559">
      <c r="A559" s="257" t="s">
        <v>61</v>
      </c>
      <c r="B559" s="257" t="s">
        <v>1175</v>
      </c>
      <c r="C559" s="261" t="s">
        <v>2457</v>
      </c>
      <c r="D559" s="281" t="s">
        <v>495</v>
      </c>
      <c r="E559" s="260">
        <v>44246.0</v>
      </c>
      <c r="F559" s="258" t="s">
        <v>627</v>
      </c>
      <c r="G559" s="171">
        <v>240.0</v>
      </c>
      <c r="H559" s="171">
        <v>400.0</v>
      </c>
      <c r="I559" s="171">
        <v>200.0</v>
      </c>
      <c r="J559" s="325">
        <f t="shared" si="14"/>
        <v>0.003104619455</v>
      </c>
      <c r="K559" s="326">
        <f t="shared" si="26"/>
        <v>4.449954553</v>
      </c>
      <c r="L559" s="327">
        <f t="shared" si="4"/>
        <v>4.396729809</v>
      </c>
      <c r="M559" s="321" t="str">
        <f t="shared" si="5"/>
        <v>fabimol</v>
      </c>
      <c r="N559" s="176">
        <f>IFERROR(__xludf.DUMMYFUNCTION("""COMPUTED_VALUE"""),6.0)</f>
        <v>6</v>
      </c>
      <c r="O559" s="176"/>
      <c r="P559" s="176"/>
      <c r="Q559" s="176"/>
      <c r="R559" s="176"/>
      <c r="S559" s="176"/>
      <c r="T559" s="176"/>
      <c r="U559" s="176"/>
      <c r="V559" s="176"/>
      <c r="W559" s="176"/>
      <c r="X559" s="176"/>
      <c r="Y559" s="176"/>
      <c r="Z559" s="176"/>
    </row>
    <row r="560">
      <c r="A560" s="257" t="s">
        <v>61</v>
      </c>
      <c r="B560" s="257" t="s">
        <v>1175</v>
      </c>
      <c r="C560" s="261" t="s">
        <v>2458</v>
      </c>
      <c r="D560" s="281" t="s">
        <v>495</v>
      </c>
      <c r="E560" s="260">
        <v>44246.0</v>
      </c>
      <c r="F560" s="258" t="s">
        <v>627</v>
      </c>
      <c r="G560" s="171">
        <v>120.0</v>
      </c>
      <c r="H560" s="171">
        <v>200.0</v>
      </c>
      <c r="I560" s="171">
        <v>150.0</v>
      </c>
      <c r="J560" s="325">
        <f t="shared" si="14"/>
        <v>0.001850968749</v>
      </c>
      <c r="K560" s="326">
        <f t="shared" si="26"/>
        <v>2.653055206</v>
      </c>
      <c r="L560" s="327">
        <f t="shared" si="4"/>
        <v>4.396729809</v>
      </c>
      <c r="M560" s="321" t="str">
        <f t="shared" si="5"/>
        <v>fabimol</v>
      </c>
      <c r="N560" s="176">
        <f>IFERROR(__xludf.DUMMYFUNCTION("""COMPUTED_VALUE"""),7.0)</f>
        <v>7</v>
      </c>
      <c r="O560" s="176"/>
      <c r="P560" s="176"/>
      <c r="Q560" s="176"/>
      <c r="R560" s="176"/>
      <c r="S560" s="176"/>
      <c r="T560" s="176"/>
      <c r="U560" s="176"/>
      <c r="V560" s="176"/>
      <c r="W560" s="176"/>
      <c r="X560" s="176"/>
      <c r="Y560" s="176"/>
      <c r="Z560" s="176"/>
    </row>
    <row r="561">
      <c r="A561" s="257" t="s">
        <v>61</v>
      </c>
      <c r="B561" s="257" t="s">
        <v>1175</v>
      </c>
      <c r="C561" s="261" t="s">
        <v>2459</v>
      </c>
      <c r="D561" s="281" t="s">
        <v>495</v>
      </c>
      <c r="E561" s="260">
        <v>44253.0</v>
      </c>
      <c r="F561" s="258" t="s">
        <v>627</v>
      </c>
      <c r="G561" s="171">
        <v>240.0</v>
      </c>
      <c r="H561" s="171">
        <v>400.0</v>
      </c>
      <c r="I561" s="171">
        <v>200.0</v>
      </c>
      <c r="J561" s="325">
        <f t="shared" si="14"/>
        <v>0.003104619455</v>
      </c>
      <c r="K561" s="326">
        <f t="shared" si="26"/>
        <v>4.449954553</v>
      </c>
      <c r="L561" s="327">
        <f t="shared" si="4"/>
        <v>4.396729809</v>
      </c>
      <c r="M561" s="321" t="str">
        <f t="shared" si="5"/>
        <v>fabimol</v>
      </c>
      <c r="N561" s="176">
        <f>IFERROR(__xludf.DUMMYFUNCTION("""COMPUTED_VALUE"""),8.0)</f>
        <v>8</v>
      </c>
      <c r="O561" s="176"/>
      <c r="P561" s="176"/>
      <c r="Q561" s="176"/>
      <c r="R561" s="176"/>
      <c r="S561" s="176"/>
      <c r="T561" s="176"/>
      <c r="U561" s="176"/>
      <c r="V561" s="176"/>
      <c r="W561" s="176"/>
      <c r="X561" s="176"/>
      <c r="Y561" s="176"/>
      <c r="Z561" s="176"/>
    </row>
    <row r="562">
      <c r="A562" s="257" t="s">
        <v>61</v>
      </c>
      <c r="B562" s="257" t="s">
        <v>1175</v>
      </c>
      <c r="C562" s="261" t="s">
        <v>2460</v>
      </c>
      <c r="D562" s="281" t="s">
        <v>495</v>
      </c>
      <c r="E562" s="260">
        <v>44253.0</v>
      </c>
      <c r="F562" s="258" t="s">
        <v>627</v>
      </c>
      <c r="G562" s="171">
        <v>120.0</v>
      </c>
      <c r="H562" s="171">
        <v>200.0</v>
      </c>
      <c r="I562" s="171">
        <v>120.0</v>
      </c>
      <c r="J562" s="325">
        <f t="shared" si="14"/>
        <v>0.001671773336</v>
      </c>
      <c r="K562" s="326">
        <f t="shared" si="26"/>
        <v>2.396208448</v>
      </c>
      <c r="L562" s="327">
        <f t="shared" si="4"/>
        <v>4.396729809</v>
      </c>
      <c r="M562" s="321" t="str">
        <f t="shared" si="5"/>
        <v>fabimol</v>
      </c>
      <c r="N562" s="176">
        <f>IFERROR(__xludf.DUMMYFUNCTION("""COMPUTED_VALUE"""),9.0)</f>
        <v>9</v>
      </c>
      <c r="O562" s="176"/>
      <c r="P562" s="176"/>
      <c r="Q562" s="176"/>
      <c r="R562" s="176"/>
      <c r="S562" s="176"/>
      <c r="T562" s="176"/>
      <c r="U562" s="176"/>
      <c r="V562" s="176"/>
      <c r="W562" s="176"/>
      <c r="X562" s="176"/>
      <c r="Y562" s="176"/>
      <c r="Z562" s="176"/>
    </row>
    <row r="563">
      <c r="A563" s="276" t="s">
        <v>2461</v>
      </c>
      <c r="B563" s="276" t="s">
        <v>2163</v>
      </c>
      <c r="C563" s="277" t="s">
        <v>2462</v>
      </c>
      <c r="D563" s="278" t="s">
        <v>499</v>
      </c>
      <c r="E563" s="350" t="s">
        <v>2291</v>
      </c>
      <c r="F563" s="278" t="s">
        <v>1646</v>
      </c>
      <c r="G563" s="171">
        <v>300.0</v>
      </c>
      <c r="H563" s="171">
        <v>500.0</v>
      </c>
      <c r="I563" s="171">
        <v>100.0</v>
      </c>
      <c r="J563" s="172">
        <f t="shared" si="14"/>
        <v>0.002984797256</v>
      </c>
      <c r="K563" s="269">
        <f t="shared" si="26"/>
        <v>4.278209401</v>
      </c>
      <c r="L563" s="270">
        <f t="shared" si="4"/>
        <v>4.278209401</v>
      </c>
      <c r="M563" s="271" t="str">
        <f t="shared" si="5"/>
        <v>@James | NEAR#0357</v>
      </c>
      <c r="N563" s="176">
        <f>IFERROR(__xludf.DUMMYFUNCTION("""COMPUTED_VALUE"""),1.0)</f>
        <v>1</v>
      </c>
      <c r="O563" s="176"/>
      <c r="P563" s="176"/>
      <c r="Q563" s="176"/>
      <c r="R563" s="176"/>
      <c r="S563" s="176"/>
      <c r="T563" s="176"/>
      <c r="U563" s="176"/>
      <c r="V563" s="176"/>
      <c r="W563" s="176"/>
      <c r="X563" s="176"/>
      <c r="Y563" s="176"/>
      <c r="Z563" s="176"/>
    </row>
    <row r="564">
      <c r="A564" s="294" t="s">
        <v>57</v>
      </c>
      <c r="B564" s="294" t="s">
        <v>534</v>
      </c>
      <c r="C564" s="356" t="s">
        <v>693</v>
      </c>
      <c r="D564" s="357"/>
      <c r="E564" s="358"/>
      <c r="F564" s="357"/>
      <c r="G564" s="253"/>
      <c r="H564" s="253"/>
      <c r="I564" s="253"/>
      <c r="J564" s="172">
        <f t="shared" si="14"/>
        <v>0</v>
      </c>
      <c r="K564" s="299">
        <f>27.575*-0.85</f>
        <v>-23.43875</v>
      </c>
      <c r="L564" s="270">
        <f t="shared" si="4"/>
        <v>4.141322237</v>
      </c>
      <c r="M564" s="271" t="str">
        <f t="shared" si="5"/>
        <v>fabiosmendes</v>
      </c>
      <c r="N564" s="348">
        <f>IFERROR(__xludf.DUMMYFUNCTION("""COMPUTED_VALUE"""),1.0)</f>
        <v>1</v>
      </c>
      <c r="O564" s="343"/>
      <c r="P564" s="343"/>
      <c r="Q564" s="343"/>
      <c r="R564" s="336">
        <v>57.049855624848725</v>
      </c>
      <c r="S564" s="343"/>
      <c r="T564" s="343"/>
      <c r="U564" s="343"/>
      <c r="V564" s="343"/>
      <c r="W564" s="343"/>
      <c r="X564" s="343"/>
      <c r="Y564" s="226"/>
      <c r="Z564" s="226"/>
    </row>
    <row r="565">
      <c r="A565" s="257" t="s">
        <v>57</v>
      </c>
      <c r="B565" s="257" t="s">
        <v>925</v>
      </c>
      <c r="C565" s="261" t="s">
        <v>2351</v>
      </c>
      <c r="D565" s="281" t="s">
        <v>495</v>
      </c>
      <c r="E565" s="260">
        <v>44244.0</v>
      </c>
      <c r="F565" s="258" t="s">
        <v>496</v>
      </c>
      <c r="G565" s="171">
        <v>400.0</v>
      </c>
      <c r="H565" s="171">
        <v>500.0</v>
      </c>
      <c r="I565" s="171">
        <v>100.0</v>
      </c>
      <c r="J565" s="325">
        <f t="shared" si="14"/>
        <v>0.003345068036</v>
      </c>
      <c r="K565" s="326">
        <f t="shared" ref="K565:K585" si="27">J565*$J$1</f>
        <v>4.794597518</v>
      </c>
      <c r="L565" s="327">
        <f t="shared" si="4"/>
        <v>4.141322237</v>
      </c>
      <c r="M565" s="321" t="str">
        <f t="shared" si="5"/>
        <v>fabiosmendes</v>
      </c>
      <c r="N565" s="176">
        <f>IFERROR(__xludf.DUMMYFUNCTION("""COMPUTED_VALUE"""),2.0)</f>
        <v>2</v>
      </c>
      <c r="O565" s="176"/>
      <c r="P565" s="176"/>
      <c r="Q565" s="176"/>
      <c r="R565" s="176"/>
      <c r="S565" s="176"/>
      <c r="T565" s="176"/>
      <c r="U565" s="176"/>
      <c r="V565" s="176"/>
      <c r="W565" s="176"/>
      <c r="X565" s="176"/>
      <c r="Y565" s="176"/>
      <c r="Z565" s="176"/>
    </row>
    <row r="566">
      <c r="A566" s="257" t="s">
        <v>57</v>
      </c>
      <c r="B566" s="257" t="s">
        <v>519</v>
      </c>
      <c r="C566" s="261" t="s">
        <v>2329</v>
      </c>
      <c r="D566" s="281" t="s">
        <v>495</v>
      </c>
      <c r="E566" s="260">
        <v>44245.0</v>
      </c>
      <c r="F566" s="258" t="s">
        <v>521</v>
      </c>
      <c r="G566" s="171">
        <v>40.0</v>
      </c>
      <c r="H566" s="171">
        <v>50.0</v>
      </c>
      <c r="I566" s="171">
        <v>80.0</v>
      </c>
      <c r="J566" s="325">
        <f t="shared" si="14"/>
        <v>0.000752629433</v>
      </c>
      <c r="K566" s="326">
        <f t="shared" si="27"/>
        <v>1.078768854</v>
      </c>
      <c r="L566" s="327">
        <f t="shared" si="4"/>
        <v>4.141322237</v>
      </c>
      <c r="M566" s="321" t="str">
        <f t="shared" si="5"/>
        <v>fabiosmendes</v>
      </c>
      <c r="N566" s="176">
        <f>IFERROR(__xludf.DUMMYFUNCTION("""COMPUTED_VALUE"""),3.0)</f>
        <v>3</v>
      </c>
      <c r="O566" s="176"/>
      <c r="P566" s="176"/>
      <c r="Q566" s="176"/>
      <c r="R566" s="176"/>
      <c r="S566" s="176"/>
      <c r="T566" s="176"/>
      <c r="U566" s="176"/>
      <c r="V566" s="176"/>
      <c r="W566" s="176"/>
      <c r="X566" s="176"/>
      <c r="Y566" s="176"/>
      <c r="Z566" s="176"/>
    </row>
    <row r="567">
      <c r="A567" s="257" t="s">
        <v>57</v>
      </c>
      <c r="B567" s="257" t="s">
        <v>10</v>
      </c>
      <c r="C567" s="261" t="s">
        <v>2409</v>
      </c>
      <c r="D567" s="281" t="s">
        <v>495</v>
      </c>
      <c r="E567" s="260">
        <v>44246.0</v>
      </c>
      <c r="F567" s="258" t="s">
        <v>496</v>
      </c>
      <c r="G567" s="171">
        <v>200.0</v>
      </c>
      <c r="H567" s="171">
        <v>300.0</v>
      </c>
      <c r="I567" s="171">
        <v>200.0</v>
      </c>
      <c r="J567" s="325">
        <f t="shared" si="14"/>
        <v>0.002699177768</v>
      </c>
      <c r="K567" s="326">
        <f t="shared" si="27"/>
        <v>3.868821468</v>
      </c>
      <c r="L567" s="327">
        <f t="shared" si="4"/>
        <v>4.141322237</v>
      </c>
      <c r="M567" s="321" t="str">
        <f t="shared" si="5"/>
        <v>fabiosmendes</v>
      </c>
      <c r="N567" s="176">
        <f>IFERROR(__xludf.DUMMYFUNCTION("""COMPUTED_VALUE"""),4.0)</f>
        <v>4</v>
      </c>
      <c r="O567" s="176"/>
      <c r="P567" s="176"/>
      <c r="Q567" s="176"/>
      <c r="R567" s="176"/>
      <c r="S567" s="176"/>
      <c r="T567" s="176"/>
      <c r="U567" s="176"/>
      <c r="V567" s="176"/>
      <c r="W567" s="176"/>
      <c r="X567" s="176"/>
      <c r="Y567" s="176"/>
      <c r="Z567" s="176"/>
    </row>
    <row r="568">
      <c r="A568" s="257" t="s">
        <v>57</v>
      </c>
      <c r="B568" s="257" t="s">
        <v>845</v>
      </c>
      <c r="C568" s="261" t="s">
        <v>2256</v>
      </c>
      <c r="D568" s="281" t="s">
        <v>495</v>
      </c>
      <c r="E568" s="260">
        <v>44250.0</v>
      </c>
      <c r="F568" s="258" t="s">
        <v>499</v>
      </c>
      <c r="G568" s="171">
        <v>500.0</v>
      </c>
      <c r="H568" s="171">
        <v>500.0</v>
      </c>
      <c r="I568" s="171">
        <v>150.0</v>
      </c>
      <c r="J568" s="325">
        <f t="shared" si="14"/>
        <v>0.004003997836</v>
      </c>
      <c r="K568" s="326">
        <f t="shared" si="27"/>
        <v>5.739063565</v>
      </c>
      <c r="L568" s="327">
        <f t="shared" si="4"/>
        <v>4.141322237</v>
      </c>
      <c r="M568" s="321" t="str">
        <f t="shared" si="5"/>
        <v>fabiosmendes</v>
      </c>
      <c r="N568" s="176">
        <f>IFERROR(__xludf.DUMMYFUNCTION("""COMPUTED_VALUE"""),5.0)</f>
        <v>5</v>
      </c>
      <c r="O568" s="176"/>
      <c r="P568" s="176"/>
      <c r="Q568" s="176"/>
      <c r="R568" s="176"/>
      <c r="S568" s="176"/>
      <c r="T568" s="176"/>
      <c r="U568" s="176"/>
      <c r="V568" s="176"/>
      <c r="W568" s="176"/>
      <c r="X568" s="176"/>
      <c r="Y568" s="176"/>
      <c r="Z568" s="176"/>
    </row>
    <row r="569">
      <c r="A569" s="257" t="s">
        <v>57</v>
      </c>
      <c r="B569" s="257" t="s">
        <v>519</v>
      </c>
      <c r="C569" s="261" t="s">
        <v>2329</v>
      </c>
      <c r="D569" s="281" t="s">
        <v>495</v>
      </c>
      <c r="E569" s="260">
        <v>44251.0</v>
      </c>
      <c r="F569" s="258" t="s">
        <v>521</v>
      </c>
      <c r="G569" s="171">
        <v>40.0</v>
      </c>
      <c r="H569" s="171">
        <v>100.0</v>
      </c>
      <c r="I569" s="171">
        <v>80.0</v>
      </c>
      <c r="J569" s="325">
        <f t="shared" si="14"/>
        <v>0.0008832961205</v>
      </c>
      <c r="K569" s="326">
        <f t="shared" si="27"/>
        <v>1.266057773</v>
      </c>
      <c r="L569" s="327">
        <f t="shared" si="4"/>
        <v>4.141322237</v>
      </c>
      <c r="M569" s="321" t="str">
        <f t="shared" si="5"/>
        <v>fabiosmendes</v>
      </c>
      <c r="N569" s="176">
        <f>IFERROR(__xludf.DUMMYFUNCTION("""COMPUTED_VALUE"""),6.0)</f>
        <v>6</v>
      </c>
      <c r="O569" s="176"/>
      <c r="P569" s="176"/>
      <c r="Q569" s="176"/>
      <c r="R569" s="176"/>
      <c r="S569" s="176"/>
      <c r="T569" s="176"/>
      <c r="U569" s="176"/>
      <c r="V569" s="176"/>
      <c r="W569" s="176"/>
      <c r="X569" s="176"/>
      <c r="Y569" s="176"/>
      <c r="Z569" s="176"/>
    </row>
    <row r="570">
      <c r="A570" s="257" t="s">
        <v>57</v>
      </c>
      <c r="B570" s="257" t="s">
        <v>10</v>
      </c>
      <c r="C570" s="261" t="s">
        <v>2345</v>
      </c>
      <c r="D570" s="281" t="s">
        <v>495</v>
      </c>
      <c r="E570" s="260">
        <v>44253.0</v>
      </c>
      <c r="F570" s="258" t="s">
        <v>496</v>
      </c>
      <c r="G570" s="171">
        <v>600.0</v>
      </c>
      <c r="H570" s="171">
        <v>300.0</v>
      </c>
      <c r="I570" s="171">
        <v>150.0</v>
      </c>
      <c r="J570" s="325">
        <f t="shared" si="14"/>
        <v>0.003841601866</v>
      </c>
      <c r="K570" s="326">
        <f t="shared" si="27"/>
        <v>5.506296007</v>
      </c>
      <c r="L570" s="327">
        <f t="shared" si="4"/>
        <v>4.141322237</v>
      </c>
      <c r="M570" s="321" t="str">
        <f t="shared" si="5"/>
        <v>fabiosmendes</v>
      </c>
      <c r="N570" s="176">
        <f>IFERROR(__xludf.DUMMYFUNCTION("""COMPUTED_VALUE"""),7.0)</f>
        <v>7</v>
      </c>
      <c r="O570" s="176"/>
      <c r="P570" s="176"/>
      <c r="Q570" s="176"/>
      <c r="R570" s="176"/>
      <c r="S570" s="176"/>
      <c r="T570" s="176"/>
      <c r="U570" s="176"/>
      <c r="V570" s="176"/>
      <c r="W570" s="176"/>
      <c r="X570" s="176"/>
      <c r="Y570" s="176"/>
      <c r="Z570" s="176"/>
    </row>
    <row r="571">
      <c r="A571" s="257" t="s">
        <v>57</v>
      </c>
      <c r="B571" s="257" t="s">
        <v>10</v>
      </c>
      <c r="C571" s="261" t="s">
        <v>2257</v>
      </c>
      <c r="D571" s="281" t="s">
        <v>495</v>
      </c>
      <c r="E571" s="260">
        <v>44253.0</v>
      </c>
      <c r="F571" s="258" t="s">
        <v>496</v>
      </c>
      <c r="G571" s="171">
        <v>210.0</v>
      </c>
      <c r="H571" s="171">
        <v>200.0</v>
      </c>
      <c r="I571" s="171">
        <v>150.0</v>
      </c>
      <c r="J571" s="325">
        <f t="shared" si="14"/>
        <v>0.00217521245</v>
      </c>
      <c r="K571" s="326">
        <f t="shared" si="27"/>
        <v>3.117804512</v>
      </c>
      <c r="L571" s="327">
        <f t="shared" si="4"/>
        <v>4.141322237</v>
      </c>
      <c r="M571" s="321" t="str">
        <f t="shared" si="5"/>
        <v>fabiosmendes</v>
      </c>
      <c r="N571" s="176">
        <f>IFERROR(__xludf.DUMMYFUNCTION("""COMPUTED_VALUE"""),8.0)</f>
        <v>8</v>
      </c>
      <c r="O571" s="176"/>
      <c r="P571" s="176"/>
      <c r="Q571" s="176"/>
      <c r="R571" s="176"/>
      <c r="S571" s="176"/>
      <c r="T571" s="176"/>
      <c r="U571" s="176"/>
      <c r="V571" s="176"/>
      <c r="W571" s="176"/>
      <c r="X571" s="176"/>
      <c r="Y571" s="176"/>
      <c r="Z571" s="176"/>
    </row>
    <row r="572">
      <c r="A572" s="257" t="s">
        <v>57</v>
      </c>
      <c r="B572" s="257" t="s">
        <v>10</v>
      </c>
      <c r="C572" s="261" t="s">
        <v>2247</v>
      </c>
      <c r="D572" s="281" t="s">
        <v>495</v>
      </c>
      <c r="E572" s="260">
        <v>44253.0</v>
      </c>
      <c r="F572" s="258" t="s">
        <v>496</v>
      </c>
      <c r="G572" s="171">
        <v>150.0</v>
      </c>
      <c r="H572" s="171">
        <v>200.0</v>
      </c>
      <c r="I572" s="171">
        <v>80.0</v>
      </c>
      <c r="J572" s="325">
        <f t="shared" si="14"/>
        <v>0.001540927353</v>
      </c>
      <c r="K572" s="326">
        <f t="shared" si="27"/>
        <v>2.20866254</v>
      </c>
      <c r="L572" s="327">
        <f t="shared" si="4"/>
        <v>4.141322237</v>
      </c>
      <c r="M572" s="321" t="str">
        <f t="shared" si="5"/>
        <v>fabiosmendes</v>
      </c>
      <c r="N572" s="176">
        <f>IFERROR(__xludf.DUMMYFUNCTION("""COMPUTED_VALUE"""),9.0)</f>
        <v>9</v>
      </c>
      <c r="O572" s="176"/>
      <c r="P572" s="176"/>
      <c r="Q572" s="176"/>
      <c r="R572" s="176"/>
      <c r="S572" s="176"/>
      <c r="T572" s="176"/>
      <c r="U572" s="176"/>
      <c r="V572" s="176"/>
      <c r="W572" s="176"/>
      <c r="X572" s="176"/>
      <c r="Y572" s="176"/>
      <c r="Z572" s="176"/>
    </row>
    <row r="573">
      <c r="A573" s="276" t="s">
        <v>2463</v>
      </c>
      <c r="B573" s="276" t="s">
        <v>590</v>
      </c>
      <c r="C573" s="277" t="s">
        <v>2464</v>
      </c>
      <c r="D573" s="278" t="s">
        <v>499</v>
      </c>
      <c r="E573" s="350" t="s">
        <v>2291</v>
      </c>
      <c r="F573" s="278" t="s">
        <v>1646</v>
      </c>
      <c r="G573" s="171">
        <v>250.0</v>
      </c>
      <c r="H573" s="171">
        <v>300.0</v>
      </c>
      <c r="I573" s="171">
        <v>200.0</v>
      </c>
      <c r="J573" s="172">
        <f t="shared" si="14"/>
        <v>0.002879313158</v>
      </c>
      <c r="K573" s="269">
        <f t="shared" si="27"/>
        <v>4.127015527</v>
      </c>
      <c r="L573" s="270">
        <f t="shared" si="4"/>
        <v>4.127015527</v>
      </c>
      <c r="M573" s="271" t="str">
        <f t="shared" si="5"/>
        <v>@MehighCB#4516</v>
      </c>
      <c r="N573" s="176">
        <f>IFERROR(__xludf.DUMMYFUNCTION("""COMPUTED_VALUE"""),1.0)</f>
        <v>1</v>
      </c>
      <c r="O573" s="176"/>
      <c r="P573" s="176"/>
      <c r="Q573" s="176"/>
      <c r="R573" s="176"/>
      <c r="S573" s="176"/>
      <c r="T573" s="176"/>
      <c r="U573" s="176"/>
      <c r="V573" s="176"/>
      <c r="W573" s="176"/>
      <c r="X573" s="176"/>
      <c r="Y573" s="176"/>
      <c r="Z573" s="176"/>
    </row>
    <row r="574">
      <c r="A574" s="276" t="s">
        <v>2465</v>
      </c>
      <c r="B574" s="276" t="s">
        <v>2113</v>
      </c>
      <c r="C574" s="277" t="s">
        <v>2466</v>
      </c>
      <c r="D574" s="278" t="s">
        <v>499</v>
      </c>
      <c r="E574" s="350" t="s">
        <v>2412</v>
      </c>
      <c r="F574" s="278" t="s">
        <v>1646</v>
      </c>
      <c r="G574" s="171">
        <v>250.0</v>
      </c>
      <c r="H574" s="171">
        <v>300.0</v>
      </c>
      <c r="I574" s="171">
        <v>200.0</v>
      </c>
      <c r="J574" s="172">
        <f t="shared" si="14"/>
        <v>0.002879313158</v>
      </c>
      <c r="K574" s="269">
        <f t="shared" si="27"/>
        <v>4.127015527</v>
      </c>
      <c r="L574" s="270">
        <f t="shared" si="4"/>
        <v>4.127015527</v>
      </c>
      <c r="M574" s="271" t="str">
        <f t="shared" si="5"/>
        <v>@PaulaBerman#9915</v>
      </c>
      <c r="N574" s="176">
        <f>IFERROR(__xludf.DUMMYFUNCTION("""COMPUTED_VALUE"""),1.0)</f>
        <v>1</v>
      </c>
      <c r="O574" s="176"/>
      <c r="P574" s="176"/>
      <c r="Q574" s="176"/>
      <c r="R574" s="176"/>
      <c r="S574" s="176"/>
      <c r="T574" s="176"/>
      <c r="U574" s="176"/>
      <c r="V574" s="176"/>
      <c r="W574" s="176"/>
      <c r="X574" s="176"/>
      <c r="Y574" s="176"/>
      <c r="Z574" s="176"/>
    </row>
    <row r="575">
      <c r="A575" s="257" t="s">
        <v>81</v>
      </c>
      <c r="B575" s="257" t="s">
        <v>519</v>
      </c>
      <c r="C575" s="261" t="s">
        <v>2450</v>
      </c>
      <c r="D575" s="281" t="s">
        <v>495</v>
      </c>
      <c r="E575" s="260">
        <v>44248.0</v>
      </c>
      <c r="F575" s="258" t="s">
        <v>499</v>
      </c>
      <c r="G575" s="171">
        <v>220.0</v>
      </c>
      <c r="H575" s="171">
        <v>300.0</v>
      </c>
      <c r="I575" s="171">
        <v>200.0</v>
      </c>
      <c r="J575" s="325">
        <f t="shared" si="14"/>
        <v>0.002771231924</v>
      </c>
      <c r="K575" s="326">
        <f t="shared" si="27"/>
        <v>3.972099092</v>
      </c>
      <c r="L575" s="327">
        <f t="shared" si="4"/>
        <v>3.972099092</v>
      </c>
      <c r="M575" s="321" t="str">
        <f t="shared" si="5"/>
        <v>felixfalafel</v>
      </c>
      <c r="N575" s="176">
        <f>IFERROR(__xludf.DUMMYFUNCTION("""COMPUTED_VALUE"""),1.0)</f>
        <v>1</v>
      </c>
      <c r="O575" s="176"/>
      <c r="P575" s="176"/>
      <c r="Q575" s="176"/>
      <c r="R575" s="176"/>
      <c r="S575" s="176"/>
      <c r="T575" s="176"/>
      <c r="U575" s="176"/>
      <c r="V575" s="176"/>
      <c r="W575" s="176"/>
      <c r="X575" s="176"/>
      <c r="Y575" s="176"/>
      <c r="Z575" s="176"/>
    </row>
    <row r="576">
      <c r="A576" s="257" t="s">
        <v>174</v>
      </c>
      <c r="B576" s="257" t="s">
        <v>10</v>
      </c>
      <c r="C576" s="261" t="s">
        <v>2198</v>
      </c>
      <c r="D576" s="281" t="s">
        <v>495</v>
      </c>
      <c r="E576" s="260">
        <v>44246.0</v>
      </c>
      <c r="F576" s="258" t="s">
        <v>496</v>
      </c>
      <c r="G576" s="171">
        <v>60.0</v>
      </c>
      <c r="H576" s="171">
        <v>200.0</v>
      </c>
      <c r="I576" s="171">
        <v>80.0</v>
      </c>
      <c r="J576" s="325">
        <f t="shared" si="14"/>
        <v>0.001216683652</v>
      </c>
      <c r="K576" s="326">
        <f t="shared" si="27"/>
        <v>1.743913234</v>
      </c>
      <c r="L576" s="327">
        <f t="shared" si="4"/>
        <v>3.952575773</v>
      </c>
      <c r="M576" s="321" t="str">
        <f t="shared" si="5"/>
        <v>chanate91</v>
      </c>
      <c r="N576" s="176">
        <f>IFERROR(__xludf.DUMMYFUNCTION("""COMPUTED_VALUE"""),1.0)</f>
        <v>1</v>
      </c>
      <c r="O576" s="176"/>
      <c r="P576" s="176"/>
      <c r="Q576" s="176"/>
      <c r="R576" s="176"/>
      <c r="S576" s="176"/>
      <c r="T576" s="176"/>
      <c r="U576" s="176"/>
      <c r="V576" s="176"/>
      <c r="W576" s="176"/>
      <c r="X576" s="176"/>
      <c r="Y576" s="176"/>
      <c r="Z576" s="176"/>
    </row>
    <row r="577">
      <c r="A577" s="257" t="s">
        <v>174</v>
      </c>
      <c r="B577" s="257" t="s">
        <v>10</v>
      </c>
      <c r="C577" s="261" t="s">
        <v>2208</v>
      </c>
      <c r="D577" s="281" t="s">
        <v>495</v>
      </c>
      <c r="E577" s="260">
        <v>44253.0</v>
      </c>
      <c r="F577" s="258" t="s">
        <v>496</v>
      </c>
      <c r="G577" s="171">
        <v>150.0</v>
      </c>
      <c r="H577" s="171">
        <v>200.0</v>
      </c>
      <c r="I577" s="171">
        <v>80.0</v>
      </c>
      <c r="J577" s="325">
        <f t="shared" si="14"/>
        <v>0.001540927353</v>
      </c>
      <c r="K577" s="326">
        <f t="shared" si="27"/>
        <v>2.20866254</v>
      </c>
      <c r="L577" s="327">
        <f t="shared" si="4"/>
        <v>3.952575773</v>
      </c>
      <c r="M577" s="321" t="str">
        <f t="shared" si="5"/>
        <v>chanate91</v>
      </c>
      <c r="N577" s="176">
        <f>IFERROR(__xludf.DUMMYFUNCTION("""COMPUTED_VALUE"""),2.0)</f>
        <v>2</v>
      </c>
      <c r="O577" s="176"/>
      <c r="P577" s="176"/>
      <c r="Q577" s="176"/>
      <c r="R577" s="176"/>
      <c r="S577" s="176"/>
      <c r="T577" s="176"/>
      <c r="U577" s="176"/>
      <c r="V577" s="176"/>
      <c r="W577" s="176"/>
      <c r="X577" s="176"/>
      <c r="Y577" s="176"/>
      <c r="Z577" s="176"/>
    </row>
    <row r="578">
      <c r="A578" s="257" t="s">
        <v>77</v>
      </c>
      <c r="B578" s="257" t="s">
        <v>10</v>
      </c>
      <c r="C578" s="261" t="s">
        <v>498</v>
      </c>
      <c r="D578" s="281" t="s">
        <v>495</v>
      </c>
      <c r="E578" s="260">
        <v>44246.0</v>
      </c>
      <c r="F578" s="258" t="s">
        <v>499</v>
      </c>
      <c r="G578" s="171">
        <v>10.0</v>
      </c>
      <c r="H578" s="171">
        <v>20.0</v>
      </c>
      <c r="I578" s="171">
        <v>20.0</v>
      </c>
      <c r="J578" s="325">
        <f t="shared" si="14"/>
        <v>0.0002077573614</v>
      </c>
      <c r="K578" s="326">
        <f t="shared" si="27"/>
        <v>0.2977855513</v>
      </c>
      <c r="L578" s="327">
        <f t="shared" si="4"/>
        <v>3.765014426</v>
      </c>
      <c r="M578" s="321" t="str">
        <f t="shared" si="5"/>
        <v>krrisis</v>
      </c>
      <c r="N578" s="176">
        <f>IFERROR(__xludf.DUMMYFUNCTION("""COMPUTED_VALUE"""),1.0)</f>
        <v>1</v>
      </c>
      <c r="O578" s="176"/>
      <c r="P578" s="176"/>
      <c r="Q578" s="176"/>
      <c r="R578" s="176"/>
      <c r="S578" s="176"/>
      <c r="T578" s="176"/>
      <c r="U578" s="176"/>
      <c r="V578" s="176"/>
      <c r="W578" s="176"/>
      <c r="X578" s="176"/>
      <c r="Y578" s="176"/>
      <c r="Z578" s="176"/>
    </row>
    <row r="579">
      <c r="A579" s="257" t="s">
        <v>77</v>
      </c>
      <c r="B579" s="257" t="s">
        <v>10</v>
      </c>
      <c r="C579" s="261" t="s">
        <v>500</v>
      </c>
      <c r="D579" s="281" t="s">
        <v>495</v>
      </c>
      <c r="E579" s="260">
        <v>44246.0</v>
      </c>
      <c r="F579" s="258" t="s">
        <v>545</v>
      </c>
      <c r="G579" s="171">
        <v>20.0</v>
      </c>
      <c r="H579" s="171">
        <v>20.0</v>
      </c>
      <c r="I579" s="171">
        <v>20.0</v>
      </c>
      <c r="J579" s="325">
        <f t="shared" si="14"/>
        <v>0.0002437844393</v>
      </c>
      <c r="K579" s="326">
        <f t="shared" si="27"/>
        <v>0.349424363</v>
      </c>
      <c r="L579" s="327">
        <f t="shared" si="4"/>
        <v>3.765014426</v>
      </c>
      <c r="M579" s="321" t="str">
        <f t="shared" si="5"/>
        <v>krrisis</v>
      </c>
      <c r="N579" s="176">
        <f>IFERROR(__xludf.DUMMYFUNCTION("""COMPUTED_VALUE"""),2.0)</f>
        <v>2</v>
      </c>
      <c r="O579" s="176"/>
      <c r="P579" s="176"/>
      <c r="Q579" s="176"/>
      <c r="R579" s="176"/>
      <c r="S579" s="176"/>
      <c r="T579" s="176"/>
      <c r="U579" s="176"/>
      <c r="V579" s="176"/>
      <c r="W579" s="176"/>
      <c r="X579" s="176"/>
      <c r="Y579" s="176"/>
      <c r="Z579" s="176"/>
    </row>
    <row r="580">
      <c r="A580" s="257" t="s">
        <v>77</v>
      </c>
      <c r="B580" s="257" t="s">
        <v>10</v>
      </c>
      <c r="C580" s="261" t="s">
        <v>2257</v>
      </c>
      <c r="D580" s="281" t="s">
        <v>495</v>
      </c>
      <c r="E580" s="260">
        <v>44253.0</v>
      </c>
      <c r="F580" s="258" t="s">
        <v>496</v>
      </c>
      <c r="G580" s="171">
        <v>210.0</v>
      </c>
      <c r="H580" s="171">
        <v>200.0</v>
      </c>
      <c r="I580" s="171">
        <v>150.0</v>
      </c>
      <c r="J580" s="325">
        <f t="shared" si="14"/>
        <v>0.00217521245</v>
      </c>
      <c r="K580" s="326">
        <f t="shared" si="27"/>
        <v>3.117804512</v>
      </c>
      <c r="L580" s="327">
        <f t="shared" si="4"/>
        <v>3.765014426</v>
      </c>
      <c r="M580" s="321" t="str">
        <f t="shared" si="5"/>
        <v>krrisis</v>
      </c>
      <c r="N580" s="176">
        <f>IFERROR(__xludf.DUMMYFUNCTION("""COMPUTED_VALUE"""),3.0)</f>
        <v>3</v>
      </c>
      <c r="O580" s="176"/>
      <c r="P580" s="176"/>
      <c r="Q580" s="176"/>
      <c r="R580" s="176"/>
      <c r="S580" s="176"/>
      <c r="T580" s="176"/>
      <c r="U580" s="176"/>
      <c r="V580" s="176"/>
      <c r="W580" s="176"/>
      <c r="X580" s="176"/>
      <c r="Y580" s="176"/>
      <c r="Z580" s="176"/>
    </row>
    <row r="581">
      <c r="A581" s="257" t="s">
        <v>129</v>
      </c>
      <c r="B581" s="257" t="s">
        <v>29</v>
      </c>
      <c r="C581" s="261" t="s">
        <v>2467</v>
      </c>
      <c r="D581" s="281" t="s">
        <v>495</v>
      </c>
      <c r="E581" s="260">
        <v>44243.0</v>
      </c>
      <c r="F581" s="258" t="s">
        <v>592</v>
      </c>
      <c r="G581" s="171">
        <v>200.0</v>
      </c>
      <c r="H581" s="171">
        <v>300.0</v>
      </c>
      <c r="I581" s="171">
        <v>150.0</v>
      </c>
      <c r="J581" s="325">
        <f t="shared" si="14"/>
        <v>0.002400518747</v>
      </c>
      <c r="K581" s="326">
        <f t="shared" si="27"/>
        <v>3.440743538</v>
      </c>
      <c r="L581" s="327">
        <f t="shared" si="4"/>
        <v>3.440743538</v>
      </c>
      <c r="M581" s="321" t="str">
        <f t="shared" si="5"/>
        <v>rogervs</v>
      </c>
      <c r="N581" s="176">
        <f>IFERROR(__xludf.DUMMYFUNCTION("""COMPUTED_VALUE"""),1.0)</f>
        <v>1</v>
      </c>
      <c r="O581" s="176"/>
      <c r="P581" s="176"/>
      <c r="Q581" s="176"/>
      <c r="R581" s="176"/>
      <c r="S581" s="176"/>
      <c r="T581" s="176"/>
      <c r="U581" s="176"/>
      <c r="V581" s="176"/>
      <c r="W581" s="176"/>
      <c r="X581" s="176"/>
      <c r="Y581" s="176"/>
      <c r="Z581" s="176"/>
    </row>
    <row r="582">
      <c r="A582" s="257" t="s">
        <v>202</v>
      </c>
      <c r="B582" s="257" t="s">
        <v>10</v>
      </c>
      <c r="C582" s="261" t="s">
        <v>2257</v>
      </c>
      <c r="D582" s="281" t="s">
        <v>495</v>
      </c>
      <c r="E582" s="260">
        <v>44253.0</v>
      </c>
      <c r="F582" s="258" t="s">
        <v>496</v>
      </c>
      <c r="G582" s="171">
        <v>210.0</v>
      </c>
      <c r="H582" s="171">
        <v>200.0</v>
      </c>
      <c r="I582" s="171">
        <v>150.0</v>
      </c>
      <c r="J582" s="325">
        <f t="shared" si="14"/>
        <v>0.00217521245</v>
      </c>
      <c r="K582" s="326">
        <f t="shared" si="27"/>
        <v>3.117804512</v>
      </c>
      <c r="L582" s="327">
        <f t="shared" si="4"/>
        <v>3.117804512</v>
      </c>
      <c r="M582" s="321" t="str">
        <f t="shared" si="5"/>
        <v>jelena_dragovic</v>
      </c>
      <c r="N582" s="176">
        <f>IFERROR(__xludf.DUMMYFUNCTION("""COMPUTED_VALUE"""),1.0)</f>
        <v>1</v>
      </c>
      <c r="O582" s="176"/>
      <c r="P582" s="176"/>
      <c r="Q582" s="176"/>
      <c r="R582" s="176"/>
      <c r="S582" s="176"/>
      <c r="T582" s="176"/>
      <c r="U582" s="176"/>
      <c r="V582" s="176"/>
      <c r="W582" s="176"/>
      <c r="X582" s="176"/>
      <c r="Y582" s="176"/>
      <c r="Z582" s="176"/>
    </row>
    <row r="583">
      <c r="A583" s="257" t="s">
        <v>137</v>
      </c>
      <c r="B583" s="257" t="s">
        <v>10</v>
      </c>
      <c r="C583" s="261" t="s">
        <v>2257</v>
      </c>
      <c r="D583" s="281" t="s">
        <v>495</v>
      </c>
      <c r="E583" s="260">
        <v>44253.0</v>
      </c>
      <c r="F583" s="258" t="s">
        <v>496</v>
      </c>
      <c r="G583" s="171">
        <v>210.0</v>
      </c>
      <c r="H583" s="171">
        <v>200.0</v>
      </c>
      <c r="I583" s="171">
        <v>150.0</v>
      </c>
      <c r="J583" s="325">
        <f t="shared" si="14"/>
        <v>0.00217521245</v>
      </c>
      <c r="K583" s="326">
        <f t="shared" si="27"/>
        <v>3.117804512</v>
      </c>
      <c r="L583" s="327">
        <f t="shared" si="4"/>
        <v>3.117804512</v>
      </c>
      <c r="M583" s="321" t="str">
        <f t="shared" si="5"/>
        <v>nelsonm</v>
      </c>
      <c r="N583" s="176">
        <f>IFERROR(__xludf.DUMMYFUNCTION("""COMPUTED_VALUE"""),1.0)</f>
        <v>1</v>
      </c>
      <c r="O583" s="176"/>
      <c r="P583" s="176"/>
      <c r="Q583" s="176"/>
      <c r="R583" s="176"/>
      <c r="S583" s="176"/>
      <c r="T583" s="176"/>
      <c r="U583" s="176"/>
      <c r="V583" s="176"/>
      <c r="W583" s="176"/>
      <c r="X583" s="176"/>
      <c r="Y583" s="176"/>
      <c r="Z583" s="176"/>
    </row>
    <row r="584">
      <c r="A584" s="257" t="s">
        <v>41</v>
      </c>
      <c r="B584" s="257" t="s">
        <v>10</v>
      </c>
      <c r="C584" s="261" t="s">
        <v>500</v>
      </c>
      <c r="D584" s="281" t="s">
        <v>495</v>
      </c>
      <c r="E584" s="260">
        <v>44253.0</v>
      </c>
      <c r="F584" s="258" t="s">
        <v>496</v>
      </c>
      <c r="G584" s="171">
        <v>20.0</v>
      </c>
      <c r="H584" s="171">
        <v>100.0</v>
      </c>
      <c r="I584" s="171">
        <v>20.0</v>
      </c>
      <c r="J584" s="325">
        <f t="shared" si="14"/>
        <v>0.0004528511394</v>
      </c>
      <c r="K584" s="326">
        <f t="shared" si="27"/>
        <v>0.6490866332</v>
      </c>
      <c r="L584" s="327">
        <f t="shared" si="4"/>
        <v>3.028980345</v>
      </c>
      <c r="M584" s="321" t="str">
        <f t="shared" si="5"/>
        <v>blairv</v>
      </c>
      <c r="N584" s="176">
        <f>IFERROR(__xludf.DUMMYFUNCTION("""COMPUTED_VALUE"""),1.0)</f>
        <v>1</v>
      </c>
      <c r="O584" s="176"/>
      <c r="P584" s="176"/>
      <c r="Q584" s="176"/>
      <c r="R584" s="176"/>
      <c r="S584" s="176"/>
      <c r="T584" s="176"/>
      <c r="U584" s="176"/>
      <c r="V584" s="176"/>
      <c r="W584" s="176"/>
      <c r="X584" s="176"/>
      <c r="Y584" s="176"/>
      <c r="Z584" s="176"/>
    </row>
    <row r="585">
      <c r="A585" s="257" t="s">
        <v>41</v>
      </c>
      <c r="B585" s="257" t="s">
        <v>10</v>
      </c>
      <c r="C585" s="261" t="s">
        <v>2468</v>
      </c>
      <c r="D585" s="281" t="s">
        <v>495</v>
      </c>
      <c r="E585" s="260">
        <v>44253.0</v>
      </c>
      <c r="F585" s="258" t="s">
        <v>496</v>
      </c>
      <c r="G585" s="171">
        <v>150.0</v>
      </c>
      <c r="H585" s="171">
        <v>200.0</v>
      </c>
      <c r="I585" s="171">
        <v>100.0</v>
      </c>
      <c r="J585" s="325">
        <f t="shared" si="14"/>
        <v>0.001660390962</v>
      </c>
      <c r="K585" s="326">
        <f t="shared" si="27"/>
        <v>2.379893712</v>
      </c>
      <c r="L585" s="327">
        <f t="shared" si="4"/>
        <v>3.028980345</v>
      </c>
      <c r="M585" s="321" t="str">
        <f t="shared" si="5"/>
        <v>blairv</v>
      </c>
      <c r="N585" s="176">
        <f>IFERROR(__xludf.DUMMYFUNCTION("""COMPUTED_VALUE"""),2.0)</f>
        <v>2</v>
      </c>
      <c r="O585" s="176"/>
      <c r="P585" s="176"/>
      <c r="Q585" s="176"/>
      <c r="R585" s="176"/>
      <c r="S585" s="176"/>
      <c r="T585" s="176"/>
      <c r="U585" s="176"/>
      <c r="V585" s="176"/>
      <c r="W585" s="176"/>
      <c r="X585" s="176"/>
      <c r="Y585" s="176"/>
      <c r="Z585" s="176"/>
    </row>
    <row r="586">
      <c r="A586" s="314" t="s">
        <v>63</v>
      </c>
      <c r="B586" s="314" t="s">
        <v>534</v>
      </c>
      <c r="C586" s="355" t="s">
        <v>2386</v>
      </c>
      <c r="D586" s="309"/>
      <c r="E586" s="353"/>
      <c r="F586" s="311"/>
      <c r="G586" s="222"/>
      <c r="H586" s="222"/>
      <c r="I586" s="222"/>
      <c r="J586" s="325">
        <f t="shared" si="14"/>
        <v>0</v>
      </c>
      <c r="K586" s="337">
        <f>19.144*-0.85</f>
        <v>-16.2724</v>
      </c>
      <c r="L586" s="327">
        <f t="shared" si="4"/>
        <v>2.875882989</v>
      </c>
      <c r="M586" s="321" t="str">
        <f t="shared" si="5"/>
        <v>chuygarcia92</v>
      </c>
      <c r="N586" s="153">
        <f>IFERROR(__xludf.DUMMYFUNCTION("""COMPUTED_VALUE"""),1.0)</f>
        <v>1</v>
      </c>
      <c r="O586" s="209"/>
      <c r="P586" s="209"/>
      <c r="Q586" s="209"/>
      <c r="R586" s="209">
        <v>57.049855624848725</v>
      </c>
      <c r="S586" s="209"/>
      <c r="T586" s="209"/>
      <c r="U586" s="209"/>
      <c r="V586" s="209"/>
      <c r="W586" s="209"/>
      <c r="X586" s="209"/>
      <c r="Y586" s="176"/>
      <c r="Z586" s="176"/>
    </row>
    <row r="587">
      <c r="A587" s="257" t="s">
        <v>63</v>
      </c>
      <c r="B587" s="257" t="s">
        <v>63</v>
      </c>
      <c r="C587" s="261" t="s">
        <v>2346</v>
      </c>
      <c r="D587" s="281" t="s">
        <v>495</v>
      </c>
      <c r="E587" s="260">
        <v>44241.0</v>
      </c>
      <c r="F587" s="258" t="s">
        <v>627</v>
      </c>
      <c r="G587" s="171">
        <v>200.0</v>
      </c>
      <c r="H587" s="171">
        <v>300.0</v>
      </c>
      <c r="I587" s="171">
        <v>150.0</v>
      </c>
      <c r="J587" s="325">
        <f t="shared" si="14"/>
        <v>0.002400518747</v>
      </c>
      <c r="K587" s="326">
        <f t="shared" ref="K587:K598" si="28">J587*$J$1</f>
        <v>3.440743538</v>
      </c>
      <c r="L587" s="327">
        <f t="shared" si="4"/>
        <v>2.875882989</v>
      </c>
      <c r="M587" s="321" t="str">
        <f t="shared" si="5"/>
        <v>chuygarcia92</v>
      </c>
      <c r="N587" s="176">
        <f>IFERROR(__xludf.DUMMYFUNCTION("""COMPUTED_VALUE"""),2.0)</f>
        <v>2</v>
      </c>
      <c r="O587" s="176"/>
      <c r="P587" s="176"/>
      <c r="Q587" s="176"/>
      <c r="R587" s="176"/>
      <c r="S587" s="176"/>
      <c r="T587" s="176"/>
      <c r="U587" s="176"/>
      <c r="V587" s="176"/>
      <c r="W587" s="176"/>
      <c r="X587" s="176"/>
      <c r="Y587" s="176"/>
      <c r="Z587" s="176"/>
    </row>
    <row r="588">
      <c r="A588" s="257" t="s">
        <v>63</v>
      </c>
      <c r="B588" s="257" t="s">
        <v>519</v>
      </c>
      <c r="C588" s="261" t="s">
        <v>2347</v>
      </c>
      <c r="D588" s="281" t="s">
        <v>495</v>
      </c>
      <c r="E588" s="260">
        <v>44242.0</v>
      </c>
      <c r="F588" s="258" t="s">
        <v>496</v>
      </c>
      <c r="G588" s="171">
        <v>230.0</v>
      </c>
      <c r="H588" s="171">
        <v>500.0</v>
      </c>
      <c r="I588" s="171">
        <v>200.0</v>
      </c>
      <c r="J588" s="325">
        <f t="shared" si="14"/>
        <v>0.003329925753</v>
      </c>
      <c r="K588" s="326">
        <f t="shared" si="28"/>
        <v>4.772893579</v>
      </c>
      <c r="L588" s="327">
        <f t="shared" si="4"/>
        <v>2.875882989</v>
      </c>
      <c r="M588" s="321" t="str">
        <f t="shared" si="5"/>
        <v>chuygarcia92</v>
      </c>
      <c r="N588" s="176">
        <f>IFERROR(__xludf.DUMMYFUNCTION("""COMPUTED_VALUE"""),3.0)</f>
        <v>3</v>
      </c>
      <c r="O588" s="176"/>
      <c r="P588" s="176"/>
      <c r="Q588" s="176"/>
      <c r="R588" s="176"/>
      <c r="S588" s="176"/>
      <c r="T588" s="176"/>
      <c r="U588" s="176"/>
      <c r="V588" s="176"/>
      <c r="W588" s="176"/>
      <c r="X588" s="176"/>
      <c r="Y588" s="176"/>
      <c r="Z588" s="176"/>
    </row>
    <row r="589">
      <c r="A589" s="257" t="s">
        <v>63</v>
      </c>
      <c r="B589" s="257" t="s">
        <v>10</v>
      </c>
      <c r="C589" s="261" t="s">
        <v>2469</v>
      </c>
      <c r="D589" s="281" t="s">
        <v>495</v>
      </c>
      <c r="E589" s="260">
        <v>44246.0</v>
      </c>
      <c r="F589" s="258" t="s">
        <v>496</v>
      </c>
      <c r="G589" s="171">
        <v>150.0</v>
      </c>
      <c r="H589" s="171">
        <v>400.0</v>
      </c>
      <c r="I589" s="171">
        <v>100.0</v>
      </c>
      <c r="J589" s="325">
        <f t="shared" si="14"/>
        <v>0.002183057712</v>
      </c>
      <c r="K589" s="326">
        <f t="shared" si="28"/>
        <v>3.129049387</v>
      </c>
      <c r="L589" s="327">
        <f t="shared" si="4"/>
        <v>2.875882989</v>
      </c>
      <c r="M589" s="321" t="str">
        <f t="shared" si="5"/>
        <v>chuygarcia92</v>
      </c>
      <c r="N589" s="176">
        <f>IFERROR(__xludf.DUMMYFUNCTION("""COMPUTED_VALUE"""),4.0)</f>
        <v>4</v>
      </c>
      <c r="O589" s="176"/>
      <c r="P589" s="176"/>
      <c r="Q589" s="176"/>
      <c r="R589" s="176"/>
      <c r="S589" s="176"/>
      <c r="T589" s="176"/>
      <c r="U589" s="176"/>
      <c r="V589" s="176"/>
      <c r="W589" s="176"/>
      <c r="X589" s="176"/>
      <c r="Y589" s="176"/>
      <c r="Z589" s="176"/>
    </row>
    <row r="590">
      <c r="A590" s="257" t="s">
        <v>63</v>
      </c>
      <c r="B590" s="257" t="s">
        <v>63</v>
      </c>
      <c r="C590" s="261" t="s">
        <v>2470</v>
      </c>
      <c r="D590" s="281" t="s">
        <v>495</v>
      </c>
      <c r="E590" s="260">
        <v>44246.0</v>
      </c>
      <c r="F590" s="258" t="s">
        <v>627</v>
      </c>
      <c r="G590" s="171">
        <v>180.0</v>
      </c>
      <c r="H590" s="171">
        <v>300.0</v>
      </c>
      <c r="I590" s="171">
        <v>200.0</v>
      </c>
      <c r="J590" s="325">
        <f t="shared" si="14"/>
        <v>0.002627123613</v>
      </c>
      <c r="K590" s="326">
        <f t="shared" si="28"/>
        <v>3.765543845</v>
      </c>
      <c r="L590" s="327">
        <f t="shared" si="4"/>
        <v>2.875882989</v>
      </c>
      <c r="M590" s="321" t="str">
        <f t="shared" si="5"/>
        <v>chuygarcia92</v>
      </c>
      <c r="N590" s="176">
        <f>IFERROR(__xludf.DUMMYFUNCTION("""COMPUTED_VALUE"""),5.0)</f>
        <v>5</v>
      </c>
      <c r="O590" s="176"/>
      <c r="P590" s="176"/>
      <c r="Q590" s="176"/>
      <c r="R590" s="176"/>
      <c r="S590" s="176"/>
      <c r="T590" s="176"/>
      <c r="U590" s="176"/>
      <c r="V590" s="176"/>
      <c r="W590" s="176"/>
      <c r="X590" s="176"/>
      <c r="Y590" s="176"/>
      <c r="Z590" s="176"/>
    </row>
    <row r="591">
      <c r="A591" s="257" t="s">
        <v>63</v>
      </c>
      <c r="B591" s="257" t="s">
        <v>10</v>
      </c>
      <c r="C591" s="261" t="s">
        <v>2198</v>
      </c>
      <c r="D591" s="281" t="s">
        <v>495</v>
      </c>
      <c r="E591" s="260">
        <v>44246.0</v>
      </c>
      <c r="F591" s="258" t="s">
        <v>496</v>
      </c>
      <c r="G591" s="171">
        <v>50.0</v>
      </c>
      <c r="H591" s="171">
        <v>100.0</v>
      </c>
      <c r="I591" s="171">
        <v>80.0</v>
      </c>
      <c r="J591" s="325">
        <f t="shared" si="14"/>
        <v>0.0009193231985</v>
      </c>
      <c r="K591" s="326">
        <f t="shared" si="28"/>
        <v>1.317696585</v>
      </c>
      <c r="L591" s="327">
        <f t="shared" si="4"/>
        <v>2.875882989</v>
      </c>
      <c r="M591" s="321" t="str">
        <f t="shared" si="5"/>
        <v>chuygarcia92</v>
      </c>
      <c r="N591" s="176">
        <f>IFERROR(__xludf.DUMMYFUNCTION("""COMPUTED_VALUE"""),6.0)</f>
        <v>6</v>
      </c>
      <c r="O591" s="176"/>
      <c r="P591" s="176"/>
      <c r="Q591" s="176"/>
      <c r="R591" s="176"/>
      <c r="S591" s="176"/>
      <c r="T591" s="176"/>
      <c r="U591" s="176"/>
      <c r="V591" s="176"/>
      <c r="W591" s="176"/>
      <c r="X591" s="176"/>
      <c r="Y591" s="176"/>
      <c r="Z591" s="176"/>
    </row>
    <row r="592">
      <c r="A592" s="257" t="s">
        <v>63</v>
      </c>
      <c r="B592" s="257" t="s">
        <v>63</v>
      </c>
      <c r="C592" s="261" t="s">
        <v>2471</v>
      </c>
      <c r="D592" s="281" t="s">
        <v>495</v>
      </c>
      <c r="E592" s="260">
        <v>44249.0</v>
      </c>
      <c r="F592" s="258" t="s">
        <v>627</v>
      </c>
      <c r="G592" s="171">
        <v>150.0</v>
      </c>
      <c r="H592" s="171">
        <v>200.0</v>
      </c>
      <c r="I592" s="171">
        <v>140.0</v>
      </c>
      <c r="J592" s="325">
        <f t="shared" si="14"/>
        <v>0.001899318178</v>
      </c>
      <c r="K592" s="326">
        <f t="shared" si="28"/>
        <v>2.722356056</v>
      </c>
      <c r="L592" s="327">
        <f t="shared" si="4"/>
        <v>2.875882989</v>
      </c>
      <c r="M592" s="321" t="str">
        <f t="shared" si="5"/>
        <v>chuygarcia92</v>
      </c>
      <c r="N592" s="176">
        <f>IFERROR(__xludf.DUMMYFUNCTION("""COMPUTED_VALUE"""),7.0)</f>
        <v>7</v>
      </c>
      <c r="O592" s="176"/>
      <c r="P592" s="176"/>
      <c r="Q592" s="176"/>
      <c r="R592" s="176"/>
      <c r="S592" s="176"/>
      <c r="T592" s="176"/>
      <c r="U592" s="176"/>
      <c r="V592" s="176"/>
      <c r="W592" s="176"/>
      <c r="X592" s="176"/>
      <c r="Y592" s="176"/>
      <c r="Z592" s="176"/>
    </row>
    <row r="593">
      <c r="A593" s="257" t="s">
        <v>97</v>
      </c>
      <c r="B593" s="257" t="s">
        <v>10</v>
      </c>
      <c r="C593" s="261" t="s">
        <v>500</v>
      </c>
      <c r="D593" s="281" t="s">
        <v>495</v>
      </c>
      <c r="E593" s="260">
        <v>44253.0</v>
      </c>
      <c r="F593" s="258" t="s">
        <v>496</v>
      </c>
      <c r="G593" s="171">
        <v>20.0</v>
      </c>
      <c r="H593" s="171">
        <v>100.0</v>
      </c>
      <c r="I593" s="171">
        <v>20.0</v>
      </c>
      <c r="J593" s="325">
        <f t="shared" si="14"/>
        <v>0.0004528511394</v>
      </c>
      <c r="K593" s="326">
        <f t="shared" si="28"/>
        <v>0.6490866332</v>
      </c>
      <c r="L593" s="327">
        <f t="shared" si="4"/>
        <v>2.857749173</v>
      </c>
      <c r="M593" s="321" t="str">
        <f t="shared" si="5"/>
        <v>jwaup</v>
      </c>
      <c r="N593" s="176">
        <f>IFERROR(__xludf.DUMMYFUNCTION("""COMPUTED_VALUE"""),1.0)</f>
        <v>1</v>
      </c>
      <c r="O593" s="176"/>
      <c r="P593" s="176"/>
      <c r="Q593" s="176"/>
      <c r="R593" s="176"/>
      <c r="S593" s="176"/>
      <c r="T593" s="176"/>
      <c r="U593" s="176"/>
      <c r="V593" s="176"/>
      <c r="W593" s="176"/>
      <c r="X593" s="176"/>
      <c r="Y593" s="176"/>
      <c r="Z593" s="176"/>
    </row>
    <row r="594">
      <c r="A594" s="257" t="s">
        <v>97</v>
      </c>
      <c r="B594" s="257" t="s">
        <v>10</v>
      </c>
      <c r="C594" s="261" t="s">
        <v>2247</v>
      </c>
      <c r="D594" s="281" t="s">
        <v>495</v>
      </c>
      <c r="E594" s="260">
        <v>44253.0</v>
      </c>
      <c r="F594" s="258" t="s">
        <v>496</v>
      </c>
      <c r="G594" s="171">
        <v>150.0</v>
      </c>
      <c r="H594" s="171">
        <v>200.0</v>
      </c>
      <c r="I594" s="171">
        <v>80.0</v>
      </c>
      <c r="J594" s="325">
        <f t="shared" si="14"/>
        <v>0.001540927353</v>
      </c>
      <c r="K594" s="326">
        <f t="shared" si="28"/>
        <v>2.20866254</v>
      </c>
      <c r="L594" s="327">
        <f t="shared" si="4"/>
        <v>2.857749173</v>
      </c>
      <c r="M594" s="321" t="str">
        <f t="shared" si="5"/>
        <v>jwaup</v>
      </c>
      <c r="N594" s="176">
        <f>IFERROR(__xludf.DUMMYFUNCTION("""COMPUTED_VALUE"""),2.0)</f>
        <v>2</v>
      </c>
      <c r="O594" s="176"/>
      <c r="P594" s="176"/>
      <c r="Q594" s="176"/>
      <c r="R594" s="176"/>
      <c r="S594" s="176"/>
      <c r="T594" s="176"/>
      <c r="U594" s="176"/>
      <c r="V594" s="176"/>
      <c r="W594" s="176"/>
      <c r="X594" s="176"/>
      <c r="Y594" s="176"/>
      <c r="Z594" s="176"/>
    </row>
    <row r="595">
      <c r="A595" s="257" t="s">
        <v>58</v>
      </c>
      <c r="B595" s="257" t="s">
        <v>10</v>
      </c>
      <c r="C595" s="261" t="s">
        <v>2472</v>
      </c>
      <c r="D595" s="281" t="s">
        <v>495</v>
      </c>
      <c r="E595" s="260">
        <v>44253.0</v>
      </c>
      <c r="F595" s="258" t="s">
        <v>496</v>
      </c>
      <c r="G595" s="171">
        <v>140.0</v>
      </c>
      <c r="H595" s="171">
        <v>100.0</v>
      </c>
      <c r="I595" s="171">
        <v>100.0</v>
      </c>
      <c r="J595" s="325">
        <f t="shared" si="14"/>
        <v>0.001363030508</v>
      </c>
      <c r="K595" s="326">
        <f t="shared" si="28"/>
        <v>1.953677062</v>
      </c>
      <c r="L595" s="327">
        <f t="shared" si="4"/>
        <v>2.663225807</v>
      </c>
      <c r="M595" s="321" t="str">
        <f t="shared" si="5"/>
        <v>heater03</v>
      </c>
      <c r="N595" s="176">
        <f>IFERROR(__xludf.DUMMYFUNCTION("""COMPUTED_VALUE"""),1.0)</f>
        <v>1</v>
      </c>
      <c r="O595" s="176"/>
      <c r="P595" s="176"/>
      <c r="Q595" s="176"/>
      <c r="R595" s="176"/>
      <c r="S595" s="176"/>
      <c r="T595" s="176"/>
      <c r="U595" s="176"/>
      <c r="V595" s="176"/>
      <c r="W595" s="176"/>
      <c r="X595" s="176"/>
      <c r="Y595" s="176"/>
      <c r="Z595" s="176"/>
    </row>
    <row r="596">
      <c r="A596" s="257" t="s">
        <v>58</v>
      </c>
      <c r="B596" s="257" t="s">
        <v>10</v>
      </c>
      <c r="C596" s="261" t="s">
        <v>2206</v>
      </c>
      <c r="D596" s="281" t="s">
        <v>495</v>
      </c>
      <c r="E596" s="260">
        <v>44253.0</v>
      </c>
      <c r="F596" s="258" t="s">
        <v>496</v>
      </c>
      <c r="G596" s="171">
        <v>40.0</v>
      </c>
      <c r="H596" s="171">
        <v>20.0</v>
      </c>
      <c r="I596" s="171">
        <v>50.0</v>
      </c>
      <c r="J596" s="325">
        <f t="shared" si="14"/>
        <v>0.0004950340078</v>
      </c>
      <c r="K596" s="326">
        <f t="shared" si="28"/>
        <v>0.7095487446</v>
      </c>
      <c r="L596" s="327">
        <f t="shared" si="4"/>
        <v>2.663225807</v>
      </c>
      <c r="M596" s="321" t="str">
        <f t="shared" si="5"/>
        <v>heater03</v>
      </c>
      <c r="N596" s="176">
        <f>IFERROR(__xludf.DUMMYFUNCTION("""COMPUTED_VALUE"""),2.0)</f>
        <v>2</v>
      </c>
      <c r="O596" s="176"/>
      <c r="P596" s="176"/>
      <c r="Q596" s="176"/>
      <c r="R596" s="176"/>
      <c r="S596" s="176"/>
      <c r="T596" s="176"/>
      <c r="U596" s="176"/>
      <c r="V596" s="176"/>
      <c r="W596" s="176"/>
      <c r="X596" s="176"/>
      <c r="Y596" s="176"/>
      <c r="Z596" s="176"/>
    </row>
    <row r="597">
      <c r="A597" s="257" t="s">
        <v>100</v>
      </c>
      <c r="B597" s="257" t="s">
        <v>10</v>
      </c>
      <c r="C597" s="261" t="s">
        <v>2181</v>
      </c>
      <c r="D597" s="281" t="s">
        <v>495</v>
      </c>
      <c r="E597" s="260">
        <v>44253.0</v>
      </c>
      <c r="F597" s="258" t="s">
        <v>499</v>
      </c>
      <c r="G597" s="171">
        <v>10.0</v>
      </c>
      <c r="H597" s="171">
        <v>40.0</v>
      </c>
      <c r="I597" s="171">
        <v>20.0</v>
      </c>
      <c r="J597" s="325">
        <f t="shared" si="14"/>
        <v>0.0002600240364</v>
      </c>
      <c r="K597" s="326">
        <f t="shared" si="28"/>
        <v>0.3727011189</v>
      </c>
      <c r="L597" s="327">
        <f t="shared" si="4"/>
        <v>2.581363658</v>
      </c>
      <c r="M597" s="321" t="str">
        <f t="shared" si="5"/>
        <v>nikoline_nik</v>
      </c>
      <c r="N597" s="176">
        <f>IFERROR(__xludf.DUMMYFUNCTION("""COMPUTED_VALUE"""),1.0)</f>
        <v>1</v>
      </c>
      <c r="O597" s="176"/>
      <c r="P597" s="176"/>
      <c r="Q597" s="176"/>
      <c r="R597" s="176"/>
      <c r="S597" s="176"/>
      <c r="T597" s="176"/>
      <c r="U597" s="176"/>
      <c r="V597" s="176"/>
      <c r="W597" s="176"/>
      <c r="X597" s="176"/>
      <c r="Y597" s="176"/>
      <c r="Z597" s="176"/>
    </row>
    <row r="598">
      <c r="A598" s="257" t="s">
        <v>100</v>
      </c>
      <c r="B598" s="257" t="s">
        <v>10</v>
      </c>
      <c r="C598" s="261" t="s">
        <v>2247</v>
      </c>
      <c r="D598" s="281" t="s">
        <v>495</v>
      </c>
      <c r="E598" s="260">
        <v>44253.0</v>
      </c>
      <c r="F598" s="258" t="s">
        <v>496</v>
      </c>
      <c r="G598" s="171">
        <v>150.0</v>
      </c>
      <c r="H598" s="171">
        <v>200.0</v>
      </c>
      <c r="I598" s="171">
        <v>80.0</v>
      </c>
      <c r="J598" s="325">
        <f t="shared" si="14"/>
        <v>0.001540927353</v>
      </c>
      <c r="K598" s="326">
        <f t="shared" si="28"/>
        <v>2.20866254</v>
      </c>
      <c r="L598" s="327">
        <f t="shared" si="4"/>
        <v>2.581363658</v>
      </c>
      <c r="M598" s="321" t="str">
        <f t="shared" si="5"/>
        <v>nikoline_nik</v>
      </c>
      <c r="N598" s="176">
        <f>IFERROR(__xludf.DUMMYFUNCTION("""COMPUTED_VALUE"""),2.0)</f>
        <v>2</v>
      </c>
      <c r="O598" s="176"/>
      <c r="P598" s="176"/>
      <c r="Q598" s="176"/>
      <c r="R598" s="176"/>
      <c r="S598" s="176"/>
      <c r="T598" s="176"/>
      <c r="U598" s="176"/>
      <c r="V598" s="176"/>
      <c r="W598" s="176"/>
      <c r="X598" s="176"/>
      <c r="Y598" s="176"/>
      <c r="Z598" s="176"/>
    </row>
    <row r="599">
      <c r="A599" s="357" t="s">
        <v>29</v>
      </c>
      <c r="B599" s="294" t="s">
        <v>534</v>
      </c>
      <c r="C599" s="308" t="s">
        <v>684</v>
      </c>
      <c r="D599" s="357"/>
      <c r="E599" s="358"/>
      <c r="F599" s="357"/>
      <c r="G599" s="253"/>
      <c r="H599" s="253"/>
      <c r="I599" s="253"/>
      <c r="J599" s="325">
        <f t="shared" si="14"/>
        <v>0</v>
      </c>
      <c r="K599" s="337">
        <f>16.807*-0.85</f>
        <v>-14.28595</v>
      </c>
      <c r="L599" s="327">
        <f t="shared" si="4"/>
        <v>2.52480455</v>
      </c>
      <c r="M599" s="321" t="str">
        <f t="shared" si="5"/>
        <v>jeffemmett</v>
      </c>
      <c r="N599" s="343">
        <f>IFERROR(__xludf.DUMMYFUNCTION("""COMPUTED_VALUE"""),1.0)</f>
        <v>1</v>
      </c>
      <c r="O599" s="343"/>
      <c r="P599" s="343"/>
      <c r="Q599" s="343"/>
      <c r="R599" s="343">
        <v>18.15686701513158</v>
      </c>
      <c r="S599" s="343"/>
      <c r="T599" s="343"/>
      <c r="U599" s="343"/>
      <c r="V599" s="343"/>
      <c r="W599" s="343"/>
      <c r="X599" s="343"/>
      <c r="Y599" s="226"/>
      <c r="Z599" s="226"/>
    </row>
    <row r="600">
      <c r="A600" s="257" t="s">
        <v>29</v>
      </c>
      <c r="B600" s="257" t="s">
        <v>10</v>
      </c>
      <c r="C600" s="261" t="s">
        <v>498</v>
      </c>
      <c r="D600" s="281" t="s">
        <v>495</v>
      </c>
      <c r="E600" s="260">
        <v>44246.0</v>
      </c>
      <c r="F600" s="258" t="s">
        <v>499</v>
      </c>
      <c r="G600" s="171">
        <v>10.0</v>
      </c>
      <c r="H600" s="171">
        <v>20.0</v>
      </c>
      <c r="I600" s="171">
        <v>20.0</v>
      </c>
      <c r="J600" s="325">
        <f t="shared" si="14"/>
        <v>0.0002077573614</v>
      </c>
      <c r="K600" s="326">
        <f t="shared" ref="K600:K633" si="29">J600*$J$1</f>
        <v>0.2977855513</v>
      </c>
      <c r="L600" s="327">
        <f t="shared" si="4"/>
        <v>2.52480455</v>
      </c>
      <c r="M600" s="321" t="str">
        <f t="shared" si="5"/>
        <v>jeffemmett</v>
      </c>
      <c r="N600" s="176">
        <f>IFERROR(__xludf.DUMMYFUNCTION("""COMPUTED_VALUE"""),2.0)</f>
        <v>2</v>
      </c>
      <c r="O600" s="176"/>
      <c r="P600" s="176"/>
      <c r="Q600" s="176"/>
      <c r="R600" s="176"/>
      <c r="S600" s="176"/>
      <c r="T600" s="176"/>
      <c r="U600" s="176"/>
      <c r="V600" s="176"/>
      <c r="W600" s="176"/>
      <c r="X600" s="176"/>
      <c r="Y600" s="176"/>
      <c r="Z600" s="176"/>
    </row>
    <row r="601">
      <c r="A601" s="257" t="s">
        <v>29</v>
      </c>
      <c r="B601" s="257" t="s">
        <v>867</v>
      </c>
      <c r="C601" s="261" t="s">
        <v>2473</v>
      </c>
      <c r="D601" s="281" t="s">
        <v>495</v>
      </c>
      <c r="E601" s="260">
        <v>44247.0</v>
      </c>
      <c r="F601" s="258" t="s">
        <v>499</v>
      </c>
      <c r="G601" s="171">
        <v>300.0</v>
      </c>
      <c r="H601" s="171">
        <v>100.0</v>
      </c>
      <c r="I601" s="171">
        <v>200.0</v>
      </c>
      <c r="J601" s="325">
        <f t="shared" si="14"/>
        <v>0.002536781798</v>
      </c>
      <c r="K601" s="326">
        <f t="shared" si="29"/>
        <v>3.63605391</v>
      </c>
      <c r="L601" s="327">
        <f t="shared" si="4"/>
        <v>2.52480455</v>
      </c>
      <c r="M601" s="321" t="str">
        <f t="shared" si="5"/>
        <v>jeffemmett</v>
      </c>
      <c r="N601" s="176">
        <f>IFERROR(__xludf.DUMMYFUNCTION("""COMPUTED_VALUE"""),3.0)</f>
        <v>3</v>
      </c>
      <c r="O601" s="176"/>
      <c r="P601" s="176"/>
      <c r="Q601" s="176"/>
      <c r="R601" s="176"/>
      <c r="S601" s="176"/>
      <c r="T601" s="176"/>
      <c r="U601" s="176"/>
      <c r="V601" s="176"/>
      <c r="W601" s="176"/>
      <c r="X601" s="176"/>
      <c r="Y601" s="176"/>
      <c r="Z601" s="176"/>
    </row>
    <row r="602">
      <c r="A602" s="257" t="s">
        <v>29</v>
      </c>
      <c r="B602" s="257" t="s">
        <v>519</v>
      </c>
      <c r="C602" s="261" t="s">
        <v>2329</v>
      </c>
      <c r="D602" s="281" t="s">
        <v>495</v>
      </c>
      <c r="E602" s="260">
        <v>44251.0</v>
      </c>
      <c r="F602" s="258" t="s">
        <v>521</v>
      </c>
      <c r="G602" s="171">
        <v>40.0</v>
      </c>
      <c r="H602" s="171">
        <v>100.0</v>
      </c>
      <c r="I602" s="171">
        <v>80.0</v>
      </c>
      <c r="J602" s="325">
        <f t="shared" si="14"/>
        <v>0.0008832961205</v>
      </c>
      <c r="K602" s="326">
        <f t="shared" si="29"/>
        <v>1.266057773</v>
      </c>
      <c r="L602" s="327">
        <f t="shared" si="4"/>
        <v>2.52480455</v>
      </c>
      <c r="M602" s="321" t="str">
        <f t="shared" si="5"/>
        <v>jeffemmett</v>
      </c>
      <c r="N602" s="176">
        <f>IFERROR(__xludf.DUMMYFUNCTION("""COMPUTED_VALUE"""),4.0)</f>
        <v>4</v>
      </c>
      <c r="O602" s="176"/>
      <c r="P602" s="176"/>
      <c r="Q602" s="176"/>
      <c r="R602" s="176"/>
      <c r="S602" s="176"/>
      <c r="T602" s="176"/>
      <c r="U602" s="176"/>
      <c r="V602" s="176"/>
      <c r="W602" s="176"/>
      <c r="X602" s="176"/>
      <c r="Y602" s="176"/>
      <c r="Z602" s="176"/>
    </row>
    <row r="603">
      <c r="A603" s="257" t="s">
        <v>29</v>
      </c>
      <c r="B603" s="257" t="s">
        <v>10</v>
      </c>
      <c r="C603" s="261" t="s">
        <v>500</v>
      </c>
      <c r="D603" s="281" t="s">
        <v>495</v>
      </c>
      <c r="E603" s="260">
        <v>44253.0</v>
      </c>
      <c r="F603" s="258" t="s">
        <v>496</v>
      </c>
      <c r="G603" s="171">
        <v>20.0</v>
      </c>
      <c r="H603" s="171">
        <v>100.0</v>
      </c>
      <c r="I603" s="171">
        <v>20.0</v>
      </c>
      <c r="J603" s="325">
        <f t="shared" si="14"/>
        <v>0.0004528511394</v>
      </c>
      <c r="K603" s="326">
        <f t="shared" si="29"/>
        <v>0.6490866332</v>
      </c>
      <c r="L603" s="327">
        <f t="shared" si="4"/>
        <v>2.52480455</v>
      </c>
      <c r="M603" s="321" t="str">
        <f t="shared" si="5"/>
        <v>jeffemmett</v>
      </c>
      <c r="N603" s="176">
        <f>IFERROR(__xludf.DUMMYFUNCTION("""COMPUTED_VALUE"""),5.0)</f>
        <v>5</v>
      </c>
      <c r="O603" s="176"/>
      <c r="P603" s="176"/>
      <c r="Q603" s="176"/>
      <c r="R603" s="176"/>
      <c r="S603" s="176"/>
      <c r="T603" s="176"/>
      <c r="U603" s="176"/>
      <c r="V603" s="176"/>
      <c r="W603" s="176"/>
      <c r="X603" s="176"/>
      <c r="Y603" s="176"/>
      <c r="Z603" s="176"/>
    </row>
    <row r="604">
      <c r="A604" s="257" t="s">
        <v>29</v>
      </c>
      <c r="B604" s="257" t="s">
        <v>10</v>
      </c>
      <c r="C604" s="261" t="s">
        <v>2181</v>
      </c>
      <c r="D604" s="281" t="s">
        <v>495</v>
      </c>
      <c r="E604" s="260">
        <v>44253.0</v>
      </c>
      <c r="F604" s="258" t="s">
        <v>499</v>
      </c>
      <c r="G604" s="171">
        <v>10.0</v>
      </c>
      <c r="H604" s="171">
        <v>40.0</v>
      </c>
      <c r="I604" s="171">
        <v>20.0</v>
      </c>
      <c r="J604" s="325">
        <f t="shared" si="14"/>
        <v>0.0002600240364</v>
      </c>
      <c r="K604" s="326">
        <f t="shared" si="29"/>
        <v>0.3727011189</v>
      </c>
      <c r="L604" s="327">
        <f t="shared" si="4"/>
        <v>2.52480455</v>
      </c>
      <c r="M604" s="321" t="str">
        <f t="shared" si="5"/>
        <v>jeffemmett</v>
      </c>
      <c r="N604" s="176">
        <f>IFERROR(__xludf.DUMMYFUNCTION("""COMPUTED_VALUE"""),6.0)</f>
        <v>6</v>
      </c>
      <c r="O604" s="176"/>
      <c r="P604" s="176"/>
      <c r="Q604" s="176"/>
      <c r="R604" s="176"/>
      <c r="S604" s="176"/>
      <c r="T604" s="176"/>
      <c r="U604" s="176"/>
      <c r="V604" s="176"/>
      <c r="W604" s="176"/>
      <c r="X604" s="176"/>
      <c r="Y604" s="176"/>
      <c r="Z604" s="176"/>
    </row>
    <row r="605">
      <c r="A605" s="257" t="s">
        <v>29</v>
      </c>
      <c r="B605" s="257" t="s">
        <v>10</v>
      </c>
      <c r="C605" s="261" t="s">
        <v>2257</v>
      </c>
      <c r="D605" s="281" t="s">
        <v>495</v>
      </c>
      <c r="E605" s="260">
        <v>44253.0</v>
      </c>
      <c r="F605" s="258" t="s">
        <v>496</v>
      </c>
      <c r="G605" s="171">
        <v>210.0</v>
      </c>
      <c r="H605" s="171">
        <v>200.0</v>
      </c>
      <c r="I605" s="171">
        <v>150.0</v>
      </c>
      <c r="J605" s="325">
        <f t="shared" si="14"/>
        <v>0.00217521245</v>
      </c>
      <c r="K605" s="326">
        <f t="shared" si="29"/>
        <v>3.117804512</v>
      </c>
      <c r="L605" s="327">
        <f t="shared" si="4"/>
        <v>2.52480455</v>
      </c>
      <c r="M605" s="321" t="str">
        <f t="shared" si="5"/>
        <v>jeffemmett</v>
      </c>
      <c r="N605" s="176">
        <f>IFERROR(__xludf.DUMMYFUNCTION("""COMPUTED_VALUE"""),7.0)</f>
        <v>7</v>
      </c>
      <c r="O605" s="176"/>
      <c r="P605" s="176"/>
      <c r="Q605" s="176"/>
      <c r="R605" s="176"/>
      <c r="S605" s="176"/>
      <c r="T605" s="176"/>
      <c r="U605" s="176"/>
      <c r="V605" s="176"/>
      <c r="W605" s="176"/>
      <c r="X605" s="176"/>
      <c r="Y605" s="176"/>
      <c r="Z605" s="176"/>
    </row>
    <row r="606">
      <c r="A606" s="257" t="s">
        <v>29</v>
      </c>
      <c r="B606" s="257" t="s">
        <v>10</v>
      </c>
      <c r="C606" s="261" t="s">
        <v>2247</v>
      </c>
      <c r="D606" s="281" t="s">
        <v>495</v>
      </c>
      <c r="E606" s="260">
        <v>44253.0</v>
      </c>
      <c r="F606" s="258" t="s">
        <v>496</v>
      </c>
      <c r="G606" s="171">
        <v>150.0</v>
      </c>
      <c r="H606" s="171">
        <v>200.0</v>
      </c>
      <c r="I606" s="171">
        <v>80.0</v>
      </c>
      <c r="J606" s="325">
        <f t="shared" si="14"/>
        <v>0.001540927353</v>
      </c>
      <c r="K606" s="326">
        <f t="shared" si="29"/>
        <v>2.20866254</v>
      </c>
      <c r="L606" s="327">
        <f t="shared" si="4"/>
        <v>2.52480455</v>
      </c>
      <c r="M606" s="321" t="str">
        <f t="shared" si="5"/>
        <v>jeffemmett</v>
      </c>
      <c r="N606" s="176">
        <f>IFERROR(__xludf.DUMMYFUNCTION("""COMPUTED_VALUE"""),8.0)</f>
        <v>8</v>
      </c>
      <c r="O606" s="176"/>
      <c r="P606" s="176"/>
      <c r="Q606" s="176"/>
      <c r="R606" s="176"/>
      <c r="S606" s="176"/>
      <c r="T606" s="176"/>
      <c r="U606" s="176"/>
      <c r="V606" s="176"/>
      <c r="W606" s="176"/>
      <c r="X606" s="176"/>
      <c r="Y606" s="176"/>
      <c r="Z606" s="176"/>
    </row>
    <row r="607">
      <c r="A607" s="280" t="s">
        <v>29</v>
      </c>
      <c r="B607" s="276" t="s">
        <v>2163</v>
      </c>
      <c r="C607" s="277" t="s">
        <v>2474</v>
      </c>
      <c r="D607" s="278" t="s">
        <v>499</v>
      </c>
      <c r="E607" s="350" t="s">
        <v>2183</v>
      </c>
      <c r="F607" s="278" t="s">
        <v>1646</v>
      </c>
      <c r="G607" s="171">
        <v>1.0</v>
      </c>
      <c r="H607" s="171">
        <v>10.0</v>
      </c>
      <c r="I607" s="171">
        <v>10.0</v>
      </c>
      <c r="J607" s="172">
        <f t="shared" si="14"/>
        <v>0.00008946784951</v>
      </c>
      <c r="K607" s="269">
        <f t="shared" si="29"/>
        <v>0.128237251</v>
      </c>
      <c r="L607" s="270">
        <f t="shared" si="4"/>
        <v>2.52480455</v>
      </c>
      <c r="M607" s="271" t="str">
        <f t="shared" si="5"/>
        <v>jeffemmett</v>
      </c>
      <c r="N607" s="176">
        <f>IFERROR(__xludf.DUMMYFUNCTION("""COMPUTED_VALUE"""),9.0)</f>
        <v>9</v>
      </c>
      <c r="O607" s="176"/>
      <c r="P607" s="176"/>
      <c r="Q607" s="176"/>
      <c r="R607" s="176"/>
      <c r="S607" s="176"/>
      <c r="T607" s="176"/>
      <c r="U607" s="176"/>
      <c r="V607" s="176"/>
      <c r="W607" s="176"/>
      <c r="X607" s="176"/>
      <c r="Y607" s="176"/>
      <c r="Z607" s="176"/>
    </row>
    <row r="608">
      <c r="A608" s="280" t="s">
        <v>29</v>
      </c>
      <c r="B608" s="276" t="s">
        <v>590</v>
      </c>
      <c r="C608" s="277" t="s">
        <v>2475</v>
      </c>
      <c r="D608" s="278" t="s">
        <v>499</v>
      </c>
      <c r="E608" s="350" t="s">
        <v>2245</v>
      </c>
      <c r="F608" s="278" t="s">
        <v>1646</v>
      </c>
      <c r="G608" s="171">
        <v>300.0</v>
      </c>
      <c r="H608" s="171">
        <v>500.0</v>
      </c>
      <c r="I608" s="171">
        <v>200.0</v>
      </c>
      <c r="J608" s="172">
        <f t="shared" si="14"/>
        <v>0.003582115298</v>
      </c>
      <c r="K608" s="269">
        <f t="shared" si="29"/>
        <v>5.134365261</v>
      </c>
      <c r="L608" s="270">
        <f t="shared" si="4"/>
        <v>2.52480455</v>
      </c>
      <c r="M608" s="271" t="str">
        <f t="shared" si="5"/>
        <v>jeffemmett</v>
      </c>
      <c r="N608" s="176">
        <f>IFERROR(__xludf.DUMMYFUNCTION("""COMPUTED_VALUE"""),10.0)</f>
        <v>10</v>
      </c>
      <c r="O608" s="176"/>
      <c r="P608" s="176"/>
      <c r="Q608" s="176"/>
      <c r="R608" s="176"/>
      <c r="S608" s="176"/>
      <c r="T608" s="176"/>
      <c r="U608" s="176"/>
      <c r="V608" s="176"/>
      <c r="W608" s="176"/>
      <c r="X608" s="176"/>
      <c r="Y608" s="176"/>
      <c r="Z608" s="176"/>
    </row>
    <row r="609">
      <c r="A609" s="257" t="s">
        <v>54</v>
      </c>
      <c r="B609" s="257" t="s">
        <v>10</v>
      </c>
      <c r="C609" s="261" t="s">
        <v>498</v>
      </c>
      <c r="D609" s="281" t="s">
        <v>495</v>
      </c>
      <c r="E609" s="260">
        <v>44246.0</v>
      </c>
      <c r="F609" s="258" t="s">
        <v>499</v>
      </c>
      <c r="G609" s="171">
        <v>10.0</v>
      </c>
      <c r="H609" s="171">
        <v>20.0</v>
      </c>
      <c r="I609" s="171">
        <v>20.0</v>
      </c>
      <c r="J609" s="325">
        <f t="shared" si="14"/>
        <v>0.0002077573614</v>
      </c>
      <c r="K609" s="326">
        <f t="shared" si="29"/>
        <v>0.2977855513</v>
      </c>
      <c r="L609" s="327">
        <f t="shared" si="4"/>
        <v>2.457199978</v>
      </c>
      <c r="M609" s="321" t="str">
        <f t="shared" si="5"/>
        <v>hbesso31</v>
      </c>
      <c r="N609" s="176">
        <f>IFERROR(__xludf.DUMMYFUNCTION("""COMPUTED_VALUE"""),1.0)</f>
        <v>1</v>
      </c>
      <c r="O609" s="176"/>
      <c r="P609" s="176"/>
      <c r="Q609" s="176"/>
      <c r="R609" s="176"/>
      <c r="S609" s="176"/>
      <c r="T609" s="176"/>
      <c r="U609" s="176"/>
      <c r="V609" s="176"/>
      <c r="W609" s="176"/>
      <c r="X609" s="176"/>
      <c r="Y609" s="176"/>
      <c r="Z609" s="176"/>
    </row>
    <row r="610">
      <c r="A610" s="257" t="s">
        <v>54</v>
      </c>
      <c r="B610" s="257" t="s">
        <v>10</v>
      </c>
      <c r="C610" s="261" t="s">
        <v>500</v>
      </c>
      <c r="D610" s="281" t="s">
        <v>495</v>
      </c>
      <c r="E610" s="260">
        <v>44246.0</v>
      </c>
      <c r="F610" s="258" t="s">
        <v>545</v>
      </c>
      <c r="G610" s="171">
        <v>20.0</v>
      </c>
      <c r="H610" s="171">
        <v>20.0</v>
      </c>
      <c r="I610" s="171">
        <v>20.0</v>
      </c>
      <c r="J610" s="325">
        <f t="shared" si="14"/>
        <v>0.0002437844393</v>
      </c>
      <c r="K610" s="326">
        <f t="shared" si="29"/>
        <v>0.349424363</v>
      </c>
      <c r="L610" s="327">
        <f t="shared" si="4"/>
        <v>2.457199978</v>
      </c>
      <c r="M610" s="321" t="str">
        <f t="shared" si="5"/>
        <v>hbesso31</v>
      </c>
      <c r="N610" s="176">
        <f>IFERROR(__xludf.DUMMYFUNCTION("""COMPUTED_VALUE"""),2.0)</f>
        <v>2</v>
      </c>
      <c r="O610" s="176"/>
      <c r="P610" s="176"/>
      <c r="Q610" s="176"/>
      <c r="R610" s="176"/>
      <c r="S610" s="176"/>
      <c r="T610" s="176"/>
      <c r="U610" s="176"/>
      <c r="V610" s="176"/>
      <c r="W610" s="176"/>
      <c r="X610" s="176"/>
      <c r="Y610" s="176"/>
      <c r="Z610" s="176"/>
    </row>
    <row r="611">
      <c r="A611" s="257" t="s">
        <v>54</v>
      </c>
      <c r="B611" s="257" t="s">
        <v>18</v>
      </c>
      <c r="C611" s="261" t="s">
        <v>2476</v>
      </c>
      <c r="D611" s="281" t="s">
        <v>495</v>
      </c>
      <c r="E611" s="260">
        <v>44249.0</v>
      </c>
      <c r="F611" s="258" t="s">
        <v>499</v>
      </c>
      <c r="G611" s="171">
        <v>40.0</v>
      </c>
      <c r="H611" s="171">
        <v>100.0</v>
      </c>
      <c r="I611" s="171">
        <v>100.0</v>
      </c>
      <c r="J611" s="325">
        <f t="shared" si="14"/>
        <v>0.001002759729</v>
      </c>
      <c r="K611" s="326">
        <f t="shared" si="29"/>
        <v>1.437288945</v>
      </c>
      <c r="L611" s="327">
        <f t="shared" si="4"/>
        <v>2.457199978</v>
      </c>
      <c r="M611" s="321" t="str">
        <f t="shared" si="5"/>
        <v>hbesso31</v>
      </c>
      <c r="N611" s="176">
        <f>IFERROR(__xludf.DUMMYFUNCTION("""COMPUTED_VALUE"""),3.0)</f>
        <v>3</v>
      </c>
      <c r="O611" s="176"/>
      <c r="P611" s="176"/>
      <c r="Q611" s="176"/>
      <c r="R611" s="176"/>
      <c r="S611" s="176"/>
      <c r="T611" s="176"/>
      <c r="U611" s="176"/>
      <c r="V611" s="176"/>
      <c r="W611" s="176"/>
      <c r="X611" s="176"/>
      <c r="Y611" s="176"/>
      <c r="Z611" s="176"/>
    </row>
    <row r="612">
      <c r="A612" s="257" t="s">
        <v>54</v>
      </c>
      <c r="B612" s="257" t="s">
        <v>10</v>
      </c>
      <c r="C612" s="261" t="s">
        <v>2181</v>
      </c>
      <c r="D612" s="281" t="s">
        <v>495</v>
      </c>
      <c r="E612" s="260">
        <v>44253.0</v>
      </c>
      <c r="F612" s="258" t="s">
        <v>499</v>
      </c>
      <c r="G612" s="171">
        <v>10.0</v>
      </c>
      <c r="H612" s="171">
        <v>40.0</v>
      </c>
      <c r="I612" s="171">
        <v>20.0</v>
      </c>
      <c r="J612" s="325">
        <f t="shared" si="14"/>
        <v>0.0002600240364</v>
      </c>
      <c r="K612" s="326">
        <f t="shared" si="29"/>
        <v>0.3727011189</v>
      </c>
      <c r="L612" s="327">
        <f t="shared" si="4"/>
        <v>2.457199978</v>
      </c>
      <c r="M612" s="321" t="str">
        <f t="shared" si="5"/>
        <v>hbesso31</v>
      </c>
      <c r="N612" s="176">
        <f>IFERROR(__xludf.DUMMYFUNCTION("""COMPUTED_VALUE"""),4.0)</f>
        <v>4</v>
      </c>
      <c r="O612" s="176"/>
      <c r="P612" s="176"/>
      <c r="Q612" s="176"/>
      <c r="R612" s="176"/>
      <c r="S612" s="176"/>
      <c r="T612" s="176"/>
      <c r="U612" s="176"/>
      <c r="V612" s="176"/>
      <c r="W612" s="176"/>
      <c r="X612" s="176"/>
      <c r="Y612" s="176"/>
      <c r="Z612" s="176"/>
    </row>
    <row r="613">
      <c r="A613" s="257" t="s">
        <v>17</v>
      </c>
      <c r="B613" s="257" t="s">
        <v>6</v>
      </c>
      <c r="C613" s="261" t="s">
        <v>2189</v>
      </c>
      <c r="D613" s="281" t="s">
        <v>495</v>
      </c>
      <c r="E613" s="260">
        <v>44243.0</v>
      </c>
      <c r="F613" s="258" t="s">
        <v>496</v>
      </c>
      <c r="G613" s="171">
        <v>140.0</v>
      </c>
      <c r="H613" s="171">
        <v>150.0</v>
      </c>
      <c r="I613" s="171">
        <v>100.0</v>
      </c>
      <c r="J613" s="325">
        <f t="shared" si="14"/>
        <v>0.001493697196</v>
      </c>
      <c r="K613" s="326">
        <f t="shared" si="29"/>
        <v>2.140965981</v>
      </c>
      <c r="L613" s="327">
        <f t="shared" si="4"/>
        <v>2.438751532</v>
      </c>
      <c r="M613" s="321" t="str">
        <f t="shared" si="5"/>
        <v>tonga2020</v>
      </c>
      <c r="N613" s="176">
        <f>IFERROR(__xludf.DUMMYFUNCTION("""COMPUTED_VALUE"""),1.0)</f>
        <v>1</v>
      </c>
      <c r="O613" s="176"/>
      <c r="P613" s="176"/>
      <c r="Q613" s="176"/>
      <c r="R613" s="176"/>
      <c r="S613" s="176"/>
      <c r="T613" s="176"/>
      <c r="U613" s="176"/>
      <c r="V613" s="176"/>
      <c r="W613" s="176"/>
      <c r="X613" s="176"/>
      <c r="Y613" s="176"/>
      <c r="Z613" s="176"/>
    </row>
    <row r="614">
      <c r="A614" s="257" t="s">
        <v>17</v>
      </c>
      <c r="B614" s="257" t="s">
        <v>10</v>
      </c>
      <c r="C614" s="261" t="s">
        <v>498</v>
      </c>
      <c r="D614" s="281" t="s">
        <v>495</v>
      </c>
      <c r="E614" s="260">
        <v>44246.0</v>
      </c>
      <c r="F614" s="258" t="s">
        <v>499</v>
      </c>
      <c r="G614" s="171">
        <v>10.0</v>
      </c>
      <c r="H614" s="171">
        <v>20.0</v>
      </c>
      <c r="I614" s="171">
        <v>20.0</v>
      </c>
      <c r="J614" s="325">
        <f t="shared" si="14"/>
        <v>0.0002077573614</v>
      </c>
      <c r="K614" s="326">
        <f t="shared" si="29"/>
        <v>0.2977855513</v>
      </c>
      <c r="L614" s="327">
        <f t="shared" si="4"/>
        <v>2.438751532</v>
      </c>
      <c r="M614" s="321" t="str">
        <f t="shared" si="5"/>
        <v>tonga2020</v>
      </c>
      <c r="N614" s="176">
        <f>IFERROR(__xludf.DUMMYFUNCTION("""COMPUTED_VALUE"""),2.0)</f>
        <v>2</v>
      </c>
      <c r="O614" s="176"/>
      <c r="P614" s="176"/>
      <c r="Q614" s="176"/>
      <c r="R614" s="176"/>
      <c r="S614" s="176"/>
      <c r="T614" s="176"/>
      <c r="U614" s="176"/>
      <c r="V614" s="176"/>
      <c r="W614" s="176"/>
      <c r="X614" s="176"/>
      <c r="Y614" s="176"/>
      <c r="Z614" s="176"/>
    </row>
    <row r="615">
      <c r="A615" s="280" t="s">
        <v>2477</v>
      </c>
      <c r="B615" s="276" t="s">
        <v>2163</v>
      </c>
      <c r="C615" s="277" t="s">
        <v>2478</v>
      </c>
      <c r="D615" s="278" t="s">
        <v>499</v>
      </c>
      <c r="E615" s="350" t="s">
        <v>2305</v>
      </c>
      <c r="F615" s="278" t="s">
        <v>1646</v>
      </c>
      <c r="G615" s="171">
        <v>60.0</v>
      </c>
      <c r="H615" s="171">
        <v>200.0</v>
      </c>
      <c r="I615" s="171">
        <v>150.0</v>
      </c>
      <c r="J615" s="172">
        <f t="shared" si="14"/>
        <v>0.001634806281</v>
      </c>
      <c r="K615" s="269">
        <f t="shared" si="29"/>
        <v>2.343222336</v>
      </c>
      <c r="L615" s="270">
        <f t="shared" si="4"/>
        <v>2.343222336</v>
      </c>
      <c r="M615" s="271" t="str">
        <f t="shared" si="5"/>
        <v>Boring877</v>
      </c>
      <c r="N615" s="176">
        <f>IFERROR(__xludf.DUMMYFUNCTION("""COMPUTED_VALUE"""),1.0)</f>
        <v>1</v>
      </c>
      <c r="O615" s="176"/>
      <c r="P615" s="176"/>
      <c r="Q615" s="176"/>
      <c r="R615" s="176"/>
      <c r="S615" s="176"/>
      <c r="T615" s="176"/>
      <c r="U615" s="176"/>
      <c r="V615" s="176"/>
      <c r="W615" s="176"/>
      <c r="X615" s="176"/>
      <c r="Y615" s="176"/>
      <c r="Z615" s="176"/>
    </row>
    <row r="616">
      <c r="A616" s="257" t="s">
        <v>145</v>
      </c>
      <c r="B616" s="257" t="s">
        <v>10</v>
      </c>
      <c r="C616" s="261" t="s">
        <v>2247</v>
      </c>
      <c r="D616" s="281" t="s">
        <v>495</v>
      </c>
      <c r="E616" s="260">
        <v>44253.0</v>
      </c>
      <c r="F616" s="258" t="s">
        <v>496</v>
      </c>
      <c r="G616" s="171">
        <v>150.0</v>
      </c>
      <c r="H616" s="171">
        <v>200.0</v>
      </c>
      <c r="I616" s="171">
        <v>80.0</v>
      </c>
      <c r="J616" s="325">
        <f t="shared" si="14"/>
        <v>0.001540927353</v>
      </c>
      <c r="K616" s="326">
        <f t="shared" si="29"/>
        <v>2.20866254</v>
      </c>
      <c r="L616" s="327">
        <f t="shared" si="4"/>
        <v>2.20866254</v>
      </c>
      <c r="M616" s="321" t="str">
        <f t="shared" si="5"/>
        <v>brutalfluffy</v>
      </c>
      <c r="N616" s="176">
        <f>IFERROR(__xludf.DUMMYFUNCTION("""COMPUTED_VALUE"""),1.0)</f>
        <v>1</v>
      </c>
      <c r="O616" s="176"/>
      <c r="P616" s="176"/>
      <c r="Q616" s="176"/>
      <c r="R616" s="176"/>
      <c r="S616" s="176"/>
      <c r="T616" s="176"/>
      <c r="U616" s="176"/>
      <c r="V616" s="176"/>
      <c r="W616" s="176"/>
      <c r="X616" s="176"/>
      <c r="Y616" s="176"/>
      <c r="Z616" s="176"/>
    </row>
    <row r="617">
      <c r="A617" s="257" t="s">
        <v>188</v>
      </c>
      <c r="B617" s="257" t="s">
        <v>10</v>
      </c>
      <c r="C617" s="261" t="s">
        <v>2247</v>
      </c>
      <c r="D617" s="281" t="s">
        <v>495</v>
      </c>
      <c r="E617" s="260">
        <v>44253.0</v>
      </c>
      <c r="F617" s="258" t="s">
        <v>496</v>
      </c>
      <c r="G617" s="171">
        <v>150.0</v>
      </c>
      <c r="H617" s="171">
        <v>200.0</v>
      </c>
      <c r="I617" s="171">
        <v>80.0</v>
      </c>
      <c r="J617" s="325">
        <f t="shared" si="14"/>
        <v>0.001540927353</v>
      </c>
      <c r="K617" s="326">
        <f t="shared" si="29"/>
        <v>2.20866254</v>
      </c>
      <c r="L617" s="327">
        <f t="shared" si="4"/>
        <v>2.20866254</v>
      </c>
      <c r="M617" s="321" t="str">
        <f t="shared" si="5"/>
        <v>codersinblack</v>
      </c>
      <c r="N617" s="176">
        <f>IFERROR(__xludf.DUMMYFUNCTION("""COMPUTED_VALUE"""),1.0)</f>
        <v>1</v>
      </c>
      <c r="O617" s="176"/>
      <c r="P617" s="176"/>
      <c r="Q617" s="176"/>
      <c r="R617" s="176"/>
      <c r="S617" s="176"/>
      <c r="T617" s="176"/>
      <c r="U617" s="176"/>
      <c r="V617" s="176"/>
      <c r="W617" s="176"/>
      <c r="X617" s="176"/>
      <c r="Y617" s="176"/>
      <c r="Z617" s="176"/>
    </row>
    <row r="618">
      <c r="A618" s="257" t="s">
        <v>127</v>
      </c>
      <c r="B618" s="257" t="s">
        <v>10</v>
      </c>
      <c r="C618" s="261" t="s">
        <v>2247</v>
      </c>
      <c r="D618" s="281" t="s">
        <v>495</v>
      </c>
      <c r="E618" s="260">
        <v>44253.0</v>
      </c>
      <c r="F618" s="258" t="s">
        <v>496</v>
      </c>
      <c r="G618" s="171">
        <v>150.0</v>
      </c>
      <c r="H618" s="171">
        <v>200.0</v>
      </c>
      <c r="I618" s="171">
        <v>80.0</v>
      </c>
      <c r="J618" s="325">
        <f t="shared" si="14"/>
        <v>0.001540927353</v>
      </c>
      <c r="K618" s="326">
        <f t="shared" si="29"/>
        <v>2.20866254</v>
      </c>
      <c r="L618" s="327">
        <f t="shared" si="4"/>
        <v>2.20866254</v>
      </c>
      <c r="M618" s="321" t="str">
        <f t="shared" si="5"/>
        <v>crypt0dawg</v>
      </c>
      <c r="N618" s="176">
        <f>IFERROR(__xludf.DUMMYFUNCTION("""COMPUTED_VALUE"""),1.0)</f>
        <v>1</v>
      </c>
      <c r="O618" s="176"/>
      <c r="P618" s="176"/>
      <c r="Q618" s="176"/>
      <c r="R618" s="176"/>
      <c r="S618" s="176"/>
      <c r="T618" s="176"/>
      <c r="U618" s="176"/>
      <c r="V618" s="176"/>
      <c r="W618" s="176"/>
      <c r="X618" s="176"/>
      <c r="Y618" s="176"/>
      <c r="Z618" s="176"/>
    </row>
    <row r="619">
      <c r="A619" s="257" t="s">
        <v>115</v>
      </c>
      <c r="B619" s="257" t="s">
        <v>10</v>
      </c>
      <c r="C619" s="261" t="s">
        <v>2247</v>
      </c>
      <c r="D619" s="281" t="s">
        <v>495</v>
      </c>
      <c r="E619" s="260">
        <v>44253.0</v>
      </c>
      <c r="F619" s="258" t="s">
        <v>496</v>
      </c>
      <c r="G619" s="171">
        <v>150.0</v>
      </c>
      <c r="H619" s="171">
        <v>200.0</v>
      </c>
      <c r="I619" s="171">
        <v>80.0</v>
      </c>
      <c r="J619" s="325">
        <f t="shared" si="14"/>
        <v>0.001540927353</v>
      </c>
      <c r="K619" s="326">
        <f t="shared" si="29"/>
        <v>2.20866254</v>
      </c>
      <c r="L619" s="327">
        <f t="shared" si="4"/>
        <v>2.20866254</v>
      </c>
      <c r="M619" s="321" t="str">
        <f t="shared" si="5"/>
        <v>freddbomba</v>
      </c>
      <c r="N619" s="176">
        <f>IFERROR(__xludf.DUMMYFUNCTION("""COMPUTED_VALUE"""),1.0)</f>
        <v>1</v>
      </c>
      <c r="O619" s="176"/>
      <c r="P619" s="176"/>
      <c r="Q619" s="176"/>
      <c r="R619" s="176"/>
      <c r="S619" s="176"/>
      <c r="T619" s="176"/>
      <c r="U619" s="176"/>
      <c r="V619" s="176"/>
      <c r="W619" s="176"/>
      <c r="X619" s="176"/>
      <c r="Y619" s="176"/>
      <c r="Z619" s="176"/>
    </row>
    <row r="620">
      <c r="A620" s="257" t="s">
        <v>199</v>
      </c>
      <c r="B620" s="257" t="s">
        <v>10</v>
      </c>
      <c r="C620" s="261" t="s">
        <v>2247</v>
      </c>
      <c r="D620" s="281" t="s">
        <v>495</v>
      </c>
      <c r="E620" s="260">
        <v>44253.0</v>
      </c>
      <c r="F620" s="258" t="s">
        <v>496</v>
      </c>
      <c r="G620" s="171">
        <v>150.0</v>
      </c>
      <c r="H620" s="171">
        <v>200.0</v>
      </c>
      <c r="I620" s="171">
        <v>80.0</v>
      </c>
      <c r="J620" s="325">
        <f t="shared" si="14"/>
        <v>0.001540927353</v>
      </c>
      <c r="K620" s="326">
        <f t="shared" si="29"/>
        <v>2.20866254</v>
      </c>
      <c r="L620" s="327">
        <f t="shared" si="4"/>
        <v>2.20866254</v>
      </c>
      <c r="M620" s="321" t="str">
        <f t="shared" si="5"/>
        <v>jodisattva</v>
      </c>
      <c r="N620" s="176">
        <f>IFERROR(__xludf.DUMMYFUNCTION("""COMPUTED_VALUE"""),1.0)</f>
        <v>1</v>
      </c>
      <c r="O620" s="176"/>
      <c r="P620" s="176"/>
      <c r="Q620" s="176"/>
      <c r="R620" s="176"/>
      <c r="S620" s="176"/>
      <c r="T620" s="176"/>
      <c r="U620" s="176"/>
      <c r="V620" s="176"/>
      <c r="W620" s="176"/>
      <c r="X620" s="176"/>
      <c r="Y620" s="176"/>
      <c r="Z620" s="176"/>
    </row>
    <row r="621">
      <c r="A621" s="257" t="s">
        <v>124</v>
      </c>
      <c r="B621" s="257" t="s">
        <v>10</v>
      </c>
      <c r="C621" s="261" t="s">
        <v>2247</v>
      </c>
      <c r="D621" s="281" t="s">
        <v>495</v>
      </c>
      <c r="E621" s="260">
        <v>44253.0</v>
      </c>
      <c r="F621" s="258" t="s">
        <v>496</v>
      </c>
      <c r="G621" s="171">
        <v>150.0</v>
      </c>
      <c r="H621" s="171">
        <v>200.0</v>
      </c>
      <c r="I621" s="171">
        <v>80.0</v>
      </c>
      <c r="J621" s="325">
        <f t="shared" si="14"/>
        <v>0.001540927353</v>
      </c>
      <c r="K621" s="326">
        <f t="shared" si="29"/>
        <v>2.20866254</v>
      </c>
      <c r="L621" s="327">
        <f t="shared" si="4"/>
        <v>2.20866254</v>
      </c>
      <c r="M621" s="321" t="str">
        <f t="shared" si="5"/>
        <v>juliet_myea</v>
      </c>
      <c r="N621" s="176">
        <f>IFERROR(__xludf.DUMMYFUNCTION("""COMPUTED_VALUE"""),1.0)</f>
        <v>1</v>
      </c>
      <c r="O621" s="176"/>
      <c r="P621" s="176"/>
      <c r="Q621" s="176"/>
      <c r="R621" s="176"/>
      <c r="S621" s="176"/>
      <c r="T621" s="176"/>
      <c r="U621" s="176"/>
      <c r="V621" s="176"/>
      <c r="W621" s="176"/>
      <c r="X621" s="176"/>
      <c r="Y621" s="176"/>
      <c r="Z621" s="176"/>
    </row>
    <row r="622">
      <c r="A622" s="257" t="s">
        <v>123</v>
      </c>
      <c r="B622" s="257" t="s">
        <v>10</v>
      </c>
      <c r="C622" s="261" t="s">
        <v>2247</v>
      </c>
      <c r="D622" s="281" t="s">
        <v>495</v>
      </c>
      <c r="E622" s="260">
        <v>44253.0</v>
      </c>
      <c r="F622" s="258" t="s">
        <v>496</v>
      </c>
      <c r="G622" s="171">
        <v>150.0</v>
      </c>
      <c r="H622" s="171">
        <v>200.0</v>
      </c>
      <c r="I622" s="171">
        <v>80.0</v>
      </c>
      <c r="J622" s="325">
        <f t="shared" si="14"/>
        <v>0.001540927353</v>
      </c>
      <c r="K622" s="326">
        <f t="shared" si="29"/>
        <v>2.20866254</v>
      </c>
      <c r="L622" s="327">
        <f t="shared" si="4"/>
        <v>2.20866254</v>
      </c>
      <c r="M622" s="321" t="str">
        <f t="shared" si="5"/>
        <v>lbagic</v>
      </c>
      <c r="N622" s="176">
        <f>IFERROR(__xludf.DUMMYFUNCTION("""COMPUTED_VALUE"""),1.0)</f>
        <v>1</v>
      </c>
      <c r="O622" s="176"/>
      <c r="P622" s="176"/>
      <c r="Q622" s="176"/>
      <c r="R622" s="176"/>
      <c r="S622" s="176"/>
      <c r="T622" s="176"/>
      <c r="U622" s="176"/>
      <c r="V622" s="176"/>
      <c r="W622" s="176"/>
      <c r="X622" s="176"/>
      <c r="Y622" s="176"/>
      <c r="Z622" s="176"/>
    </row>
    <row r="623">
      <c r="A623" s="257" t="s">
        <v>198</v>
      </c>
      <c r="B623" s="257" t="s">
        <v>10</v>
      </c>
      <c r="C623" s="261" t="s">
        <v>2247</v>
      </c>
      <c r="D623" s="281" t="s">
        <v>495</v>
      </c>
      <c r="E623" s="260">
        <v>44253.0</v>
      </c>
      <c r="F623" s="258" t="s">
        <v>496</v>
      </c>
      <c r="G623" s="171">
        <v>150.0</v>
      </c>
      <c r="H623" s="171">
        <v>200.0</v>
      </c>
      <c r="I623" s="171">
        <v>80.0</v>
      </c>
      <c r="J623" s="325">
        <f t="shared" si="14"/>
        <v>0.001540927353</v>
      </c>
      <c r="K623" s="326">
        <f t="shared" si="29"/>
        <v>2.20866254</v>
      </c>
      <c r="L623" s="327">
        <f t="shared" si="4"/>
        <v>2.20866254</v>
      </c>
      <c r="M623" s="321" t="str">
        <f t="shared" si="5"/>
        <v>nyanncatt</v>
      </c>
      <c r="N623" s="176">
        <f>IFERROR(__xludf.DUMMYFUNCTION("""COMPUTED_VALUE"""),1.0)</f>
        <v>1</v>
      </c>
      <c r="O623" s="176"/>
      <c r="P623" s="176"/>
      <c r="Q623" s="176"/>
      <c r="R623" s="176"/>
      <c r="S623" s="176"/>
      <c r="T623" s="176"/>
      <c r="U623" s="176"/>
      <c r="V623" s="176"/>
      <c r="W623" s="176"/>
      <c r="X623" s="176"/>
      <c r="Y623" s="176"/>
      <c r="Z623" s="176"/>
    </row>
    <row r="624">
      <c r="A624" s="257" t="s">
        <v>52</v>
      </c>
      <c r="B624" s="257" t="s">
        <v>10</v>
      </c>
      <c r="C624" s="261" t="s">
        <v>2247</v>
      </c>
      <c r="D624" s="281" t="s">
        <v>495</v>
      </c>
      <c r="E624" s="260">
        <v>44253.0</v>
      </c>
      <c r="F624" s="258" t="s">
        <v>496</v>
      </c>
      <c r="G624" s="171">
        <v>150.0</v>
      </c>
      <c r="H624" s="171">
        <v>200.0</v>
      </c>
      <c r="I624" s="171">
        <v>80.0</v>
      </c>
      <c r="J624" s="325">
        <f t="shared" si="14"/>
        <v>0.001540927353</v>
      </c>
      <c r="K624" s="326">
        <f t="shared" si="29"/>
        <v>2.20866254</v>
      </c>
      <c r="L624" s="327">
        <f t="shared" si="4"/>
        <v>2.20866254</v>
      </c>
      <c r="M624" s="321" t="str">
        <f t="shared" si="5"/>
        <v>randomshinichi</v>
      </c>
      <c r="N624" s="176">
        <f>IFERROR(__xludf.DUMMYFUNCTION("""COMPUTED_VALUE"""),1.0)</f>
        <v>1</v>
      </c>
      <c r="O624" s="176"/>
      <c r="P624" s="176"/>
      <c r="Q624" s="176"/>
      <c r="R624" s="176"/>
      <c r="S624" s="176"/>
      <c r="T624" s="176"/>
      <c r="U624" s="176"/>
      <c r="V624" s="176"/>
      <c r="W624" s="176"/>
      <c r="X624" s="176"/>
      <c r="Y624" s="176"/>
      <c r="Z624" s="176"/>
    </row>
    <row r="625">
      <c r="A625" s="257" t="s">
        <v>143</v>
      </c>
      <c r="B625" s="257" t="s">
        <v>10</v>
      </c>
      <c r="C625" s="261" t="s">
        <v>2247</v>
      </c>
      <c r="D625" s="281" t="s">
        <v>495</v>
      </c>
      <c r="E625" s="260">
        <v>44253.0</v>
      </c>
      <c r="F625" s="258" t="s">
        <v>496</v>
      </c>
      <c r="G625" s="171">
        <v>150.0</v>
      </c>
      <c r="H625" s="171">
        <v>200.0</v>
      </c>
      <c r="I625" s="171">
        <v>80.0</v>
      </c>
      <c r="J625" s="325">
        <f t="shared" si="14"/>
        <v>0.001540927353</v>
      </c>
      <c r="K625" s="326">
        <f t="shared" si="29"/>
        <v>2.20866254</v>
      </c>
      <c r="L625" s="327">
        <f t="shared" si="4"/>
        <v>2.20866254</v>
      </c>
      <c r="M625" s="321" t="str">
        <f t="shared" si="5"/>
        <v>rpp63</v>
      </c>
      <c r="N625" s="176">
        <f>IFERROR(__xludf.DUMMYFUNCTION("""COMPUTED_VALUE"""),1.0)</f>
        <v>1</v>
      </c>
      <c r="O625" s="176"/>
      <c r="P625" s="176"/>
      <c r="Q625" s="176"/>
      <c r="R625" s="176"/>
      <c r="S625" s="176"/>
      <c r="T625" s="176"/>
      <c r="U625" s="176"/>
      <c r="V625" s="176"/>
      <c r="W625" s="176"/>
      <c r="X625" s="176"/>
      <c r="Y625" s="176"/>
      <c r="Z625" s="176"/>
    </row>
    <row r="626">
      <c r="A626" s="257" t="s">
        <v>111</v>
      </c>
      <c r="B626" s="257" t="s">
        <v>10</v>
      </c>
      <c r="C626" s="261" t="s">
        <v>2247</v>
      </c>
      <c r="D626" s="281" t="s">
        <v>495</v>
      </c>
      <c r="E626" s="260">
        <v>44253.0</v>
      </c>
      <c r="F626" s="258" t="s">
        <v>496</v>
      </c>
      <c r="G626" s="171">
        <v>150.0</v>
      </c>
      <c r="H626" s="171">
        <v>200.0</v>
      </c>
      <c r="I626" s="171">
        <v>80.0</v>
      </c>
      <c r="J626" s="325">
        <f t="shared" si="14"/>
        <v>0.001540927353</v>
      </c>
      <c r="K626" s="326">
        <f t="shared" si="29"/>
        <v>2.20866254</v>
      </c>
      <c r="L626" s="327">
        <f t="shared" si="4"/>
        <v>2.20866254</v>
      </c>
      <c r="M626" s="321" t="str">
        <f t="shared" si="5"/>
        <v>simunstrukan</v>
      </c>
      <c r="N626" s="176">
        <f>IFERROR(__xludf.DUMMYFUNCTION("""COMPUTED_VALUE"""),1.0)</f>
        <v>1</v>
      </c>
      <c r="O626" s="176"/>
      <c r="P626" s="176"/>
      <c r="Q626" s="176"/>
      <c r="R626" s="176"/>
      <c r="S626" s="176"/>
      <c r="T626" s="176"/>
      <c r="U626" s="176"/>
      <c r="V626" s="176"/>
      <c r="W626" s="176"/>
      <c r="X626" s="176"/>
      <c r="Y626" s="176"/>
      <c r="Z626" s="176"/>
    </row>
    <row r="627">
      <c r="A627" s="257" t="s">
        <v>197</v>
      </c>
      <c r="B627" s="257" t="s">
        <v>10</v>
      </c>
      <c r="C627" s="261" t="s">
        <v>2247</v>
      </c>
      <c r="D627" s="281" t="s">
        <v>495</v>
      </c>
      <c r="E627" s="260">
        <v>44253.0</v>
      </c>
      <c r="F627" s="258" t="s">
        <v>496</v>
      </c>
      <c r="G627" s="171">
        <v>150.0</v>
      </c>
      <c r="H627" s="171">
        <v>200.0</v>
      </c>
      <c r="I627" s="171">
        <v>80.0</v>
      </c>
      <c r="J627" s="325">
        <f t="shared" si="14"/>
        <v>0.001540927353</v>
      </c>
      <c r="K627" s="326">
        <f t="shared" si="29"/>
        <v>2.20866254</v>
      </c>
      <c r="L627" s="327">
        <f t="shared" si="4"/>
        <v>2.20866254</v>
      </c>
      <c r="M627" s="321" t="str">
        <f t="shared" si="5"/>
        <v>tawhuac</v>
      </c>
      <c r="N627" s="176">
        <f>IFERROR(__xludf.DUMMYFUNCTION("""COMPUTED_VALUE"""),1.0)</f>
        <v>1</v>
      </c>
      <c r="O627" s="176"/>
      <c r="P627" s="176"/>
      <c r="Q627" s="176"/>
      <c r="R627" s="176"/>
      <c r="S627" s="176"/>
      <c r="T627" s="176"/>
      <c r="U627" s="176"/>
      <c r="V627" s="176"/>
      <c r="W627" s="176"/>
      <c r="X627" s="176"/>
      <c r="Y627" s="176"/>
      <c r="Z627" s="176"/>
    </row>
    <row r="628">
      <c r="A628" s="257" t="s">
        <v>139</v>
      </c>
      <c r="B628" s="257" t="s">
        <v>10</v>
      </c>
      <c r="C628" s="261" t="s">
        <v>2247</v>
      </c>
      <c r="D628" s="281" t="s">
        <v>495</v>
      </c>
      <c r="E628" s="260">
        <v>44253.0</v>
      </c>
      <c r="F628" s="258" t="s">
        <v>496</v>
      </c>
      <c r="G628" s="171">
        <v>150.0</v>
      </c>
      <c r="H628" s="171">
        <v>200.0</v>
      </c>
      <c r="I628" s="171">
        <v>80.0</v>
      </c>
      <c r="J628" s="325">
        <f t="shared" si="14"/>
        <v>0.001540927353</v>
      </c>
      <c r="K628" s="326">
        <f t="shared" si="29"/>
        <v>2.20866254</v>
      </c>
      <c r="L628" s="327">
        <f t="shared" si="4"/>
        <v>2.20866254</v>
      </c>
      <c r="M628" s="321" t="str">
        <f t="shared" si="5"/>
        <v>tjayrush</v>
      </c>
      <c r="N628" s="176">
        <f>IFERROR(__xludf.DUMMYFUNCTION("""COMPUTED_VALUE"""),1.0)</f>
        <v>1</v>
      </c>
      <c r="O628" s="176"/>
      <c r="P628" s="176"/>
      <c r="Q628" s="176"/>
      <c r="R628" s="176"/>
      <c r="S628" s="176"/>
      <c r="T628" s="176"/>
      <c r="U628" s="176"/>
      <c r="V628" s="176"/>
      <c r="W628" s="176"/>
      <c r="X628" s="176"/>
      <c r="Y628" s="176"/>
      <c r="Z628" s="176"/>
    </row>
    <row r="629">
      <c r="A629" s="257" t="s">
        <v>108</v>
      </c>
      <c r="B629" s="257" t="s">
        <v>1228</v>
      </c>
      <c r="C629" s="261" t="s">
        <v>2479</v>
      </c>
      <c r="D629" s="281" t="s">
        <v>495</v>
      </c>
      <c r="E629" s="260">
        <v>44244.0</v>
      </c>
      <c r="F629" s="258" t="s">
        <v>496</v>
      </c>
      <c r="G629" s="171">
        <v>40.0</v>
      </c>
      <c r="H629" s="171">
        <v>50.0</v>
      </c>
      <c r="I629" s="171">
        <v>50.0</v>
      </c>
      <c r="J629" s="325">
        <f t="shared" si="14"/>
        <v>0.0005734340204</v>
      </c>
      <c r="K629" s="326">
        <f t="shared" si="29"/>
        <v>0.8219220959</v>
      </c>
      <c r="L629" s="327">
        <f t="shared" si="4"/>
        <v>1.841833129</v>
      </c>
      <c r="M629" s="321" t="str">
        <f t="shared" si="5"/>
        <v>gyalbo</v>
      </c>
      <c r="N629" s="176">
        <f>IFERROR(__xludf.DUMMYFUNCTION("""COMPUTED_VALUE"""),1.0)</f>
        <v>1</v>
      </c>
      <c r="O629" s="176"/>
      <c r="P629" s="176"/>
      <c r="Q629" s="176"/>
      <c r="R629" s="176"/>
      <c r="S629" s="176"/>
      <c r="T629" s="176"/>
      <c r="U629" s="176"/>
      <c r="V629" s="176"/>
      <c r="W629" s="176"/>
      <c r="X629" s="176"/>
      <c r="Y629" s="176"/>
      <c r="Z629" s="176"/>
    </row>
    <row r="630">
      <c r="A630" s="257" t="s">
        <v>108</v>
      </c>
      <c r="B630" s="257" t="s">
        <v>10</v>
      </c>
      <c r="C630" s="261" t="s">
        <v>498</v>
      </c>
      <c r="D630" s="281" t="s">
        <v>495</v>
      </c>
      <c r="E630" s="260">
        <v>44246.0</v>
      </c>
      <c r="F630" s="258" t="s">
        <v>499</v>
      </c>
      <c r="G630" s="171">
        <v>10.0</v>
      </c>
      <c r="H630" s="171">
        <v>20.0</v>
      </c>
      <c r="I630" s="171">
        <v>20.0</v>
      </c>
      <c r="J630" s="325">
        <f t="shared" si="14"/>
        <v>0.0002077573614</v>
      </c>
      <c r="K630" s="326">
        <f t="shared" si="29"/>
        <v>0.2977855513</v>
      </c>
      <c r="L630" s="327">
        <f t="shared" si="4"/>
        <v>1.841833129</v>
      </c>
      <c r="M630" s="321" t="str">
        <f t="shared" si="5"/>
        <v>gyalbo</v>
      </c>
      <c r="N630" s="176">
        <f>IFERROR(__xludf.DUMMYFUNCTION("""COMPUTED_VALUE"""),2.0)</f>
        <v>2</v>
      </c>
      <c r="O630" s="176"/>
      <c r="P630" s="176"/>
      <c r="Q630" s="176"/>
      <c r="R630" s="176"/>
      <c r="S630" s="176"/>
      <c r="T630" s="176"/>
      <c r="U630" s="176"/>
      <c r="V630" s="176"/>
      <c r="W630" s="176"/>
      <c r="X630" s="176"/>
      <c r="Y630" s="176"/>
      <c r="Z630" s="176"/>
    </row>
    <row r="631">
      <c r="A631" s="257" t="s">
        <v>108</v>
      </c>
      <c r="B631" s="257" t="s">
        <v>10</v>
      </c>
      <c r="C631" s="261" t="s">
        <v>500</v>
      </c>
      <c r="D631" s="281" t="s">
        <v>495</v>
      </c>
      <c r="E631" s="260">
        <v>44246.0</v>
      </c>
      <c r="F631" s="258" t="s">
        <v>545</v>
      </c>
      <c r="G631" s="171">
        <v>20.0</v>
      </c>
      <c r="H631" s="171">
        <v>20.0</v>
      </c>
      <c r="I631" s="171">
        <v>20.0</v>
      </c>
      <c r="J631" s="325">
        <f t="shared" si="14"/>
        <v>0.0002437844393</v>
      </c>
      <c r="K631" s="326">
        <f t="shared" si="29"/>
        <v>0.349424363</v>
      </c>
      <c r="L631" s="327">
        <f t="shared" si="4"/>
        <v>1.841833129</v>
      </c>
      <c r="M631" s="321" t="str">
        <f t="shared" si="5"/>
        <v>gyalbo</v>
      </c>
      <c r="N631" s="176">
        <f>IFERROR(__xludf.DUMMYFUNCTION("""COMPUTED_VALUE"""),3.0)</f>
        <v>3</v>
      </c>
      <c r="O631" s="176"/>
      <c r="P631" s="176"/>
      <c r="Q631" s="176"/>
      <c r="R631" s="176"/>
      <c r="S631" s="176"/>
      <c r="T631" s="176"/>
      <c r="U631" s="176"/>
      <c r="V631" s="176"/>
      <c r="W631" s="176"/>
      <c r="X631" s="176"/>
      <c r="Y631" s="176"/>
      <c r="Z631" s="176"/>
    </row>
    <row r="632">
      <c r="A632" s="257" t="s">
        <v>108</v>
      </c>
      <c r="B632" s="257" t="s">
        <v>10</v>
      </c>
      <c r="C632" s="261" t="s">
        <v>2181</v>
      </c>
      <c r="D632" s="281" t="s">
        <v>495</v>
      </c>
      <c r="E632" s="260">
        <v>44253.0</v>
      </c>
      <c r="F632" s="258" t="s">
        <v>499</v>
      </c>
      <c r="G632" s="171">
        <v>10.0</v>
      </c>
      <c r="H632" s="171">
        <v>40.0</v>
      </c>
      <c r="I632" s="171">
        <v>20.0</v>
      </c>
      <c r="J632" s="325">
        <f t="shared" si="14"/>
        <v>0.0002600240364</v>
      </c>
      <c r="K632" s="326">
        <f t="shared" si="29"/>
        <v>0.3727011189</v>
      </c>
      <c r="L632" s="327">
        <f t="shared" si="4"/>
        <v>1.841833129</v>
      </c>
      <c r="M632" s="321" t="str">
        <f t="shared" si="5"/>
        <v>gyalbo</v>
      </c>
      <c r="N632" s="176">
        <f>IFERROR(__xludf.DUMMYFUNCTION("""COMPUTED_VALUE"""),4.0)</f>
        <v>4</v>
      </c>
      <c r="O632" s="176"/>
      <c r="P632" s="176"/>
      <c r="Q632" s="176"/>
      <c r="R632" s="176"/>
      <c r="S632" s="176"/>
      <c r="T632" s="176"/>
      <c r="U632" s="176"/>
      <c r="V632" s="176"/>
      <c r="W632" s="176"/>
      <c r="X632" s="176"/>
      <c r="Y632" s="176"/>
      <c r="Z632" s="176"/>
    </row>
    <row r="633">
      <c r="A633" s="257" t="s">
        <v>82</v>
      </c>
      <c r="B633" s="257" t="s">
        <v>10</v>
      </c>
      <c r="C633" s="261" t="s">
        <v>2399</v>
      </c>
      <c r="D633" s="281" t="s">
        <v>495</v>
      </c>
      <c r="E633" s="260">
        <v>44253.0</v>
      </c>
      <c r="F633" s="258" t="s">
        <v>496</v>
      </c>
      <c r="G633" s="171">
        <v>40.0</v>
      </c>
      <c r="H633" s="171">
        <v>200.0</v>
      </c>
      <c r="I633" s="171">
        <v>100.0</v>
      </c>
      <c r="J633" s="325">
        <f t="shared" si="14"/>
        <v>0.001264093104</v>
      </c>
      <c r="K633" s="326">
        <f t="shared" si="29"/>
        <v>1.811866783</v>
      </c>
      <c r="L633" s="327">
        <f t="shared" si="4"/>
        <v>1.811866783</v>
      </c>
      <c r="M633" s="321" t="str">
        <f t="shared" si="5"/>
        <v>elihanover</v>
      </c>
      <c r="N633" s="176">
        <f>IFERROR(__xludf.DUMMYFUNCTION("""COMPUTED_VALUE"""),1.0)</f>
        <v>1</v>
      </c>
      <c r="O633" s="176"/>
      <c r="P633" s="176"/>
      <c r="Q633" s="176"/>
      <c r="R633" s="176"/>
      <c r="S633" s="176"/>
      <c r="T633" s="176"/>
      <c r="U633" s="176"/>
      <c r="V633" s="176"/>
      <c r="W633" s="176"/>
      <c r="X633" s="176"/>
      <c r="Y633" s="176"/>
      <c r="Z633" s="176"/>
    </row>
    <row r="634">
      <c r="A634" s="314" t="s">
        <v>30</v>
      </c>
      <c r="B634" s="314" t="s">
        <v>534</v>
      </c>
      <c r="C634" s="355" t="s">
        <v>2452</v>
      </c>
      <c r="D634" s="309"/>
      <c r="E634" s="353"/>
      <c r="F634" s="311"/>
      <c r="G634" s="222"/>
      <c r="H634" s="222"/>
      <c r="I634" s="222"/>
      <c r="J634" s="325">
        <f t="shared" si="14"/>
        <v>0</v>
      </c>
      <c r="K634" s="337">
        <f>11.556*-0.85</f>
        <v>-9.8226</v>
      </c>
      <c r="L634" s="327">
        <f t="shared" si="4"/>
        <v>1.735239534</v>
      </c>
      <c r="M634" s="321" t="str">
        <f t="shared" si="5"/>
        <v>paulo_c2d</v>
      </c>
      <c r="N634" s="209">
        <f>IFERROR(__xludf.DUMMYFUNCTION("""COMPUTED_VALUE"""),1.0)</f>
        <v>1</v>
      </c>
      <c r="O634" s="209"/>
      <c r="P634" s="209"/>
      <c r="Q634" s="209"/>
      <c r="R634" s="209">
        <v>51.99833903635589</v>
      </c>
      <c r="S634" s="209"/>
      <c r="T634" s="209"/>
      <c r="U634" s="209"/>
      <c r="V634" s="209"/>
      <c r="W634" s="209"/>
      <c r="X634" s="209"/>
      <c r="Y634" s="176"/>
      <c r="Z634" s="176"/>
    </row>
    <row r="635">
      <c r="A635" s="257" t="s">
        <v>30</v>
      </c>
      <c r="B635" s="257" t="s">
        <v>10</v>
      </c>
      <c r="C635" s="261" t="s">
        <v>2480</v>
      </c>
      <c r="D635" s="281" t="s">
        <v>495</v>
      </c>
      <c r="E635" s="260">
        <v>44246.0</v>
      </c>
      <c r="F635" s="258" t="s">
        <v>496</v>
      </c>
      <c r="G635" s="171">
        <v>300.0</v>
      </c>
      <c r="H635" s="171">
        <v>400.0</v>
      </c>
      <c r="I635" s="171">
        <v>100.0</v>
      </c>
      <c r="J635" s="325">
        <f t="shared" si="14"/>
        <v>0.002723463881</v>
      </c>
      <c r="K635" s="326">
        <f t="shared" ref="K635:K641" si="30">J635*$J$1</f>
        <v>3.903631563</v>
      </c>
      <c r="L635" s="327">
        <f t="shared" si="4"/>
        <v>1.735239534</v>
      </c>
      <c r="M635" s="321" t="str">
        <f t="shared" si="5"/>
        <v>paulo_c2d</v>
      </c>
      <c r="N635" s="176">
        <f>IFERROR(__xludf.DUMMYFUNCTION("""COMPUTED_VALUE"""),2.0)</f>
        <v>2</v>
      </c>
      <c r="O635" s="176"/>
      <c r="P635" s="176"/>
      <c r="Q635" s="176"/>
      <c r="R635" s="176"/>
      <c r="S635" s="176"/>
      <c r="T635" s="176"/>
      <c r="U635" s="176"/>
      <c r="V635" s="176"/>
      <c r="W635" s="176"/>
      <c r="X635" s="176"/>
      <c r="Y635" s="176"/>
      <c r="Z635" s="176"/>
    </row>
    <row r="636">
      <c r="A636" s="257" t="s">
        <v>30</v>
      </c>
      <c r="B636" s="257" t="s">
        <v>10</v>
      </c>
      <c r="C636" s="261" t="s">
        <v>2240</v>
      </c>
      <c r="D636" s="281" t="s">
        <v>495</v>
      </c>
      <c r="E636" s="260">
        <v>44246.0</v>
      </c>
      <c r="F636" s="258" t="s">
        <v>496</v>
      </c>
      <c r="G636" s="171">
        <v>300.0</v>
      </c>
      <c r="H636" s="171">
        <v>400.0</v>
      </c>
      <c r="I636" s="171">
        <v>150.0</v>
      </c>
      <c r="J636" s="325">
        <f t="shared" si="14"/>
        <v>0.003022122902</v>
      </c>
      <c r="K636" s="326">
        <f t="shared" si="30"/>
        <v>4.331709493</v>
      </c>
      <c r="L636" s="327">
        <f t="shared" si="4"/>
        <v>1.735239534</v>
      </c>
      <c r="M636" s="321" t="str">
        <f t="shared" si="5"/>
        <v>paulo_c2d</v>
      </c>
      <c r="N636" s="176">
        <f>IFERROR(__xludf.DUMMYFUNCTION("""COMPUTED_VALUE"""),3.0)</f>
        <v>3</v>
      </c>
      <c r="O636" s="176"/>
      <c r="P636" s="176"/>
      <c r="Q636" s="176"/>
      <c r="R636" s="176"/>
      <c r="S636" s="176"/>
      <c r="T636" s="176"/>
      <c r="U636" s="176"/>
      <c r="V636" s="176"/>
      <c r="W636" s="176"/>
      <c r="X636" s="176"/>
      <c r="Y636" s="176"/>
      <c r="Z636" s="176"/>
    </row>
    <row r="637">
      <c r="A637" s="257" t="s">
        <v>30</v>
      </c>
      <c r="B637" s="257" t="s">
        <v>10</v>
      </c>
      <c r="C637" s="261" t="s">
        <v>2456</v>
      </c>
      <c r="D637" s="281" t="s">
        <v>495</v>
      </c>
      <c r="E637" s="260">
        <v>44246.0</v>
      </c>
      <c r="F637" s="258" t="s">
        <v>496</v>
      </c>
      <c r="G637" s="171">
        <v>260.0</v>
      </c>
      <c r="H637" s="171">
        <v>300.0</v>
      </c>
      <c r="I637" s="171">
        <v>100.0</v>
      </c>
      <c r="J637" s="325">
        <f t="shared" si="14"/>
        <v>0.002318022194</v>
      </c>
      <c r="K637" s="326">
        <f t="shared" si="30"/>
        <v>3.322498478</v>
      </c>
      <c r="L637" s="327">
        <f t="shared" si="4"/>
        <v>1.735239534</v>
      </c>
      <c r="M637" s="321" t="str">
        <f t="shared" si="5"/>
        <v>paulo_c2d</v>
      </c>
      <c r="N637" s="176">
        <f>IFERROR(__xludf.DUMMYFUNCTION("""COMPUTED_VALUE"""),4.0)</f>
        <v>4</v>
      </c>
      <c r="O637" s="176"/>
      <c r="P637" s="176"/>
      <c r="Q637" s="176"/>
      <c r="R637" s="176"/>
      <c r="S637" s="176"/>
      <c r="T637" s="176"/>
      <c r="U637" s="176"/>
      <c r="V637" s="176"/>
      <c r="W637" s="176"/>
      <c r="X637" s="176"/>
      <c r="Y637" s="176"/>
      <c r="Z637" s="176"/>
    </row>
    <row r="638">
      <c r="A638" s="257" t="s">
        <v>131</v>
      </c>
      <c r="B638" s="257" t="s">
        <v>10</v>
      </c>
      <c r="C638" s="261" t="s">
        <v>498</v>
      </c>
      <c r="D638" s="281" t="s">
        <v>495</v>
      </c>
      <c r="E638" s="260">
        <v>44246.0</v>
      </c>
      <c r="F638" s="258" t="s">
        <v>499</v>
      </c>
      <c r="G638" s="171">
        <v>10.0</v>
      </c>
      <c r="H638" s="171">
        <v>20.0</v>
      </c>
      <c r="I638" s="171">
        <v>20.0</v>
      </c>
      <c r="J638" s="325">
        <f t="shared" si="14"/>
        <v>0.0002077573614</v>
      </c>
      <c r="K638" s="326">
        <f t="shared" si="30"/>
        <v>0.2977855513</v>
      </c>
      <c r="L638" s="327">
        <f t="shared" si="4"/>
        <v>1.319573303</v>
      </c>
      <c r="M638" s="321" t="str">
        <f t="shared" si="5"/>
        <v>unquale</v>
      </c>
      <c r="N638" s="176">
        <f>IFERROR(__xludf.DUMMYFUNCTION("""COMPUTED_VALUE"""),1.0)</f>
        <v>1</v>
      </c>
      <c r="O638" s="176"/>
      <c r="P638" s="176"/>
      <c r="Q638" s="176"/>
      <c r="R638" s="176"/>
      <c r="S638" s="176"/>
      <c r="T638" s="176"/>
      <c r="U638" s="176"/>
      <c r="V638" s="176"/>
      <c r="W638" s="176"/>
      <c r="X638" s="176"/>
      <c r="Y638" s="176"/>
      <c r="Z638" s="176"/>
    </row>
    <row r="639">
      <c r="A639" s="257" t="s">
        <v>131</v>
      </c>
      <c r="B639" s="257" t="s">
        <v>10</v>
      </c>
      <c r="C639" s="261" t="s">
        <v>500</v>
      </c>
      <c r="D639" s="281" t="s">
        <v>495</v>
      </c>
      <c r="E639" s="260">
        <v>44253.0</v>
      </c>
      <c r="F639" s="258" t="s">
        <v>496</v>
      </c>
      <c r="G639" s="171">
        <v>20.0</v>
      </c>
      <c r="H639" s="171">
        <v>100.0</v>
      </c>
      <c r="I639" s="171">
        <v>20.0</v>
      </c>
      <c r="J639" s="325">
        <f t="shared" si="14"/>
        <v>0.0004528511394</v>
      </c>
      <c r="K639" s="326">
        <f t="shared" si="30"/>
        <v>0.6490866332</v>
      </c>
      <c r="L639" s="327">
        <f t="shared" si="4"/>
        <v>1.319573303</v>
      </c>
      <c r="M639" s="321" t="str">
        <f t="shared" si="5"/>
        <v>unquale</v>
      </c>
      <c r="N639" s="176">
        <f>IFERROR(__xludf.DUMMYFUNCTION("""COMPUTED_VALUE"""),2.0)</f>
        <v>2</v>
      </c>
      <c r="O639" s="176"/>
      <c r="P639" s="176"/>
      <c r="Q639" s="176"/>
      <c r="R639" s="176"/>
      <c r="S639" s="176"/>
      <c r="T639" s="176"/>
      <c r="U639" s="176"/>
      <c r="V639" s="176"/>
      <c r="W639" s="176"/>
      <c r="X639" s="176"/>
      <c r="Y639" s="176"/>
      <c r="Z639" s="176"/>
    </row>
    <row r="640">
      <c r="A640" s="257" t="s">
        <v>131</v>
      </c>
      <c r="B640" s="257" t="s">
        <v>10</v>
      </c>
      <c r="C640" s="261" t="s">
        <v>2181</v>
      </c>
      <c r="D640" s="281" t="s">
        <v>495</v>
      </c>
      <c r="E640" s="260">
        <v>44253.0</v>
      </c>
      <c r="F640" s="258" t="s">
        <v>499</v>
      </c>
      <c r="G640" s="171">
        <v>10.0</v>
      </c>
      <c r="H640" s="171">
        <v>40.0</v>
      </c>
      <c r="I640" s="171">
        <v>20.0</v>
      </c>
      <c r="J640" s="325">
        <f t="shared" si="14"/>
        <v>0.0002600240364</v>
      </c>
      <c r="K640" s="326">
        <f t="shared" si="30"/>
        <v>0.3727011189</v>
      </c>
      <c r="L640" s="327">
        <f t="shared" si="4"/>
        <v>1.319573303</v>
      </c>
      <c r="M640" s="321" t="str">
        <f t="shared" si="5"/>
        <v>unquale</v>
      </c>
      <c r="N640" s="176">
        <f>IFERROR(__xludf.DUMMYFUNCTION("""COMPUTED_VALUE"""),3.0)</f>
        <v>3</v>
      </c>
      <c r="O640" s="176"/>
      <c r="P640" s="176"/>
      <c r="Q640" s="176"/>
      <c r="R640" s="176"/>
      <c r="S640" s="176"/>
      <c r="T640" s="176"/>
      <c r="U640" s="176"/>
      <c r="V640" s="176"/>
      <c r="W640" s="176"/>
      <c r="X640" s="176"/>
      <c r="Y640" s="176"/>
      <c r="Z640" s="176"/>
    </row>
    <row r="641">
      <c r="A641" s="257" t="s">
        <v>273</v>
      </c>
      <c r="B641" s="257" t="s">
        <v>18</v>
      </c>
      <c r="C641" s="261" t="s">
        <v>2481</v>
      </c>
      <c r="D641" s="281" t="s">
        <v>495</v>
      </c>
      <c r="E641" s="260">
        <v>44251.0</v>
      </c>
      <c r="F641" s="258" t="s">
        <v>496</v>
      </c>
      <c r="G641" s="171">
        <v>90.0</v>
      </c>
      <c r="H641" s="171">
        <v>100.0</v>
      </c>
      <c r="I641" s="171">
        <v>50.0</v>
      </c>
      <c r="J641" s="325">
        <f t="shared" si="14"/>
        <v>0.0008842360977</v>
      </c>
      <c r="K641" s="326">
        <f t="shared" si="30"/>
        <v>1.267405073</v>
      </c>
      <c r="L641" s="327">
        <f t="shared" si="4"/>
        <v>1.267405073</v>
      </c>
      <c r="M641" s="321" t="str">
        <f t="shared" si="5"/>
        <v>cannabiscommunitycare</v>
      </c>
      <c r="N641" s="176">
        <f>IFERROR(__xludf.DUMMYFUNCTION("""COMPUTED_VALUE"""),1.0)</f>
        <v>1</v>
      </c>
      <c r="O641" s="176"/>
      <c r="P641" s="176"/>
      <c r="Q641" s="176"/>
      <c r="R641" s="176"/>
      <c r="S641" s="176"/>
      <c r="T641" s="176"/>
      <c r="U641" s="176"/>
      <c r="V641" s="176"/>
      <c r="W641" s="176"/>
      <c r="X641" s="176"/>
      <c r="Y641" s="176"/>
      <c r="Z641" s="176"/>
    </row>
    <row r="642">
      <c r="A642" s="314" t="s">
        <v>49</v>
      </c>
      <c r="B642" s="314" t="s">
        <v>534</v>
      </c>
      <c r="C642" s="352" t="s">
        <v>684</v>
      </c>
      <c r="D642" s="309"/>
      <c r="E642" s="353"/>
      <c r="F642" s="311"/>
      <c r="G642" s="222"/>
      <c r="H642" s="222"/>
      <c r="I642" s="222"/>
      <c r="J642" s="325">
        <f t="shared" si="14"/>
        <v>0</v>
      </c>
      <c r="K642" s="345">
        <f>7.525*-0.85</f>
        <v>-6.39625</v>
      </c>
      <c r="L642" s="327">
        <f t="shared" si="4"/>
        <v>1.130040853</v>
      </c>
      <c r="M642" s="321" t="str">
        <f t="shared" si="5"/>
        <v>knobsdao</v>
      </c>
      <c r="N642" s="209">
        <f>IFERROR(__xludf.DUMMYFUNCTION("""COMPUTED_VALUE"""),1.0)</f>
        <v>1</v>
      </c>
      <c r="O642" s="209"/>
      <c r="P642" s="209"/>
      <c r="Q642" s="209"/>
      <c r="R642" s="209">
        <v>15.224018051145396</v>
      </c>
      <c r="S642" s="209"/>
      <c r="T642" s="209"/>
      <c r="U642" s="209"/>
      <c r="V642" s="209"/>
      <c r="W642" s="209"/>
      <c r="X642" s="209"/>
      <c r="Y642" s="176"/>
      <c r="Z642" s="176"/>
    </row>
    <row r="643">
      <c r="A643" s="351" t="s">
        <v>49</v>
      </c>
      <c r="B643" s="276" t="s">
        <v>590</v>
      </c>
      <c r="C643" s="277" t="s">
        <v>2482</v>
      </c>
      <c r="D643" s="278" t="s">
        <v>499</v>
      </c>
      <c r="E643" s="350" t="s">
        <v>2245</v>
      </c>
      <c r="F643" s="278" t="s">
        <v>1646</v>
      </c>
      <c r="G643" s="171">
        <v>250.0</v>
      </c>
      <c r="H643" s="171">
        <v>300.0</v>
      </c>
      <c r="I643" s="171">
        <v>150.0</v>
      </c>
      <c r="J643" s="172">
        <f t="shared" si="14"/>
        <v>0.002580654137</v>
      </c>
      <c r="K643" s="269">
        <f t="shared" ref="K643:K645" si="31">J643*$J$1</f>
        <v>3.698937597</v>
      </c>
      <c r="L643" s="270">
        <f t="shared" si="4"/>
        <v>1.130040853</v>
      </c>
      <c r="M643" s="271" t="str">
        <f t="shared" si="5"/>
        <v>knobsdao</v>
      </c>
      <c r="N643" s="176">
        <f>IFERROR(__xludf.DUMMYFUNCTION("""COMPUTED_VALUE"""),2.0)</f>
        <v>2</v>
      </c>
      <c r="O643" s="176"/>
      <c r="P643" s="176"/>
      <c r="Q643" s="176"/>
      <c r="R643" s="176"/>
      <c r="S643" s="176"/>
      <c r="T643" s="176"/>
      <c r="U643" s="176"/>
      <c r="V643" s="176"/>
      <c r="W643" s="176"/>
      <c r="X643" s="176"/>
      <c r="Y643" s="176"/>
      <c r="Z643" s="176"/>
    </row>
    <row r="644">
      <c r="A644" s="257" t="s">
        <v>49</v>
      </c>
      <c r="B644" s="257" t="s">
        <v>10</v>
      </c>
      <c r="C644" s="261" t="s">
        <v>2257</v>
      </c>
      <c r="D644" s="281" t="s">
        <v>495</v>
      </c>
      <c r="E644" s="260">
        <v>44253.0</v>
      </c>
      <c r="F644" s="258" t="s">
        <v>496</v>
      </c>
      <c r="G644" s="171">
        <v>210.0</v>
      </c>
      <c r="H644" s="171">
        <v>200.0</v>
      </c>
      <c r="I644" s="171">
        <v>150.0</v>
      </c>
      <c r="J644" s="325">
        <f t="shared" si="14"/>
        <v>0.00217521245</v>
      </c>
      <c r="K644" s="326">
        <f t="shared" si="31"/>
        <v>3.117804512</v>
      </c>
      <c r="L644" s="327">
        <f t="shared" si="4"/>
        <v>1.130040853</v>
      </c>
      <c r="M644" s="321" t="str">
        <f t="shared" si="5"/>
        <v>knobsdao</v>
      </c>
      <c r="N644" s="176">
        <f>IFERROR(__xludf.DUMMYFUNCTION("""COMPUTED_VALUE"""),3.0)</f>
        <v>3</v>
      </c>
      <c r="O644" s="176"/>
      <c r="P644" s="176"/>
      <c r="Q644" s="176"/>
      <c r="R644" s="176"/>
      <c r="S644" s="176"/>
      <c r="T644" s="176"/>
      <c r="U644" s="176"/>
      <c r="V644" s="176"/>
      <c r="W644" s="176"/>
      <c r="X644" s="176"/>
      <c r="Y644" s="176"/>
      <c r="Z644" s="176"/>
    </row>
    <row r="645">
      <c r="A645" s="257" t="s">
        <v>49</v>
      </c>
      <c r="B645" s="257" t="s">
        <v>10</v>
      </c>
      <c r="C645" s="261" t="s">
        <v>2206</v>
      </c>
      <c r="D645" s="281" t="s">
        <v>495</v>
      </c>
      <c r="E645" s="260">
        <v>44253.0</v>
      </c>
      <c r="F645" s="258" t="s">
        <v>496</v>
      </c>
      <c r="G645" s="171">
        <v>40.0</v>
      </c>
      <c r="H645" s="171">
        <v>20.0</v>
      </c>
      <c r="I645" s="171">
        <v>50.0</v>
      </c>
      <c r="J645" s="325">
        <f t="shared" si="14"/>
        <v>0.0004950340078</v>
      </c>
      <c r="K645" s="326">
        <f t="shared" si="31"/>
        <v>0.7095487446</v>
      </c>
      <c r="L645" s="327">
        <f t="shared" si="4"/>
        <v>1.130040853</v>
      </c>
      <c r="M645" s="321" t="str">
        <f t="shared" si="5"/>
        <v>knobsdao</v>
      </c>
      <c r="N645" s="176">
        <f>IFERROR(__xludf.DUMMYFUNCTION("""COMPUTED_VALUE"""),4.0)</f>
        <v>4</v>
      </c>
      <c r="O645" s="176"/>
      <c r="P645" s="176"/>
      <c r="Q645" s="176"/>
      <c r="R645" s="176"/>
      <c r="S645" s="176"/>
      <c r="T645" s="176"/>
      <c r="U645" s="176"/>
      <c r="V645" s="176"/>
      <c r="W645" s="176"/>
      <c r="X645" s="176"/>
      <c r="Y645" s="176"/>
      <c r="Z645" s="176"/>
    </row>
    <row r="646">
      <c r="A646" s="314" t="s">
        <v>118</v>
      </c>
      <c r="B646" s="314" t="s">
        <v>534</v>
      </c>
      <c r="C646" s="352" t="s">
        <v>781</v>
      </c>
      <c r="D646" s="309"/>
      <c r="E646" s="353"/>
      <c r="F646" s="311"/>
      <c r="G646" s="222"/>
      <c r="H646" s="222"/>
      <c r="I646" s="222"/>
      <c r="J646" s="325">
        <f t="shared" si="14"/>
        <v>0</v>
      </c>
      <c r="K646" s="337">
        <f>7.357*-0.85</f>
        <v>-6.25345</v>
      </c>
      <c r="L646" s="327">
        <f t="shared" si="4"/>
        <v>1.105106727</v>
      </c>
      <c r="M646" s="321" t="str">
        <f t="shared" si="5"/>
        <v>katalenacaban</v>
      </c>
      <c r="N646" s="209">
        <f>IFERROR(__xludf.DUMMYFUNCTION("""COMPUTED_VALUE"""),1.0)</f>
        <v>1</v>
      </c>
      <c r="O646" s="209"/>
      <c r="P646" s="209"/>
      <c r="Q646" s="209"/>
      <c r="R646" s="209">
        <v>36.89669088595067</v>
      </c>
      <c r="S646" s="209"/>
      <c r="T646" s="209"/>
      <c r="U646" s="209"/>
      <c r="V646" s="209"/>
      <c r="W646" s="209"/>
      <c r="X646" s="209"/>
      <c r="Y646" s="176"/>
      <c r="Z646" s="176"/>
    </row>
    <row r="647">
      <c r="A647" s="257" t="s">
        <v>118</v>
      </c>
      <c r="B647" s="257" t="s">
        <v>845</v>
      </c>
      <c r="C647" s="261" t="s">
        <v>2256</v>
      </c>
      <c r="D647" s="281" t="s">
        <v>495</v>
      </c>
      <c r="E647" s="260">
        <v>44250.0</v>
      </c>
      <c r="F647" s="258" t="s">
        <v>499</v>
      </c>
      <c r="G647" s="171">
        <v>500.0</v>
      </c>
      <c r="H647" s="171">
        <v>100.0</v>
      </c>
      <c r="I647" s="171">
        <v>150.0</v>
      </c>
      <c r="J647" s="325">
        <f t="shared" si="14"/>
        <v>0.002958664336</v>
      </c>
      <c r="K647" s="326">
        <f t="shared" ref="K647:K672" si="32">J647*$J$1</f>
        <v>4.240752215</v>
      </c>
      <c r="L647" s="327">
        <f t="shared" si="4"/>
        <v>1.105106727</v>
      </c>
      <c r="M647" s="321" t="str">
        <f t="shared" si="5"/>
        <v>katalenacaban</v>
      </c>
      <c r="N647" s="176">
        <f>IFERROR(__xludf.DUMMYFUNCTION("""COMPUTED_VALUE"""),2.0)</f>
        <v>2</v>
      </c>
      <c r="O647" s="176"/>
      <c r="P647" s="176"/>
      <c r="Q647" s="176"/>
      <c r="R647" s="176"/>
      <c r="S647" s="176"/>
      <c r="T647" s="176"/>
      <c r="U647" s="176"/>
      <c r="V647" s="176"/>
      <c r="W647" s="176"/>
      <c r="X647" s="176"/>
      <c r="Y647" s="176"/>
      <c r="Z647" s="176"/>
    </row>
    <row r="648">
      <c r="A648" s="257" t="s">
        <v>118</v>
      </c>
      <c r="B648" s="257" t="s">
        <v>10</v>
      </c>
      <c r="C648" s="261" t="s">
        <v>2257</v>
      </c>
      <c r="D648" s="281" t="s">
        <v>495</v>
      </c>
      <c r="E648" s="260">
        <v>44253.0</v>
      </c>
      <c r="F648" s="258" t="s">
        <v>496</v>
      </c>
      <c r="G648" s="171">
        <v>210.0</v>
      </c>
      <c r="H648" s="171">
        <v>200.0</v>
      </c>
      <c r="I648" s="171">
        <v>150.0</v>
      </c>
      <c r="J648" s="325">
        <f t="shared" si="14"/>
        <v>0.00217521245</v>
      </c>
      <c r="K648" s="326">
        <f t="shared" si="32"/>
        <v>3.117804512</v>
      </c>
      <c r="L648" s="327">
        <f t="shared" si="4"/>
        <v>1.105106727</v>
      </c>
      <c r="M648" s="321" t="str">
        <f t="shared" si="5"/>
        <v>katalenacaban</v>
      </c>
      <c r="N648" s="176">
        <f>IFERROR(__xludf.DUMMYFUNCTION("""COMPUTED_VALUE"""),3.0)</f>
        <v>3</v>
      </c>
      <c r="O648" s="176"/>
      <c r="P648" s="176"/>
      <c r="Q648" s="176"/>
      <c r="R648" s="176"/>
      <c r="S648" s="176"/>
      <c r="T648" s="176"/>
      <c r="U648" s="176"/>
      <c r="V648" s="176"/>
      <c r="W648" s="176"/>
      <c r="X648" s="176"/>
      <c r="Y648" s="176"/>
      <c r="Z648" s="176"/>
    </row>
    <row r="649">
      <c r="A649" s="257" t="s">
        <v>149</v>
      </c>
      <c r="B649" s="257" t="s">
        <v>10</v>
      </c>
      <c r="C649" s="261" t="s">
        <v>500</v>
      </c>
      <c r="D649" s="281" t="s">
        <v>495</v>
      </c>
      <c r="E649" s="260">
        <v>44253.0</v>
      </c>
      <c r="F649" s="258" t="s">
        <v>496</v>
      </c>
      <c r="G649" s="171">
        <v>20.0</v>
      </c>
      <c r="H649" s="171">
        <v>100.0</v>
      </c>
      <c r="I649" s="171">
        <v>20.0</v>
      </c>
      <c r="J649" s="325">
        <f t="shared" si="14"/>
        <v>0.0004528511394</v>
      </c>
      <c r="K649" s="326">
        <f t="shared" si="32"/>
        <v>0.6490866332</v>
      </c>
      <c r="L649" s="327">
        <f t="shared" si="4"/>
        <v>1.021787752</v>
      </c>
      <c r="M649" s="321" t="str">
        <f t="shared" si="5"/>
        <v>thebeautyway</v>
      </c>
      <c r="N649" s="176">
        <f>IFERROR(__xludf.DUMMYFUNCTION("""COMPUTED_VALUE"""),1.0)</f>
        <v>1</v>
      </c>
      <c r="O649" s="176"/>
      <c r="P649" s="176"/>
      <c r="Q649" s="176"/>
      <c r="R649" s="176"/>
      <c r="S649" s="176"/>
      <c r="T649" s="176"/>
      <c r="U649" s="176"/>
      <c r="V649" s="176"/>
      <c r="W649" s="176"/>
      <c r="X649" s="176"/>
      <c r="Y649" s="176"/>
      <c r="Z649" s="176"/>
    </row>
    <row r="650">
      <c r="A650" s="257" t="s">
        <v>149</v>
      </c>
      <c r="B650" s="257" t="s">
        <v>10</v>
      </c>
      <c r="C650" s="261" t="s">
        <v>2181</v>
      </c>
      <c r="D650" s="281" t="s">
        <v>495</v>
      </c>
      <c r="E650" s="260">
        <v>44253.0</v>
      </c>
      <c r="F650" s="258" t="s">
        <v>499</v>
      </c>
      <c r="G650" s="171">
        <v>10.0</v>
      </c>
      <c r="H650" s="171">
        <v>40.0</v>
      </c>
      <c r="I650" s="171">
        <v>20.0</v>
      </c>
      <c r="J650" s="325">
        <f t="shared" si="14"/>
        <v>0.0002600240364</v>
      </c>
      <c r="K650" s="326">
        <f t="shared" si="32"/>
        <v>0.3727011189</v>
      </c>
      <c r="L650" s="327">
        <f t="shared" si="4"/>
        <v>1.021787752</v>
      </c>
      <c r="M650" s="321" t="str">
        <f t="shared" si="5"/>
        <v>thebeautyway</v>
      </c>
      <c r="N650" s="176">
        <f>IFERROR(__xludf.DUMMYFUNCTION("""COMPUTED_VALUE"""),2.0)</f>
        <v>2</v>
      </c>
      <c r="O650" s="176"/>
      <c r="P650" s="176"/>
      <c r="Q650" s="176"/>
      <c r="R650" s="176"/>
      <c r="S650" s="176"/>
      <c r="T650" s="176"/>
      <c r="U650" s="176"/>
      <c r="V650" s="176"/>
      <c r="W650" s="176"/>
      <c r="X650" s="176"/>
      <c r="Y650" s="176"/>
      <c r="Z650" s="176"/>
    </row>
    <row r="651">
      <c r="A651" s="257" t="s">
        <v>114</v>
      </c>
      <c r="B651" s="257" t="s">
        <v>10</v>
      </c>
      <c r="C651" s="261" t="s">
        <v>498</v>
      </c>
      <c r="D651" s="281" t="s">
        <v>495</v>
      </c>
      <c r="E651" s="260">
        <v>44246.0</v>
      </c>
      <c r="F651" s="258" t="s">
        <v>499</v>
      </c>
      <c r="G651" s="171">
        <v>10.0</v>
      </c>
      <c r="H651" s="171">
        <v>20.0</v>
      </c>
      <c r="I651" s="171">
        <v>20.0</v>
      </c>
      <c r="J651" s="325">
        <f t="shared" si="14"/>
        <v>0.0002077573614</v>
      </c>
      <c r="K651" s="326">
        <f t="shared" si="32"/>
        <v>0.2977855513</v>
      </c>
      <c r="L651" s="327">
        <f t="shared" si="4"/>
        <v>1.019911033</v>
      </c>
      <c r="M651" s="321" t="str">
        <f t="shared" si="5"/>
        <v>existenialstoic</v>
      </c>
      <c r="N651" s="176">
        <f>IFERROR(__xludf.DUMMYFUNCTION("""COMPUTED_VALUE"""),1.0)</f>
        <v>1</v>
      </c>
      <c r="O651" s="176"/>
      <c r="P651" s="176"/>
      <c r="Q651" s="176"/>
      <c r="R651" s="176"/>
      <c r="S651" s="176"/>
      <c r="T651" s="176"/>
      <c r="U651" s="176"/>
      <c r="V651" s="176"/>
      <c r="W651" s="176"/>
      <c r="X651" s="176"/>
      <c r="Y651" s="176"/>
      <c r="Z651" s="176"/>
    </row>
    <row r="652">
      <c r="A652" s="257" t="s">
        <v>114</v>
      </c>
      <c r="B652" s="257" t="s">
        <v>10</v>
      </c>
      <c r="C652" s="261" t="s">
        <v>500</v>
      </c>
      <c r="D652" s="281" t="s">
        <v>495</v>
      </c>
      <c r="E652" s="260">
        <v>44246.0</v>
      </c>
      <c r="F652" s="258" t="s">
        <v>545</v>
      </c>
      <c r="G652" s="171">
        <v>20.0</v>
      </c>
      <c r="H652" s="171">
        <v>20.0</v>
      </c>
      <c r="I652" s="171">
        <v>20.0</v>
      </c>
      <c r="J652" s="325">
        <f t="shared" si="14"/>
        <v>0.0002437844393</v>
      </c>
      <c r="K652" s="326">
        <f t="shared" si="32"/>
        <v>0.349424363</v>
      </c>
      <c r="L652" s="327">
        <f t="shared" si="4"/>
        <v>1.019911033</v>
      </c>
      <c r="M652" s="321" t="str">
        <f t="shared" si="5"/>
        <v>existenialstoic</v>
      </c>
      <c r="N652" s="176">
        <f>IFERROR(__xludf.DUMMYFUNCTION("""COMPUTED_VALUE"""),2.0)</f>
        <v>2</v>
      </c>
      <c r="O652" s="176"/>
      <c r="P652" s="176"/>
      <c r="Q652" s="176"/>
      <c r="R652" s="176"/>
      <c r="S652" s="176"/>
      <c r="T652" s="176"/>
      <c r="U652" s="176"/>
      <c r="V652" s="176"/>
      <c r="W652" s="176"/>
      <c r="X652" s="176"/>
      <c r="Y652" s="176"/>
      <c r="Z652" s="176"/>
    </row>
    <row r="653">
      <c r="A653" s="257" t="s">
        <v>114</v>
      </c>
      <c r="B653" s="257" t="s">
        <v>10</v>
      </c>
      <c r="C653" s="261" t="s">
        <v>2181</v>
      </c>
      <c r="D653" s="281" t="s">
        <v>495</v>
      </c>
      <c r="E653" s="260">
        <v>44253.0</v>
      </c>
      <c r="F653" s="258" t="s">
        <v>499</v>
      </c>
      <c r="G653" s="171">
        <v>10.0</v>
      </c>
      <c r="H653" s="171">
        <v>40.0</v>
      </c>
      <c r="I653" s="171">
        <v>20.0</v>
      </c>
      <c r="J653" s="325">
        <f t="shared" si="14"/>
        <v>0.0002600240364</v>
      </c>
      <c r="K653" s="326">
        <f t="shared" si="32"/>
        <v>0.3727011189</v>
      </c>
      <c r="L653" s="327">
        <f t="shared" si="4"/>
        <v>1.019911033</v>
      </c>
      <c r="M653" s="321" t="str">
        <f t="shared" si="5"/>
        <v>existenialstoic</v>
      </c>
      <c r="N653" s="176">
        <f>IFERROR(__xludf.DUMMYFUNCTION("""COMPUTED_VALUE"""),3.0)</f>
        <v>3</v>
      </c>
      <c r="O653" s="176"/>
      <c r="P653" s="176"/>
      <c r="Q653" s="176"/>
      <c r="R653" s="176"/>
      <c r="S653" s="176"/>
      <c r="T653" s="176"/>
      <c r="U653" s="176"/>
      <c r="V653" s="176"/>
      <c r="W653" s="176"/>
      <c r="X653" s="176"/>
      <c r="Y653" s="176"/>
      <c r="Z653" s="176"/>
    </row>
    <row r="654">
      <c r="A654" s="257" t="s">
        <v>157</v>
      </c>
      <c r="B654" s="257" t="s">
        <v>10</v>
      </c>
      <c r="C654" s="261" t="s">
        <v>2483</v>
      </c>
      <c r="D654" s="281" t="s">
        <v>495</v>
      </c>
      <c r="E654" s="260">
        <v>44253.0</v>
      </c>
      <c r="F654" s="258" t="s">
        <v>496</v>
      </c>
      <c r="G654" s="171">
        <v>41.0</v>
      </c>
      <c r="H654" s="171">
        <v>20.0</v>
      </c>
      <c r="I654" s="171">
        <v>50.0</v>
      </c>
      <c r="J654" s="325">
        <f t="shared" si="14"/>
        <v>0.0004986367156</v>
      </c>
      <c r="K654" s="326">
        <f t="shared" si="32"/>
        <v>0.7147126257</v>
      </c>
      <c r="L654" s="327">
        <f t="shared" si="4"/>
        <v>0.7147126257</v>
      </c>
      <c r="M654" s="321" t="str">
        <f t="shared" si="5"/>
        <v>celineflash</v>
      </c>
      <c r="N654" s="176">
        <f>IFERROR(__xludf.DUMMYFUNCTION("""COMPUTED_VALUE"""),1.0)</f>
        <v>1</v>
      </c>
      <c r="O654" s="176"/>
      <c r="P654" s="176"/>
      <c r="Q654" s="176"/>
      <c r="R654" s="176"/>
      <c r="S654" s="176"/>
      <c r="T654" s="176"/>
      <c r="U654" s="176"/>
      <c r="V654" s="176"/>
      <c r="W654" s="176"/>
      <c r="X654" s="176"/>
      <c r="Y654" s="176"/>
      <c r="Z654" s="176"/>
    </row>
    <row r="655">
      <c r="A655" s="257" t="s">
        <v>169</v>
      </c>
      <c r="B655" s="257" t="s">
        <v>10</v>
      </c>
      <c r="C655" s="261" t="s">
        <v>2206</v>
      </c>
      <c r="D655" s="281" t="s">
        <v>495</v>
      </c>
      <c r="E655" s="260">
        <v>44253.0</v>
      </c>
      <c r="F655" s="258" t="s">
        <v>496</v>
      </c>
      <c r="G655" s="171">
        <v>40.0</v>
      </c>
      <c r="H655" s="171">
        <v>20.0</v>
      </c>
      <c r="I655" s="171">
        <v>50.0</v>
      </c>
      <c r="J655" s="325">
        <f t="shared" si="14"/>
        <v>0.0004950340078</v>
      </c>
      <c r="K655" s="326">
        <f t="shared" si="32"/>
        <v>0.7095487446</v>
      </c>
      <c r="L655" s="327">
        <f t="shared" si="4"/>
        <v>0.7095487446</v>
      </c>
      <c r="M655" s="321" t="str">
        <f t="shared" si="5"/>
        <v>officialnico</v>
      </c>
      <c r="N655" s="176">
        <f>IFERROR(__xludf.DUMMYFUNCTION("""COMPUTED_VALUE"""),1.0)</f>
        <v>1</v>
      </c>
      <c r="O655" s="176"/>
      <c r="P655" s="176"/>
      <c r="Q655" s="176"/>
      <c r="R655" s="176"/>
      <c r="S655" s="176"/>
      <c r="T655" s="176"/>
      <c r="U655" s="176"/>
      <c r="V655" s="176"/>
      <c r="W655" s="176"/>
      <c r="X655" s="176"/>
      <c r="Y655" s="176"/>
      <c r="Z655" s="176"/>
    </row>
    <row r="656">
      <c r="A656" s="257" t="s">
        <v>148</v>
      </c>
      <c r="B656" s="257" t="s">
        <v>10</v>
      </c>
      <c r="C656" s="261" t="s">
        <v>498</v>
      </c>
      <c r="D656" s="281" t="s">
        <v>495</v>
      </c>
      <c r="E656" s="260">
        <v>44246.0</v>
      </c>
      <c r="F656" s="258" t="s">
        <v>499</v>
      </c>
      <c r="G656" s="171">
        <v>10.0</v>
      </c>
      <c r="H656" s="171">
        <v>20.0</v>
      </c>
      <c r="I656" s="171">
        <v>20.0</v>
      </c>
      <c r="J656" s="325">
        <f t="shared" si="14"/>
        <v>0.0002077573614</v>
      </c>
      <c r="K656" s="326">
        <f t="shared" si="32"/>
        <v>0.2977855513</v>
      </c>
      <c r="L656" s="327">
        <f t="shared" si="4"/>
        <v>0.6704866702</v>
      </c>
      <c r="M656" s="321" t="str">
        <f t="shared" si="5"/>
        <v>andfletcher</v>
      </c>
      <c r="N656" s="176">
        <f>IFERROR(__xludf.DUMMYFUNCTION("""COMPUTED_VALUE"""),1.0)</f>
        <v>1</v>
      </c>
      <c r="O656" s="176"/>
      <c r="P656" s="176"/>
      <c r="Q656" s="176"/>
      <c r="R656" s="176"/>
      <c r="S656" s="176"/>
      <c r="T656" s="176"/>
      <c r="U656" s="176"/>
      <c r="V656" s="176"/>
      <c r="W656" s="176"/>
      <c r="X656" s="176"/>
      <c r="Y656" s="176"/>
      <c r="Z656" s="176"/>
    </row>
    <row r="657">
      <c r="A657" s="257" t="s">
        <v>154</v>
      </c>
      <c r="B657" s="257" t="s">
        <v>10</v>
      </c>
      <c r="C657" s="261" t="s">
        <v>498</v>
      </c>
      <c r="D657" s="281" t="s">
        <v>495</v>
      </c>
      <c r="E657" s="260">
        <v>44246.0</v>
      </c>
      <c r="F657" s="258" t="s">
        <v>499</v>
      </c>
      <c r="G657" s="171">
        <v>10.0</v>
      </c>
      <c r="H657" s="171">
        <v>20.0</v>
      </c>
      <c r="I657" s="171">
        <v>20.0</v>
      </c>
      <c r="J657" s="325">
        <f t="shared" si="14"/>
        <v>0.0002077573614</v>
      </c>
      <c r="K657" s="326">
        <f t="shared" si="32"/>
        <v>0.2977855513</v>
      </c>
      <c r="L657" s="327">
        <f t="shared" si="4"/>
        <v>0.6704866702</v>
      </c>
      <c r="M657" s="321" t="str">
        <f t="shared" si="5"/>
        <v>morgangr</v>
      </c>
      <c r="N657" s="176">
        <f>IFERROR(__xludf.DUMMYFUNCTION("""COMPUTED_VALUE"""),1.0)</f>
        <v>1</v>
      </c>
      <c r="O657" s="176"/>
      <c r="P657" s="176"/>
      <c r="Q657" s="176"/>
      <c r="R657" s="176"/>
      <c r="S657" s="176"/>
      <c r="T657" s="176"/>
      <c r="U657" s="176"/>
      <c r="V657" s="176"/>
      <c r="W657" s="176"/>
      <c r="X657" s="176"/>
      <c r="Y657" s="176"/>
      <c r="Z657" s="176"/>
    </row>
    <row r="658">
      <c r="A658" s="257" t="s">
        <v>148</v>
      </c>
      <c r="B658" s="257" t="s">
        <v>10</v>
      </c>
      <c r="C658" s="261" t="s">
        <v>2181</v>
      </c>
      <c r="D658" s="281" t="s">
        <v>495</v>
      </c>
      <c r="E658" s="260">
        <v>44253.0</v>
      </c>
      <c r="F658" s="258" t="s">
        <v>499</v>
      </c>
      <c r="G658" s="171">
        <v>10.0</v>
      </c>
      <c r="H658" s="171">
        <v>40.0</v>
      </c>
      <c r="I658" s="171">
        <v>20.0</v>
      </c>
      <c r="J658" s="325">
        <f t="shared" si="14"/>
        <v>0.0002600240364</v>
      </c>
      <c r="K658" s="326">
        <f t="shared" si="32"/>
        <v>0.3727011189</v>
      </c>
      <c r="L658" s="327">
        <f t="shared" si="4"/>
        <v>0.6704866702</v>
      </c>
      <c r="M658" s="321" t="str">
        <f t="shared" si="5"/>
        <v>andfletcher</v>
      </c>
      <c r="N658" s="176">
        <f>IFERROR(__xludf.DUMMYFUNCTION("""COMPUTED_VALUE"""),2.0)</f>
        <v>2</v>
      </c>
      <c r="O658" s="176"/>
      <c r="P658" s="176"/>
      <c r="Q658" s="176"/>
      <c r="R658" s="176"/>
      <c r="S658" s="176"/>
      <c r="T658" s="176"/>
      <c r="U658" s="176"/>
      <c r="V658" s="176"/>
      <c r="W658" s="176"/>
      <c r="X658" s="176"/>
      <c r="Y658" s="176"/>
      <c r="Z658" s="176"/>
    </row>
    <row r="659">
      <c r="A659" s="257" t="s">
        <v>154</v>
      </c>
      <c r="B659" s="257" t="s">
        <v>10</v>
      </c>
      <c r="C659" s="261" t="s">
        <v>2181</v>
      </c>
      <c r="D659" s="281" t="s">
        <v>495</v>
      </c>
      <c r="E659" s="260">
        <v>44253.0</v>
      </c>
      <c r="F659" s="258" t="s">
        <v>499</v>
      </c>
      <c r="G659" s="171">
        <v>10.0</v>
      </c>
      <c r="H659" s="171">
        <v>40.0</v>
      </c>
      <c r="I659" s="171">
        <v>20.0</v>
      </c>
      <c r="J659" s="325">
        <f t="shared" si="14"/>
        <v>0.0002600240364</v>
      </c>
      <c r="K659" s="326">
        <f t="shared" si="32"/>
        <v>0.3727011189</v>
      </c>
      <c r="L659" s="327">
        <f t="shared" si="4"/>
        <v>0.6704866702</v>
      </c>
      <c r="M659" s="321" t="str">
        <f t="shared" si="5"/>
        <v>morgangr</v>
      </c>
      <c r="N659" s="176">
        <f>IFERROR(__xludf.DUMMYFUNCTION("""COMPUTED_VALUE"""),2.0)</f>
        <v>2</v>
      </c>
      <c r="O659" s="176"/>
      <c r="P659" s="176"/>
      <c r="Q659" s="176"/>
      <c r="R659" s="176"/>
      <c r="S659" s="176"/>
      <c r="T659" s="176"/>
      <c r="U659" s="176"/>
      <c r="V659" s="176"/>
      <c r="W659" s="176"/>
      <c r="X659" s="176"/>
      <c r="Y659" s="176"/>
      <c r="Z659" s="176"/>
    </row>
    <row r="660">
      <c r="A660" s="257" t="s">
        <v>185</v>
      </c>
      <c r="B660" s="257" t="s">
        <v>10</v>
      </c>
      <c r="C660" s="261" t="s">
        <v>2181</v>
      </c>
      <c r="D660" s="281" t="s">
        <v>495</v>
      </c>
      <c r="E660" s="260">
        <v>44253.0</v>
      </c>
      <c r="F660" s="258" t="s">
        <v>499</v>
      </c>
      <c r="G660" s="171">
        <v>10.0</v>
      </c>
      <c r="H660" s="171">
        <v>40.0</v>
      </c>
      <c r="I660" s="171">
        <v>20.0</v>
      </c>
      <c r="J660" s="325">
        <f t="shared" si="14"/>
        <v>0.0002600240364</v>
      </c>
      <c r="K660" s="326">
        <f t="shared" si="32"/>
        <v>0.3727011189</v>
      </c>
      <c r="L660" s="327">
        <f t="shared" si="4"/>
        <v>0.3727011189</v>
      </c>
      <c r="M660" s="321" t="str">
        <f t="shared" si="5"/>
        <v>adaptdao</v>
      </c>
      <c r="N660" s="176">
        <f>IFERROR(__xludf.DUMMYFUNCTION("""COMPUTED_VALUE"""),1.0)</f>
        <v>1</v>
      </c>
      <c r="O660" s="176"/>
      <c r="P660" s="176"/>
      <c r="Q660" s="176"/>
      <c r="R660" s="176"/>
      <c r="S660" s="176"/>
      <c r="T660" s="176"/>
      <c r="U660" s="176"/>
      <c r="V660" s="176"/>
      <c r="W660" s="176"/>
      <c r="X660" s="176"/>
      <c r="Y660" s="176"/>
      <c r="Z660" s="176"/>
    </row>
    <row r="661">
      <c r="A661" s="257" t="s">
        <v>151</v>
      </c>
      <c r="B661" s="257" t="s">
        <v>10</v>
      </c>
      <c r="C661" s="261" t="s">
        <v>2181</v>
      </c>
      <c r="D661" s="281" t="s">
        <v>495</v>
      </c>
      <c r="E661" s="260">
        <v>44253.0</v>
      </c>
      <c r="F661" s="258" t="s">
        <v>499</v>
      </c>
      <c r="G661" s="171">
        <v>10.0</v>
      </c>
      <c r="H661" s="171">
        <v>40.0</v>
      </c>
      <c r="I661" s="171">
        <v>20.0</v>
      </c>
      <c r="J661" s="325">
        <f t="shared" si="14"/>
        <v>0.0002600240364</v>
      </c>
      <c r="K661" s="326">
        <f t="shared" si="32"/>
        <v>0.3727011189</v>
      </c>
      <c r="L661" s="327">
        <f t="shared" si="4"/>
        <v>0.3727011189</v>
      </c>
      <c r="M661" s="321" t="str">
        <f t="shared" si="5"/>
        <v>antoniopaglino</v>
      </c>
      <c r="N661" s="176">
        <f>IFERROR(__xludf.DUMMYFUNCTION("""COMPUTED_VALUE"""),1.0)</f>
        <v>1</v>
      </c>
      <c r="O661" s="176"/>
      <c r="P661" s="176"/>
      <c r="Q661" s="176"/>
      <c r="R661" s="176"/>
      <c r="S661" s="176"/>
      <c r="T661" s="176"/>
      <c r="U661" s="176"/>
      <c r="V661" s="176"/>
      <c r="W661" s="176"/>
      <c r="X661" s="176"/>
      <c r="Y661" s="176"/>
      <c r="Z661" s="176"/>
    </row>
    <row r="662">
      <c r="A662" s="257" t="s">
        <v>147</v>
      </c>
      <c r="B662" s="257" t="s">
        <v>10</v>
      </c>
      <c r="C662" s="261" t="s">
        <v>2181</v>
      </c>
      <c r="D662" s="281" t="s">
        <v>495</v>
      </c>
      <c r="E662" s="260">
        <v>44253.0</v>
      </c>
      <c r="F662" s="258" t="s">
        <v>499</v>
      </c>
      <c r="G662" s="171">
        <v>10.0</v>
      </c>
      <c r="H662" s="171">
        <v>40.0</v>
      </c>
      <c r="I662" s="171">
        <v>20.0</v>
      </c>
      <c r="J662" s="325">
        <f t="shared" si="14"/>
        <v>0.0002600240364</v>
      </c>
      <c r="K662" s="326">
        <f t="shared" si="32"/>
        <v>0.3727011189</v>
      </c>
      <c r="L662" s="327">
        <f t="shared" si="4"/>
        <v>0.3727011189</v>
      </c>
      <c r="M662" s="321" t="str">
        <f t="shared" si="5"/>
        <v>castall</v>
      </c>
      <c r="N662" s="176">
        <f>IFERROR(__xludf.DUMMYFUNCTION("""COMPUTED_VALUE"""),1.0)</f>
        <v>1</v>
      </c>
      <c r="O662" s="176"/>
      <c r="P662" s="176"/>
      <c r="Q662" s="176"/>
      <c r="R662" s="176"/>
      <c r="S662" s="176"/>
      <c r="T662" s="176"/>
      <c r="U662" s="176"/>
      <c r="V662" s="176"/>
      <c r="W662" s="176"/>
      <c r="X662" s="176"/>
      <c r="Y662" s="176"/>
      <c r="Z662" s="176"/>
    </row>
    <row r="663">
      <c r="A663" s="257" t="s">
        <v>177</v>
      </c>
      <c r="B663" s="257" t="s">
        <v>10</v>
      </c>
      <c r="C663" s="261" t="s">
        <v>2181</v>
      </c>
      <c r="D663" s="281" t="s">
        <v>495</v>
      </c>
      <c r="E663" s="260">
        <v>44253.0</v>
      </c>
      <c r="F663" s="258" t="s">
        <v>499</v>
      </c>
      <c r="G663" s="171">
        <v>10.0</v>
      </c>
      <c r="H663" s="171">
        <v>40.0</v>
      </c>
      <c r="I663" s="171">
        <v>20.0</v>
      </c>
      <c r="J663" s="325">
        <f t="shared" si="14"/>
        <v>0.0002600240364</v>
      </c>
      <c r="K663" s="326">
        <f t="shared" si="32"/>
        <v>0.3727011189</v>
      </c>
      <c r="L663" s="327">
        <f t="shared" si="4"/>
        <v>0.3727011189</v>
      </c>
      <c r="M663" s="321" t="str">
        <f t="shared" si="5"/>
        <v>hxrts</v>
      </c>
      <c r="N663" s="176">
        <f>IFERROR(__xludf.DUMMYFUNCTION("""COMPUTED_VALUE"""),1.0)</f>
        <v>1</v>
      </c>
      <c r="O663" s="176"/>
      <c r="P663" s="176"/>
      <c r="Q663" s="176"/>
      <c r="R663" s="176"/>
      <c r="S663" s="176"/>
      <c r="T663" s="176"/>
      <c r="U663" s="176"/>
      <c r="V663" s="176"/>
      <c r="W663" s="176"/>
      <c r="X663" s="176"/>
      <c r="Y663" s="176"/>
      <c r="Z663" s="176"/>
    </row>
    <row r="664">
      <c r="A664" s="257" t="s">
        <v>229</v>
      </c>
      <c r="B664" s="257" t="s">
        <v>10</v>
      </c>
      <c r="C664" s="261" t="s">
        <v>2181</v>
      </c>
      <c r="D664" s="281" t="s">
        <v>495</v>
      </c>
      <c r="E664" s="260">
        <v>44253.0</v>
      </c>
      <c r="F664" s="258" t="s">
        <v>499</v>
      </c>
      <c r="G664" s="171">
        <v>10.0</v>
      </c>
      <c r="H664" s="171">
        <v>40.0</v>
      </c>
      <c r="I664" s="171">
        <v>20.0</v>
      </c>
      <c r="J664" s="325">
        <f t="shared" si="14"/>
        <v>0.0002600240364</v>
      </c>
      <c r="K664" s="326">
        <f t="shared" si="32"/>
        <v>0.3727011189</v>
      </c>
      <c r="L664" s="327">
        <f t="shared" si="4"/>
        <v>0.3727011189</v>
      </c>
      <c r="M664" s="321" t="str">
        <f t="shared" si="5"/>
        <v>michaelr10</v>
      </c>
      <c r="N664" s="176">
        <f>IFERROR(__xludf.DUMMYFUNCTION("""COMPUTED_VALUE"""),1.0)</f>
        <v>1</v>
      </c>
      <c r="O664" s="176"/>
      <c r="P664" s="176"/>
      <c r="Q664" s="176"/>
      <c r="R664" s="176"/>
      <c r="S664" s="176"/>
      <c r="T664" s="176"/>
      <c r="U664" s="176"/>
      <c r="V664" s="176"/>
      <c r="W664" s="176"/>
      <c r="X664" s="176"/>
      <c r="Y664" s="176"/>
      <c r="Z664" s="176"/>
    </row>
    <row r="665">
      <c r="A665" s="257" t="s">
        <v>236</v>
      </c>
      <c r="B665" s="257" t="s">
        <v>10</v>
      </c>
      <c r="C665" s="261" t="s">
        <v>2181</v>
      </c>
      <c r="D665" s="281" t="s">
        <v>495</v>
      </c>
      <c r="E665" s="260">
        <v>44253.0</v>
      </c>
      <c r="F665" s="258" t="s">
        <v>499</v>
      </c>
      <c r="G665" s="171">
        <v>10.0</v>
      </c>
      <c r="H665" s="171">
        <v>40.0</v>
      </c>
      <c r="I665" s="171">
        <v>20.0</v>
      </c>
      <c r="J665" s="325">
        <f t="shared" si="14"/>
        <v>0.0002600240364</v>
      </c>
      <c r="K665" s="326">
        <f t="shared" si="32"/>
        <v>0.3727011189</v>
      </c>
      <c r="L665" s="327">
        <f t="shared" si="4"/>
        <v>0.3727011189</v>
      </c>
      <c r="M665" s="321" t="str">
        <f t="shared" si="5"/>
        <v>ontologymachine</v>
      </c>
      <c r="N665" s="176">
        <f>IFERROR(__xludf.DUMMYFUNCTION("""COMPUTED_VALUE"""),1.0)</f>
        <v>1</v>
      </c>
      <c r="O665" s="176"/>
      <c r="P665" s="176"/>
      <c r="Q665" s="176"/>
      <c r="R665" s="176"/>
      <c r="S665" s="176"/>
      <c r="T665" s="176"/>
      <c r="U665" s="176"/>
      <c r="V665" s="176"/>
      <c r="W665" s="176"/>
      <c r="X665" s="176"/>
      <c r="Y665" s="176"/>
      <c r="Z665" s="176"/>
    </row>
    <row r="666">
      <c r="A666" s="257" t="s">
        <v>156</v>
      </c>
      <c r="B666" s="257" t="s">
        <v>10</v>
      </c>
      <c r="C666" s="261" t="s">
        <v>2181</v>
      </c>
      <c r="D666" s="281" t="s">
        <v>495</v>
      </c>
      <c r="E666" s="260">
        <v>44253.0</v>
      </c>
      <c r="F666" s="258" t="s">
        <v>499</v>
      </c>
      <c r="G666" s="171">
        <v>10.0</v>
      </c>
      <c r="H666" s="171">
        <v>40.0</v>
      </c>
      <c r="I666" s="171">
        <v>20.0</v>
      </c>
      <c r="J666" s="325">
        <f t="shared" si="14"/>
        <v>0.0002600240364</v>
      </c>
      <c r="K666" s="326">
        <f t="shared" si="32"/>
        <v>0.3727011189</v>
      </c>
      <c r="L666" s="327">
        <f t="shared" si="4"/>
        <v>0.3727011189</v>
      </c>
      <c r="M666" s="321" t="str">
        <f t="shared" si="5"/>
        <v>solarpunk_girl</v>
      </c>
      <c r="N666" s="176">
        <f>IFERROR(__xludf.DUMMYFUNCTION("""COMPUTED_VALUE"""),1.0)</f>
        <v>1</v>
      </c>
      <c r="O666" s="176"/>
      <c r="P666" s="176"/>
      <c r="Q666" s="176"/>
      <c r="R666" s="176"/>
      <c r="S666" s="176"/>
      <c r="T666" s="176"/>
      <c r="U666" s="176"/>
      <c r="V666" s="176"/>
      <c r="W666" s="176"/>
      <c r="X666" s="176"/>
      <c r="Y666" s="176"/>
      <c r="Z666" s="176"/>
    </row>
    <row r="667">
      <c r="A667" s="257" t="s">
        <v>69</v>
      </c>
      <c r="B667" s="257" t="s">
        <v>10</v>
      </c>
      <c r="C667" s="261" t="s">
        <v>500</v>
      </c>
      <c r="D667" s="281" t="s">
        <v>495</v>
      </c>
      <c r="E667" s="260">
        <v>44246.0</v>
      </c>
      <c r="F667" s="258" t="s">
        <v>545</v>
      </c>
      <c r="G667" s="171">
        <v>20.0</v>
      </c>
      <c r="H667" s="171">
        <v>20.0</v>
      </c>
      <c r="I667" s="171">
        <v>20.0</v>
      </c>
      <c r="J667" s="325">
        <f t="shared" si="14"/>
        <v>0.0002437844393</v>
      </c>
      <c r="K667" s="326">
        <f t="shared" si="32"/>
        <v>0.349424363</v>
      </c>
      <c r="L667" s="327">
        <f t="shared" si="4"/>
        <v>0.349424363</v>
      </c>
      <c r="M667" s="321" t="str">
        <f t="shared" si="5"/>
        <v>owocki</v>
      </c>
      <c r="N667" s="176">
        <f>IFERROR(__xludf.DUMMYFUNCTION("""COMPUTED_VALUE"""),1.0)</f>
        <v>1</v>
      </c>
      <c r="O667" s="176"/>
      <c r="P667" s="176"/>
      <c r="Q667" s="176"/>
      <c r="R667" s="176"/>
      <c r="S667" s="176"/>
      <c r="T667" s="176"/>
      <c r="U667" s="176"/>
      <c r="V667" s="176"/>
      <c r="W667" s="176"/>
      <c r="X667" s="176"/>
      <c r="Y667" s="176"/>
      <c r="Z667" s="176"/>
    </row>
    <row r="668">
      <c r="A668" s="257" t="s">
        <v>207</v>
      </c>
      <c r="B668" s="257" t="s">
        <v>10</v>
      </c>
      <c r="C668" s="261" t="s">
        <v>498</v>
      </c>
      <c r="D668" s="281" t="s">
        <v>495</v>
      </c>
      <c r="E668" s="260">
        <v>44246.0</v>
      </c>
      <c r="F668" s="258" t="s">
        <v>499</v>
      </c>
      <c r="G668" s="171">
        <v>10.0</v>
      </c>
      <c r="H668" s="171">
        <v>20.0</v>
      </c>
      <c r="I668" s="171">
        <v>20.0</v>
      </c>
      <c r="J668" s="325">
        <f t="shared" si="14"/>
        <v>0.0002077573614</v>
      </c>
      <c r="K668" s="326">
        <f t="shared" si="32"/>
        <v>0.2977855513</v>
      </c>
      <c r="L668" s="327">
        <f t="shared" si="4"/>
        <v>0.2977855513</v>
      </c>
      <c r="M668" s="321" t="str">
        <f t="shared" si="5"/>
        <v>edendh</v>
      </c>
      <c r="N668" s="176">
        <f>IFERROR(__xludf.DUMMYFUNCTION("""COMPUTED_VALUE"""),1.0)</f>
        <v>1</v>
      </c>
      <c r="O668" s="176"/>
      <c r="P668" s="176"/>
      <c r="Q668" s="176"/>
      <c r="R668" s="176"/>
      <c r="S668" s="176"/>
      <c r="T668" s="176"/>
      <c r="U668" s="176"/>
      <c r="V668" s="176"/>
      <c r="W668" s="176"/>
      <c r="X668" s="176"/>
      <c r="Y668" s="176"/>
      <c r="Z668" s="176"/>
    </row>
    <row r="669">
      <c r="A669" s="257" t="s">
        <v>150</v>
      </c>
      <c r="B669" s="257" t="s">
        <v>10</v>
      </c>
      <c r="C669" s="261" t="s">
        <v>498</v>
      </c>
      <c r="D669" s="281" t="s">
        <v>495</v>
      </c>
      <c r="E669" s="260">
        <v>44246.0</v>
      </c>
      <c r="F669" s="258" t="s">
        <v>499</v>
      </c>
      <c r="G669" s="171">
        <v>10.0</v>
      </c>
      <c r="H669" s="171">
        <v>20.0</v>
      </c>
      <c r="I669" s="171">
        <v>20.0</v>
      </c>
      <c r="J669" s="325">
        <f t="shared" si="14"/>
        <v>0.0002077573614</v>
      </c>
      <c r="K669" s="326">
        <f t="shared" si="32"/>
        <v>0.2977855513</v>
      </c>
      <c r="L669" s="327">
        <f t="shared" si="4"/>
        <v>0.2977855513</v>
      </c>
      <c r="M669" s="321" t="str">
        <f t="shared" si="5"/>
        <v>glefevre</v>
      </c>
      <c r="N669" s="176">
        <f>IFERROR(__xludf.DUMMYFUNCTION("""COMPUTED_VALUE"""),1.0)</f>
        <v>1</v>
      </c>
      <c r="O669" s="176"/>
      <c r="P669" s="176"/>
      <c r="Q669" s="176"/>
      <c r="R669" s="176"/>
      <c r="S669" s="176"/>
      <c r="T669" s="176"/>
      <c r="U669" s="176"/>
      <c r="V669" s="176"/>
      <c r="W669" s="176"/>
      <c r="X669" s="176"/>
      <c r="Y669" s="176"/>
      <c r="Z669" s="176"/>
    </row>
    <row r="670">
      <c r="A670" s="257" t="s">
        <v>168</v>
      </c>
      <c r="B670" s="257" t="s">
        <v>10</v>
      </c>
      <c r="C670" s="261" t="s">
        <v>498</v>
      </c>
      <c r="D670" s="281" t="s">
        <v>495</v>
      </c>
      <c r="E670" s="260">
        <v>44246.0</v>
      </c>
      <c r="F670" s="258" t="s">
        <v>499</v>
      </c>
      <c r="G670" s="171">
        <v>10.0</v>
      </c>
      <c r="H670" s="171">
        <v>20.0</v>
      </c>
      <c r="I670" s="171">
        <v>20.0</v>
      </c>
      <c r="J670" s="325">
        <f t="shared" si="14"/>
        <v>0.0002077573614</v>
      </c>
      <c r="K670" s="326">
        <f t="shared" si="32"/>
        <v>0.2977855513</v>
      </c>
      <c r="L670" s="327">
        <f t="shared" si="4"/>
        <v>0.2977855513</v>
      </c>
      <c r="M670" s="321" t="str">
        <f t="shared" si="5"/>
        <v>magentaceiba</v>
      </c>
      <c r="N670" s="176">
        <f>IFERROR(__xludf.DUMMYFUNCTION("""COMPUTED_VALUE"""),1.0)</f>
        <v>1</v>
      </c>
      <c r="O670" s="176"/>
      <c r="P670" s="176"/>
      <c r="Q670" s="176"/>
      <c r="R670" s="176"/>
      <c r="S670" s="176"/>
      <c r="T670" s="176"/>
      <c r="U670" s="176"/>
      <c r="V670" s="176"/>
      <c r="W670" s="176"/>
      <c r="X670" s="176"/>
      <c r="Y670" s="176"/>
      <c r="Z670" s="176"/>
    </row>
    <row r="671">
      <c r="A671" s="257" t="s">
        <v>88</v>
      </c>
      <c r="B671" s="257" t="s">
        <v>10</v>
      </c>
      <c r="C671" s="261" t="s">
        <v>498</v>
      </c>
      <c r="D671" s="281" t="s">
        <v>495</v>
      </c>
      <c r="E671" s="260">
        <v>44246.0</v>
      </c>
      <c r="F671" s="258" t="s">
        <v>499</v>
      </c>
      <c r="G671" s="171">
        <v>10.0</v>
      </c>
      <c r="H671" s="171">
        <v>20.0</v>
      </c>
      <c r="I671" s="171">
        <v>20.0</v>
      </c>
      <c r="J671" s="325">
        <f t="shared" si="14"/>
        <v>0.0002077573614</v>
      </c>
      <c r="K671" s="326">
        <f t="shared" si="32"/>
        <v>0.2977855513</v>
      </c>
      <c r="L671" s="327">
        <f t="shared" si="4"/>
        <v>0.2977855513</v>
      </c>
      <c r="M671" s="321" t="str">
        <f t="shared" si="5"/>
        <v>phil_h</v>
      </c>
      <c r="N671" s="176">
        <f>IFERROR(__xludf.DUMMYFUNCTION("""COMPUTED_VALUE"""),1.0)</f>
        <v>1</v>
      </c>
      <c r="O671" s="176"/>
      <c r="P671" s="176"/>
      <c r="Q671" s="176"/>
      <c r="R671" s="176"/>
      <c r="S671" s="176"/>
      <c r="T671" s="176"/>
      <c r="U671" s="176"/>
      <c r="V671" s="176"/>
      <c r="W671" s="176"/>
      <c r="X671" s="176"/>
      <c r="Y671" s="176"/>
      <c r="Z671" s="176"/>
    </row>
    <row r="672">
      <c r="A672" s="257" t="s">
        <v>223</v>
      </c>
      <c r="B672" s="257" t="s">
        <v>10</v>
      </c>
      <c r="C672" s="261" t="s">
        <v>498</v>
      </c>
      <c r="D672" s="281" t="s">
        <v>495</v>
      </c>
      <c r="E672" s="260">
        <v>44246.0</v>
      </c>
      <c r="F672" s="258" t="s">
        <v>499</v>
      </c>
      <c r="G672" s="171">
        <v>10.0</v>
      </c>
      <c r="H672" s="171">
        <v>20.0</v>
      </c>
      <c r="I672" s="171">
        <v>20.0</v>
      </c>
      <c r="J672" s="325">
        <f t="shared" si="14"/>
        <v>0.0002077573614</v>
      </c>
      <c r="K672" s="326">
        <f t="shared" si="32"/>
        <v>0.2977855513</v>
      </c>
      <c r="L672" s="327">
        <f t="shared" si="4"/>
        <v>0.2977855513</v>
      </c>
      <c r="M672" s="321" t="str">
        <f t="shared" si="5"/>
        <v>seedsalchemist</v>
      </c>
      <c r="N672" s="176">
        <f>IFERROR(__xludf.DUMMYFUNCTION("""COMPUTED_VALUE"""),1.0)</f>
        <v>1</v>
      </c>
      <c r="O672" s="176"/>
      <c r="P672" s="176"/>
      <c r="Q672" s="176"/>
      <c r="R672" s="176"/>
      <c r="S672" s="176"/>
      <c r="T672" s="176"/>
      <c r="U672" s="176"/>
      <c r="V672" s="176"/>
      <c r="W672" s="176"/>
      <c r="X672" s="176"/>
      <c r="Y672" s="176"/>
      <c r="Z672" s="176"/>
    </row>
    <row r="673">
      <c r="A673" s="314" t="s">
        <v>85</v>
      </c>
      <c r="B673" s="314" t="s">
        <v>534</v>
      </c>
      <c r="C673" s="355" t="s">
        <v>2386</v>
      </c>
      <c r="D673" s="309"/>
      <c r="E673" s="353"/>
      <c r="F673" s="311"/>
      <c r="G673" s="222"/>
      <c r="H673" s="222"/>
      <c r="I673" s="222"/>
      <c r="J673" s="325">
        <f t="shared" si="14"/>
        <v>0</v>
      </c>
      <c r="K673" s="337"/>
      <c r="L673" s="327">
        <f t="shared" si="4"/>
        <v>0</v>
      </c>
      <c r="M673" s="321" t="str">
        <f t="shared" si="5"/>
        <v>vivszaid</v>
      </c>
      <c r="N673" s="209">
        <f>IFERROR(__xludf.DUMMYFUNCTION("""COMPUTED_VALUE"""),1.0)</f>
        <v>1</v>
      </c>
      <c r="O673" s="176"/>
      <c r="P673" s="176"/>
      <c r="Q673" s="176"/>
      <c r="R673" s="176">
        <v>14.130370493717818</v>
      </c>
      <c r="S673" s="176"/>
      <c r="T673" s="176"/>
      <c r="U673" s="176"/>
      <c r="V673" s="176"/>
      <c r="W673" s="176"/>
      <c r="X673" s="176"/>
      <c r="Y673" s="176"/>
      <c r="Z673" s="176"/>
    </row>
    <row r="674">
      <c r="A674" s="354" t="s">
        <v>62</v>
      </c>
      <c r="B674" s="314" t="s">
        <v>534</v>
      </c>
      <c r="C674" s="355" t="s">
        <v>2386</v>
      </c>
      <c r="D674" s="309"/>
      <c r="E674" s="353"/>
      <c r="F674" s="311"/>
      <c r="G674" s="222"/>
      <c r="H674" s="222"/>
      <c r="I674" s="222"/>
      <c r="J674" s="325">
        <f t="shared" si="14"/>
        <v>0</v>
      </c>
      <c r="K674" s="337"/>
      <c r="L674" s="327">
        <f t="shared" si="4"/>
        <v>0</v>
      </c>
      <c r="M674" s="321" t="str">
        <f t="shared" si="5"/>
        <v>fiorebotta</v>
      </c>
      <c r="N674" s="209">
        <f>IFERROR(__xludf.DUMMYFUNCTION("""COMPUTED_VALUE"""),1.0)</f>
        <v>1</v>
      </c>
      <c r="O674" s="176"/>
      <c r="P674" s="176"/>
      <c r="Q674" s="176"/>
      <c r="R674" s="176">
        <v>11.125055275694283</v>
      </c>
      <c r="S674" s="176"/>
      <c r="T674" s="176"/>
      <c r="U674" s="176"/>
      <c r="V674" s="176"/>
      <c r="W674" s="176"/>
      <c r="X674" s="176"/>
      <c r="Y674" s="176"/>
      <c r="Z674" s="176"/>
    </row>
    <row r="675">
      <c r="A675" s="354" t="s">
        <v>122</v>
      </c>
      <c r="B675" s="314" t="s">
        <v>534</v>
      </c>
      <c r="C675" s="355" t="s">
        <v>2452</v>
      </c>
      <c r="D675" s="309"/>
      <c r="E675" s="353"/>
      <c r="F675" s="311"/>
      <c r="G675" s="222"/>
      <c r="H675" s="222"/>
      <c r="I675" s="222"/>
      <c r="J675" s="325">
        <f t="shared" si="14"/>
        <v>0</v>
      </c>
      <c r="K675" s="337"/>
      <c r="L675" s="327">
        <f t="shared" si="4"/>
        <v>0</v>
      </c>
      <c r="M675" s="321" t="str">
        <f t="shared" si="5"/>
        <v>anthonyoliai</v>
      </c>
      <c r="N675" s="209">
        <f>IFERROR(__xludf.DUMMYFUNCTION("""COMPUTED_VALUE"""),1.0)</f>
        <v>1</v>
      </c>
      <c r="O675" s="176"/>
      <c r="P675" s="176"/>
      <c r="Q675" s="176"/>
      <c r="R675" s="176">
        <v>8.606119831199203</v>
      </c>
      <c r="S675" s="176"/>
      <c r="T675" s="176"/>
      <c r="U675" s="176"/>
      <c r="V675" s="176"/>
      <c r="W675" s="176"/>
      <c r="X675" s="176"/>
      <c r="Y675" s="176"/>
      <c r="Z675" s="176"/>
    </row>
    <row r="676">
      <c r="A676" s="249"/>
      <c r="B676" s="249"/>
      <c r="C676" s="219"/>
      <c r="D676" s="268"/>
      <c r="E676" s="251"/>
      <c r="F676" s="250"/>
      <c r="G676" s="243"/>
      <c r="H676" s="243"/>
      <c r="I676" s="243"/>
      <c r="J676" s="172"/>
      <c r="K676" s="269"/>
      <c r="L676" s="270"/>
      <c r="M676" s="271"/>
      <c r="N676" s="176"/>
      <c r="O676" s="176"/>
      <c r="P676" s="176"/>
      <c r="Q676" s="176"/>
      <c r="R676" s="176"/>
      <c r="S676" s="176"/>
      <c r="T676" s="176"/>
      <c r="U676" s="176"/>
      <c r="V676" s="176"/>
      <c r="W676" s="176"/>
      <c r="X676" s="176"/>
      <c r="Y676" s="176"/>
      <c r="Z676" s="176"/>
    </row>
    <row r="677">
      <c r="A677" s="249"/>
      <c r="B677" s="249"/>
      <c r="C677" s="219"/>
      <c r="D677" s="268"/>
      <c r="E677" s="251"/>
      <c r="F677" s="250"/>
      <c r="G677" s="243"/>
      <c r="H677" s="243"/>
      <c r="I677" s="243"/>
      <c r="J677" s="172"/>
      <c r="K677" s="269"/>
      <c r="L677" s="270"/>
      <c r="M677" s="271"/>
      <c r="N677" s="176"/>
      <c r="O677" s="176"/>
      <c r="P677" s="176"/>
      <c r="Q677" s="176"/>
      <c r="R677" s="176"/>
      <c r="S677" s="176"/>
      <c r="T677" s="176"/>
      <c r="U677" s="176"/>
      <c r="V677" s="176"/>
      <c r="W677" s="176"/>
      <c r="X677" s="176"/>
      <c r="Y677" s="176"/>
      <c r="Z677" s="176"/>
    </row>
    <row r="678">
      <c r="A678" s="249"/>
      <c r="B678" s="249"/>
      <c r="C678" s="219"/>
      <c r="D678" s="268"/>
      <c r="E678" s="251"/>
      <c r="F678" s="250"/>
      <c r="G678" s="243"/>
      <c r="H678" s="243"/>
      <c r="I678" s="243"/>
      <c r="J678" s="172"/>
      <c r="K678" s="269"/>
      <c r="L678" s="270"/>
      <c r="M678" s="271"/>
      <c r="N678" s="176"/>
      <c r="O678" s="176"/>
      <c r="P678" s="176"/>
      <c r="Q678" s="176"/>
      <c r="R678" s="176"/>
      <c r="S678" s="176"/>
      <c r="T678" s="176"/>
      <c r="U678" s="176"/>
      <c r="V678" s="176"/>
      <c r="W678" s="176"/>
      <c r="X678" s="176"/>
      <c r="Y678" s="176"/>
      <c r="Z678" s="176"/>
    </row>
    <row r="679">
      <c r="A679" s="249"/>
      <c r="B679" s="249"/>
      <c r="C679" s="219"/>
      <c r="D679" s="268"/>
      <c r="E679" s="251"/>
      <c r="F679" s="250"/>
      <c r="G679" s="243"/>
      <c r="H679" s="243"/>
      <c r="I679" s="243"/>
      <c r="J679" s="172"/>
      <c r="K679" s="269"/>
      <c r="L679" s="270"/>
      <c r="M679" s="271"/>
      <c r="N679" s="176"/>
      <c r="O679" s="176"/>
      <c r="P679" s="176"/>
      <c r="Q679" s="176"/>
      <c r="R679" s="176"/>
      <c r="S679" s="176"/>
      <c r="T679" s="176"/>
      <c r="U679" s="176"/>
      <c r="V679" s="176"/>
      <c r="W679" s="176"/>
      <c r="X679" s="176"/>
      <c r="Y679" s="176"/>
      <c r="Z679" s="176"/>
    </row>
    <row r="680">
      <c r="A680" s="249"/>
      <c r="B680" s="249"/>
      <c r="C680" s="219"/>
      <c r="D680" s="268"/>
      <c r="E680" s="251"/>
      <c r="F680" s="250"/>
      <c r="G680" s="243"/>
      <c r="H680" s="243"/>
      <c r="I680" s="243"/>
      <c r="J680" s="172"/>
      <c r="K680" s="269"/>
      <c r="L680" s="270"/>
      <c r="M680" s="271"/>
      <c r="N680" s="176"/>
      <c r="O680" s="176"/>
      <c r="P680" s="176"/>
      <c r="Q680" s="176"/>
      <c r="R680" s="176"/>
      <c r="S680" s="176"/>
      <c r="T680" s="176"/>
      <c r="U680" s="176"/>
      <c r="V680" s="176"/>
      <c r="W680" s="176"/>
      <c r="X680" s="176"/>
      <c r="Y680" s="176"/>
      <c r="Z680" s="176"/>
    </row>
    <row r="681">
      <c r="A681" s="249"/>
      <c r="B681" s="249"/>
      <c r="C681" s="219"/>
      <c r="D681" s="268"/>
      <c r="E681" s="251"/>
      <c r="F681" s="250"/>
      <c r="G681" s="243"/>
      <c r="H681" s="243"/>
      <c r="I681" s="243"/>
      <c r="J681" s="172"/>
      <c r="K681" s="269"/>
      <c r="L681" s="270"/>
      <c r="M681" s="271"/>
      <c r="N681" s="176"/>
      <c r="O681" s="176"/>
      <c r="P681" s="176"/>
      <c r="Q681" s="176"/>
      <c r="R681" s="176"/>
      <c r="S681" s="176"/>
      <c r="T681" s="176"/>
      <c r="U681" s="176"/>
      <c r="V681" s="176"/>
      <c r="W681" s="176"/>
      <c r="X681" s="176"/>
      <c r="Y681" s="176"/>
      <c r="Z681" s="176"/>
    </row>
    <row r="682">
      <c r="A682" s="249"/>
      <c r="B682" s="249"/>
      <c r="C682" s="219"/>
      <c r="D682" s="268"/>
      <c r="E682" s="251"/>
      <c r="F682" s="250"/>
      <c r="G682" s="243"/>
      <c r="H682" s="243"/>
      <c r="I682" s="243"/>
      <c r="J682" s="172"/>
      <c r="K682" s="269"/>
      <c r="L682" s="270"/>
      <c r="M682" s="271"/>
      <c r="N682" s="176"/>
      <c r="O682" s="176"/>
      <c r="P682" s="176"/>
      <c r="Q682" s="176"/>
      <c r="R682" s="176"/>
      <c r="S682" s="176"/>
      <c r="T682" s="176"/>
      <c r="U682" s="176"/>
      <c r="V682" s="176"/>
      <c r="W682" s="176"/>
      <c r="X682" s="176"/>
      <c r="Y682" s="176"/>
      <c r="Z682" s="176"/>
    </row>
    <row r="683">
      <c r="A683" s="249"/>
      <c r="B683" s="249"/>
      <c r="C683" s="219"/>
      <c r="D683" s="268"/>
      <c r="E683" s="251"/>
      <c r="F683" s="250"/>
      <c r="G683" s="243"/>
      <c r="H683" s="243"/>
      <c r="I683" s="243"/>
      <c r="J683" s="172"/>
      <c r="K683" s="269"/>
      <c r="L683" s="270"/>
      <c r="M683" s="271"/>
      <c r="N683" s="176"/>
      <c r="O683" s="176"/>
      <c r="P683" s="176"/>
      <c r="Q683" s="176"/>
      <c r="R683" s="176"/>
      <c r="S683" s="176"/>
      <c r="T683" s="176"/>
      <c r="U683" s="176"/>
      <c r="V683" s="176"/>
      <c r="W683" s="176"/>
      <c r="X683" s="176"/>
      <c r="Y683" s="176"/>
      <c r="Z683" s="176"/>
    </row>
    <row r="684">
      <c r="A684" s="249"/>
      <c r="B684" s="249"/>
      <c r="C684" s="219"/>
      <c r="D684" s="268"/>
      <c r="E684" s="251"/>
      <c r="F684" s="250"/>
      <c r="G684" s="243"/>
      <c r="H684" s="243"/>
      <c r="I684" s="243"/>
      <c r="J684" s="172"/>
      <c r="K684" s="269"/>
      <c r="L684" s="270"/>
      <c r="M684" s="271"/>
      <c r="N684" s="176"/>
      <c r="O684" s="176"/>
      <c r="P684" s="176"/>
      <c r="Q684" s="176"/>
      <c r="R684" s="176"/>
      <c r="S684" s="176"/>
      <c r="T684" s="176"/>
      <c r="U684" s="176"/>
      <c r="V684" s="176"/>
      <c r="W684" s="176"/>
      <c r="X684" s="176"/>
      <c r="Y684" s="176"/>
      <c r="Z684" s="176"/>
    </row>
    <row r="685">
      <c r="A685" s="249"/>
      <c r="B685" s="249"/>
      <c r="C685" s="219"/>
      <c r="D685" s="268"/>
      <c r="E685" s="251"/>
      <c r="F685" s="250"/>
      <c r="G685" s="243"/>
      <c r="H685" s="243"/>
      <c r="I685" s="243"/>
      <c r="J685" s="172"/>
      <c r="K685" s="269"/>
      <c r="L685" s="270"/>
      <c r="M685" s="271"/>
      <c r="N685" s="176"/>
      <c r="O685" s="176"/>
      <c r="P685" s="176"/>
      <c r="Q685" s="176"/>
      <c r="R685" s="176"/>
      <c r="S685" s="176"/>
      <c r="T685" s="176"/>
      <c r="U685" s="176"/>
      <c r="V685" s="176"/>
      <c r="W685" s="176"/>
      <c r="X685" s="176"/>
      <c r="Y685" s="176"/>
      <c r="Z685" s="176"/>
    </row>
    <row r="686">
      <c r="A686" s="249"/>
      <c r="B686" s="249"/>
      <c r="C686" s="219"/>
      <c r="D686" s="268"/>
      <c r="E686" s="251"/>
      <c r="F686" s="250"/>
      <c r="G686" s="243"/>
      <c r="H686" s="243"/>
      <c r="I686" s="243"/>
      <c r="J686" s="172"/>
      <c r="K686" s="269"/>
      <c r="L686" s="270"/>
      <c r="M686" s="271"/>
      <c r="N686" s="176"/>
      <c r="O686" s="176"/>
      <c r="P686" s="176"/>
      <c r="Q686" s="176"/>
      <c r="R686" s="176"/>
      <c r="S686" s="176"/>
      <c r="T686" s="176"/>
      <c r="U686" s="176"/>
      <c r="V686" s="176"/>
      <c r="W686" s="176"/>
      <c r="X686" s="176"/>
      <c r="Y686" s="176"/>
      <c r="Z686" s="176"/>
    </row>
    <row r="687">
      <c r="A687" s="249"/>
      <c r="B687" s="249"/>
      <c r="C687" s="219"/>
      <c r="D687" s="268"/>
      <c r="E687" s="251"/>
      <c r="F687" s="250"/>
      <c r="G687" s="243"/>
      <c r="H687" s="243"/>
      <c r="I687" s="243"/>
      <c r="J687" s="172"/>
      <c r="K687" s="269"/>
      <c r="L687" s="270"/>
      <c r="M687" s="271"/>
      <c r="N687" s="176"/>
      <c r="O687" s="176"/>
      <c r="P687" s="176"/>
      <c r="Q687" s="176"/>
      <c r="R687" s="176"/>
      <c r="S687" s="176"/>
      <c r="T687" s="176"/>
      <c r="U687" s="176"/>
      <c r="V687" s="176"/>
      <c r="W687" s="176"/>
      <c r="X687" s="176"/>
      <c r="Y687" s="176"/>
      <c r="Z687" s="176"/>
    </row>
    <row r="688">
      <c r="A688" s="249"/>
      <c r="B688" s="249"/>
      <c r="C688" s="219"/>
      <c r="D688" s="268"/>
      <c r="E688" s="251"/>
      <c r="F688" s="250"/>
      <c r="G688" s="243"/>
      <c r="H688" s="243"/>
      <c r="I688" s="243"/>
      <c r="J688" s="172"/>
      <c r="K688" s="269"/>
      <c r="L688" s="270"/>
      <c r="M688" s="271"/>
      <c r="N688" s="176"/>
      <c r="O688" s="176"/>
      <c r="P688" s="176"/>
      <c r="Q688" s="176"/>
      <c r="R688" s="176"/>
      <c r="S688" s="176"/>
      <c r="T688" s="176"/>
      <c r="U688" s="176"/>
      <c r="V688" s="176"/>
      <c r="W688" s="176"/>
      <c r="X688" s="176"/>
      <c r="Y688" s="176"/>
      <c r="Z688" s="176"/>
    </row>
    <row r="689">
      <c r="A689" s="249"/>
      <c r="B689" s="249"/>
      <c r="C689" s="219"/>
      <c r="D689" s="268"/>
      <c r="E689" s="251"/>
      <c r="F689" s="250"/>
      <c r="G689" s="243"/>
      <c r="H689" s="243"/>
      <c r="I689" s="243"/>
      <c r="J689" s="172"/>
      <c r="K689" s="269"/>
      <c r="L689" s="270"/>
      <c r="M689" s="271"/>
      <c r="N689" s="176"/>
      <c r="O689" s="176"/>
      <c r="P689" s="176"/>
      <c r="Q689" s="176"/>
      <c r="R689" s="176"/>
      <c r="S689" s="176"/>
      <c r="T689" s="176"/>
      <c r="U689" s="176"/>
      <c r="V689" s="176"/>
      <c r="W689" s="176"/>
      <c r="X689" s="176"/>
      <c r="Y689" s="176"/>
      <c r="Z689" s="176"/>
    </row>
    <row r="690">
      <c r="A690" s="249"/>
      <c r="B690" s="249"/>
      <c r="C690" s="219"/>
      <c r="D690" s="268"/>
      <c r="E690" s="251"/>
      <c r="F690" s="250"/>
      <c r="G690" s="243"/>
      <c r="H690" s="243"/>
      <c r="I690" s="243"/>
      <c r="J690" s="172"/>
      <c r="K690" s="269"/>
      <c r="L690" s="270"/>
      <c r="M690" s="271"/>
      <c r="N690" s="176"/>
      <c r="O690" s="176"/>
      <c r="P690" s="176"/>
      <c r="Q690" s="176"/>
      <c r="R690" s="176"/>
      <c r="S690" s="176"/>
      <c r="T690" s="176"/>
      <c r="U690" s="176"/>
      <c r="V690" s="176"/>
      <c r="W690" s="176"/>
      <c r="X690" s="176"/>
      <c r="Y690" s="176"/>
      <c r="Z690" s="176"/>
    </row>
    <row r="691">
      <c r="A691" s="249"/>
      <c r="B691" s="249"/>
      <c r="C691" s="219"/>
      <c r="D691" s="268"/>
      <c r="E691" s="251"/>
      <c r="F691" s="250"/>
      <c r="G691" s="243"/>
      <c r="H691" s="243"/>
      <c r="I691" s="243"/>
      <c r="J691" s="172"/>
      <c r="K691" s="269"/>
      <c r="L691" s="270"/>
      <c r="M691" s="271"/>
      <c r="N691" s="176"/>
      <c r="O691" s="176"/>
      <c r="P691" s="176"/>
      <c r="Q691" s="176"/>
      <c r="R691" s="176"/>
      <c r="S691" s="176"/>
      <c r="T691" s="176"/>
      <c r="U691" s="176"/>
      <c r="V691" s="176"/>
      <c r="W691" s="176"/>
      <c r="X691" s="176"/>
      <c r="Y691" s="176"/>
      <c r="Z691" s="176"/>
    </row>
    <row r="692">
      <c r="A692" s="249"/>
      <c r="B692" s="249"/>
      <c r="C692" s="219"/>
      <c r="D692" s="268"/>
      <c r="E692" s="251"/>
      <c r="F692" s="250"/>
      <c r="G692" s="243"/>
      <c r="H692" s="243"/>
      <c r="I692" s="243"/>
      <c r="J692" s="172"/>
      <c r="K692" s="269"/>
      <c r="L692" s="270"/>
      <c r="M692" s="271"/>
      <c r="N692" s="176"/>
      <c r="O692" s="176"/>
      <c r="P692" s="176"/>
      <c r="Q692" s="176"/>
      <c r="R692" s="176"/>
      <c r="S692" s="176"/>
      <c r="T692" s="176"/>
      <c r="U692" s="176"/>
      <c r="V692" s="176"/>
      <c r="W692" s="176"/>
      <c r="X692" s="176"/>
      <c r="Y692" s="176"/>
      <c r="Z692" s="176"/>
    </row>
    <row r="693">
      <c r="A693" s="249"/>
      <c r="B693" s="249"/>
      <c r="C693" s="219"/>
      <c r="D693" s="268"/>
      <c r="E693" s="251"/>
      <c r="F693" s="250"/>
      <c r="G693" s="243"/>
      <c r="H693" s="243"/>
      <c r="I693" s="243"/>
      <c r="J693" s="172"/>
      <c r="K693" s="269"/>
      <c r="L693" s="270"/>
      <c r="M693" s="271"/>
      <c r="N693" s="176"/>
      <c r="O693" s="176"/>
      <c r="P693" s="176"/>
      <c r="Q693" s="176"/>
      <c r="R693" s="176"/>
      <c r="S693" s="176"/>
      <c r="T693" s="176"/>
      <c r="U693" s="176"/>
      <c r="V693" s="176"/>
      <c r="W693" s="176"/>
      <c r="X693" s="176"/>
      <c r="Y693" s="176"/>
      <c r="Z693" s="176"/>
    </row>
    <row r="694">
      <c r="A694" s="249"/>
      <c r="B694" s="249"/>
      <c r="C694" s="219"/>
      <c r="D694" s="268"/>
      <c r="E694" s="251"/>
      <c r="F694" s="250"/>
      <c r="G694" s="243"/>
      <c r="H694" s="243"/>
      <c r="I694" s="243"/>
      <c r="J694" s="172"/>
      <c r="K694" s="269"/>
      <c r="L694" s="270"/>
      <c r="M694" s="271"/>
      <c r="N694" s="176"/>
      <c r="O694" s="176"/>
      <c r="P694" s="176"/>
      <c r="Q694" s="176"/>
      <c r="R694" s="176"/>
      <c r="S694" s="176"/>
      <c r="T694" s="176"/>
      <c r="U694" s="176"/>
      <c r="V694" s="176"/>
      <c r="W694" s="176"/>
      <c r="X694" s="176"/>
      <c r="Y694" s="176"/>
      <c r="Z694" s="176"/>
    </row>
    <row r="695">
      <c r="A695" s="249"/>
      <c r="B695" s="249"/>
      <c r="C695" s="219"/>
      <c r="D695" s="268"/>
      <c r="E695" s="251"/>
      <c r="F695" s="250"/>
      <c r="G695" s="243"/>
      <c r="H695" s="243"/>
      <c r="I695" s="243"/>
      <c r="J695" s="172"/>
      <c r="K695" s="269"/>
      <c r="L695" s="270"/>
      <c r="M695" s="271"/>
      <c r="N695" s="176"/>
      <c r="O695" s="176"/>
      <c r="P695" s="176"/>
      <c r="Q695" s="176"/>
      <c r="R695" s="176"/>
      <c r="S695" s="176"/>
      <c r="T695" s="176"/>
      <c r="U695" s="176"/>
      <c r="V695" s="176"/>
      <c r="W695" s="176"/>
      <c r="X695" s="176"/>
      <c r="Y695" s="176"/>
      <c r="Z695" s="176"/>
    </row>
    <row r="696">
      <c r="A696" s="249"/>
      <c r="B696" s="249"/>
      <c r="C696" s="219"/>
      <c r="D696" s="268"/>
      <c r="E696" s="251"/>
      <c r="F696" s="250"/>
      <c r="G696" s="243"/>
      <c r="H696" s="243"/>
      <c r="I696" s="243"/>
      <c r="J696" s="172"/>
      <c r="K696" s="269"/>
      <c r="L696" s="270"/>
      <c r="M696" s="271"/>
      <c r="N696" s="176"/>
      <c r="O696" s="176"/>
      <c r="P696" s="176"/>
      <c r="Q696" s="176"/>
      <c r="R696" s="176"/>
      <c r="S696" s="176"/>
      <c r="T696" s="176"/>
      <c r="U696" s="176"/>
      <c r="V696" s="176"/>
      <c r="W696" s="176"/>
      <c r="X696" s="176"/>
      <c r="Y696" s="176"/>
      <c r="Z696" s="176"/>
    </row>
    <row r="697">
      <c r="A697" s="249"/>
      <c r="B697" s="249"/>
      <c r="C697" s="219"/>
      <c r="D697" s="268"/>
      <c r="E697" s="251"/>
      <c r="F697" s="250"/>
      <c r="G697" s="243"/>
      <c r="H697" s="243"/>
      <c r="I697" s="243"/>
      <c r="J697" s="172"/>
      <c r="K697" s="269"/>
      <c r="L697" s="270"/>
      <c r="M697" s="271"/>
      <c r="N697" s="176"/>
      <c r="O697" s="176"/>
      <c r="P697" s="176"/>
      <c r="Q697" s="176"/>
      <c r="R697" s="176"/>
      <c r="S697" s="176"/>
      <c r="T697" s="176"/>
      <c r="U697" s="176"/>
      <c r="V697" s="176"/>
      <c r="W697" s="176"/>
      <c r="X697" s="176"/>
      <c r="Y697" s="176"/>
      <c r="Z697" s="176"/>
    </row>
    <row r="698">
      <c r="A698" s="249"/>
      <c r="B698" s="249"/>
      <c r="C698" s="219"/>
      <c r="D698" s="268"/>
      <c r="E698" s="251"/>
      <c r="F698" s="250"/>
      <c r="G698" s="243"/>
      <c r="H698" s="243"/>
      <c r="I698" s="243"/>
      <c r="J698" s="172"/>
      <c r="K698" s="269"/>
      <c r="L698" s="270"/>
      <c r="M698" s="271"/>
      <c r="N698" s="176"/>
      <c r="O698" s="176"/>
      <c r="P698" s="176"/>
      <c r="Q698" s="176"/>
      <c r="R698" s="176"/>
      <c r="S698" s="176"/>
      <c r="T698" s="176"/>
      <c r="U698" s="176"/>
      <c r="V698" s="176"/>
      <c r="W698" s="176"/>
      <c r="X698" s="176"/>
      <c r="Y698" s="176"/>
      <c r="Z698" s="176"/>
    </row>
    <row r="699">
      <c r="A699" s="249"/>
      <c r="B699" s="249"/>
      <c r="C699" s="219"/>
      <c r="D699" s="268"/>
      <c r="E699" s="251"/>
      <c r="F699" s="250"/>
      <c r="G699" s="243"/>
      <c r="H699" s="243"/>
      <c r="I699" s="243"/>
      <c r="J699" s="172"/>
      <c r="K699" s="269"/>
      <c r="L699" s="270"/>
      <c r="M699" s="271"/>
      <c r="N699" s="176"/>
      <c r="O699" s="176"/>
      <c r="P699" s="176"/>
      <c r="Q699" s="176"/>
      <c r="R699" s="176"/>
      <c r="S699" s="176"/>
      <c r="T699" s="176"/>
      <c r="U699" s="176"/>
      <c r="V699" s="176"/>
      <c r="W699" s="176"/>
      <c r="X699" s="176"/>
      <c r="Y699" s="176"/>
      <c r="Z699" s="176"/>
    </row>
    <row r="700">
      <c r="A700" s="249"/>
      <c r="B700" s="249"/>
      <c r="C700" s="219"/>
      <c r="D700" s="268"/>
      <c r="E700" s="251"/>
      <c r="F700" s="250"/>
      <c r="G700" s="243"/>
      <c r="H700" s="243"/>
      <c r="I700" s="243"/>
      <c r="J700" s="172"/>
      <c r="K700" s="269"/>
      <c r="L700" s="270"/>
      <c r="M700" s="271"/>
      <c r="N700" s="176"/>
      <c r="O700" s="176"/>
      <c r="P700" s="176"/>
      <c r="Q700" s="176"/>
      <c r="R700" s="176"/>
      <c r="S700" s="176"/>
      <c r="T700" s="176"/>
      <c r="U700" s="176"/>
      <c r="V700" s="176"/>
      <c r="W700" s="176"/>
      <c r="X700" s="176"/>
      <c r="Y700" s="176"/>
      <c r="Z700" s="176"/>
    </row>
    <row r="701">
      <c r="A701" s="249"/>
      <c r="B701" s="249"/>
      <c r="C701" s="219"/>
      <c r="D701" s="268"/>
      <c r="E701" s="251"/>
      <c r="F701" s="250"/>
      <c r="G701" s="243"/>
      <c r="H701" s="243"/>
      <c r="I701" s="243"/>
      <c r="J701" s="172"/>
      <c r="K701" s="269"/>
      <c r="L701" s="270"/>
      <c r="M701" s="271"/>
      <c r="N701" s="176"/>
      <c r="O701" s="176"/>
      <c r="P701" s="176"/>
      <c r="Q701" s="176"/>
      <c r="R701" s="176"/>
      <c r="S701" s="176"/>
      <c r="T701" s="176"/>
      <c r="U701" s="176"/>
      <c r="V701" s="176"/>
      <c r="W701" s="176"/>
      <c r="X701" s="176"/>
      <c r="Y701" s="176"/>
      <c r="Z701" s="176"/>
    </row>
    <row r="702">
      <c r="A702" s="249"/>
      <c r="B702" s="249"/>
      <c r="C702" s="219"/>
      <c r="D702" s="268"/>
      <c r="E702" s="251"/>
      <c r="F702" s="250"/>
      <c r="G702" s="243"/>
      <c r="H702" s="243"/>
      <c r="I702" s="243"/>
      <c r="J702" s="172"/>
      <c r="K702" s="269"/>
      <c r="L702" s="270"/>
      <c r="M702" s="271"/>
      <c r="N702" s="176"/>
      <c r="O702" s="176"/>
      <c r="P702" s="176"/>
      <c r="Q702" s="176"/>
      <c r="R702" s="176"/>
      <c r="S702" s="176"/>
      <c r="T702" s="176"/>
      <c r="U702" s="176"/>
      <c r="V702" s="176"/>
      <c r="W702" s="176"/>
      <c r="X702" s="176"/>
      <c r="Y702" s="176"/>
      <c r="Z702" s="176"/>
    </row>
    <row r="703">
      <c r="A703" s="249"/>
      <c r="B703" s="249"/>
      <c r="C703" s="219"/>
      <c r="D703" s="268"/>
      <c r="E703" s="251"/>
      <c r="F703" s="250"/>
      <c r="G703" s="243"/>
      <c r="H703" s="243"/>
      <c r="I703" s="243"/>
      <c r="J703" s="172"/>
      <c r="K703" s="269"/>
      <c r="L703" s="270"/>
      <c r="M703" s="271"/>
      <c r="N703" s="176"/>
      <c r="O703" s="176"/>
      <c r="P703" s="176"/>
      <c r="Q703" s="176"/>
      <c r="R703" s="176"/>
      <c r="S703" s="176"/>
      <c r="T703" s="176"/>
      <c r="U703" s="176"/>
      <c r="V703" s="176"/>
      <c r="W703" s="176"/>
      <c r="X703" s="176"/>
      <c r="Y703" s="176"/>
      <c r="Z703" s="176"/>
    </row>
    <row r="704">
      <c r="A704" s="249"/>
      <c r="B704" s="249"/>
      <c r="C704" s="219"/>
      <c r="D704" s="268"/>
      <c r="E704" s="251"/>
      <c r="F704" s="250"/>
      <c r="G704" s="243"/>
      <c r="H704" s="243"/>
      <c r="I704" s="243"/>
      <c r="J704" s="172"/>
      <c r="K704" s="269"/>
      <c r="L704" s="270"/>
      <c r="M704" s="271"/>
      <c r="N704" s="176"/>
      <c r="O704" s="176"/>
      <c r="P704" s="176"/>
      <c r="Q704" s="176"/>
      <c r="R704" s="176"/>
      <c r="S704" s="176"/>
      <c r="T704" s="176"/>
      <c r="U704" s="176"/>
      <c r="V704" s="176"/>
      <c r="W704" s="176"/>
      <c r="X704" s="176"/>
      <c r="Y704" s="176"/>
      <c r="Z704" s="176"/>
    </row>
    <row r="705">
      <c r="A705" s="249"/>
      <c r="B705" s="249"/>
      <c r="C705" s="219"/>
      <c r="D705" s="268"/>
      <c r="E705" s="251"/>
      <c r="F705" s="250"/>
      <c r="G705" s="243"/>
      <c r="H705" s="243"/>
      <c r="I705" s="243"/>
      <c r="J705" s="172"/>
      <c r="K705" s="269"/>
      <c r="L705" s="270"/>
      <c r="M705" s="271"/>
      <c r="N705" s="176"/>
      <c r="O705" s="176"/>
      <c r="P705" s="176"/>
      <c r="Q705" s="176"/>
      <c r="R705" s="176"/>
      <c r="S705" s="176"/>
      <c r="T705" s="176"/>
      <c r="U705" s="176"/>
      <c r="V705" s="176"/>
      <c r="W705" s="176"/>
      <c r="X705" s="176"/>
      <c r="Y705" s="176"/>
      <c r="Z705" s="176"/>
    </row>
    <row r="706">
      <c r="A706" s="249"/>
      <c r="B706" s="249"/>
      <c r="C706" s="219"/>
      <c r="D706" s="268"/>
      <c r="E706" s="251"/>
      <c r="F706" s="250"/>
      <c r="G706" s="243"/>
      <c r="H706" s="243"/>
      <c r="I706" s="243"/>
      <c r="J706" s="172"/>
      <c r="K706" s="269"/>
      <c r="L706" s="270"/>
      <c r="M706" s="271"/>
      <c r="N706" s="176"/>
      <c r="O706" s="176"/>
      <c r="P706" s="176"/>
      <c r="Q706" s="176"/>
      <c r="R706" s="176"/>
      <c r="S706" s="176"/>
      <c r="T706" s="176"/>
      <c r="U706" s="176"/>
      <c r="V706" s="176"/>
      <c r="W706" s="176"/>
      <c r="X706" s="176"/>
      <c r="Y706" s="176"/>
      <c r="Z706" s="176"/>
    </row>
    <row r="707">
      <c r="A707" s="249"/>
      <c r="B707" s="249"/>
      <c r="C707" s="219"/>
      <c r="D707" s="268"/>
      <c r="E707" s="251"/>
      <c r="F707" s="250"/>
      <c r="G707" s="243"/>
      <c r="H707" s="243"/>
      <c r="I707" s="243"/>
      <c r="J707" s="172"/>
      <c r="K707" s="269"/>
      <c r="L707" s="270"/>
      <c r="M707" s="271"/>
      <c r="N707" s="176"/>
      <c r="O707" s="176"/>
      <c r="P707" s="176"/>
      <c r="Q707" s="176"/>
      <c r="R707" s="176"/>
      <c r="S707" s="176"/>
      <c r="T707" s="176"/>
      <c r="U707" s="176"/>
      <c r="V707" s="176"/>
      <c r="W707" s="176"/>
      <c r="X707" s="176"/>
      <c r="Y707" s="176"/>
      <c r="Z707" s="176"/>
    </row>
    <row r="708">
      <c r="A708" s="249"/>
      <c r="B708" s="249"/>
      <c r="C708" s="219"/>
      <c r="D708" s="268"/>
      <c r="E708" s="251"/>
      <c r="F708" s="250"/>
      <c r="G708" s="243"/>
      <c r="H708" s="243"/>
      <c r="I708" s="243"/>
      <c r="J708" s="172"/>
      <c r="K708" s="269"/>
      <c r="L708" s="270"/>
      <c r="M708" s="271"/>
      <c r="N708" s="176"/>
      <c r="O708" s="176"/>
      <c r="P708" s="176"/>
      <c r="Q708" s="176"/>
      <c r="R708" s="176"/>
      <c r="S708" s="176"/>
      <c r="T708" s="176"/>
      <c r="U708" s="176"/>
      <c r="V708" s="176"/>
      <c r="W708" s="176"/>
      <c r="X708" s="176"/>
      <c r="Y708" s="176"/>
      <c r="Z708" s="176"/>
    </row>
    <row r="709">
      <c r="A709" s="249"/>
      <c r="B709" s="249"/>
      <c r="C709" s="219"/>
      <c r="D709" s="268"/>
      <c r="E709" s="251"/>
      <c r="F709" s="250"/>
      <c r="G709" s="243"/>
      <c r="H709" s="243"/>
      <c r="I709" s="243"/>
      <c r="J709" s="172"/>
      <c r="K709" s="269"/>
      <c r="L709" s="270"/>
      <c r="M709" s="271"/>
      <c r="N709" s="176"/>
      <c r="O709" s="176"/>
      <c r="P709" s="176"/>
      <c r="Q709" s="176"/>
      <c r="R709" s="176"/>
      <c r="S709" s="176"/>
      <c r="T709" s="176"/>
      <c r="U709" s="176"/>
      <c r="V709" s="176"/>
      <c r="W709" s="176"/>
      <c r="X709" s="176"/>
      <c r="Y709" s="176"/>
      <c r="Z709" s="176"/>
    </row>
    <row r="710">
      <c r="A710" s="249"/>
      <c r="B710" s="249"/>
      <c r="C710" s="219"/>
      <c r="D710" s="268"/>
      <c r="E710" s="251"/>
      <c r="F710" s="250"/>
      <c r="G710" s="243"/>
      <c r="H710" s="243"/>
      <c r="I710" s="243"/>
      <c r="J710" s="172"/>
      <c r="K710" s="269"/>
      <c r="L710" s="270"/>
      <c r="M710" s="271"/>
      <c r="N710" s="176"/>
      <c r="O710" s="176"/>
      <c r="P710" s="176"/>
      <c r="Q710" s="176"/>
      <c r="R710" s="176"/>
      <c r="S710" s="176"/>
      <c r="T710" s="176"/>
      <c r="U710" s="176"/>
      <c r="V710" s="176"/>
      <c r="W710" s="176"/>
      <c r="X710" s="176"/>
      <c r="Y710" s="176"/>
      <c r="Z710" s="176"/>
    </row>
    <row r="711">
      <c r="A711" s="249"/>
      <c r="B711" s="249"/>
      <c r="C711" s="219"/>
      <c r="D711" s="268"/>
      <c r="E711" s="251"/>
      <c r="F711" s="250"/>
      <c r="G711" s="243"/>
      <c r="H711" s="243"/>
      <c r="I711" s="243"/>
      <c r="J711" s="172"/>
      <c r="K711" s="269"/>
      <c r="L711" s="270"/>
      <c r="M711" s="271"/>
      <c r="N711" s="176"/>
      <c r="O711" s="176"/>
      <c r="P711" s="176"/>
      <c r="Q711" s="176"/>
      <c r="R711" s="176"/>
      <c r="S711" s="176"/>
      <c r="T711" s="176"/>
      <c r="U711" s="176"/>
      <c r="V711" s="176"/>
      <c r="W711" s="176"/>
      <c r="X711" s="176"/>
      <c r="Y711" s="176"/>
      <c r="Z711" s="176"/>
    </row>
    <row r="712">
      <c r="A712" s="249"/>
      <c r="B712" s="249"/>
      <c r="C712" s="219"/>
      <c r="D712" s="268"/>
      <c r="E712" s="251"/>
      <c r="F712" s="250"/>
      <c r="G712" s="243"/>
      <c r="H712" s="243"/>
      <c r="I712" s="243"/>
      <c r="J712" s="172"/>
      <c r="K712" s="269"/>
      <c r="L712" s="270"/>
      <c r="M712" s="271"/>
      <c r="N712" s="176"/>
      <c r="O712" s="176"/>
      <c r="P712" s="176"/>
      <c r="Q712" s="176"/>
      <c r="R712" s="176"/>
      <c r="S712" s="176"/>
      <c r="T712" s="176"/>
      <c r="U712" s="176"/>
      <c r="V712" s="176"/>
      <c r="W712" s="176"/>
      <c r="X712" s="176"/>
      <c r="Y712" s="176"/>
      <c r="Z712" s="176"/>
    </row>
    <row r="713">
      <c r="A713" s="249"/>
      <c r="B713" s="249"/>
      <c r="C713" s="219"/>
      <c r="D713" s="268"/>
      <c r="E713" s="251"/>
      <c r="F713" s="250"/>
      <c r="G713" s="243"/>
      <c r="H713" s="243"/>
      <c r="I713" s="243"/>
      <c r="J713" s="172"/>
      <c r="K713" s="269"/>
      <c r="L713" s="270"/>
      <c r="M713" s="271"/>
      <c r="N713" s="176"/>
      <c r="O713" s="176"/>
      <c r="P713" s="176"/>
      <c r="Q713" s="176"/>
      <c r="R713" s="176"/>
      <c r="S713" s="176"/>
      <c r="T713" s="176"/>
      <c r="U713" s="176"/>
      <c r="V713" s="176"/>
      <c r="W713" s="176"/>
      <c r="X713" s="176"/>
      <c r="Y713" s="176"/>
      <c r="Z713" s="176"/>
    </row>
    <row r="714">
      <c r="A714" s="249"/>
      <c r="B714" s="249"/>
      <c r="C714" s="219"/>
      <c r="D714" s="268"/>
      <c r="E714" s="251"/>
      <c r="F714" s="250"/>
      <c r="G714" s="243"/>
      <c r="H714" s="243"/>
      <c r="I714" s="243"/>
      <c r="J714" s="172"/>
      <c r="K714" s="269"/>
      <c r="L714" s="270"/>
      <c r="M714" s="271"/>
      <c r="N714" s="176"/>
      <c r="O714" s="176"/>
      <c r="P714" s="176"/>
      <c r="Q714" s="176"/>
      <c r="R714" s="176"/>
      <c r="S714" s="176"/>
      <c r="T714" s="176"/>
      <c r="U714" s="176"/>
      <c r="V714" s="176"/>
      <c r="W714" s="176"/>
      <c r="X714" s="176"/>
      <c r="Y714" s="176"/>
      <c r="Z714" s="176"/>
    </row>
    <row r="715">
      <c r="A715" s="249"/>
      <c r="B715" s="249"/>
      <c r="C715" s="219"/>
      <c r="D715" s="268"/>
      <c r="E715" s="251"/>
      <c r="F715" s="250"/>
      <c r="G715" s="243"/>
      <c r="H715" s="243"/>
      <c r="I715" s="243"/>
      <c r="J715" s="172"/>
      <c r="K715" s="269"/>
      <c r="L715" s="270"/>
      <c r="M715" s="271"/>
      <c r="N715" s="176"/>
      <c r="O715" s="176"/>
      <c r="P715" s="176"/>
      <c r="Q715" s="176"/>
      <c r="R715" s="176"/>
      <c r="S715" s="176"/>
      <c r="T715" s="176"/>
      <c r="U715" s="176"/>
      <c r="V715" s="176"/>
      <c r="W715" s="176"/>
      <c r="X715" s="176"/>
      <c r="Y715" s="176"/>
      <c r="Z715" s="176"/>
    </row>
    <row r="716">
      <c r="A716" s="249"/>
      <c r="B716" s="249"/>
      <c r="C716" s="219"/>
      <c r="D716" s="268"/>
      <c r="E716" s="251"/>
      <c r="F716" s="250"/>
      <c r="G716" s="243"/>
      <c r="H716" s="243"/>
      <c r="I716" s="243"/>
      <c r="J716" s="172"/>
      <c r="K716" s="269"/>
      <c r="L716" s="270"/>
      <c r="M716" s="271"/>
      <c r="N716" s="176"/>
      <c r="O716" s="176"/>
      <c r="P716" s="176"/>
      <c r="Q716" s="176"/>
      <c r="R716" s="176"/>
      <c r="S716" s="176"/>
      <c r="T716" s="176"/>
      <c r="U716" s="176"/>
      <c r="V716" s="176"/>
      <c r="W716" s="176"/>
      <c r="X716" s="176"/>
      <c r="Y716" s="176"/>
      <c r="Z716" s="176"/>
    </row>
    <row r="717">
      <c r="A717" s="249"/>
      <c r="B717" s="249"/>
      <c r="C717" s="219"/>
      <c r="D717" s="268"/>
      <c r="E717" s="251"/>
      <c r="F717" s="250"/>
      <c r="G717" s="243"/>
      <c r="H717" s="243"/>
      <c r="I717" s="243"/>
      <c r="J717" s="172"/>
      <c r="K717" s="269"/>
      <c r="L717" s="270"/>
      <c r="M717" s="271"/>
      <c r="N717" s="176"/>
      <c r="O717" s="176"/>
      <c r="P717" s="176"/>
      <c r="Q717" s="176"/>
      <c r="R717" s="176"/>
      <c r="S717" s="176"/>
      <c r="T717" s="176"/>
      <c r="U717" s="176"/>
      <c r="V717" s="176"/>
      <c r="W717" s="176"/>
      <c r="X717" s="176"/>
      <c r="Y717" s="176"/>
      <c r="Z717" s="176"/>
    </row>
    <row r="718">
      <c r="A718" s="249"/>
      <c r="B718" s="249"/>
      <c r="C718" s="219"/>
      <c r="D718" s="268"/>
      <c r="E718" s="251"/>
      <c r="F718" s="250"/>
      <c r="G718" s="243"/>
      <c r="H718" s="243"/>
      <c r="I718" s="243"/>
      <c r="J718" s="172"/>
      <c r="K718" s="269"/>
      <c r="L718" s="270"/>
      <c r="M718" s="271"/>
      <c r="N718" s="176"/>
      <c r="O718" s="176"/>
      <c r="P718" s="176"/>
      <c r="Q718" s="176"/>
      <c r="R718" s="176"/>
      <c r="S718" s="176"/>
      <c r="T718" s="176"/>
      <c r="U718" s="176"/>
      <c r="V718" s="176"/>
      <c r="W718" s="176"/>
      <c r="X718" s="176"/>
      <c r="Y718" s="176"/>
      <c r="Z718" s="176"/>
    </row>
    <row r="719">
      <c r="A719" s="249"/>
      <c r="B719" s="249"/>
      <c r="C719" s="219"/>
      <c r="D719" s="268"/>
      <c r="E719" s="251"/>
      <c r="F719" s="250"/>
      <c r="G719" s="243"/>
      <c r="H719" s="243"/>
      <c r="I719" s="243"/>
      <c r="J719" s="172"/>
      <c r="K719" s="269"/>
      <c r="L719" s="270"/>
      <c r="M719" s="271"/>
      <c r="N719" s="176"/>
      <c r="O719" s="176"/>
      <c r="P719" s="176"/>
      <c r="Q719" s="176"/>
      <c r="R719" s="176"/>
      <c r="S719" s="176"/>
      <c r="T719" s="176"/>
      <c r="U719" s="176"/>
      <c r="V719" s="176"/>
      <c r="W719" s="176"/>
      <c r="X719" s="176"/>
      <c r="Y719" s="176"/>
      <c r="Z719" s="176"/>
    </row>
    <row r="720">
      <c r="A720" s="249"/>
      <c r="B720" s="249"/>
      <c r="C720" s="219"/>
      <c r="D720" s="268"/>
      <c r="E720" s="251"/>
      <c r="F720" s="250"/>
      <c r="G720" s="243"/>
      <c r="H720" s="243"/>
      <c r="I720" s="243"/>
      <c r="J720" s="325"/>
      <c r="K720" s="326"/>
      <c r="L720" s="327"/>
      <c r="M720" s="321"/>
      <c r="N720" s="176"/>
      <c r="O720" s="176"/>
      <c r="P720" s="176"/>
      <c r="Q720" s="176"/>
      <c r="R720" s="176"/>
      <c r="S720" s="176"/>
      <c r="T720" s="176"/>
      <c r="U720" s="176"/>
      <c r="V720" s="176"/>
      <c r="W720" s="176"/>
      <c r="X720" s="176"/>
      <c r="Y720" s="176"/>
      <c r="Z720" s="176"/>
    </row>
    <row r="721">
      <c r="A721" s="249"/>
      <c r="B721" s="249"/>
      <c r="C721" s="219"/>
      <c r="D721" s="268"/>
      <c r="E721" s="251"/>
      <c r="F721" s="250"/>
      <c r="G721" s="243"/>
      <c r="H721" s="243"/>
      <c r="I721" s="243"/>
      <c r="J721" s="325"/>
      <c r="K721" s="326"/>
      <c r="L721" s="327"/>
      <c r="M721" s="321"/>
      <c r="N721" s="176"/>
      <c r="O721" s="176"/>
      <c r="P721" s="176"/>
      <c r="Q721" s="176"/>
      <c r="R721" s="176"/>
      <c r="S721" s="176"/>
      <c r="T721" s="176"/>
      <c r="U721" s="176"/>
      <c r="V721" s="176"/>
      <c r="W721" s="176"/>
      <c r="X721" s="176"/>
      <c r="Y721" s="176"/>
      <c r="Z721" s="176"/>
    </row>
    <row r="722">
      <c r="A722" s="249"/>
      <c r="B722" s="249"/>
      <c r="C722" s="219"/>
      <c r="D722" s="268"/>
      <c r="E722" s="251"/>
      <c r="F722" s="250"/>
      <c r="G722" s="243"/>
      <c r="H722" s="243"/>
      <c r="I722" s="243"/>
      <c r="J722" s="325"/>
      <c r="K722" s="326"/>
      <c r="L722" s="327"/>
      <c r="M722" s="321"/>
      <c r="N722" s="176"/>
      <c r="O722" s="176"/>
      <c r="P722" s="176"/>
      <c r="Q722" s="176"/>
      <c r="R722" s="176"/>
      <c r="S722" s="176"/>
      <c r="T722" s="176"/>
      <c r="U722" s="176"/>
      <c r="V722" s="176"/>
      <c r="W722" s="176"/>
      <c r="X722" s="176"/>
      <c r="Y722" s="176"/>
      <c r="Z722" s="176"/>
    </row>
    <row r="723">
      <c r="A723" s="249"/>
      <c r="B723" s="249"/>
      <c r="C723" s="219"/>
      <c r="D723" s="268"/>
      <c r="E723" s="251"/>
      <c r="F723" s="250"/>
      <c r="G723" s="243"/>
      <c r="H723" s="243"/>
      <c r="I723" s="243"/>
      <c r="J723" s="325"/>
      <c r="K723" s="326"/>
      <c r="L723" s="327"/>
      <c r="M723" s="321"/>
      <c r="N723" s="176"/>
      <c r="O723" s="176"/>
      <c r="P723" s="176"/>
      <c r="Q723" s="176"/>
      <c r="R723" s="176"/>
      <c r="S723" s="176"/>
      <c r="T723" s="176"/>
      <c r="U723" s="176"/>
      <c r="V723" s="176"/>
      <c r="W723" s="176"/>
      <c r="X723" s="176"/>
      <c r="Y723" s="176"/>
      <c r="Z723" s="176"/>
    </row>
    <row r="724">
      <c r="A724" s="249"/>
      <c r="B724" s="249"/>
      <c r="C724" s="219"/>
      <c r="D724" s="268"/>
      <c r="E724" s="251"/>
      <c r="F724" s="250"/>
      <c r="G724" s="243"/>
      <c r="H724" s="243"/>
      <c r="I724" s="243"/>
      <c r="J724" s="325"/>
      <c r="K724" s="326"/>
      <c r="L724" s="327"/>
      <c r="M724" s="321"/>
      <c r="N724" s="176"/>
      <c r="O724" s="176"/>
      <c r="P724" s="176"/>
      <c r="Q724" s="176"/>
      <c r="R724" s="176"/>
      <c r="S724" s="176"/>
      <c r="T724" s="176"/>
      <c r="U724" s="176"/>
      <c r="V724" s="176"/>
      <c r="W724" s="176"/>
      <c r="X724" s="176"/>
      <c r="Y724" s="176"/>
      <c r="Z724" s="176"/>
    </row>
    <row r="725">
      <c r="A725" s="249"/>
      <c r="B725" s="249"/>
      <c r="C725" s="219"/>
      <c r="D725" s="268"/>
      <c r="E725" s="251"/>
      <c r="F725" s="250"/>
      <c r="G725" s="243"/>
      <c r="H725" s="243"/>
      <c r="I725" s="243"/>
      <c r="J725" s="325"/>
      <c r="K725" s="326"/>
      <c r="L725" s="327"/>
      <c r="M725" s="321"/>
      <c r="N725" s="176"/>
      <c r="O725" s="176"/>
      <c r="P725" s="176"/>
      <c r="Q725" s="176"/>
      <c r="R725" s="176"/>
      <c r="S725" s="176"/>
      <c r="T725" s="176"/>
      <c r="U725" s="176"/>
      <c r="V725" s="176"/>
      <c r="W725" s="176"/>
      <c r="X725" s="176"/>
      <c r="Y725" s="176"/>
      <c r="Z725" s="176"/>
    </row>
    <row r="726">
      <c r="A726" s="249"/>
      <c r="B726" s="249"/>
      <c r="C726" s="219"/>
      <c r="D726" s="268"/>
      <c r="E726" s="251"/>
      <c r="F726" s="250"/>
      <c r="G726" s="243"/>
      <c r="H726" s="243"/>
      <c r="I726" s="243"/>
      <c r="J726" s="325"/>
      <c r="K726" s="326"/>
      <c r="L726" s="327"/>
      <c r="M726" s="321"/>
      <c r="N726" s="176"/>
      <c r="O726" s="176"/>
      <c r="P726" s="176"/>
      <c r="Q726" s="176"/>
      <c r="R726" s="176"/>
      <c r="S726" s="176"/>
      <c r="T726" s="176"/>
      <c r="U726" s="176"/>
      <c r="V726" s="176"/>
      <c r="W726" s="176"/>
      <c r="X726" s="176"/>
      <c r="Y726" s="176"/>
      <c r="Z726" s="176"/>
    </row>
    <row r="727">
      <c r="A727" s="249"/>
      <c r="B727" s="249"/>
      <c r="C727" s="219"/>
      <c r="D727" s="268"/>
      <c r="E727" s="251"/>
      <c r="F727" s="250"/>
      <c r="G727" s="243"/>
      <c r="H727" s="243"/>
      <c r="I727" s="243"/>
      <c r="J727" s="325"/>
      <c r="K727" s="326"/>
      <c r="L727" s="327"/>
      <c r="M727" s="321"/>
      <c r="N727" s="176"/>
      <c r="O727" s="176"/>
      <c r="P727" s="176"/>
      <c r="Q727" s="176"/>
      <c r="R727" s="176"/>
      <c r="S727" s="176"/>
      <c r="T727" s="176"/>
      <c r="U727" s="176"/>
      <c r="V727" s="176"/>
      <c r="W727" s="176"/>
      <c r="X727" s="176"/>
      <c r="Y727" s="176"/>
      <c r="Z727" s="176"/>
    </row>
    <row r="728">
      <c r="A728" s="249"/>
      <c r="B728" s="249"/>
      <c r="C728" s="219"/>
      <c r="D728" s="268"/>
      <c r="E728" s="251"/>
      <c r="F728" s="250"/>
      <c r="G728" s="243"/>
      <c r="H728" s="243"/>
      <c r="I728" s="243"/>
      <c r="J728" s="325"/>
      <c r="K728" s="326"/>
      <c r="L728" s="327"/>
      <c r="M728" s="321"/>
      <c r="N728" s="176"/>
      <c r="O728" s="176"/>
      <c r="P728" s="176"/>
      <c r="Q728" s="176"/>
      <c r="R728" s="176"/>
      <c r="S728" s="176"/>
      <c r="T728" s="176"/>
      <c r="U728" s="176"/>
      <c r="V728" s="176"/>
      <c r="W728" s="176"/>
      <c r="X728" s="176"/>
      <c r="Y728" s="176"/>
      <c r="Z728" s="176"/>
    </row>
    <row r="729">
      <c r="A729" s="249"/>
      <c r="B729" s="249"/>
      <c r="C729" s="219"/>
      <c r="D729" s="268"/>
      <c r="E729" s="251"/>
      <c r="F729" s="250"/>
      <c r="G729" s="243"/>
      <c r="H729" s="243"/>
      <c r="I729" s="243"/>
      <c r="J729" s="325"/>
      <c r="K729" s="326"/>
      <c r="L729" s="327"/>
      <c r="M729" s="321"/>
      <c r="N729" s="176"/>
      <c r="O729" s="176"/>
      <c r="P729" s="176"/>
      <c r="Q729" s="176"/>
      <c r="R729" s="176"/>
      <c r="S729" s="176"/>
      <c r="T729" s="176"/>
      <c r="U729" s="176"/>
      <c r="V729" s="176"/>
      <c r="W729" s="176"/>
      <c r="X729" s="176"/>
      <c r="Y729" s="176"/>
      <c r="Z729" s="176"/>
    </row>
    <row r="730">
      <c r="A730" s="249"/>
      <c r="B730" s="249"/>
      <c r="C730" s="219"/>
      <c r="D730" s="268"/>
      <c r="E730" s="251"/>
      <c r="F730" s="250"/>
      <c r="G730" s="243"/>
      <c r="H730" s="243"/>
      <c r="I730" s="243"/>
      <c r="J730" s="325"/>
      <c r="K730" s="326"/>
      <c r="L730" s="327"/>
      <c r="M730" s="321"/>
      <c r="N730" s="176"/>
      <c r="O730" s="176"/>
      <c r="P730" s="176"/>
      <c r="Q730" s="176"/>
      <c r="R730" s="176"/>
      <c r="S730" s="176"/>
      <c r="T730" s="176"/>
      <c r="U730" s="176"/>
      <c r="V730" s="176"/>
      <c r="W730" s="176"/>
      <c r="X730" s="176"/>
      <c r="Y730" s="176"/>
      <c r="Z730" s="176"/>
    </row>
    <row r="731">
      <c r="A731" s="249"/>
      <c r="B731" s="249"/>
      <c r="C731" s="219"/>
      <c r="D731" s="268"/>
      <c r="E731" s="251"/>
      <c r="F731" s="250"/>
      <c r="G731" s="243"/>
      <c r="H731" s="243"/>
      <c r="I731" s="243"/>
      <c r="J731" s="325"/>
      <c r="K731" s="326"/>
      <c r="L731" s="327"/>
      <c r="M731" s="321"/>
      <c r="N731" s="176"/>
      <c r="O731" s="176"/>
      <c r="P731" s="176"/>
      <c r="Q731" s="176"/>
      <c r="R731" s="176"/>
      <c r="S731" s="176"/>
      <c r="T731" s="176"/>
      <c r="U731" s="176"/>
      <c r="V731" s="176"/>
      <c r="W731" s="176"/>
      <c r="X731" s="176"/>
      <c r="Y731" s="176"/>
      <c r="Z731" s="176"/>
    </row>
    <row r="732">
      <c r="A732" s="249"/>
      <c r="B732" s="249"/>
      <c r="C732" s="219"/>
      <c r="D732" s="268"/>
      <c r="E732" s="251"/>
      <c r="F732" s="250"/>
      <c r="G732" s="243"/>
      <c r="H732" s="243"/>
      <c r="I732" s="243"/>
      <c r="J732" s="325"/>
      <c r="K732" s="326"/>
      <c r="L732" s="327"/>
      <c r="M732" s="321"/>
      <c r="N732" s="176"/>
      <c r="O732" s="176"/>
      <c r="P732" s="176"/>
      <c r="Q732" s="176"/>
      <c r="R732" s="176"/>
      <c r="S732" s="176"/>
      <c r="T732" s="176"/>
      <c r="U732" s="176"/>
      <c r="V732" s="176"/>
      <c r="W732" s="176"/>
      <c r="X732" s="176"/>
      <c r="Y732" s="176"/>
      <c r="Z732" s="176"/>
    </row>
    <row r="733">
      <c r="A733" s="249"/>
      <c r="B733" s="249"/>
      <c r="C733" s="219"/>
      <c r="D733" s="268"/>
      <c r="E733" s="251"/>
      <c r="F733" s="250"/>
      <c r="G733" s="243"/>
      <c r="H733" s="243"/>
      <c r="I733" s="243"/>
      <c r="J733" s="325"/>
      <c r="K733" s="326"/>
      <c r="L733" s="327"/>
      <c r="M733" s="321"/>
      <c r="N733" s="176"/>
      <c r="O733" s="176"/>
      <c r="P733" s="176"/>
      <c r="Q733" s="176"/>
      <c r="R733" s="176"/>
      <c r="S733" s="176"/>
      <c r="T733" s="176"/>
      <c r="U733" s="176"/>
      <c r="V733" s="176"/>
      <c r="W733" s="176"/>
      <c r="X733" s="176"/>
      <c r="Y733" s="176"/>
      <c r="Z733" s="176"/>
    </row>
    <row r="734">
      <c r="A734" s="249"/>
      <c r="B734" s="249"/>
      <c r="C734" s="219"/>
      <c r="D734" s="268"/>
      <c r="E734" s="251"/>
      <c r="F734" s="250"/>
      <c r="G734" s="243"/>
      <c r="H734" s="243"/>
      <c r="I734" s="243"/>
      <c r="J734" s="325"/>
      <c r="K734" s="326"/>
      <c r="L734" s="327"/>
      <c r="M734" s="321"/>
      <c r="N734" s="176"/>
      <c r="O734" s="176"/>
      <c r="P734" s="176"/>
      <c r="Q734" s="176"/>
      <c r="R734" s="176"/>
      <c r="S734" s="176"/>
      <c r="T734" s="176"/>
      <c r="U734" s="176"/>
      <c r="V734" s="176"/>
      <c r="W734" s="176"/>
      <c r="X734" s="176"/>
      <c r="Y734" s="176"/>
      <c r="Z734" s="176"/>
    </row>
    <row r="735">
      <c r="A735" s="249"/>
      <c r="B735" s="249"/>
      <c r="C735" s="219"/>
      <c r="D735" s="268"/>
      <c r="E735" s="251"/>
      <c r="F735" s="250"/>
      <c r="G735" s="243"/>
      <c r="H735" s="243"/>
      <c r="I735" s="243"/>
      <c r="J735" s="325"/>
      <c r="K735" s="326"/>
      <c r="L735" s="327"/>
      <c r="M735" s="321"/>
      <c r="N735" s="176"/>
      <c r="O735" s="176"/>
      <c r="P735" s="176"/>
      <c r="Q735" s="176"/>
      <c r="R735" s="176"/>
      <c r="S735" s="176"/>
      <c r="T735" s="176"/>
      <c r="U735" s="176"/>
      <c r="V735" s="176"/>
      <c r="W735" s="176"/>
      <c r="X735" s="176"/>
      <c r="Y735" s="176"/>
      <c r="Z735" s="176"/>
    </row>
    <row r="736">
      <c r="A736" s="249"/>
      <c r="B736" s="249"/>
      <c r="C736" s="219"/>
      <c r="D736" s="268"/>
      <c r="E736" s="251"/>
      <c r="F736" s="250"/>
      <c r="G736" s="243"/>
      <c r="H736" s="243"/>
      <c r="I736" s="243"/>
      <c r="J736" s="325"/>
      <c r="K736" s="326"/>
      <c r="L736" s="327"/>
      <c r="M736" s="321"/>
      <c r="N736" s="176"/>
      <c r="O736" s="176"/>
      <c r="P736" s="176"/>
      <c r="Q736" s="176"/>
      <c r="R736" s="176"/>
      <c r="S736" s="176"/>
      <c r="T736" s="176"/>
      <c r="U736" s="176"/>
      <c r="V736" s="176"/>
      <c r="W736" s="176"/>
      <c r="X736" s="176"/>
      <c r="Y736" s="176"/>
      <c r="Z736" s="176"/>
    </row>
    <row r="737">
      <c r="A737" s="249"/>
      <c r="B737" s="249"/>
      <c r="C737" s="219"/>
      <c r="D737" s="268"/>
      <c r="E737" s="251"/>
      <c r="F737" s="250"/>
      <c r="G737" s="243"/>
      <c r="H737" s="243"/>
      <c r="I737" s="243"/>
      <c r="J737" s="325"/>
      <c r="K737" s="326"/>
      <c r="L737" s="327"/>
      <c r="M737" s="321"/>
      <c r="N737" s="176"/>
      <c r="O737" s="176"/>
      <c r="P737" s="176"/>
      <c r="Q737" s="176"/>
      <c r="R737" s="176"/>
      <c r="S737" s="176"/>
      <c r="T737" s="176"/>
      <c r="U737" s="176"/>
      <c r="V737" s="176"/>
      <c r="W737" s="176"/>
      <c r="X737" s="176"/>
      <c r="Y737" s="176"/>
      <c r="Z737" s="176"/>
    </row>
    <row r="738">
      <c r="A738" s="249"/>
      <c r="B738" s="249"/>
      <c r="C738" s="219"/>
      <c r="D738" s="268"/>
      <c r="E738" s="251"/>
      <c r="F738" s="250"/>
      <c r="G738" s="243"/>
      <c r="H738" s="243"/>
      <c r="I738" s="243"/>
      <c r="J738" s="325"/>
      <c r="K738" s="326"/>
      <c r="L738" s="327"/>
      <c r="M738" s="321"/>
      <c r="N738" s="176"/>
      <c r="O738" s="176"/>
      <c r="P738" s="176"/>
      <c r="Q738" s="176"/>
      <c r="R738" s="176"/>
      <c r="S738" s="176"/>
      <c r="T738" s="176"/>
      <c r="U738" s="176"/>
      <c r="V738" s="176"/>
      <c r="W738" s="176"/>
      <c r="X738" s="176"/>
      <c r="Y738" s="176"/>
      <c r="Z738" s="176"/>
    </row>
    <row r="739">
      <c r="A739" s="249"/>
      <c r="B739" s="249"/>
      <c r="C739" s="219"/>
      <c r="D739" s="268"/>
      <c r="E739" s="251"/>
      <c r="F739" s="250"/>
      <c r="G739" s="243"/>
      <c r="H739" s="243"/>
      <c r="I739" s="243"/>
      <c r="J739" s="325"/>
      <c r="K739" s="326"/>
      <c r="L739" s="327"/>
      <c r="M739" s="321"/>
      <c r="N739" s="176"/>
      <c r="O739" s="176"/>
      <c r="P739" s="176"/>
      <c r="Q739" s="176"/>
      <c r="R739" s="176"/>
      <c r="S739" s="176"/>
      <c r="T739" s="176"/>
      <c r="U739" s="176"/>
      <c r="V739" s="176"/>
      <c r="W739" s="176"/>
      <c r="X739" s="176"/>
      <c r="Y739" s="176"/>
      <c r="Z739" s="176"/>
    </row>
    <row r="740">
      <c r="A740" s="249"/>
      <c r="B740" s="249"/>
      <c r="C740" s="219"/>
      <c r="D740" s="268"/>
      <c r="E740" s="251"/>
      <c r="F740" s="250"/>
      <c r="G740" s="243"/>
      <c r="H740" s="243"/>
      <c r="I740" s="243"/>
      <c r="J740" s="325"/>
      <c r="K740" s="326"/>
      <c r="L740" s="327"/>
      <c r="M740" s="321"/>
      <c r="N740" s="176"/>
      <c r="O740" s="176"/>
      <c r="P740" s="176"/>
      <c r="Q740" s="176"/>
      <c r="R740" s="176"/>
      <c r="S740" s="176"/>
      <c r="T740" s="176"/>
      <c r="U740" s="176"/>
      <c r="V740" s="176"/>
      <c r="W740" s="176"/>
      <c r="X740" s="176"/>
      <c r="Y740" s="176"/>
      <c r="Z740" s="176"/>
    </row>
    <row r="741">
      <c r="A741" s="249"/>
      <c r="B741" s="249"/>
      <c r="C741" s="219"/>
      <c r="D741" s="268"/>
      <c r="E741" s="251"/>
      <c r="F741" s="250"/>
      <c r="G741" s="243"/>
      <c r="H741" s="243"/>
      <c r="I741" s="243"/>
      <c r="J741" s="325"/>
      <c r="K741" s="326"/>
      <c r="L741" s="327"/>
      <c r="M741" s="321"/>
      <c r="N741" s="176"/>
      <c r="O741" s="176"/>
      <c r="P741" s="176"/>
      <c r="Q741" s="176"/>
      <c r="R741" s="176"/>
      <c r="S741" s="176"/>
      <c r="T741" s="176"/>
      <c r="U741" s="176"/>
      <c r="V741" s="176"/>
      <c r="W741" s="176"/>
      <c r="X741" s="176"/>
      <c r="Y741" s="176"/>
      <c r="Z741" s="176"/>
    </row>
    <row r="742">
      <c r="A742" s="249"/>
      <c r="B742" s="249"/>
      <c r="C742" s="219"/>
      <c r="D742" s="268"/>
      <c r="E742" s="251"/>
      <c r="F742" s="250"/>
      <c r="G742" s="243"/>
      <c r="H742" s="243"/>
      <c r="I742" s="243"/>
      <c r="J742" s="325"/>
      <c r="K742" s="326"/>
      <c r="L742" s="327"/>
      <c r="M742" s="321"/>
      <c r="N742" s="176"/>
      <c r="O742" s="176"/>
      <c r="P742" s="176"/>
      <c r="Q742" s="176"/>
      <c r="R742" s="176"/>
      <c r="S742" s="176"/>
      <c r="T742" s="176"/>
      <c r="U742" s="176"/>
      <c r="V742" s="176"/>
      <c r="W742" s="176"/>
      <c r="X742" s="176"/>
      <c r="Y742" s="176"/>
      <c r="Z742" s="176"/>
    </row>
    <row r="743">
      <c r="A743" s="249"/>
      <c r="B743" s="249"/>
      <c r="C743" s="219"/>
      <c r="D743" s="268"/>
      <c r="E743" s="251"/>
      <c r="F743" s="250"/>
      <c r="G743" s="243"/>
      <c r="H743" s="243"/>
      <c r="I743" s="243"/>
      <c r="J743" s="325"/>
      <c r="K743" s="326"/>
      <c r="L743" s="327"/>
      <c r="M743" s="321"/>
      <c r="N743" s="176"/>
      <c r="O743" s="176"/>
      <c r="P743" s="176"/>
      <c r="Q743" s="176"/>
      <c r="R743" s="176"/>
      <c r="S743" s="176"/>
      <c r="T743" s="176"/>
      <c r="U743" s="176"/>
      <c r="V743" s="176"/>
      <c r="W743" s="176"/>
      <c r="X743" s="176"/>
      <c r="Y743" s="176"/>
      <c r="Z743" s="176"/>
    </row>
    <row r="744">
      <c r="A744" s="249"/>
      <c r="B744" s="249"/>
      <c r="C744" s="219"/>
      <c r="D744" s="268"/>
      <c r="E744" s="251"/>
      <c r="F744" s="250"/>
      <c r="G744" s="243"/>
      <c r="H744" s="243"/>
      <c r="I744" s="243"/>
      <c r="J744" s="325"/>
      <c r="K744" s="326"/>
      <c r="L744" s="327"/>
      <c r="M744" s="321"/>
      <c r="N744" s="176"/>
      <c r="O744" s="176"/>
      <c r="P744" s="176"/>
      <c r="Q744" s="176"/>
      <c r="R744" s="176"/>
      <c r="S744" s="176"/>
      <c r="T744" s="176"/>
      <c r="U744" s="176"/>
      <c r="V744" s="176"/>
      <c r="W744" s="176"/>
      <c r="X744" s="176"/>
      <c r="Y744" s="176"/>
      <c r="Z744" s="176"/>
    </row>
    <row r="745">
      <c r="A745" s="249"/>
      <c r="B745" s="249"/>
      <c r="C745" s="219"/>
      <c r="D745" s="268"/>
      <c r="E745" s="251"/>
      <c r="F745" s="250"/>
      <c r="G745" s="243"/>
      <c r="H745" s="243"/>
      <c r="I745" s="243"/>
      <c r="J745" s="325"/>
      <c r="K745" s="326"/>
      <c r="L745" s="327"/>
      <c r="M745" s="321"/>
      <c r="N745" s="176"/>
      <c r="O745" s="176"/>
      <c r="P745" s="176"/>
      <c r="Q745" s="176"/>
      <c r="R745" s="176"/>
      <c r="S745" s="176"/>
      <c r="T745" s="176"/>
      <c r="U745" s="176"/>
      <c r="V745" s="176"/>
      <c r="W745" s="176"/>
      <c r="X745" s="176"/>
      <c r="Y745" s="176"/>
      <c r="Z745" s="176"/>
    </row>
    <row r="746">
      <c r="A746" s="249"/>
      <c r="B746" s="249"/>
      <c r="C746" s="219"/>
      <c r="D746" s="268"/>
      <c r="E746" s="251"/>
      <c r="F746" s="250"/>
      <c r="G746" s="243"/>
      <c r="H746" s="243"/>
      <c r="I746" s="243"/>
      <c r="J746" s="325"/>
      <c r="K746" s="326"/>
      <c r="L746" s="327"/>
      <c r="M746" s="321"/>
      <c r="N746" s="176"/>
      <c r="O746" s="176"/>
      <c r="P746" s="176"/>
      <c r="Q746" s="176"/>
      <c r="R746" s="176"/>
      <c r="S746" s="176"/>
      <c r="T746" s="176"/>
      <c r="U746" s="176"/>
      <c r="V746" s="176"/>
      <c r="W746" s="176"/>
      <c r="X746" s="176"/>
      <c r="Y746" s="176"/>
      <c r="Z746" s="176"/>
    </row>
    <row r="747">
      <c r="A747" s="249"/>
      <c r="B747" s="249"/>
      <c r="C747" s="219"/>
      <c r="D747" s="268"/>
      <c r="E747" s="251"/>
      <c r="F747" s="250"/>
      <c r="G747" s="243"/>
      <c r="H747" s="243"/>
      <c r="I747" s="243"/>
      <c r="J747" s="325"/>
      <c r="K747" s="326"/>
      <c r="L747" s="327"/>
      <c r="M747" s="321"/>
      <c r="N747" s="176"/>
      <c r="O747" s="176"/>
      <c r="P747" s="176"/>
      <c r="Q747" s="176"/>
      <c r="R747" s="176"/>
      <c r="S747" s="176"/>
      <c r="T747" s="176"/>
      <c r="U747" s="176"/>
      <c r="V747" s="176"/>
      <c r="W747" s="176"/>
      <c r="X747" s="176"/>
      <c r="Y747" s="176"/>
      <c r="Z747" s="176"/>
    </row>
    <row r="748">
      <c r="A748" s="249"/>
      <c r="B748" s="249"/>
      <c r="C748" s="219"/>
      <c r="D748" s="268"/>
      <c r="E748" s="251"/>
      <c r="F748" s="250"/>
      <c r="G748" s="243"/>
      <c r="H748" s="243"/>
      <c r="I748" s="243"/>
      <c r="J748" s="325"/>
      <c r="K748" s="326"/>
      <c r="L748" s="327"/>
      <c r="M748" s="321"/>
      <c r="N748" s="176"/>
      <c r="O748" s="176"/>
      <c r="P748" s="176"/>
      <c r="Q748" s="176"/>
      <c r="R748" s="176"/>
      <c r="S748" s="176"/>
      <c r="T748" s="176"/>
      <c r="U748" s="176"/>
      <c r="V748" s="176"/>
      <c r="W748" s="176"/>
      <c r="X748" s="176"/>
      <c r="Y748" s="176"/>
      <c r="Z748" s="176"/>
    </row>
    <row r="749">
      <c r="A749" s="249"/>
      <c r="B749" s="249"/>
      <c r="C749" s="219"/>
      <c r="D749" s="268"/>
      <c r="E749" s="251"/>
      <c r="F749" s="250"/>
      <c r="G749" s="243"/>
      <c r="H749" s="243"/>
      <c r="I749" s="243"/>
      <c r="J749" s="325"/>
      <c r="K749" s="326"/>
      <c r="L749" s="327"/>
      <c r="M749" s="321"/>
      <c r="N749" s="176"/>
      <c r="O749" s="176"/>
      <c r="P749" s="176"/>
      <c r="Q749" s="176"/>
      <c r="R749" s="176"/>
      <c r="S749" s="176"/>
      <c r="T749" s="176"/>
      <c r="U749" s="176"/>
      <c r="V749" s="176"/>
      <c r="W749" s="176"/>
      <c r="X749" s="176"/>
      <c r="Y749" s="176"/>
      <c r="Z749" s="176"/>
    </row>
    <row r="750">
      <c r="A750" s="249"/>
      <c r="B750" s="249"/>
      <c r="C750" s="219"/>
      <c r="D750" s="268"/>
      <c r="E750" s="251"/>
      <c r="F750" s="250"/>
      <c r="G750" s="243"/>
      <c r="H750" s="243"/>
      <c r="I750" s="243"/>
      <c r="J750" s="325"/>
      <c r="K750" s="326"/>
      <c r="L750" s="327"/>
      <c r="M750" s="321"/>
      <c r="N750" s="176"/>
      <c r="O750" s="176"/>
      <c r="P750" s="176"/>
      <c r="Q750" s="176"/>
      <c r="R750" s="176"/>
      <c r="S750" s="176"/>
      <c r="T750" s="176"/>
      <c r="U750" s="176"/>
      <c r="V750" s="176"/>
      <c r="W750" s="176"/>
      <c r="X750" s="176"/>
      <c r="Y750" s="176"/>
      <c r="Z750" s="176"/>
    </row>
    <row r="751">
      <c r="A751" s="249"/>
      <c r="B751" s="249"/>
      <c r="C751" s="219"/>
      <c r="D751" s="268"/>
      <c r="E751" s="251"/>
      <c r="F751" s="250"/>
      <c r="G751" s="243"/>
      <c r="H751" s="243"/>
      <c r="I751" s="243"/>
      <c r="J751" s="325"/>
      <c r="K751" s="326"/>
      <c r="L751" s="327"/>
      <c r="M751" s="321"/>
      <c r="N751" s="176"/>
      <c r="O751" s="176"/>
      <c r="P751" s="176"/>
      <c r="Q751" s="176"/>
      <c r="R751" s="176"/>
      <c r="S751" s="176"/>
      <c r="T751" s="176"/>
      <c r="U751" s="176"/>
      <c r="V751" s="176"/>
      <c r="W751" s="176"/>
      <c r="X751" s="176"/>
      <c r="Y751" s="176"/>
      <c r="Z751" s="176"/>
    </row>
    <row r="752">
      <c r="A752" s="249"/>
      <c r="B752" s="249"/>
      <c r="C752" s="219"/>
      <c r="D752" s="268"/>
      <c r="E752" s="251"/>
      <c r="F752" s="250"/>
      <c r="G752" s="243"/>
      <c r="H752" s="243"/>
      <c r="I752" s="243"/>
      <c r="J752" s="325"/>
      <c r="K752" s="326"/>
      <c r="L752" s="327"/>
      <c r="M752" s="321"/>
      <c r="N752" s="176"/>
      <c r="O752" s="176"/>
      <c r="P752" s="176"/>
      <c r="Q752" s="176"/>
      <c r="R752" s="176"/>
      <c r="S752" s="176"/>
      <c r="T752" s="176"/>
      <c r="U752" s="176"/>
      <c r="V752" s="176"/>
      <c r="W752" s="176"/>
      <c r="X752" s="176"/>
      <c r="Y752" s="176"/>
      <c r="Z752" s="176"/>
    </row>
    <row r="753">
      <c r="A753" s="249"/>
      <c r="B753" s="249"/>
      <c r="C753" s="219"/>
      <c r="D753" s="268"/>
      <c r="E753" s="251"/>
      <c r="F753" s="250"/>
      <c r="G753" s="243"/>
      <c r="H753" s="243"/>
      <c r="I753" s="243"/>
      <c r="J753" s="325"/>
      <c r="K753" s="326"/>
      <c r="L753" s="327"/>
      <c r="M753" s="321"/>
      <c r="N753" s="176"/>
      <c r="O753" s="176"/>
      <c r="P753" s="176"/>
      <c r="Q753" s="176"/>
      <c r="R753" s="176"/>
      <c r="S753" s="176"/>
      <c r="T753" s="176"/>
      <c r="U753" s="176"/>
      <c r="V753" s="176"/>
      <c r="W753" s="176"/>
      <c r="X753" s="176"/>
      <c r="Y753" s="176"/>
      <c r="Z753" s="176"/>
    </row>
    <row r="754">
      <c r="A754" s="249"/>
      <c r="B754" s="249"/>
      <c r="C754" s="219"/>
      <c r="D754" s="268"/>
      <c r="E754" s="251"/>
      <c r="F754" s="250"/>
      <c r="G754" s="243"/>
      <c r="H754" s="243"/>
      <c r="I754" s="243"/>
      <c r="J754" s="325"/>
      <c r="K754" s="326"/>
      <c r="L754" s="327"/>
      <c r="M754" s="321"/>
      <c r="N754" s="176"/>
      <c r="O754" s="176"/>
      <c r="P754" s="176"/>
      <c r="Q754" s="176"/>
      <c r="R754" s="176"/>
      <c r="S754" s="176"/>
      <c r="T754" s="176"/>
      <c r="U754" s="176"/>
      <c r="V754" s="176"/>
      <c r="W754" s="176"/>
      <c r="X754" s="176"/>
      <c r="Y754" s="176"/>
      <c r="Z754" s="176"/>
    </row>
    <row r="755">
      <c r="A755" s="249"/>
      <c r="B755" s="249"/>
      <c r="C755" s="219"/>
      <c r="D755" s="268"/>
      <c r="E755" s="251"/>
      <c r="F755" s="250"/>
      <c r="G755" s="243"/>
      <c r="H755" s="243"/>
      <c r="I755" s="243"/>
      <c r="J755" s="325"/>
      <c r="K755" s="326"/>
      <c r="L755" s="327"/>
      <c r="M755" s="321"/>
      <c r="N755" s="176"/>
      <c r="O755" s="176"/>
      <c r="P755" s="176"/>
      <c r="Q755" s="176"/>
      <c r="R755" s="176"/>
      <c r="S755" s="176"/>
      <c r="T755" s="176"/>
      <c r="U755" s="176"/>
      <c r="V755" s="176"/>
      <c r="W755" s="176"/>
      <c r="X755" s="176"/>
      <c r="Y755" s="176"/>
      <c r="Z755" s="176"/>
    </row>
    <row r="756">
      <c r="A756" s="249"/>
      <c r="B756" s="249"/>
      <c r="C756" s="219"/>
      <c r="D756" s="268"/>
      <c r="E756" s="251"/>
      <c r="F756" s="250"/>
      <c r="G756" s="243"/>
      <c r="H756" s="243"/>
      <c r="I756" s="243"/>
      <c r="J756" s="325"/>
      <c r="K756" s="326"/>
      <c r="L756" s="327"/>
      <c r="M756" s="321"/>
      <c r="N756" s="176"/>
      <c r="O756" s="176"/>
      <c r="P756" s="176"/>
      <c r="Q756" s="176"/>
      <c r="R756" s="176"/>
      <c r="S756" s="176"/>
      <c r="T756" s="176"/>
      <c r="U756" s="176"/>
      <c r="V756" s="176"/>
      <c r="W756" s="176"/>
      <c r="X756" s="176"/>
      <c r="Y756" s="176"/>
      <c r="Z756" s="176"/>
    </row>
    <row r="757">
      <c r="A757" s="249"/>
      <c r="B757" s="249"/>
      <c r="C757" s="219"/>
      <c r="D757" s="268"/>
      <c r="E757" s="251"/>
      <c r="F757" s="250"/>
      <c r="G757" s="243"/>
      <c r="H757" s="243"/>
      <c r="I757" s="243"/>
      <c r="J757" s="325"/>
      <c r="K757" s="326"/>
      <c r="L757" s="327"/>
      <c r="M757" s="321"/>
      <c r="N757" s="176"/>
      <c r="O757" s="176"/>
      <c r="P757" s="176"/>
      <c r="Q757" s="176"/>
      <c r="R757" s="176"/>
      <c r="S757" s="176"/>
      <c r="T757" s="176"/>
      <c r="U757" s="176"/>
      <c r="V757" s="176"/>
      <c r="W757" s="176"/>
      <c r="X757" s="176"/>
      <c r="Y757" s="176"/>
      <c r="Z757" s="176"/>
    </row>
    <row r="758">
      <c r="A758" s="249"/>
      <c r="B758" s="249"/>
      <c r="C758" s="219"/>
      <c r="D758" s="268"/>
      <c r="E758" s="251"/>
      <c r="F758" s="250"/>
      <c r="G758" s="243"/>
      <c r="H758" s="243"/>
      <c r="I758" s="243"/>
      <c r="J758" s="325"/>
      <c r="K758" s="326"/>
      <c r="L758" s="327"/>
      <c r="M758" s="321"/>
      <c r="N758" s="176"/>
      <c r="O758" s="176"/>
      <c r="P758" s="176"/>
      <c r="Q758" s="176"/>
      <c r="R758" s="176"/>
      <c r="S758" s="176"/>
      <c r="T758" s="176"/>
      <c r="U758" s="176"/>
      <c r="V758" s="176"/>
      <c r="W758" s="176"/>
      <c r="X758" s="176"/>
      <c r="Y758" s="176"/>
      <c r="Z758" s="176"/>
    </row>
    <row r="759">
      <c r="A759" s="249"/>
      <c r="B759" s="249"/>
      <c r="C759" s="219"/>
      <c r="D759" s="268"/>
      <c r="E759" s="251"/>
      <c r="F759" s="250"/>
      <c r="G759" s="243"/>
      <c r="H759" s="243"/>
      <c r="I759" s="243"/>
      <c r="J759" s="325"/>
      <c r="K759" s="326"/>
      <c r="L759" s="327"/>
      <c r="M759" s="321"/>
      <c r="N759" s="176"/>
      <c r="O759" s="176"/>
      <c r="P759" s="176"/>
      <c r="Q759" s="176"/>
      <c r="R759" s="176"/>
      <c r="S759" s="176"/>
      <c r="T759" s="176"/>
      <c r="U759" s="176"/>
      <c r="V759" s="176"/>
      <c r="W759" s="176"/>
      <c r="X759" s="176"/>
      <c r="Y759" s="176"/>
      <c r="Z759" s="176"/>
    </row>
    <row r="760">
      <c r="A760" s="249"/>
      <c r="B760" s="249"/>
      <c r="C760" s="219"/>
      <c r="D760" s="268"/>
      <c r="E760" s="251"/>
      <c r="F760" s="250"/>
      <c r="G760" s="243"/>
      <c r="H760" s="243"/>
      <c r="I760" s="243"/>
      <c r="J760" s="325"/>
      <c r="K760" s="326"/>
      <c r="L760" s="327"/>
      <c r="M760" s="321"/>
      <c r="N760" s="176"/>
      <c r="O760" s="176"/>
      <c r="P760" s="176"/>
      <c r="Q760" s="176"/>
      <c r="R760" s="176"/>
      <c r="S760" s="176"/>
      <c r="T760" s="176"/>
      <c r="U760" s="176"/>
      <c r="V760" s="176"/>
      <c r="W760" s="176"/>
      <c r="X760" s="176"/>
      <c r="Y760" s="176"/>
      <c r="Z760" s="176"/>
    </row>
    <row r="761">
      <c r="A761" s="249"/>
      <c r="B761" s="249"/>
      <c r="C761" s="219"/>
      <c r="D761" s="268"/>
      <c r="E761" s="251"/>
      <c r="F761" s="250"/>
      <c r="G761" s="243"/>
      <c r="H761" s="243"/>
      <c r="I761" s="243"/>
      <c r="J761" s="325"/>
      <c r="K761" s="326"/>
      <c r="L761" s="327"/>
      <c r="M761" s="321"/>
      <c r="N761" s="176"/>
      <c r="O761" s="176"/>
      <c r="P761" s="176"/>
      <c r="Q761" s="176"/>
      <c r="R761" s="176"/>
      <c r="S761" s="176"/>
      <c r="T761" s="176"/>
      <c r="U761" s="176"/>
      <c r="V761" s="176"/>
      <c r="W761" s="176"/>
      <c r="X761" s="176"/>
      <c r="Y761" s="176"/>
      <c r="Z761" s="176"/>
    </row>
    <row r="762">
      <c r="A762" s="249"/>
      <c r="B762" s="249"/>
      <c r="C762" s="219"/>
      <c r="D762" s="268"/>
      <c r="E762" s="251"/>
      <c r="F762" s="250"/>
      <c r="G762" s="243"/>
      <c r="H762" s="243"/>
      <c r="I762" s="243"/>
      <c r="J762" s="325"/>
      <c r="K762" s="326"/>
      <c r="L762" s="327"/>
      <c r="M762" s="321"/>
      <c r="N762" s="176"/>
      <c r="O762" s="176"/>
      <c r="P762" s="176"/>
      <c r="Q762" s="176"/>
      <c r="R762" s="176"/>
      <c r="S762" s="176"/>
      <c r="T762" s="176"/>
      <c r="U762" s="176"/>
      <c r="V762" s="176"/>
      <c r="W762" s="176"/>
      <c r="X762" s="176"/>
      <c r="Y762" s="176"/>
      <c r="Z762" s="176"/>
    </row>
    <row r="763">
      <c r="A763" s="249"/>
      <c r="B763" s="249"/>
      <c r="C763" s="219"/>
      <c r="D763" s="268"/>
      <c r="E763" s="251"/>
      <c r="F763" s="250"/>
      <c r="G763" s="243"/>
      <c r="H763" s="243"/>
      <c r="I763" s="243"/>
      <c r="J763" s="325"/>
      <c r="K763" s="326"/>
      <c r="L763" s="327"/>
      <c r="M763" s="321"/>
      <c r="N763" s="176"/>
      <c r="O763" s="176"/>
      <c r="P763" s="176"/>
      <c r="Q763" s="176"/>
      <c r="R763" s="176"/>
      <c r="S763" s="176"/>
      <c r="T763" s="176"/>
      <c r="U763" s="176"/>
      <c r="V763" s="176"/>
      <c r="W763" s="176"/>
      <c r="X763" s="176"/>
      <c r="Y763" s="176"/>
      <c r="Z763" s="176"/>
    </row>
    <row r="764">
      <c r="A764" s="249"/>
      <c r="B764" s="249"/>
      <c r="C764" s="219"/>
      <c r="D764" s="268"/>
      <c r="E764" s="251"/>
      <c r="F764" s="250"/>
      <c r="G764" s="243"/>
      <c r="H764" s="243"/>
      <c r="I764" s="243"/>
      <c r="J764" s="325"/>
      <c r="K764" s="326"/>
      <c r="L764" s="327"/>
      <c r="M764" s="321"/>
      <c r="N764" s="176"/>
      <c r="O764" s="176"/>
      <c r="P764" s="176"/>
      <c r="Q764" s="176"/>
      <c r="R764" s="176"/>
      <c r="S764" s="176"/>
      <c r="T764" s="176"/>
      <c r="U764" s="176"/>
      <c r="V764" s="176"/>
      <c r="W764" s="176"/>
      <c r="X764" s="176"/>
      <c r="Y764" s="176"/>
      <c r="Z764" s="176"/>
    </row>
    <row r="765">
      <c r="A765" s="249"/>
      <c r="B765" s="249"/>
      <c r="C765" s="219"/>
      <c r="D765" s="268"/>
      <c r="E765" s="251"/>
      <c r="F765" s="250"/>
      <c r="G765" s="243"/>
      <c r="H765" s="243"/>
      <c r="I765" s="243"/>
      <c r="J765" s="325"/>
      <c r="K765" s="326"/>
      <c r="L765" s="327"/>
      <c r="M765" s="321"/>
      <c r="N765" s="176"/>
      <c r="O765" s="176"/>
      <c r="P765" s="176"/>
      <c r="Q765" s="176"/>
      <c r="R765" s="176"/>
      <c r="S765" s="176"/>
      <c r="T765" s="176"/>
      <c r="U765" s="176"/>
      <c r="V765" s="176"/>
      <c r="W765" s="176"/>
      <c r="X765" s="176"/>
      <c r="Y765" s="176"/>
      <c r="Z765" s="176"/>
    </row>
    <row r="766">
      <c r="A766" s="249"/>
      <c r="B766" s="249"/>
      <c r="C766" s="219"/>
      <c r="D766" s="268"/>
      <c r="E766" s="251"/>
      <c r="F766" s="250"/>
      <c r="G766" s="243"/>
      <c r="H766" s="243"/>
      <c r="I766" s="243"/>
      <c r="J766" s="325"/>
      <c r="K766" s="326"/>
      <c r="L766" s="327"/>
      <c r="M766" s="321"/>
      <c r="N766" s="176"/>
      <c r="O766" s="176"/>
      <c r="P766" s="176"/>
      <c r="Q766" s="176"/>
      <c r="R766" s="176"/>
      <c r="S766" s="176"/>
      <c r="T766" s="176"/>
      <c r="U766" s="176"/>
      <c r="V766" s="176"/>
      <c r="W766" s="176"/>
      <c r="X766" s="176"/>
      <c r="Y766" s="176"/>
      <c r="Z766" s="176"/>
    </row>
    <row r="767">
      <c r="A767" s="249"/>
      <c r="B767" s="249"/>
      <c r="C767" s="219"/>
      <c r="D767" s="268"/>
      <c r="E767" s="251"/>
      <c r="F767" s="250"/>
      <c r="G767" s="243"/>
      <c r="H767" s="243"/>
      <c r="I767" s="243"/>
      <c r="J767" s="325"/>
      <c r="K767" s="326"/>
      <c r="L767" s="327"/>
      <c r="M767" s="321"/>
      <c r="N767" s="176"/>
      <c r="O767" s="176"/>
      <c r="P767" s="176"/>
      <c r="Q767" s="176"/>
      <c r="R767" s="176"/>
      <c r="S767" s="176"/>
      <c r="T767" s="176"/>
      <c r="U767" s="176"/>
      <c r="V767" s="176"/>
      <c r="W767" s="176"/>
      <c r="X767" s="176"/>
      <c r="Y767" s="176"/>
      <c r="Z767" s="176"/>
    </row>
    <row r="768">
      <c r="A768" s="249"/>
      <c r="B768" s="249"/>
      <c r="C768" s="219"/>
      <c r="D768" s="268"/>
      <c r="E768" s="251"/>
      <c r="F768" s="250"/>
      <c r="G768" s="243"/>
      <c r="H768" s="243"/>
      <c r="I768" s="243"/>
      <c r="J768" s="325"/>
      <c r="K768" s="326"/>
      <c r="L768" s="327"/>
      <c r="M768" s="321"/>
      <c r="N768" s="176"/>
      <c r="O768" s="176"/>
      <c r="P768" s="176"/>
      <c r="Q768" s="176"/>
      <c r="R768" s="176"/>
      <c r="S768" s="176"/>
      <c r="T768" s="176"/>
      <c r="U768" s="176"/>
      <c r="V768" s="176"/>
      <c r="W768" s="176"/>
      <c r="X768" s="176"/>
      <c r="Y768" s="176"/>
      <c r="Z768" s="176"/>
    </row>
    <row r="769">
      <c r="A769" s="249"/>
      <c r="B769" s="249"/>
      <c r="C769" s="219"/>
      <c r="D769" s="268"/>
      <c r="E769" s="251"/>
      <c r="F769" s="250"/>
      <c r="G769" s="243"/>
      <c r="H769" s="243"/>
      <c r="I769" s="243"/>
      <c r="J769" s="325"/>
      <c r="K769" s="326"/>
      <c r="L769" s="327"/>
      <c r="M769" s="321"/>
      <c r="N769" s="176"/>
      <c r="O769" s="176"/>
      <c r="P769" s="176"/>
      <c r="Q769" s="176"/>
      <c r="R769" s="176"/>
      <c r="S769" s="176"/>
      <c r="T769" s="176"/>
      <c r="U769" s="176"/>
      <c r="V769" s="176"/>
      <c r="W769" s="176"/>
      <c r="X769" s="176"/>
      <c r="Y769" s="176"/>
      <c r="Z769" s="176"/>
    </row>
    <row r="770">
      <c r="A770" s="249"/>
      <c r="B770" s="249"/>
      <c r="C770" s="219"/>
      <c r="D770" s="268"/>
      <c r="E770" s="251"/>
      <c r="F770" s="250"/>
      <c r="G770" s="243"/>
      <c r="H770" s="243"/>
      <c r="I770" s="243"/>
      <c r="J770" s="325"/>
      <c r="K770" s="326"/>
      <c r="L770" s="327"/>
      <c r="M770" s="321"/>
      <c r="N770" s="176"/>
      <c r="O770" s="176"/>
      <c r="P770" s="176"/>
      <c r="Q770" s="176"/>
      <c r="R770" s="176"/>
      <c r="S770" s="176"/>
      <c r="T770" s="176"/>
      <c r="U770" s="176"/>
      <c r="V770" s="176"/>
      <c r="W770" s="176"/>
      <c r="X770" s="176"/>
      <c r="Y770" s="176"/>
      <c r="Z770" s="176"/>
    </row>
    <row r="771">
      <c r="A771" s="249"/>
      <c r="B771" s="249"/>
      <c r="C771" s="219"/>
      <c r="D771" s="268"/>
      <c r="E771" s="251"/>
      <c r="F771" s="250"/>
      <c r="G771" s="243"/>
      <c r="H771" s="243"/>
      <c r="I771" s="243"/>
      <c r="J771" s="325"/>
      <c r="K771" s="326"/>
      <c r="L771" s="327"/>
      <c r="M771" s="321"/>
      <c r="N771" s="176"/>
      <c r="O771" s="176"/>
      <c r="P771" s="176"/>
      <c r="Q771" s="176"/>
      <c r="R771" s="176"/>
      <c r="S771" s="176"/>
      <c r="T771" s="176"/>
      <c r="U771" s="176"/>
      <c r="V771" s="176"/>
      <c r="W771" s="176"/>
      <c r="X771" s="176"/>
      <c r="Y771" s="176"/>
      <c r="Z771" s="176"/>
    </row>
    <row r="772">
      <c r="A772" s="249"/>
      <c r="B772" s="249"/>
      <c r="C772" s="219"/>
      <c r="D772" s="268"/>
      <c r="E772" s="251"/>
      <c r="F772" s="250"/>
      <c r="G772" s="243"/>
      <c r="H772" s="243"/>
      <c r="I772" s="243"/>
      <c r="J772" s="325"/>
      <c r="K772" s="326"/>
      <c r="L772" s="327"/>
      <c r="M772" s="321"/>
      <c r="N772" s="176"/>
      <c r="O772" s="176"/>
      <c r="P772" s="176"/>
      <c r="Q772" s="176"/>
      <c r="R772" s="176"/>
      <c r="S772" s="176"/>
      <c r="T772" s="176"/>
      <c r="U772" s="176"/>
      <c r="V772" s="176"/>
      <c r="W772" s="176"/>
      <c r="X772" s="176"/>
      <c r="Y772" s="176"/>
      <c r="Z772" s="176"/>
    </row>
    <row r="773">
      <c r="A773" s="249"/>
      <c r="B773" s="249"/>
      <c r="C773" s="219"/>
      <c r="D773" s="268"/>
      <c r="E773" s="251"/>
      <c r="F773" s="250"/>
      <c r="G773" s="243"/>
      <c r="H773" s="243"/>
      <c r="I773" s="243"/>
      <c r="J773" s="325"/>
      <c r="K773" s="326"/>
      <c r="L773" s="327"/>
      <c r="M773" s="321"/>
      <c r="N773" s="176"/>
      <c r="O773" s="176"/>
      <c r="P773" s="176"/>
      <c r="Q773" s="176"/>
      <c r="R773" s="176"/>
      <c r="S773" s="176"/>
      <c r="T773" s="176"/>
      <c r="U773" s="176"/>
      <c r="V773" s="176"/>
      <c r="W773" s="176"/>
      <c r="X773" s="176"/>
      <c r="Y773" s="176"/>
      <c r="Z773" s="176"/>
    </row>
    <row r="774">
      <c r="A774" s="249"/>
      <c r="B774" s="249"/>
      <c r="C774" s="219"/>
      <c r="D774" s="268"/>
      <c r="E774" s="251"/>
      <c r="F774" s="250"/>
      <c r="G774" s="243"/>
      <c r="H774" s="243"/>
      <c r="I774" s="243"/>
      <c r="J774" s="325"/>
      <c r="K774" s="326"/>
      <c r="L774" s="327"/>
      <c r="M774" s="321"/>
      <c r="N774" s="176"/>
      <c r="O774" s="176"/>
      <c r="P774" s="176"/>
      <c r="Q774" s="176"/>
      <c r="R774" s="176"/>
      <c r="S774" s="176"/>
      <c r="T774" s="176"/>
      <c r="U774" s="176"/>
      <c r="V774" s="176"/>
      <c r="W774" s="176"/>
      <c r="X774" s="176"/>
      <c r="Y774" s="176"/>
      <c r="Z774" s="176"/>
    </row>
    <row r="775">
      <c r="A775" s="249"/>
      <c r="B775" s="249"/>
      <c r="C775" s="219"/>
      <c r="D775" s="268"/>
      <c r="E775" s="251"/>
      <c r="F775" s="250"/>
      <c r="G775" s="243"/>
      <c r="H775" s="243"/>
      <c r="I775" s="243"/>
      <c r="J775" s="325"/>
      <c r="K775" s="326"/>
      <c r="L775" s="327"/>
      <c r="M775" s="321"/>
      <c r="N775" s="176"/>
      <c r="O775" s="176"/>
      <c r="P775" s="176"/>
      <c r="Q775" s="176"/>
      <c r="R775" s="176"/>
      <c r="S775" s="176"/>
      <c r="T775" s="176"/>
      <c r="U775" s="176"/>
      <c r="V775" s="176"/>
      <c r="W775" s="176"/>
      <c r="X775" s="176"/>
      <c r="Y775" s="176"/>
      <c r="Z775" s="176"/>
    </row>
    <row r="776">
      <c r="A776" s="249"/>
      <c r="B776" s="249"/>
      <c r="C776" s="219"/>
      <c r="D776" s="268"/>
      <c r="E776" s="251"/>
      <c r="F776" s="250"/>
      <c r="G776" s="243"/>
      <c r="H776" s="243"/>
      <c r="I776" s="243"/>
      <c r="J776" s="325"/>
      <c r="K776" s="326"/>
      <c r="L776" s="327"/>
      <c r="M776" s="321"/>
      <c r="N776" s="176"/>
      <c r="O776" s="176"/>
      <c r="P776" s="176"/>
      <c r="Q776" s="176"/>
      <c r="R776" s="176"/>
      <c r="S776" s="176"/>
      <c r="T776" s="176"/>
      <c r="U776" s="176"/>
      <c r="V776" s="176"/>
      <c r="W776" s="176"/>
      <c r="X776" s="176"/>
      <c r="Y776" s="176"/>
      <c r="Z776" s="176"/>
    </row>
    <row r="777">
      <c r="A777" s="249"/>
      <c r="B777" s="249"/>
      <c r="C777" s="219"/>
      <c r="D777" s="268"/>
      <c r="E777" s="251"/>
      <c r="F777" s="250"/>
      <c r="G777" s="243"/>
      <c r="H777" s="243"/>
      <c r="I777" s="243"/>
      <c r="J777" s="325"/>
      <c r="K777" s="326"/>
      <c r="L777" s="327"/>
      <c r="M777" s="321"/>
      <c r="N777" s="176"/>
      <c r="O777" s="176"/>
      <c r="P777" s="176"/>
      <c r="Q777" s="176"/>
      <c r="R777" s="176"/>
      <c r="S777" s="176"/>
      <c r="T777" s="176"/>
      <c r="U777" s="176"/>
      <c r="V777" s="176"/>
      <c r="W777" s="176"/>
      <c r="X777" s="176"/>
      <c r="Y777" s="176"/>
      <c r="Z777" s="176"/>
    </row>
    <row r="778">
      <c r="A778" s="249"/>
      <c r="B778" s="249"/>
      <c r="C778" s="219"/>
      <c r="D778" s="268"/>
      <c r="E778" s="251"/>
      <c r="F778" s="250"/>
      <c r="G778" s="243"/>
      <c r="H778" s="243"/>
      <c r="I778" s="243"/>
      <c r="J778" s="325"/>
      <c r="K778" s="326"/>
      <c r="L778" s="327"/>
      <c r="M778" s="321"/>
      <c r="N778" s="176"/>
      <c r="O778" s="176"/>
      <c r="P778" s="176"/>
      <c r="Q778" s="176"/>
      <c r="R778" s="176"/>
      <c r="S778" s="176"/>
      <c r="T778" s="176"/>
      <c r="U778" s="176"/>
      <c r="V778" s="176"/>
      <c r="W778" s="176"/>
      <c r="X778" s="176"/>
      <c r="Y778" s="176"/>
      <c r="Z778" s="176"/>
    </row>
    <row r="779">
      <c r="A779" s="249"/>
      <c r="B779" s="249"/>
      <c r="C779" s="219"/>
      <c r="D779" s="268"/>
      <c r="E779" s="251"/>
      <c r="F779" s="250"/>
      <c r="G779" s="243"/>
      <c r="H779" s="243"/>
      <c r="I779" s="243"/>
      <c r="J779" s="325"/>
      <c r="K779" s="326"/>
      <c r="L779" s="327"/>
      <c r="M779" s="321"/>
      <c r="N779" s="176"/>
      <c r="O779" s="176"/>
      <c r="P779" s="176"/>
      <c r="Q779" s="176"/>
      <c r="R779" s="176"/>
      <c r="S779" s="176"/>
      <c r="T779" s="176"/>
      <c r="U779" s="176"/>
      <c r="V779" s="176"/>
      <c r="W779" s="176"/>
      <c r="X779" s="176"/>
      <c r="Y779" s="176"/>
      <c r="Z779" s="176"/>
    </row>
    <row r="780">
      <c r="A780" s="249"/>
      <c r="B780" s="249"/>
      <c r="C780" s="219"/>
      <c r="D780" s="268"/>
      <c r="E780" s="251"/>
      <c r="F780" s="250"/>
      <c r="G780" s="243"/>
      <c r="H780" s="243"/>
      <c r="I780" s="243"/>
      <c r="J780" s="325"/>
      <c r="K780" s="326"/>
      <c r="L780" s="327"/>
      <c r="M780" s="321"/>
      <c r="N780" s="176"/>
      <c r="O780" s="176"/>
      <c r="P780" s="176"/>
      <c r="Q780" s="176"/>
      <c r="R780" s="176"/>
      <c r="S780" s="176"/>
      <c r="T780" s="176"/>
      <c r="U780" s="176"/>
      <c r="V780" s="176"/>
      <c r="W780" s="176"/>
      <c r="X780" s="176"/>
      <c r="Y780" s="176"/>
      <c r="Z780" s="176"/>
    </row>
    <row r="781">
      <c r="A781" s="249"/>
      <c r="B781" s="249"/>
      <c r="C781" s="219"/>
      <c r="D781" s="268"/>
      <c r="E781" s="251"/>
      <c r="F781" s="250"/>
      <c r="G781" s="243"/>
      <c r="H781" s="243"/>
      <c r="I781" s="243"/>
      <c r="J781" s="325"/>
      <c r="K781" s="326"/>
      <c r="L781" s="327"/>
      <c r="M781" s="321"/>
      <c r="N781" s="176"/>
      <c r="O781" s="176"/>
      <c r="P781" s="176"/>
      <c r="Q781" s="176"/>
      <c r="R781" s="176"/>
      <c r="S781" s="176"/>
      <c r="T781" s="176"/>
      <c r="U781" s="176"/>
      <c r="V781" s="176"/>
      <c r="W781" s="176"/>
      <c r="X781" s="176"/>
      <c r="Y781" s="176"/>
      <c r="Z781" s="176"/>
    </row>
    <row r="782">
      <c r="A782" s="249"/>
      <c r="B782" s="249"/>
      <c r="C782" s="219"/>
      <c r="D782" s="268"/>
      <c r="E782" s="251"/>
      <c r="F782" s="250"/>
      <c r="G782" s="243"/>
      <c r="H782" s="243"/>
      <c r="I782" s="243"/>
      <c r="J782" s="325"/>
      <c r="K782" s="326"/>
      <c r="L782" s="327"/>
      <c r="M782" s="321"/>
      <c r="N782" s="176"/>
      <c r="O782" s="176"/>
      <c r="P782" s="176"/>
      <c r="Q782" s="176"/>
      <c r="R782" s="176"/>
      <c r="S782" s="176"/>
      <c r="T782" s="176"/>
      <c r="U782" s="176"/>
      <c r="V782" s="176"/>
      <c r="W782" s="176"/>
      <c r="X782" s="176"/>
      <c r="Y782" s="176"/>
      <c r="Z782" s="176"/>
    </row>
    <row r="783">
      <c r="A783" s="249"/>
      <c r="B783" s="249"/>
      <c r="C783" s="219"/>
      <c r="D783" s="268"/>
      <c r="E783" s="251"/>
      <c r="F783" s="250"/>
      <c r="G783" s="243"/>
      <c r="H783" s="243"/>
      <c r="I783" s="243"/>
      <c r="J783" s="325"/>
      <c r="K783" s="326"/>
      <c r="L783" s="327"/>
      <c r="M783" s="321"/>
      <c r="N783" s="176"/>
      <c r="O783" s="176"/>
      <c r="P783" s="176"/>
      <c r="Q783" s="176"/>
      <c r="R783" s="176"/>
      <c r="S783" s="176"/>
      <c r="T783" s="176"/>
      <c r="U783" s="176"/>
      <c r="V783" s="176"/>
      <c r="W783" s="176"/>
      <c r="X783" s="176"/>
      <c r="Y783" s="176"/>
      <c r="Z783" s="176"/>
    </row>
    <row r="784">
      <c r="A784" s="249"/>
      <c r="B784" s="249"/>
      <c r="C784" s="219"/>
      <c r="D784" s="268"/>
      <c r="E784" s="251"/>
      <c r="F784" s="250"/>
      <c r="G784" s="243"/>
      <c r="H784" s="243"/>
      <c r="I784" s="243"/>
      <c r="J784" s="325"/>
      <c r="K784" s="326"/>
      <c r="L784" s="327"/>
      <c r="M784" s="321"/>
      <c r="N784" s="176"/>
      <c r="O784" s="176"/>
      <c r="P784" s="176"/>
      <c r="Q784" s="176"/>
      <c r="R784" s="176"/>
      <c r="S784" s="176"/>
      <c r="T784" s="176"/>
      <c r="U784" s="176"/>
      <c r="V784" s="176"/>
      <c r="W784" s="176"/>
      <c r="X784" s="176"/>
      <c r="Y784" s="176"/>
      <c r="Z784" s="176"/>
    </row>
    <row r="785">
      <c r="A785" s="249"/>
      <c r="B785" s="249"/>
      <c r="C785" s="219"/>
      <c r="D785" s="268"/>
      <c r="E785" s="251"/>
      <c r="F785" s="250"/>
      <c r="G785" s="243"/>
      <c r="H785" s="243"/>
      <c r="I785" s="243"/>
      <c r="J785" s="325"/>
      <c r="K785" s="326"/>
      <c r="L785" s="327"/>
      <c r="M785" s="321"/>
      <c r="N785" s="176"/>
      <c r="O785" s="176"/>
      <c r="P785" s="176"/>
      <c r="Q785" s="176"/>
      <c r="R785" s="176"/>
      <c r="S785" s="176"/>
      <c r="T785" s="176"/>
      <c r="U785" s="176"/>
      <c r="V785" s="176"/>
      <c r="W785" s="176"/>
      <c r="X785" s="176"/>
      <c r="Y785" s="176"/>
      <c r="Z785" s="176"/>
    </row>
    <row r="786">
      <c r="A786" s="249"/>
      <c r="B786" s="249"/>
      <c r="C786" s="219"/>
      <c r="D786" s="268"/>
      <c r="E786" s="251"/>
      <c r="F786" s="250"/>
      <c r="G786" s="243"/>
      <c r="H786" s="243"/>
      <c r="I786" s="243"/>
      <c r="J786" s="325"/>
      <c r="K786" s="326"/>
      <c r="L786" s="327"/>
      <c r="M786" s="321"/>
      <c r="N786" s="176"/>
      <c r="O786" s="176"/>
      <c r="P786" s="176"/>
      <c r="Q786" s="176"/>
      <c r="R786" s="176"/>
      <c r="S786" s="176"/>
      <c r="T786" s="176"/>
      <c r="U786" s="176"/>
      <c r="V786" s="176"/>
      <c r="W786" s="176"/>
      <c r="X786" s="176"/>
      <c r="Y786" s="176"/>
      <c r="Z786" s="176"/>
    </row>
    <row r="787">
      <c r="A787" s="249"/>
      <c r="B787" s="249"/>
      <c r="C787" s="219"/>
      <c r="D787" s="268"/>
      <c r="E787" s="251"/>
      <c r="F787" s="250"/>
      <c r="G787" s="243"/>
      <c r="H787" s="243"/>
      <c r="I787" s="243"/>
      <c r="J787" s="325"/>
      <c r="K787" s="326"/>
      <c r="L787" s="327"/>
      <c r="M787" s="321"/>
      <c r="N787" s="176"/>
      <c r="O787" s="176"/>
      <c r="P787" s="176"/>
      <c r="Q787" s="176"/>
      <c r="R787" s="176"/>
      <c r="S787" s="176"/>
      <c r="T787" s="176"/>
      <c r="U787" s="176"/>
      <c r="V787" s="176"/>
      <c r="W787" s="176"/>
      <c r="X787" s="176"/>
      <c r="Y787" s="176"/>
      <c r="Z787" s="176"/>
    </row>
    <row r="788">
      <c r="A788" s="249"/>
      <c r="B788" s="249"/>
      <c r="C788" s="219"/>
      <c r="D788" s="268"/>
      <c r="E788" s="251"/>
      <c r="F788" s="250"/>
      <c r="G788" s="243"/>
      <c r="H788" s="243"/>
      <c r="I788" s="243"/>
      <c r="J788" s="325"/>
      <c r="K788" s="326"/>
      <c r="L788" s="327"/>
      <c r="M788" s="321"/>
      <c r="N788" s="176"/>
      <c r="O788" s="176"/>
      <c r="P788" s="176"/>
      <c r="Q788" s="176"/>
      <c r="R788" s="176"/>
      <c r="S788" s="176"/>
      <c r="T788" s="176"/>
      <c r="U788" s="176"/>
      <c r="V788" s="176"/>
      <c r="W788" s="176"/>
      <c r="X788" s="176"/>
      <c r="Y788" s="176"/>
      <c r="Z788" s="176"/>
    </row>
    <row r="789">
      <c r="A789" s="249"/>
      <c r="B789" s="249"/>
      <c r="C789" s="219"/>
      <c r="D789" s="268"/>
      <c r="E789" s="251"/>
      <c r="F789" s="250"/>
      <c r="G789" s="243"/>
      <c r="H789" s="243"/>
      <c r="I789" s="243"/>
      <c r="J789" s="325"/>
      <c r="K789" s="326"/>
      <c r="L789" s="327"/>
      <c r="M789" s="321"/>
      <c r="N789" s="176"/>
      <c r="O789" s="176"/>
      <c r="P789" s="176"/>
      <c r="Q789" s="176"/>
      <c r="R789" s="176"/>
      <c r="S789" s="176"/>
      <c r="T789" s="176"/>
      <c r="U789" s="176"/>
      <c r="V789" s="176"/>
      <c r="W789" s="176"/>
      <c r="X789" s="176"/>
      <c r="Y789" s="176"/>
      <c r="Z789" s="176"/>
    </row>
    <row r="790">
      <c r="A790" s="249"/>
      <c r="B790" s="249"/>
      <c r="C790" s="219"/>
      <c r="D790" s="268"/>
      <c r="E790" s="251"/>
      <c r="F790" s="250"/>
      <c r="G790" s="243"/>
      <c r="H790" s="243"/>
      <c r="I790" s="243"/>
      <c r="J790" s="325"/>
      <c r="K790" s="326"/>
      <c r="L790" s="327"/>
      <c r="M790" s="321"/>
      <c r="N790" s="176"/>
      <c r="O790" s="176"/>
      <c r="P790" s="176"/>
      <c r="Q790" s="176"/>
      <c r="R790" s="176"/>
      <c r="S790" s="176"/>
      <c r="T790" s="176"/>
      <c r="U790" s="176"/>
      <c r="V790" s="176"/>
      <c r="W790" s="176"/>
      <c r="X790" s="176"/>
      <c r="Y790" s="176"/>
      <c r="Z790" s="176"/>
    </row>
    <row r="791">
      <c r="A791" s="249"/>
      <c r="B791" s="249"/>
      <c r="C791" s="219"/>
      <c r="D791" s="268"/>
      <c r="E791" s="251"/>
      <c r="F791" s="250"/>
      <c r="G791" s="243"/>
      <c r="H791" s="243"/>
      <c r="I791" s="243"/>
      <c r="J791" s="325"/>
      <c r="K791" s="326"/>
      <c r="L791" s="327"/>
      <c r="M791" s="321"/>
      <c r="N791" s="176"/>
      <c r="O791" s="176"/>
      <c r="P791" s="176"/>
      <c r="Q791" s="176"/>
      <c r="R791" s="176"/>
      <c r="S791" s="176"/>
      <c r="T791" s="176"/>
      <c r="U791" s="176"/>
      <c r="V791" s="176"/>
      <c r="W791" s="176"/>
      <c r="X791" s="176"/>
      <c r="Y791" s="176"/>
      <c r="Z791" s="176"/>
    </row>
    <row r="792">
      <c r="A792" s="249"/>
      <c r="B792" s="249"/>
      <c r="C792" s="219"/>
      <c r="D792" s="268"/>
      <c r="E792" s="251"/>
      <c r="F792" s="250"/>
      <c r="G792" s="243"/>
      <c r="H792" s="243"/>
      <c r="I792" s="243"/>
      <c r="J792" s="325"/>
      <c r="K792" s="326"/>
      <c r="L792" s="327"/>
      <c r="M792" s="321"/>
      <c r="N792" s="176"/>
      <c r="O792" s="176"/>
      <c r="P792" s="176"/>
      <c r="Q792" s="176"/>
      <c r="R792" s="176"/>
      <c r="S792" s="176"/>
      <c r="T792" s="176"/>
      <c r="U792" s="176"/>
      <c r="V792" s="176"/>
      <c r="W792" s="176"/>
      <c r="X792" s="176"/>
      <c r="Y792" s="176"/>
      <c r="Z792" s="176"/>
    </row>
    <row r="793">
      <c r="A793" s="249"/>
      <c r="B793" s="249"/>
      <c r="C793" s="219"/>
      <c r="D793" s="268"/>
      <c r="E793" s="251"/>
      <c r="F793" s="250"/>
      <c r="G793" s="243"/>
      <c r="H793" s="243"/>
      <c r="I793" s="243"/>
      <c r="J793" s="325"/>
      <c r="K793" s="326"/>
      <c r="L793" s="327"/>
      <c r="M793" s="321"/>
      <c r="N793" s="176"/>
      <c r="O793" s="176"/>
      <c r="P793" s="176"/>
      <c r="Q793" s="176"/>
      <c r="R793" s="176"/>
      <c r="S793" s="176"/>
      <c r="T793" s="176"/>
      <c r="U793" s="176"/>
      <c r="V793" s="176"/>
      <c r="W793" s="176"/>
      <c r="X793" s="176"/>
      <c r="Y793" s="176"/>
      <c r="Z793" s="176"/>
    </row>
    <row r="794">
      <c r="A794" s="249"/>
      <c r="B794" s="249"/>
      <c r="C794" s="219"/>
      <c r="D794" s="268"/>
      <c r="E794" s="251"/>
      <c r="F794" s="250"/>
      <c r="G794" s="243"/>
      <c r="H794" s="243"/>
      <c r="I794" s="243"/>
      <c r="J794" s="325"/>
      <c r="K794" s="326"/>
      <c r="L794" s="327"/>
      <c r="M794" s="321"/>
      <c r="N794" s="176"/>
      <c r="O794" s="176"/>
      <c r="P794" s="176"/>
      <c r="Q794" s="176"/>
      <c r="R794" s="176"/>
      <c r="S794" s="176"/>
      <c r="T794" s="176"/>
      <c r="U794" s="176"/>
      <c r="V794" s="176"/>
      <c r="W794" s="176"/>
      <c r="X794" s="176"/>
      <c r="Y794" s="176"/>
      <c r="Z794" s="176"/>
    </row>
    <row r="795">
      <c r="A795" s="249"/>
      <c r="B795" s="249"/>
      <c r="C795" s="219"/>
      <c r="D795" s="268"/>
      <c r="E795" s="251"/>
      <c r="F795" s="250"/>
      <c r="G795" s="243"/>
      <c r="H795" s="243"/>
      <c r="I795" s="243"/>
      <c r="J795" s="325"/>
      <c r="K795" s="326"/>
      <c r="L795" s="327"/>
      <c r="M795" s="321"/>
      <c r="N795" s="176"/>
      <c r="O795" s="176"/>
      <c r="P795" s="176"/>
      <c r="Q795" s="176"/>
      <c r="R795" s="176"/>
      <c r="S795" s="176"/>
      <c r="T795" s="176"/>
      <c r="U795" s="176"/>
      <c r="V795" s="176"/>
      <c r="W795" s="176"/>
      <c r="X795" s="176"/>
      <c r="Y795" s="176"/>
      <c r="Z795" s="176"/>
    </row>
    <row r="796">
      <c r="A796" s="249"/>
      <c r="B796" s="249"/>
      <c r="C796" s="219"/>
      <c r="D796" s="268"/>
      <c r="E796" s="251"/>
      <c r="F796" s="250"/>
      <c r="G796" s="243"/>
      <c r="H796" s="243"/>
      <c r="I796" s="243"/>
      <c r="J796" s="325"/>
      <c r="K796" s="326"/>
      <c r="L796" s="327"/>
      <c r="M796" s="321"/>
      <c r="N796" s="176"/>
      <c r="O796" s="176"/>
      <c r="P796" s="176"/>
      <c r="Q796" s="176"/>
      <c r="R796" s="176"/>
      <c r="S796" s="176"/>
      <c r="T796" s="176"/>
      <c r="U796" s="176"/>
      <c r="V796" s="176"/>
      <c r="W796" s="176"/>
      <c r="X796" s="176"/>
      <c r="Y796" s="176"/>
      <c r="Z796" s="176"/>
    </row>
    <row r="797">
      <c r="A797" s="249"/>
      <c r="B797" s="249"/>
      <c r="C797" s="219"/>
      <c r="D797" s="268"/>
      <c r="E797" s="251"/>
      <c r="F797" s="250"/>
      <c r="G797" s="243"/>
      <c r="H797" s="243"/>
      <c r="I797" s="243"/>
      <c r="J797" s="325"/>
      <c r="K797" s="326"/>
      <c r="L797" s="327"/>
      <c r="M797" s="321"/>
      <c r="N797" s="176"/>
      <c r="O797" s="176"/>
      <c r="P797" s="176"/>
      <c r="Q797" s="176"/>
      <c r="R797" s="176"/>
      <c r="S797" s="176"/>
      <c r="T797" s="176"/>
      <c r="U797" s="176"/>
      <c r="V797" s="176"/>
      <c r="W797" s="176"/>
      <c r="X797" s="176"/>
      <c r="Y797" s="176"/>
      <c r="Z797" s="176"/>
    </row>
    <row r="798">
      <c r="A798" s="249"/>
      <c r="B798" s="249"/>
      <c r="C798" s="219"/>
      <c r="D798" s="268"/>
      <c r="E798" s="251"/>
      <c r="F798" s="250"/>
      <c r="G798" s="243"/>
      <c r="H798" s="243"/>
      <c r="I798" s="243"/>
      <c r="J798" s="325"/>
      <c r="K798" s="326"/>
      <c r="L798" s="327"/>
      <c r="M798" s="321"/>
      <c r="N798" s="176"/>
      <c r="O798" s="176"/>
      <c r="P798" s="176"/>
      <c r="Q798" s="176"/>
      <c r="R798" s="176"/>
      <c r="S798" s="176"/>
      <c r="T798" s="176"/>
      <c r="U798" s="176"/>
      <c r="V798" s="176"/>
      <c r="W798" s="176"/>
      <c r="X798" s="176"/>
      <c r="Y798" s="176"/>
      <c r="Z798" s="176"/>
    </row>
    <row r="799">
      <c r="A799" s="249"/>
      <c r="B799" s="249"/>
      <c r="C799" s="219"/>
      <c r="D799" s="268"/>
      <c r="E799" s="251"/>
      <c r="F799" s="250"/>
      <c r="G799" s="243"/>
      <c r="H799" s="243"/>
      <c r="I799" s="243"/>
      <c r="J799" s="325"/>
      <c r="K799" s="326"/>
      <c r="L799" s="327"/>
      <c r="M799" s="321"/>
      <c r="N799" s="176"/>
      <c r="O799" s="176"/>
      <c r="P799" s="176"/>
      <c r="Q799" s="176"/>
      <c r="R799" s="176"/>
      <c r="S799" s="176"/>
      <c r="T799" s="176"/>
      <c r="U799" s="176"/>
      <c r="V799" s="176"/>
      <c r="W799" s="176"/>
      <c r="X799" s="176"/>
      <c r="Y799" s="176"/>
      <c r="Z799" s="176"/>
    </row>
    <row r="800">
      <c r="A800" s="249"/>
      <c r="B800" s="249"/>
      <c r="C800" s="219"/>
      <c r="D800" s="268"/>
      <c r="E800" s="251"/>
      <c r="F800" s="250"/>
      <c r="G800" s="243"/>
      <c r="H800" s="243"/>
      <c r="I800" s="243"/>
      <c r="J800" s="325"/>
      <c r="K800" s="326"/>
      <c r="L800" s="327"/>
      <c r="M800" s="321"/>
      <c r="N800" s="176"/>
      <c r="O800" s="176"/>
      <c r="P800" s="176"/>
      <c r="Q800" s="176"/>
      <c r="R800" s="176"/>
      <c r="S800" s="176"/>
      <c r="T800" s="176"/>
      <c r="U800" s="176"/>
      <c r="V800" s="176"/>
      <c r="W800" s="176"/>
      <c r="X800" s="176"/>
      <c r="Y800" s="176"/>
      <c r="Z800" s="176"/>
    </row>
    <row r="801">
      <c r="A801" s="249"/>
      <c r="B801" s="249"/>
      <c r="C801" s="219"/>
      <c r="D801" s="268"/>
      <c r="E801" s="251"/>
      <c r="F801" s="250"/>
      <c r="G801" s="243"/>
      <c r="H801" s="243"/>
      <c r="I801" s="243"/>
      <c r="J801" s="325"/>
      <c r="K801" s="326"/>
      <c r="L801" s="327"/>
      <c r="M801" s="321"/>
      <c r="N801" s="176"/>
      <c r="O801" s="176"/>
      <c r="P801" s="176"/>
      <c r="Q801" s="176"/>
      <c r="R801" s="176"/>
      <c r="S801" s="176"/>
      <c r="T801" s="176"/>
      <c r="U801" s="176"/>
      <c r="V801" s="176"/>
      <c r="W801" s="176"/>
      <c r="X801" s="176"/>
      <c r="Y801" s="176"/>
      <c r="Z801" s="176"/>
    </row>
    <row r="802">
      <c r="A802" s="249"/>
      <c r="B802" s="249"/>
      <c r="C802" s="219"/>
      <c r="D802" s="268"/>
      <c r="E802" s="251"/>
      <c r="F802" s="250"/>
      <c r="G802" s="243"/>
      <c r="H802" s="243"/>
      <c r="I802" s="243"/>
      <c r="J802" s="325"/>
      <c r="K802" s="326"/>
      <c r="L802" s="327"/>
      <c r="M802" s="321"/>
      <c r="N802" s="176"/>
      <c r="O802" s="176"/>
      <c r="P802" s="176"/>
      <c r="Q802" s="176"/>
      <c r="R802" s="176"/>
      <c r="S802" s="176"/>
      <c r="T802" s="176"/>
      <c r="U802" s="176"/>
      <c r="V802" s="176"/>
      <c r="W802" s="176"/>
      <c r="X802" s="176"/>
      <c r="Y802" s="176"/>
      <c r="Z802" s="176"/>
    </row>
    <row r="803">
      <c r="A803" s="249"/>
      <c r="B803" s="249"/>
      <c r="C803" s="219"/>
      <c r="D803" s="268"/>
      <c r="E803" s="251"/>
      <c r="F803" s="250"/>
      <c r="G803" s="243"/>
      <c r="H803" s="243"/>
      <c r="I803" s="243"/>
      <c r="J803" s="325"/>
      <c r="K803" s="326"/>
      <c r="L803" s="327"/>
      <c r="M803" s="321"/>
      <c r="N803" s="176"/>
      <c r="O803" s="176"/>
      <c r="P803" s="176"/>
      <c r="Q803" s="176"/>
      <c r="R803" s="176"/>
      <c r="S803" s="176"/>
      <c r="T803" s="176"/>
      <c r="U803" s="176"/>
      <c r="V803" s="176"/>
      <c r="W803" s="176"/>
      <c r="X803" s="176"/>
      <c r="Y803" s="176"/>
      <c r="Z803" s="176"/>
    </row>
    <row r="804">
      <c r="A804" s="249"/>
      <c r="B804" s="249"/>
      <c r="C804" s="219"/>
      <c r="D804" s="268"/>
      <c r="E804" s="251"/>
      <c r="F804" s="250"/>
      <c r="G804" s="243"/>
      <c r="H804" s="243"/>
      <c r="I804" s="243"/>
      <c r="J804" s="325"/>
      <c r="K804" s="326"/>
      <c r="L804" s="327"/>
      <c r="M804" s="321"/>
      <c r="N804" s="176"/>
      <c r="O804" s="176"/>
      <c r="P804" s="176"/>
      <c r="Q804" s="176"/>
      <c r="R804" s="176"/>
      <c r="S804" s="176"/>
      <c r="T804" s="176"/>
      <c r="U804" s="176"/>
      <c r="V804" s="176"/>
      <c r="W804" s="176"/>
      <c r="X804" s="176"/>
      <c r="Y804" s="176"/>
      <c r="Z804" s="176"/>
    </row>
    <row r="805">
      <c r="A805" s="249"/>
      <c r="B805" s="249"/>
      <c r="C805" s="219"/>
      <c r="D805" s="268"/>
      <c r="E805" s="251"/>
      <c r="F805" s="250"/>
      <c r="G805" s="243"/>
      <c r="H805" s="243"/>
      <c r="I805" s="243"/>
      <c r="J805" s="325"/>
      <c r="K805" s="326"/>
      <c r="L805" s="327"/>
      <c r="M805" s="321"/>
      <c r="N805" s="176"/>
      <c r="O805" s="176"/>
      <c r="P805" s="176"/>
      <c r="Q805" s="176"/>
      <c r="R805" s="176"/>
      <c r="S805" s="176"/>
      <c r="T805" s="176"/>
      <c r="U805" s="176"/>
      <c r="V805" s="176"/>
      <c r="W805" s="176"/>
      <c r="X805" s="176"/>
      <c r="Y805" s="176"/>
      <c r="Z805" s="176"/>
    </row>
    <row r="806">
      <c r="A806" s="249"/>
      <c r="B806" s="249"/>
      <c r="C806" s="219"/>
      <c r="D806" s="268"/>
      <c r="E806" s="251"/>
      <c r="F806" s="250"/>
      <c r="G806" s="243"/>
      <c r="H806" s="243"/>
      <c r="I806" s="243"/>
      <c r="J806" s="325"/>
      <c r="K806" s="326"/>
      <c r="L806" s="327"/>
      <c r="M806" s="321"/>
      <c r="N806" s="176"/>
      <c r="O806" s="176"/>
      <c r="P806" s="176"/>
      <c r="Q806" s="176"/>
      <c r="R806" s="176"/>
      <c r="S806" s="176"/>
      <c r="T806" s="176"/>
      <c r="U806" s="176"/>
      <c r="V806" s="176"/>
      <c r="W806" s="176"/>
      <c r="X806" s="176"/>
      <c r="Y806" s="176"/>
      <c r="Z806" s="176"/>
    </row>
    <row r="807">
      <c r="A807" s="249"/>
      <c r="B807" s="249"/>
      <c r="C807" s="219"/>
      <c r="D807" s="268"/>
      <c r="E807" s="251"/>
      <c r="F807" s="250"/>
      <c r="G807" s="243"/>
      <c r="H807" s="243"/>
      <c r="I807" s="243"/>
      <c r="J807" s="325"/>
      <c r="K807" s="326"/>
      <c r="L807" s="327"/>
      <c r="M807" s="321"/>
      <c r="N807" s="176"/>
      <c r="O807" s="176"/>
      <c r="P807" s="176"/>
      <c r="Q807" s="176"/>
      <c r="R807" s="176"/>
      <c r="S807" s="176"/>
      <c r="T807" s="176"/>
      <c r="U807" s="176"/>
      <c r="V807" s="176"/>
      <c r="W807" s="176"/>
      <c r="X807" s="176"/>
      <c r="Y807" s="176"/>
      <c r="Z807" s="176"/>
    </row>
    <row r="808">
      <c r="A808" s="249"/>
      <c r="B808" s="249"/>
      <c r="C808" s="219"/>
      <c r="D808" s="268"/>
      <c r="E808" s="251"/>
      <c r="F808" s="250"/>
      <c r="G808" s="243"/>
      <c r="H808" s="243"/>
      <c r="I808" s="243"/>
      <c r="J808" s="325"/>
      <c r="K808" s="326"/>
      <c r="L808" s="327"/>
      <c r="M808" s="321"/>
      <c r="N808" s="176"/>
      <c r="O808" s="176"/>
      <c r="P808" s="176"/>
      <c r="Q808" s="176"/>
      <c r="R808" s="176"/>
      <c r="S808" s="176"/>
      <c r="T808" s="176"/>
      <c r="U808" s="176"/>
      <c r="V808" s="176"/>
      <c r="W808" s="176"/>
      <c r="X808" s="176"/>
      <c r="Y808" s="176"/>
      <c r="Z808" s="176"/>
    </row>
    <row r="809">
      <c r="A809" s="249"/>
      <c r="B809" s="249"/>
      <c r="C809" s="219"/>
      <c r="D809" s="268"/>
      <c r="E809" s="251"/>
      <c r="F809" s="250"/>
      <c r="G809" s="243"/>
      <c r="H809" s="243"/>
      <c r="I809" s="243"/>
      <c r="J809" s="325"/>
      <c r="K809" s="326"/>
      <c r="L809" s="327"/>
      <c r="M809" s="321"/>
      <c r="N809" s="176"/>
      <c r="O809" s="176"/>
      <c r="P809" s="176"/>
      <c r="Q809" s="176"/>
      <c r="R809" s="176"/>
      <c r="S809" s="176"/>
      <c r="T809" s="176"/>
      <c r="U809" s="176"/>
      <c r="V809" s="176"/>
      <c r="W809" s="176"/>
      <c r="X809" s="176"/>
      <c r="Y809" s="176"/>
      <c r="Z809" s="176"/>
    </row>
    <row r="810">
      <c r="A810" s="249"/>
      <c r="B810" s="249"/>
      <c r="C810" s="219"/>
      <c r="D810" s="268"/>
      <c r="E810" s="251"/>
      <c r="F810" s="250"/>
      <c r="G810" s="243"/>
      <c r="H810" s="243"/>
      <c r="I810" s="243"/>
      <c r="J810" s="325"/>
      <c r="K810" s="326"/>
      <c r="L810" s="327"/>
      <c r="M810" s="321"/>
      <c r="N810" s="176"/>
      <c r="O810" s="176"/>
      <c r="P810" s="176"/>
      <c r="Q810" s="176"/>
      <c r="R810" s="176"/>
      <c r="S810" s="176"/>
      <c r="T810" s="176"/>
      <c r="U810" s="176"/>
      <c r="V810" s="176"/>
      <c r="W810" s="176"/>
      <c r="X810" s="176"/>
      <c r="Y810" s="176"/>
      <c r="Z810" s="176"/>
    </row>
    <row r="811">
      <c r="A811" s="249"/>
      <c r="B811" s="249"/>
      <c r="C811" s="219"/>
      <c r="D811" s="268"/>
      <c r="E811" s="251"/>
      <c r="F811" s="250"/>
      <c r="G811" s="243"/>
      <c r="H811" s="243"/>
      <c r="I811" s="243"/>
      <c r="J811" s="325"/>
      <c r="K811" s="326"/>
      <c r="L811" s="327"/>
      <c r="M811" s="321"/>
      <c r="N811" s="176"/>
      <c r="O811" s="176"/>
      <c r="P811" s="176"/>
      <c r="Q811" s="176"/>
      <c r="R811" s="176"/>
      <c r="S811" s="176"/>
      <c r="T811" s="176"/>
      <c r="U811" s="176"/>
      <c r="V811" s="176"/>
      <c r="W811" s="176"/>
      <c r="X811" s="176"/>
      <c r="Y811" s="176"/>
      <c r="Z811" s="176"/>
    </row>
    <row r="812">
      <c r="A812" s="249"/>
      <c r="B812" s="249"/>
      <c r="C812" s="219"/>
      <c r="D812" s="268"/>
      <c r="E812" s="251"/>
      <c r="F812" s="250"/>
      <c r="G812" s="243"/>
      <c r="H812" s="243"/>
      <c r="I812" s="243"/>
      <c r="J812" s="325"/>
      <c r="K812" s="326"/>
      <c r="L812" s="327"/>
      <c r="M812" s="321"/>
      <c r="N812" s="176"/>
      <c r="O812" s="176"/>
      <c r="P812" s="176"/>
      <c r="Q812" s="176"/>
      <c r="R812" s="176"/>
      <c r="S812" s="176"/>
      <c r="T812" s="176"/>
      <c r="U812" s="176"/>
      <c r="V812" s="176"/>
      <c r="W812" s="176"/>
      <c r="X812" s="176"/>
      <c r="Y812" s="176"/>
      <c r="Z812" s="176"/>
    </row>
    <row r="813">
      <c r="A813" s="249"/>
      <c r="B813" s="249"/>
      <c r="C813" s="219"/>
      <c r="D813" s="268"/>
      <c r="E813" s="251"/>
      <c r="F813" s="250"/>
      <c r="G813" s="243"/>
      <c r="H813" s="243"/>
      <c r="I813" s="243"/>
      <c r="J813" s="325"/>
      <c r="K813" s="326"/>
      <c r="L813" s="327"/>
      <c r="M813" s="321"/>
      <c r="N813" s="176"/>
      <c r="O813" s="176"/>
      <c r="P813" s="176"/>
      <c r="Q813" s="176"/>
      <c r="R813" s="176"/>
      <c r="S813" s="176"/>
      <c r="T813" s="176"/>
      <c r="U813" s="176"/>
      <c r="V813" s="176"/>
      <c r="W813" s="176"/>
      <c r="X813" s="176"/>
      <c r="Y813" s="176"/>
      <c r="Z813" s="176"/>
    </row>
    <row r="814">
      <c r="A814" s="249"/>
      <c r="B814" s="249"/>
      <c r="C814" s="219"/>
      <c r="D814" s="268"/>
      <c r="E814" s="251"/>
      <c r="F814" s="250"/>
      <c r="G814" s="243"/>
      <c r="H814" s="243"/>
      <c r="I814" s="243"/>
      <c r="J814" s="325"/>
      <c r="K814" s="326"/>
      <c r="L814" s="327"/>
      <c r="M814" s="321"/>
      <c r="N814" s="176"/>
      <c r="O814" s="176"/>
      <c r="P814" s="176"/>
      <c r="Q814" s="176"/>
      <c r="R814" s="176"/>
      <c r="S814" s="176"/>
      <c r="T814" s="176"/>
      <c r="U814" s="176"/>
      <c r="V814" s="176"/>
      <c r="W814" s="176"/>
      <c r="X814" s="176"/>
      <c r="Y814" s="176"/>
      <c r="Z814" s="176"/>
    </row>
    <row r="815">
      <c r="A815" s="249"/>
      <c r="B815" s="249"/>
      <c r="C815" s="219"/>
      <c r="D815" s="268"/>
      <c r="E815" s="251"/>
      <c r="F815" s="250"/>
      <c r="G815" s="243"/>
      <c r="H815" s="243"/>
      <c r="I815" s="243"/>
      <c r="J815" s="325"/>
      <c r="K815" s="326"/>
      <c r="L815" s="327"/>
      <c r="M815" s="321"/>
      <c r="N815" s="176"/>
      <c r="O815" s="176"/>
      <c r="P815" s="176"/>
      <c r="Q815" s="176"/>
      <c r="R815" s="176"/>
      <c r="S815" s="176"/>
      <c r="T815" s="176"/>
      <c r="U815" s="176"/>
      <c r="V815" s="176"/>
      <c r="W815" s="176"/>
      <c r="X815" s="176"/>
      <c r="Y815" s="176"/>
      <c r="Z815" s="176"/>
    </row>
    <row r="816">
      <c r="A816" s="249"/>
      <c r="B816" s="249"/>
      <c r="C816" s="219"/>
      <c r="D816" s="268"/>
      <c r="E816" s="251"/>
      <c r="F816" s="250"/>
      <c r="G816" s="243"/>
      <c r="H816" s="243"/>
      <c r="I816" s="243"/>
      <c r="J816" s="325"/>
      <c r="K816" s="326"/>
      <c r="L816" s="327"/>
      <c r="M816" s="321"/>
      <c r="N816" s="176"/>
      <c r="O816" s="176"/>
      <c r="P816" s="176"/>
      <c r="Q816" s="176"/>
      <c r="R816" s="176"/>
      <c r="S816" s="176"/>
      <c r="T816" s="176"/>
      <c r="U816" s="176"/>
      <c r="V816" s="176"/>
      <c r="W816" s="176"/>
      <c r="X816" s="176"/>
      <c r="Y816" s="176"/>
      <c r="Z816" s="176"/>
    </row>
    <row r="817">
      <c r="A817" s="249"/>
      <c r="B817" s="249"/>
      <c r="C817" s="219"/>
      <c r="D817" s="268"/>
      <c r="E817" s="251"/>
      <c r="F817" s="250"/>
      <c r="G817" s="243"/>
      <c r="H817" s="243"/>
      <c r="I817" s="243"/>
      <c r="J817" s="325"/>
      <c r="K817" s="326"/>
      <c r="L817" s="327"/>
      <c r="M817" s="321"/>
      <c r="N817" s="176"/>
      <c r="O817" s="176"/>
      <c r="P817" s="176"/>
      <c r="Q817" s="176"/>
      <c r="R817" s="176"/>
      <c r="S817" s="176"/>
      <c r="T817" s="176"/>
      <c r="U817" s="176"/>
      <c r="V817" s="176"/>
      <c r="W817" s="176"/>
      <c r="X817" s="176"/>
      <c r="Y817" s="176"/>
      <c r="Z817" s="176"/>
    </row>
    <row r="818">
      <c r="A818" s="249"/>
      <c r="B818" s="249"/>
      <c r="C818" s="219"/>
      <c r="D818" s="268"/>
      <c r="E818" s="251"/>
      <c r="F818" s="250"/>
      <c r="G818" s="243"/>
      <c r="H818" s="243"/>
      <c r="I818" s="243"/>
      <c r="J818" s="325"/>
      <c r="K818" s="326"/>
      <c r="L818" s="327"/>
      <c r="M818" s="321"/>
      <c r="N818" s="176"/>
      <c r="O818" s="176"/>
      <c r="P818" s="176"/>
      <c r="Q818" s="176"/>
      <c r="R818" s="176"/>
      <c r="S818" s="176"/>
      <c r="T818" s="176"/>
      <c r="U818" s="176"/>
      <c r="V818" s="176"/>
      <c r="W818" s="176"/>
      <c r="X818" s="176"/>
      <c r="Y818" s="176"/>
      <c r="Z818" s="176"/>
    </row>
    <row r="819">
      <c r="A819" s="249"/>
      <c r="B819" s="249"/>
      <c r="C819" s="219"/>
      <c r="D819" s="268"/>
      <c r="E819" s="251"/>
      <c r="F819" s="250"/>
      <c r="G819" s="243"/>
      <c r="H819" s="243"/>
      <c r="I819" s="243"/>
      <c r="J819" s="325"/>
      <c r="K819" s="326"/>
      <c r="L819" s="327"/>
      <c r="M819" s="321"/>
      <c r="N819" s="176"/>
      <c r="O819" s="176"/>
      <c r="P819" s="176"/>
      <c r="Q819" s="176"/>
      <c r="R819" s="176"/>
      <c r="S819" s="176"/>
      <c r="T819" s="176"/>
      <c r="U819" s="176"/>
      <c r="V819" s="176"/>
      <c r="W819" s="176"/>
      <c r="X819" s="176"/>
      <c r="Y819" s="176"/>
      <c r="Z819" s="176"/>
    </row>
    <row r="820">
      <c r="A820" s="249"/>
      <c r="B820" s="249"/>
      <c r="C820" s="219"/>
      <c r="D820" s="268"/>
      <c r="E820" s="251"/>
      <c r="F820" s="250"/>
      <c r="G820" s="243"/>
      <c r="H820" s="243"/>
      <c r="I820" s="243"/>
      <c r="J820" s="325"/>
      <c r="K820" s="326"/>
      <c r="L820" s="327"/>
      <c r="M820" s="321"/>
      <c r="N820" s="176"/>
      <c r="O820" s="176"/>
      <c r="P820" s="176"/>
      <c r="Q820" s="176"/>
      <c r="R820" s="176"/>
      <c r="S820" s="176"/>
      <c r="T820" s="176"/>
      <c r="U820" s="176"/>
      <c r="V820" s="176"/>
      <c r="W820" s="176"/>
      <c r="X820" s="176"/>
      <c r="Y820" s="176"/>
      <c r="Z820" s="176"/>
    </row>
    <row r="821">
      <c r="A821" s="249"/>
      <c r="B821" s="249"/>
      <c r="C821" s="219"/>
      <c r="D821" s="268"/>
      <c r="E821" s="251"/>
      <c r="F821" s="250"/>
      <c r="G821" s="243"/>
      <c r="H821" s="243"/>
      <c r="I821" s="243"/>
      <c r="J821" s="325"/>
      <c r="K821" s="326"/>
      <c r="L821" s="327"/>
      <c r="M821" s="321"/>
      <c r="N821" s="176"/>
      <c r="O821" s="176"/>
      <c r="P821" s="176"/>
      <c r="Q821" s="176"/>
      <c r="R821" s="176"/>
      <c r="S821" s="176"/>
      <c r="T821" s="176"/>
      <c r="U821" s="176"/>
      <c r="V821" s="176"/>
      <c r="W821" s="176"/>
      <c r="X821" s="176"/>
      <c r="Y821" s="176"/>
      <c r="Z821" s="176"/>
    </row>
    <row r="822">
      <c r="A822" s="249"/>
      <c r="B822" s="249"/>
      <c r="C822" s="219"/>
      <c r="D822" s="268"/>
      <c r="E822" s="251"/>
      <c r="F822" s="250"/>
      <c r="G822" s="243"/>
      <c r="H822" s="243"/>
      <c r="I822" s="243"/>
      <c r="J822" s="325"/>
      <c r="K822" s="326"/>
      <c r="L822" s="327"/>
      <c r="M822" s="321"/>
      <c r="N822" s="176"/>
      <c r="O822" s="176"/>
      <c r="P822" s="176"/>
      <c r="Q822" s="176"/>
      <c r="R822" s="176"/>
      <c r="S822" s="176"/>
      <c r="T822" s="176"/>
      <c r="U822" s="176"/>
      <c r="V822" s="176"/>
      <c r="W822" s="176"/>
      <c r="X822" s="176"/>
      <c r="Y822" s="176"/>
      <c r="Z822" s="176"/>
    </row>
    <row r="823">
      <c r="A823" s="249"/>
      <c r="B823" s="249"/>
      <c r="C823" s="219"/>
      <c r="D823" s="268"/>
      <c r="E823" s="251"/>
      <c r="F823" s="250"/>
      <c r="G823" s="243"/>
      <c r="H823" s="243"/>
      <c r="I823" s="243"/>
      <c r="J823" s="325"/>
      <c r="K823" s="326"/>
      <c r="L823" s="327"/>
      <c r="M823" s="321"/>
      <c r="N823" s="176"/>
      <c r="O823" s="176"/>
      <c r="P823" s="176"/>
      <c r="Q823" s="176"/>
      <c r="R823" s="176"/>
      <c r="S823" s="176"/>
      <c r="T823" s="176"/>
      <c r="U823" s="176"/>
      <c r="V823" s="176"/>
      <c r="W823" s="176"/>
      <c r="X823" s="176"/>
      <c r="Y823" s="176"/>
      <c r="Z823" s="176"/>
    </row>
    <row r="824">
      <c r="A824" s="249"/>
      <c r="B824" s="249"/>
      <c r="C824" s="219"/>
      <c r="D824" s="268"/>
      <c r="E824" s="251"/>
      <c r="F824" s="250"/>
      <c r="G824" s="243"/>
      <c r="H824" s="243"/>
      <c r="I824" s="243"/>
      <c r="J824" s="325"/>
      <c r="K824" s="326"/>
      <c r="L824" s="327"/>
      <c r="M824" s="321"/>
      <c r="N824" s="176"/>
      <c r="O824" s="176"/>
      <c r="P824" s="176"/>
      <c r="Q824" s="176"/>
      <c r="R824" s="176"/>
      <c r="S824" s="176"/>
      <c r="T824" s="176"/>
      <c r="U824" s="176"/>
      <c r="V824" s="176"/>
      <c r="W824" s="176"/>
      <c r="X824" s="176"/>
      <c r="Y824" s="176"/>
      <c r="Z824" s="176"/>
    </row>
    <row r="825">
      <c r="A825" s="249"/>
      <c r="B825" s="249"/>
      <c r="C825" s="219"/>
      <c r="D825" s="268"/>
      <c r="E825" s="251"/>
      <c r="F825" s="250"/>
      <c r="G825" s="243"/>
      <c r="H825" s="243"/>
      <c r="I825" s="243"/>
      <c r="J825" s="325"/>
      <c r="K825" s="326"/>
      <c r="L825" s="327"/>
      <c r="M825" s="321"/>
      <c r="N825" s="176"/>
      <c r="O825" s="176"/>
      <c r="P825" s="176"/>
      <c r="Q825" s="176"/>
      <c r="R825" s="176"/>
      <c r="S825" s="176"/>
      <c r="T825" s="176"/>
      <c r="U825" s="176"/>
      <c r="V825" s="176"/>
      <c r="W825" s="176"/>
      <c r="X825" s="176"/>
      <c r="Y825" s="176"/>
      <c r="Z825" s="176"/>
    </row>
    <row r="826">
      <c r="A826" s="249"/>
      <c r="B826" s="249"/>
      <c r="C826" s="219"/>
      <c r="D826" s="268"/>
      <c r="E826" s="251"/>
      <c r="F826" s="250"/>
      <c r="G826" s="243"/>
      <c r="H826" s="243"/>
      <c r="I826" s="243"/>
      <c r="J826" s="325"/>
      <c r="K826" s="326"/>
      <c r="L826" s="327"/>
      <c r="M826" s="321"/>
      <c r="N826" s="176"/>
      <c r="O826" s="176"/>
      <c r="P826" s="176"/>
      <c r="Q826" s="176"/>
      <c r="R826" s="176"/>
      <c r="S826" s="176"/>
      <c r="T826" s="176"/>
      <c r="U826" s="176"/>
      <c r="V826" s="176"/>
      <c r="W826" s="176"/>
      <c r="X826" s="176"/>
      <c r="Y826" s="176"/>
      <c r="Z826" s="176"/>
    </row>
    <row r="827">
      <c r="A827" s="249"/>
      <c r="B827" s="249"/>
      <c r="C827" s="219"/>
      <c r="D827" s="268"/>
      <c r="E827" s="251"/>
      <c r="F827" s="250"/>
      <c r="G827" s="243"/>
      <c r="H827" s="243"/>
      <c r="I827" s="243"/>
      <c r="J827" s="325"/>
      <c r="K827" s="326"/>
      <c r="L827" s="327"/>
      <c r="M827" s="321"/>
      <c r="N827" s="176"/>
      <c r="O827" s="176"/>
      <c r="P827" s="176"/>
      <c r="Q827" s="176"/>
      <c r="R827" s="176"/>
      <c r="S827" s="176"/>
      <c r="T827" s="176"/>
      <c r="U827" s="176"/>
      <c r="V827" s="176"/>
      <c r="W827" s="176"/>
      <c r="X827" s="176"/>
      <c r="Y827" s="176"/>
      <c r="Z827" s="176"/>
    </row>
    <row r="828">
      <c r="A828" s="249"/>
      <c r="B828" s="249"/>
      <c r="C828" s="219"/>
      <c r="D828" s="268"/>
      <c r="E828" s="251"/>
      <c r="F828" s="250"/>
      <c r="G828" s="243"/>
      <c r="H828" s="243"/>
      <c r="I828" s="243"/>
      <c r="J828" s="325"/>
      <c r="K828" s="326"/>
      <c r="L828" s="327"/>
      <c r="M828" s="321"/>
      <c r="N828" s="176"/>
      <c r="O828" s="176"/>
      <c r="P828" s="176"/>
      <c r="Q828" s="176"/>
      <c r="R828" s="176"/>
      <c r="S828" s="176"/>
      <c r="T828" s="176"/>
      <c r="U828" s="176"/>
      <c r="V828" s="176"/>
      <c r="W828" s="176"/>
      <c r="X828" s="176"/>
      <c r="Y828" s="176"/>
      <c r="Z828" s="176"/>
    </row>
    <row r="829">
      <c r="A829" s="249"/>
      <c r="B829" s="249"/>
      <c r="C829" s="219"/>
      <c r="D829" s="268"/>
      <c r="E829" s="251"/>
      <c r="F829" s="250"/>
      <c r="G829" s="243"/>
      <c r="H829" s="243"/>
      <c r="I829" s="243"/>
      <c r="J829" s="325"/>
      <c r="K829" s="326"/>
      <c r="L829" s="327"/>
      <c r="M829" s="321"/>
      <c r="N829" s="176"/>
      <c r="O829" s="176"/>
      <c r="P829" s="176"/>
      <c r="Q829" s="176"/>
      <c r="R829" s="176"/>
      <c r="S829" s="176"/>
      <c r="T829" s="176"/>
      <c r="U829" s="176"/>
      <c r="V829" s="176"/>
      <c r="W829" s="176"/>
      <c r="X829" s="176"/>
      <c r="Y829" s="176"/>
      <c r="Z829" s="176"/>
    </row>
    <row r="830">
      <c r="A830" s="249"/>
      <c r="B830" s="249"/>
      <c r="C830" s="219"/>
      <c r="D830" s="268"/>
      <c r="E830" s="251"/>
      <c r="F830" s="250"/>
      <c r="G830" s="243"/>
      <c r="H830" s="243"/>
      <c r="I830" s="243"/>
      <c r="J830" s="325"/>
      <c r="K830" s="326"/>
      <c r="L830" s="327"/>
      <c r="M830" s="321"/>
      <c r="N830" s="176"/>
      <c r="O830" s="176"/>
      <c r="P830" s="176"/>
      <c r="Q830" s="176"/>
      <c r="R830" s="176"/>
      <c r="S830" s="176"/>
      <c r="T830" s="176"/>
      <c r="U830" s="176"/>
      <c r="V830" s="176"/>
      <c r="W830" s="176"/>
      <c r="X830" s="176"/>
      <c r="Y830" s="176"/>
      <c r="Z830" s="176"/>
    </row>
    <row r="831">
      <c r="A831" s="249"/>
      <c r="B831" s="249"/>
      <c r="C831" s="219"/>
      <c r="D831" s="268"/>
      <c r="E831" s="251"/>
      <c r="F831" s="250"/>
      <c r="G831" s="243"/>
      <c r="H831" s="243"/>
      <c r="I831" s="243"/>
      <c r="J831" s="325"/>
      <c r="K831" s="326"/>
      <c r="L831" s="327"/>
      <c r="M831" s="321"/>
      <c r="N831" s="176"/>
      <c r="O831" s="176"/>
      <c r="P831" s="176"/>
      <c r="Q831" s="176"/>
      <c r="R831" s="176"/>
      <c r="S831" s="176"/>
      <c r="T831" s="176"/>
      <c r="U831" s="176"/>
      <c r="V831" s="176"/>
      <c r="W831" s="176"/>
      <c r="X831" s="176"/>
      <c r="Y831" s="176"/>
      <c r="Z831" s="176"/>
    </row>
    <row r="832">
      <c r="A832" s="249"/>
      <c r="B832" s="249"/>
      <c r="C832" s="219"/>
      <c r="D832" s="268"/>
      <c r="E832" s="251"/>
      <c r="F832" s="250"/>
      <c r="G832" s="243"/>
      <c r="H832" s="243"/>
      <c r="I832" s="243"/>
      <c r="J832" s="325"/>
      <c r="K832" s="326"/>
      <c r="L832" s="327"/>
      <c r="M832" s="321"/>
      <c r="N832" s="176"/>
      <c r="O832" s="176"/>
      <c r="P832" s="176"/>
      <c r="Q832" s="176"/>
      <c r="R832" s="176"/>
      <c r="S832" s="176"/>
      <c r="T832" s="176"/>
      <c r="U832" s="176"/>
      <c r="V832" s="176"/>
      <c r="W832" s="176"/>
      <c r="X832" s="176"/>
      <c r="Y832" s="176"/>
      <c r="Z832" s="176"/>
    </row>
    <row r="833">
      <c r="A833" s="249"/>
      <c r="B833" s="249"/>
      <c r="C833" s="219"/>
      <c r="D833" s="268"/>
      <c r="E833" s="251"/>
      <c r="F833" s="250"/>
      <c r="G833" s="243"/>
      <c r="H833" s="243"/>
      <c r="I833" s="243"/>
      <c r="J833" s="325"/>
      <c r="K833" s="326"/>
      <c r="L833" s="327"/>
      <c r="M833" s="321"/>
      <c r="N833" s="176"/>
      <c r="O833" s="176"/>
      <c r="P833" s="176"/>
      <c r="Q833" s="176"/>
      <c r="R833" s="176"/>
      <c r="S833" s="176"/>
      <c r="T833" s="176"/>
      <c r="U833" s="176"/>
      <c r="V833" s="176"/>
      <c r="W833" s="176"/>
      <c r="X833" s="176"/>
      <c r="Y833" s="176"/>
      <c r="Z833" s="176"/>
    </row>
    <row r="834">
      <c r="A834" s="249"/>
      <c r="B834" s="249"/>
      <c r="C834" s="219"/>
      <c r="D834" s="268"/>
      <c r="E834" s="251"/>
      <c r="F834" s="250"/>
      <c r="G834" s="243"/>
      <c r="H834" s="243"/>
      <c r="I834" s="243"/>
      <c r="J834" s="325"/>
      <c r="K834" s="326"/>
      <c r="L834" s="327"/>
      <c r="M834" s="321"/>
      <c r="N834" s="176"/>
      <c r="O834" s="176"/>
      <c r="P834" s="176"/>
      <c r="Q834" s="176"/>
      <c r="R834" s="176"/>
      <c r="S834" s="176"/>
      <c r="T834" s="176"/>
      <c r="U834" s="176"/>
      <c r="V834" s="176"/>
      <c r="W834" s="176"/>
      <c r="X834" s="176"/>
      <c r="Y834" s="176"/>
      <c r="Z834" s="176"/>
    </row>
    <row r="835">
      <c r="A835" s="249"/>
      <c r="B835" s="249"/>
      <c r="C835" s="219"/>
      <c r="D835" s="268"/>
      <c r="E835" s="251"/>
      <c r="F835" s="250"/>
      <c r="G835" s="243"/>
      <c r="H835" s="243"/>
      <c r="I835" s="243"/>
      <c r="J835" s="325"/>
      <c r="K835" s="326"/>
      <c r="L835" s="327"/>
      <c r="M835" s="321"/>
      <c r="N835" s="176"/>
      <c r="O835" s="176"/>
      <c r="P835" s="176"/>
      <c r="Q835" s="176"/>
      <c r="R835" s="176"/>
      <c r="S835" s="176"/>
      <c r="T835" s="176"/>
      <c r="U835" s="176"/>
      <c r="V835" s="176"/>
      <c r="W835" s="176"/>
      <c r="X835" s="176"/>
      <c r="Y835" s="176"/>
      <c r="Z835" s="176"/>
    </row>
    <row r="836">
      <c r="A836" s="249"/>
      <c r="B836" s="249"/>
      <c r="C836" s="219"/>
      <c r="D836" s="268"/>
      <c r="E836" s="251"/>
      <c r="F836" s="250"/>
      <c r="G836" s="243"/>
      <c r="H836" s="243"/>
      <c r="I836" s="243"/>
      <c r="J836" s="325"/>
      <c r="K836" s="326"/>
      <c r="L836" s="327"/>
      <c r="M836" s="321"/>
      <c r="N836" s="176"/>
      <c r="O836" s="176"/>
      <c r="P836" s="176"/>
      <c r="Q836" s="176"/>
      <c r="R836" s="176"/>
      <c r="S836" s="176"/>
      <c r="T836" s="176"/>
      <c r="U836" s="176"/>
      <c r="V836" s="176"/>
      <c r="W836" s="176"/>
      <c r="X836" s="176"/>
      <c r="Y836" s="176"/>
      <c r="Z836" s="176"/>
    </row>
    <row r="837">
      <c r="A837" s="249"/>
      <c r="B837" s="249"/>
      <c r="C837" s="219"/>
      <c r="D837" s="268"/>
      <c r="E837" s="251"/>
      <c r="F837" s="250"/>
      <c r="G837" s="243"/>
      <c r="H837" s="243"/>
      <c r="I837" s="243"/>
      <c r="J837" s="325"/>
      <c r="K837" s="326"/>
      <c r="L837" s="327"/>
      <c r="M837" s="321"/>
      <c r="N837" s="176"/>
      <c r="O837" s="176"/>
      <c r="P837" s="176"/>
      <c r="Q837" s="176"/>
      <c r="R837" s="176"/>
      <c r="S837" s="176"/>
      <c r="T837" s="176"/>
      <c r="U837" s="176"/>
      <c r="V837" s="176"/>
      <c r="W837" s="176"/>
      <c r="X837" s="176"/>
      <c r="Y837" s="176"/>
      <c r="Z837" s="176"/>
    </row>
    <row r="838">
      <c r="A838" s="249"/>
      <c r="B838" s="249"/>
      <c r="C838" s="219"/>
      <c r="D838" s="268"/>
      <c r="E838" s="251"/>
      <c r="F838" s="250"/>
      <c r="G838" s="243"/>
      <c r="H838" s="243"/>
      <c r="I838" s="243"/>
      <c r="J838" s="325"/>
      <c r="K838" s="326"/>
      <c r="L838" s="327"/>
      <c r="M838" s="321"/>
      <c r="N838" s="176"/>
      <c r="O838" s="176"/>
      <c r="P838" s="176"/>
      <c r="Q838" s="176"/>
      <c r="R838" s="176"/>
      <c r="S838" s="176"/>
      <c r="T838" s="176"/>
      <c r="U838" s="176"/>
      <c r="V838" s="176"/>
      <c r="W838" s="176"/>
      <c r="X838" s="176"/>
      <c r="Y838" s="176"/>
      <c r="Z838" s="176"/>
    </row>
    <row r="839">
      <c r="A839" s="249"/>
      <c r="B839" s="249"/>
      <c r="C839" s="219"/>
      <c r="D839" s="268"/>
      <c r="E839" s="251"/>
      <c r="F839" s="250"/>
      <c r="G839" s="243"/>
      <c r="H839" s="243"/>
      <c r="I839" s="243"/>
      <c r="J839" s="325"/>
      <c r="K839" s="326"/>
      <c r="L839" s="327"/>
      <c r="M839" s="321"/>
      <c r="N839" s="176"/>
      <c r="O839" s="176"/>
      <c r="P839" s="176"/>
      <c r="Q839" s="176"/>
      <c r="R839" s="176"/>
      <c r="S839" s="176"/>
      <c r="T839" s="176"/>
      <c r="U839" s="176"/>
      <c r="V839" s="176"/>
      <c r="W839" s="176"/>
      <c r="X839" s="176"/>
      <c r="Y839" s="176"/>
      <c r="Z839" s="176"/>
    </row>
    <row r="840">
      <c r="A840" s="249"/>
      <c r="B840" s="249"/>
      <c r="C840" s="219"/>
      <c r="D840" s="268"/>
      <c r="E840" s="251"/>
      <c r="F840" s="250"/>
      <c r="G840" s="243"/>
      <c r="H840" s="243"/>
      <c r="I840" s="243"/>
      <c r="J840" s="325"/>
      <c r="K840" s="326"/>
      <c r="L840" s="327"/>
      <c r="M840" s="321"/>
      <c r="N840" s="176"/>
      <c r="O840" s="176"/>
      <c r="P840" s="176"/>
      <c r="Q840" s="176"/>
      <c r="R840" s="176"/>
      <c r="S840" s="176"/>
      <c r="T840" s="176"/>
      <c r="U840" s="176"/>
      <c r="V840" s="176"/>
      <c r="W840" s="176"/>
      <c r="X840" s="176"/>
      <c r="Y840" s="176"/>
      <c r="Z840" s="176"/>
    </row>
    <row r="841">
      <c r="A841" s="249"/>
      <c r="B841" s="249"/>
      <c r="C841" s="219"/>
      <c r="D841" s="268"/>
      <c r="E841" s="251"/>
      <c r="F841" s="250"/>
      <c r="G841" s="243"/>
      <c r="H841" s="243"/>
      <c r="I841" s="243"/>
      <c r="J841" s="325"/>
      <c r="K841" s="326"/>
      <c r="L841" s="327"/>
      <c r="M841" s="321"/>
      <c r="N841" s="176"/>
      <c r="O841" s="176"/>
      <c r="P841" s="176"/>
      <c r="Q841" s="176"/>
      <c r="R841" s="176"/>
      <c r="S841" s="176"/>
      <c r="T841" s="176"/>
      <c r="U841" s="176"/>
      <c r="V841" s="176"/>
      <c r="W841" s="176"/>
      <c r="X841" s="176"/>
      <c r="Y841" s="176"/>
      <c r="Z841" s="176"/>
    </row>
    <row r="842">
      <c r="A842" s="249"/>
      <c r="B842" s="249"/>
      <c r="C842" s="219"/>
      <c r="D842" s="268"/>
      <c r="E842" s="251"/>
      <c r="F842" s="250"/>
      <c r="G842" s="243"/>
      <c r="H842" s="243"/>
      <c r="I842" s="243"/>
      <c r="J842" s="325"/>
      <c r="K842" s="326"/>
      <c r="L842" s="327"/>
      <c r="M842" s="321"/>
      <c r="N842" s="176"/>
      <c r="O842" s="176"/>
      <c r="P842" s="176"/>
      <c r="Q842" s="176"/>
      <c r="R842" s="176"/>
      <c r="S842" s="176"/>
      <c r="T842" s="176"/>
      <c r="U842" s="176"/>
      <c r="V842" s="176"/>
      <c r="W842" s="176"/>
      <c r="X842" s="176"/>
      <c r="Y842" s="176"/>
      <c r="Z842" s="176"/>
    </row>
    <row r="843">
      <c r="A843" s="249"/>
      <c r="B843" s="249"/>
      <c r="C843" s="219"/>
      <c r="D843" s="268"/>
      <c r="E843" s="251"/>
      <c r="F843" s="250"/>
      <c r="G843" s="243"/>
      <c r="H843" s="243"/>
      <c r="I843" s="243"/>
      <c r="J843" s="325"/>
      <c r="K843" s="326"/>
      <c r="L843" s="327"/>
      <c r="M843" s="321"/>
      <c r="N843" s="176"/>
      <c r="O843" s="176"/>
      <c r="P843" s="176"/>
      <c r="Q843" s="176"/>
      <c r="R843" s="176"/>
      <c r="S843" s="176"/>
      <c r="T843" s="176"/>
      <c r="U843" s="176"/>
      <c r="V843" s="176"/>
      <c r="W843" s="176"/>
      <c r="X843" s="176"/>
      <c r="Y843" s="176"/>
      <c r="Z843" s="176"/>
    </row>
    <row r="844">
      <c r="A844" s="249"/>
      <c r="B844" s="249"/>
      <c r="C844" s="219"/>
      <c r="D844" s="268"/>
      <c r="E844" s="251"/>
      <c r="F844" s="250"/>
      <c r="G844" s="243"/>
      <c r="H844" s="243"/>
      <c r="I844" s="243"/>
      <c r="J844" s="325"/>
      <c r="K844" s="326"/>
      <c r="L844" s="327"/>
      <c r="M844" s="321"/>
      <c r="N844" s="176"/>
      <c r="O844" s="176"/>
      <c r="P844" s="176"/>
      <c r="Q844" s="176"/>
      <c r="R844" s="176"/>
      <c r="S844" s="176"/>
      <c r="T844" s="176"/>
      <c r="U844" s="176"/>
      <c r="V844" s="176"/>
      <c r="W844" s="176"/>
      <c r="X844" s="176"/>
      <c r="Y844" s="176"/>
      <c r="Z844" s="176"/>
    </row>
    <row r="845">
      <c r="A845" s="249"/>
      <c r="B845" s="249"/>
      <c r="C845" s="219"/>
      <c r="D845" s="268"/>
      <c r="E845" s="251"/>
      <c r="F845" s="250"/>
      <c r="G845" s="243"/>
      <c r="H845" s="243"/>
      <c r="I845" s="243"/>
      <c r="J845" s="325"/>
      <c r="K845" s="326"/>
      <c r="L845" s="327"/>
      <c r="M845" s="321"/>
      <c r="N845" s="176"/>
      <c r="O845" s="176"/>
      <c r="P845" s="176"/>
      <c r="Q845" s="176"/>
      <c r="R845" s="176"/>
      <c r="S845" s="176"/>
      <c r="T845" s="176"/>
      <c r="U845" s="176"/>
      <c r="V845" s="176"/>
      <c r="W845" s="176"/>
      <c r="X845" s="176"/>
      <c r="Y845" s="176"/>
      <c r="Z845" s="176"/>
    </row>
    <row r="846">
      <c r="A846" s="249"/>
      <c r="B846" s="249"/>
      <c r="C846" s="219"/>
      <c r="D846" s="268"/>
      <c r="E846" s="251"/>
      <c r="F846" s="250"/>
      <c r="G846" s="243"/>
      <c r="H846" s="243"/>
      <c r="I846" s="243"/>
      <c r="J846" s="325"/>
      <c r="K846" s="326"/>
      <c r="L846" s="327"/>
      <c r="M846" s="321"/>
      <c r="N846" s="176"/>
      <c r="O846" s="176"/>
      <c r="P846" s="176"/>
      <c r="Q846" s="176"/>
      <c r="R846" s="176"/>
      <c r="S846" s="176"/>
      <c r="T846" s="176"/>
      <c r="U846" s="176"/>
      <c r="V846" s="176"/>
      <c r="W846" s="176"/>
      <c r="X846" s="176"/>
      <c r="Y846" s="176"/>
      <c r="Z846" s="176"/>
    </row>
    <row r="847">
      <c r="A847" s="249"/>
      <c r="B847" s="249"/>
      <c r="C847" s="219"/>
      <c r="D847" s="268"/>
      <c r="E847" s="251"/>
      <c r="F847" s="250"/>
      <c r="G847" s="243"/>
      <c r="H847" s="243"/>
      <c r="I847" s="243"/>
      <c r="J847" s="325"/>
      <c r="K847" s="326"/>
      <c r="L847" s="327"/>
      <c r="M847" s="321"/>
      <c r="N847" s="176"/>
      <c r="O847" s="176"/>
      <c r="P847" s="176"/>
      <c r="Q847" s="176"/>
      <c r="R847" s="176"/>
      <c r="S847" s="176"/>
      <c r="T847" s="176"/>
      <c r="U847" s="176"/>
      <c r="V847" s="176"/>
      <c r="W847" s="176"/>
      <c r="X847" s="176"/>
      <c r="Y847" s="176"/>
      <c r="Z847" s="176"/>
    </row>
    <row r="848">
      <c r="A848" s="249"/>
      <c r="B848" s="249"/>
      <c r="C848" s="219"/>
      <c r="D848" s="268"/>
      <c r="E848" s="251"/>
      <c r="F848" s="250"/>
      <c r="G848" s="243"/>
      <c r="H848" s="243"/>
      <c r="I848" s="243"/>
      <c r="J848" s="325"/>
      <c r="K848" s="326"/>
      <c r="L848" s="327"/>
      <c r="M848" s="321"/>
      <c r="N848" s="176"/>
      <c r="O848" s="176"/>
      <c r="P848" s="176"/>
      <c r="Q848" s="176"/>
      <c r="R848" s="176"/>
      <c r="S848" s="176"/>
      <c r="T848" s="176"/>
      <c r="U848" s="176"/>
      <c r="V848" s="176"/>
      <c r="W848" s="176"/>
      <c r="X848" s="176"/>
      <c r="Y848" s="176"/>
      <c r="Z848" s="176"/>
    </row>
    <row r="849">
      <c r="A849" s="249"/>
      <c r="B849" s="249"/>
      <c r="C849" s="219"/>
      <c r="D849" s="268"/>
      <c r="E849" s="251"/>
      <c r="F849" s="250"/>
      <c r="G849" s="243"/>
      <c r="H849" s="243"/>
      <c r="I849" s="243"/>
      <c r="J849" s="325"/>
      <c r="K849" s="326"/>
      <c r="L849" s="327"/>
      <c r="M849" s="321"/>
      <c r="N849" s="176"/>
      <c r="O849" s="176"/>
      <c r="P849" s="176"/>
      <c r="Q849" s="176"/>
      <c r="R849" s="176"/>
      <c r="S849" s="176"/>
      <c r="T849" s="176"/>
      <c r="U849" s="176"/>
      <c r="V849" s="176"/>
      <c r="W849" s="176"/>
      <c r="X849" s="176"/>
      <c r="Y849" s="176"/>
      <c r="Z849" s="176"/>
    </row>
    <row r="850">
      <c r="A850" s="249"/>
      <c r="B850" s="249"/>
      <c r="C850" s="219"/>
      <c r="D850" s="268"/>
      <c r="E850" s="251"/>
      <c r="F850" s="250"/>
      <c r="G850" s="243"/>
      <c r="H850" s="243"/>
      <c r="I850" s="243"/>
      <c r="J850" s="325"/>
      <c r="K850" s="326"/>
      <c r="L850" s="327"/>
      <c r="M850" s="321"/>
      <c r="N850" s="176"/>
      <c r="O850" s="176"/>
      <c r="P850" s="176"/>
      <c r="Q850" s="176"/>
      <c r="R850" s="176"/>
      <c r="S850" s="176"/>
      <c r="T850" s="176"/>
      <c r="U850" s="176"/>
      <c r="V850" s="176"/>
      <c r="W850" s="176"/>
      <c r="X850" s="176"/>
      <c r="Y850" s="176"/>
      <c r="Z850" s="176"/>
    </row>
    <row r="851">
      <c r="A851" s="249"/>
      <c r="B851" s="249"/>
      <c r="C851" s="219"/>
      <c r="D851" s="268"/>
      <c r="E851" s="251"/>
      <c r="F851" s="250"/>
      <c r="G851" s="243"/>
      <c r="H851" s="243"/>
      <c r="I851" s="243"/>
      <c r="J851" s="325"/>
      <c r="K851" s="326"/>
      <c r="L851" s="327"/>
      <c r="M851" s="321"/>
      <c r="N851" s="176"/>
      <c r="O851" s="176"/>
      <c r="P851" s="176"/>
      <c r="Q851" s="176"/>
      <c r="R851" s="176"/>
      <c r="S851" s="176"/>
      <c r="T851" s="176"/>
      <c r="U851" s="176"/>
      <c r="V851" s="176"/>
      <c r="W851" s="176"/>
      <c r="X851" s="176"/>
      <c r="Y851" s="176"/>
      <c r="Z851" s="176"/>
    </row>
    <row r="852">
      <c r="A852" s="249"/>
      <c r="B852" s="249"/>
      <c r="C852" s="219"/>
      <c r="D852" s="268"/>
      <c r="E852" s="251"/>
      <c r="F852" s="250"/>
      <c r="G852" s="243"/>
      <c r="H852" s="243"/>
      <c r="I852" s="243"/>
      <c r="J852" s="325"/>
      <c r="K852" s="326"/>
      <c r="L852" s="327"/>
      <c r="M852" s="321"/>
      <c r="N852" s="176"/>
      <c r="O852" s="176"/>
      <c r="P852" s="176"/>
      <c r="Q852" s="176"/>
      <c r="R852" s="176"/>
      <c r="S852" s="176"/>
      <c r="T852" s="176"/>
      <c r="U852" s="176"/>
      <c r="V852" s="176"/>
      <c r="W852" s="176"/>
      <c r="X852" s="176"/>
      <c r="Y852" s="176"/>
      <c r="Z852" s="176"/>
    </row>
    <row r="853">
      <c r="A853" s="249"/>
      <c r="B853" s="249"/>
      <c r="C853" s="219"/>
      <c r="D853" s="268"/>
      <c r="E853" s="251"/>
      <c r="F853" s="250"/>
      <c r="G853" s="243"/>
      <c r="H853" s="243"/>
      <c r="I853" s="243"/>
      <c r="J853" s="325"/>
      <c r="K853" s="326"/>
      <c r="L853" s="327"/>
      <c r="M853" s="321"/>
      <c r="N853" s="176"/>
      <c r="O853" s="176"/>
      <c r="P853" s="176"/>
      <c r="Q853" s="176"/>
      <c r="R853" s="176"/>
      <c r="S853" s="176"/>
      <c r="T853" s="176"/>
      <c r="U853" s="176"/>
      <c r="V853" s="176"/>
      <c r="W853" s="176"/>
      <c r="X853" s="176"/>
      <c r="Y853" s="176"/>
      <c r="Z853" s="176"/>
    </row>
    <row r="854">
      <c r="A854" s="249"/>
      <c r="B854" s="249"/>
      <c r="C854" s="219"/>
      <c r="D854" s="268"/>
      <c r="E854" s="251"/>
      <c r="F854" s="250"/>
      <c r="G854" s="243"/>
      <c r="H854" s="243"/>
      <c r="I854" s="243"/>
      <c r="J854" s="325"/>
      <c r="K854" s="326"/>
      <c r="L854" s="327"/>
      <c r="M854" s="321"/>
      <c r="N854" s="176"/>
      <c r="O854" s="176"/>
      <c r="P854" s="176"/>
      <c r="Q854" s="176"/>
      <c r="R854" s="176"/>
      <c r="S854" s="176"/>
      <c r="T854" s="176"/>
      <c r="U854" s="176"/>
      <c r="V854" s="176"/>
      <c r="W854" s="176"/>
      <c r="X854" s="176"/>
      <c r="Y854" s="176"/>
      <c r="Z854" s="176"/>
    </row>
    <row r="855">
      <c r="A855" s="249"/>
      <c r="B855" s="249"/>
      <c r="C855" s="219"/>
      <c r="D855" s="268"/>
      <c r="E855" s="251"/>
      <c r="F855" s="250"/>
      <c r="G855" s="243"/>
      <c r="H855" s="243"/>
      <c r="I855" s="243"/>
      <c r="J855" s="325"/>
      <c r="K855" s="326"/>
      <c r="L855" s="327"/>
      <c r="M855" s="321"/>
      <c r="N855" s="176"/>
      <c r="O855" s="176"/>
      <c r="P855" s="176"/>
      <c r="Q855" s="176"/>
      <c r="R855" s="176"/>
      <c r="S855" s="176"/>
      <c r="T855" s="176"/>
      <c r="U855" s="176"/>
      <c r="V855" s="176"/>
      <c r="W855" s="176"/>
      <c r="X855" s="176"/>
      <c r="Y855" s="176"/>
      <c r="Z855" s="176"/>
    </row>
    <row r="856">
      <c r="A856" s="249"/>
      <c r="B856" s="249"/>
      <c r="C856" s="219"/>
      <c r="D856" s="268"/>
      <c r="E856" s="251"/>
      <c r="F856" s="250"/>
      <c r="G856" s="243"/>
      <c r="H856" s="243"/>
      <c r="I856" s="243"/>
      <c r="J856" s="325"/>
      <c r="K856" s="326"/>
      <c r="L856" s="327"/>
      <c r="M856" s="321"/>
      <c r="N856" s="176"/>
      <c r="O856" s="176"/>
      <c r="P856" s="176"/>
      <c r="Q856" s="176"/>
      <c r="R856" s="176"/>
      <c r="S856" s="176"/>
      <c r="T856" s="176"/>
      <c r="U856" s="176"/>
      <c r="V856" s="176"/>
      <c r="W856" s="176"/>
      <c r="X856" s="176"/>
      <c r="Y856" s="176"/>
      <c r="Z856" s="176"/>
    </row>
    <row r="857">
      <c r="A857" s="249"/>
      <c r="B857" s="249"/>
      <c r="C857" s="219"/>
      <c r="D857" s="268"/>
      <c r="E857" s="251"/>
      <c r="F857" s="250"/>
      <c r="G857" s="243"/>
      <c r="H857" s="243"/>
      <c r="I857" s="243"/>
      <c r="J857" s="325"/>
      <c r="K857" s="326"/>
      <c r="L857" s="327"/>
      <c r="M857" s="321"/>
      <c r="N857" s="176"/>
      <c r="O857" s="176"/>
      <c r="P857" s="176"/>
      <c r="Q857" s="176"/>
      <c r="R857" s="176"/>
      <c r="S857" s="176"/>
      <c r="T857" s="176"/>
      <c r="U857" s="176"/>
      <c r="V857" s="176"/>
      <c r="W857" s="176"/>
      <c r="X857" s="176"/>
      <c r="Y857" s="176"/>
      <c r="Z857" s="176"/>
    </row>
    <row r="858">
      <c r="A858" s="249"/>
      <c r="B858" s="249"/>
      <c r="C858" s="219"/>
      <c r="D858" s="268"/>
      <c r="E858" s="251"/>
      <c r="F858" s="250"/>
      <c r="G858" s="243"/>
      <c r="H858" s="243"/>
      <c r="I858" s="243"/>
      <c r="J858" s="325"/>
      <c r="K858" s="326"/>
      <c r="L858" s="327"/>
      <c r="M858" s="321"/>
      <c r="N858" s="176"/>
      <c r="O858" s="176"/>
      <c r="P858" s="176"/>
      <c r="Q858" s="176"/>
      <c r="R858" s="176"/>
      <c r="S858" s="176"/>
      <c r="T858" s="176"/>
      <c r="U858" s="176"/>
      <c r="V858" s="176"/>
      <c r="W858" s="176"/>
      <c r="X858" s="176"/>
      <c r="Y858" s="176"/>
      <c r="Z858" s="176"/>
    </row>
    <row r="859">
      <c r="A859" s="249"/>
      <c r="B859" s="249"/>
      <c r="C859" s="219"/>
      <c r="D859" s="268"/>
      <c r="E859" s="251"/>
      <c r="F859" s="250"/>
      <c r="G859" s="243"/>
      <c r="H859" s="243"/>
      <c r="I859" s="243"/>
      <c r="J859" s="325"/>
      <c r="K859" s="326"/>
      <c r="L859" s="327"/>
      <c r="M859" s="321"/>
      <c r="N859" s="176"/>
      <c r="O859" s="176"/>
      <c r="P859" s="176"/>
      <c r="Q859" s="176"/>
      <c r="R859" s="176"/>
      <c r="S859" s="176"/>
      <c r="T859" s="176"/>
      <c r="U859" s="176"/>
      <c r="V859" s="176"/>
      <c r="W859" s="176"/>
      <c r="X859" s="176"/>
      <c r="Y859" s="176"/>
      <c r="Z859" s="176"/>
    </row>
    <row r="860">
      <c r="A860" s="249"/>
      <c r="B860" s="249"/>
      <c r="C860" s="219"/>
      <c r="D860" s="268"/>
      <c r="E860" s="251"/>
      <c r="F860" s="250"/>
      <c r="G860" s="243"/>
      <c r="H860" s="243"/>
      <c r="I860" s="243"/>
      <c r="J860" s="325"/>
      <c r="K860" s="326"/>
      <c r="L860" s="327"/>
      <c r="M860" s="321"/>
      <c r="N860" s="176"/>
      <c r="O860" s="176"/>
      <c r="P860" s="176"/>
      <c r="Q860" s="176"/>
      <c r="R860" s="176"/>
      <c r="S860" s="176"/>
      <c r="T860" s="176"/>
      <c r="U860" s="176"/>
      <c r="V860" s="176"/>
      <c r="W860" s="176"/>
      <c r="X860" s="176"/>
      <c r="Y860" s="176"/>
      <c r="Z860" s="176"/>
    </row>
    <row r="861">
      <c r="A861" s="249"/>
      <c r="B861" s="249"/>
      <c r="C861" s="219"/>
      <c r="D861" s="268"/>
      <c r="E861" s="251"/>
      <c r="F861" s="250"/>
      <c r="G861" s="243"/>
      <c r="H861" s="243"/>
      <c r="I861" s="243"/>
      <c r="J861" s="325"/>
      <c r="K861" s="326"/>
      <c r="L861" s="327"/>
      <c r="M861" s="321"/>
      <c r="N861" s="176"/>
      <c r="O861" s="176"/>
      <c r="P861" s="176"/>
      <c r="Q861" s="176"/>
      <c r="R861" s="176"/>
      <c r="S861" s="176"/>
      <c r="T861" s="176"/>
      <c r="U861" s="176"/>
      <c r="V861" s="176"/>
      <c r="W861" s="176"/>
      <c r="X861" s="176"/>
      <c r="Y861" s="176"/>
      <c r="Z861" s="176"/>
    </row>
    <row r="862">
      <c r="A862" s="249"/>
      <c r="B862" s="249"/>
      <c r="C862" s="219"/>
      <c r="D862" s="268"/>
      <c r="E862" s="251"/>
      <c r="F862" s="250"/>
      <c r="G862" s="243"/>
      <c r="H862" s="243"/>
      <c r="I862" s="243"/>
      <c r="J862" s="325"/>
      <c r="K862" s="326"/>
      <c r="L862" s="327"/>
      <c r="M862" s="321"/>
      <c r="N862" s="176"/>
      <c r="O862" s="176"/>
      <c r="P862" s="176"/>
      <c r="Q862" s="176"/>
      <c r="R862" s="176"/>
      <c r="S862" s="176"/>
      <c r="T862" s="176"/>
      <c r="U862" s="176"/>
      <c r="V862" s="176"/>
      <c r="W862" s="176"/>
      <c r="X862" s="176"/>
      <c r="Y862" s="176"/>
      <c r="Z862" s="176"/>
    </row>
    <row r="863">
      <c r="A863" s="249"/>
      <c r="B863" s="249"/>
      <c r="C863" s="219"/>
      <c r="D863" s="268"/>
      <c r="E863" s="251"/>
      <c r="F863" s="250"/>
      <c r="G863" s="243"/>
      <c r="H863" s="243"/>
      <c r="I863" s="243"/>
      <c r="J863" s="325"/>
      <c r="K863" s="326"/>
      <c r="L863" s="327"/>
      <c r="M863" s="321"/>
      <c r="N863" s="176"/>
      <c r="O863" s="176"/>
      <c r="P863" s="176"/>
      <c r="Q863" s="176"/>
      <c r="R863" s="176"/>
      <c r="S863" s="176"/>
      <c r="T863" s="176"/>
      <c r="U863" s="176"/>
      <c r="V863" s="176"/>
      <c r="W863" s="176"/>
      <c r="X863" s="176"/>
      <c r="Y863" s="176"/>
      <c r="Z863" s="176"/>
    </row>
    <row r="864">
      <c r="A864" s="249"/>
      <c r="B864" s="249"/>
      <c r="C864" s="219"/>
      <c r="D864" s="268"/>
      <c r="E864" s="251"/>
      <c r="F864" s="250"/>
      <c r="G864" s="243"/>
      <c r="H864" s="243"/>
      <c r="I864" s="243"/>
      <c r="J864" s="325"/>
      <c r="K864" s="326"/>
      <c r="L864" s="327"/>
      <c r="M864" s="321"/>
      <c r="N864" s="176"/>
      <c r="O864" s="176"/>
      <c r="P864" s="176"/>
      <c r="Q864" s="176"/>
      <c r="R864" s="176"/>
      <c r="S864" s="176"/>
      <c r="T864" s="176"/>
      <c r="U864" s="176"/>
      <c r="V864" s="176"/>
      <c r="W864" s="176"/>
      <c r="X864" s="176"/>
      <c r="Y864" s="176"/>
      <c r="Z864" s="176"/>
    </row>
    <row r="865">
      <c r="A865" s="249"/>
      <c r="B865" s="249"/>
      <c r="C865" s="219"/>
      <c r="D865" s="268"/>
      <c r="E865" s="251"/>
      <c r="F865" s="250"/>
      <c r="G865" s="243"/>
      <c r="H865" s="243"/>
      <c r="I865" s="243"/>
      <c r="J865" s="325"/>
      <c r="K865" s="326"/>
      <c r="L865" s="327"/>
      <c r="M865" s="321"/>
      <c r="N865" s="176"/>
      <c r="O865" s="176"/>
      <c r="P865" s="176"/>
      <c r="Q865" s="176"/>
      <c r="R865" s="176"/>
      <c r="S865" s="176"/>
      <c r="T865" s="176"/>
      <c r="U865" s="176"/>
      <c r="V865" s="176"/>
      <c r="W865" s="176"/>
      <c r="X865" s="176"/>
      <c r="Y865" s="176"/>
      <c r="Z865" s="176"/>
    </row>
    <row r="866">
      <c r="A866" s="249"/>
      <c r="B866" s="249"/>
      <c r="C866" s="219"/>
      <c r="D866" s="268"/>
      <c r="E866" s="251"/>
      <c r="F866" s="250"/>
      <c r="G866" s="243"/>
      <c r="H866" s="243"/>
      <c r="I866" s="243"/>
      <c r="J866" s="325"/>
      <c r="K866" s="326"/>
      <c r="L866" s="327"/>
      <c r="M866" s="321"/>
      <c r="N866" s="176"/>
      <c r="O866" s="176"/>
      <c r="P866" s="176"/>
      <c r="Q866" s="176"/>
      <c r="R866" s="176"/>
      <c r="S866" s="176"/>
      <c r="T866" s="176"/>
      <c r="U866" s="176"/>
      <c r="V866" s="176"/>
      <c r="W866" s="176"/>
      <c r="X866" s="176"/>
      <c r="Y866" s="176"/>
      <c r="Z866" s="176"/>
    </row>
    <row r="867">
      <c r="A867" s="249"/>
      <c r="B867" s="249"/>
      <c r="C867" s="219"/>
      <c r="D867" s="268"/>
      <c r="E867" s="251"/>
      <c r="F867" s="250"/>
      <c r="G867" s="243"/>
      <c r="H867" s="243"/>
      <c r="I867" s="243"/>
      <c r="J867" s="325"/>
      <c r="K867" s="326"/>
      <c r="L867" s="327"/>
      <c r="M867" s="321"/>
      <c r="N867" s="176"/>
      <c r="O867" s="176"/>
      <c r="P867" s="176"/>
      <c r="Q867" s="176"/>
      <c r="R867" s="176"/>
      <c r="S867" s="176"/>
      <c r="T867" s="176"/>
      <c r="U867" s="176"/>
      <c r="V867" s="176"/>
      <c r="W867" s="176"/>
      <c r="X867" s="176"/>
      <c r="Y867" s="176"/>
      <c r="Z867" s="176"/>
    </row>
    <row r="868">
      <c r="A868" s="249"/>
      <c r="B868" s="249"/>
      <c r="C868" s="219"/>
      <c r="D868" s="268"/>
      <c r="E868" s="251"/>
      <c r="F868" s="250"/>
      <c r="G868" s="243"/>
      <c r="H868" s="243"/>
      <c r="I868" s="243"/>
      <c r="J868" s="325"/>
      <c r="K868" s="326"/>
      <c r="L868" s="327"/>
      <c r="M868" s="321"/>
      <c r="N868" s="176"/>
      <c r="O868" s="176"/>
      <c r="P868" s="176"/>
      <c r="Q868" s="176"/>
      <c r="R868" s="176"/>
      <c r="S868" s="176"/>
      <c r="T868" s="176"/>
      <c r="U868" s="176"/>
      <c r="V868" s="176"/>
      <c r="W868" s="176"/>
      <c r="X868" s="176"/>
      <c r="Y868" s="176"/>
      <c r="Z868" s="176"/>
    </row>
    <row r="869">
      <c r="A869" s="249"/>
      <c r="B869" s="249"/>
      <c r="C869" s="219"/>
      <c r="D869" s="268"/>
      <c r="E869" s="251"/>
      <c r="F869" s="250"/>
      <c r="G869" s="243"/>
      <c r="H869" s="243"/>
      <c r="I869" s="243"/>
      <c r="J869" s="325"/>
      <c r="K869" s="326"/>
      <c r="L869" s="327"/>
      <c r="M869" s="321"/>
      <c r="N869" s="176"/>
      <c r="O869" s="176"/>
      <c r="P869" s="176"/>
      <c r="Q869" s="176"/>
      <c r="R869" s="176"/>
      <c r="S869" s="176"/>
      <c r="T869" s="176"/>
      <c r="U869" s="176"/>
      <c r="V869" s="176"/>
      <c r="W869" s="176"/>
      <c r="X869" s="176"/>
      <c r="Y869" s="176"/>
      <c r="Z869" s="176"/>
    </row>
    <row r="870">
      <c r="A870" s="249"/>
      <c r="B870" s="249"/>
      <c r="C870" s="219"/>
      <c r="D870" s="268"/>
      <c r="E870" s="251"/>
      <c r="F870" s="250"/>
      <c r="G870" s="243"/>
      <c r="H870" s="243"/>
      <c r="I870" s="243"/>
      <c r="J870" s="325"/>
      <c r="K870" s="326"/>
      <c r="L870" s="327"/>
      <c r="M870" s="321"/>
      <c r="N870" s="176"/>
      <c r="O870" s="176"/>
      <c r="P870" s="176"/>
      <c r="Q870" s="176"/>
      <c r="R870" s="176"/>
      <c r="S870" s="176"/>
      <c r="T870" s="176"/>
      <c r="U870" s="176"/>
      <c r="V870" s="176"/>
      <c r="W870" s="176"/>
      <c r="X870" s="176"/>
      <c r="Y870" s="176"/>
      <c r="Z870" s="176"/>
    </row>
    <row r="871">
      <c r="A871" s="249"/>
      <c r="B871" s="249"/>
      <c r="C871" s="219"/>
      <c r="D871" s="268"/>
      <c r="E871" s="251"/>
      <c r="F871" s="250"/>
      <c r="G871" s="243"/>
      <c r="H871" s="243"/>
      <c r="I871" s="243"/>
      <c r="J871" s="325"/>
      <c r="K871" s="326"/>
      <c r="L871" s="327"/>
      <c r="M871" s="321"/>
      <c r="N871" s="176"/>
      <c r="O871" s="176"/>
      <c r="P871" s="176"/>
      <c r="Q871" s="176"/>
      <c r="R871" s="176"/>
      <c r="S871" s="176"/>
      <c r="T871" s="176"/>
      <c r="U871" s="176"/>
      <c r="V871" s="176"/>
      <c r="W871" s="176"/>
      <c r="X871" s="176"/>
      <c r="Y871" s="176"/>
      <c r="Z871" s="176"/>
    </row>
    <row r="872">
      <c r="A872" s="249"/>
      <c r="B872" s="249"/>
      <c r="C872" s="219"/>
      <c r="D872" s="268"/>
      <c r="E872" s="251"/>
      <c r="F872" s="250"/>
      <c r="G872" s="243"/>
      <c r="H872" s="243"/>
      <c r="I872" s="243"/>
      <c r="J872" s="325"/>
      <c r="K872" s="326"/>
      <c r="L872" s="327"/>
      <c r="M872" s="321"/>
      <c r="N872" s="176"/>
      <c r="O872" s="176"/>
      <c r="P872" s="176"/>
      <c r="Q872" s="176"/>
      <c r="R872" s="176"/>
      <c r="S872" s="176"/>
      <c r="T872" s="176"/>
      <c r="U872" s="176"/>
      <c r="V872" s="176"/>
      <c r="W872" s="176"/>
      <c r="X872" s="176"/>
      <c r="Y872" s="176"/>
      <c r="Z872" s="176"/>
    </row>
    <row r="873">
      <c r="A873" s="249"/>
      <c r="B873" s="249"/>
      <c r="C873" s="219"/>
      <c r="D873" s="268"/>
      <c r="E873" s="251"/>
      <c r="F873" s="250"/>
      <c r="G873" s="243"/>
      <c r="H873" s="243"/>
      <c r="I873" s="243"/>
      <c r="J873" s="325"/>
      <c r="K873" s="326"/>
      <c r="L873" s="327"/>
      <c r="M873" s="321"/>
      <c r="N873" s="176"/>
      <c r="O873" s="176"/>
      <c r="P873" s="176"/>
      <c r="Q873" s="176"/>
      <c r="R873" s="176"/>
      <c r="S873" s="176"/>
      <c r="T873" s="176"/>
      <c r="U873" s="176"/>
      <c r="V873" s="176"/>
      <c r="W873" s="176"/>
      <c r="X873" s="176"/>
      <c r="Y873" s="176"/>
      <c r="Z873" s="176"/>
    </row>
    <row r="874">
      <c r="A874" s="249"/>
      <c r="B874" s="249"/>
      <c r="C874" s="219"/>
      <c r="D874" s="268"/>
      <c r="E874" s="251"/>
      <c r="F874" s="250"/>
      <c r="G874" s="243"/>
      <c r="H874" s="243"/>
      <c r="I874" s="243"/>
      <c r="J874" s="325"/>
      <c r="K874" s="326"/>
      <c r="L874" s="327"/>
      <c r="M874" s="321"/>
      <c r="N874" s="176"/>
      <c r="O874" s="176"/>
      <c r="P874" s="176"/>
      <c r="Q874" s="176"/>
      <c r="R874" s="176"/>
      <c r="S874" s="176"/>
      <c r="T874" s="176"/>
      <c r="U874" s="176"/>
      <c r="V874" s="176"/>
      <c r="W874" s="176"/>
      <c r="X874" s="176"/>
      <c r="Y874" s="176"/>
      <c r="Z874" s="176"/>
    </row>
    <row r="875">
      <c r="A875" s="249"/>
      <c r="B875" s="249"/>
      <c r="C875" s="219"/>
      <c r="D875" s="268"/>
      <c r="E875" s="251"/>
      <c r="F875" s="250"/>
      <c r="G875" s="243"/>
      <c r="H875" s="243"/>
      <c r="I875" s="243"/>
      <c r="J875" s="325"/>
      <c r="K875" s="326"/>
      <c r="L875" s="327"/>
      <c r="M875" s="321"/>
      <c r="N875" s="176"/>
      <c r="O875" s="176"/>
      <c r="P875" s="176"/>
      <c r="Q875" s="176"/>
      <c r="R875" s="176"/>
      <c r="S875" s="176"/>
      <c r="T875" s="176"/>
      <c r="U875" s="176"/>
      <c r="V875" s="176"/>
      <c r="W875" s="176"/>
      <c r="X875" s="176"/>
      <c r="Y875" s="176"/>
      <c r="Z875" s="176"/>
    </row>
    <row r="876">
      <c r="A876" s="249"/>
      <c r="B876" s="249"/>
      <c r="C876" s="219"/>
      <c r="D876" s="268"/>
      <c r="E876" s="251"/>
      <c r="F876" s="250"/>
      <c r="G876" s="243"/>
      <c r="H876" s="243"/>
      <c r="I876" s="243"/>
      <c r="J876" s="325"/>
      <c r="K876" s="326"/>
      <c r="L876" s="327"/>
      <c r="M876" s="321"/>
      <c r="N876" s="176"/>
      <c r="O876" s="176"/>
      <c r="P876" s="176"/>
      <c r="Q876" s="176"/>
      <c r="R876" s="176"/>
      <c r="S876" s="176"/>
      <c r="T876" s="176"/>
      <c r="U876" s="176"/>
      <c r="V876" s="176"/>
      <c r="W876" s="176"/>
      <c r="X876" s="176"/>
      <c r="Y876" s="176"/>
      <c r="Z876" s="176"/>
    </row>
    <row r="877">
      <c r="A877" s="249"/>
      <c r="B877" s="249"/>
      <c r="C877" s="219"/>
      <c r="D877" s="268"/>
      <c r="E877" s="251"/>
      <c r="F877" s="250"/>
      <c r="G877" s="243"/>
      <c r="H877" s="243"/>
      <c r="I877" s="243"/>
      <c r="J877" s="325"/>
      <c r="K877" s="326"/>
      <c r="L877" s="327"/>
      <c r="M877" s="321"/>
      <c r="N877" s="176"/>
      <c r="O877" s="176"/>
      <c r="P877" s="176"/>
      <c r="Q877" s="176"/>
      <c r="R877" s="176"/>
      <c r="S877" s="176"/>
      <c r="T877" s="176"/>
      <c r="U877" s="176"/>
      <c r="V877" s="176"/>
      <c r="W877" s="176"/>
      <c r="X877" s="176"/>
      <c r="Y877" s="176"/>
      <c r="Z877" s="176"/>
    </row>
    <row r="878">
      <c r="A878" s="249"/>
      <c r="B878" s="249"/>
      <c r="C878" s="219"/>
      <c r="D878" s="268"/>
      <c r="E878" s="251"/>
      <c r="F878" s="250"/>
      <c r="G878" s="243"/>
      <c r="H878" s="243"/>
      <c r="I878" s="243"/>
      <c r="J878" s="325"/>
      <c r="K878" s="326"/>
      <c r="L878" s="327"/>
      <c r="M878" s="321"/>
      <c r="N878" s="176"/>
      <c r="O878" s="176"/>
      <c r="P878" s="176"/>
      <c r="Q878" s="176"/>
      <c r="R878" s="176"/>
      <c r="S878" s="176"/>
      <c r="T878" s="176"/>
      <c r="U878" s="176"/>
      <c r="V878" s="176"/>
      <c r="W878" s="176"/>
      <c r="X878" s="176"/>
      <c r="Y878" s="176"/>
      <c r="Z878" s="176"/>
    </row>
    <row r="879">
      <c r="A879" s="249"/>
      <c r="B879" s="249"/>
      <c r="C879" s="219"/>
      <c r="D879" s="268"/>
      <c r="E879" s="251"/>
      <c r="F879" s="250"/>
      <c r="G879" s="243"/>
      <c r="H879" s="243"/>
      <c r="I879" s="243"/>
      <c r="J879" s="325"/>
      <c r="K879" s="326"/>
      <c r="L879" s="327"/>
      <c r="M879" s="321"/>
      <c r="N879" s="176"/>
      <c r="O879" s="176"/>
      <c r="P879" s="176"/>
      <c r="Q879" s="176"/>
      <c r="R879" s="176"/>
      <c r="S879" s="176"/>
      <c r="T879" s="176"/>
      <c r="U879" s="176"/>
      <c r="V879" s="176"/>
      <c r="W879" s="176"/>
      <c r="X879" s="176"/>
      <c r="Y879" s="176"/>
      <c r="Z879" s="176"/>
    </row>
    <row r="880">
      <c r="A880" s="249"/>
      <c r="B880" s="249"/>
      <c r="C880" s="219"/>
      <c r="D880" s="268"/>
      <c r="E880" s="251"/>
      <c r="F880" s="250"/>
      <c r="G880" s="243"/>
      <c r="H880" s="243"/>
      <c r="I880" s="243"/>
      <c r="J880" s="325"/>
      <c r="K880" s="326"/>
      <c r="L880" s="327"/>
      <c r="M880" s="321"/>
      <c r="N880" s="176"/>
      <c r="O880" s="176"/>
      <c r="P880" s="176"/>
      <c r="Q880" s="176"/>
      <c r="R880" s="176"/>
      <c r="S880" s="176"/>
      <c r="T880" s="176"/>
      <c r="U880" s="176"/>
      <c r="V880" s="176"/>
      <c r="W880" s="176"/>
      <c r="X880" s="176"/>
      <c r="Y880" s="176"/>
      <c r="Z880" s="176"/>
    </row>
    <row r="881">
      <c r="A881" s="249"/>
      <c r="B881" s="249"/>
      <c r="C881" s="219"/>
      <c r="D881" s="268"/>
      <c r="E881" s="251"/>
      <c r="F881" s="250"/>
      <c r="G881" s="243"/>
      <c r="H881" s="243"/>
      <c r="I881" s="243"/>
      <c r="J881" s="325"/>
      <c r="K881" s="326"/>
      <c r="L881" s="327"/>
      <c r="M881" s="321"/>
      <c r="N881" s="176"/>
      <c r="O881" s="176"/>
      <c r="P881" s="176"/>
      <c r="Q881" s="176"/>
      <c r="R881" s="176"/>
      <c r="S881" s="176"/>
      <c r="T881" s="176"/>
      <c r="U881" s="176"/>
      <c r="V881" s="176"/>
      <c r="W881" s="176"/>
      <c r="X881" s="176"/>
      <c r="Y881" s="176"/>
      <c r="Z881" s="176"/>
    </row>
    <row r="882">
      <c r="A882" s="249"/>
      <c r="B882" s="249"/>
      <c r="C882" s="219"/>
      <c r="D882" s="268"/>
      <c r="E882" s="251"/>
      <c r="F882" s="250"/>
      <c r="G882" s="243"/>
      <c r="H882" s="243"/>
      <c r="I882" s="243"/>
      <c r="J882" s="325"/>
      <c r="K882" s="326"/>
      <c r="L882" s="327"/>
      <c r="M882" s="321"/>
      <c r="N882" s="176"/>
      <c r="O882" s="176"/>
      <c r="P882" s="176"/>
      <c r="Q882" s="176"/>
      <c r="R882" s="176"/>
      <c r="S882" s="176"/>
      <c r="T882" s="176"/>
      <c r="U882" s="176"/>
      <c r="V882" s="176"/>
      <c r="W882" s="176"/>
      <c r="X882" s="176"/>
      <c r="Y882" s="176"/>
      <c r="Z882" s="176"/>
    </row>
    <row r="883">
      <c r="A883" s="249"/>
      <c r="B883" s="249"/>
      <c r="C883" s="219"/>
      <c r="D883" s="268"/>
      <c r="E883" s="251"/>
      <c r="F883" s="250"/>
      <c r="G883" s="243"/>
      <c r="H883" s="243"/>
      <c r="I883" s="243"/>
      <c r="J883" s="325"/>
      <c r="K883" s="326"/>
      <c r="L883" s="327"/>
      <c r="M883" s="321"/>
      <c r="N883" s="176"/>
      <c r="O883" s="176"/>
      <c r="P883" s="176"/>
      <c r="Q883" s="176"/>
      <c r="R883" s="176"/>
      <c r="S883" s="176"/>
      <c r="T883" s="176"/>
      <c r="U883" s="176"/>
      <c r="V883" s="176"/>
      <c r="W883" s="176"/>
      <c r="X883" s="176"/>
      <c r="Y883" s="176"/>
      <c r="Z883" s="176"/>
    </row>
    <row r="884">
      <c r="A884" s="249"/>
      <c r="B884" s="249"/>
      <c r="C884" s="219"/>
      <c r="D884" s="268"/>
      <c r="E884" s="251"/>
      <c r="F884" s="250"/>
      <c r="G884" s="243"/>
      <c r="H884" s="243"/>
      <c r="I884" s="243"/>
      <c r="J884" s="325"/>
      <c r="K884" s="326"/>
      <c r="L884" s="327"/>
      <c r="M884" s="321"/>
      <c r="N884" s="176"/>
      <c r="O884" s="176"/>
      <c r="P884" s="176"/>
      <c r="Q884" s="176"/>
      <c r="R884" s="176"/>
      <c r="S884" s="176"/>
      <c r="T884" s="176"/>
      <c r="U884" s="176"/>
      <c r="V884" s="176"/>
      <c r="W884" s="176"/>
      <c r="X884" s="176"/>
      <c r="Y884" s="176"/>
      <c r="Z884" s="176"/>
    </row>
    <row r="885">
      <c r="A885" s="249"/>
      <c r="B885" s="249"/>
      <c r="C885" s="219"/>
      <c r="D885" s="268"/>
      <c r="E885" s="251"/>
      <c r="F885" s="250"/>
      <c r="G885" s="243"/>
      <c r="H885" s="243"/>
      <c r="I885" s="243"/>
      <c r="J885" s="325"/>
      <c r="K885" s="326"/>
      <c r="L885" s="327"/>
      <c r="M885" s="321"/>
      <c r="N885" s="176"/>
      <c r="O885" s="176"/>
      <c r="P885" s="176"/>
      <c r="Q885" s="176"/>
      <c r="R885" s="176"/>
      <c r="S885" s="176"/>
      <c r="T885" s="176"/>
      <c r="U885" s="176"/>
      <c r="V885" s="176"/>
      <c r="W885" s="176"/>
      <c r="X885" s="176"/>
      <c r="Y885" s="176"/>
      <c r="Z885" s="176"/>
    </row>
    <row r="886">
      <c r="A886" s="249"/>
      <c r="B886" s="249"/>
      <c r="C886" s="219"/>
      <c r="D886" s="268"/>
      <c r="E886" s="251"/>
      <c r="F886" s="250"/>
      <c r="G886" s="243"/>
      <c r="H886" s="243"/>
      <c r="I886" s="243"/>
      <c r="J886" s="325"/>
      <c r="K886" s="326"/>
      <c r="L886" s="327"/>
      <c r="M886" s="321"/>
      <c r="N886" s="176"/>
      <c r="O886" s="176"/>
      <c r="P886" s="176"/>
      <c r="Q886" s="176"/>
      <c r="R886" s="176"/>
      <c r="S886" s="176"/>
      <c r="T886" s="176"/>
      <c r="U886" s="176"/>
      <c r="V886" s="176"/>
      <c r="W886" s="176"/>
      <c r="X886" s="176"/>
      <c r="Y886" s="176"/>
      <c r="Z886" s="176"/>
    </row>
    <row r="887">
      <c r="A887" s="249"/>
      <c r="B887" s="249"/>
      <c r="C887" s="219"/>
      <c r="D887" s="268"/>
      <c r="E887" s="251"/>
      <c r="F887" s="250"/>
      <c r="G887" s="243"/>
      <c r="H887" s="243"/>
      <c r="I887" s="243"/>
      <c r="J887" s="325"/>
      <c r="K887" s="326"/>
      <c r="L887" s="327"/>
      <c r="M887" s="321"/>
      <c r="N887" s="176"/>
      <c r="O887" s="176"/>
      <c r="P887" s="176"/>
      <c r="Q887" s="176"/>
      <c r="R887" s="176"/>
      <c r="S887" s="176"/>
      <c r="T887" s="176"/>
      <c r="U887" s="176"/>
      <c r="V887" s="176"/>
      <c r="W887" s="176"/>
      <c r="X887" s="176"/>
      <c r="Y887" s="176"/>
      <c r="Z887" s="176"/>
    </row>
    <row r="888">
      <c r="A888" s="249"/>
      <c r="B888" s="249"/>
      <c r="C888" s="219"/>
      <c r="D888" s="268"/>
      <c r="E888" s="251"/>
      <c r="F888" s="250"/>
      <c r="G888" s="243"/>
      <c r="H888" s="243"/>
      <c r="I888" s="243"/>
      <c r="J888" s="325"/>
      <c r="K888" s="326"/>
      <c r="L888" s="327"/>
      <c r="M888" s="321"/>
      <c r="N888" s="176"/>
      <c r="O888" s="176"/>
      <c r="P888" s="176"/>
      <c r="Q888" s="176"/>
      <c r="R888" s="176"/>
      <c r="S888" s="176"/>
      <c r="T888" s="176"/>
      <c r="U888" s="176"/>
      <c r="V888" s="176"/>
      <c r="W888" s="176"/>
      <c r="X888" s="176"/>
      <c r="Y888" s="176"/>
      <c r="Z888" s="176"/>
    </row>
    <row r="889">
      <c r="A889" s="249"/>
      <c r="B889" s="249"/>
      <c r="C889" s="219"/>
      <c r="D889" s="268"/>
      <c r="E889" s="251"/>
      <c r="F889" s="250"/>
      <c r="G889" s="243"/>
      <c r="H889" s="243"/>
      <c r="I889" s="243"/>
      <c r="J889" s="325"/>
      <c r="K889" s="326"/>
      <c r="L889" s="327"/>
      <c r="M889" s="321"/>
      <c r="N889" s="176"/>
      <c r="O889" s="176"/>
      <c r="P889" s="176"/>
      <c r="Q889" s="176"/>
      <c r="R889" s="176"/>
      <c r="S889" s="176"/>
      <c r="T889" s="176"/>
      <c r="U889" s="176"/>
      <c r="V889" s="176"/>
      <c r="W889" s="176"/>
      <c r="X889" s="176"/>
      <c r="Y889" s="176"/>
      <c r="Z889" s="176"/>
    </row>
    <row r="890">
      <c r="A890" s="249"/>
      <c r="B890" s="249"/>
      <c r="C890" s="219"/>
      <c r="D890" s="268"/>
      <c r="E890" s="251"/>
      <c r="F890" s="250"/>
      <c r="G890" s="243"/>
      <c r="H890" s="243"/>
      <c r="I890" s="243"/>
      <c r="J890" s="325"/>
      <c r="K890" s="326"/>
      <c r="L890" s="327"/>
      <c r="M890" s="321"/>
      <c r="N890" s="176"/>
      <c r="O890" s="176"/>
      <c r="P890" s="176"/>
      <c r="Q890" s="176"/>
      <c r="R890" s="176"/>
      <c r="S890" s="176"/>
      <c r="T890" s="176"/>
      <c r="U890" s="176"/>
      <c r="V890" s="176"/>
      <c r="W890" s="176"/>
      <c r="X890" s="176"/>
      <c r="Y890" s="176"/>
      <c r="Z890" s="176"/>
    </row>
    <row r="891">
      <c r="A891" s="249"/>
      <c r="B891" s="249"/>
      <c r="C891" s="219"/>
      <c r="D891" s="268"/>
      <c r="E891" s="251"/>
      <c r="F891" s="250"/>
      <c r="G891" s="243"/>
      <c r="H891" s="243"/>
      <c r="I891" s="243"/>
      <c r="J891" s="325"/>
      <c r="K891" s="326"/>
      <c r="L891" s="327"/>
      <c r="M891" s="321"/>
      <c r="N891" s="176"/>
      <c r="O891" s="176"/>
      <c r="P891" s="176"/>
      <c r="Q891" s="176"/>
      <c r="R891" s="176"/>
      <c r="S891" s="176"/>
      <c r="T891" s="176"/>
      <c r="U891" s="176"/>
      <c r="V891" s="176"/>
      <c r="W891" s="176"/>
      <c r="X891" s="176"/>
      <c r="Y891" s="176"/>
      <c r="Z891" s="176"/>
    </row>
    <row r="892">
      <c r="A892" s="249"/>
      <c r="B892" s="249"/>
      <c r="C892" s="219"/>
      <c r="D892" s="268"/>
      <c r="E892" s="251"/>
      <c r="F892" s="250"/>
      <c r="G892" s="243"/>
      <c r="H892" s="243"/>
      <c r="I892" s="243"/>
      <c r="J892" s="325"/>
      <c r="K892" s="326"/>
      <c r="L892" s="327"/>
      <c r="M892" s="321"/>
      <c r="N892" s="176"/>
      <c r="O892" s="176"/>
      <c r="P892" s="176"/>
      <c r="Q892" s="176"/>
      <c r="R892" s="176"/>
      <c r="S892" s="176"/>
      <c r="T892" s="176"/>
      <c r="U892" s="176"/>
      <c r="V892" s="176"/>
      <c r="W892" s="176"/>
      <c r="X892" s="176"/>
      <c r="Y892" s="176"/>
      <c r="Z892" s="176"/>
    </row>
    <row r="893">
      <c r="A893" s="249"/>
      <c r="B893" s="249"/>
      <c r="C893" s="219"/>
      <c r="D893" s="268"/>
      <c r="E893" s="251"/>
      <c r="F893" s="250"/>
      <c r="G893" s="243"/>
      <c r="H893" s="243"/>
      <c r="I893" s="243"/>
      <c r="J893" s="325"/>
      <c r="K893" s="326"/>
      <c r="L893" s="327"/>
      <c r="M893" s="321"/>
      <c r="N893" s="176"/>
      <c r="O893" s="176"/>
      <c r="P893" s="176"/>
      <c r="Q893" s="176"/>
      <c r="R893" s="176"/>
      <c r="S893" s="176"/>
      <c r="T893" s="176"/>
      <c r="U893" s="176"/>
      <c r="V893" s="176"/>
      <c r="W893" s="176"/>
      <c r="X893" s="176"/>
      <c r="Y893" s="176"/>
      <c r="Z893" s="176"/>
    </row>
    <row r="894">
      <c r="A894" s="249"/>
      <c r="B894" s="249"/>
      <c r="C894" s="219"/>
      <c r="D894" s="268"/>
      <c r="E894" s="251"/>
      <c r="F894" s="250"/>
      <c r="G894" s="243"/>
      <c r="H894" s="243"/>
      <c r="I894" s="243"/>
      <c r="J894" s="325"/>
      <c r="K894" s="326"/>
      <c r="L894" s="327"/>
      <c r="M894" s="321"/>
      <c r="N894" s="176"/>
      <c r="O894" s="176"/>
      <c r="P894" s="176"/>
      <c r="Q894" s="176"/>
      <c r="R894" s="176"/>
      <c r="S894" s="176"/>
      <c r="T894" s="176"/>
      <c r="U894" s="176"/>
      <c r="V894" s="176"/>
      <c r="W894" s="176"/>
      <c r="X894" s="176"/>
      <c r="Y894" s="176"/>
      <c r="Z894" s="176"/>
    </row>
    <row r="895">
      <c r="A895" s="249"/>
      <c r="B895" s="249"/>
      <c r="C895" s="219"/>
      <c r="D895" s="268"/>
      <c r="E895" s="251"/>
      <c r="F895" s="250"/>
      <c r="G895" s="243"/>
      <c r="H895" s="243"/>
      <c r="I895" s="243"/>
      <c r="J895" s="325"/>
      <c r="K895" s="326"/>
      <c r="L895" s="327"/>
      <c r="M895" s="321"/>
      <c r="N895" s="176"/>
      <c r="O895" s="176"/>
      <c r="P895" s="176"/>
      <c r="Q895" s="176"/>
      <c r="R895" s="176"/>
      <c r="S895" s="176"/>
      <c r="T895" s="176"/>
      <c r="U895" s="176"/>
      <c r="V895" s="176"/>
      <c r="W895" s="176"/>
      <c r="X895" s="176"/>
      <c r="Y895" s="176"/>
      <c r="Z895" s="176"/>
    </row>
    <row r="896">
      <c r="A896" s="249"/>
      <c r="B896" s="249"/>
      <c r="C896" s="219"/>
      <c r="D896" s="268"/>
      <c r="E896" s="251"/>
      <c r="F896" s="250"/>
      <c r="G896" s="243"/>
      <c r="H896" s="243"/>
      <c r="I896" s="243"/>
      <c r="J896" s="325"/>
      <c r="K896" s="326"/>
      <c r="L896" s="327"/>
      <c r="M896" s="321"/>
      <c r="N896" s="176"/>
      <c r="O896" s="176"/>
      <c r="P896" s="176"/>
      <c r="Q896" s="176"/>
      <c r="R896" s="176"/>
      <c r="S896" s="176"/>
      <c r="T896" s="176"/>
      <c r="U896" s="176"/>
      <c r="V896" s="176"/>
      <c r="W896" s="176"/>
      <c r="X896" s="176"/>
      <c r="Y896" s="176"/>
      <c r="Z896" s="176"/>
    </row>
    <row r="897">
      <c r="A897" s="249"/>
      <c r="B897" s="249"/>
      <c r="C897" s="219"/>
      <c r="D897" s="268"/>
      <c r="E897" s="251"/>
      <c r="F897" s="250"/>
      <c r="G897" s="243"/>
      <c r="H897" s="243"/>
      <c r="I897" s="243"/>
      <c r="J897" s="325"/>
      <c r="K897" s="326"/>
      <c r="L897" s="327"/>
      <c r="M897" s="321"/>
      <c r="N897" s="176"/>
      <c r="O897" s="176"/>
      <c r="P897" s="176"/>
      <c r="Q897" s="176"/>
      <c r="R897" s="176"/>
      <c r="S897" s="176"/>
      <c r="T897" s="176"/>
      <c r="U897" s="176"/>
      <c r="V897" s="176"/>
      <c r="W897" s="176"/>
      <c r="X897" s="176"/>
      <c r="Y897" s="176"/>
      <c r="Z897" s="176"/>
    </row>
    <row r="898">
      <c r="A898" s="249"/>
      <c r="B898" s="249"/>
      <c r="C898" s="219"/>
      <c r="D898" s="268"/>
      <c r="E898" s="251"/>
      <c r="F898" s="250"/>
      <c r="G898" s="243"/>
      <c r="H898" s="243"/>
      <c r="I898" s="243"/>
      <c r="J898" s="325"/>
      <c r="K898" s="326"/>
      <c r="L898" s="327"/>
      <c r="M898" s="321"/>
      <c r="N898" s="176"/>
      <c r="O898" s="176"/>
      <c r="P898" s="176"/>
      <c r="Q898" s="176"/>
      <c r="R898" s="176"/>
      <c r="S898" s="176"/>
      <c r="T898" s="176"/>
      <c r="U898" s="176"/>
      <c r="V898" s="176"/>
      <c r="W898" s="176"/>
      <c r="X898" s="176"/>
      <c r="Y898" s="176"/>
      <c r="Z898" s="176"/>
    </row>
    <row r="899">
      <c r="A899" s="249"/>
      <c r="B899" s="249"/>
      <c r="C899" s="219"/>
      <c r="D899" s="268"/>
      <c r="E899" s="251"/>
      <c r="F899" s="250"/>
      <c r="G899" s="243"/>
      <c r="H899" s="243"/>
      <c r="I899" s="243"/>
      <c r="J899" s="325"/>
      <c r="K899" s="326"/>
      <c r="L899" s="327"/>
      <c r="M899" s="321"/>
      <c r="N899" s="176"/>
      <c r="O899" s="176"/>
      <c r="P899" s="176"/>
      <c r="Q899" s="176"/>
      <c r="R899" s="176"/>
      <c r="S899" s="176"/>
      <c r="T899" s="176"/>
      <c r="U899" s="176"/>
      <c r="V899" s="176"/>
      <c r="W899" s="176"/>
      <c r="X899" s="176"/>
      <c r="Y899" s="176"/>
      <c r="Z899" s="176"/>
    </row>
    <row r="900">
      <c r="A900" s="249"/>
      <c r="B900" s="249"/>
      <c r="C900" s="219"/>
      <c r="D900" s="268"/>
      <c r="E900" s="251"/>
      <c r="F900" s="250"/>
      <c r="G900" s="243"/>
      <c r="H900" s="243"/>
      <c r="I900" s="243"/>
      <c r="J900" s="325"/>
      <c r="K900" s="326"/>
      <c r="L900" s="327"/>
      <c r="M900" s="321"/>
      <c r="N900" s="176"/>
      <c r="O900" s="176"/>
      <c r="P900" s="176"/>
      <c r="Q900" s="176"/>
      <c r="R900" s="176"/>
      <c r="S900" s="176"/>
      <c r="T900" s="176"/>
      <c r="U900" s="176"/>
      <c r="V900" s="176"/>
      <c r="W900" s="176"/>
      <c r="X900" s="176"/>
      <c r="Y900" s="176"/>
      <c r="Z900" s="176"/>
    </row>
    <row r="901">
      <c r="A901" s="249"/>
      <c r="B901" s="249"/>
      <c r="C901" s="219"/>
      <c r="D901" s="268"/>
      <c r="E901" s="251"/>
      <c r="F901" s="250"/>
      <c r="G901" s="243"/>
      <c r="H901" s="243"/>
      <c r="I901" s="243"/>
      <c r="J901" s="325"/>
      <c r="K901" s="326"/>
      <c r="L901" s="327"/>
      <c r="M901" s="321"/>
      <c r="N901" s="176"/>
      <c r="O901" s="176"/>
      <c r="P901" s="176"/>
      <c r="Q901" s="176"/>
      <c r="R901" s="176"/>
      <c r="S901" s="176"/>
      <c r="T901" s="176"/>
      <c r="U901" s="176"/>
      <c r="V901" s="176"/>
      <c r="W901" s="176"/>
      <c r="X901" s="176"/>
      <c r="Y901" s="176"/>
      <c r="Z901" s="176"/>
    </row>
    <row r="902">
      <c r="A902" s="249"/>
      <c r="B902" s="249"/>
      <c r="C902" s="219"/>
      <c r="D902" s="268"/>
      <c r="E902" s="251"/>
      <c r="F902" s="250"/>
      <c r="G902" s="243"/>
      <c r="H902" s="243"/>
      <c r="I902" s="243"/>
      <c r="J902" s="325"/>
      <c r="K902" s="326"/>
      <c r="L902" s="327"/>
      <c r="M902" s="321"/>
      <c r="N902" s="176"/>
      <c r="O902" s="176"/>
      <c r="P902" s="176"/>
      <c r="Q902" s="176"/>
      <c r="R902" s="176"/>
      <c r="S902" s="176"/>
      <c r="T902" s="176"/>
      <c r="U902" s="176"/>
      <c r="V902" s="176"/>
      <c r="W902" s="176"/>
      <c r="X902" s="176"/>
      <c r="Y902" s="176"/>
      <c r="Z902" s="176"/>
    </row>
    <row r="903">
      <c r="A903" s="249"/>
      <c r="B903" s="249"/>
      <c r="C903" s="219"/>
      <c r="D903" s="268"/>
      <c r="E903" s="251"/>
      <c r="F903" s="250"/>
      <c r="G903" s="243"/>
      <c r="H903" s="243"/>
      <c r="I903" s="243"/>
      <c r="J903" s="325"/>
      <c r="K903" s="326"/>
      <c r="L903" s="327"/>
      <c r="M903" s="321"/>
      <c r="N903" s="176"/>
      <c r="O903" s="176"/>
      <c r="P903" s="176"/>
      <c r="Q903" s="176"/>
      <c r="R903" s="176"/>
      <c r="S903" s="176"/>
      <c r="T903" s="176"/>
      <c r="U903" s="176"/>
      <c r="V903" s="176"/>
      <c r="W903" s="176"/>
      <c r="X903" s="176"/>
      <c r="Y903" s="176"/>
      <c r="Z903" s="176"/>
    </row>
    <row r="904">
      <c r="A904" s="249"/>
      <c r="B904" s="249"/>
      <c r="C904" s="219"/>
      <c r="D904" s="268"/>
      <c r="E904" s="251"/>
      <c r="F904" s="250"/>
      <c r="G904" s="243"/>
      <c r="H904" s="243"/>
      <c r="I904" s="243"/>
      <c r="J904" s="325"/>
      <c r="K904" s="326"/>
      <c r="L904" s="327"/>
      <c r="M904" s="321"/>
      <c r="N904" s="176"/>
      <c r="O904" s="176"/>
      <c r="P904" s="176"/>
      <c r="Q904" s="176"/>
      <c r="R904" s="176"/>
      <c r="S904" s="176"/>
      <c r="T904" s="176"/>
      <c r="U904" s="176"/>
      <c r="V904" s="176"/>
      <c r="W904" s="176"/>
      <c r="X904" s="176"/>
      <c r="Y904" s="176"/>
      <c r="Z904" s="176"/>
    </row>
    <row r="905">
      <c r="A905" s="249"/>
      <c r="B905" s="249"/>
      <c r="C905" s="219"/>
      <c r="D905" s="268"/>
      <c r="E905" s="251"/>
      <c r="F905" s="250"/>
      <c r="G905" s="243"/>
      <c r="H905" s="243"/>
      <c r="I905" s="243"/>
      <c r="J905" s="325"/>
      <c r="K905" s="326"/>
      <c r="L905" s="327"/>
      <c r="M905" s="321"/>
      <c r="N905" s="176"/>
      <c r="O905" s="176"/>
      <c r="P905" s="176"/>
      <c r="Q905" s="176"/>
      <c r="R905" s="176"/>
      <c r="S905" s="176"/>
      <c r="T905" s="176"/>
      <c r="U905" s="176"/>
      <c r="V905" s="176"/>
      <c r="W905" s="176"/>
      <c r="X905" s="176"/>
      <c r="Y905" s="176"/>
      <c r="Z905" s="176"/>
    </row>
    <row r="906">
      <c r="A906" s="249"/>
      <c r="B906" s="249"/>
      <c r="C906" s="219"/>
      <c r="D906" s="268"/>
      <c r="E906" s="251"/>
      <c r="F906" s="250"/>
      <c r="G906" s="243"/>
      <c r="H906" s="243"/>
      <c r="I906" s="243"/>
      <c r="J906" s="325"/>
      <c r="K906" s="326"/>
      <c r="L906" s="327"/>
      <c r="M906" s="321"/>
      <c r="N906" s="176"/>
      <c r="O906" s="176"/>
      <c r="P906" s="176"/>
      <c r="Q906" s="176"/>
      <c r="R906" s="176"/>
      <c r="S906" s="176"/>
      <c r="T906" s="176"/>
      <c r="U906" s="176"/>
      <c r="V906" s="176"/>
      <c r="W906" s="176"/>
      <c r="X906" s="176"/>
      <c r="Y906" s="176"/>
      <c r="Z906" s="176"/>
    </row>
    <row r="907">
      <c r="A907" s="249"/>
      <c r="B907" s="249"/>
      <c r="C907" s="219"/>
      <c r="D907" s="268"/>
      <c r="E907" s="251"/>
      <c r="F907" s="250"/>
      <c r="G907" s="243"/>
      <c r="H907" s="243"/>
      <c r="I907" s="243"/>
      <c r="J907" s="325"/>
      <c r="K907" s="326"/>
      <c r="L907" s="327"/>
      <c r="M907" s="321"/>
      <c r="N907" s="176"/>
      <c r="O907" s="176"/>
      <c r="P907" s="176"/>
      <c r="Q907" s="176"/>
      <c r="R907" s="176"/>
      <c r="S907" s="176"/>
      <c r="T907" s="176"/>
      <c r="U907" s="176"/>
      <c r="V907" s="176"/>
      <c r="W907" s="176"/>
      <c r="X907" s="176"/>
      <c r="Y907" s="176"/>
      <c r="Z907" s="176"/>
    </row>
    <row r="908">
      <c r="A908" s="249"/>
      <c r="B908" s="249"/>
      <c r="C908" s="219"/>
      <c r="D908" s="268"/>
      <c r="E908" s="251"/>
      <c r="F908" s="250"/>
      <c r="G908" s="243"/>
      <c r="H908" s="243"/>
      <c r="I908" s="243"/>
      <c r="J908" s="325"/>
      <c r="K908" s="326"/>
      <c r="L908" s="327"/>
      <c r="M908" s="321"/>
      <c r="N908" s="176"/>
      <c r="O908" s="176"/>
      <c r="P908" s="176"/>
      <c r="Q908" s="176"/>
      <c r="R908" s="176"/>
      <c r="S908" s="176"/>
      <c r="T908" s="176"/>
      <c r="U908" s="176"/>
      <c r="V908" s="176"/>
      <c r="W908" s="176"/>
      <c r="X908" s="176"/>
      <c r="Y908" s="176"/>
      <c r="Z908" s="176"/>
    </row>
    <row r="909">
      <c r="A909" s="249"/>
      <c r="B909" s="249"/>
      <c r="C909" s="219"/>
      <c r="D909" s="268"/>
      <c r="E909" s="251"/>
      <c r="F909" s="250"/>
      <c r="G909" s="243"/>
      <c r="H909" s="243"/>
      <c r="I909" s="243"/>
      <c r="J909" s="325"/>
      <c r="K909" s="326"/>
      <c r="L909" s="327"/>
      <c r="M909" s="321"/>
      <c r="N909" s="176"/>
      <c r="O909" s="176"/>
      <c r="P909" s="176"/>
      <c r="Q909" s="176"/>
      <c r="R909" s="176"/>
      <c r="S909" s="176"/>
      <c r="T909" s="176"/>
      <c r="U909" s="176"/>
      <c r="V909" s="176"/>
      <c r="W909" s="176"/>
      <c r="X909" s="176"/>
      <c r="Y909" s="176"/>
      <c r="Z909" s="176"/>
    </row>
    <row r="910">
      <c r="A910" s="249"/>
      <c r="B910" s="249"/>
      <c r="C910" s="219"/>
      <c r="D910" s="268"/>
      <c r="E910" s="251"/>
      <c r="F910" s="250"/>
      <c r="G910" s="243"/>
      <c r="H910" s="243"/>
      <c r="I910" s="243"/>
      <c r="J910" s="325"/>
      <c r="K910" s="326"/>
      <c r="L910" s="327"/>
      <c r="M910" s="321"/>
      <c r="N910" s="176"/>
      <c r="O910" s="176"/>
      <c r="P910" s="176"/>
      <c r="Q910" s="176"/>
      <c r="R910" s="176"/>
      <c r="S910" s="176"/>
      <c r="T910" s="176"/>
      <c r="U910" s="176"/>
      <c r="V910" s="176"/>
      <c r="W910" s="176"/>
      <c r="X910" s="176"/>
      <c r="Y910" s="176"/>
      <c r="Z910" s="176"/>
    </row>
    <row r="911">
      <c r="A911" s="249"/>
      <c r="B911" s="249"/>
      <c r="C911" s="219"/>
      <c r="D911" s="268"/>
      <c r="E911" s="251"/>
      <c r="F911" s="250"/>
      <c r="G911" s="243"/>
      <c r="H911" s="243"/>
      <c r="I911" s="243"/>
      <c r="J911" s="325"/>
      <c r="K911" s="326"/>
      <c r="L911" s="327"/>
      <c r="M911" s="321"/>
      <c r="N911" s="176"/>
      <c r="O911" s="176"/>
      <c r="P911" s="176"/>
      <c r="Q911" s="176"/>
      <c r="R911" s="176"/>
      <c r="S911" s="176"/>
      <c r="T911" s="176"/>
      <c r="U911" s="176"/>
      <c r="V911" s="176"/>
      <c r="W911" s="176"/>
      <c r="X911" s="176"/>
      <c r="Y911" s="176"/>
      <c r="Z911" s="176"/>
    </row>
    <row r="912">
      <c r="A912" s="249"/>
      <c r="B912" s="249"/>
      <c r="C912" s="219"/>
      <c r="D912" s="268"/>
      <c r="E912" s="251"/>
      <c r="F912" s="250"/>
      <c r="G912" s="243"/>
      <c r="H912" s="243"/>
      <c r="I912" s="243"/>
      <c r="J912" s="325"/>
      <c r="K912" s="326"/>
      <c r="L912" s="327"/>
      <c r="M912" s="321"/>
      <c r="N912" s="176"/>
      <c r="O912" s="176"/>
      <c r="P912" s="176"/>
      <c r="Q912" s="176"/>
      <c r="R912" s="176"/>
      <c r="S912" s="176"/>
      <c r="T912" s="176"/>
      <c r="U912" s="176"/>
      <c r="V912" s="176"/>
      <c r="W912" s="176"/>
      <c r="X912" s="176"/>
      <c r="Y912" s="176"/>
      <c r="Z912" s="176"/>
    </row>
    <row r="913">
      <c r="A913" s="249"/>
      <c r="B913" s="249"/>
      <c r="C913" s="219"/>
      <c r="D913" s="268"/>
      <c r="E913" s="251"/>
      <c r="F913" s="250"/>
      <c r="G913" s="243"/>
      <c r="H913" s="243"/>
      <c r="I913" s="243"/>
      <c r="J913" s="325"/>
      <c r="K913" s="326"/>
      <c r="L913" s="327"/>
      <c r="M913" s="321"/>
      <c r="N913" s="176"/>
      <c r="O913" s="176"/>
      <c r="P913" s="176"/>
      <c r="Q913" s="176"/>
      <c r="R913" s="176"/>
      <c r="S913" s="176"/>
      <c r="T913" s="176"/>
      <c r="U913" s="176"/>
      <c r="V913" s="176"/>
      <c r="W913" s="176"/>
      <c r="X913" s="176"/>
      <c r="Y913" s="176"/>
      <c r="Z913" s="176"/>
    </row>
    <row r="914">
      <c r="A914" s="249"/>
      <c r="B914" s="249"/>
      <c r="C914" s="219"/>
      <c r="D914" s="268"/>
      <c r="E914" s="251"/>
      <c r="F914" s="250"/>
      <c r="G914" s="243"/>
      <c r="H914" s="243"/>
      <c r="I914" s="243"/>
      <c r="J914" s="325"/>
      <c r="K914" s="326"/>
      <c r="L914" s="327"/>
      <c r="M914" s="321"/>
      <c r="N914" s="176"/>
      <c r="O914" s="176"/>
      <c r="P914" s="176"/>
      <c r="Q914" s="176"/>
      <c r="R914" s="176"/>
      <c r="S914" s="176"/>
      <c r="T914" s="176"/>
      <c r="U914" s="176"/>
      <c r="V914" s="176"/>
      <c r="W914" s="176"/>
      <c r="X914" s="176"/>
      <c r="Y914" s="176"/>
      <c r="Z914" s="176"/>
    </row>
    <row r="915">
      <c r="A915" s="249"/>
      <c r="B915" s="249"/>
      <c r="C915" s="219"/>
      <c r="D915" s="268"/>
      <c r="E915" s="251"/>
      <c r="F915" s="250"/>
      <c r="G915" s="243"/>
      <c r="H915" s="243"/>
      <c r="I915" s="243"/>
      <c r="J915" s="325"/>
      <c r="K915" s="326"/>
      <c r="L915" s="327"/>
      <c r="M915" s="321"/>
      <c r="N915" s="176"/>
      <c r="O915" s="176"/>
      <c r="P915" s="176"/>
      <c r="Q915" s="176"/>
      <c r="R915" s="176"/>
      <c r="S915" s="176"/>
      <c r="T915" s="176"/>
      <c r="U915" s="176"/>
      <c r="V915" s="176"/>
      <c r="W915" s="176"/>
      <c r="X915" s="176"/>
      <c r="Y915" s="176"/>
      <c r="Z915" s="176"/>
    </row>
    <row r="916">
      <c r="A916" s="249"/>
      <c r="B916" s="249"/>
      <c r="C916" s="219"/>
      <c r="D916" s="268"/>
      <c r="E916" s="251"/>
      <c r="F916" s="250"/>
      <c r="G916" s="243"/>
      <c r="H916" s="243"/>
      <c r="I916" s="243"/>
      <c r="J916" s="325"/>
      <c r="K916" s="326"/>
      <c r="L916" s="327"/>
      <c r="M916" s="321"/>
      <c r="N916" s="176"/>
      <c r="O916" s="176"/>
      <c r="P916" s="176"/>
      <c r="Q916" s="176"/>
      <c r="R916" s="176"/>
      <c r="S916" s="176"/>
      <c r="T916" s="176"/>
      <c r="U916" s="176"/>
      <c r="V916" s="176"/>
      <c r="W916" s="176"/>
      <c r="X916" s="176"/>
      <c r="Y916" s="176"/>
      <c r="Z916" s="176"/>
    </row>
    <row r="917">
      <c r="A917" s="249"/>
      <c r="B917" s="249"/>
      <c r="C917" s="219"/>
      <c r="D917" s="268"/>
      <c r="E917" s="251"/>
      <c r="F917" s="250"/>
      <c r="G917" s="243"/>
      <c r="H917" s="243"/>
      <c r="I917" s="243"/>
      <c r="J917" s="325"/>
      <c r="K917" s="326"/>
      <c r="L917" s="327"/>
      <c r="M917" s="321"/>
      <c r="N917" s="176"/>
      <c r="O917" s="176"/>
      <c r="P917" s="176"/>
      <c r="Q917" s="176"/>
      <c r="R917" s="176"/>
      <c r="S917" s="176"/>
      <c r="T917" s="176"/>
      <c r="U917" s="176"/>
      <c r="V917" s="176"/>
      <c r="W917" s="176"/>
      <c r="X917" s="176"/>
      <c r="Y917" s="176"/>
      <c r="Z917" s="176"/>
    </row>
    <row r="918">
      <c r="A918" s="249"/>
      <c r="B918" s="249"/>
      <c r="C918" s="219"/>
      <c r="D918" s="268"/>
      <c r="E918" s="251"/>
      <c r="F918" s="250"/>
      <c r="G918" s="243"/>
      <c r="H918" s="243"/>
      <c r="I918" s="243"/>
      <c r="J918" s="325"/>
      <c r="K918" s="326"/>
      <c r="L918" s="327"/>
      <c r="M918" s="321"/>
      <c r="N918" s="176"/>
      <c r="O918" s="176"/>
      <c r="P918" s="176"/>
      <c r="Q918" s="176"/>
      <c r="R918" s="176"/>
      <c r="S918" s="176"/>
      <c r="T918" s="176"/>
      <c r="U918" s="176"/>
      <c r="V918" s="176"/>
      <c r="W918" s="176"/>
      <c r="X918" s="176"/>
      <c r="Y918" s="176"/>
      <c r="Z918" s="176"/>
    </row>
    <row r="919">
      <c r="A919" s="249"/>
      <c r="B919" s="249"/>
      <c r="C919" s="219"/>
      <c r="D919" s="268"/>
      <c r="E919" s="251"/>
      <c r="F919" s="250"/>
      <c r="G919" s="243"/>
      <c r="H919" s="243"/>
      <c r="I919" s="243"/>
      <c r="J919" s="325"/>
      <c r="K919" s="326"/>
      <c r="L919" s="327"/>
      <c r="M919" s="321"/>
      <c r="N919" s="176"/>
      <c r="O919" s="176"/>
      <c r="P919" s="176"/>
      <c r="Q919" s="176"/>
      <c r="R919" s="176"/>
      <c r="S919" s="176"/>
      <c r="T919" s="176"/>
      <c r="U919" s="176"/>
      <c r="V919" s="176"/>
      <c r="W919" s="176"/>
      <c r="X919" s="176"/>
      <c r="Y919" s="176"/>
      <c r="Z919" s="176"/>
    </row>
    <row r="920">
      <c r="A920" s="249"/>
      <c r="B920" s="249"/>
      <c r="C920" s="219"/>
      <c r="D920" s="268"/>
      <c r="E920" s="251"/>
      <c r="F920" s="250"/>
      <c r="G920" s="243"/>
      <c r="H920" s="243"/>
      <c r="I920" s="243"/>
      <c r="J920" s="325"/>
      <c r="K920" s="326"/>
      <c r="L920" s="327"/>
      <c r="M920" s="321"/>
      <c r="N920" s="176"/>
      <c r="O920" s="176"/>
      <c r="P920" s="176"/>
      <c r="Q920" s="176"/>
      <c r="R920" s="176"/>
      <c r="S920" s="176"/>
      <c r="T920" s="176"/>
      <c r="U920" s="176"/>
      <c r="V920" s="176"/>
      <c r="W920" s="176"/>
      <c r="X920" s="176"/>
      <c r="Y920" s="176"/>
      <c r="Z920" s="176"/>
    </row>
    <row r="921">
      <c r="A921" s="249"/>
      <c r="B921" s="249"/>
      <c r="C921" s="219"/>
      <c r="D921" s="268"/>
      <c r="E921" s="251"/>
      <c r="F921" s="250"/>
      <c r="G921" s="243"/>
      <c r="H921" s="243"/>
      <c r="I921" s="243"/>
      <c r="J921" s="325"/>
      <c r="K921" s="326"/>
      <c r="L921" s="327"/>
      <c r="M921" s="321"/>
      <c r="N921" s="176"/>
      <c r="O921" s="176"/>
      <c r="P921" s="176"/>
      <c r="Q921" s="176"/>
      <c r="R921" s="176"/>
      <c r="S921" s="176"/>
      <c r="T921" s="176"/>
      <c r="U921" s="176"/>
      <c r="V921" s="176"/>
      <c r="W921" s="176"/>
      <c r="X921" s="176"/>
      <c r="Y921" s="176"/>
      <c r="Z921" s="176"/>
    </row>
    <row r="922">
      <c r="A922" s="249"/>
      <c r="B922" s="249"/>
      <c r="C922" s="219"/>
      <c r="D922" s="268"/>
      <c r="E922" s="251"/>
      <c r="F922" s="250"/>
      <c r="G922" s="243"/>
      <c r="H922" s="243"/>
      <c r="I922" s="243"/>
      <c r="J922" s="325"/>
      <c r="K922" s="326"/>
      <c r="L922" s="327"/>
      <c r="M922" s="321"/>
      <c r="N922" s="176"/>
      <c r="O922" s="176"/>
      <c r="P922" s="176"/>
      <c r="Q922" s="176"/>
      <c r="R922" s="176"/>
      <c r="S922" s="176"/>
      <c r="T922" s="176"/>
      <c r="U922" s="176"/>
      <c r="V922" s="176"/>
      <c r="W922" s="176"/>
      <c r="X922" s="176"/>
      <c r="Y922" s="176"/>
      <c r="Z922" s="176"/>
    </row>
    <row r="923">
      <c r="A923" s="249"/>
      <c r="B923" s="249"/>
      <c r="C923" s="219"/>
      <c r="D923" s="268"/>
      <c r="E923" s="251"/>
      <c r="F923" s="250"/>
      <c r="G923" s="243"/>
      <c r="H923" s="243"/>
      <c r="I923" s="243"/>
      <c r="J923" s="325"/>
      <c r="K923" s="326"/>
      <c r="L923" s="327"/>
      <c r="M923" s="321"/>
      <c r="N923" s="176"/>
      <c r="O923" s="176"/>
      <c r="P923" s="176"/>
      <c r="Q923" s="176"/>
      <c r="R923" s="176"/>
      <c r="S923" s="176"/>
      <c r="T923" s="176"/>
      <c r="U923" s="176"/>
      <c r="V923" s="176"/>
      <c r="W923" s="176"/>
      <c r="X923" s="176"/>
      <c r="Y923" s="176"/>
      <c r="Z923" s="176"/>
    </row>
    <row r="924">
      <c r="A924" s="249"/>
      <c r="B924" s="249"/>
      <c r="C924" s="219"/>
      <c r="D924" s="268"/>
      <c r="E924" s="251"/>
      <c r="F924" s="250"/>
      <c r="G924" s="243"/>
      <c r="H924" s="243"/>
      <c r="I924" s="243"/>
      <c r="J924" s="325"/>
      <c r="K924" s="326"/>
      <c r="L924" s="327"/>
      <c r="M924" s="321"/>
      <c r="N924" s="176"/>
      <c r="O924" s="176"/>
      <c r="P924" s="176"/>
      <c r="Q924" s="176"/>
      <c r="R924" s="176"/>
      <c r="S924" s="176"/>
      <c r="T924" s="176"/>
      <c r="U924" s="176"/>
      <c r="V924" s="176"/>
      <c r="W924" s="176"/>
      <c r="X924" s="176"/>
      <c r="Y924" s="176"/>
      <c r="Z924" s="176"/>
    </row>
    <row r="925">
      <c r="A925" s="249"/>
      <c r="B925" s="249"/>
      <c r="C925" s="219"/>
      <c r="D925" s="268"/>
      <c r="E925" s="251"/>
      <c r="F925" s="250"/>
      <c r="G925" s="243"/>
      <c r="H925" s="243"/>
      <c r="I925" s="243"/>
      <c r="J925" s="325"/>
      <c r="K925" s="326"/>
      <c r="L925" s="327"/>
      <c r="M925" s="321"/>
      <c r="N925" s="176"/>
      <c r="O925" s="176"/>
      <c r="P925" s="176"/>
      <c r="Q925" s="176"/>
      <c r="R925" s="176"/>
      <c r="S925" s="176"/>
      <c r="T925" s="176"/>
      <c r="U925" s="176"/>
      <c r="V925" s="176"/>
      <c r="W925" s="176"/>
      <c r="X925" s="176"/>
      <c r="Y925" s="176"/>
      <c r="Z925" s="176"/>
    </row>
    <row r="926">
      <c r="A926" s="249"/>
      <c r="B926" s="249"/>
      <c r="C926" s="219"/>
      <c r="D926" s="268"/>
      <c r="E926" s="251"/>
      <c r="F926" s="250"/>
      <c r="G926" s="243"/>
      <c r="H926" s="243"/>
      <c r="I926" s="243"/>
      <c r="J926" s="325"/>
      <c r="K926" s="326"/>
      <c r="L926" s="327"/>
      <c r="M926" s="321"/>
      <c r="N926" s="176"/>
      <c r="O926" s="176"/>
      <c r="P926" s="176"/>
      <c r="Q926" s="176"/>
      <c r="R926" s="176"/>
      <c r="S926" s="176"/>
      <c r="T926" s="176"/>
      <c r="U926" s="176"/>
      <c r="V926" s="176"/>
      <c r="W926" s="176"/>
      <c r="X926" s="176"/>
      <c r="Y926" s="176"/>
      <c r="Z926" s="176"/>
    </row>
    <row r="927">
      <c r="A927" s="249"/>
      <c r="B927" s="249"/>
      <c r="C927" s="219"/>
      <c r="D927" s="268"/>
      <c r="E927" s="251"/>
      <c r="F927" s="250"/>
      <c r="G927" s="243"/>
      <c r="H927" s="243"/>
      <c r="I927" s="243"/>
      <c r="J927" s="325"/>
      <c r="K927" s="326"/>
      <c r="L927" s="327"/>
      <c r="M927" s="321"/>
      <c r="N927" s="176"/>
      <c r="O927" s="176"/>
      <c r="P927" s="176"/>
      <c r="Q927" s="176"/>
      <c r="R927" s="176"/>
      <c r="S927" s="176"/>
      <c r="T927" s="176"/>
      <c r="U927" s="176"/>
      <c r="V927" s="176"/>
      <c r="W927" s="176"/>
      <c r="X927" s="176"/>
      <c r="Y927" s="176"/>
      <c r="Z927" s="176"/>
    </row>
    <row r="928">
      <c r="A928" s="249"/>
      <c r="B928" s="249"/>
      <c r="C928" s="219"/>
      <c r="D928" s="268"/>
      <c r="E928" s="251"/>
      <c r="F928" s="250"/>
      <c r="G928" s="243"/>
      <c r="H928" s="243"/>
      <c r="I928" s="243"/>
      <c r="J928" s="325"/>
      <c r="K928" s="326"/>
      <c r="L928" s="327"/>
      <c r="M928" s="321"/>
      <c r="N928" s="176"/>
      <c r="O928" s="176"/>
      <c r="P928" s="176"/>
      <c r="Q928" s="176"/>
      <c r="R928" s="176"/>
      <c r="S928" s="176"/>
      <c r="T928" s="176"/>
      <c r="U928" s="176"/>
      <c r="V928" s="176"/>
      <c r="W928" s="176"/>
      <c r="X928" s="176"/>
      <c r="Y928" s="176"/>
      <c r="Z928" s="176"/>
    </row>
    <row r="929">
      <c r="A929" s="249"/>
      <c r="B929" s="249"/>
      <c r="C929" s="219"/>
      <c r="D929" s="268"/>
      <c r="E929" s="251"/>
      <c r="F929" s="250"/>
      <c r="G929" s="243"/>
      <c r="H929" s="243"/>
      <c r="I929" s="243"/>
      <c r="J929" s="325"/>
      <c r="K929" s="326"/>
      <c r="L929" s="327"/>
      <c r="M929" s="321"/>
      <c r="N929" s="176"/>
      <c r="O929" s="176"/>
      <c r="P929" s="176"/>
      <c r="Q929" s="176"/>
      <c r="R929" s="176"/>
      <c r="S929" s="176"/>
      <c r="T929" s="176"/>
      <c r="U929" s="176"/>
      <c r="V929" s="176"/>
      <c r="W929" s="176"/>
      <c r="X929" s="176"/>
      <c r="Y929" s="176"/>
      <c r="Z929" s="176"/>
    </row>
    <row r="930">
      <c r="A930" s="249"/>
      <c r="B930" s="249"/>
      <c r="C930" s="219"/>
      <c r="D930" s="268"/>
      <c r="E930" s="251"/>
      <c r="F930" s="250"/>
      <c r="G930" s="243"/>
      <c r="H930" s="243"/>
      <c r="I930" s="243"/>
      <c r="J930" s="325"/>
      <c r="K930" s="326"/>
      <c r="L930" s="327"/>
      <c r="M930" s="321"/>
      <c r="N930" s="176"/>
      <c r="O930" s="176"/>
      <c r="P930" s="176"/>
      <c r="Q930" s="176"/>
      <c r="R930" s="176"/>
      <c r="S930" s="176"/>
      <c r="T930" s="176"/>
      <c r="U930" s="176"/>
      <c r="V930" s="176"/>
      <c r="W930" s="176"/>
      <c r="X930" s="176"/>
      <c r="Y930" s="176"/>
      <c r="Z930" s="176"/>
    </row>
    <row r="931">
      <c r="A931" s="249"/>
      <c r="B931" s="249"/>
      <c r="C931" s="219"/>
      <c r="D931" s="268"/>
      <c r="E931" s="251"/>
      <c r="F931" s="250"/>
      <c r="G931" s="243"/>
      <c r="H931" s="243"/>
      <c r="I931" s="243"/>
      <c r="J931" s="325"/>
      <c r="K931" s="326"/>
      <c r="L931" s="327"/>
      <c r="M931" s="321"/>
      <c r="N931" s="176"/>
      <c r="O931" s="176"/>
      <c r="P931" s="176"/>
      <c r="Q931" s="176"/>
      <c r="R931" s="176"/>
      <c r="S931" s="176"/>
      <c r="T931" s="176"/>
      <c r="U931" s="176"/>
      <c r="V931" s="176"/>
      <c r="W931" s="176"/>
      <c r="X931" s="176"/>
      <c r="Y931" s="176"/>
      <c r="Z931" s="176"/>
    </row>
    <row r="932">
      <c r="A932" s="249"/>
      <c r="B932" s="249"/>
      <c r="C932" s="219"/>
      <c r="D932" s="268"/>
      <c r="E932" s="251"/>
      <c r="F932" s="250"/>
      <c r="G932" s="243"/>
      <c r="H932" s="243"/>
      <c r="I932" s="243"/>
      <c r="J932" s="325"/>
      <c r="K932" s="326"/>
      <c r="L932" s="327"/>
      <c r="M932" s="321"/>
      <c r="N932" s="176"/>
      <c r="O932" s="176"/>
      <c r="P932" s="176"/>
      <c r="Q932" s="176"/>
      <c r="R932" s="176"/>
      <c r="S932" s="176"/>
      <c r="T932" s="176"/>
      <c r="U932" s="176"/>
      <c r="V932" s="176"/>
      <c r="W932" s="176"/>
      <c r="X932" s="176"/>
      <c r="Y932" s="176"/>
      <c r="Z932" s="176"/>
    </row>
    <row r="933">
      <c r="A933" s="249"/>
      <c r="B933" s="249"/>
      <c r="C933" s="219"/>
      <c r="D933" s="268"/>
      <c r="E933" s="251"/>
      <c r="F933" s="250"/>
      <c r="G933" s="243"/>
      <c r="H933" s="243"/>
      <c r="I933" s="243"/>
      <c r="J933" s="325"/>
      <c r="K933" s="326"/>
      <c r="L933" s="327"/>
      <c r="M933" s="321"/>
      <c r="N933" s="176"/>
      <c r="O933" s="176"/>
      <c r="P933" s="176"/>
      <c r="Q933" s="176"/>
      <c r="R933" s="176"/>
      <c r="S933" s="176"/>
      <c r="T933" s="176"/>
      <c r="U933" s="176"/>
      <c r="V933" s="176"/>
      <c r="W933" s="176"/>
      <c r="X933" s="176"/>
      <c r="Y933" s="176"/>
      <c r="Z933" s="176"/>
    </row>
    <row r="934">
      <c r="A934" s="249"/>
      <c r="B934" s="249"/>
      <c r="C934" s="219"/>
      <c r="D934" s="268"/>
      <c r="E934" s="251"/>
      <c r="F934" s="250"/>
      <c r="G934" s="243"/>
      <c r="H934" s="243"/>
      <c r="I934" s="243"/>
      <c r="J934" s="325"/>
      <c r="K934" s="326"/>
      <c r="L934" s="327"/>
      <c r="M934" s="321"/>
      <c r="N934" s="176"/>
      <c r="O934" s="176"/>
      <c r="P934" s="176"/>
      <c r="Q934" s="176"/>
      <c r="R934" s="176"/>
      <c r="S934" s="176"/>
      <c r="T934" s="176"/>
      <c r="U934" s="176"/>
      <c r="V934" s="176"/>
      <c r="W934" s="176"/>
      <c r="X934" s="176"/>
      <c r="Y934" s="176"/>
      <c r="Z934" s="176"/>
    </row>
    <row r="935">
      <c r="A935" s="249"/>
      <c r="B935" s="249"/>
      <c r="C935" s="219"/>
      <c r="D935" s="268"/>
      <c r="E935" s="251"/>
      <c r="F935" s="250"/>
      <c r="G935" s="243"/>
      <c r="H935" s="243"/>
      <c r="I935" s="243"/>
      <c r="J935" s="325"/>
      <c r="K935" s="326"/>
      <c r="L935" s="327"/>
      <c r="M935" s="321"/>
      <c r="N935" s="176"/>
      <c r="O935" s="176"/>
      <c r="P935" s="176"/>
      <c r="Q935" s="176"/>
      <c r="R935" s="176"/>
      <c r="S935" s="176"/>
      <c r="T935" s="176"/>
      <c r="U935" s="176"/>
      <c r="V935" s="176"/>
      <c r="W935" s="176"/>
      <c r="X935" s="176"/>
      <c r="Y935" s="176"/>
      <c r="Z935" s="176"/>
    </row>
    <row r="936">
      <c r="A936" s="249"/>
      <c r="B936" s="249"/>
      <c r="C936" s="219"/>
      <c r="D936" s="268"/>
      <c r="E936" s="251"/>
      <c r="F936" s="250"/>
      <c r="G936" s="243"/>
      <c r="H936" s="243"/>
      <c r="I936" s="243"/>
      <c r="J936" s="325"/>
      <c r="K936" s="326"/>
      <c r="L936" s="327"/>
      <c r="M936" s="321"/>
      <c r="N936" s="176"/>
      <c r="O936" s="176"/>
      <c r="P936" s="176"/>
      <c r="Q936" s="176"/>
      <c r="R936" s="176"/>
      <c r="S936" s="176"/>
      <c r="T936" s="176"/>
      <c r="U936" s="176"/>
      <c r="V936" s="176"/>
      <c r="W936" s="176"/>
      <c r="X936" s="176"/>
      <c r="Y936" s="176"/>
      <c r="Z936" s="176"/>
    </row>
    <row r="937">
      <c r="A937" s="249"/>
      <c r="B937" s="249"/>
      <c r="C937" s="219"/>
      <c r="D937" s="268"/>
      <c r="E937" s="251"/>
      <c r="F937" s="250"/>
      <c r="G937" s="243"/>
      <c r="H937" s="243"/>
      <c r="I937" s="243"/>
      <c r="J937" s="325"/>
      <c r="K937" s="326"/>
      <c r="L937" s="327"/>
      <c r="M937" s="321"/>
      <c r="N937" s="176"/>
      <c r="O937" s="176"/>
      <c r="P937" s="176"/>
      <c r="Q937" s="176"/>
      <c r="R937" s="176"/>
      <c r="S937" s="176"/>
      <c r="T937" s="176"/>
      <c r="U937" s="176"/>
      <c r="V937" s="176"/>
      <c r="W937" s="176"/>
      <c r="X937" s="176"/>
      <c r="Y937" s="176"/>
      <c r="Z937" s="176"/>
    </row>
    <row r="938">
      <c r="A938" s="249"/>
      <c r="B938" s="249"/>
      <c r="C938" s="219"/>
      <c r="D938" s="268"/>
      <c r="E938" s="251"/>
      <c r="F938" s="250"/>
      <c r="G938" s="243"/>
      <c r="H938" s="243"/>
      <c r="I938" s="243"/>
      <c r="J938" s="325"/>
      <c r="K938" s="326"/>
      <c r="L938" s="327"/>
      <c r="M938" s="321"/>
      <c r="N938" s="176"/>
      <c r="O938" s="176"/>
      <c r="P938" s="176"/>
      <c r="Q938" s="176"/>
      <c r="R938" s="176"/>
      <c r="S938" s="176"/>
      <c r="T938" s="176"/>
      <c r="U938" s="176"/>
      <c r="V938" s="176"/>
      <c r="W938" s="176"/>
      <c r="X938" s="176"/>
      <c r="Y938" s="176"/>
      <c r="Z938" s="176"/>
    </row>
    <row r="939">
      <c r="A939" s="249"/>
      <c r="B939" s="249"/>
      <c r="C939" s="219"/>
      <c r="D939" s="268"/>
      <c r="E939" s="251"/>
      <c r="F939" s="250"/>
      <c r="G939" s="243"/>
      <c r="H939" s="243"/>
      <c r="I939" s="243"/>
      <c r="J939" s="325"/>
      <c r="K939" s="326"/>
      <c r="L939" s="327"/>
      <c r="M939" s="321"/>
      <c r="N939" s="176"/>
      <c r="O939" s="176"/>
      <c r="P939" s="176"/>
      <c r="Q939" s="176"/>
      <c r="R939" s="176"/>
      <c r="S939" s="176"/>
      <c r="T939" s="176"/>
      <c r="U939" s="176"/>
      <c r="V939" s="176"/>
      <c r="W939" s="176"/>
      <c r="X939" s="176"/>
      <c r="Y939" s="176"/>
      <c r="Z939" s="176"/>
    </row>
    <row r="940">
      <c r="A940" s="249"/>
      <c r="B940" s="249"/>
      <c r="C940" s="219"/>
      <c r="D940" s="268"/>
      <c r="E940" s="251"/>
      <c r="F940" s="250"/>
      <c r="G940" s="243"/>
      <c r="H940" s="243"/>
      <c r="I940" s="243"/>
      <c r="J940" s="325"/>
      <c r="K940" s="326"/>
      <c r="L940" s="327"/>
      <c r="M940" s="321"/>
      <c r="N940" s="176"/>
      <c r="O940" s="176"/>
      <c r="P940" s="176"/>
      <c r="Q940" s="176"/>
      <c r="R940" s="176"/>
      <c r="S940" s="176"/>
      <c r="T940" s="176"/>
      <c r="U940" s="176"/>
      <c r="V940" s="176"/>
      <c r="W940" s="176"/>
      <c r="X940" s="176"/>
      <c r="Y940" s="176"/>
      <c r="Z940" s="176"/>
    </row>
    <row r="941">
      <c r="A941" s="249"/>
      <c r="B941" s="249"/>
      <c r="C941" s="219"/>
      <c r="D941" s="268"/>
      <c r="E941" s="251"/>
      <c r="F941" s="250"/>
      <c r="G941" s="243"/>
      <c r="H941" s="243"/>
      <c r="I941" s="243"/>
      <c r="J941" s="325"/>
      <c r="K941" s="326"/>
      <c r="L941" s="327"/>
      <c r="M941" s="321"/>
      <c r="N941" s="176"/>
      <c r="O941" s="176"/>
      <c r="P941" s="176"/>
      <c r="Q941" s="176"/>
      <c r="R941" s="176"/>
      <c r="S941" s="176"/>
      <c r="T941" s="176"/>
      <c r="U941" s="176"/>
      <c r="V941" s="176"/>
      <c r="W941" s="176"/>
      <c r="X941" s="176"/>
      <c r="Y941" s="176"/>
      <c r="Z941" s="176"/>
    </row>
    <row r="942">
      <c r="A942" s="249"/>
      <c r="B942" s="249"/>
      <c r="C942" s="219"/>
      <c r="D942" s="268"/>
      <c r="E942" s="251"/>
      <c r="F942" s="250"/>
      <c r="G942" s="243"/>
      <c r="H942" s="243"/>
      <c r="I942" s="243"/>
      <c r="J942" s="325"/>
      <c r="K942" s="326"/>
      <c r="L942" s="327"/>
      <c r="M942" s="321"/>
      <c r="N942" s="176"/>
      <c r="O942" s="176"/>
      <c r="P942" s="176"/>
      <c r="Q942" s="176"/>
      <c r="R942" s="176"/>
      <c r="S942" s="176"/>
      <c r="T942" s="176"/>
      <c r="U942" s="176"/>
      <c r="V942" s="176"/>
      <c r="W942" s="176"/>
      <c r="X942" s="176"/>
      <c r="Y942" s="176"/>
      <c r="Z942" s="176"/>
    </row>
    <row r="943">
      <c r="A943" s="249"/>
      <c r="B943" s="249"/>
      <c r="C943" s="219"/>
      <c r="D943" s="268"/>
      <c r="E943" s="251"/>
      <c r="F943" s="250"/>
      <c r="G943" s="243"/>
      <c r="H943" s="243"/>
      <c r="I943" s="243"/>
      <c r="J943" s="325"/>
      <c r="K943" s="326"/>
      <c r="L943" s="327"/>
      <c r="M943" s="321"/>
      <c r="N943" s="176"/>
      <c r="O943" s="176"/>
      <c r="P943" s="176"/>
      <c r="Q943" s="176"/>
      <c r="R943" s="176"/>
      <c r="S943" s="176"/>
      <c r="T943" s="176"/>
      <c r="U943" s="176"/>
      <c r="V943" s="176"/>
      <c r="W943" s="176"/>
      <c r="X943" s="176"/>
      <c r="Y943" s="176"/>
      <c r="Z943" s="176"/>
    </row>
    <row r="944">
      <c r="A944" s="249"/>
      <c r="B944" s="249"/>
      <c r="C944" s="219"/>
      <c r="D944" s="268"/>
      <c r="E944" s="251"/>
      <c r="F944" s="250"/>
      <c r="G944" s="243"/>
      <c r="H944" s="243"/>
      <c r="I944" s="243"/>
      <c r="J944" s="325"/>
      <c r="K944" s="326"/>
      <c r="L944" s="327"/>
      <c r="M944" s="321"/>
      <c r="N944" s="176"/>
      <c r="O944" s="176"/>
      <c r="P944" s="176"/>
      <c r="Q944" s="176"/>
      <c r="R944" s="176"/>
      <c r="S944" s="176"/>
      <c r="T944" s="176"/>
      <c r="U944" s="176"/>
      <c r="V944" s="176"/>
      <c r="W944" s="176"/>
      <c r="X944" s="176"/>
      <c r="Y944" s="176"/>
      <c r="Z944" s="176"/>
    </row>
    <row r="945">
      <c r="A945" s="249"/>
      <c r="B945" s="249"/>
      <c r="C945" s="219"/>
      <c r="D945" s="268"/>
      <c r="E945" s="251"/>
      <c r="F945" s="250"/>
      <c r="G945" s="243"/>
      <c r="H945" s="243"/>
      <c r="I945" s="243"/>
      <c r="J945" s="325"/>
      <c r="K945" s="326"/>
      <c r="L945" s="327"/>
      <c r="M945" s="321"/>
      <c r="N945" s="176"/>
      <c r="O945" s="176"/>
      <c r="P945" s="176"/>
      <c r="Q945" s="176"/>
      <c r="R945" s="176"/>
      <c r="S945" s="176"/>
      <c r="T945" s="176"/>
      <c r="U945" s="176"/>
      <c r="V945" s="176"/>
      <c r="W945" s="176"/>
      <c r="X945" s="176"/>
      <c r="Y945" s="176"/>
      <c r="Z945" s="176"/>
    </row>
    <row r="946">
      <c r="A946" s="249"/>
      <c r="B946" s="249"/>
      <c r="C946" s="219"/>
      <c r="D946" s="268"/>
      <c r="E946" s="251"/>
      <c r="F946" s="250"/>
      <c r="G946" s="243"/>
      <c r="H946" s="243"/>
      <c r="I946" s="243"/>
      <c r="J946" s="325"/>
      <c r="K946" s="326"/>
      <c r="L946" s="327"/>
      <c r="M946" s="321"/>
      <c r="N946" s="176"/>
      <c r="O946" s="176"/>
      <c r="P946" s="176"/>
      <c r="Q946" s="176"/>
      <c r="R946" s="176"/>
      <c r="S946" s="176"/>
      <c r="T946" s="176"/>
      <c r="U946" s="176"/>
      <c r="V946" s="176"/>
      <c r="W946" s="176"/>
      <c r="X946" s="176"/>
      <c r="Y946" s="176"/>
      <c r="Z946" s="176"/>
    </row>
    <row r="947">
      <c r="A947" s="249"/>
      <c r="B947" s="249"/>
      <c r="C947" s="219"/>
      <c r="D947" s="268"/>
      <c r="E947" s="251"/>
      <c r="F947" s="250"/>
      <c r="G947" s="243"/>
      <c r="H947" s="243"/>
      <c r="I947" s="243"/>
      <c r="J947" s="325"/>
      <c r="K947" s="326"/>
      <c r="L947" s="327"/>
      <c r="M947" s="321"/>
      <c r="N947" s="176"/>
      <c r="O947" s="176"/>
      <c r="P947" s="176"/>
      <c r="Q947" s="176"/>
      <c r="R947" s="176"/>
      <c r="S947" s="176"/>
      <c r="T947" s="176"/>
      <c r="U947" s="176"/>
      <c r="V947" s="176"/>
      <c r="W947" s="176"/>
      <c r="X947" s="176"/>
      <c r="Y947" s="176"/>
      <c r="Z947" s="176"/>
    </row>
    <row r="948">
      <c r="A948" s="249"/>
      <c r="B948" s="249"/>
      <c r="C948" s="219"/>
      <c r="D948" s="268"/>
      <c r="E948" s="251"/>
      <c r="F948" s="250"/>
      <c r="G948" s="243"/>
      <c r="H948" s="243"/>
      <c r="I948" s="243"/>
      <c r="J948" s="325"/>
      <c r="K948" s="326"/>
      <c r="L948" s="327"/>
      <c r="M948" s="321"/>
      <c r="N948" s="176"/>
      <c r="O948" s="176"/>
      <c r="P948" s="176"/>
      <c r="Q948" s="176"/>
      <c r="R948" s="176"/>
      <c r="S948" s="176"/>
      <c r="T948" s="176"/>
      <c r="U948" s="176"/>
      <c r="V948" s="176"/>
      <c r="W948" s="176"/>
      <c r="X948" s="176"/>
      <c r="Y948" s="176"/>
      <c r="Z948" s="176"/>
    </row>
    <row r="949">
      <c r="A949" s="249"/>
      <c r="B949" s="249"/>
      <c r="C949" s="219"/>
      <c r="D949" s="268"/>
      <c r="E949" s="251"/>
      <c r="F949" s="250"/>
      <c r="G949" s="243"/>
      <c r="H949" s="243"/>
      <c r="I949" s="243"/>
      <c r="J949" s="325"/>
      <c r="K949" s="326"/>
      <c r="L949" s="327"/>
      <c r="M949" s="321"/>
      <c r="N949" s="176"/>
      <c r="O949" s="176"/>
      <c r="P949" s="176"/>
      <c r="Q949" s="176"/>
      <c r="R949" s="176"/>
      <c r="S949" s="176"/>
      <c r="T949" s="176"/>
      <c r="U949" s="176"/>
      <c r="V949" s="176"/>
      <c r="W949" s="176"/>
      <c r="X949" s="176"/>
      <c r="Y949" s="176"/>
      <c r="Z949" s="176"/>
    </row>
    <row r="950">
      <c r="A950" s="249"/>
      <c r="B950" s="249"/>
      <c r="C950" s="219"/>
      <c r="D950" s="268"/>
      <c r="E950" s="251"/>
      <c r="F950" s="250"/>
      <c r="G950" s="243"/>
      <c r="H950" s="243"/>
      <c r="I950" s="243"/>
      <c r="J950" s="325"/>
      <c r="K950" s="326"/>
      <c r="L950" s="327"/>
      <c r="M950" s="321"/>
      <c r="N950" s="176"/>
      <c r="O950" s="176"/>
      <c r="P950" s="176"/>
      <c r="Q950" s="176"/>
      <c r="R950" s="176"/>
      <c r="S950" s="176"/>
      <c r="T950" s="176"/>
      <c r="U950" s="176"/>
      <c r="V950" s="176"/>
      <c r="W950" s="176"/>
      <c r="X950" s="176"/>
      <c r="Y950" s="176"/>
      <c r="Z950" s="176"/>
    </row>
    <row r="951">
      <c r="A951" s="249"/>
      <c r="B951" s="249"/>
      <c r="C951" s="219"/>
      <c r="D951" s="268"/>
      <c r="E951" s="251"/>
      <c r="F951" s="250"/>
      <c r="G951" s="243"/>
      <c r="H951" s="243"/>
      <c r="I951" s="243"/>
      <c r="J951" s="325"/>
      <c r="K951" s="326"/>
      <c r="L951" s="327"/>
      <c r="M951" s="321"/>
      <c r="N951" s="176"/>
      <c r="O951" s="176"/>
      <c r="P951" s="176"/>
      <c r="Q951" s="176"/>
      <c r="R951" s="176"/>
      <c r="S951" s="176"/>
      <c r="T951" s="176"/>
      <c r="U951" s="176"/>
      <c r="V951" s="176"/>
      <c r="W951" s="176"/>
      <c r="X951" s="176"/>
      <c r="Y951" s="176"/>
      <c r="Z951" s="176"/>
    </row>
    <row r="952">
      <c r="A952" s="249"/>
      <c r="B952" s="249"/>
      <c r="C952" s="219"/>
      <c r="D952" s="268"/>
      <c r="E952" s="251"/>
      <c r="F952" s="250"/>
      <c r="G952" s="243"/>
      <c r="H952" s="243"/>
      <c r="I952" s="243"/>
      <c r="J952" s="325"/>
      <c r="K952" s="326"/>
      <c r="L952" s="327"/>
      <c r="M952" s="321"/>
      <c r="N952" s="176"/>
      <c r="O952" s="176"/>
      <c r="P952" s="176"/>
      <c r="Q952" s="176"/>
      <c r="R952" s="176"/>
      <c r="S952" s="176"/>
      <c r="T952" s="176"/>
      <c r="U952" s="176"/>
      <c r="V952" s="176"/>
      <c r="W952" s="176"/>
      <c r="X952" s="176"/>
      <c r="Y952" s="176"/>
      <c r="Z952" s="176"/>
    </row>
    <row r="953">
      <c r="A953" s="249"/>
      <c r="B953" s="249"/>
      <c r="C953" s="219"/>
      <c r="D953" s="268"/>
      <c r="E953" s="251"/>
      <c r="F953" s="250"/>
      <c r="G953" s="243"/>
      <c r="H953" s="243"/>
      <c r="I953" s="243"/>
      <c r="J953" s="325"/>
      <c r="K953" s="326"/>
      <c r="L953" s="327"/>
      <c r="M953" s="321"/>
      <c r="N953" s="176"/>
      <c r="O953" s="176"/>
      <c r="P953" s="176"/>
      <c r="Q953" s="176"/>
      <c r="R953" s="176"/>
      <c r="S953" s="176"/>
      <c r="T953" s="176"/>
      <c r="U953" s="176"/>
      <c r="V953" s="176"/>
      <c r="W953" s="176"/>
      <c r="X953" s="176"/>
      <c r="Y953" s="176"/>
      <c r="Z953" s="176"/>
    </row>
    <row r="954">
      <c r="A954" s="249"/>
      <c r="B954" s="249"/>
      <c r="C954" s="219"/>
      <c r="D954" s="268"/>
      <c r="E954" s="251"/>
      <c r="F954" s="250"/>
      <c r="G954" s="243"/>
      <c r="H954" s="243"/>
      <c r="I954" s="243"/>
      <c r="J954" s="325"/>
      <c r="K954" s="326"/>
      <c r="L954" s="327"/>
      <c r="M954" s="321"/>
      <c r="N954" s="176"/>
      <c r="O954" s="176"/>
      <c r="P954" s="176"/>
      <c r="Q954" s="176"/>
      <c r="R954" s="176"/>
      <c r="S954" s="176"/>
      <c r="T954" s="176"/>
      <c r="U954" s="176"/>
      <c r="V954" s="176"/>
      <c r="W954" s="176"/>
      <c r="X954" s="176"/>
      <c r="Y954" s="176"/>
      <c r="Z954" s="176"/>
    </row>
    <row r="955">
      <c r="A955" s="249"/>
      <c r="B955" s="249"/>
      <c r="C955" s="219"/>
      <c r="D955" s="268"/>
      <c r="E955" s="251"/>
      <c r="F955" s="250"/>
      <c r="G955" s="243"/>
      <c r="H955" s="243"/>
      <c r="I955" s="243"/>
      <c r="J955" s="325"/>
      <c r="K955" s="326"/>
      <c r="L955" s="327"/>
      <c r="M955" s="321"/>
      <c r="N955" s="176"/>
      <c r="O955" s="176"/>
      <c r="P955" s="176"/>
      <c r="Q955" s="176"/>
      <c r="R955" s="176"/>
      <c r="S955" s="176"/>
      <c r="T955" s="176"/>
      <c r="U955" s="176"/>
      <c r="V955" s="176"/>
      <c r="W955" s="176"/>
      <c r="X955" s="176"/>
      <c r="Y955" s="176"/>
      <c r="Z955" s="176"/>
    </row>
    <row r="956">
      <c r="A956" s="249"/>
      <c r="B956" s="249"/>
      <c r="C956" s="219"/>
      <c r="D956" s="268"/>
      <c r="E956" s="251"/>
      <c r="F956" s="250"/>
      <c r="G956" s="243"/>
      <c r="H956" s="243"/>
      <c r="I956" s="243"/>
      <c r="J956" s="325"/>
      <c r="K956" s="326"/>
      <c r="L956" s="327"/>
      <c r="M956" s="321"/>
      <c r="N956" s="176"/>
      <c r="O956" s="176"/>
      <c r="P956" s="176"/>
      <c r="Q956" s="176"/>
      <c r="R956" s="176"/>
      <c r="S956" s="176"/>
      <c r="T956" s="176"/>
      <c r="U956" s="176"/>
      <c r="V956" s="176"/>
      <c r="W956" s="176"/>
      <c r="X956" s="176"/>
      <c r="Y956" s="176"/>
      <c r="Z956" s="176"/>
    </row>
    <row r="957">
      <c r="A957" s="249"/>
      <c r="B957" s="249"/>
      <c r="C957" s="219"/>
      <c r="D957" s="268"/>
      <c r="E957" s="251"/>
      <c r="F957" s="250"/>
      <c r="G957" s="243"/>
      <c r="H957" s="243"/>
      <c r="I957" s="243"/>
      <c r="J957" s="325"/>
      <c r="K957" s="326"/>
      <c r="L957" s="327"/>
      <c r="M957" s="321"/>
      <c r="N957" s="176"/>
      <c r="O957" s="176"/>
      <c r="P957" s="176"/>
      <c r="Q957" s="176"/>
      <c r="R957" s="176"/>
      <c r="S957" s="176"/>
      <c r="T957" s="176"/>
      <c r="U957" s="176"/>
      <c r="V957" s="176"/>
      <c r="W957" s="176"/>
      <c r="X957" s="176"/>
      <c r="Y957" s="176"/>
      <c r="Z957" s="176"/>
    </row>
    <row r="958">
      <c r="A958" s="249"/>
      <c r="B958" s="249"/>
      <c r="C958" s="219"/>
      <c r="D958" s="268"/>
      <c r="E958" s="251"/>
      <c r="F958" s="250"/>
      <c r="G958" s="243"/>
      <c r="H958" s="243"/>
      <c r="I958" s="243"/>
      <c r="J958" s="325"/>
      <c r="K958" s="326"/>
      <c r="L958" s="327"/>
      <c r="M958" s="321"/>
      <c r="N958" s="176"/>
      <c r="O958" s="176"/>
      <c r="P958" s="176"/>
      <c r="Q958" s="176"/>
      <c r="R958" s="176"/>
      <c r="S958" s="176"/>
      <c r="T958" s="176"/>
      <c r="U958" s="176"/>
      <c r="V958" s="176"/>
      <c r="W958" s="176"/>
      <c r="X958" s="176"/>
      <c r="Y958" s="176"/>
      <c r="Z958" s="176"/>
    </row>
    <row r="959">
      <c r="A959" s="249"/>
      <c r="B959" s="249"/>
      <c r="C959" s="219"/>
      <c r="D959" s="268"/>
      <c r="E959" s="251"/>
      <c r="F959" s="250"/>
      <c r="G959" s="243"/>
      <c r="H959" s="243"/>
      <c r="I959" s="243"/>
      <c r="J959" s="325"/>
      <c r="K959" s="326"/>
      <c r="L959" s="327"/>
      <c r="M959" s="321"/>
      <c r="N959" s="176"/>
      <c r="O959" s="176"/>
      <c r="P959" s="176"/>
      <c r="Q959" s="176"/>
      <c r="R959" s="176"/>
      <c r="S959" s="176"/>
      <c r="T959" s="176"/>
      <c r="U959" s="176"/>
      <c r="V959" s="176"/>
      <c r="W959" s="176"/>
      <c r="X959" s="176"/>
      <c r="Y959" s="176"/>
      <c r="Z959" s="176"/>
    </row>
    <row r="960">
      <c r="A960" s="249"/>
      <c r="B960" s="249"/>
      <c r="C960" s="219"/>
      <c r="D960" s="268"/>
      <c r="E960" s="251"/>
      <c r="F960" s="250"/>
      <c r="G960" s="243"/>
      <c r="H960" s="243"/>
      <c r="I960" s="243"/>
      <c r="J960" s="325"/>
      <c r="K960" s="326"/>
      <c r="L960" s="327"/>
      <c r="M960" s="321"/>
      <c r="N960" s="176"/>
      <c r="O960" s="176"/>
      <c r="P960" s="176"/>
      <c r="Q960" s="176"/>
      <c r="R960" s="176"/>
      <c r="S960" s="176"/>
      <c r="T960" s="176"/>
      <c r="U960" s="176"/>
      <c r="V960" s="176"/>
      <c r="W960" s="176"/>
      <c r="X960" s="176"/>
      <c r="Y960" s="176"/>
      <c r="Z960" s="176"/>
    </row>
    <row r="961">
      <c r="A961" s="249"/>
      <c r="B961" s="249"/>
      <c r="C961" s="219"/>
      <c r="D961" s="268"/>
      <c r="E961" s="251"/>
      <c r="F961" s="250"/>
      <c r="G961" s="243"/>
      <c r="H961" s="243"/>
      <c r="I961" s="243"/>
      <c r="J961" s="325"/>
      <c r="K961" s="326"/>
      <c r="L961" s="327"/>
      <c r="M961" s="321"/>
      <c r="N961" s="176"/>
      <c r="O961" s="176"/>
      <c r="P961" s="176"/>
      <c r="Q961" s="176"/>
      <c r="R961" s="176"/>
      <c r="S961" s="176"/>
      <c r="T961" s="176"/>
      <c r="U961" s="176"/>
      <c r="V961" s="176"/>
      <c r="W961" s="176"/>
      <c r="X961" s="176"/>
      <c r="Y961" s="176"/>
      <c r="Z961" s="176"/>
    </row>
    <row r="962">
      <c r="A962" s="249"/>
      <c r="B962" s="249"/>
      <c r="C962" s="219"/>
      <c r="D962" s="268"/>
      <c r="E962" s="251"/>
      <c r="F962" s="250"/>
      <c r="G962" s="243"/>
      <c r="H962" s="243"/>
      <c r="I962" s="243"/>
      <c r="J962" s="325"/>
      <c r="K962" s="326"/>
      <c r="L962" s="327"/>
      <c r="M962" s="321"/>
      <c r="N962" s="176"/>
      <c r="O962" s="176"/>
      <c r="P962" s="176"/>
      <c r="Q962" s="176"/>
      <c r="R962" s="176"/>
      <c r="S962" s="176"/>
      <c r="T962" s="176"/>
      <c r="U962" s="176"/>
      <c r="V962" s="176"/>
      <c r="W962" s="176"/>
      <c r="X962" s="176"/>
      <c r="Y962" s="176"/>
      <c r="Z962" s="176"/>
    </row>
    <row r="963">
      <c r="A963" s="249"/>
      <c r="B963" s="249"/>
      <c r="C963" s="219"/>
      <c r="D963" s="268"/>
      <c r="E963" s="251"/>
      <c r="F963" s="250"/>
      <c r="G963" s="243"/>
      <c r="H963" s="243"/>
      <c r="I963" s="243"/>
      <c r="J963" s="325"/>
      <c r="K963" s="326"/>
      <c r="L963" s="327"/>
      <c r="M963" s="321"/>
      <c r="N963" s="176"/>
      <c r="O963" s="176"/>
      <c r="P963" s="176"/>
      <c r="Q963" s="176"/>
      <c r="R963" s="176"/>
      <c r="S963" s="176"/>
      <c r="T963" s="176"/>
      <c r="U963" s="176"/>
      <c r="V963" s="176"/>
      <c r="W963" s="176"/>
      <c r="X963" s="176"/>
      <c r="Y963" s="176"/>
      <c r="Z963" s="176"/>
    </row>
    <row r="964">
      <c r="A964" s="249"/>
      <c r="B964" s="249"/>
      <c r="C964" s="219"/>
      <c r="D964" s="268"/>
      <c r="E964" s="251"/>
      <c r="F964" s="250"/>
      <c r="G964" s="243"/>
      <c r="H964" s="243"/>
      <c r="I964" s="243"/>
      <c r="J964" s="325"/>
      <c r="K964" s="326"/>
      <c r="L964" s="327"/>
      <c r="M964" s="321"/>
      <c r="N964" s="176"/>
      <c r="O964" s="176"/>
      <c r="P964" s="176"/>
      <c r="Q964" s="176"/>
      <c r="R964" s="176"/>
      <c r="S964" s="176"/>
      <c r="T964" s="176"/>
      <c r="U964" s="176"/>
      <c r="V964" s="176"/>
      <c r="W964" s="176"/>
      <c r="X964" s="176"/>
      <c r="Y964" s="176"/>
      <c r="Z964" s="176"/>
    </row>
    <row r="965">
      <c r="A965" s="249"/>
      <c r="B965" s="249"/>
      <c r="C965" s="219"/>
      <c r="D965" s="268"/>
      <c r="E965" s="251"/>
      <c r="F965" s="250"/>
      <c r="G965" s="243"/>
      <c r="H965" s="243"/>
      <c r="I965" s="243"/>
      <c r="J965" s="325"/>
      <c r="K965" s="326"/>
      <c r="L965" s="327"/>
      <c r="M965" s="321"/>
      <c r="N965" s="176"/>
      <c r="O965" s="176"/>
      <c r="P965" s="176"/>
      <c r="Q965" s="176"/>
      <c r="R965" s="176"/>
      <c r="S965" s="176"/>
      <c r="T965" s="176"/>
      <c r="U965" s="176"/>
      <c r="V965" s="176"/>
      <c r="W965" s="176"/>
      <c r="X965" s="176"/>
      <c r="Y965" s="176"/>
      <c r="Z965" s="176"/>
    </row>
    <row r="966">
      <c r="A966" s="249"/>
      <c r="B966" s="249"/>
      <c r="C966" s="219"/>
      <c r="D966" s="268"/>
      <c r="E966" s="251"/>
      <c r="F966" s="250"/>
      <c r="G966" s="243"/>
      <c r="H966" s="243"/>
      <c r="I966" s="243"/>
      <c r="J966" s="325"/>
      <c r="K966" s="326"/>
      <c r="L966" s="327"/>
      <c r="M966" s="321"/>
      <c r="N966" s="176"/>
      <c r="O966" s="176"/>
      <c r="P966" s="176"/>
      <c r="Q966" s="176"/>
      <c r="R966" s="176"/>
      <c r="S966" s="176"/>
      <c r="T966" s="176"/>
      <c r="U966" s="176"/>
      <c r="V966" s="176"/>
      <c r="W966" s="176"/>
      <c r="X966" s="176"/>
      <c r="Y966" s="176"/>
      <c r="Z966" s="176"/>
    </row>
    <row r="967">
      <c r="A967" s="249"/>
      <c r="B967" s="249"/>
      <c r="C967" s="219"/>
      <c r="D967" s="268"/>
      <c r="E967" s="251"/>
      <c r="F967" s="250"/>
      <c r="G967" s="243"/>
      <c r="H967" s="243"/>
      <c r="I967" s="243"/>
      <c r="J967" s="325"/>
      <c r="K967" s="326"/>
      <c r="L967" s="327"/>
      <c r="M967" s="321"/>
      <c r="N967" s="176"/>
      <c r="O967" s="176"/>
      <c r="P967" s="176"/>
      <c r="Q967" s="176"/>
      <c r="R967" s="176"/>
      <c r="S967" s="176"/>
      <c r="T967" s="176"/>
      <c r="U967" s="176"/>
      <c r="V967" s="176"/>
      <c r="W967" s="176"/>
      <c r="X967" s="176"/>
      <c r="Y967" s="176"/>
      <c r="Z967" s="176"/>
    </row>
    <row r="968">
      <c r="A968" s="249"/>
      <c r="B968" s="249"/>
      <c r="C968" s="219"/>
      <c r="D968" s="268"/>
      <c r="E968" s="251"/>
      <c r="F968" s="250"/>
      <c r="G968" s="243"/>
      <c r="H968" s="243"/>
      <c r="I968" s="243"/>
      <c r="J968" s="325"/>
      <c r="K968" s="326"/>
      <c r="L968" s="327"/>
      <c r="M968" s="321"/>
      <c r="N968" s="176"/>
      <c r="O968" s="176"/>
      <c r="P968" s="176"/>
      <c r="Q968" s="176"/>
      <c r="R968" s="176"/>
      <c r="S968" s="176"/>
      <c r="T968" s="176"/>
      <c r="U968" s="176"/>
      <c r="V968" s="176"/>
      <c r="W968" s="176"/>
      <c r="X968" s="176"/>
      <c r="Y968" s="176"/>
      <c r="Z968" s="176"/>
    </row>
    <row r="969">
      <c r="A969" s="249"/>
      <c r="B969" s="249"/>
      <c r="C969" s="219"/>
      <c r="D969" s="268"/>
      <c r="E969" s="251"/>
      <c r="F969" s="250"/>
      <c r="G969" s="243"/>
      <c r="H969" s="243"/>
      <c r="I969" s="243"/>
      <c r="J969" s="325"/>
      <c r="K969" s="326"/>
      <c r="L969" s="327"/>
      <c r="M969" s="321"/>
      <c r="N969" s="176"/>
      <c r="O969" s="176"/>
      <c r="P969" s="176"/>
      <c r="Q969" s="176"/>
      <c r="R969" s="176"/>
      <c r="S969" s="176"/>
      <c r="T969" s="176"/>
      <c r="U969" s="176"/>
      <c r="V969" s="176"/>
      <c r="W969" s="176"/>
      <c r="X969" s="176"/>
      <c r="Y969" s="176"/>
      <c r="Z969" s="176"/>
    </row>
    <row r="970">
      <c r="A970" s="249"/>
      <c r="B970" s="249"/>
      <c r="C970" s="219"/>
      <c r="D970" s="268"/>
      <c r="E970" s="251"/>
      <c r="F970" s="250"/>
      <c r="G970" s="243"/>
      <c r="H970" s="243"/>
      <c r="I970" s="243"/>
      <c r="J970" s="325"/>
      <c r="K970" s="326"/>
      <c r="L970" s="327"/>
      <c r="M970" s="321"/>
      <c r="N970" s="176"/>
      <c r="O970" s="176"/>
      <c r="P970" s="176"/>
      <c r="Q970" s="176"/>
      <c r="R970" s="176"/>
      <c r="S970" s="176"/>
      <c r="T970" s="176"/>
      <c r="U970" s="176"/>
      <c r="V970" s="176"/>
      <c r="W970" s="176"/>
      <c r="X970" s="176"/>
      <c r="Y970" s="176"/>
      <c r="Z970" s="176"/>
    </row>
    <row r="971">
      <c r="A971" s="249"/>
      <c r="B971" s="249"/>
      <c r="C971" s="219"/>
      <c r="D971" s="268"/>
      <c r="E971" s="251"/>
      <c r="F971" s="250"/>
      <c r="G971" s="243"/>
      <c r="H971" s="243"/>
      <c r="I971" s="243"/>
      <c r="J971" s="325"/>
      <c r="K971" s="326"/>
      <c r="L971" s="327"/>
      <c r="M971" s="321"/>
      <c r="N971" s="176"/>
      <c r="O971" s="176"/>
      <c r="P971" s="176"/>
      <c r="Q971" s="176"/>
      <c r="R971" s="176"/>
      <c r="S971" s="176"/>
      <c r="T971" s="176"/>
      <c r="U971" s="176"/>
      <c r="V971" s="176"/>
      <c r="W971" s="176"/>
      <c r="X971" s="176"/>
      <c r="Y971" s="176"/>
      <c r="Z971" s="176"/>
    </row>
    <row r="972">
      <c r="A972" s="249"/>
      <c r="B972" s="249"/>
      <c r="C972" s="219"/>
      <c r="D972" s="268"/>
      <c r="E972" s="251"/>
      <c r="F972" s="250"/>
      <c r="G972" s="243"/>
      <c r="H972" s="243"/>
      <c r="I972" s="243"/>
      <c r="J972" s="325"/>
      <c r="K972" s="326"/>
      <c r="L972" s="327"/>
      <c r="M972" s="321"/>
      <c r="N972" s="176"/>
      <c r="O972" s="176"/>
      <c r="P972" s="176"/>
      <c r="Q972" s="176"/>
      <c r="R972" s="176"/>
      <c r="S972" s="176"/>
      <c r="T972" s="176"/>
      <c r="U972" s="176"/>
      <c r="V972" s="176"/>
      <c r="W972" s="176"/>
      <c r="X972" s="176"/>
      <c r="Y972" s="176"/>
      <c r="Z972" s="176"/>
    </row>
    <row r="973">
      <c r="A973" s="249"/>
      <c r="B973" s="249"/>
      <c r="C973" s="219"/>
      <c r="D973" s="268"/>
      <c r="E973" s="251"/>
      <c r="F973" s="250"/>
      <c r="G973" s="243"/>
      <c r="H973" s="243"/>
      <c r="I973" s="243"/>
      <c r="J973" s="325"/>
      <c r="K973" s="326"/>
      <c r="L973" s="327"/>
      <c r="M973" s="321"/>
      <c r="N973" s="176"/>
      <c r="O973" s="176"/>
      <c r="P973" s="176"/>
      <c r="Q973" s="176"/>
      <c r="R973" s="176"/>
      <c r="S973" s="176"/>
      <c r="T973" s="176"/>
      <c r="U973" s="176"/>
      <c r="V973" s="176"/>
      <c r="W973" s="176"/>
      <c r="X973" s="176"/>
      <c r="Y973" s="176"/>
      <c r="Z973" s="176"/>
    </row>
    <row r="974">
      <c r="A974" s="249"/>
      <c r="B974" s="249"/>
      <c r="C974" s="219"/>
      <c r="D974" s="268"/>
      <c r="E974" s="251"/>
      <c r="F974" s="250"/>
      <c r="G974" s="243"/>
      <c r="H974" s="243"/>
      <c r="I974" s="243"/>
      <c r="J974" s="325"/>
      <c r="K974" s="326"/>
      <c r="L974" s="327"/>
      <c r="M974" s="321"/>
      <c r="N974" s="176"/>
      <c r="O974" s="176"/>
      <c r="P974" s="176"/>
      <c r="Q974" s="176"/>
      <c r="R974" s="176"/>
      <c r="S974" s="176"/>
      <c r="T974" s="176"/>
      <c r="U974" s="176"/>
      <c r="V974" s="176"/>
      <c r="W974" s="176"/>
      <c r="X974" s="176"/>
      <c r="Y974" s="176"/>
      <c r="Z974" s="176"/>
    </row>
    <row r="975">
      <c r="A975" s="249"/>
      <c r="B975" s="249"/>
      <c r="C975" s="219"/>
      <c r="D975" s="268"/>
      <c r="E975" s="251"/>
      <c r="F975" s="250"/>
      <c r="G975" s="243"/>
      <c r="H975" s="243"/>
      <c r="I975" s="243"/>
      <c r="J975" s="325"/>
      <c r="K975" s="326"/>
      <c r="L975" s="327"/>
      <c r="M975" s="321"/>
      <c r="N975" s="176"/>
      <c r="O975" s="176"/>
      <c r="P975" s="176"/>
      <c r="Q975" s="176"/>
      <c r="R975" s="176"/>
      <c r="S975" s="176"/>
      <c r="T975" s="176"/>
      <c r="U975" s="176"/>
      <c r="V975" s="176"/>
      <c r="W975" s="176"/>
      <c r="X975" s="176"/>
      <c r="Y975" s="176"/>
      <c r="Z975" s="176"/>
    </row>
    <row r="976">
      <c r="A976" s="249"/>
      <c r="B976" s="249"/>
      <c r="C976" s="219"/>
      <c r="D976" s="268"/>
      <c r="E976" s="251"/>
      <c r="F976" s="250"/>
      <c r="G976" s="243"/>
      <c r="H976" s="243"/>
      <c r="I976" s="243"/>
      <c r="J976" s="325"/>
      <c r="K976" s="326"/>
      <c r="L976" s="327"/>
      <c r="M976" s="321"/>
      <c r="N976" s="176"/>
      <c r="O976" s="176"/>
      <c r="P976" s="176"/>
      <c r="Q976" s="176"/>
      <c r="R976" s="176"/>
      <c r="S976" s="176"/>
      <c r="T976" s="176"/>
      <c r="U976" s="176"/>
      <c r="V976" s="176"/>
      <c r="W976" s="176"/>
      <c r="X976" s="176"/>
      <c r="Y976" s="176"/>
      <c r="Z976" s="176"/>
    </row>
    <row r="977">
      <c r="A977" s="249"/>
      <c r="B977" s="249"/>
      <c r="C977" s="219"/>
      <c r="D977" s="268"/>
      <c r="E977" s="251"/>
      <c r="F977" s="250"/>
      <c r="G977" s="243"/>
      <c r="H977" s="243"/>
      <c r="I977" s="243"/>
      <c r="J977" s="325"/>
      <c r="K977" s="326"/>
      <c r="L977" s="327"/>
      <c r="M977" s="321"/>
      <c r="N977" s="176"/>
      <c r="O977" s="176"/>
      <c r="P977" s="176"/>
      <c r="Q977" s="176"/>
      <c r="R977" s="176"/>
      <c r="S977" s="176"/>
      <c r="T977" s="176"/>
      <c r="U977" s="176"/>
      <c r="V977" s="176"/>
      <c r="W977" s="176"/>
      <c r="X977" s="176"/>
      <c r="Y977" s="176"/>
      <c r="Z977" s="176"/>
    </row>
    <row r="978">
      <c r="A978" s="249"/>
      <c r="B978" s="249"/>
      <c r="C978" s="219"/>
      <c r="D978" s="268"/>
      <c r="E978" s="251"/>
      <c r="F978" s="250"/>
      <c r="G978" s="243"/>
      <c r="H978" s="243"/>
      <c r="I978" s="243"/>
      <c r="J978" s="325"/>
      <c r="K978" s="326"/>
      <c r="L978" s="327"/>
      <c r="M978" s="321"/>
      <c r="N978" s="176"/>
      <c r="O978" s="176"/>
      <c r="P978" s="176"/>
      <c r="Q978" s="176"/>
      <c r="R978" s="176"/>
      <c r="S978" s="176"/>
      <c r="T978" s="176"/>
      <c r="U978" s="176"/>
      <c r="V978" s="176"/>
      <c r="W978" s="176"/>
      <c r="X978" s="176"/>
      <c r="Y978" s="176"/>
      <c r="Z978" s="176"/>
    </row>
    <row r="979">
      <c r="A979" s="249"/>
      <c r="B979" s="249"/>
      <c r="C979" s="219"/>
      <c r="D979" s="268"/>
      <c r="E979" s="251"/>
      <c r="F979" s="250"/>
      <c r="G979" s="243"/>
      <c r="H979" s="243"/>
      <c r="I979" s="243"/>
      <c r="J979" s="325"/>
      <c r="K979" s="326"/>
      <c r="L979" s="327"/>
      <c r="M979" s="321"/>
      <c r="N979" s="176"/>
      <c r="O979" s="176"/>
      <c r="P979" s="176"/>
      <c r="Q979" s="176"/>
      <c r="R979" s="176"/>
      <c r="S979" s="176"/>
      <c r="T979" s="176"/>
      <c r="U979" s="176"/>
      <c r="V979" s="176"/>
      <c r="W979" s="176"/>
      <c r="X979" s="176"/>
      <c r="Y979" s="176"/>
      <c r="Z979" s="176"/>
    </row>
    <row r="980">
      <c r="A980" s="249"/>
      <c r="B980" s="249"/>
      <c r="C980" s="219"/>
      <c r="D980" s="268"/>
      <c r="E980" s="251"/>
      <c r="F980" s="250"/>
      <c r="G980" s="243"/>
      <c r="H980" s="243"/>
      <c r="I980" s="243"/>
      <c r="J980" s="325"/>
      <c r="K980" s="326"/>
      <c r="L980" s="327"/>
      <c r="M980" s="321"/>
      <c r="N980" s="176"/>
      <c r="O980" s="176"/>
      <c r="P980" s="176"/>
      <c r="Q980" s="176"/>
      <c r="R980" s="176"/>
      <c r="S980" s="176"/>
      <c r="T980" s="176"/>
      <c r="U980" s="176"/>
      <c r="V980" s="176"/>
      <c r="W980" s="176"/>
      <c r="X980" s="176"/>
      <c r="Y980" s="176"/>
      <c r="Z980" s="176"/>
    </row>
    <row r="981">
      <c r="A981" s="249"/>
      <c r="B981" s="249"/>
      <c r="C981" s="219"/>
      <c r="D981" s="268"/>
      <c r="E981" s="251"/>
      <c r="F981" s="250"/>
      <c r="G981" s="243"/>
      <c r="H981" s="243"/>
      <c r="I981" s="243"/>
      <c r="J981" s="325"/>
      <c r="K981" s="326"/>
      <c r="L981" s="327"/>
      <c r="M981" s="321"/>
      <c r="N981" s="176"/>
      <c r="O981" s="176"/>
      <c r="P981" s="176"/>
      <c r="Q981" s="176"/>
      <c r="R981" s="176"/>
      <c r="S981" s="176"/>
      <c r="T981" s="176"/>
      <c r="U981" s="176"/>
      <c r="V981" s="176"/>
      <c r="W981" s="176"/>
      <c r="X981" s="176"/>
      <c r="Y981" s="176"/>
      <c r="Z981" s="176"/>
    </row>
    <row r="982">
      <c r="A982" s="249"/>
      <c r="B982" s="249"/>
      <c r="C982" s="219"/>
      <c r="D982" s="268"/>
      <c r="E982" s="251"/>
      <c r="F982" s="250"/>
      <c r="G982" s="243"/>
      <c r="H982" s="243"/>
      <c r="I982" s="243"/>
      <c r="J982" s="325"/>
      <c r="K982" s="326"/>
      <c r="L982" s="327"/>
      <c r="M982" s="321"/>
      <c r="N982" s="176"/>
      <c r="O982" s="176"/>
      <c r="P982" s="176"/>
      <c r="Q982" s="176"/>
      <c r="R982" s="176"/>
      <c r="S982" s="176"/>
      <c r="T982" s="176"/>
      <c r="U982" s="176"/>
      <c r="V982" s="176"/>
      <c r="W982" s="176"/>
      <c r="X982" s="176"/>
      <c r="Y982" s="176"/>
      <c r="Z982" s="176"/>
    </row>
    <row r="983">
      <c r="A983" s="249"/>
      <c r="B983" s="249"/>
      <c r="C983" s="219"/>
      <c r="D983" s="268"/>
      <c r="E983" s="251"/>
      <c r="F983" s="250"/>
      <c r="G983" s="243"/>
      <c r="H983" s="243"/>
      <c r="I983" s="243"/>
      <c r="J983" s="325"/>
      <c r="K983" s="326"/>
      <c r="L983" s="327"/>
      <c r="M983" s="321"/>
      <c r="N983" s="176"/>
      <c r="O983" s="176"/>
      <c r="P983" s="176"/>
      <c r="Q983" s="176"/>
      <c r="R983" s="176"/>
      <c r="S983" s="176"/>
      <c r="T983" s="176"/>
      <c r="U983" s="176"/>
      <c r="V983" s="176"/>
      <c r="W983" s="176"/>
      <c r="X983" s="176"/>
      <c r="Y983" s="176"/>
      <c r="Z983" s="176"/>
    </row>
    <row r="984">
      <c r="A984" s="249"/>
      <c r="B984" s="249"/>
      <c r="C984" s="219"/>
      <c r="D984" s="268"/>
      <c r="E984" s="251"/>
      <c r="F984" s="250"/>
      <c r="G984" s="243"/>
      <c r="H984" s="243"/>
      <c r="I984" s="243"/>
      <c r="J984" s="325"/>
      <c r="K984" s="326"/>
      <c r="L984" s="327"/>
      <c r="M984" s="321"/>
      <c r="N984" s="176"/>
      <c r="O984" s="176"/>
      <c r="P984" s="176"/>
      <c r="Q984" s="176"/>
      <c r="R984" s="176"/>
      <c r="S984" s="176"/>
      <c r="T984" s="176"/>
      <c r="U984" s="176"/>
      <c r="V984" s="176"/>
      <c r="W984" s="176"/>
      <c r="X984" s="176"/>
      <c r="Y984" s="176"/>
      <c r="Z984" s="176"/>
    </row>
    <row r="985">
      <c r="A985" s="249"/>
      <c r="B985" s="249"/>
      <c r="C985" s="219"/>
      <c r="D985" s="268"/>
      <c r="E985" s="251"/>
      <c r="F985" s="250"/>
      <c r="G985" s="243"/>
      <c r="H985" s="243"/>
      <c r="I985" s="243"/>
      <c r="J985" s="325"/>
      <c r="K985" s="326"/>
      <c r="L985" s="327"/>
      <c r="M985" s="321"/>
      <c r="N985" s="176"/>
      <c r="O985" s="176"/>
      <c r="P985" s="176"/>
      <c r="Q985" s="176"/>
      <c r="R985" s="176"/>
      <c r="S985" s="176"/>
      <c r="T985" s="176"/>
      <c r="U985" s="176"/>
      <c r="V985" s="176"/>
      <c r="W985" s="176"/>
      <c r="X985" s="176"/>
      <c r="Y985" s="176"/>
      <c r="Z985" s="176"/>
    </row>
    <row r="986">
      <c r="A986" s="249"/>
      <c r="B986" s="249"/>
      <c r="C986" s="219"/>
      <c r="D986" s="268"/>
      <c r="E986" s="251"/>
      <c r="F986" s="250"/>
      <c r="G986" s="243"/>
      <c r="H986" s="243"/>
      <c r="I986" s="243"/>
      <c r="J986" s="325"/>
      <c r="K986" s="326"/>
      <c r="L986" s="327"/>
      <c r="M986" s="321"/>
      <c r="N986" s="176"/>
      <c r="O986" s="176"/>
      <c r="P986" s="176"/>
      <c r="Q986" s="176"/>
      <c r="R986" s="176"/>
      <c r="S986" s="176"/>
      <c r="T986" s="176"/>
      <c r="U986" s="176"/>
      <c r="V986" s="176"/>
      <c r="W986" s="176"/>
      <c r="X986" s="176"/>
      <c r="Y986" s="176"/>
      <c r="Z986" s="176"/>
    </row>
    <row r="987">
      <c r="A987" s="249"/>
      <c r="B987" s="249"/>
      <c r="C987" s="219"/>
      <c r="D987" s="268"/>
      <c r="E987" s="251"/>
      <c r="F987" s="250"/>
      <c r="G987" s="243"/>
      <c r="H987" s="243"/>
      <c r="I987" s="243"/>
      <c r="J987" s="325"/>
      <c r="K987" s="326"/>
      <c r="L987" s="327"/>
      <c r="M987" s="321"/>
      <c r="N987" s="176"/>
      <c r="O987" s="176"/>
      <c r="P987" s="176"/>
      <c r="Q987" s="176"/>
      <c r="R987" s="176"/>
      <c r="S987" s="176"/>
      <c r="T987" s="176"/>
      <c r="U987" s="176"/>
      <c r="V987" s="176"/>
      <c r="W987" s="176"/>
      <c r="X987" s="176"/>
      <c r="Y987" s="176"/>
      <c r="Z987" s="176"/>
    </row>
    <row r="988">
      <c r="A988" s="249"/>
      <c r="B988" s="249"/>
      <c r="C988" s="219"/>
      <c r="D988" s="268"/>
      <c r="E988" s="251"/>
      <c r="F988" s="250"/>
      <c r="G988" s="243"/>
      <c r="H988" s="243"/>
      <c r="I988" s="243"/>
      <c r="J988" s="325"/>
      <c r="K988" s="326"/>
      <c r="L988" s="327"/>
      <c r="M988" s="321"/>
      <c r="N988" s="176"/>
      <c r="O988" s="176"/>
      <c r="P988" s="176"/>
      <c r="Q988" s="176"/>
      <c r="R988" s="176"/>
      <c r="S988" s="176"/>
      <c r="T988" s="176"/>
      <c r="U988" s="176"/>
      <c r="V988" s="176"/>
      <c r="W988" s="176"/>
      <c r="X988" s="176"/>
      <c r="Y988" s="176"/>
      <c r="Z988" s="176"/>
    </row>
    <row r="989">
      <c r="A989" s="249"/>
      <c r="B989" s="249"/>
      <c r="C989" s="219"/>
      <c r="D989" s="268"/>
      <c r="E989" s="251"/>
      <c r="F989" s="250"/>
      <c r="G989" s="243"/>
      <c r="H989" s="243"/>
      <c r="I989" s="243"/>
      <c r="J989" s="325"/>
      <c r="K989" s="326"/>
      <c r="L989" s="327"/>
      <c r="M989" s="321"/>
      <c r="N989" s="176"/>
      <c r="O989" s="176"/>
      <c r="P989" s="176"/>
      <c r="Q989" s="176"/>
      <c r="R989" s="176"/>
      <c r="S989" s="176"/>
      <c r="T989" s="176"/>
      <c r="U989" s="176"/>
      <c r="V989" s="176"/>
      <c r="W989" s="176"/>
      <c r="X989" s="176"/>
      <c r="Y989" s="176"/>
      <c r="Z989" s="176"/>
    </row>
    <row r="990">
      <c r="A990" s="249"/>
      <c r="B990" s="249"/>
      <c r="C990" s="219"/>
      <c r="D990" s="268"/>
      <c r="E990" s="251"/>
      <c r="F990" s="250"/>
      <c r="G990" s="243"/>
      <c r="H990" s="243"/>
      <c r="I990" s="243"/>
      <c r="J990" s="325"/>
      <c r="K990" s="326"/>
      <c r="L990" s="327"/>
      <c r="M990" s="321"/>
      <c r="N990" s="176"/>
      <c r="O990" s="176"/>
      <c r="P990" s="176"/>
      <c r="Q990" s="176"/>
      <c r="R990" s="176"/>
      <c r="S990" s="176"/>
      <c r="T990" s="176"/>
      <c r="U990" s="176"/>
      <c r="V990" s="176"/>
      <c r="W990" s="176"/>
      <c r="X990" s="176"/>
      <c r="Y990" s="176"/>
      <c r="Z990" s="176"/>
    </row>
    <row r="991">
      <c r="A991" s="249"/>
      <c r="B991" s="249"/>
      <c r="C991" s="219"/>
      <c r="D991" s="268"/>
      <c r="E991" s="251"/>
      <c r="F991" s="250"/>
      <c r="G991" s="243"/>
      <c r="H991" s="243"/>
      <c r="I991" s="243"/>
      <c r="J991" s="325"/>
      <c r="K991" s="326"/>
      <c r="L991" s="327"/>
      <c r="M991" s="321"/>
      <c r="N991" s="176"/>
      <c r="O991" s="176"/>
      <c r="P991" s="176"/>
      <c r="Q991" s="176"/>
      <c r="R991" s="176"/>
      <c r="S991" s="176"/>
      <c r="T991" s="176"/>
      <c r="U991" s="176"/>
      <c r="V991" s="176"/>
      <c r="W991" s="176"/>
      <c r="X991" s="176"/>
      <c r="Y991" s="176"/>
      <c r="Z991" s="176"/>
    </row>
    <row r="992">
      <c r="A992" s="249"/>
      <c r="B992" s="249"/>
      <c r="C992" s="219"/>
      <c r="D992" s="268"/>
      <c r="E992" s="251"/>
      <c r="F992" s="250"/>
      <c r="G992" s="243"/>
      <c r="H992" s="243"/>
      <c r="I992" s="243"/>
      <c r="J992" s="325"/>
      <c r="K992" s="326"/>
      <c r="L992" s="327"/>
      <c r="M992" s="321"/>
      <c r="N992" s="176"/>
      <c r="O992" s="176"/>
      <c r="P992" s="176"/>
      <c r="Q992" s="176"/>
      <c r="R992" s="176"/>
      <c r="S992" s="176"/>
      <c r="T992" s="176"/>
      <c r="U992" s="176"/>
      <c r="V992" s="176"/>
      <c r="W992" s="176"/>
      <c r="X992" s="176"/>
      <c r="Y992" s="176"/>
      <c r="Z992" s="176"/>
    </row>
    <row r="993">
      <c r="A993" s="249"/>
      <c r="B993" s="249"/>
      <c r="C993" s="219"/>
      <c r="D993" s="268"/>
      <c r="E993" s="251"/>
      <c r="F993" s="250"/>
      <c r="G993" s="243"/>
      <c r="H993" s="243"/>
      <c r="I993" s="243"/>
      <c r="J993" s="325"/>
      <c r="K993" s="326"/>
      <c r="L993" s="327"/>
      <c r="M993" s="321"/>
      <c r="N993" s="176"/>
      <c r="O993" s="176"/>
      <c r="P993" s="176"/>
      <c r="Q993" s="176"/>
      <c r="R993" s="176"/>
      <c r="S993" s="176"/>
      <c r="T993" s="176"/>
      <c r="U993" s="176"/>
      <c r="V993" s="176"/>
      <c r="W993" s="176"/>
      <c r="X993" s="176"/>
      <c r="Y993" s="176"/>
      <c r="Z993" s="176"/>
    </row>
    <row r="994">
      <c r="A994" s="249"/>
      <c r="B994" s="249"/>
      <c r="C994" s="219"/>
      <c r="D994" s="268"/>
      <c r="E994" s="251"/>
      <c r="F994" s="250"/>
      <c r="G994" s="243"/>
      <c r="H994" s="243"/>
      <c r="I994" s="243"/>
      <c r="J994" s="325"/>
      <c r="K994" s="326"/>
      <c r="L994" s="327"/>
      <c r="M994" s="321"/>
      <c r="N994" s="176"/>
      <c r="O994" s="176"/>
      <c r="P994" s="176"/>
      <c r="Q994" s="176"/>
      <c r="R994" s="176"/>
      <c r="S994" s="176"/>
      <c r="T994" s="176"/>
      <c r="U994" s="176"/>
      <c r="V994" s="176"/>
      <c r="W994" s="176"/>
      <c r="X994" s="176"/>
      <c r="Y994" s="176"/>
      <c r="Z994" s="176"/>
    </row>
    <row r="995">
      <c r="A995" s="249"/>
      <c r="B995" s="249"/>
      <c r="C995" s="219"/>
      <c r="D995" s="268"/>
      <c r="E995" s="251"/>
      <c r="F995" s="250"/>
      <c r="G995" s="243"/>
      <c r="H995" s="243"/>
      <c r="I995" s="243"/>
      <c r="J995" s="325"/>
      <c r="K995" s="326"/>
      <c r="L995" s="327"/>
      <c r="M995" s="321"/>
      <c r="N995" s="176"/>
      <c r="O995" s="176"/>
      <c r="P995" s="176"/>
      <c r="Q995" s="176"/>
      <c r="R995" s="176"/>
      <c r="S995" s="176"/>
      <c r="T995" s="176"/>
      <c r="U995" s="176"/>
      <c r="V995" s="176"/>
      <c r="W995" s="176"/>
      <c r="X995" s="176"/>
      <c r="Y995" s="176"/>
      <c r="Z995" s="176"/>
    </row>
    <row r="996">
      <c r="A996" s="249"/>
      <c r="B996" s="249"/>
      <c r="C996" s="219"/>
      <c r="D996" s="268"/>
      <c r="E996" s="251"/>
      <c r="F996" s="250"/>
      <c r="G996" s="243"/>
      <c r="H996" s="243"/>
      <c r="I996" s="243"/>
      <c r="J996" s="325"/>
      <c r="K996" s="326"/>
      <c r="L996" s="327"/>
      <c r="M996" s="321"/>
      <c r="N996" s="176"/>
      <c r="O996" s="176"/>
      <c r="P996" s="176"/>
      <c r="Q996" s="176"/>
      <c r="R996" s="176"/>
      <c r="S996" s="176"/>
      <c r="T996" s="176"/>
      <c r="U996" s="176"/>
      <c r="V996" s="176"/>
      <c r="W996" s="176"/>
      <c r="X996" s="176"/>
      <c r="Y996" s="176"/>
      <c r="Z996" s="176"/>
    </row>
    <row r="997">
      <c r="A997" s="249"/>
      <c r="B997" s="249"/>
      <c r="C997" s="219"/>
      <c r="D997" s="268"/>
      <c r="E997" s="251"/>
      <c r="F997" s="250"/>
      <c r="G997" s="243"/>
      <c r="H997" s="243"/>
      <c r="I997" s="243"/>
      <c r="J997" s="325"/>
      <c r="K997" s="326"/>
      <c r="L997" s="327"/>
      <c r="M997" s="321"/>
      <c r="N997" s="176"/>
      <c r="O997" s="176"/>
      <c r="P997" s="176"/>
      <c r="Q997" s="176"/>
      <c r="R997" s="176"/>
      <c r="S997" s="176"/>
      <c r="T997" s="176"/>
      <c r="U997" s="176"/>
      <c r="V997" s="176"/>
      <c r="W997" s="176"/>
      <c r="X997" s="176"/>
      <c r="Y997" s="176"/>
      <c r="Z997" s="176"/>
    </row>
    <row r="998">
      <c r="A998" s="249"/>
      <c r="B998" s="249"/>
      <c r="C998" s="219"/>
      <c r="D998" s="268"/>
      <c r="E998" s="251"/>
      <c r="F998" s="250"/>
      <c r="G998" s="243"/>
      <c r="H998" s="243"/>
      <c r="I998" s="243"/>
      <c r="J998" s="325"/>
      <c r="K998" s="326"/>
      <c r="L998" s="327"/>
      <c r="M998" s="321"/>
      <c r="N998" s="176"/>
      <c r="O998" s="176"/>
      <c r="P998" s="176"/>
      <c r="Q998" s="176"/>
      <c r="R998" s="176"/>
      <c r="S998" s="176"/>
      <c r="T998" s="176"/>
      <c r="U998" s="176"/>
      <c r="V998" s="176"/>
      <c r="W998" s="176"/>
      <c r="X998" s="176"/>
      <c r="Y998" s="176"/>
      <c r="Z998" s="176"/>
    </row>
    <row r="999">
      <c r="A999" s="249"/>
      <c r="B999" s="249"/>
      <c r="C999" s="219"/>
      <c r="D999" s="268"/>
      <c r="E999" s="251"/>
      <c r="F999" s="250"/>
      <c r="G999" s="243"/>
      <c r="H999" s="243"/>
      <c r="I999" s="243"/>
      <c r="J999" s="325"/>
      <c r="K999" s="326"/>
      <c r="L999" s="327"/>
      <c r="M999" s="321"/>
      <c r="N999" s="176"/>
      <c r="O999" s="176"/>
      <c r="P999" s="176"/>
      <c r="Q999" s="176"/>
      <c r="R999" s="176"/>
      <c r="S999" s="176"/>
      <c r="T999" s="176"/>
      <c r="U999" s="176"/>
      <c r="V999" s="176"/>
      <c r="W999" s="176"/>
      <c r="X999" s="176"/>
      <c r="Y999" s="176"/>
      <c r="Z999" s="176"/>
    </row>
    <row r="1000">
      <c r="A1000" s="249"/>
      <c r="B1000" s="249"/>
      <c r="C1000" s="219"/>
      <c r="D1000" s="268"/>
      <c r="E1000" s="251"/>
      <c r="F1000" s="250"/>
      <c r="G1000" s="243"/>
      <c r="H1000" s="243"/>
      <c r="I1000" s="243"/>
      <c r="J1000" s="325"/>
      <c r="K1000" s="326"/>
      <c r="L1000" s="327"/>
      <c r="M1000" s="321"/>
      <c r="N1000" s="176"/>
      <c r="O1000" s="176"/>
      <c r="P1000" s="176"/>
      <c r="Q1000" s="176"/>
      <c r="R1000" s="176"/>
      <c r="S1000" s="176"/>
      <c r="T1000" s="176"/>
      <c r="U1000" s="176"/>
      <c r="V1000" s="176"/>
      <c r="W1000" s="176"/>
      <c r="X1000" s="176"/>
      <c r="Y1000" s="176"/>
      <c r="Z1000" s="176"/>
    </row>
    <row r="1001">
      <c r="A1001" s="249"/>
      <c r="B1001" s="249"/>
      <c r="C1001" s="219"/>
      <c r="D1001" s="268"/>
      <c r="E1001" s="251"/>
      <c r="F1001" s="250"/>
      <c r="G1001" s="243"/>
      <c r="H1001" s="243"/>
      <c r="I1001" s="243"/>
      <c r="J1001" s="325"/>
      <c r="K1001" s="326"/>
      <c r="L1001" s="327"/>
      <c r="M1001" s="321"/>
      <c r="N1001" s="176"/>
      <c r="O1001" s="176"/>
      <c r="P1001" s="176"/>
      <c r="Q1001" s="176"/>
      <c r="R1001" s="176"/>
      <c r="S1001" s="176"/>
      <c r="T1001" s="176"/>
      <c r="U1001" s="176"/>
      <c r="V1001" s="176"/>
      <c r="W1001" s="176"/>
      <c r="X1001" s="176"/>
      <c r="Y1001" s="176"/>
      <c r="Z1001" s="176"/>
    </row>
    <row r="1002">
      <c r="A1002" s="249"/>
      <c r="B1002" s="249"/>
      <c r="C1002" s="219"/>
      <c r="D1002" s="268"/>
      <c r="E1002" s="251"/>
      <c r="F1002" s="250"/>
      <c r="G1002" s="243"/>
      <c r="H1002" s="243"/>
      <c r="I1002" s="243"/>
      <c r="J1002" s="325"/>
      <c r="K1002" s="326"/>
      <c r="L1002" s="327"/>
      <c r="M1002" s="321"/>
      <c r="N1002" s="176"/>
      <c r="O1002" s="176"/>
      <c r="P1002" s="176"/>
      <c r="Q1002" s="176"/>
      <c r="R1002" s="176"/>
      <c r="S1002" s="176"/>
      <c r="T1002" s="176"/>
      <c r="U1002" s="176"/>
      <c r="V1002" s="176"/>
      <c r="W1002" s="176"/>
      <c r="X1002" s="176"/>
      <c r="Y1002" s="176"/>
      <c r="Z1002" s="176"/>
    </row>
    <row r="1003">
      <c r="A1003" s="249"/>
      <c r="B1003" s="249"/>
      <c r="C1003" s="219"/>
      <c r="D1003" s="268"/>
      <c r="E1003" s="251"/>
      <c r="F1003" s="250"/>
      <c r="G1003" s="243"/>
      <c r="H1003" s="243"/>
      <c r="I1003" s="243"/>
      <c r="J1003" s="325"/>
      <c r="K1003" s="326"/>
      <c r="L1003" s="327"/>
      <c r="M1003" s="321"/>
      <c r="N1003" s="176"/>
      <c r="O1003" s="176"/>
      <c r="P1003" s="176"/>
      <c r="Q1003" s="176"/>
      <c r="R1003" s="176"/>
      <c r="S1003" s="176"/>
      <c r="T1003" s="176"/>
      <c r="U1003" s="176"/>
      <c r="V1003" s="176"/>
      <c r="W1003" s="176"/>
      <c r="X1003" s="176"/>
      <c r="Y1003" s="176"/>
      <c r="Z1003" s="176"/>
    </row>
    <row r="1004">
      <c r="A1004" s="249"/>
      <c r="B1004" s="249"/>
      <c r="C1004" s="219"/>
      <c r="D1004" s="268"/>
      <c r="E1004" s="251"/>
      <c r="F1004" s="250"/>
      <c r="G1004" s="243"/>
      <c r="H1004" s="243"/>
      <c r="I1004" s="243"/>
      <c r="J1004" s="325"/>
      <c r="K1004" s="326"/>
      <c r="L1004" s="327"/>
      <c r="M1004" s="321"/>
      <c r="N1004" s="176"/>
      <c r="O1004" s="176"/>
      <c r="P1004" s="176"/>
      <c r="Q1004" s="176"/>
      <c r="R1004" s="176"/>
      <c r="S1004" s="176"/>
      <c r="T1004" s="176"/>
      <c r="U1004" s="176"/>
      <c r="V1004" s="176"/>
      <c r="W1004" s="176"/>
      <c r="X1004" s="176"/>
      <c r="Y1004" s="176"/>
      <c r="Z1004" s="176"/>
    </row>
    <row r="1005">
      <c r="A1005" s="249"/>
      <c r="B1005" s="249"/>
      <c r="C1005" s="219"/>
      <c r="D1005" s="268"/>
      <c r="E1005" s="251"/>
      <c r="F1005" s="250"/>
      <c r="G1005" s="243"/>
      <c r="H1005" s="243"/>
      <c r="I1005" s="243"/>
      <c r="J1005" s="325"/>
      <c r="K1005" s="326"/>
      <c r="L1005" s="327"/>
      <c r="M1005" s="321"/>
      <c r="N1005" s="176"/>
      <c r="O1005" s="176"/>
      <c r="P1005" s="176"/>
      <c r="Q1005" s="176"/>
      <c r="R1005" s="176"/>
      <c r="S1005" s="176"/>
      <c r="T1005" s="176"/>
      <c r="U1005" s="176"/>
      <c r="V1005" s="176"/>
      <c r="W1005" s="176"/>
      <c r="X1005" s="176"/>
      <c r="Y1005" s="176"/>
      <c r="Z1005" s="176"/>
    </row>
    <row r="1006">
      <c r="A1006" s="249"/>
      <c r="B1006" s="249"/>
      <c r="C1006" s="219"/>
      <c r="D1006" s="268"/>
      <c r="E1006" s="251"/>
      <c r="F1006" s="250"/>
      <c r="G1006" s="243"/>
      <c r="H1006" s="243"/>
      <c r="I1006" s="243"/>
      <c r="J1006" s="325"/>
      <c r="K1006" s="326"/>
      <c r="L1006" s="327"/>
      <c r="M1006" s="321"/>
      <c r="N1006" s="176"/>
      <c r="O1006" s="176"/>
      <c r="P1006" s="176"/>
      <c r="Q1006" s="176"/>
      <c r="R1006" s="176"/>
      <c r="S1006" s="176"/>
      <c r="T1006" s="176"/>
      <c r="U1006" s="176"/>
      <c r="V1006" s="176"/>
      <c r="W1006" s="176"/>
      <c r="X1006" s="176"/>
      <c r="Y1006" s="176"/>
      <c r="Z1006" s="176"/>
    </row>
    <row r="1007">
      <c r="A1007" s="249"/>
      <c r="B1007" s="249"/>
      <c r="C1007" s="219"/>
      <c r="D1007" s="268"/>
      <c r="E1007" s="251"/>
      <c r="F1007" s="250"/>
      <c r="G1007" s="243"/>
      <c r="H1007" s="243"/>
      <c r="I1007" s="243"/>
      <c r="J1007" s="325"/>
      <c r="K1007" s="326"/>
      <c r="L1007" s="327"/>
      <c r="M1007" s="321"/>
      <c r="N1007" s="176"/>
      <c r="O1007" s="176"/>
      <c r="P1007" s="176"/>
      <c r="Q1007" s="176"/>
      <c r="R1007" s="176"/>
      <c r="S1007" s="176"/>
      <c r="T1007" s="176"/>
      <c r="U1007" s="176"/>
      <c r="V1007" s="176"/>
      <c r="W1007" s="176"/>
      <c r="X1007" s="176"/>
      <c r="Y1007" s="176"/>
      <c r="Z1007" s="176"/>
    </row>
    <row r="1008">
      <c r="A1008" s="249"/>
      <c r="B1008" s="249"/>
      <c r="C1008" s="219"/>
      <c r="D1008" s="268"/>
      <c r="E1008" s="251"/>
      <c r="F1008" s="250"/>
      <c r="G1008" s="243"/>
      <c r="H1008" s="243"/>
      <c r="I1008" s="243"/>
      <c r="J1008" s="325"/>
      <c r="K1008" s="326"/>
      <c r="L1008" s="327"/>
      <c r="M1008" s="321"/>
      <c r="N1008" s="176"/>
      <c r="O1008" s="176"/>
      <c r="P1008" s="176"/>
      <c r="Q1008" s="176"/>
      <c r="R1008" s="176"/>
      <c r="S1008" s="176"/>
      <c r="T1008" s="176"/>
      <c r="U1008" s="176"/>
      <c r="V1008" s="176"/>
      <c r="W1008" s="176"/>
      <c r="X1008" s="176"/>
      <c r="Y1008" s="176"/>
      <c r="Z1008" s="176"/>
    </row>
    <row r="1009">
      <c r="A1009" s="249"/>
      <c r="B1009" s="249"/>
      <c r="C1009" s="219"/>
      <c r="D1009" s="268"/>
      <c r="E1009" s="251"/>
      <c r="F1009" s="250"/>
      <c r="G1009" s="243"/>
      <c r="H1009" s="243"/>
      <c r="I1009" s="243"/>
      <c r="J1009" s="325"/>
      <c r="K1009" s="326"/>
      <c r="L1009" s="327"/>
      <c r="M1009" s="321"/>
      <c r="N1009" s="176"/>
      <c r="O1009" s="176"/>
      <c r="P1009" s="176"/>
      <c r="Q1009" s="176"/>
      <c r="R1009" s="176"/>
      <c r="S1009" s="176"/>
      <c r="T1009" s="176"/>
      <c r="U1009" s="176"/>
      <c r="V1009" s="176"/>
      <c r="W1009" s="176"/>
      <c r="X1009" s="176"/>
      <c r="Y1009" s="176"/>
      <c r="Z1009" s="176"/>
    </row>
    <row r="1010">
      <c r="A1010" s="249"/>
      <c r="B1010" s="249"/>
      <c r="C1010" s="219"/>
      <c r="D1010" s="268"/>
      <c r="E1010" s="251"/>
      <c r="F1010" s="250"/>
      <c r="G1010" s="243"/>
      <c r="H1010" s="243"/>
      <c r="I1010" s="243"/>
      <c r="J1010" s="325"/>
      <c r="K1010" s="326"/>
      <c r="L1010" s="327"/>
      <c r="M1010" s="321"/>
      <c r="N1010" s="176"/>
      <c r="O1010" s="176"/>
      <c r="P1010" s="176"/>
      <c r="Q1010" s="176"/>
      <c r="R1010" s="176"/>
      <c r="S1010" s="176"/>
      <c r="T1010" s="176"/>
      <c r="U1010" s="176"/>
      <c r="V1010" s="176"/>
      <c r="W1010" s="176"/>
      <c r="X1010" s="176"/>
      <c r="Y1010" s="176"/>
      <c r="Z1010" s="176"/>
    </row>
    <row r="1011">
      <c r="A1011" s="249"/>
      <c r="B1011" s="249"/>
      <c r="C1011" s="219"/>
      <c r="D1011" s="268"/>
      <c r="E1011" s="251"/>
      <c r="F1011" s="250"/>
      <c r="G1011" s="243"/>
      <c r="H1011" s="243"/>
      <c r="I1011" s="243"/>
      <c r="J1011" s="325"/>
      <c r="K1011" s="326"/>
      <c r="L1011" s="327"/>
      <c r="M1011" s="321"/>
      <c r="N1011" s="176"/>
      <c r="O1011" s="176"/>
      <c r="P1011" s="176"/>
      <c r="Q1011" s="176"/>
      <c r="R1011" s="176"/>
      <c r="S1011" s="176"/>
      <c r="T1011" s="176"/>
      <c r="U1011" s="176"/>
      <c r="V1011" s="176"/>
      <c r="W1011" s="176"/>
      <c r="X1011" s="176"/>
      <c r="Y1011" s="176"/>
      <c r="Z1011" s="176"/>
    </row>
    <row r="1012">
      <c r="A1012" s="249"/>
      <c r="B1012" s="249"/>
      <c r="C1012" s="219"/>
      <c r="D1012" s="268"/>
      <c r="E1012" s="251"/>
      <c r="F1012" s="250"/>
      <c r="G1012" s="243"/>
      <c r="H1012" s="243"/>
      <c r="I1012" s="243"/>
      <c r="J1012" s="325"/>
      <c r="K1012" s="326"/>
      <c r="L1012" s="327"/>
      <c r="M1012" s="321"/>
      <c r="N1012" s="176"/>
      <c r="O1012" s="176"/>
      <c r="P1012" s="176"/>
      <c r="Q1012" s="176"/>
      <c r="R1012" s="176"/>
      <c r="S1012" s="176"/>
      <c r="T1012" s="176"/>
      <c r="U1012" s="176"/>
      <c r="V1012" s="176"/>
      <c r="W1012" s="176"/>
      <c r="X1012" s="176"/>
      <c r="Y1012" s="176"/>
      <c r="Z1012" s="176"/>
    </row>
    <row r="1013">
      <c r="A1013" s="249"/>
      <c r="B1013" s="249"/>
      <c r="C1013" s="219"/>
      <c r="D1013" s="268"/>
      <c r="E1013" s="251"/>
      <c r="F1013" s="250"/>
      <c r="G1013" s="243"/>
      <c r="H1013" s="243"/>
      <c r="I1013" s="243"/>
      <c r="J1013" s="325"/>
      <c r="K1013" s="326"/>
      <c r="L1013" s="327"/>
      <c r="M1013" s="321"/>
      <c r="N1013" s="176"/>
      <c r="O1013" s="176"/>
      <c r="P1013" s="176"/>
      <c r="Q1013" s="176"/>
      <c r="R1013" s="176"/>
      <c r="S1013" s="176"/>
      <c r="T1013" s="176"/>
      <c r="U1013" s="176"/>
      <c r="V1013" s="176"/>
      <c r="W1013" s="176"/>
      <c r="X1013" s="176"/>
      <c r="Y1013" s="176"/>
      <c r="Z1013" s="176"/>
    </row>
    <row r="1014">
      <c r="A1014" s="249"/>
      <c r="B1014" s="249"/>
      <c r="C1014" s="219"/>
      <c r="D1014" s="268"/>
      <c r="E1014" s="251"/>
      <c r="F1014" s="250"/>
      <c r="G1014" s="243"/>
      <c r="H1014" s="243"/>
      <c r="I1014" s="243"/>
      <c r="J1014" s="325"/>
      <c r="K1014" s="326"/>
      <c r="L1014" s="327"/>
      <c r="M1014" s="321"/>
      <c r="N1014" s="176"/>
      <c r="O1014" s="176"/>
      <c r="P1014" s="176"/>
      <c r="Q1014" s="176"/>
      <c r="R1014" s="176"/>
      <c r="S1014" s="176"/>
      <c r="T1014" s="176"/>
      <c r="U1014" s="176"/>
      <c r="V1014" s="176"/>
      <c r="W1014" s="176"/>
      <c r="X1014" s="176"/>
      <c r="Y1014" s="176"/>
      <c r="Z1014" s="176"/>
    </row>
    <row r="1015">
      <c r="A1015" s="249"/>
      <c r="B1015" s="249"/>
      <c r="C1015" s="219"/>
      <c r="D1015" s="268"/>
      <c r="E1015" s="251"/>
      <c r="F1015" s="250"/>
      <c r="G1015" s="243"/>
      <c r="H1015" s="243"/>
      <c r="I1015" s="243"/>
      <c r="J1015" s="325"/>
      <c r="K1015" s="326"/>
      <c r="L1015" s="327"/>
      <c r="M1015" s="321"/>
      <c r="N1015" s="176"/>
      <c r="O1015" s="176"/>
      <c r="P1015" s="176"/>
      <c r="Q1015" s="176"/>
      <c r="R1015" s="176"/>
      <c r="S1015" s="176"/>
      <c r="T1015" s="176"/>
      <c r="U1015" s="176"/>
      <c r="V1015" s="176"/>
      <c r="W1015" s="176"/>
      <c r="X1015" s="176"/>
      <c r="Y1015" s="176"/>
      <c r="Z1015" s="176"/>
    </row>
    <row r="1016">
      <c r="A1016" s="249"/>
      <c r="B1016" s="249"/>
      <c r="C1016" s="219"/>
      <c r="D1016" s="268"/>
      <c r="E1016" s="251"/>
      <c r="F1016" s="250"/>
      <c r="G1016" s="243"/>
      <c r="H1016" s="243"/>
      <c r="I1016" s="243"/>
      <c r="J1016" s="325"/>
      <c r="K1016" s="326"/>
      <c r="L1016" s="327"/>
      <c r="M1016" s="321"/>
      <c r="N1016" s="176"/>
      <c r="O1016" s="176"/>
      <c r="P1016" s="176"/>
      <c r="Q1016" s="176"/>
      <c r="R1016" s="176"/>
      <c r="S1016" s="176"/>
      <c r="T1016" s="176"/>
      <c r="U1016" s="176"/>
      <c r="V1016" s="176"/>
      <c r="W1016" s="176"/>
      <c r="X1016" s="176"/>
      <c r="Y1016" s="176"/>
      <c r="Z1016" s="176"/>
    </row>
    <row r="1017">
      <c r="A1017" s="249"/>
      <c r="B1017" s="249"/>
      <c r="C1017" s="219"/>
      <c r="D1017" s="268"/>
      <c r="E1017" s="251"/>
      <c r="F1017" s="250"/>
      <c r="G1017" s="243"/>
      <c r="H1017" s="243"/>
      <c r="I1017" s="243"/>
      <c r="J1017" s="325"/>
      <c r="K1017" s="326"/>
      <c r="L1017" s="327"/>
      <c r="M1017" s="321"/>
      <c r="N1017" s="176"/>
      <c r="O1017" s="176"/>
      <c r="P1017" s="176"/>
      <c r="Q1017" s="176"/>
      <c r="R1017" s="176"/>
      <c r="S1017" s="176"/>
      <c r="T1017" s="176"/>
      <c r="U1017" s="176"/>
      <c r="V1017" s="176"/>
      <c r="W1017" s="176"/>
      <c r="X1017" s="176"/>
      <c r="Y1017" s="176"/>
      <c r="Z1017" s="176"/>
    </row>
    <row r="1018">
      <c r="A1018" s="249"/>
      <c r="B1018" s="249"/>
      <c r="C1018" s="219"/>
      <c r="D1018" s="268"/>
      <c r="E1018" s="251"/>
      <c r="F1018" s="250"/>
      <c r="G1018" s="243"/>
      <c r="H1018" s="243"/>
      <c r="I1018" s="243"/>
      <c r="J1018" s="325"/>
      <c r="K1018" s="326"/>
      <c r="L1018" s="327"/>
      <c r="M1018" s="321"/>
      <c r="N1018" s="176"/>
      <c r="O1018" s="176"/>
      <c r="P1018" s="176"/>
      <c r="Q1018" s="176"/>
      <c r="R1018" s="176"/>
      <c r="S1018" s="176"/>
      <c r="T1018" s="176"/>
      <c r="U1018" s="176"/>
      <c r="V1018" s="176"/>
      <c r="W1018" s="176"/>
      <c r="X1018" s="176"/>
      <c r="Y1018" s="176"/>
      <c r="Z1018" s="176"/>
    </row>
    <row r="1019">
      <c r="A1019" s="249"/>
      <c r="B1019" s="249"/>
      <c r="C1019" s="219"/>
      <c r="D1019" s="268"/>
      <c r="E1019" s="251"/>
      <c r="F1019" s="250"/>
      <c r="G1019" s="243"/>
      <c r="H1019" s="243"/>
      <c r="I1019" s="243"/>
      <c r="J1019" s="325"/>
      <c r="K1019" s="326"/>
      <c r="L1019" s="327"/>
      <c r="M1019" s="321"/>
      <c r="N1019" s="176"/>
      <c r="O1019" s="176"/>
      <c r="P1019" s="176"/>
      <c r="Q1019" s="176"/>
      <c r="R1019" s="176"/>
      <c r="S1019" s="176"/>
      <c r="T1019" s="176"/>
      <c r="U1019" s="176"/>
      <c r="V1019" s="176"/>
      <c r="W1019" s="176"/>
      <c r="X1019" s="176"/>
      <c r="Y1019" s="176"/>
      <c r="Z1019" s="176"/>
    </row>
    <row r="1020">
      <c r="A1020" s="249"/>
      <c r="B1020" s="249"/>
      <c r="C1020" s="219"/>
      <c r="D1020" s="268"/>
      <c r="E1020" s="251"/>
      <c r="F1020" s="250"/>
      <c r="G1020" s="243"/>
      <c r="H1020" s="243"/>
      <c r="I1020" s="243"/>
      <c r="J1020" s="325"/>
      <c r="K1020" s="326"/>
      <c r="L1020" s="327"/>
      <c r="M1020" s="321"/>
      <c r="N1020" s="176"/>
      <c r="O1020" s="176"/>
      <c r="P1020" s="176"/>
      <c r="Q1020" s="176"/>
      <c r="R1020" s="176"/>
      <c r="S1020" s="176"/>
      <c r="T1020" s="176"/>
      <c r="U1020" s="176"/>
      <c r="V1020" s="176"/>
      <c r="W1020" s="176"/>
      <c r="X1020" s="176"/>
      <c r="Y1020" s="176"/>
      <c r="Z1020" s="176"/>
    </row>
    <row r="1021">
      <c r="A1021" s="249"/>
      <c r="B1021" s="249"/>
      <c r="C1021" s="219"/>
      <c r="D1021" s="268"/>
      <c r="E1021" s="251"/>
      <c r="F1021" s="250"/>
      <c r="G1021" s="243"/>
      <c r="H1021" s="243"/>
      <c r="I1021" s="243"/>
      <c r="J1021" s="325"/>
      <c r="K1021" s="326"/>
      <c r="L1021" s="327"/>
      <c r="M1021" s="321"/>
      <c r="N1021" s="176"/>
      <c r="O1021" s="176"/>
      <c r="P1021" s="176"/>
      <c r="Q1021" s="176"/>
      <c r="R1021" s="176"/>
      <c r="S1021" s="176"/>
      <c r="T1021" s="176"/>
      <c r="U1021" s="176"/>
      <c r="V1021" s="176"/>
      <c r="W1021" s="176"/>
      <c r="X1021" s="176"/>
      <c r="Y1021" s="176"/>
      <c r="Z1021" s="176"/>
    </row>
    <row r="1022">
      <c r="A1022" s="249"/>
      <c r="B1022" s="249"/>
      <c r="C1022" s="219"/>
      <c r="D1022" s="268"/>
      <c r="E1022" s="251"/>
      <c r="F1022" s="250"/>
      <c r="G1022" s="243"/>
      <c r="H1022" s="243"/>
      <c r="I1022" s="243"/>
      <c r="J1022" s="325"/>
      <c r="K1022" s="326"/>
      <c r="L1022" s="327"/>
      <c r="M1022" s="321"/>
      <c r="N1022" s="176"/>
      <c r="O1022" s="176"/>
      <c r="P1022" s="176"/>
      <c r="Q1022" s="176"/>
      <c r="R1022" s="176"/>
      <c r="S1022" s="176"/>
      <c r="T1022" s="176"/>
      <c r="U1022" s="176"/>
      <c r="V1022" s="176"/>
      <c r="W1022" s="176"/>
      <c r="X1022" s="176"/>
      <c r="Y1022" s="176"/>
      <c r="Z1022" s="176"/>
    </row>
    <row r="1023">
      <c r="A1023" s="249"/>
      <c r="B1023" s="249"/>
      <c r="C1023" s="219"/>
      <c r="D1023" s="268"/>
      <c r="E1023" s="251"/>
      <c r="F1023" s="250"/>
      <c r="G1023" s="243"/>
      <c r="H1023" s="243"/>
      <c r="I1023" s="243"/>
      <c r="J1023" s="325"/>
      <c r="K1023" s="326"/>
      <c r="L1023" s="327"/>
      <c r="M1023" s="321"/>
      <c r="N1023" s="176"/>
      <c r="O1023" s="176"/>
      <c r="P1023" s="176"/>
      <c r="Q1023" s="176"/>
      <c r="R1023" s="176"/>
      <c r="S1023" s="176"/>
      <c r="T1023" s="176"/>
      <c r="U1023" s="176"/>
      <c r="V1023" s="176"/>
      <c r="W1023" s="176"/>
      <c r="X1023" s="176"/>
      <c r="Y1023" s="176"/>
      <c r="Z1023" s="176"/>
    </row>
    <row r="1024">
      <c r="A1024" s="249"/>
      <c r="B1024" s="249"/>
      <c r="C1024" s="219"/>
      <c r="D1024" s="268"/>
      <c r="E1024" s="251"/>
      <c r="F1024" s="250"/>
      <c r="G1024" s="243"/>
      <c r="H1024" s="243"/>
      <c r="I1024" s="243"/>
      <c r="J1024" s="325"/>
      <c r="K1024" s="326"/>
      <c r="L1024" s="327"/>
      <c r="M1024" s="321"/>
      <c r="N1024" s="176"/>
      <c r="O1024" s="176"/>
      <c r="P1024" s="176"/>
      <c r="Q1024" s="176"/>
      <c r="R1024" s="176"/>
      <c r="S1024" s="176"/>
      <c r="T1024" s="176"/>
      <c r="U1024" s="176"/>
      <c r="V1024" s="176"/>
      <c r="W1024" s="176"/>
      <c r="X1024" s="176"/>
      <c r="Y1024" s="176"/>
      <c r="Z1024" s="176"/>
    </row>
    <row r="1025">
      <c r="A1025" s="249"/>
      <c r="B1025" s="249"/>
      <c r="C1025" s="219"/>
      <c r="D1025" s="268"/>
      <c r="E1025" s="251"/>
      <c r="F1025" s="250"/>
      <c r="G1025" s="243"/>
      <c r="H1025" s="243"/>
      <c r="I1025" s="243"/>
      <c r="J1025" s="325"/>
      <c r="K1025" s="326"/>
      <c r="L1025" s="327"/>
      <c r="M1025" s="321"/>
      <c r="N1025" s="176"/>
      <c r="O1025" s="176"/>
      <c r="P1025" s="176"/>
      <c r="Q1025" s="176"/>
      <c r="R1025" s="176"/>
      <c r="S1025" s="176"/>
      <c r="T1025" s="176"/>
      <c r="U1025" s="176"/>
      <c r="V1025" s="176"/>
      <c r="W1025" s="176"/>
      <c r="X1025" s="176"/>
      <c r="Y1025" s="176"/>
      <c r="Z1025" s="176"/>
    </row>
    <row r="1026">
      <c r="A1026" s="249"/>
      <c r="B1026" s="249"/>
      <c r="C1026" s="219"/>
      <c r="D1026" s="268"/>
      <c r="E1026" s="251"/>
      <c r="F1026" s="250"/>
      <c r="G1026" s="243"/>
      <c r="H1026" s="243"/>
      <c r="I1026" s="243"/>
      <c r="J1026" s="325"/>
      <c r="K1026" s="326"/>
      <c r="L1026" s="327"/>
      <c r="M1026" s="321"/>
      <c r="N1026" s="176"/>
      <c r="O1026" s="176"/>
      <c r="P1026" s="176"/>
      <c r="Q1026" s="176"/>
      <c r="R1026" s="176"/>
      <c r="S1026" s="176"/>
      <c r="T1026" s="176"/>
      <c r="U1026" s="176"/>
      <c r="V1026" s="176"/>
      <c r="W1026" s="176"/>
      <c r="X1026" s="176"/>
      <c r="Y1026" s="176"/>
      <c r="Z1026" s="176"/>
    </row>
    <row r="1027">
      <c r="A1027" s="249"/>
      <c r="B1027" s="249"/>
      <c r="C1027" s="219"/>
      <c r="D1027" s="268"/>
      <c r="E1027" s="251"/>
      <c r="F1027" s="250"/>
      <c r="G1027" s="243"/>
      <c r="H1027" s="243"/>
      <c r="I1027" s="243"/>
      <c r="J1027" s="325"/>
      <c r="K1027" s="326"/>
      <c r="L1027" s="327"/>
      <c r="M1027" s="321"/>
      <c r="N1027" s="176"/>
      <c r="O1027" s="176"/>
      <c r="P1027" s="176"/>
      <c r="Q1027" s="176"/>
      <c r="R1027" s="176"/>
      <c r="S1027" s="176"/>
      <c r="T1027" s="176"/>
      <c r="U1027" s="176"/>
      <c r="V1027" s="176"/>
      <c r="W1027" s="176"/>
      <c r="X1027" s="176"/>
      <c r="Y1027" s="176"/>
      <c r="Z1027" s="176"/>
    </row>
    <row r="1028">
      <c r="A1028" s="249"/>
      <c r="B1028" s="249"/>
      <c r="C1028" s="219"/>
      <c r="D1028" s="268"/>
      <c r="E1028" s="251"/>
      <c r="F1028" s="250"/>
      <c r="G1028" s="243"/>
      <c r="H1028" s="243"/>
      <c r="I1028" s="243"/>
      <c r="J1028" s="325"/>
      <c r="K1028" s="326"/>
      <c r="L1028" s="327"/>
      <c r="M1028" s="321"/>
      <c r="N1028" s="176"/>
      <c r="O1028" s="176"/>
      <c r="P1028" s="176"/>
      <c r="Q1028" s="176"/>
      <c r="R1028" s="176"/>
      <c r="S1028" s="176"/>
      <c r="T1028" s="176"/>
      <c r="U1028" s="176"/>
      <c r="V1028" s="176"/>
      <c r="W1028" s="176"/>
      <c r="X1028" s="176"/>
      <c r="Y1028" s="176"/>
      <c r="Z1028" s="176"/>
    </row>
    <row r="1029">
      <c r="A1029" s="249"/>
      <c r="B1029" s="249"/>
      <c r="C1029" s="219"/>
      <c r="D1029" s="268"/>
      <c r="E1029" s="251"/>
      <c r="F1029" s="250"/>
      <c r="G1029" s="243"/>
      <c r="H1029" s="243"/>
      <c r="I1029" s="243"/>
      <c r="J1029" s="325"/>
      <c r="K1029" s="326"/>
      <c r="L1029" s="327"/>
      <c r="M1029" s="321"/>
      <c r="N1029" s="176"/>
      <c r="O1029" s="176"/>
      <c r="P1029" s="176"/>
      <c r="Q1029" s="176"/>
      <c r="R1029" s="176"/>
      <c r="S1029" s="176"/>
      <c r="T1029" s="176"/>
      <c r="U1029" s="176"/>
      <c r="V1029" s="176"/>
      <c r="W1029" s="176"/>
      <c r="X1029" s="176"/>
      <c r="Y1029" s="176"/>
      <c r="Z1029" s="176"/>
    </row>
    <row r="1030">
      <c r="A1030" s="249"/>
      <c r="B1030" s="249"/>
      <c r="C1030" s="219"/>
      <c r="D1030" s="268"/>
      <c r="E1030" s="251"/>
      <c r="F1030" s="250"/>
      <c r="G1030" s="243"/>
      <c r="H1030" s="243"/>
      <c r="I1030" s="243"/>
      <c r="J1030" s="325"/>
      <c r="K1030" s="326"/>
      <c r="L1030" s="327"/>
      <c r="M1030" s="321"/>
      <c r="N1030" s="176"/>
      <c r="O1030" s="176"/>
      <c r="P1030" s="176"/>
      <c r="Q1030" s="176"/>
      <c r="R1030" s="176"/>
      <c r="S1030" s="176"/>
      <c r="T1030" s="176"/>
      <c r="U1030" s="176"/>
      <c r="V1030" s="176"/>
      <c r="W1030" s="176"/>
      <c r="X1030" s="176"/>
      <c r="Y1030" s="176"/>
      <c r="Z1030" s="176"/>
    </row>
    <row r="1031">
      <c r="A1031" s="249"/>
      <c r="B1031" s="249"/>
      <c r="C1031" s="219"/>
      <c r="D1031" s="268"/>
      <c r="E1031" s="251"/>
      <c r="F1031" s="250"/>
      <c r="G1031" s="243"/>
      <c r="H1031" s="243"/>
      <c r="I1031" s="243"/>
      <c r="J1031" s="325"/>
      <c r="K1031" s="326"/>
      <c r="L1031" s="327"/>
      <c r="M1031" s="321"/>
      <c r="N1031" s="176"/>
      <c r="O1031" s="176"/>
      <c r="P1031" s="176"/>
      <c r="Q1031" s="176"/>
      <c r="R1031" s="176"/>
      <c r="S1031" s="176"/>
      <c r="T1031" s="176"/>
      <c r="U1031" s="176"/>
      <c r="V1031" s="176"/>
      <c r="W1031" s="176"/>
      <c r="X1031" s="176"/>
      <c r="Y1031" s="176"/>
      <c r="Z1031" s="176"/>
    </row>
    <row r="1032">
      <c r="A1032" s="249"/>
      <c r="B1032" s="249"/>
      <c r="C1032" s="219"/>
      <c r="D1032" s="268"/>
      <c r="E1032" s="251"/>
      <c r="F1032" s="250"/>
      <c r="G1032" s="243"/>
      <c r="H1032" s="243"/>
      <c r="I1032" s="243"/>
      <c r="J1032" s="325"/>
      <c r="K1032" s="326"/>
      <c r="L1032" s="327"/>
      <c r="M1032" s="321"/>
      <c r="N1032" s="176"/>
      <c r="O1032" s="176"/>
      <c r="P1032" s="176"/>
      <c r="Q1032" s="176"/>
      <c r="R1032" s="176"/>
      <c r="S1032" s="176"/>
      <c r="T1032" s="176"/>
      <c r="U1032" s="176"/>
      <c r="V1032" s="176"/>
      <c r="W1032" s="176"/>
      <c r="X1032" s="176"/>
      <c r="Y1032" s="176"/>
      <c r="Z1032" s="176"/>
    </row>
    <row r="1033">
      <c r="A1033" s="249"/>
      <c r="B1033" s="249"/>
      <c r="C1033" s="219"/>
      <c r="D1033" s="268"/>
      <c r="E1033" s="251"/>
      <c r="F1033" s="250"/>
      <c r="G1033" s="243"/>
      <c r="H1033" s="243"/>
      <c r="I1033" s="243"/>
      <c r="J1033" s="325"/>
      <c r="K1033" s="326"/>
      <c r="L1033" s="327"/>
      <c r="M1033" s="321"/>
      <c r="N1033" s="176"/>
      <c r="O1033" s="176"/>
      <c r="P1033" s="176"/>
      <c r="Q1033" s="176"/>
      <c r="R1033" s="176"/>
      <c r="S1033" s="176"/>
      <c r="T1033" s="176"/>
      <c r="U1033" s="176"/>
      <c r="V1033" s="176"/>
      <c r="W1033" s="176"/>
      <c r="X1033" s="176"/>
      <c r="Y1033" s="176"/>
      <c r="Z1033" s="176"/>
    </row>
    <row r="1034">
      <c r="A1034" s="249"/>
      <c r="B1034" s="249"/>
      <c r="C1034" s="219"/>
      <c r="D1034" s="268"/>
      <c r="E1034" s="251"/>
      <c r="F1034" s="250"/>
      <c r="G1034" s="243"/>
      <c r="H1034" s="243"/>
      <c r="I1034" s="243"/>
      <c r="J1034" s="325"/>
      <c r="K1034" s="326"/>
      <c r="L1034" s="327"/>
      <c r="M1034" s="321"/>
      <c r="N1034" s="176"/>
      <c r="O1034" s="176"/>
      <c r="P1034" s="176"/>
      <c r="Q1034" s="176"/>
      <c r="R1034" s="176"/>
      <c r="S1034" s="176"/>
      <c r="T1034" s="176"/>
      <c r="U1034" s="176"/>
      <c r="V1034" s="176"/>
      <c r="W1034" s="176"/>
      <c r="X1034" s="176"/>
      <c r="Y1034" s="176"/>
      <c r="Z1034" s="176"/>
    </row>
    <row r="1035">
      <c r="A1035" s="249"/>
      <c r="B1035" s="249"/>
      <c r="C1035" s="219"/>
      <c r="D1035" s="268"/>
      <c r="E1035" s="251"/>
      <c r="F1035" s="250"/>
      <c r="G1035" s="243"/>
      <c r="H1035" s="243"/>
      <c r="I1035" s="243"/>
      <c r="J1035" s="325"/>
      <c r="K1035" s="326"/>
      <c r="L1035" s="327"/>
      <c r="M1035" s="321"/>
      <c r="N1035" s="176"/>
      <c r="O1035" s="176"/>
      <c r="P1035" s="176"/>
      <c r="Q1035" s="176"/>
      <c r="R1035" s="176"/>
      <c r="S1035" s="176"/>
      <c r="T1035" s="176"/>
      <c r="U1035" s="176"/>
      <c r="V1035" s="176"/>
      <c r="W1035" s="176"/>
      <c r="X1035" s="176"/>
      <c r="Y1035" s="176"/>
      <c r="Z1035" s="176"/>
    </row>
    <row r="1036">
      <c r="A1036" s="249"/>
      <c r="B1036" s="249"/>
      <c r="C1036" s="219"/>
      <c r="D1036" s="268"/>
      <c r="E1036" s="251"/>
      <c r="F1036" s="250"/>
      <c r="G1036" s="243"/>
      <c r="H1036" s="243"/>
      <c r="I1036" s="243"/>
      <c r="J1036" s="325"/>
      <c r="K1036" s="326"/>
      <c r="L1036" s="327"/>
      <c r="M1036" s="321"/>
      <c r="N1036" s="176"/>
      <c r="O1036" s="176"/>
      <c r="P1036" s="176"/>
      <c r="Q1036" s="176"/>
      <c r="R1036" s="176"/>
      <c r="S1036" s="176"/>
      <c r="T1036" s="176"/>
      <c r="U1036" s="176"/>
      <c r="V1036" s="176"/>
      <c r="W1036" s="176"/>
      <c r="X1036" s="176"/>
      <c r="Y1036" s="176"/>
      <c r="Z1036" s="176"/>
    </row>
    <row r="1037">
      <c r="A1037" s="249"/>
      <c r="B1037" s="249"/>
      <c r="C1037" s="219"/>
      <c r="D1037" s="268"/>
      <c r="E1037" s="251"/>
      <c r="F1037" s="250"/>
      <c r="G1037" s="243"/>
      <c r="H1037" s="243"/>
      <c r="I1037" s="243"/>
      <c r="J1037" s="325"/>
      <c r="K1037" s="326"/>
      <c r="L1037" s="327"/>
      <c r="M1037" s="321"/>
      <c r="N1037" s="176"/>
      <c r="O1037" s="176"/>
      <c r="P1037" s="176"/>
      <c r="Q1037" s="176"/>
      <c r="R1037" s="176"/>
      <c r="S1037" s="176"/>
      <c r="T1037" s="176"/>
      <c r="U1037" s="176"/>
      <c r="V1037" s="176"/>
      <c r="W1037" s="176"/>
      <c r="X1037" s="176"/>
      <c r="Y1037" s="176"/>
      <c r="Z1037" s="176"/>
    </row>
    <row r="1038">
      <c r="A1038" s="249"/>
      <c r="B1038" s="249"/>
      <c r="C1038" s="219"/>
      <c r="D1038" s="268"/>
      <c r="E1038" s="251"/>
      <c r="F1038" s="250"/>
      <c r="G1038" s="243"/>
      <c r="H1038" s="243"/>
      <c r="I1038" s="243"/>
      <c r="J1038" s="325"/>
      <c r="K1038" s="326"/>
      <c r="L1038" s="327"/>
      <c r="M1038" s="321"/>
      <c r="N1038" s="176"/>
      <c r="O1038" s="176"/>
      <c r="P1038" s="176"/>
      <c r="Q1038" s="176"/>
      <c r="R1038" s="176"/>
      <c r="S1038" s="176"/>
      <c r="T1038" s="176"/>
      <c r="U1038" s="176"/>
      <c r="V1038" s="176"/>
      <c r="W1038" s="176"/>
      <c r="X1038" s="176"/>
      <c r="Y1038" s="176"/>
      <c r="Z1038" s="176"/>
    </row>
    <row r="1039">
      <c r="A1039" s="249"/>
      <c r="B1039" s="249"/>
      <c r="C1039" s="219"/>
      <c r="D1039" s="268"/>
      <c r="E1039" s="251"/>
      <c r="F1039" s="250"/>
      <c r="G1039" s="243"/>
      <c r="H1039" s="243"/>
      <c r="I1039" s="243"/>
      <c r="J1039" s="325"/>
      <c r="K1039" s="326"/>
      <c r="L1039" s="327"/>
      <c r="M1039" s="321"/>
      <c r="N1039" s="176"/>
      <c r="O1039" s="176"/>
      <c r="P1039" s="176"/>
      <c r="Q1039" s="176"/>
      <c r="R1039" s="176"/>
      <c r="S1039" s="176"/>
      <c r="T1039" s="176"/>
      <c r="U1039" s="176"/>
      <c r="V1039" s="176"/>
      <c r="W1039" s="176"/>
      <c r="X1039" s="176"/>
      <c r="Y1039" s="176"/>
      <c r="Z1039" s="176"/>
    </row>
    <row r="1040">
      <c r="A1040" s="249"/>
      <c r="B1040" s="249"/>
      <c r="C1040" s="219"/>
      <c r="D1040" s="268"/>
      <c r="E1040" s="251"/>
      <c r="F1040" s="250"/>
      <c r="G1040" s="243"/>
      <c r="H1040" s="243"/>
      <c r="I1040" s="243"/>
      <c r="J1040" s="325"/>
      <c r="K1040" s="326"/>
      <c r="L1040" s="327"/>
      <c r="M1040" s="321"/>
      <c r="N1040" s="176"/>
      <c r="O1040" s="176"/>
      <c r="P1040" s="176"/>
      <c r="Q1040" s="176"/>
      <c r="R1040" s="176"/>
      <c r="S1040" s="176"/>
      <c r="T1040" s="176"/>
      <c r="U1040" s="176"/>
      <c r="V1040" s="176"/>
      <c r="W1040" s="176"/>
      <c r="X1040" s="176"/>
      <c r="Y1040" s="176"/>
      <c r="Z1040" s="176"/>
    </row>
    <row r="1041">
      <c r="A1041" s="249"/>
      <c r="B1041" s="249"/>
      <c r="C1041" s="219"/>
      <c r="D1041" s="268"/>
      <c r="E1041" s="251"/>
      <c r="F1041" s="250"/>
      <c r="G1041" s="243"/>
      <c r="H1041" s="243"/>
      <c r="I1041" s="243"/>
      <c r="J1041" s="325"/>
      <c r="K1041" s="326"/>
      <c r="L1041" s="327"/>
      <c r="M1041" s="321"/>
      <c r="N1041" s="176"/>
      <c r="O1041" s="176"/>
      <c r="P1041" s="176"/>
      <c r="Q1041" s="176"/>
      <c r="R1041" s="176"/>
      <c r="S1041" s="176"/>
      <c r="T1041" s="176"/>
      <c r="U1041" s="176"/>
      <c r="V1041" s="176"/>
      <c r="W1041" s="176"/>
      <c r="X1041" s="176"/>
      <c r="Y1041" s="176"/>
      <c r="Z1041" s="176"/>
    </row>
    <row r="1042">
      <c r="A1042" s="249"/>
      <c r="B1042" s="249"/>
      <c r="C1042" s="219"/>
      <c r="D1042" s="268"/>
      <c r="E1042" s="251"/>
      <c r="F1042" s="250"/>
      <c r="G1042" s="243"/>
      <c r="H1042" s="243"/>
      <c r="I1042" s="243"/>
      <c r="J1042" s="325"/>
      <c r="K1042" s="326"/>
      <c r="L1042" s="327"/>
      <c r="M1042" s="321"/>
      <c r="N1042" s="176"/>
      <c r="O1042" s="176"/>
      <c r="P1042" s="176"/>
      <c r="Q1042" s="176"/>
      <c r="R1042" s="176"/>
      <c r="S1042" s="176"/>
      <c r="T1042" s="176"/>
      <c r="U1042" s="176"/>
      <c r="V1042" s="176"/>
      <c r="W1042" s="176"/>
      <c r="X1042" s="176"/>
      <c r="Y1042" s="176"/>
      <c r="Z1042" s="176"/>
    </row>
    <row r="1043">
      <c r="A1043" s="249"/>
      <c r="B1043" s="249"/>
      <c r="C1043" s="219"/>
      <c r="D1043" s="268"/>
      <c r="E1043" s="251"/>
      <c r="F1043" s="250"/>
      <c r="G1043" s="243"/>
      <c r="H1043" s="243"/>
      <c r="I1043" s="243"/>
      <c r="J1043" s="325"/>
      <c r="K1043" s="326"/>
      <c r="L1043" s="327"/>
      <c r="M1043" s="321"/>
      <c r="N1043" s="176"/>
      <c r="O1043" s="176"/>
      <c r="P1043" s="176"/>
      <c r="Q1043" s="176"/>
      <c r="R1043" s="176"/>
      <c r="S1043" s="176"/>
      <c r="T1043" s="176"/>
      <c r="U1043" s="176"/>
      <c r="V1043" s="176"/>
      <c r="W1043" s="176"/>
      <c r="X1043" s="176"/>
      <c r="Y1043" s="176"/>
      <c r="Z1043" s="176"/>
    </row>
    <row r="1044">
      <c r="A1044" s="249"/>
      <c r="B1044" s="249"/>
      <c r="C1044" s="219"/>
      <c r="D1044" s="268"/>
      <c r="E1044" s="251"/>
      <c r="F1044" s="250"/>
      <c r="G1044" s="243"/>
      <c r="H1044" s="243"/>
      <c r="I1044" s="243"/>
      <c r="J1044" s="325"/>
      <c r="K1044" s="326"/>
      <c r="L1044" s="327"/>
      <c r="M1044" s="321"/>
      <c r="N1044" s="176"/>
      <c r="O1044" s="176"/>
      <c r="P1044" s="176"/>
      <c r="Q1044" s="176"/>
      <c r="R1044" s="176"/>
      <c r="S1044" s="176"/>
      <c r="T1044" s="176"/>
      <c r="U1044" s="176"/>
      <c r="V1044" s="176"/>
      <c r="W1044" s="176"/>
      <c r="X1044" s="176"/>
      <c r="Y1044" s="176"/>
      <c r="Z1044" s="176"/>
    </row>
    <row r="1045">
      <c r="A1045" s="249"/>
      <c r="B1045" s="249"/>
      <c r="C1045" s="219"/>
      <c r="D1045" s="268"/>
      <c r="E1045" s="251"/>
      <c r="F1045" s="250"/>
      <c r="G1045" s="243"/>
      <c r="H1045" s="243"/>
      <c r="I1045" s="243"/>
      <c r="J1045" s="325"/>
      <c r="K1045" s="326"/>
      <c r="L1045" s="327"/>
      <c r="M1045" s="321"/>
      <c r="N1045" s="176"/>
      <c r="O1045" s="176"/>
      <c r="P1045" s="176"/>
      <c r="Q1045" s="176"/>
      <c r="R1045" s="176"/>
      <c r="S1045" s="176"/>
      <c r="T1045" s="176"/>
      <c r="U1045" s="176"/>
      <c r="V1045" s="176"/>
      <c r="W1045" s="176"/>
      <c r="X1045" s="176"/>
      <c r="Y1045" s="176"/>
      <c r="Z1045" s="176"/>
    </row>
    <row r="1046">
      <c r="A1046" s="249"/>
      <c r="B1046" s="249"/>
      <c r="C1046" s="219"/>
      <c r="D1046" s="268"/>
      <c r="E1046" s="251"/>
      <c r="F1046" s="250"/>
      <c r="G1046" s="243"/>
      <c r="H1046" s="243"/>
      <c r="I1046" s="243"/>
      <c r="J1046" s="325"/>
      <c r="K1046" s="326"/>
      <c r="L1046" s="327"/>
      <c r="M1046" s="321"/>
      <c r="N1046" s="176"/>
      <c r="O1046" s="176"/>
      <c r="P1046" s="176"/>
      <c r="Q1046" s="176"/>
      <c r="R1046" s="176"/>
      <c r="S1046" s="176"/>
      <c r="T1046" s="176"/>
      <c r="U1046" s="176"/>
      <c r="V1046" s="176"/>
      <c r="W1046" s="176"/>
      <c r="X1046" s="176"/>
      <c r="Y1046" s="176"/>
      <c r="Z1046" s="176"/>
    </row>
    <row r="1047">
      <c r="A1047" s="249"/>
      <c r="B1047" s="249"/>
      <c r="C1047" s="219"/>
      <c r="D1047" s="268"/>
      <c r="E1047" s="251"/>
      <c r="F1047" s="250"/>
      <c r="G1047" s="243"/>
      <c r="H1047" s="243"/>
      <c r="I1047" s="243"/>
      <c r="J1047" s="325"/>
      <c r="K1047" s="326"/>
      <c r="L1047" s="327"/>
      <c r="M1047" s="321"/>
      <c r="N1047" s="176"/>
      <c r="O1047" s="176"/>
      <c r="P1047" s="176"/>
      <c r="Q1047" s="176"/>
      <c r="R1047" s="176"/>
      <c r="S1047" s="176"/>
      <c r="T1047" s="176"/>
      <c r="U1047" s="176"/>
      <c r="V1047" s="176"/>
      <c r="W1047" s="176"/>
      <c r="X1047" s="176"/>
      <c r="Y1047" s="176"/>
      <c r="Z1047" s="176"/>
    </row>
    <row r="1048">
      <c r="A1048" s="249"/>
      <c r="B1048" s="249"/>
      <c r="C1048" s="219"/>
      <c r="D1048" s="268"/>
      <c r="E1048" s="251"/>
      <c r="F1048" s="250"/>
      <c r="G1048" s="243"/>
      <c r="H1048" s="243"/>
      <c r="I1048" s="243"/>
      <c r="J1048" s="325"/>
      <c r="K1048" s="326"/>
      <c r="L1048" s="327"/>
      <c r="M1048" s="321"/>
      <c r="N1048" s="176"/>
      <c r="O1048" s="176"/>
      <c r="P1048" s="176"/>
      <c r="Q1048" s="176"/>
      <c r="R1048" s="176"/>
      <c r="S1048" s="176"/>
      <c r="T1048" s="176"/>
      <c r="U1048" s="176"/>
      <c r="V1048" s="176"/>
      <c r="W1048" s="176"/>
      <c r="X1048" s="176"/>
      <c r="Y1048" s="176"/>
      <c r="Z1048" s="176"/>
    </row>
    <row r="1049">
      <c r="A1049" s="249"/>
      <c r="B1049" s="249"/>
      <c r="C1049" s="219"/>
      <c r="D1049" s="268"/>
      <c r="E1049" s="251"/>
      <c r="F1049" s="250"/>
      <c r="G1049" s="243"/>
      <c r="H1049" s="243"/>
      <c r="I1049" s="243"/>
      <c r="J1049" s="325"/>
      <c r="K1049" s="326"/>
      <c r="L1049" s="327"/>
      <c r="M1049" s="321"/>
      <c r="N1049" s="176"/>
      <c r="O1049" s="176"/>
      <c r="P1049" s="176"/>
      <c r="Q1049" s="176"/>
      <c r="R1049" s="176"/>
      <c r="S1049" s="176"/>
      <c r="T1049" s="176"/>
      <c r="U1049" s="176"/>
      <c r="V1049" s="176"/>
      <c r="W1049" s="176"/>
      <c r="X1049" s="176"/>
      <c r="Y1049" s="176"/>
      <c r="Z1049" s="176"/>
    </row>
    <row r="1050">
      <c r="A1050" s="249"/>
      <c r="B1050" s="249"/>
      <c r="C1050" s="219"/>
      <c r="D1050" s="268"/>
      <c r="E1050" s="251"/>
      <c r="F1050" s="250"/>
      <c r="G1050" s="243"/>
      <c r="H1050" s="243"/>
      <c r="I1050" s="243"/>
      <c r="J1050" s="325"/>
      <c r="K1050" s="326"/>
      <c r="L1050" s="327"/>
      <c r="M1050" s="321"/>
      <c r="N1050" s="176"/>
      <c r="O1050" s="176"/>
      <c r="P1050" s="176"/>
      <c r="Q1050" s="176"/>
      <c r="R1050" s="176"/>
      <c r="S1050" s="176"/>
      <c r="T1050" s="176"/>
      <c r="U1050" s="176"/>
      <c r="V1050" s="176"/>
      <c r="W1050" s="176"/>
      <c r="X1050" s="176"/>
      <c r="Y1050" s="176"/>
      <c r="Z1050" s="176"/>
    </row>
    <row r="1051">
      <c r="A1051" s="249"/>
      <c r="B1051" s="249"/>
      <c r="C1051" s="219"/>
      <c r="D1051" s="268"/>
      <c r="E1051" s="251"/>
      <c r="F1051" s="250"/>
      <c r="G1051" s="243"/>
      <c r="H1051" s="243"/>
      <c r="I1051" s="243"/>
      <c r="J1051" s="325"/>
      <c r="K1051" s="326"/>
      <c r="L1051" s="327"/>
      <c r="M1051" s="321"/>
      <c r="N1051" s="176"/>
      <c r="O1051" s="176"/>
      <c r="P1051" s="176"/>
      <c r="Q1051" s="176"/>
      <c r="R1051" s="176"/>
      <c r="S1051" s="176"/>
      <c r="T1051" s="176"/>
      <c r="U1051" s="176"/>
      <c r="V1051" s="176"/>
      <c r="W1051" s="176"/>
      <c r="X1051" s="176"/>
      <c r="Y1051" s="176"/>
      <c r="Z1051" s="176"/>
    </row>
    <row r="1052">
      <c r="A1052" s="249"/>
      <c r="B1052" s="249"/>
      <c r="C1052" s="219"/>
      <c r="D1052" s="268"/>
      <c r="E1052" s="251"/>
      <c r="F1052" s="250"/>
      <c r="G1052" s="243"/>
      <c r="H1052" s="243"/>
      <c r="I1052" s="243"/>
      <c r="J1052" s="325"/>
      <c r="K1052" s="326"/>
      <c r="L1052" s="327"/>
      <c r="M1052" s="321"/>
      <c r="N1052" s="176"/>
      <c r="O1052" s="176"/>
      <c r="P1052" s="176"/>
      <c r="Q1052" s="176"/>
      <c r="R1052" s="176"/>
      <c r="S1052" s="176"/>
      <c r="T1052" s="176"/>
      <c r="U1052" s="176"/>
      <c r="V1052" s="176"/>
      <c r="W1052" s="176"/>
      <c r="X1052" s="176"/>
      <c r="Y1052" s="176"/>
      <c r="Z1052" s="176"/>
    </row>
    <row r="1053">
      <c r="A1053" s="249"/>
      <c r="B1053" s="249"/>
      <c r="C1053" s="219"/>
      <c r="D1053" s="268"/>
      <c r="E1053" s="251"/>
      <c r="F1053" s="250"/>
      <c r="G1053" s="243"/>
      <c r="H1053" s="243"/>
      <c r="I1053" s="243"/>
      <c r="J1053" s="325"/>
      <c r="K1053" s="326"/>
      <c r="L1053" s="327"/>
      <c r="M1053" s="321"/>
      <c r="N1053" s="176"/>
      <c r="O1053" s="176"/>
      <c r="P1053" s="176"/>
      <c r="Q1053" s="176"/>
      <c r="R1053" s="176"/>
      <c r="S1053" s="176"/>
      <c r="T1053" s="176"/>
      <c r="U1053" s="176"/>
      <c r="V1053" s="176"/>
      <c r="W1053" s="176"/>
      <c r="X1053" s="176"/>
      <c r="Y1053" s="176"/>
      <c r="Z1053" s="176"/>
    </row>
    <row r="1054">
      <c r="A1054" s="249"/>
      <c r="B1054" s="249"/>
      <c r="C1054" s="219"/>
      <c r="D1054" s="268"/>
      <c r="E1054" s="251"/>
      <c r="F1054" s="250"/>
      <c r="G1054" s="243"/>
      <c r="H1054" s="243"/>
      <c r="I1054" s="243"/>
      <c r="J1054" s="325"/>
      <c r="K1054" s="326"/>
      <c r="L1054" s="327"/>
      <c r="M1054" s="321"/>
      <c r="N1054" s="176"/>
      <c r="O1054" s="176"/>
      <c r="P1054" s="176"/>
      <c r="Q1054" s="176"/>
      <c r="R1054" s="176"/>
      <c r="S1054" s="176"/>
      <c r="T1054" s="176"/>
      <c r="U1054" s="176"/>
      <c r="V1054" s="176"/>
      <c r="W1054" s="176"/>
      <c r="X1054" s="176"/>
      <c r="Y1054" s="176"/>
      <c r="Z1054" s="176"/>
    </row>
    <row r="1055">
      <c r="A1055" s="249"/>
      <c r="B1055" s="249"/>
      <c r="C1055" s="219"/>
      <c r="D1055" s="268"/>
      <c r="E1055" s="251"/>
      <c r="F1055" s="250"/>
      <c r="G1055" s="243"/>
      <c r="H1055" s="243"/>
      <c r="I1055" s="243"/>
      <c r="J1055" s="325"/>
      <c r="K1055" s="326"/>
      <c r="L1055" s="327"/>
      <c r="M1055" s="321"/>
      <c r="N1055" s="176"/>
      <c r="O1055" s="176"/>
      <c r="P1055" s="176"/>
      <c r="Q1055" s="176"/>
      <c r="R1055" s="176"/>
      <c r="S1055" s="176"/>
      <c r="T1055" s="176"/>
      <c r="U1055" s="176"/>
      <c r="V1055" s="176"/>
      <c r="W1055" s="176"/>
      <c r="X1055" s="176"/>
      <c r="Y1055" s="176"/>
      <c r="Z1055" s="176"/>
    </row>
    <row r="1056">
      <c r="A1056" s="249"/>
      <c r="B1056" s="249"/>
      <c r="C1056" s="219"/>
      <c r="D1056" s="268"/>
      <c r="E1056" s="251"/>
      <c r="F1056" s="250"/>
      <c r="G1056" s="243"/>
      <c r="H1056" s="243"/>
      <c r="I1056" s="243"/>
      <c r="J1056" s="325"/>
      <c r="K1056" s="326"/>
      <c r="L1056" s="327"/>
      <c r="M1056" s="321"/>
      <c r="N1056" s="176"/>
      <c r="O1056" s="176"/>
      <c r="P1056" s="176"/>
      <c r="Q1056" s="176"/>
      <c r="R1056" s="176"/>
      <c r="S1056" s="176"/>
      <c r="T1056" s="176"/>
      <c r="U1056" s="176"/>
      <c r="V1056" s="176"/>
      <c r="W1056" s="176"/>
      <c r="X1056" s="176"/>
      <c r="Y1056" s="176"/>
      <c r="Z1056" s="176"/>
    </row>
    <row r="1057">
      <c r="A1057" s="249"/>
      <c r="B1057" s="249"/>
      <c r="C1057" s="219"/>
      <c r="D1057" s="268"/>
      <c r="E1057" s="251"/>
      <c r="F1057" s="250"/>
      <c r="G1057" s="243"/>
      <c r="H1057" s="243"/>
      <c r="I1057" s="243"/>
      <c r="J1057" s="325"/>
      <c r="K1057" s="326"/>
      <c r="L1057" s="327"/>
      <c r="M1057" s="321"/>
      <c r="N1057" s="176"/>
      <c r="O1057" s="176"/>
      <c r="P1057" s="176"/>
      <c r="Q1057" s="176"/>
      <c r="R1057" s="176"/>
      <c r="S1057" s="176"/>
      <c r="T1057" s="176"/>
      <c r="U1057" s="176"/>
      <c r="V1057" s="176"/>
      <c r="W1057" s="176"/>
      <c r="X1057" s="176"/>
      <c r="Y1057" s="176"/>
      <c r="Z1057" s="176"/>
    </row>
    <row r="1058">
      <c r="A1058" s="249"/>
      <c r="B1058" s="249"/>
      <c r="C1058" s="219"/>
      <c r="D1058" s="268"/>
      <c r="E1058" s="251"/>
      <c r="F1058" s="250"/>
      <c r="G1058" s="243"/>
      <c r="H1058" s="243"/>
      <c r="I1058" s="243"/>
      <c r="J1058" s="325"/>
      <c r="K1058" s="326"/>
      <c r="L1058" s="327"/>
      <c r="M1058" s="321"/>
      <c r="N1058" s="176"/>
      <c r="O1058" s="176"/>
      <c r="P1058" s="176"/>
      <c r="Q1058" s="176"/>
      <c r="R1058" s="176"/>
      <c r="S1058" s="176"/>
      <c r="T1058" s="176"/>
      <c r="U1058" s="176"/>
      <c r="V1058" s="176"/>
      <c r="W1058" s="176"/>
      <c r="X1058" s="176"/>
      <c r="Y1058" s="176"/>
      <c r="Z1058" s="176"/>
    </row>
    <row r="1059">
      <c r="A1059" s="249"/>
      <c r="B1059" s="249"/>
      <c r="C1059" s="219"/>
      <c r="D1059" s="268"/>
      <c r="E1059" s="251"/>
      <c r="F1059" s="250"/>
      <c r="G1059" s="243"/>
      <c r="H1059" s="243"/>
      <c r="I1059" s="243"/>
      <c r="J1059" s="325"/>
      <c r="K1059" s="326"/>
      <c r="L1059" s="327"/>
      <c r="M1059" s="321"/>
      <c r="N1059" s="176"/>
      <c r="O1059" s="176"/>
      <c r="P1059" s="176"/>
      <c r="Q1059" s="176"/>
      <c r="R1059" s="176"/>
      <c r="S1059" s="176"/>
      <c r="T1059" s="176"/>
      <c r="U1059" s="176"/>
      <c r="V1059" s="176"/>
      <c r="W1059" s="176"/>
      <c r="X1059" s="176"/>
      <c r="Y1059" s="176"/>
      <c r="Z1059" s="176"/>
    </row>
    <row r="1060">
      <c r="A1060" s="249"/>
      <c r="B1060" s="249"/>
      <c r="C1060" s="219"/>
      <c r="D1060" s="268"/>
      <c r="E1060" s="251"/>
      <c r="F1060" s="250"/>
      <c r="G1060" s="243"/>
      <c r="H1060" s="243"/>
      <c r="I1060" s="243"/>
      <c r="J1060" s="325"/>
      <c r="K1060" s="326"/>
      <c r="L1060" s="327"/>
      <c r="M1060" s="321"/>
      <c r="N1060" s="176"/>
      <c r="O1060" s="176"/>
      <c r="P1060" s="176"/>
      <c r="Q1060" s="176"/>
      <c r="R1060" s="176"/>
      <c r="S1060" s="176"/>
      <c r="T1060" s="176"/>
      <c r="U1060" s="176"/>
      <c r="V1060" s="176"/>
      <c r="W1060" s="176"/>
      <c r="X1060" s="176"/>
      <c r="Y1060" s="176"/>
      <c r="Z1060" s="176"/>
    </row>
    <row r="1061">
      <c r="A1061" s="249"/>
      <c r="B1061" s="249"/>
      <c r="C1061" s="219"/>
      <c r="D1061" s="268"/>
      <c r="E1061" s="251"/>
      <c r="F1061" s="250"/>
      <c r="G1061" s="243"/>
      <c r="H1061" s="243"/>
      <c r="I1061" s="243"/>
      <c r="J1061" s="325"/>
      <c r="K1061" s="326"/>
      <c r="L1061" s="327"/>
      <c r="M1061" s="321"/>
      <c r="N1061" s="176"/>
      <c r="O1061" s="176"/>
      <c r="P1061" s="176"/>
      <c r="Q1061" s="176"/>
      <c r="R1061" s="176"/>
      <c r="S1061" s="176"/>
      <c r="T1061" s="176"/>
      <c r="U1061" s="176"/>
      <c r="V1061" s="176"/>
      <c r="W1061" s="176"/>
      <c r="X1061" s="176"/>
      <c r="Y1061" s="176"/>
      <c r="Z1061" s="176"/>
    </row>
    <row r="1062">
      <c r="A1062" s="249"/>
      <c r="B1062" s="249"/>
      <c r="C1062" s="219"/>
      <c r="D1062" s="268"/>
      <c r="E1062" s="251"/>
      <c r="F1062" s="250"/>
      <c r="G1062" s="243"/>
      <c r="H1062" s="243"/>
      <c r="I1062" s="243"/>
      <c r="J1062" s="325"/>
      <c r="K1062" s="326"/>
      <c r="L1062" s="327"/>
      <c r="M1062" s="321"/>
      <c r="N1062" s="176"/>
      <c r="O1062" s="176"/>
      <c r="P1062" s="176"/>
      <c r="Q1062" s="176"/>
      <c r="R1062" s="176"/>
      <c r="S1062" s="176"/>
      <c r="T1062" s="176"/>
      <c r="U1062" s="176"/>
      <c r="V1062" s="176"/>
      <c r="W1062" s="176"/>
      <c r="X1062" s="176"/>
      <c r="Y1062" s="176"/>
      <c r="Z1062" s="176"/>
    </row>
    <row r="1063">
      <c r="A1063" s="249"/>
      <c r="B1063" s="249"/>
      <c r="C1063" s="219"/>
      <c r="D1063" s="268"/>
      <c r="E1063" s="251"/>
      <c r="F1063" s="250"/>
      <c r="G1063" s="243"/>
      <c r="H1063" s="243"/>
      <c r="I1063" s="243"/>
      <c r="J1063" s="325"/>
      <c r="K1063" s="326"/>
      <c r="L1063" s="327"/>
      <c r="M1063" s="321"/>
      <c r="N1063" s="176"/>
      <c r="O1063" s="176"/>
      <c r="P1063" s="176"/>
      <c r="Q1063" s="176"/>
      <c r="R1063" s="176"/>
      <c r="S1063" s="176"/>
      <c r="T1063" s="176"/>
      <c r="U1063" s="176"/>
      <c r="V1063" s="176"/>
      <c r="W1063" s="176"/>
      <c r="X1063" s="176"/>
      <c r="Y1063" s="176"/>
      <c r="Z1063" s="176"/>
    </row>
    <row r="1064">
      <c r="A1064" s="249"/>
      <c r="B1064" s="249"/>
      <c r="C1064" s="219"/>
      <c r="D1064" s="268"/>
      <c r="E1064" s="251"/>
      <c r="F1064" s="250"/>
      <c r="G1064" s="243"/>
      <c r="H1064" s="243"/>
      <c r="I1064" s="243"/>
      <c r="J1064" s="325"/>
      <c r="K1064" s="326"/>
      <c r="L1064" s="327"/>
      <c r="M1064" s="321"/>
      <c r="N1064" s="176"/>
      <c r="O1064" s="176"/>
      <c r="P1064" s="176"/>
      <c r="Q1064" s="176"/>
      <c r="R1064" s="176"/>
      <c r="S1064" s="176"/>
      <c r="T1064" s="176"/>
      <c r="U1064" s="176"/>
      <c r="V1064" s="176"/>
      <c r="W1064" s="176"/>
      <c r="X1064" s="176"/>
      <c r="Y1064" s="176"/>
      <c r="Z1064" s="176"/>
    </row>
    <row r="1065">
      <c r="A1065" s="249"/>
      <c r="B1065" s="249"/>
      <c r="C1065" s="219"/>
      <c r="D1065" s="268"/>
      <c r="E1065" s="251"/>
      <c r="F1065" s="250"/>
      <c r="G1065" s="243"/>
      <c r="H1065" s="243"/>
      <c r="I1065" s="243"/>
      <c r="J1065" s="325"/>
      <c r="K1065" s="326"/>
      <c r="L1065" s="327"/>
      <c r="M1065" s="321"/>
      <c r="N1065" s="176"/>
      <c r="O1065" s="176"/>
      <c r="P1065" s="176"/>
      <c r="Q1065" s="176"/>
      <c r="R1065" s="176"/>
      <c r="S1065" s="176"/>
      <c r="T1065" s="176"/>
      <c r="U1065" s="176"/>
      <c r="V1065" s="176"/>
      <c r="W1065" s="176"/>
      <c r="X1065" s="176"/>
      <c r="Y1065" s="176"/>
      <c r="Z1065" s="176"/>
    </row>
    <row r="1066">
      <c r="A1066" s="249"/>
      <c r="B1066" s="249"/>
      <c r="C1066" s="219"/>
      <c r="D1066" s="268"/>
      <c r="E1066" s="251"/>
      <c r="F1066" s="250"/>
      <c r="G1066" s="243"/>
      <c r="H1066" s="243"/>
      <c r="I1066" s="243"/>
      <c r="J1066" s="325"/>
      <c r="K1066" s="326"/>
      <c r="L1066" s="327"/>
      <c r="M1066" s="321"/>
      <c r="N1066" s="176"/>
      <c r="O1066" s="176"/>
      <c r="P1066" s="176"/>
      <c r="Q1066" s="176"/>
      <c r="R1066" s="176"/>
      <c r="S1066" s="176"/>
      <c r="T1066" s="176"/>
      <c r="U1066" s="176"/>
      <c r="V1066" s="176"/>
      <c r="W1066" s="176"/>
      <c r="X1066" s="176"/>
      <c r="Y1066" s="176"/>
      <c r="Z1066" s="176"/>
    </row>
    <row r="1067">
      <c r="A1067" s="249"/>
      <c r="B1067" s="249"/>
      <c r="C1067" s="219"/>
      <c r="D1067" s="268"/>
      <c r="E1067" s="251"/>
      <c r="F1067" s="250"/>
      <c r="G1067" s="243"/>
      <c r="H1067" s="243"/>
      <c r="I1067" s="243"/>
      <c r="J1067" s="325"/>
      <c r="K1067" s="326"/>
      <c r="L1067" s="327"/>
      <c r="M1067" s="321"/>
      <c r="N1067" s="176"/>
      <c r="O1067" s="176"/>
      <c r="P1067" s="176"/>
      <c r="Q1067" s="176"/>
      <c r="R1067" s="176"/>
      <c r="S1067" s="176"/>
      <c r="T1067" s="176"/>
      <c r="U1067" s="176"/>
      <c r="V1067" s="176"/>
      <c r="W1067" s="176"/>
      <c r="X1067" s="176"/>
      <c r="Y1067" s="176"/>
      <c r="Z1067" s="176"/>
    </row>
    <row r="1068">
      <c r="A1068" s="249"/>
      <c r="B1068" s="249"/>
      <c r="C1068" s="219"/>
      <c r="D1068" s="268"/>
      <c r="E1068" s="251"/>
      <c r="F1068" s="250"/>
      <c r="G1068" s="243"/>
      <c r="H1068" s="243"/>
      <c r="I1068" s="243"/>
      <c r="J1068" s="325"/>
      <c r="K1068" s="326"/>
      <c r="L1068" s="327"/>
      <c r="M1068" s="321"/>
      <c r="N1068" s="176"/>
      <c r="O1068" s="176"/>
      <c r="P1068" s="176"/>
      <c r="Q1068" s="176"/>
      <c r="R1068" s="176"/>
      <c r="S1068" s="176"/>
      <c r="T1068" s="176"/>
      <c r="U1068" s="176"/>
      <c r="V1068" s="176"/>
      <c r="W1068" s="176"/>
      <c r="X1068" s="176"/>
      <c r="Y1068" s="176"/>
      <c r="Z1068" s="176"/>
    </row>
    <row r="1069">
      <c r="A1069" s="249"/>
      <c r="B1069" s="249"/>
      <c r="C1069" s="219"/>
      <c r="D1069" s="268"/>
      <c r="E1069" s="251"/>
      <c r="F1069" s="250"/>
      <c r="G1069" s="243"/>
      <c r="H1069" s="243"/>
      <c r="I1069" s="243"/>
      <c r="J1069" s="325"/>
      <c r="K1069" s="326"/>
      <c r="L1069" s="327"/>
      <c r="M1069" s="321"/>
      <c r="N1069" s="176"/>
      <c r="O1069" s="176"/>
      <c r="P1069" s="176"/>
      <c r="Q1069" s="176"/>
      <c r="R1069" s="176"/>
      <c r="S1069" s="176"/>
      <c r="T1069" s="176"/>
      <c r="U1069" s="176"/>
      <c r="V1069" s="176"/>
      <c r="W1069" s="176"/>
      <c r="X1069" s="176"/>
      <c r="Y1069" s="176"/>
      <c r="Z1069" s="176"/>
    </row>
    <row r="1070">
      <c r="A1070" s="249"/>
      <c r="B1070" s="249"/>
      <c r="C1070" s="219"/>
      <c r="D1070" s="268"/>
      <c r="E1070" s="251"/>
      <c r="F1070" s="250"/>
      <c r="G1070" s="243"/>
      <c r="H1070" s="243"/>
      <c r="I1070" s="243"/>
      <c r="J1070" s="325"/>
      <c r="K1070" s="326"/>
      <c r="L1070" s="327"/>
      <c r="M1070" s="321"/>
      <c r="N1070" s="176"/>
      <c r="O1070" s="176"/>
      <c r="P1070" s="176"/>
      <c r="Q1070" s="176"/>
      <c r="R1070" s="176"/>
      <c r="S1070" s="176"/>
      <c r="T1070" s="176"/>
      <c r="U1070" s="176"/>
      <c r="V1070" s="176"/>
      <c r="W1070" s="176"/>
      <c r="X1070" s="176"/>
      <c r="Y1070" s="176"/>
      <c r="Z1070" s="176"/>
    </row>
    <row r="1071">
      <c r="A1071" s="249"/>
      <c r="B1071" s="249"/>
      <c r="C1071" s="219"/>
      <c r="D1071" s="268"/>
      <c r="E1071" s="251"/>
      <c r="F1071" s="250"/>
      <c r="G1071" s="243"/>
      <c r="H1071" s="243"/>
      <c r="I1071" s="243"/>
      <c r="J1071" s="325"/>
      <c r="K1071" s="326"/>
      <c r="L1071" s="327"/>
      <c r="M1071" s="321"/>
      <c r="N1071" s="176"/>
      <c r="O1071" s="176"/>
      <c r="P1071" s="176"/>
      <c r="Q1071" s="176"/>
      <c r="R1071" s="176"/>
      <c r="S1071" s="176"/>
      <c r="T1071" s="176"/>
      <c r="U1071" s="176"/>
      <c r="V1071" s="176"/>
      <c r="W1071" s="176"/>
      <c r="X1071" s="176"/>
      <c r="Y1071" s="176"/>
      <c r="Z1071" s="176"/>
    </row>
    <row r="1072">
      <c r="A1072" s="249"/>
      <c r="B1072" s="249"/>
      <c r="C1072" s="219"/>
      <c r="D1072" s="268"/>
      <c r="E1072" s="251"/>
      <c r="F1072" s="250"/>
      <c r="G1072" s="243"/>
      <c r="H1072" s="243"/>
      <c r="I1072" s="243"/>
      <c r="J1072" s="325"/>
      <c r="K1072" s="326"/>
      <c r="L1072" s="327"/>
      <c r="M1072" s="321"/>
      <c r="N1072" s="176"/>
      <c r="O1072" s="176"/>
      <c r="P1072" s="176"/>
      <c r="Q1072" s="176"/>
      <c r="R1072" s="176"/>
      <c r="S1072" s="176"/>
      <c r="T1072" s="176"/>
      <c r="U1072" s="176"/>
      <c r="V1072" s="176"/>
      <c r="W1072" s="176"/>
      <c r="X1072" s="176"/>
      <c r="Y1072" s="176"/>
      <c r="Z1072" s="176"/>
    </row>
    <row r="1073">
      <c r="A1073" s="249"/>
      <c r="B1073" s="249"/>
      <c r="C1073" s="219"/>
      <c r="D1073" s="268"/>
      <c r="E1073" s="251"/>
      <c r="F1073" s="250"/>
      <c r="G1073" s="243"/>
      <c r="H1073" s="243"/>
      <c r="I1073" s="243"/>
      <c r="J1073" s="325"/>
      <c r="K1073" s="326"/>
      <c r="L1073" s="327"/>
      <c r="M1073" s="321"/>
      <c r="N1073" s="176"/>
      <c r="O1073" s="176"/>
      <c r="P1073" s="176"/>
      <c r="Q1073" s="176"/>
      <c r="R1073" s="176"/>
      <c r="S1073" s="176"/>
      <c r="T1073" s="176"/>
      <c r="U1073" s="176"/>
      <c r="V1073" s="176"/>
      <c r="W1073" s="176"/>
      <c r="X1073" s="176"/>
      <c r="Y1073" s="176"/>
      <c r="Z1073" s="176"/>
    </row>
    <row r="1074">
      <c r="A1074" s="249"/>
      <c r="B1074" s="249"/>
      <c r="C1074" s="219"/>
      <c r="D1074" s="268"/>
      <c r="E1074" s="251"/>
      <c r="F1074" s="250"/>
      <c r="G1074" s="243"/>
      <c r="H1074" s="243"/>
      <c r="I1074" s="243"/>
      <c r="J1074" s="325"/>
      <c r="K1074" s="326"/>
      <c r="L1074" s="327"/>
      <c r="M1074" s="321"/>
      <c r="N1074" s="176"/>
      <c r="O1074" s="176"/>
      <c r="P1074" s="176"/>
      <c r="Q1074" s="176"/>
      <c r="R1074" s="176"/>
      <c r="S1074" s="176"/>
      <c r="T1074" s="176"/>
      <c r="U1074" s="176"/>
      <c r="V1074" s="176"/>
      <c r="W1074" s="176"/>
      <c r="X1074" s="176"/>
      <c r="Y1074" s="176"/>
      <c r="Z1074" s="176"/>
    </row>
    <row r="1075">
      <c r="A1075" s="249"/>
      <c r="B1075" s="249"/>
      <c r="C1075" s="219"/>
      <c r="D1075" s="268"/>
      <c r="E1075" s="251"/>
      <c r="F1075" s="250"/>
      <c r="G1075" s="243"/>
      <c r="H1075" s="243"/>
      <c r="I1075" s="243"/>
      <c r="J1075" s="325"/>
      <c r="K1075" s="326"/>
      <c r="L1075" s="327"/>
      <c r="M1075" s="321"/>
      <c r="N1075" s="176"/>
      <c r="O1075" s="176"/>
      <c r="P1075" s="176"/>
      <c r="Q1075" s="176"/>
      <c r="R1075" s="176"/>
      <c r="S1075" s="176"/>
      <c r="T1075" s="176"/>
      <c r="U1075" s="176"/>
      <c r="V1075" s="176"/>
      <c r="W1075" s="176"/>
      <c r="X1075" s="176"/>
      <c r="Y1075" s="176"/>
      <c r="Z1075" s="176"/>
    </row>
    <row r="1076">
      <c r="A1076" s="249"/>
      <c r="B1076" s="249"/>
      <c r="C1076" s="219"/>
      <c r="D1076" s="268"/>
      <c r="E1076" s="251"/>
      <c r="F1076" s="250"/>
      <c r="G1076" s="243"/>
      <c r="H1076" s="243"/>
      <c r="I1076" s="243"/>
      <c r="J1076" s="325"/>
      <c r="K1076" s="326"/>
      <c r="L1076" s="327"/>
      <c r="M1076" s="321"/>
      <c r="N1076" s="176"/>
      <c r="O1076" s="176"/>
      <c r="P1076" s="176"/>
      <c r="Q1076" s="176"/>
      <c r="R1076" s="176"/>
      <c r="S1076" s="176"/>
      <c r="T1076" s="176"/>
      <c r="U1076" s="176"/>
      <c r="V1076" s="176"/>
      <c r="W1076" s="176"/>
      <c r="X1076" s="176"/>
      <c r="Y1076" s="176"/>
      <c r="Z1076" s="176"/>
    </row>
    <row r="1077">
      <c r="A1077" s="249"/>
      <c r="B1077" s="249"/>
      <c r="C1077" s="219"/>
      <c r="D1077" s="268"/>
      <c r="E1077" s="251"/>
      <c r="F1077" s="250"/>
      <c r="G1077" s="243"/>
      <c r="H1077" s="243"/>
      <c r="I1077" s="243"/>
      <c r="J1077" s="325"/>
      <c r="K1077" s="326"/>
      <c r="L1077" s="327"/>
      <c r="M1077" s="321"/>
      <c r="N1077" s="176"/>
      <c r="O1077" s="176"/>
      <c r="P1077" s="176"/>
      <c r="Q1077" s="176"/>
      <c r="R1077" s="176"/>
      <c r="S1077" s="176"/>
      <c r="T1077" s="176"/>
      <c r="U1077" s="176"/>
      <c r="V1077" s="176"/>
      <c r="W1077" s="176"/>
      <c r="X1077" s="176"/>
      <c r="Y1077" s="176"/>
      <c r="Z1077" s="176"/>
    </row>
    <row r="1078">
      <c r="A1078" s="249"/>
      <c r="B1078" s="249"/>
      <c r="C1078" s="219"/>
      <c r="D1078" s="268"/>
      <c r="E1078" s="251"/>
      <c r="F1078" s="250"/>
      <c r="G1078" s="243"/>
      <c r="H1078" s="243"/>
      <c r="I1078" s="243"/>
      <c r="J1078" s="325"/>
      <c r="K1078" s="326"/>
      <c r="L1078" s="327"/>
      <c r="M1078" s="321"/>
      <c r="N1078" s="176"/>
      <c r="O1078" s="176"/>
      <c r="P1078" s="176"/>
      <c r="Q1078" s="176"/>
      <c r="R1078" s="176"/>
      <c r="S1078" s="176"/>
      <c r="T1078" s="176"/>
      <c r="U1078" s="176"/>
      <c r="V1078" s="176"/>
      <c r="W1078" s="176"/>
      <c r="X1078" s="176"/>
      <c r="Y1078" s="176"/>
      <c r="Z1078" s="176"/>
    </row>
    <row r="1079">
      <c r="A1079" s="249"/>
      <c r="B1079" s="249"/>
      <c r="C1079" s="219"/>
      <c r="D1079" s="268"/>
      <c r="E1079" s="251"/>
      <c r="F1079" s="250"/>
      <c r="G1079" s="243"/>
      <c r="H1079" s="243"/>
      <c r="I1079" s="243"/>
      <c r="J1079" s="325"/>
      <c r="K1079" s="326"/>
      <c r="L1079" s="327"/>
      <c r="M1079" s="321"/>
      <c r="N1079" s="176"/>
      <c r="O1079" s="176"/>
      <c r="P1079" s="176"/>
      <c r="Q1079" s="176"/>
      <c r="R1079" s="176"/>
      <c r="S1079" s="176"/>
      <c r="T1079" s="176"/>
      <c r="U1079" s="176"/>
      <c r="V1079" s="176"/>
      <c r="W1079" s="176"/>
      <c r="X1079" s="176"/>
      <c r="Y1079" s="176"/>
      <c r="Z1079" s="176"/>
    </row>
    <row r="1080">
      <c r="A1080" s="249"/>
      <c r="B1080" s="249"/>
      <c r="C1080" s="219"/>
      <c r="D1080" s="268"/>
      <c r="E1080" s="251"/>
      <c r="F1080" s="250"/>
      <c r="G1080" s="243"/>
      <c r="H1080" s="243"/>
      <c r="I1080" s="243"/>
      <c r="J1080" s="325"/>
      <c r="K1080" s="326"/>
      <c r="L1080" s="327"/>
      <c r="M1080" s="321"/>
      <c r="N1080" s="176"/>
      <c r="O1080" s="176"/>
      <c r="P1080" s="176"/>
      <c r="Q1080" s="176"/>
      <c r="R1080" s="176"/>
      <c r="S1080" s="176"/>
      <c r="T1080" s="176"/>
      <c r="U1080" s="176"/>
      <c r="V1080" s="176"/>
      <c r="W1080" s="176"/>
      <c r="X1080" s="176"/>
      <c r="Y1080" s="176"/>
      <c r="Z1080" s="176"/>
    </row>
    <row r="1081">
      <c r="A1081" s="249"/>
      <c r="B1081" s="249"/>
      <c r="C1081" s="219"/>
      <c r="D1081" s="268"/>
      <c r="E1081" s="251"/>
      <c r="F1081" s="250"/>
      <c r="G1081" s="243"/>
      <c r="H1081" s="243"/>
      <c r="I1081" s="243"/>
      <c r="J1081" s="325"/>
      <c r="K1081" s="326"/>
      <c r="L1081" s="327"/>
      <c r="M1081" s="321"/>
      <c r="N1081" s="176"/>
      <c r="O1081" s="176"/>
      <c r="P1081" s="176"/>
      <c r="Q1081" s="176"/>
      <c r="R1081" s="176"/>
      <c r="S1081" s="176"/>
      <c r="T1081" s="176"/>
      <c r="U1081" s="176"/>
      <c r="V1081" s="176"/>
      <c r="W1081" s="176"/>
      <c r="X1081" s="176"/>
      <c r="Y1081" s="176"/>
      <c r="Z1081" s="176"/>
    </row>
    <row r="1082">
      <c r="A1082" s="249"/>
      <c r="B1082" s="249"/>
      <c r="C1082" s="219"/>
      <c r="D1082" s="268"/>
      <c r="E1082" s="251"/>
      <c r="F1082" s="250"/>
      <c r="G1082" s="243"/>
      <c r="H1082" s="243"/>
      <c r="I1082" s="243"/>
      <c r="J1082" s="325"/>
      <c r="K1082" s="326"/>
      <c r="L1082" s="327"/>
      <c r="M1082" s="321"/>
      <c r="N1082" s="176"/>
      <c r="O1082" s="176"/>
      <c r="P1082" s="176"/>
      <c r="Q1082" s="176"/>
      <c r="R1082" s="176"/>
      <c r="S1082" s="176"/>
      <c r="T1082" s="176"/>
      <c r="U1082" s="176"/>
      <c r="V1082" s="176"/>
      <c r="W1082" s="176"/>
      <c r="X1082" s="176"/>
      <c r="Y1082" s="176"/>
      <c r="Z1082" s="176"/>
    </row>
    <row r="1083">
      <c r="A1083" s="249"/>
      <c r="B1083" s="249"/>
      <c r="C1083" s="219"/>
      <c r="D1083" s="268"/>
      <c r="E1083" s="251"/>
      <c r="F1083" s="250"/>
      <c r="G1083" s="243"/>
      <c r="H1083" s="243"/>
      <c r="I1083" s="243"/>
      <c r="J1083" s="325"/>
      <c r="K1083" s="326"/>
      <c r="L1083" s="327"/>
      <c r="M1083" s="321"/>
      <c r="N1083" s="176"/>
      <c r="O1083" s="176"/>
      <c r="P1083" s="176"/>
      <c r="Q1083" s="176"/>
      <c r="R1083" s="176"/>
      <c r="S1083" s="176"/>
      <c r="T1083" s="176"/>
      <c r="U1083" s="176"/>
      <c r="V1083" s="176"/>
      <c r="W1083" s="176"/>
      <c r="X1083" s="176"/>
      <c r="Y1083" s="176"/>
      <c r="Z1083" s="176"/>
    </row>
    <row r="1084">
      <c r="A1084" s="249"/>
      <c r="B1084" s="249"/>
      <c r="C1084" s="219"/>
      <c r="D1084" s="268"/>
      <c r="E1084" s="251"/>
      <c r="F1084" s="250"/>
      <c r="G1084" s="243"/>
      <c r="H1084" s="243"/>
      <c r="I1084" s="243"/>
      <c r="J1084" s="325"/>
      <c r="K1084" s="326"/>
      <c r="L1084" s="327"/>
      <c r="M1084" s="321"/>
      <c r="N1084" s="176"/>
      <c r="O1084" s="176"/>
      <c r="P1084" s="176"/>
      <c r="Q1084" s="176"/>
      <c r="R1084" s="176"/>
      <c r="S1084" s="176"/>
      <c r="T1084" s="176"/>
      <c r="U1084" s="176"/>
      <c r="V1084" s="176"/>
      <c r="W1084" s="176"/>
      <c r="X1084" s="176"/>
      <c r="Y1084" s="176"/>
      <c r="Z1084" s="176"/>
    </row>
    <row r="1085">
      <c r="A1085" s="249"/>
      <c r="B1085" s="249"/>
      <c r="C1085" s="219"/>
      <c r="D1085" s="268"/>
      <c r="E1085" s="251"/>
      <c r="F1085" s="250"/>
      <c r="G1085" s="243"/>
      <c r="H1085" s="243"/>
      <c r="I1085" s="243"/>
      <c r="J1085" s="325"/>
      <c r="K1085" s="326"/>
      <c r="L1085" s="327"/>
      <c r="M1085" s="321"/>
      <c r="N1085" s="176"/>
      <c r="O1085" s="176"/>
      <c r="P1085" s="176"/>
      <c r="Q1085" s="176"/>
      <c r="R1085" s="176"/>
      <c r="S1085" s="176"/>
      <c r="T1085" s="176"/>
      <c r="U1085" s="176"/>
      <c r="V1085" s="176"/>
      <c r="W1085" s="176"/>
      <c r="X1085" s="176"/>
      <c r="Y1085" s="176"/>
      <c r="Z1085" s="176"/>
    </row>
    <row r="1086">
      <c r="A1086" s="249"/>
      <c r="B1086" s="249"/>
      <c r="C1086" s="219"/>
      <c r="D1086" s="268"/>
      <c r="E1086" s="251"/>
      <c r="F1086" s="250"/>
      <c r="G1086" s="243"/>
      <c r="H1086" s="243"/>
      <c r="I1086" s="243"/>
      <c r="J1086" s="325"/>
      <c r="K1086" s="326"/>
      <c r="L1086" s="327"/>
      <c r="M1086" s="321"/>
      <c r="N1086" s="176"/>
      <c r="O1086" s="176"/>
      <c r="P1086" s="176"/>
      <c r="Q1086" s="176"/>
      <c r="R1086" s="176"/>
      <c r="S1086" s="176"/>
      <c r="T1086" s="176"/>
      <c r="U1086" s="176"/>
      <c r="V1086" s="176"/>
      <c r="W1086" s="176"/>
      <c r="X1086" s="176"/>
      <c r="Y1086" s="176"/>
      <c r="Z1086" s="176"/>
    </row>
    <row r="1087">
      <c r="A1087" s="249"/>
      <c r="B1087" s="249"/>
      <c r="C1087" s="219"/>
      <c r="D1087" s="268"/>
      <c r="E1087" s="251"/>
      <c r="F1087" s="250"/>
      <c r="G1087" s="243"/>
      <c r="H1087" s="243"/>
      <c r="I1087" s="243"/>
      <c r="J1087" s="325"/>
      <c r="K1087" s="326"/>
      <c r="L1087" s="327"/>
      <c r="M1087" s="321"/>
      <c r="N1087" s="176"/>
      <c r="O1087" s="176"/>
      <c r="P1087" s="176"/>
      <c r="Q1087" s="176"/>
      <c r="R1087" s="176"/>
      <c r="S1087" s="176"/>
      <c r="T1087" s="176"/>
      <c r="U1087" s="176"/>
      <c r="V1087" s="176"/>
      <c r="W1087" s="176"/>
      <c r="X1087" s="176"/>
      <c r="Y1087" s="176"/>
      <c r="Z1087" s="176"/>
    </row>
    <row r="1088">
      <c r="A1088" s="249"/>
      <c r="B1088" s="249"/>
      <c r="C1088" s="219"/>
      <c r="D1088" s="268"/>
      <c r="E1088" s="251"/>
      <c r="F1088" s="250"/>
      <c r="G1088" s="243"/>
      <c r="H1088" s="243"/>
      <c r="I1088" s="243"/>
      <c r="J1088" s="325"/>
      <c r="K1088" s="326"/>
      <c r="L1088" s="327"/>
      <c r="M1088" s="321"/>
      <c r="N1088" s="176"/>
      <c r="O1088" s="176"/>
      <c r="P1088" s="176"/>
      <c r="Q1088" s="176"/>
      <c r="R1088" s="176"/>
      <c r="S1088" s="176"/>
      <c r="T1088" s="176"/>
      <c r="U1088" s="176"/>
      <c r="V1088" s="176"/>
      <c r="W1088" s="176"/>
      <c r="X1088" s="176"/>
      <c r="Y1088" s="176"/>
      <c r="Z1088" s="176"/>
    </row>
    <row r="1089">
      <c r="A1089" s="249"/>
      <c r="B1089" s="249"/>
      <c r="C1089" s="219"/>
      <c r="D1089" s="268"/>
      <c r="E1089" s="251"/>
      <c r="F1089" s="250"/>
      <c r="G1089" s="243"/>
      <c r="H1089" s="243"/>
      <c r="I1089" s="243"/>
      <c r="J1089" s="325"/>
      <c r="K1089" s="326"/>
      <c r="L1089" s="327"/>
      <c r="M1089" s="321"/>
      <c r="N1089" s="176"/>
      <c r="O1089" s="176"/>
      <c r="P1089" s="176"/>
      <c r="Q1089" s="176"/>
      <c r="R1089" s="176"/>
      <c r="S1089" s="176"/>
      <c r="T1089" s="176"/>
      <c r="U1089" s="176"/>
      <c r="V1089" s="176"/>
      <c r="W1089" s="176"/>
      <c r="X1089" s="176"/>
      <c r="Y1089" s="176"/>
      <c r="Z1089" s="176"/>
    </row>
    <row r="1090">
      <c r="A1090" s="249"/>
      <c r="B1090" s="249"/>
      <c r="C1090" s="219"/>
      <c r="D1090" s="268"/>
      <c r="E1090" s="251"/>
      <c r="F1090" s="250"/>
      <c r="G1090" s="243"/>
      <c r="H1090" s="243"/>
      <c r="I1090" s="243"/>
      <c r="J1090" s="325"/>
      <c r="K1090" s="326"/>
      <c r="L1090" s="327"/>
      <c r="M1090" s="321"/>
      <c r="N1090" s="176"/>
      <c r="O1090" s="176"/>
      <c r="P1090" s="176"/>
      <c r="Q1090" s="176"/>
      <c r="R1090" s="176"/>
      <c r="S1090" s="176"/>
      <c r="T1090" s="176"/>
      <c r="U1090" s="176"/>
      <c r="V1090" s="176"/>
      <c r="W1090" s="176"/>
      <c r="X1090" s="176"/>
      <c r="Y1090" s="176"/>
      <c r="Z1090" s="176"/>
    </row>
    <row r="1091">
      <c r="A1091" s="249"/>
      <c r="B1091" s="249"/>
      <c r="C1091" s="219"/>
      <c r="D1091" s="268"/>
      <c r="E1091" s="251"/>
      <c r="F1091" s="250"/>
      <c r="G1091" s="243"/>
      <c r="H1091" s="243"/>
      <c r="I1091" s="243"/>
      <c r="J1091" s="325"/>
      <c r="K1091" s="326"/>
      <c r="L1091" s="327"/>
      <c r="M1091" s="321"/>
      <c r="N1091" s="176"/>
      <c r="O1091" s="176"/>
      <c r="P1091" s="176"/>
      <c r="Q1091" s="176"/>
      <c r="R1091" s="176"/>
      <c r="S1091" s="176"/>
      <c r="T1091" s="176"/>
      <c r="U1091" s="176"/>
      <c r="V1091" s="176"/>
      <c r="W1091" s="176"/>
      <c r="X1091" s="176"/>
      <c r="Y1091" s="176"/>
      <c r="Z1091" s="176"/>
    </row>
    <row r="1092">
      <c r="A1092" s="249"/>
      <c r="B1092" s="249"/>
      <c r="C1092" s="219"/>
      <c r="D1092" s="268"/>
      <c r="E1092" s="251"/>
      <c r="F1092" s="250"/>
      <c r="G1092" s="243"/>
      <c r="H1092" s="243"/>
      <c r="I1092" s="243"/>
      <c r="J1092" s="325"/>
      <c r="K1092" s="326"/>
      <c r="L1092" s="327"/>
      <c r="M1092" s="321"/>
      <c r="N1092" s="176"/>
      <c r="O1092" s="176"/>
      <c r="P1092" s="176"/>
      <c r="Q1092" s="176"/>
      <c r="R1092" s="176"/>
      <c r="S1092" s="176"/>
      <c r="T1092" s="176"/>
      <c r="U1092" s="176"/>
      <c r="V1092" s="176"/>
      <c r="W1092" s="176"/>
      <c r="X1092" s="176"/>
      <c r="Y1092" s="176"/>
      <c r="Z1092" s="176"/>
    </row>
    <row r="1093">
      <c r="A1093" s="249"/>
      <c r="B1093" s="249"/>
      <c r="C1093" s="219"/>
      <c r="D1093" s="268"/>
      <c r="E1093" s="251"/>
      <c r="F1093" s="250"/>
      <c r="G1093" s="243"/>
      <c r="H1093" s="243"/>
      <c r="I1093" s="243"/>
      <c r="J1093" s="325"/>
      <c r="K1093" s="326"/>
      <c r="L1093" s="327"/>
      <c r="M1093" s="321"/>
      <c r="N1093" s="176"/>
      <c r="O1093" s="176"/>
      <c r="P1093" s="176"/>
      <c r="Q1093" s="176"/>
      <c r="R1093" s="176"/>
      <c r="S1093" s="176"/>
      <c r="T1093" s="176"/>
      <c r="U1093" s="176"/>
      <c r="V1093" s="176"/>
      <c r="W1093" s="176"/>
      <c r="X1093" s="176"/>
      <c r="Y1093" s="176"/>
      <c r="Z1093" s="176"/>
    </row>
    <row r="1094">
      <c r="A1094" s="249"/>
      <c r="B1094" s="249"/>
      <c r="C1094" s="219"/>
      <c r="D1094" s="268"/>
      <c r="E1094" s="251"/>
      <c r="F1094" s="250"/>
      <c r="G1094" s="243"/>
      <c r="H1094" s="243"/>
      <c r="I1094" s="243"/>
      <c r="J1094" s="325"/>
      <c r="K1094" s="326"/>
      <c r="L1094" s="327"/>
      <c r="M1094" s="321"/>
      <c r="N1094" s="176"/>
      <c r="O1094" s="176"/>
      <c r="P1094" s="176"/>
      <c r="Q1094" s="176"/>
      <c r="R1094" s="176"/>
      <c r="S1094" s="176"/>
      <c r="T1094" s="176"/>
      <c r="U1094" s="176"/>
      <c r="V1094" s="176"/>
      <c r="W1094" s="176"/>
      <c r="X1094" s="176"/>
      <c r="Y1094" s="176"/>
      <c r="Z1094" s="176"/>
    </row>
    <row r="1095">
      <c r="A1095" s="249"/>
      <c r="B1095" s="249"/>
      <c r="C1095" s="219"/>
      <c r="D1095" s="268"/>
      <c r="E1095" s="251"/>
      <c r="F1095" s="250"/>
      <c r="G1095" s="243"/>
      <c r="H1095" s="243"/>
      <c r="I1095" s="243"/>
      <c r="J1095" s="325"/>
      <c r="K1095" s="326"/>
      <c r="L1095" s="327"/>
      <c r="M1095" s="321"/>
      <c r="N1095" s="176"/>
      <c r="O1095" s="176"/>
      <c r="P1095" s="176"/>
      <c r="Q1095" s="176"/>
      <c r="R1095" s="176"/>
      <c r="S1095" s="176"/>
      <c r="T1095" s="176"/>
      <c r="U1095" s="176"/>
      <c r="V1095" s="176"/>
      <c r="W1095" s="176"/>
      <c r="X1095" s="176"/>
      <c r="Y1095" s="176"/>
      <c r="Z1095" s="176"/>
    </row>
    <row r="1096">
      <c r="A1096" s="249"/>
      <c r="B1096" s="249"/>
      <c r="C1096" s="219"/>
      <c r="D1096" s="268"/>
      <c r="E1096" s="251"/>
      <c r="F1096" s="250"/>
      <c r="G1096" s="243"/>
      <c r="H1096" s="243"/>
      <c r="I1096" s="243"/>
      <c r="J1096" s="325"/>
      <c r="K1096" s="326"/>
      <c r="L1096" s="327"/>
      <c r="M1096" s="321"/>
      <c r="N1096" s="176"/>
      <c r="O1096" s="176"/>
      <c r="P1096" s="176"/>
      <c r="Q1096" s="176"/>
      <c r="R1096" s="176"/>
      <c r="S1096" s="176"/>
      <c r="T1096" s="176"/>
      <c r="U1096" s="176"/>
      <c r="V1096" s="176"/>
      <c r="W1096" s="176"/>
      <c r="X1096" s="176"/>
      <c r="Y1096" s="176"/>
      <c r="Z1096" s="176"/>
    </row>
    <row r="1097">
      <c r="A1097" s="249"/>
      <c r="B1097" s="249"/>
      <c r="C1097" s="219"/>
      <c r="D1097" s="268"/>
      <c r="E1097" s="251"/>
      <c r="F1097" s="250"/>
      <c r="G1097" s="243"/>
      <c r="H1097" s="243"/>
      <c r="I1097" s="243"/>
      <c r="J1097" s="325"/>
      <c r="K1097" s="326"/>
      <c r="L1097" s="327"/>
      <c r="M1097" s="321"/>
      <c r="N1097" s="176"/>
      <c r="O1097" s="176"/>
      <c r="P1097" s="176"/>
      <c r="Q1097" s="176"/>
      <c r="R1097" s="176"/>
      <c r="S1097" s="176"/>
      <c r="T1097" s="176"/>
      <c r="U1097" s="176"/>
      <c r="V1097" s="176"/>
      <c r="W1097" s="176"/>
      <c r="X1097" s="176"/>
      <c r="Y1097" s="176"/>
      <c r="Z1097" s="176"/>
    </row>
    <row r="1098">
      <c r="A1098" s="249"/>
      <c r="B1098" s="249"/>
      <c r="C1098" s="219"/>
      <c r="D1098" s="268"/>
      <c r="E1098" s="251"/>
      <c r="F1098" s="250"/>
      <c r="G1098" s="243"/>
      <c r="H1098" s="243"/>
      <c r="I1098" s="243"/>
      <c r="J1098" s="325"/>
      <c r="K1098" s="326"/>
      <c r="L1098" s="327"/>
      <c r="M1098" s="321"/>
      <c r="N1098" s="176"/>
      <c r="O1098" s="176"/>
      <c r="P1098" s="176"/>
      <c r="Q1098" s="176"/>
      <c r="R1098" s="176"/>
      <c r="S1098" s="176"/>
      <c r="T1098" s="176"/>
      <c r="U1098" s="176"/>
      <c r="V1098" s="176"/>
      <c r="W1098" s="176"/>
      <c r="X1098" s="176"/>
      <c r="Y1098" s="176"/>
      <c r="Z1098" s="176"/>
    </row>
    <row r="1099">
      <c r="A1099" s="249"/>
      <c r="B1099" s="249"/>
      <c r="C1099" s="219"/>
      <c r="D1099" s="268"/>
      <c r="E1099" s="251"/>
      <c r="F1099" s="250"/>
      <c r="G1099" s="243"/>
      <c r="H1099" s="243"/>
      <c r="I1099" s="243"/>
      <c r="J1099" s="325"/>
      <c r="K1099" s="326"/>
      <c r="L1099" s="327"/>
      <c r="M1099" s="321"/>
      <c r="N1099" s="176"/>
      <c r="O1099" s="176"/>
      <c r="P1099" s="176"/>
      <c r="Q1099" s="176"/>
      <c r="R1099" s="176"/>
      <c r="S1099" s="176"/>
      <c r="T1099" s="176"/>
      <c r="U1099" s="176"/>
      <c r="V1099" s="176"/>
      <c r="W1099" s="176"/>
      <c r="X1099" s="176"/>
      <c r="Y1099" s="176"/>
      <c r="Z1099" s="176"/>
    </row>
    <row r="1100">
      <c r="A1100" s="249"/>
      <c r="B1100" s="249"/>
      <c r="C1100" s="219"/>
      <c r="D1100" s="268"/>
      <c r="E1100" s="251"/>
      <c r="F1100" s="250"/>
      <c r="G1100" s="243"/>
      <c r="H1100" s="243"/>
      <c r="I1100" s="243"/>
      <c r="J1100" s="325"/>
      <c r="K1100" s="326"/>
      <c r="L1100" s="327"/>
      <c r="M1100" s="321"/>
      <c r="N1100" s="176"/>
      <c r="O1100" s="176"/>
      <c r="P1100" s="176"/>
      <c r="Q1100" s="176"/>
      <c r="R1100" s="176"/>
      <c r="S1100" s="176"/>
      <c r="T1100" s="176"/>
      <c r="U1100" s="176"/>
      <c r="V1100" s="176"/>
      <c r="W1100" s="176"/>
      <c r="X1100" s="176"/>
      <c r="Y1100" s="176"/>
      <c r="Z1100" s="176"/>
    </row>
    <row r="1101">
      <c r="A1101" s="249"/>
      <c r="B1101" s="249"/>
      <c r="C1101" s="219"/>
      <c r="D1101" s="268"/>
      <c r="E1101" s="251"/>
      <c r="F1101" s="250"/>
      <c r="G1101" s="243"/>
      <c r="H1101" s="243"/>
      <c r="I1101" s="243"/>
      <c r="J1101" s="325"/>
      <c r="K1101" s="326"/>
      <c r="L1101" s="327"/>
      <c r="M1101" s="321"/>
      <c r="N1101" s="176"/>
      <c r="O1101" s="176"/>
      <c r="P1101" s="176"/>
      <c r="Q1101" s="176"/>
      <c r="R1101" s="176"/>
      <c r="S1101" s="176"/>
      <c r="T1101" s="176"/>
      <c r="U1101" s="176"/>
      <c r="V1101" s="176"/>
      <c r="W1101" s="176"/>
      <c r="X1101" s="176"/>
      <c r="Y1101" s="176"/>
      <c r="Z1101" s="176"/>
    </row>
    <row r="1102">
      <c r="A1102" s="249"/>
      <c r="B1102" s="249"/>
      <c r="C1102" s="219"/>
      <c r="D1102" s="268"/>
      <c r="E1102" s="251"/>
      <c r="F1102" s="250"/>
      <c r="G1102" s="243"/>
      <c r="H1102" s="243"/>
      <c r="I1102" s="243"/>
      <c r="J1102" s="325"/>
      <c r="K1102" s="326"/>
      <c r="L1102" s="327"/>
      <c r="M1102" s="321"/>
      <c r="N1102" s="176"/>
      <c r="O1102" s="176"/>
      <c r="P1102" s="176"/>
      <c r="Q1102" s="176"/>
      <c r="R1102" s="176"/>
      <c r="S1102" s="176"/>
      <c r="T1102" s="176"/>
      <c r="U1102" s="176"/>
      <c r="V1102" s="176"/>
      <c r="W1102" s="176"/>
      <c r="X1102" s="176"/>
      <c r="Y1102" s="176"/>
      <c r="Z1102" s="176"/>
    </row>
    <row r="1103">
      <c r="A1103" s="249"/>
      <c r="B1103" s="249"/>
      <c r="C1103" s="219"/>
      <c r="D1103" s="268"/>
      <c r="E1103" s="251"/>
      <c r="F1103" s="250"/>
      <c r="G1103" s="243"/>
      <c r="H1103" s="243"/>
      <c r="I1103" s="243"/>
      <c r="J1103" s="325"/>
      <c r="K1103" s="326"/>
      <c r="L1103" s="327"/>
      <c r="M1103" s="321"/>
      <c r="N1103" s="176"/>
      <c r="O1103" s="176"/>
      <c r="P1103" s="176"/>
      <c r="Q1103" s="176"/>
      <c r="R1103" s="176"/>
      <c r="S1103" s="176"/>
      <c r="T1103" s="176"/>
      <c r="U1103" s="176"/>
      <c r="V1103" s="176"/>
      <c r="W1103" s="176"/>
      <c r="X1103" s="176"/>
      <c r="Y1103" s="176"/>
      <c r="Z1103" s="176"/>
    </row>
    <row r="1104">
      <c r="A1104" s="249"/>
      <c r="B1104" s="249"/>
      <c r="C1104" s="219"/>
      <c r="D1104" s="268"/>
      <c r="E1104" s="251"/>
      <c r="F1104" s="250"/>
      <c r="G1104" s="243"/>
      <c r="H1104" s="243"/>
      <c r="I1104" s="243"/>
      <c r="J1104" s="325"/>
      <c r="K1104" s="326"/>
      <c r="L1104" s="327"/>
      <c r="M1104" s="321"/>
      <c r="N1104" s="176"/>
      <c r="O1104" s="176"/>
      <c r="P1104" s="176"/>
      <c r="Q1104" s="176"/>
      <c r="R1104" s="176"/>
      <c r="S1104" s="176"/>
      <c r="T1104" s="176"/>
      <c r="U1104" s="176"/>
      <c r="V1104" s="176"/>
      <c r="W1104" s="176"/>
      <c r="X1104" s="176"/>
      <c r="Y1104" s="176"/>
      <c r="Z1104" s="176"/>
    </row>
    <row r="1105">
      <c r="A1105" s="249"/>
      <c r="B1105" s="249"/>
      <c r="C1105" s="219"/>
      <c r="D1105" s="268"/>
      <c r="E1105" s="251"/>
      <c r="F1105" s="250"/>
      <c r="G1105" s="243"/>
      <c r="H1105" s="243"/>
      <c r="I1105" s="243"/>
      <c r="J1105" s="325"/>
      <c r="K1105" s="326"/>
      <c r="L1105" s="327"/>
      <c r="M1105" s="321"/>
      <c r="N1105" s="176"/>
      <c r="O1105" s="176"/>
      <c r="P1105" s="176"/>
      <c r="Q1105" s="176"/>
      <c r="R1105" s="176"/>
      <c r="S1105" s="176"/>
      <c r="T1105" s="176"/>
      <c r="U1105" s="176"/>
      <c r="V1105" s="176"/>
      <c r="W1105" s="176"/>
      <c r="X1105" s="176"/>
      <c r="Y1105" s="176"/>
      <c r="Z1105" s="176"/>
    </row>
    <row r="1106">
      <c r="A1106" s="249"/>
      <c r="B1106" s="249"/>
      <c r="C1106" s="219"/>
      <c r="D1106" s="268"/>
      <c r="E1106" s="251"/>
      <c r="F1106" s="250"/>
      <c r="G1106" s="243"/>
      <c r="H1106" s="243"/>
      <c r="I1106" s="243"/>
      <c r="J1106" s="325"/>
      <c r="K1106" s="326"/>
      <c r="L1106" s="327"/>
      <c r="M1106" s="321"/>
      <c r="N1106" s="176"/>
      <c r="O1106" s="176"/>
      <c r="P1106" s="176"/>
      <c r="Q1106" s="176"/>
      <c r="R1106" s="176"/>
      <c r="S1106" s="176"/>
      <c r="T1106" s="176"/>
      <c r="U1106" s="176"/>
      <c r="V1106" s="176"/>
      <c r="W1106" s="176"/>
      <c r="X1106" s="176"/>
      <c r="Y1106" s="176"/>
      <c r="Z1106" s="176"/>
    </row>
    <row r="1107">
      <c r="A1107" s="249"/>
      <c r="B1107" s="249"/>
      <c r="C1107" s="219"/>
      <c r="D1107" s="268"/>
      <c r="E1107" s="251"/>
      <c r="F1107" s="250"/>
      <c r="G1107" s="243"/>
      <c r="H1107" s="243"/>
      <c r="I1107" s="243"/>
      <c r="J1107" s="325"/>
      <c r="K1107" s="326"/>
      <c r="L1107" s="327"/>
      <c r="M1107" s="321"/>
      <c r="N1107" s="176"/>
      <c r="O1107" s="176"/>
      <c r="P1107" s="176"/>
      <c r="Q1107" s="176"/>
      <c r="R1107" s="176"/>
      <c r="S1107" s="176"/>
      <c r="T1107" s="176"/>
      <c r="U1107" s="176"/>
      <c r="V1107" s="176"/>
      <c r="W1107" s="176"/>
      <c r="X1107" s="176"/>
      <c r="Y1107" s="176"/>
      <c r="Z1107" s="176"/>
    </row>
    <row r="1108">
      <c r="A1108" s="249"/>
      <c r="B1108" s="249"/>
      <c r="C1108" s="219"/>
      <c r="D1108" s="268"/>
      <c r="E1108" s="251"/>
      <c r="F1108" s="250"/>
      <c r="G1108" s="243"/>
      <c r="H1108" s="243"/>
      <c r="I1108" s="243"/>
      <c r="J1108" s="325"/>
      <c r="K1108" s="326"/>
      <c r="L1108" s="327"/>
      <c r="M1108" s="321"/>
      <c r="N1108" s="176"/>
      <c r="O1108" s="176"/>
      <c r="P1108" s="176"/>
      <c r="Q1108" s="176"/>
      <c r="R1108" s="176"/>
      <c r="S1108" s="176"/>
      <c r="T1108" s="176"/>
      <c r="U1108" s="176"/>
      <c r="V1108" s="176"/>
      <c r="W1108" s="176"/>
      <c r="X1108" s="176"/>
      <c r="Y1108" s="176"/>
      <c r="Z1108" s="176"/>
    </row>
    <row r="1109">
      <c r="A1109" s="249"/>
      <c r="B1109" s="249"/>
      <c r="C1109" s="219"/>
      <c r="D1109" s="268"/>
      <c r="E1109" s="251"/>
      <c r="F1109" s="250"/>
      <c r="G1109" s="243"/>
      <c r="H1109" s="243"/>
      <c r="I1109" s="243"/>
      <c r="J1109" s="325"/>
      <c r="K1109" s="326"/>
      <c r="L1109" s="327"/>
      <c r="M1109" s="321"/>
      <c r="N1109" s="176"/>
      <c r="O1109" s="176"/>
      <c r="P1109" s="176"/>
      <c r="Q1109" s="176"/>
      <c r="R1109" s="176"/>
      <c r="S1109" s="176"/>
      <c r="T1109" s="176"/>
      <c r="U1109" s="176"/>
      <c r="V1109" s="176"/>
      <c r="W1109" s="176"/>
      <c r="X1109" s="176"/>
      <c r="Y1109" s="176"/>
      <c r="Z1109" s="176"/>
    </row>
    <row r="1110">
      <c r="A1110" s="249"/>
      <c r="B1110" s="249"/>
      <c r="C1110" s="219"/>
      <c r="D1110" s="268"/>
      <c r="E1110" s="251"/>
      <c r="F1110" s="250"/>
      <c r="G1110" s="243"/>
      <c r="H1110" s="243"/>
      <c r="I1110" s="243"/>
      <c r="J1110" s="325"/>
      <c r="K1110" s="326"/>
      <c r="L1110" s="327"/>
      <c r="M1110" s="321"/>
      <c r="N1110" s="176"/>
      <c r="O1110" s="176"/>
      <c r="P1110" s="176"/>
      <c r="Q1110" s="176"/>
      <c r="R1110" s="176"/>
      <c r="S1110" s="176"/>
      <c r="T1110" s="176"/>
      <c r="U1110" s="176"/>
      <c r="V1110" s="176"/>
      <c r="W1110" s="176"/>
      <c r="X1110" s="176"/>
      <c r="Y1110" s="176"/>
      <c r="Z1110" s="176"/>
    </row>
    <row r="1111">
      <c r="A1111" s="249"/>
      <c r="B1111" s="249"/>
      <c r="C1111" s="219"/>
      <c r="D1111" s="268"/>
      <c r="E1111" s="251"/>
      <c r="F1111" s="250"/>
      <c r="G1111" s="243"/>
      <c r="H1111" s="243"/>
      <c r="I1111" s="243"/>
      <c r="J1111" s="325"/>
      <c r="K1111" s="326"/>
      <c r="L1111" s="327"/>
      <c r="M1111" s="321"/>
      <c r="N1111" s="176"/>
      <c r="O1111" s="176"/>
      <c r="P1111" s="176"/>
      <c r="Q1111" s="176"/>
      <c r="R1111" s="176"/>
      <c r="S1111" s="176"/>
      <c r="T1111" s="176"/>
      <c r="U1111" s="176"/>
      <c r="V1111" s="176"/>
      <c r="W1111" s="176"/>
      <c r="X1111" s="176"/>
      <c r="Y1111" s="176"/>
      <c r="Z1111" s="176"/>
    </row>
    <row r="1112">
      <c r="A1112" s="249"/>
      <c r="B1112" s="249"/>
      <c r="C1112" s="219"/>
      <c r="D1112" s="268"/>
      <c r="E1112" s="251"/>
      <c r="F1112" s="250"/>
      <c r="G1112" s="243"/>
      <c r="H1112" s="243"/>
      <c r="I1112" s="243"/>
      <c r="J1112" s="325"/>
      <c r="K1112" s="326"/>
      <c r="L1112" s="327"/>
      <c r="M1112" s="321"/>
      <c r="N1112" s="176"/>
      <c r="O1112" s="176"/>
      <c r="P1112" s="176"/>
      <c r="Q1112" s="176"/>
      <c r="R1112" s="176"/>
      <c r="S1112" s="176"/>
      <c r="T1112" s="176"/>
      <c r="U1112" s="176"/>
      <c r="V1112" s="176"/>
      <c r="W1112" s="176"/>
      <c r="X1112" s="176"/>
      <c r="Y1112" s="176"/>
      <c r="Z1112" s="176"/>
    </row>
    <row r="1113">
      <c r="A1113" s="249"/>
      <c r="B1113" s="249"/>
      <c r="C1113" s="219"/>
      <c r="D1113" s="268"/>
      <c r="E1113" s="251"/>
      <c r="F1113" s="250"/>
      <c r="G1113" s="243"/>
      <c r="H1113" s="243"/>
      <c r="I1113" s="243"/>
      <c r="J1113" s="325"/>
      <c r="K1113" s="326"/>
      <c r="L1113" s="327"/>
      <c r="M1113" s="321"/>
      <c r="N1113" s="176"/>
      <c r="O1113" s="176"/>
      <c r="P1113" s="176"/>
      <c r="Q1113" s="176"/>
      <c r="R1113" s="176"/>
      <c r="S1113" s="176"/>
      <c r="T1113" s="176"/>
      <c r="U1113" s="176"/>
      <c r="V1113" s="176"/>
      <c r="W1113" s="176"/>
      <c r="X1113" s="176"/>
      <c r="Y1113" s="176"/>
      <c r="Z1113" s="176"/>
    </row>
    <row r="1114">
      <c r="A1114" s="249"/>
      <c r="B1114" s="249"/>
      <c r="C1114" s="219"/>
      <c r="D1114" s="268"/>
      <c r="E1114" s="251"/>
      <c r="F1114" s="250"/>
      <c r="G1114" s="243"/>
      <c r="H1114" s="243"/>
      <c r="I1114" s="243"/>
      <c r="J1114" s="325"/>
      <c r="K1114" s="326"/>
      <c r="L1114" s="327"/>
      <c r="M1114" s="321"/>
      <c r="N1114" s="176"/>
      <c r="O1114" s="176"/>
      <c r="P1114" s="176"/>
      <c r="Q1114" s="176"/>
      <c r="R1114" s="176"/>
      <c r="S1114" s="176"/>
      <c r="T1114" s="176"/>
      <c r="U1114" s="176"/>
      <c r="V1114" s="176"/>
      <c r="W1114" s="176"/>
      <c r="X1114" s="176"/>
      <c r="Y1114" s="176"/>
      <c r="Z1114" s="176"/>
    </row>
    <row r="1115">
      <c r="A1115" s="249"/>
      <c r="B1115" s="249"/>
      <c r="C1115" s="219"/>
      <c r="D1115" s="268"/>
      <c r="E1115" s="251"/>
      <c r="F1115" s="250"/>
      <c r="G1115" s="243"/>
      <c r="H1115" s="243"/>
      <c r="I1115" s="243"/>
      <c r="J1115" s="325"/>
      <c r="K1115" s="326"/>
      <c r="L1115" s="327"/>
      <c r="M1115" s="321"/>
      <c r="N1115" s="176"/>
      <c r="O1115" s="176"/>
      <c r="P1115" s="176"/>
      <c r="Q1115" s="176"/>
      <c r="R1115" s="176"/>
      <c r="S1115" s="176"/>
      <c r="T1115" s="176"/>
      <c r="U1115" s="176"/>
      <c r="V1115" s="176"/>
      <c r="W1115" s="176"/>
      <c r="X1115" s="176"/>
      <c r="Y1115" s="176"/>
      <c r="Z1115" s="176"/>
    </row>
    <row r="1116">
      <c r="A1116" s="249"/>
      <c r="B1116" s="249"/>
      <c r="C1116" s="219"/>
      <c r="D1116" s="268"/>
      <c r="E1116" s="251"/>
      <c r="F1116" s="250"/>
      <c r="G1116" s="243"/>
      <c r="H1116" s="243"/>
      <c r="I1116" s="243"/>
      <c r="J1116" s="325"/>
      <c r="K1116" s="326"/>
      <c r="L1116" s="327"/>
      <c r="M1116" s="321"/>
      <c r="N1116" s="176"/>
      <c r="O1116" s="176"/>
      <c r="P1116" s="176"/>
      <c r="Q1116" s="176"/>
      <c r="R1116" s="176"/>
      <c r="S1116" s="176"/>
      <c r="T1116" s="176"/>
      <c r="U1116" s="176"/>
      <c r="V1116" s="176"/>
      <c r="W1116" s="176"/>
      <c r="X1116" s="176"/>
      <c r="Y1116" s="176"/>
      <c r="Z1116" s="176"/>
    </row>
    <row r="1117">
      <c r="A1117" s="249"/>
      <c r="B1117" s="249"/>
      <c r="C1117" s="219"/>
      <c r="D1117" s="268"/>
      <c r="E1117" s="251"/>
      <c r="F1117" s="250"/>
      <c r="G1117" s="243"/>
      <c r="H1117" s="243"/>
      <c r="I1117" s="243"/>
      <c r="J1117" s="325"/>
      <c r="K1117" s="326"/>
      <c r="L1117" s="327"/>
      <c r="M1117" s="321"/>
      <c r="N1117" s="176"/>
      <c r="O1117" s="176"/>
      <c r="P1117" s="176"/>
      <c r="Q1117" s="176"/>
      <c r="R1117" s="176"/>
      <c r="S1117" s="176"/>
      <c r="T1117" s="176"/>
      <c r="U1117" s="176"/>
      <c r="V1117" s="176"/>
      <c r="W1117" s="176"/>
      <c r="X1117" s="176"/>
      <c r="Y1117" s="176"/>
      <c r="Z1117" s="176"/>
    </row>
    <row r="1118">
      <c r="A1118" s="249"/>
      <c r="B1118" s="249"/>
      <c r="C1118" s="219"/>
      <c r="D1118" s="268"/>
      <c r="E1118" s="251"/>
      <c r="F1118" s="250"/>
      <c r="G1118" s="243"/>
      <c r="H1118" s="243"/>
      <c r="I1118" s="243"/>
      <c r="J1118" s="325"/>
      <c r="K1118" s="326"/>
      <c r="L1118" s="327"/>
      <c r="M1118" s="321"/>
      <c r="N1118" s="176"/>
      <c r="O1118" s="176"/>
      <c r="P1118" s="176"/>
      <c r="Q1118" s="176"/>
      <c r="R1118" s="176"/>
      <c r="S1118" s="176"/>
      <c r="T1118" s="176"/>
      <c r="U1118" s="176"/>
      <c r="V1118" s="176"/>
      <c r="W1118" s="176"/>
      <c r="X1118" s="176"/>
      <c r="Y1118" s="176"/>
      <c r="Z1118" s="176"/>
    </row>
    <row r="1119">
      <c r="A1119" s="249"/>
      <c r="B1119" s="249"/>
      <c r="C1119" s="219"/>
      <c r="D1119" s="268"/>
      <c r="E1119" s="251"/>
      <c r="F1119" s="250"/>
      <c r="G1119" s="243"/>
      <c r="H1119" s="243"/>
      <c r="I1119" s="243"/>
      <c r="J1119" s="325"/>
      <c r="K1119" s="326"/>
      <c r="L1119" s="327"/>
      <c r="M1119" s="321"/>
      <c r="N1119" s="176"/>
      <c r="O1119" s="176"/>
      <c r="P1119" s="176"/>
      <c r="Q1119" s="176"/>
      <c r="R1119" s="176"/>
      <c r="S1119" s="176"/>
      <c r="T1119" s="176"/>
      <c r="U1119" s="176"/>
      <c r="V1119" s="176"/>
      <c r="W1119" s="176"/>
      <c r="X1119" s="176"/>
      <c r="Y1119" s="176"/>
      <c r="Z1119" s="176"/>
    </row>
    <row r="1120">
      <c r="A1120" s="249"/>
      <c r="B1120" s="249"/>
      <c r="C1120" s="219"/>
      <c r="D1120" s="268"/>
      <c r="E1120" s="251"/>
      <c r="F1120" s="250"/>
      <c r="G1120" s="243"/>
      <c r="H1120" s="243"/>
      <c r="I1120" s="243"/>
      <c r="J1120" s="325"/>
      <c r="K1120" s="326"/>
      <c r="L1120" s="327"/>
      <c r="M1120" s="321"/>
      <c r="N1120" s="176"/>
      <c r="O1120" s="176"/>
      <c r="P1120" s="176"/>
      <c r="Q1120" s="176"/>
      <c r="R1120" s="176"/>
      <c r="S1120" s="176"/>
      <c r="T1120" s="176"/>
      <c r="U1120" s="176"/>
      <c r="V1120" s="176"/>
      <c r="W1120" s="176"/>
      <c r="X1120" s="176"/>
      <c r="Y1120" s="176"/>
      <c r="Z1120" s="176"/>
    </row>
    <row r="1121">
      <c r="A1121" s="249"/>
      <c r="B1121" s="249"/>
      <c r="C1121" s="219"/>
      <c r="D1121" s="268"/>
      <c r="E1121" s="251"/>
      <c r="F1121" s="250"/>
      <c r="G1121" s="243"/>
      <c r="H1121" s="243"/>
      <c r="I1121" s="243"/>
      <c r="J1121" s="325"/>
      <c r="K1121" s="326"/>
      <c r="L1121" s="327"/>
      <c r="M1121" s="321"/>
      <c r="N1121" s="176"/>
      <c r="O1121" s="176"/>
      <c r="P1121" s="176"/>
      <c r="Q1121" s="176"/>
      <c r="R1121" s="176"/>
      <c r="S1121" s="176"/>
      <c r="T1121" s="176"/>
      <c r="U1121" s="176"/>
      <c r="V1121" s="176"/>
      <c r="W1121" s="176"/>
      <c r="X1121" s="176"/>
      <c r="Y1121" s="176"/>
      <c r="Z1121" s="176"/>
    </row>
    <row r="1122">
      <c r="A1122" s="249"/>
      <c r="B1122" s="249"/>
      <c r="C1122" s="219"/>
      <c r="D1122" s="268"/>
      <c r="E1122" s="251"/>
      <c r="F1122" s="250"/>
      <c r="G1122" s="243"/>
      <c r="H1122" s="243"/>
      <c r="I1122" s="243"/>
      <c r="J1122" s="325"/>
      <c r="K1122" s="326"/>
      <c r="L1122" s="327"/>
      <c r="M1122" s="321"/>
      <c r="N1122" s="176"/>
      <c r="O1122" s="176"/>
      <c r="P1122" s="176"/>
      <c r="Q1122" s="176"/>
      <c r="R1122" s="176"/>
      <c r="S1122" s="176"/>
      <c r="T1122" s="176"/>
      <c r="U1122" s="176"/>
      <c r="V1122" s="176"/>
      <c r="W1122" s="176"/>
      <c r="X1122" s="176"/>
      <c r="Y1122" s="176"/>
      <c r="Z1122" s="176"/>
    </row>
    <row r="1123">
      <c r="A1123" s="249"/>
      <c r="B1123" s="249"/>
      <c r="C1123" s="219"/>
      <c r="D1123" s="268"/>
      <c r="E1123" s="251"/>
      <c r="F1123" s="250"/>
      <c r="G1123" s="243"/>
      <c r="H1123" s="243"/>
      <c r="I1123" s="243"/>
      <c r="J1123" s="325"/>
      <c r="K1123" s="326"/>
      <c r="L1123" s="327"/>
      <c r="M1123" s="321"/>
      <c r="N1123" s="176"/>
      <c r="O1123" s="176"/>
      <c r="P1123" s="176"/>
      <c r="Q1123" s="176"/>
      <c r="R1123" s="176"/>
      <c r="S1123" s="176"/>
      <c r="T1123" s="176"/>
      <c r="U1123" s="176"/>
      <c r="V1123" s="176"/>
      <c r="W1123" s="176"/>
      <c r="X1123" s="176"/>
      <c r="Y1123" s="176"/>
      <c r="Z1123" s="176"/>
    </row>
    <row r="1124">
      <c r="A1124" s="249"/>
      <c r="B1124" s="249"/>
      <c r="C1124" s="219"/>
      <c r="D1124" s="268"/>
      <c r="E1124" s="251"/>
      <c r="F1124" s="250"/>
      <c r="G1124" s="243"/>
      <c r="H1124" s="243"/>
      <c r="I1124" s="243"/>
      <c r="J1124" s="325"/>
      <c r="K1124" s="326"/>
      <c r="L1124" s="327"/>
      <c r="M1124" s="321"/>
      <c r="N1124" s="176"/>
      <c r="O1124" s="176"/>
      <c r="P1124" s="176"/>
      <c r="Q1124" s="176"/>
      <c r="R1124" s="176"/>
      <c r="S1124" s="176"/>
      <c r="T1124" s="176"/>
      <c r="U1124" s="176"/>
      <c r="V1124" s="176"/>
      <c r="W1124" s="176"/>
      <c r="X1124" s="176"/>
      <c r="Y1124" s="176"/>
      <c r="Z1124" s="176"/>
    </row>
    <row r="1125">
      <c r="A1125" s="249"/>
      <c r="B1125" s="249"/>
      <c r="C1125" s="219"/>
      <c r="D1125" s="268"/>
      <c r="E1125" s="251"/>
      <c r="F1125" s="250"/>
      <c r="G1125" s="243"/>
      <c r="H1125" s="243"/>
      <c r="I1125" s="243"/>
      <c r="J1125" s="325"/>
      <c r="K1125" s="326"/>
      <c r="L1125" s="327"/>
      <c r="M1125" s="321"/>
      <c r="N1125" s="176"/>
      <c r="O1125" s="176"/>
      <c r="P1125" s="176"/>
      <c r="Q1125" s="176"/>
      <c r="R1125" s="176"/>
      <c r="S1125" s="176"/>
      <c r="T1125" s="176"/>
      <c r="U1125" s="176"/>
      <c r="V1125" s="176"/>
      <c r="W1125" s="176"/>
      <c r="X1125" s="176"/>
      <c r="Y1125" s="176"/>
      <c r="Z1125" s="176"/>
    </row>
    <row r="1126">
      <c r="A1126" s="249"/>
      <c r="B1126" s="249"/>
      <c r="C1126" s="219"/>
      <c r="D1126" s="268"/>
      <c r="E1126" s="251"/>
      <c r="F1126" s="250"/>
      <c r="G1126" s="243"/>
      <c r="H1126" s="243"/>
      <c r="I1126" s="243"/>
      <c r="J1126" s="325"/>
      <c r="K1126" s="326"/>
      <c r="L1126" s="327"/>
      <c r="M1126" s="321"/>
      <c r="N1126" s="176"/>
      <c r="O1126" s="176"/>
      <c r="P1126" s="176"/>
      <c r="Q1126" s="176"/>
      <c r="R1126" s="176"/>
      <c r="S1126" s="176"/>
      <c r="T1126" s="176"/>
      <c r="U1126" s="176"/>
      <c r="V1126" s="176"/>
      <c r="W1126" s="176"/>
      <c r="X1126" s="176"/>
      <c r="Y1126" s="176"/>
      <c r="Z1126" s="176"/>
    </row>
    <row r="1127">
      <c r="A1127" s="249"/>
      <c r="B1127" s="249"/>
      <c r="C1127" s="219"/>
      <c r="D1127" s="268"/>
      <c r="E1127" s="251"/>
      <c r="F1127" s="250"/>
      <c r="G1127" s="243"/>
      <c r="H1127" s="243"/>
      <c r="I1127" s="243"/>
      <c r="J1127" s="325"/>
      <c r="K1127" s="326"/>
      <c r="L1127" s="327"/>
      <c r="M1127" s="321"/>
      <c r="N1127" s="176"/>
      <c r="O1127" s="176"/>
      <c r="P1127" s="176"/>
      <c r="Q1127" s="176"/>
      <c r="R1127" s="176"/>
      <c r="S1127" s="176"/>
      <c r="T1127" s="176"/>
      <c r="U1127" s="176"/>
      <c r="V1127" s="176"/>
      <c r="W1127" s="176"/>
      <c r="X1127" s="176"/>
      <c r="Y1127" s="176"/>
      <c r="Z1127" s="176"/>
    </row>
    <row r="1128">
      <c r="A1128" s="249"/>
      <c r="B1128" s="249"/>
      <c r="C1128" s="219"/>
      <c r="D1128" s="268"/>
      <c r="E1128" s="251"/>
      <c r="F1128" s="250"/>
      <c r="G1128" s="243"/>
      <c r="H1128" s="243"/>
      <c r="I1128" s="243"/>
      <c r="J1128" s="325"/>
      <c r="K1128" s="326"/>
      <c r="L1128" s="327"/>
      <c r="M1128" s="321"/>
      <c r="N1128" s="176"/>
      <c r="O1128" s="176"/>
      <c r="P1128" s="176"/>
      <c r="Q1128" s="176"/>
      <c r="R1128" s="176"/>
      <c r="S1128" s="176"/>
      <c r="T1128" s="176"/>
      <c r="U1128" s="176"/>
      <c r="V1128" s="176"/>
      <c r="W1128" s="176"/>
      <c r="X1128" s="176"/>
      <c r="Y1128" s="176"/>
      <c r="Z1128" s="176"/>
    </row>
    <row r="1129">
      <c r="A1129" s="249"/>
      <c r="B1129" s="249"/>
      <c r="C1129" s="219"/>
      <c r="D1129" s="268"/>
      <c r="E1129" s="251"/>
      <c r="F1129" s="250"/>
      <c r="G1129" s="243"/>
      <c r="H1129" s="243"/>
      <c r="I1129" s="243"/>
      <c r="J1129" s="325"/>
      <c r="K1129" s="326"/>
      <c r="L1129" s="327"/>
      <c r="M1129" s="321"/>
      <c r="N1129" s="176"/>
      <c r="O1129" s="176"/>
      <c r="P1129" s="176"/>
      <c r="Q1129" s="176"/>
      <c r="R1129" s="176"/>
      <c r="S1129" s="176"/>
      <c r="T1129" s="176"/>
      <c r="U1129" s="176"/>
      <c r="V1129" s="176"/>
      <c r="W1129" s="176"/>
      <c r="X1129" s="176"/>
      <c r="Y1129" s="176"/>
      <c r="Z1129" s="176"/>
    </row>
    <row r="1130">
      <c r="A1130" s="249"/>
      <c r="B1130" s="249"/>
      <c r="C1130" s="219"/>
      <c r="D1130" s="268"/>
      <c r="E1130" s="251"/>
      <c r="F1130" s="250"/>
      <c r="G1130" s="243"/>
      <c r="H1130" s="243"/>
      <c r="I1130" s="243"/>
      <c r="J1130" s="325"/>
      <c r="K1130" s="326"/>
      <c r="L1130" s="327"/>
      <c r="M1130" s="321"/>
      <c r="N1130" s="176"/>
      <c r="O1130" s="176"/>
      <c r="P1130" s="176"/>
      <c r="Q1130" s="176"/>
      <c r="R1130" s="176"/>
      <c r="S1130" s="176"/>
      <c r="T1130" s="176"/>
      <c r="U1130" s="176"/>
      <c r="V1130" s="176"/>
      <c r="W1130" s="176"/>
      <c r="X1130" s="176"/>
      <c r="Y1130" s="176"/>
      <c r="Z1130" s="176"/>
    </row>
    <row r="1131">
      <c r="A1131" s="249"/>
      <c r="B1131" s="249"/>
      <c r="C1131" s="219"/>
      <c r="D1131" s="268"/>
      <c r="E1131" s="251"/>
      <c r="F1131" s="250"/>
      <c r="G1131" s="243"/>
      <c r="H1131" s="243"/>
      <c r="I1131" s="243"/>
      <c r="J1131" s="325"/>
      <c r="K1131" s="326"/>
      <c r="L1131" s="327"/>
      <c r="M1131" s="321"/>
      <c r="N1131" s="176"/>
      <c r="O1131" s="176"/>
      <c r="P1131" s="176"/>
      <c r="Q1131" s="176"/>
      <c r="R1131" s="176"/>
      <c r="S1131" s="176"/>
      <c r="T1131" s="176"/>
      <c r="U1131" s="176"/>
      <c r="V1131" s="176"/>
      <c r="W1131" s="176"/>
      <c r="X1131" s="176"/>
      <c r="Y1131" s="176"/>
      <c r="Z1131" s="176"/>
    </row>
    <row r="1132">
      <c r="A1132" s="249"/>
      <c r="B1132" s="249"/>
      <c r="C1132" s="219"/>
      <c r="D1132" s="268"/>
      <c r="E1132" s="251"/>
      <c r="F1132" s="250"/>
      <c r="G1132" s="243"/>
      <c r="H1132" s="243"/>
      <c r="I1132" s="243"/>
      <c r="J1132" s="325"/>
      <c r="K1132" s="326"/>
      <c r="L1132" s="327"/>
      <c r="M1132" s="321"/>
      <c r="N1132" s="176"/>
      <c r="O1132" s="176"/>
      <c r="P1132" s="176"/>
      <c r="Q1132" s="176"/>
      <c r="R1132" s="176"/>
      <c r="S1132" s="176"/>
      <c r="T1132" s="176"/>
      <c r="U1132" s="176"/>
      <c r="V1132" s="176"/>
      <c r="W1132" s="176"/>
      <c r="X1132" s="176"/>
      <c r="Y1132" s="176"/>
      <c r="Z1132" s="176"/>
    </row>
    <row r="1133">
      <c r="A1133" s="249"/>
      <c r="B1133" s="249"/>
      <c r="C1133" s="219"/>
      <c r="D1133" s="268"/>
      <c r="E1133" s="251"/>
      <c r="F1133" s="250"/>
      <c r="G1133" s="243"/>
      <c r="H1133" s="243"/>
      <c r="I1133" s="243"/>
      <c r="J1133" s="325"/>
      <c r="K1133" s="326"/>
      <c r="L1133" s="327"/>
      <c r="M1133" s="321"/>
      <c r="N1133" s="176"/>
      <c r="O1133" s="176"/>
      <c r="P1133" s="176"/>
      <c r="Q1133" s="176"/>
      <c r="R1133" s="176"/>
      <c r="S1133" s="176"/>
      <c r="T1133" s="176"/>
      <c r="U1133" s="176"/>
      <c r="V1133" s="176"/>
      <c r="W1133" s="176"/>
      <c r="X1133" s="176"/>
      <c r="Y1133" s="176"/>
      <c r="Z1133" s="176"/>
    </row>
    <row r="1134">
      <c r="A1134" s="249"/>
      <c r="B1134" s="249"/>
      <c r="C1134" s="219"/>
      <c r="D1134" s="268"/>
      <c r="E1134" s="251"/>
      <c r="F1134" s="250"/>
      <c r="G1134" s="243"/>
      <c r="H1134" s="243"/>
      <c r="I1134" s="243"/>
      <c r="J1134" s="325"/>
      <c r="K1134" s="326"/>
      <c r="L1134" s="327"/>
      <c r="M1134" s="321"/>
      <c r="N1134" s="176"/>
      <c r="O1134" s="176"/>
      <c r="P1134" s="176"/>
      <c r="Q1134" s="176"/>
      <c r="R1134" s="176"/>
      <c r="S1134" s="176"/>
      <c r="T1134" s="176"/>
      <c r="U1134" s="176"/>
      <c r="V1134" s="176"/>
      <c r="W1134" s="176"/>
      <c r="X1134" s="176"/>
      <c r="Y1134" s="176"/>
      <c r="Z1134" s="176"/>
    </row>
    <row r="1135">
      <c r="A1135" s="249"/>
      <c r="B1135" s="249"/>
      <c r="C1135" s="219"/>
      <c r="D1135" s="268"/>
      <c r="E1135" s="251"/>
      <c r="F1135" s="250"/>
      <c r="G1135" s="243"/>
      <c r="H1135" s="243"/>
      <c r="I1135" s="243"/>
      <c r="J1135" s="325"/>
      <c r="K1135" s="326"/>
      <c r="L1135" s="327"/>
      <c r="M1135" s="321"/>
      <c r="N1135" s="176"/>
      <c r="O1135" s="176"/>
      <c r="P1135" s="176"/>
      <c r="Q1135" s="176"/>
      <c r="R1135" s="176"/>
      <c r="S1135" s="176"/>
      <c r="T1135" s="176"/>
      <c r="U1135" s="176"/>
      <c r="V1135" s="176"/>
      <c r="W1135" s="176"/>
      <c r="X1135" s="176"/>
      <c r="Y1135" s="176"/>
      <c r="Z1135" s="176"/>
    </row>
    <row r="1136">
      <c r="A1136" s="249"/>
      <c r="B1136" s="249"/>
      <c r="C1136" s="219"/>
      <c r="D1136" s="268"/>
      <c r="E1136" s="251"/>
      <c r="F1136" s="250"/>
      <c r="G1136" s="243"/>
      <c r="H1136" s="243"/>
      <c r="I1136" s="243"/>
      <c r="J1136" s="325"/>
      <c r="K1136" s="326"/>
      <c r="L1136" s="327"/>
      <c r="M1136" s="321"/>
      <c r="N1136" s="176"/>
      <c r="O1136" s="176"/>
      <c r="P1136" s="176"/>
      <c r="Q1136" s="176"/>
      <c r="R1136" s="176"/>
      <c r="S1136" s="176"/>
      <c r="T1136" s="176"/>
      <c r="U1136" s="176"/>
      <c r="V1136" s="176"/>
      <c r="W1136" s="176"/>
      <c r="X1136" s="176"/>
      <c r="Y1136" s="176"/>
      <c r="Z1136" s="176"/>
    </row>
    <row r="1137">
      <c r="A1137" s="249"/>
      <c r="B1137" s="249"/>
      <c r="C1137" s="219"/>
      <c r="D1137" s="268"/>
      <c r="E1137" s="251"/>
      <c r="F1137" s="250"/>
      <c r="G1137" s="243"/>
      <c r="H1137" s="243"/>
      <c r="I1137" s="243"/>
      <c r="J1137" s="325"/>
      <c r="K1137" s="326"/>
      <c r="L1137" s="327"/>
      <c r="M1137" s="321"/>
      <c r="N1137" s="176"/>
      <c r="O1137" s="176"/>
      <c r="P1137" s="176"/>
      <c r="Q1137" s="176"/>
      <c r="R1137" s="176"/>
      <c r="S1137" s="176"/>
      <c r="T1137" s="176"/>
      <c r="U1137" s="176"/>
      <c r="V1137" s="176"/>
      <c r="W1137" s="176"/>
      <c r="X1137" s="176"/>
      <c r="Y1137" s="176"/>
      <c r="Z1137" s="176"/>
    </row>
    <row r="1138">
      <c r="A1138" s="249"/>
      <c r="B1138" s="249"/>
      <c r="C1138" s="219"/>
      <c r="D1138" s="268"/>
      <c r="E1138" s="251"/>
      <c r="F1138" s="250"/>
      <c r="G1138" s="243"/>
      <c r="H1138" s="243"/>
      <c r="I1138" s="243"/>
      <c r="J1138" s="325"/>
      <c r="K1138" s="326"/>
      <c r="L1138" s="327"/>
      <c r="M1138" s="321"/>
      <c r="N1138" s="176"/>
      <c r="O1138" s="176"/>
      <c r="P1138" s="176"/>
      <c r="Q1138" s="176"/>
      <c r="R1138" s="176"/>
      <c r="S1138" s="176"/>
      <c r="T1138" s="176"/>
      <c r="U1138" s="176"/>
      <c r="V1138" s="176"/>
      <c r="W1138" s="176"/>
      <c r="X1138" s="176"/>
      <c r="Y1138" s="176"/>
      <c r="Z1138" s="176"/>
    </row>
    <row r="1139">
      <c r="A1139" s="249"/>
      <c r="B1139" s="249"/>
      <c r="C1139" s="219"/>
      <c r="D1139" s="268"/>
      <c r="E1139" s="251"/>
      <c r="F1139" s="250"/>
      <c r="G1139" s="243"/>
      <c r="H1139" s="243"/>
      <c r="I1139" s="243"/>
      <c r="J1139" s="325"/>
      <c r="K1139" s="326"/>
      <c r="L1139" s="327"/>
      <c r="M1139" s="321"/>
      <c r="N1139" s="176"/>
      <c r="O1139" s="176"/>
      <c r="P1139" s="176"/>
      <c r="Q1139" s="176"/>
      <c r="R1139" s="176"/>
      <c r="S1139" s="176"/>
      <c r="T1139" s="176"/>
      <c r="U1139" s="176"/>
      <c r="V1139" s="176"/>
      <c r="W1139" s="176"/>
      <c r="X1139" s="176"/>
      <c r="Y1139" s="176"/>
      <c r="Z1139" s="176"/>
    </row>
    <row r="1140">
      <c r="A1140" s="249"/>
      <c r="B1140" s="249"/>
      <c r="C1140" s="219"/>
      <c r="D1140" s="268"/>
      <c r="E1140" s="251"/>
      <c r="F1140" s="250"/>
      <c r="G1140" s="243"/>
      <c r="H1140" s="243"/>
      <c r="I1140" s="243"/>
      <c r="J1140" s="325"/>
      <c r="K1140" s="326"/>
      <c r="L1140" s="327"/>
      <c r="M1140" s="321"/>
      <c r="N1140" s="176"/>
      <c r="O1140" s="176"/>
      <c r="P1140" s="176"/>
      <c r="Q1140" s="176"/>
      <c r="R1140" s="176"/>
      <c r="S1140" s="176"/>
      <c r="T1140" s="176"/>
      <c r="U1140" s="176"/>
      <c r="V1140" s="176"/>
      <c r="W1140" s="176"/>
      <c r="X1140" s="176"/>
      <c r="Y1140" s="176"/>
      <c r="Z1140" s="176"/>
    </row>
    <row r="1141">
      <c r="A1141" s="249"/>
      <c r="B1141" s="249"/>
      <c r="C1141" s="219"/>
      <c r="D1141" s="268"/>
      <c r="E1141" s="251"/>
      <c r="F1141" s="250"/>
      <c r="G1141" s="243"/>
      <c r="H1141" s="243"/>
      <c r="I1141" s="243"/>
      <c r="J1141" s="325"/>
      <c r="K1141" s="326"/>
      <c r="L1141" s="327"/>
      <c r="M1141" s="321"/>
      <c r="N1141" s="176"/>
      <c r="O1141" s="176"/>
      <c r="P1141" s="176"/>
      <c r="Q1141" s="176"/>
      <c r="R1141" s="176"/>
      <c r="S1141" s="176"/>
      <c r="T1141" s="176"/>
      <c r="U1141" s="176"/>
      <c r="V1141" s="176"/>
      <c r="W1141" s="176"/>
      <c r="X1141" s="176"/>
      <c r="Y1141" s="176"/>
      <c r="Z1141" s="176"/>
    </row>
    <row r="1142">
      <c r="A1142" s="249"/>
      <c r="B1142" s="249"/>
      <c r="C1142" s="219"/>
      <c r="D1142" s="268"/>
      <c r="E1142" s="251"/>
      <c r="F1142" s="250"/>
      <c r="G1142" s="243"/>
      <c r="H1142" s="243"/>
      <c r="I1142" s="243"/>
      <c r="J1142" s="325"/>
      <c r="K1142" s="326"/>
      <c r="L1142" s="327"/>
      <c r="M1142" s="321"/>
      <c r="N1142" s="176"/>
      <c r="O1142" s="176"/>
      <c r="P1142" s="176"/>
      <c r="Q1142" s="176"/>
      <c r="R1142" s="176"/>
      <c r="S1142" s="176"/>
      <c r="T1142" s="176"/>
      <c r="U1142" s="176"/>
      <c r="V1142" s="176"/>
      <c r="W1142" s="176"/>
      <c r="X1142" s="176"/>
      <c r="Y1142" s="176"/>
      <c r="Z1142" s="176"/>
    </row>
    <row r="1143">
      <c r="A1143" s="249"/>
      <c r="B1143" s="249"/>
      <c r="C1143" s="219"/>
      <c r="D1143" s="268"/>
      <c r="E1143" s="251"/>
      <c r="F1143" s="250"/>
      <c r="G1143" s="243"/>
      <c r="H1143" s="243"/>
      <c r="I1143" s="243"/>
      <c r="J1143" s="325"/>
      <c r="K1143" s="326"/>
      <c r="L1143" s="327"/>
      <c r="M1143" s="321"/>
      <c r="N1143" s="176"/>
      <c r="O1143" s="176"/>
      <c r="P1143" s="176"/>
      <c r="Q1143" s="176"/>
      <c r="R1143" s="176"/>
      <c r="S1143" s="176"/>
      <c r="T1143" s="176"/>
      <c r="U1143" s="176"/>
      <c r="V1143" s="176"/>
      <c r="W1143" s="176"/>
      <c r="X1143" s="176"/>
      <c r="Y1143" s="176"/>
      <c r="Z1143" s="176"/>
    </row>
    <row r="1144">
      <c r="A1144" s="249"/>
      <c r="B1144" s="249"/>
      <c r="C1144" s="219"/>
      <c r="D1144" s="268"/>
      <c r="E1144" s="251"/>
      <c r="F1144" s="250"/>
      <c r="G1144" s="243"/>
      <c r="H1144" s="243"/>
      <c r="I1144" s="243"/>
      <c r="J1144" s="325"/>
      <c r="K1144" s="326"/>
      <c r="L1144" s="327"/>
      <c r="M1144" s="321"/>
      <c r="N1144" s="176"/>
      <c r="O1144" s="176"/>
      <c r="P1144" s="176"/>
      <c r="Q1144" s="176"/>
      <c r="R1144" s="176"/>
      <c r="S1144" s="176"/>
      <c r="T1144" s="176"/>
      <c r="U1144" s="176"/>
      <c r="V1144" s="176"/>
      <c r="W1144" s="176"/>
      <c r="X1144" s="176"/>
      <c r="Y1144" s="176"/>
      <c r="Z1144" s="176"/>
    </row>
    <row r="1145">
      <c r="A1145" s="249"/>
      <c r="B1145" s="249"/>
      <c r="C1145" s="219"/>
      <c r="D1145" s="268"/>
      <c r="E1145" s="251"/>
      <c r="F1145" s="250"/>
      <c r="G1145" s="243"/>
      <c r="H1145" s="243"/>
      <c r="I1145" s="243"/>
      <c r="J1145" s="325"/>
      <c r="K1145" s="326"/>
      <c r="L1145" s="327"/>
      <c r="M1145" s="321"/>
      <c r="N1145" s="176"/>
      <c r="O1145" s="176"/>
      <c r="P1145" s="176"/>
      <c r="Q1145" s="176"/>
      <c r="R1145" s="176"/>
      <c r="S1145" s="176"/>
      <c r="T1145" s="176"/>
      <c r="U1145" s="176"/>
      <c r="V1145" s="176"/>
      <c r="W1145" s="176"/>
      <c r="X1145" s="176"/>
      <c r="Y1145" s="176"/>
      <c r="Z1145" s="176"/>
    </row>
    <row r="1146">
      <c r="A1146" s="249"/>
      <c r="B1146" s="249"/>
      <c r="C1146" s="219"/>
      <c r="D1146" s="268"/>
      <c r="E1146" s="251"/>
      <c r="F1146" s="250"/>
      <c r="G1146" s="243"/>
      <c r="H1146" s="243"/>
      <c r="I1146" s="243"/>
      <c r="J1146" s="325"/>
      <c r="K1146" s="326"/>
      <c r="L1146" s="327"/>
      <c r="M1146" s="321"/>
      <c r="N1146" s="176"/>
      <c r="O1146" s="176"/>
      <c r="P1146" s="176"/>
      <c r="Q1146" s="176"/>
      <c r="R1146" s="176"/>
      <c r="S1146" s="176"/>
      <c r="T1146" s="176"/>
      <c r="U1146" s="176"/>
      <c r="V1146" s="176"/>
      <c r="W1146" s="176"/>
      <c r="X1146" s="176"/>
      <c r="Y1146" s="176"/>
      <c r="Z1146" s="176"/>
    </row>
    <row r="1147">
      <c r="A1147" s="249"/>
      <c r="B1147" s="249"/>
      <c r="C1147" s="219"/>
      <c r="D1147" s="268"/>
      <c r="E1147" s="251"/>
      <c r="F1147" s="250"/>
      <c r="G1147" s="243"/>
      <c r="H1147" s="243"/>
      <c r="I1147" s="243"/>
      <c r="J1147" s="325"/>
      <c r="K1147" s="326"/>
      <c r="L1147" s="327"/>
      <c r="M1147" s="321"/>
      <c r="N1147" s="176"/>
      <c r="O1147" s="176"/>
      <c r="P1147" s="176"/>
      <c r="Q1147" s="176"/>
      <c r="R1147" s="176"/>
      <c r="S1147" s="176"/>
      <c r="T1147" s="176"/>
      <c r="U1147" s="176"/>
      <c r="V1147" s="176"/>
      <c r="W1147" s="176"/>
      <c r="X1147" s="176"/>
      <c r="Y1147" s="176"/>
      <c r="Z1147" s="176"/>
    </row>
    <row r="1148">
      <c r="A1148" s="249"/>
      <c r="B1148" s="249"/>
      <c r="C1148" s="219"/>
      <c r="D1148" s="268"/>
      <c r="E1148" s="251"/>
      <c r="F1148" s="250"/>
      <c r="G1148" s="243"/>
      <c r="H1148" s="243"/>
      <c r="I1148" s="243"/>
      <c r="J1148" s="325"/>
      <c r="K1148" s="326"/>
      <c r="L1148" s="327"/>
      <c r="M1148" s="321"/>
      <c r="N1148" s="176"/>
      <c r="O1148" s="176"/>
      <c r="P1148" s="176"/>
      <c r="Q1148" s="176"/>
      <c r="R1148" s="176"/>
      <c r="S1148" s="176"/>
      <c r="T1148" s="176"/>
      <c r="U1148" s="176"/>
      <c r="V1148" s="176"/>
      <c r="W1148" s="176"/>
      <c r="X1148" s="176"/>
      <c r="Y1148" s="176"/>
      <c r="Z1148" s="176"/>
    </row>
    <row r="1149">
      <c r="A1149" s="249"/>
      <c r="B1149" s="249"/>
      <c r="C1149" s="219"/>
      <c r="D1149" s="268"/>
      <c r="E1149" s="251"/>
      <c r="F1149" s="250"/>
      <c r="G1149" s="243"/>
      <c r="H1149" s="243"/>
      <c r="I1149" s="243"/>
      <c r="J1149" s="325"/>
      <c r="K1149" s="326"/>
      <c r="L1149" s="327"/>
      <c r="M1149" s="321"/>
      <c r="N1149" s="176"/>
      <c r="O1149" s="176"/>
      <c r="P1149" s="176"/>
      <c r="Q1149" s="176"/>
      <c r="R1149" s="176"/>
      <c r="S1149" s="176"/>
      <c r="T1149" s="176"/>
      <c r="U1149" s="176"/>
      <c r="V1149" s="176"/>
      <c r="W1149" s="176"/>
      <c r="X1149" s="176"/>
      <c r="Y1149" s="176"/>
      <c r="Z1149" s="176"/>
    </row>
    <row r="1150">
      <c r="A1150" s="249"/>
      <c r="B1150" s="249"/>
      <c r="C1150" s="219"/>
      <c r="D1150" s="268"/>
      <c r="E1150" s="251"/>
      <c r="F1150" s="250"/>
      <c r="G1150" s="243"/>
      <c r="H1150" s="243"/>
      <c r="I1150" s="243"/>
      <c r="J1150" s="325"/>
      <c r="K1150" s="326"/>
      <c r="L1150" s="327"/>
      <c r="M1150" s="321"/>
      <c r="N1150" s="176"/>
      <c r="O1150" s="176"/>
      <c r="P1150" s="176"/>
      <c r="Q1150" s="176"/>
      <c r="R1150" s="176"/>
      <c r="S1150" s="176"/>
      <c r="T1150" s="176"/>
      <c r="U1150" s="176"/>
      <c r="V1150" s="176"/>
      <c r="W1150" s="176"/>
      <c r="X1150" s="176"/>
      <c r="Y1150" s="176"/>
      <c r="Z1150" s="176"/>
    </row>
    <row r="1151">
      <c r="A1151" s="249"/>
      <c r="B1151" s="249"/>
      <c r="C1151" s="219"/>
      <c r="D1151" s="268"/>
      <c r="E1151" s="251"/>
      <c r="F1151" s="250"/>
      <c r="G1151" s="243"/>
      <c r="H1151" s="243"/>
      <c r="I1151" s="243"/>
      <c r="J1151" s="325"/>
      <c r="K1151" s="326"/>
      <c r="L1151" s="327"/>
      <c r="M1151" s="321"/>
      <c r="N1151" s="176"/>
      <c r="O1151" s="176"/>
      <c r="P1151" s="176"/>
      <c r="Q1151" s="176"/>
      <c r="R1151" s="176"/>
      <c r="S1151" s="176"/>
      <c r="T1151" s="176"/>
      <c r="U1151" s="176"/>
      <c r="V1151" s="176"/>
      <c r="W1151" s="176"/>
      <c r="X1151" s="176"/>
      <c r="Y1151" s="176"/>
      <c r="Z1151" s="176"/>
    </row>
    <row r="1152">
      <c r="A1152" s="249"/>
      <c r="B1152" s="249"/>
      <c r="C1152" s="219"/>
      <c r="D1152" s="268"/>
      <c r="E1152" s="251"/>
      <c r="F1152" s="250"/>
      <c r="G1152" s="243"/>
      <c r="H1152" s="243"/>
      <c r="I1152" s="243"/>
      <c r="J1152" s="325"/>
      <c r="K1152" s="326"/>
      <c r="L1152" s="327"/>
      <c r="M1152" s="321"/>
      <c r="N1152" s="176"/>
      <c r="O1152" s="176"/>
      <c r="P1152" s="176"/>
      <c r="Q1152" s="176"/>
      <c r="R1152" s="176"/>
      <c r="S1152" s="176"/>
      <c r="T1152" s="176"/>
      <c r="U1152" s="176"/>
      <c r="V1152" s="176"/>
      <c r="W1152" s="176"/>
      <c r="X1152" s="176"/>
      <c r="Y1152" s="176"/>
      <c r="Z1152" s="176"/>
    </row>
    <row r="1153">
      <c r="A1153" s="249"/>
      <c r="B1153" s="249"/>
      <c r="C1153" s="219"/>
      <c r="D1153" s="268"/>
      <c r="E1153" s="251"/>
      <c r="F1153" s="250"/>
      <c r="G1153" s="243"/>
      <c r="H1153" s="243"/>
      <c r="I1153" s="243"/>
      <c r="J1153" s="325"/>
      <c r="K1153" s="326"/>
      <c r="L1153" s="327"/>
      <c r="M1153" s="321"/>
      <c r="N1153" s="176"/>
      <c r="O1153" s="176"/>
      <c r="P1153" s="176"/>
      <c r="Q1153" s="176"/>
      <c r="R1153" s="176"/>
      <c r="S1153" s="176"/>
      <c r="T1153" s="176"/>
      <c r="U1153" s="176"/>
      <c r="V1153" s="176"/>
      <c r="W1153" s="176"/>
      <c r="X1153" s="176"/>
      <c r="Y1153" s="176"/>
      <c r="Z1153" s="176"/>
    </row>
    <row r="1154">
      <c r="A1154" s="249"/>
      <c r="B1154" s="249"/>
      <c r="C1154" s="219"/>
      <c r="D1154" s="268"/>
      <c r="E1154" s="251"/>
      <c r="F1154" s="250"/>
      <c r="G1154" s="243"/>
      <c r="H1154" s="243"/>
      <c r="I1154" s="243"/>
      <c r="J1154" s="325"/>
      <c r="K1154" s="326"/>
      <c r="L1154" s="327"/>
      <c r="M1154" s="321"/>
      <c r="N1154" s="176"/>
      <c r="O1154" s="176"/>
      <c r="P1154" s="176"/>
      <c r="Q1154" s="176"/>
      <c r="R1154" s="176"/>
      <c r="S1154" s="176"/>
      <c r="T1154" s="176"/>
      <c r="U1154" s="176"/>
      <c r="V1154" s="176"/>
      <c r="W1154" s="176"/>
      <c r="X1154" s="176"/>
      <c r="Y1154" s="176"/>
      <c r="Z1154" s="176"/>
    </row>
    <row r="1155">
      <c r="A1155" s="249"/>
      <c r="B1155" s="249"/>
      <c r="C1155" s="219"/>
      <c r="D1155" s="268"/>
      <c r="E1155" s="251"/>
      <c r="F1155" s="250"/>
      <c r="G1155" s="243"/>
      <c r="H1155" s="243"/>
      <c r="I1155" s="243"/>
      <c r="J1155" s="325"/>
      <c r="K1155" s="326"/>
      <c r="L1155" s="327"/>
      <c r="M1155" s="321"/>
      <c r="N1155" s="176"/>
      <c r="O1155" s="176"/>
      <c r="P1155" s="176"/>
      <c r="Q1155" s="176"/>
      <c r="R1155" s="176"/>
      <c r="S1155" s="176"/>
      <c r="T1155" s="176"/>
      <c r="U1155" s="176"/>
      <c r="V1155" s="176"/>
      <c r="W1155" s="176"/>
      <c r="X1155" s="176"/>
      <c r="Y1155" s="176"/>
      <c r="Z1155" s="176"/>
    </row>
    <row r="1156">
      <c r="A1156" s="249"/>
      <c r="B1156" s="249"/>
      <c r="C1156" s="219"/>
      <c r="D1156" s="268"/>
      <c r="E1156" s="251"/>
      <c r="F1156" s="250"/>
      <c r="G1156" s="243"/>
      <c r="H1156" s="243"/>
      <c r="I1156" s="243"/>
      <c r="J1156" s="325"/>
      <c r="K1156" s="326"/>
      <c r="L1156" s="327"/>
      <c r="M1156" s="321"/>
      <c r="N1156" s="176"/>
      <c r="O1156" s="176"/>
      <c r="P1156" s="176"/>
      <c r="Q1156" s="176"/>
      <c r="R1156" s="176"/>
      <c r="S1156" s="176"/>
      <c r="T1156" s="176"/>
      <c r="U1156" s="176"/>
      <c r="V1156" s="176"/>
      <c r="W1156" s="176"/>
      <c r="X1156" s="176"/>
      <c r="Y1156" s="176"/>
      <c r="Z1156" s="176"/>
    </row>
    <row r="1157">
      <c r="A1157" s="249"/>
      <c r="B1157" s="249"/>
      <c r="C1157" s="219"/>
      <c r="D1157" s="268"/>
      <c r="E1157" s="251"/>
      <c r="F1157" s="250"/>
      <c r="G1157" s="243"/>
      <c r="H1157" s="243"/>
      <c r="I1157" s="243"/>
      <c r="J1157" s="325"/>
      <c r="K1157" s="326"/>
      <c r="L1157" s="327"/>
      <c r="M1157" s="321"/>
      <c r="N1157" s="176"/>
      <c r="O1157" s="176"/>
      <c r="P1157" s="176"/>
      <c r="Q1157" s="176"/>
      <c r="R1157" s="176"/>
      <c r="S1157" s="176"/>
      <c r="T1157" s="176"/>
      <c r="U1157" s="176"/>
      <c r="V1157" s="176"/>
      <c r="W1157" s="176"/>
      <c r="X1157" s="176"/>
      <c r="Y1157" s="176"/>
      <c r="Z1157" s="176"/>
    </row>
    <row r="1158">
      <c r="A1158" s="249"/>
      <c r="B1158" s="249"/>
      <c r="C1158" s="219"/>
      <c r="D1158" s="268"/>
      <c r="E1158" s="251"/>
      <c r="F1158" s="250"/>
      <c r="G1158" s="243"/>
      <c r="H1158" s="243"/>
      <c r="I1158" s="243"/>
      <c r="J1158" s="325"/>
      <c r="K1158" s="326"/>
      <c r="L1158" s="327"/>
      <c r="M1158" s="321"/>
      <c r="N1158" s="176"/>
      <c r="O1158" s="176"/>
      <c r="P1158" s="176"/>
      <c r="Q1158" s="176"/>
      <c r="R1158" s="176"/>
      <c r="S1158" s="176"/>
      <c r="T1158" s="176"/>
      <c r="U1158" s="176"/>
      <c r="V1158" s="176"/>
      <c r="W1158" s="176"/>
      <c r="X1158" s="176"/>
      <c r="Y1158" s="176"/>
      <c r="Z1158" s="176"/>
    </row>
    <row r="1159">
      <c r="A1159" s="249"/>
      <c r="B1159" s="249"/>
      <c r="C1159" s="219"/>
      <c r="D1159" s="268"/>
      <c r="E1159" s="251"/>
      <c r="F1159" s="250"/>
      <c r="G1159" s="243"/>
      <c r="H1159" s="243"/>
      <c r="I1159" s="243"/>
      <c r="J1159" s="325"/>
      <c r="K1159" s="326"/>
      <c r="L1159" s="327"/>
      <c r="M1159" s="321"/>
      <c r="N1159" s="176"/>
      <c r="O1159" s="176"/>
      <c r="P1159" s="176"/>
      <c r="Q1159" s="176"/>
      <c r="R1159" s="176"/>
      <c r="S1159" s="176"/>
      <c r="T1159" s="176"/>
      <c r="U1159" s="176"/>
      <c r="V1159" s="176"/>
      <c r="W1159" s="176"/>
      <c r="X1159" s="176"/>
      <c r="Y1159" s="176"/>
      <c r="Z1159" s="176"/>
    </row>
    <row r="1160">
      <c r="A1160" s="249"/>
      <c r="B1160" s="249"/>
      <c r="C1160" s="219"/>
      <c r="D1160" s="268"/>
      <c r="E1160" s="251"/>
      <c r="F1160" s="250"/>
      <c r="G1160" s="243"/>
      <c r="H1160" s="243"/>
      <c r="I1160" s="243"/>
      <c r="J1160" s="325"/>
      <c r="K1160" s="326"/>
      <c r="L1160" s="327"/>
      <c r="M1160" s="321"/>
      <c r="N1160" s="176"/>
      <c r="O1160" s="176"/>
      <c r="P1160" s="176"/>
      <c r="Q1160" s="176"/>
      <c r="R1160" s="176"/>
      <c r="S1160" s="176"/>
      <c r="T1160" s="176"/>
      <c r="U1160" s="176"/>
      <c r="V1160" s="176"/>
      <c r="W1160" s="176"/>
      <c r="X1160" s="176"/>
      <c r="Y1160" s="176"/>
      <c r="Z1160" s="176"/>
    </row>
    <row r="1161">
      <c r="A1161" s="249"/>
      <c r="B1161" s="249"/>
      <c r="C1161" s="219"/>
      <c r="D1161" s="268"/>
      <c r="E1161" s="251"/>
      <c r="F1161" s="250"/>
      <c r="G1161" s="243"/>
      <c r="H1161" s="243"/>
      <c r="I1161" s="243"/>
      <c r="J1161" s="325"/>
      <c r="K1161" s="326"/>
      <c r="L1161" s="327"/>
      <c r="M1161" s="321"/>
      <c r="N1161" s="176"/>
      <c r="O1161" s="176"/>
      <c r="P1161" s="176"/>
      <c r="Q1161" s="176"/>
      <c r="R1161" s="176"/>
      <c r="S1161" s="176"/>
      <c r="T1161" s="176"/>
      <c r="U1161" s="176"/>
      <c r="V1161" s="176"/>
      <c r="W1161" s="176"/>
      <c r="X1161" s="176"/>
      <c r="Y1161" s="176"/>
      <c r="Z1161" s="176"/>
    </row>
    <row r="1162">
      <c r="A1162" s="249"/>
      <c r="B1162" s="249"/>
      <c r="C1162" s="219"/>
      <c r="D1162" s="268"/>
      <c r="E1162" s="251"/>
      <c r="F1162" s="250"/>
      <c r="G1162" s="243"/>
      <c r="H1162" s="243"/>
      <c r="I1162" s="243"/>
      <c r="J1162" s="325"/>
      <c r="K1162" s="326"/>
      <c r="L1162" s="327"/>
      <c r="M1162" s="321"/>
      <c r="N1162" s="176"/>
      <c r="O1162" s="176"/>
      <c r="P1162" s="176"/>
      <c r="Q1162" s="176"/>
      <c r="R1162" s="176"/>
      <c r="S1162" s="176"/>
      <c r="T1162" s="176"/>
      <c r="U1162" s="176"/>
      <c r="V1162" s="176"/>
      <c r="W1162" s="176"/>
      <c r="X1162" s="176"/>
      <c r="Y1162" s="176"/>
      <c r="Z1162" s="176"/>
    </row>
    <row r="1163">
      <c r="A1163" s="249"/>
      <c r="B1163" s="249"/>
      <c r="C1163" s="219"/>
      <c r="D1163" s="268"/>
      <c r="E1163" s="251"/>
      <c r="F1163" s="250"/>
      <c r="G1163" s="243"/>
      <c r="H1163" s="243"/>
      <c r="I1163" s="243"/>
      <c r="J1163" s="325"/>
      <c r="K1163" s="326"/>
      <c r="L1163" s="327"/>
      <c r="M1163" s="321"/>
      <c r="N1163" s="176"/>
      <c r="O1163" s="176"/>
      <c r="P1163" s="176"/>
      <c r="Q1163" s="176"/>
      <c r="R1163" s="176"/>
      <c r="S1163" s="176"/>
      <c r="T1163" s="176"/>
      <c r="U1163" s="176"/>
      <c r="V1163" s="176"/>
      <c r="W1163" s="176"/>
      <c r="X1163" s="176"/>
      <c r="Y1163" s="176"/>
      <c r="Z1163" s="176"/>
    </row>
    <row r="1164">
      <c r="A1164" s="249"/>
      <c r="B1164" s="249"/>
      <c r="C1164" s="219"/>
      <c r="D1164" s="268"/>
      <c r="E1164" s="251"/>
      <c r="F1164" s="250"/>
      <c r="G1164" s="243"/>
      <c r="H1164" s="243"/>
      <c r="I1164" s="243"/>
      <c r="J1164" s="325"/>
      <c r="K1164" s="326"/>
      <c r="L1164" s="327"/>
      <c r="M1164" s="321"/>
      <c r="N1164" s="176"/>
      <c r="O1164" s="176"/>
      <c r="P1164" s="176"/>
      <c r="Q1164" s="176"/>
      <c r="R1164" s="176"/>
      <c r="S1164" s="176"/>
      <c r="T1164" s="176"/>
      <c r="U1164" s="176"/>
      <c r="V1164" s="176"/>
      <c r="W1164" s="176"/>
      <c r="X1164" s="176"/>
      <c r="Y1164" s="176"/>
      <c r="Z1164" s="176"/>
    </row>
    <row r="1165">
      <c r="A1165" s="249"/>
      <c r="B1165" s="249"/>
      <c r="C1165" s="219"/>
      <c r="D1165" s="268"/>
      <c r="E1165" s="251"/>
      <c r="F1165" s="250"/>
      <c r="G1165" s="243"/>
      <c r="H1165" s="243"/>
      <c r="I1165" s="243"/>
      <c r="J1165" s="325"/>
      <c r="K1165" s="326"/>
      <c r="L1165" s="327"/>
      <c r="M1165" s="321"/>
      <c r="N1165" s="176"/>
      <c r="O1165" s="176"/>
      <c r="P1165" s="176"/>
      <c r="Q1165" s="176"/>
      <c r="R1165" s="176"/>
      <c r="S1165" s="176"/>
      <c r="T1165" s="176"/>
      <c r="U1165" s="176"/>
      <c r="V1165" s="176"/>
      <c r="W1165" s="176"/>
      <c r="X1165" s="176"/>
      <c r="Y1165" s="176"/>
      <c r="Z1165" s="176"/>
    </row>
    <row r="1166">
      <c r="A1166" s="249"/>
      <c r="B1166" s="249"/>
      <c r="C1166" s="219"/>
      <c r="D1166" s="268"/>
      <c r="E1166" s="251"/>
      <c r="F1166" s="250"/>
      <c r="G1166" s="243"/>
      <c r="H1166" s="243"/>
      <c r="I1166" s="243"/>
      <c r="J1166" s="325"/>
      <c r="K1166" s="326"/>
      <c r="L1166" s="327"/>
      <c r="M1166" s="321"/>
      <c r="N1166" s="176"/>
      <c r="O1166" s="176"/>
      <c r="P1166" s="176"/>
      <c r="Q1166" s="176"/>
      <c r="R1166" s="176"/>
      <c r="S1166" s="176"/>
      <c r="T1166" s="176"/>
      <c r="U1166" s="176"/>
      <c r="V1166" s="176"/>
      <c r="W1166" s="176"/>
      <c r="X1166" s="176"/>
      <c r="Y1166" s="176"/>
      <c r="Z1166" s="176"/>
    </row>
    <row r="1167">
      <c r="A1167" s="249"/>
      <c r="B1167" s="249"/>
      <c r="C1167" s="219"/>
      <c r="D1167" s="268"/>
      <c r="E1167" s="251"/>
      <c r="F1167" s="250"/>
      <c r="G1167" s="243"/>
      <c r="H1167" s="243"/>
      <c r="I1167" s="243"/>
      <c r="J1167" s="325"/>
      <c r="K1167" s="326"/>
      <c r="L1167" s="327"/>
      <c r="M1167" s="321"/>
      <c r="N1167" s="176"/>
      <c r="O1167" s="176"/>
      <c r="P1167" s="176"/>
      <c r="Q1167" s="176"/>
      <c r="R1167" s="176"/>
      <c r="S1167" s="176"/>
      <c r="T1167" s="176"/>
      <c r="U1167" s="176"/>
      <c r="V1167" s="176"/>
      <c r="W1167" s="176"/>
      <c r="X1167" s="176"/>
      <c r="Y1167" s="176"/>
      <c r="Z1167" s="176"/>
    </row>
    <row r="1168">
      <c r="A1168" s="249"/>
      <c r="B1168" s="249"/>
      <c r="C1168" s="219"/>
      <c r="D1168" s="268"/>
      <c r="E1168" s="251"/>
      <c r="F1168" s="250"/>
      <c r="G1168" s="243"/>
      <c r="H1168" s="243"/>
      <c r="I1168" s="243"/>
      <c r="J1168" s="325"/>
      <c r="K1168" s="326"/>
      <c r="L1168" s="327"/>
      <c r="M1168" s="321"/>
      <c r="N1168" s="176"/>
      <c r="O1168" s="176"/>
      <c r="P1168" s="176"/>
      <c r="Q1168" s="176"/>
      <c r="R1168" s="176"/>
      <c r="S1168" s="176"/>
      <c r="T1168" s="176"/>
      <c r="U1168" s="176"/>
      <c r="V1168" s="176"/>
      <c r="W1168" s="176"/>
      <c r="X1168" s="176"/>
      <c r="Y1168" s="176"/>
      <c r="Z1168" s="176"/>
    </row>
    <row r="1169">
      <c r="A1169" s="249"/>
      <c r="B1169" s="249"/>
      <c r="C1169" s="219"/>
      <c r="D1169" s="268"/>
      <c r="E1169" s="251"/>
      <c r="F1169" s="250"/>
      <c r="G1169" s="243"/>
      <c r="H1169" s="243"/>
      <c r="I1169" s="243"/>
      <c r="J1169" s="325"/>
      <c r="K1169" s="326"/>
      <c r="L1169" s="327"/>
      <c r="M1169" s="321"/>
      <c r="N1169" s="176"/>
      <c r="O1169" s="176"/>
      <c r="P1169" s="176"/>
      <c r="Q1169" s="176"/>
      <c r="R1169" s="176"/>
      <c r="S1169" s="176"/>
      <c r="T1169" s="176"/>
      <c r="U1169" s="176"/>
      <c r="V1169" s="176"/>
      <c r="W1169" s="176"/>
      <c r="X1169" s="176"/>
      <c r="Y1169" s="176"/>
      <c r="Z1169" s="176"/>
    </row>
    <row r="1170">
      <c r="A1170" s="249"/>
      <c r="B1170" s="249"/>
      <c r="C1170" s="219"/>
      <c r="D1170" s="268"/>
      <c r="E1170" s="251"/>
      <c r="F1170" s="250"/>
      <c r="G1170" s="243"/>
      <c r="H1170" s="243"/>
      <c r="I1170" s="243"/>
      <c r="J1170" s="325"/>
      <c r="K1170" s="326"/>
      <c r="L1170" s="327"/>
      <c r="M1170" s="321"/>
      <c r="N1170" s="176"/>
      <c r="O1170" s="176"/>
      <c r="P1170" s="176"/>
      <c r="Q1170" s="176"/>
      <c r="R1170" s="176"/>
      <c r="S1170" s="176"/>
      <c r="T1170" s="176"/>
      <c r="U1170" s="176"/>
      <c r="V1170" s="176"/>
      <c r="W1170" s="176"/>
      <c r="X1170" s="176"/>
      <c r="Y1170" s="176"/>
      <c r="Z1170" s="176"/>
    </row>
    <row r="1171">
      <c r="A1171" s="249"/>
      <c r="B1171" s="249"/>
      <c r="C1171" s="219"/>
      <c r="D1171" s="268"/>
      <c r="E1171" s="251"/>
      <c r="F1171" s="250"/>
      <c r="G1171" s="243"/>
      <c r="H1171" s="243"/>
      <c r="I1171" s="243"/>
      <c r="J1171" s="325"/>
      <c r="K1171" s="326"/>
      <c r="L1171" s="327"/>
      <c r="M1171" s="321"/>
      <c r="N1171" s="176"/>
      <c r="O1171" s="176"/>
      <c r="P1171" s="176"/>
      <c r="Q1171" s="176"/>
      <c r="R1171" s="176"/>
      <c r="S1171" s="176"/>
      <c r="T1171" s="176"/>
      <c r="U1171" s="176"/>
      <c r="V1171" s="176"/>
      <c r="W1171" s="176"/>
      <c r="X1171" s="176"/>
      <c r="Y1171" s="176"/>
      <c r="Z1171" s="176"/>
    </row>
    <row r="1172">
      <c r="A1172" s="249"/>
      <c r="B1172" s="249"/>
      <c r="C1172" s="219"/>
      <c r="D1172" s="268"/>
      <c r="E1172" s="251"/>
      <c r="F1172" s="250"/>
      <c r="G1172" s="243"/>
      <c r="H1172" s="243"/>
      <c r="I1172" s="243"/>
      <c r="J1172" s="325"/>
      <c r="K1172" s="326"/>
      <c r="L1172" s="327"/>
      <c r="M1172" s="321"/>
      <c r="N1172" s="176"/>
      <c r="O1172" s="176"/>
      <c r="P1172" s="176"/>
      <c r="Q1172" s="176"/>
      <c r="R1172" s="176"/>
      <c r="S1172" s="176"/>
      <c r="T1172" s="176"/>
      <c r="U1172" s="176"/>
      <c r="V1172" s="176"/>
      <c r="W1172" s="176"/>
      <c r="X1172" s="176"/>
      <c r="Y1172" s="176"/>
      <c r="Z1172" s="176"/>
    </row>
    <row r="1173">
      <c r="A1173" s="249"/>
      <c r="B1173" s="249"/>
      <c r="C1173" s="219"/>
      <c r="D1173" s="268"/>
      <c r="E1173" s="251"/>
      <c r="F1173" s="250"/>
      <c r="G1173" s="243"/>
      <c r="H1173" s="243"/>
      <c r="I1173" s="243"/>
      <c r="J1173" s="325"/>
      <c r="K1173" s="326"/>
      <c r="L1173" s="327"/>
      <c r="M1173" s="321"/>
      <c r="N1173" s="176"/>
      <c r="O1173" s="176"/>
      <c r="P1173" s="176"/>
      <c r="Q1173" s="176"/>
      <c r="R1173" s="176"/>
      <c r="S1173" s="176"/>
      <c r="T1173" s="176"/>
      <c r="U1173" s="176"/>
      <c r="V1173" s="176"/>
      <c r="W1173" s="176"/>
      <c r="X1173" s="176"/>
      <c r="Y1173" s="176"/>
      <c r="Z1173" s="176"/>
    </row>
    <row r="1174">
      <c r="A1174" s="249"/>
      <c r="B1174" s="249"/>
      <c r="C1174" s="219"/>
      <c r="D1174" s="268"/>
      <c r="E1174" s="251"/>
      <c r="F1174" s="250"/>
      <c r="G1174" s="243"/>
      <c r="H1174" s="243"/>
      <c r="I1174" s="243"/>
      <c r="J1174" s="325"/>
      <c r="K1174" s="326"/>
      <c r="L1174" s="327"/>
      <c r="M1174" s="321"/>
      <c r="N1174" s="176"/>
      <c r="O1174" s="176"/>
      <c r="P1174" s="176"/>
      <c r="Q1174" s="176"/>
      <c r="R1174" s="176"/>
      <c r="S1174" s="176"/>
      <c r="T1174" s="176"/>
      <c r="U1174" s="176"/>
      <c r="V1174" s="176"/>
      <c r="W1174" s="176"/>
      <c r="X1174" s="176"/>
      <c r="Y1174" s="176"/>
      <c r="Z1174" s="176"/>
    </row>
    <row r="1175">
      <c r="A1175" s="249"/>
      <c r="B1175" s="249"/>
      <c r="C1175" s="219"/>
      <c r="D1175" s="268"/>
      <c r="E1175" s="251"/>
      <c r="F1175" s="250"/>
      <c r="G1175" s="243"/>
      <c r="H1175" s="243"/>
      <c r="I1175" s="243"/>
      <c r="J1175" s="325"/>
      <c r="K1175" s="326"/>
      <c r="L1175" s="327"/>
      <c r="M1175" s="321"/>
      <c r="N1175" s="176"/>
      <c r="O1175" s="176"/>
      <c r="P1175" s="176"/>
      <c r="Q1175" s="176"/>
      <c r="R1175" s="176"/>
      <c r="S1175" s="176"/>
      <c r="T1175" s="176"/>
      <c r="U1175" s="176"/>
      <c r="V1175" s="176"/>
      <c r="W1175" s="176"/>
      <c r="X1175" s="176"/>
      <c r="Y1175" s="176"/>
      <c r="Z1175" s="176"/>
    </row>
    <row r="1176">
      <c r="A1176" s="249"/>
      <c r="B1176" s="249"/>
      <c r="C1176" s="219"/>
      <c r="D1176" s="268"/>
      <c r="E1176" s="251"/>
      <c r="F1176" s="250"/>
      <c r="G1176" s="243"/>
      <c r="H1176" s="243"/>
      <c r="I1176" s="243"/>
      <c r="J1176" s="325"/>
      <c r="K1176" s="326"/>
      <c r="L1176" s="327"/>
      <c r="M1176" s="321"/>
      <c r="N1176" s="176"/>
      <c r="O1176" s="176"/>
      <c r="P1176" s="176"/>
      <c r="Q1176" s="176"/>
      <c r="R1176" s="176"/>
      <c r="S1176" s="176"/>
      <c r="T1176" s="176"/>
      <c r="U1176" s="176"/>
      <c r="V1176" s="176"/>
      <c r="W1176" s="176"/>
      <c r="X1176" s="176"/>
      <c r="Y1176" s="176"/>
      <c r="Z1176" s="176"/>
    </row>
    <row r="1177">
      <c r="A1177" s="249"/>
      <c r="B1177" s="249"/>
      <c r="C1177" s="219"/>
      <c r="D1177" s="268"/>
      <c r="E1177" s="251"/>
      <c r="F1177" s="250"/>
      <c r="G1177" s="243"/>
      <c r="H1177" s="243"/>
      <c r="I1177" s="243"/>
      <c r="J1177" s="325"/>
      <c r="K1177" s="326"/>
      <c r="L1177" s="327"/>
      <c r="M1177" s="321"/>
      <c r="N1177" s="176"/>
      <c r="O1177" s="176"/>
      <c r="P1177" s="176"/>
      <c r="Q1177" s="176"/>
      <c r="R1177" s="176"/>
      <c r="S1177" s="176"/>
      <c r="T1177" s="176"/>
      <c r="U1177" s="176"/>
      <c r="V1177" s="176"/>
      <c r="W1177" s="176"/>
      <c r="X1177" s="176"/>
      <c r="Y1177" s="176"/>
      <c r="Z1177" s="176"/>
    </row>
    <row r="1178">
      <c r="A1178" s="249"/>
      <c r="B1178" s="249"/>
      <c r="C1178" s="219"/>
      <c r="D1178" s="268"/>
      <c r="E1178" s="251"/>
      <c r="F1178" s="250"/>
      <c r="G1178" s="243"/>
      <c r="H1178" s="243"/>
      <c r="I1178" s="243"/>
      <c r="J1178" s="325"/>
      <c r="K1178" s="326"/>
      <c r="L1178" s="327"/>
      <c r="M1178" s="321"/>
      <c r="N1178" s="176"/>
      <c r="O1178" s="176"/>
      <c r="P1178" s="176"/>
      <c r="Q1178" s="176"/>
      <c r="R1178" s="176"/>
      <c r="S1178" s="176"/>
      <c r="T1178" s="176"/>
      <c r="U1178" s="176"/>
      <c r="V1178" s="176"/>
      <c r="W1178" s="176"/>
      <c r="X1178" s="176"/>
      <c r="Y1178" s="176"/>
      <c r="Z1178" s="176"/>
    </row>
    <row r="1179">
      <c r="A1179" s="249"/>
      <c r="B1179" s="249"/>
      <c r="C1179" s="219"/>
      <c r="D1179" s="268"/>
      <c r="E1179" s="251"/>
      <c r="F1179" s="250"/>
      <c r="G1179" s="243"/>
      <c r="H1179" s="243"/>
      <c r="I1179" s="243"/>
      <c r="J1179" s="325"/>
      <c r="K1179" s="326"/>
      <c r="L1179" s="327"/>
      <c r="M1179" s="321"/>
      <c r="N1179" s="176"/>
      <c r="O1179" s="176"/>
      <c r="P1179" s="176"/>
      <c r="Q1179" s="176"/>
      <c r="R1179" s="176"/>
      <c r="S1179" s="176"/>
      <c r="T1179" s="176"/>
      <c r="U1179" s="176"/>
      <c r="V1179" s="176"/>
      <c r="W1179" s="176"/>
      <c r="X1179" s="176"/>
      <c r="Y1179" s="176"/>
      <c r="Z1179" s="176"/>
    </row>
    <row r="1180">
      <c r="A1180" s="249"/>
      <c r="B1180" s="249"/>
      <c r="C1180" s="219"/>
      <c r="D1180" s="268"/>
      <c r="E1180" s="251"/>
      <c r="F1180" s="250"/>
      <c r="G1180" s="243"/>
      <c r="H1180" s="243"/>
      <c r="I1180" s="243"/>
      <c r="J1180" s="325"/>
      <c r="K1180" s="326"/>
      <c r="L1180" s="327"/>
      <c r="M1180" s="321"/>
      <c r="N1180" s="176"/>
      <c r="O1180" s="176"/>
      <c r="P1180" s="176"/>
      <c r="Q1180" s="176"/>
      <c r="R1180" s="176"/>
      <c r="S1180" s="176"/>
      <c r="T1180" s="176"/>
      <c r="U1180" s="176"/>
      <c r="V1180" s="176"/>
      <c r="W1180" s="176"/>
      <c r="X1180" s="176"/>
      <c r="Y1180" s="176"/>
      <c r="Z1180" s="176"/>
    </row>
    <row r="1181">
      <c r="A1181" s="249"/>
      <c r="B1181" s="249"/>
      <c r="C1181" s="219"/>
      <c r="D1181" s="268"/>
      <c r="E1181" s="251"/>
      <c r="F1181" s="250"/>
      <c r="G1181" s="243"/>
      <c r="H1181" s="243"/>
      <c r="I1181" s="243"/>
      <c r="J1181" s="325"/>
      <c r="K1181" s="326"/>
      <c r="L1181" s="327"/>
      <c r="M1181" s="321"/>
      <c r="N1181" s="176"/>
      <c r="O1181" s="176"/>
      <c r="P1181" s="176"/>
      <c r="Q1181" s="176"/>
      <c r="R1181" s="176"/>
      <c r="S1181" s="176"/>
      <c r="T1181" s="176"/>
      <c r="U1181" s="176"/>
      <c r="V1181" s="176"/>
      <c r="W1181" s="176"/>
      <c r="X1181" s="176"/>
      <c r="Y1181" s="176"/>
      <c r="Z1181" s="176"/>
    </row>
    <row r="1182">
      <c r="A1182" s="249"/>
      <c r="B1182" s="249"/>
      <c r="C1182" s="219"/>
      <c r="D1182" s="268"/>
      <c r="E1182" s="251"/>
      <c r="F1182" s="250"/>
      <c r="G1182" s="243"/>
      <c r="H1182" s="243"/>
      <c r="I1182" s="243"/>
      <c r="J1182" s="325"/>
      <c r="K1182" s="326"/>
      <c r="L1182" s="327"/>
      <c r="M1182" s="321"/>
      <c r="N1182" s="176"/>
      <c r="O1182" s="176"/>
      <c r="P1182" s="176"/>
      <c r="Q1182" s="176"/>
      <c r="R1182" s="176"/>
      <c r="S1182" s="176"/>
      <c r="T1182" s="176"/>
      <c r="U1182" s="176"/>
      <c r="V1182" s="176"/>
      <c r="W1182" s="176"/>
      <c r="X1182" s="176"/>
      <c r="Y1182" s="176"/>
      <c r="Z1182" s="176"/>
    </row>
    <row r="1183">
      <c r="A1183" s="249"/>
      <c r="B1183" s="249"/>
      <c r="C1183" s="219"/>
      <c r="D1183" s="268"/>
      <c r="E1183" s="251"/>
      <c r="F1183" s="250"/>
      <c r="G1183" s="243"/>
      <c r="H1183" s="243"/>
      <c r="I1183" s="243"/>
      <c r="J1183" s="325"/>
      <c r="K1183" s="326"/>
      <c r="L1183" s="327"/>
      <c r="M1183" s="321"/>
      <c r="N1183" s="176"/>
      <c r="O1183" s="176"/>
      <c r="P1183" s="176"/>
      <c r="Q1183" s="176"/>
      <c r="R1183" s="176"/>
      <c r="S1183" s="176"/>
      <c r="T1183" s="176"/>
      <c r="U1183" s="176"/>
      <c r="V1183" s="176"/>
      <c r="W1183" s="176"/>
      <c r="X1183" s="176"/>
      <c r="Y1183" s="176"/>
      <c r="Z1183" s="176"/>
    </row>
    <row r="1184">
      <c r="A1184" s="249"/>
      <c r="B1184" s="249"/>
      <c r="C1184" s="219"/>
      <c r="D1184" s="268"/>
      <c r="E1184" s="251"/>
      <c r="F1184" s="250"/>
      <c r="G1184" s="243"/>
      <c r="H1184" s="243"/>
      <c r="I1184" s="243"/>
      <c r="J1184" s="325"/>
      <c r="K1184" s="326"/>
      <c r="L1184" s="327"/>
      <c r="M1184" s="321"/>
      <c r="N1184" s="176"/>
      <c r="O1184" s="176"/>
      <c r="P1184" s="176"/>
      <c r="Q1184" s="176"/>
      <c r="R1184" s="176"/>
      <c r="S1184" s="176"/>
      <c r="T1184" s="176"/>
      <c r="U1184" s="176"/>
      <c r="V1184" s="176"/>
      <c r="W1184" s="176"/>
      <c r="X1184" s="176"/>
      <c r="Y1184" s="176"/>
      <c r="Z1184" s="176"/>
    </row>
    <row r="1185">
      <c r="A1185" s="249"/>
      <c r="B1185" s="249"/>
      <c r="C1185" s="219"/>
      <c r="D1185" s="268"/>
      <c r="E1185" s="251"/>
      <c r="F1185" s="250"/>
      <c r="G1185" s="243"/>
      <c r="H1185" s="243"/>
      <c r="I1185" s="243"/>
      <c r="J1185" s="325"/>
      <c r="K1185" s="326"/>
      <c r="L1185" s="327"/>
      <c r="M1185" s="321"/>
      <c r="N1185" s="176"/>
      <c r="O1185" s="176"/>
      <c r="P1185" s="176"/>
      <c r="Q1185" s="176"/>
      <c r="R1185" s="176"/>
      <c r="S1185" s="176"/>
      <c r="T1185" s="176"/>
      <c r="U1185" s="176"/>
      <c r="V1185" s="176"/>
      <c r="W1185" s="176"/>
      <c r="X1185" s="176"/>
      <c r="Y1185" s="176"/>
      <c r="Z1185" s="176"/>
    </row>
    <row r="1186">
      <c r="A1186" s="249"/>
      <c r="B1186" s="249"/>
      <c r="C1186" s="219"/>
      <c r="D1186" s="268"/>
      <c r="E1186" s="251"/>
      <c r="F1186" s="250"/>
      <c r="G1186" s="243"/>
      <c r="H1186" s="243"/>
      <c r="I1186" s="243"/>
      <c r="J1186" s="325"/>
      <c r="K1186" s="326"/>
      <c r="L1186" s="327"/>
      <c r="M1186" s="321"/>
      <c r="N1186" s="176"/>
      <c r="O1186" s="176"/>
      <c r="P1186" s="176"/>
      <c r="Q1186" s="176"/>
      <c r="R1186" s="176"/>
      <c r="S1186" s="176"/>
      <c r="T1186" s="176"/>
      <c r="U1186" s="176"/>
      <c r="V1186" s="176"/>
      <c r="W1186" s="176"/>
      <c r="X1186" s="176"/>
      <c r="Y1186" s="176"/>
      <c r="Z1186" s="176"/>
    </row>
    <row r="1187">
      <c r="A1187" s="249"/>
      <c r="B1187" s="249"/>
      <c r="C1187" s="219"/>
      <c r="D1187" s="268"/>
      <c r="E1187" s="251"/>
      <c r="F1187" s="250"/>
      <c r="G1187" s="243"/>
      <c r="H1187" s="243"/>
      <c r="I1187" s="243"/>
      <c r="J1187" s="325"/>
      <c r="K1187" s="326"/>
      <c r="L1187" s="327"/>
      <c r="M1187" s="321"/>
      <c r="N1187" s="176"/>
      <c r="O1187" s="176"/>
      <c r="P1187" s="176"/>
      <c r="Q1187" s="176"/>
      <c r="R1187" s="176"/>
      <c r="S1187" s="176"/>
      <c r="T1187" s="176"/>
      <c r="U1187" s="176"/>
      <c r="V1187" s="176"/>
      <c r="W1187" s="176"/>
      <c r="X1187" s="176"/>
      <c r="Y1187" s="176"/>
      <c r="Z1187" s="176"/>
    </row>
    <row r="1188">
      <c r="A1188" s="249"/>
      <c r="B1188" s="249"/>
      <c r="C1188" s="219"/>
      <c r="D1188" s="268"/>
      <c r="E1188" s="251"/>
      <c r="F1188" s="250"/>
      <c r="G1188" s="243"/>
      <c r="H1188" s="243"/>
      <c r="I1188" s="243"/>
      <c r="J1188" s="325"/>
      <c r="K1188" s="326"/>
      <c r="L1188" s="327"/>
      <c r="M1188" s="321"/>
      <c r="N1188" s="176"/>
      <c r="O1188" s="176"/>
      <c r="P1188" s="176"/>
      <c r="Q1188" s="176"/>
      <c r="R1188" s="176"/>
      <c r="S1188" s="176"/>
      <c r="T1188" s="176"/>
      <c r="U1188" s="176"/>
      <c r="V1188" s="176"/>
      <c r="W1188" s="176"/>
      <c r="X1188" s="176"/>
      <c r="Y1188" s="176"/>
      <c r="Z1188" s="176"/>
    </row>
    <row r="1189">
      <c r="A1189" s="249"/>
      <c r="B1189" s="249"/>
      <c r="C1189" s="219"/>
      <c r="D1189" s="268"/>
      <c r="E1189" s="251"/>
      <c r="F1189" s="250"/>
      <c r="G1189" s="243"/>
      <c r="H1189" s="243"/>
      <c r="I1189" s="243"/>
      <c r="J1189" s="325"/>
      <c r="K1189" s="326"/>
      <c r="L1189" s="327"/>
      <c r="M1189" s="321"/>
      <c r="N1189" s="176"/>
      <c r="O1189" s="176"/>
      <c r="P1189" s="176"/>
      <c r="Q1189" s="176"/>
      <c r="R1189" s="176"/>
      <c r="S1189" s="176"/>
      <c r="T1189" s="176"/>
      <c r="U1189" s="176"/>
      <c r="V1189" s="176"/>
      <c r="W1189" s="176"/>
      <c r="X1189" s="176"/>
      <c r="Y1189" s="176"/>
      <c r="Z1189" s="176"/>
    </row>
    <row r="1190">
      <c r="A1190" s="249"/>
      <c r="B1190" s="249"/>
      <c r="C1190" s="219"/>
      <c r="D1190" s="268"/>
      <c r="E1190" s="251"/>
      <c r="F1190" s="250"/>
      <c r="G1190" s="243"/>
      <c r="H1190" s="243"/>
      <c r="I1190" s="243"/>
      <c r="J1190" s="325"/>
      <c r="K1190" s="326"/>
      <c r="L1190" s="327"/>
      <c r="M1190" s="321"/>
      <c r="N1190" s="176"/>
      <c r="O1190" s="176"/>
      <c r="P1190" s="176"/>
      <c r="Q1190" s="176"/>
      <c r="R1190" s="176"/>
      <c r="S1190" s="176"/>
      <c r="T1190" s="176"/>
      <c r="U1190" s="176"/>
      <c r="V1190" s="176"/>
      <c r="W1190" s="176"/>
      <c r="X1190" s="176"/>
      <c r="Y1190" s="176"/>
      <c r="Z1190" s="176"/>
    </row>
    <row r="1191">
      <c r="A1191" s="249"/>
      <c r="B1191" s="249"/>
      <c r="C1191" s="219"/>
      <c r="D1191" s="268"/>
      <c r="E1191" s="251"/>
      <c r="F1191" s="250"/>
      <c r="G1191" s="243"/>
      <c r="H1191" s="243"/>
      <c r="I1191" s="243"/>
      <c r="J1191" s="325"/>
      <c r="K1191" s="326"/>
      <c r="L1191" s="327"/>
      <c r="M1191" s="321"/>
      <c r="N1191" s="176"/>
      <c r="O1191" s="176"/>
      <c r="P1191" s="176"/>
      <c r="Q1191" s="176"/>
      <c r="R1191" s="176"/>
      <c r="S1191" s="176"/>
      <c r="T1191" s="176"/>
      <c r="U1191" s="176"/>
      <c r="V1191" s="176"/>
      <c r="W1191" s="176"/>
      <c r="X1191" s="176"/>
      <c r="Y1191" s="176"/>
      <c r="Z1191" s="176"/>
    </row>
    <row r="1192">
      <c r="A1192" s="249"/>
      <c r="B1192" s="249"/>
      <c r="C1192" s="219"/>
      <c r="D1192" s="268"/>
      <c r="E1192" s="251"/>
      <c r="F1192" s="250"/>
      <c r="G1192" s="243"/>
      <c r="H1192" s="243"/>
      <c r="I1192" s="243"/>
      <c r="J1192" s="325"/>
      <c r="K1192" s="326"/>
      <c r="L1192" s="327"/>
      <c r="M1192" s="321"/>
      <c r="N1192" s="176"/>
      <c r="O1192" s="176"/>
      <c r="P1192" s="176"/>
      <c r="Q1192" s="176"/>
      <c r="R1192" s="176"/>
      <c r="S1192" s="176"/>
      <c r="T1192" s="176"/>
      <c r="U1192" s="176"/>
      <c r="V1192" s="176"/>
      <c r="W1192" s="176"/>
      <c r="X1192" s="176"/>
      <c r="Y1192" s="176"/>
      <c r="Z1192" s="176"/>
    </row>
    <row r="1193">
      <c r="A1193" s="249"/>
      <c r="B1193" s="249"/>
      <c r="C1193" s="219"/>
      <c r="D1193" s="268"/>
      <c r="E1193" s="251"/>
      <c r="F1193" s="250"/>
      <c r="G1193" s="243"/>
      <c r="H1193" s="243"/>
      <c r="I1193" s="243"/>
      <c r="J1193" s="325"/>
      <c r="K1193" s="326"/>
      <c r="L1193" s="327"/>
      <c r="M1193" s="321"/>
      <c r="N1193" s="176"/>
      <c r="O1193" s="176"/>
      <c r="P1193" s="176"/>
      <c r="Q1193" s="176"/>
      <c r="R1193" s="176"/>
      <c r="S1193" s="176"/>
      <c r="T1193" s="176"/>
      <c r="U1193" s="176"/>
      <c r="V1193" s="176"/>
      <c r="W1193" s="176"/>
      <c r="X1193" s="176"/>
      <c r="Y1193" s="176"/>
      <c r="Z1193" s="176"/>
    </row>
    <row r="1194">
      <c r="A1194" s="249"/>
      <c r="B1194" s="249"/>
      <c r="C1194" s="219"/>
      <c r="D1194" s="268"/>
      <c r="E1194" s="251"/>
      <c r="F1194" s="250"/>
      <c r="G1194" s="243"/>
      <c r="H1194" s="243"/>
      <c r="I1194" s="243"/>
      <c r="J1194" s="325"/>
      <c r="K1194" s="326"/>
      <c r="L1194" s="327"/>
      <c r="M1194" s="321"/>
      <c r="N1194" s="176"/>
      <c r="O1194" s="176"/>
      <c r="P1194" s="176"/>
      <c r="Q1194" s="176"/>
      <c r="R1194" s="176"/>
      <c r="S1194" s="176"/>
      <c r="T1194" s="176"/>
      <c r="U1194" s="176"/>
      <c r="V1194" s="176"/>
      <c r="W1194" s="176"/>
      <c r="X1194" s="176"/>
      <c r="Y1194" s="176"/>
      <c r="Z1194" s="176"/>
    </row>
    <row r="1195">
      <c r="A1195" s="249"/>
      <c r="B1195" s="249"/>
      <c r="C1195" s="219"/>
      <c r="D1195" s="268"/>
      <c r="E1195" s="251"/>
      <c r="F1195" s="250"/>
      <c r="G1195" s="243"/>
      <c r="H1195" s="243"/>
      <c r="I1195" s="243"/>
      <c r="J1195" s="325"/>
      <c r="K1195" s="326"/>
      <c r="L1195" s="327"/>
      <c r="M1195" s="321"/>
      <c r="N1195" s="176"/>
      <c r="O1195" s="176"/>
      <c r="P1195" s="176"/>
      <c r="Q1195" s="176"/>
      <c r="R1195" s="176"/>
      <c r="S1195" s="176"/>
      <c r="T1195" s="176"/>
      <c r="U1195" s="176"/>
      <c r="V1195" s="176"/>
      <c r="W1195" s="176"/>
      <c r="X1195" s="176"/>
      <c r="Y1195" s="176"/>
      <c r="Z1195" s="176"/>
    </row>
    <row r="1196">
      <c r="A1196" s="249"/>
      <c r="B1196" s="249"/>
      <c r="C1196" s="219"/>
      <c r="D1196" s="268"/>
      <c r="E1196" s="251"/>
      <c r="F1196" s="250"/>
      <c r="G1196" s="243"/>
      <c r="H1196" s="243"/>
      <c r="I1196" s="243"/>
      <c r="J1196" s="325"/>
      <c r="K1196" s="326"/>
      <c r="L1196" s="327"/>
      <c r="M1196" s="321"/>
      <c r="N1196" s="176"/>
      <c r="O1196" s="176"/>
      <c r="P1196" s="176"/>
      <c r="Q1196" s="176"/>
      <c r="R1196" s="176"/>
      <c r="S1196" s="176"/>
      <c r="T1196" s="176"/>
      <c r="U1196" s="176"/>
      <c r="V1196" s="176"/>
      <c r="W1196" s="176"/>
      <c r="X1196" s="176"/>
      <c r="Y1196" s="176"/>
      <c r="Z1196" s="176"/>
    </row>
    <row r="1197">
      <c r="A1197" s="249"/>
      <c r="B1197" s="249"/>
      <c r="C1197" s="219"/>
      <c r="D1197" s="268"/>
      <c r="E1197" s="251"/>
      <c r="F1197" s="250"/>
      <c r="G1197" s="243"/>
      <c r="H1197" s="243"/>
      <c r="I1197" s="243"/>
      <c r="J1197" s="325"/>
      <c r="K1197" s="326"/>
      <c r="L1197" s="327"/>
      <c r="M1197" s="321"/>
      <c r="N1197" s="176"/>
      <c r="O1197" s="176"/>
      <c r="P1197" s="176"/>
      <c r="Q1197" s="176"/>
      <c r="R1197" s="176"/>
      <c r="S1197" s="176"/>
      <c r="T1197" s="176"/>
      <c r="U1197" s="176"/>
      <c r="V1197" s="176"/>
      <c r="W1197" s="176"/>
      <c r="X1197" s="176"/>
      <c r="Y1197" s="176"/>
      <c r="Z1197" s="176"/>
    </row>
    <row r="1198">
      <c r="A1198" s="249"/>
      <c r="B1198" s="249"/>
      <c r="C1198" s="219"/>
      <c r="D1198" s="268"/>
      <c r="E1198" s="251"/>
      <c r="F1198" s="250"/>
      <c r="G1198" s="243"/>
      <c r="H1198" s="243"/>
      <c r="I1198" s="243"/>
      <c r="J1198" s="325"/>
      <c r="K1198" s="326"/>
      <c r="L1198" s="327"/>
      <c r="M1198" s="321"/>
      <c r="N1198" s="176"/>
      <c r="O1198" s="176"/>
      <c r="P1198" s="176"/>
      <c r="Q1198" s="176"/>
      <c r="R1198" s="176"/>
      <c r="S1198" s="176"/>
      <c r="T1198" s="176"/>
      <c r="U1198" s="176"/>
      <c r="V1198" s="176"/>
      <c r="W1198" s="176"/>
      <c r="X1198" s="176"/>
      <c r="Y1198" s="176"/>
      <c r="Z1198" s="176"/>
    </row>
    <row r="1199">
      <c r="A1199" s="249"/>
      <c r="B1199" s="249"/>
      <c r="C1199" s="219"/>
      <c r="D1199" s="268"/>
      <c r="E1199" s="251"/>
      <c r="F1199" s="250"/>
      <c r="G1199" s="243"/>
      <c r="H1199" s="243"/>
      <c r="I1199" s="243"/>
      <c r="J1199" s="325"/>
      <c r="K1199" s="326"/>
      <c r="L1199" s="327"/>
      <c r="M1199" s="321"/>
      <c r="N1199" s="176"/>
      <c r="O1199" s="176"/>
      <c r="P1199" s="176"/>
      <c r="Q1199" s="176"/>
      <c r="R1199" s="176"/>
      <c r="S1199" s="176"/>
      <c r="T1199" s="176"/>
      <c r="U1199" s="176"/>
      <c r="V1199" s="176"/>
      <c r="W1199" s="176"/>
      <c r="X1199" s="176"/>
      <c r="Y1199" s="176"/>
      <c r="Z1199" s="176"/>
    </row>
    <row r="1200">
      <c r="A1200" s="249"/>
      <c r="B1200" s="249"/>
      <c r="C1200" s="219"/>
      <c r="D1200" s="268"/>
      <c r="E1200" s="251"/>
      <c r="F1200" s="250"/>
      <c r="G1200" s="243"/>
      <c r="H1200" s="243"/>
      <c r="I1200" s="243"/>
      <c r="J1200" s="325"/>
      <c r="K1200" s="326"/>
      <c r="L1200" s="327"/>
      <c r="M1200" s="321"/>
      <c r="N1200" s="176"/>
      <c r="O1200" s="176"/>
      <c r="P1200" s="176"/>
      <c r="Q1200" s="176"/>
      <c r="R1200" s="176"/>
      <c r="S1200" s="176"/>
      <c r="T1200" s="176"/>
      <c r="U1200" s="176"/>
      <c r="V1200" s="176"/>
      <c r="W1200" s="176"/>
      <c r="X1200" s="176"/>
      <c r="Y1200" s="176"/>
      <c r="Z1200" s="176"/>
    </row>
    <row r="1201">
      <c r="A1201" s="249"/>
      <c r="B1201" s="249"/>
      <c r="C1201" s="219"/>
      <c r="D1201" s="268"/>
      <c r="E1201" s="251"/>
      <c r="F1201" s="250"/>
      <c r="G1201" s="243"/>
      <c r="H1201" s="243"/>
      <c r="I1201" s="243"/>
      <c r="J1201" s="325"/>
      <c r="K1201" s="326"/>
      <c r="L1201" s="327"/>
      <c r="M1201" s="321"/>
      <c r="N1201" s="176"/>
      <c r="O1201" s="176"/>
      <c r="P1201" s="176"/>
      <c r="Q1201" s="176"/>
      <c r="R1201" s="176"/>
      <c r="S1201" s="176"/>
      <c r="T1201" s="176"/>
      <c r="U1201" s="176"/>
      <c r="V1201" s="176"/>
      <c r="W1201" s="176"/>
      <c r="X1201" s="176"/>
      <c r="Y1201" s="176"/>
      <c r="Z1201" s="176"/>
    </row>
    <row r="1202">
      <c r="A1202" s="249"/>
      <c r="B1202" s="249"/>
      <c r="C1202" s="219"/>
      <c r="D1202" s="268"/>
      <c r="E1202" s="251"/>
      <c r="F1202" s="250"/>
      <c r="G1202" s="243"/>
      <c r="H1202" s="243"/>
      <c r="I1202" s="243"/>
      <c r="J1202" s="325"/>
      <c r="K1202" s="326"/>
      <c r="L1202" s="327"/>
      <c r="M1202" s="321"/>
      <c r="N1202" s="176"/>
      <c r="O1202" s="176"/>
      <c r="P1202" s="176"/>
      <c r="Q1202" s="176"/>
      <c r="R1202" s="176"/>
      <c r="S1202" s="176"/>
      <c r="T1202" s="176"/>
      <c r="U1202" s="176"/>
      <c r="V1202" s="176"/>
      <c r="W1202" s="176"/>
      <c r="X1202" s="176"/>
      <c r="Y1202" s="176"/>
      <c r="Z1202" s="176"/>
    </row>
    <row r="1203">
      <c r="A1203" s="249"/>
      <c r="B1203" s="249"/>
      <c r="C1203" s="219"/>
      <c r="D1203" s="268"/>
      <c r="E1203" s="251"/>
      <c r="F1203" s="250"/>
      <c r="G1203" s="243"/>
      <c r="H1203" s="243"/>
      <c r="I1203" s="243"/>
      <c r="J1203" s="325"/>
      <c r="K1203" s="326"/>
      <c r="L1203" s="327"/>
      <c r="M1203" s="321"/>
      <c r="N1203" s="176"/>
      <c r="O1203" s="176"/>
      <c r="P1203" s="176"/>
      <c r="Q1203" s="176"/>
      <c r="R1203" s="176"/>
      <c r="S1203" s="176"/>
      <c r="T1203" s="176"/>
      <c r="U1203" s="176"/>
      <c r="V1203" s="176"/>
      <c r="W1203" s="176"/>
      <c r="X1203" s="176"/>
      <c r="Y1203" s="176"/>
      <c r="Z1203" s="176"/>
    </row>
    <row r="1204">
      <c r="A1204" s="249"/>
      <c r="B1204" s="249"/>
      <c r="C1204" s="219"/>
      <c r="D1204" s="268"/>
      <c r="E1204" s="251"/>
      <c r="F1204" s="250"/>
      <c r="G1204" s="243"/>
      <c r="H1204" s="243"/>
      <c r="I1204" s="243"/>
      <c r="J1204" s="325"/>
      <c r="K1204" s="326"/>
      <c r="L1204" s="327"/>
      <c r="M1204" s="321"/>
      <c r="N1204" s="176"/>
      <c r="O1204" s="176"/>
      <c r="P1204" s="176"/>
      <c r="Q1204" s="176"/>
      <c r="R1204" s="176"/>
      <c r="S1204" s="176"/>
      <c r="T1204" s="176"/>
      <c r="U1204" s="176"/>
      <c r="V1204" s="176"/>
      <c r="W1204" s="176"/>
      <c r="X1204" s="176"/>
      <c r="Y1204" s="176"/>
      <c r="Z1204" s="176"/>
    </row>
    <row r="1205">
      <c r="A1205" s="249"/>
      <c r="B1205" s="249"/>
      <c r="C1205" s="219"/>
      <c r="D1205" s="268"/>
      <c r="E1205" s="251"/>
      <c r="F1205" s="250"/>
      <c r="G1205" s="243"/>
      <c r="H1205" s="243"/>
      <c r="I1205" s="243"/>
      <c r="J1205" s="325"/>
      <c r="K1205" s="326"/>
      <c r="L1205" s="327"/>
      <c r="M1205" s="321"/>
      <c r="N1205" s="176"/>
      <c r="O1205" s="176"/>
      <c r="P1205" s="176"/>
      <c r="Q1205" s="176"/>
      <c r="R1205" s="176"/>
      <c r="S1205" s="176"/>
      <c r="T1205" s="176"/>
      <c r="U1205" s="176"/>
      <c r="V1205" s="176"/>
      <c r="W1205" s="176"/>
      <c r="X1205" s="176"/>
      <c r="Y1205" s="176"/>
      <c r="Z1205" s="176"/>
    </row>
    <row r="1206">
      <c r="A1206" s="249"/>
      <c r="B1206" s="249"/>
      <c r="C1206" s="219"/>
      <c r="D1206" s="268"/>
      <c r="E1206" s="251"/>
      <c r="F1206" s="250"/>
      <c r="G1206" s="243"/>
      <c r="H1206" s="243"/>
      <c r="I1206" s="243"/>
      <c r="J1206" s="325"/>
      <c r="K1206" s="326"/>
      <c r="L1206" s="327"/>
      <c r="M1206" s="321"/>
      <c r="N1206" s="176"/>
      <c r="O1206" s="176"/>
      <c r="P1206" s="176"/>
      <c r="Q1206" s="176"/>
      <c r="R1206" s="176"/>
      <c r="S1206" s="176"/>
      <c r="T1206" s="176"/>
      <c r="U1206" s="176"/>
      <c r="V1206" s="176"/>
      <c r="W1206" s="176"/>
      <c r="X1206" s="176"/>
      <c r="Y1206" s="176"/>
      <c r="Z1206" s="176"/>
    </row>
    <row r="1207">
      <c r="A1207" s="249"/>
      <c r="B1207" s="249"/>
      <c r="C1207" s="219"/>
      <c r="D1207" s="268"/>
      <c r="E1207" s="251"/>
      <c r="F1207" s="250"/>
      <c r="G1207" s="243"/>
      <c r="H1207" s="243"/>
      <c r="I1207" s="243"/>
      <c r="J1207" s="325"/>
      <c r="K1207" s="326"/>
      <c r="L1207" s="327"/>
      <c r="M1207" s="321"/>
      <c r="N1207" s="176"/>
      <c r="O1207" s="176"/>
      <c r="P1207" s="176"/>
      <c r="Q1207" s="176"/>
      <c r="R1207" s="176"/>
      <c r="S1207" s="176"/>
      <c r="T1207" s="176"/>
      <c r="U1207" s="176"/>
      <c r="V1207" s="176"/>
      <c r="W1207" s="176"/>
      <c r="X1207" s="176"/>
      <c r="Y1207" s="176"/>
      <c r="Z1207" s="176"/>
    </row>
    <row r="1208">
      <c r="A1208" s="249"/>
      <c r="B1208" s="249"/>
      <c r="C1208" s="219"/>
      <c r="D1208" s="268"/>
      <c r="E1208" s="251"/>
      <c r="F1208" s="250"/>
      <c r="G1208" s="243"/>
      <c r="H1208" s="243"/>
      <c r="I1208" s="243"/>
      <c r="J1208" s="325"/>
      <c r="K1208" s="326"/>
      <c r="L1208" s="327"/>
      <c r="M1208" s="321"/>
      <c r="N1208" s="176"/>
      <c r="O1208" s="176"/>
      <c r="P1208" s="176"/>
      <c r="Q1208" s="176"/>
      <c r="R1208" s="176"/>
      <c r="S1208" s="176"/>
      <c r="T1208" s="176"/>
      <c r="U1208" s="176"/>
      <c r="V1208" s="176"/>
      <c r="W1208" s="176"/>
      <c r="X1208" s="176"/>
      <c r="Y1208" s="176"/>
      <c r="Z1208" s="176"/>
    </row>
    <row r="1209">
      <c r="A1209" s="249"/>
      <c r="B1209" s="249"/>
      <c r="C1209" s="219"/>
      <c r="D1209" s="268"/>
      <c r="E1209" s="251"/>
      <c r="F1209" s="250"/>
      <c r="G1209" s="243"/>
      <c r="H1209" s="243"/>
      <c r="I1209" s="243"/>
      <c r="J1209" s="325"/>
      <c r="K1209" s="326"/>
      <c r="L1209" s="327"/>
      <c r="M1209" s="321"/>
      <c r="N1209" s="176"/>
      <c r="O1209" s="176"/>
      <c r="P1209" s="176"/>
      <c r="Q1209" s="176"/>
      <c r="R1209" s="176"/>
      <c r="S1209" s="176"/>
      <c r="T1209" s="176"/>
      <c r="U1209" s="176"/>
      <c r="V1209" s="176"/>
      <c r="W1209" s="176"/>
      <c r="X1209" s="176"/>
      <c r="Y1209" s="176"/>
      <c r="Z1209" s="176"/>
    </row>
    <row r="1210">
      <c r="A1210" s="249"/>
      <c r="B1210" s="249"/>
      <c r="C1210" s="219"/>
      <c r="D1210" s="268"/>
      <c r="E1210" s="251"/>
      <c r="F1210" s="250"/>
      <c r="G1210" s="243"/>
      <c r="H1210" s="243"/>
      <c r="I1210" s="243"/>
      <c r="J1210" s="325"/>
      <c r="K1210" s="326"/>
      <c r="L1210" s="327"/>
      <c r="M1210" s="321"/>
      <c r="N1210" s="176"/>
      <c r="O1210" s="176"/>
      <c r="P1210" s="176"/>
      <c r="Q1210" s="176"/>
      <c r="R1210" s="176"/>
      <c r="S1210" s="176"/>
      <c r="T1210" s="176"/>
      <c r="U1210" s="176"/>
      <c r="V1210" s="176"/>
      <c r="W1210" s="176"/>
      <c r="X1210" s="176"/>
      <c r="Y1210" s="176"/>
      <c r="Z1210" s="176"/>
    </row>
    <row r="1211">
      <c r="A1211" s="249"/>
      <c r="B1211" s="249"/>
      <c r="C1211" s="219"/>
      <c r="D1211" s="268"/>
      <c r="E1211" s="251"/>
      <c r="F1211" s="250"/>
      <c r="G1211" s="243"/>
      <c r="H1211" s="243"/>
      <c r="I1211" s="243"/>
      <c r="J1211" s="325"/>
      <c r="K1211" s="326"/>
      <c r="L1211" s="327"/>
      <c r="M1211" s="321"/>
      <c r="N1211" s="176"/>
      <c r="O1211" s="176"/>
      <c r="P1211" s="176"/>
      <c r="Q1211" s="176"/>
      <c r="R1211" s="176"/>
      <c r="S1211" s="176"/>
      <c r="T1211" s="176"/>
      <c r="U1211" s="176"/>
      <c r="V1211" s="176"/>
      <c r="W1211" s="176"/>
      <c r="X1211" s="176"/>
      <c r="Y1211" s="176"/>
      <c r="Z1211" s="176"/>
    </row>
    <row r="1212">
      <c r="A1212" s="249"/>
      <c r="B1212" s="249"/>
      <c r="C1212" s="219"/>
      <c r="D1212" s="268"/>
      <c r="E1212" s="251"/>
      <c r="F1212" s="250"/>
      <c r="G1212" s="243"/>
      <c r="H1212" s="243"/>
      <c r="I1212" s="243"/>
      <c r="J1212" s="325"/>
      <c r="K1212" s="326"/>
      <c r="L1212" s="327"/>
      <c r="M1212" s="321"/>
      <c r="N1212" s="176"/>
      <c r="O1212" s="176"/>
      <c r="P1212" s="176"/>
      <c r="Q1212" s="176"/>
      <c r="R1212" s="176"/>
      <c r="S1212" s="176"/>
      <c r="T1212" s="176"/>
      <c r="U1212" s="176"/>
      <c r="V1212" s="176"/>
      <c r="W1212" s="176"/>
      <c r="X1212" s="176"/>
      <c r="Y1212" s="176"/>
      <c r="Z1212" s="176"/>
    </row>
    <row r="1213">
      <c r="A1213" s="249"/>
      <c r="B1213" s="249"/>
      <c r="C1213" s="219"/>
      <c r="D1213" s="268"/>
      <c r="E1213" s="251"/>
      <c r="F1213" s="250"/>
      <c r="G1213" s="243"/>
      <c r="H1213" s="243"/>
      <c r="I1213" s="243"/>
      <c r="J1213" s="325"/>
      <c r="K1213" s="326"/>
      <c r="L1213" s="327"/>
      <c r="M1213" s="321"/>
      <c r="N1213" s="176"/>
      <c r="O1213" s="176"/>
      <c r="P1213" s="176"/>
      <c r="Q1213" s="176"/>
      <c r="R1213" s="176"/>
      <c r="S1213" s="176"/>
      <c r="T1213" s="176"/>
      <c r="U1213" s="176"/>
      <c r="V1213" s="176"/>
      <c r="W1213" s="176"/>
      <c r="X1213" s="176"/>
      <c r="Y1213" s="176"/>
      <c r="Z1213" s="176"/>
    </row>
    <row r="1214">
      <c r="A1214" s="249"/>
      <c r="B1214" s="249"/>
      <c r="C1214" s="219"/>
      <c r="D1214" s="268"/>
      <c r="E1214" s="251"/>
      <c r="F1214" s="250"/>
      <c r="G1214" s="243"/>
      <c r="H1214" s="243"/>
      <c r="I1214" s="243"/>
      <c r="J1214" s="325"/>
      <c r="K1214" s="326"/>
      <c r="L1214" s="327"/>
      <c r="M1214" s="321"/>
      <c r="N1214" s="176"/>
      <c r="O1214" s="176"/>
      <c r="P1214" s="176"/>
      <c r="Q1214" s="176"/>
      <c r="R1214" s="176"/>
      <c r="S1214" s="176"/>
      <c r="T1214" s="176"/>
      <c r="U1214" s="176"/>
      <c r="V1214" s="176"/>
      <c r="W1214" s="176"/>
      <c r="X1214" s="176"/>
      <c r="Y1214" s="176"/>
      <c r="Z1214" s="176"/>
    </row>
    <row r="1215">
      <c r="A1215" s="249"/>
      <c r="B1215" s="249"/>
      <c r="C1215" s="219"/>
      <c r="D1215" s="268"/>
      <c r="E1215" s="251"/>
      <c r="F1215" s="250"/>
      <c r="G1215" s="243"/>
      <c r="H1215" s="243"/>
      <c r="I1215" s="243"/>
      <c r="J1215" s="325"/>
      <c r="K1215" s="326"/>
      <c r="L1215" s="327"/>
      <c r="M1215" s="321"/>
      <c r="N1215" s="176"/>
      <c r="O1215" s="176"/>
      <c r="P1215" s="176"/>
      <c r="Q1215" s="176"/>
      <c r="R1215" s="176"/>
      <c r="S1215" s="176"/>
      <c r="T1215" s="176"/>
      <c r="U1215" s="176"/>
      <c r="V1215" s="176"/>
      <c r="W1215" s="176"/>
      <c r="X1215" s="176"/>
      <c r="Y1215" s="176"/>
      <c r="Z1215" s="176"/>
    </row>
    <row r="1216">
      <c r="A1216" s="249"/>
      <c r="B1216" s="249"/>
      <c r="C1216" s="219"/>
      <c r="D1216" s="268"/>
      <c r="E1216" s="251"/>
      <c r="F1216" s="250"/>
      <c r="G1216" s="243"/>
      <c r="H1216" s="243"/>
      <c r="I1216" s="243"/>
      <c r="J1216" s="325"/>
      <c r="K1216" s="326"/>
      <c r="L1216" s="327"/>
      <c r="M1216" s="321"/>
      <c r="N1216" s="176"/>
      <c r="O1216" s="176"/>
      <c r="P1216" s="176"/>
      <c r="Q1216" s="176"/>
      <c r="R1216" s="176"/>
      <c r="S1216" s="176"/>
      <c r="T1216" s="176"/>
      <c r="U1216" s="176"/>
      <c r="V1216" s="176"/>
      <c r="W1216" s="176"/>
      <c r="X1216" s="176"/>
      <c r="Y1216" s="176"/>
      <c r="Z1216" s="176"/>
    </row>
    <row r="1217">
      <c r="A1217" s="249"/>
      <c r="B1217" s="249"/>
      <c r="C1217" s="219"/>
      <c r="D1217" s="268"/>
      <c r="E1217" s="251"/>
      <c r="F1217" s="250"/>
      <c r="G1217" s="243"/>
      <c r="H1217" s="243"/>
      <c r="I1217" s="243"/>
      <c r="J1217" s="325"/>
      <c r="K1217" s="326"/>
      <c r="L1217" s="327"/>
      <c r="M1217" s="321"/>
      <c r="N1217" s="176"/>
      <c r="O1217" s="176"/>
      <c r="P1217" s="176"/>
      <c r="Q1217" s="176"/>
      <c r="R1217" s="176"/>
      <c r="S1217" s="176"/>
      <c r="T1217" s="176"/>
      <c r="U1217" s="176"/>
      <c r="V1217" s="176"/>
      <c r="W1217" s="176"/>
      <c r="X1217" s="176"/>
      <c r="Y1217" s="176"/>
      <c r="Z1217" s="176"/>
    </row>
    <row r="1218">
      <c r="A1218" s="249"/>
      <c r="B1218" s="249"/>
      <c r="C1218" s="219"/>
      <c r="D1218" s="268"/>
      <c r="E1218" s="251"/>
      <c r="F1218" s="250"/>
      <c r="G1218" s="243"/>
      <c r="H1218" s="243"/>
      <c r="I1218" s="243"/>
      <c r="J1218" s="325"/>
      <c r="K1218" s="326"/>
      <c r="L1218" s="327"/>
      <c r="M1218" s="321"/>
      <c r="N1218" s="176"/>
      <c r="O1218" s="176"/>
      <c r="P1218" s="176"/>
      <c r="Q1218" s="176"/>
      <c r="R1218" s="176"/>
      <c r="S1218" s="176"/>
      <c r="T1218" s="176"/>
      <c r="U1218" s="176"/>
      <c r="V1218" s="176"/>
      <c r="W1218" s="176"/>
      <c r="X1218" s="176"/>
      <c r="Y1218" s="176"/>
      <c r="Z1218" s="176"/>
    </row>
    <row r="1219">
      <c r="A1219" s="249"/>
      <c r="B1219" s="249"/>
      <c r="C1219" s="219"/>
      <c r="D1219" s="268"/>
      <c r="E1219" s="251"/>
      <c r="F1219" s="250"/>
      <c r="G1219" s="243"/>
      <c r="H1219" s="243"/>
      <c r="I1219" s="243"/>
      <c r="J1219" s="325"/>
      <c r="K1219" s="326"/>
      <c r="L1219" s="327"/>
      <c r="M1219" s="321"/>
      <c r="N1219" s="176"/>
      <c r="O1219" s="176"/>
      <c r="P1219" s="176"/>
      <c r="Q1219" s="176"/>
      <c r="R1219" s="176"/>
      <c r="S1219" s="176"/>
      <c r="T1219" s="176"/>
      <c r="U1219" s="176"/>
      <c r="V1219" s="176"/>
      <c r="W1219" s="176"/>
      <c r="X1219" s="176"/>
      <c r="Y1219" s="176"/>
      <c r="Z1219" s="176"/>
    </row>
    <row r="1220">
      <c r="A1220" s="249"/>
      <c r="B1220" s="249"/>
      <c r="C1220" s="219"/>
      <c r="D1220" s="268"/>
      <c r="E1220" s="251"/>
      <c r="F1220" s="250"/>
      <c r="G1220" s="243"/>
      <c r="H1220" s="243"/>
      <c r="I1220" s="243"/>
      <c r="J1220" s="325"/>
      <c r="K1220" s="326"/>
      <c r="L1220" s="327"/>
      <c r="M1220" s="321"/>
      <c r="N1220" s="176"/>
      <c r="O1220" s="176"/>
      <c r="P1220" s="176"/>
      <c r="Q1220" s="176"/>
      <c r="R1220" s="176"/>
      <c r="S1220" s="176"/>
      <c r="T1220" s="176"/>
      <c r="U1220" s="176"/>
      <c r="V1220" s="176"/>
      <c r="W1220" s="176"/>
      <c r="X1220" s="176"/>
      <c r="Y1220" s="176"/>
      <c r="Z1220" s="176"/>
    </row>
    <row r="1221">
      <c r="A1221" s="249"/>
      <c r="B1221" s="249"/>
      <c r="C1221" s="219"/>
      <c r="D1221" s="268"/>
      <c r="E1221" s="251"/>
      <c r="F1221" s="250"/>
      <c r="G1221" s="243"/>
      <c r="H1221" s="243"/>
      <c r="I1221" s="243"/>
      <c r="J1221" s="325"/>
      <c r="K1221" s="326"/>
      <c r="L1221" s="327"/>
      <c r="M1221" s="321"/>
      <c r="N1221" s="176"/>
      <c r="O1221" s="176"/>
      <c r="P1221" s="176"/>
      <c r="Q1221" s="176"/>
      <c r="R1221" s="176"/>
      <c r="S1221" s="176"/>
      <c r="T1221" s="176"/>
      <c r="U1221" s="176"/>
      <c r="V1221" s="176"/>
      <c r="W1221" s="176"/>
      <c r="X1221" s="176"/>
      <c r="Y1221" s="176"/>
      <c r="Z1221" s="176"/>
    </row>
    <row r="1222">
      <c r="A1222" s="249"/>
      <c r="B1222" s="249"/>
      <c r="C1222" s="219"/>
      <c r="D1222" s="268"/>
      <c r="E1222" s="251"/>
      <c r="F1222" s="250"/>
      <c r="G1222" s="243"/>
      <c r="H1222" s="243"/>
      <c r="I1222" s="243"/>
      <c r="J1222" s="325"/>
      <c r="K1222" s="326"/>
      <c r="L1222" s="327"/>
      <c r="M1222" s="321"/>
      <c r="N1222" s="176"/>
      <c r="O1222" s="176"/>
      <c r="P1222" s="176"/>
      <c r="Q1222" s="176"/>
      <c r="R1222" s="176"/>
      <c r="S1222" s="176"/>
      <c r="T1222" s="176"/>
      <c r="U1222" s="176"/>
      <c r="V1222" s="176"/>
      <c r="W1222" s="176"/>
      <c r="X1222" s="176"/>
      <c r="Y1222" s="176"/>
      <c r="Z1222" s="176"/>
    </row>
    <row r="1223">
      <c r="A1223" s="249"/>
      <c r="B1223" s="249"/>
      <c r="C1223" s="219"/>
      <c r="D1223" s="268"/>
      <c r="E1223" s="251"/>
      <c r="F1223" s="250"/>
      <c r="G1223" s="243"/>
      <c r="H1223" s="243"/>
      <c r="I1223" s="243"/>
      <c r="J1223" s="325"/>
      <c r="K1223" s="326"/>
      <c r="L1223" s="327"/>
      <c r="M1223" s="321"/>
      <c r="N1223" s="176"/>
      <c r="O1223" s="176"/>
      <c r="P1223" s="176"/>
      <c r="Q1223" s="176"/>
      <c r="R1223" s="176"/>
      <c r="S1223" s="176"/>
      <c r="T1223" s="176"/>
      <c r="U1223" s="176"/>
      <c r="V1223" s="176"/>
      <c r="W1223" s="176"/>
      <c r="X1223" s="176"/>
      <c r="Y1223" s="176"/>
      <c r="Z1223" s="176"/>
    </row>
    <row r="1224">
      <c r="A1224" s="249"/>
      <c r="B1224" s="249"/>
      <c r="C1224" s="219"/>
      <c r="D1224" s="268"/>
      <c r="E1224" s="251"/>
      <c r="F1224" s="250"/>
      <c r="G1224" s="243"/>
      <c r="H1224" s="243"/>
      <c r="I1224" s="243"/>
      <c r="J1224" s="325"/>
      <c r="K1224" s="326"/>
      <c r="L1224" s="327"/>
      <c r="M1224" s="321"/>
      <c r="N1224" s="176"/>
      <c r="O1224" s="176"/>
      <c r="P1224" s="176"/>
      <c r="Q1224" s="176"/>
      <c r="R1224" s="176"/>
      <c r="S1224" s="176"/>
      <c r="T1224" s="176"/>
      <c r="U1224" s="176"/>
      <c r="V1224" s="176"/>
      <c r="W1224" s="176"/>
      <c r="X1224" s="176"/>
      <c r="Y1224" s="176"/>
      <c r="Z1224" s="176"/>
    </row>
    <row r="1225">
      <c r="A1225" s="249"/>
      <c r="B1225" s="249"/>
      <c r="C1225" s="219"/>
      <c r="D1225" s="268"/>
      <c r="E1225" s="251"/>
      <c r="F1225" s="250"/>
      <c r="G1225" s="243"/>
      <c r="H1225" s="243"/>
      <c r="I1225" s="243"/>
      <c r="J1225" s="325"/>
      <c r="K1225" s="326"/>
      <c r="L1225" s="327"/>
      <c r="M1225" s="321"/>
      <c r="N1225" s="176"/>
      <c r="O1225" s="176"/>
      <c r="P1225" s="176"/>
      <c r="Q1225" s="176"/>
      <c r="R1225" s="176"/>
      <c r="S1225" s="176"/>
      <c r="T1225" s="176"/>
      <c r="U1225" s="176"/>
      <c r="V1225" s="176"/>
      <c r="W1225" s="176"/>
      <c r="X1225" s="176"/>
      <c r="Y1225" s="176"/>
      <c r="Z1225" s="176"/>
    </row>
    <row r="1226">
      <c r="A1226" s="249"/>
      <c r="B1226" s="249"/>
      <c r="C1226" s="219"/>
      <c r="D1226" s="268"/>
      <c r="E1226" s="251"/>
      <c r="F1226" s="250"/>
      <c r="G1226" s="243"/>
      <c r="H1226" s="243"/>
      <c r="I1226" s="243"/>
      <c r="J1226" s="325"/>
      <c r="K1226" s="326"/>
      <c r="L1226" s="327"/>
      <c r="M1226" s="321"/>
      <c r="N1226" s="176"/>
      <c r="O1226" s="176"/>
      <c r="P1226" s="176"/>
      <c r="Q1226" s="176"/>
      <c r="R1226" s="176"/>
      <c r="S1226" s="176"/>
      <c r="T1226" s="176"/>
      <c r="U1226" s="176"/>
      <c r="V1226" s="176"/>
      <c r="W1226" s="176"/>
      <c r="X1226" s="176"/>
      <c r="Y1226" s="176"/>
      <c r="Z1226" s="176"/>
    </row>
    <row r="1227">
      <c r="A1227" s="249"/>
      <c r="B1227" s="249"/>
      <c r="C1227" s="219"/>
      <c r="D1227" s="268"/>
      <c r="E1227" s="251"/>
      <c r="F1227" s="250"/>
      <c r="G1227" s="243"/>
      <c r="H1227" s="243"/>
      <c r="I1227" s="243"/>
      <c r="J1227" s="325"/>
      <c r="K1227" s="326"/>
      <c r="L1227" s="327"/>
      <c r="M1227" s="321"/>
      <c r="N1227" s="176"/>
      <c r="O1227" s="176"/>
      <c r="P1227" s="176"/>
      <c r="Q1227" s="176"/>
      <c r="R1227" s="176"/>
      <c r="S1227" s="176"/>
      <c r="T1227" s="176"/>
      <c r="U1227" s="176"/>
      <c r="V1227" s="176"/>
      <c r="W1227" s="176"/>
      <c r="X1227" s="176"/>
      <c r="Y1227" s="176"/>
      <c r="Z1227" s="176"/>
    </row>
    <row r="1228">
      <c r="A1228" s="249"/>
      <c r="B1228" s="249"/>
      <c r="C1228" s="219"/>
      <c r="D1228" s="268"/>
      <c r="E1228" s="251"/>
      <c r="F1228" s="250"/>
      <c r="G1228" s="243"/>
      <c r="H1228" s="243"/>
      <c r="I1228" s="243"/>
      <c r="J1228" s="325"/>
      <c r="K1228" s="326"/>
      <c r="L1228" s="327"/>
      <c r="M1228" s="321"/>
      <c r="N1228" s="176"/>
      <c r="O1228" s="176"/>
      <c r="P1228" s="176"/>
      <c r="Q1228" s="176"/>
      <c r="R1228" s="176"/>
      <c r="S1228" s="176"/>
      <c r="T1228" s="176"/>
      <c r="U1228" s="176"/>
      <c r="V1228" s="176"/>
      <c r="W1228" s="176"/>
      <c r="X1228" s="176"/>
      <c r="Y1228" s="176"/>
      <c r="Z1228" s="176"/>
    </row>
    <row r="1229">
      <c r="A1229" s="249"/>
      <c r="B1229" s="249"/>
      <c r="C1229" s="219"/>
      <c r="D1229" s="268"/>
      <c r="E1229" s="251"/>
      <c r="F1229" s="250"/>
      <c r="G1229" s="243"/>
      <c r="H1229" s="243"/>
      <c r="I1229" s="243"/>
      <c r="J1229" s="325"/>
      <c r="K1229" s="326"/>
      <c r="L1229" s="327"/>
      <c r="M1229" s="321"/>
      <c r="N1229" s="176"/>
      <c r="O1229" s="176"/>
      <c r="P1229" s="176"/>
      <c r="Q1229" s="176"/>
      <c r="R1229" s="176"/>
      <c r="S1229" s="176"/>
      <c r="T1229" s="176"/>
      <c r="U1229" s="176"/>
      <c r="V1229" s="176"/>
      <c r="W1229" s="176"/>
      <c r="X1229" s="176"/>
      <c r="Y1229" s="176"/>
      <c r="Z1229" s="176"/>
    </row>
    <row r="1230">
      <c r="A1230" s="249"/>
      <c r="B1230" s="249"/>
      <c r="C1230" s="219"/>
      <c r="D1230" s="268"/>
      <c r="E1230" s="251"/>
      <c r="F1230" s="250"/>
      <c r="G1230" s="243"/>
      <c r="H1230" s="243"/>
      <c r="I1230" s="243"/>
      <c r="J1230" s="325"/>
      <c r="K1230" s="326"/>
      <c r="L1230" s="327"/>
      <c r="M1230" s="321"/>
      <c r="N1230" s="176"/>
      <c r="O1230" s="176"/>
      <c r="P1230" s="176"/>
      <c r="Q1230" s="176"/>
      <c r="R1230" s="176"/>
      <c r="S1230" s="176"/>
      <c r="T1230" s="176"/>
      <c r="U1230" s="176"/>
      <c r="V1230" s="176"/>
      <c r="W1230" s="176"/>
      <c r="X1230" s="176"/>
      <c r="Y1230" s="176"/>
      <c r="Z1230" s="176"/>
    </row>
    <row r="1231">
      <c r="A1231" s="249"/>
      <c r="B1231" s="249"/>
      <c r="C1231" s="219"/>
      <c r="D1231" s="268"/>
      <c r="E1231" s="251"/>
      <c r="F1231" s="250"/>
      <c r="G1231" s="243"/>
      <c r="H1231" s="243"/>
      <c r="I1231" s="243"/>
      <c r="J1231" s="325"/>
      <c r="K1231" s="326"/>
      <c r="L1231" s="327"/>
      <c r="M1231" s="321"/>
      <c r="N1231" s="176"/>
      <c r="O1231" s="176"/>
      <c r="P1231" s="176"/>
      <c r="Q1231" s="176"/>
      <c r="R1231" s="176"/>
      <c r="S1231" s="176"/>
      <c r="T1231" s="176"/>
      <c r="U1231" s="176"/>
      <c r="V1231" s="176"/>
      <c r="W1231" s="176"/>
      <c r="X1231" s="176"/>
      <c r="Y1231" s="176"/>
      <c r="Z1231" s="176"/>
    </row>
    <row r="1232">
      <c r="A1232" s="249"/>
      <c r="B1232" s="249"/>
      <c r="C1232" s="219"/>
      <c r="D1232" s="268"/>
      <c r="E1232" s="251"/>
      <c r="F1232" s="250"/>
      <c r="G1232" s="243"/>
      <c r="H1232" s="243"/>
      <c r="I1232" s="243"/>
      <c r="J1232" s="325"/>
      <c r="K1232" s="326"/>
      <c r="L1232" s="327"/>
      <c r="M1232" s="321"/>
      <c r="N1232" s="176"/>
      <c r="O1232" s="176"/>
      <c r="P1232" s="176"/>
      <c r="Q1232" s="176"/>
      <c r="R1232" s="176"/>
      <c r="S1232" s="176"/>
      <c r="T1232" s="176"/>
      <c r="U1232" s="176"/>
      <c r="V1232" s="176"/>
      <c r="W1232" s="176"/>
      <c r="X1232" s="176"/>
      <c r="Y1232" s="176"/>
      <c r="Z1232" s="176"/>
    </row>
    <row r="1233">
      <c r="A1233" s="249"/>
      <c r="B1233" s="249"/>
      <c r="C1233" s="219"/>
      <c r="D1233" s="268"/>
      <c r="E1233" s="251"/>
      <c r="F1233" s="250"/>
      <c r="G1233" s="243"/>
      <c r="H1233" s="243"/>
      <c r="I1233" s="243"/>
      <c r="J1233" s="325"/>
      <c r="K1233" s="326"/>
      <c r="L1233" s="327"/>
      <c r="M1233" s="321"/>
      <c r="N1233" s="176"/>
      <c r="O1233" s="176"/>
      <c r="P1233" s="176"/>
      <c r="Q1233" s="176"/>
      <c r="R1233" s="176"/>
      <c r="S1233" s="176"/>
      <c r="T1233" s="176"/>
      <c r="U1233" s="176"/>
      <c r="V1233" s="176"/>
      <c r="W1233" s="176"/>
      <c r="X1233" s="176"/>
      <c r="Y1233" s="176"/>
      <c r="Z1233" s="176"/>
    </row>
    <row r="1234">
      <c r="A1234" s="249"/>
      <c r="B1234" s="249"/>
      <c r="C1234" s="219"/>
      <c r="D1234" s="268"/>
      <c r="E1234" s="251"/>
      <c r="F1234" s="250"/>
      <c r="G1234" s="243"/>
      <c r="H1234" s="243"/>
      <c r="I1234" s="243"/>
      <c r="J1234" s="325"/>
      <c r="K1234" s="326"/>
      <c r="L1234" s="327"/>
      <c r="M1234" s="321"/>
      <c r="N1234" s="176"/>
      <c r="O1234" s="176"/>
      <c r="P1234" s="176"/>
      <c r="Q1234" s="176"/>
      <c r="R1234" s="176"/>
      <c r="S1234" s="176"/>
      <c r="T1234" s="176"/>
      <c r="U1234" s="176"/>
      <c r="V1234" s="176"/>
      <c r="W1234" s="176"/>
      <c r="X1234" s="176"/>
      <c r="Y1234" s="176"/>
      <c r="Z1234" s="176"/>
    </row>
    <row r="1235">
      <c r="A1235" s="249"/>
      <c r="B1235" s="249"/>
      <c r="C1235" s="219"/>
      <c r="D1235" s="268"/>
      <c r="E1235" s="251"/>
      <c r="F1235" s="250"/>
      <c r="G1235" s="243"/>
      <c r="H1235" s="243"/>
      <c r="I1235" s="243"/>
      <c r="J1235" s="325"/>
      <c r="K1235" s="326"/>
      <c r="L1235" s="327"/>
      <c r="M1235" s="321"/>
      <c r="N1235" s="176"/>
      <c r="O1235" s="176"/>
      <c r="P1235" s="176"/>
      <c r="Q1235" s="176"/>
      <c r="R1235" s="176"/>
      <c r="S1235" s="176"/>
      <c r="T1235" s="176"/>
      <c r="U1235" s="176"/>
      <c r="V1235" s="176"/>
      <c r="W1235" s="176"/>
      <c r="X1235" s="176"/>
      <c r="Y1235" s="176"/>
      <c r="Z1235" s="176"/>
    </row>
    <row r="1236">
      <c r="A1236" s="249"/>
      <c r="B1236" s="249"/>
      <c r="C1236" s="219"/>
      <c r="D1236" s="268"/>
      <c r="E1236" s="251"/>
      <c r="F1236" s="250"/>
      <c r="G1236" s="243"/>
      <c r="H1236" s="243"/>
      <c r="I1236" s="243"/>
      <c r="J1236" s="325"/>
      <c r="K1236" s="326"/>
      <c r="L1236" s="327"/>
      <c r="M1236" s="321"/>
      <c r="N1236" s="176"/>
      <c r="O1236" s="176"/>
      <c r="P1236" s="176"/>
      <c r="Q1236" s="176"/>
      <c r="R1236" s="176"/>
      <c r="S1236" s="176"/>
      <c r="T1236" s="176"/>
      <c r="U1236" s="176"/>
      <c r="V1236" s="176"/>
      <c r="W1236" s="176"/>
      <c r="X1236" s="176"/>
      <c r="Y1236" s="176"/>
      <c r="Z1236" s="176"/>
    </row>
    <row r="1237">
      <c r="A1237" s="249"/>
      <c r="B1237" s="249"/>
      <c r="C1237" s="219"/>
      <c r="D1237" s="268"/>
      <c r="E1237" s="251"/>
      <c r="F1237" s="250"/>
      <c r="G1237" s="243"/>
      <c r="H1237" s="243"/>
      <c r="I1237" s="243"/>
      <c r="J1237" s="325"/>
      <c r="K1237" s="326"/>
      <c r="L1237" s="327"/>
      <c r="M1237" s="321"/>
      <c r="N1237" s="176"/>
      <c r="O1237" s="176"/>
      <c r="P1237" s="176"/>
      <c r="Q1237" s="176"/>
      <c r="R1237" s="176"/>
      <c r="S1237" s="176"/>
      <c r="T1237" s="176"/>
      <c r="U1237" s="176"/>
      <c r="V1237" s="176"/>
      <c r="W1237" s="176"/>
      <c r="X1237" s="176"/>
      <c r="Y1237" s="176"/>
      <c r="Z1237" s="176"/>
    </row>
    <row r="1238">
      <c r="A1238" s="249"/>
      <c r="B1238" s="249"/>
      <c r="C1238" s="219"/>
      <c r="D1238" s="268"/>
      <c r="E1238" s="251"/>
      <c r="F1238" s="250"/>
      <c r="G1238" s="243"/>
      <c r="H1238" s="243"/>
      <c r="I1238" s="243"/>
      <c r="J1238" s="325"/>
      <c r="K1238" s="326"/>
      <c r="L1238" s="327"/>
      <c r="M1238" s="321"/>
      <c r="N1238" s="176"/>
      <c r="O1238" s="176"/>
      <c r="P1238" s="176"/>
      <c r="Q1238" s="176"/>
      <c r="R1238" s="176"/>
      <c r="S1238" s="176"/>
      <c r="T1238" s="176"/>
      <c r="U1238" s="176"/>
      <c r="V1238" s="176"/>
      <c r="W1238" s="176"/>
      <c r="X1238" s="176"/>
      <c r="Y1238" s="176"/>
      <c r="Z1238" s="176"/>
    </row>
    <row r="1239">
      <c r="A1239" s="249"/>
      <c r="B1239" s="249"/>
      <c r="C1239" s="219"/>
      <c r="D1239" s="268"/>
      <c r="E1239" s="251"/>
      <c r="F1239" s="250"/>
      <c r="G1239" s="243"/>
      <c r="H1239" s="243"/>
      <c r="I1239" s="243"/>
      <c r="J1239" s="325"/>
      <c r="K1239" s="326"/>
      <c r="L1239" s="327"/>
      <c r="M1239" s="321"/>
      <c r="N1239" s="176"/>
      <c r="O1239" s="176"/>
      <c r="P1239" s="176"/>
      <c r="Q1239" s="176"/>
      <c r="R1239" s="176"/>
      <c r="S1239" s="176"/>
      <c r="T1239" s="176"/>
      <c r="U1239" s="176"/>
      <c r="V1239" s="176"/>
      <c r="W1239" s="176"/>
      <c r="X1239" s="176"/>
      <c r="Y1239" s="176"/>
      <c r="Z1239" s="176"/>
    </row>
    <row r="1240">
      <c r="A1240" s="249"/>
      <c r="B1240" s="249"/>
      <c r="C1240" s="219"/>
      <c r="D1240" s="268"/>
      <c r="E1240" s="251"/>
      <c r="F1240" s="250"/>
      <c r="G1240" s="243"/>
      <c r="H1240" s="243"/>
      <c r="I1240" s="243"/>
      <c r="J1240" s="325"/>
      <c r="K1240" s="326"/>
      <c r="L1240" s="327"/>
      <c r="M1240" s="321"/>
      <c r="N1240" s="176"/>
      <c r="O1240" s="176"/>
      <c r="P1240" s="176"/>
      <c r="Q1240" s="176"/>
      <c r="R1240" s="176"/>
      <c r="S1240" s="176"/>
      <c r="T1240" s="176"/>
      <c r="U1240" s="176"/>
      <c r="V1240" s="176"/>
      <c r="W1240" s="176"/>
      <c r="X1240" s="176"/>
      <c r="Y1240" s="176"/>
      <c r="Z1240" s="176"/>
    </row>
    <row r="1241">
      <c r="A1241" s="249"/>
      <c r="B1241" s="249"/>
      <c r="C1241" s="219"/>
      <c r="D1241" s="268"/>
      <c r="E1241" s="251"/>
      <c r="F1241" s="250"/>
      <c r="G1241" s="243"/>
      <c r="H1241" s="243"/>
      <c r="I1241" s="243"/>
      <c r="J1241" s="325"/>
      <c r="K1241" s="326"/>
      <c r="L1241" s="327"/>
      <c r="M1241" s="321"/>
      <c r="N1241" s="176"/>
      <c r="O1241" s="176"/>
      <c r="P1241" s="176"/>
      <c r="Q1241" s="176"/>
      <c r="R1241" s="176"/>
      <c r="S1241" s="176"/>
      <c r="T1241" s="176"/>
      <c r="U1241" s="176"/>
      <c r="V1241" s="176"/>
      <c r="W1241" s="176"/>
      <c r="X1241" s="176"/>
      <c r="Y1241" s="176"/>
      <c r="Z1241" s="176"/>
    </row>
    <row r="1242">
      <c r="A1242" s="249"/>
      <c r="B1242" s="249"/>
      <c r="C1242" s="219"/>
      <c r="D1242" s="268"/>
      <c r="E1242" s="251"/>
      <c r="F1242" s="250"/>
      <c r="G1242" s="243"/>
      <c r="H1242" s="243"/>
      <c r="I1242" s="243"/>
      <c r="J1242" s="325"/>
      <c r="K1242" s="326"/>
      <c r="L1242" s="327"/>
      <c r="M1242" s="321"/>
      <c r="N1242" s="176"/>
      <c r="O1242" s="176"/>
      <c r="P1242" s="176"/>
      <c r="Q1242" s="176"/>
      <c r="R1242" s="176"/>
      <c r="S1242" s="176"/>
      <c r="T1242" s="176"/>
      <c r="U1242" s="176"/>
      <c r="V1242" s="176"/>
      <c r="W1242" s="176"/>
      <c r="X1242" s="176"/>
      <c r="Y1242" s="176"/>
      <c r="Z1242" s="176"/>
    </row>
    <row r="1243">
      <c r="A1243" s="249"/>
      <c r="B1243" s="249"/>
      <c r="C1243" s="219"/>
      <c r="D1243" s="268"/>
      <c r="E1243" s="251"/>
      <c r="F1243" s="250"/>
      <c r="G1243" s="243"/>
      <c r="H1243" s="243"/>
      <c r="I1243" s="243"/>
      <c r="J1243" s="325"/>
      <c r="K1243" s="326"/>
      <c r="L1243" s="327"/>
      <c r="M1243" s="321"/>
      <c r="N1243" s="176"/>
      <c r="O1243" s="176"/>
      <c r="P1243" s="176"/>
      <c r="Q1243" s="176"/>
      <c r="R1243" s="176"/>
      <c r="S1243" s="176"/>
      <c r="T1243" s="176"/>
      <c r="U1243" s="176"/>
      <c r="V1243" s="176"/>
      <c r="W1243" s="176"/>
      <c r="X1243" s="176"/>
      <c r="Y1243" s="176"/>
      <c r="Z1243" s="176"/>
    </row>
    <row r="1244">
      <c r="A1244" s="249"/>
      <c r="B1244" s="249"/>
      <c r="C1244" s="219"/>
      <c r="D1244" s="268"/>
      <c r="E1244" s="251"/>
      <c r="F1244" s="250"/>
      <c r="G1244" s="243"/>
      <c r="H1244" s="243"/>
      <c r="I1244" s="243"/>
      <c r="J1244" s="325"/>
      <c r="K1244" s="326"/>
      <c r="L1244" s="327"/>
      <c r="M1244" s="321"/>
      <c r="N1244" s="176"/>
      <c r="O1244" s="176"/>
      <c r="P1244" s="176"/>
      <c r="Q1244" s="176"/>
      <c r="R1244" s="176"/>
      <c r="S1244" s="176"/>
      <c r="T1244" s="176"/>
      <c r="U1244" s="176"/>
      <c r="V1244" s="176"/>
      <c r="W1244" s="176"/>
      <c r="X1244" s="176"/>
      <c r="Y1244" s="176"/>
      <c r="Z1244" s="176"/>
    </row>
    <row r="1245">
      <c r="A1245" s="249"/>
      <c r="B1245" s="249"/>
      <c r="C1245" s="219"/>
      <c r="D1245" s="268"/>
      <c r="E1245" s="251"/>
      <c r="F1245" s="250"/>
      <c r="G1245" s="243"/>
      <c r="H1245" s="243"/>
      <c r="I1245" s="243"/>
      <c r="J1245" s="325"/>
      <c r="K1245" s="326"/>
      <c r="L1245" s="327"/>
      <c r="M1245" s="321"/>
      <c r="N1245" s="176"/>
      <c r="O1245" s="176"/>
      <c r="P1245" s="176"/>
      <c r="Q1245" s="176"/>
      <c r="R1245" s="176"/>
      <c r="S1245" s="176"/>
      <c r="T1245" s="176"/>
      <c r="U1245" s="176"/>
      <c r="V1245" s="176"/>
      <c r="W1245" s="176"/>
      <c r="X1245" s="176"/>
      <c r="Y1245" s="176"/>
      <c r="Z1245" s="176"/>
    </row>
    <row r="1246">
      <c r="A1246" s="249"/>
      <c r="B1246" s="249"/>
      <c r="C1246" s="219"/>
      <c r="D1246" s="268"/>
      <c r="E1246" s="251"/>
      <c r="F1246" s="250"/>
      <c r="G1246" s="243"/>
      <c r="H1246" s="243"/>
      <c r="I1246" s="243"/>
      <c r="J1246" s="325"/>
      <c r="K1246" s="326"/>
      <c r="L1246" s="327"/>
      <c r="M1246" s="321"/>
      <c r="N1246" s="176"/>
      <c r="O1246" s="176"/>
      <c r="P1246" s="176"/>
      <c r="Q1246" s="176"/>
      <c r="R1246" s="176"/>
      <c r="S1246" s="176"/>
      <c r="T1246" s="176"/>
      <c r="U1246" s="176"/>
      <c r="V1246" s="176"/>
      <c r="W1246" s="176"/>
      <c r="X1246" s="176"/>
      <c r="Y1246" s="176"/>
      <c r="Z1246" s="176"/>
    </row>
    <row r="1247">
      <c r="A1247" s="249"/>
      <c r="B1247" s="249"/>
      <c r="C1247" s="219"/>
      <c r="D1247" s="268"/>
      <c r="E1247" s="251"/>
      <c r="F1247" s="250"/>
      <c r="G1247" s="243"/>
      <c r="H1247" s="243"/>
      <c r="I1247" s="243"/>
      <c r="J1247" s="325"/>
      <c r="K1247" s="326"/>
      <c r="L1247" s="327"/>
      <c r="M1247" s="321"/>
      <c r="N1247" s="176"/>
      <c r="O1247" s="176"/>
      <c r="P1247" s="176"/>
      <c r="Q1247" s="176"/>
      <c r="R1247" s="176"/>
      <c r="S1247" s="176"/>
      <c r="T1247" s="176"/>
      <c r="U1247" s="176"/>
      <c r="V1247" s="176"/>
      <c r="W1247" s="176"/>
      <c r="X1247" s="176"/>
      <c r="Y1247" s="176"/>
      <c r="Z1247" s="176"/>
    </row>
    <row r="1248">
      <c r="A1248" s="249"/>
      <c r="B1248" s="249"/>
      <c r="C1248" s="219"/>
      <c r="D1248" s="268"/>
      <c r="E1248" s="251"/>
      <c r="F1248" s="250"/>
      <c r="G1248" s="243"/>
      <c r="H1248" s="243"/>
      <c r="I1248" s="243"/>
      <c r="J1248" s="325"/>
      <c r="K1248" s="326"/>
      <c r="L1248" s="327"/>
      <c r="M1248" s="321"/>
      <c r="N1248" s="176"/>
      <c r="O1248" s="176"/>
      <c r="P1248" s="176"/>
      <c r="Q1248" s="176"/>
      <c r="R1248" s="176"/>
      <c r="S1248" s="176"/>
      <c r="T1248" s="176"/>
      <c r="U1248" s="176"/>
      <c r="V1248" s="176"/>
      <c r="W1248" s="176"/>
      <c r="X1248" s="176"/>
      <c r="Y1248" s="176"/>
      <c r="Z1248" s="176"/>
    </row>
    <row r="1249">
      <c r="A1249" s="249"/>
      <c r="B1249" s="249"/>
      <c r="C1249" s="219"/>
      <c r="D1249" s="268"/>
      <c r="E1249" s="251"/>
      <c r="F1249" s="250"/>
      <c r="G1249" s="243"/>
      <c r="H1249" s="243"/>
      <c r="I1249" s="243"/>
      <c r="J1249" s="325"/>
      <c r="K1249" s="326"/>
      <c r="L1249" s="327"/>
      <c r="M1249" s="321"/>
      <c r="N1249" s="176"/>
      <c r="O1249" s="176"/>
      <c r="P1249" s="176"/>
      <c r="Q1249" s="176"/>
      <c r="R1249" s="176"/>
      <c r="S1249" s="176"/>
      <c r="T1249" s="176"/>
      <c r="U1249" s="176"/>
      <c r="V1249" s="176"/>
      <c r="W1249" s="176"/>
      <c r="X1249" s="176"/>
      <c r="Y1249" s="176"/>
      <c r="Z1249" s="176"/>
    </row>
    <row r="1250">
      <c r="A1250" s="249"/>
      <c r="B1250" s="249"/>
      <c r="C1250" s="219"/>
      <c r="D1250" s="268"/>
      <c r="E1250" s="251"/>
      <c r="F1250" s="250"/>
      <c r="G1250" s="243"/>
      <c r="H1250" s="243"/>
      <c r="I1250" s="243"/>
      <c r="J1250" s="325"/>
      <c r="K1250" s="326"/>
      <c r="L1250" s="327"/>
      <c r="M1250" s="321"/>
      <c r="N1250" s="176"/>
      <c r="O1250" s="176"/>
      <c r="P1250" s="176"/>
      <c r="Q1250" s="176"/>
      <c r="R1250" s="176"/>
      <c r="S1250" s="176"/>
      <c r="T1250" s="176"/>
      <c r="U1250" s="176"/>
      <c r="V1250" s="176"/>
      <c r="W1250" s="176"/>
      <c r="X1250" s="176"/>
      <c r="Y1250" s="176"/>
      <c r="Z1250" s="176"/>
    </row>
    <row r="1251">
      <c r="A1251" s="249"/>
      <c r="B1251" s="249"/>
      <c r="C1251" s="219"/>
      <c r="D1251" s="268"/>
      <c r="E1251" s="251"/>
      <c r="F1251" s="250"/>
      <c r="G1251" s="243"/>
      <c r="H1251" s="243"/>
      <c r="I1251" s="243"/>
      <c r="J1251" s="325"/>
      <c r="K1251" s="326"/>
      <c r="L1251" s="327"/>
      <c r="M1251" s="321"/>
      <c r="N1251" s="176"/>
      <c r="O1251" s="176"/>
      <c r="P1251" s="176"/>
      <c r="Q1251" s="176"/>
      <c r="R1251" s="176"/>
      <c r="S1251" s="176"/>
      <c r="T1251" s="176"/>
      <c r="U1251" s="176"/>
      <c r="V1251" s="176"/>
      <c r="W1251" s="176"/>
      <c r="X1251" s="176"/>
      <c r="Y1251" s="176"/>
      <c r="Z1251" s="176"/>
    </row>
    <row r="1252">
      <c r="A1252" s="249"/>
      <c r="B1252" s="249"/>
      <c r="C1252" s="219"/>
      <c r="D1252" s="268"/>
      <c r="E1252" s="251"/>
      <c r="F1252" s="250"/>
      <c r="G1252" s="243"/>
      <c r="H1252" s="243"/>
      <c r="I1252" s="243"/>
      <c r="J1252" s="325"/>
      <c r="K1252" s="326"/>
      <c r="L1252" s="327"/>
      <c r="M1252" s="321"/>
      <c r="N1252" s="176"/>
      <c r="O1252" s="176"/>
      <c r="P1252" s="176"/>
      <c r="Q1252" s="176"/>
      <c r="R1252" s="176"/>
      <c r="S1252" s="176"/>
      <c r="T1252" s="176"/>
      <c r="U1252" s="176"/>
      <c r="V1252" s="176"/>
      <c r="W1252" s="176"/>
      <c r="X1252" s="176"/>
      <c r="Y1252" s="176"/>
      <c r="Z1252" s="176"/>
    </row>
    <row r="1253">
      <c r="A1253" s="249"/>
      <c r="B1253" s="249"/>
      <c r="C1253" s="219"/>
      <c r="D1253" s="268"/>
      <c r="E1253" s="251"/>
      <c r="F1253" s="250"/>
      <c r="G1253" s="243"/>
      <c r="H1253" s="243"/>
      <c r="I1253" s="243"/>
      <c r="J1253" s="325"/>
      <c r="K1253" s="326"/>
      <c r="L1253" s="327"/>
      <c r="M1253" s="321"/>
      <c r="N1253" s="176"/>
      <c r="O1253" s="176"/>
      <c r="P1253" s="176"/>
      <c r="Q1253" s="176"/>
      <c r="R1253" s="176"/>
      <c r="S1253" s="176"/>
      <c r="T1253" s="176"/>
      <c r="U1253" s="176"/>
      <c r="V1253" s="176"/>
      <c r="W1253" s="176"/>
      <c r="X1253" s="176"/>
      <c r="Y1253" s="176"/>
      <c r="Z1253" s="176"/>
    </row>
    <row r="1254">
      <c r="A1254" s="249"/>
      <c r="B1254" s="249"/>
      <c r="C1254" s="219"/>
      <c r="D1254" s="268"/>
      <c r="E1254" s="251"/>
      <c r="F1254" s="250"/>
      <c r="G1254" s="243"/>
      <c r="H1254" s="243"/>
      <c r="I1254" s="243"/>
      <c r="J1254" s="325"/>
      <c r="K1254" s="326"/>
      <c r="L1254" s="327"/>
      <c r="M1254" s="321"/>
      <c r="N1254" s="176"/>
      <c r="O1254" s="176"/>
      <c r="P1254" s="176"/>
      <c r="Q1254" s="176"/>
      <c r="R1254" s="176"/>
      <c r="S1254" s="176"/>
      <c r="T1254" s="176"/>
      <c r="U1254" s="176"/>
      <c r="V1254" s="176"/>
      <c r="W1254" s="176"/>
      <c r="X1254" s="176"/>
      <c r="Y1254" s="176"/>
      <c r="Z1254" s="176"/>
    </row>
    <row r="1255">
      <c r="A1255" s="249"/>
      <c r="B1255" s="249"/>
      <c r="C1255" s="219"/>
      <c r="D1255" s="268"/>
      <c r="E1255" s="251"/>
      <c r="F1255" s="250"/>
      <c r="G1255" s="243"/>
      <c r="H1255" s="243"/>
      <c r="I1255" s="243"/>
      <c r="J1255" s="325"/>
      <c r="K1255" s="326"/>
      <c r="L1255" s="327"/>
      <c r="M1255" s="321"/>
      <c r="N1255" s="176"/>
      <c r="O1255" s="176"/>
      <c r="P1255" s="176"/>
      <c r="Q1255" s="176"/>
      <c r="R1255" s="176"/>
      <c r="S1255" s="176"/>
      <c r="T1255" s="176"/>
      <c r="U1255" s="176"/>
      <c r="V1255" s="176"/>
      <c r="W1255" s="176"/>
      <c r="X1255" s="176"/>
      <c r="Y1255" s="176"/>
      <c r="Z1255" s="176"/>
    </row>
    <row r="1256">
      <c r="A1256" s="249"/>
      <c r="B1256" s="249"/>
      <c r="C1256" s="219"/>
      <c r="D1256" s="268"/>
      <c r="E1256" s="251"/>
      <c r="F1256" s="250"/>
      <c r="G1256" s="243"/>
      <c r="H1256" s="243"/>
      <c r="I1256" s="243"/>
      <c r="J1256" s="325"/>
      <c r="K1256" s="326"/>
      <c r="L1256" s="327"/>
      <c r="M1256" s="321"/>
      <c r="N1256" s="176"/>
      <c r="O1256" s="176"/>
      <c r="P1256" s="176"/>
      <c r="Q1256" s="176"/>
      <c r="R1256" s="176"/>
      <c r="S1256" s="176"/>
      <c r="T1256" s="176"/>
      <c r="U1256" s="176"/>
      <c r="V1256" s="176"/>
      <c r="W1256" s="176"/>
      <c r="X1256" s="176"/>
      <c r="Y1256" s="176"/>
      <c r="Z1256" s="176"/>
    </row>
    <row r="1257">
      <c r="A1257" s="249"/>
      <c r="B1257" s="249"/>
      <c r="C1257" s="219"/>
      <c r="D1257" s="268"/>
      <c r="E1257" s="251"/>
      <c r="F1257" s="250"/>
      <c r="G1257" s="243"/>
      <c r="H1257" s="243"/>
      <c r="I1257" s="243"/>
      <c r="J1257" s="325"/>
      <c r="K1257" s="326"/>
      <c r="L1257" s="327"/>
      <c r="M1257" s="321"/>
      <c r="N1257" s="176"/>
      <c r="O1257" s="176"/>
      <c r="P1257" s="176"/>
      <c r="Q1257" s="176"/>
      <c r="R1257" s="176"/>
      <c r="S1257" s="176"/>
      <c r="T1257" s="176"/>
      <c r="U1257" s="176"/>
      <c r="V1257" s="176"/>
      <c r="W1257" s="176"/>
      <c r="X1257" s="176"/>
      <c r="Y1257" s="176"/>
      <c r="Z1257" s="176"/>
    </row>
    <row r="1258">
      <c r="A1258" s="249"/>
      <c r="B1258" s="249"/>
      <c r="C1258" s="219"/>
      <c r="D1258" s="268"/>
      <c r="E1258" s="251"/>
      <c r="F1258" s="250"/>
      <c r="G1258" s="243"/>
      <c r="H1258" s="243"/>
      <c r="I1258" s="243"/>
      <c r="J1258" s="325"/>
      <c r="K1258" s="326"/>
      <c r="L1258" s="327"/>
      <c r="M1258" s="321"/>
      <c r="N1258" s="176"/>
      <c r="O1258" s="176"/>
      <c r="P1258" s="176"/>
      <c r="Q1258" s="176"/>
      <c r="R1258" s="176"/>
      <c r="S1258" s="176"/>
      <c r="T1258" s="176"/>
      <c r="U1258" s="176"/>
      <c r="V1258" s="176"/>
      <c r="W1258" s="176"/>
      <c r="X1258" s="176"/>
      <c r="Y1258" s="176"/>
      <c r="Z1258" s="176"/>
    </row>
    <row r="1259">
      <c r="A1259" s="249"/>
      <c r="B1259" s="249"/>
      <c r="C1259" s="219"/>
      <c r="D1259" s="268"/>
      <c r="E1259" s="251"/>
      <c r="F1259" s="250"/>
      <c r="G1259" s="243"/>
      <c r="H1259" s="243"/>
      <c r="I1259" s="243"/>
      <c r="J1259" s="325"/>
      <c r="K1259" s="326"/>
      <c r="L1259" s="327"/>
      <c r="M1259" s="321"/>
      <c r="N1259" s="176"/>
      <c r="O1259" s="176"/>
      <c r="P1259" s="176"/>
      <c r="Q1259" s="176"/>
      <c r="R1259" s="176"/>
      <c r="S1259" s="176"/>
      <c r="T1259" s="176"/>
      <c r="U1259" s="176"/>
      <c r="V1259" s="176"/>
      <c r="W1259" s="176"/>
      <c r="X1259" s="176"/>
      <c r="Y1259" s="176"/>
      <c r="Z1259" s="176"/>
    </row>
    <row r="1260">
      <c r="A1260" s="249"/>
      <c r="B1260" s="249"/>
      <c r="C1260" s="219"/>
      <c r="D1260" s="268"/>
      <c r="E1260" s="251"/>
      <c r="F1260" s="250"/>
      <c r="G1260" s="243"/>
      <c r="H1260" s="243"/>
      <c r="I1260" s="243"/>
      <c r="J1260" s="325"/>
      <c r="K1260" s="326"/>
      <c r="L1260" s="327"/>
      <c r="M1260" s="321"/>
      <c r="N1260" s="176"/>
      <c r="O1260" s="176"/>
      <c r="P1260" s="176"/>
      <c r="Q1260" s="176"/>
      <c r="R1260" s="176"/>
      <c r="S1260" s="176"/>
      <c r="T1260" s="176"/>
      <c r="U1260" s="176"/>
      <c r="V1260" s="176"/>
      <c r="W1260" s="176"/>
      <c r="X1260" s="176"/>
      <c r="Y1260" s="176"/>
      <c r="Z1260" s="176"/>
    </row>
    <row r="1261">
      <c r="A1261" s="249"/>
      <c r="B1261" s="249"/>
      <c r="C1261" s="219"/>
      <c r="D1261" s="268"/>
      <c r="E1261" s="251"/>
      <c r="F1261" s="250"/>
      <c r="G1261" s="243"/>
      <c r="H1261" s="243"/>
      <c r="I1261" s="243"/>
      <c r="J1261" s="325"/>
      <c r="K1261" s="326"/>
      <c r="L1261" s="327"/>
      <c r="M1261" s="321"/>
      <c r="N1261" s="176"/>
      <c r="O1261" s="176"/>
      <c r="P1261" s="176"/>
      <c r="Q1261" s="176"/>
      <c r="R1261" s="176"/>
      <c r="S1261" s="176"/>
      <c r="T1261" s="176"/>
      <c r="U1261" s="176"/>
      <c r="V1261" s="176"/>
      <c r="W1261" s="176"/>
      <c r="X1261" s="176"/>
      <c r="Y1261" s="176"/>
      <c r="Z1261" s="176"/>
    </row>
    <row r="1262">
      <c r="A1262" s="249"/>
      <c r="B1262" s="249"/>
      <c r="C1262" s="219"/>
      <c r="D1262" s="268"/>
      <c r="E1262" s="251"/>
      <c r="F1262" s="250"/>
      <c r="G1262" s="243"/>
      <c r="H1262" s="243"/>
      <c r="I1262" s="243"/>
      <c r="J1262" s="325"/>
      <c r="K1262" s="326"/>
      <c r="L1262" s="327"/>
      <c r="M1262" s="321"/>
      <c r="N1262" s="176"/>
      <c r="O1262" s="176"/>
      <c r="P1262" s="176"/>
      <c r="Q1262" s="176"/>
      <c r="R1262" s="176"/>
      <c r="S1262" s="176"/>
      <c r="T1262" s="176"/>
      <c r="U1262" s="176"/>
      <c r="V1262" s="176"/>
      <c r="W1262" s="176"/>
      <c r="X1262" s="176"/>
      <c r="Y1262" s="176"/>
      <c r="Z1262" s="176"/>
    </row>
    <row r="1263">
      <c r="A1263" s="249"/>
      <c r="B1263" s="249"/>
      <c r="C1263" s="219"/>
      <c r="D1263" s="268"/>
      <c r="E1263" s="251"/>
      <c r="F1263" s="250"/>
      <c r="G1263" s="243"/>
      <c r="H1263" s="243"/>
      <c r="I1263" s="243"/>
      <c r="J1263" s="325"/>
      <c r="K1263" s="326"/>
      <c r="L1263" s="327"/>
      <c r="M1263" s="321"/>
      <c r="N1263" s="176"/>
      <c r="O1263" s="176"/>
      <c r="P1263" s="176"/>
      <c r="Q1263" s="176"/>
      <c r="R1263" s="176"/>
      <c r="S1263" s="176"/>
      <c r="T1263" s="176"/>
      <c r="U1263" s="176"/>
      <c r="V1263" s="176"/>
      <c r="W1263" s="176"/>
      <c r="X1263" s="176"/>
      <c r="Y1263" s="176"/>
      <c r="Z1263" s="176"/>
    </row>
    <row r="1264">
      <c r="A1264" s="249"/>
      <c r="B1264" s="249"/>
      <c r="C1264" s="219"/>
      <c r="D1264" s="268"/>
      <c r="E1264" s="251"/>
      <c r="F1264" s="250"/>
      <c r="G1264" s="243"/>
      <c r="H1264" s="243"/>
      <c r="I1264" s="243"/>
      <c r="J1264" s="325"/>
      <c r="K1264" s="326"/>
      <c r="L1264" s="327"/>
      <c r="M1264" s="321"/>
      <c r="N1264" s="176"/>
      <c r="O1264" s="176"/>
      <c r="P1264" s="176"/>
      <c r="Q1264" s="176"/>
      <c r="R1264" s="176"/>
      <c r="S1264" s="176"/>
      <c r="T1264" s="176"/>
      <c r="U1264" s="176"/>
      <c r="V1264" s="176"/>
      <c r="W1264" s="176"/>
      <c r="X1264" s="176"/>
      <c r="Y1264" s="176"/>
      <c r="Z1264" s="176"/>
    </row>
    <row r="1265">
      <c r="A1265" s="249"/>
      <c r="B1265" s="249"/>
      <c r="C1265" s="219"/>
      <c r="D1265" s="268"/>
      <c r="E1265" s="251"/>
      <c r="F1265" s="250"/>
      <c r="G1265" s="243"/>
      <c r="H1265" s="243"/>
      <c r="I1265" s="243"/>
      <c r="J1265" s="325"/>
      <c r="K1265" s="326"/>
      <c r="L1265" s="327"/>
      <c r="M1265" s="321"/>
      <c r="N1265" s="176"/>
      <c r="O1265" s="176"/>
      <c r="P1265" s="176"/>
      <c r="Q1265" s="176"/>
      <c r="R1265" s="176"/>
      <c r="S1265" s="176"/>
      <c r="T1265" s="176"/>
      <c r="U1265" s="176"/>
      <c r="V1265" s="176"/>
      <c r="W1265" s="176"/>
      <c r="X1265" s="176"/>
      <c r="Y1265" s="176"/>
      <c r="Z1265" s="176"/>
    </row>
    <row r="1266">
      <c r="A1266" s="249"/>
      <c r="B1266" s="249"/>
      <c r="C1266" s="219"/>
      <c r="D1266" s="268"/>
      <c r="E1266" s="251"/>
      <c r="F1266" s="250"/>
      <c r="G1266" s="243"/>
      <c r="H1266" s="243"/>
      <c r="I1266" s="243"/>
      <c r="J1266" s="325"/>
      <c r="K1266" s="326"/>
      <c r="L1266" s="327"/>
      <c r="M1266" s="321"/>
      <c r="N1266" s="176"/>
      <c r="O1266" s="176"/>
      <c r="P1266" s="176"/>
      <c r="Q1266" s="176"/>
      <c r="R1266" s="176"/>
      <c r="S1266" s="176"/>
      <c r="T1266" s="176"/>
      <c r="U1266" s="176"/>
      <c r="V1266" s="176"/>
      <c r="W1266" s="176"/>
      <c r="X1266" s="176"/>
      <c r="Y1266" s="176"/>
      <c r="Z1266" s="176"/>
    </row>
    <row r="1267">
      <c r="A1267" s="249"/>
      <c r="B1267" s="249"/>
      <c r="C1267" s="219"/>
      <c r="D1267" s="268"/>
      <c r="E1267" s="251"/>
      <c r="F1267" s="250"/>
      <c r="G1267" s="243"/>
      <c r="H1267" s="243"/>
      <c r="I1267" s="243"/>
      <c r="J1267" s="325"/>
      <c r="K1267" s="326"/>
      <c r="L1267" s="327"/>
      <c r="M1267" s="321"/>
      <c r="N1267" s="176"/>
      <c r="O1267" s="176"/>
      <c r="P1267" s="176"/>
      <c r="Q1267" s="176"/>
      <c r="R1267" s="176"/>
      <c r="S1267" s="176"/>
      <c r="T1267" s="176"/>
      <c r="U1267" s="176"/>
      <c r="V1267" s="176"/>
      <c r="W1267" s="176"/>
      <c r="X1267" s="176"/>
      <c r="Y1267" s="176"/>
      <c r="Z1267" s="176"/>
    </row>
    <row r="1268">
      <c r="A1268" s="249"/>
      <c r="B1268" s="249"/>
      <c r="C1268" s="219"/>
      <c r="D1268" s="268"/>
      <c r="E1268" s="251"/>
      <c r="F1268" s="250"/>
      <c r="G1268" s="243"/>
      <c r="H1268" s="243"/>
      <c r="I1268" s="243"/>
      <c r="J1268" s="325"/>
      <c r="K1268" s="326"/>
      <c r="L1268" s="327"/>
      <c r="M1268" s="321"/>
      <c r="N1268" s="176"/>
      <c r="O1268" s="176"/>
      <c r="P1268" s="176"/>
      <c r="Q1268" s="176"/>
      <c r="R1268" s="176"/>
      <c r="S1268" s="176"/>
      <c r="T1268" s="176"/>
      <c r="U1268" s="176"/>
      <c r="V1268" s="176"/>
      <c r="W1268" s="176"/>
      <c r="X1268" s="176"/>
      <c r="Y1268" s="176"/>
      <c r="Z1268" s="176"/>
    </row>
    <row r="1269">
      <c r="A1269" s="249"/>
      <c r="B1269" s="249"/>
      <c r="C1269" s="219"/>
      <c r="D1269" s="268"/>
      <c r="E1269" s="251"/>
      <c r="F1269" s="250"/>
      <c r="G1269" s="243"/>
      <c r="H1269" s="243"/>
      <c r="I1269" s="243"/>
      <c r="J1269" s="325"/>
      <c r="K1269" s="326"/>
      <c r="L1269" s="327"/>
      <c r="M1269" s="321"/>
      <c r="N1269" s="176"/>
      <c r="O1269" s="176"/>
      <c r="P1269" s="176"/>
      <c r="Q1269" s="176"/>
      <c r="R1269" s="176"/>
      <c r="S1269" s="176"/>
      <c r="T1269" s="176"/>
      <c r="U1269" s="176"/>
      <c r="V1269" s="176"/>
      <c r="W1269" s="176"/>
      <c r="X1269" s="176"/>
      <c r="Y1269" s="176"/>
      <c r="Z1269" s="176"/>
    </row>
    <row r="1270">
      <c r="A1270" s="249"/>
      <c r="B1270" s="249"/>
      <c r="C1270" s="219"/>
      <c r="D1270" s="268"/>
      <c r="E1270" s="251"/>
      <c r="F1270" s="250"/>
      <c r="G1270" s="243"/>
      <c r="H1270" s="243"/>
      <c r="I1270" s="243"/>
      <c r="J1270" s="325"/>
      <c r="K1270" s="326"/>
      <c r="L1270" s="327"/>
      <c r="M1270" s="321"/>
      <c r="N1270" s="176"/>
      <c r="O1270" s="176"/>
      <c r="P1270" s="176"/>
      <c r="Q1270" s="176"/>
      <c r="R1270" s="176"/>
      <c r="S1270" s="176"/>
      <c r="T1270" s="176"/>
      <c r="U1270" s="176"/>
      <c r="V1270" s="176"/>
      <c r="W1270" s="176"/>
      <c r="X1270" s="176"/>
      <c r="Y1270" s="176"/>
      <c r="Z1270" s="176"/>
    </row>
    <row r="1271">
      <c r="A1271" s="249"/>
      <c r="B1271" s="249"/>
      <c r="C1271" s="219"/>
      <c r="D1271" s="268"/>
      <c r="E1271" s="251"/>
      <c r="F1271" s="250"/>
      <c r="G1271" s="243"/>
      <c r="H1271" s="243"/>
      <c r="I1271" s="243"/>
      <c r="J1271" s="325"/>
      <c r="K1271" s="326"/>
      <c r="L1271" s="327"/>
      <c r="M1271" s="321"/>
      <c r="N1271" s="176"/>
      <c r="O1271" s="176"/>
      <c r="P1271" s="176"/>
      <c r="Q1271" s="176"/>
      <c r="R1271" s="176"/>
      <c r="S1271" s="176"/>
      <c r="T1271" s="176"/>
      <c r="U1271" s="176"/>
      <c r="V1271" s="176"/>
      <c r="W1271" s="176"/>
      <c r="X1271" s="176"/>
      <c r="Y1271" s="176"/>
      <c r="Z1271" s="176"/>
    </row>
    <row r="1272">
      <c r="A1272" s="249"/>
      <c r="B1272" s="249"/>
      <c r="C1272" s="219"/>
      <c r="D1272" s="268"/>
      <c r="E1272" s="251"/>
      <c r="F1272" s="250"/>
      <c r="G1272" s="243"/>
      <c r="H1272" s="243"/>
      <c r="I1272" s="243"/>
      <c r="J1272" s="325"/>
      <c r="K1272" s="326"/>
      <c r="L1272" s="327"/>
      <c r="M1272" s="321"/>
      <c r="N1272" s="176"/>
      <c r="O1272" s="176"/>
      <c r="P1272" s="176"/>
      <c r="Q1272" s="176"/>
      <c r="R1272" s="176"/>
      <c r="S1272" s="176"/>
      <c r="T1272" s="176"/>
      <c r="U1272" s="176"/>
      <c r="V1272" s="176"/>
      <c r="W1272" s="176"/>
      <c r="X1272" s="176"/>
      <c r="Y1272" s="176"/>
      <c r="Z1272" s="176"/>
    </row>
    <row r="1273">
      <c r="A1273" s="249"/>
      <c r="B1273" s="249"/>
      <c r="C1273" s="219"/>
      <c r="D1273" s="268"/>
      <c r="E1273" s="251"/>
      <c r="F1273" s="250"/>
      <c r="G1273" s="243"/>
      <c r="H1273" s="243"/>
      <c r="I1273" s="243"/>
      <c r="J1273" s="325"/>
      <c r="K1273" s="326"/>
      <c r="L1273" s="327"/>
      <c r="M1273" s="321"/>
      <c r="N1273" s="176"/>
      <c r="O1273" s="176"/>
      <c r="P1273" s="176"/>
      <c r="Q1273" s="176"/>
      <c r="R1273" s="176"/>
      <c r="S1273" s="176"/>
      <c r="T1273" s="176"/>
      <c r="U1273" s="176"/>
      <c r="V1273" s="176"/>
      <c r="W1273" s="176"/>
      <c r="X1273" s="176"/>
      <c r="Y1273" s="176"/>
      <c r="Z1273" s="176"/>
    </row>
    <row r="1274">
      <c r="A1274" s="249"/>
      <c r="B1274" s="249"/>
      <c r="C1274" s="219"/>
      <c r="D1274" s="268"/>
      <c r="E1274" s="251"/>
      <c r="F1274" s="250"/>
      <c r="G1274" s="243"/>
      <c r="H1274" s="243"/>
      <c r="I1274" s="243"/>
      <c r="J1274" s="325"/>
      <c r="K1274" s="326"/>
      <c r="L1274" s="327"/>
      <c r="M1274" s="321"/>
      <c r="N1274" s="176"/>
      <c r="O1274" s="176"/>
      <c r="P1274" s="176"/>
      <c r="Q1274" s="176"/>
      <c r="R1274" s="176"/>
      <c r="S1274" s="176"/>
      <c r="T1274" s="176"/>
      <c r="U1274" s="176"/>
      <c r="V1274" s="176"/>
      <c r="W1274" s="176"/>
      <c r="X1274" s="176"/>
      <c r="Y1274" s="176"/>
      <c r="Z1274" s="176"/>
    </row>
    <row r="1275">
      <c r="A1275" s="249"/>
      <c r="B1275" s="249"/>
      <c r="C1275" s="219"/>
      <c r="D1275" s="268"/>
      <c r="E1275" s="251"/>
      <c r="F1275" s="250"/>
      <c r="G1275" s="243"/>
      <c r="H1275" s="243"/>
      <c r="I1275" s="243"/>
      <c r="J1275" s="325"/>
      <c r="K1275" s="326"/>
      <c r="L1275" s="327"/>
      <c r="M1275" s="321"/>
      <c r="N1275" s="176"/>
      <c r="O1275" s="176"/>
      <c r="P1275" s="176"/>
      <c r="Q1275" s="176"/>
      <c r="R1275" s="176"/>
      <c r="S1275" s="176"/>
      <c r="T1275" s="176"/>
      <c r="U1275" s="176"/>
      <c r="V1275" s="176"/>
      <c r="W1275" s="176"/>
      <c r="X1275" s="176"/>
      <c r="Y1275" s="176"/>
      <c r="Z1275" s="176"/>
    </row>
    <row r="1276">
      <c r="A1276" s="249"/>
      <c r="B1276" s="249"/>
      <c r="C1276" s="219"/>
      <c r="D1276" s="268"/>
      <c r="E1276" s="251"/>
      <c r="F1276" s="250"/>
      <c r="G1276" s="243"/>
      <c r="H1276" s="243"/>
      <c r="I1276" s="243"/>
      <c r="J1276" s="325"/>
      <c r="K1276" s="326"/>
      <c r="L1276" s="327"/>
      <c r="M1276" s="321"/>
      <c r="N1276" s="176"/>
      <c r="O1276" s="176"/>
      <c r="P1276" s="176"/>
      <c r="Q1276" s="176"/>
      <c r="R1276" s="176"/>
      <c r="S1276" s="176"/>
      <c r="T1276" s="176"/>
      <c r="U1276" s="176"/>
      <c r="V1276" s="176"/>
      <c r="W1276" s="176"/>
      <c r="X1276" s="176"/>
      <c r="Y1276" s="176"/>
      <c r="Z1276" s="176"/>
    </row>
    <row r="1277">
      <c r="A1277" s="249"/>
      <c r="B1277" s="249"/>
      <c r="C1277" s="219"/>
      <c r="D1277" s="268"/>
      <c r="E1277" s="251"/>
      <c r="F1277" s="250"/>
      <c r="G1277" s="243"/>
      <c r="H1277" s="243"/>
      <c r="I1277" s="243"/>
      <c r="J1277" s="325"/>
      <c r="K1277" s="326"/>
      <c r="L1277" s="327"/>
      <c r="M1277" s="321"/>
      <c r="N1277" s="176"/>
      <c r="O1277" s="176"/>
      <c r="P1277" s="176"/>
      <c r="Q1277" s="176"/>
      <c r="R1277" s="176"/>
      <c r="S1277" s="176"/>
      <c r="T1277" s="176"/>
      <c r="U1277" s="176"/>
      <c r="V1277" s="176"/>
      <c r="W1277" s="176"/>
      <c r="X1277" s="176"/>
      <c r="Y1277" s="176"/>
      <c r="Z1277" s="176"/>
    </row>
    <row r="1278">
      <c r="A1278" s="249"/>
      <c r="B1278" s="249"/>
      <c r="C1278" s="219"/>
      <c r="D1278" s="268"/>
      <c r="E1278" s="251"/>
      <c r="F1278" s="250"/>
      <c r="G1278" s="243"/>
      <c r="H1278" s="243"/>
      <c r="I1278" s="243"/>
      <c r="J1278" s="325"/>
      <c r="K1278" s="326"/>
      <c r="L1278" s="327"/>
      <c r="M1278" s="321"/>
      <c r="N1278" s="176"/>
      <c r="O1278" s="176"/>
      <c r="P1278" s="176"/>
      <c r="Q1278" s="176"/>
      <c r="R1278" s="176"/>
      <c r="S1278" s="176"/>
      <c r="T1278" s="176"/>
      <c r="U1278" s="176"/>
      <c r="V1278" s="176"/>
      <c r="W1278" s="176"/>
      <c r="X1278" s="176"/>
      <c r="Y1278" s="176"/>
      <c r="Z1278" s="176"/>
    </row>
    <row r="1279">
      <c r="A1279" s="249"/>
      <c r="B1279" s="249"/>
      <c r="C1279" s="219"/>
      <c r="D1279" s="268"/>
      <c r="E1279" s="251"/>
      <c r="F1279" s="250"/>
      <c r="G1279" s="243"/>
      <c r="H1279" s="243"/>
      <c r="I1279" s="243"/>
      <c r="J1279" s="325"/>
      <c r="K1279" s="326"/>
      <c r="L1279" s="327"/>
      <c r="M1279" s="321"/>
      <c r="N1279" s="176"/>
      <c r="O1279" s="176"/>
      <c r="P1279" s="176"/>
      <c r="Q1279" s="176"/>
      <c r="R1279" s="176"/>
      <c r="S1279" s="176"/>
      <c r="T1279" s="176"/>
      <c r="U1279" s="176"/>
      <c r="V1279" s="176"/>
      <c r="W1279" s="176"/>
      <c r="X1279" s="176"/>
      <c r="Y1279" s="176"/>
      <c r="Z1279" s="176"/>
    </row>
    <row r="1280">
      <c r="A1280" s="249"/>
      <c r="B1280" s="249"/>
      <c r="C1280" s="219"/>
      <c r="D1280" s="268"/>
      <c r="E1280" s="251"/>
      <c r="F1280" s="250"/>
      <c r="G1280" s="243"/>
      <c r="H1280" s="243"/>
      <c r="I1280" s="243"/>
      <c r="J1280" s="325"/>
      <c r="K1280" s="326"/>
      <c r="L1280" s="327"/>
      <c r="M1280" s="321"/>
      <c r="N1280" s="176"/>
      <c r="O1280" s="176"/>
      <c r="P1280" s="176"/>
      <c r="Q1280" s="176"/>
      <c r="R1280" s="176"/>
      <c r="S1280" s="176"/>
      <c r="T1280" s="176"/>
      <c r="U1280" s="176"/>
      <c r="V1280" s="176"/>
      <c r="W1280" s="176"/>
      <c r="X1280" s="176"/>
      <c r="Y1280" s="176"/>
      <c r="Z1280" s="176"/>
    </row>
    <row r="1281">
      <c r="A1281" s="249"/>
      <c r="B1281" s="249"/>
      <c r="C1281" s="219"/>
      <c r="D1281" s="268"/>
      <c r="E1281" s="251"/>
      <c r="F1281" s="250"/>
      <c r="G1281" s="243"/>
      <c r="H1281" s="243"/>
      <c r="I1281" s="243"/>
      <c r="J1281" s="325"/>
      <c r="K1281" s="326"/>
      <c r="L1281" s="327"/>
      <c r="M1281" s="321"/>
      <c r="N1281" s="176"/>
      <c r="O1281" s="176"/>
      <c r="P1281" s="176"/>
      <c r="Q1281" s="176"/>
      <c r="R1281" s="176"/>
      <c r="S1281" s="176"/>
      <c r="T1281" s="176"/>
      <c r="U1281" s="176"/>
      <c r="V1281" s="176"/>
      <c r="W1281" s="176"/>
      <c r="X1281" s="176"/>
      <c r="Y1281" s="176"/>
      <c r="Z1281" s="176"/>
    </row>
    <row r="1282">
      <c r="A1282" s="249"/>
      <c r="B1282" s="249"/>
      <c r="C1282" s="219"/>
      <c r="D1282" s="268"/>
      <c r="E1282" s="251"/>
      <c r="F1282" s="250"/>
      <c r="G1282" s="243"/>
      <c r="H1282" s="243"/>
      <c r="I1282" s="243"/>
      <c r="J1282" s="325"/>
      <c r="K1282" s="326"/>
      <c r="L1282" s="327"/>
      <c r="M1282" s="321"/>
      <c r="N1282" s="176"/>
      <c r="O1282" s="176"/>
      <c r="P1282" s="176"/>
      <c r="Q1282" s="176"/>
      <c r="R1282" s="176"/>
      <c r="S1282" s="176"/>
      <c r="T1282" s="176"/>
      <c r="U1282" s="176"/>
      <c r="V1282" s="176"/>
      <c r="W1282" s="176"/>
      <c r="X1282" s="176"/>
      <c r="Y1282" s="176"/>
      <c r="Z1282" s="176"/>
    </row>
    <row r="1283">
      <c r="A1283" s="249"/>
      <c r="B1283" s="249"/>
      <c r="C1283" s="219"/>
      <c r="D1283" s="268"/>
      <c r="E1283" s="251"/>
      <c r="F1283" s="250"/>
      <c r="G1283" s="243"/>
      <c r="H1283" s="243"/>
      <c r="I1283" s="243"/>
      <c r="J1283" s="325"/>
      <c r="K1283" s="326"/>
      <c r="L1283" s="327"/>
      <c r="M1283" s="321"/>
      <c r="N1283" s="176"/>
      <c r="O1283" s="176"/>
      <c r="P1283" s="176"/>
      <c r="Q1283" s="176"/>
      <c r="R1283" s="176"/>
      <c r="S1283" s="176"/>
      <c r="T1283" s="176"/>
      <c r="U1283" s="176"/>
      <c r="V1283" s="176"/>
      <c r="W1283" s="176"/>
      <c r="X1283" s="176"/>
      <c r="Y1283" s="176"/>
      <c r="Z1283" s="176"/>
    </row>
    <row r="1284">
      <c r="A1284" s="249"/>
      <c r="B1284" s="249"/>
      <c r="C1284" s="219"/>
      <c r="D1284" s="268"/>
      <c r="E1284" s="251"/>
      <c r="F1284" s="250"/>
      <c r="G1284" s="243"/>
      <c r="H1284" s="243"/>
      <c r="I1284" s="243"/>
      <c r="J1284" s="325"/>
      <c r="K1284" s="326"/>
      <c r="L1284" s="327"/>
      <c r="M1284" s="321"/>
      <c r="N1284" s="176"/>
      <c r="O1284" s="176"/>
      <c r="P1284" s="176"/>
      <c r="Q1284" s="176"/>
      <c r="R1284" s="176"/>
      <c r="S1284" s="176"/>
      <c r="T1284" s="176"/>
      <c r="U1284" s="176"/>
      <c r="V1284" s="176"/>
      <c r="W1284" s="176"/>
      <c r="X1284" s="176"/>
      <c r="Y1284" s="176"/>
      <c r="Z1284" s="176"/>
    </row>
    <row r="1285">
      <c r="A1285" s="249"/>
      <c r="B1285" s="249"/>
      <c r="C1285" s="219"/>
      <c r="D1285" s="268"/>
      <c r="E1285" s="251"/>
      <c r="F1285" s="250"/>
      <c r="G1285" s="243"/>
      <c r="H1285" s="243"/>
      <c r="I1285" s="243"/>
      <c r="J1285" s="325"/>
      <c r="K1285" s="326"/>
      <c r="L1285" s="327"/>
      <c r="M1285" s="321"/>
      <c r="N1285" s="176"/>
      <c r="O1285" s="176"/>
      <c r="P1285" s="176"/>
      <c r="Q1285" s="176"/>
      <c r="R1285" s="176"/>
      <c r="S1285" s="176"/>
      <c r="T1285" s="176"/>
      <c r="U1285" s="176"/>
      <c r="V1285" s="176"/>
      <c r="W1285" s="176"/>
      <c r="X1285" s="176"/>
      <c r="Y1285" s="176"/>
      <c r="Z1285" s="176"/>
    </row>
    <row r="1286">
      <c r="A1286" s="249"/>
      <c r="B1286" s="249"/>
      <c r="C1286" s="219"/>
      <c r="D1286" s="268"/>
      <c r="E1286" s="251"/>
      <c r="F1286" s="250"/>
      <c r="G1286" s="243"/>
      <c r="H1286" s="243"/>
      <c r="I1286" s="243"/>
      <c r="J1286" s="325"/>
      <c r="K1286" s="326"/>
      <c r="L1286" s="327"/>
      <c r="M1286" s="321"/>
      <c r="N1286" s="176"/>
      <c r="O1286" s="176"/>
      <c r="P1286" s="176"/>
      <c r="Q1286" s="176"/>
      <c r="R1286" s="176"/>
      <c r="S1286" s="176"/>
      <c r="T1286" s="176"/>
      <c r="U1286" s="176"/>
      <c r="V1286" s="176"/>
      <c r="W1286" s="176"/>
      <c r="X1286" s="176"/>
      <c r="Y1286" s="176"/>
      <c r="Z1286" s="176"/>
    </row>
    <row r="1287">
      <c r="A1287" s="249"/>
      <c r="B1287" s="249"/>
      <c r="C1287" s="219"/>
      <c r="D1287" s="268"/>
      <c r="E1287" s="251"/>
      <c r="F1287" s="250"/>
      <c r="G1287" s="243"/>
      <c r="H1287" s="243"/>
      <c r="I1287" s="243"/>
      <c r="J1287" s="325"/>
      <c r="K1287" s="326"/>
      <c r="L1287" s="327"/>
      <c r="M1287" s="321"/>
      <c r="N1287" s="176"/>
      <c r="O1287" s="176"/>
      <c r="P1287" s="176"/>
      <c r="Q1287" s="176"/>
      <c r="R1287" s="176"/>
      <c r="S1287" s="176"/>
      <c r="T1287" s="176"/>
      <c r="U1287" s="176"/>
      <c r="V1287" s="176"/>
      <c r="W1287" s="176"/>
      <c r="X1287" s="176"/>
      <c r="Y1287" s="176"/>
      <c r="Z1287" s="176"/>
    </row>
    <row r="1288">
      <c r="A1288" s="249"/>
      <c r="B1288" s="249"/>
      <c r="C1288" s="219"/>
      <c r="D1288" s="268"/>
      <c r="E1288" s="251"/>
      <c r="F1288" s="250"/>
      <c r="G1288" s="243"/>
      <c r="H1288" s="243"/>
      <c r="I1288" s="243"/>
      <c r="J1288" s="325"/>
      <c r="K1288" s="326"/>
      <c r="L1288" s="327"/>
      <c r="M1288" s="321"/>
      <c r="N1288" s="176"/>
      <c r="O1288" s="176"/>
      <c r="P1288" s="176"/>
      <c r="Q1288" s="176"/>
      <c r="R1288" s="176"/>
      <c r="S1288" s="176"/>
      <c r="T1288" s="176"/>
      <c r="U1288" s="176"/>
      <c r="V1288" s="176"/>
      <c r="W1288" s="176"/>
      <c r="X1288" s="176"/>
      <c r="Y1288" s="176"/>
      <c r="Z1288" s="176"/>
    </row>
    <row r="1289">
      <c r="A1289" s="249"/>
      <c r="B1289" s="249"/>
      <c r="C1289" s="219"/>
      <c r="D1289" s="268"/>
      <c r="E1289" s="251"/>
      <c r="F1289" s="250"/>
      <c r="G1289" s="243"/>
      <c r="H1289" s="243"/>
      <c r="I1289" s="243"/>
      <c r="J1289" s="325"/>
      <c r="K1289" s="326"/>
      <c r="L1289" s="327"/>
      <c r="M1289" s="321"/>
      <c r="N1289" s="176"/>
      <c r="O1289" s="176"/>
      <c r="P1289" s="176"/>
      <c r="Q1289" s="176"/>
      <c r="R1289" s="176"/>
      <c r="S1289" s="176"/>
      <c r="T1289" s="176"/>
      <c r="U1289" s="176"/>
      <c r="V1289" s="176"/>
      <c r="W1289" s="176"/>
      <c r="X1289" s="176"/>
      <c r="Y1289" s="176"/>
      <c r="Z1289" s="176"/>
    </row>
    <row r="1290">
      <c r="A1290" s="249"/>
      <c r="B1290" s="249"/>
      <c r="C1290" s="219"/>
      <c r="D1290" s="268"/>
      <c r="E1290" s="251"/>
      <c r="F1290" s="250"/>
      <c r="G1290" s="243"/>
      <c r="H1290" s="243"/>
      <c r="I1290" s="243"/>
      <c r="J1290" s="325"/>
      <c r="K1290" s="326"/>
      <c r="L1290" s="327"/>
      <c r="M1290" s="321"/>
      <c r="N1290" s="176"/>
      <c r="O1290" s="176"/>
      <c r="P1290" s="176"/>
      <c r="Q1290" s="176"/>
      <c r="R1290" s="176"/>
      <c r="S1290" s="176"/>
      <c r="T1290" s="176"/>
      <c r="U1290" s="176"/>
      <c r="V1290" s="176"/>
      <c r="W1290" s="176"/>
      <c r="X1290" s="176"/>
      <c r="Y1290" s="176"/>
      <c r="Z1290" s="176"/>
    </row>
    <row r="1291">
      <c r="A1291" s="249"/>
      <c r="B1291" s="249"/>
      <c r="C1291" s="219"/>
      <c r="D1291" s="268"/>
      <c r="E1291" s="251"/>
      <c r="F1291" s="250"/>
      <c r="G1291" s="243"/>
      <c r="H1291" s="243"/>
      <c r="I1291" s="243"/>
      <c r="J1291" s="325"/>
      <c r="K1291" s="326"/>
      <c r="L1291" s="327"/>
      <c r="M1291" s="321"/>
      <c r="N1291" s="176"/>
      <c r="O1291" s="176"/>
      <c r="P1291" s="176"/>
      <c r="Q1291" s="176"/>
      <c r="R1291" s="176"/>
      <c r="S1291" s="176"/>
      <c r="T1291" s="176"/>
      <c r="U1291" s="176"/>
      <c r="V1291" s="176"/>
      <c r="W1291" s="176"/>
      <c r="X1291" s="176"/>
      <c r="Y1291" s="176"/>
      <c r="Z1291" s="176"/>
    </row>
    <row r="1292">
      <c r="A1292" s="249"/>
      <c r="B1292" s="249"/>
      <c r="C1292" s="219"/>
      <c r="D1292" s="268"/>
      <c r="E1292" s="251"/>
      <c r="F1292" s="250"/>
      <c r="G1292" s="243"/>
      <c r="H1292" s="243"/>
      <c r="I1292" s="243"/>
      <c r="J1292" s="325"/>
      <c r="K1292" s="326"/>
      <c r="L1292" s="327"/>
      <c r="M1292" s="321"/>
      <c r="N1292" s="176"/>
      <c r="O1292" s="176"/>
      <c r="P1292" s="176"/>
      <c r="Q1292" s="176"/>
      <c r="R1292" s="176"/>
      <c r="S1292" s="176"/>
      <c r="T1292" s="176"/>
      <c r="U1292" s="176"/>
      <c r="V1292" s="176"/>
      <c r="W1292" s="176"/>
      <c r="X1292" s="176"/>
      <c r="Y1292" s="176"/>
      <c r="Z1292" s="176"/>
    </row>
    <row r="1293">
      <c r="A1293" s="249"/>
      <c r="B1293" s="249"/>
      <c r="C1293" s="219"/>
      <c r="D1293" s="268"/>
      <c r="E1293" s="251"/>
      <c r="F1293" s="250"/>
      <c r="G1293" s="243"/>
      <c r="H1293" s="243"/>
      <c r="I1293" s="243"/>
      <c r="J1293" s="325"/>
      <c r="K1293" s="326"/>
      <c r="L1293" s="327"/>
      <c r="M1293" s="321"/>
      <c r="N1293" s="176"/>
      <c r="O1293" s="176"/>
      <c r="P1293" s="176"/>
      <c r="Q1293" s="176"/>
      <c r="R1293" s="176"/>
      <c r="S1293" s="176"/>
      <c r="T1293" s="176"/>
      <c r="U1293" s="176"/>
      <c r="V1293" s="176"/>
      <c r="W1293" s="176"/>
      <c r="X1293" s="176"/>
      <c r="Y1293" s="176"/>
      <c r="Z1293" s="176"/>
    </row>
    <row r="1294">
      <c r="A1294" s="249"/>
      <c r="B1294" s="249"/>
      <c r="C1294" s="219"/>
      <c r="D1294" s="268"/>
      <c r="E1294" s="251"/>
      <c r="F1294" s="250"/>
      <c r="G1294" s="243"/>
      <c r="H1294" s="243"/>
      <c r="I1294" s="243"/>
      <c r="J1294" s="325"/>
      <c r="K1294" s="326"/>
      <c r="L1294" s="327"/>
      <c r="M1294" s="321"/>
      <c r="N1294" s="176"/>
      <c r="O1294" s="176"/>
      <c r="P1294" s="176"/>
      <c r="Q1294" s="176"/>
      <c r="R1294" s="176"/>
      <c r="S1294" s="176"/>
      <c r="T1294" s="176"/>
      <c r="U1294" s="176"/>
      <c r="V1294" s="176"/>
      <c r="W1294" s="176"/>
      <c r="X1294" s="176"/>
      <c r="Y1294" s="176"/>
      <c r="Z1294" s="176"/>
    </row>
    <row r="1295">
      <c r="A1295" s="249"/>
      <c r="B1295" s="249"/>
      <c r="C1295" s="219"/>
      <c r="D1295" s="268"/>
      <c r="E1295" s="251"/>
      <c r="F1295" s="250"/>
      <c r="G1295" s="243"/>
      <c r="H1295" s="243"/>
      <c r="I1295" s="243"/>
      <c r="J1295" s="325"/>
      <c r="K1295" s="326"/>
      <c r="L1295" s="327"/>
      <c r="M1295" s="321"/>
      <c r="N1295" s="176"/>
      <c r="O1295" s="176"/>
      <c r="P1295" s="176"/>
      <c r="Q1295" s="176"/>
      <c r="R1295" s="176"/>
      <c r="S1295" s="176"/>
      <c r="T1295" s="176"/>
      <c r="U1295" s="176"/>
      <c r="V1295" s="176"/>
      <c r="W1295" s="176"/>
      <c r="X1295" s="176"/>
      <c r="Y1295" s="176"/>
      <c r="Z1295" s="176"/>
    </row>
    <row r="1296">
      <c r="A1296" s="249"/>
      <c r="B1296" s="249"/>
      <c r="C1296" s="219"/>
      <c r="D1296" s="268"/>
      <c r="E1296" s="251"/>
      <c r="F1296" s="250"/>
      <c r="G1296" s="243"/>
      <c r="H1296" s="243"/>
      <c r="I1296" s="243"/>
      <c r="J1296" s="325"/>
      <c r="K1296" s="326"/>
      <c r="L1296" s="327"/>
      <c r="M1296" s="321"/>
      <c r="N1296" s="176"/>
      <c r="O1296" s="176"/>
      <c r="P1296" s="176"/>
      <c r="Q1296" s="176"/>
      <c r="R1296" s="176"/>
      <c r="S1296" s="176"/>
      <c r="T1296" s="176"/>
      <c r="U1296" s="176"/>
      <c r="V1296" s="176"/>
      <c r="W1296" s="176"/>
      <c r="X1296" s="176"/>
      <c r="Y1296" s="176"/>
      <c r="Z1296" s="176"/>
    </row>
    <row r="1297">
      <c r="A1297" s="249"/>
      <c r="B1297" s="249"/>
      <c r="C1297" s="219"/>
      <c r="D1297" s="268"/>
      <c r="E1297" s="251"/>
      <c r="F1297" s="250"/>
      <c r="G1297" s="243"/>
      <c r="H1297" s="243"/>
      <c r="I1297" s="243"/>
      <c r="J1297" s="325"/>
      <c r="K1297" s="326"/>
      <c r="L1297" s="327"/>
      <c r="M1297" s="321"/>
      <c r="N1297" s="176"/>
      <c r="O1297" s="176"/>
      <c r="P1297" s="176"/>
      <c r="Q1297" s="176"/>
      <c r="R1297" s="176"/>
      <c r="S1297" s="176"/>
      <c r="T1297" s="176"/>
      <c r="U1297" s="176"/>
      <c r="V1297" s="176"/>
      <c r="W1297" s="176"/>
      <c r="X1297" s="176"/>
      <c r="Y1297" s="176"/>
      <c r="Z1297" s="176"/>
    </row>
    <row r="1298">
      <c r="A1298" s="249"/>
      <c r="B1298" s="249"/>
      <c r="C1298" s="219"/>
      <c r="D1298" s="268"/>
      <c r="E1298" s="251"/>
      <c r="F1298" s="250"/>
      <c r="G1298" s="243"/>
      <c r="H1298" s="243"/>
      <c r="I1298" s="243"/>
      <c r="J1298" s="325"/>
      <c r="K1298" s="326"/>
      <c r="L1298" s="327"/>
      <c r="M1298" s="321"/>
      <c r="N1298" s="176"/>
      <c r="O1298" s="176"/>
      <c r="P1298" s="176"/>
      <c r="Q1298" s="176"/>
      <c r="R1298" s="176"/>
      <c r="S1298" s="176"/>
      <c r="T1298" s="176"/>
      <c r="U1298" s="176"/>
      <c r="V1298" s="176"/>
      <c r="W1298" s="176"/>
      <c r="X1298" s="176"/>
      <c r="Y1298" s="176"/>
      <c r="Z1298" s="176"/>
    </row>
    <row r="1299">
      <c r="A1299" s="249"/>
      <c r="B1299" s="249"/>
      <c r="C1299" s="219"/>
      <c r="D1299" s="268"/>
      <c r="E1299" s="251"/>
      <c r="F1299" s="250"/>
      <c r="G1299" s="243"/>
      <c r="H1299" s="243"/>
      <c r="I1299" s="243"/>
      <c r="J1299" s="325"/>
      <c r="K1299" s="326"/>
      <c r="L1299" s="327"/>
      <c r="M1299" s="321"/>
      <c r="N1299" s="176"/>
      <c r="O1299" s="176"/>
      <c r="P1299" s="176"/>
      <c r="Q1299" s="176"/>
      <c r="R1299" s="176"/>
      <c r="S1299" s="176"/>
      <c r="T1299" s="176"/>
      <c r="U1299" s="176"/>
      <c r="V1299" s="176"/>
      <c r="W1299" s="176"/>
      <c r="X1299" s="176"/>
      <c r="Y1299" s="176"/>
      <c r="Z1299" s="176"/>
    </row>
    <row r="1300">
      <c r="A1300" s="249"/>
      <c r="B1300" s="249"/>
      <c r="C1300" s="219"/>
      <c r="D1300" s="268"/>
      <c r="E1300" s="251"/>
      <c r="F1300" s="250"/>
      <c r="G1300" s="243"/>
      <c r="H1300" s="243"/>
      <c r="I1300" s="243"/>
      <c r="J1300" s="325"/>
      <c r="K1300" s="326"/>
      <c r="L1300" s="327"/>
      <c r="M1300" s="321"/>
      <c r="N1300" s="176"/>
      <c r="O1300" s="176"/>
      <c r="P1300" s="176"/>
      <c r="Q1300" s="176"/>
      <c r="R1300" s="176"/>
      <c r="S1300" s="176"/>
      <c r="T1300" s="176"/>
      <c r="U1300" s="176"/>
      <c r="V1300" s="176"/>
      <c r="W1300" s="176"/>
      <c r="X1300" s="176"/>
      <c r="Y1300" s="176"/>
      <c r="Z1300" s="176"/>
    </row>
    <row r="1301">
      <c r="A1301" s="249"/>
      <c r="B1301" s="249"/>
      <c r="C1301" s="219"/>
      <c r="D1301" s="268"/>
      <c r="E1301" s="251"/>
      <c r="F1301" s="250"/>
      <c r="G1301" s="243"/>
      <c r="H1301" s="243"/>
      <c r="I1301" s="243"/>
      <c r="J1301" s="325"/>
      <c r="K1301" s="326"/>
      <c r="L1301" s="327"/>
      <c r="M1301" s="321"/>
      <c r="N1301" s="176"/>
      <c r="O1301" s="176"/>
      <c r="P1301" s="176"/>
      <c r="Q1301" s="176"/>
      <c r="R1301" s="176"/>
      <c r="S1301" s="176"/>
      <c r="T1301" s="176"/>
      <c r="U1301" s="176"/>
      <c r="V1301" s="176"/>
      <c r="W1301" s="176"/>
      <c r="X1301" s="176"/>
      <c r="Y1301" s="176"/>
      <c r="Z1301" s="176"/>
    </row>
    <row r="1302">
      <c r="A1302" s="249"/>
      <c r="B1302" s="249"/>
      <c r="C1302" s="219"/>
      <c r="D1302" s="268"/>
      <c r="E1302" s="251"/>
      <c r="F1302" s="250"/>
      <c r="G1302" s="243"/>
      <c r="H1302" s="243"/>
      <c r="I1302" s="243"/>
      <c r="J1302" s="325"/>
      <c r="K1302" s="326"/>
      <c r="L1302" s="327"/>
      <c r="M1302" s="321"/>
      <c r="N1302" s="176"/>
      <c r="O1302" s="176"/>
      <c r="P1302" s="176"/>
      <c r="Q1302" s="176"/>
      <c r="R1302" s="176"/>
      <c r="S1302" s="176"/>
      <c r="T1302" s="176"/>
      <c r="U1302" s="176"/>
      <c r="V1302" s="176"/>
      <c r="W1302" s="176"/>
      <c r="X1302" s="176"/>
      <c r="Y1302" s="176"/>
      <c r="Z1302" s="176"/>
    </row>
    <row r="1303">
      <c r="A1303" s="249"/>
      <c r="B1303" s="249"/>
      <c r="C1303" s="219"/>
      <c r="D1303" s="268"/>
      <c r="E1303" s="251"/>
      <c r="F1303" s="250"/>
      <c r="G1303" s="243"/>
      <c r="H1303" s="243"/>
      <c r="I1303" s="243"/>
      <c r="J1303" s="325"/>
      <c r="K1303" s="326"/>
      <c r="L1303" s="327"/>
      <c r="M1303" s="321"/>
      <c r="N1303" s="176"/>
      <c r="O1303" s="176"/>
      <c r="P1303" s="176"/>
      <c r="Q1303" s="176"/>
      <c r="R1303" s="176"/>
      <c r="S1303" s="176"/>
      <c r="T1303" s="176"/>
      <c r="U1303" s="176"/>
      <c r="V1303" s="176"/>
      <c r="W1303" s="176"/>
      <c r="X1303" s="176"/>
      <c r="Y1303" s="176"/>
      <c r="Z1303" s="176"/>
    </row>
    <row r="1304">
      <c r="A1304" s="249"/>
      <c r="B1304" s="249"/>
      <c r="C1304" s="219"/>
      <c r="D1304" s="268"/>
      <c r="E1304" s="251"/>
      <c r="F1304" s="250"/>
      <c r="G1304" s="243"/>
      <c r="H1304" s="243"/>
      <c r="I1304" s="243"/>
      <c r="J1304" s="325"/>
      <c r="K1304" s="326"/>
      <c r="L1304" s="327"/>
      <c r="M1304" s="321"/>
      <c r="N1304" s="176"/>
      <c r="O1304" s="176"/>
      <c r="P1304" s="176"/>
      <c r="Q1304" s="176"/>
      <c r="R1304" s="176"/>
      <c r="S1304" s="176"/>
      <c r="T1304" s="176"/>
      <c r="U1304" s="176"/>
      <c r="V1304" s="176"/>
      <c r="W1304" s="176"/>
      <c r="X1304" s="176"/>
      <c r="Y1304" s="176"/>
      <c r="Z1304" s="176"/>
    </row>
    <row r="1305">
      <c r="A1305" s="249"/>
      <c r="B1305" s="249"/>
      <c r="C1305" s="219"/>
      <c r="D1305" s="268"/>
      <c r="E1305" s="251"/>
      <c r="F1305" s="250"/>
      <c r="G1305" s="243"/>
      <c r="H1305" s="243"/>
      <c r="I1305" s="243"/>
      <c r="J1305" s="325"/>
      <c r="K1305" s="326"/>
      <c r="L1305" s="327"/>
      <c r="M1305" s="321"/>
      <c r="N1305" s="176"/>
      <c r="O1305" s="176"/>
      <c r="P1305" s="176"/>
      <c r="Q1305" s="176"/>
      <c r="R1305" s="176"/>
      <c r="S1305" s="176"/>
      <c r="T1305" s="176"/>
      <c r="U1305" s="176"/>
      <c r="V1305" s="176"/>
      <c r="W1305" s="176"/>
      <c r="X1305" s="176"/>
      <c r="Y1305" s="176"/>
      <c r="Z1305" s="176"/>
    </row>
    <row r="1306">
      <c r="A1306" s="249"/>
      <c r="B1306" s="249"/>
      <c r="C1306" s="219"/>
      <c r="D1306" s="268"/>
      <c r="E1306" s="251"/>
      <c r="F1306" s="250"/>
      <c r="G1306" s="243"/>
      <c r="H1306" s="243"/>
      <c r="I1306" s="243"/>
      <c r="J1306" s="325"/>
      <c r="K1306" s="326"/>
      <c r="L1306" s="327"/>
      <c r="M1306" s="321"/>
      <c r="N1306" s="176"/>
      <c r="O1306" s="176"/>
      <c r="P1306" s="176"/>
      <c r="Q1306" s="176"/>
      <c r="R1306" s="176"/>
      <c r="S1306" s="176"/>
      <c r="T1306" s="176"/>
      <c r="U1306" s="176"/>
      <c r="V1306" s="176"/>
      <c r="W1306" s="176"/>
      <c r="X1306" s="176"/>
      <c r="Y1306" s="176"/>
      <c r="Z1306" s="176"/>
    </row>
    <row r="1307">
      <c r="A1307" s="249"/>
      <c r="B1307" s="249"/>
      <c r="C1307" s="219"/>
      <c r="D1307" s="268"/>
      <c r="E1307" s="251"/>
      <c r="F1307" s="250"/>
      <c r="G1307" s="243"/>
      <c r="H1307" s="243"/>
      <c r="I1307" s="243"/>
      <c r="J1307" s="325"/>
      <c r="K1307" s="326"/>
      <c r="L1307" s="327"/>
      <c r="M1307" s="321"/>
      <c r="N1307" s="176"/>
      <c r="O1307" s="176"/>
      <c r="P1307" s="176"/>
      <c r="Q1307" s="176"/>
      <c r="R1307" s="176"/>
      <c r="S1307" s="176"/>
      <c r="T1307" s="176"/>
      <c r="U1307" s="176"/>
      <c r="V1307" s="176"/>
      <c r="W1307" s="176"/>
      <c r="X1307" s="176"/>
      <c r="Y1307" s="176"/>
      <c r="Z1307" s="176"/>
    </row>
    <row r="1308">
      <c r="A1308" s="249"/>
      <c r="B1308" s="249"/>
      <c r="C1308" s="219"/>
      <c r="D1308" s="268"/>
      <c r="E1308" s="251"/>
      <c r="F1308" s="250"/>
      <c r="G1308" s="243"/>
      <c r="H1308" s="243"/>
      <c r="I1308" s="243"/>
      <c r="J1308" s="325"/>
      <c r="K1308" s="326"/>
      <c r="L1308" s="327"/>
      <c r="M1308" s="321"/>
      <c r="N1308" s="176"/>
      <c r="O1308" s="176"/>
      <c r="P1308" s="176"/>
      <c r="Q1308" s="176"/>
      <c r="R1308" s="176"/>
      <c r="S1308" s="176"/>
      <c r="T1308" s="176"/>
      <c r="U1308" s="176"/>
      <c r="V1308" s="176"/>
      <c r="W1308" s="176"/>
      <c r="X1308" s="176"/>
      <c r="Y1308" s="176"/>
      <c r="Z1308" s="176"/>
    </row>
    <row r="1309">
      <c r="A1309" s="249"/>
      <c r="B1309" s="249"/>
      <c r="C1309" s="219"/>
      <c r="D1309" s="268"/>
      <c r="E1309" s="251"/>
      <c r="F1309" s="250"/>
      <c r="G1309" s="243"/>
      <c r="H1309" s="243"/>
      <c r="I1309" s="243"/>
      <c r="J1309" s="325"/>
      <c r="K1309" s="326"/>
      <c r="L1309" s="327"/>
      <c r="M1309" s="321"/>
      <c r="N1309" s="176"/>
      <c r="O1309" s="176"/>
      <c r="P1309" s="176"/>
      <c r="Q1309" s="176"/>
      <c r="R1309" s="176"/>
      <c r="S1309" s="176"/>
      <c r="T1309" s="176"/>
      <c r="U1309" s="176"/>
      <c r="V1309" s="176"/>
      <c r="W1309" s="176"/>
      <c r="X1309" s="176"/>
      <c r="Y1309" s="176"/>
      <c r="Z1309" s="176"/>
    </row>
    <row r="1310">
      <c r="A1310" s="249"/>
      <c r="B1310" s="249"/>
      <c r="C1310" s="219"/>
      <c r="D1310" s="268"/>
      <c r="E1310" s="251"/>
      <c r="F1310" s="250"/>
      <c r="G1310" s="243"/>
      <c r="H1310" s="243"/>
      <c r="I1310" s="243"/>
      <c r="J1310" s="325"/>
      <c r="K1310" s="326"/>
      <c r="L1310" s="327"/>
      <c r="M1310" s="321"/>
      <c r="N1310" s="176"/>
      <c r="O1310" s="176"/>
      <c r="P1310" s="176"/>
      <c r="Q1310" s="176"/>
      <c r="R1310" s="176"/>
      <c r="S1310" s="176"/>
      <c r="T1310" s="176"/>
      <c r="U1310" s="176"/>
      <c r="V1310" s="176"/>
      <c r="W1310" s="176"/>
      <c r="X1310" s="176"/>
      <c r="Y1310" s="176"/>
      <c r="Z1310" s="176"/>
    </row>
    <row r="1311">
      <c r="A1311" s="249"/>
      <c r="B1311" s="249"/>
      <c r="C1311" s="219"/>
      <c r="D1311" s="268"/>
      <c r="E1311" s="251"/>
      <c r="F1311" s="250"/>
      <c r="G1311" s="243"/>
      <c r="H1311" s="243"/>
      <c r="I1311" s="243"/>
      <c r="J1311" s="325"/>
      <c r="K1311" s="326"/>
      <c r="L1311" s="327"/>
      <c r="M1311" s="321"/>
      <c r="N1311" s="176"/>
      <c r="O1311" s="176"/>
      <c r="P1311" s="176"/>
      <c r="Q1311" s="176"/>
      <c r="R1311" s="176"/>
      <c r="S1311" s="176"/>
      <c r="T1311" s="176"/>
      <c r="U1311" s="176"/>
      <c r="V1311" s="176"/>
      <c r="W1311" s="176"/>
      <c r="X1311" s="176"/>
      <c r="Y1311" s="176"/>
      <c r="Z1311" s="176"/>
    </row>
    <row r="1312">
      <c r="A1312" s="249"/>
      <c r="B1312" s="249"/>
      <c r="C1312" s="219"/>
      <c r="D1312" s="268"/>
      <c r="E1312" s="251"/>
      <c r="F1312" s="250"/>
      <c r="G1312" s="243"/>
      <c r="H1312" s="243"/>
      <c r="I1312" s="243"/>
      <c r="J1312" s="325"/>
      <c r="K1312" s="326"/>
      <c r="L1312" s="327"/>
      <c r="M1312" s="321"/>
      <c r="N1312" s="176"/>
      <c r="O1312" s="176"/>
      <c r="P1312" s="176"/>
      <c r="Q1312" s="176"/>
      <c r="R1312" s="176"/>
      <c r="S1312" s="176"/>
      <c r="T1312" s="176"/>
      <c r="U1312" s="176"/>
      <c r="V1312" s="176"/>
      <c r="W1312" s="176"/>
      <c r="X1312" s="176"/>
      <c r="Y1312" s="176"/>
      <c r="Z1312" s="176"/>
    </row>
    <row r="1313">
      <c r="A1313" s="249"/>
      <c r="B1313" s="249"/>
      <c r="C1313" s="219"/>
      <c r="D1313" s="268"/>
      <c r="E1313" s="251"/>
      <c r="F1313" s="250"/>
      <c r="G1313" s="243"/>
      <c r="H1313" s="243"/>
      <c r="I1313" s="243"/>
      <c r="J1313" s="325"/>
      <c r="K1313" s="326"/>
      <c r="L1313" s="327"/>
      <c r="M1313" s="321"/>
      <c r="N1313" s="176"/>
      <c r="O1313" s="176"/>
      <c r="P1313" s="176"/>
      <c r="Q1313" s="176"/>
      <c r="R1313" s="176"/>
      <c r="S1313" s="176"/>
      <c r="T1313" s="176"/>
      <c r="U1313" s="176"/>
      <c r="V1313" s="176"/>
      <c r="W1313" s="176"/>
      <c r="X1313" s="176"/>
      <c r="Y1313" s="176"/>
      <c r="Z1313" s="176"/>
    </row>
    <row r="1314">
      <c r="A1314" s="249"/>
      <c r="B1314" s="249"/>
      <c r="C1314" s="219"/>
      <c r="D1314" s="268"/>
      <c r="E1314" s="251"/>
      <c r="F1314" s="250"/>
      <c r="G1314" s="243"/>
      <c r="H1314" s="243"/>
      <c r="I1314" s="243"/>
      <c r="J1314" s="325"/>
      <c r="K1314" s="326"/>
      <c r="L1314" s="327"/>
      <c r="M1314" s="321"/>
      <c r="N1314" s="176"/>
      <c r="O1314" s="176"/>
      <c r="P1314" s="176"/>
      <c r="Q1314" s="176"/>
      <c r="R1314" s="176"/>
      <c r="S1314" s="176"/>
      <c r="T1314" s="176"/>
      <c r="U1314" s="176"/>
      <c r="V1314" s="176"/>
      <c r="W1314" s="176"/>
      <c r="X1314" s="176"/>
      <c r="Y1314" s="176"/>
      <c r="Z1314" s="176"/>
    </row>
    <row r="1315">
      <c r="A1315" s="249"/>
      <c r="B1315" s="249"/>
      <c r="C1315" s="219"/>
      <c r="D1315" s="268"/>
      <c r="E1315" s="251"/>
      <c r="F1315" s="250"/>
      <c r="G1315" s="243"/>
      <c r="H1315" s="243"/>
      <c r="I1315" s="243"/>
      <c r="J1315" s="325"/>
      <c r="K1315" s="326"/>
      <c r="L1315" s="327"/>
      <c r="M1315" s="321"/>
      <c r="N1315" s="176"/>
      <c r="O1315" s="176"/>
      <c r="P1315" s="176"/>
      <c r="Q1315" s="176"/>
      <c r="R1315" s="176"/>
      <c r="S1315" s="176"/>
      <c r="T1315" s="176"/>
      <c r="U1315" s="176"/>
      <c r="V1315" s="176"/>
      <c r="W1315" s="176"/>
      <c r="X1315" s="176"/>
      <c r="Y1315" s="176"/>
      <c r="Z1315" s="176"/>
    </row>
    <row r="1316">
      <c r="A1316" s="249"/>
      <c r="B1316" s="249"/>
      <c r="C1316" s="219"/>
      <c r="D1316" s="268"/>
      <c r="E1316" s="251"/>
      <c r="F1316" s="250"/>
      <c r="G1316" s="243"/>
      <c r="H1316" s="243"/>
      <c r="I1316" s="243"/>
      <c r="J1316" s="325"/>
      <c r="K1316" s="326"/>
      <c r="L1316" s="327"/>
      <c r="M1316" s="321"/>
      <c r="N1316" s="176"/>
      <c r="O1316" s="176"/>
      <c r="P1316" s="176"/>
      <c r="Q1316" s="176"/>
      <c r="R1316" s="176"/>
      <c r="S1316" s="176"/>
      <c r="T1316" s="176"/>
      <c r="U1316" s="176"/>
      <c r="V1316" s="176"/>
      <c r="W1316" s="176"/>
      <c r="X1316" s="176"/>
      <c r="Y1316" s="176"/>
      <c r="Z1316" s="176"/>
    </row>
    <row r="1317">
      <c r="A1317" s="249"/>
      <c r="B1317" s="249"/>
      <c r="C1317" s="219"/>
      <c r="D1317" s="268"/>
      <c r="E1317" s="251"/>
      <c r="F1317" s="250"/>
      <c r="G1317" s="243"/>
      <c r="H1317" s="243"/>
      <c r="I1317" s="243"/>
      <c r="J1317" s="325"/>
      <c r="K1317" s="326"/>
      <c r="L1317" s="327"/>
      <c r="M1317" s="321"/>
      <c r="N1317" s="176"/>
      <c r="O1317" s="176"/>
      <c r="P1317" s="176"/>
      <c r="Q1317" s="176"/>
      <c r="R1317" s="176"/>
      <c r="S1317" s="176"/>
      <c r="T1317" s="176"/>
      <c r="U1317" s="176"/>
      <c r="V1317" s="176"/>
      <c r="W1317" s="176"/>
      <c r="X1317" s="176"/>
      <c r="Y1317" s="176"/>
      <c r="Z1317" s="176"/>
    </row>
    <row r="1318">
      <c r="A1318" s="249"/>
      <c r="B1318" s="249"/>
      <c r="C1318" s="219"/>
      <c r="D1318" s="268"/>
      <c r="E1318" s="251"/>
      <c r="F1318" s="250"/>
      <c r="G1318" s="243"/>
      <c r="H1318" s="243"/>
      <c r="I1318" s="243"/>
      <c r="J1318" s="325"/>
      <c r="K1318" s="326"/>
      <c r="L1318" s="327"/>
      <c r="M1318" s="321"/>
      <c r="N1318" s="176"/>
      <c r="O1318" s="176"/>
      <c r="P1318" s="176"/>
      <c r="Q1318" s="176"/>
      <c r="R1318" s="176"/>
      <c r="S1318" s="176"/>
      <c r="T1318" s="176"/>
      <c r="U1318" s="176"/>
      <c r="V1318" s="176"/>
      <c r="W1318" s="176"/>
      <c r="X1318" s="176"/>
      <c r="Y1318" s="176"/>
      <c r="Z1318" s="176"/>
    </row>
    <row r="1319">
      <c r="A1319" s="249"/>
      <c r="B1319" s="249"/>
      <c r="C1319" s="219"/>
      <c r="D1319" s="268"/>
      <c r="E1319" s="251"/>
      <c r="F1319" s="250"/>
      <c r="G1319" s="243"/>
      <c r="H1319" s="243"/>
      <c r="I1319" s="243"/>
      <c r="J1319" s="325"/>
      <c r="K1319" s="326"/>
      <c r="L1319" s="327"/>
      <c r="M1319" s="321"/>
      <c r="N1319" s="176"/>
      <c r="O1319" s="176"/>
      <c r="P1319" s="176"/>
      <c r="Q1319" s="176"/>
      <c r="R1319" s="176"/>
      <c r="S1319" s="176"/>
      <c r="T1319" s="176"/>
      <c r="U1319" s="176"/>
      <c r="V1319" s="176"/>
      <c r="W1319" s="176"/>
      <c r="X1319" s="176"/>
      <c r="Y1319" s="176"/>
      <c r="Z1319" s="176"/>
    </row>
    <row r="1320">
      <c r="A1320" s="249"/>
      <c r="B1320" s="249"/>
      <c r="C1320" s="219"/>
      <c r="D1320" s="268"/>
      <c r="E1320" s="251"/>
      <c r="F1320" s="250"/>
      <c r="G1320" s="243"/>
      <c r="H1320" s="243"/>
      <c r="I1320" s="243"/>
      <c r="J1320" s="325"/>
      <c r="K1320" s="326"/>
      <c r="L1320" s="327"/>
      <c r="M1320" s="321"/>
      <c r="N1320" s="176"/>
      <c r="O1320" s="176"/>
      <c r="P1320" s="176"/>
      <c r="Q1320" s="176"/>
      <c r="R1320" s="176"/>
      <c r="S1320" s="176"/>
      <c r="T1320" s="176"/>
      <c r="U1320" s="176"/>
      <c r="V1320" s="176"/>
      <c r="W1320" s="176"/>
      <c r="X1320" s="176"/>
      <c r="Y1320" s="176"/>
      <c r="Z1320" s="176"/>
    </row>
    <row r="1321">
      <c r="A1321" s="249"/>
      <c r="B1321" s="249"/>
      <c r="C1321" s="219"/>
      <c r="D1321" s="268"/>
      <c r="E1321" s="251"/>
      <c r="F1321" s="250"/>
      <c r="G1321" s="243"/>
      <c r="H1321" s="243"/>
      <c r="I1321" s="243"/>
      <c r="J1321" s="325"/>
      <c r="K1321" s="326"/>
      <c r="L1321" s="327"/>
      <c r="M1321" s="321"/>
      <c r="N1321" s="176"/>
      <c r="O1321" s="176"/>
      <c r="P1321" s="176"/>
      <c r="Q1321" s="176"/>
      <c r="R1321" s="176"/>
      <c r="S1321" s="176"/>
      <c r="T1321" s="176"/>
      <c r="U1321" s="176"/>
      <c r="V1321" s="176"/>
      <c r="W1321" s="176"/>
      <c r="X1321" s="176"/>
      <c r="Y1321" s="176"/>
      <c r="Z1321" s="176"/>
    </row>
    <row r="1322">
      <c r="A1322" s="249"/>
      <c r="B1322" s="249"/>
      <c r="C1322" s="219"/>
      <c r="D1322" s="268"/>
      <c r="E1322" s="251"/>
      <c r="F1322" s="250"/>
      <c r="G1322" s="243"/>
      <c r="H1322" s="243"/>
      <c r="I1322" s="243"/>
      <c r="J1322" s="325"/>
      <c r="K1322" s="326"/>
      <c r="L1322" s="327"/>
      <c r="M1322" s="321"/>
      <c r="N1322" s="176"/>
      <c r="O1322" s="176"/>
      <c r="P1322" s="176"/>
      <c r="Q1322" s="176"/>
      <c r="R1322" s="176"/>
      <c r="S1322" s="176"/>
      <c r="T1322" s="176"/>
      <c r="U1322" s="176"/>
      <c r="V1322" s="176"/>
      <c r="W1322" s="176"/>
      <c r="X1322" s="176"/>
      <c r="Y1322" s="176"/>
      <c r="Z1322" s="176"/>
    </row>
    <row r="1323">
      <c r="A1323" s="249"/>
      <c r="B1323" s="249"/>
      <c r="C1323" s="219"/>
      <c r="D1323" s="268"/>
      <c r="E1323" s="251"/>
      <c r="F1323" s="250"/>
      <c r="G1323" s="243"/>
      <c r="H1323" s="243"/>
      <c r="I1323" s="243"/>
      <c r="J1323" s="325"/>
      <c r="K1323" s="326"/>
      <c r="L1323" s="327"/>
      <c r="M1323" s="321"/>
      <c r="N1323" s="176"/>
      <c r="O1323" s="176"/>
      <c r="P1323" s="176"/>
      <c r="Q1323" s="176"/>
      <c r="R1323" s="176"/>
      <c r="S1323" s="176"/>
      <c r="T1323" s="176"/>
      <c r="U1323" s="176"/>
      <c r="V1323" s="176"/>
      <c r="W1323" s="176"/>
      <c r="X1323" s="176"/>
      <c r="Y1323" s="176"/>
      <c r="Z1323" s="176"/>
    </row>
    <row r="1324">
      <c r="A1324" s="249"/>
      <c r="B1324" s="249"/>
      <c r="C1324" s="219"/>
      <c r="D1324" s="268"/>
      <c r="E1324" s="251"/>
      <c r="F1324" s="250"/>
      <c r="G1324" s="243"/>
      <c r="H1324" s="243"/>
      <c r="I1324" s="243"/>
      <c r="J1324" s="325"/>
      <c r="K1324" s="326"/>
      <c r="L1324" s="327"/>
      <c r="M1324" s="321"/>
      <c r="N1324" s="176"/>
      <c r="O1324" s="176"/>
      <c r="P1324" s="176"/>
      <c r="Q1324" s="176"/>
      <c r="R1324" s="176"/>
      <c r="S1324" s="176"/>
      <c r="T1324" s="176"/>
      <c r="U1324" s="176"/>
      <c r="V1324" s="176"/>
      <c r="W1324" s="176"/>
      <c r="X1324" s="176"/>
      <c r="Y1324" s="176"/>
      <c r="Z1324" s="176"/>
    </row>
    <row r="1325">
      <c r="A1325" s="249"/>
      <c r="B1325" s="249"/>
      <c r="C1325" s="219"/>
      <c r="D1325" s="268"/>
      <c r="E1325" s="251"/>
      <c r="F1325" s="250"/>
      <c r="G1325" s="243"/>
      <c r="H1325" s="243"/>
      <c r="I1325" s="243"/>
      <c r="J1325" s="325"/>
      <c r="K1325" s="326"/>
      <c r="L1325" s="327"/>
      <c r="M1325" s="321"/>
      <c r="N1325" s="176"/>
      <c r="O1325" s="176"/>
      <c r="P1325" s="176"/>
      <c r="Q1325" s="176"/>
      <c r="R1325" s="176"/>
      <c r="S1325" s="176"/>
      <c r="T1325" s="176"/>
      <c r="U1325" s="176"/>
      <c r="V1325" s="176"/>
      <c r="W1325" s="176"/>
      <c r="X1325" s="176"/>
      <c r="Y1325" s="176"/>
      <c r="Z1325" s="176"/>
    </row>
    <row r="1326">
      <c r="A1326" s="249"/>
      <c r="B1326" s="249"/>
      <c r="C1326" s="219"/>
      <c r="D1326" s="268"/>
      <c r="E1326" s="251"/>
      <c r="F1326" s="250"/>
      <c r="G1326" s="243"/>
      <c r="H1326" s="243"/>
      <c r="I1326" s="243"/>
      <c r="J1326" s="325"/>
      <c r="K1326" s="326"/>
      <c r="L1326" s="327"/>
      <c r="M1326" s="321"/>
      <c r="N1326" s="176"/>
      <c r="O1326" s="176"/>
      <c r="P1326" s="176"/>
      <c r="Q1326" s="176"/>
      <c r="R1326" s="176"/>
      <c r="S1326" s="176"/>
      <c r="T1326" s="176"/>
      <c r="U1326" s="176"/>
      <c r="V1326" s="176"/>
      <c r="W1326" s="176"/>
      <c r="X1326" s="176"/>
      <c r="Y1326" s="176"/>
      <c r="Z1326" s="176"/>
    </row>
    <row r="1327">
      <c r="A1327" s="249"/>
      <c r="B1327" s="249"/>
      <c r="C1327" s="219"/>
      <c r="D1327" s="268"/>
      <c r="E1327" s="251"/>
      <c r="F1327" s="250"/>
      <c r="G1327" s="243"/>
      <c r="H1327" s="243"/>
      <c r="I1327" s="243"/>
      <c r="J1327" s="325"/>
      <c r="K1327" s="326"/>
      <c r="L1327" s="327"/>
      <c r="M1327" s="321"/>
      <c r="N1327" s="176"/>
      <c r="O1327" s="176"/>
      <c r="P1327" s="176"/>
      <c r="Q1327" s="176"/>
      <c r="R1327" s="176"/>
      <c r="S1327" s="176"/>
      <c r="T1327" s="176"/>
      <c r="U1327" s="176"/>
      <c r="V1327" s="176"/>
      <c r="W1327" s="176"/>
      <c r="X1327" s="176"/>
      <c r="Y1327" s="176"/>
      <c r="Z1327" s="176"/>
    </row>
    <row r="1328">
      <c r="A1328" s="249"/>
      <c r="B1328" s="249"/>
      <c r="C1328" s="219"/>
      <c r="D1328" s="268"/>
      <c r="E1328" s="251"/>
      <c r="F1328" s="250"/>
      <c r="G1328" s="243"/>
      <c r="H1328" s="243"/>
      <c r="I1328" s="243"/>
      <c r="J1328" s="325"/>
      <c r="K1328" s="326"/>
      <c r="L1328" s="327"/>
      <c r="M1328" s="321"/>
      <c r="N1328" s="176"/>
      <c r="O1328" s="176"/>
      <c r="P1328" s="176"/>
      <c r="Q1328" s="176"/>
      <c r="R1328" s="176"/>
      <c r="S1328" s="176"/>
      <c r="T1328" s="176"/>
      <c r="U1328" s="176"/>
      <c r="V1328" s="176"/>
      <c r="W1328" s="176"/>
      <c r="X1328" s="176"/>
      <c r="Y1328" s="176"/>
      <c r="Z1328" s="176"/>
    </row>
    <row r="1329">
      <c r="A1329" s="249"/>
      <c r="B1329" s="249"/>
      <c r="C1329" s="219"/>
      <c r="D1329" s="268"/>
      <c r="E1329" s="251"/>
      <c r="F1329" s="250"/>
      <c r="G1329" s="243"/>
      <c r="H1329" s="243"/>
      <c r="I1329" s="243"/>
      <c r="J1329" s="325"/>
      <c r="K1329" s="326"/>
      <c r="L1329" s="327"/>
      <c r="M1329" s="321"/>
      <c r="N1329" s="176"/>
      <c r="O1329" s="176"/>
      <c r="P1329" s="176"/>
      <c r="Q1329" s="176"/>
      <c r="R1329" s="176"/>
      <c r="S1329" s="176"/>
      <c r="T1329" s="176"/>
      <c r="U1329" s="176"/>
      <c r="V1329" s="176"/>
      <c r="W1329" s="176"/>
      <c r="X1329" s="176"/>
      <c r="Y1329" s="176"/>
      <c r="Z1329" s="176"/>
    </row>
    <row r="1330">
      <c r="A1330" s="249"/>
      <c r="B1330" s="249"/>
      <c r="C1330" s="219"/>
      <c r="D1330" s="268"/>
      <c r="E1330" s="251"/>
      <c r="F1330" s="250"/>
      <c r="G1330" s="243"/>
      <c r="H1330" s="243"/>
      <c r="I1330" s="243"/>
      <c r="J1330" s="325"/>
      <c r="K1330" s="326"/>
      <c r="L1330" s="327"/>
      <c r="M1330" s="321"/>
      <c r="N1330" s="176"/>
      <c r="O1330" s="176"/>
      <c r="P1330" s="176"/>
      <c r="Q1330" s="176"/>
      <c r="R1330" s="176"/>
      <c r="S1330" s="176"/>
      <c r="T1330" s="176"/>
      <c r="U1330" s="176"/>
      <c r="V1330" s="176"/>
      <c r="W1330" s="176"/>
      <c r="X1330" s="176"/>
      <c r="Y1330" s="176"/>
      <c r="Z1330" s="176"/>
    </row>
    <row r="1331">
      <c r="A1331" s="249"/>
      <c r="B1331" s="249"/>
      <c r="C1331" s="219"/>
      <c r="D1331" s="268"/>
      <c r="E1331" s="251"/>
      <c r="F1331" s="250"/>
      <c r="G1331" s="243"/>
      <c r="H1331" s="243"/>
      <c r="I1331" s="243"/>
      <c r="J1331" s="325"/>
      <c r="K1331" s="326"/>
      <c r="L1331" s="327"/>
      <c r="M1331" s="321"/>
      <c r="N1331" s="176"/>
      <c r="O1331" s="176"/>
      <c r="P1331" s="176"/>
      <c r="Q1331" s="176"/>
      <c r="R1331" s="176"/>
      <c r="S1331" s="176"/>
      <c r="T1331" s="176"/>
      <c r="U1331" s="176"/>
      <c r="V1331" s="176"/>
      <c r="W1331" s="176"/>
      <c r="X1331" s="176"/>
      <c r="Y1331" s="176"/>
      <c r="Z1331" s="176"/>
    </row>
    <row r="1332">
      <c r="A1332" s="249"/>
      <c r="B1332" s="249"/>
      <c r="C1332" s="219"/>
      <c r="D1332" s="268"/>
      <c r="E1332" s="251"/>
      <c r="F1332" s="250"/>
      <c r="G1332" s="243"/>
      <c r="H1332" s="243"/>
      <c r="I1332" s="243"/>
      <c r="J1332" s="325"/>
      <c r="K1332" s="326"/>
      <c r="L1332" s="327"/>
      <c r="M1332" s="321"/>
      <c r="N1332" s="176"/>
      <c r="O1332" s="176"/>
      <c r="P1332" s="176"/>
      <c r="Q1332" s="176"/>
      <c r="R1332" s="176"/>
      <c r="S1332" s="176"/>
      <c r="T1332" s="176"/>
      <c r="U1332" s="176"/>
      <c r="V1332" s="176"/>
      <c r="W1332" s="176"/>
      <c r="X1332" s="176"/>
      <c r="Y1332" s="176"/>
      <c r="Z1332" s="176"/>
    </row>
    <row r="1333">
      <c r="A1333" s="249"/>
      <c r="B1333" s="249"/>
      <c r="C1333" s="219"/>
      <c r="D1333" s="268"/>
      <c r="E1333" s="251"/>
      <c r="F1333" s="250"/>
      <c r="G1333" s="243"/>
      <c r="H1333" s="243"/>
      <c r="I1333" s="243"/>
      <c r="J1333" s="325"/>
      <c r="K1333" s="326"/>
      <c r="L1333" s="327"/>
      <c r="M1333" s="321"/>
      <c r="N1333" s="176"/>
      <c r="O1333" s="176"/>
      <c r="P1333" s="176"/>
      <c r="Q1333" s="176"/>
      <c r="R1333" s="176"/>
      <c r="S1333" s="176"/>
      <c r="T1333" s="176"/>
      <c r="U1333" s="176"/>
      <c r="V1333" s="176"/>
      <c r="W1333" s="176"/>
      <c r="X1333" s="176"/>
      <c r="Y1333" s="176"/>
      <c r="Z1333" s="176"/>
    </row>
    <row r="1334">
      <c r="A1334" s="249"/>
      <c r="B1334" s="249"/>
      <c r="C1334" s="219"/>
      <c r="D1334" s="268"/>
      <c r="E1334" s="251"/>
      <c r="F1334" s="250"/>
      <c r="G1334" s="243"/>
      <c r="H1334" s="243"/>
      <c r="I1334" s="243"/>
      <c r="J1334" s="325"/>
      <c r="K1334" s="326"/>
      <c r="L1334" s="327"/>
      <c r="M1334" s="321"/>
      <c r="N1334" s="176"/>
      <c r="O1334" s="176"/>
      <c r="P1334" s="176"/>
      <c r="Q1334" s="176"/>
      <c r="R1334" s="176"/>
      <c r="S1334" s="176"/>
      <c r="T1334" s="176"/>
      <c r="U1334" s="176"/>
      <c r="V1334" s="176"/>
      <c r="W1334" s="176"/>
      <c r="X1334" s="176"/>
      <c r="Y1334" s="176"/>
      <c r="Z1334" s="176"/>
    </row>
    <row r="1335">
      <c r="A1335" s="249"/>
      <c r="B1335" s="249"/>
      <c r="C1335" s="219"/>
      <c r="D1335" s="268"/>
      <c r="E1335" s="251"/>
      <c r="F1335" s="250"/>
      <c r="G1335" s="243"/>
      <c r="H1335" s="243"/>
      <c r="I1335" s="243"/>
      <c r="J1335" s="325"/>
      <c r="K1335" s="326"/>
      <c r="L1335" s="327"/>
      <c r="M1335" s="321"/>
      <c r="N1335" s="176"/>
      <c r="O1335" s="176"/>
      <c r="P1335" s="176"/>
      <c r="Q1335" s="176"/>
      <c r="R1335" s="176"/>
      <c r="S1335" s="176"/>
      <c r="T1335" s="176"/>
      <c r="U1335" s="176"/>
      <c r="V1335" s="176"/>
      <c r="W1335" s="176"/>
      <c r="X1335" s="176"/>
      <c r="Y1335" s="176"/>
      <c r="Z1335" s="176"/>
    </row>
    <row r="1336">
      <c r="A1336" s="249"/>
      <c r="B1336" s="249"/>
      <c r="C1336" s="219"/>
      <c r="D1336" s="268"/>
      <c r="E1336" s="251"/>
      <c r="F1336" s="250"/>
      <c r="G1336" s="243"/>
      <c r="H1336" s="243"/>
      <c r="I1336" s="243"/>
      <c r="J1336" s="325"/>
      <c r="K1336" s="326"/>
      <c r="L1336" s="327"/>
      <c r="M1336" s="321"/>
      <c r="N1336" s="176"/>
      <c r="O1336" s="176"/>
      <c r="P1336" s="176"/>
      <c r="Q1336" s="176"/>
      <c r="R1336" s="176"/>
      <c r="S1336" s="176"/>
      <c r="T1336" s="176"/>
      <c r="U1336" s="176"/>
      <c r="V1336" s="176"/>
      <c r="W1336" s="176"/>
      <c r="X1336" s="176"/>
      <c r="Y1336" s="176"/>
      <c r="Z1336" s="176"/>
    </row>
    <row r="1337">
      <c r="A1337" s="249"/>
      <c r="B1337" s="249"/>
      <c r="C1337" s="219"/>
      <c r="D1337" s="268"/>
      <c r="E1337" s="251"/>
      <c r="F1337" s="250"/>
      <c r="G1337" s="243"/>
      <c r="H1337" s="243"/>
      <c r="I1337" s="243"/>
      <c r="J1337" s="325"/>
      <c r="K1337" s="326"/>
      <c r="L1337" s="327"/>
      <c r="M1337" s="321"/>
      <c r="N1337" s="176"/>
      <c r="O1337" s="176"/>
      <c r="P1337" s="176"/>
      <c r="Q1337" s="176"/>
      <c r="R1337" s="176"/>
      <c r="S1337" s="176"/>
      <c r="T1337" s="176"/>
      <c r="U1337" s="176"/>
      <c r="V1337" s="176"/>
      <c r="W1337" s="176"/>
      <c r="X1337" s="176"/>
      <c r="Y1337" s="176"/>
      <c r="Z1337" s="176"/>
    </row>
    <row r="1338">
      <c r="A1338" s="249"/>
      <c r="B1338" s="249"/>
      <c r="C1338" s="219"/>
      <c r="D1338" s="268"/>
      <c r="E1338" s="251"/>
      <c r="F1338" s="250"/>
      <c r="G1338" s="243"/>
      <c r="H1338" s="243"/>
      <c r="I1338" s="243"/>
      <c r="J1338" s="325"/>
      <c r="K1338" s="326"/>
      <c r="L1338" s="327"/>
      <c r="M1338" s="321"/>
      <c r="N1338" s="176"/>
      <c r="O1338" s="176"/>
      <c r="P1338" s="176"/>
      <c r="Q1338" s="176"/>
      <c r="R1338" s="176"/>
      <c r="S1338" s="176"/>
      <c r="T1338" s="176"/>
      <c r="U1338" s="176"/>
      <c r="V1338" s="176"/>
      <c r="W1338" s="176"/>
      <c r="X1338" s="176"/>
      <c r="Y1338" s="176"/>
      <c r="Z1338" s="176"/>
    </row>
    <row r="1339">
      <c r="A1339" s="249"/>
      <c r="B1339" s="249"/>
      <c r="C1339" s="219"/>
      <c r="D1339" s="268"/>
      <c r="E1339" s="251"/>
      <c r="F1339" s="250"/>
      <c r="G1339" s="243"/>
      <c r="H1339" s="243"/>
      <c r="I1339" s="243"/>
      <c r="J1339" s="325"/>
      <c r="K1339" s="326"/>
      <c r="L1339" s="327"/>
      <c r="M1339" s="321"/>
      <c r="N1339" s="176"/>
      <c r="O1339" s="176"/>
      <c r="P1339" s="176"/>
      <c r="Q1339" s="176"/>
      <c r="R1339" s="176"/>
      <c r="S1339" s="176"/>
      <c r="T1339" s="176"/>
      <c r="U1339" s="176"/>
      <c r="V1339" s="176"/>
      <c r="W1339" s="176"/>
      <c r="X1339" s="176"/>
      <c r="Y1339" s="176"/>
      <c r="Z1339" s="176"/>
    </row>
    <row r="1340">
      <c r="A1340" s="249"/>
      <c r="B1340" s="249"/>
      <c r="C1340" s="219"/>
      <c r="D1340" s="268"/>
      <c r="E1340" s="251"/>
      <c r="F1340" s="250"/>
      <c r="G1340" s="243"/>
      <c r="H1340" s="243"/>
      <c r="I1340" s="243"/>
      <c r="J1340" s="325"/>
      <c r="K1340" s="326"/>
      <c r="L1340" s="327"/>
      <c r="M1340" s="321"/>
      <c r="N1340" s="176"/>
      <c r="O1340" s="176"/>
      <c r="P1340" s="176"/>
      <c r="Q1340" s="176"/>
      <c r="R1340" s="176"/>
      <c r="S1340" s="176"/>
      <c r="T1340" s="176"/>
      <c r="U1340" s="176"/>
      <c r="V1340" s="176"/>
      <c r="W1340" s="176"/>
      <c r="X1340" s="176"/>
      <c r="Y1340" s="176"/>
      <c r="Z1340" s="176"/>
    </row>
    <row r="1341">
      <c r="A1341" s="249"/>
      <c r="B1341" s="249"/>
      <c r="C1341" s="219"/>
      <c r="D1341" s="268"/>
      <c r="E1341" s="251"/>
      <c r="F1341" s="250"/>
      <c r="G1341" s="243"/>
      <c r="H1341" s="243"/>
      <c r="I1341" s="243"/>
      <c r="J1341" s="325"/>
      <c r="K1341" s="326"/>
      <c r="L1341" s="327"/>
      <c r="M1341" s="321"/>
      <c r="N1341" s="176"/>
      <c r="O1341" s="176"/>
      <c r="P1341" s="176"/>
      <c r="Q1341" s="176"/>
      <c r="R1341" s="176"/>
      <c r="S1341" s="176"/>
      <c r="T1341" s="176"/>
      <c r="U1341" s="176"/>
      <c r="V1341" s="176"/>
      <c r="W1341" s="176"/>
      <c r="X1341" s="176"/>
      <c r="Y1341" s="176"/>
      <c r="Z1341" s="176"/>
    </row>
    <row r="1342">
      <c r="A1342" s="249"/>
      <c r="B1342" s="249"/>
      <c r="C1342" s="219"/>
      <c r="D1342" s="268"/>
      <c r="E1342" s="251"/>
      <c r="F1342" s="250"/>
      <c r="G1342" s="243"/>
      <c r="H1342" s="243"/>
      <c r="I1342" s="243"/>
      <c r="J1342" s="325"/>
      <c r="K1342" s="326"/>
      <c r="L1342" s="327"/>
      <c r="M1342" s="321"/>
      <c r="N1342" s="176"/>
      <c r="O1342" s="176"/>
      <c r="P1342" s="176"/>
      <c r="Q1342" s="176"/>
      <c r="R1342" s="176"/>
      <c r="S1342" s="176"/>
      <c r="T1342" s="176"/>
      <c r="U1342" s="176"/>
      <c r="V1342" s="176"/>
      <c r="W1342" s="176"/>
      <c r="X1342" s="176"/>
      <c r="Y1342" s="176"/>
      <c r="Z1342" s="176"/>
    </row>
    <row r="1343">
      <c r="A1343" s="249"/>
      <c r="B1343" s="249"/>
      <c r="C1343" s="219"/>
      <c r="D1343" s="268"/>
      <c r="E1343" s="251"/>
      <c r="F1343" s="250"/>
      <c r="G1343" s="243"/>
      <c r="H1343" s="243"/>
      <c r="I1343" s="243"/>
      <c r="J1343" s="325"/>
      <c r="K1343" s="326"/>
      <c r="L1343" s="327"/>
      <c r="M1343" s="321"/>
      <c r="N1343" s="176"/>
      <c r="O1343" s="176"/>
      <c r="P1343" s="176"/>
      <c r="Q1343" s="176"/>
      <c r="R1343" s="176"/>
      <c r="S1343" s="176"/>
      <c r="T1343" s="176"/>
      <c r="U1343" s="176"/>
      <c r="V1343" s="176"/>
      <c r="W1343" s="176"/>
      <c r="X1343" s="176"/>
      <c r="Y1343" s="176"/>
      <c r="Z1343" s="176"/>
    </row>
    <row r="1344">
      <c r="A1344" s="249"/>
      <c r="B1344" s="249"/>
      <c r="C1344" s="219"/>
      <c r="D1344" s="268"/>
      <c r="E1344" s="251"/>
      <c r="F1344" s="250"/>
      <c r="G1344" s="243"/>
      <c r="H1344" s="243"/>
      <c r="I1344" s="243"/>
      <c r="J1344" s="325"/>
      <c r="K1344" s="326"/>
      <c r="L1344" s="327"/>
      <c r="M1344" s="321"/>
      <c r="N1344" s="176"/>
      <c r="O1344" s="176"/>
      <c r="P1344" s="176"/>
      <c r="Q1344" s="176"/>
      <c r="R1344" s="176"/>
      <c r="S1344" s="176"/>
      <c r="T1344" s="176"/>
      <c r="U1344" s="176"/>
      <c r="V1344" s="176"/>
      <c r="W1344" s="176"/>
      <c r="X1344" s="176"/>
      <c r="Y1344" s="176"/>
      <c r="Z1344" s="176"/>
    </row>
    <row r="1345">
      <c r="A1345" s="249"/>
      <c r="B1345" s="249"/>
      <c r="C1345" s="219"/>
      <c r="D1345" s="268"/>
      <c r="E1345" s="251"/>
      <c r="F1345" s="250"/>
      <c r="G1345" s="243"/>
      <c r="H1345" s="243"/>
      <c r="I1345" s="243"/>
      <c r="J1345" s="325"/>
      <c r="K1345" s="326"/>
      <c r="L1345" s="327"/>
      <c r="M1345" s="321"/>
      <c r="N1345" s="176"/>
      <c r="O1345" s="176"/>
      <c r="P1345" s="176"/>
      <c r="Q1345" s="176"/>
      <c r="R1345" s="176"/>
      <c r="S1345" s="176"/>
      <c r="T1345" s="176"/>
      <c r="U1345" s="176"/>
      <c r="V1345" s="176"/>
      <c r="W1345" s="176"/>
      <c r="X1345" s="176"/>
      <c r="Y1345" s="176"/>
      <c r="Z1345" s="176"/>
    </row>
    <row r="1346">
      <c r="A1346" s="249"/>
      <c r="B1346" s="249"/>
      <c r="C1346" s="219"/>
      <c r="D1346" s="268"/>
      <c r="E1346" s="251"/>
      <c r="F1346" s="250"/>
      <c r="G1346" s="243"/>
      <c r="H1346" s="243"/>
      <c r="I1346" s="243"/>
      <c r="J1346" s="325"/>
      <c r="K1346" s="326"/>
      <c r="L1346" s="327"/>
      <c r="M1346" s="321"/>
      <c r="N1346" s="176"/>
      <c r="O1346" s="176"/>
      <c r="P1346" s="176"/>
      <c r="Q1346" s="176"/>
      <c r="R1346" s="176"/>
      <c r="S1346" s="176"/>
      <c r="T1346" s="176"/>
      <c r="U1346" s="176"/>
      <c r="V1346" s="176"/>
      <c r="W1346" s="176"/>
      <c r="X1346" s="176"/>
      <c r="Y1346" s="176"/>
      <c r="Z1346" s="176"/>
    </row>
    <row r="1347">
      <c r="A1347" s="249"/>
      <c r="B1347" s="249"/>
      <c r="C1347" s="219"/>
      <c r="D1347" s="268"/>
      <c r="E1347" s="251"/>
      <c r="F1347" s="250"/>
      <c r="G1347" s="243"/>
      <c r="H1347" s="243"/>
      <c r="I1347" s="243"/>
      <c r="J1347" s="325"/>
      <c r="K1347" s="326"/>
      <c r="L1347" s="327"/>
      <c r="M1347" s="321"/>
      <c r="N1347" s="176"/>
      <c r="O1347" s="176"/>
      <c r="P1347" s="176"/>
      <c r="Q1347" s="176"/>
      <c r="R1347" s="176"/>
      <c r="S1347" s="176"/>
      <c r="T1347" s="176"/>
      <c r="U1347" s="176"/>
      <c r="V1347" s="176"/>
      <c r="W1347" s="176"/>
      <c r="X1347" s="176"/>
      <c r="Y1347" s="176"/>
      <c r="Z1347" s="176"/>
    </row>
    <row r="1348">
      <c r="A1348" s="249"/>
      <c r="B1348" s="249"/>
      <c r="C1348" s="219"/>
      <c r="D1348" s="268"/>
      <c r="E1348" s="251"/>
      <c r="F1348" s="250"/>
      <c r="G1348" s="243"/>
      <c r="H1348" s="243"/>
      <c r="I1348" s="243"/>
      <c r="J1348" s="325"/>
      <c r="K1348" s="326"/>
      <c r="L1348" s="327"/>
      <c r="M1348" s="321"/>
      <c r="N1348" s="176"/>
      <c r="O1348" s="176"/>
      <c r="P1348" s="176"/>
      <c r="Q1348" s="176"/>
      <c r="R1348" s="176"/>
      <c r="S1348" s="176"/>
      <c r="T1348" s="176"/>
      <c r="U1348" s="176"/>
      <c r="V1348" s="176"/>
      <c r="W1348" s="176"/>
      <c r="X1348" s="176"/>
      <c r="Y1348" s="176"/>
      <c r="Z1348" s="176"/>
    </row>
    <row r="1349">
      <c r="A1349" s="249"/>
      <c r="B1349" s="249"/>
      <c r="C1349" s="219"/>
      <c r="D1349" s="268"/>
      <c r="E1349" s="251"/>
      <c r="F1349" s="250"/>
      <c r="G1349" s="243"/>
      <c r="H1349" s="243"/>
      <c r="I1349" s="243"/>
      <c r="J1349" s="325"/>
      <c r="K1349" s="326"/>
      <c r="L1349" s="327"/>
      <c r="M1349" s="321"/>
      <c r="N1349" s="176"/>
      <c r="O1349" s="176"/>
      <c r="P1349" s="176"/>
      <c r="Q1349" s="176"/>
      <c r="R1349" s="176"/>
      <c r="S1349" s="176"/>
      <c r="T1349" s="176"/>
      <c r="U1349" s="176"/>
      <c r="V1349" s="176"/>
      <c r="W1349" s="176"/>
      <c r="X1349" s="176"/>
      <c r="Y1349" s="176"/>
      <c r="Z1349" s="176"/>
    </row>
    <row r="1350">
      <c r="A1350" s="249"/>
      <c r="B1350" s="249"/>
      <c r="C1350" s="219"/>
      <c r="D1350" s="268"/>
      <c r="E1350" s="251"/>
      <c r="F1350" s="250"/>
      <c r="G1350" s="243"/>
      <c r="H1350" s="243"/>
      <c r="I1350" s="243"/>
      <c r="J1350" s="325"/>
      <c r="K1350" s="326"/>
      <c r="L1350" s="327"/>
      <c r="M1350" s="321"/>
      <c r="N1350" s="176"/>
      <c r="O1350" s="176"/>
      <c r="P1350" s="176"/>
      <c r="Q1350" s="176"/>
      <c r="R1350" s="176"/>
      <c r="S1350" s="176"/>
      <c r="T1350" s="176"/>
      <c r="U1350" s="176"/>
      <c r="V1350" s="176"/>
      <c r="W1350" s="176"/>
      <c r="X1350" s="176"/>
      <c r="Y1350" s="176"/>
      <c r="Z1350" s="176"/>
    </row>
    <row r="1351">
      <c r="A1351" s="249"/>
      <c r="B1351" s="249"/>
      <c r="C1351" s="219"/>
      <c r="D1351" s="268"/>
      <c r="E1351" s="251"/>
      <c r="F1351" s="250"/>
      <c r="G1351" s="243"/>
      <c r="H1351" s="243"/>
      <c r="I1351" s="243"/>
      <c r="J1351" s="325"/>
      <c r="K1351" s="326"/>
      <c r="L1351" s="327"/>
      <c r="M1351" s="321"/>
      <c r="N1351" s="176"/>
      <c r="O1351" s="176"/>
      <c r="P1351" s="176"/>
      <c r="Q1351" s="176"/>
      <c r="R1351" s="176"/>
      <c r="S1351" s="176"/>
      <c r="T1351" s="176"/>
      <c r="U1351" s="176"/>
      <c r="V1351" s="176"/>
      <c r="W1351" s="176"/>
      <c r="X1351" s="176"/>
      <c r="Y1351" s="176"/>
      <c r="Z1351" s="176"/>
    </row>
    <row r="1352">
      <c r="A1352" s="249"/>
      <c r="B1352" s="249"/>
      <c r="C1352" s="219"/>
      <c r="D1352" s="268"/>
      <c r="E1352" s="251"/>
      <c r="F1352" s="250"/>
      <c r="G1352" s="243"/>
      <c r="H1352" s="243"/>
      <c r="I1352" s="243"/>
      <c r="J1352" s="325"/>
      <c r="K1352" s="326"/>
      <c r="L1352" s="327"/>
      <c r="M1352" s="321"/>
      <c r="N1352" s="176"/>
      <c r="O1352" s="176"/>
      <c r="P1352" s="176"/>
      <c r="Q1352" s="176"/>
      <c r="R1352" s="176"/>
      <c r="S1352" s="176"/>
      <c r="T1352" s="176"/>
      <c r="U1352" s="176"/>
      <c r="V1352" s="176"/>
      <c r="W1352" s="176"/>
      <c r="X1352" s="176"/>
      <c r="Y1352" s="176"/>
      <c r="Z1352" s="176"/>
    </row>
    <row r="1353">
      <c r="A1353" s="249"/>
      <c r="B1353" s="249"/>
      <c r="C1353" s="219"/>
      <c r="D1353" s="268"/>
      <c r="E1353" s="251"/>
      <c r="F1353" s="250"/>
      <c r="G1353" s="243"/>
      <c r="H1353" s="243"/>
      <c r="I1353" s="243"/>
      <c r="J1353" s="325"/>
      <c r="K1353" s="326"/>
      <c r="L1353" s="327"/>
      <c r="M1353" s="321"/>
      <c r="N1353" s="176"/>
      <c r="O1353" s="176"/>
      <c r="P1353" s="176"/>
      <c r="Q1353" s="176"/>
      <c r="R1353" s="176"/>
      <c r="S1353" s="176"/>
      <c r="T1353" s="176"/>
      <c r="U1353" s="176"/>
      <c r="V1353" s="176"/>
      <c r="W1353" s="176"/>
      <c r="X1353" s="176"/>
      <c r="Y1353" s="176"/>
      <c r="Z1353" s="176"/>
    </row>
    <row r="1354">
      <c r="A1354" s="249"/>
      <c r="B1354" s="249"/>
      <c r="C1354" s="219"/>
      <c r="D1354" s="268"/>
      <c r="E1354" s="251"/>
      <c r="F1354" s="250"/>
      <c r="G1354" s="243"/>
      <c r="H1354" s="243"/>
      <c r="I1354" s="243"/>
      <c r="J1354" s="325"/>
      <c r="K1354" s="326"/>
      <c r="L1354" s="327"/>
      <c r="M1354" s="321"/>
      <c r="N1354" s="176"/>
      <c r="O1354" s="176"/>
      <c r="P1354" s="176"/>
      <c r="Q1354" s="176"/>
      <c r="R1354" s="176"/>
      <c r="S1354" s="176"/>
      <c r="T1354" s="176"/>
      <c r="U1354" s="176"/>
      <c r="V1354" s="176"/>
      <c r="W1354" s="176"/>
      <c r="X1354" s="176"/>
      <c r="Y1354" s="176"/>
      <c r="Z1354" s="176"/>
    </row>
    <row r="1355">
      <c r="A1355" s="249"/>
      <c r="B1355" s="249"/>
      <c r="C1355" s="219"/>
      <c r="D1355" s="268"/>
      <c r="E1355" s="251"/>
      <c r="F1355" s="250"/>
      <c r="G1355" s="243"/>
      <c r="H1355" s="243"/>
      <c r="I1355" s="243"/>
      <c r="J1355" s="325"/>
      <c r="K1355" s="326"/>
      <c r="L1355" s="327"/>
      <c r="M1355" s="321"/>
      <c r="N1355" s="176"/>
      <c r="O1355" s="176"/>
      <c r="P1355" s="176"/>
      <c r="Q1355" s="176"/>
      <c r="R1355" s="176"/>
      <c r="S1355" s="176"/>
      <c r="T1355" s="176"/>
      <c r="U1355" s="176"/>
      <c r="V1355" s="176"/>
      <c r="W1355" s="176"/>
      <c r="X1355" s="176"/>
      <c r="Y1355" s="176"/>
      <c r="Z1355" s="176"/>
    </row>
    <row r="1356">
      <c r="A1356" s="249"/>
      <c r="B1356" s="249"/>
      <c r="C1356" s="219"/>
      <c r="D1356" s="268"/>
      <c r="E1356" s="251"/>
      <c r="F1356" s="250"/>
      <c r="G1356" s="243"/>
      <c r="H1356" s="243"/>
      <c r="I1356" s="243"/>
      <c r="J1356" s="325"/>
      <c r="K1356" s="326"/>
      <c r="L1356" s="327"/>
      <c r="M1356" s="321"/>
      <c r="N1356" s="176"/>
      <c r="O1356" s="176"/>
      <c r="P1356" s="176"/>
      <c r="Q1356" s="176"/>
      <c r="R1356" s="176"/>
      <c r="S1356" s="176"/>
      <c r="T1356" s="176"/>
      <c r="U1356" s="176"/>
      <c r="V1356" s="176"/>
      <c r="W1356" s="176"/>
      <c r="X1356" s="176"/>
      <c r="Y1356" s="176"/>
      <c r="Z1356" s="176"/>
    </row>
    <row r="1357">
      <c r="A1357" s="249"/>
      <c r="B1357" s="249"/>
      <c r="C1357" s="219"/>
      <c r="D1357" s="268"/>
      <c r="E1357" s="251"/>
      <c r="F1357" s="250"/>
      <c r="G1357" s="243"/>
      <c r="H1357" s="243"/>
      <c r="I1357" s="243"/>
      <c r="J1357" s="325"/>
      <c r="K1357" s="326"/>
      <c r="L1357" s="327"/>
      <c r="M1357" s="321"/>
      <c r="N1357" s="176"/>
      <c r="O1357" s="176"/>
      <c r="P1357" s="176"/>
      <c r="Q1357" s="176"/>
      <c r="R1357" s="176"/>
      <c r="S1357" s="176"/>
      <c r="T1357" s="176"/>
      <c r="U1357" s="176"/>
      <c r="V1357" s="176"/>
      <c r="W1357" s="176"/>
      <c r="X1357" s="176"/>
      <c r="Y1357" s="176"/>
      <c r="Z1357" s="176"/>
    </row>
    <row r="1358">
      <c r="A1358" s="249"/>
      <c r="B1358" s="249"/>
      <c r="C1358" s="219"/>
      <c r="D1358" s="268"/>
      <c r="E1358" s="251"/>
      <c r="F1358" s="250"/>
      <c r="G1358" s="243"/>
      <c r="H1358" s="243"/>
      <c r="I1358" s="243"/>
      <c r="J1358" s="325"/>
      <c r="K1358" s="326"/>
      <c r="L1358" s="327"/>
      <c r="M1358" s="321"/>
      <c r="N1358" s="176"/>
      <c r="O1358" s="176"/>
      <c r="P1358" s="176"/>
      <c r="Q1358" s="176"/>
      <c r="R1358" s="176"/>
      <c r="S1358" s="176"/>
      <c r="T1358" s="176"/>
      <c r="U1358" s="176"/>
      <c r="V1358" s="176"/>
      <c r="W1358" s="176"/>
      <c r="X1358" s="176"/>
      <c r="Y1358" s="176"/>
      <c r="Z1358" s="176"/>
    </row>
    <row r="1359">
      <c r="A1359" s="249"/>
      <c r="B1359" s="249"/>
      <c r="C1359" s="219"/>
      <c r="D1359" s="268"/>
      <c r="E1359" s="251"/>
      <c r="F1359" s="250"/>
      <c r="G1359" s="243"/>
      <c r="H1359" s="243"/>
      <c r="I1359" s="243"/>
      <c r="J1359" s="325"/>
      <c r="K1359" s="326"/>
      <c r="L1359" s="327"/>
      <c r="M1359" s="321"/>
      <c r="N1359" s="176"/>
      <c r="O1359" s="176"/>
      <c r="P1359" s="176"/>
      <c r="Q1359" s="176"/>
      <c r="R1359" s="176"/>
      <c r="S1359" s="176"/>
      <c r="T1359" s="176"/>
      <c r="U1359" s="176"/>
      <c r="V1359" s="176"/>
      <c r="W1359" s="176"/>
      <c r="X1359" s="176"/>
      <c r="Y1359" s="176"/>
      <c r="Z1359" s="176"/>
    </row>
    <row r="1360">
      <c r="A1360" s="249"/>
      <c r="B1360" s="249"/>
      <c r="C1360" s="219"/>
      <c r="D1360" s="268"/>
      <c r="E1360" s="251"/>
      <c r="F1360" s="250"/>
      <c r="G1360" s="243"/>
      <c r="H1360" s="243"/>
      <c r="I1360" s="243"/>
      <c r="J1360" s="325"/>
      <c r="K1360" s="326"/>
      <c r="L1360" s="327"/>
      <c r="M1360" s="321"/>
      <c r="N1360" s="176"/>
      <c r="O1360" s="176"/>
      <c r="P1360" s="176"/>
      <c r="Q1360" s="176"/>
      <c r="R1360" s="176"/>
      <c r="S1360" s="176"/>
      <c r="T1360" s="176"/>
      <c r="U1360" s="176"/>
      <c r="V1360" s="176"/>
      <c r="W1360" s="176"/>
      <c r="X1360" s="176"/>
      <c r="Y1360" s="176"/>
      <c r="Z1360" s="176"/>
    </row>
    <row r="1361">
      <c r="A1361" s="249"/>
      <c r="B1361" s="249"/>
      <c r="C1361" s="219"/>
      <c r="D1361" s="268"/>
      <c r="E1361" s="251"/>
      <c r="F1361" s="250"/>
      <c r="G1361" s="243"/>
      <c r="H1361" s="243"/>
      <c r="I1361" s="243"/>
      <c r="J1361" s="325"/>
      <c r="K1361" s="326"/>
      <c r="L1361" s="327"/>
      <c r="M1361" s="321"/>
      <c r="N1361" s="176"/>
      <c r="O1361" s="176"/>
      <c r="P1361" s="176"/>
      <c r="Q1361" s="176"/>
      <c r="R1361" s="176"/>
      <c r="S1361" s="176"/>
      <c r="T1361" s="176"/>
      <c r="U1361" s="176"/>
      <c r="V1361" s="176"/>
      <c r="W1361" s="176"/>
      <c r="X1361" s="176"/>
      <c r="Y1361" s="176"/>
      <c r="Z1361" s="176"/>
    </row>
    <row r="1362">
      <c r="A1362" s="249"/>
      <c r="B1362" s="249"/>
      <c r="C1362" s="219"/>
      <c r="D1362" s="268"/>
      <c r="E1362" s="251"/>
      <c r="F1362" s="250"/>
      <c r="G1362" s="243"/>
      <c r="H1362" s="243"/>
      <c r="I1362" s="243"/>
      <c r="J1362" s="325"/>
      <c r="K1362" s="326"/>
      <c r="L1362" s="327"/>
      <c r="M1362" s="321"/>
      <c r="N1362" s="176"/>
      <c r="O1362" s="176"/>
      <c r="P1362" s="176"/>
      <c r="Q1362" s="176"/>
      <c r="R1362" s="176"/>
      <c r="S1362" s="176"/>
      <c r="T1362" s="176"/>
      <c r="U1362" s="176"/>
      <c r="V1362" s="176"/>
      <c r="W1362" s="176"/>
      <c r="X1362" s="176"/>
      <c r="Y1362" s="176"/>
      <c r="Z1362" s="176"/>
    </row>
    <row r="1363">
      <c r="A1363" s="249"/>
      <c r="B1363" s="249"/>
      <c r="C1363" s="219"/>
      <c r="D1363" s="268"/>
      <c r="E1363" s="251"/>
      <c r="F1363" s="250"/>
      <c r="G1363" s="243"/>
      <c r="H1363" s="243"/>
      <c r="I1363" s="243"/>
      <c r="J1363" s="325"/>
      <c r="K1363" s="326"/>
      <c r="L1363" s="327"/>
      <c r="M1363" s="321"/>
      <c r="N1363" s="176"/>
      <c r="O1363" s="176"/>
      <c r="P1363" s="176"/>
      <c r="Q1363" s="176"/>
      <c r="R1363" s="176"/>
      <c r="S1363" s="176"/>
      <c r="T1363" s="176"/>
      <c r="U1363" s="176"/>
      <c r="V1363" s="176"/>
      <c r="W1363" s="176"/>
      <c r="X1363" s="176"/>
      <c r="Y1363" s="176"/>
      <c r="Z1363" s="176"/>
    </row>
    <row r="1364">
      <c r="A1364" s="249"/>
      <c r="B1364" s="249"/>
      <c r="C1364" s="219"/>
      <c r="D1364" s="268"/>
      <c r="E1364" s="251"/>
      <c r="F1364" s="250"/>
      <c r="G1364" s="243"/>
      <c r="H1364" s="243"/>
      <c r="I1364" s="243"/>
      <c r="J1364" s="325"/>
      <c r="K1364" s="326"/>
      <c r="L1364" s="327"/>
      <c r="M1364" s="321"/>
      <c r="N1364" s="176"/>
      <c r="O1364" s="176"/>
      <c r="P1364" s="176"/>
      <c r="Q1364" s="176"/>
      <c r="R1364" s="176"/>
      <c r="S1364" s="176"/>
      <c r="T1364" s="176"/>
      <c r="U1364" s="176"/>
      <c r="V1364" s="176"/>
      <c r="W1364" s="176"/>
      <c r="X1364" s="176"/>
      <c r="Y1364" s="176"/>
      <c r="Z1364" s="176"/>
    </row>
    <row r="1365">
      <c r="A1365" s="249"/>
      <c r="B1365" s="249"/>
      <c r="C1365" s="219"/>
      <c r="D1365" s="268"/>
      <c r="E1365" s="251"/>
      <c r="F1365" s="250"/>
      <c r="G1365" s="243"/>
      <c r="H1365" s="243"/>
      <c r="I1365" s="243"/>
      <c r="J1365" s="325"/>
      <c r="K1365" s="326"/>
      <c r="L1365" s="327"/>
      <c r="M1365" s="321"/>
      <c r="N1365" s="176"/>
      <c r="O1365" s="176"/>
      <c r="P1365" s="176"/>
      <c r="Q1365" s="176"/>
      <c r="R1365" s="176"/>
      <c r="S1365" s="176"/>
      <c r="T1365" s="176"/>
      <c r="U1365" s="176"/>
      <c r="V1365" s="176"/>
      <c r="W1365" s="176"/>
      <c r="X1365" s="176"/>
      <c r="Y1365" s="176"/>
      <c r="Z1365" s="176"/>
    </row>
    <row r="1366">
      <c r="A1366" s="249"/>
      <c r="B1366" s="249"/>
      <c r="C1366" s="219"/>
      <c r="D1366" s="268"/>
      <c r="E1366" s="251"/>
      <c r="F1366" s="250"/>
      <c r="G1366" s="243"/>
      <c r="H1366" s="243"/>
      <c r="I1366" s="243"/>
      <c r="J1366" s="325"/>
      <c r="K1366" s="326"/>
      <c r="L1366" s="327"/>
      <c r="M1366" s="321"/>
      <c r="N1366" s="176"/>
      <c r="O1366" s="176"/>
      <c r="P1366" s="176"/>
      <c r="Q1366" s="176"/>
      <c r="R1366" s="176"/>
      <c r="S1366" s="176"/>
      <c r="T1366" s="176"/>
      <c r="U1366" s="176"/>
      <c r="V1366" s="176"/>
      <c r="W1366" s="176"/>
      <c r="X1366" s="176"/>
      <c r="Y1366" s="176"/>
      <c r="Z1366" s="176"/>
    </row>
    <row r="1367">
      <c r="A1367" s="249"/>
      <c r="B1367" s="249"/>
      <c r="C1367" s="219"/>
      <c r="D1367" s="268"/>
      <c r="E1367" s="251"/>
      <c r="F1367" s="250"/>
      <c r="G1367" s="243"/>
      <c r="H1367" s="243"/>
      <c r="I1367" s="243"/>
      <c r="J1367" s="325"/>
      <c r="K1367" s="326"/>
      <c r="L1367" s="327"/>
      <c r="M1367" s="321"/>
      <c r="N1367" s="176"/>
      <c r="O1367" s="176"/>
      <c r="P1367" s="176"/>
      <c r="Q1367" s="176"/>
      <c r="R1367" s="176"/>
      <c r="S1367" s="176"/>
      <c r="T1367" s="176"/>
      <c r="U1367" s="176"/>
      <c r="V1367" s="176"/>
      <c r="W1367" s="176"/>
      <c r="X1367" s="176"/>
      <c r="Y1367" s="176"/>
      <c r="Z1367" s="176"/>
    </row>
    <row r="1368">
      <c r="A1368" s="249"/>
      <c r="B1368" s="249"/>
      <c r="C1368" s="219"/>
      <c r="D1368" s="268"/>
      <c r="E1368" s="251"/>
      <c r="F1368" s="250"/>
      <c r="G1368" s="243"/>
      <c r="H1368" s="243"/>
      <c r="I1368" s="243"/>
      <c r="J1368" s="325"/>
      <c r="K1368" s="326"/>
      <c r="L1368" s="327"/>
      <c r="M1368" s="321"/>
      <c r="N1368" s="176"/>
      <c r="O1368" s="176"/>
      <c r="P1368" s="176"/>
      <c r="Q1368" s="176"/>
      <c r="R1368" s="176"/>
      <c r="S1368" s="176"/>
      <c r="T1368" s="176"/>
      <c r="U1368" s="176"/>
      <c r="V1368" s="176"/>
      <c r="W1368" s="176"/>
      <c r="X1368" s="176"/>
      <c r="Y1368" s="176"/>
      <c r="Z1368" s="176"/>
    </row>
    <row r="1369">
      <c r="A1369" s="249"/>
      <c r="B1369" s="249"/>
      <c r="C1369" s="219"/>
      <c r="D1369" s="268"/>
      <c r="E1369" s="251"/>
      <c r="F1369" s="250"/>
      <c r="G1369" s="243"/>
      <c r="H1369" s="243"/>
      <c r="I1369" s="243"/>
      <c r="J1369" s="325"/>
      <c r="K1369" s="326"/>
      <c r="L1369" s="327"/>
      <c r="M1369" s="321"/>
      <c r="N1369" s="176"/>
      <c r="O1369" s="176"/>
      <c r="P1369" s="176"/>
      <c r="Q1369" s="176"/>
      <c r="R1369" s="176"/>
      <c r="S1369" s="176"/>
      <c r="T1369" s="176"/>
      <c r="U1369" s="176"/>
      <c r="V1369" s="176"/>
      <c r="W1369" s="176"/>
      <c r="X1369" s="176"/>
      <c r="Y1369" s="176"/>
      <c r="Z1369" s="176"/>
    </row>
    <row r="1370">
      <c r="A1370" s="249"/>
      <c r="B1370" s="249"/>
      <c r="C1370" s="219"/>
      <c r="D1370" s="268"/>
      <c r="E1370" s="251"/>
      <c r="F1370" s="250"/>
      <c r="G1370" s="243"/>
      <c r="H1370" s="243"/>
      <c r="I1370" s="243"/>
      <c r="J1370" s="325"/>
      <c r="K1370" s="326"/>
      <c r="L1370" s="327"/>
      <c r="M1370" s="321"/>
      <c r="N1370" s="176"/>
      <c r="O1370" s="176"/>
      <c r="P1370" s="176"/>
      <c r="Q1370" s="176"/>
      <c r="R1370" s="176"/>
      <c r="S1370" s="176"/>
      <c r="T1370" s="176"/>
      <c r="U1370" s="176"/>
      <c r="V1370" s="176"/>
      <c r="W1370" s="176"/>
      <c r="X1370" s="176"/>
      <c r="Y1370" s="176"/>
      <c r="Z1370" s="176"/>
    </row>
    <row r="1371">
      <c r="A1371" s="249"/>
      <c r="B1371" s="249"/>
      <c r="C1371" s="219"/>
      <c r="D1371" s="268"/>
      <c r="E1371" s="251"/>
      <c r="F1371" s="250"/>
      <c r="G1371" s="243"/>
      <c r="H1371" s="243"/>
      <c r="I1371" s="243"/>
      <c r="J1371" s="325"/>
      <c r="K1371" s="326"/>
      <c r="L1371" s="327"/>
      <c r="M1371" s="321"/>
      <c r="N1371" s="176"/>
      <c r="O1371" s="176"/>
      <c r="P1371" s="176"/>
      <c r="Q1371" s="176"/>
      <c r="R1371" s="176"/>
      <c r="S1371" s="176"/>
      <c r="T1371" s="176"/>
      <c r="U1371" s="176"/>
      <c r="V1371" s="176"/>
      <c r="W1371" s="176"/>
      <c r="X1371" s="176"/>
      <c r="Y1371" s="176"/>
      <c r="Z1371" s="176"/>
    </row>
    <row r="1372">
      <c r="A1372" s="249"/>
      <c r="B1372" s="249"/>
      <c r="C1372" s="219"/>
      <c r="D1372" s="268"/>
      <c r="E1372" s="251"/>
      <c r="F1372" s="250"/>
      <c r="G1372" s="243"/>
      <c r="H1372" s="243"/>
      <c r="I1372" s="243"/>
      <c r="J1372" s="325"/>
      <c r="K1372" s="326"/>
      <c r="L1372" s="327"/>
      <c r="M1372" s="321"/>
      <c r="N1372" s="176"/>
      <c r="O1372" s="176"/>
      <c r="P1372" s="176"/>
      <c r="Q1372" s="176"/>
      <c r="R1372" s="176"/>
      <c r="S1372" s="176"/>
      <c r="T1372" s="176"/>
      <c r="U1372" s="176"/>
      <c r="V1372" s="176"/>
      <c r="W1372" s="176"/>
      <c r="X1372" s="176"/>
      <c r="Y1372" s="176"/>
      <c r="Z1372" s="176"/>
    </row>
    <row r="1373">
      <c r="A1373" s="249"/>
      <c r="B1373" s="249"/>
      <c r="C1373" s="219"/>
      <c r="D1373" s="268"/>
      <c r="E1373" s="251"/>
      <c r="F1373" s="250"/>
      <c r="G1373" s="243"/>
      <c r="H1373" s="243"/>
      <c r="I1373" s="243"/>
      <c r="J1373" s="325"/>
      <c r="K1373" s="326"/>
      <c r="L1373" s="327"/>
      <c r="M1373" s="321"/>
      <c r="N1373" s="176"/>
      <c r="O1373" s="176"/>
      <c r="P1373" s="176"/>
      <c r="Q1373" s="176"/>
      <c r="R1373" s="176"/>
      <c r="S1373" s="176"/>
      <c r="T1373" s="176"/>
      <c r="U1373" s="176"/>
      <c r="V1373" s="176"/>
      <c r="W1373" s="176"/>
      <c r="X1373" s="176"/>
      <c r="Y1373" s="176"/>
      <c r="Z1373" s="176"/>
    </row>
    <row r="1374">
      <c r="A1374" s="249"/>
      <c r="B1374" s="249"/>
      <c r="C1374" s="219"/>
      <c r="D1374" s="268"/>
      <c r="E1374" s="251"/>
      <c r="F1374" s="250"/>
      <c r="G1374" s="243"/>
      <c r="H1374" s="243"/>
      <c r="I1374" s="243"/>
      <c r="J1374" s="325"/>
      <c r="K1374" s="326"/>
      <c r="L1374" s="327"/>
      <c r="M1374" s="321"/>
      <c r="N1374" s="176"/>
      <c r="O1374" s="176"/>
      <c r="P1374" s="176"/>
      <c r="Q1374" s="176"/>
      <c r="R1374" s="176"/>
      <c r="S1374" s="176"/>
      <c r="T1374" s="176"/>
      <c r="U1374" s="176"/>
      <c r="V1374" s="176"/>
      <c r="W1374" s="176"/>
      <c r="X1374" s="176"/>
      <c r="Y1374" s="176"/>
      <c r="Z1374" s="176"/>
    </row>
    <row r="1375">
      <c r="A1375" s="249"/>
      <c r="B1375" s="249"/>
      <c r="C1375" s="219"/>
      <c r="D1375" s="268"/>
      <c r="E1375" s="251"/>
      <c r="F1375" s="250"/>
      <c r="G1375" s="243"/>
      <c r="H1375" s="243"/>
      <c r="I1375" s="243"/>
      <c r="J1375" s="325"/>
      <c r="K1375" s="326"/>
      <c r="L1375" s="327"/>
      <c r="M1375" s="321"/>
      <c r="N1375" s="176"/>
      <c r="O1375" s="176"/>
      <c r="P1375" s="176"/>
      <c r="Q1375" s="176"/>
      <c r="R1375" s="176"/>
      <c r="S1375" s="176"/>
      <c r="T1375" s="176"/>
      <c r="U1375" s="176"/>
      <c r="V1375" s="176"/>
      <c r="W1375" s="176"/>
      <c r="X1375" s="176"/>
      <c r="Y1375" s="176"/>
      <c r="Z1375" s="176"/>
    </row>
    <row r="1376">
      <c r="A1376" s="249"/>
      <c r="B1376" s="249"/>
      <c r="C1376" s="219"/>
      <c r="D1376" s="268"/>
      <c r="E1376" s="251"/>
      <c r="F1376" s="250"/>
      <c r="G1376" s="243"/>
      <c r="H1376" s="243"/>
      <c r="I1376" s="243"/>
      <c r="J1376" s="325"/>
      <c r="K1376" s="326"/>
      <c r="L1376" s="327"/>
      <c r="M1376" s="321"/>
      <c r="N1376" s="176"/>
      <c r="O1376" s="176"/>
      <c r="P1376" s="176"/>
      <c r="Q1376" s="176"/>
      <c r="R1376" s="176"/>
      <c r="S1376" s="176"/>
      <c r="T1376" s="176"/>
      <c r="U1376" s="176"/>
      <c r="V1376" s="176"/>
      <c r="W1376" s="176"/>
      <c r="X1376" s="176"/>
      <c r="Y1376" s="176"/>
      <c r="Z1376" s="176"/>
    </row>
    <row r="1377">
      <c r="A1377" s="249"/>
      <c r="B1377" s="249"/>
      <c r="C1377" s="219"/>
      <c r="D1377" s="268"/>
      <c r="E1377" s="251"/>
      <c r="F1377" s="250"/>
      <c r="G1377" s="243"/>
      <c r="H1377" s="243"/>
      <c r="I1377" s="243"/>
      <c r="J1377" s="325"/>
      <c r="K1377" s="326"/>
      <c r="L1377" s="327"/>
      <c r="M1377" s="321"/>
      <c r="N1377" s="176"/>
      <c r="O1377" s="176"/>
      <c r="P1377" s="176"/>
      <c r="Q1377" s="176"/>
      <c r="R1377" s="176"/>
      <c r="S1377" s="176"/>
      <c r="T1377" s="176"/>
      <c r="U1377" s="176"/>
      <c r="V1377" s="176"/>
      <c r="W1377" s="176"/>
      <c r="X1377" s="176"/>
      <c r="Y1377" s="176"/>
      <c r="Z1377" s="176"/>
    </row>
    <row r="1378">
      <c r="A1378" s="249"/>
      <c r="B1378" s="249"/>
      <c r="C1378" s="219"/>
      <c r="D1378" s="268"/>
      <c r="E1378" s="251"/>
      <c r="F1378" s="250"/>
      <c r="G1378" s="243"/>
      <c r="H1378" s="243"/>
      <c r="I1378" s="243"/>
      <c r="J1378" s="325"/>
      <c r="K1378" s="326"/>
      <c r="L1378" s="327"/>
      <c r="M1378" s="321"/>
      <c r="N1378" s="176"/>
      <c r="O1378" s="176"/>
      <c r="P1378" s="176"/>
      <c r="Q1378" s="176"/>
      <c r="R1378" s="176"/>
      <c r="S1378" s="176"/>
      <c r="T1378" s="176"/>
      <c r="U1378" s="176"/>
      <c r="V1378" s="176"/>
      <c r="W1378" s="176"/>
      <c r="X1378" s="176"/>
      <c r="Y1378" s="176"/>
      <c r="Z1378" s="176"/>
    </row>
    <row r="1379">
      <c r="A1379" s="249"/>
      <c r="B1379" s="249"/>
      <c r="C1379" s="219"/>
      <c r="D1379" s="268"/>
      <c r="E1379" s="251"/>
      <c r="F1379" s="250"/>
      <c r="G1379" s="243"/>
      <c r="H1379" s="243"/>
      <c r="I1379" s="243"/>
      <c r="J1379" s="325"/>
      <c r="K1379" s="326"/>
      <c r="L1379" s="327"/>
      <c r="M1379" s="321"/>
      <c r="N1379" s="176"/>
      <c r="O1379" s="176"/>
      <c r="P1379" s="176"/>
      <c r="Q1379" s="176"/>
      <c r="R1379" s="176"/>
      <c r="S1379" s="176"/>
      <c r="T1379" s="176"/>
      <c r="U1379" s="176"/>
      <c r="V1379" s="176"/>
      <c r="W1379" s="176"/>
      <c r="X1379" s="176"/>
      <c r="Y1379" s="176"/>
      <c r="Z1379" s="176"/>
    </row>
    <row r="1380">
      <c r="A1380" s="249"/>
      <c r="B1380" s="249"/>
      <c r="C1380" s="219"/>
      <c r="D1380" s="268"/>
      <c r="E1380" s="251"/>
      <c r="F1380" s="250"/>
      <c r="G1380" s="243"/>
      <c r="H1380" s="243"/>
      <c r="I1380" s="243"/>
      <c r="J1380" s="325"/>
      <c r="K1380" s="326"/>
      <c r="L1380" s="327"/>
      <c r="M1380" s="321"/>
      <c r="N1380" s="176"/>
      <c r="O1380" s="176"/>
      <c r="P1380" s="176"/>
      <c r="Q1380" s="176"/>
      <c r="R1380" s="176"/>
      <c r="S1380" s="176"/>
      <c r="T1380" s="176"/>
      <c r="U1380" s="176"/>
      <c r="V1380" s="176"/>
      <c r="W1380" s="176"/>
      <c r="X1380" s="176"/>
      <c r="Y1380" s="176"/>
      <c r="Z1380" s="176"/>
    </row>
    <row r="1381">
      <c r="A1381" s="249"/>
      <c r="B1381" s="249"/>
      <c r="C1381" s="219"/>
      <c r="D1381" s="268"/>
      <c r="E1381" s="251"/>
      <c r="F1381" s="250"/>
      <c r="G1381" s="243"/>
      <c r="H1381" s="243"/>
      <c r="I1381" s="243"/>
      <c r="J1381" s="325"/>
      <c r="K1381" s="326"/>
      <c r="L1381" s="327"/>
      <c r="M1381" s="321"/>
      <c r="N1381" s="176"/>
      <c r="O1381" s="176"/>
      <c r="P1381" s="176"/>
      <c r="Q1381" s="176"/>
      <c r="R1381" s="176"/>
      <c r="S1381" s="176"/>
      <c r="T1381" s="176"/>
      <c r="U1381" s="176"/>
      <c r="V1381" s="176"/>
      <c r="W1381" s="176"/>
      <c r="X1381" s="176"/>
      <c r="Y1381" s="176"/>
      <c r="Z1381" s="176"/>
    </row>
    <row r="1382">
      <c r="A1382" s="249"/>
      <c r="B1382" s="249"/>
      <c r="C1382" s="219"/>
      <c r="D1382" s="268"/>
      <c r="E1382" s="251"/>
      <c r="F1382" s="250"/>
      <c r="G1382" s="243"/>
      <c r="H1382" s="243"/>
      <c r="I1382" s="243"/>
      <c r="J1382" s="325"/>
      <c r="K1382" s="326"/>
      <c r="L1382" s="327"/>
      <c r="M1382" s="321"/>
      <c r="N1382" s="176"/>
      <c r="O1382" s="176"/>
      <c r="P1382" s="176"/>
      <c r="Q1382" s="176"/>
      <c r="R1382" s="176"/>
      <c r="S1382" s="176"/>
      <c r="T1382" s="176"/>
      <c r="U1382" s="176"/>
      <c r="V1382" s="176"/>
      <c r="W1382" s="176"/>
      <c r="X1382" s="176"/>
      <c r="Y1382" s="176"/>
      <c r="Z1382" s="176"/>
    </row>
    <row r="1383">
      <c r="A1383" s="249"/>
      <c r="B1383" s="249"/>
      <c r="C1383" s="219"/>
      <c r="D1383" s="268"/>
      <c r="E1383" s="251"/>
      <c r="F1383" s="250"/>
      <c r="G1383" s="243"/>
      <c r="H1383" s="243"/>
      <c r="I1383" s="243"/>
      <c r="J1383" s="325"/>
      <c r="K1383" s="326"/>
      <c r="L1383" s="327"/>
      <c r="M1383" s="321"/>
      <c r="N1383" s="176"/>
      <c r="O1383" s="176"/>
      <c r="P1383" s="176"/>
      <c r="Q1383" s="176"/>
      <c r="R1383" s="176"/>
      <c r="S1383" s="176"/>
      <c r="T1383" s="176"/>
      <c r="U1383" s="176"/>
      <c r="V1383" s="176"/>
      <c r="W1383" s="176"/>
      <c r="X1383" s="176"/>
      <c r="Y1383" s="176"/>
      <c r="Z1383" s="176"/>
    </row>
    <row r="1384">
      <c r="A1384" s="249"/>
      <c r="B1384" s="249"/>
      <c r="C1384" s="219"/>
      <c r="D1384" s="268"/>
      <c r="E1384" s="251"/>
      <c r="F1384" s="250"/>
      <c r="G1384" s="243"/>
      <c r="H1384" s="243"/>
      <c r="I1384" s="243"/>
      <c r="J1384" s="325"/>
      <c r="K1384" s="326"/>
      <c r="L1384" s="327"/>
      <c r="M1384" s="321"/>
      <c r="N1384" s="176"/>
      <c r="O1384" s="176"/>
      <c r="P1384" s="176"/>
      <c r="Q1384" s="176"/>
      <c r="R1384" s="176"/>
      <c r="S1384" s="176"/>
      <c r="T1384" s="176"/>
      <c r="U1384" s="176"/>
      <c r="V1384" s="176"/>
      <c r="W1384" s="176"/>
      <c r="X1384" s="176"/>
      <c r="Y1384" s="176"/>
      <c r="Z1384" s="176"/>
    </row>
    <row r="1385">
      <c r="A1385" s="249"/>
      <c r="B1385" s="249"/>
      <c r="C1385" s="219"/>
      <c r="D1385" s="268"/>
      <c r="E1385" s="251"/>
      <c r="F1385" s="250"/>
      <c r="G1385" s="243"/>
      <c r="H1385" s="243"/>
      <c r="I1385" s="243"/>
      <c r="J1385" s="325"/>
      <c r="K1385" s="326"/>
      <c r="L1385" s="327"/>
      <c r="M1385" s="321"/>
      <c r="N1385" s="176"/>
      <c r="O1385" s="176"/>
      <c r="P1385" s="176"/>
      <c r="Q1385" s="176"/>
      <c r="R1385" s="176"/>
      <c r="S1385" s="176"/>
      <c r="T1385" s="176"/>
      <c r="U1385" s="176"/>
      <c r="V1385" s="176"/>
      <c r="W1385" s="176"/>
      <c r="X1385" s="176"/>
      <c r="Y1385" s="176"/>
      <c r="Z1385" s="176"/>
    </row>
    <row r="1386">
      <c r="A1386" s="249"/>
      <c r="B1386" s="249"/>
      <c r="C1386" s="219"/>
      <c r="D1386" s="268"/>
      <c r="E1386" s="251"/>
      <c r="F1386" s="250"/>
      <c r="G1386" s="243"/>
      <c r="H1386" s="243"/>
      <c r="I1386" s="243"/>
      <c r="J1386" s="325"/>
      <c r="K1386" s="326"/>
      <c r="L1386" s="327"/>
      <c r="M1386" s="321"/>
      <c r="N1386" s="176"/>
      <c r="O1386" s="176"/>
      <c r="P1386" s="176"/>
      <c r="Q1386" s="176"/>
      <c r="R1386" s="176"/>
      <c r="S1386" s="176"/>
      <c r="T1386" s="176"/>
      <c r="U1386" s="176"/>
      <c r="V1386" s="176"/>
      <c r="W1386" s="176"/>
      <c r="X1386" s="176"/>
      <c r="Y1386" s="176"/>
      <c r="Z1386" s="176"/>
    </row>
    <row r="1387">
      <c r="A1387" s="249"/>
      <c r="B1387" s="249"/>
      <c r="C1387" s="219"/>
      <c r="D1387" s="268"/>
      <c r="E1387" s="251"/>
      <c r="F1387" s="250"/>
      <c r="G1387" s="243"/>
      <c r="H1387" s="243"/>
      <c r="I1387" s="243"/>
      <c r="J1387" s="325"/>
      <c r="K1387" s="326"/>
      <c r="L1387" s="327"/>
      <c r="M1387" s="321"/>
      <c r="N1387" s="176"/>
      <c r="O1387" s="176"/>
      <c r="P1387" s="176"/>
      <c r="Q1387" s="176"/>
      <c r="R1387" s="176"/>
      <c r="S1387" s="176"/>
      <c r="T1387" s="176"/>
      <c r="U1387" s="176"/>
      <c r="V1387" s="176"/>
      <c r="W1387" s="176"/>
      <c r="X1387" s="176"/>
      <c r="Y1387" s="176"/>
      <c r="Z1387" s="176"/>
    </row>
    <row r="1388">
      <c r="A1388" s="249"/>
      <c r="B1388" s="249"/>
      <c r="C1388" s="219"/>
      <c r="D1388" s="268"/>
      <c r="E1388" s="251"/>
      <c r="F1388" s="250"/>
      <c r="G1388" s="243"/>
      <c r="H1388" s="243"/>
      <c r="I1388" s="243"/>
      <c r="J1388" s="325"/>
      <c r="K1388" s="326"/>
      <c r="L1388" s="327"/>
      <c r="M1388" s="321"/>
      <c r="N1388" s="176"/>
      <c r="O1388" s="176"/>
      <c r="P1388" s="176"/>
      <c r="Q1388" s="176"/>
      <c r="R1388" s="176"/>
      <c r="S1388" s="176"/>
      <c r="T1388" s="176"/>
      <c r="U1388" s="176"/>
      <c r="V1388" s="176"/>
      <c r="W1388" s="176"/>
      <c r="X1388" s="176"/>
      <c r="Y1388" s="176"/>
      <c r="Z1388" s="176"/>
    </row>
    <row r="1389">
      <c r="A1389" s="249"/>
      <c r="B1389" s="249"/>
      <c r="C1389" s="219"/>
      <c r="D1389" s="268"/>
      <c r="E1389" s="251"/>
      <c r="F1389" s="250"/>
      <c r="G1389" s="243"/>
      <c r="H1389" s="243"/>
      <c r="I1389" s="243"/>
      <c r="J1389" s="325"/>
      <c r="K1389" s="326"/>
      <c r="L1389" s="327"/>
      <c r="M1389" s="321"/>
      <c r="N1389" s="176"/>
      <c r="O1389" s="176"/>
      <c r="P1389" s="176"/>
      <c r="Q1389" s="176"/>
      <c r="R1389" s="176"/>
      <c r="S1389" s="176"/>
      <c r="T1389" s="176"/>
      <c r="U1389" s="176"/>
      <c r="V1389" s="176"/>
      <c r="W1389" s="176"/>
      <c r="X1389" s="176"/>
      <c r="Y1389" s="176"/>
      <c r="Z1389" s="176"/>
    </row>
    <row r="1390">
      <c r="A1390" s="249"/>
      <c r="B1390" s="249"/>
      <c r="C1390" s="219"/>
      <c r="D1390" s="268"/>
      <c r="E1390" s="251"/>
      <c r="F1390" s="250"/>
      <c r="G1390" s="243"/>
      <c r="H1390" s="243"/>
      <c r="I1390" s="243"/>
      <c r="J1390" s="325"/>
      <c r="K1390" s="326"/>
      <c r="L1390" s="327"/>
      <c r="M1390" s="321"/>
      <c r="N1390" s="176"/>
      <c r="O1390" s="176"/>
      <c r="P1390" s="176"/>
      <c r="Q1390" s="176"/>
      <c r="R1390" s="176"/>
      <c r="S1390" s="176"/>
      <c r="T1390" s="176"/>
      <c r="U1390" s="176"/>
      <c r="V1390" s="176"/>
      <c r="W1390" s="176"/>
      <c r="X1390" s="176"/>
      <c r="Y1390" s="176"/>
      <c r="Z1390" s="176"/>
    </row>
    <row r="1391">
      <c r="A1391" s="249"/>
      <c r="B1391" s="249"/>
      <c r="C1391" s="219"/>
      <c r="D1391" s="268"/>
      <c r="E1391" s="251"/>
      <c r="F1391" s="250"/>
      <c r="G1391" s="243"/>
      <c r="H1391" s="243"/>
      <c r="I1391" s="243"/>
      <c r="J1391" s="325"/>
      <c r="K1391" s="326"/>
      <c r="L1391" s="327"/>
      <c r="M1391" s="321"/>
      <c r="N1391" s="176"/>
      <c r="O1391" s="176"/>
      <c r="P1391" s="176"/>
      <c r="Q1391" s="176"/>
      <c r="R1391" s="176"/>
      <c r="S1391" s="176"/>
      <c r="T1391" s="176"/>
      <c r="U1391" s="176"/>
      <c r="V1391" s="176"/>
      <c r="W1391" s="176"/>
      <c r="X1391" s="176"/>
      <c r="Y1391" s="176"/>
      <c r="Z1391" s="176"/>
    </row>
    <row r="1392">
      <c r="A1392" s="249"/>
      <c r="B1392" s="249"/>
      <c r="C1392" s="219"/>
      <c r="D1392" s="268"/>
      <c r="E1392" s="251"/>
      <c r="F1392" s="250"/>
      <c r="G1392" s="243"/>
      <c r="H1392" s="243"/>
      <c r="I1392" s="243"/>
      <c r="J1392" s="325"/>
      <c r="K1392" s="326"/>
      <c r="L1392" s="327"/>
      <c r="M1392" s="321"/>
      <c r="N1392" s="176"/>
      <c r="O1392" s="176"/>
      <c r="P1392" s="176"/>
      <c r="Q1392" s="176"/>
      <c r="R1392" s="176"/>
      <c r="S1392" s="176"/>
      <c r="T1392" s="176"/>
      <c r="U1392" s="176"/>
      <c r="V1392" s="176"/>
      <c r="W1392" s="176"/>
      <c r="X1392" s="176"/>
      <c r="Y1392" s="176"/>
      <c r="Z1392" s="176"/>
    </row>
    <row r="1393">
      <c r="A1393" s="249"/>
      <c r="B1393" s="249"/>
      <c r="C1393" s="219"/>
      <c r="D1393" s="268"/>
      <c r="E1393" s="251"/>
      <c r="F1393" s="250"/>
      <c r="G1393" s="243"/>
      <c r="H1393" s="243"/>
      <c r="I1393" s="243"/>
      <c r="J1393" s="325"/>
      <c r="K1393" s="326"/>
      <c r="L1393" s="327"/>
      <c r="M1393" s="321"/>
      <c r="N1393" s="176"/>
      <c r="O1393" s="176"/>
      <c r="P1393" s="176"/>
      <c r="Q1393" s="176"/>
      <c r="R1393" s="176"/>
      <c r="S1393" s="176"/>
      <c r="T1393" s="176"/>
      <c r="U1393" s="176"/>
      <c r="V1393" s="176"/>
      <c r="W1393" s="176"/>
      <c r="X1393" s="176"/>
      <c r="Y1393" s="176"/>
      <c r="Z1393" s="176"/>
    </row>
    <row r="1394">
      <c r="A1394" s="249"/>
      <c r="B1394" s="249"/>
      <c r="C1394" s="219"/>
      <c r="D1394" s="268"/>
      <c r="E1394" s="251"/>
      <c r="F1394" s="250"/>
      <c r="G1394" s="243"/>
      <c r="H1394" s="243"/>
      <c r="I1394" s="243"/>
      <c r="J1394" s="325"/>
      <c r="K1394" s="326"/>
      <c r="L1394" s="327"/>
      <c r="M1394" s="321"/>
      <c r="N1394" s="176"/>
      <c r="O1394" s="176"/>
      <c r="P1394" s="176"/>
      <c r="Q1394" s="176"/>
      <c r="R1394" s="176"/>
      <c r="S1394" s="176"/>
      <c r="T1394" s="176"/>
      <c r="U1394" s="176"/>
      <c r="V1394" s="176"/>
      <c r="W1394" s="176"/>
      <c r="X1394" s="176"/>
      <c r="Y1394" s="176"/>
      <c r="Z1394" s="176"/>
    </row>
    <row r="1395">
      <c r="A1395" s="249"/>
      <c r="B1395" s="249"/>
      <c r="C1395" s="219"/>
      <c r="D1395" s="268"/>
      <c r="E1395" s="251"/>
      <c r="F1395" s="250"/>
      <c r="G1395" s="243"/>
      <c r="H1395" s="243"/>
      <c r="I1395" s="243"/>
      <c r="J1395" s="325"/>
      <c r="K1395" s="326"/>
      <c r="L1395" s="327"/>
      <c r="M1395" s="321"/>
      <c r="N1395" s="176"/>
      <c r="O1395" s="176"/>
      <c r="P1395" s="176"/>
      <c r="Q1395" s="176"/>
      <c r="R1395" s="176"/>
      <c r="S1395" s="176"/>
      <c r="T1395" s="176"/>
      <c r="U1395" s="176"/>
      <c r="V1395" s="176"/>
      <c r="W1395" s="176"/>
      <c r="X1395" s="176"/>
      <c r="Y1395" s="176"/>
      <c r="Z1395" s="176"/>
    </row>
    <row r="1396">
      <c r="A1396" s="249"/>
      <c r="B1396" s="249"/>
      <c r="C1396" s="219"/>
      <c r="D1396" s="268"/>
      <c r="E1396" s="251"/>
      <c r="F1396" s="250"/>
      <c r="G1396" s="243"/>
      <c r="H1396" s="243"/>
      <c r="I1396" s="243"/>
      <c r="J1396" s="325"/>
      <c r="K1396" s="326"/>
      <c r="L1396" s="327"/>
      <c r="M1396" s="321"/>
      <c r="N1396" s="176"/>
      <c r="O1396" s="176"/>
      <c r="P1396" s="176"/>
      <c r="Q1396" s="176"/>
      <c r="R1396" s="176"/>
      <c r="S1396" s="176"/>
      <c r="T1396" s="176"/>
      <c r="U1396" s="176"/>
      <c r="V1396" s="176"/>
      <c r="W1396" s="176"/>
      <c r="X1396" s="176"/>
      <c r="Y1396" s="176"/>
      <c r="Z1396" s="176"/>
    </row>
    <row r="1397">
      <c r="A1397" s="249"/>
      <c r="B1397" s="249"/>
      <c r="C1397" s="219"/>
      <c r="D1397" s="268"/>
      <c r="E1397" s="251"/>
      <c r="F1397" s="250"/>
      <c r="G1397" s="243"/>
      <c r="H1397" s="243"/>
      <c r="I1397" s="243"/>
      <c r="J1397" s="325"/>
      <c r="K1397" s="326"/>
      <c r="L1397" s="327"/>
      <c r="M1397" s="321"/>
      <c r="N1397" s="176"/>
      <c r="O1397" s="176"/>
      <c r="P1397" s="176"/>
      <c r="Q1397" s="176"/>
      <c r="R1397" s="176"/>
      <c r="S1397" s="176"/>
      <c r="T1397" s="176"/>
      <c r="U1397" s="176"/>
      <c r="V1397" s="176"/>
      <c r="W1397" s="176"/>
      <c r="X1397" s="176"/>
      <c r="Y1397" s="176"/>
      <c r="Z1397" s="176"/>
    </row>
    <row r="1398">
      <c r="A1398" s="249"/>
      <c r="B1398" s="249"/>
      <c r="C1398" s="219"/>
      <c r="D1398" s="268"/>
      <c r="E1398" s="251"/>
      <c r="F1398" s="250"/>
      <c r="G1398" s="243"/>
      <c r="H1398" s="243"/>
      <c r="I1398" s="243"/>
      <c r="J1398" s="325"/>
      <c r="K1398" s="326"/>
      <c r="L1398" s="327"/>
      <c r="M1398" s="321"/>
      <c r="N1398" s="176"/>
      <c r="O1398" s="176"/>
      <c r="P1398" s="176"/>
      <c r="Q1398" s="176"/>
      <c r="R1398" s="176"/>
      <c r="S1398" s="176"/>
      <c r="T1398" s="176"/>
      <c r="U1398" s="176"/>
      <c r="V1398" s="176"/>
      <c r="W1398" s="176"/>
      <c r="X1398" s="176"/>
      <c r="Y1398" s="176"/>
      <c r="Z1398" s="176"/>
    </row>
    <row r="1399">
      <c r="A1399" s="249"/>
      <c r="B1399" s="249"/>
      <c r="C1399" s="219"/>
      <c r="D1399" s="268"/>
      <c r="E1399" s="251"/>
      <c r="F1399" s="250"/>
      <c r="G1399" s="243"/>
      <c r="H1399" s="243"/>
      <c r="I1399" s="243"/>
      <c r="J1399" s="325"/>
      <c r="K1399" s="326"/>
      <c r="L1399" s="327"/>
      <c r="M1399" s="321"/>
      <c r="N1399" s="176"/>
      <c r="O1399" s="176"/>
      <c r="P1399" s="176"/>
      <c r="Q1399" s="176"/>
      <c r="R1399" s="176"/>
      <c r="S1399" s="176"/>
      <c r="T1399" s="176"/>
      <c r="U1399" s="176"/>
      <c r="V1399" s="176"/>
      <c r="W1399" s="176"/>
      <c r="X1399" s="176"/>
      <c r="Y1399" s="176"/>
      <c r="Z1399" s="176"/>
    </row>
    <row r="1400">
      <c r="A1400" s="249"/>
      <c r="B1400" s="249"/>
      <c r="C1400" s="219"/>
      <c r="D1400" s="268"/>
      <c r="E1400" s="251"/>
      <c r="F1400" s="250"/>
      <c r="G1400" s="243"/>
      <c r="H1400" s="243"/>
      <c r="I1400" s="243"/>
      <c r="J1400" s="325"/>
      <c r="K1400" s="326"/>
      <c r="L1400" s="327"/>
      <c r="M1400" s="321"/>
      <c r="N1400" s="176"/>
      <c r="O1400" s="176"/>
      <c r="P1400" s="176"/>
      <c r="Q1400" s="176"/>
      <c r="R1400" s="176"/>
      <c r="S1400" s="176"/>
      <c r="T1400" s="176"/>
      <c r="U1400" s="176"/>
      <c r="V1400" s="176"/>
      <c r="W1400" s="176"/>
      <c r="X1400" s="176"/>
      <c r="Y1400" s="176"/>
      <c r="Z1400" s="176"/>
    </row>
    <row r="1401">
      <c r="A1401" s="249"/>
      <c r="B1401" s="249"/>
      <c r="C1401" s="219"/>
      <c r="D1401" s="268"/>
      <c r="E1401" s="251"/>
      <c r="F1401" s="250"/>
      <c r="G1401" s="243"/>
      <c r="H1401" s="243"/>
      <c r="I1401" s="243"/>
      <c r="J1401" s="325"/>
      <c r="K1401" s="326"/>
      <c r="L1401" s="327"/>
      <c r="M1401" s="321"/>
      <c r="N1401" s="176"/>
      <c r="O1401" s="176"/>
      <c r="P1401" s="176"/>
      <c r="Q1401" s="176"/>
      <c r="R1401" s="176"/>
      <c r="S1401" s="176"/>
      <c r="T1401" s="176"/>
      <c r="U1401" s="176"/>
      <c r="V1401" s="176"/>
      <c r="W1401" s="176"/>
      <c r="X1401" s="176"/>
      <c r="Y1401" s="176"/>
      <c r="Z1401" s="176"/>
    </row>
    <row r="1402">
      <c r="A1402" s="249"/>
      <c r="B1402" s="249"/>
      <c r="C1402" s="219"/>
      <c r="D1402" s="268"/>
      <c r="E1402" s="251"/>
      <c r="F1402" s="250"/>
      <c r="G1402" s="243"/>
      <c r="H1402" s="243"/>
      <c r="I1402" s="243"/>
      <c r="J1402" s="325"/>
      <c r="K1402" s="326"/>
      <c r="L1402" s="327"/>
      <c r="M1402" s="321"/>
      <c r="N1402" s="176"/>
      <c r="O1402" s="176"/>
      <c r="P1402" s="176"/>
      <c r="Q1402" s="176"/>
      <c r="R1402" s="176"/>
      <c r="S1402" s="176"/>
      <c r="T1402" s="176"/>
      <c r="U1402" s="176"/>
      <c r="V1402" s="176"/>
      <c r="W1402" s="176"/>
      <c r="X1402" s="176"/>
      <c r="Y1402" s="176"/>
      <c r="Z1402" s="176"/>
    </row>
    <row r="1403">
      <c r="A1403" s="249"/>
      <c r="B1403" s="249"/>
      <c r="C1403" s="219"/>
      <c r="D1403" s="268"/>
      <c r="E1403" s="251"/>
      <c r="F1403" s="250"/>
      <c r="G1403" s="243"/>
      <c r="H1403" s="243"/>
      <c r="I1403" s="243"/>
      <c r="J1403" s="325"/>
      <c r="K1403" s="326"/>
      <c r="L1403" s="327"/>
      <c r="M1403" s="321"/>
      <c r="N1403" s="176"/>
      <c r="O1403" s="176"/>
      <c r="P1403" s="176"/>
      <c r="Q1403" s="176"/>
      <c r="R1403" s="176"/>
      <c r="S1403" s="176"/>
      <c r="T1403" s="176"/>
      <c r="U1403" s="176"/>
      <c r="V1403" s="176"/>
      <c r="W1403" s="176"/>
      <c r="X1403" s="176"/>
      <c r="Y1403" s="176"/>
      <c r="Z1403" s="176"/>
    </row>
    <row r="1404">
      <c r="A1404" s="249"/>
      <c r="B1404" s="249"/>
      <c r="C1404" s="219"/>
      <c r="D1404" s="268"/>
      <c r="E1404" s="251"/>
      <c r="F1404" s="250"/>
      <c r="G1404" s="243"/>
      <c r="H1404" s="243"/>
      <c r="I1404" s="243"/>
      <c r="J1404" s="325"/>
      <c r="K1404" s="326"/>
      <c r="L1404" s="327"/>
      <c r="M1404" s="321"/>
      <c r="N1404" s="176"/>
      <c r="O1404" s="176"/>
      <c r="P1404" s="176"/>
      <c r="Q1404" s="176"/>
      <c r="R1404" s="176"/>
      <c r="S1404" s="176"/>
      <c r="T1404" s="176"/>
      <c r="U1404" s="176"/>
      <c r="V1404" s="176"/>
      <c r="W1404" s="176"/>
      <c r="X1404" s="176"/>
      <c r="Y1404" s="176"/>
      <c r="Z1404" s="176"/>
    </row>
    <row r="1405">
      <c r="A1405" s="249"/>
      <c r="B1405" s="249"/>
      <c r="C1405" s="219"/>
      <c r="D1405" s="268"/>
      <c r="E1405" s="251"/>
      <c r="F1405" s="250"/>
      <c r="G1405" s="243"/>
      <c r="H1405" s="243"/>
      <c r="I1405" s="243"/>
      <c r="J1405" s="325"/>
      <c r="K1405" s="326"/>
      <c r="L1405" s="327"/>
      <c r="M1405" s="321"/>
      <c r="N1405" s="176"/>
      <c r="O1405" s="176"/>
      <c r="P1405" s="176"/>
      <c r="Q1405" s="176"/>
      <c r="R1405" s="176"/>
      <c r="S1405" s="176"/>
      <c r="T1405" s="176"/>
      <c r="U1405" s="176"/>
      <c r="V1405" s="176"/>
      <c r="W1405" s="176"/>
      <c r="X1405" s="176"/>
      <c r="Y1405" s="176"/>
      <c r="Z1405" s="176"/>
    </row>
    <row r="1406">
      <c r="A1406" s="249"/>
      <c r="B1406" s="249"/>
      <c r="C1406" s="219"/>
      <c r="D1406" s="268"/>
      <c r="E1406" s="251"/>
      <c r="F1406" s="250"/>
      <c r="G1406" s="243"/>
      <c r="H1406" s="243"/>
      <c r="I1406" s="243"/>
      <c r="J1406" s="325"/>
      <c r="K1406" s="326"/>
      <c r="L1406" s="327"/>
      <c r="M1406" s="321"/>
      <c r="N1406" s="176"/>
      <c r="O1406" s="176"/>
      <c r="P1406" s="176"/>
      <c r="Q1406" s="176"/>
      <c r="R1406" s="176"/>
      <c r="S1406" s="176"/>
      <c r="T1406" s="176"/>
      <c r="U1406" s="176"/>
      <c r="V1406" s="176"/>
      <c r="W1406" s="176"/>
      <c r="X1406" s="176"/>
      <c r="Y1406" s="176"/>
      <c r="Z1406" s="176"/>
    </row>
    <row r="1407">
      <c r="A1407" s="249"/>
      <c r="B1407" s="249"/>
      <c r="C1407" s="219"/>
      <c r="D1407" s="268"/>
      <c r="E1407" s="251"/>
      <c r="F1407" s="250"/>
      <c r="G1407" s="243"/>
      <c r="H1407" s="243"/>
      <c r="I1407" s="243"/>
      <c r="J1407" s="325"/>
      <c r="K1407" s="326"/>
      <c r="L1407" s="327"/>
      <c r="M1407" s="321"/>
      <c r="N1407" s="176"/>
      <c r="O1407" s="176"/>
      <c r="P1407" s="176"/>
      <c r="Q1407" s="176"/>
      <c r="R1407" s="176"/>
      <c r="S1407" s="176"/>
      <c r="T1407" s="176"/>
      <c r="U1407" s="176"/>
      <c r="V1407" s="176"/>
      <c r="W1407" s="176"/>
      <c r="X1407" s="176"/>
      <c r="Y1407" s="176"/>
      <c r="Z1407" s="176"/>
    </row>
    <row r="1408">
      <c r="A1408" s="249"/>
      <c r="B1408" s="249"/>
      <c r="C1408" s="219"/>
      <c r="D1408" s="268"/>
      <c r="E1408" s="251"/>
      <c r="F1408" s="250"/>
      <c r="G1408" s="243"/>
      <c r="H1408" s="243"/>
      <c r="I1408" s="243"/>
      <c r="J1408" s="325"/>
      <c r="K1408" s="326"/>
      <c r="L1408" s="327"/>
      <c r="M1408" s="321"/>
      <c r="N1408" s="176"/>
      <c r="O1408" s="176"/>
      <c r="P1408" s="176"/>
      <c r="Q1408" s="176"/>
      <c r="R1408" s="176"/>
      <c r="S1408" s="176"/>
      <c r="T1408" s="176"/>
      <c r="U1408" s="176"/>
      <c r="V1408" s="176"/>
      <c r="W1408" s="176"/>
      <c r="X1408" s="176"/>
      <c r="Y1408" s="176"/>
      <c r="Z1408" s="176"/>
    </row>
    <row r="1409">
      <c r="A1409" s="249"/>
      <c r="B1409" s="249"/>
      <c r="C1409" s="219"/>
      <c r="D1409" s="268"/>
      <c r="E1409" s="251"/>
      <c r="F1409" s="250"/>
      <c r="G1409" s="243"/>
      <c r="H1409" s="243"/>
      <c r="I1409" s="243"/>
      <c r="J1409" s="325"/>
      <c r="K1409" s="326"/>
      <c r="L1409" s="327"/>
      <c r="M1409" s="321"/>
      <c r="N1409" s="176"/>
      <c r="O1409" s="176"/>
      <c r="P1409" s="176"/>
      <c r="Q1409" s="176"/>
      <c r="R1409" s="176"/>
      <c r="S1409" s="176"/>
      <c r="T1409" s="176"/>
      <c r="U1409" s="176"/>
      <c r="V1409" s="176"/>
      <c r="W1409" s="176"/>
      <c r="X1409" s="176"/>
      <c r="Y1409" s="176"/>
      <c r="Z1409" s="176"/>
    </row>
    <row r="1410">
      <c r="A1410" s="249"/>
      <c r="B1410" s="249"/>
      <c r="C1410" s="219"/>
      <c r="D1410" s="268"/>
      <c r="E1410" s="251"/>
      <c r="F1410" s="250"/>
      <c r="G1410" s="243"/>
      <c r="H1410" s="243"/>
      <c r="I1410" s="243"/>
      <c r="J1410" s="325"/>
      <c r="K1410" s="326"/>
      <c r="L1410" s="327"/>
      <c r="M1410" s="321"/>
      <c r="N1410" s="176"/>
      <c r="O1410" s="176"/>
      <c r="P1410" s="176"/>
      <c r="Q1410" s="176"/>
      <c r="R1410" s="176"/>
      <c r="S1410" s="176"/>
      <c r="T1410" s="176"/>
      <c r="U1410" s="176"/>
      <c r="V1410" s="176"/>
      <c r="W1410" s="176"/>
      <c r="X1410" s="176"/>
      <c r="Y1410" s="176"/>
      <c r="Z1410" s="176"/>
    </row>
    <row r="1411">
      <c r="A1411" s="249"/>
      <c r="B1411" s="249"/>
      <c r="C1411" s="219"/>
      <c r="D1411" s="268"/>
      <c r="E1411" s="251"/>
      <c r="F1411" s="250"/>
      <c r="G1411" s="243"/>
      <c r="H1411" s="243"/>
      <c r="I1411" s="243"/>
      <c r="J1411" s="325"/>
      <c r="K1411" s="326"/>
      <c r="L1411" s="327"/>
      <c r="M1411" s="321"/>
      <c r="N1411" s="176"/>
      <c r="O1411" s="176"/>
      <c r="P1411" s="176"/>
      <c r="Q1411" s="176"/>
      <c r="R1411" s="176"/>
      <c r="S1411" s="176"/>
      <c r="T1411" s="176"/>
      <c r="U1411" s="176"/>
      <c r="V1411" s="176"/>
      <c r="W1411" s="176"/>
      <c r="X1411" s="176"/>
      <c r="Y1411" s="176"/>
      <c r="Z1411" s="176"/>
    </row>
    <row r="1412">
      <c r="A1412" s="249"/>
      <c r="B1412" s="249"/>
      <c r="C1412" s="219"/>
      <c r="D1412" s="268"/>
      <c r="E1412" s="251"/>
      <c r="F1412" s="250"/>
      <c r="G1412" s="243"/>
      <c r="H1412" s="243"/>
      <c r="I1412" s="243"/>
      <c r="J1412" s="325"/>
      <c r="K1412" s="326"/>
      <c r="L1412" s="327"/>
      <c r="M1412" s="321"/>
      <c r="N1412" s="176"/>
      <c r="O1412" s="176"/>
      <c r="P1412" s="176"/>
      <c r="Q1412" s="176"/>
      <c r="R1412" s="176"/>
      <c r="S1412" s="176"/>
      <c r="T1412" s="176"/>
      <c r="U1412" s="176"/>
      <c r="V1412" s="176"/>
      <c r="W1412" s="176"/>
      <c r="X1412" s="176"/>
      <c r="Y1412" s="176"/>
      <c r="Z1412" s="176"/>
    </row>
    <row r="1413">
      <c r="A1413" s="249"/>
      <c r="B1413" s="249"/>
      <c r="C1413" s="219"/>
      <c r="D1413" s="268"/>
      <c r="E1413" s="251"/>
      <c r="F1413" s="250"/>
      <c r="G1413" s="243"/>
      <c r="H1413" s="243"/>
      <c r="I1413" s="243"/>
      <c r="J1413" s="325"/>
      <c r="K1413" s="326"/>
      <c r="L1413" s="327"/>
      <c r="M1413" s="321"/>
      <c r="N1413" s="176"/>
      <c r="O1413" s="176"/>
      <c r="P1413" s="176"/>
      <c r="Q1413" s="176"/>
      <c r="R1413" s="176"/>
      <c r="S1413" s="176"/>
      <c r="T1413" s="176"/>
      <c r="U1413" s="176"/>
      <c r="V1413" s="176"/>
      <c r="W1413" s="176"/>
      <c r="X1413" s="176"/>
      <c r="Y1413" s="176"/>
      <c r="Z1413" s="176"/>
    </row>
    <row r="1414">
      <c r="A1414" s="249"/>
      <c r="B1414" s="249"/>
      <c r="C1414" s="219"/>
      <c r="D1414" s="268"/>
      <c r="E1414" s="251"/>
      <c r="F1414" s="250"/>
      <c r="G1414" s="243"/>
      <c r="H1414" s="243"/>
      <c r="I1414" s="243"/>
      <c r="J1414" s="325"/>
      <c r="K1414" s="326"/>
      <c r="L1414" s="327"/>
      <c r="M1414" s="321"/>
      <c r="N1414" s="176"/>
      <c r="O1414" s="176"/>
      <c r="P1414" s="176"/>
      <c r="Q1414" s="176"/>
      <c r="R1414" s="176"/>
      <c r="S1414" s="176"/>
      <c r="T1414" s="176"/>
      <c r="U1414" s="176"/>
      <c r="V1414" s="176"/>
      <c r="W1414" s="176"/>
      <c r="X1414" s="176"/>
      <c r="Y1414" s="176"/>
      <c r="Z1414" s="176"/>
    </row>
    <row r="1415">
      <c r="A1415" s="249"/>
      <c r="B1415" s="249"/>
      <c r="C1415" s="219"/>
      <c r="D1415" s="268"/>
      <c r="E1415" s="251"/>
      <c r="F1415" s="250"/>
      <c r="G1415" s="243"/>
      <c r="H1415" s="243"/>
      <c r="I1415" s="243"/>
      <c r="J1415" s="325"/>
      <c r="K1415" s="326"/>
      <c r="L1415" s="327"/>
      <c r="M1415" s="321"/>
      <c r="N1415" s="176"/>
      <c r="O1415" s="176"/>
      <c r="P1415" s="176"/>
      <c r="Q1415" s="176"/>
      <c r="R1415" s="176"/>
      <c r="S1415" s="176"/>
      <c r="T1415" s="176"/>
      <c r="U1415" s="176"/>
      <c r="V1415" s="176"/>
      <c r="W1415" s="176"/>
      <c r="X1415" s="176"/>
      <c r="Y1415" s="176"/>
      <c r="Z1415" s="176"/>
    </row>
    <row r="1416">
      <c r="A1416" s="249"/>
      <c r="B1416" s="249"/>
      <c r="C1416" s="219"/>
      <c r="D1416" s="268"/>
      <c r="E1416" s="251"/>
      <c r="F1416" s="250"/>
      <c r="G1416" s="243"/>
      <c r="H1416" s="243"/>
      <c r="I1416" s="243"/>
      <c r="J1416" s="325"/>
      <c r="K1416" s="326"/>
      <c r="L1416" s="327"/>
      <c r="M1416" s="321"/>
      <c r="N1416" s="176"/>
      <c r="O1416" s="176"/>
      <c r="P1416" s="176"/>
      <c r="Q1416" s="176"/>
      <c r="R1416" s="176"/>
      <c r="S1416" s="176"/>
      <c r="T1416" s="176"/>
      <c r="U1416" s="176"/>
      <c r="V1416" s="176"/>
      <c r="W1416" s="176"/>
      <c r="X1416" s="176"/>
      <c r="Y1416" s="176"/>
      <c r="Z1416" s="176"/>
    </row>
    <row r="1417">
      <c r="A1417" s="249"/>
      <c r="B1417" s="249"/>
      <c r="C1417" s="219"/>
      <c r="D1417" s="268"/>
      <c r="E1417" s="251"/>
      <c r="F1417" s="250"/>
      <c r="G1417" s="243"/>
      <c r="H1417" s="243"/>
      <c r="I1417" s="243"/>
      <c r="J1417" s="325"/>
      <c r="K1417" s="326"/>
      <c r="L1417" s="327"/>
      <c r="M1417" s="321"/>
      <c r="N1417" s="176"/>
      <c r="O1417" s="176"/>
      <c r="P1417" s="176"/>
      <c r="Q1417" s="176"/>
      <c r="R1417" s="176"/>
      <c r="S1417" s="176"/>
      <c r="T1417" s="176"/>
      <c r="U1417" s="176"/>
      <c r="V1417" s="176"/>
      <c r="W1417" s="176"/>
      <c r="X1417" s="176"/>
      <c r="Y1417" s="176"/>
      <c r="Z1417" s="176"/>
    </row>
    <row r="1418">
      <c r="A1418" s="249"/>
      <c r="B1418" s="249"/>
      <c r="C1418" s="219"/>
      <c r="D1418" s="268"/>
      <c r="E1418" s="251"/>
      <c r="F1418" s="250"/>
      <c r="G1418" s="243"/>
      <c r="H1418" s="243"/>
      <c r="I1418" s="243"/>
      <c r="J1418" s="325"/>
      <c r="K1418" s="326"/>
      <c r="L1418" s="327"/>
      <c r="M1418" s="321"/>
      <c r="N1418" s="176"/>
      <c r="O1418" s="176"/>
      <c r="P1418" s="176"/>
      <c r="Q1418" s="176"/>
      <c r="R1418" s="176"/>
      <c r="S1418" s="176"/>
      <c r="T1418" s="176"/>
      <c r="U1418" s="176"/>
      <c r="V1418" s="176"/>
      <c r="W1418" s="176"/>
      <c r="X1418" s="176"/>
      <c r="Y1418" s="176"/>
      <c r="Z1418" s="176"/>
    </row>
    <row r="1419">
      <c r="A1419" s="249"/>
      <c r="B1419" s="249"/>
      <c r="C1419" s="219"/>
      <c r="D1419" s="268"/>
      <c r="E1419" s="251"/>
      <c r="F1419" s="250"/>
      <c r="G1419" s="243"/>
      <c r="H1419" s="243"/>
      <c r="I1419" s="243"/>
      <c r="J1419" s="325"/>
      <c r="K1419" s="326"/>
      <c r="L1419" s="327"/>
      <c r="M1419" s="321"/>
      <c r="N1419" s="176"/>
      <c r="O1419" s="176"/>
      <c r="P1419" s="176"/>
      <c r="Q1419" s="176"/>
      <c r="R1419" s="176"/>
      <c r="S1419" s="176"/>
      <c r="T1419" s="176"/>
      <c r="U1419" s="176"/>
      <c r="V1419" s="176"/>
      <c r="W1419" s="176"/>
      <c r="X1419" s="176"/>
      <c r="Y1419" s="176"/>
      <c r="Z1419" s="176"/>
    </row>
    <row r="1420">
      <c r="A1420" s="249"/>
      <c r="B1420" s="249"/>
      <c r="C1420" s="219"/>
      <c r="D1420" s="268"/>
      <c r="E1420" s="251"/>
      <c r="F1420" s="250"/>
      <c r="G1420" s="243"/>
      <c r="H1420" s="243"/>
      <c r="I1420" s="243"/>
      <c r="J1420" s="325"/>
      <c r="K1420" s="326"/>
      <c r="L1420" s="327"/>
      <c r="M1420" s="321"/>
      <c r="N1420" s="176"/>
      <c r="O1420" s="176"/>
      <c r="P1420" s="176"/>
      <c r="Q1420" s="176"/>
      <c r="R1420" s="176"/>
      <c r="S1420" s="176"/>
      <c r="T1420" s="176"/>
      <c r="U1420" s="176"/>
      <c r="V1420" s="176"/>
      <c r="W1420" s="176"/>
      <c r="X1420" s="176"/>
      <c r="Y1420" s="176"/>
      <c r="Z1420" s="176"/>
    </row>
    <row r="1421">
      <c r="A1421" s="249"/>
      <c r="B1421" s="249"/>
      <c r="C1421" s="219"/>
      <c r="D1421" s="268"/>
      <c r="E1421" s="251"/>
      <c r="F1421" s="250"/>
      <c r="G1421" s="243"/>
      <c r="H1421" s="243"/>
      <c r="I1421" s="243"/>
      <c r="J1421" s="325"/>
      <c r="K1421" s="326"/>
      <c r="L1421" s="327"/>
      <c r="M1421" s="321"/>
      <c r="N1421" s="176"/>
      <c r="O1421" s="176"/>
      <c r="P1421" s="176"/>
      <c r="Q1421" s="176"/>
      <c r="R1421" s="176"/>
      <c r="S1421" s="176"/>
      <c r="T1421" s="176"/>
      <c r="U1421" s="176"/>
      <c r="V1421" s="176"/>
      <c r="W1421" s="176"/>
      <c r="X1421" s="176"/>
      <c r="Y1421" s="176"/>
      <c r="Z1421" s="176"/>
    </row>
    <row r="1422">
      <c r="A1422" s="249"/>
      <c r="B1422" s="249"/>
      <c r="C1422" s="219"/>
      <c r="D1422" s="268"/>
      <c r="E1422" s="251"/>
      <c r="F1422" s="250"/>
      <c r="G1422" s="243"/>
      <c r="H1422" s="243"/>
      <c r="I1422" s="243"/>
      <c r="J1422" s="325"/>
      <c r="K1422" s="326"/>
      <c r="L1422" s="327"/>
      <c r="M1422" s="321"/>
      <c r="N1422" s="176"/>
      <c r="O1422" s="176"/>
      <c r="P1422" s="176"/>
      <c r="Q1422" s="176"/>
      <c r="R1422" s="176"/>
      <c r="S1422" s="176"/>
      <c r="T1422" s="176"/>
      <c r="U1422" s="176"/>
      <c r="V1422" s="176"/>
      <c r="W1422" s="176"/>
      <c r="X1422" s="176"/>
      <c r="Y1422" s="176"/>
      <c r="Z1422" s="176"/>
    </row>
    <row r="1423">
      <c r="A1423" s="249"/>
      <c r="B1423" s="249"/>
      <c r="C1423" s="219"/>
      <c r="D1423" s="268"/>
      <c r="E1423" s="251"/>
      <c r="F1423" s="250"/>
      <c r="G1423" s="243"/>
      <c r="H1423" s="243"/>
      <c r="I1423" s="243"/>
      <c r="J1423" s="325"/>
      <c r="K1423" s="326"/>
      <c r="L1423" s="327"/>
      <c r="M1423" s="321"/>
      <c r="N1423" s="176"/>
      <c r="O1423" s="176"/>
      <c r="P1423" s="176"/>
      <c r="Q1423" s="176"/>
      <c r="R1423" s="176"/>
      <c r="S1423" s="176"/>
      <c r="T1423" s="176"/>
      <c r="U1423" s="176"/>
      <c r="V1423" s="176"/>
      <c r="W1423" s="176"/>
      <c r="X1423" s="176"/>
      <c r="Y1423" s="176"/>
      <c r="Z1423" s="176"/>
    </row>
    <row r="1424">
      <c r="A1424" s="249"/>
      <c r="B1424" s="249"/>
      <c r="C1424" s="219"/>
      <c r="D1424" s="268"/>
      <c r="E1424" s="251"/>
      <c r="F1424" s="250"/>
      <c r="G1424" s="243"/>
      <c r="H1424" s="243"/>
      <c r="I1424" s="243"/>
      <c r="J1424" s="325"/>
      <c r="K1424" s="326"/>
      <c r="L1424" s="327"/>
      <c r="M1424" s="321"/>
      <c r="N1424" s="176"/>
      <c r="O1424" s="176"/>
      <c r="P1424" s="176"/>
      <c r="Q1424" s="176"/>
      <c r="R1424" s="176"/>
      <c r="S1424" s="176"/>
      <c r="T1424" s="176"/>
      <c r="U1424" s="176"/>
      <c r="V1424" s="176"/>
      <c r="W1424" s="176"/>
      <c r="X1424" s="176"/>
      <c r="Y1424" s="176"/>
      <c r="Z1424" s="176"/>
    </row>
    <row r="1425">
      <c r="A1425" s="249"/>
      <c r="B1425" s="249"/>
      <c r="C1425" s="219"/>
      <c r="D1425" s="268"/>
      <c r="E1425" s="251"/>
      <c r="F1425" s="250"/>
      <c r="G1425" s="243"/>
      <c r="H1425" s="243"/>
      <c r="I1425" s="243"/>
      <c r="J1425" s="325"/>
      <c r="K1425" s="326"/>
      <c r="L1425" s="327"/>
      <c r="M1425" s="321"/>
      <c r="N1425" s="176"/>
      <c r="O1425" s="176"/>
      <c r="P1425" s="176"/>
      <c r="Q1425" s="176"/>
      <c r="R1425" s="176"/>
      <c r="S1425" s="176"/>
      <c r="T1425" s="176"/>
      <c r="U1425" s="176"/>
      <c r="V1425" s="176"/>
      <c r="W1425" s="176"/>
      <c r="X1425" s="176"/>
      <c r="Y1425" s="176"/>
      <c r="Z1425" s="176"/>
    </row>
    <row r="1426">
      <c r="A1426" s="249"/>
      <c r="B1426" s="249"/>
      <c r="C1426" s="219"/>
      <c r="D1426" s="268"/>
      <c r="E1426" s="251"/>
      <c r="F1426" s="250"/>
      <c r="G1426" s="243"/>
      <c r="H1426" s="243"/>
      <c r="I1426" s="243"/>
      <c r="J1426" s="325"/>
      <c r="K1426" s="326"/>
      <c r="L1426" s="327"/>
      <c r="M1426" s="321"/>
      <c r="N1426" s="176"/>
      <c r="O1426" s="176"/>
      <c r="P1426" s="176"/>
      <c r="Q1426" s="176"/>
      <c r="R1426" s="176"/>
      <c r="S1426" s="176"/>
      <c r="T1426" s="176"/>
      <c r="U1426" s="176"/>
      <c r="V1426" s="176"/>
      <c r="W1426" s="176"/>
      <c r="X1426" s="176"/>
      <c r="Y1426" s="176"/>
      <c r="Z1426" s="176"/>
    </row>
    <row r="1427">
      <c r="A1427" s="249"/>
      <c r="B1427" s="249"/>
      <c r="C1427" s="219"/>
      <c r="D1427" s="268"/>
      <c r="E1427" s="251"/>
      <c r="F1427" s="250"/>
      <c r="G1427" s="243"/>
      <c r="H1427" s="243"/>
      <c r="I1427" s="243"/>
      <c r="J1427" s="325"/>
      <c r="K1427" s="326"/>
      <c r="L1427" s="327"/>
      <c r="M1427" s="321"/>
      <c r="N1427" s="176"/>
      <c r="O1427" s="176"/>
      <c r="P1427" s="176"/>
      <c r="Q1427" s="176"/>
      <c r="R1427" s="176"/>
      <c r="S1427" s="176"/>
      <c r="T1427" s="176"/>
      <c r="U1427" s="176"/>
      <c r="V1427" s="176"/>
      <c r="W1427" s="176"/>
      <c r="X1427" s="176"/>
      <c r="Y1427" s="176"/>
      <c r="Z1427" s="176"/>
    </row>
    <row r="1428">
      <c r="A1428" s="249"/>
      <c r="B1428" s="249"/>
      <c r="C1428" s="219"/>
      <c r="D1428" s="268"/>
      <c r="E1428" s="251"/>
      <c r="F1428" s="250"/>
      <c r="G1428" s="243"/>
      <c r="H1428" s="243"/>
      <c r="I1428" s="243"/>
      <c r="J1428" s="325"/>
      <c r="K1428" s="326"/>
      <c r="L1428" s="327"/>
      <c r="M1428" s="321"/>
      <c r="N1428" s="176"/>
      <c r="O1428" s="176"/>
      <c r="P1428" s="176"/>
      <c r="Q1428" s="176"/>
      <c r="R1428" s="176"/>
      <c r="S1428" s="176"/>
      <c r="T1428" s="176"/>
      <c r="U1428" s="176"/>
      <c r="V1428" s="176"/>
      <c r="W1428" s="176"/>
      <c r="X1428" s="176"/>
      <c r="Y1428" s="176"/>
      <c r="Z1428" s="176"/>
    </row>
    <row r="1429">
      <c r="A1429" s="249"/>
      <c r="B1429" s="249"/>
      <c r="C1429" s="219"/>
      <c r="D1429" s="268"/>
      <c r="E1429" s="251"/>
      <c r="F1429" s="250"/>
      <c r="G1429" s="243"/>
      <c r="H1429" s="243"/>
      <c r="I1429" s="243"/>
      <c r="J1429" s="325"/>
      <c r="K1429" s="326"/>
      <c r="L1429" s="327"/>
      <c r="M1429" s="321"/>
      <c r="N1429" s="176"/>
      <c r="O1429" s="176"/>
      <c r="P1429" s="176"/>
      <c r="Q1429" s="176"/>
      <c r="R1429" s="176"/>
      <c r="S1429" s="176"/>
      <c r="T1429" s="176"/>
      <c r="U1429" s="176"/>
      <c r="V1429" s="176"/>
      <c r="W1429" s="176"/>
      <c r="X1429" s="176"/>
      <c r="Y1429" s="176"/>
      <c r="Z1429" s="176"/>
    </row>
    <row r="1430">
      <c r="A1430" s="249"/>
      <c r="B1430" s="249"/>
      <c r="C1430" s="219"/>
      <c r="D1430" s="268"/>
      <c r="E1430" s="251"/>
      <c r="F1430" s="250"/>
      <c r="G1430" s="243"/>
      <c r="H1430" s="243"/>
      <c r="I1430" s="243"/>
      <c r="J1430" s="325"/>
      <c r="K1430" s="326"/>
      <c r="L1430" s="327"/>
      <c r="M1430" s="321"/>
      <c r="N1430" s="176"/>
      <c r="O1430" s="176"/>
      <c r="P1430" s="176"/>
      <c r="Q1430" s="176"/>
      <c r="R1430" s="176"/>
      <c r="S1430" s="176"/>
      <c r="T1430" s="176"/>
      <c r="U1430" s="176"/>
      <c r="V1430" s="176"/>
      <c r="W1430" s="176"/>
      <c r="X1430" s="176"/>
      <c r="Y1430" s="176"/>
      <c r="Z1430" s="176"/>
    </row>
    <row r="1431">
      <c r="A1431" s="249"/>
      <c r="B1431" s="249"/>
      <c r="C1431" s="219"/>
      <c r="D1431" s="268"/>
      <c r="E1431" s="251"/>
      <c r="F1431" s="250"/>
      <c r="G1431" s="243"/>
      <c r="H1431" s="243"/>
      <c r="I1431" s="243"/>
      <c r="J1431" s="325"/>
      <c r="K1431" s="326"/>
      <c r="L1431" s="327"/>
      <c r="M1431" s="321"/>
      <c r="N1431" s="176"/>
      <c r="O1431" s="176"/>
      <c r="P1431" s="176"/>
      <c r="Q1431" s="176"/>
      <c r="R1431" s="176"/>
      <c r="S1431" s="176"/>
      <c r="T1431" s="176"/>
      <c r="U1431" s="176"/>
      <c r="V1431" s="176"/>
      <c r="W1431" s="176"/>
      <c r="X1431" s="176"/>
      <c r="Y1431" s="176"/>
      <c r="Z1431" s="176"/>
    </row>
    <row r="1432">
      <c r="A1432" s="249"/>
      <c r="B1432" s="249"/>
      <c r="C1432" s="219"/>
      <c r="D1432" s="268"/>
      <c r="E1432" s="251"/>
      <c r="F1432" s="250"/>
      <c r="G1432" s="243"/>
      <c r="H1432" s="243"/>
      <c r="I1432" s="243"/>
      <c r="J1432" s="325"/>
      <c r="K1432" s="326"/>
      <c r="L1432" s="327"/>
      <c r="M1432" s="321"/>
      <c r="N1432" s="176"/>
      <c r="O1432" s="176"/>
      <c r="P1432" s="176"/>
      <c r="Q1432" s="176"/>
      <c r="R1432" s="176"/>
      <c r="S1432" s="176"/>
      <c r="T1432" s="176"/>
      <c r="U1432" s="176"/>
      <c r="V1432" s="176"/>
      <c r="W1432" s="176"/>
      <c r="X1432" s="176"/>
      <c r="Y1432" s="176"/>
      <c r="Z1432" s="176"/>
    </row>
    <row r="1433">
      <c r="A1433" s="249"/>
      <c r="B1433" s="249"/>
      <c r="C1433" s="219"/>
      <c r="D1433" s="268"/>
      <c r="E1433" s="251"/>
      <c r="F1433" s="250"/>
      <c r="G1433" s="243"/>
      <c r="H1433" s="243"/>
      <c r="I1433" s="243"/>
      <c r="J1433" s="325"/>
      <c r="K1433" s="326"/>
      <c r="L1433" s="327"/>
      <c r="M1433" s="321"/>
      <c r="N1433" s="176"/>
      <c r="O1433" s="176"/>
      <c r="P1433" s="176"/>
      <c r="Q1433" s="176"/>
      <c r="R1433" s="176"/>
      <c r="S1433" s="176"/>
      <c r="T1433" s="176"/>
      <c r="U1433" s="176"/>
      <c r="V1433" s="176"/>
      <c r="W1433" s="176"/>
      <c r="X1433" s="176"/>
      <c r="Y1433" s="176"/>
      <c r="Z1433" s="176"/>
    </row>
    <row r="1434">
      <c r="A1434" s="249"/>
      <c r="B1434" s="249"/>
      <c r="C1434" s="219"/>
      <c r="D1434" s="268"/>
      <c r="E1434" s="251"/>
      <c r="F1434" s="250"/>
      <c r="G1434" s="243"/>
      <c r="H1434" s="243"/>
      <c r="I1434" s="243"/>
      <c r="J1434" s="325"/>
      <c r="K1434" s="326"/>
      <c r="L1434" s="327"/>
      <c r="M1434" s="321"/>
      <c r="N1434" s="176"/>
      <c r="O1434" s="176"/>
      <c r="P1434" s="176"/>
      <c r="Q1434" s="176"/>
      <c r="R1434" s="176"/>
      <c r="S1434" s="176"/>
      <c r="T1434" s="176"/>
      <c r="U1434" s="176"/>
      <c r="V1434" s="176"/>
      <c r="W1434" s="176"/>
      <c r="X1434" s="176"/>
      <c r="Y1434" s="176"/>
      <c r="Z1434" s="176"/>
    </row>
    <row r="1435">
      <c r="A1435" s="249"/>
      <c r="B1435" s="249"/>
      <c r="C1435" s="219"/>
      <c r="D1435" s="268"/>
      <c r="E1435" s="251"/>
      <c r="F1435" s="250"/>
      <c r="G1435" s="243"/>
      <c r="H1435" s="243"/>
      <c r="I1435" s="243"/>
      <c r="J1435" s="325"/>
      <c r="K1435" s="326"/>
      <c r="L1435" s="327"/>
      <c r="M1435" s="321"/>
      <c r="N1435" s="176"/>
      <c r="O1435" s="176"/>
      <c r="P1435" s="176"/>
      <c r="Q1435" s="176"/>
      <c r="R1435" s="176"/>
      <c r="S1435" s="176"/>
      <c r="T1435" s="176"/>
      <c r="U1435" s="176"/>
      <c r="V1435" s="176"/>
      <c r="W1435" s="176"/>
      <c r="X1435" s="176"/>
      <c r="Y1435" s="176"/>
      <c r="Z1435" s="176"/>
    </row>
    <row r="1436">
      <c r="A1436" s="249"/>
      <c r="B1436" s="249"/>
      <c r="C1436" s="219"/>
      <c r="D1436" s="268"/>
      <c r="E1436" s="251"/>
      <c r="F1436" s="250"/>
      <c r="G1436" s="243"/>
      <c r="H1436" s="243"/>
      <c r="I1436" s="243"/>
      <c r="J1436" s="325"/>
      <c r="K1436" s="326"/>
      <c r="L1436" s="327"/>
      <c r="M1436" s="321"/>
      <c r="N1436" s="176"/>
      <c r="O1436" s="176"/>
      <c r="P1436" s="176"/>
      <c r="Q1436" s="176"/>
      <c r="R1436" s="176"/>
      <c r="S1436" s="176"/>
      <c r="T1436" s="176"/>
      <c r="U1436" s="176"/>
      <c r="V1436" s="176"/>
      <c r="W1436" s="176"/>
      <c r="X1436" s="176"/>
      <c r="Y1436" s="176"/>
      <c r="Z1436" s="176"/>
    </row>
    <row r="1437">
      <c r="A1437" s="249"/>
      <c r="B1437" s="249"/>
      <c r="C1437" s="219"/>
      <c r="D1437" s="268"/>
      <c r="E1437" s="251"/>
      <c r="F1437" s="250"/>
      <c r="G1437" s="243"/>
      <c r="H1437" s="243"/>
      <c r="I1437" s="243"/>
      <c r="J1437" s="325"/>
      <c r="K1437" s="326"/>
      <c r="L1437" s="327"/>
      <c r="M1437" s="321"/>
      <c r="N1437" s="176"/>
      <c r="O1437" s="176"/>
      <c r="P1437" s="176"/>
      <c r="Q1437" s="176"/>
      <c r="R1437" s="176"/>
      <c r="S1437" s="176"/>
      <c r="T1437" s="176"/>
      <c r="U1437" s="176"/>
      <c r="V1437" s="176"/>
      <c r="W1437" s="176"/>
      <c r="X1437" s="176"/>
      <c r="Y1437" s="176"/>
      <c r="Z1437" s="176"/>
    </row>
    <row r="1438">
      <c r="A1438" s="249"/>
      <c r="B1438" s="249"/>
      <c r="C1438" s="219"/>
      <c r="D1438" s="268"/>
      <c r="E1438" s="251"/>
      <c r="F1438" s="250"/>
      <c r="G1438" s="243"/>
      <c r="H1438" s="243"/>
      <c r="I1438" s="243"/>
      <c r="J1438" s="325"/>
      <c r="K1438" s="326"/>
      <c r="L1438" s="327"/>
      <c r="M1438" s="321"/>
      <c r="N1438" s="176"/>
      <c r="O1438" s="176"/>
      <c r="P1438" s="176"/>
      <c r="Q1438" s="176"/>
      <c r="R1438" s="176"/>
      <c r="S1438" s="176"/>
      <c r="T1438" s="176"/>
      <c r="U1438" s="176"/>
      <c r="V1438" s="176"/>
      <c r="W1438" s="176"/>
      <c r="X1438" s="176"/>
      <c r="Y1438" s="176"/>
      <c r="Z1438" s="176"/>
    </row>
    <row r="1439">
      <c r="A1439" s="249"/>
      <c r="B1439" s="249"/>
      <c r="C1439" s="219"/>
      <c r="D1439" s="268"/>
      <c r="E1439" s="251"/>
      <c r="F1439" s="250"/>
      <c r="G1439" s="243"/>
      <c r="H1439" s="243"/>
      <c r="I1439" s="243"/>
      <c r="J1439" s="325"/>
      <c r="K1439" s="326"/>
      <c r="L1439" s="327"/>
      <c r="M1439" s="321"/>
      <c r="N1439" s="176"/>
      <c r="O1439" s="176"/>
      <c r="P1439" s="176"/>
      <c r="Q1439" s="176"/>
      <c r="R1439" s="176"/>
      <c r="S1439" s="176"/>
      <c r="T1439" s="176"/>
      <c r="U1439" s="176"/>
      <c r="V1439" s="176"/>
      <c r="W1439" s="176"/>
      <c r="X1439" s="176"/>
      <c r="Y1439" s="176"/>
      <c r="Z1439" s="176"/>
    </row>
    <row r="1440">
      <c r="A1440" s="249"/>
      <c r="B1440" s="249"/>
      <c r="C1440" s="219"/>
      <c r="D1440" s="268"/>
      <c r="E1440" s="251"/>
      <c r="F1440" s="250"/>
      <c r="G1440" s="243"/>
      <c r="H1440" s="243"/>
      <c r="I1440" s="243"/>
      <c r="J1440" s="325"/>
      <c r="K1440" s="326"/>
      <c r="L1440" s="327"/>
      <c r="M1440" s="321"/>
      <c r="N1440" s="176"/>
      <c r="O1440" s="176"/>
      <c r="P1440" s="176"/>
      <c r="Q1440" s="176"/>
      <c r="R1440" s="176"/>
      <c r="S1440" s="176"/>
      <c r="T1440" s="176"/>
      <c r="U1440" s="176"/>
      <c r="V1440" s="176"/>
      <c r="W1440" s="176"/>
      <c r="X1440" s="176"/>
      <c r="Y1440" s="176"/>
      <c r="Z1440" s="176"/>
    </row>
    <row r="1441">
      <c r="A1441" s="249"/>
      <c r="B1441" s="249"/>
      <c r="C1441" s="219"/>
      <c r="D1441" s="268"/>
      <c r="E1441" s="251"/>
      <c r="F1441" s="250"/>
      <c r="G1441" s="243"/>
      <c r="H1441" s="243"/>
      <c r="I1441" s="243"/>
      <c r="J1441" s="325"/>
      <c r="K1441" s="326"/>
      <c r="L1441" s="327"/>
      <c r="M1441" s="321"/>
      <c r="N1441" s="176"/>
      <c r="O1441" s="176"/>
      <c r="P1441" s="176"/>
      <c r="Q1441" s="176"/>
      <c r="R1441" s="176"/>
      <c r="S1441" s="176"/>
      <c r="T1441" s="176"/>
      <c r="U1441" s="176"/>
      <c r="V1441" s="176"/>
      <c r="W1441" s="176"/>
      <c r="X1441" s="176"/>
      <c r="Y1441" s="176"/>
      <c r="Z1441" s="176"/>
    </row>
    <row r="1442">
      <c r="A1442" s="249"/>
      <c r="B1442" s="249"/>
      <c r="C1442" s="219"/>
      <c r="D1442" s="268"/>
      <c r="E1442" s="251"/>
      <c r="F1442" s="250"/>
      <c r="G1442" s="243"/>
      <c r="H1442" s="243"/>
      <c r="I1442" s="243"/>
      <c r="J1442" s="325"/>
      <c r="K1442" s="326"/>
      <c r="L1442" s="327"/>
      <c r="M1442" s="321"/>
      <c r="N1442" s="176"/>
      <c r="O1442" s="176"/>
      <c r="P1442" s="176"/>
      <c r="Q1442" s="176"/>
      <c r="R1442" s="176"/>
      <c r="S1442" s="176"/>
      <c r="T1442" s="176"/>
      <c r="U1442" s="176"/>
      <c r="V1442" s="176"/>
      <c r="W1442" s="176"/>
      <c r="X1442" s="176"/>
      <c r="Y1442" s="176"/>
      <c r="Z1442" s="176"/>
    </row>
    <row r="1443">
      <c r="A1443" s="249"/>
      <c r="B1443" s="249"/>
      <c r="C1443" s="219"/>
      <c r="D1443" s="268"/>
      <c r="E1443" s="251"/>
      <c r="F1443" s="250"/>
      <c r="G1443" s="243"/>
      <c r="H1443" s="243"/>
      <c r="I1443" s="243"/>
      <c r="J1443" s="325"/>
      <c r="K1443" s="326"/>
      <c r="L1443" s="327"/>
      <c r="M1443" s="321"/>
      <c r="N1443" s="176"/>
      <c r="O1443" s="176"/>
      <c r="P1443" s="176"/>
      <c r="Q1443" s="176"/>
      <c r="R1443" s="176"/>
      <c r="S1443" s="176"/>
      <c r="T1443" s="176"/>
      <c r="U1443" s="176"/>
      <c r="V1443" s="176"/>
      <c r="W1443" s="176"/>
      <c r="X1443" s="176"/>
      <c r="Y1443" s="176"/>
      <c r="Z1443" s="176"/>
    </row>
    <row r="1444">
      <c r="A1444" s="249"/>
      <c r="B1444" s="249"/>
      <c r="C1444" s="219"/>
      <c r="D1444" s="268"/>
      <c r="E1444" s="251"/>
      <c r="F1444" s="250"/>
      <c r="G1444" s="243"/>
      <c r="H1444" s="243"/>
      <c r="I1444" s="243"/>
      <c r="J1444" s="325"/>
      <c r="K1444" s="326"/>
      <c r="L1444" s="327"/>
      <c r="M1444" s="321"/>
      <c r="N1444" s="176"/>
      <c r="O1444" s="176"/>
      <c r="P1444" s="176"/>
      <c r="Q1444" s="176"/>
      <c r="R1444" s="176"/>
      <c r="S1444" s="176"/>
      <c r="T1444" s="176"/>
      <c r="U1444" s="176"/>
      <c r="V1444" s="176"/>
      <c r="W1444" s="176"/>
      <c r="X1444" s="176"/>
      <c r="Y1444" s="176"/>
      <c r="Z1444" s="176"/>
    </row>
    <row r="1445">
      <c r="A1445" s="249"/>
      <c r="B1445" s="249"/>
      <c r="C1445" s="219"/>
      <c r="D1445" s="268"/>
      <c r="E1445" s="251"/>
      <c r="F1445" s="250"/>
      <c r="G1445" s="243"/>
      <c r="H1445" s="243"/>
      <c r="I1445" s="243"/>
      <c r="J1445" s="325"/>
      <c r="K1445" s="326"/>
      <c r="L1445" s="327"/>
      <c r="M1445" s="321"/>
      <c r="N1445" s="176"/>
      <c r="O1445" s="176"/>
      <c r="P1445" s="176"/>
      <c r="Q1445" s="176"/>
      <c r="R1445" s="176"/>
      <c r="S1445" s="176"/>
      <c r="T1445" s="176"/>
      <c r="U1445" s="176"/>
      <c r="V1445" s="176"/>
      <c r="W1445" s="176"/>
      <c r="X1445" s="176"/>
      <c r="Y1445" s="176"/>
      <c r="Z1445" s="176"/>
    </row>
    <row r="1446">
      <c r="A1446" s="249"/>
      <c r="B1446" s="249"/>
      <c r="C1446" s="219"/>
      <c r="D1446" s="268"/>
      <c r="E1446" s="251"/>
      <c r="F1446" s="250"/>
      <c r="G1446" s="243"/>
      <c r="H1446" s="243"/>
      <c r="I1446" s="243"/>
      <c r="J1446" s="325"/>
      <c r="K1446" s="326"/>
      <c r="L1446" s="327"/>
      <c r="M1446" s="321"/>
      <c r="N1446" s="176"/>
      <c r="O1446" s="176"/>
      <c r="P1446" s="176"/>
      <c r="Q1446" s="176"/>
      <c r="R1446" s="176"/>
      <c r="S1446" s="176"/>
      <c r="T1446" s="176"/>
      <c r="U1446" s="176"/>
      <c r="V1446" s="176"/>
      <c r="W1446" s="176"/>
      <c r="X1446" s="176"/>
      <c r="Y1446" s="176"/>
      <c r="Z1446" s="176"/>
    </row>
    <row r="1447">
      <c r="A1447" s="249"/>
      <c r="B1447" s="249"/>
      <c r="C1447" s="219"/>
      <c r="D1447" s="268"/>
      <c r="E1447" s="251"/>
      <c r="F1447" s="250"/>
      <c r="G1447" s="243"/>
      <c r="H1447" s="243"/>
      <c r="I1447" s="243"/>
      <c r="J1447" s="325"/>
      <c r="K1447" s="326"/>
      <c r="L1447" s="327"/>
      <c r="M1447" s="321"/>
      <c r="N1447" s="176"/>
      <c r="O1447" s="176"/>
      <c r="P1447" s="176"/>
      <c r="Q1447" s="176"/>
      <c r="R1447" s="176"/>
      <c r="S1447" s="176"/>
      <c r="T1447" s="176"/>
      <c r="U1447" s="176"/>
      <c r="V1447" s="176"/>
      <c r="W1447" s="176"/>
      <c r="X1447" s="176"/>
      <c r="Y1447" s="176"/>
      <c r="Z1447" s="176"/>
    </row>
    <row r="1448">
      <c r="A1448" s="249"/>
      <c r="B1448" s="249"/>
      <c r="C1448" s="219"/>
      <c r="D1448" s="268"/>
      <c r="E1448" s="251"/>
      <c r="F1448" s="250"/>
      <c r="G1448" s="243"/>
      <c r="H1448" s="243"/>
      <c r="I1448" s="243"/>
      <c r="J1448" s="325"/>
      <c r="K1448" s="326"/>
      <c r="L1448" s="327"/>
      <c r="M1448" s="321"/>
      <c r="N1448" s="176"/>
      <c r="O1448" s="176"/>
      <c r="P1448" s="176"/>
      <c r="Q1448" s="176"/>
      <c r="R1448" s="176"/>
      <c r="S1448" s="176"/>
      <c r="T1448" s="176"/>
      <c r="U1448" s="176"/>
      <c r="V1448" s="176"/>
      <c r="W1448" s="176"/>
      <c r="X1448" s="176"/>
      <c r="Y1448" s="176"/>
      <c r="Z1448" s="176"/>
    </row>
    <row r="1449">
      <c r="A1449" s="249"/>
      <c r="B1449" s="249"/>
      <c r="C1449" s="219"/>
      <c r="D1449" s="268"/>
      <c r="E1449" s="251"/>
      <c r="F1449" s="250"/>
      <c r="G1449" s="243"/>
      <c r="H1449" s="243"/>
      <c r="I1449" s="243"/>
      <c r="J1449" s="325"/>
      <c r="K1449" s="326"/>
      <c r="L1449" s="327"/>
      <c r="M1449" s="321"/>
      <c r="N1449" s="176"/>
      <c r="O1449" s="176"/>
      <c r="P1449" s="176"/>
      <c r="Q1449" s="176"/>
      <c r="R1449" s="176"/>
      <c r="S1449" s="176"/>
      <c r="T1449" s="176"/>
      <c r="U1449" s="176"/>
      <c r="V1449" s="176"/>
      <c r="W1449" s="176"/>
      <c r="X1449" s="176"/>
      <c r="Y1449" s="176"/>
      <c r="Z1449" s="176"/>
    </row>
    <row r="1450">
      <c r="A1450" s="249"/>
      <c r="B1450" s="249"/>
      <c r="C1450" s="219"/>
      <c r="D1450" s="268"/>
      <c r="E1450" s="251"/>
      <c r="F1450" s="250"/>
      <c r="G1450" s="243"/>
      <c r="H1450" s="243"/>
      <c r="I1450" s="243"/>
      <c r="J1450" s="325"/>
      <c r="K1450" s="326"/>
      <c r="L1450" s="327"/>
      <c r="M1450" s="321"/>
      <c r="N1450" s="176"/>
      <c r="O1450" s="176"/>
      <c r="P1450" s="176"/>
      <c r="Q1450" s="176"/>
      <c r="R1450" s="176"/>
      <c r="S1450" s="176"/>
      <c r="T1450" s="176"/>
      <c r="U1450" s="176"/>
      <c r="V1450" s="176"/>
      <c r="W1450" s="176"/>
      <c r="X1450" s="176"/>
      <c r="Y1450" s="176"/>
      <c r="Z1450" s="176"/>
    </row>
    <row r="1451">
      <c r="A1451" s="249"/>
      <c r="B1451" s="249"/>
      <c r="C1451" s="219"/>
      <c r="D1451" s="268"/>
      <c r="E1451" s="251"/>
      <c r="F1451" s="250"/>
      <c r="G1451" s="243"/>
      <c r="H1451" s="243"/>
      <c r="I1451" s="243"/>
      <c r="J1451" s="325"/>
      <c r="K1451" s="326"/>
      <c r="L1451" s="327"/>
      <c r="M1451" s="321"/>
      <c r="N1451" s="176"/>
      <c r="O1451" s="176"/>
      <c r="P1451" s="176"/>
      <c r="Q1451" s="176"/>
      <c r="R1451" s="176"/>
      <c r="S1451" s="176"/>
      <c r="T1451" s="176"/>
      <c r="U1451" s="176"/>
      <c r="V1451" s="176"/>
      <c r="W1451" s="176"/>
      <c r="X1451" s="176"/>
      <c r="Y1451" s="176"/>
      <c r="Z1451" s="176"/>
    </row>
    <row r="1452">
      <c r="A1452" s="249"/>
      <c r="B1452" s="249"/>
      <c r="C1452" s="219"/>
      <c r="D1452" s="268"/>
      <c r="E1452" s="251"/>
      <c r="F1452" s="250"/>
      <c r="G1452" s="243"/>
      <c r="H1452" s="243"/>
      <c r="I1452" s="243"/>
      <c r="J1452" s="325"/>
      <c r="K1452" s="326"/>
      <c r="L1452" s="327"/>
      <c r="M1452" s="321"/>
      <c r="N1452" s="176"/>
      <c r="O1452" s="176"/>
      <c r="P1452" s="176"/>
      <c r="Q1452" s="176"/>
      <c r="R1452" s="176"/>
      <c r="S1452" s="176"/>
      <c r="T1452" s="176"/>
      <c r="U1452" s="176"/>
      <c r="V1452" s="176"/>
      <c r="W1452" s="176"/>
      <c r="X1452" s="176"/>
      <c r="Y1452" s="176"/>
      <c r="Z1452" s="176"/>
    </row>
    <row r="1453">
      <c r="A1453" s="249"/>
      <c r="B1453" s="249"/>
      <c r="C1453" s="219"/>
      <c r="D1453" s="268"/>
      <c r="E1453" s="251"/>
      <c r="F1453" s="250"/>
      <c r="G1453" s="243"/>
      <c r="H1453" s="243"/>
      <c r="I1453" s="243"/>
      <c r="J1453" s="325"/>
      <c r="K1453" s="326"/>
      <c r="L1453" s="327"/>
      <c r="M1453" s="321"/>
      <c r="N1453" s="176"/>
      <c r="O1453" s="176"/>
      <c r="P1453" s="176"/>
      <c r="Q1453" s="176"/>
      <c r="R1453" s="176"/>
      <c r="S1453" s="176"/>
      <c r="T1453" s="176"/>
      <c r="U1453" s="176"/>
      <c r="V1453" s="176"/>
      <c r="W1453" s="176"/>
      <c r="X1453" s="176"/>
      <c r="Y1453" s="176"/>
      <c r="Z1453" s="176"/>
    </row>
    <row r="1454">
      <c r="A1454" s="249"/>
      <c r="B1454" s="249"/>
      <c r="C1454" s="219"/>
      <c r="D1454" s="268"/>
      <c r="E1454" s="251"/>
      <c r="F1454" s="250"/>
      <c r="G1454" s="243"/>
      <c r="H1454" s="243"/>
      <c r="I1454" s="243"/>
      <c r="J1454" s="325"/>
      <c r="K1454" s="326"/>
      <c r="L1454" s="327"/>
      <c r="M1454" s="321"/>
      <c r="N1454" s="176"/>
      <c r="O1454" s="176"/>
      <c r="P1454" s="176"/>
      <c r="Q1454" s="176"/>
      <c r="R1454" s="176"/>
      <c r="S1454" s="176"/>
      <c r="T1454" s="176"/>
      <c r="U1454" s="176"/>
      <c r="V1454" s="176"/>
      <c r="W1454" s="176"/>
      <c r="X1454" s="176"/>
      <c r="Y1454" s="176"/>
      <c r="Z1454" s="176"/>
    </row>
    <row r="1455">
      <c r="A1455" s="249"/>
      <c r="B1455" s="249"/>
      <c r="C1455" s="219"/>
      <c r="D1455" s="268"/>
      <c r="E1455" s="251"/>
      <c r="F1455" s="250"/>
      <c r="G1455" s="243"/>
      <c r="H1455" s="243"/>
      <c r="I1455" s="243"/>
      <c r="J1455" s="325"/>
      <c r="K1455" s="326"/>
      <c r="L1455" s="327"/>
      <c r="M1455" s="321"/>
      <c r="N1455" s="176"/>
      <c r="O1455" s="176"/>
      <c r="P1455" s="176"/>
      <c r="Q1455" s="176"/>
      <c r="R1455" s="176"/>
      <c r="S1455" s="176"/>
      <c r="T1455" s="176"/>
      <c r="U1455" s="176"/>
      <c r="V1455" s="176"/>
      <c r="W1455" s="176"/>
      <c r="X1455" s="176"/>
      <c r="Y1455" s="176"/>
      <c r="Z1455" s="176"/>
    </row>
    <row r="1456">
      <c r="A1456" s="249"/>
      <c r="B1456" s="249"/>
      <c r="C1456" s="219"/>
      <c r="D1456" s="268"/>
      <c r="E1456" s="251"/>
      <c r="F1456" s="250"/>
      <c r="G1456" s="243"/>
      <c r="H1456" s="243"/>
      <c r="I1456" s="243"/>
      <c r="J1456" s="325"/>
      <c r="K1456" s="326"/>
      <c r="L1456" s="327"/>
      <c r="M1456" s="321"/>
      <c r="N1456" s="176"/>
      <c r="O1456" s="176"/>
      <c r="P1456" s="176"/>
      <c r="Q1456" s="176"/>
      <c r="R1456" s="176"/>
      <c r="S1456" s="176"/>
      <c r="T1456" s="176"/>
      <c r="U1456" s="176"/>
      <c r="V1456" s="176"/>
      <c r="W1456" s="176"/>
      <c r="X1456" s="176"/>
      <c r="Y1456" s="176"/>
      <c r="Z1456" s="176"/>
    </row>
    <row r="1457">
      <c r="A1457" s="249"/>
      <c r="B1457" s="249"/>
      <c r="C1457" s="219"/>
      <c r="D1457" s="268"/>
      <c r="E1457" s="251"/>
      <c r="F1457" s="250"/>
      <c r="G1457" s="243"/>
      <c r="H1457" s="243"/>
      <c r="I1457" s="243"/>
      <c r="J1457" s="325"/>
      <c r="K1457" s="326"/>
      <c r="L1457" s="327"/>
      <c r="M1457" s="321"/>
      <c r="N1457" s="176"/>
      <c r="O1457" s="176"/>
      <c r="P1457" s="176"/>
      <c r="Q1457" s="176"/>
      <c r="R1457" s="176"/>
      <c r="S1457" s="176"/>
      <c r="T1457" s="176"/>
      <c r="U1457" s="176"/>
      <c r="V1457" s="176"/>
      <c r="W1457" s="176"/>
      <c r="X1457" s="176"/>
      <c r="Y1457" s="176"/>
      <c r="Z1457" s="176"/>
    </row>
    <row r="1458">
      <c r="A1458" s="249"/>
      <c r="B1458" s="249"/>
      <c r="C1458" s="219"/>
      <c r="D1458" s="268"/>
      <c r="E1458" s="251"/>
      <c r="F1458" s="250"/>
      <c r="G1458" s="243"/>
      <c r="H1458" s="243"/>
      <c r="I1458" s="243"/>
      <c r="J1458" s="325"/>
      <c r="K1458" s="326"/>
      <c r="L1458" s="327"/>
      <c r="M1458" s="321"/>
      <c r="N1458" s="176"/>
      <c r="O1458" s="176"/>
      <c r="P1458" s="176"/>
      <c r="Q1458" s="176"/>
      <c r="R1458" s="176"/>
      <c r="S1458" s="176"/>
      <c r="T1458" s="176"/>
      <c r="U1458" s="176"/>
      <c r="V1458" s="176"/>
      <c r="W1458" s="176"/>
      <c r="X1458" s="176"/>
      <c r="Y1458" s="176"/>
      <c r="Z1458" s="176"/>
    </row>
    <row r="1459">
      <c r="A1459" s="249"/>
      <c r="B1459" s="249"/>
      <c r="C1459" s="219"/>
      <c r="D1459" s="268"/>
      <c r="E1459" s="251"/>
      <c r="F1459" s="250"/>
      <c r="G1459" s="243"/>
      <c r="H1459" s="243"/>
      <c r="I1459" s="243"/>
      <c r="J1459" s="325"/>
      <c r="K1459" s="326"/>
      <c r="L1459" s="327"/>
      <c r="M1459" s="321"/>
      <c r="N1459" s="176"/>
      <c r="O1459" s="176"/>
      <c r="P1459" s="176"/>
      <c r="Q1459" s="176"/>
      <c r="R1459" s="176"/>
      <c r="S1459" s="176"/>
      <c r="T1459" s="176"/>
      <c r="U1459" s="176"/>
      <c r="V1459" s="176"/>
      <c r="W1459" s="176"/>
      <c r="X1459" s="176"/>
      <c r="Y1459" s="176"/>
      <c r="Z1459" s="176"/>
    </row>
    <row r="1460">
      <c r="A1460" s="249"/>
      <c r="B1460" s="249"/>
      <c r="C1460" s="219"/>
      <c r="D1460" s="268"/>
      <c r="E1460" s="251"/>
      <c r="F1460" s="250"/>
      <c r="G1460" s="243"/>
      <c r="H1460" s="243"/>
      <c r="I1460" s="243"/>
      <c r="J1460" s="325"/>
      <c r="K1460" s="326"/>
      <c r="L1460" s="327"/>
      <c r="M1460" s="321"/>
      <c r="N1460" s="176"/>
      <c r="O1460" s="176"/>
      <c r="P1460" s="176"/>
      <c r="Q1460" s="176"/>
      <c r="R1460" s="176"/>
      <c r="S1460" s="176"/>
      <c r="T1460" s="176"/>
      <c r="U1460" s="176"/>
      <c r="V1460" s="176"/>
      <c r="W1460" s="176"/>
      <c r="X1460" s="176"/>
      <c r="Y1460" s="176"/>
      <c r="Z1460" s="176"/>
    </row>
    <row r="1461">
      <c r="A1461" s="249"/>
      <c r="B1461" s="249"/>
      <c r="C1461" s="219"/>
      <c r="D1461" s="268"/>
      <c r="E1461" s="251"/>
      <c r="F1461" s="250"/>
      <c r="G1461" s="243"/>
      <c r="H1461" s="243"/>
      <c r="I1461" s="243"/>
      <c r="J1461" s="325"/>
      <c r="K1461" s="326"/>
      <c r="L1461" s="327"/>
      <c r="M1461" s="321"/>
      <c r="N1461" s="176"/>
      <c r="O1461" s="176"/>
      <c r="P1461" s="176"/>
      <c r="Q1461" s="176"/>
      <c r="R1461" s="176"/>
      <c r="S1461" s="176"/>
      <c r="T1461" s="176"/>
      <c r="U1461" s="176"/>
      <c r="V1461" s="176"/>
      <c r="W1461" s="176"/>
      <c r="X1461" s="176"/>
      <c r="Y1461" s="176"/>
      <c r="Z1461" s="176"/>
    </row>
    <row r="1462">
      <c r="A1462" s="249"/>
      <c r="B1462" s="249"/>
      <c r="C1462" s="219"/>
      <c r="D1462" s="268"/>
      <c r="E1462" s="251"/>
      <c r="F1462" s="250"/>
      <c r="G1462" s="243"/>
      <c r="H1462" s="243"/>
      <c r="I1462" s="243"/>
      <c r="J1462" s="325"/>
      <c r="K1462" s="326"/>
      <c r="L1462" s="327"/>
      <c r="M1462" s="321"/>
      <c r="N1462" s="176"/>
      <c r="O1462" s="176"/>
      <c r="P1462" s="176"/>
      <c r="Q1462" s="176"/>
      <c r="R1462" s="176"/>
      <c r="S1462" s="176"/>
      <c r="T1462" s="176"/>
      <c r="U1462" s="176"/>
      <c r="V1462" s="176"/>
      <c r="W1462" s="176"/>
      <c r="X1462" s="176"/>
      <c r="Y1462" s="176"/>
      <c r="Z1462" s="176"/>
    </row>
    <row r="1463">
      <c r="A1463" s="249"/>
      <c r="B1463" s="249"/>
      <c r="C1463" s="219"/>
      <c r="D1463" s="268"/>
      <c r="E1463" s="251"/>
      <c r="F1463" s="250"/>
      <c r="G1463" s="243"/>
      <c r="H1463" s="243"/>
      <c r="I1463" s="243"/>
      <c r="J1463" s="325"/>
      <c r="K1463" s="326"/>
      <c r="L1463" s="327"/>
      <c r="M1463" s="321"/>
      <c r="N1463" s="176"/>
      <c r="O1463" s="176"/>
      <c r="P1463" s="176"/>
      <c r="Q1463" s="176"/>
      <c r="R1463" s="176"/>
      <c r="S1463" s="176"/>
      <c r="T1463" s="176"/>
      <c r="U1463" s="176"/>
      <c r="V1463" s="176"/>
      <c r="W1463" s="176"/>
      <c r="X1463" s="176"/>
      <c r="Y1463" s="176"/>
      <c r="Z1463" s="176"/>
    </row>
    <row r="1464">
      <c r="A1464" s="249"/>
      <c r="B1464" s="249"/>
      <c r="C1464" s="219"/>
      <c r="D1464" s="268"/>
      <c r="E1464" s="251"/>
      <c r="F1464" s="250"/>
      <c r="G1464" s="243"/>
      <c r="H1464" s="243"/>
      <c r="I1464" s="243"/>
      <c r="J1464" s="325"/>
      <c r="K1464" s="326"/>
      <c r="L1464" s="327"/>
      <c r="M1464" s="321"/>
      <c r="N1464" s="176"/>
      <c r="O1464" s="176"/>
      <c r="P1464" s="176"/>
      <c r="Q1464" s="176"/>
      <c r="R1464" s="176"/>
      <c r="S1464" s="176"/>
      <c r="T1464" s="176"/>
      <c r="U1464" s="176"/>
      <c r="V1464" s="176"/>
      <c r="W1464" s="176"/>
      <c r="X1464" s="176"/>
      <c r="Y1464" s="176"/>
      <c r="Z1464" s="176"/>
    </row>
    <row r="1465">
      <c r="A1465" s="249"/>
      <c r="B1465" s="249"/>
      <c r="C1465" s="219"/>
      <c r="D1465" s="268"/>
      <c r="E1465" s="251"/>
      <c r="F1465" s="250"/>
      <c r="G1465" s="243"/>
      <c r="H1465" s="243"/>
      <c r="I1465" s="243"/>
      <c r="J1465" s="325"/>
      <c r="K1465" s="326"/>
      <c r="L1465" s="327"/>
      <c r="M1465" s="321"/>
      <c r="N1465" s="176"/>
      <c r="O1465" s="176"/>
      <c r="P1465" s="176"/>
      <c r="Q1465" s="176"/>
      <c r="R1465" s="176"/>
      <c r="S1465" s="176"/>
      <c r="T1465" s="176"/>
      <c r="U1465" s="176"/>
      <c r="V1465" s="176"/>
      <c r="W1465" s="176"/>
      <c r="X1465" s="176"/>
      <c r="Y1465" s="176"/>
      <c r="Z1465" s="176"/>
    </row>
    <row r="1466">
      <c r="A1466" s="249"/>
      <c r="B1466" s="249"/>
      <c r="C1466" s="219"/>
      <c r="D1466" s="268"/>
      <c r="E1466" s="251"/>
      <c r="F1466" s="250"/>
      <c r="G1466" s="243"/>
      <c r="H1466" s="243"/>
      <c r="I1466" s="243"/>
      <c r="J1466" s="325"/>
      <c r="K1466" s="326"/>
      <c r="L1466" s="327"/>
      <c r="M1466" s="321"/>
      <c r="N1466" s="176"/>
      <c r="O1466" s="176"/>
      <c r="P1466" s="176"/>
      <c r="Q1466" s="176"/>
      <c r="R1466" s="176"/>
      <c r="S1466" s="176"/>
      <c r="T1466" s="176"/>
      <c r="U1466" s="176"/>
      <c r="V1466" s="176"/>
      <c r="W1466" s="176"/>
      <c r="X1466" s="176"/>
      <c r="Y1466" s="176"/>
      <c r="Z1466" s="176"/>
    </row>
    <row r="1467">
      <c r="A1467" s="249"/>
      <c r="B1467" s="249"/>
      <c r="C1467" s="219"/>
      <c r="D1467" s="268"/>
      <c r="E1467" s="251"/>
      <c r="F1467" s="250"/>
      <c r="G1467" s="243"/>
      <c r="H1467" s="243"/>
      <c r="I1467" s="243"/>
      <c r="J1467" s="325"/>
      <c r="K1467" s="326"/>
      <c r="L1467" s="327"/>
      <c r="M1467" s="321"/>
      <c r="N1467" s="176"/>
      <c r="O1467" s="176"/>
      <c r="P1467" s="176"/>
      <c r="Q1467" s="176"/>
      <c r="R1467" s="176"/>
      <c r="S1467" s="176"/>
      <c r="T1467" s="176"/>
      <c r="U1467" s="176"/>
      <c r="V1467" s="176"/>
      <c r="W1467" s="176"/>
      <c r="X1467" s="176"/>
      <c r="Y1467" s="176"/>
      <c r="Z1467" s="176"/>
    </row>
    <row r="1468">
      <c r="A1468" s="249"/>
      <c r="B1468" s="249"/>
      <c r="C1468" s="219"/>
      <c r="D1468" s="268"/>
      <c r="E1468" s="251"/>
      <c r="F1468" s="250"/>
      <c r="G1468" s="243"/>
      <c r="H1468" s="243"/>
      <c r="I1468" s="243"/>
      <c r="J1468" s="325"/>
      <c r="K1468" s="326"/>
      <c r="L1468" s="327"/>
      <c r="M1468" s="321"/>
      <c r="N1468" s="176"/>
      <c r="O1468" s="176"/>
      <c r="P1468" s="176"/>
      <c r="Q1468" s="176"/>
      <c r="R1468" s="176"/>
      <c r="S1468" s="176"/>
      <c r="T1468" s="176"/>
      <c r="U1468" s="176"/>
      <c r="V1468" s="176"/>
      <c r="W1468" s="176"/>
      <c r="X1468" s="176"/>
      <c r="Y1468" s="176"/>
      <c r="Z1468" s="176"/>
    </row>
    <row r="1469">
      <c r="A1469" s="249"/>
      <c r="B1469" s="249"/>
      <c r="C1469" s="219"/>
      <c r="D1469" s="268"/>
      <c r="E1469" s="251"/>
      <c r="F1469" s="250"/>
      <c r="G1469" s="243"/>
      <c r="H1469" s="243"/>
      <c r="I1469" s="243"/>
      <c r="J1469" s="325"/>
      <c r="K1469" s="326"/>
      <c r="L1469" s="327"/>
      <c r="M1469" s="321"/>
      <c r="N1469" s="176"/>
      <c r="O1469" s="176"/>
      <c r="P1469" s="176"/>
      <c r="Q1469" s="176"/>
      <c r="R1469" s="176"/>
      <c r="S1469" s="176"/>
      <c r="T1469" s="176"/>
      <c r="U1469" s="176"/>
      <c r="V1469" s="176"/>
      <c r="W1469" s="176"/>
      <c r="X1469" s="176"/>
      <c r="Y1469" s="176"/>
      <c r="Z1469" s="176"/>
    </row>
    <row r="1470">
      <c r="A1470" s="249"/>
      <c r="B1470" s="249"/>
      <c r="C1470" s="219"/>
      <c r="D1470" s="268"/>
      <c r="E1470" s="251"/>
      <c r="F1470" s="250"/>
      <c r="G1470" s="243"/>
      <c r="H1470" s="243"/>
      <c r="I1470" s="243"/>
      <c r="J1470" s="325"/>
      <c r="K1470" s="326"/>
      <c r="L1470" s="327"/>
      <c r="M1470" s="321"/>
      <c r="N1470" s="176"/>
      <c r="O1470" s="176"/>
      <c r="P1470" s="176"/>
      <c r="Q1470" s="176"/>
      <c r="R1470" s="176"/>
      <c r="S1470" s="176"/>
      <c r="T1470" s="176"/>
      <c r="U1470" s="176"/>
      <c r="V1470" s="176"/>
      <c r="W1470" s="176"/>
      <c r="X1470" s="176"/>
      <c r="Y1470" s="176"/>
      <c r="Z1470" s="176"/>
    </row>
    <row r="1471">
      <c r="A1471" s="249"/>
      <c r="B1471" s="249"/>
      <c r="C1471" s="219"/>
      <c r="D1471" s="268"/>
      <c r="E1471" s="251"/>
      <c r="F1471" s="250"/>
      <c r="G1471" s="243"/>
      <c r="H1471" s="243"/>
      <c r="I1471" s="243"/>
      <c r="J1471" s="325"/>
      <c r="K1471" s="326"/>
      <c r="L1471" s="327"/>
      <c r="M1471" s="321"/>
      <c r="N1471" s="176"/>
      <c r="O1471" s="176"/>
      <c r="P1471" s="176"/>
      <c r="Q1471" s="176"/>
      <c r="R1471" s="176"/>
      <c r="S1471" s="176"/>
      <c r="T1471" s="176"/>
      <c r="U1471" s="176"/>
      <c r="V1471" s="176"/>
      <c r="W1471" s="176"/>
      <c r="X1471" s="176"/>
      <c r="Y1471" s="176"/>
      <c r="Z1471" s="176"/>
    </row>
    <row r="1472">
      <c r="A1472" s="249"/>
      <c r="B1472" s="249"/>
      <c r="C1472" s="219"/>
      <c r="D1472" s="268"/>
      <c r="E1472" s="251"/>
      <c r="F1472" s="250"/>
      <c r="G1472" s="243"/>
      <c r="H1472" s="243"/>
      <c r="I1472" s="243"/>
      <c r="J1472" s="325"/>
      <c r="K1472" s="326"/>
      <c r="L1472" s="327"/>
      <c r="M1472" s="321"/>
      <c r="N1472" s="176"/>
      <c r="O1472" s="176"/>
      <c r="P1472" s="176"/>
      <c r="Q1472" s="176"/>
      <c r="R1472" s="176"/>
      <c r="S1472" s="176"/>
      <c r="T1472" s="176"/>
      <c r="U1472" s="176"/>
      <c r="V1472" s="176"/>
      <c r="W1472" s="176"/>
      <c r="X1472" s="176"/>
      <c r="Y1472" s="176"/>
      <c r="Z1472" s="176"/>
    </row>
    <row r="1473">
      <c r="A1473" s="249"/>
      <c r="B1473" s="249"/>
      <c r="C1473" s="219"/>
      <c r="D1473" s="268"/>
      <c r="E1473" s="251"/>
      <c r="F1473" s="250"/>
      <c r="G1473" s="243"/>
      <c r="H1473" s="243"/>
      <c r="I1473" s="243"/>
      <c r="J1473" s="325"/>
      <c r="K1473" s="326"/>
      <c r="L1473" s="327"/>
      <c r="M1473" s="321"/>
      <c r="N1473" s="176"/>
      <c r="O1473" s="176"/>
      <c r="P1473" s="176"/>
      <c r="Q1473" s="176"/>
      <c r="R1473" s="176"/>
      <c r="S1473" s="176"/>
      <c r="T1473" s="176"/>
      <c r="U1473" s="176"/>
      <c r="V1473" s="176"/>
      <c r="W1473" s="176"/>
      <c r="X1473" s="176"/>
      <c r="Y1473" s="176"/>
      <c r="Z1473" s="176"/>
    </row>
    <row r="1474">
      <c r="A1474" s="249"/>
      <c r="B1474" s="249"/>
      <c r="C1474" s="219"/>
      <c r="D1474" s="268"/>
      <c r="E1474" s="251"/>
      <c r="F1474" s="250"/>
      <c r="G1474" s="243"/>
      <c r="H1474" s="243"/>
      <c r="I1474" s="243"/>
      <c r="J1474" s="325"/>
      <c r="K1474" s="326"/>
      <c r="L1474" s="327"/>
      <c r="M1474" s="321"/>
      <c r="N1474" s="176"/>
      <c r="O1474" s="176"/>
      <c r="P1474" s="176"/>
      <c r="Q1474" s="176"/>
      <c r="R1474" s="176"/>
      <c r="S1474" s="176"/>
      <c r="T1474" s="176"/>
      <c r="U1474" s="176"/>
      <c r="V1474" s="176"/>
      <c r="W1474" s="176"/>
      <c r="X1474" s="176"/>
      <c r="Y1474" s="176"/>
      <c r="Z1474" s="176"/>
    </row>
    <row r="1475">
      <c r="A1475" s="249"/>
      <c r="B1475" s="249"/>
      <c r="C1475" s="219"/>
      <c r="D1475" s="268"/>
      <c r="E1475" s="251"/>
      <c r="F1475" s="250"/>
      <c r="G1475" s="243"/>
      <c r="H1475" s="243"/>
      <c r="I1475" s="243"/>
      <c r="J1475" s="325"/>
      <c r="K1475" s="326"/>
      <c r="L1475" s="327"/>
      <c r="M1475" s="321"/>
      <c r="N1475" s="176"/>
      <c r="O1475" s="176"/>
      <c r="P1475" s="176"/>
      <c r="Q1475" s="176"/>
      <c r="R1475" s="176"/>
      <c r="S1475" s="176"/>
      <c r="T1475" s="176"/>
      <c r="U1475" s="176"/>
      <c r="V1475" s="176"/>
      <c r="W1475" s="176"/>
      <c r="X1475" s="176"/>
      <c r="Y1475" s="176"/>
      <c r="Z1475" s="176"/>
    </row>
    <row r="1476">
      <c r="A1476" s="249"/>
      <c r="B1476" s="249"/>
      <c r="C1476" s="219"/>
      <c r="D1476" s="268"/>
      <c r="E1476" s="251"/>
      <c r="F1476" s="250"/>
      <c r="G1476" s="243"/>
      <c r="H1476" s="243"/>
      <c r="I1476" s="243"/>
      <c r="J1476" s="325"/>
      <c r="K1476" s="326"/>
      <c r="L1476" s="327"/>
      <c r="M1476" s="321"/>
      <c r="N1476" s="176"/>
      <c r="O1476" s="176"/>
      <c r="P1476" s="176"/>
      <c r="Q1476" s="176"/>
      <c r="R1476" s="176"/>
      <c r="S1476" s="176"/>
      <c r="T1476" s="176"/>
      <c r="U1476" s="176"/>
      <c r="V1476" s="176"/>
      <c r="W1476" s="176"/>
      <c r="X1476" s="176"/>
      <c r="Y1476" s="176"/>
      <c r="Z1476" s="176"/>
    </row>
    <row r="1477">
      <c r="A1477" s="249"/>
      <c r="B1477" s="249"/>
      <c r="C1477" s="219"/>
      <c r="D1477" s="268"/>
      <c r="E1477" s="251"/>
      <c r="F1477" s="250"/>
      <c r="G1477" s="243"/>
      <c r="H1477" s="243"/>
      <c r="I1477" s="243"/>
      <c r="J1477" s="325"/>
      <c r="K1477" s="326"/>
      <c r="L1477" s="327"/>
      <c r="M1477" s="321"/>
      <c r="N1477" s="176"/>
      <c r="O1477" s="176"/>
      <c r="P1477" s="176"/>
      <c r="Q1477" s="176"/>
      <c r="R1477" s="176"/>
      <c r="S1477" s="176"/>
      <c r="T1477" s="176"/>
      <c r="U1477" s="176"/>
      <c r="V1477" s="176"/>
      <c r="W1477" s="176"/>
      <c r="X1477" s="176"/>
      <c r="Y1477" s="176"/>
      <c r="Z1477" s="176"/>
    </row>
    <row r="1478">
      <c r="A1478" s="249"/>
      <c r="B1478" s="249"/>
      <c r="C1478" s="219"/>
      <c r="D1478" s="268"/>
      <c r="E1478" s="251"/>
      <c r="F1478" s="250"/>
      <c r="G1478" s="243"/>
      <c r="H1478" s="243"/>
      <c r="I1478" s="243"/>
      <c r="J1478" s="325"/>
      <c r="K1478" s="326"/>
      <c r="L1478" s="327"/>
      <c r="M1478" s="321"/>
      <c r="N1478" s="176"/>
      <c r="O1478" s="176"/>
      <c r="P1478" s="176"/>
      <c r="Q1478" s="176"/>
      <c r="R1478" s="176"/>
      <c r="S1478" s="176"/>
      <c r="T1478" s="176"/>
      <c r="U1478" s="176"/>
      <c r="V1478" s="176"/>
      <c r="W1478" s="176"/>
      <c r="X1478" s="176"/>
      <c r="Y1478" s="176"/>
      <c r="Z1478" s="176"/>
    </row>
    <row r="1479">
      <c r="A1479" s="249"/>
      <c r="B1479" s="249"/>
      <c r="C1479" s="219"/>
      <c r="D1479" s="268"/>
      <c r="E1479" s="251"/>
      <c r="F1479" s="250"/>
      <c r="G1479" s="243"/>
      <c r="H1479" s="243"/>
      <c r="I1479" s="243"/>
      <c r="J1479" s="325"/>
      <c r="K1479" s="326"/>
      <c r="L1479" s="327"/>
      <c r="M1479" s="321"/>
      <c r="N1479" s="176"/>
      <c r="O1479" s="176"/>
      <c r="P1479" s="176"/>
      <c r="Q1479" s="176"/>
      <c r="R1479" s="176"/>
      <c r="S1479" s="176"/>
      <c r="T1479" s="176"/>
      <c r="U1479" s="176"/>
      <c r="V1479" s="176"/>
      <c r="W1479" s="176"/>
      <c r="X1479" s="176"/>
      <c r="Y1479" s="176"/>
      <c r="Z1479" s="176"/>
    </row>
    <row r="1480">
      <c r="A1480" s="249"/>
      <c r="B1480" s="249"/>
      <c r="C1480" s="219"/>
      <c r="D1480" s="268"/>
      <c r="E1480" s="251"/>
      <c r="F1480" s="250"/>
      <c r="G1480" s="243"/>
      <c r="H1480" s="243"/>
      <c r="I1480" s="243"/>
      <c r="J1480" s="325"/>
      <c r="K1480" s="326"/>
      <c r="L1480" s="327"/>
      <c r="M1480" s="321"/>
      <c r="N1480" s="176"/>
      <c r="O1480" s="176"/>
      <c r="P1480" s="176"/>
      <c r="Q1480" s="176"/>
      <c r="R1480" s="176"/>
      <c r="S1480" s="176"/>
      <c r="T1480" s="176"/>
      <c r="U1480" s="176"/>
      <c r="V1480" s="176"/>
      <c r="W1480" s="176"/>
      <c r="X1480" s="176"/>
      <c r="Y1480" s="176"/>
      <c r="Z1480" s="176"/>
    </row>
    <row r="1481">
      <c r="A1481" s="249"/>
      <c r="B1481" s="249"/>
      <c r="C1481" s="219"/>
      <c r="D1481" s="268"/>
      <c r="E1481" s="251"/>
      <c r="F1481" s="250"/>
      <c r="G1481" s="243"/>
      <c r="H1481" s="243"/>
      <c r="I1481" s="243"/>
      <c r="J1481" s="325"/>
      <c r="K1481" s="326"/>
      <c r="L1481" s="327"/>
      <c r="M1481" s="321"/>
      <c r="N1481" s="176"/>
      <c r="O1481" s="176"/>
      <c r="P1481" s="176"/>
      <c r="Q1481" s="176"/>
      <c r="R1481" s="176"/>
      <c r="S1481" s="176"/>
      <c r="T1481" s="176"/>
      <c r="U1481" s="176"/>
      <c r="V1481" s="176"/>
      <c r="W1481" s="176"/>
      <c r="X1481" s="176"/>
      <c r="Y1481" s="176"/>
      <c r="Z1481" s="176"/>
    </row>
    <row r="1482">
      <c r="A1482" s="249"/>
      <c r="B1482" s="249"/>
      <c r="C1482" s="219"/>
      <c r="D1482" s="268"/>
      <c r="E1482" s="251"/>
      <c r="F1482" s="250"/>
      <c r="G1482" s="243"/>
      <c r="H1482" s="243"/>
      <c r="I1482" s="243"/>
      <c r="J1482" s="325"/>
      <c r="K1482" s="326"/>
      <c r="L1482" s="327"/>
      <c r="M1482" s="321"/>
      <c r="N1482" s="176"/>
      <c r="O1482" s="176"/>
      <c r="P1482" s="176"/>
      <c r="Q1482" s="176"/>
      <c r="R1482" s="176"/>
      <c r="S1482" s="176"/>
      <c r="T1482" s="176"/>
      <c r="U1482" s="176"/>
      <c r="V1482" s="176"/>
      <c r="W1482" s="176"/>
      <c r="X1482" s="176"/>
      <c r="Y1482" s="176"/>
      <c r="Z1482" s="176"/>
    </row>
    <row r="1483">
      <c r="A1483" s="249"/>
      <c r="B1483" s="249"/>
      <c r="C1483" s="219"/>
      <c r="D1483" s="268"/>
      <c r="E1483" s="251"/>
      <c r="F1483" s="250"/>
      <c r="G1483" s="243"/>
      <c r="H1483" s="243"/>
      <c r="I1483" s="243"/>
      <c r="J1483" s="325"/>
      <c r="K1483" s="326"/>
      <c r="L1483" s="327"/>
      <c r="M1483" s="321"/>
      <c r="N1483" s="176"/>
      <c r="O1483" s="176"/>
      <c r="P1483" s="176"/>
      <c r="Q1483" s="176"/>
      <c r="R1483" s="176"/>
      <c r="S1483" s="176"/>
      <c r="T1483" s="176"/>
      <c r="U1483" s="176"/>
      <c r="V1483" s="176"/>
      <c r="W1483" s="176"/>
      <c r="X1483" s="176"/>
      <c r="Y1483" s="176"/>
      <c r="Z1483" s="176"/>
    </row>
    <row r="1484">
      <c r="A1484" s="249"/>
      <c r="B1484" s="249"/>
      <c r="C1484" s="219"/>
      <c r="D1484" s="268"/>
      <c r="E1484" s="251"/>
      <c r="F1484" s="250"/>
      <c r="G1484" s="243"/>
      <c r="H1484" s="243"/>
      <c r="I1484" s="243"/>
      <c r="J1484" s="325"/>
      <c r="K1484" s="326"/>
      <c r="L1484" s="327"/>
      <c r="M1484" s="321"/>
      <c r="N1484" s="176"/>
      <c r="O1484" s="176"/>
      <c r="P1484" s="176"/>
      <c r="Q1484" s="176"/>
      <c r="R1484" s="176"/>
      <c r="S1484" s="176"/>
      <c r="T1484" s="176"/>
      <c r="U1484" s="176"/>
      <c r="V1484" s="176"/>
      <c r="W1484" s="176"/>
      <c r="X1484" s="176"/>
      <c r="Y1484" s="176"/>
      <c r="Z1484" s="176"/>
    </row>
    <row r="1485">
      <c r="A1485" s="249"/>
      <c r="B1485" s="249"/>
      <c r="C1485" s="219"/>
      <c r="D1485" s="268"/>
      <c r="E1485" s="251"/>
      <c r="F1485" s="250"/>
      <c r="G1485" s="243"/>
      <c r="H1485" s="243"/>
      <c r="I1485" s="243"/>
      <c r="J1485" s="325"/>
      <c r="K1485" s="326"/>
      <c r="L1485" s="327"/>
      <c r="M1485" s="321"/>
      <c r="N1485" s="176"/>
      <c r="O1485" s="176"/>
      <c r="P1485" s="176"/>
      <c r="Q1485" s="176"/>
      <c r="R1485" s="176"/>
      <c r="S1485" s="176"/>
      <c r="T1485" s="176"/>
      <c r="U1485" s="176"/>
      <c r="V1485" s="176"/>
      <c r="W1485" s="176"/>
      <c r="X1485" s="176"/>
      <c r="Y1485" s="176"/>
      <c r="Z1485" s="176"/>
    </row>
    <row r="1486">
      <c r="A1486" s="249"/>
      <c r="B1486" s="249"/>
      <c r="C1486" s="219"/>
      <c r="D1486" s="268"/>
      <c r="E1486" s="251"/>
      <c r="F1486" s="250"/>
      <c r="G1486" s="243"/>
      <c r="H1486" s="243"/>
      <c r="I1486" s="243"/>
      <c r="J1486" s="325"/>
      <c r="K1486" s="326"/>
      <c r="L1486" s="327"/>
      <c r="M1486" s="321"/>
      <c r="N1486" s="176"/>
      <c r="O1486" s="176"/>
      <c r="P1486" s="176"/>
      <c r="Q1486" s="176"/>
      <c r="R1486" s="176"/>
      <c r="S1486" s="176"/>
      <c r="T1486" s="176"/>
      <c r="U1486" s="176"/>
      <c r="V1486" s="176"/>
      <c r="W1486" s="176"/>
      <c r="X1486" s="176"/>
      <c r="Y1486" s="176"/>
      <c r="Z1486" s="176"/>
    </row>
    <row r="1487">
      <c r="A1487" s="249"/>
      <c r="B1487" s="249"/>
      <c r="C1487" s="219"/>
      <c r="D1487" s="268"/>
      <c r="E1487" s="251"/>
      <c r="F1487" s="250"/>
      <c r="G1487" s="243"/>
      <c r="H1487" s="243"/>
      <c r="I1487" s="243"/>
      <c r="J1487" s="325"/>
      <c r="K1487" s="326"/>
      <c r="L1487" s="327"/>
      <c r="M1487" s="321"/>
      <c r="N1487" s="176"/>
      <c r="O1487" s="176"/>
      <c r="P1487" s="176"/>
      <c r="Q1487" s="176"/>
      <c r="R1487" s="176"/>
      <c r="S1487" s="176"/>
      <c r="T1487" s="176"/>
      <c r="U1487" s="176"/>
      <c r="V1487" s="176"/>
      <c r="W1487" s="176"/>
      <c r="X1487" s="176"/>
      <c r="Y1487" s="176"/>
      <c r="Z1487" s="176"/>
    </row>
    <row r="1488">
      <c r="A1488" s="249"/>
      <c r="B1488" s="249"/>
      <c r="C1488" s="219"/>
      <c r="D1488" s="268"/>
      <c r="E1488" s="251"/>
      <c r="F1488" s="250"/>
      <c r="G1488" s="243"/>
      <c r="H1488" s="243"/>
      <c r="I1488" s="243"/>
      <c r="J1488" s="325"/>
      <c r="K1488" s="326"/>
      <c r="L1488" s="327"/>
      <c r="M1488" s="321"/>
      <c r="N1488" s="176"/>
      <c r="O1488" s="176"/>
      <c r="P1488" s="176"/>
      <c r="Q1488" s="176"/>
      <c r="R1488" s="176"/>
      <c r="S1488" s="176"/>
      <c r="T1488" s="176"/>
      <c r="U1488" s="176"/>
      <c r="V1488" s="176"/>
      <c r="W1488" s="176"/>
      <c r="X1488" s="176"/>
      <c r="Y1488" s="176"/>
      <c r="Z1488" s="176"/>
    </row>
    <row r="1489">
      <c r="A1489" s="249"/>
      <c r="B1489" s="249"/>
      <c r="C1489" s="219"/>
      <c r="D1489" s="268"/>
      <c r="E1489" s="251"/>
      <c r="F1489" s="250"/>
      <c r="G1489" s="243"/>
      <c r="H1489" s="243"/>
      <c r="I1489" s="243"/>
      <c r="J1489" s="325"/>
      <c r="K1489" s="326"/>
      <c r="L1489" s="327"/>
      <c r="M1489" s="321"/>
      <c r="N1489" s="176"/>
      <c r="O1489" s="176"/>
      <c r="P1489" s="176"/>
      <c r="Q1489" s="176"/>
      <c r="R1489" s="176"/>
      <c r="S1489" s="176"/>
      <c r="T1489" s="176"/>
      <c r="U1489" s="176"/>
      <c r="V1489" s="176"/>
      <c r="W1489" s="176"/>
      <c r="X1489" s="176"/>
      <c r="Y1489" s="176"/>
      <c r="Z1489" s="176"/>
    </row>
    <row r="1490">
      <c r="A1490" s="249"/>
      <c r="B1490" s="249"/>
      <c r="C1490" s="219"/>
      <c r="D1490" s="268"/>
      <c r="E1490" s="251"/>
      <c r="F1490" s="250"/>
      <c r="G1490" s="243"/>
      <c r="H1490" s="243"/>
      <c r="I1490" s="243"/>
      <c r="J1490" s="325"/>
      <c r="K1490" s="326"/>
      <c r="L1490" s="327"/>
      <c r="M1490" s="321"/>
      <c r="N1490" s="176"/>
      <c r="O1490" s="176"/>
      <c r="P1490" s="176"/>
      <c r="Q1490" s="176"/>
      <c r="R1490" s="176"/>
      <c r="S1490" s="176"/>
      <c r="T1490" s="176"/>
      <c r="U1490" s="176"/>
      <c r="V1490" s="176"/>
      <c r="W1490" s="176"/>
      <c r="X1490" s="176"/>
      <c r="Y1490" s="176"/>
      <c r="Z1490" s="176"/>
    </row>
    <row r="1491">
      <c r="A1491" s="249"/>
      <c r="B1491" s="249"/>
      <c r="C1491" s="219"/>
      <c r="D1491" s="268"/>
      <c r="E1491" s="251"/>
      <c r="F1491" s="250"/>
      <c r="G1491" s="243"/>
      <c r="H1491" s="243"/>
      <c r="I1491" s="243"/>
      <c r="J1491" s="325"/>
      <c r="K1491" s="326"/>
      <c r="L1491" s="327"/>
      <c r="M1491" s="321"/>
      <c r="N1491" s="176"/>
      <c r="O1491" s="176"/>
      <c r="P1491" s="176"/>
      <c r="Q1491" s="176"/>
      <c r="R1491" s="176"/>
      <c r="S1491" s="176"/>
      <c r="T1491" s="176"/>
      <c r="U1491" s="176"/>
      <c r="V1491" s="176"/>
      <c r="W1491" s="176"/>
      <c r="X1491" s="176"/>
      <c r="Y1491" s="176"/>
      <c r="Z1491" s="176"/>
    </row>
    <row r="1492">
      <c r="A1492" s="249"/>
      <c r="B1492" s="249"/>
      <c r="C1492" s="219"/>
      <c r="D1492" s="268"/>
      <c r="E1492" s="251"/>
      <c r="F1492" s="250"/>
      <c r="G1492" s="243"/>
      <c r="H1492" s="243"/>
      <c r="I1492" s="243"/>
      <c r="J1492" s="325"/>
      <c r="K1492" s="326"/>
      <c r="L1492" s="327"/>
      <c r="M1492" s="321"/>
      <c r="N1492" s="176"/>
      <c r="O1492" s="176"/>
      <c r="P1492" s="176"/>
      <c r="Q1492" s="176"/>
      <c r="R1492" s="176"/>
      <c r="S1492" s="176"/>
      <c r="T1492" s="176"/>
      <c r="U1492" s="176"/>
      <c r="V1492" s="176"/>
      <c r="W1492" s="176"/>
      <c r="X1492" s="176"/>
      <c r="Y1492" s="176"/>
      <c r="Z1492" s="176"/>
    </row>
    <row r="1493">
      <c r="A1493" s="249"/>
      <c r="B1493" s="249"/>
      <c r="C1493" s="219"/>
      <c r="D1493" s="268"/>
      <c r="E1493" s="251"/>
      <c r="F1493" s="250"/>
      <c r="G1493" s="243"/>
      <c r="H1493" s="243"/>
      <c r="I1493" s="243"/>
      <c r="J1493" s="325"/>
      <c r="K1493" s="326"/>
      <c r="L1493" s="327"/>
      <c r="M1493" s="321"/>
      <c r="N1493" s="176"/>
      <c r="O1493" s="176"/>
      <c r="P1493" s="176"/>
      <c r="Q1493" s="176"/>
      <c r="R1493" s="176"/>
      <c r="S1493" s="176"/>
      <c r="T1493" s="176"/>
      <c r="U1493" s="176"/>
      <c r="V1493" s="176"/>
      <c r="W1493" s="176"/>
      <c r="X1493" s="176"/>
      <c r="Y1493" s="176"/>
      <c r="Z1493" s="176"/>
    </row>
    <row r="1494">
      <c r="A1494" s="249"/>
      <c r="B1494" s="249"/>
      <c r="C1494" s="219"/>
      <c r="D1494" s="268"/>
      <c r="E1494" s="251"/>
      <c r="F1494" s="250"/>
      <c r="G1494" s="243"/>
      <c r="H1494" s="243"/>
      <c r="I1494" s="243"/>
      <c r="J1494" s="325"/>
      <c r="K1494" s="326"/>
      <c r="L1494" s="327"/>
      <c r="M1494" s="321"/>
      <c r="N1494" s="176"/>
      <c r="O1494" s="176"/>
      <c r="P1494" s="176"/>
      <c r="Q1494" s="176"/>
      <c r="R1494" s="176"/>
      <c r="S1494" s="176"/>
      <c r="T1494" s="176"/>
      <c r="U1494" s="176"/>
      <c r="V1494" s="176"/>
      <c r="W1494" s="176"/>
      <c r="X1494" s="176"/>
      <c r="Y1494" s="176"/>
      <c r="Z1494" s="176"/>
    </row>
    <row r="1495">
      <c r="A1495" s="249"/>
      <c r="B1495" s="249"/>
      <c r="C1495" s="219"/>
      <c r="D1495" s="268"/>
      <c r="E1495" s="251"/>
      <c r="F1495" s="250"/>
      <c r="G1495" s="243"/>
      <c r="H1495" s="243"/>
      <c r="I1495" s="243"/>
      <c r="J1495" s="325"/>
      <c r="K1495" s="326"/>
      <c r="L1495" s="327"/>
      <c r="M1495" s="321"/>
      <c r="N1495" s="176"/>
      <c r="O1495" s="176"/>
      <c r="P1495" s="176"/>
      <c r="Q1495" s="176"/>
      <c r="R1495" s="176"/>
      <c r="S1495" s="176"/>
      <c r="T1495" s="176"/>
      <c r="U1495" s="176"/>
      <c r="V1495" s="176"/>
      <c r="W1495" s="176"/>
      <c r="X1495" s="176"/>
      <c r="Y1495" s="176"/>
      <c r="Z1495" s="176"/>
    </row>
    <row r="1496">
      <c r="A1496" s="249"/>
      <c r="B1496" s="249"/>
      <c r="C1496" s="219"/>
      <c r="D1496" s="268"/>
      <c r="E1496" s="251"/>
      <c r="F1496" s="250"/>
      <c r="G1496" s="243"/>
      <c r="H1496" s="243"/>
      <c r="I1496" s="243"/>
      <c r="J1496" s="325"/>
      <c r="K1496" s="326"/>
      <c r="L1496" s="327"/>
      <c r="M1496" s="321"/>
      <c r="N1496" s="176"/>
      <c r="O1496" s="176"/>
      <c r="P1496" s="176"/>
      <c r="Q1496" s="176"/>
      <c r="R1496" s="176"/>
      <c r="S1496" s="176"/>
      <c r="T1496" s="176"/>
      <c r="U1496" s="176"/>
      <c r="V1496" s="176"/>
      <c r="W1496" s="176"/>
      <c r="X1496" s="176"/>
      <c r="Y1496" s="176"/>
      <c r="Z1496" s="176"/>
    </row>
    <row r="1497">
      <c r="A1497" s="249"/>
      <c r="B1497" s="249"/>
      <c r="C1497" s="219"/>
      <c r="D1497" s="268"/>
      <c r="E1497" s="251"/>
      <c r="F1497" s="250"/>
      <c r="G1497" s="243"/>
      <c r="H1497" s="243"/>
      <c r="I1497" s="243"/>
      <c r="J1497" s="325"/>
      <c r="K1497" s="326"/>
      <c r="L1497" s="327"/>
      <c r="M1497" s="321"/>
      <c r="N1497" s="176"/>
      <c r="O1497" s="176"/>
      <c r="P1497" s="176"/>
      <c r="Q1497" s="176"/>
      <c r="R1497" s="176"/>
      <c r="S1497" s="176"/>
      <c r="T1497" s="176"/>
      <c r="U1497" s="176"/>
      <c r="V1497" s="176"/>
      <c r="W1497" s="176"/>
      <c r="X1497" s="176"/>
      <c r="Y1497" s="176"/>
      <c r="Z1497" s="176"/>
    </row>
    <row r="1498">
      <c r="A1498" s="249"/>
      <c r="B1498" s="249"/>
      <c r="C1498" s="219"/>
      <c r="D1498" s="268"/>
      <c r="E1498" s="251"/>
      <c r="F1498" s="250"/>
      <c r="G1498" s="243"/>
      <c r="H1498" s="243"/>
      <c r="I1498" s="243"/>
      <c r="J1498" s="325"/>
      <c r="K1498" s="326"/>
      <c r="L1498" s="327"/>
      <c r="M1498" s="321"/>
      <c r="N1498" s="176"/>
      <c r="O1498" s="176"/>
      <c r="P1498" s="176"/>
      <c r="Q1498" s="176"/>
      <c r="R1498" s="176"/>
      <c r="S1498" s="176"/>
      <c r="T1498" s="176"/>
      <c r="U1498" s="176"/>
      <c r="V1498" s="176"/>
      <c r="W1498" s="176"/>
      <c r="X1498" s="176"/>
      <c r="Y1498" s="176"/>
      <c r="Z1498" s="176"/>
    </row>
    <row r="1499">
      <c r="A1499" s="249"/>
      <c r="B1499" s="249"/>
      <c r="C1499" s="219"/>
      <c r="D1499" s="268"/>
      <c r="E1499" s="251"/>
      <c r="F1499" s="250"/>
      <c r="G1499" s="243"/>
      <c r="H1499" s="243"/>
      <c r="I1499" s="243"/>
      <c r="J1499" s="325"/>
      <c r="K1499" s="326"/>
      <c r="L1499" s="327"/>
      <c r="M1499" s="321"/>
      <c r="N1499" s="176"/>
      <c r="O1499" s="176"/>
      <c r="P1499" s="176"/>
      <c r="Q1499" s="176"/>
      <c r="R1499" s="176"/>
      <c r="S1499" s="176"/>
      <c r="T1499" s="176"/>
      <c r="U1499" s="176"/>
      <c r="V1499" s="176"/>
      <c r="W1499" s="176"/>
      <c r="X1499" s="176"/>
      <c r="Y1499" s="176"/>
      <c r="Z1499" s="176"/>
    </row>
    <row r="1500">
      <c r="A1500" s="249"/>
      <c r="B1500" s="249"/>
      <c r="C1500" s="219"/>
      <c r="D1500" s="268"/>
      <c r="E1500" s="251"/>
      <c r="F1500" s="250"/>
      <c r="G1500" s="243"/>
      <c r="H1500" s="243"/>
      <c r="I1500" s="243"/>
      <c r="J1500" s="325"/>
      <c r="K1500" s="326"/>
      <c r="L1500" s="327"/>
      <c r="M1500" s="321"/>
      <c r="N1500" s="176"/>
      <c r="O1500" s="176"/>
      <c r="P1500" s="176"/>
      <c r="Q1500" s="176"/>
      <c r="R1500" s="176"/>
      <c r="S1500" s="176"/>
      <c r="T1500" s="176"/>
      <c r="U1500" s="176"/>
      <c r="V1500" s="176"/>
      <c r="W1500" s="176"/>
      <c r="X1500" s="176"/>
      <c r="Y1500" s="176"/>
      <c r="Z1500" s="176"/>
    </row>
    <row r="1501">
      <c r="A1501" s="249"/>
      <c r="B1501" s="249"/>
      <c r="C1501" s="219"/>
      <c r="D1501" s="268"/>
      <c r="E1501" s="251"/>
      <c r="F1501" s="250"/>
      <c r="G1501" s="243"/>
      <c r="H1501" s="243"/>
      <c r="I1501" s="243"/>
      <c r="J1501" s="325"/>
      <c r="K1501" s="326"/>
      <c r="L1501" s="327"/>
      <c r="M1501" s="321"/>
      <c r="N1501" s="176"/>
      <c r="O1501" s="176"/>
      <c r="P1501" s="176"/>
      <c r="Q1501" s="176"/>
      <c r="R1501" s="176"/>
      <c r="S1501" s="176"/>
      <c r="T1501" s="176"/>
      <c r="U1501" s="176"/>
      <c r="V1501" s="176"/>
      <c r="W1501" s="176"/>
      <c r="X1501" s="176"/>
      <c r="Y1501" s="176"/>
      <c r="Z1501" s="176"/>
    </row>
    <row r="1502">
      <c r="A1502" s="249"/>
      <c r="B1502" s="249"/>
      <c r="C1502" s="219"/>
      <c r="D1502" s="268"/>
      <c r="E1502" s="251"/>
      <c r="F1502" s="250"/>
      <c r="G1502" s="243"/>
      <c r="H1502" s="243"/>
      <c r="I1502" s="243"/>
      <c r="J1502" s="325"/>
      <c r="K1502" s="326"/>
      <c r="L1502" s="327"/>
      <c r="M1502" s="321"/>
      <c r="N1502" s="176"/>
      <c r="O1502" s="176"/>
      <c r="P1502" s="176"/>
      <c r="Q1502" s="176"/>
      <c r="R1502" s="176"/>
      <c r="S1502" s="176"/>
      <c r="T1502" s="176"/>
      <c r="U1502" s="176"/>
      <c r="V1502" s="176"/>
      <c r="W1502" s="176"/>
      <c r="X1502" s="176"/>
      <c r="Y1502" s="176"/>
      <c r="Z1502" s="176"/>
    </row>
    <row r="1503">
      <c r="A1503" s="249"/>
      <c r="B1503" s="249"/>
      <c r="C1503" s="219"/>
      <c r="D1503" s="268"/>
      <c r="E1503" s="251"/>
      <c r="F1503" s="250"/>
      <c r="G1503" s="243"/>
      <c r="H1503" s="243"/>
      <c r="I1503" s="243"/>
      <c r="J1503" s="325"/>
      <c r="K1503" s="326"/>
      <c r="L1503" s="327"/>
      <c r="M1503" s="321"/>
      <c r="N1503" s="176"/>
      <c r="O1503" s="176"/>
      <c r="P1503" s="176"/>
      <c r="Q1503" s="176"/>
      <c r="R1503" s="176"/>
      <c r="S1503" s="176"/>
      <c r="T1503" s="176"/>
      <c r="U1503" s="176"/>
      <c r="V1503" s="176"/>
      <c r="W1503" s="176"/>
      <c r="X1503" s="176"/>
      <c r="Y1503" s="176"/>
      <c r="Z1503" s="176"/>
    </row>
    <row r="1504">
      <c r="A1504" s="249"/>
      <c r="B1504" s="249"/>
      <c r="C1504" s="219"/>
      <c r="D1504" s="268"/>
      <c r="E1504" s="251"/>
      <c r="F1504" s="250"/>
      <c r="G1504" s="243"/>
      <c r="H1504" s="243"/>
      <c r="I1504" s="243"/>
      <c r="J1504" s="325"/>
      <c r="K1504" s="326"/>
      <c r="L1504" s="327"/>
      <c r="M1504" s="321"/>
      <c r="N1504" s="176"/>
      <c r="O1504" s="176"/>
      <c r="P1504" s="176"/>
      <c r="Q1504" s="176"/>
      <c r="R1504" s="176"/>
      <c r="S1504" s="176"/>
      <c r="T1504" s="176"/>
      <c r="U1504" s="176"/>
      <c r="V1504" s="176"/>
      <c r="W1504" s="176"/>
      <c r="X1504" s="176"/>
      <c r="Y1504" s="176"/>
      <c r="Z1504" s="176"/>
    </row>
    <row r="1505">
      <c r="A1505" s="249"/>
      <c r="B1505" s="249"/>
      <c r="C1505" s="219"/>
      <c r="D1505" s="268"/>
      <c r="E1505" s="251"/>
      <c r="F1505" s="250"/>
      <c r="G1505" s="243"/>
      <c r="H1505" s="243"/>
      <c r="I1505" s="243"/>
      <c r="J1505" s="325"/>
      <c r="K1505" s="326"/>
      <c r="L1505" s="327"/>
      <c r="M1505" s="321"/>
      <c r="N1505" s="176"/>
      <c r="O1505" s="176"/>
      <c r="P1505" s="176"/>
      <c r="Q1505" s="176"/>
      <c r="R1505" s="176"/>
      <c r="S1505" s="176"/>
      <c r="T1505" s="176"/>
      <c r="U1505" s="176"/>
      <c r="V1505" s="176"/>
      <c r="W1505" s="176"/>
      <c r="X1505" s="176"/>
      <c r="Y1505" s="176"/>
      <c r="Z1505" s="176"/>
    </row>
    <row r="1506">
      <c r="A1506" s="249"/>
      <c r="B1506" s="249"/>
      <c r="C1506" s="219"/>
      <c r="D1506" s="268"/>
      <c r="E1506" s="251"/>
      <c r="F1506" s="250"/>
      <c r="G1506" s="243"/>
      <c r="H1506" s="243"/>
      <c r="I1506" s="243"/>
      <c r="J1506" s="325"/>
      <c r="K1506" s="326"/>
      <c r="L1506" s="327"/>
      <c r="M1506" s="321"/>
      <c r="N1506" s="176"/>
      <c r="O1506" s="176"/>
      <c r="P1506" s="176"/>
      <c r="Q1506" s="176"/>
      <c r="R1506" s="176"/>
      <c r="S1506" s="176"/>
      <c r="T1506" s="176"/>
      <c r="U1506" s="176"/>
      <c r="V1506" s="176"/>
      <c r="W1506" s="176"/>
      <c r="X1506" s="176"/>
      <c r="Y1506" s="176"/>
      <c r="Z1506" s="176"/>
    </row>
    <row r="1507">
      <c r="A1507" s="249"/>
      <c r="B1507" s="249"/>
      <c r="C1507" s="219"/>
      <c r="D1507" s="268"/>
      <c r="E1507" s="251"/>
      <c r="F1507" s="250"/>
      <c r="G1507" s="243"/>
      <c r="H1507" s="243"/>
      <c r="I1507" s="243"/>
      <c r="J1507" s="325"/>
      <c r="K1507" s="326"/>
      <c r="L1507" s="327"/>
      <c r="M1507" s="321"/>
      <c r="N1507" s="176"/>
      <c r="O1507" s="176"/>
      <c r="P1507" s="176"/>
      <c r="Q1507" s="176"/>
      <c r="R1507" s="176"/>
      <c r="S1507" s="176"/>
      <c r="T1507" s="176"/>
      <c r="U1507" s="176"/>
      <c r="V1507" s="176"/>
      <c r="W1507" s="176"/>
      <c r="X1507" s="176"/>
      <c r="Y1507" s="176"/>
      <c r="Z1507" s="176"/>
    </row>
    <row r="1508">
      <c r="A1508" s="249"/>
      <c r="B1508" s="249"/>
      <c r="C1508" s="219"/>
      <c r="D1508" s="268"/>
      <c r="E1508" s="251"/>
      <c r="F1508" s="250"/>
      <c r="G1508" s="243"/>
      <c r="H1508" s="243"/>
      <c r="I1508" s="243"/>
      <c r="J1508" s="325"/>
      <c r="K1508" s="326"/>
      <c r="L1508" s="327"/>
      <c r="M1508" s="321"/>
      <c r="N1508" s="176"/>
      <c r="O1508" s="176"/>
      <c r="P1508" s="176"/>
      <c r="Q1508" s="176"/>
      <c r="R1508" s="176"/>
      <c r="S1508" s="176"/>
      <c r="T1508" s="176"/>
      <c r="U1508" s="176"/>
      <c r="V1508" s="176"/>
      <c r="W1508" s="176"/>
      <c r="X1508" s="176"/>
      <c r="Y1508" s="176"/>
      <c r="Z1508" s="176"/>
    </row>
    <row r="1509">
      <c r="A1509" s="249"/>
      <c r="B1509" s="249"/>
      <c r="C1509" s="219"/>
      <c r="D1509" s="268"/>
      <c r="E1509" s="251"/>
      <c r="F1509" s="250"/>
      <c r="G1509" s="243"/>
      <c r="H1509" s="243"/>
      <c r="I1509" s="243"/>
      <c r="J1509" s="325"/>
      <c r="K1509" s="326"/>
      <c r="L1509" s="327"/>
      <c r="M1509" s="321"/>
      <c r="N1509" s="176"/>
      <c r="O1509" s="176"/>
      <c r="P1509" s="176"/>
      <c r="Q1509" s="176"/>
      <c r="R1509" s="176"/>
      <c r="S1509" s="176"/>
      <c r="T1509" s="176"/>
      <c r="U1509" s="176"/>
      <c r="V1509" s="176"/>
      <c r="W1509" s="176"/>
      <c r="X1509" s="176"/>
      <c r="Y1509" s="176"/>
      <c r="Z1509" s="176"/>
    </row>
    <row r="1510">
      <c r="A1510" s="249"/>
      <c r="B1510" s="249"/>
      <c r="C1510" s="219"/>
      <c r="D1510" s="268"/>
      <c r="E1510" s="251"/>
      <c r="F1510" s="250"/>
      <c r="G1510" s="243"/>
      <c r="H1510" s="243"/>
      <c r="I1510" s="243"/>
      <c r="J1510" s="325"/>
      <c r="K1510" s="326"/>
      <c r="L1510" s="327"/>
      <c r="M1510" s="321"/>
      <c r="N1510" s="176"/>
      <c r="O1510" s="176"/>
      <c r="P1510" s="176"/>
      <c r="Q1510" s="176"/>
      <c r="R1510" s="176"/>
      <c r="S1510" s="176"/>
      <c r="T1510" s="176"/>
      <c r="U1510" s="176"/>
      <c r="V1510" s="176"/>
      <c r="W1510" s="176"/>
      <c r="X1510" s="176"/>
      <c r="Y1510" s="176"/>
      <c r="Z1510" s="176"/>
    </row>
    <row r="1511">
      <c r="A1511" s="249"/>
      <c r="B1511" s="249"/>
      <c r="C1511" s="219"/>
      <c r="D1511" s="268"/>
      <c r="E1511" s="251"/>
      <c r="F1511" s="250"/>
      <c r="G1511" s="243"/>
      <c r="H1511" s="243"/>
      <c r="I1511" s="243"/>
      <c r="J1511" s="325"/>
      <c r="K1511" s="326"/>
      <c r="L1511" s="327"/>
      <c r="M1511" s="321"/>
      <c r="N1511" s="176"/>
      <c r="O1511" s="176"/>
      <c r="P1511" s="176"/>
      <c r="Q1511" s="176"/>
      <c r="R1511" s="176"/>
      <c r="S1511" s="176"/>
      <c r="T1511" s="176"/>
      <c r="U1511" s="176"/>
      <c r="V1511" s="176"/>
      <c r="W1511" s="176"/>
      <c r="X1511" s="176"/>
      <c r="Y1511" s="176"/>
      <c r="Z1511" s="176"/>
    </row>
    <row r="1512">
      <c r="A1512" s="249"/>
      <c r="B1512" s="249"/>
      <c r="C1512" s="219"/>
      <c r="D1512" s="268"/>
      <c r="E1512" s="251"/>
      <c r="F1512" s="250"/>
      <c r="G1512" s="243"/>
      <c r="H1512" s="243"/>
      <c r="I1512" s="243"/>
      <c r="J1512" s="325"/>
      <c r="K1512" s="326"/>
      <c r="L1512" s="327"/>
      <c r="M1512" s="321"/>
      <c r="N1512" s="176"/>
      <c r="O1512" s="176"/>
      <c r="P1512" s="176"/>
      <c r="Q1512" s="176"/>
      <c r="R1512" s="176"/>
      <c r="S1512" s="176"/>
      <c r="T1512" s="176"/>
      <c r="U1512" s="176"/>
      <c r="V1512" s="176"/>
      <c r="W1512" s="176"/>
      <c r="X1512" s="176"/>
      <c r="Y1512" s="176"/>
      <c r="Z1512" s="176"/>
    </row>
    <row r="1513">
      <c r="A1513" s="249"/>
      <c r="B1513" s="249"/>
      <c r="C1513" s="219"/>
      <c r="D1513" s="268"/>
      <c r="E1513" s="251"/>
      <c r="F1513" s="250"/>
      <c r="G1513" s="243"/>
      <c r="H1513" s="243"/>
      <c r="I1513" s="243"/>
      <c r="J1513" s="325"/>
      <c r="K1513" s="326"/>
      <c r="L1513" s="327"/>
      <c r="M1513" s="321"/>
      <c r="N1513" s="176"/>
      <c r="O1513" s="176"/>
      <c r="P1513" s="176"/>
      <c r="Q1513" s="176"/>
      <c r="R1513" s="176"/>
      <c r="S1513" s="176"/>
      <c r="T1513" s="176"/>
      <c r="U1513" s="176"/>
      <c r="V1513" s="176"/>
      <c r="W1513" s="176"/>
      <c r="X1513" s="176"/>
      <c r="Y1513" s="176"/>
      <c r="Z1513" s="176"/>
    </row>
    <row r="1514">
      <c r="A1514" s="249"/>
      <c r="B1514" s="249"/>
      <c r="C1514" s="219"/>
      <c r="D1514" s="268"/>
      <c r="E1514" s="251"/>
      <c r="F1514" s="250"/>
      <c r="G1514" s="243"/>
      <c r="H1514" s="243"/>
      <c r="I1514" s="243"/>
      <c r="J1514" s="325"/>
      <c r="K1514" s="326"/>
      <c r="L1514" s="327"/>
      <c r="M1514" s="321"/>
      <c r="N1514" s="176"/>
      <c r="O1514" s="176"/>
      <c r="P1514" s="176"/>
      <c r="Q1514" s="176"/>
      <c r="R1514" s="176"/>
      <c r="S1514" s="176"/>
      <c r="T1514" s="176"/>
      <c r="U1514" s="176"/>
      <c r="V1514" s="176"/>
      <c r="W1514" s="176"/>
      <c r="X1514" s="176"/>
      <c r="Y1514" s="176"/>
      <c r="Z1514" s="176"/>
    </row>
  </sheetData>
  <autoFilter ref="$A$3:$Z$675">
    <sortState ref="A3:Z675">
      <sortCondition descending="1" ref="L3:L675"/>
      <sortCondition ref="A3:A675"/>
      <sortCondition ref="F3:F675"/>
      <sortCondition descending="1" ref="G3:G675"/>
      <sortCondition descending="1" ref="K3:K675"/>
    </sortState>
  </autoFilter>
  <hyperlinks>
    <hyperlink r:id="rId1" ref="C1"/>
    <hyperlink r:id="rId2" ref="C2"/>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2484</v>
      </c>
      <c r="B1" s="2">
        <f>sum(B3:B901)</f>
        <v>968.3775921</v>
      </c>
    </row>
    <row r="2">
      <c r="A2" s="246" t="s">
        <v>1</v>
      </c>
      <c r="B2" s="247" t="s">
        <v>2</v>
      </c>
    </row>
    <row r="3">
      <c r="A3" s="5" t="s">
        <v>37</v>
      </c>
      <c r="B3" s="6">
        <v>58.88477341136084</v>
      </c>
    </row>
    <row r="4">
      <c r="A4" s="5" t="s">
        <v>3</v>
      </c>
      <c r="B4" s="6">
        <v>49.286195286195266</v>
      </c>
    </row>
    <row r="5">
      <c r="A5" s="5" t="s">
        <v>4</v>
      </c>
      <c r="B5" s="6">
        <v>38.097018466183144</v>
      </c>
    </row>
    <row r="6">
      <c r="A6" s="5" t="s">
        <v>12</v>
      </c>
      <c r="B6" s="6">
        <v>35.78736212994875</v>
      </c>
    </row>
    <row r="7">
      <c r="A7" s="5" t="s">
        <v>24</v>
      </c>
      <c r="B7" s="6">
        <v>34.57891595418696</v>
      </c>
    </row>
    <row r="8">
      <c r="A8" s="5" t="s">
        <v>5</v>
      </c>
      <c r="B8" s="6">
        <v>27.815969392452683</v>
      </c>
    </row>
    <row r="9">
      <c r="A9" s="5" t="s">
        <v>47</v>
      </c>
      <c r="B9" s="6">
        <v>25.820450277882138</v>
      </c>
    </row>
    <row r="10">
      <c r="A10" s="5" t="s">
        <v>10</v>
      </c>
      <c r="B10" s="6">
        <v>25.8051808866116</v>
      </c>
    </row>
    <row r="11">
      <c r="A11" s="5" t="s">
        <v>11</v>
      </c>
      <c r="B11" s="6">
        <v>24.81327974516787</v>
      </c>
    </row>
    <row r="12">
      <c r="A12" s="5" t="s">
        <v>31</v>
      </c>
      <c r="B12" s="6">
        <v>24.124116125089916</v>
      </c>
    </row>
    <row r="13">
      <c r="A13" s="9" t="s">
        <v>51</v>
      </c>
      <c r="B13" s="6">
        <v>21.994250746666168</v>
      </c>
    </row>
    <row r="14">
      <c r="A14" s="5" t="s">
        <v>8</v>
      </c>
      <c r="B14" s="6">
        <v>21.933204585697496</v>
      </c>
    </row>
    <row r="15">
      <c r="A15" s="5" t="s">
        <v>50</v>
      </c>
      <c r="B15" s="6">
        <v>3.1377396118397334</v>
      </c>
    </row>
    <row r="16">
      <c r="A16" s="9" t="s">
        <v>20</v>
      </c>
      <c r="B16" s="6">
        <v>19.88521333885249</v>
      </c>
    </row>
    <row r="17">
      <c r="A17" s="5" t="s">
        <v>22</v>
      </c>
      <c r="B17" s="6">
        <v>19.543474454960624</v>
      </c>
    </row>
    <row r="18">
      <c r="A18" s="5" t="s">
        <v>21</v>
      </c>
      <c r="B18" s="6">
        <v>19.306759417210042</v>
      </c>
    </row>
    <row r="19">
      <c r="A19" s="5" t="s">
        <v>64</v>
      </c>
      <c r="B19" s="6">
        <v>18.662001954590206</v>
      </c>
    </row>
    <row r="20">
      <c r="A20" s="5" t="s">
        <v>38</v>
      </c>
      <c r="B20" s="6">
        <v>18.387158380396947</v>
      </c>
    </row>
    <row r="21">
      <c r="A21" s="5" t="s">
        <v>89</v>
      </c>
      <c r="B21" s="6">
        <v>14.027981904791059</v>
      </c>
    </row>
    <row r="22">
      <c r="A22" s="9" t="s">
        <v>102</v>
      </c>
      <c r="B22" s="6">
        <v>13.458016504073736</v>
      </c>
    </row>
    <row r="23">
      <c r="A23" s="5" t="s">
        <v>55</v>
      </c>
      <c r="B23" s="6">
        <v>13.317265357652332</v>
      </c>
    </row>
    <row r="24">
      <c r="A24" s="5" t="s">
        <v>27</v>
      </c>
      <c r="B24" s="6">
        <v>13.207010578002953</v>
      </c>
    </row>
    <row r="25">
      <c r="A25" s="5" t="s">
        <v>68</v>
      </c>
      <c r="B25" s="6">
        <v>12.68343432811028</v>
      </c>
    </row>
    <row r="26">
      <c r="A26" s="5" t="s">
        <v>18</v>
      </c>
      <c r="B26" s="6">
        <v>11.956723507726291</v>
      </c>
    </row>
    <row r="27">
      <c r="A27" s="5" t="s">
        <v>7</v>
      </c>
      <c r="B27" s="6">
        <v>11.914320217945612</v>
      </c>
    </row>
    <row r="28">
      <c r="A28" s="5" t="s">
        <v>16</v>
      </c>
      <c r="B28" s="6">
        <v>10.804770033669993</v>
      </c>
    </row>
    <row r="29">
      <c r="A29" s="5" t="s">
        <v>19</v>
      </c>
      <c r="B29" s="6">
        <v>10.720887651745874</v>
      </c>
    </row>
    <row r="30">
      <c r="A30" s="5" t="s">
        <v>13</v>
      </c>
      <c r="B30" s="6">
        <v>9.923013281766329</v>
      </c>
    </row>
    <row r="31">
      <c r="A31" s="5" t="s">
        <v>112</v>
      </c>
      <c r="B31" s="6">
        <v>9.614060046539338</v>
      </c>
    </row>
    <row r="32">
      <c r="A32" s="9" t="s">
        <v>101</v>
      </c>
      <c r="B32" s="6">
        <v>9.589195035949587</v>
      </c>
    </row>
    <row r="33">
      <c r="A33" s="5" t="s">
        <v>42</v>
      </c>
      <c r="B33" s="6">
        <v>9.479180909497003</v>
      </c>
    </row>
    <row r="34">
      <c r="A34" s="5" t="s">
        <v>96</v>
      </c>
      <c r="B34" s="6">
        <v>9.304227176153955</v>
      </c>
    </row>
    <row r="35">
      <c r="A35" s="5" t="s">
        <v>23</v>
      </c>
      <c r="B35" s="6">
        <v>8.951804907274129</v>
      </c>
    </row>
    <row r="36">
      <c r="A36" s="5" t="s">
        <v>28</v>
      </c>
      <c r="B36" s="6">
        <v>8.640675255121801</v>
      </c>
    </row>
    <row r="37">
      <c r="A37" s="5" t="s">
        <v>53</v>
      </c>
      <c r="B37" s="6">
        <v>8.216651058452861</v>
      </c>
    </row>
    <row r="38">
      <c r="A38" s="5" t="s">
        <v>9</v>
      </c>
      <c r="B38" s="6">
        <v>8.173181427158113</v>
      </c>
    </row>
    <row r="39">
      <c r="A39" s="5" t="s">
        <v>86</v>
      </c>
      <c r="B39" s="6">
        <v>7.82648254172292</v>
      </c>
    </row>
    <row r="40">
      <c r="A40" s="5" t="s">
        <v>142</v>
      </c>
      <c r="B40" s="6">
        <v>7.737642936248296</v>
      </c>
    </row>
    <row r="41">
      <c r="A41" s="5" t="s">
        <v>26</v>
      </c>
      <c r="B41" s="6">
        <v>7.71495854680027</v>
      </c>
    </row>
    <row r="42">
      <c r="A42" s="5" t="s">
        <v>6</v>
      </c>
      <c r="B42" s="6">
        <v>7.479808895195406</v>
      </c>
    </row>
    <row r="43">
      <c r="A43" s="5" t="s">
        <v>66</v>
      </c>
      <c r="B43" s="6">
        <v>7.095564636619831</v>
      </c>
    </row>
    <row r="44">
      <c r="A44" s="5" t="s">
        <v>48</v>
      </c>
      <c r="B44" s="6">
        <v>7.014513503714655</v>
      </c>
    </row>
    <row r="45">
      <c r="A45" s="5" t="s">
        <v>73</v>
      </c>
      <c r="B45" s="6">
        <v>6.47041980551386</v>
      </c>
    </row>
    <row r="46">
      <c r="A46" s="5" t="s">
        <v>14</v>
      </c>
      <c r="B46" s="6">
        <v>6.459898129302406</v>
      </c>
    </row>
    <row r="47">
      <c r="A47" s="5" t="s">
        <v>35</v>
      </c>
      <c r="B47" s="6">
        <v>6.286065298543685</v>
      </c>
    </row>
    <row r="48">
      <c r="A48" s="5" t="s">
        <v>40</v>
      </c>
      <c r="B48" s="6">
        <v>6.26934364892548</v>
      </c>
    </row>
    <row r="49">
      <c r="A49" s="5" t="s">
        <v>98</v>
      </c>
      <c r="B49" s="6">
        <v>6.2091082488348714</v>
      </c>
    </row>
    <row r="50">
      <c r="A50" s="5" t="s">
        <v>117</v>
      </c>
      <c r="B50" s="6">
        <v>6.145437556234029</v>
      </c>
    </row>
    <row r="51">
      <c r="A51" s="5" t="s">
        <v>104</v>
      </c>
      <c r="B51" s="6">
        <v>6.11442721373279</v>
      </c>
    </row>
    <row r="52">
      <c r="A52" s="5" t="s">
        <v>43</v>
      </c>
      <c r="B52" s="6">
        <v>6.081605125147272</v>
      </c>
    </row>
    <row r="53">
      <c r="A53" s="5" t="s">
        <v>56</v>
      </c>
      <c r="B53" s="6">
        <v>5.9239148730637385</v>
      </c>
    </row>
    <row r="54">
      <c r="A54" s="5" t="s">
        <v>15</v>
      </c>
      <c r="B54" s="6">
        <v>5.687257912457916</v>
      </c>
    </row>
    <row r="55">
      <c r="A55" s="5" t="s">
        <v>119</v>
      </c>
      <c r="B55" s="6">
        <v>5.67589141462645</v>
      </c>
    </row>
    <row r="56">
      <c r="A56" s="5" t="s">
        <v>134</v>
      </c>
      <c r="B56" s="6">
        <v>5.650753378162551</v>
      </c>
    </row>
    <row r="57">
      <c r="A57" s="5" t="s">
        <v>25</v>
      </c>
      <c r="B57" s="6">
        <v>5.5333413178208435</v>
      </c>
    </row>
    <row r="58">
      <c r="A58" s="5" t="s">
        <v>59</v>
      </c>
      <c r="B58" s="6">
        <v>5.374262556148089</v>
      </c>
    </row>
    <row r="59">
      <c r="A59" s="5" t="s">
        <v>65</v>
      </c>
      <c r="B59" s="6">
        <v>5.326467051585058</v>
      </c>
    </row>
    <row r="60">
      <c r="A60" s="5" t="s">
        <v>70</v>
      </c>
      <c r="B60" s="6">
        <v>5.073887711298704</v>
      </c>
    </row>
    <row r="61">
      <c r="A61" s="5" t="s">
        <v>109</v>
      </c>
      <c r="B61" s="6">
        <v>4.942777450176696</v>
      </c>
    </row>
    <row r="62">
      <c r="A62" s="5" t="s">
        <v>33</v>
      </c>
      <c r="B62" s="6">
        <v>4.8157797236716515</v>
      </c>
    </row>
    <row r="63">
      <c r="A63" s="5" t="s">
        <v>106</v>
      </c>
      <c r="B63" s="6">
        <v>4.794597517974793</v>
      </c>
    </row>
    <row r="64">
      <c r="A64" s="5" t="s">
        <v>92</v>
      </c>
      <c r="B64" s="6">
        <v>4.794597517974793</v>
      </c>
    </row>
    <row r="65">
      <c r="A65" s="5" t="s">
        <v>71</v>
      </c>
      <c r="B65" s="6">
        <v>4.621185724795519</v>
      </c>
    </row>
    <row r="66">
      <c r="A66" s="5" t="s">
        <v>120</v>
      </c>
      <c r="B66" s="6">
        <v>4.527019865031855</v>
      </c>
    </row>
    <row r="67">
      <c r="A67" s="9" t="s">
        <v>113</v>
      </c>
      <c r="B67" s="6">
        <v>4.499732083836115</v>
      </c>
    </row>
    <row r="68">
      <c r="A68" s="5" t="s">
        <v>61</v>
      </c>
      <c r="B68" s="6">
        <v>4.396729808878252</v>
      </c>
    </row>
    <row r="69">
      <c r="A69" s="5" t="s">
        <v>97</v>
      </c>
      <c r="B69" s="6">
        <v>4.278209400665824</v>
      </c>
    </row>
    <row r="70">
      <c r="A70" s="5" t="s">
        <v>57</v>
      </c>
      <c r="B70" s="6">
        <v>4.141322237040724</v>
      </c>
    </row>
    <row r="71">
      <c r="A71" s="9" t="s">
        <v>2485</v>
      </c>
      <c r="B71" s="6">
        <v>4.127015526778632</v>
      </c>
      <c r="C71" s="110" t="s">
        <v>2486</v>
      </c>
    </row>
    <row r="72">
      <c r="A72" s="9" t="s">
        <v>141</v>
      </c>
      <c r="B72" s="6">
        <v>4.127015526778632</v>
      </c>
    </row>
    <row r="73">
      <c r="A73" s="5" t="s">
        <v>81</v>
      </c>
      <c r="B73" s="6">
        <v>3.972099091585942</v>
      </c>
    </row>
    <row r="74">
      <c r="A74" s="5" t="s">
        <v>174</v>
      </c>
      <c r="B74" s="6">
        <v>3.9525757734901736</v>
      </c>
    </row>
    <row r="75">
      <c r="A75" s="5" t="s">
        <v>77</v>
      </c>
      <c r="B75" s="6">
        <v>3.7650144264028214</v>
      </c>
    </row>
    <row r="76">
      <c r="A76" s="5" t="s">
        <v>129</v>
      </c>
      <c r="B76" s="6">
        <v>3.4407435380302696</v>
      </c>
    </row>
    <row r="77">
      <c r="A77" s="5" t="s">
        <v>202</v>
      </c>
      <c r="B77" s="6">
        <v>3.117804512050935</v>
      </c>
    </row>
    <row r="78">
      <c r="A78" s="5" t="s">
        <v>137</v>
      </c>
      <c r="B78" s="6">
        <v>3.117804512050935</v>
      </c>
    </row>
    <row r="79">
      <c r="A79" s="5" t="s">
        <v>41</v>
      </c>
      <c r="B79" s="6">
        <v>3.0289803447812513</v>
      </c>
    </row>
    <row r="80">
      <c r="A80" s="5" t="s">
        <v>63</v>
      </c>
      <c r="B80" s="6">
        <v>2.8758829885837667</v>
      </c>
    </row>
    <row r="81">
      <c r="A81" s="5" t="s">
        <v>97</v>
      </c>
      <c r="B81" s="6">
        <v>2.8577491727437003</v>
      </c>
    </row>
    <row r="82">
      <c r="A82" s="5" t="s">
        <v>58</v>
      </c>
      <c r="B82" s="6">
        <v>2.663225806690058</v>
      </c>
    </row>
    <row r="83">
      <c r="A83" s="5" t="s">
        <v>100</v>
      </c>
      <c r="B83" s="6">
        <v>2.581363658386664</v>
      </c>
    </row>
    <row r="84">
      <c r="A84" s="5" t="s">
        <v>29</v>
      </c>
      <c r="B84" s="6">
        <v>2.524804549570823</v>
      </c>
    </row>
    <row r="85">
      <c r="A85" s="5" t="s">
        <v>54</v>
      </c>
      <c r="B85" s="6">
        <v>2.457199978026004</v>
      </c>
    </row>
    <row r="86">
      <c r="A86" s="5" t="s">
        <v>17</v>
      </c>
      <c r="B86" s="6">
        <v>2.438751532296157</v>
      </c>
    </row>
    <row r="87">
      <c r="A87" s="5" t="s">
        <v>2477</v>
      </c>
      <c r="B87" s="6">
        <v>2.343222336087481</v>
      </c>
    </row>
    <row r="88">
      <c r="A88" s="5" t="s">
        <v>145</v>
      </c>
      <c r="B88" s="6">
        <v>2.208662539534123</v>
      </c>
    </row>
    <row r="89">
      <c r="A89" s="5" t="s">
        <v>188</v>
      </c>
      <c r="B89" s="6">
        <v>2.208662539534123</v>
      </c>
    </row>
    <row r="90">
      <c r="A90" s="5" t="s">
        <v>127</v>
      </c>
      <c r="B90" s="6">
        <v>2.208662539534123</v>
      </c>
    </row>
    <row r="91">
      <c r="A91" s="5" t="s">
        <v>115</v>
      </c>
      <c r="B91" s="6">
        <v>2.208662539534123</v>
      </c>
    </row>
    <row r="92">
      <c r="A92" s="5" t="s">
        <v>199</v>
      </c>
      <c r="B92" s="6">
        <v>2.208662539534123</v>
      </c>
    </row>
    <row r="93">
      <c r="A93" s="5" t="s">
        <v>124</v>
      </c>
      <c r="B93" s="6">
        <v>2.208662539534123</v>
      </c>
    </row>
    <row r="94">
      <c r="A94" s="5" t="s">
        <v>123</v>
      </c>
      <c r="B94" s="6">
        <v>2.208662539534123</v>
      </c>
    </row>
    <row r="95">
      <c r="A95" s="5" t="s">
        <v>198</v>
      </c>
      <c r="B95" s="6">
        <v>2.208662539534123</v>
      </c>
    </row>
    <row r="96">
      <c r="A96" s="5" t="s">
        <v>52</v>
      </c>
      <c r="B96" s="6">
        <v>2.208662539534123</v>
      </c>
    </row>
    <row r="97">
      <c r="A97" s="5" t="s">
        <v>143</v>
      </c>
      <c r="B97" s="6">
        <v>2.208662539534123</v>
      </c>
    </row>
    <row r="98">
      <c r="A98" s="5" t="s">
        <v>111</v>
      </c>
      <c r="B98" s="6">
        <v>2.208662539534123</v>
      </c>
    </row>
    <row r="99">
      <c r="A99" s="5" t="s">
        <v>197</v>
      </c>
      <c r="B99" s="6">
        <v>2.208662539534123</v>
      </c>
    </row>
    <row r="100">
      <c r="A100" s="5" t="s">
        <v>139</v>
      </c>
      <c r="B100" s="6">
        <v>2.208662539534123</v>
      </c>
    </row>
    <row r="101">
      <c r="A101" s="5" t="s">
        <v>108</v>
      </c>
      <c r="B101" s="6">
        <v>1.8418331290770094</v>
      </c>
    </row>
    <row r="102">
      <c r="A102" s="5" t="s">
        <v>82</v>
      </c>
      <c r="B102" s="6">
        <v>1.8118667825318084</v>
      </c>
    </row>
    <row r="103">
      <c r="A103" s="5" t="s">
        <v>30</v>
      </c>
      <c r="B103" s="6">
        <v>1.7352395343268356</v>
      </c>
    </row>
    <row r="104">
      <c r="A104" s="5" t="s">
        <v>131</v>
      </c>
      <c r="B104" s="6">
        <v>1.3195733033726127</v>
      </c>
    </row>
    <row r="105">
      <c r="A105" s="5" t="s">
        <v>273</v>
      </c>
      <c r="B105" s="6">
        <v>1.2674050733821827</v>
      </c>
    </row>
    <row r="106">
      <c r="A106" s="5" t="s">
        <v>49</v>
      </c>
      <c r="B106" s="6">
        <v>1.1300408532952018</v>
      </c>
    </row>
    <row r="107">
      <c r="A107" s="5" t="s">
        <v>118</v>
      </c>
      <c r="B107" s="6">
        <v>1.1051067265876493</v>
      </c>
    </row>
    <row r="108">
      <c r="A108" s="5" t="s">
        <v>149</v>
      </c>
      <c r="B108" s="6">
        <v>1.0217877520621181</v>
      </c>
    </row>
    <row r="109">
      <c r="A109" s="5" t="s">
        <v>114</v>
      </c>
      <c r="B109" s="6">
        <v>1.0199110332044272</v>
      </c>
    </row>
    <row r="110">
      <c r="A110" s="5" t="s">
        <v>157</v>
      </c>
      <c r="B110" s="6">
        <v>0.7147126257326023</v>
      </c>
    </row>
    <row r="111">
      <c r="A111" s="5" t="s">
        <v>169</v>
      </c>
      <c r="B111" s="6">
        <v>0.7095487445595127</v>
      </c>
    </row>
    <row r="112">
      <c r="A112" s="5" t="s">
        <v>148</v>
      </c>
      <c r="B112" s="6">
        <v>0.6704866701630356</v>
      </c>
    </row>
    <row r="113">
      <c r="A113" s="5" t="s">
        <v>154</v>
      </c>
      <c r="B113" s="6">
        <v>0.6704866701630356</v>
      </c>
    </row>
    <row r="114">
      <c r="A114" s="5" t="s">
        <v>185</v>
      </c>
      <c r="B114" s="6">
        <v>0.372701118852541</v>
      </c>
    </row>
    <row r="115">
      <c r="A115" s="5" t="s">
        <v>151</v>
      </c>
      <c r="B115" s="6">
        <v>0.372701118852541</v>
      </c>
    </row>
    <row r="116">
      <c r="A116" s="5" t="s">
        <v>147</v>
      </c>
      <c r="B116" s="6">
        <v>0.372701118852541</v>
      </c>
    </row>
    <row r="117">
      <c r="A117" s="5" t="s">
        <v>177</v>
      </c>
      <c r="B117" s="6">
        <v>0.372701118852541</v>
      </c>
    </row>
    <row r="118">
      <c r="A118" s="5" t="s">
        <v>229</v>
      </c>
      <c r="B118" s="6">
        <v>0.372701118852541</v>
      </c>
    </row>
    <row r="119">
      <c r="A119" s="5" t="s">
        <v>236</v>
      </c>
      <c r="B119" s="6">
        <v>0.372701118852541</v>
      </c>
    </row>
    <row r="120">
      <c r="A120" s="5" t="s">
        <v>156</v>
      </c>
      <c r="B120" s="6">
        <v>0.372701118852541</v>
      </c>
    </row>
    <row r="121">
      <c r="A121" s="5" t="s">
        <v>69</v>
      </c>
      <c r="B121" s="6">
        <v>0.34942436304139163</v>
      </c>
    </row>
    <row r="122">
      <c r="A122" s="5" t="s">
        <v>207</v>
      </c>
      <c r="B122" s="6">
        <v>0.29778555131049467</v>
      </c>
    </row>
    <row r="123">
      <c r="A123" s="5" t="s">
        <v>150</v>
      </c>
      <c r="B123" s="6">
        <v>0.29778555131049467</v>
      </c>
    </row>
    <row r="124">
      <c r="A124" s="5" t="s">
        <v>168</v>
      </c>
      <c r="B124" s="6">
        <v>0.29778555131049467</v>
      </c>
    </row>
    <row r="125">
      <c r="A125" s="5" t="s">
        <v>88</v>
      </c>
      <c r="B125" s="6">
        <v>0.29778555131049467</v>
      </c>
    </row>
    <row r="126">
      <c r="A126" s="5" t="s">
        <v>223</v>
      </c>
      <c r="B126" s="6">
        <v>0.29778555131049467</v>
      </c>
    </row>
    <row r="127">
      <c r="A127" s="5" t="str">
        <f t="shared" ref="A127:A147" si="1">C127</f>
        <v/>
      </c>
      <c r="B127" s="6"/>
    </row>
    <row r="128">
      <c r="A128" s="5" t="str">
        <f t="shared" si="1"/>
        <v/>
      </c>
      <c r="B128" s="6"/>
    </row>
    <row r="129">
      <c r="A129" s="5" t="str">
        <f t="shared" si="1"/>
        <v/>
      </c>
      <c r="B129" s="6"/>
    </row>
    <row r="130">
      <c r="A130" s="5" t="str">
        <f t="shared" si="1"/>
        <v/>
      </c>
      <c r="B130" s="6"/>
    </row>
    <row r="131">
      <c r="A131" s="5" t="str">
        <f t="shared" si="1"/>
        <v/>
      </c>
      <c r="B131" s="6"/>
    </row>
    <row r="132">
      <c r="A132" s="5" t="str">
        <f t="shared" si="1"/>
        <v/>
      </c>
      <c r="B132" s="6"/>
    </row>
    <row r="133">
      <c r="A133" s="5" t="str">
        <f t="shared" si="1"/>
        <v/>
      </c>
      <c r="B133" s="6"/>
    </row>
    <row r="134">
      <c r="A134" s="5" t="str">
        <f t="shared" si="1"/>
        <v/>
      </c>
      <c r="B134" s="6"/>
    </row>
    <row r="135">
      <c r="A135" s="5" t="str">
        <f t="shared" si="1"/>
        <v/>
      </c>
      <c r="B135" s="6"/>
    </row>
    <row r="136">
      <c r="A136" s="5" t="str">
        <f t="shared" si="1"/>
        <v/>
      </c>
      <c r="B136" s="6"/>
    </row>
    <row r="137">
      <c r="A137" s="5" t="str">
        <f t="shared" si="1"/>
        <v/>
      </c>
      <c r="B137" s="6"/>
    </row>
    <row r="138">
      <c r="A138" s="5" t="str">
        <f t="shared" si="1"/>
        <v/>
      </c>
      <c r="B138" s="6"/>
    </row>
    <row r="139">
      <c r="A139" s="5" t="str">
        <f t="shared" si="1"/>
        <v/>
      </c>
      <c r="B139" s="6"/>
    </row>
    <row r="140">
      <c r="A140" s="5" t="str">
        <f t="shared" si="1"/>
        <v/>
      </c>
      <c r="B140" s="6"/>
    </row>
    <row r="141">
      <c r="A141" s="5" t="str">
        <f t="shared" si="1"/>
        <v/>
      </c>
      <c r="B141" s="6"/>
    </row>
    <row r="142">
      <c r="A142" s="5" t="str">
        <f t="shared" si="1"/>
        <v/>
      </c>
      <c r="B142" s="6"/>
    </row>
    <row r="143">
      <c r="A143" s="5" t="str">
        <f t="shared" si="1"/>
        <v/>
      </c>
      <c r="B143" s="6"/>
    </row>
    <row r="144">
      <c r="A144" s="5" t="str">
        <f t="shared" si="1"/>
        <v/>
      </c>
      <c r="B144" s="6"/>
    </row>
    <row r="145">
      <c r="A145" s="5" t="str">
        <f t="shared" si="1"/>
        <v/>
      </c>
      <c r="B145" s="6"/>
    </row>
    <row r="146">
      <c r="A146" s="5" t="str">
        <f t="shared" si="1"/>
        <v/>
      </c>
      <c r="B146" s="6"/>
    </row>
    <row r="147">
      <c r="A147" s="5" t="str">
        <f t="shared" si="1"/>
        <v/>
      </c>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33"/>
      <c r="B1" s="359"/>
      <c r="C1" s="360"/>
      <c r="D1" s="136"/>
      <c r="E1" s="323"/>
      <c r="F1" s="138" t="s">
        <v>416</v>
      </c>
      <c r="G1" s="139">
        <v>800.0</v>
      </c>
      <c r="H1" s="139">
        <v>800.0</v>
      </c>
      <c r="I1" s="139">
        <v>850.0</v>
      </c>
      <c r="J1" s="140">
        <f>AVERAGE(G1:I1)</f>
        <v>816.6666667</v>
      </c>
      <c r="K1" s="141" t="s">
        <v>417</v>
      </c>
      <c r="L1" s="142">
        <f>countif(J4:J953, "&gt;0.000001")</f>
        <v>372</v>
      </c>
      <c r="M1" s="141" t="s">
        <v>418</v>
      </c>
      <c r="N1" s="143">
        <v>2.1953405017921144</v>
      </c>
      <c r="O1" s="144" t="s">
        <v>419</v>
      </c>
      <c r="P1" s="145"/>
      <c r="Q1" s="145"/>
      <c r="R1" s="145"/>
      <c r="S1" s="145"/>
      <c r="T1" s="145"/>
      <c r="U1" s="145"/>
    </row>
    <row r="2">
      <c r="A2" s="146"/>
      <c r="B2" s="134" t="s">
        <v>2487</v>
      </c>
      <c r="C2" s="234" t="s">
        <v>421</v>
      </c>
      <c r="D2" s="148"/>
      <c r="E2" s="323"/>
      <c r="F2" s="149" t="s">
        <v>422</v>
      </c>
      <c r="G2" s="139">
        <f t="shared" ref="G2:K2" si="1">sum(G4:G466)</f>
        <v>29428</v>
      </c>
      <c r="H2" s="139">
        <f t="shared" si="1"/>
        <v>20645</v>
      </c>
      <c r="I2" s="139">
        <f t="shared" si="1"/>
        <v>28915</v>
      </c>
      <c r="J2" s="150">
        <f t="shared" si="1"/>
        <v>1</v>
      </c>
      <c r="K2" s="151">
        <f t="shared" si="1"/>
        <v>473.6485088</v>
      </c>
      <c r="L2" s="152" t="s">
        <v>416</v>
      </c>
      <c r="M2" s="153"/>
      <c r="N2" s="153" t="s">
        <v>423</v>
      </c>
      <c r="O2" s="145"/>
      <c r="P2" s="145"/>
      <c r="Q2" s="145"/>
      <c r="R2" s="145"/>
      <c r="S2" s="145"/>
      <c r="T2" s="145"/>
      <c r="U2" s="145"/>
    </row>
    <row r="3">
      <c r="A3" s="154" t="s">
        <v>424</v>
      </c>
      <c r="B3" s="154" t="s">
        <v>425</v>
      </c>
      <c r="C3" s="235" t="s">
        <v>426</v>
      </c>
      <c r="D3" s="156"/>
      <c r="E3" s="324" t="s">
        <v>427</v>
      </c>
      <c r="F3" s="158" t="s">
        <v>428</v>
      </c>
      <c r="G3" s="159" t="s">
        <v>2179</v>
      </c>
      <c r="H3" s="159" t="s">
        <v>1580</v>
      </c>
      <c r="I3" s="159" t="s">
        <v>2180</v>
      </c>
      <c r="J3" s="160" t="s">
        <v>432</v>
      </c>
      <c r="K3" s="161" t="s">
        <v>433</v>
      </c>
      <c r="L3" s="162" t="s">
        <v>434</v>
      </c>
      <c r="M3" s="161"/>
      <c r="N3" s="163">
        <f>IFERROR(__xludf.DUMMYFUNCTION("query(iferror(sort({row(A3:A466)-row(A3)+2-match(sort(A3:A466),sort(A3:A466),0),SORT(ROW(A3:A466)+2-row(A3)+2,A3:A466,1)},2,1),),""Select Col1"")"),1.0)</f>
        <v>1</v>
      </c>
      <c r="O3" s="163"/>
      <c r="P3" s="164"/>
      <c r="Q3" s="164"/>
      <c r="R3" s="164"/>
      <c r="S3" s="164"/>
      <c r="T3" s="164"/>
      <c r="U3" s="164"/>
      <c r="V3" s="164"/>
      <c r="W3" s="164"/>
      <c r="X3" s="164"/>
      <c r="Y3" s="164"/>
      <c r="Z3" s="164"/>
    </row>
    <row r="4">
      <c r="A4" s="249" t="s">
        <v>3</v>
      </c>
      <c r="B4" s="249" t="s">
        <v>868</v>
      </c>
      <c r="C4" s="329" t="s">
        <v>2488</v>
      </c>
      <c r="D4" s="268" t="s">
        <v>495</v>
      </c>
      <c r="E4" s="251">
        <v>44226.0</v>
      </c>
      <c r="F4" s="250" t="s">
        <v>496</v>
      </c>
      <c r="G4" s="171"/>
      <c r="H4" s="171"/>
      <c r="I4" s="171"/>
      <c r="J4" s="172">
        <f t="shared" ref="J4:J466" si="2">(G4/$G$2+H4/$H$2+I4/$I$2)/3</f>
        <v>0</v>
      </c>
      <c r="K4" s="330">
        <v>2.1953405017921144</v>
      </c>
      <c r="L4" s="327">
        <f t="shared" ref="L4:L466" si="3">dsum($A$3:$K466,"IH per Praise",{$A$3;A4})</f>
        <v>46.10215054</v>
      </c>
      <c r="M4" s="321" t="str">
        <f>A4</f>
        <v>zeptimusq</v>
      </c>
      <c r="N4" s="176">
        <f>IFERROR(__xludf.DUMMYFUNCTION("""COMPUTED_VALUE"""),1.0)</f>
        <v>1</v>
      </c>
      <c r="O4" s="176"/>
      <c r="P4" s="176"/>
      <c r="Q4" s="176"/>
      <c r="R4" s="176"/>
      <c r="S4" s="176"/>
      <c r="T4" s="176"/>
      <c r="U4" s="176"/>
      <c r="V4" s="176"/>
      <c r="W4" s="176"/>
      <c r="X4" s="176"/>
      <c r="Y4" s="176"/>
      <c r="Z4" s="176"/>
    </row>
    <row r="5">
      <c r="A5" s="249" t="s">
        <v>3</v>
      </c>
      <c r="B5" s="249" t="s">
        <v>519</v>
      </c>
      <c r="C5" s="329" t="s">
        <v>2489</v>
      </c>
      <c r="D5" s="268" t="s">
        <v>495</v>
      </c>
      <c r="E5" s="251">
        <v>44227.0</v>
      </c>
      <c r="F5" s="250" t="s">
        <v>496</v>
      </c>
      <c r="G5" s="171"/>
      <c r="H5" s="171"/>
      <c r="I5" s="171"/>
      <c r="J5" s="172">
        <f t="shared" si="2"/>
        <v>0</v>
      </c>
      <c r="K5" s="330">
        <v>2.1953405017921144</v>
      </c>
      <c r="L5" s="327">
        <f t="shared" si="3"/>
        <v>46.10215054</v>
      </c>
      <c r="M5" s="321"/>
      <c r="N5" s="176">
        <f>IFERROR(__xludf.DUMMYFUNCTION("""COMPUTED_VALUE"""),2.0)</f>
        <v>2</v>
      </c>
      <c r="O5" s="176"/>
      <c r="P5" s="176"/>
      <c r="Q5" s="176"/>
      <c r="R5" s="176"/>
      <c r="S5" s="176"/>
      <c r="T5" s="176"/>
      <c r="U5" s="176"/>
      <c r="V5" s="176"/>
      <c r="W5" s="176"/>
      <c r="X5" s="176"/>
      <c r="Y5" s="176"/>
      <c r="Z5" s="176"/>
    </row>
    <row r="6">
      <c r="A6" s="249" t="s">
        <v>3</v>
      </c>
      <c r="B6" s="249" t="s">
        <v>43</v>
      </c>
      <c r="C6" s="329" t="s">
        <v>2490</v>
      </c>
      <c r="D6" s="268" t="s">
        <v>495</v>
      </c>
      <c r="E6" s="361">
        <v>44228.0</v>
      </c>
      <c r="F6" s="250" t="s">
        <v>496</v>
      </c>
      <c r="G6" s="171"/>
      <c r="H6" s="171"/>
      <c r="I6" s="171"/>
      <c r="J6" s="172">
        <f t="shared" si="2"/>
        <v>0</v>
      </c>
      <c r="K6" s="330">
        <v>2.1953405017921144</v>
      </c>
      <c r="L6" s="327">
        <f t="shared" si="3"/>
        <v>46.10215054</v>
      </c>
      <c r="M6" s="321"/>
      <c r="N6" s="176">
        <f>IFERROR(__xludf.DUMMYFUNCTION("""COMPUTED_VALUE"""),3.0)</f>
        <v>3</v>
      </c>
      <c r="O6" s="176"/>
      <c r="P6" s="176"/>
      <c r="Q6" s="176"/>
      <c r="R6" s="176"/>
      <c r="S6" s="176"/>
      <c r="T6" s="176"/>
      <c r="U6" s="176"/>
      <c r="V6" s="176"/>
      <c r="W6" s="176"/>
      <c r="X6" s="176"/>
      <c r="Y6" s="176"/>
      <c r="Z6" s="176"/>
    </row>
    <row r="7">
      <c r="A7" s="249" t="s">
        <v>3</v>
      </c>
      <c r="B7" s="249" t="s">
        <v>18</v>
      </c>
      <c r="C7" s="329" t="s">
        <v>2491</v>
      </c>
      <c r="D7" s="268" t="s">
        <v>495</v>
      </c>
      <c r="E7" s="361">
        <v>44228.0</v>
      </c>
      <c r="F7" s="250" t="s">
        <v>496</v>
      </c>
      <c r="G7" s="171"/>
      <c r="H7" s="171"/>
      <c r="I7" s="171"/>
      <c r="J7" s="172">
        <f t="shared" si="2"/>
        <v>0</v>
      </c>
      <c r="K7" s="330">
        <v>2.1953405017921144</v>
      </c>
      <c r="L7" s="327">
        <f t="shared" si="3"/>
        <v>46.10215054</v>
      </c>
      <c r="M7" s="321"/>
      <c r="N7" s="176">
        <f>IFERROR(__xludf.DUMMYFUNCTION("""COMPUTED_VALUE"""),4.0)</f>
        <v>4</v>
      </c>
      <c r="O7" s="176"/>
      <c r="P7" s="176"/>
      <c r="Q7" s="176"/>
      <c r="R7" s="176"/>
      <c r="S7" s="176"/>
      <c r="T7" s="176"/>
      <c r="U7" s="176"/>
      <c r="V7" s="176"/>
      <c r="W7" s="176"/>
      <c r="X7" s="176"/>
      <c r="Y7" s="176"/>
      <c r="Z7" s="176"/>
    </row>
    <row r="8">
      <c r="A8" s="249" t="s">
        <v>3</v>
      </c>
      <c r="B8" s="249" t="s">
        <v>590</v>
      </c>
      <c r="C8" s="329" t="s">
        <v>2492</v>
      </c>
      <c r="D8" s="268" t="s">
        <v>495</v>
      </c>
      <c r="E8" s="361">
        <v>44229.0</v>
      </c>
      <c r="F8" s="250" t="s">
        <v>496</v>
      </c>
      <c r="G8" s="171"/>
      <c r="H8" s="171"/>
      <c r="I8" s="171"/>
      <c r="J8" s="172">
        <f t="shared" si="2"/>
        <v>0</v>
      </c>
      <c r="K8" s="330">
        <v>2.1953405017921144</v>
      </c>
      <c r="L8" s="327">
        <f t="shared" si="3"/>
        <v>46.10215054</v>
      </c>
      <c r="M8" s="321"/>
      <c r="N8" s="176">
        <f>IFERROR(__xludf.DUMMYFUNCTION("""COMPUTED_VALUE"""),5.0)</f>
        <v>5</v>
      </c>
      <c r="O8" s="176"/>
      <c r="P8" s="176"/>
      <c r="Q8" s="176"/>
      <c r="R8" s="176"/>
      <c r="S8" s="176"/>
      <c r="T8" s="176"/>
      <c r="U8" s="176"/>
      <c r="V8" s="176"/>
      <c r="W8" s="176"/>
      <c r="X8" s="176"/>
      <c r="Y8" s="176"/>
      <c r="Z8" s="176"/>
    </row>
    <row r="9">
      <c r="A9" s="249" t="s">
        <v>3</v>
      </c>
      <c r="B9" s="249" t="s">
        <v>10</v>
      </c>
      <c r="C9" s="329" t="s">
        <v>2493</v>
      </c>
      <c r="D9" s="268" t="s">
        <v>495</v>
      </c>
      <c r="E9" s="361">
        <v>44230.0</v>
      </c>
      <c r="F9" s="250" t="s">
        <v>496</v>
      </c>
      <c r="G9" s="171"/>
      <c r="H9" s="171"/>
      <c r="I9" s="171"/>
      <c r="J9" s="172">
        <f t="shared" si="2"/>
        <v>0</v>
      </c>
      <c r="K9" s="330">
        <v>2.1953405017921144</v>
      </c>
      <c r="L9" s="327">
        <f t="shared" si="3"/>
        <v>46.10215054</v>
      </c>
      <c r="M9" s="321"/>
      <c r="N9" s="176">
        <f>IFERROR(__xludf.DUMMYFUNCTION("""COMPUTED_VALUE"""),6.0)</f>
        <v>6</v>
      </c>
      <c r="O9" s="176"/>
      <c r="P9" s="176"/>
      <c r="Q9" s="176"/>
      <c r="R9" s="176"/>
      <c r="S9" s="176"/>
      <c r="T9" s="176"/>
      <c r="U9" s="176"/>
      <c r="V9" s="176"/>
      <c r="W9" s="176"/>
      <c r="X9" s="176"/>
      <c r="Y9" s="176"/>
      <c r="Z9" s="176"/>
    </row>
    <row r="10">
      <c r="A10" s="249" t="s">
        <v>3</v>
      </c>
      <c r="B10" s="249" t="s">
        <v>10</v>
      </c>
      <c r="C10" s="329" t="s">
        <v>2494</v>
      </c>
      <c r="D10" s="268" t="s">
        <v>495</v>
      </c>
      <c r="E10" s="361">
        <v>44232.0</v>
      </c>
      <c r="F10" s="250" t="s">
        <v>496</v>
      </c>
      <c r="G10" s="171"/>
      <c r="H10" s="171"/>
      <c r="I10" s="171"/>
      <c r="J10" s="172">
        <f t="shared" si="2"/>
        <v>0</v>
      </c>
      <c r="K10" s="330">
        <v>2.1953405017921144</v>
      </c>
      <c r="L10" s="327">
        <f t="shared" si="3"/>
        <v>46.10215054</v>
      </c>
      <c r="M10" s="321"/>
      <c r="N10" s="176">
        <f>IFERROR(__xludf.DUMMYFUNCTION("""COMPUTED_VALUE"""),7.0)</f>
        <v>7</v>
      </c>
      <c r="O10" s="176"/>
      <c r="P10" s="176"/>
      <c r="Q10" s="176"/>
      <c r="R10" s="176"/>
      <c r="S10" s="176"/>
      <c r="T10" s="176"/>
      <c r="U10" s="176"/>
      <c r="V10" s="176"/>
      <c r="W10" s="176"/>
      <c r="X10" s="176"/>
      <c r="Y10" s="176"/>
      <c r="Z10" s="176"/>
    </row>
    <row r="11">
      <c r="A11" s="249" t="s">
        <v>3</v>
      </c>
      <c r="B11" s="249" t="s">
        <v>10</v>
      </c>
      <c r="C11" s="329" t="s">
        <v>2495</v>
      </c>
      <c r="D11" s="268" t="s">
        <v>495</v>
      </c>
      <c r="E11" s="361">
        <v>44232.0</v>
      </c>
      <c r="F11" s="250" t="s">
        <v>496</v>
      </c>
      <c r="G11" s="171"/>
      <c r="H11" s="171"/>
      <c r="I11" s="171"/>
      <c r="J11" s="172">
        <f t="shared" si="2"/>
        <v>0</v>
      </c>
      <c r="K11" s="330">
        <v>2.1953405017921144</v>
      </c>
      <c r="L11" s="327">
        <f t="shared" si="3"/>
        <v>46.10215054</v>
      </c>
      <c r="M11" s="321"/>
      <c r="N11" s="176">
        <f>IFERROR(__xludf.DUMMYFUNCTION("""COMPUTED_VALUE"""),8.0)</f>
        <v>8</v>
      </c>
      <c r="O11" s="176"/>
      <c r="P11" s="176"/>
      <c r="Q11" s="176"/>
      <c r="R11" s="176"/>
      <c r="S11" s="176"/>
      <c r="T11" s="176"/>
      <c r="U11" s="176"/>
      <c r="V11" s="176"/>
      <c r="W11" s="176"/>
      <c r="X11" s="176"/>
      <c r="Y11" s="176"/>
      <c r="Z11" s="176"/>
    </row>
    <row r="12">
      <c r="A12" s="249" t="s">
        <v>3</v>
      </c>
      <c r="B12" s="249" t="s">
        <v>10</v>
      </c>
      <c r="C12" s="329" t="s">
        <v>2496</v>
      </c>
      <c r="D12" s="268" t="s">
        <v>495</v>
      </c>
      <c r="E12" s="361">
        <v>44232.0</v>
      </c>
      <c r="F12" s="250" t="s">
        <v>496</v>
      </c>
      <c r="G12" s="171"/>
      <c r="H12" s="171"/>
      <c r="I12" s="171"/>
      <c r="J12" s="172">
        <f t="shared" si="2"/>
        <v>0</v>
      </c>
      <c r="K12" s="330">
        <v>2.1953405017921144</v>
      </c>
      <c r="L12" s="327">
        <f t="shared" si="3"/>
        <v>46.10215054</v>
      </c>
      <c r="M12" s="321"/>
      <c r="N12" s="176">
        <f>IFERROR(__xludf.DUMMYFUNCTION("""COMPUTED_VALUE"""),9.0)</f>
        <v>9</v>
      </c>
      <c r="O12" s="176"/>
      <c r="P12" s="176"/>
      <c r="Q12" s="176"/>
      <c r="R12" s="176"/>
      <c r="S12" s="176"/>
      <c r="T12" s="176"/>
      <c r="U12" s="176"/>
      <c r="V12" s="176"/>
      <c r="W12" s="176"/>
      <c r="X12" s="176"/>
      <c r="Y12" s="176"/>
      <c r="Z12" s="176"/>
    </row>
    <row r="13">
      <c r="A13" s="249" t="s">
        <v>3</v>
      </c>
      <c r="B13" s="249" t="s">
        <v>10</v>
      </c>
      <c r="C13" s="329" t="s">
        <v>2497</v>
      </c>
      <c r="D13" s="268" t="s">
        <v>495</v>
      </c>
      <c r="E13" s="361">
        <v>44232.0</v>
      </c>
      <c r="F13" s="250" t="s">
        <v>496</v>
      </c>
      <c r="G13" s="171"/>
      <c r="H13" s="171"/>
      <c r="I13" s="171"/>
      <c r="J13" s="172">
        <f t="shared" si="2"/>
        <v>0</v>
      </c>
      <c r="K13" s="330">
        <v>2.1953405017921144</v>
      </c>
      <c r="L13" s="327">
        <f t="shared" si="3"/>
        <v>46.10215054</v>
      </c>
      <c r="M13" s="321"/>
      <c r="N13" s="176">
        <f>IFERROR(__xludf.DUMMYFUNCTION("""COMPUTED_VALUE"""),10.0)</f>
        <v>10</v>
      </c>
      <c r="O13" s="176"/>
      <c r="P13" s="176"/>
      <c r="Q13" s="176"/>
      <c r="R13" s="176"/>
      <c r="S13" s="176"/>
      <c r="T13" s="176"/>
      <c r="U13" s="176"/>
      <c r="V13" s="176"/>
      <c r="W13" s="176"/>
      <c r="X13" s="176"/>
      <c r="Y13" s="176"/>
      <c r="Z13" s="176"/>
    </row>
    <row r="14">
      <c r="A14" s="249" t="s">
        <v>3</v>
      </c>
      <c r="B14" s="249" t="s">
        <v>10</v>
      </c>
      <c r="C14" s="329" t="s">
        <v>2498</v>
      </c>
      <c r="D14" s="268" t="s">
        <v>495</v>
      </c>
      <c r="E14" s="361">
        <v>44232.0</v>
      </c>
      <c r="F14" s="250" t="s">
        <v>545</v>
      </c>
      <c r="G14" s="171"/>
      <c r="H14" s="171"/>
      <c r="I14" s="171"/>
      <c r="J14" s="172">
        <f t="shared" si="2"/>
        <v>0</v>
      </c>
      <c r="K14" s="330">
        <v>2.1953405017921144</v>
      </c>
      <c r="L14" s="327">
        <f t="shared" si="3"/>
        <v>46.10215054</v>
      </c>
      <c r="M14" s="321"/>
      <c r="N14" s="176">
        <f>IFERROR(__xludf.DUMMYFUNCTION("""COMPUTED_VALUE"""),11.0)</f>
        <v>11</v>
      </c>
      <c r="O14" s="176"/>
      <c r="P14" s="176"/>
      <c r="Q14" s="176"/>
      <c r="R14" s="176"/>
      <c r="S14" s="176"/>
      <c r="T14" s="176"/>
      <c r="U14" s="176"/>
      <c r="V14" s="176"/>
      <c r="W14" s="176"/>
      <c r="X14" s="176"/>
      <c r="Y14" s="176"/>
      <c r="Z14" s="176"/>
    </row>
    <row r="15">
      <c r="A15" s="249" t="s">
        <v>3</v>
      </c>
      <c r="B15" s="249" t="s">
        <v>10</v>
      </c>
      <c r="C15" s="329" t="s">
        <v>494</v>
      </c>
      <c r="D15" s="268" t="s">
        <v>495</v>
      </c>
      <c r="E15" s="361">
        <v>44232.0</v>
      </c>
      <c r="F15" s="250" t="s">
        <v>545</v>
      </c>
      <c r="G15" s="171"/>
      <c r="H15" s="171"/>
      <c r="I15" s="171"/>
      <c r="J15" s="172">
        <f t="shared" si="2"/>
        <v>0</v>
      </c>
      <c r="K15" s="330">
        <v>2.1953405017921144</v>
      </c>
      <c r="L15" s="327">
        <f t="shared" si="3"/>
        <v>46.10215054</v>
      </c>
      <c r="M15" s="321"/>
      <c r="N15" s="176">
        <f>IFERROR(__xludf.DUMMYFUNCTION("""COMPUTED_VALUE"""),12.0)</f>
        <v>12</v>
      </c>
      <c r="O15" s="176"/>
      <c r="P15" s="176"/>
      <c r="Q15" s="176"/>
      <c r="R15" s="176"/>
      <c r="S15" s="176"/>
      <c r="T15" s="176"/>
      <c r="U15" s="176"/>
      <c r="V15" s="176"/>
      <c r="W15" s="176"/>
      <c r="X15" s="176"/>
      <c r="Y15" s="176"/>
      <c r="Z15" s="176"/>
    </row>
    <row r="16">
      <c r="A16" s="249" t="s">
        <v>3</v>
      </c>
      <c r="B16" s="249" t="s">
        <v>1228</v>
      </c>
      <c r="C16" s="329" t="s">
        <v>2499</v>
      </c>
      <c r="D16" s="268" t="s">
        <v>495</v>
      </c>
      <c r="E16" s="361">
        <v>44236.0</v>
      </c>
      <c r="F16" s="250" t="s">
        <v>496</v>
      </c>
      <c r="G16" s="171"/>
      <c r="H16" s="171"/>
      <c r="I16" s="171"/>
      <c r="J16" s="172">
        <f t="shared" si="2"/>
        <v>0</v>
      </c>
      <c r="K16" s="330">
        <v>2.1953405017921144</v>
      </c>
      <c r="L16" s="327">
        <f t="shared" si="3"/>
        <v>46.10215054</v>
      </c>
      <c r="M16" s="321"/>
      <c r="N16" s="176">
        <f>IFERROR(__xludf.DUMMYFUNCTION("""COMPUTED_VALUE"""),13.0)</f>
        <v>13</v>
      </c>
      <c r="O16" s="176"/>
      <c r="P16" s="176"/>
      <c r="Q16" s="176"/>
      <c r="R16" s="176"/>
      <c r="S16" s="176"/>
      <c r="T16" s="176"/>
      <c r="U16" s="176"/>
      <c r="V16" s="176"/>
      <c r="W16" s="176"/>
      <c r="X16" s="176"/>
      <c r="Y16" s="176"/>
      <c r="Z16" s="176"/>
    </row>
    <row r="17">
      <c r="A17" s="249" t="s">
        <v>3</v>
      </c>
      <c r="B17" s="249" t="s">
        <v>590</v>
      </c>
      <c r="C17" s="329" t="s">
        <v>2500</v>
      </c>
      <c r="D17" s="268" t="s">
        <v>495</v>
      </c>
      <c r="E17" s="361">
        <v>44236.0</v>
      </c>
      <c r="F17" s="250" t="s">
        <v>496</v>
      </c>
      <c r="G17" s="171"/>
      <c r="H17" s="171"/>
      <c r="I17" s="171"/>
      <c r="J17" s="172">
        <f t="shared" si="2"/>
        <v>0</v>
      </c>
      <c r="K17" s="330">
        <v>2.1953405017921144</v>
      </c>
      <c r="L17" s="327">
        <f t="shared" si="3"/>
        <v>46.10215054</v>
      </c>
      <c r="M17" s="321"/>
      <c r="N17" s="176">
        <f>IFERROR(__xludf.DUMMYFUNCTION("""COMPUTED_VALUE"""),14.0)</f>
        <v>14</v>
      </c>
      <c r="O17" s="176"/>
      <c r="P17" s="176"/>
      <c r="Q17" s="176"/>
      <c r="R17" s="176"/>
      <c r="S17" s="176"/>
      <c r="T17" s="176"/>
      <c r="U17" s="176"/>
      <c r="V17" s="176"/>
      <c r="W17" s="176"/>
      <c r="X17" s="176"/>
      <c r="Y17" s="176"/>
      <c r="Z17" s="176"/>
    </row>
    <row r="18">
      <c r="A18" s="249" t="s">
        <v>3</v>
      </c>
      <c r="B18" s="249" t="s">
        <v>590</v>
      </c>
      <c r="C18" s="329" t="s">
        <v>2501</v>
      </c>
      <c r="D18" s="268" t="s">
        <v>495</v>
      </c>
      <c r="E18" s="361">
        <v>44236.0</v>
      </c>
      <c r="F18" s="250" t="s">
        <v>496</v>
      </c>
      <c r="G18" s="171"/>
      <c r="H18" s="171"/>
      <c r="I18" s="171"/>
      <c r="J18" s="172">
        <f t="shared" si="2"/>
        <v>0</v>
      </c>
      <c r="K18" s="330">
        <v>2.1953405017921144</v>
      </c>
      <c r="L18" s="327">
        <f t="shared" si="3"/>
        <v>46.10215054</v>
      </c>
      <c r="M18" s="321"/>
      <c r="N18" s="176">
        <f>IFERROR(__xludf.DUMMYFUNCTION("""COMPUTED_VALUE"""),15.0)</f>
        <v>15</v>
      </c>
      <c r="O18" s="176"/>
      <c r="P18" s="176"/>
      <c r="Q18" s="176"/>
      <c r="R18" s="176"/>
      <c r="S18" s="176"/>
      <c r="T18" s="176"/>
      <c r="U18" s="176"/>
      <c r="V18" s="176"/>
      <c r="W18" s="176"/>
      <c r="X18" s="176"/>
      <c r="Y18" s="176"/>
      <c r="Z18" s="176"/>
    </row>
    <row r="19">
      <c r="A19" s="249" t="s">
        <v>3</v>
      </c>
      <c r="B19" s="249" t="s">
        <v>18</v>
      </c>
      <c r="C19" s="329" t="s">
        <v>2502</v>
      </c>
      <c r="D19" s="268" t="s">
        <v>495</v>
      </c>
      <c r="E19" s="361">
        <v>44236.0</v>
      </c>
      <c r="F19" s="250" t="s">
        <v>496</v>
      </c>
      <c r="G19" s="171"/>
      <c r="H19" s="171"/>
      <c r="I19" s="171"/>
      <c r="J19" s="172">
        <f t="shared" si="2"/>
        <v>0</v>
      </c>
      <c r="K19" s="330">
        <v>2.1953405017921144</v>
      </c>
      <c r="L19" s="327">
        <f t="shared" si="3"/>
        <v>46.10215054</v>
      </c>
      <c r="M19" s="321"/>
      <c r="N19" s="176">
        <f>IFERROR(__xludf.DUMMYFUNCTION("""COMPUTED_VALUE"""),16.0)</f>
        <v>16</v>
      </c>
      <c r="O19" s="176"/>
      <c r="P19" s="176"/>
      <c r="Q19" s="176"/>
      <c r="R19" s="176"/>
      <c r="S19" s="176"/>
      <c r="T19" s="176"/>
      <c r="U19" s="176"/>
      <c r="V19" s="176"/>
      <c r="W19" s="176"/>
      <c r="X19" s="176"/>
      <c r="Y19" s="176"/>
      <c r="Z19" s="176"/>
    </row>
    <row r="20">
      <c r="A20" s="249" t="s">
        <v>3</v>
      </c>
      <c r="B20" s="249" t="s">
        <v>1228</v>
      </c>
      <c r="C20" s="329" t="s">
        <v>2503</v>
      </c>
      <c r="D20" s="268" t="s">
        <v>495</v>
      </c>
      <c r="E20" s="251">
        <v>44237.0</v>
      </c>
      <c r="F20" s="250" t="s">
        <v>496</v>
      </c>
      <c r="G20" s="171"/>
      <c r="H20" s="171"/>
      <c r="I20" s="171"/>
      <c r="J20" s="172">
        <f t="shared" si="2"/>
        <v>0</v>
      </c>
      <c r="K20" s="330">
        <v>2.1953405017921144</v>
      </c>
      <c r="L20" s="327">
        <f t="shared" si="3"/>
        <v>46.10215054</v>
      </c>
      <c r="M20" s="321"/>
      <c r="N20" s="176">
        <f>IFERROR(__xludf.DUMMYFUNCTION("""COMPUTED_VALUE"""),17.0)</f>
        <v>17</v>
      </c>
      <c r="O20" s="176"/>
      <c r="P20" s="176"/>
      <c r="Q20" s="176"/>
      <c r="R20" s="176"/>
      <c r="S20" s="176"/>
      <c r="T20" s="176"/>
      <c r="U20" s="176"/>
      <c r="V20" s="176"/>
      <c r="W20" s="176"/>
      <c r="X20" s="176"/>
      <c r="Y20" s="176"/>
      <c r="Z20" s="176"/>
    </row>
    <row r="21">
      <c r="A21" s="249" t="s">
        <v>3</v>
      </c>
      <c r="B21" s="249" t="s">
        <v>10</v>
      </c>
      <c r="C21" s="329" t="s">
        <v>2504</v>
      </c>
      <c r="D21" s="268" t="s">
        <v>495</v>
      </c>
      <c r="E21" s="251">
        <v>44239.0</v>
      </c>
      <c r="F21" s="250" t="s">
        <v>496</v>
      </c>
      <c r="G21" s="171"/>
      <c r="H21" s="171"/>
      <c r="I21" s="171"/>
      <c r="J21" s="172">
        <f t="shared" si="2"/>
        <v>0</v>
      </c>
      <c r="K21" s="330">
        <v>2.1953405017921144</v>
      </c>
      <c r="L21" s="327">
        <f t="shared" si="3"/>
        <v>46.10215054</v>
      </c>
      <c r="M21" s="321"/>
      <c r="N21" s="176">
        <f>IFERROR(__xludf.DUMMYFUNCTION("""COMPUTED_VALUE"""),18.0)</f>
        <v>18</v>
      </c>
      <c r="O21" s="176"/>
      <c r="P21" s="176"/>
      <c r="Q21" s="176"/>
      <c r="R21" s="176"/>
      <c r="S21" s="176"/>
      <c r="T21" s="176"/>
      <c r="U21" s="176"/>
      <c r="V21" s="176"/>
      <c r="W21" s="176"/>
      <c r="X21" s="176"/>
      <c r="Y21" s="176"/>
      <c r="Z21" s="176"/>
    </row>
    <row r="22">
      <c r="A22" s="249" t="s">
        <v>3</v>
      </c>
      <c r="B22" s="249" t="s">
        <v>10</v>
      </c>
      <c r="C22" s="329" t="s">
        <v>2505</v>
      </c>
      <c r="D22" s="268" t="s">
        <v>495</v>
      </c>
      <c r="E22" s="251">
        <v>44239.0</v>
      </c>
      <c r="F22" s="250" t="s">
        <v>496</v>
      </c>
      <c r="G22" s="171"/>
      <c r="H22" s="171"/>
      <c r="I22" s="171"/>
      <c r="J22" s="172">
        <f t="shared" si="2"/>
        <v>0</v>
      </c>
      <c r="K22" s="330">
        <v>2.1953405017921144</v>
      </c>
      <c r="L22" s="327">
        <f t="shared" si="3"/>
        <v>46.10215054</v>
      </c>
      <c r="M22" s="321"/>
      <c r="N22" s="176">
        <f>IFERROR(__xludf.DUMMYFUNCTION("""COMPUTED_VALUE"""),19.0)</f>
        <v>19</v>
      </c>
      <c r="O22" s="176"/>
      <c r="P22" s="176"/>
      <c r="Q22" s="176"/>
      <c r="R22" s="176"/>
      <c r="S22" s="176"/>
      <c r="T22" s="176"/>
      <c r="U22" s="176"/>
      <c r="V22" s="176"/>
      <c r="W22" s="176"/>
      <c r="X22" s="176"/>
      <c r="Y22" s="176"/>
      <c r="Z22" s="176"/>
    </row>
    <row r="23">
      <c r="A23" s="249" t="s">
        <v>3</v>
      </c>
      <c r="B23" s="249" t="s">
        <v>10</v>
      </c>
      <c r="C23" s="329" t="s">
        <v>2506</v>
      </c>
      <c r="D23" s="268" t="s">
        <v>495</v>
      </c>
      <c r="E23" s="251">
        <v>44239.0</v>
      </c>
      <c r="F23" s="250" t="s">
        <v>496</v>
      </c>
      <c r="G23" s="171"/>
      <c r="H23" s="171"/>
      <c r="I23" s="171"/>
      <c r="J23" s="172">
        <f t="shared" si="2"/>
        <v>0</v>
      </c>
      <c r="K23" s="330">
        <v>2.1953405017921144</v>
      </c>
      <c r="L23" s="327">
        <f t="shared" si="3"/>
        <v>46.10215054</v>
      </c>
      <c r="M23" s="321"/>
      <c r="N23" s="176">
        <f>IFERROR(__xludf.DUMMYFUNCTION("""COMPUTED_VALUE"""),20.0)</f>
        <v>20</v>
      </c>
      <c r="O23" s="176"/>
      <c r="P23" s="176"/>
      <c r="Q23" s="176"/>
      <c r="R23" s="176"/>
      <c r="S23" s="176"/>
      <c r="T23" s="176"/>
      <c r="U23" s="176"/>
      <c r="V23" s="176"/>
      <c r="W23" s="176"/>
      <c r="X23" s="176"/>
      <c r="Y23" s="176"/>
      <c r="Z23" s="176"/>
    </row>
    <row r="24">
      <c r="A24" s="249" t="s">
        <v>3</v>
      </c>
      <c r="B24" s="249" t="s">
        <v>10</v>
      </c>
      <c r="C24" s="329" t="s">
        <v>2507</v>
      </c>
      <c r="D24" s="268" t="s">
        <v>495</v>
      </c>
      <c r="E24" s="251">
        <v>44239.0</v>
      </c>
      <c r="F24" s="250" t="s">
        <v>496</v>
      </c>
      <c r="G24" s="171"/>
      <c r="H24" s="171"/>
      <c r="I24" s="171"/>
      <c r="J24" s="172">
        <f t="shared" si="2"/>
        <v>0</v>
      </c>
      <c r="K24" s="330">
        <v>2.1953405017921144</v>
      </c>
      <c r="L24" s="327">
        <f t="shared" si="3"/>
        <v>46.10215054</v>
      </c>
      <c r="M24" s="321"/>
      <c r="N24" s="176">
        <f>IFERROR(__xludf.DUMMYFUNCTION("""COMPUTED_VALUE"""),21.0)</f>
        <v>21</v>
      </c>
      <c r="O24" s="176"/>
      <c r="P24" s="176"/>
      <c r="Q24" s="176"/>
      <c r="R24" s="176"/>
      <c r="S24" s="176"/>
      <c r="T24" s="176"/>
      <c r="U24" s="176"/>
      <c r="V24" s="176"/>
      <c r="W24" s="176"/>
      <c r="X24" s="176"/>
      <c r="Y24" s="176"/>
      <c r="Z24" s="176"/>
    </row>
    <row r="25">
      <c r="A25" s="249" t="s">
        <v>3</v>
      </c>
      <c r="B25" s="249" t="s">
        <v>867</v>
      </c>
      <c r="C25" s="329" t="s">
        <v>2508</v>
      </c>
      <c r="D25" s="268" t="s">
        <v>495</v>
      </c>
      <c r="E25" s="361">
        <v>44228.0</v>
      </c>
      <c r="F25" s="250" t="s">
        <v>496</v>
      </c>
      <c r="G25" s="171"/>
      <c r="H25" s="171"/>
      <c r="I25" s="171"/>
      <c r="J25" s="172">
        <f t="shared" si="2"/>
        <v>0</v>
      </c>
      <c r="K25" s="330">
        <v>0.0</v>
      </c>
      <c r="L25" s="327">
        <f t="shared" si="3"/>
        <v>46.10215054</v>
      </c>
      <c r="M25" s="321"/>
      <c r="N25" s="176">
        <f>IFERROR(__xludf.DUMMYFUNCTION("""COMPUTED_VALUE"""),22.0)</f>
        <v>22</v>
      </c>
      <c r="O25" s="176"/>
      <c r="P25" s="176"/>
      <c r="Q25" s="176"/>
      <c r="R25" s="176"/>
      <c r="S25" s="176"/>
      <c r="T25" s="176"/>
      <c r="U25" s="176"/>
      <c r="V25" s="176"/>
      <c r="W25" s="176"/>
      <c r="X25" s="176"/>
      <c r="Y25" s="176"/>
      <c r="Z25" s="176"/>
    </row>
    <row r="26">
      <c r="A26" s="249" t="s">
        <v>3</v>
      </c>
      <c r="B26" s="249" t="s">
        <v>867</v>
      </c>
      <c r="C26" s="329" t="s">
        <v>2509</v>
      </c>
      <c r="D26" s="268" t="s">
        <v>495</v>
      </c>
      <c r="E26" s="361">
        <v>44235.0</v>
      </c>
      <c r="F26" s="250" t="s">
        <v>496</v>
      </c>
      <c r="G26" s="171"/>
      <c r="H26" s="171"/>
      <c r="I26" s="171"/>
      <c r="J26" s="172">
        <f t="shared" si="2"/>
        <v>0</v>
      </c>
      <c r="K26" s="330">
        <v>0.0</v>
      </c>
      <c r="L26" s="327">
        <f t="shared" si="3"/>
        <v>46.10215054</v>
      </c>
      <c r="M26" s="321"/>
      <c r="N26" s="176">
        <f>IFERROR(__xludf.DUMMYFUNCTION("""COMPUTED_VALUE"""),23.0)</f>
        <v>23</v>
      </c>
      <c r="O26" s="176"/>
      <c r="P26" s="176"/>
      <c r="Q26" s="176"/>
      <c r="R26" s="176"/>
      <c r="S26" s="176"/>
      <c r="T26" s="176"/>
      <c r="U26" s="176"/>
      <c r="V26" s="176"/>
      <c r="W26" s="176"/>
      <c r="X26" s="176"/>
      <c r="Y26" s="176"/>
      <c r="Z26" s="176"/>
    </row>
    <row r="27">
      <c r="A27" s="249" t="s">
        <v>4</v>
      </c>
      <c r="B27" s="249" t="s">
        <v>10</v>
      </c>
      <c r="C27" s="329" t="s">
        <v>2510</v>
      </c>
      <c r="D27" s="268" t="s">
        <v>495</v>
      </c>
      <c r="E27" s="361">
        <v>44232.0</v>
      </c>
      <c r="F27" s="250" t="s">
        <v>496</v>
      </c>
      <c r="G27" s="171">
        <v>200.0</v>
      </c>
      <c r="H27" s="171">
        <v>200.0</v>
      </c>
      <c r="I27" s="171">
        <v>150.0</v>
      </c>
      <c r="J27" s="325">
        <f t="shared" si="2"/>
        <v>0.007223814346</v>
      </c>
      <c r="K27" s="326">
        <f t="shared" ref="K27:K89" si="4">J27*$J$1</f>
        <v>5.899448382</v>
      </c>
      <c r="L27" s="327">
        <f t="shared" si="3"/>
        <v>38.53631231</v>
      </c>
      <c r="M27" s="321" t="str">
        <f t="shared" ref="M27:M204" si="5">A27</f>
        <v>santigs67</v>
      </c>
      <c r="N27" s="176">
        <f>IFERROR(__xludf.DUMMYFUNCTION("""COMPUTED_VALUE"""),1.0)</f>
        <v>1</v>
      </c>
      <c r="O27" s="176"/>
      <c r="P27" s="176"/>
      <c r="Q27" s="176"/>
      <c r="R27" s="176"/>
      <c r="S27" s="176"/>
      <c r="T27" s="176"/>
      <c r="U27" s="176"/>
      <c r="V27" s="176"/>
      <c r="W27" s="176"/>
      <c r="X27" s="176"/>
      <c r="Y27" s="176"/>
      <c r="Z27" s="176"/>
    </row>
    <row r="28">
      <c r="A28" s="249" t="s">
        <v>4</v>
      </c>
      <c r="B28" s="249" t="s">
        <v>590</v>
      </c>
      <c r="C28" s="329" t="s">
        <v>2511</v>
      </c>
      <c r="D28" s="268" t="s">
        <v>495</v>
      </c>
      <c r="E28" s="361">
        <v>44229.0</v>
      </c>
      <c r="F28" s="250" t="s">
        <v>496</v>
      </c>
      <c r="G28" s="171">
        <v>300.0</v>
      </c>
      <c r="H28" s="171">
        <v>100.0</v>
      </c>
      <c r="I28" s="171">
        <v>100.0</v>
      </c>
      <c r="J28" s="325">
        <f t="shared" si="2"/>
        <v>0.006165524379</v>
      </c>
      <c r="K28" s="326">
        <f t="shared" si="4"/>
        <v>5.035178243</v>
      </c>
      <c r="L28" s="327">
        <f t="shared" si="3"/>
        <v>38.53631231</v>
      </c>
      <c r="M28" s="321" t="str">
        <f t="shared" si="5"/>
        <v>santigs67</v>
      </c>
      <c r="N28" s="176">
        <f>IFERROR(__xludf.DUMMYFUNCTION("""COMPUTED_VALUE"""),2.0)</f>
        <v>2</v>
      </c>
      <c r="O28" s="176"/>
      <c r="P28" s="176"/>
      <c r="Q28" s="176"/>
      <c r="R28" s="176"/>
      <c r="S28" s="176"/>
      <c r="T28" s="176"/>
      <c r="U28" s="176"/>
      <c r="V28" s="176"/>
      <c r="W28" s="176"/>
      <c r="X28" s="176"/>
      <c r="Y28" s="176"/>
      <c r="Z28" s="176"/>
    </row>
    <row r="29">
      <c r="A29" s="249" t="s">
        <v>4</v>
      </c>
      <c r="B29" s="249" t="s">
        <v>10</v>
      </c>
      <c r="C29" s="329" t="s">
        <v>2512</v>
      </c>
      <c r="D29" s="268" t="s">
        <v>495</v>
      </c>
      <c r="E29" s="361">
        <v>44232.0</v>
      </c>
      <c r="F29" s="250" t="s">
        <v>496</v>
      </c>
      <c r="G29" s="171">
        <v>300.0</v>
      </c>
      <c r="H29" s="171">
        <v>100.0</v>
      </c>
      <c r="I29" s="171">
        <v>100.0</v>
      </c>
      <c r="J29" s="325">
        <f t="shared" si="2"/>
        <v>0.006165524379</v>
      </c>
      <c r="K29" s="326">
        <f t="shared" si="4"/>
        <v>5.035178243</v>
      </c>
      <c r="L29" s="327">
        <f t="shared" si="3"/>
        <v>38.53631231</v>
      </c>
      <c r="M29" s="321" t="str">
        <f t="shared" si="5"/>
        <v>santigs67</v>
      </c>
      <c r="N29" s="176">
        <f>IFERROR(__xludf.DUMMYFUNCTION("""COMPUTED_VALUE"""),3.0)</f>
        <v>3</v>
      </c>
      <c r="O29" s="176"/>
      <c r="P29" s="176"/>
      <c r="Q29" s="176"/>
      <c r="R29" s="176"/>
      <c r="S29" s="176"/>
      <c r="T29" s="176"/>
      <c r="U29" s="176"/>
      <c r="V29" s="176"/>
      <c r="W29" s="176"/>
      <c r="X29" s="176"/>
      <c r="Y29" s="176"/>
      <c r="Z29" s="176"/>
    </row>
    <row r="30">
      <c r="A30" s="249" t="s">
        <v>4</v>
      </c>
      <c r="B30" s="249" t="s">
        <v>10</v>
      </c>
      <c r="C30" s="329" t="s">
        <v>2513</v>
      </c>
      <c r="D30" s="268" t="s">
        <v>495</v>
      </c>
      <c r="E30" s="251">
        <v>44239.0</v>
      </c>
      <c r="F30" s="250" t="s">
        <v>496</v>
      </c>
      <c r="G30" s="171">
        <v>100.0</v>
      </c>
      <c r="H30" s="171">
        <v>100.0</v>
      </c>
      <c r="I30" s="171">
        <v>100.0</v>
      </c>
      <c r="J30" s="325">
        <f t="shared" si="2"/>
        <v>0.003900108222</v>
      </c>
      <c r="K30" s="326">
        <f t="shared" si="4"/>
        <v>3.185088381</v>
      </c>
      <c r="L30" s="327">
        <f t="shared" si="3"/>
        <v>38.53631231</v>
      </c>
      <c r="M30" s="321" t="str">
        <f t="shared" si="5"/>
        <v>santigs67</v>
      </c>
      <c r="N30" s="176">
        <f>IFERROR(__xludf.DUMMYFUNCTION("""COMPUTED_VALUE"""),4.0)</f>
        <v>4</v>
      </c>
      <c r="O30" s="176"/>
      <c r="P30" s="176"/>
      <c r="Q30" s="176"/>
      <c r="R30" s="176"/>
      <c r="S30" s="176"/>
      <c r="T30" s="176"/>
      <c r="U30" s="176"/>
      <c r="V30" s="176"/>
      <c r="W30" s="176"/>
      <c r="X30" s="176"/>
      <c r="Y30" s="176"/>
      <c r="Z30" s="176"/>
    </row>
    <row r="31">
      <c r="A31" s="249" t="s">
        <v>4</v>
      </c>
      <c r="B31" s="249" t="s">
        <v>18</v>
      </c>
      <c r="C31" s="329" t="s">
        <v>2491</v>
      </c>
      <c r="D31" s="268" t="s">
        <v>495</v>
      </c>
      <c r="E31" s="361">
        <v>44228.0</v>
      </c>
      <c r="F31" s="250" t="s">
        <v>496</v>
      </c>
      <c r="G31" s="171">
        <v>80.0</v>
      </c>
      <c r="H31" s="171">
        <v>100.0</v>
      </c>
      <c r="I31" s="171">
        <v>100.0</v>
      </c>
      <c r="J31" s="325">
        <f t="shared" si="2"/>
        <v>0.003673566606</v>
      </c>
      <c r="K31" s="326">
        <f t="shared" si="4"/>
        <v>3.000079395</v>
      </c>
      <c r="L31" s="327">
        <f t="shared" si="3"/>
        <v>38.53631231</v>
      </c>
      <c r="M31" s="321" t="str">
        <f t="shared" si="5"/>
        <v>santigs67</v>
      </c>
      <c r="N31" s="176">
        <f>IFERROR(__xludf.DUMMYFUNCTION("""COMPUTED_VALUE"""),5.0)</f>
        <v>5</v>
      </c>
      <c r="O31" s="176"/>
      <c r="P31" s="176"/>
      <c r="Q31" s="176"/>
      <c r="R31" s="176"/>
      <c r="S31" s="176"/>
      <c r="T31" s="176"/>
      <c r="U31" s="176"/>
      <c r="V31" s="176"/>
      <c r="W31" s="176"/>
      <c r="X31" s="176"/>
      <c r="Y31" s="176"/>
      <c r="Z31" s="176"/>
    </row>
    <row r="32">
      <c r="A32" s="249" t="s">
        <v>4</v>
      </c>
      <c r="B32" s="249" t="s">
        <v>868</v>
      </c>
      <c r="C32" s="329" t="s">
        <v>2488</v>
      </c>
      <c r="D32" s="268" t="s">
        <v>495</v>
      </c>
      <c r="E32" s="251">
        <v>44226.0</v>
      </c>
      <c r="F32" s="250" t="s">
        <v>496</v>
      </c>
      <c r="G32" s="171">
        <v>60.0</v>
      </c>
      <c r="H32" s="171">
        <v>100.0</v>
      </c>
      <c r="I32" s="171">
        <v>100.0</v>
      </c>
      <c r="J32" s="325">
        <f t="shared" si="2"/>
        <v>0.003447024991</v>
      </c>
      <c r="K32" s="326">
        <f t="shared" si="4"/>
        <v>2.815070409</v>
      </c>
      <c r="L32" s="327">
        <f t="shared" si="3"/>
        <v>38.53631231</v>
      </c>
      <c r="M32" s="321" t="str">
        <f t="shared" si="5"/>
        <v>santigs67</v>
      </c>
      <c r="N32" s="176">
        <f>IFERROR(__xludf.DUMMYFUNCTION("""COMPUTED_VALUE"""),6.0)</f>
        <v>6</v>
      </c>
      <c r="O32" s="176"/>
      <c r="P32" s="176"/>
      <c r="Q32" s="176"/>
      <c r="R32" s="176"/>
      <c r="S32" s="176"/>
      <c r="T32" s="176"/>
      <c r="U32" s="176"/>
      <c r="V32" s="176"/>
      <c r="W32" s="176"/>
      <c r="X32" s="176"/>
      <c r="Y32" s="176"/>
      <c r="Z32" s="176"/>
    </row>
    <row r="33">
      <c r="A33" s="249" t="s">
        <v>4</v>
      </c>
      <c r="B33" s="249" t="s">
        <v>10</v>
      </c>
      <c r="C33" s="329" t="s">
        <v>2514</v>
      </c>
      <c r="D33" s="268" t="s">
        <v>495</v>
      </c>
      <c r="E33" s="361">
        <v>44232.0</v>
      </c>
      <c r="F33" s="250" t="s">
        <v>496</v>
      </c>
      <c r="G33" s="171">
        <v>50.0</v>
      </c>
      <c r="H33" s="171">
        <v>50.0</v>
      </c>
      <c r="I33" s="171">
        <v>100.0</v>
      </c>
      <c r="J33" s="325">
        <f t="shared" si="2"/>
        <v>0.002526456209</v>
      </c>
      <c r="K33" s="326">
        <f t="shared" si="4"/>
        <v>2.063272571</v>
      </c>
      <c r="L33" s="327">
        <f t="shared" si="3"/>
        <v>38.53631231</v>
      </c>
      <c r="M33" s="321" t="str">
        <f t="shared" si="5"/>
        <v>santigs67</v>
      </c>
      <c r="N33" s="176">
        <f>IFERROR(__xludf.DUMMYFUNCTION("""COMPUTED_VALUE"""),7.0)</f>
        <v>7</v>
      </c>
      <c r="O33" s="176"/>
      <c r="P33" s="176"/>
      <c r="Q33" s="176"/>
      <c r="R33" s="176"/>
      <c r="S33" s="176"/>
      <c r="T33" s="176"/>
      <c r="U33" s="176"/>
      <c r="V33" s="176"/>
      <c r="W33" s="176"/>
      <c r="X33" s="176"/>
      <c r="Y33" s="176"/>
      <c r="Z33" s="176"/>
    </row>
    <row r="34">
      <c r="A34" s="249" t="s">
        <v>4</v>
      </c>
      <c r="B34" s="249" t="s">
        <v>63</v>
      </c>
      <c r="C34" s="329" t="s">
        <v>2515</v>
      </c>
      <c r="D34" s="268" t="s">
        <v>495</v>
      </c>
      <c r="E34" s="361">
        <v>44229.0</v>
      </c>
      <c r="F34" s="250" t="s">
        <v>496</v>
      </c>
      <c r="G34" s="171">
        <v>60.0</v>
      </c>
      <c r="H34" s="171">
        <v>50.0</v>
      </c>
      <c r="I34" s="171">
        <v>50.0</v>
      </c>
      <c r="J34" s="325">
        <f t="shared" si="2"/>
        <v>0.002063324919</v>
      </c>
      <c r="K34" s="326">
        <f t="shared" si="4"/>
        <v>1.685048684</v>
      </c>
      <c r="L34" s="327">
        <f t="shared" si="3"/>
        <v>38.53631231</v>
      </c>
      <c r="M34" s="321" t="str">
        <f t="shared" si="5"/>
        <v>santigs67</v>
      </c>
      <c r="N34" s="176">
        <f>IFERROR(__xludf.DUMMYFUNCTION("""COMPUTED_VALUE"""),8.0)</f>
        <v>8</v>
      </c>
      <c r="O34" s="176"/>
      <c r="P34" s="176"/>
      <c r="Q34" s="176"/>
      <c r="R34" s="176"/>
      <c r="S34" s="176"/>
      <c r="T34" s="176"/>
      <c r="U34" s="176"/>
      <c r="V34" s="176"/>
      <c r="W34" s="176"/>
      <c r="X34" s="176"/>
      <c r="Y34" s="176"/>
      <c r="Z34" s="176"/>
    </row>
    <row r="35">
      <c r="A35" s="249" t="s">
        <v>4</v>
      </c>
      <c r="B35" s="249" t="s">
        <v>18</v>
      </c>
      <c r="C35" s="329" t="s">
        <v>2502</v>
      </c>
      <c r="D35" s="268" t="s">
        <v>495</v>
      </c>
      <c r="E35" s="361">
        <v>44236.0</v>
      </c>
      <c r="F35" s="250" t="s">
        <v>496</v>
      </c>
      <c r="G35" s="171">
        <v>40.0</v>
      </c>
      <c r="H35" s="171">
        <v>50.0</v>
      </c>
      <c r="I35" s="171">
        <v>60.0</v>
      </c>
      <c r="J35" s="325">
        <f t="shared" si="2"/>
        <v>0.001952063723</v>
      </c>
      <c r="K35" s="326">
        <f t="shared" si="4"/>
        <v>1.594185374</v>
      </c>
      <c r="L35" s="327">
        <f t="shared" si="3"/>
        <v>38.53631231</v>
      </c>
      <c r="M35" s="321" t="str">
        <f t="shared" si="5"/>
        <v>santigs67</v>
      </c>
      <c r="N35" s="176">
        <f>IFERROR(__xludf.DUMMYFUNCTION("""COMPUTED_VALUE"""),9.0)</f>
        <v>9</v>
      </c>
      <c r="O35" s="176"/>
      <c r="P35" s="176"/>
      <c r="Q35" s="176"/>
      <c r="R35" s="176"/>
      <c r="S35" s="176"/>
      <c r="T35" s="176"/>
      <c r="U35" s="176"/>
      <c r="V35" s="176"/>
      <c r="W35" s="176"/>
      <c r="X35" s="176"/>
      <c r="Y35" s="176"/>
      <c r="Z35" s="176"/>
    </row>
    <row r="36">
      <c r="A36" s="249" t="s">
        <v>4</v>
      </c>
      <c r="B36" s="249" t="s">
        <v>1228</v>
      </c>
      <c r="C36" s="329" t="s">
        <v>2499</v>
      </c>
      <c r="D36" s="268" t="s">
        <v>495</v>
      </c>
      <c r="E36" s="361">
        <v>44236.0</v>
      </c>
      <c r="F36" s="250" t="s">
        <v>496</v>
      </c>
      <c r="G36" s="171">
        <v>60.0</v>
      </c>
      <c r="H36" s="171">
        <v>25.0</v>
      </c>
      <c r="I36" s="171">
        <v>60.0</v>
      </c>
      <c r="J36" s="325">
        <f t="shared" si="2"/>
        <v>0.001774956352</v>
      </c>
      <c r="K36" s="326">
        <f t="shared" si="4"/>
        <v>1.449547687</v>
      </c>
      <c r="L36" s="327">
        <f t="shared" si="3"/>
        <v>38.53631231</v>
      </c>
      <c r="M36" s="321" t="str">
        <f t="shared" si="5"/>
        <v>santigs67</v>
      </c>
      <c r="N36" s="176">
        <f>IFERROR(__xludf.DUMMYFUNCTION("""COMPUTED_VALUE"""),10.0)</f>
        <v>10</v>
      </c>
      <c r="O36" s="176"/>
      <c r="P36" s="176"/>
      <c r="Q36" s="176"/>
      <c r="R36" s="176"/>
      <c r="S36" s="176"/>
      <c r="T36" s="176"/>
      <c r="U36" s="176"/>
      <c r="V36" s="176"/>
      <c r="W36" s="176"/>
      <c r="X36" s="176"/>
      <c r="Y36" s="176"/>
      <c r="Z36" s="176"/>
    </row>
    <row r="37">
      <c r="A37" s="249" t="s">
        <v>4</v>
      </c>
      <c r="B37" s="249" t="s">
        <v>590</v>
      </c>
      <c r="C37" s="329" t="s">
        <v>2492</v>
      </c>
      <c r="D37" s="268" t="s">
        <v>495</v>
      </c>
      <c r="E37" s="361">
        <v>44229.0</v>
      </c>
      <c r="F37" s="250" t="s">
        <v>496</v>
      </c>
      <c r="G37" s="171">
        <v>60.0</v>
      </c>
      <c r="H37" s="171">
        <v>25.0</v>
      </c>
      <c r="I37" s="171">
        <v>50.0</v>
      </c>
      <c r="J37" s="325">
        <f t="shared" si="2"/>
        <v>0.001659675932</v>
      </c>
      <c r="K37" s="326">
        <f t="shared" si="4"/>
        <v>1.355402011</v>
      </c>
      <c r="L37" s="327">
        <f t="shared" si="3"/>
        <v>38.53631231</v>
      </c>
      <c r="M37" s="321" t="str">
        <f t="shared" si="5"/>
        <v>santigs67</v>
      </c>
      <c r="N37" s="176">
        <f>IFERROR(__xludf.DUMMYFUNCTION("""COMPUTED_VALUE"""),11.0)</f>
        <v>11</v>
      </c>
      <c r="O37" s="176"/>
      <c r="P37" s="176"/>
      <c r="Q37" s="176"/>
      <c r="R37" s="176"/>
      <c r="S37" s="176"/>
      <c r="T37" s="176"/>
      <c r="U37" s="176"/>
      <c r="V37" s="176"/>
      <c r="W37" s="176"/>
      <c r="X37" s="176"/>
      <c r="Y37" s="176"/>
      <c r="Z37" s="176"/>
    </row>
    <row r="38">
      <c r="A38" s="249" t="s">
        <v>4</v>
      </c>
      <c r="B38" s="249" t="s">
        <v>10</v>
      </c>
      <c r="C38" s="329" t="s">
        <v>2507</v>
      </c>
      <c r="D38" s="268" t="s">
        <v>495</v>
      </c>
      <c r="E38" s="251">
        <v>44239.0</v>
      </c>
      <c r="F38" s="250" t="s">
        <v>496</v>
      </c>
      <c r="G38" s="171">
        <v>60.0</v>
      </c>
      <c r="H38" s="171">
        <v>25.0</v>
      </c>
      <c r="I38" s="171">
        <v>50.0</v>
      </c>
      <c r="J38" s="325">
        <f t="shared" si="2"/>
        <v>0.001659675932</v>
      </c>
      <c r="K38" s="326">
        <f t="shared" si="4"/>
        <v>1.355402011</v>
      </c>
      <c r="L38" s="327">
        <f t="shared" si="3"/>
        <v>38.53631231</v>
      </c>
      <c r="M38" s="321" t="str">
        <f t="shared" si="5"/>
        <v>santigs67</v>
      </c>
      <c r="N38" s="176">
        <f>IFERROR(__xludf.DUMMYFUNCTION("""COMPUTED_VALUE"""),12.0)</f>
        <v>12</v>
      </c>
      <c r="O38" s="176"/>
      <c r="P38" s="176"/>
      <c r="Q38" s="176"/>
      <c r="R38" s="176"/>
      <c r="S38" s="176"/>
      <c r="T38" s="176"/>
      <c r="U38" s="176"/>
      <c r="V38" s="176"/>
      <c r="W38" s="176"/>
      <c r="X38" s="176"/>
      <c r="Y38" s="176"/>
      <c r="Z38" s="176"/>
    </row>
    <row r="39">
      <c r="A39" s="249" t="s">
        <v>4</v>
      </c>
      <c r="B39" s="249" t="s">
        <v>10</v>
      </c>
      <c r="C39" s="329" t="s">
        <v>2497</v>
      </c>
      <c r="D39" s="268" t="s">
        <v>495</v>
      </c>
      <c r="E39" s="361">
        <v>44232.0</v>
      </c>
      <c r="F39" s="250" t="s">
        <v>496</v>
      </c>
      <c r="G39" s="171">
        <v>40.0</v>
      </c>
      <c r="H39" s="171">
        <v>25.0</v>
      </c>
      <c r="I39" s="171">
        <v>50.0</v>
      </c>
      <c r="J39" s="325">
        <f t="shared" si="2"/>
        <v>0.001433134316</v>
      </c>
      <c r="K39" s="326">
        <f t="shared" si="4"/>
        <v>1.170393025</v>
      </c>
      <c r="L39" s="327">
        <f t="shared" si="3"/>
        <v>38.53631231</v>
      </c>
      <c r="M39" s="321" t="str">
        <f t="shared" si="5"/>
        <v>santigs67</v>
      </c>
      <c r="N39" s="176">
        <f>IFERROR(__xludf.DUMMYFUNCTION("""COMPUTED_VALUE"""),13.0)</f>
        <v>13</v>
      </c>
      <c r="O39" s="176"/>
      <c r="P39" s="176"/>
      <c r="Q39" s="176"/>
      <c r="R39" s="176"/>
      <c r="S39" s="176"/>
      <c r="T39" s="176"/>
      <c r="U39" s="176"/>
      <c r="V39" s="176"/>
      <c r="W39" s="176"/>
      <c r="X39" s="176"/>
      <c r="Y39" s="176"/>
      <c r="Z39" s="176"/>
    </row>
    <row r="40">
      <c r="A40" s="249" t="s">
        <v>4</v>
      </c>
      <c r="B40" s="249" t="s">
        <v>590</v>
      </c>
      <c r="C40" s="329" t="s">
        <v>2500</v>
      </c>
      <c r="D40" s="268" t="s">
        <v>495</v>
      </c>
      <c r="E40" s="361">
        <v>44236.0</v>
      </c>
      <c r="F40" s="250" t="s">
        <v>496</v>
      </c>
      <c r="G40" s="171">
        <v>40.0</v>
      </c>
      <c r="H40" s="171">
        <v>25.0</v>
      </c>
      <c r="I40" s="171">
        <v>50.0</v>
      </c>
      <c r="J40" s="325">
        <f t="shared" si="2"/>
        <v>0.001433134316</v>
      </c>
      <c r="K40" s="326">
        <f t="shared" si="4"/>
        <v>1.170393025</v>
      </c>
      <c r="L40" s="327">
        <f t="shared" si="3"/>
        <v>38.53631231</v>
      </c>
      <c r="M40" s="321" t="str">
        <f t="shared" si="5"/>
        <v>santigs67</v>
      </c>
      <c r="N40" s="176">
        <f>IFERROR(__xludf.DUMMYFUNCTION("""COMPUTED_VALUE"""),14.0)</f>
        <v>14</v>
      </c>
      <c r="O40" s="176"/>
      <c r="P40" s="176"/>
      <c r="Q40" s="176"/>
      <c r="R40" s="176"/>
      <c r="S40" s="176"/>
      <c r="T40" s="176"/>
      <c r="U40" s="176"/>
      <c r="V40" s="176"/>
      <c r="W40" s="176"/>
      <c r="X40" s="176"/>
      <c r="Y40" s="176"/>
      <c r="Z40" s="176"/>
    </row>
    <row r="41">
      <c r="A41" s="249" t="s">
        <v>4</v>
      </c>
      <c r="B41" s="249" t="s">
        <v>10</v>
      </c>
      <c r="C41" s="329" t="s">
        <v>2506</v>
      </c>
      <c r="D41" s="268" t="s">
        <v>495</v>
      </c>
      <c r="E41" s="251">
        <v>44239.0</v>
      </c>
      <c r="F41" s="250" t="s">
        <v>496</v>
      </c>
      <c r="G41" s="171">
        <v>40.0</v>
      </c>
      <c r="H41" s="171">
        <v>25.0</v>
      </c>
      <c r="I41" s="171">
        <v>50.0</v>
      </c>
      <c r="J41" s="325">
        <f t="shared" si="2"/>
        <v>0.001433134316</v>
      </c>
      <c r="K41" s="326">
        <f t="shared" si="4"/>
        <v>1.170393025</v>
      </c>
      <c r="L41" s="327">
        <f t="shared" si="3"/>
        <v>38.53631231</v>
      </c>
      <c r="M41" s="321" t="str">
        <f t="shared" si="5"/>
        <v>santigs67</v>
      </c>
      <c r="N41" s="176">
        <f>IFERROR(__xludf.DUMMYFUNCTION("""COMPUTED_VALUE"""),15.0)</f>
        <v>15</v>
      </c>
      <c r="O41" s="176"/>
      <c r="P41" s="176"/>
      <c r="Q41" s="176"/>
      <c r="R41" s="176"/>
      <c r="S41" s="176"/>
      <c r="T41" s="176"/>
      <c r="U41" s="176"/>
      <c r="V41" s="176"/>
      <c r="W41" s="176"/>
      <c r="X41" s="176"/>
      <c r="Y41" s="176"/>
      <c r="Z41" s="176"/>
    </row>
    <row r="42">
      <c r="A42" s="249" t="s">
        <v>4</v>
      </c>
      <c r="B42" s="249" t="s">
        <v>10</v>
      </c>
      <c r="C42" s="329" t="s">
        <v>2498</v>
      </c>
      <c r="D42" s="268" t="s">
        <v>495</v>
      </c>
      <c r="E42" s="361">
        <v>44232.0</v>
      </c>
      <c r="F42" s="250" t="s">
        <v>545</v>
      </c>
      <c r="G42" s="171">
        <v>20.0</v>
      </c>
      <c r="H42" s="171">
        <v>10.0</v>
      </c>
      <c r="I42" s="171">
        <v>25.0</v>
      </c>
      <c r="J42" s="325">
        <f t="shared" si="2"/>
        <v>0.0006762022595</v>
      </c>
      <c r="K42" s="326">
        <f t="shared" si="4"/>
        <v>0.5522318452</v>
      </c>
      <c r="L42" s="327">
        <f t="shared" si="3"/>
        <v>38.53631231</v>
      </c>
      <c r="M42" s="321" t="str">
        <f t="shared" si="5"/>
        <v>santigs67</v>
      </c>
      <c r="N42" s="176">
        <f>IFERROR(__xludf.DUMMYFUNCTION("""COMPUTED_VALUE"""),16.0)</f>
        <v>16</v>
      </c>
      <c r="O42" s="176"/>
      <c r="P42" s="176"/>
      <c r="Q42" s="176"/>
      <c r="R42" s="176"/>
      <c r="S42" s="176"/>
      <c r="T42" s="176"/>
      <c r="U42" s="176"/>
      <c r="V42" s="176"/>
      <c r="W42" s="176"/>
      <c r="X42" s="176"/>
      <c r="Y42" s="176"/>
      <c r="Z42" s="176"/>
    </row>
    <row r="43">
      <c r="A43" s="249" t="s">
        <v>12</v>
      </c>
      <c r="B43" s="249" t="s">
        <v>10</v>
      </c>
      <c r="C43" s="329" t="s">
        <v>2516</v>
      </c>
      <c r="D43" s="268" t="s">
        <v>495</v>
      </c>
      <c r="E43" s="361">
        <v>44232.0</v>
      </c>
      <c r="F43" s="250" t="s">
        <v>496</v>
      </c>
      <c r="G43" s="171">
        <v>100.0</v>
      </c>
      <c r="H43" s="171">
        <v>100.0</v>
      </c>
      <c r="I43" s="171">
        <v>150.0</v>
      </c>
      <c r="J43" s="325">
        <f t="shared" si="2"/>
        <v>0.00447651032</v>
      </c>
      <c r="K43" s="326">
        <f t="shared" si="4"/>
        <v>3.655816761</v>
      </c>
      <c r="L43" s="327">
        <f t="shared" si="3"/>
        <v>30.0561748</v>
      </c>
      <c r="M43" s="321" t="str">
        <f t="shared" si="5"/>
        <v>metaverde</v>
      </c>
      <c r="N43" s="176">
        <f>IFERROR(__xludf.DUMMYFUNCTION("""COMPUTED_VALUE"""),1.0)</f>
        <v>1</v>
      </c>
      <c r="O43" s="176"/>
      <c r="P43" s="176"/>
      <c r="Q43" s="176"/>
      <c r="R43" s="176"/>
      <c r="S43" s="176"/>
      <c r="T43" s="176"/>
      <c r="U43" s="176"/>
      <c r="V43" s="176"/>
      <c r="W43" s="176"/>
      <c r="X43" s="176"/>
      <c r="Y43" s="176"/>
      <c r="Z43" s="176"/>
    </row>
    <row r="44">
      <c r="A44" s="249" t="s">
        <v>12</v>
      </c>
      <c r="B44" s="249" t="s">
        <v>590</v>
      </c>
      <c r="C44" s="329" t="s">
        <v>2517</v>
      </c>
      <c r="D44" s="268" t="s">
        <v>495</v>
      </c>
      <c r="E44" s="361">
        <v>44236.0</v>
      </c>
      <c r="F44" s="250" t="s">
        <v>496</v>
      </c>
      <c r="G44" s="171">
        <v>100.0</v>
      </c>
      <c r="H44" s="171">
        <v>100.0</v>
      </c>
      <c r="I44" s="171">
        <v>150.0</v>
      </c>
      <c r="J44" s="325">
        <f t="shared" si="2"/>
        <v>0.00447651032</v>
      </c>
      <c r="K44" s="326">
        <f t="shared" si="4"/>
        <v>3.655816761</v>
      </c>
      <c r="L44" s="327">
        <f t="shared" si="3"/>
        <v>30.0561748</v>
      </c>
      <c r="M44" s="321" t="str">
        <f t="shared" si="5"/>
        <v>metaverde</v>
      </c>
      <c r="N44" s="176">
        <f>IFERROR(__xludf.DUMMYFUNCTION("""COMPUTED_VALUE"""),2.0)</f>
        <v>2</v>
      </c>
      <c r="O44" s="176"/>
      <c r="P44" s="176"/>
      <c r="Q44" s="176"/>
      <c r="R44" s="176"/>
      <c r="S44" s="176"/>
      <c r="T44" s="176"/>
      <c r="U44" s="176"/>
      <c r="V44" s="176"/>
      <c r="W44" s="176"/>
      <c r="X44" s="176"/>
      <c r="Y44" s="176"/>
      <c r="Z44" s="176"/>
    </row>
    <row r="45">
      <c r="A45" s="249" t="s">
        <v>12</v>
      </c>
      <c r="B45" s="249" t="s">
        <v>845</v>
      </c>
      <c r="C45" s="329" t="s">
        <v>2518</v>
      </c>
      <c r="D45" s="268" t="s">
        <v>495</v>
      </c>
      <c r="E45" s="361">
        <v>44234.0</v>
      </c>
      <c r="F45" s="250" t="s">
        <v>496</v>
      </c>
      <c r="G45" s="171">
        <v>100.0</v>
      </c>
      <c r="H45" s="171">
        <v>100.0</v>
      </c>
      <c r="I45" s="171">
        <v>100.0</v>
      </c>
      <c r="J45" s="325">
        <f t="shared" si="2"/>
        <v>0.003900108222</v>
      </c>
      <c r="K45" s="326">
        <f t="shared" si="4"/>
        <v>3.185088381</v>
      </c>
      <c r="L45" s="327">
        <f t="shared" si="3"/>
        <v>30.0561748</v>
      </c>
      <c r="M45" s="321" t="str">
        <f t="shared" si="5"/>
        <v>metaverde</v>
      </c>
      <c r="N45" s="176">
        <f>IFERROR(__xludf.DUMMYFUNCTION("""COMPUTED_VALUE"""),3.0)</f>
        <v>3</v>
      </c>
      <c r="O45" s="176"/>
      <c r="P45" s="176"/>
      <c r="Q45" s="176"/>
      <c r="R45" s="176"/>
      <c r="S45" s="176"/>
      <c r="T45" s="176"/>
      <c r="U45" s="176"/>
      <c r="V45" s="176"/>
      <c r="W45" s="176"/>
      <c r="X45" s="176"/>
      <c r="Y45" s="176"/>
      <c r="Z45" s="176"/>
    </row>
    <row r="46">
      <c r="A46" s="249" t="s">
        <v>12</v>
      </c>
      <c r="B46" s="249" t="s">
        <v>43</v>
      </c>
      <c r="C46" s="329" t="s">
        <v>2519</v>
      </c>
      <c r="D46" s="268" t="s">
        <v>495</v>
      </c>
      <c r="E46" s="361">
        <v>44232.0</v>
      </c>
      <c r="F46" s="250" t="s">
        <v>496</v>
      </c>
      <c r="G46" s="171">
        <v>60.0</v>
      </c>
      <c r="H46" s="171">
        <v>80.0</v>
      </c>
      <c r="I46" s="171">
        <v>100.0</v>
      </c>
      <c r="J46" s="325">
        <f t="shared" si="2"/>
        <v>0.003124105801</v>
      </c>
      <c r="K46" s="326">
        <f t="shared" si="4"/>
        <v>2.551353071</v>
      </c>
      <c r="L46" s="327">
        <f t="shared" si="3"/>
        <v>30.0561748</v>
      </c>
      <c r="M46" s="321" t="str">
        <f t="shared" si="5"/>
        <v>metaverde</v>
      </c>
      <c r="N46" s="176">
        <f>IFERROR(__xludf.DUMMYFUNCTION("""COMPUTED_VALUE"""),4.0)</f>
        <v>4</v>
      </c>
      <c r="O46" s="176"/>
      <c r="P46" s="176"/>
      <c r="Q46" s="176"/>
      <c r="R46" s="176"/>
      <c r="S46" s="176"/>
      <c r="T46" s="176"/>
      <c r="U46" s="176"/>
      <c r="V46" s="176"/>
      <c r="W46" s="176"/>
      <c r="X46" s="176"/>
      <c r="Y46" s="176"/>
      <c r="Z46" s="176"/>
    </row>
    <row r="47">
      <c r="A47" s="249" t="s">
        <v>12</v>
      </c>
      <c r="B47" s="249" t="s">
        <v>18</v>
      </c>
      <c r="C47" s="329" t="s">
        <v>2520</v>
      </c>
      <c r="D47" s="268" t="s">
        <v>495</v>
      </c>
      <c r="E47" s="361">
        <v>44236.0</v>
      </c>
      <c r="F47" s="250" t="s">
        <v>496</v>
      </c>
      <c r="G47" s="171">
        <v>100.0</v>
      </c>
      <c r="H47" s="171">
        <v>50.0</v>
      </c>
      <c r="I47" s="171">
        <v>100.0</v>
      </c>
      <c r="J47" s="325">
        <f t="shared" si="2"/>
        <v>0.003092810248</v>
      </c>
      <c r="K47" s="326">
        <f t="shared" si="4"/>
        <v>2.525795036</v>
      </c>
      <c r="L47" s="327">
        <f t="shared" si="3"/>
        <v>30.0561748</v>
      </c>
      <c r="M47" s="321" t="str">
        <f t="shared" si="5"/>
        <v>metaverde</v>
      </c>
      <c r="N47" s="176">
        <f>IFERROR(__xludf.DUMMYFUNCTION("""COMPUTED_VALUE"""),5.0)</f>
        <v>5</v>
      </c>
      <c r="O47" s="176"/>
      <c r="P47" s="176"/>
      <c r="Q47" s="176"/>
      <c r="R47" s="176"/>
      <c r="S47" s="176"/>
      <c r="T47" s="176"/>
      <c r="U47" s="176"/>
      <c r="V47" s="176"/>
      <c r="W47" s="176"/>
      <c r="X47" s="176"/>
      <c r="Y47" s="176"/>
      <c r="Z47" s="176"/>
    </row>
    <row r="48">
      <c r="A48" s="249" t="s">
        <v>12</v>
      </c>
      <c r="B48" s="249" t="s">
        <v>519</v>
      </c>
      <c r="C48" s="329" t="s">
        <v>2521</v>
      </c>
      <c r="D48" s="268" t="s">
        <v>495</v>
      </c>
      <c r="E48" s="251">
        <v>44226.0</v>
      </c>
      <c r="F48" s="250" t="s">
        <v>496</v>
      </c>
      <c r="G48" s="171">
        <v>120.0</v>
      </c>
      <c r="H48" s="171">
        <v>25.0</v>
      </c>
      <c r="I48" s="171">
        <v>100.0</v>
      </c>
      <c r="J48" s="325">
        <f t="shared" si="2"/>
        <v>0.002915702877</v>
      </c>
      <c r="K48" s="326">
        <f t="shared" si="4"/>
        <v>2.38115735</v>
      </c>
      <c r="L48" s="327">
        <f t="shared" si="3"/>
        <v>30.0561748</v>
      </c>
      <c r="M48" s="321" t="str">
        <f t="shared" si="5"/>
        <v>metaverde</v>
      </c>
      <c r="N48" s="176">
        <f>IFERROR(__xludf.DUMMYFUNCTION("""COMPUTED_VALUE"""),6.0)</f>
        <v>6</v>
      </c>
      <c r="O48" s="176"/>
      <c r="P48" s="176"/>
      <c r="Q48" s="176"/>
      <c r="R48" s="176"/>
      <c r="S48" s="176"/>
      <c r="T48" s="176"/>
      <c r="U48" s="176"/>
      <c r="V48" s="176"/>
      <c r="W48" s="176"/>
      <c r="X48" s="176"/>
      <c r="Y48" s="176"/>
      <c r="Z48" s="176"/>
    </row>
    <row r="49">
      <c r="A49" s="249" t="s">
        <v>12</v>
      </c>
      <c r="B49" s="249" t="s">
        <v>12</v>
      </c>
      <c r="C49" s="329" t="s">
        <v>2522</v>
      </c>
      <c r="D49" s="268" t="s">
        <v>495</v>
      </c>
      <c r="E49" s="361">
        <v>44233.0</v>
      </c>
      <c r="F49" s="250" t="s">
        <v>496</v>
      </c>
      <c r="G49" s="171">
        <v>60.0</v>
      </c>
      <c r="H49" s="171">
        <v>25.0</v>
      </c>
      <c r="I49" s="171">
        <v>80.0</v>
      </c>
      <c r="J49" s="325">
        <f t="shared" si="2"/>
        <v>0.002005517191</v>
      </c>
      <c r="K49" s="326">
        <f t="shared" si="4"/>
        <v>1.637839039</v>
      </c>
      <c r="L49" s="327">
        <f t="shared" si="3"/>
        <v>30.0561748</v>
      </c>
      <c r="M49" s="321" t="str">
        <f t="shared" si="5"/>
        <v>metaverde</v>
      </c>
      <c r="N49" s="176">
        <f>IFERROR(__xludf.DUMMYFUNCTION("""COMPUTED_VALUE"""),7.0)</f>
        <v>7</v>
      </c>
      <c r="O49" s="176"/>
      <c r="P49" s="176"/>
      <c r="Q49" s="176"/>
      <c r="R49" s="176"/>
      <c r="S49" s="176"/>
      <c r="T49" s="176"/>
      <c r="U49" s="176"/>
      <c r="V49" s="176"/>
      <c r="W49" s="176"/>
      <c r="X49" s="176"/>
      <c r="Y49" s="176"/>
      <c r="Z49" s="176"/>
    </row>
    <row r="50">
      <c r="A50" s="249" t="s">
        <v>12</v>
      </c>
      <c r="B50" s="249" t="s">
        <v>18</v>
      </c>
      <c r="C50" s="329" t="s">
        <v>2502</v>
      </c>
      <c r="D50" s="268" t="s">
        <v>495</v>
      </c>
      <c r="E50" s="361">
        <v>44236.0</v>
      </c>
      <c r="F50" s="250" t="s">
        <v>496</v>
      </c>
      <c r="G50" s="171">
        <v>40.0</v>
      </c>
      <c r="H50" s="171">
        <v>50.0</v>
      </c>
      <c r="I50" s="171">
        <v>60.0</v>
      </c>
      <c r="J50" s="325">
        <f t="shared" si="2"/>
        <v>0.001952063723</v>
      </c>
      <c r="K50" s="326">
        <f t="shared" si="4"/>
        <v>1.594185374</v>
      </c>
      <c r="L50" s="327">
        <f t="shared" si="3"/>
        <v>30.0561748</v>
      </c>
      <c r="M50" s="321" t="str">
        <f t="shared" si="5"/>
        <v>metaverde</v>
      </c>
      <c r="N50" s="176">
        <f>IFERROR(__xludf.DUMMYFUNCTION("""COMPUTED_VALUE"""),8.0)</f>
        <v>8</v>
      </c>
      <c r="O50" s="176"/>
      <c r="P50" s="176"/>
      <c r="Q50" s="176"/>
      <c r="R50" s="176"/>
      <c r="S50" s="176"/>
      <c r="T50" s="176"/>
      <c r="U50" s="176"/>
      <c r="V50" s="176"/>
      <c r="W50" s="176"/>
      <c r="X50" s="176"/>
      <c r="Y50" s="176"/>
      <c r="Z50" s="176"/>
    </row>
    <row r="51">
      <c r="A51" s="249" t="s">
        <v>12</v>
      </c>
      <c r="B51" s="249" t="s">
        <v>519</v>
      </c>
      <c r="C51" s="329" t="s">
        <v>2329</v>
      </c>
      <c r="D51" s="268" t="s">
        <v>495</v>
      </c>
      <c r="E51" s="251">
        <v>44237.0</v>
      </c>
      <c r="F51" s="250" t="s">
        <v>521</v>
      </c>
      <c r="G51" s="171">
        <v>40.0</v>
      </c>
      <c r="H51" s="171">
        <v>50.0</v>
      </c>
      <c r="I51" s="171">
        <v>60.0</v>
      </c>
      <c r="J51" s="325">
        <f t="shared" si="2"/>
        <v>0.001952063723</v>
      </c>
      <c r="K51" s="326">
        <f t="shared" si="4"/>
        <v>1.594185374</v>
      </c>
      <c r="L51" s="327">
        <f t="shared" si="3"/>
        <v>30.0561748</v>
      </c>
      <c r="M51" s="321" t="str">
        <f t="shared" si="5"/>
        <v>metaverde</v>
      </c>
      <c r="N51" s="176">
        <f>IFERROR(__xludf.DUMMYFUNCTION("""COMPUTED_VALUE"""),9.0)</f>
        <v>9</v>
      </c>
      <c r="O51" s="176"/>
      <c r="P51" s="176"/>
      <c r="Q51" s="176"/>
      <c r="R51" s="176"/>
      <c r="S51" s="176"/>
      <c r="T51" s="176"/>
      <c r="U51" s="176"/>
      <c r="V51" s="176"/>
      <c r="W51" s="176"/>
      <c r="X51" s="176"/>
      <c r="Y51" s="176"/>
      <c r="Z51" s="176"/>
    </row>
    <row r="52">
      <c r="A52" s="249" t="s">
        <v>12</v>
      </c>
      <c r="B52" s="249" t="s">
        <v>1228</v>
      </c>
      <c r="C52" s="329" t="s">
        <v>2499</v>
      </c>
      <c r="D52" s="268" t="s">
        <v>495</v>
      </c>
      <c r="E52" s="361">
        <v>44236.0</v>
      </c>
      <c r="F52" s="250" t="s">
        <v>496</v>
      </c>
      <c r="G52" s="171">
        <v>60.0</v>
      </c>
      <c r="H52" s="171">
        <v>25.0</v>
      </c>
      <c r="I52" s="171">
        <v>60.0</v>
      </c>
      <c r="J52" s="325">
        <f t="shared" si="2"/>
        <v>0.001774956352</v>
      </c>
      <c r="K52" s="326">
        <f t="shared" si="4"/>
        <v>1.449547687</v>
      </c>
      <c r="L52" s="327">
        <f t="shared" si="3"/>
        <v>30.0561748</v>
      </c>
      <c r="M52" s="321" t="str">
        <f t="shared" si="5"/>
        <v>metaverde</v>
      </c>
      <c r="N52" s="176">
        <f>IFERROR(__xludf.DUMMYFUNCTION("""COMPUTED_VALUE"""),10.0)</f>
        <v>10</v>
      </c>
      <c r="O52" s="176"/>
      <c r="P52" s="176"/>
      <c r="Q52" s="176"/>
      <c r="R52" s="176"/>
      <c r="S52" s="176"/>
      <c r="T52" s="176"/>
      <c r="U52" s="176"/>
      <c r="V52" s="176"/>
      <c r="W52" s="176"/>
      <c r="X52" s="176"/>
      <c r="Y52" s="176"/>
      <c r="Z52" s="176"/>
    </row>
    <row r="53">
      <c r="A53" s="249" t="s">
        <v>12</v>
      </c>
      <c r="B53" s="249" t="s">
        <v>590</v>
      </c>
      <c r="C53" s="329" t="s">
        <v>2492</v>
      </c>
      <c r="D53" s="268" t="s">
        <v>495</v>
      </c>
      <c r="E53" s="361">
        <v>44229.0</v>
      </c>
      <c r="F53" s="250" t="s">
        <v>496</v>
      </c>
      <c r="G53" s="171">
        <v>50.0</v>
      </c>
      <c r="H53" s="171">
        <v>25.0</v>
      </c>
      <c r="I53" s="171">
        <v>50.0</v>
      </c>
      <c r="J53" s="325">
        <f t="shared" si="2"/>
        <v>0.001546405124</v>
      </c>
      <c r="K53" s="326">
        <f t="shared" si="4"/>
        <v>1.262897518</v>
      </c>
      <c r="L53" s="327">
        <f t="shared" si="3"/>
        <v>30.0561748</v>
      </c>
      <c r="M53" s="321" t="str">
        <f t="shared" si="5"/>
        <v>metaverde</v>
      </c>
      <c r="N53" s="176">
        <f>IFERROR(__xludf.DUMMYFUNCTION("""COMPUTED_VALUE"""),11.0)</f>
        <v>11</v>
      </c>
      <c r="O53" s="176"/>
      <c r="P53" s="176"/>
      <c r="Q53" s="176"/>
      <c r="R53" s="176"/>
      <c r="S53" s="176"/>
      <c r="T53" s="176"/>
      <c r="U53" s="176"/>
      <c r="V53" s="176"/>
      <c r="W53" s="176"/>
      <c r="X53" s="176"/>
      <c r="Y53" s="176"/>
      <c r="Z53" s="176"/>
    </row>
    <row r="54">
      <c r="A54" s="249" t="s">
        <v>12</v>
      </c>
      <c r="B54" s="249" t="s">
        <v>10</v>
      </c>
      <c r="C54" s="329" t="s">
        <v>2497</v>
      </c>
      <c r="D54" s="268" t="s">
        <v>495</v>
      </c>
      <c r="E54" s="361">
        <v>44232.0</v>
      </c>
      <c r="F54" s="250" t="s">
        <v>496</v>
      </c>
      <c r="G54" s="171">
        <v>40.0</v>
      </c>
      <c r="H54" s="171">
        <v>25.0</v>
      </c>
      <c r="I54" s="171">
        <v>50.0</v>
      </c>
      <c r="J54" s="325">
        <f t="shared" si="2"/>
        <v>0.001433134316</v>
      </c>
      <c r="K54" s="326">
        <f t="shared" si="4"/>
        <v>1.170393025</v>
      </c>
      <c r="L54" s="327">
        <f t="shared" si="3"/>
        <v>30.0561748</v>
      </c>
      <c r="M54" s="321" t="str">
        <f t="shared" si="5"/>
        <v>metaverde</v>
      </c>
      <c r="N54" s="176">
        <f>IFERROR(__xludf.DUMMYFUNCTION("""COMPUTED_VALUE"""),12.0)</f>
        <v>12</v>
      </c>
      <c r="O54" s="176"/>
      <c r="P54" s="176"/>
      <c r="Q54" s="176"/>
      <c r="R54" s="176"/>
      <c r="S54" s="176"/>
      <c r="T54" s="176"/>
      <c r="U54" s="176"/>
      <c r="V54" s="176"/>
      <c r="W54" s="176"/>
      <c r="X54" s="176"/>
      <c r="Y54" s="176"/>
      <c r="Z54" s="176"/>
    </row>
    <row r="55">
      <c r="A55" s="249" t="s">
        <v>12</v>
      </c>
      <c r="B55" s="249" t="s">
        <v>590</v>
      </c>
      <c r="C55" s="329" t="s">
        <v>2500</v>
      </c>
      <c r="D55" s="268" t="s">
        <v>495</v>
      </c>
      <c r="E55" s="361">
        <v>44236.0</v>
      </c>
      <c r="F55" s="250" t="s">
        <v>496</v>
      </c>
      <c r="G55" s="171">
        <v>40.0</v>
      </c>
      <c r="H55" s="171">
        <v>25.0</v>
      </c>
      <c r="I55" s="171">
        <v>50.0</v>
      </c>
      <c r="J55" s="325">
        <f t="shared" si="2"/>
        <v>0.001433134316</v>
      </c>
      <c r="K55" s="326">
        <f t="shared" si="4"/>
        <v>1.170393025</v>
      </c>
      <c r="L55" s="327">
        <f t="shared" si="3"/>
        <v>30.0561748</v>
      </c>
      <c r="M55" s="321" t="str">
        <f t="shared" si="5"/>
        <v>metaverde</v>
      </c>
      <c r="N55" s="176">
        <f>IFERROR(__xludf.DUMMYFUNCTION("""COMPUTED_VALUE"""),13.0)</f>
        <v>13</v>
      </c>
      <c r="O55" s="176"/>
      <c r="P55" s="176"/>
      <c r="Q55" s="176"/>
      <c r="R55" s="176"/>
      <c r="S55" s="176"/>
      <c r="T55" s="176"/>
      <c r="U55" s="176"/>
      <c r="V55" s="176"/>
      <c r="W55" s="176"/>
      <c r="X55" s="176"/>
      <c r="Y55" s="176"/>
      <c r="Z55" s="176"/>
    </row>
    <row r="56">
      <c r="A56" s="249" t="s">
        <v>12</v>
      </c>
      <c r="B56" s="249" t="s">
        <v>10</v>
      </c>
      <c r="C56" s="329" t="s">
        <v>2507</v>
      </c>
      <c r="D56" s="268" t="s">
        <v>495</v>
      </c>
      <c r="E56" s="251">
        <v>44239.0</v>
      </c>
      <c r="F56" s="250" t="s">
        <v>496</v>
      </c>
      <c r="G56" s="171">
        <v>40.0</v>
      </c>
      <c r="H56" s="171">
        <v>25.0</v>
      </c>
      <c r="I56" s="171">
        <v>50.0</v>
      </c>
      <c r="J56" s="325">
        <f t="shared" si="2"/>
        <v>0.001433134316</v>
      </c>
      <c r="K56" s="326">
        <f t="shared" si="4"/>
        <v>1.170393025</v>
      </c>
      <c r="L56" s="327">
        <f t="shared" si="3"/>
        <v>30.0561748</v>
      </c>
      <c r="M56" s="321" t="str">
        <f t="shared" si="5"/>
        <v>metaverde</v>
      </c>
      <c r="N56" s="176">
        <f>IFERROR(__xludf.DUMMYFUNCTION("""COMPUTED_VALUE"""),14.0)</f>
        <v>14</v>
      </c>
      <c r="O56" s="176"/>
      <c r="P56" s="176"/>
      <c r="Q56" s="176"/>
      <c r="R56" s="176"/>
      <c r="S56" s="176"/>
      <c r="T56" s="176"/>
      <c r="U56" s="176"/>
      <c r="V56" s="176"/>
      <c r="W56" s="176"/>
      <c r="X56" s="176"/>
      <c r="Y56" s="176"/>
      <c r="Z56" s="176"/>
    </row>
    <row r="57">
      <c r="A57" s="249" t="s">
        <v>12</v>
      </c>
      <c r="B57" s="249" t="s">
        <v>12</v>
      </c>
      <c r="C57" s="329" t="s">
        <v>2523</v>
      </c>
      <c r="D57" s="268" t="s">
        <v>495</v>
      </c>
      <c r="E57" s="251">
        <v>44237.0</v>
      </c>
      <c r="F57" s="250" t="s">
        <v>496</v>
      </c>
      <c r="G57" s="171">
        <v>20.0</v>
      </c>
      <c r="H57" s="171">
        <v>30.0</v>
      </c>
      <c r="I57" s="171">
        <v>50.0</v>
      </c>
      <c r="J57" s="325">
        <f t="shared" si="2"/>
        <v>0.001287322498</v>
      </c>
      <c r="K57" s="326">
        <f t="shared" si="4"/>
        <v>1.051313373</v>
      </c>
      <c r="L57" s="327">
        <f t="shared" si="3"/>
        <v>30.0561748</v>
      </c>
      <c r="M57" s="321" t="str">
        <f t="shared" si="5"/>
        <v>metaverde</v>
      </c>
      <c r="N57" s="176">
        <f>IFERROR(__xludf.DUMMYFUNCTION("""COMPUTED_VALUE"""),15.0)</f>
        <v>15</v>
      </c>
      <c r="O57" s="176"/>
      <c r="P57" s="176"/>
      <c r="Q57" s="176"/>
      <c r="R57" s="176"/>
      <c r="S57" s="176"/>
      <c r="T57" s="176"/>
      <c r="U57" s="176"/>
      <c r="V57" s="176"/>
      <c r="W57" s="176"/>
      <c r="X57" s="176"/>
      <c r="Y57" s="176"/>
      <c r="Z57" s="176"/>
    </row>
    <row r="58">
      <c r="A58" s="249" t="s">
        <v>5</v>
      </c>
      <c r="B58" s="249" t="s">
        <v>10</v>
      </c>
      <c r="C58" s="329" t="s">
        <v>2524</v>
      </c>
      <c r="D58" s="268" t="s">
        <v>495</v>
      </c>
      <c r="E58" s="361">
        <v>44232.0</v>
      </c>
      <c r="F58" s="250" t="s">
        <v>496</v>
      </c>
      <c r="G58" s="171">
        <v>180.0</v>
      </c>
      <c r="H58" s="171">
        <v>100.0</v>
      </c>
      <c r="I58" s="171">
        <v>150.0</v>
      </c>
      <c r="J58" s="325">
        <f t="shared" si="2"/>
        <v>0.005382676783</v>
      </c>
      <c r="K58" s="326">
        <f t="shared" si="4"/>
        <v>4.395852706</v>
      </c>
      <c r="L58" s="327">
        <f t="shared" si="3"/>
        <v>27.97258398</v>
      </c>
      <c r="M58" s="321" t="str">
        <f t="shared" si="5"/>
        <v>cranders71</v>
      </c>
      <c r="N58" s="176">
        <f>IFERROR(__xludf.DUMMYFUNCTION("""COMPUTED_VALUE"""),1.0)</f>
        <v>1</v>
      </c>
      <c r="O58" s="176"/>
      <c r="P58" s="176"/>
      <c r="Q58" s="176"/>
      <c r="R58" s="176"/>
      <c r="S58" s="176"/>
      <c r="T58" s="176"/>
      <c r="U58" s="176"/>
      <c r="V58" s="176"/>
      <c r="W58" s="176"/>
      <c r="X58" s="176"/>
      <c r="Y58" s="176"/>
      <c r="Z58" s="176"/>
    </row>
    <row r="59">
      <c r="A59" s="249" t="s">
        <v>5</v>
      </c>
      <c r="B59" s="249" t="s">
        <v>925</v>
      </c>
      <c r="C59" s="329" t="s">
        <v>2525</v>
      </c>
      <c r="D59" s="268" t="s">
        <v>495</v>
      </c>
      <c r="E59" s="361">
        <v>44231.0</v>
      </c>
      <c r="F59" s="250" t="s">
        <v>496</v>
      </c>
      <c r="G59" s="171">
        <v>120.0</v>
      </c>
      <c r="H59" s="171">
        <v>100.0</v>
      </c>
      <c r="I59" s="171">
        <v>100.0</v>
      </c>
      <c r="J59" s="325">
        <f t="shared" si="2"/>
        <v>0.004126649838</v>
      </c>
      <c r="K59" s="326">
        <f t="shared" si="4"/>
        <v>3.370097367</v>
      </c>
      <c r="L59" s="327">
        <f t="shared" si="3"/>
        <v>27.97258398</v>
      </c>
      <c r="M59" s="321" t="str">
        <f t="shared" si="5"/>
        <v>cranders71</v>
      </c>
      <c r="N59" s="176">
        <f>IFERROR(__xludf.DUMMYFUNCTION("""COMPUTED_VALUE"""),2.0)</f>
        <v>2</v>
      </c>
      <c r="O59" s="176"/>
      <c r="P59" s="176"/>
      <c r="Q59" s="176"/>
      <c r="R59" s="176"/>
      <c r="S59" s="176"/>
      <c r="T59" s="176"/>
      <c r="U59" s="176"/>
      <c r="V59" s="176"/>
      <c r="W59" s="176"/>
      <c r="X59" s="176"/>
      <c r="Y59" s="176"/>
      <c r="Z59" s="176"/>
    </row>
    <row r="60">
      <c r="A60" s="249" t="s">
        <v>5</v>
      </c>
      <c r="B60" s="249" t="s">
        <v>590</v>
      </c>
      <c r="C60" s="329" t="s">
        <v>2526</v>
      </c>
      <c r="D60" s="268" t="s">
        <v>495</v>
      </c>
      <c r="E60" s="361">
        <v>44236.0</v>
      </c>
      <c r="F60" s="250" t="s">
        <v>496</v>
      </c>
      <c r="G60" s="171">
        <v>120.0</v>
      </c>
      <c r="H60" s="171">
        <v>100.0</v>
      </c>
      <c r="I60" s="171">
        <v>100.0</v>
      </c>
      <c r="J60" s="325">
        <f t="shared" si="2"/>
        <v>0.004126649838</v>
      </c>
      <c r="K60" s="326">
        <f t="shared" si="4"/>
        <v>3.370097367</v>
      </c>
      <c r="L60" s="327">
        <f t="shared" si="3"/>
        <v>27.97258398</v>
      </c>
      <c r="M60" s="321" t="str">
        <f t="shared" si="5"/>
        <v>cranders71</v>
      </c>
      <c r="N60" s="176">
        <f>IFERROR(__xludf.DUMMYFUNCTION("""COMPUTED_VALUE"""),3.0)</f>
        <v>3</v>
      </c>
      <c r="O60" s="176"/>
      <c r="P60" s="176"/>
      <c r="Q60" s="176"/>
      <c r="R60" s="176"/>
      <c r="S60" s="176"/>
      <c r="T60" s="176"/>
      <c r="U60" s="176"/>
      <c r="V60" s="176"/>
      <c r="W60" s="176"/>
      <c r="X60" s="176"/>
      <c r="Y60" s="176"/>
      <c r="Z60" s="176"/>
    </row>
    <row r="61">
      <c r="A61" s="249" t="s">
        <v>5</v>
      </c>
      <c r="B61" s="249" t="s">
        <v>590</v>
      </c>
      <c r="C61" s="329" t="s">
        <v>2527</v>
      </c>
      <c r="D61" s="268" t="s">
        <v>495</v>
      </c>
      <c r="E61" s="361">
        <v>44231.0</v>
      </c>
      <c r="F61" s="250" t="s">
        <v>496</v>
      </c>
      <c r="G61" s="171">
        <v>150.0</v>
      </c>
      <c r="H61" s="171">
        <v>50.0</v>
      </c>
      <c r="I61" s="171">
        <v>100.0</v>
      </c>
      <c r="J61" s="325">
        <f t="shared" si="2"/>
        <v>0.003659164288</v>
      </c>
      <c r="K61" s="326">
        <f t="shared" si="4"/>
        <v>2.988317501</v>
      </c>
      <c r="L61" s="327">
        <f t="shared" si="3"/>
        <v>27.97258398</v>
      </c>
      <c r="M61" s="321" t="str">
        <f t="shared" si="5"/>
        <v>cranders71</v>
      </c>
      <c r="N61" s="176">
        <f>IFERROR(__xludf.DUMMYFUNCTION("""COMPUTED_VALUE"""),4.0)</f>
        <v>4</v>
      </c>
      <c r="O61" s="176"/>
      <c r="P61" s="176"/>
      <c r="Q61" s="176"/>
      <c r="R61" s="176"/>
      <c r="S61" s="176"/>
      <c r="T61" s="176"/>
      <c r="U61" s="176"/>
      <c r="V61" s="176"/>
      <c r="W61" s="176"/>
      <c r="X61" s="176"/>
      <c r="Y61" s="176"/>
      <c r="Z61" s="176"/>
    </row>
    <row r="62">
      <c r="A62" s="249" t="s">
        <v>5</v>
      </c>
      <c r="B62" s="249" t="s">
        <v>10</v>
      </c>
      <c r="C62" s="329" t="s">
        <v>2528</v>
      </c>
      <c r="D62" s="268" t="s">
        <v>495</v>
      </c>
      <c r="E62" s="361">
        <v>44232.0</v>
      </c>
      <c r="F62" s="250" t="s">
        <v>496</v>
      </c>
      <c r="G62" s="171">
        <v>150.0</v>
      </c>
      <c r="H62" s="171">
        <v>50.0</v>
      </c>
      <c r="I62" s="171">
        <v>100.0</v>
      </c>
      <c r="J62" s="325">
        <f t="shared" si="2"/>
        <v>0.003659164288</v>
      </c>
      <c r="K62" s="326">
        <f t="shared" si="4"/>
        <v>2.988317501</v>
      </c>
      <c r="L62" s="327">
        <f t="shared" si="3"/>
        <v>27.97258398</v>
      </c>
      <c r="M62" s="321" t="str">
        <f t="shared" si="5"/>
        <v>cranders71</v>
      </c>
      <c r="N62" s="176">
        <f>IFERROR(__xludf.DUMMYFUNCTION("""COMPUTED_VALUE"""),5.0)</f>
        <v>5</v>
      </c>
      <c r="O62" s="176"/>
      <c r="P62" s="176"/>
      <c r="Q62" s="176"/>
      <c r="R62" s="176"/>
      <c r="S62" s="176"/>
      <c r="T62" s="176"/>
      <c r="U62" s="176"/>
      <c r="V62" s="176"/>
      <c r="W62" s="176"/>
      <c r="X62" s="176"/>
      <c r="Y62" s="176"/>
      <c r="Z62" s="176"/>
    </row>
    <row r="63">
      <c r="A63" s="249" t="s">
        <v>5</v>
      </c>
      <c r="B63" s="249" t="s">
        <v>10</v>
      </c>
      <c r="C63" s="329" t="s">
        <v>2529</v>
      </c>
      <c r="D63" s="268" t="s">
        <v>495</v>
      </c>
      <c r="E63" s="251">
        <v>44239.0</v>
      </c>
      <c r="F63" s="250" t="s">
        <v>496</v>
      </c>
      <c r="G63" s="171">
        <v>100.0</v>
      </c>
      <c r="H63" s="171">
        <v>50.0</v>
      </c>
      <c r="I63" s="171">
        <v>100.0</v>
      </c>
      <c r="J63" s="325">
        <f t="shared" si="2"/>
        <v>0.003092810248</v>
      </c>
      <c r="K63" s="326">
        <f t="shared" si="4"/>
        <v>2.525795036</v>
      </c>
      <c r="L63" s="327">
        <f t="shared" si="3"/>
        <v>27.97258398</v>
      </c>
      <c r="M63" s="321" t="str">
        <f t="shared" si="5"/>
        <v>cranders71</v>
      </c>
      <c r="N63" s="176">
        <f>IFERROR(__xludf.DUMMYFUNCTION("""COMPUTED_VALUE"""),6.0)</f>
        <v>6</v>
      </c>
      <c r="O63" s="176"/>
      <c r="P63" s="176"/>
      <c r="Q63" s="176"/>
      <c r="R63" s="176"/>
      <c r="S63" s="176"/>
      <c r="T63" s="176"/>
      <c r="U63" s="176"/>
      <c r="V63" s="176"/>
      <c r="W63" s="176"/>
      <c r="X63" s="176"/>
      <c r="Y63" s="176"/>
      <c r="Z63" s="176"/>
    </row>
    <row r="64">
      <c r="A64" s="249" t="s">
        <v>5</v>
      </c>
      <c r="B64" s="249" t="s">
        <v>18</v>
      </c>
      <c r="C64" s="329" t="s">
        <v>2502</v>
      </c>
      <c r="D64" s="268" t="s">
        <v>495</v>
      </c>
      <c r="E64" s="361">
        <v>44236.0</v>
      </c>
      <c r="F64" s="250" t="s">
        <v>496</v>
      </c>
      <c r="G64" s="171">
        <v>40.0</v>
      </c>
      <c r="H64" s="171">
        <v>50.0</v>
      </c>
      <c r="I64" s="171">
        <v>60.0</v>
      </c>
      <c r="J64" s="325">
        <f t="shared" si="2"/>
        <v>0.001952063723</v>
      </c>
      <c r="K64" s="326">
        <f t="shared" si="4"/>
        <v>1.594185374</v>
      </c>
      <c r="L64" s="327">
        <f t="shared" si="3"/>
        <v>27.97258398</v>
      </c>
      <c r="M64" s="321" t="str">
        <f t="shared" si="5"/>
        <v>cranders71</v>
      </c>
      <c r="N64" s="176">
        <f>IFERROR(__xludf.DUMMYFUNCTION("""COMPUTED_VALUE"""),7.0)</f>
        <v>7</v>
      </c>
      <c r="O64" s="176"/>
      <c r="P64" s="176"/>
      <c r="Q64" s="176"/>
      <c r="R64" s="176"/>
      <c r="S64" s="176"/>
      <c r="T64" s="176"/>
      <c r="U64" s="176"/>
      <c r="V64" s="176"/>
      <c r="W64" s="176"/>
      <c r="X64" s="176"/>
      <c r="Y64" s="176"/>
      <c r="Z64" s="176"/>
    </row>
    <row r="65">
      <c r="A65" s="249" t="s">
        <v>5</v>
      </c>
      <c r="B65" s="249" t="s">
        <v>1228</v>
      </c>
      <c r="C65" s="329" t="s">
        <v>2499</v>
      </c>
      <c r="D65" s="268" t="s">
        <v>495</v>
      </c>
      <c r="E65" s="361">
        <v>44236.0</v>
      </c>
      <c r="F65" s="250" t="s">
        <v>496</v>
      </c>
      <c r="G65" s="171">
        <v>60.0</v>
      </c>
      <c r="H65" s="171">
        <v>25.0</v>
      </c>
      <c r="I65" s="171">
        <v>60.0</v>
      </c>
      <c r="J65" s="325">
        <f t="shared" si="2"/>
        <v>0.001774956352</v>
      </c>
      <c r="K65" s="326">
        <f t="shared" si="4"/>
        <v>1.449547687</v>
      </c>
      <c r="L65" s="327">
        <f t="shared" si="3"/>
        <v>27.97258398</v>
      </c>
      <c r="M65" s="321" t="str">
        <f t="shared" si="5"/>
        <v>cranders71</v>
      </c>
      <c r="N65" s="176">
        <f>IFERROR(__xludf.DUMMYFUNCTION("""COMPUTED_VALUE"""),8.0)</f>
        <v>8</v>
      </c>
      <c r="O65" s="176"/>
      <c r="P65" s="176"/>
      <c r="Q65" s="176"/>
      <c r="R65" s="176"/>
      <c r="S65" s="176"/>
      <c r="T65" s="176"/>
      <c r="U65" s="176"/>
      <c r="V65" s="176"/>
      <c r="W65" s="176"/>
      <c r="X65" s="176"/>
      <c r="Y65" s="176"/>
      <c r="Z65" s="176"/>
    </row>
    <row r="66">
      <c r="A66" s="249" t="s">
        <v>5</v>
      </c>
      <c r="B66" s="249" t="s">
        <v>10</v>
      </c>
      <c r="C66" s="329" t="s">
        <v>2497</v>
      </c>
      <c r="D66" s="268" t="s">
        <v>495</v>
      </c>
      <c r="E66" s="361">
        <v>44232.0</v>
      </c>
      <c r="F66" s="250" t="s">
        <v>496</v>
      </c>
      <c r="G66" s="171">
        <v>40.0</v>
      </c>
      <c r="H66" s="171">
        <v>25.0</v>
      </c>
      <c r="I66" s="171">
        <v>50.0</v>
      </c>
      <c r="J66" s="325">
        <f t="shared" si="2"/>
        <v>0.001433134316</v>
      </c>
      <c r="K66" s="326">
        <f t="shared" si="4"/>
        <v>1.170393025</v>
      </c>
      <c r="L66" s="327">
        <f t="shared" si="3"/>
        <v>27.97258398</v>
      </c>
      <c r="M66" s="321" t="str">
        <f t="shared" si="5"/>
        <v>cranders71</v>
      </c>
      <c r="N66" s="176">
        <f>IFERROR(__xludf.DUMMYFUNCTION("""COMPUTED_VALUE"""),9.0)</f>
        <v>9</v>
      </c>
      <c r="O66" s="176"/>
      <c r="P66" s="176"/>
      <c r="Q66" s="176"/>
      <c r="R66" s="176"/>
      <c r="S66" s="176"/>
      <c r="T66" s="176"/>
      <c r="U66" s="176"/>
      <c r="V66" s="176"/>
      <c r="W66" s="176"/>
      <c r="X66" s="176"/>
      <c r="Y66" s="176"/>
      <c r="Z66" s="176"/>
    </row>
    <row r="67">
      <c r="A67" s="249" t="s">
        <v>5</v>
      </c>
      <c r="B67" s="249" t="s">
        <v>590</v>
      </c>
      <c r="C67" s="329" t="s">
        <v>2500</v>
      </c>
      <c r="D67" s="268" t="s">
        <v>495</v>
      </c>
      <c r="E67" s="361">
        <v>44236.0</v>
      </c>
      <c r="F67" s="250" t="s">
        <v>496</v>
      </c>
      <c r="G67" s="171">
        <v>40.0</v>
      </c>
      <c r="H67" s="171">
        <v>25.0</v>
      </c>
      <c r="I67" s="171">
        <v>50.0</v>
      </c>
      <c r="J67" s="325">
        <f t="shared" si="2"/>
        <v>0.001433134316</v>
      </c>
      <c r="K67" s="326">
        <f t="shared" si="4"/>
        <v>1.170393025</v>
      </c>
      <c r="L67" s="327">
        <f t="shared" si="3"/>
        <v>27.97258398</v>
      </c>
      <c r="M67" s="321" t="str">
        <f t="shared" si="5"/>
        <v>cranders71</v>
      </c>
      <c r="N67" s="176">
        <f>IFERROR(__xludf.DUMMYFUNCTION("""COMPUTED_VALUE"""),10.0)</f>
        <v>10</v>
      </c>
      <c r="O67" s="176"/>
      <c r="P67" s="176"/>
      <c r="Q67" s="176"/>
      <c r="R67" s="176"/>
      <c r="S67" s="176"/>
      <c r="T67" s="176"/>
      <c r="U67" s="176"/>
      <c r="V67" s="176"/>
      <c r="W67" s="176"/>
      <c r="X67" s="176"/>
      <c r="Y67" s="176"/>
      <c r="Z67" s="176"/>
    </row>
    <row r="68">
      <c r="A68" s="249" t="s">
        <v>5</v>
      </c>
      <c r="B68" s="249" t="s">
        <v>10</v>
      </c>
      <c r="C68" s="329" t="s">
        <v>2506</v>
      </c>
      <c r="D68" s="268" t="s">
        <v>495</v>
      </c>
      <c r="E68" s="251">
        <v>44239.0</v>
      </c>
      <c r="F68" s="250" t="s">
        <v>496</v>
      </c>
      <c r="G68" s="171">
        <v>40.0</v>
      </c>
      <c r="H68" s="171">
        <v>25.0</v>
      </c>
      <c r="I68" s="171">
        <v>50.0</v>
      </c>
      <c r="J68" s="325">
        <f t="shared" si="2"/>
        <v>0.001433134316</v>
      </c>
      <c r="K68" s="326">
        <f t="shared" si="4"/>
        <v>1.170393025</v>
      </c>
      <c r="L68" s="327">
        <f t="shared" si="3"/>
        <v>27.97258398</v>
      </c>
      <c r="M68" s="321" t="str">
        <f t="shared" si="5"/>
        <v>cranders71</v>
      </c>
      <c r="N68" s="176">
        <f>IFERROR(__xludf.DUMMYFUNCTION("""COMPUTED_VALUE"""),11.0)</f>
        <v>11</v>
      </c>
      <c r="O68" s="176"/>
      <c r="P68" s="176"/>
      <c r="Q68" s="176"/>
      <c r="R68" s="176"/>
      <c r="S68" s="176"/>
      <c r="T68" s="176"/>
      <c r="U68" s="176"/>
      <c r="V68" s="176"/>
      <c r="W68" s="176"/>
      <c r="X68" s="176"/>
      <c r="Y68" s="176"/>
      <c r="Z68" s="176"/>
    </row>
    <row r="69">
      <c r="A69" s="249" t="s">
        <v>5</v>
      </c>
      <c r="B69" s="249" t="s">
        <v>10</v>
      </c>
      <c r="C69" s="329" t="s">
        <v>2498</v>
      </c>
      <c r="D69" s="268" t="s">
        <v>495</v>
      </c>
      <c r="E69" s="251">
        <v>44239.0</v>
      </c>
      <c r="F69" s="250" t="s">
        <v>545</v>
      </c>
      <c r="G69" s="171">
        <v>20.0</v>
      </c>
      <c r="H69" s="171">
        <v>15.0</v>
      </c>
      <c r="I69" s="171">
        <v>15.0</v>
      </c>
      <c r="J69" s="325">
        <f t="shared" si="2"/>
        <v>0.0006416516372</v>
      </c>
      <c r="K69" s="326">
        <f t="shared" si="4"/>
        <v>0.5240155037</v>
      </c>
      <c r="L69" s="327">
        <f t="shared" si="3"/>
        <v>27.97258398</v>
      </c>
      <c r="M69" s="321" t="str">
        <f t="shared" si="5"/>
        <v>cranders71</v>
      </c>
      <c r="N69" s="176">
        <f>IFERROR(__xludf.DUMMYFUNCTION("""COMPUTED_VALUE"""),12.0)</f>
        <v>12</v>
      </c>
      <c r="O69" s="176"/>
      <c r="P69" s="176"/>
      <c r="Q69" s="176"/>
      <c r="R69" s="176"/>
      <c r="S69" s="176"/>
      <c r="T69" s="176"/>
      <c r="U69" s="176"/>
      <c r="V69" s="176"/>
      <c r="W69" s="176"/>
      <c r="X69" s="176"/>
      <c r="Y69" s="176"/>
      <c r="Z69" s="176"/>
    </row>
    <row r="70">
      <c r="A70" s="249" t="s">
        <v>5</v>
      </c>
      <c r="B70" s="249" t="s">
        <v>10</v>
      </c>
      <c r="C70" s="329" t="s">
        <v>2498</v>
      </c>
      <c r="D70" s="268" t="s">
        <v>495</v>
      </c>
      <c r="E70" s="361">
        <v>44232.0</v>
      </c>
      <c r="F70" s="250" t="s">
        <v>545</v>
      </c>
      <c r="G70" s="171">
        <v>20.0</v>
      </c>
      <c r="H70" s="171">
        <v>10.0</v>
      </c>
      <c r="I70" s="171">
        <v>15.0</v>
      </c>
      <c r="J70" s="325">
        <f t="shared" si="2"/>
        <v>0.0005609218398</v>
      </c>
      <c r="K70" s="326">
        <f t="shared" si="4"/>
        <v>0.4580861692</v>
      </c>
      <c r="L70" s="327">
        <f t="shared" si="3"/>
        <v>27.97258398</v>
      </c>
      <c r="M70" s="321" t="str">
        <f t="shared" si="5"/>
        <v>cranders71</v>
      </c>
      <c r="N70" s="176">
        <f>IFERROR(__xludf.DUMMYFUNCTION("""COMPUTED_VALUE"""),13.0)</f>
        <v>13</v>
      </c>
      <c r="O70" s="176"/>
      <c r="P70" s="176"/>
      <c r="Q70" s="176"/>
      <c r="R70" s="176"/>
      <c r="S70" s="176"/>
      <c r="T70" s="176"/>
      <c r="U70" s="176"/>
      <c r="V70" s="176"/>
      <c r="W70" s="176"/>
      <c r="X70" s="176"/>
      <c r="Y70" s="176"/>
      <c r="Z70" s="176"/>
    </row>
    <row r="71">
      <c r="A71" s="249" t="s">
        <v>5</v>
      </c>
      <c r="B71" s="249" t="s">
        <v>10</v>
      </c>
      <c r="C71" s="329" t="s">
        <v>2530</v>
      </c>
      <c r="D71" s="268" t="s">
        <v>495</v>
      </c>
      <c r="E71" s="251">
        <v>44239.0</v>
      </c>
      <c r="F71" s="250" t="s">
        <v>499</v>
      </c>
      <c r="G71" s="171">
        <v>10.0</v>
      </c>
      <c r="H71" s="171">
        <v>15.0</v>
      </c>
      <c r="I71" s="171">
        <v>15.0</v>
      </c>
      <c r="J71" s="325">
        <f t="shared" si="2"/>
        <v>0.0005283808294</v>
      </c>
      <c r="K71" s="326">
        <f t="shared" si="4"/>
        <v>0.4315110107</v>
      </c>
      <c r="L71" s="327">
        <f t="shared" si="3"/>
        <v>27.97258398</v>
      </c>
      <c r="M71" s="321" t="str">
        <f t="shared" si="5"/>
        <v>cranders71</v>
      </c>
      <c r="N71" s="176">
        <f>IFERROR(__xludf.DUMMYFUNCTION("""COMPUTED_VALUE"""),14.0)</f>
        <v>14</v>
      </c>
      <c r="O71" s="176"/>
      <c r="P71" s="176"/>
      <c r="Q71" s="176"/>
      <c r="R71" s="176"/>
      <c r="S71" s="176"/>
      <c r="T71" s="176"/>
      <c r="U71" s="176"/>
      <c r="V71" s="176"/>
      <c r="W71" s="176"/>
      <c r="X71" s="176"/>
      <c r="Y71" s="176"/>
      <c r="Z71" s="176"/>
    </row>
    <row r="72">
      <c r="A72" s="249" t="s">
        <v>5</v>
      </c>
      <c r="B72" s="249" t="s">
        <v>10</v>
      </c>
      <c r="C72" s="329" t="s">
        <v>2531</v>
      </c>
      <c r="D72" s="268" t="s">
        <v>495</v>
      </c>
      <c r="E72" s="361">
        <v>44232.0</v>
      </c>
      <c r="F72" s="250" t="s">
        <v>499</v>
      </c>
      <c r="G72" s="171">
        <v>10.0</v>
      </c>
      <c r="H72" s="171">
        <v>10.0</v>
      </c>
      <c r="I72" s="171">
        <v>15.0</v>
      </c>
      <c r="J72" s="325">
        <f t="shared" si="2"/>
        <v>0.000447651032</v>
      </c>
      <c r="K72" s="326">
        <f t="shared" si="4"/>
        <v>0.3655816761</v>
      </c>
      <c r="L72" s="327">
        <f t="shared" si="3"/>
        <v>27.97258398</v>
      </c>
      <c r="M72" s="321" t="str">
        <f t="shared" si="5"/>
        <v>cranders71</v>
      </c>
      <c r="N72" s="176">
        <f>IFERROR(__xludf.DUMMYFUNCTION("""COMPUTED_VALUE"""),15.0)</f>
        <v>15</v>
      </c>
      <c r="O72" s="176"/>
      <c r="P72" s="176"/>
      <c r="Q72" s="176"/>
      <c r="R72" s="176"/>
      <c r="S72" s="176"/>
      <c r="T72" s="176"/>
      <c r="U72" s="176"/>
      <c r="V72" s="176"/>
      <c r="W72" s="176"/>
      <c r="X72" s="176"/>
      <c r="Y72" s="176"/>
      <c r="Z72" s="176"/>
    </row>
    <row r="73">
      <c r="A73" s="249" t="s">
        <v>10</v>
      </c>
      <c r="B73" s="249" t="s">
        <v>1228</v>
      </c>
      <c r="C73" s="329" t="s">
        <v>2503</v>
      </c>
      <c r="D73" s="268" t="s">
        <v>495</v>
      </c>
      <c r="E73" s="251">
        <v>44237.0</v>
      </c>
      <c r="F73" s="250" t="s">
        <v>496</v>
      </c>
      <c r="G73" s="171">
        <v>200.0</v>
      </c>
      <c r="H73" s="171">
        <v>200.0</v>
      </c>
      <c r="I73" s="171">
        <v>200.0</v>
      </c>
      <c r="J73" s="325">
        <f t="shared" si="2"/>
        <v>0.007800216444</v>
      </c>
      <c r="K73" s="326">
        <f t="shared" si="4"/>
        <v>6.370176762</v>
      </c>
      <c r="L73" s="327">
        <f t="shared" si="3"/>
        <v>25.22772061</v>
      </c>
      <c r="M73" s="321" t="str">
        <f t="shared" si="5"/>
        <v>iviangita</v>
      </c>
      <c r="N73" s="176">
        <f>IFERROR(__xludf.DUMMYFUNCTION("""COMPUTED_VALUE"""),1.0)</f>
        <v>1</v>
      </c>
      <c r="O73" s="176"/>
      <c r="P73" s="176"/>
      <c r="Q73" s="176"/>
      <c r="R73" s="176"/>
      <c r="S73" s="176"/>
      <c r="T73" s="176"/>
      <c r="U73" s="176"/>
      <c r="V73" s="176"/>
      <c r="W73" s="176"/>
      <c r="X73" s="176"/>
      <c r="Y73" s="176"/>
      <c r="Z73" s="176"/>
    </row>
    <row r="74">
      <c r="A74" s="249" t="s">
        <v>10</v>
      </c>
      <c r="B74" s="249" t="s">
        <v>10</v>
      </c>
      <c r="C74" s="329" t="s">
        <v>2532</v>
      </c>
      <c r="D74" s="268" t="s">
        <v>495</v>
      </c>
      <c r="E74" s="361">
        <v>44232.0</v>
      </c>
      <c r="F74" s="250" t="s">
        <v>496</v>
      </c>
      <c r="G74" s="171">
        <v>120.0</v>
      </c>
      <c r="H74" s="171">
        <v>150.0</v>
      </c>
      <c r="I74" s="171">
        <v>100.0</v>
      </c>
      <c r="J74" s="325">
        <f t="shared" si="2"/>
        <v>0.004933947811</v>
      </c>
      <c r="K74" s="326">
        <f t="shared" si="4"/>
        <v>4.029390713</v>
      </c>
      <c r="L74" s="327">
        <f t="shared" si="3"/>
        <v>25.22772061</v>
      </c>
      <c r="M74" s="321" t="str">
        <f t="shared" si="5"/>
        <v>iviangita</v>
      </c>
      <c r="N74" s="176">
        <f>IFERROR(__xludf.DUMMYFUNCTION("""COMPUTED_VALUE"""),2.0)</f>
        <v>2</v>
      </c>
      <c r="O74" s="176"/>
      <c r="P74" s="176"/>
      <c r="Q74" s="176"/>
      <c r="R74" s="176"/>
      <c r="S74" s="176"/>
      <c r="T74" s="176"/>
      <c r="U74" s="176"/>
      <c r="V74" s="176"/>
      <c r="W74" s="176"/>
      <c r="X74" s="176"/>
      <c r="Y74" s="176"/>
      <c r="Z74" s="176"/>
    </row>
    <row r="75">
      <c r="A75" s="249" t="s">
        <v>10</v>
      </c>
      <c r="B75" s="249" t="s">
        <v>43</v>
      </c>
      <c r="C75" s="329" t="s">
        <v>2533</v>
      </c>
      <c r="D75" s="268" t="s">
        <v>495</v>
      </c>
      <c r="E75" s="361">
        <v>44228.0</v>
      </c>
      <c r="F75" s="250" t="s">
        <v>496</v>
      </c>
      <c r="G75" s="171">
        <v>120.0</v>
      </c>
      <c r="H75" s="171">
        <v>100.0</v>
      </c>
      <c r="I75" s="171">
        <v>100.0</v>
      </c>
      <c r="J75" s="325">
        <f t="shared" si="2"/>
        <v>0.004126649838</v>
      </c>
      <c r="K75" s="326">
        <f t="shared" si="4"/>
        <v>3.370097367</v>
      </c>
      <c r="L75" s="327">
        <f t="shared" si="3"/>
        <v>25.22772061</v>
      </c>
      <c r="M75" s="321" t="str">
        <f t="shared" si="5"/>
        <v>iviangita</v>
      </c>
      <c r="N75" s="176">
        <f>IFERROR(__xludf.DUMMYFUNCTION("""COMPUTED_VALUE"""),3.0)</f>
        <v>3</v>
      </c>
      <c r="O75" s="176"/>
      <c r="P75" s="176"/>
      <c r="Q75" s="176"/>
      <c r="R75" s="176"/>
      <c r="S75" s="176"/>
      <c r="T75" s="176"/>
      <c r="U75" s="176"/>
      <c r="V75" s="176"/>
      <c r="W75" s="176"/>
      <c r="X75" s="176"/>
      <c r="Y75" s="176"/>
      <c r="Z75" s="176"/>
    </row>
    <row r="76">
      <c r="A76" s="249" t="s">
        <v>10</v>
      </c>
      <c r="B76" s="249" t="s">
        <v>867</v>
      </c>
      <c r="C76" s="329" t="s">
        <v>2534</v>
      </c>
      <c r="D76" s="268" t="s">
        <v>495</v>
      </c>
      <c r="E76" s="361">
        <v>44230.0</v>
      </c>
      <c r="F76" s="250" t="s">
        <v>496</v>
      </c>
      <c r="G76" s="171">
        <v>120.0</v>
      </c>
      <c r="H76" s="171">
        <v>100.0</v>
      </c>
      <c r="I76" s="171">
        <v>100.0</v>
      </c>
      <c r="J76" s="325">
        <f t="shared" si="2"/>
        <v>0.004126649838</v>
      </c>
      <c r="K76" s="326">
        <f t="shared" si="4"/>
        <v>3.370097367</v>
      </c>
      <c r="L76" s="327">
        <f t="shared" si="3"/>
        <v>25.22772061</v>
      </c>
      <c r="M76" s="321" t="str">
        <f t="shared" si="5"/>
        <v>iviangita</v>
      </c>
      <c r="N76" s="176">
        <f>IFERROR(__xludf.DUMMYFUNCTION("""COMPUTED_VALUE"""),4.0)</f>
        <v>4</v>
      </c>
      <c r="O76" s="176"/>
      <c r="P76" s="176"/>
      <c r="Q76" s="176"/>
      <c r="R76" s="176"/>
      <c r="S76" s="176"/>
      <c r="T76" s="176"/>
      <c r="U76" s="176"/>
      <c r="V76" s="176"/>
      <c r="W76" s="176"/>
      <c r="X76" s="176"/>
      <c r="Y76" s="176"/>
      <c r="Z76" s="176"/>
    </row>
    <row r="77">
      <c r="A77" s="249" t="s">
        <v>10</v>
      </c>
      <c r="B77" s="249" t="s">
        <v>590</v>
      </c>
      <c r="C77" s="329" t="s">
        <v>2535</v>
      </c>
      <c r="D77" s="268" t="s">
        <v>495</v>
      </c>
      <c r="E77" s="361">
        <v>44231.0</v>
      </c>
      <c r="F77" s="250" t="s">
        <v>496</v>
      </c>
      <c r="G77" s="171">
        <v>120.0</v>
      </c>
      <c r="H77" s="171">
        <v>100.0</v>
      </c>
      <c r="I77" s="171">
        <v>100.0</v>
      </c>
      <c r="J77" s="325">
        <f t="shared" si="2"/>
        <v>0.004126649838</v>
      </c>
      <c r="K77" s="326">
        <f t="shared" si="4"/>
        <v>3.370097367</v>
      </c>
      <c r="L77" s="327">
        <f t="shared" si="3"/>
        <v>25.22772061</v>
      </c>
      <c r="M77" s="321" t="str">
        <f t="shared" si="5"/>
        <v>iviangita</v>
      </c>
      <c r="N77" s="176">
        <f>IFERROR(__xludf.DUMMYFUNCTION("""COMPUTED_VALUE"""),5.0)</f>
        <v>5</v>
      </c>
      <c r="O77" s="176"/>
      <c r="P77" s="176"/>
      <c r="Q77" s="176"/>
      <c r="R77" s="176"/>
      <c r="S77" s="176"/>
      <c r="T77" s="176"/>
      <c r="U77" s="176"/>
      <c r="V77" s="176"/>
      <c r="W77" s="176"/>
      <c r="X77" s="176"/>
      <c r="Y77" s="176"/>
      <c r="Z77" s="176"/>
    </row>
    <row r="78">
      <c r="A78" s="249" t="s">
        <v>10</v>
      </c>
      <c r="B78" s="249" t="s">
        <v>925</v>
      </c>
      <c r="C78" s="329" t="s">
        <v>2536</v>
      </c>
      <c r="D78" s="268" t="s">
        <v>495</v>
      </c>
      <c r="E78" s="361">
        <v>44231.0</v>
      </c>
      <c r="F78" s="250" t="s">
        <v>496</v>
      </c>
      <c r="G78" s="171">
        <v>120.0</v>
      </c>
      <c r="H78" s="171">
        <v>100.0</v>
      </c>
      <c r="I78" s="171">
        <v>100.0</v>
      </c>
      <c r="J78" s="325">
        <f t="shared" si="2"/>
        <v>0.004126649838</v>
      </c>
      <c r="K78" s="326">
        <f t="shared" si="4"/>
        <v>3.370097367</v>
      </c>
      <c r="L78" s="327">
        <f t="shared" si="3"/>
        <v>25.22772061</v>
      </c>
      <c r="M78" s="321" t="str">
        <f t="shared" si="5"/>
        <v>iviangita</v>
      </c>
      <c r="N78" s="176">
        <f>IFERROR(__xludf.DUMMYFUNCTION("""COMPUTED_VALUE"""),6.0)</f>
        <v>6</v>
      </c>
      <c r="O78" s="176"/>
      <c r="P78" s="176"/>
      <c r="Q78" s="176"/>
      <c r="R78" s="176"/>
      <c r="S78" s="176"/>
      <c r="T78" s="176"/>
      <c r="U78" s="176"/>
      <c r="V78" s="176"/>
      <c r="W78" s="176"/>
      <c r="X78" s="176"/>
      <c r="Y78" s="176"/>
      <c r="Z78" s="176"/>
    </row>
    <row r="79">
      <c r="A79" s="249" t="s">
        <v>10</v>
      </c>
      <c r="B79" s="249" t="s">
        <v>867</v>
      </c>
      <c r="C79" s="329" t="s">
        <v>2537</v>
      </c>
      <c r="D79" s="268" t="s">
        <v>495</v>
      </c>
      <c r="E79" s="251">
        <v>44239.0</v>
      </c>
      <c r="F79" s="250" t="s">
        <v>496</v>
      </c>
      <c r="G79" s="171">
        <v>120.0</v>
      </c>
      <c r="H79" s="171">
        <v>100.0</v>
      </c>
      <c r="I79" s="171">
        <v>100.0</v>
      </c>
      <c r="J79" s="325">
        <f t="shared" si="2"/>
        <v>0.004126649838</v>
      </c>
      <c r="K79" s="326">
        <f t="shared" si="4"/>
        <v>3.370097367</v>
      </c>
      <c r="L79" s="327">
        <f t="shared" si="3"/>
        <v>25.22772061</v>
      </c>
      <c r="M79" s="321" t="str">
        <f t="shared" si="5"/>
        <v>iviangita</v>
      </c>
      <c r="N79" s="176">
        <f>IFERROR(__xludf.DUMMYFUNCTION("""COMPUTED_VALUE"""),7.0)</f>
        <v>7</v>
      </c>
      <c r="O79" s="176"/>
      <c r="P79" s="176"/>
      <c r="Q79" s="176"/>
      <c r="R79" s="176"/>
      <c r="S79" s="176"/>
      <c r="T79" s="176"/>
      <c r="U79" s="176"/>
      <c r="V79" s="176"/>
      <c r="W79" s="176"/>
      <c r="X79" s="176"/>
      <c r="Y79" s="176"/>
      <c r="Z79" s="176"/>
    </row>
    <row r="80">
      <c r="A80" s="249" t="s">
        <v>10</v>
      </c>
      <c r="B80" s="249" t="s">
        <v>10</v>
      </c>
      <c r="C80" s="329" t="s">
        <v>2505</v>
      </c>
      <c r="D80" s="268" t="s">
        <v>495</v>
      </c>
      <c r="E80" s="251">
        <v>44239.0</v>
      </c>
      <c r="F80" s="250" t="s">
        <v>496</v>
      </c>
      <c r="G80" s="171">
        <v>100.0</v>
      </c>
      <c r="H80" s="171">
        <v>100.0</v>
      </c>
      <c r="I80" s="171">
        <v>100.0</v>
      </c>
      <c r="J80" s="325">
        <f t="shared" si="2"/>
        <v>0.003900108222</v>
      </c>
      <c r="K80" s="326">
        <f t="shared" si="4"/>
        <v>3.185088381</v>
      </c>
      <c r="L80" s="327">
        <f t="shared" si="3"/>
        <v>25.22772061</v>
      </c>
      <c r="M80" s="321" t="str">
        <f t="shared" si="5"/>
        <v>iviangita</v>
      </c>
      <c r="N80" s="176">
        <f>IFERROR(__xludf.DUMMYFUNCTION("""COMPUTED_VALUE"""),8.0)</f>
        <v>8</v>
      </c>
      <c r="O80" s="176"/>
      <c r="P80" s="176"/>
      <c r="Q80" s="176"/>
      <c r="R80" s="176"/>
      <c r="S80" s="176"/>
      <c r="T80" s="176"/>
      <c r="U80" s="176"/>
      <c r="V80" s="176"/>
      <c r="W80" s="176"/>
      <c r="X80" s="176"/>
      <c r="Y80" s="176"/>
      <c r="Z80" s="176"/>
    </row>
    <row r="81">
      <c r="A81" s="249" t="s">
        <v>10</v>
      </c>
      <c r="B81" s="249" t="s">
        <v>10</v>
      </c>
      <c r="C81" s="329" t="s">
        <v>2538</v>
      </c>
      <c r="D81" s="268" t="s">
        <v>495</v>
      </c>
      <c r="E81" s="251">
        <v>44239.0</v>
      </c>
      <c r="F81" s="250" t="s">
        <v>496</v>
      </c>
      <c r="G81" s="171">
        <v>100.0</v>
      </c>
      <c r="H81" s="171">
        <v>100.0</v>
      </c>
      <c r="I81" s="171">
        <v>100.0</v>
      </c>
      <c r="J81" s="325">
        <f t="shared" si="2"/>
        <v>0.003900108222</v>
      </c>
      <c r="K81" s="326">
        <f t="shared" si="4"/>
        <v>3.185088381</v>
      </c>
      <c r="L81" s="327">
        <f t="shared" si="3"/>
        <v>25.22772061</v>
      </c>
      <c r="M81" s="321" t="str">
        <f t="shared" si="5"/>
        <v>iviangita</v>
      </c>
      <c r="N81" s="176">
        <f>IFERROR(__xludf.DUMMYFUNCTION("""COMPUTED_VALUE"""),9.0)</f>
        <v>9</v>
      </c>
      <c r="O81" s="176"/>
      <c r="P81" s="176"/>
      <c r="Q81" s="176"/>
      <c r="R81" s="176"/>
      <c r="S81" s="176"/>
      <c r="T81" s="176"/>
      <c r="U81" s="176"/>
      <c r="V81" s="176"/>
      <c r="W81" s="176"/>
      <c r="X81" s="176"/>
      <c r="Y81" s="176"/>
      <c r="Z81" s="176"/>
    </row>
    <row r="82">
      <c r="A82" s="249" t="s">
        <v>10</v>
      </c>
      <c r="B82" s="249" t="s">
        <v>590</v>
      </c>
      <c r="C82" s="329" t="s">
        <v>2539</v>
      </c>
      <c r="D82" s="268" t="s">
        <v>495</v>
      </c>
      <c r="E82" s="361">
        <v>44236.0</v>
      </c>
      <c r="F82" s="250" t="s">
        <v>496</v>
      </c>
      <c r="G82" s="171">
        <v>80.0</v>
      </c>
      <c r="H82" s="171">
        <v>100.0</v>
      </c>
      <c r="I82" s="171">
        <v>100.0</v>
      </c>
      <c r="J82" s="325">
        <f t="shared" si="2"/>
        <v>0.003673566606</v>
      </c>
      <c r="K82" s="326">
        <f t="shared" si="4"/>
        <v>3.000079395</v>
      </c>
      <c r="L82" s="327">
        <f t="shared" si="3"/>
        <v>25.22772061</v>
      </c>
      <c r="M82" s="321" t="str">
        <f t="shared" si="5"/>
        <v>iviangita</v>
      </c>
      <c r="N82" s="176">
        <f>IFERROR(__xludf.DUMMYFUNCTION("""COMPUTED_VALUE"""),10.0)</f>
        <v>10</v>
      </c>
      <c r="O82" s="176"/>
      <c r="P82" s="176"/>
      <c r="Q82" s="176"/>
      <c r="R82" s="176"/>
      <c r="S82" s="176"/>
      <c r="T82" s="176"/>
      <c r="U82" s="176"/>
      <c r="V82" s="176"/>
      <c r="W82" s="176"/>
      <c r="X82" s="176"/>
      <c r="Y82" s="176"/>
      <c r="Z82" s="176"/>
    </row>
    <row r="83">
      <c r="A83" s="249" t="s">
        <v>10</v>
      </c>
      <c r="B83" s="249" t="s">
        <v>519</v>
      </c>
      <c r="C83" s="329" t="s">
        <v>2540</v>
      </c>
      <c r="D83" s="268" t="s">
        <v>495</v>
      </c>
      <c r="E83" s="251">
        <v>44238.0</v>
      </c>
      <c r="F83" s="250" t="s">
        <v>496</v>
      </c>
      <c r="G83" s="171">
        <v>120.0</v>
      </c>
      <c r="H83" s="171">
        <v>50.0</v>
      </c>
      <c r="I83" s="171">
        <v>100.0</v>
      </c>
      <c r="J83" s="325">
        <f t="shared" si="2"/>
        <v>0.003319351864</v>
      </c>
      <c r="K83" s="326">
        <f t="shared" si="4"/>
        <v>2.710804022</v>
      </c>
      <c r="L83" s="327">
        <f t="shared" si="3"/>
        <v>25.22772061</v>
      </c>
      <c r="M83" s="321" t="str">
        <f t="shared" si="5"/>
        <v>iviangita</v>
      </c>
      <c r="N83" s="176">
        <f>IFERROR(__xludf.DUMMYFUNCTION("""COMPUTED_VALUE"""),11.0)</f>
        <v>11</v>
      </c>
      <c r="O83" s="176"/>
      <c r="P83" s="176"/>
      <c r="Q83" s="176"/>
      <c r="R83" s="176"/>
      <c r="S83" s="176"/>
      <c r="T83" s="176"/>
      <c r="U83" s="176"/>
      <c r="V83" s="176"/>
      <c r="W83" s="176"/>
      <c r="X83" s="176"/>
      <c r="Y83" s="176"/>
      <c r="Z83" s="176"/>
    </row>
    <row r="84">
      <c r="A84" s="249" t="s">
        <v>10</v>
      </c>
      <c r="B84" s="249" t="s">
        <v>867</v>
      </c>
      <c r="C84" s="329" t="s">
        <v>2541</v>
      </c>
      <c r="D84" s="268" t="s">
        <v>495</v>
      </c>
      <c r="E84" s="361">
        <v>44232.0</v>
      </c>
      <c r="F84" s="250" t="s">
        <v>496</v>
      </c>
      <c r="G84" s="171">
        <v>60.0</v>
      </c>
      <c r="H84" s="171">
        <v>80.0</v>
      </c>
      <c r="I84" s="171">
        <v>100.0</v>
      </c>
      <c r="J84" s="325">
        <f t="shared" si="2"/>
        <v>0.003124105801</v>
      </c>
      <c r="K84" s="326">
        <f t="shared" si="4"/>
        <v>2.551353071</v>
      </c>
      <c r="L84" s="327">
        <f t="shared" si="3"/>
        <v>25.22772061</v>
      </c>
      <c r="M84" s="321" t="str">
        <f t="shared" si="5"/>
        <v>iviangita</v>
      </c>
      <c r="N84" s="176">
        <f>IFERROR(__xludf.DUMMYFUNCTION("""COMPUTED_VALUE"""),12.0)</f>
        <v>12</v>
      </c>
      <c r="O84" s="176"/>
      <c r="P84" s="176"/>
      <c r="Q84" s="176"/>
      <c r="R84" s="176"/>
      <c r="S84" s="176"/>
      <c r="T84" s="176"/>
      <c r="U84" s="176"/>
      <c r="V84" s="176"/>
      <c r="W84" s="176"/>
      <c r="X84" s="176"/>
      <c r="Y84" s="176"/>
      <c r="Z84" s="176"/>
    </row>
    <row r="85">
      <c r="A85" s="249" t="s">
        <v>10</v>
      </c>
      <c r="B85" s="249" t="s">
        <v>867</v>
      </c>
      <c r="C85" s="329" t="s">
        <v>2509</v>
      </c>
      <c r="D85" s="268" t="s">
        <v>495</v>
      </c>
      <c r="E85" s="361">
        <v>44235.0</v>
      </c>
      <c r="F85" s="250" t="s">
        <v>496</v>
      </c>
      <c r="G85" s="171">
        <v>60.0</v>
      </c>
      <c r="H85" s="171">
        <v>80.0</v>
      </c>
      <c r="I85" s="171">
        <v>100.0</v>
      </c>
      <c r="J85" s="325">
        <f t="shared" si="2"/>
        <v>0.003124105801</v>
      </c>
      <c r="K85" s="326">
        <f t="shared" si="4"/>
        <v>2.551353071</v>
      </c>
      <c r="L85" s="327">
        <f t="shared" si="3"/>
        <v>25.22772061</v>
      </c>
      <c r="M85" s="321" t="str">
        <f t="shared" si="5"/>
        <v>iviangita</v>
      </c>
      <c r="N85" s="176">
        <f>IFERROR(__xludf.DUMMYFUNCTION("""COMPUTED_VALUE"""),13.0)</f>
        <v>13</v>
      </c>
      <c r="O85" s="176"/>
      <c r="P85" s="176"/>
      <c r="Q85" s="176"/>
      <c r="R85" s="176"/>
      <c r="S85" s="176"/>
      <c r="T85" s="176"/>
      <c r="U85" s="176"/>
      <c r="V85" s="176"/>
      <c r="W85" s="176"/>
      <c r="X85" s="176"/>
      <c r="Y85" s="176"/>
      <c r="Z85" s="176"/>
    </row>
    <row r="86">
      <c r="A86" s="249" t="s">
        <v>10</v>
      </c>
      <c r="B86" s="249" t="s">
        <v>10</v>
      </c>
      <c r="C86" s="329" t="s">
        <v>2494</v>
      </c>
      <c r="D86" s="268" t="s">
        <v>495</v>
      </c>
      <c r="E86" s="361">
        <v>44232.0</v>
      </c>
      <c r="F86" s="250" t="s">
        <v>496</v>
      </c>
      <c r="G86" s="171">
        <v>60.0</v>
      </c>
      <c r="H86" s="171">
        <v>45.0</v>
      </c>
      <c r="I86" s="171">
        <v>100.0</v>
      </c>
      <c r="J86" s="325">
        <f t="shared" si="2"/>
        <v>0.00255899722</v>
      </c>
      <c r="K86" s="326">
        <f t="shared" si="4"/>
        <v>2.089847729</v>
      </c>
      <c r="L86" s="327">
        <f t="shared" si="3"/>
        <v>25.22772061</v>
      </c>
      <c r="M86" s="321" t="str">
        <f t="shared" si="5"/>
        <v>iviangita</v>
      </c>
      <c r="N86" s="176">
        <f>IFERROR(__xludf.DUMMYFUNCTION("""COMPUTED_VALUE"""),14.0)</f>
        <v>14</v>
      </c>
      <c r="O86" s="176"/>
      <c r="P86" s="176"/>
      <c r="Q86" s="176"/>
      <c r="R86" s="176"/>
      <c r="S86" s="176"/>
      <c r="T86" s="176"/>
      <c r="U86" s="176"/>
      <c r="V86" s="176"/>
      <c r="W86" s="176"/>
      <c r="X86" s="176"/>
      <c r="Y86" s="176"/>
      <c r="Z86" s="176"/>
    </row>
    <row r="87">
      <c r="A87" s="249" t="s">
        <v>10</v>
      </c>
      <c r="B87" s="249" t="s">
        <v>867</v>
      </c>
      <c r="C87" s="329" t="s">
        <v>2508</v>
      </c>
      <c r="D87" s="268" t="s">
        <v>495</v>
      </c>
      <c r="E87" s="361">
        <v>44228.0</v>
      </c>
      <c r="F87" s="250" t="s">
        <v>496</v>
      </c>
      <c r="G87" s="171">
        <v>60.0</v>
      </c>
      <c r="H87" s="171">
        <v>25.0</v>
      </c>
      <c r="I87" s="171">
        <v>100.0</v>
      </c>
      <c r="J87" s="325">
        <f t="shared" si="2"/>
        <v>0.00223607803</v>
      </c>
      <c r="K87" s="326">
        <f t="shared" si="4"/>
        <v>1.826130391</v>
      </c>
      <c r="L87" s="327">
        <f t="shared" si="3"/>
        <v>25.22772061</v>
      </c>
      <c r="M87" s="321" t="str">
        <f t="shared" si="5"/>
        <v>iviangita</v>
      </c>
      <c r="N87" s="176">
        <f>IFERROR(__xludf.DUMMYFUNCTION("""COMPUTED_VALUE"""),15.0)</f>
        <v>15</v>
      </c>
      <c r="O87" s="176"/>
      <c r="P87" s="176"/>
      <c r="Q87" s="176"/>
      <c r="R87" s="176"/>
      <c r="S87" s="176"/>
      <c r="T87" s="176"/>
      <c r="U87" s="176"/>
      <c r="V87" s="176"/>
      <c r="W87" s="176"/>
      <c r="X87" s="176"/>
      <c r="Y87" s="176"/>
      <c r="Z87" s="176"/>
    </row>
    <row r="88">
      <c r="A88" s="249" t="s">
        <v>10</v>
      </c>
      <c r="B88" s="249" t="s">
        <v>10</v>
      </c>
      <c r="C88" s="329" t="s">
        <v>2507</v>
      </c>
      <c r="D88" s="268" t="s">
        <v>495</v>
      </c>
      <c r="E88" s="251">
        <v>44239.0</v>
      </c>
      <c r="F88" s="250" t="s">
        <v>496</v>
      </c>
      <c r="G88" s="171">
        <v>40.0</v>
      </c>
      <c r="H88" s="171">
        <v>25.0</v>
      </c>
      <c r="I88" s="171">
        <v>50.0</v>
      </c>
      <c r="J88" s="325">
        <f t="shared" si="2"/>
        <v>0.001433134316</v>
      </c>
      <c r="K88" s="326">
        <f t="shared" si="4"/>
        <v>1.170393025</v>
      </c>
      <c r="L88" s="327">
        <f t="shared" si="3"/>
        <v>25.22772061</v>
      </c>
      <c r="M88" s="321" t="str">
        <f t="shared" si="5"/>
        <v>iviangita</v>
      </c>
      <c r="N88" s="176">
        <f>IFERROR(__xludf.DUMMYFUNCTION("""COMPUTED_VALUE"""),16.0)</f>
        <v>16</v>
      </c>
      <c r="O88" s="176"/>
      <c r="P88" s="176"/>
      <c r="Q88" s="176"/>
      <c r="R88" s="176"/>
      <c r="S88" s="176"/>
      <c r="T88" s="176"/>
      <c r="U88" s="176"/>
      <c r="V88" s="176"/>
      <c r="W88" s="176"/>
      <c r="X88" s="176"/>
      <c r="Y88" s="176"/>
      <c r="Z88" s="176"/>
    </row>
    <row r="89">
      <c r="A89" s="249" t="s">
        <v>10</v>
      </c>
      <c r="B89" s="249" t="s">
        <v>868</v>
      </c>
      <c r="C89" s="329" t="s">
        <v>2488</v>
      </c>
      <c r="D89" s="268" t="s">
        <v>495</v>
      </c>
      <c r="E89" s="251">
        <v>44226.0</v>
      </c>
      <c r="F89" s="250" t="s">
        <v>496</v>
      </c>
      <c r="G89" s="171">
        <v>40.0</v>
      </c>
      <c r="H89" s="171">
        <v>25.0</v>
      </c>
      <c r="I89" s="171">
        <v>25.0</v>
      </c>
      <c r="J89" s="325">
        <f t="shared" si="2"/>
        <v>0.001144933267</v>
      </c>
      <c r="K89" s="326">
        <f t="shared" si="4"/>
        <v>0.9350288349</v>
      </c>
      <c r="L89" s="327">
        <f t="shared" si="3"/>
        <v>25.22772061</v>
      </c>
      <c r="M89" s="321" t="str">
        <f t="shared" si="5"/>
        <v>iviangita</v>
      </c>
      <c r="N89" s="176">
        <f>IFERROR(__xludf.DUMMYFUNCTION("""COMPUTED_VALUE"""),17.0)</f>
        <v>17</v>
      </c>
      <c r="O89" s="176"/>
      <c r="P89" s="176"/>
      <c r="Q89" s="176"/>
      <c r="R89" s="176"/>
      <c r="S89" s="176"/>
      <c r="T89" s="176"/>
      <c r="U89" s="176"/>
      <c r="V89" s="176"/>
      <c r="W89" s="176"/>
      <c r="X89" s="176"/>
      <c r="Y89" s="176"/>
      <c r="Z89" s="176"/>
    </row>
    <row r="90">
      <c r="A90" s="240" t="s">
        <v>10</v>
      </c>
      <c r="B90" s="240" t="s">
        <v>534</v>
      </c>
      <c r="C90" s="221" t="s">
        <v>535</v>
      </c>
      <c r="D90" s="336"/>
      <c r="E90" s="255"/>
      <c r="F90" s="254"/>
      <c r="G90" s="222"/>
      <c r="H90" s="222"/>
      <c r="I90" s="222"/>
      <c r="J90" s="325">
        <f t="shared" si="2"/>
        <v>0</v>
      </c>
      <c r="K90" s="337">
        <f>50.455*-0.5</f>
        <v>-25.2275</v>
      </c>
      <c r="L90" s="327">
        <f t="shared" si="3"/>
        <v>25.22772061</v>
      </c>
      <c r="M90" s="321" t="str">
        <f t="shared" si="5"/>
        <v>iviangita</v>
      </c>
      <c r="N90" s="209">
        <f>IFERROR(__xludf.DUMMYFUNCTION("""COMPUTED_VALUE"""),18.0)</f>
        <v>18</v>
      </c>
      <c r="O90" s="209"/>
      <c r="P90" s="209"/>
      <c r="Q90" s="209"/>
      <c r="R90" s="209">
        <v>18.802169413641863</v>
      </c>
      <c r="S90" s="209"/>
      <c r="T90" s="209"/>
      <c r="U90" s="209"/>
      <c r="V90" s="209"/>
      <c r="W90" s="209"/>
      <c r="X90" s="209"/>
      <c r="Y90" s="176"/>
      <c r="Z90" s="176"/>
    </row>
    <row r="91">
      <c r="A91" s="249" t="s">
        <v>22</v>
      </c>
      <c r="B91" s="249" t="s">
        <v>590</v>
      </c>
      <c r="C91" s="329" t="s">
        <v>2542</v>
      </c>
      <c r="D91" s="268" t="s">
        <v>495</v>
      </c>
      <c r="E91" s="361">
        <v>44236.0</v>
      </c>
      <c r="F91" s="250" t="s">
        <v>496</v>
      </c>
      <c r="G91" s="171">
        <v>200.0</v>
      </c>
      <c r="H91" s="171">
        <v>200.0</v>
      </c>
      <c r="I91" s="171">
        <v>200.0</v>
      </c>
      <c r="J91" s="325">
        <f t="shared" si="2"/>
        <v>0.007800216444</v>
      </c>
      <c r="K91" s="326">
        <f t="shared" ref="K91:K111" si="6">J91*$J$1</f>
        <v>6.370176762</v>
      </c>
      <c r="L91" s="327">
        <f t="shared" si="3"/>
        <v>19.66364245</v>
      </c>
      <c r="M91" s="321" t="str">
        <f t="shared" si="5"/>
        <v>naynaysoo</v>
      </c>
      <c r="N91" s="176">
        <f>IFERROR(__xludf.DUMMYFUNCTION("""COMPUTED_VALUE"""),1.0)</f>
        <v>1</v>
      </c>
      <c r="O91" s="176"/>
      <c r="P91" s="176"/>
      <c r="Q91" s="176"/>
      <c r="R91" s="176"/>
      <c r="S91" s="176"/>
      <c r="T91" s="176"/>
      <c r="U91" s="176"/>
      <c r="V91" s="176"/>
      <c r="W91" s="176"/>
      <c r="X91" s="176"/>
      <c r="Y91" s="176"/>
      <c r="Z91" s="176"/>
    </row>
    <row r="92">
      <c r="A92" s="249" t="s">
        <v>22</v>
      </c>
      <c r="B92" s="249" t="s">
        <v>10</v>
      </c>
      <c r="C92" s="329" t="s">
        <v>2543</v>
      </c>
      <c r="D92" s="268" t="s">
        <v>495</v>
      </c>
      <c r="E92" s="361">
        <v>44232.0</v>
      </c>
      <c r="F92" s="250" t="s">
        <v>496</v>
      </c>
      <c r="G92" s="171">
        <v>160.0</v>
      </c>
      <c r="H92" s="171">
        <v>100.0</v>
      </c>
      <c r="I92" s="171">
        <v>100.0</v>
      </c>
      <c r="J92" s="325">
        <f t="shared" si="2"/>
        <v>0.004579733069</v>
      </c>
      <c r="K92" s="326">
        <f t="shared" si="6"/>
        <v>3.74011534</v>
      </c>
      <c r="L92" s="327">
        <f t="shared" si="3"/>
        <v>19.66364245</v>
      </c>
      <c r="M92" s="321" t="str">
        <f t="shared" si="5"/>
        <v>naynaysoo</v>
      </c>
      <c r="N92" s="176">
        <f>IFERROR(__xludf.DUMMYFUNCTION("""COMPUTED_VALUE"""),2.0)</f>
        <v>2</v>
      </c>
      <c r="O92" s="176"/>
      <c r="P92" s="176"/>
      <c r="Q92" s="176"/>
      <c r="R92" s="176"/>
      <c r="S92" s="176"/>
      <c r="T92" s="176"/>
      <c r="U92" s="176"/>
      <c r="V92" s="176"/>
      <c r="W92" s="176"/>
      <c r="X92" s="176"/>
      <c r="Y92" s="176"/>
      <c r="Z92" s="176"/>
    </row>
    <row r="93">
      <c r="A93" s="249" t="s">
        <v>22</v>
      </c>
      <c r="B93" s="249" t="s">
        <v>10</v>
      </c>
      <c r="C93" s="329" t="s">
        <v>2496</v>
      </c>
      <c r="D93" s="268" t="s">
        <v>495</v>
      </c>
      <c r="E93" s="361">
        <v>44232.0</v>
      </c>
      <c r="F93" s="250" t="s">
        <v>496</v>
      </c>
      <c r="G93" s="171">
        <v>100.0</v>
      </c>
      <c r="H93" s="171">
        <v>100.0</v>
      </c>
      <c r="I93" s="171">
        <v>100.0</v>
      </c>
      <c r="J93" s="325">
        <f t="shared" si="2"/>
        <v>0.003900108222</v>
      </c>
      <c r="K93" s="326">
        <f t="shared" si="6"/>
        <v>3.185088381</v>
      </c>
      <c r="L93" s="327">
        <f t="shared" si="3"/>
        <v>19.66364245</v>
      </c>
      <c r="M93" s="321" t="str">
        <f t="shared" si="5"/>
        <v>naynaysoo</v>
      </c>
      <c r="N93" s="176">
        <f>IFERROR(__xludf.DUMMYFUNCTION("""COMPUTED_VALUE"""),3.0)</f>
        <v>3</v>
      </c>
      <c r="O93" s="176"/>
      <c r="P93" s="176"/>
      <c r="Q93" s="176"/>
      <c r="R93" s="176"/>
      <c r="S93" s="176"/>
      <c r="T93" s="176"/>
      <c r="U93" s="176"/>
      <c r="V93" s="176"/>
      <c r="W93" s="176"/>
      <c r="X93" s="176"/>
      <c r="Y93" s="176"/>
      <c r="Z93" s="176"/>
    </row>
    <row r="94">
      <c r="A94" s="249" t="s">
        <v>22</v>
      </c>
      <c r="B94" s="249" t="s">
        <v>10</v>
      </c>
      <c r="C94" s="329" t="s">
        <v>494</v>
      </c>
      <c r="D94" s="268" t="s">
        <v>495</v>
      </c>
      <c r="E94" s="251">
        <v>44239.0</v>
      </c>
      <c r="F94" s="250" t="s">
        <v>545</v>
      </c>
      <c r="G94" s="171">
        <v>80.0</v>
      </c>
      <c r="H94" s="171">
        <v>50.0</v>
      </c>
      <c r="I94" s="171">
        <v>100.0</v>
      </c>
      <c r="J94" s="325">
        <f t="shared" si="2"/>
        <v>0.002866268633</v>
      </c>
      <c r="K94" s="326">
        <f t="shared" si="6"/>
        <v>2.34078605</v>
      </c>
      <c r="L94" s="327">
        <f t="shared" si="3"/>
        <v>19.66364245</v>
      </c>
      <c r="M94" s="321" t="str">
        <f t="shared" si="5"/>
        <v>naynaysoo</v>
      </c>
      <c r="N94" s="176">
        <f>IFERROR(__xludf.DUMMYFUNCTION("""COMPUTED_VALUE"""),4.0)</f>
        <v>4</v>
      </c>
      <c r="O94" s="176"/>
      <c r="P94" s="176"/>
      <c r="Q94" s="176"/>
      <c r="R94" s="176"/>
      <c r="S94" s="176"/>
      <c r="T94" s="176"/>
      <c r="U94" s="176"/>
      <c r="V94" s="176"/>
      <c r="W94" s="176"/>
      <c r="X94" s="176"/>
      <c r="Y94" s="176"/>
      <c r="Z94" s="176"/>
    </row>
    <row r="95">
      <c r="A95" s="249" t="s">
        <v>22</v>
      </c>
      <c r="B95" s="249" t="s">
        <v>18</v>
      </c>
      <c r="C95" s="329" t="s">
        <v>2502</v>
      </c>
      <c r="D95" s="268" t="s">
        <v>495</v>
      </c>
      <c r="E95" s="361">
        <v>44236.0</v>
      </c>
      <c r="F95" s="250" t="s">
        <v>496</v>
      </c>
      <c r="G95" s="171">
        <v>40.0</v>
      </c>
      <c r="H95" s="171">
        <v>50.0</v>
      </c>
      <c r="I95" s="171">
        <v>60.0</v>
      </c>
      <c r="J95" s="325">
        <f t="shared" si="2"/>
        <v>0.001952063723</v>
      </c>
      <c r="K95" s="326">
        <f t="shared" si="6"/>
        <v>1.594185374</v>
      </c>
      <c r="L95" s="327">
        <f t="shared" si="3"/>
        <v>19.66364245</v>
      </c>
      <c r="M95" s="321" t="str">
        <f t="shared" si="5"/>
        <v>naynaysoo</v>
      </c>
      <c r="N95" s="176">
        <f>IFERROR(__xludf.DUMMYFUNCTION("""COMPUTED_VALUE"""),5.0)</f>
        <v>5</v>
      </c>
      <c r="O95" s="176"/>
      <c r="P95" s="176"/>
      <c r="Q95" s="176"/>
      <c r="R95" s="176"/>
      <c r="S95" s="176"/>
      <c r="T95" s="176"/>
      <c r="U95" s="176"/>
      <c r="V95" s="176"/>
      <c r="W95" s="176"/>
      <c r="X95" s="176"/>
      <c r="Y95" s="176"/>
      <c r="Z95" s="176"/>
    </row>
    <row r="96">
      <c r="A96" s="249" t="s">
        <v>22</v>
      </c>
      <c r="B96" s="249" t="s">
        <v>590</v>
      </c>
      <c r="C96" s="329" t="s">
        <v>2492</v>
      </c>
      <c r="D96" s="268" t="s">
        <v>495</v>
      </c>
      <c r="E96" s="361">
        <v>44229.0</v>
      </c>
      <c r="F96" s="250" t="s">
        <v>496</v>
      </c>
      <c r="G96" s="171">
        <v>50.0</v>
      </c>
      <c r="H96" s="171">
        <v>25.0</v>
      </c>
      <c r="I96" s="171">
        <v>50.0</v>
      </c>
      <c r="J96" s="325">
        <f t="shared" si="2"/>
        <v>0.001546405124</v>
      </c>
      <c r="K96" s="326">
        <f t="shared" si="6"/>
        <v>1.262897518</v>
      </c>
      <c r="L96" s="327">
        <f t="shared" si="3"/>
        <v>19.66364245</v>
      </c>
      <c r="M96" s="321" t="str">
        <f t="shared" si="5"/>
        <v>naynaysoo</v>
      </c>
      <c r="N96" s="176">
        <f>IFERROR(__xludf.DUMMYFUNCTION("""COMPUTED_VALUE"""),6.0)</f>
        <v>6</v>
      </c>
      <c r="O96" s="176"/>
      <c r="P96" s="176"/>
      <c r="Q96" s="176"/>
      <c r="R96" s="176"/>
      <c r="S96" s="176"/>
      <c r="T96" s="176"/>
      <c r="U96" s="176"/>
      <c r="V96" s="176"/>
      <c r="W96" s="176"/>
      <c r="X96" s="176"/>
      <c r="Y96" s="176"/>
      <c r="Z96" s="176"/>
    </row>
    <row r="97">
      <c r="A97" s="249" t="s">
        <v>22</v>
      </c>
      <c r="B97" s="249" t="s">
        <v>590</v>
      </c>
      <c r="C97" s="329" t="s">
        <v>2500</v>
      </c>
      <c r="D97" s="268" t="s">
        <v>495</v>
      </c>
      <c r="E97" s="361">
        <v>44236.0</v>
      </c>
      <c r="F97" s="250" t="s">
        <v>496</v>
      </c>
      <c r="G97" s="171">
        <v>40.0</v>
      </c>
      <c r="H97" s="171">
        <v>25.0</v>
      </c>
      <c r="I97" s="171">
        <v>50.0</v>
      </c>
      <c r="J97" s="325">
        <f t="shared" si="2"/>
        <v>0.001433134316</v>
      </c>
      <c r="K97" s="326">
        <f t="shared" si="6"/>
        <v>1.170393025</v>
      </c>
      <c r="L97" s="327">
        <f t="shared" si="3"/>
        <v>19.66364245</v>
      </c>
      <c r="M97" s="321" t="str">
        <f t="shared" si="5"/>
        <v>naynaysoo</v>
      </c>
      <c r="N97" s="176">
        <f>IFERROR(__xludf.DUMMYFUNCTION("""COMPUTED_VALUE"""),7.0)</f>
        <v>7</v>
      </c>
      <c r="O97" s="176"/>
      <c r="P97" s="176"/>
      <c r="Q97" s="176"/>
      <c r="R97" s="176"/>
      <c r="S97" s="176"/>
      <c r="T97" s="176"/>
      <c r="U97" s="176"/>
      <c r="V97" s="176"/>
      <c r="W97" s="176"/>
      <c r="X97" s="176"/>
      <c r="Y97" s="176"/>
      <c r="Z97" s="176"/>
    </row>
    <row r="98">
      <c r="A98" s="249" t="s">
        <v>7</v>
      </c>
      <c r="B98" s="249" t="s">
        <v>10</v>
      </c>
      <c r="C98" s="329" t="s">
        <v>2544</v>
      </c>
      <c r="D98" s="268" t="s">
        <v>495</v>
      </c>
      <c r="E98" s="361">
        <v>44232.0</v>
      </c>
      <c r="F98" s="250" t="s">
        <v>496</v>
      </c>
      <c r="G98" s="171">
        <v>260.0</v>
      </c>
      <c r="H98" s="171">
        <v>200.0</v>
      </c>
      <c r="I98" s="171">
        <v>200.0</v>
      </c>
      <c r="J98" s="325">
        <f t="shared" si="2"/>
        <v>0.008479841291</v>
      </c>
      <c r="K98" s="326">
        <f t="shared" si="6"/>
        <v>6.925203721</v>
      </c>
      <c r="L98" s="327">
        <f t="shared" si="3"/>
        <v>17.54998212</v>
      </c>
      <c r="M98" s="321" t="str">
        <f t="shared" si="5"/>
        <v>ygganderson</v>
      </c>
      <c r="N98" s="176">
        <f>IFERROR(__xludf.DUMMYFUNCTION("""COMPUTED_VALUE"""),1.0)</f>
        <v>1</v>
      </c>
      <c r="O98" s="176"/>
      <c r="P98" s="176"/>
      <c r="Q98" s="176"/>
      <c r="R98" s="176"/>
      <c r="S98" s="176"/>
      <c r="T98" s="176"/>
      <c r="U98" s="176"/>
      <c r="V98" s="176"/>
      <c r="W98" s="176"/>
      <c r="X98" s="176"/>
      <c r="Y98" s="176"/>
      <c r="Z98" s="176"/>
    </row>
    <row r="99">
      <c r="A99" s="249" t="s">
        <v>7</v>
      </c>
      <c r="B99" s="249" t="s">
        <v>25</v>
      </c>
      <c r="C99" s="329" t="s">
        <v>2545</v>
      </c>
      <c r="D99" s="268" t="s">
        <v>495</v>
      </c>
      <c r="E99" s="361">
        <v>44229.0</v>
      </c>
      <c r="F99" s="250" t="s">
        <v>496</v>
      </c>
      <c r="G99" s="171">
        <v>250.0</v>
      </c>
      <c r="H99" s="171">
        <v>200.0</v>
      </c>
      <c r="I99" s="171">
        <v>150.0</v>
      </c>
      <c r="J99" s="325">
        <f t="shared" si="2"/>
        <v>0.007790168385</v>
      </c>
      <c r="K99" s="326">
        <f t="shared" si="6"/>
        <v>6.361970848</v>
      </c>
      <c r="L99" s="327">
        <f t="shared" si="3"/>
        <v>17.54998212</v>
      </c>
      <c r="M99" s="321" t="str">
        <f t="shared" si="5"/>
        <v>ygganderson</v>
      </c>
      <c r="N99" s="176">
        <f>IFERROR(__xludf.DUMMYFUNCTION("""COMPUTED_VALUE"""),2.0)</f>
        <v>2</v>
      </c>
      <c r="O99" s="176"/>
      <c r="P99" s="176"/>
      <c r="Q99" s="176"/>
      <c r="R99" s="176"/>
      <c r="S99" s="176"/>
      <c r="T99" s="176"/>
      <c r="U99" s="176"/>
      <c r="V99" s="176"/>
      <c r="W99" s="176"/>
      <c r="X99" s="176"/>
      <c r="Y99" s="176"/>
      <c r="Z99" s="176"/>
    </row>
    <row r="100">
      <c r="A100" s="249" t="s">
        <v>7</v>
      </c>
      <c r="B100" s="249" t="s">
        <v>10</v>
      </c>
      <c r="C100" s="329" t="s">
        <v>2546</v>
      </c>
      <c r="D100" s="268" t="s">
        <v>495</v>
      </c>
      <c r="E100" s="361">
        <v>44232.0</v>
      </c>
      <c r="F100" s="250" t="s">
        <v>496</v>
      </c>
      <c r="G100" s="171">
        <v>130.0</v>
      </c>
      <c r="H100" s="171">
        <v>150.0</v>
      </c>
      <c r="I100" s="171">
        <v>200.0</v>
      </c>
      <c r="J100" s="325">
        <f t="shared" si="2"/>
        <v>0.006200022815</v>
      </c>
      <c r="K100" s="326">
        <f t="shared" si="6"/>
        <v>5.063351966</v>
      </c>
      <c r="L100" s="327">
        <f t="shared" si="3"/>
        <v>17.54998212</v>
      </c>
      <c r="M100" s="321" t="str">
        <f t="shared" si="5"/>
        <v>ygganderson</v>
      </c>
      <c r="N100" s="176">
        <f>IFERROR(__xludf.DUMMYFUNCTION("""COMPUTED_VALUE"""),3.0)</f>
        <v>3</v>
      </c>
      <c r="O100" s="176"/>
      <c r="P100" s="176"/>
      <c r="Q100" s="176"/>
      <c r="R100" s="176"/>
      <c r="S100" s="176"/>
      <c r="T100" s="176"/>
      <c r="U100" s="176"/>
      <c r="V100" s="176"/>
      <c r="W100" s="176"/>
      <c r="X100" s="176"/>
      <c r="Y100" s="176"/>
      <c r="Z100" s="176"/>
    </row>
    <row r="101">
      <c r="A101" s="249" t="s">
        <v>7</v>
      </c>
      <c r="B101" s="249" t="s">
        <v>10</v>
      </c>
      <c r="C101" s="329" t="s">
        <v>2547</v>
      </c>
      <c r="D101" s="268" t="s">
        <v>495</v>
      </c>
      <c r="E101" s="251">
        <v>44239.0</v>
      </c>
      <c r="F101" s="250" t="s">
        <v>496</v>
      </c>
      <c r="G101" s="171">
        <v>200.0</v>
      </c>
      <c r="H101" s="171">
        <v>100.0</v>
      </c>
      <c r="I101" s="171">
        <v>100.0</v>
      </c>
      <c r="J101" s="325">
        <f t="shared" si="2"/>
        <v>0.0050328163</v>
      </c>
      <c r="K101" s="326">
        <f t="shared" si="6"/>
        <v>4.110133312</v>
      </c>
      <c r="L101" s="327">
        <f t="shared" si="3"/>
        <v>17.54998212</v>
      </c>
      <c r="M101" s="321" t="str">
        <f t="shared" si="5"/>
        <v>ygganderson</v>
      </c>
      <c r="N101" s="176">
        <f>IFERROR(__xludf.DUMMYFUNCTION("""COMPUTED_VALUE"""),4.0)</f>
        <v>4</v>
      </c>
      <c r="O101" s="176"/>
      <c r="P101" s="176"/>
      <c r="Q101" s="176"/>
      <c r="R101" s="176"/>
      <c r="S101" s="176"/>
      <c r="T101" s="176"/>
      <c r="U101" s="176"/>
      <c r="V101" s="176"/>
      <c r="W101" s="176"/>
      <c r="X101" s="176"/>
      <c r="Y101" s="176"/>
      <c r="Z101" s="176"/>
    </row>
    <row r="102">
      <c r="A102" s="249" t="s">
        <v>7</v>
      </c>
      <c r="B102" s="249" t="s">
        <v>10</v>
      </c>
      <c r="C102" s="329" t="s">
        <v>2548</v>
      </c>
      <c r="D102" s="268" t="s">
        <v>495</v>
      </c>
      <c r="E102" s="251">
        <v>44239.0</v>
      </c>
      <c r="F102" s="250" t="s">
        <v>496</v>
      </c>
      <c r="G102" s="171">
        <v>100.0</v>
      </c>
      <c r="H102" s="171">
        <v>50.0</v>
      </c>
      <c r="I102" s="171">
        <v>200.0</v>
      </c>
      <c r="J102" s="325">
        <f t="shared" si="2"/>
        <v>0.004245614444</v>
      </c>
      <c r="K102" s="326">
        <f t="shared" si="6"/>
        <v>3.467251796</v>
      </c>
      <c r="L102" s="327">
        <f t="shared" si="3"/>
        <v>17.54998212</v>
      </c>
      <c r="M102" s="321" t="str">
        <f t="shared" si="5"/>
        <v>ygganderson</v>
      </c>
      <c r="N102" s="176">
        <f>IFERROR(__xludf.DUMMYFUNCTION("""COMPUTED_VALUE"""),5.0)</f>
        <v>5</v>
      </c>
      <c r="O102" s="176"/>
      <c r="P102" s="176"/>
      <c r="Q102" s="176"/>
      <c r="R102" s="176"/>
      <c r="S102" s="176"/>
      <c r="T102" s="176"/>
      <c r="U102" s="176"/>
      <c r="V102" s="176"/>
      <c r="W102" s="176"/>
      <c r="X102" s="176"/>
      <c r="Y102" s="176"/>
      <c r="Z102" s="176"/>
    </row>
    <row r="103">
      <c r="A103" s="249" t="s">
        <v>7</v>
      </c>
      <c r="B103" s="249" t="s">
        <v>10</v>
      </c>
      <c r="C103" s="329" t="s">
        <v>494</v>
      </c>
      <c r="D103" s="268" t="s">
        <v>495</v>
      </c>
      <c r="E103" s="251">
        <v>44239.0</v>
      </c>
      <c r="F103" s="250" t="s">
        <v>545</v>
      </c>
      <c r="G103" s="171">
        <v>80.0</v>
      </c>
      <c r="H103" s="171">
        <v>50.0</v>
      </c>
      <c r="I103" s="171">
        <v>100.0</v>
      </c>
      <c r="J103" s="325">
        <f t="shared" si="2"/>
        <v>0.002866268633</v>
      </c>
      <c r="K103" s="326">
        <f t="shared" si="6"/>
        <v>2.34078605</v>
      </c>
      <c r="L103" s="327">
        <f t="shared" si="3"/>
        <v>17.54998212</v>
      </c>
      <c r="M103" s="321" t="str">
        <f t="shared" si="5"/>
        <v>ygganderson</v>
      </c>
      <c r="N103" s="176">
        <f>IFERROR(__xludf.DUMMYFUNCTION("""COMPUTED_VALUE"""),6.0)</f>
        <v>6</v>
      </c>
      <c r="O103" s="176"/>
      <c r="P103" s="176"/>
      <c r="Q103" s="176"/>
      <c r="R103" s="176"/>
      <c r="S103" s="176"/>
      <c r="T103" s="176"/>
      <c r="U103" s="176"/>
      <c r="V103" s="176"/>
      <c r="W103" s="176"/>
      <c r="X103" s="176"/>
      <c r="Y103" s="176"/>
      <c r="Z103" s="176"/>
    </row>
    <row r="104">
      <c r="A104" s="249" t="s">
        <v>7</v>
      </c>
      <c r="B104" s="249" t="s">
        <v>1228</v>
      </c>
      <c r="C104" s="329" t="s">
        <v>2499</v>
      </c>
      <c r="D104" s="268" t="s">
        <v>495</v>
      </c>
      <c r="E104" s="361">
        <v>44236.0</v>
      </c>
      <c r="F104" s="250" t="s">
        <v>496</v>
      </c>
      <c r="G104" s="171">
        <v>60.0</v>
      </c>
      <c r="H104" s="171">
        <v>25.0</v>
      </c>
      <c r="I104" s="171">
        <v>60.0</v>
      </c>
      <c r="J104" s="325">
        <f t="shared" si="2"/>
        <v>0.001774956352</v>
      </c>
      <c r="K104" s="326">
        <f t="shared" si="6"/>
        <v>1.449547687</v>
      </c>
      <c r="L104" s="327">
        <f t="shared" si="3"/>
        <v>17.54998212</v>
      </c>
      <c r="M104" s="321" t="str">
        <f t="shared" si="5"/>
        <v>ygganderson</v>
      </c>
      <c r="N104" s="176">
        <f>IFERROR(__xludf.DUMMYFUNCTION("""COMPUTED_VALUE"""),7.0)</f>
        <v>7</v>
      </c>
      <c r="O104" s="176"/>
      <c r="P104" s="176"/>
      <c r="Q104" s="176"/>
      <c r="R104" s="176"/>
      <c r="S104" s="176"/>
      <c r="T104" s="176"/>
      <c r="U104" s="176"/>
      <c r="V104" s="176"/>
      <c r="W104" s="176"/>
      <c r="X104" s="176"/>
      <c r="Y104" s="176"/>
      <c r="Z104" s="176"/>
    </row>
    <row r="105">
      <c r="A105" s="249" t="s">
        <v>7</v>
      </c>
      <c r="B105" s="249" t="s">
        <v>10</v>
      </c>
      <c r="C105" s="329" t="s">
        <v>494</v>
      </c>
      <c r="D105" s="268" t="s">
        <v>495</v>
      </c>
      <c r="E105" s="361">
        <v>44232.0</v>
      </c>
      <c r="F105" s="250" t="s">
        <v>545</v>
      </c>
      <c r="G105" s="171">
        <v>60.0</v>
      </c>
      <c r="H105" s="171">
        <v>25.0</v>
      </c>
      <c r="I105" s="171">
        <v>40.0</v>
      </c>
      <c r="J105" s="325">
        <f t="shared" si="2"/>
        <v>0.001544395512</v>
      </c>
      <c r="K105" s="326">
        <f t="shared" si="6"/>
        <v>1.261256335</v>
      </c>
      <c r="L105" s="327">
        <f t="shared" si="3"/>
        <v>17.54998212</v>
      </c>
      <c r="M105" s="321" t="str">
        <f t="shared" si="5"/>
        <v>ygganderson</v>
      </c>
      <c r="N105" s="176">
        <f>IFERROR(__xludf.DUMMYFUNCTION("""COMPUTED_VALUE"""),8.0)</f>
        <v>8</v>
      </c>
      <c r="O105" s="176"/>
      <c r="P105" s="176"/>
      <c r="Q105" s="176"/>
      <c r="R105" s="176"/>
      <c r="S105" s="176"/>
      <c r="T105" s="176"/>
      <c r="U105" s="176"/>
      <c r="V105" s="176"/>
      <c r="W105" s="176"/>
      <c r="X105" s="176"/>
      <c r="Y105" s="176"/>
      <c r="Z105" s="176"/>
    </row>
    <row r="106">
      <c r="A106" s="249" t="s">
        <v>7</v>
      </c>
      <c r="B106" s="249" t="s">
        <v>10</v>
      </c>
      <c r="C106" s="329" t="s">
        <v>2497</v>
      </c>
      <c r="D106" s="268" t="s">
        <v>495</v>
      </c>
      <c r="E106" s="361">
        <v>44232.0</v>
      </c>
      <c r="F106" s="250" t="s">
        <v>496</v>
      </c>
      <c r="G106" s="171">
        <v>40.0</v>
      </c>
      <c r="H106" s="171">
        <v>25.0</v>
      </c>
      <c r="I106" s="171">
        <v>50.0</v>
      </c>
      <c r="J106" s="325">
        <f t="shared" si="2"/>
        <v>0.001433134316</v>
      </c>
      <c r="K106" s="326">
        <f t="shared" si="6"/>
        <v>1.170393025</v>
      </c>
      <c r="L106" s="327">
        <f t="shared" si="3"/>
        <v>17.54998212</v>
      </c>
      <c r="M106" s="321" t="str">
        <f t="shared" si="5"/>
        <v>ygganderson</v>
      </c>
      <c r="N106" s="176">
        <f>IFERROR(__xludf.DUMMYFUNCTION("""COMPUTED_VALUE"""),9.0)</f>
        <v>9</v>
      </c>
      <c r="O106" s="176"/>
      <c r="P106" s="176"/>
      <c r="Q106" s="176"/>
      <c r="R106" s="176"/>
      <c r="S106" s="176"/>
      <c r="T106" s="176"/>
      <c r="U106" s="176"/>
      <c r="V106" s="176"/>
      <c r="W106" s="176"/>
      <c r="X106" s="176"/>
      <c r="Y106" s="176"/>
      <c r="Z106" s="176"/>
    </row>
    <row r="107">
      <c r="A107" s="249" t="s">
        <v>7</v>
      </c>
      <c r="B107" s="249" t="s">
        <v>10</v>
      </c>
      <c r="C107" s="329" t="s">
        <v>2506</v>
      </c>
      <c r="D107" s="268" t="s">
        <v>495</v>
      </c>
      <c r="E107" s="251">
        <v>44239.0</v>
      </c>
      <c r="F107" s="250" t="s">
        <v>496</v>
      </c>
      <c r="G107" s="171">
        <v>40.0</v>
      </c>
      <c r="H107" s="171">
        <v>25.0</v>
      </c>
      <c r="I107" s="171">
        <v>50.0</v>
      </c>
      <c r="J107" s="325">
        <f t="shared" si="2"/>
        <v>0.001433134316</v>
      </c>
      <c r="K107" s="326">
        <f t="shared" si="6"/>
        <v>1.170393025</v>
      </c>
      <c r="L107" s="327">
        <f t="shared" si="3"/>
        <v>17.54998212</v>
      </c>
      <c r="M107" s="321" t="str">
        <f t="shared" si="5"/>
        <v>ygganderson</v>
      </c>
      <c r="N107" s="176">
        <f>IFERROR(__xludf.DUMMYFUNCTION("""COMPUTED_VALUE"""),10.0)</f>
        <v>10</v>
      </c>
      <c r="O107" s="176"/>
      <c r="P107" s="176"/>
      <c r="Q107" s="176"/>
      <c r="R107" s="176"/>
      <c r="S107" s="176"/>
      <c r="T107" s="176"/>
      <c r="U107" s="176"/>
      <c r="V107" s="176"/>
      <c r="W107" s="176"/>
      <c r="X107" s="176"/>
      <c r="Y107" s="176"/>
      <c r="Z107" s="176"/>
    </row>
    <row r="108">
      <c r="A108" s="249" t="s">
        <v>7</v>
      </c>
      <c r="B108" s="249" t="s">
        <v>10</v>
      </c>
      <c r="C108" s="329" t="s">
        <v>2498</v>
      </c>
      <c r="D108" s="268" t="s">
        <v>495</v>
      </c>
      <c r="E108" s="251">
        <v>44239.0</v>
      </c>
      <c r="F108" s="250" t="s">
        <v>545</v>
      </c>
      <c r="G108" s="171">
        <v>20.0</v>
      </c>
      <c r="H108" s="171">
        <v>15.0</v>
      </c>
      <c r="I108" s="171">
        <v>15.0</v>
      </c>
      <c r="J108" s="325">
        <f t="shared" si="2"/>
        <v>0.0006416516372</v>
      </c>
      <c r="K108" s="326">
        <f t="shared" si="6"/>
        <v>0.5240155037</v>
      </c>
      <c r="L108" s="327">
        <f t="shared" si="3"/>
        <v>17.54998212</v>
      </c>
      <c r="M108" s="321" t="str">
        <f t="shared" si="5"/>
        <v>ygganderson</v>
      </c>
      <c r="N108" s="176">
        <f>IFERROR(__xludf.DUMMYFUNCTION("""COMPUTED_VALUE"""),11.0)</f>
        <v>11</v>
      </c>
      <c r="O108" s="176"/>
      <c r="P108" s="176"/>
      <c r="Q108" s="176"/>
      <c r="R108" s="176"/>
      <c r="S108" s="176"/>
      <c r="T108" s="176"/>
      <c r="U108" s="176"/>
      <c r="V108" s="176"/>
      <c r="W108" s="176"/>
      <c r="X108" s="176"/>
      <c r="Y108" s="176"/>
      <c r="Z108" s="176"/>
    </row>
    <row r="109">
      <c r="A109" s="249" t="s">
        <v>7</v>
      </c>
      <c r="B109" s="249" t="s">
        <v>10</v>
      </c>
      <c r="C109" s="329" t="s">
        <v>2498</v>
      </c>
      <c r="D109" s="268" t="s">
        <v>495</v>
      </c>
      <c r="E109" s="361">
        <v>44232.0</v>
      </c>
      <c r="F109" s="250" t="s">
        <v>545</v>
      </c>
      <c r="G109" s="171">
        <v>20.0</v>
      </c>
      <c r="H109" s="171">
        <v>10.0</v>
      </c>
      <c r="I109" s="171">
        <v>15.0</v>
      </c>
      <c r="J109" s="325">
        <f t="shared" si="2"/>
        <v>0.0005609218398</v>
      </c>
      <c r="K109" s="326">
        <f t="shared" si="6"/>
        <v>0.4580861692</v>
      </c>
      <c r="L109" s="327">
        <f t="shared" si="3"/>
        <v>17.54998212</v>
      </c>
      <c r="M109" s="321" t="str">
        <f t="shared" si="5"/>
        <v>ygganderson</v>
      </c>
      <c r="N109" s="176">
        <f>IFERROR(__xludf.DUMMYFUNCTION("""COMPUTED_VALUE"""),12.0)</f>
        <v>12</v>
      </c>
      <c r="O109" s="176"/>
      <c r="P109" s="176"/>
      <c r="Q109" s="176"/>
      <c r="R109" s="176"/>
      <c r="S109" s="176"/>
      <c r="T109" s="176"/>
      <c r="U109" s="176"/>
      <c r="V109" s="176"/>
      <c r="W109" s="176"/>
      <c r="X109" s="176"/>
      <c r="Y109" s="176"/>
      <c r="Z109" s="176"/>
    </row>
    <row r="110">
      <c r="A110" s="249" t="s">
        <v>7</v>
      </c>
      <c r="B110" s="249" t="s">
        <v>10</v>
      </c>
      <c r="C110" s="329" t="s">
        <v>2530</v>
      </c>
      <c r="D110" s="268" t="s">
        <v>495</v>
      </c>
      <c r="E110" s="251">
        <v>44239.0</v>
      </c>
      <c r="F110" s="250" t="s">
        <v>499</v>
      </c>
      <c r="G110" s="171">
        <v>10.0</v>
      </c>
      <c r="H110" s="171">
        <v>15.0</v>
      </c>
      <c r="I110" s="171">
        <v>15.0</v>
      </c>
      <c r="J110" s="325">
        <f t="shared" si="2"/>
        <v>0.0005283808294</v>
      </c>
      <c r="K110" s="326">
        <f t="shared" si="6"/>
        <v>0.4315110107</v>
      </c>
      <c r="L110" s="327">
        <f t="shared" si="3"/>
        <v>17.54998212</v>
      </c>
      <c r="M110" s="321" t="str">
        <f t="shared" si="5"/>
        <v>ygganderson</v>
      </c>
      <c r="N110" s="176">
        <f>IFERROR(__xludf.DUMMYFUNCTION("""COMPUTED_VALUE"""),13.0)</f>
        <v>13</v>
      </c>
      <c r="O110" s="176"/>
      <c r="P110" s="176"/>
      <c r="Q110" s="176"/>
      <c r="R110" s="176"/>
      <c r="S110" s="176"/>
      <c r="T110" s="176"/>
      <c r="U110" s="176"/>
      <c r="V110" s="176"/>
      <c r="W110" s="176"/>
      <c r="X110" s="176"/>
      <c r="Y110" s="176"/>
      <c r="Z110" s="176"/>
    </row>
    <row r="111">
      <c r="A111" s="249" t="s">
        <v>7</v>
      </c>
      <c r="B111" s="249" t="s">
        <v>10</v>
      </c>
      <c r="C111" s="329" t="s">
        <v>2531</v>
      </c>
      <c r="D111" s="268" t="s">
        <v>495</v>
      </c>
      <c r="E111" s="361">
        <v>44232.0</v>
      </c>
      <c r="F111" s="250" t="s">
        <v>499</v>
      </c>
      <c r="G111" s="171">
        <v>10.0</v>
      </c>
      <c r="H111" s="171">
        <v>10.0</v>
      </c>
      <c r="I111" s="171">
        <v>15.0</v>
      </c>
      <c r="J111" s="325">
        <f t="shared" si="2"/>
        <v>0.000447651032</v>
      </c>
      <c r="K111" s="326">
        <f t="shared" si="6"/>
        <v>0.3655816761</v>
      </c>
      <c r="L111" s="327">
        <f t="shared" si="3"/>
        <v>17.54998212</v>
      </c>
      <c r="M111" s="321" t="str">
        <f t="shared" si="5"/>
        <v>ygganderson</v>
      </c>
      <c r="N111" s="176">
        <f>IFERROR(__xludf.DUMMYFUNCTION("""COMPUTED_VALUE"""),14.0)</f>
        <v>14</v>
      </c>
      <c r="O111" s="176"/>
      <c r="P111" s="176"/>
      <c r="Q111" s="176"/>
      <c r="R111" s="176"/>
      <c r="S111" s="176"/>
      <c r="T111" s="176"/>
      <c r="U111" s="176"/>
      <c r="V111" s="176"/>
      <c r="W111" s="176"/>
      <c r="X111" s="176"/>
      <c r="Y111" s="176"/>
      <c r="Z111" s="176"/>
    </row>
    <row r="112">
      <c r="A112" s="253" t="s">
        <v>7</v>
      </c>
      <c r="B112" s="240" t="s">
        <v>534</v>
      </c>
      <c r="C112" s="221" t="s">
        <v>2549</v>
      </c>
      <c r="D112" s="336"/>
      <c r="E112" s="340"/>
      <c r="F112" s="221"/>
      <c r="G112" s="222"/>
      <c r="H112" s="222"/>
      <c r="I112" s="222"/>
      <c r="J112" s="325">
        <f t="shared" si="2"/>
        <v>0</v>
      </c>
      <c r="K112" s="337">
        <f>35.099*-0.5</f>
        <v>-17.5495</v>
      </c>
      <c r="L112" s="341">
        <f t="shared" si="3"/>
        <v>17.54998212</v>
      </c>
      <c r="M112" s="342" t="str">
        <f t="shared" si="5"/>
        <v>ygganderson</v>
      </c>
      <c r="N112" s="209">
        <f>IFERROR(__xludf.DUMMYFUNCTION("""COMPUTED_VALUE"""),15.0)</f>
        <v>15</v>
      </c>
      <c r="O112" s="209"/>
      <c r="P112" s="209"/>
      <c r="Q112" s="209"/>
      <c r="R112" s="209"/>
      <c r="S112" s="209"/>
      <c r="T112" s="209"/>
      <c r="U112" s="209"/>
      <c r="V112" s="209"/>
      <c r="W112" s="209"/>
      <c r="X112" s="209"/>
      <c r="Y112" s="209"/>
      <c r="Z112" s="209"/>
    </row>
    <row r="113">
      <c r="A113" s="249" t="s">
        <v>26</v>
      </c>
      <c r="B113" s="249" t="s">
        <v>10</v>
      </c>
      <c r="C113" s="329" t="s">
        <v>2550</v>
      </c>
      <c r="D113" s="268" t="s">
        <v>495</v>
      </c>
      <c r="E113" s="361">
        <v>44232.0</v>
      </c>
      <c r="F113" s="250" t="s">
        <v>496</v>
      </c>
      <c r="G113" s="171">
        <v>150.0</v>
      </c>
      <c r="H113" s="171">
        <v>150.0</v>
      </c>
      <c r="I113" s="171">
        <v>80.0</v>
      </c>
      <c r="J113" s="325">
        <f t="shared" si="2"/>
        <v>0.005043199396</v>
      </c>
      <c r="K113" s="326">
        <f t="shared" ref="K113:K153" si="7">J113*$J$1</f>
        <v>4.11861284</v>
      </c>
      <c r="L113" s="327">
        <f t="shared" si="3"/>
        <v>16.94703456</v>
      </c>
      <c r="M113" s="321" t="str">
        <f t="shared" si="5"/>
        <v>sgonzt</v>
      </c>
      <c r="N113" s="176">
        <f>IFERROR(__xludf.DUMMYFUNCTION("""COMPUTED_VALUE"""),1.0)</f>
        <v>1</v>
      </c>
      <c r="O113" s="176"/>
      <c r="P113" s="176"/>
      <c r="Q113" s="176"/>
      <c r="R113" s="176"/>
      <c r="S113" s="176"/>
      <c r="T113" s="176"/>
      <c r="U113" s="176"/>
      <c r="V113" s="176"/>
      <c r="W113" s="176"/>
      <c r="X113" s="176"/>
      <c r="Y113" s="176"/>
      <c r="Z113" s="176"/>
    </row>
    <row r="114">
      <c r="A114" s="249" t="s">
        <v>26</v>
      </c>
      <c r="B114" s="249" t="s">
        <v>925</v>
      </c>
      <c r="C114" s="329" t="s">
        <v>2551</v>
      </c>
      <c r="D114" s="268" t="s">
        <v>495</v>
      </c>
      <c r="E114" s="361">
        <v>44231.0</v>
      </c>
      <c r="F114" s="250" t="s">
        <v>496</v>
      </c>
      <c r="G114" s="171">
        <v>90.0</v>
      </c>
      <c r="H114" s="171">
        <v>150.0</v>
      </c>
      <c r="I114" s="171">
        <v>100.0</v>
      </c>
      <c r="J114" s="325">
        <f t="shared" si="2"/>
        <v>0.004594135388</v>
      </c>
      <c r="K114" s="326">
        <f t="shared" si="7"/>
        <v>3.751877233</v>
      </c>
      <c r="L114" s="327">
        <f t="shared" si="3"/>
        <v>16.94703456</v>
      </c>
      <c r="M114" s="321" t="str">
        <f t="shared" si="5"/>
        <v>sgonzt</v>
      </c>
      <c r="N114" s="176">
        <f>IFERROR(__xludf.DUMMYFUNCTION("""COMPUTED_VALUE"""),2.0)</f>
        <v>2</v>
      </c>
      <c r="O114" s="176"/>
      <c r="P114" s="176"/>
      <c r="Q114" s="176"/>
      <c r="R114" s="176"/>
      <c r="S114" s="176"/>
      <c r="T114" s="176"/>
      <c r="U114" s="176"/>
      <c r="V114" s="176"/>
      <c r="W114" s="176"/>
      <c r="X114" s="176"/>
      <c r="Y114" s="176"/>
      <c r="Z114" s="176"/>
    </row>
    <row r="115">
      <c r="A115" s="249" t="s">
        <v>26</v>
      </c>
      <c r="B115" s="249" t="s">
        <v>10</v>
      </c>
      <c r="C115" s="329" t="s">
        <v>2552</v>
      </c>
      <c r="D115" s="268" t="s">
        <v>495</v>
      </c>
      <c r="E115" s="361">
        <v>44232.0</v>
      </c>
      <c r="F115" s="250" t="s">
        <v>496</v>
      </c>
      <c r="G115" s="171">
        <v>90.0</v>
      </c>
      <c r="H115" s="171">
        <v>100.0</v>
      </c>
      <c r="I115" s="171">
        <v>100.0</v>
      </c>
      <c r="J115" s="325">
        <f t="shared" si="2"/>
        <v>0.003786837414</v>
      </c>
      <c r="K115" s="326">
        <f t="shared" si="7"/>
        <v>3.092583888</v>
      </c>
      <c r="L115" s="327">
        <f t="shared" si="3"/>
        <v>16.94703456</v>
      </c>
      <c r="M115" s="321" t="str">
        <f t="shared" si="5"/>
        <v>sgonzt</v>
      </c>
      <c r="N115" s="176">
        <f>IFERROR(__xludf.DUMMYFUNCTION("""COMPUTED_VALUE"""),3.0)</f>
        <v>3</v>
      </c>
      <c r="O115" s="176"/>
      <c r="P115" s="176"/>
      <c r="Q115" s="176"/>
      <c r="R115" s="176"/>
      <c r="S115" s="176"/>
      <c r="T115" s="176"/>
      <c r="U115" s="176"/>
      <c r="V115" s="176"/>
      <c r="W115" s="176"/>
      <c r="X115" s="176"/>
      <c r="Y115" s="176"/>
      <c r="Z115" s="176"/>
    </row>
    <row r="116">
      <c r="A116" s="249" t="s">
        <v>26</v>
      </c>
      <c r="B116" s="249" t="s">
        <v>10</v>
      </c>
      <c r="C116" s="329" t="s">
        <v>2553</v>
      </c>
      <c r="D116" s="268" t="s">
        <v>495</v>
      </c>
      <c r="E116" s="251">
        <v>44239.0</v>
      </c>
      <c r="F116" s="250" t="s">
        <v>496</v>
      </c>
      <c r="G116" s="171">
        <v>100.0</v>
      </c>
      <c r="H116" s="171">
        <v>100.0</v>
      </c>
      <c r="I116" s="171">
        <v>70.0</v>
      </c>
      <c r="J116" s="325">
        <f t="shared" si="2"/>
        <v>0.003554266963</v>
      </c>
      <c r="K116" s="326">
        <f t="shared" si="7"/>
        <v>2.902651353</v>
      </c>
      <c r="L116" s="327">
        <f t="shared" si="3"/>
        <v>16.94703456</v>
      </c>
      <c r="M116" s="321" t="str">
        <f t="shared" si="5"/>
        <v>sgonzt</v>
      </c>
      <c r="N116" s="176">
        <f>IFERROR(__xludf.DUMMYFUNCTION("""COMPUTED_VALUE"""),4.0)</f>
        <v>4</v>
      </c>
      <c r="O116" s="176"/>
      <c r="P116" s="176"/>
      <c r="Q116" s="176"/>
      <c r="R116" s="176"/>
      <c r="S116" s="176"/>
      <c r="T116" s="176"/>
      <c r="U116" s="176"/>
      <c r="V116" s="176"/>
      <c r="W116" s="176"/>
      <c r="X116" s="176"/>
      <c r="Y116" s="176"/>
      <c r="Z116" s="176"/>
    </row>
    <row r="117">
      <c r="A117" s="249" t="s">
        <v>26</v>
      </c>
      <c r="B117" s="249" t="s">
        <v>519</v>
      </c>
      <c r="C117" s="329" t="s">
        <v>2329</v>
      </c>
      <c r="D117" s="268" t="s">
        <v>495</v>
      </c>
      <c r="E117" s="361">
        <v>44230.0</v>
      </c>
      <c r="F117" s="250" t="s">
        <v>521</v>
      </c>
      <c r="G117" s="171">
        <v>40.0</v>
      </c>
      <c r="H117" s="171">
        <v>25.0</v>
      </c>
      <c r="I117" s="171">
        <v>80.0</v>
      </c>
      <c r="J117" s="325">
        <f t="shared" si="2"/>
        <v>0.001778975575</v>
      </c>
      <c r="K117" s="326">
        <f t="shared" si="7"/>
        <v>1.452830053</v>
      </c>
      <c r="L117" s="327">
        <f t="shared" si="3"/>
        <v>16.94703456</v>
      </c>
      <c r="M117" s="321" t="str">
        <f t="shared" si="5"/>
        <v>sgonzt</v>
      </c>
      <c r="N117" s="176">
        <f>IFERROR(__xludf.DUMMYFUNCTION("""COMPUTED_VALUE"""),5.0)</f>
        <v>5</v>
      </c>
      <c r="O117" s="176"/>
      <c r="P117" s="176"/>
      <c r="Q117" s="176"/>
      <c r="R117" s="176"/>
      <c r="S117" s="176"/>
      <c r="T117" s="176"/>
      <c r="U117" s="176"/>
      <c r="V117" s="176"/>
      <c r="W117" s="176"/>
      <c r="X117" s="176"/>
      <c r="Y117" s="176"/>
      <c r="Z117" s="176"/>
    </row>
    <row r="118">
      <c r="A118" s="249" t="s">
        <v>26</v>
      </c>
      <c r="B118" s="249" t="s">
        <v>10</v>
      </c>
      <c r="C118" s="329" t="s">
        <v>2497</v>
      </c>
      <c r="D118" s="268" t="s">
        <v>495</v>
      </c>
      <c r="E118" s="361">
        <v>44232.0</v>
      </c>
      <c r="F118" s="250" t="s">
        <v>496</v>
      </c>
      <c r="G118" s="171">
        <v>40.0</v>
      </c>
      <c r="H118" s="171">
        <v>25.0</v>
      </c>
      <c r="I118" s="171">
        <v>50.0</v>
      </c>
      <c r="J118" s="325">
        <f t="shared" si="2"/>
        <v>0.001433134316</v>
      </c>
      <c r="K118" s="326">
        <f t="shared" si="7"/>
        <v>1.170393025</v>
      </c>
      <c r="L118" s="327">
        <f t="shared" si="3"/>
        <v>16.94703456</v>
      </c>
      <c r="M118" s="321" t="str">
        <f t="shared" si="5"/>
        <v>sgonzt</v>
      </c>
      <c r="N118" s="176">
        <f>IFERROR(__xludf.DUMMYFUNCTION("""COMPUTED_VALUE"""),6.0)</f>
        <v>6</v>
      </c>
      <c r="O118" s="176"/>
      <c r="P118" s="176"/>
      <c r="Q118" s="176"/>
      <c r="R118" s="176"/>
      <c r="S118" s="176"/>
      <c r="T118" s="176"/>
      <c r="U118" s="176"/>
      <c r="V118" s="176"/>
      <c r="W118" s="176"/>
      <c r="X118" s="176"/>
      <c r="Y118" s="176"/>
      <c r="Z118" s="176"/>
    </row>
    <row r="119">
      <c r="A119" s="249" t="s">
        <v>26</v>
      </c>
      <c r="B119" s="249" t="s">
        <v>10</v>
      </c>
      <c r="C119" s="329" t="s">
        <v>2498</v>
      </c>
      <c r="D119" s="268" t="s">
        <v>495</v>
      </c>
      <c r="E119" s="361">
        <v>44232.0</v>
      </c>
      <c r="F119" s="250" t="s">
        <v>545</v>
      </c>
      <c r="G119" s="171">
        <v>20.0</v>
      </c>
      <c r="H119" s="171">
        <v>10.0</v>
      </c>
      <c r="I119" s="171">
        <v>15.0</v>
      </c>
      <c r="J119" s="325">
        <f t="shared" si="2"/>
        <v>0.0005609218398</v>
      </c>
      <c r="K119" s="326">
        <f t="shared" si="7"/>
        <v>0.4580861692</v>
      </c>
      <c r="L119" s="327">
        <f t="shared" si="3"/>
        <v>16.94703456</v>
      </c>
      <c r="M119" s="321" t="str">
        <f t="shared" si="5"/>
        <v>sgonzt</v>
      </c>
      <c r="N119" s="176">
        <f>IFERROR(__xludf.DUMMYFUNCTION("""COMPUTED_VALUE"""),7.0)</f>
        <v>7</v>
      </c>
      <c r="O119" s="176"/>
      <c r="P119" s="176"/>
      <c r="Q119" s="176"/>
      <c r="R119" s="176"/>
      <c r="S119" s="176"/>
      <c r="T119" s="176"/>
      <c r="U119" s="176"/>
      <c r="V119" s="176"/>
      <c r="W119" s="176"/>
      <c r="X119" s="176"/>
      <c r="Y119" s="176"/>
      <c r="Z119" s="176"/>
    </row>
    <row r="120">
      <c r="A120" s="249" t="s">
        <v>11</v>
      </c>
      <c r="B120" s="249" t="s">
        <v>10</v>
      </c>
      <c r="C120" s="329" t="s">
        <v>2554</v>
      </c>
      <c r="D120" s="268" t="s">
        <v>495</v>
      </c>
      <c r="E120" s="251">
        <v>44239.0</v>
      </c>
      <c r="F120" s="250" t="s">
        <v>496</v>
      </c>
      <c r="G120" s="171">
        <v>220.0</v>
      </c>
      <c r="H120" s="171">
        <v>100.0</v>
      </c>
      <c r="I120" s="171">
        <v>200.0</v>
      </c>
      <c r="J120" s="325">
        <f t="shared" si="2"/>
        <v>0.006412162112</v>
      </c>
      <c r="K120" s="326">
        <f t="shared" si="7"/>
        <v>5.236599058</v>
      </c>
      <c r="L120" s="327">
        <f t="shared" si="3"/>
        <v>16.62078971</v>
      </c>
      <c r="M120" s="321" t="str">
        <f t="shared" si="5"/>
        <v>mateodaza</v>
      </c>
      <c r="N120" s="176">
        <f>IFERROR(__xludf.DUMMYFUNCTION("""COMPUTED_VALUE"""),1.0)</f>
        <v>1</v>
      </c>
      <c r="O120" s="176"/>
      <c r="P120" s="176"/>
      <c r="Q120" s="176"/>
      <c r="R120" s="176"/>
      <c r="S120" s="176"/>
      <c r="T120" s="176"/>
      <c r="U120" s="176"/>
      <c r="V120" s="176"/>
      <c r="W120" s="176"/>
      <c r="X120" s="176"/>
      <c r="Y120" s="176"/>
      <c r="Z120" s="176"/>
    </row>
    <row r="121">
      <c r="A121" s="249" t="s">
        <v>11</v>
      </c>
      <c r="B121" s="249" t="s">
        <v>10</v>
      </c>
      <c r="C121" s="329" t="s">
        <v>2555</v>
      </c>
      <c r="D121" s="268" t="s">
        <v>495</v>
      </c>
      <c r="E121" s="361">
        <v>44232.0</v>
      </c>
      <c r="F121" s="250" t="s">
        <v>496</v>
      </c>
      <c r="G121" s="171">
        <v>150.0</v>
      </c>
      <c r="H121" s="171">
        <v>100.0</v>
      </c>
      <c r="I121" s="171">
        <v>100.0</v>
      </c>
      <c r="J121" s="325">
        <f t="shared" si="2"/>
        <v>0.004466462261</v>
      </c>
      <c r="K121" s="326">
        <f t="shared" si="7"/>
        <v>3.647610847</v>
      </c>
      <c r="L121" s="327">
        <f t="shared" si="3"/>
        <v>16.62078971</v>
      </c>
      <c r="M121" s="321" t="str">
        <f t="shared" si="5"/>
        <v>mateodaza</v>
      </c>
      <c r="N121" s="176">
        <f>IFERROR(__xludf.DUMMYFUNCTION("""COMPUTED_VALUE"""),2.0)</f>
        <v>2</v>
      </c>
      <c r="O121" s="176"/>
      <c r="P121" s="176"/>
      <c r="Q121" s="176"/>
      <c r="R121" s="176"/>
      <c r="S121" s="176"/>
      <c r="T121" s="176"/>
      <c r="U121" s="176"/>
      <c r="V121" s="176"/>
      <c r="W121" s="176"/>
      <c r="X121" s="176"/>
      <c r="Y121" s="176"/>
      <c r="Z121" s="176"/>
    </row>
    <row r="122">
      <c r="A122" s="249" t="s">
        <v>11</v>
      </c>
      <c r="B122" s="249" t="s">
        <v>29</v>
      </c>
      <c r="C122" s="329" t="s">
        <v>2556</v>
      </c>
      <c r="D122" s="268" t="s">
        <v>495</v>
      </c>
      <c r="E122" s="361">
        <v>44228.0</v>
      </c>
      <c r="F122" s="250" t="s">
        <v>592</v>
      </c>
      <c r="G122" s="171">
        <v>120.0</v>
      </c>
      <c r="H122" s="171">
        <v>100.0</v>
      </c>
      <c r="I122" s="171">
        <v>100.0</v>
      </c>
      <c r="J122" s="325">
        <f t="shared" si="2"/>
        <v>0.004126649838</v>
      </c>
      <c r="K122" s="326">
        <f t="shared" si="7"/>
        <v>3.370097367</v>
      </c>
      <c r="L122" s="327">
        <f t="shared" si="3"/>
        <v>16.62078971</v>
      </c>
      <c r="M122" s="321" t="str">
        <f t="shared" si="5"/>
        <v>mateodaza</v>
      </c>
      <c r="N122" s="176">
        <f>IFERROR(__xludf.DUMMYFUNCTION("""COMPUTED_VALUE"""),3.0)</f>
        <v>3</v>
      </c>
      <c r="O122" s="176"/>
      <c r="P122" s="176"/>
      <c r="Q122" s="176"/>
      <c r="R122" s="176"/>
      <c r="S122" s="176"/>
      <c r="T122" s="176"/>
      <c r="U122" s="176"/>
      <c r="V122" s="176"/>
      <c r="W122" s="176"/>
      <c r="X122" s="176"/>
      <c r="Y122" s="176"/>
      <c r="Z122" s="176"/>
    </row>
    <row r="123">
      <c r="A123" s="249" t="s">
        <v>11</v>
      </c>
      <c r="B123" s="249" t="s">
        <v>18</v>
      </c>
      <c r="C123" s="329" t="s">
        <v>2502</v>
      </c>
      <c r="D123" s="268" t="s">
        <v>495</v>
      </c>
      <c r="E123" s="361">
        <v>44236.0</v>
      </c>
      <c r="F123" s="250" t="s">
        <v>496</v>
      </c>
      <c r="G123" s="171">
        <v>40.0</v>
      </c>
      <c r="H123" s="171">
        <v>50.0</v>
      </c>
      <c r="I123" s="171">
        <v>60.0</v>
      </c>
      <c r="J123" s="325">
        <f t="shared" si="2"/>
        <v>0.001952063723</v>
      </c>
      <c r="K123" s="326">
        <f t="shared" si="7"/>
        <v>1.594185374</v>
      </c>
      <c r="L123" s="327">
        <f t="shared" si="3"/>
        <v>16.62078971</v>
      </c>
      <c r="M123" s="321" t="str">
        <f t="shared" si="5"/>
        <v>mateodaza</v>
      </c>
      <c r="N123" s="176">
        <f>IFERROR(__xludf.DUMMYFUNCTION("""COMPUTED_VALUE"""),4.0)</f>
        <v>4</v>
      </c>
      <c r="O123" s="176"/>
      <c r="P123" s="176"/>
      <c r="Q123" s="176"/>
      <c r="R123" s="176"/>
      <c r="S123" s="176"/>
      <c r="T123" s="176"/>
      <c r="U123" s="176"/>
      <c r="V123" s="176"/>
      <c r="W123" s="176"/>
      <c r="X123" s="176"/>
      <c r="Y123" s="176"/>
      <c r="Z123" s="176"/>
    </row>
    <row r="124">
      <c r="A124" s="249" t="s">
        <v>11</v>
      </c>
      <c r="B124" s="249" t="s">
        <v>10</v>
      </c>
      <c r="C124" s="329" t="s">
        <v>2497</v>
      </c>
      <c r="D124" s="268" t="s">
        <v>495</v>
      </c>
      <c r="E124" s="361">
        <v>44232.0</v>
      </c>
      <c r="F124" s="250" t="s">
        <v>496</v>
      </c>
      <c r="G124" s="171">
        <v>40.0</v>
      </c>
      <c r="H124" s="171">
        <v>25.0</v>
      </c>
      <c r="I124" s="171">
        <v>50.0</v>
      </c>
      <c r="J124" s="325">
        <f t="shared" si="2"/>
        <v>0.001433134316</v>
      </c>
      <c r="K124" s="326">
        <f t="shared" si="7"/>
        <v>1.170393025</v>
      </c>
      <c r="L124" s="327">
        <f t="shared" si="3"/>
        <v>16.62078971</v>
      </c>
      <c r="M124" s="321" t="str">
        <f t="shared" si="5"/>
        <v>mateodaza</v>
      </c>
      <c r="N124" s="176">
        <f>IFERROR(__xludf.DUMMYFUNCTION("""COMPUTED_VALUE"""),5.0)</f>
        <v>5</v>
      </c>
      <c r="O124" s="176"/>
      <c r="P124" s="176"/>
      <c r="Q124" s="176"/>
      <c r="R124" s="176"/>
      <c r="S124" s="176"/>
      <c r="T124" s="176"/>
      <c r="U124" s="176"/>
      <c r="V124" s="176"/>
      <c r="W124" s="176"/>
      <c r="X124" s="176"/>
      <c r="Y124" s="176"/>
      <c r="Z124" s="176"/>
    </row>
    <row r="125">
      <c r="A125" s="249" t="s">
        <v>11</v>
      </c>
      <c r="B125" s="249" t="s">
        <v>10</v>
      </c>
      <c r="C125" s="329" t="s">
        <v>2506</v>
      </c>
      <c r="D125" s="268" t="s">
        <v>495</v>
      </c>
      <c r="E125" s="251">
        <v>44239.0</v>
      </c>
      <c r="F125" s="250" t="s">
        <v>496</v>
      </c>
      <c r="G125" s="171">
        <v>40.0</v>
      </c>
      <c r="H125" s="171">
        <v>25.0</v>
      </c>
      <c r="I125" s="171">
        <v>50.0</v>
      </c>
      <c r="J125" s="325">
        <f t="shared" si="2"/>
        <v>0.001433134316</v>
      </c>
      <c r="K125" s="326">
        <f t="shared" si="7"/>
        <v>1.170393025</v>
      </c>
      <c r="L125" s="327">
        <f t="shared" si="3"/>
        <v>16.62078971</v>
      </c>
      <c r="M125" s="321" t="str">
        <f t="shared" si="5"/>
        <v>mateodaza</v>
      </c>
      <c r="N125" s="176">
        <f>IFERROR(__xludf.DUMMYFUNCTION("""COMPUTED_VALUE"""),6.0)</f>
        <v>6</v>
      </c>
      <c r="O125" s="176"/>
      <c r="P125" s="176"/>
      <c r="Q125" s="176"/>
      <c r="R125" s="176"/>
      <c r="S125" s="176"/>
      <c r="T125" s="176"/>
      <c r="U125" s="176"/>
      <c r="V125" s="176"/>
      <c r="W125" s="176"/>
      <c r="X125" s="176"/>
      <c r="Y125" s="176"/>
      <c r="Z125" s="176"/>
    </row>
    <row r="126">
      <c r="A126" s="249" t="s">
        <v>11</v>
      </c>
      <c r="B126" s="249" t="s">
        <v>10</v>
      </c>
      <c r="C126" s="329" t="s">
        <v>2530</v>
      </c>
      <c r="D126" s="268" t="s">
        <v>495</v>
      </c>
      <c r="E126" s="251">
        <v>44239.0</v>
      </c>
      <c r="F126" s="250" t="s">
        <v>499</v>
      </c>
      <c r="G126" s="171">
        <v>10.0</v>
      </c>
      <c r="H126" s="171">
        <v>15.0</v>
      </c>
      <c r="I126" s="171">
        <v>15.0</v>
      </c>
      <c r="J126" s="325">
        <f t="shared" si="2"/>
        <v>0.0005283808294</v>
      </c>
      <c r="K126" s="326">
        <f t="shared" si="7"/>
        <v>0.4315110107</v>
      </c>
      <c r="L126" s="327">
        <f t="shared" si="3"/>
        <v>16.62078971</v>
      </c>
      <c r="M126" s="321" t="str">
        <f t="shared" si="5"/>
        <v>mateodaza</v>
      </c>
      <c r="N126" s="176">
        <f>IFERROR(__xludf.DUMMYFUNCTION("""COMPUTED_VALUE"""),7.0)</f>
        <v>7</v>
      </c>
      <c r="O126" s="176"/>
      <c r="P126" s="176"/>
      <c r="Q126" s="176"/>
      <c r="R126" s="176"/>
      <c r="S126" s="176"/>
      <c r="T126" s="176"/>
      <c r="U126" s="176"/>
      <c r="V126" s="176"/>
      <c r="W126" s="176"/>
      <c r="X126" s="176"/>
      <c r="Y126" s="176"/>
      <c r="Z126" s="176"/>
    </row>
    <row r="127">
      <c r="A127" s="249" t="s">
        <v>18</v>
      </c>
      <c r="B127" s="249" t="s">
        <v>1228</v>
      </c>
      <c r="C127" s="329" t="s">
        <v>2557</v>
      </c>
      <c r="D127" s="268" t="s">
        <v>495</v>
      </c>
      <c r="E127" s="251">
        <v>44237.0</v>
      </c>
      <c r="F127" s="250" t="s">
        <v>496</v>
      </c>
      <c r="G127" s="171">
        <v>400.0</v>
      </c>
      <c r="H127" s="171">
        <v>200.0</v>
      </c>
      <c r="I127" s="171">
        <v>300.0</v>
      </c>
      <c r="J127" s="325">
        <f t="shared" si="2"/>
        <v>0.0112184368</v>
      </c>
      <c r="K127" s="326">
        <f t="shared" si="7"/>
        <v>9.161723384</v>
      </c>
      <c r="L127" s="327">
        <f t="shared" si="3"/>
        <v>14.43379421</v>
      </c>
      <c r="M127" s="321" t="str">
        <f t="shared" si="5"/>
        <v>liviade</v>
      </c>
      <c r="N127" s="176">
        <f>IFERROR(__xludf.DUMMYFUNCTION("""COMPUTED_VALUE"""),1.0)</f>
        <v>1</v>
      </c>
      <c r="O127" s="176"/>
      <c r="P127" s="176"/>
      <c r="Q127" s="176"/>
      <c r="R127" s="176"/>
      <c r="S127" s="176"/>
      <c r="T127" s="176"/>
      <c r="U127" s="176"/>
      <c r="V127" s="176"/>
      <c r="W127" s="176"/>
      <c r="X127" s="176"/>
      <c r="Y127" s="176"/>
      <c r="Z127" s="176"/>
    </row>
    <row r="128">
      <c r="A128" s="249" t="s">
        <v>18</v>
      </c>
      <c r="B128" s="249" t="s">
        <v>519</v>
      </c>
      <c r="C128" s="329" t="s">
        <v>2558</v>
      </c>
      <c r="D128" s="268" t="s">
        <v>495</v>
      </c>
      <c r="E128" s="251">
        <v>44238.0</v>
      </c>
      <c r="F128" s="250" t="s">
        <v>496</v>
      </c>
      <c r="G128" s="171">
        <v>300.0</v>
      </c>
      <c r="H128" s="171">
        <v>200.0</v>
      </c>
      <c r="I128" s="171">
        <v>200.0</v>
      </c>
      <c r="J128" s="325">
        <f t="shared" si="2"/>
        <v>0.008932924522</v>
      </c>
      <c r="K128" s="326">
        <f t="shared" si="7"/>
        <v>7.295221693</v>
      </c>
      <c r="L128" s="327">
        <f t="shared" si="3"/>
        <v>14.43379421</v>
      </c>
      <c r="M128" s="321" t="str">
        <f t="shared" si="5"/>
        <v>liviade</v>
      </c>
      <c r="N128" s="176">
        <f>IFERROR(__xludf.DUMMYFUNCTION("""COMPUTED_VALUE"""),2.0)</f>
        <v>2</v>
      </c>
      <c r="O128" s="176"/>
      <c r="P128" s="176"/>
      <c r="Q128" s="176"/>
      <c r="R128" s="176"/>
      <c r="S128" s="176"/>
      <c r="T128" s="176"/>
      <c r="U128" s="176"/>
      <c r="V128" s="176"/>
      <c r="W128" s="176"/>
      <c r="X128" s="176"/>
      <c r="Y128" s="176"/>
      <c r="Z128" s="176"/>
    </row>
    <row r="129">
      <c r="A129" s="249" t="s">
        <v>18</v>
      </c>
      <c r="B129" s="249" t="s">
        <v>590</v>
      </c>
      <c r="C129" s="329" t="s">
        <v>2559</v>
      </c>
      <c r="D129" s="268" t="s">
        <v>495</v>
      </c>
      <c r="E129" s="361">
        <v>44231.0</v>
      </c>
      <c r="F129" s="250" t="s">
        <v>496</v>
      </c>
      <c r="G129" s="171">
        <v>230.0</v>
      </c>
      <c r="H129" s="171">
        <v>150.0</v>
      </c>
      <c r="I129" s="171">
        <v>200.0</v>
      </c>
      <c r="J129" s="325">
        <f t="shared" si="2"/>
        <v>0.007332730894</v>
      </c>
      <c r="K129" s="326">
        <f t="shared" si="7"/>
        <v>5.988396897</v>
      </c>
      <c r="L129" s="327">
        <f t="shared" si="3"/>
        <v>14.43379421</v>
      </c>
      <c r="M129" s="321" t="str">
        <f t="shared" si="5"/>
        <v>liviade</v>
      </c>
      <c r="N129" s="176">
        <f>IFERROR(__xludf.DUMMYFUNCTION("""COMPUTED_VALUE"""),3.0)</f>
        <v>3</v>
      </c>
      <c r="O129" s="176"/>
      <c r="P129" s="176"/>
      <c r="Q129" s="176"/>
      <c r="R129" s="176"/>
      <c r="S129" s="176"/>
      <c r="T129" s="176"/>
      <c r="U129" s="176"/>
      <c r="V129" s="176"/>
      <c r="W129" s="176"/>
      <c r="X129" s="176"/>
      <c r="Y129" s="176"/>
      <c r="Z129" s="176"/>
    </row>
    <row r="130">
      <c r="A130" s="249" t="s">
        <v>18</v>
      </c>
      <c r="B130" s="249" t="s">
        <v>590</v>
      </c>
      <c r="C130" s="329" t="s">
        <v>2560</v>
      </c>
      <c r="D130" s="268" t="s">
        <v>495</v>
      </c>
      <c r="E130" s="251">
        <v>44239.0</v>
      </c>
      <c r="F130" s="250" t="s">
        <v>496</v>
      </c>
      <c r="G130" s="171">
        <v>250.0</v>
      </c>
      <c r="H130" s="171">
        <v>100.0</v>
      </c>
      <c r="I130" s="171">
        <v>200.0</v>
      </c>
      <c r="J130" s="325">
        <f t="shared" si="2"/>
        <v>0.006751974536</v>
      </c>
      <c r="K130" s="326">
        <f t="shared" si="7"/>
        <v>5.514112538</v>
      </c>
      <c r="L130" s="327">
        <f t="shared" si="3"/>
        <v>14.43379421</v>
      </c>
      <c r="M130" s="321" t="str">
        <f t="shared" si="5"/>
        <v>liviade</v>
      </c>
      <c r="N130" s="176">
        <f>IFERROR(__xludf.DUMMYFUNCTION("""COMPUTED_VALUE"""),4.0)</f>
        <v>4</v>
      </c>
      <c r="O130" s="176"/>
      <c r="P130" s="176"/>
      <c r="Q130" s="176"/>
      <c r="R130" s="176"/>
      <c r="S130" s="176"/>
      <c r="T130" s="176"/>
      <c r="U130" s="176"/>
      <c r="V130" s="176"/>
      <c r="W130" s="176"/>
      <c r="X130" s="176"/>
      <c r="Y130" s="176"/>
      <c r="Z130" s="176"/>
    </row>
    <row r="131">
      <c r="A131" s="249" t="s">
        <v>18</v>
      </c>
      <c r="B131" s="249" t="s">
        <v>867</v>
      </c>
      <c r="C131" s="329" t="s">
        <v>2561</v>
      </c>
      <c r="D131" s="268" t="s">
        <v>495</v>
      </c>
      <c r="E131" s="361">
        <v>44230.0</v>
      </c>
      <c r="F131" s="250" t="s">
        <v>496</v>
      </c>
      <c r="G131" s="171">
        <v>260.0</v>
      </c>
      <c r="H131" s="171">
        <v>150.0</v>
      </c>
      <c r="I131" s="171">
        <v>100.0</v>
      </c>
      <c r="J131" s="325">
        <f t="shared" si="2"/>
        <v>0.006519739121</v>
      </c>
      <c r="K131" s="326">
        <f t="shared" si="7"/>
        <v>5.324453616</v>
      </c>
      <c r="L131" s="327">
        <f t="shared" si="3"/>
        <v>14.43379421</v>
      </c>
      <c r="M131" s="321" t="str">
        <f t="shared" si="5"/>
        <v>liviade</v>
      </c>
      <c r="N131" s="176">
        <f>IFERROR(__xludf.DUMMYFUNCTION("""COMPUTED_VALUE"""),5.0)</f>
        <v>5</v>
      </c>
      <c r="O131" s="176"/>
      <c r="P131" s="176"/>
      <c r="Q131" s="176"/>
      <c r="R131" s="176"/>
      <c r="S131" s="176"/>
      <c r="T131" s="176"/>
      <c r="U131" s="176"/>
      <c r="V131" s="176"/>
      <c r="W131" s="176"/>
      <c r="X131" s="176"/>
      <c r="Y131" s="176"/>
      <c r="Z131" s="176"/>
    </row>
    <row r="132">
      <c r="A132" s="249" t="s">
        <v>18</v>
      </c>
      <c r="B132" s="249" t="s">
        <v>33</v>
      </c>
      <c r="C132" s="329" t="s">
        <v>2562</v>
      </c>
      <c r="D132" s="268" t="s">
        <v>495</v>
      </c>
      <c r="E132" s="251">
        <v>44237.0</v>
      </c>
      <c r="F132" s="250" t="s">
        <v>496</v>
      </c>
      <c r="G132" s="171">
        <v>200.0</v>
      </c>
      <c r="H132" s="171">
        <v>100.0</v>
      </c>
      <c r="I132" s="171">
        <v>200.0</v>
      </c>
      <c r="J132" s="325">
        <f t="shared" si="2"/>
        <v>0.006185620497</v>
      </c>
      <c r="K132" s="326">
        <f t="shared" si="7"/>
        <v>5.051590072</v>
      </c>
      <c r="L132" s="327">
        <f t="shared" si="3"/>
        <v>14.43379421</v>
      </c>
      <c r="M132" s="321" t="str">
        <f t="shared" si="5"/>
        <v>liviade</v>
      </c>
      <c r="N132" s="176">
        <f>IFERROR(__xludf.DUMMYFUNCTION("""COMPUTED_VALUE"""),6.0)</f>
        <v>6</v>
      </c>
      <c r="O132" s="176"/>
      <c r="P132" s="176"/>
      <c r="Q132" s="176"/>
      <c r="R132" s="176"/>
      <c r="S132" s="176"/>
      <c r="T132" s="176"/>
      <c r="U132" s="176"/>
      <c r="V132" s="176"/>
      <c r="W132" s="176"/>
      <c r="X132" s="176"/>
      <c r="Y132" s="176"/>
      <c r="Z132" s="176"/>
    </row>
    <row r="133">
      <c r="A133" s="249" t="s">
        <v>18</v>
      </c>
      <c r="B133" s="249" t="s">
        <v>925</v>
      </c>
      <c r="C133" s="329" t="s">
        <v>2563</v>
      </c>
      <c r="D133" s="268" t="s">
        <v>495</v>
      </c>
      <c r="E133" s="251">
        <v>44238.0</v>
      </c>
      <c r="F133" s="250" t="s">
        <v>496</v>
      </c>
      <c r="G133" s="171">
        <v>200.0</v>
      </c>
      <c r="H133" s="171">
        <v>100.0</v>
      </c>
      <c r="I133" s="171">
        <v>200.0</v>
      </c>
      <c r="J133" s="325">
        <f t="shared" si="2"/>
        <v>0.006185620497</v>
      </c>
      <c r="K133" s="326">
        <f t="shared" si="7"/>
        <v>5.051590072</v>
      </c>
      <c r="L133" s="327">
        <f t="shared" si="3"/>
        <v>14.43379421</v>
      </c>
      <c r="M133" s="321" t="str">
        <f t="shared" si="5"/>
        <v>liviade</v>
      </c>
      <c r="N133" s="176">
        <f>IFERROR(__xludf.DUMMYFUNCTION("""COMPUTED_VALUE"""),7.0)</f>
        <v>7</v>
      </c>
      <c r="O133" s="176"/>
      <c r="P133" s="176"/>
      <c r="Q133" s="176"/>
      <c r="R133" s="176"/>
      <c r="S133" s="176"/>
      <c r="T133" s="176"/>
      <c r="U133" s="176"/>
      <c r="V133" s="176"/>
      <c r="W133" s="176"/>
      <c r="X133" s="176"/>
      <c r="Y133" s="176"/>
      <c r="Z133" s="176"/>
    </row>
    <row r="134">
      <c r="A134" s="249" t="s">
        <v>18</v>
      </c>
      <c r="B134" s="249" t="s">
        <v>867</v>
      </c>
      <c r="C134" s="329" t="s">
        <v>2564</v>
      </c>
      <c r="D134" s="268" t="s">
        <v>495</v>
      </c>
      <c r="E134" s="251">
        <v>44238.0</v>
      </c>
      <c r="F134" s="250" t="s">
        <v>496</v>
      </c>
      <c r="G134" s="171">
        <v>200.0</v>
      </c>
      <c r="H134" s="171">
        <v>100.0</v>
      </c>
      <c r="I134" s="171">
        <v>200.0</v>
      </c>
      <c r="J134" s="325">
        <f t="shared" si="2"/>
        <v>0.006185620497</v>
      </c>
      <c r="K134" s="326">
        <f t="shared" si="7"/>
        <v>5.051590072</v>
      </c>
      <c r="L134" s="327">
        <f t="shared" si="3"/>
        <v>14.43379421</v>
      </c>
      <c r="M134" s="321" t="str">
        <f t="shared" si="5"/>
        <v>liviade</v>
      </c>
      <c r="N134" s="176">
        <f>IFERROR(__xludf.DUMMYFUNCTION("""COMPUTED_VALUE"""),8.0)</f>
        <v>8</v>
      </c>
      <c r="O134" s="176"/>
      <c r="P134" s="176"/>
      <c r="Q134" s="176"/>
      <c r="R134" s="176"/>
      <c r="S134" s="176"/>
      <c r="T134" s="176"/>
      <c r="U134" s="176"/>
      <c r="V134" s="176"/>
      <c r="W134" s="176"/>
      <c r="X134" s="176"/>
      <c r="Y134" s="176"/>
      <c r="Z134" s="176"/>
    </row>
    <row r="135">
      <c r="A135" s="249" t="s">
        <v>18</v>
      </c>
      <c r="B135" s="249" t="s">
        <v>10</v>
      </c>
      <c r="C135" s="329" t="s">
        <v>2565</v>
      </c>
      <c r="D135" s="268" t="s">
        <v>495</v>
      </c>
      <c r="E135" s="251">
        <v>44239.0</v>
      </c>
      <c r="F135" s="250" t="s">
        <v>496</v>
      </c>
      <c r="G135" s="171">
        <v>150.0</v>
      </c>
      <c r="H135" s="171">
        <v>100.0</v>
      </c>
      <c r="I135" s="171">
        <v>200.0</v>
      </c>
      <c r="J135" s="325">
        <f t="shared" si="2"/>
        <v>0.005619266457</v>
      </c>
      <c r="K135" s="326">
        <f t="shared" si="7"/>
        <v>4.589067607</v>
      </c>
      <c r="L135" s="327">
        <f t="shared" si="3"/>
        <v>14.43379421</v>
      </c>
      <c r="M135" s="321" t="str">
        <f t="shared" si="5"/>
        <v>liviade</v>
      </c>
      <c r="N135" s="176">
        <f>IFERROR(__xludf.DUMMYFUNCTION("""COMPUTED_VALUE"""),9.0)</f>
        <v>9</v>
      </c>
      <c r="O135" s="176"/>
      <c r="P135" s="176"/>
      <c r="Q135" s="176"/>
      <c r="R135" s="176"/>
      <c r="S135" s="176"/>
      <c r="T135" s="176"/>
      <c r="U135" s="176"/>
      <c r="V135" s="176"/>
      <c r="W135" s="176"/>
      <c r="X135" s="176"/>
      <c r="Y135" s="176"/>
      <c r="Z135" s="176"/>
    </row>
    <row r="136">
      <c r="A136" s="249" t="s">
        <v>18</v>
      </c>
      <c r="B136" s="249" t="s">
        <v>867</v>
      </c>
      <c r="C136" s="329" t="s">
        <v>2566</v>
      </c>
      <c r="D136" s="268" t="s">
        <v>495</v>
      </c>
      <c r="E136" s="361">
        <v>44236.0</v>
      </c>
      <c r="F136" s="250" t="s">
        <v>496</v>
      </c>
      <c r="G136" s="171">
        <v>200.0</v>
      </c>
      <c r="H136" s="171">
        <v>100.0</v>
      </c>
      <c r="I136" s="171">
        <v>150.0</v>
      </c>
      <c r="J136" s="325">
        <f t="shared" si="2"/>
        <v>0.005609218398</v>
      </c>
      <c r="K136" s="326">
        <f t="shared" si="7"/>
        <v>4.580861692</v>
      </c>
      <c r="L136" s="327">
        <f t="shared" si="3"/>
        <v>14.43379421</v>
      </c>
      <c r="M136" s="321" t="str">
        <f t="shared" si="5"/>
        <v>liviade</v>
      </c>
      <c r="N136" s="176">
        <f>IFERROR(__xludf.DUMMYFUNCTION("""COMPUTED_VALUE"""),10.0)</f>
        <v>10</v>
      </c>
      <c r="O136" s="176"/>
      <c r="P136" s="176"/>
      <c r="Q136" s="176"/>
      <c r="R136" s="176"/>
      <c r="S136" s="176"/>
      <c r="T136" s="176"/>
      <c r="U136" s="176"/>
      <c r="V136" s="176"/>
      <c r="W136" s="176"/>
      <c r="X136" s="176"/>
      <c r="Y136" s="176"/>
      <c r="Z136" s="176"/>
    </row>
    <row r="137">
      <c r="A137" s="249" t="s">
        <v>18</v>
      </c>
      <c r="B137" s="249" t="s">
        <v>70</v>
      </c>
      <c r="C137" s="329" t="s">
        <v>2567</v>
      </c>
      <c r="D137" s="268" t="s">
        <v>495</v>
      </c>
      <c r="E137" s="251">
        <v>44238.0</v>
      </c>
      <c r="F137" s="250" t="s">
        <v>496</v>
      </c>
      <c r="G137" s="171">
        <v>100.0</v>
      </c>
      <c r="H137" s="171">
        <v>100.0</v>
      </c>
      <c r="I137" s="171">
        <v>200.0</v>
      </c>
      <c r="J137" s="325">
        <f t="shared" si="2"/>
        <v>0.005052912418</v>
      </c>
      <c r="K137" s="326">
        <f t="shared" si="7"/>
        <v>4.126545141</v>
      </c>
      <c r="L137" s="327">
        <f t="shared" si="3"/>
        <v>14.43379421</v>
      </c>
      <c r="M137" s="321" t="str">
        <f t="shared" si="5"/>
        <v>liviade</v>
      </c>
      <c r="N137" s="176">
        <f>IFERROR(__xludf.DUMMYFUNCTION("""COMPUTED_VALUE"""),11.0)</f>
        <v>11</v>
      </c>
      <c r="O137" s="176"/>
      <c r="P137" s="176"/>
      <c r="Q137" s="176"/>
      <c r="R137" s="176"/>
      <c r="S137" s="176"/>
      <c r="T137" s="176"/>
      <c r="U137" s="176"/>
      <c r="V137" s="176"/>
      <c r="W137" s="176"/>
      <c r="X137" s="176"/>
      <c r="Y137" s="176"/>
      <c r="Z137" s="176"/>
    </row>
    <row r="138">
      <c r="A138" s="249" t="s">
        <v>18</v>
      </c>
      <c r="B138" s="249" t="s">
        <v>590</v>
      </c>
      <c r="C138" s="329" t="s">
        <v>2568</v>
      </c>
      <c r="D138" s="268" t="s">
        <v>495</v>
      </c>
      <c r="E138" s="361">
        <v>44236.0</v>
      </c>
      <c r="F138" s="250" t="s">
        <v>496</v>
      </c>
      <c r="G138" s="171">
        <v>150.0</v>
      </c>
      <c r="H138" s="171">
        <v>100.0</v>
      </c>
      <c r="I138" s="171">
        <v>150.0</v>
      </c>
      <c r="J138" s="325">
        <f t="shared" si="2"/>
        <v>0.005042864359</v>
      </c>
      <c r="K138" s="326">
        <f t="shared" si="7"/>
        <v>4.118339227</v>
      </c>
      <c r="L138" s="327">
        <f t="shared" si="3"/>
        <v>14.43379421</v>
      </c>
      <c r="M138" s="321" t="str">
        <f t="shared" si="5"/>
        <v>liviade</v>
      </c>
      <c r="N138" s="176">
        <f>IFERROR(__xludf.DUMMYFUNCTION("""COMPUTED_VALUE"""),12.0)</f>
        <v>12</v>
      </c>
      <c r="O138" s="176"/>
      <c r="P138" s="176"/>
      <c r="Q138" s="176"/>
      <c r="R138" s="176"/>
      <c r="S138" s="176"/>
      <c r="T138" s="176"/>
      <c r="U138" s="176"/>
      <c r="V138" s="176"/>
      <c r="W138" s="176"/>
      <c r="X138" s="176"/>
      <c r="Y138" s="176"/>
      <c r="Z138" s="176"/>
    </row>
    <row r="139">
      <c r="A139" s="249" t="s">
        <v>18</v>
      </c>
      <c r="B139" s="249" t="s">
        <v>10</v>
      </c>
      <c r="C139" s="329" t="s">
        <v>2569</v>
      </c>
      <c r="D139" s="268" t="s">
        <v>495</v>
      </c>
      <c r="E139" s="251">
        <v>44239.0</v>
      </c>
      <c r="F139" s="250" t="s">
        <v>496</v>
      </c>
      <c r="G139" s="171">
        <v>150.0</v>
      </c>
      <c r="H139" s="171">
        <v>100.0</v>
      </c>
      <c r="I139" s="171">
        <v>150.0</v>
      </c>
      <c r="J139" s="325">
        <f t="shared" si="2"/>
        <v>0.005042864359</v>
      </c>
      <c r="K139" s="326">
        <f t="shared" si="7"/>
        <v>4.118339227</v>
      </c>
      <c r="L139" s="327">
        <f t="shared" si="3"/>
        <v>14.43379421</v>
      </c>
      <c r="M139" s="321" t="str">
        <f t="shared" si="5"/>
        <v>liviade</v>
      </c>
      <c r="N139" s="176">
        <f>IFERROR(__xludf.DUMMYFUNCTION("""COMPUTED_VALUE"""),13.0)</f>
        <v>13</v>
      </c>
      <c r="O139" s="176"/>
      <c r="P139" s="176"/>
      <c r="Q139" s="176"/>
      <c r="R139" s="176"/>
      <c r="S139" s="176"/>
      <c r="T139" s="176"/>
      <c r="U139" s="176"/>
      <c r="V139" s="176"/>
      <c r="W139" s="176"/>
      <c r="X139" s="176"/>
      <c r="Y139" s="176"/>
      <c r="Z139" s="176"/>
    </row>
    <row r="140">
      <c r="A140" s="249" t="s">
        <v>18</v>
      </c>
      <c r="B140" s="249" t="s">
        <v>10</v>
      </c>
      <c r="C140" s="329" t="s">
        <v>2570</v>
      </c>
      <c r="D140" s="268" t="s">
        <v>495</v>
      </c>
      <c r="E140" s="361">
        <v>44232.0</v>
      </c>
      <c r="F140" s="250" t="s">
        <v>496</v>
      </c>
      <c r="G140" s="171">
        <v>160.0</v>
      </c>
      <c r="H140" s="171">
        <v>50.0</v>
      </c>
      <c r="I140" s="171">
        <v>150.0</v>
      </c>
      <c r="J140" s="325">
        <f t="shared" si="2"/>
        <v>0.004348837193</v>
      </c>
      <c r="K140" s="326">
        <f t="shared" si="7"/>
        <v>3.551550375</v>
      </c>
      <c r="L140" s="327">
        <f t="shared" si="3"/>
        <v>14.43379421</v>
      </c>
      <c r="M140" s="321" t="str">
        <f t="shared" si="5"/>
        <v>liviade</v>
      </c>
      <c r="N140" s="176">
        <f>IFERROR(__xludf.DUMMYFUNCTION("""COMPUTED_VALUE"""),14.0)</f>
        <v>14</v>
      </c>
      <c r="O140" s="176"/>
      <c r="P140" s="176"/>
      <c r="Q140" s="176"/>
      <c r="R140" s="176"/>
      <c r="S140" s="176"/>
      <c r="T140" s="176"/>
      <c r="U140" s="176"/>
      <c r="V140" s="176"/>
      <c r="W140" s="176"/>
      <c r="X140" s="176"/>
      <c r="Y140" s="176"/>
      <c r="Z140" s="176"/>
    </row>
    <row r="141">
      <c r="A141" s="249" t="s">
        <v>18</v>
      </c>
      <c r="B141" s="249" t="s">
        <v>867</v>
      </c>
      <c r="C141" s="329" t="s">
        <v>2571</v>
      </c>
      <c r="D141" s="268" t="s">
        <v>495</v>
      </c>
      <c r="E141" s="361">
        <v>44228.0</v>
      </c>
      <c r="F141" s="250" t="s">
        <v>496</v>
      </c>
      <c r="G141" s="171">
        <v>200.0</v>
      </c>
      <c r="H141" s="171">
        <v>35.0</v>
      </c>
      <c r="I141" s="171">
        <v>100.0</v>
      </c>
      <c r="J141" s="325">
        <f t="shared" si="2"/>
        <v>0.003983328935</v>
      </c>
      <c r="K141" s="326">
        <f t="shared" si="7"/>
        <v>3.253051963</v>
      </c>
      <c r="L141" s="327">
        <f t="shared" si="3"/>
        <v>14.43379421</v>
      </c>
      <c r="M141" s="321" t="str">
        <f t="shared" si="5"/>
        <v>liviade</v>
      </c>
      <c r="N141" s="176">
        <f>IFERROR(__xludf.DUMMYFUNCTION("""COMPUTED_VALUE"""),15.0)</f>
        <v>15</v>
      </c>
      <c r="O141" s="176"/>
      <c r="P141" s="176"/>
      <c r="Q141" s="176"/>
      <c r="R141" s="176"/>
      <c r="S141" s="176"/>
      <c r="T141" s="176"/>
      <c r="U141" s="176"/>
      <c r="V141" s="176"/>
      <c r="W141" s="176"/>
      <c r="X141" s="176"/>
      <c r="Y141" s="176"/>
      <c r="Z141" s="176"/>
    </row>
    <row r="142">
      <c r="A142" s="249" t="s">
        <v>18</v>
      </c>
      <c r="B142" s="249" t="s">
        <v>77</v>
      </c>
      <c r="C142" s="329" t="s">
        <v>2572</v>
      </c>
      <c r="D142" s="268" t="s">
        <v>495</v>
      </c>
      <c r="E142" s="251">
        <v>44238.0</v>
      </c>
      <c r="F142" s="250" t="s">
        <v>499</v>
      </c>
      <c r="G142" s="171">
        <v>100.0</v>
      </c>
      <c r="H142" s="171">
        <v>100.0</v>
      </c>
      <c r="I142" s="171">
        <v>100.0</v>
      </c>
      <c r="J142" s="325">
        <f t="shared" si="2"/>
        <v>0.003900108222</v>
      </c>
      <c r="K142" s="326">
        <f t="shared" si="7"/>
        <v>3.185088381</v>
      </c>
      <c r="L142" s="327">
        <f t="shared" si="3"/>
        <v>14.43379421</v>
      </c>
      <c r="M142" s="321" t="str">
        <f t="shared" si="5"/>
        <v>liviade</v>
      </c>
      <c r="N142" s="176">
        <f>IFERROR(__xludf.DUMMYFUNCTION("""COMPUTED_VALUE"""),16.0)</f>
        <v>16</v>
      </c>
      <c r="O142" s="176"/>
      <c r="P142" s="176"/>
      <c r="Q142" s="176"/>
      <c r="R142" s="176"/>
      <c r="S142" s="176"/>
      <c r="T142" s="176"/>
      <c r="U142" s="176"/>
      <c r="V142" s="176"/>
      <c r="W142" s="176"/>
      <c r="X142" s="176"/>
      <c r="Y142" s="176"/>
      <c r="Z142" s="176"/>
    </row>
    <row r="143">
      <c r="A143" s="249" t="s">
        <v>18</v>
      </c>
      <c r="B143" s="249" t="s">
        <v>867</v>
      </c>
      <c r="C143" s="329" t="s">
        <v>2509</v>
      </c>
      <c r="D143" s="268" t="s">
        <v>495</v>
      </c>
      <c r="E143" s="361">
        <v>44235.0</v>
      </c>
      <c r="F143" s="250" t="s">
        <v>496</v>
      </c>
      <c r="G143" s="171">
        <v>60.0</v>
      </c>
      <c r="H143" s="171">
        <v>80.0</v>
      </c>
      <c r="I143" s="171">
        <v>100.0</v>
      </c>
      <c r="J143" s="325">
        <f t="shared" si="2"/>
        <v>0.003124105801</v>
      </c>
      <c r="K143" s="326">
        <f t="shared" si="7"/>
        <v>2.551353071</v>
      </c>
      <c r="L143" s="327">
        <f t="shared" si="3"/>
        <v>14.43379421</v>
      </c>
      <c r="M143" s="321" t="str">
        <f t="shared" si="5"/>
        <v>liviade</v>
      </c>
      <c r="N143" s="176">
        <f>IFERROR(__xludf.DUMMYFUNCTION("""COMPUTED_VALUE"""),17.0)</f>
        <v>17</v>
      </c>
      <c r="O143" s="176"/>
      <c r="P143" s="176"/>
      <c r="Q143" s="176"/>
      <c r="R143" s="176"/>
      <c r="S143" s="176"/>
      <c r="T143" s="176"/>
      <c r="U143" s="176"/>
      <c r="V143" s="176"/>
      <c r="W143" s="176"/>
      <c r="X143" s="176"/>
      <c r="Y143" s="176"/>
      <c r="Z143" s="176"/>
    </row>
    <row r="144">
      <c r="A144" s="249" t="s">
        <v>18</v>
      </c>
      <c r="B144" s="249" t="s">
        <v>18</v>
      </c>
      <c r="C144" s="329" t="s">
        <v>2491</v>
      </c>
      <c r="D144" s="268" t="s">
        <v>495</v>
      </c>
      <c r="E144" s="361">
        <v>44228.0</v>
      </c>
      <c r="F144" s="250" t="s">
        <v>496</v>
      </c>
      <c r="G144" s="171">
        <v>120.0</v>
      </c>
      <c r="H144" s="171">
        <v>30.0</v>
      </c>
      <c r="I144" s="171">
        <v>100.0</v>
      </c>
      <c r="J144" s="325">
        <f t="shared" si="2"/>
        <v>0.002996432675</v>
      </c>
      <c r="K144" s="326">
        <f t="shared" si="7"/>
        <v>2.447086684</v>
      </c>
      <c r="L144" s="327">
        <f t="shared" si="3"/>
        <v>14.43379421</v>
      </c>
      <c r="M144" s="321" t="str">
        <f t="shared" si="5"/>
        <v>liviade</v>
      </c>
      <c r="N144" s="176">
        <f>IFERROR(__xludf.DUMMYFUNCTION("""COMPUTED_VALUE"""),18.0)</f>
        <v>18</v>
      </c>
      <c r="O144" s="176"/>
      <c r="P144" s="176"/>
      <c r="Q144" s="176"/>
      <c r="R144" s="176"/>
      <c r="S144" s="176"/>
      <c r="T144" s="176"/>
      <c r="U144" s="176"/>
      <c r="V144" s="176"/>
      <c r="W144" s="176"/>
      <c r="X144" s="176"/>
      <c r="Y144" s="176"/>
      <c r="Z144" s="176"/>
    </row>
    <row r="145">
      <c r="A145" s="249" t="s">
        <v>18</v>
      </c>
      <c r="B145" s="249" t="s">
        <v>10</v>
      </c>
      <c r="C145" s="329" t="s">
        <v>2573</v>
      </c>
      <c r="D145" s="268" t="s">
        <v>495</v>
      </c>
      <c r="E145" s="361">
        <v>44232.0</v>
      </c>
      <c r="F145" s="250" t="s">
        <v>496</v>
      </c>
      <c r="G145" s="171">
        <v>70.0</v>
      </c>
      <c r="H145" s="171">
        <v>55.0</v>
      </c>
      <c r="I145" s="171">
        <v>80.0</v>
      </c>
      <c r="J145" s="325">
        <f t="shared" si="2"/>
        <v>0.002603166783</v>
      </c>
      <c r="K145" s="326">
        <f t="shared" si="7"/>
        <v>2.125919539</v>
      </c>
      <c r="L145" s="327">
        <f t="shared" si="3"/>
        <v>14.43379421</v>
      </c>
      <c r="M145" s="321" t="str">
        <f t="shared" si="5"/>
        <v>liviade</v>
      </c>
      <c r="N145" s="176">
        <f>IFERROR(__xludf.DUMMYFUNCTION("""COMPUTED_VALUE"""),19.0)</f>
        <v>19</v>
      </c>
      <c r="O145" s="176"/>
      <c r="P145" s="176"/>
      <c r="Q145" s="176"/>
      <c r="R145" s="176"/>
      <c r="S145" s="176"/>
      <c r="T145" s="176"/>
      <c r="U145" s="176"/>
      <c r="V145" s="176"/>
      <c r="W145" s="176"/>
      <c r="X145" s="176"/>
      <c r="Y145" s="176"/>
      <c r="Z145" s="176"/>
    </row>
    <row r="146">
      <c r="A146" s="249" t="s">
        <v>18</v>
      </c>
      <c r="B146" s="249" t="s">
        <v>18</v>
      </c>
      <c r="C146" s="329" t="s">
        <v>2502</v>
      </c>
      <c r="D146" s="268" t="s">
        <v>495</v>
      </c>
      <c r="E146" s="361">
        <v>44236.0</v>
      </c>
      <c r="F146" s="250" t="s">
        <v>496</v>
      </c>
      <c r="G146" s="171">
        <v>60.0</v>
      </c>
      <c r="H146" s="171">
        <v>50.0</v>
      </c>
      <c r="I146" s="171">
        <v>60.0</v>
      </c>
      <c r="J146" s="325">
        <f t="shared" si="2"/>
        <v>0.002178605338</v>
      </c>
      <c r="K146" s="326">
        <f t="shared" si="7"/>
        <v>1.77919436</v>
      </c>
      <c r="L146" s="327">
        <f t="shared" si="3"/>
        <v>14.43379421</v>
      </c>
      <c r="M146" s="321" t="str">
        <f t="shared" si="5"/>
        <v>liviade</v>
      </c>
      <c r="N146" s="176">
        <f>IFERROR(__xludf.DUMMYFUNCTION("""COMPUTED_VALUE"""),20.0)</f>
        <v>20</v>
      </c>
      <c r="O146" s="176"/>
      <c r="P146" s="176"/>
      <c r="Q146" s="176"/>
      <c r="R146" s="176"/>
      <c r="S146" s="176"/>
      <c r="T146" s="176"/>
      <c r="U146" s="176"/>
      <c r="V146" s="176"/>
      <c r="W146" s="176"/>
      <c r="X146" s="176"/>
      <c r="Y146" s="176"/>
      <c r="Z146" s="176"/>
    </row>
    <row r="147">
      <c r="A147" s="249" t="s">
        <v>18</v>
      </c>
      <c r="B147" s="249" t="s">
        <v>1228</v>
      </c>
      <c r="C147" s="329" t="s">
        <v>2499</v>
      </c>
      <c r="D147" s="268" t="s">
        <v>495</v>
      </c>
      <c r="E147" s="361">
        <v>44236.0</v>
      </c>
      <c r="F147" s="250" t="s">
        <v>496</v>
      </c>
      <c r="G147" s="171">
        <v>60.0</v>
      </c>
      <c r="H147" s="171">
        <v>25.0</v>
      </c>
      <c r="I147" s="171">
        <v>60.0</v>
      </c>
      <c r="J147" s="325">
        <f t="shared" si="2"/>
        <v>0.001774956352</v>
      </c>
      <c r="K147" s="326">
        <f t="shared" si="7"/>
        <v>1.449547687</v>
      </c>
      <c r="L147" s="327">
        <f t="shared" si="3"/>
        <v>14.43379421</v>
      </c>
      <c r="M147" s="321" t="str">
        <f t="shared" si="5"/>
        <v>liviade</v>
      </c>
      <c r="N147" s="176">
        <f>IFERROR(__xludf.DUMMYFUNCTION("""COMPUTED_VALUE"""),21.0)</f>
        <v>21</v>
      </c>
      <c r="O147" s="176"/>
      <c r="P147" s="176"/>
      <c r="Q147" s="176"/>
      <c r="R147" s="176"/>
      <c r="S147" s="176"/>
      <c r="T147" s="176"/>
      <c r="U147" s="176"/>
      <c r="V147" s="176"/>
      <c r="W147" s="176"/>
      <c r="X147" s="176"/>
      <c r="Y147" s="176"/>
      <c r="Z147" s="176"/>
    </row>
    <row r="148">
      <c r="A148" s="249" t="s">
        <v>18</v>
      </c>
      <c r="B148" s="249" t="s">
        <v>590</v>
      </c>
      <c r="C148" s="329" t="s">
        <v>2492</v>
      </c>
      <c r="D148" s="268" t="s">
        <v>495</v>
      </c>
      <c r="E148" s="361">
        <v>44229.0</v>
      </c>
      <c r="F148" s="250" t="s">
        <v>496</v>
      </c>
      <c r="G148" s="171">
        <v>60.0</v>
      </c>
      <c r="H148" s="171">
        <v>25.0</v>
      </c>
      <c r="I148" s="171">
        <v>50.0</v>
      </c>
      <c r="J148" s="325">
        <f t="shared" si="2"/>
        <v>0.001659675932</v>
      </c>
      <c r="K148" s="326">
        <f t="shared" si="7"/>
        <v>1.355402011</v>
      </c>
      <c r="L148" s="327">
        <f t="shared" si="3"/>
        <v>14.43379421</v>
      </c>
      <c r="M148" s="321" t="str">
        <f t="shared" si="5"/>
        <v>liviade</v>
      </c>
      <c r="N148" s="176">
        <f>IFERROR(__xludf.DUMMYFUNCTION("""COMPUTED_VALUE"""),22.0)</f>
        <v>22</v>
      </c>
      <c r="O148" s="176"/>
      <c r="P148" s="176"/>
      <c r="Q148" s="176"/>
      <c r="R148" s="176"/>
      <c r="S148" s="176"/>
      <c r="T148" s="176"/>
      <c r="U148" s="176"/>
      <c r="V148" s="176"/>
      <c r="W148" s="176"/>
      <c r="X148" s="176"/>
      <c r="Y148" s="176"/>
      <c r="Z148" s="176"/>
    </row>
    <row r="149">
      <c r="A149" s="249" t="s">
        <v>18</v>
      </c>
      <c r="B149" s="249" t="s">
        <v>10</v>
      </c>
      <c r="C149" s="329" t="s">
        <v>494</v>
      </c>
      <c r="D149" s="268" t="s">
        <v>495</v>
      </c>
      <c r="E149" s="361">
        <v>44232.0</v>
      </c>
      <c r="F149" s="250" t="s">
        <v>545</v>
      </c>
      <c r="G149" s="171">
        <v>60.0</v>
      </c>
      <c r="H149" s="171">
        <v>25.0</v>
      </c>
      <c r="I149" s="171">
        <v>40.0</v>
      </c>
      <c r="J149" s="325">
        <f t="shared" si="2"/>
        <v>0.001544395512</v>
      </c>
      <c r="K149" s="326">
        <f t="shared" si="7"/>
        <v>1.261256335</v>
      </c>
      <c r="L149" s="327">
        <f t="shared" si="3"/>
        <v>14.43379421</v>
      </c>
      <c r="M149" s="321" t="str">
        <f t="shared" si="5"/>
        <v>liviade</v>
      </c>
      <c r="N149" s="176">
        <f>IFERROR(__xludf.DUMMYFUNCTION("""COMPUTED_VALUE"""),23.0)</f>
        <v>23</v>
      </c>
      <c r="O149" s="176"/>
      <c r="P149" s="176"/>
      <c r="Q149" s="176"/>
      <c r="R149" s="176"/>
      <c r="S149" s="176"/>
      <c r="T149" s="176"/>
      <c r="U149" s="176"/>
      <c r="V149" s="176"/>
      <c r="W149" s="176"/>
      <c r="X149" s="176"/>
      <c r="Y149" s="176"/>
      <c r="Z149" s="176"/>
    </row>
    <row r="150">
      <c r="A150" s="249" t="s">
        <v>18</v>
      </c>
      <c r="B150" s="249" t="s">
        <v>10</v>
      </c>
      <c r="C150" s="329" t="s">
        <v>2497</v>
      </c>
      <c r="D150" s="268" t="s">
        <v>495</v>
      </c>
      <c r="E150" s="361">
        <v>44232.0</v>
      </c>
      <c r="F150" s="250" t="s">
        <v>496</v>
      </c>
      <c r="G150" s="171">
        <v>40.0</v>
      </c>
      <c r="H150" s="171">
        <v>25.0</v>
      </c>
      <c r="I150" s="171">
        <v>50.0</v>
      </c>
      <c r="J150" s="325">
        <f t="shared" si="2"/>
        <v>0.001433134316</v>
      </c>
      <c r="K150" s="326">
        <f t="shared" si="7"/>
        <v>1.170393025</v>
      </c>
      <c r="L150" s="327">
        <f t="shared" si="3"/>
        <v>14.43379421</v>
      </c>
      <c r="M150" s="321" t="str">
        <f t="shared" si="5"/>
        <v>liviade</v>
      </c>
      <c r="N150" s="176">
        <f>IFERROR(__xludf.DUMMYFUNCTION("""COMPUTED_VALUE"""),24.0)</f>
        <v>24</v>
      </c>
      <c r="O150" s="176"/>
      <c r="P150" s="176"/>
      <c r="Q150" s="176"/>
      <c r="R150" s="176"/>
      <c r="S150" s="176"/>
      <c r="T150" s="176"/>
      <c r="U150" s="176"/>
      <c r="V150" s="176"/>
      <c r="W150" s="176"/>
      <c r="X150" s="176"/>
      <c r="Y150" s="176"/>
      <c r="Z150" s="176"/>
    </row>
    <row r="151">
      <c r="A151" s="249" t="s">
        <v>18</v>
      </c>
      <c r="B151" s="249" t="s">
        <v>590</v>
      </c>
      <c r="C151" s="329" t="s">
        <v>2500</v>
      </c>
      <c r="D151" s="268" t="s">
        <v>495</v>
      </c>
      <c r="E151" s="361">
        <v>44236.0</v>
      </c>
      <c r="F151" s="250" t="s">
        <v>496</v>
      </c>
      <c r="G151" s="171">
        <v>40.0</v>
      </c>
      <c r="H151" s="171">
        <v>25.0</v>
      </c>
      <c r="I151" s="171">
        <v>50.0</v>
      </c>
      <c r="J151" s="325">
        <f t="shared" si="2"/>
        <v>0.001433134316</v>
      </c>
      <c r="K151" s="326">
        <f t="shared" si="7"/>
        <v>1.170393025</v>
      </c>
      <c r="L151" s="327">
        <f t="shared" si="3"/>
        <v>14.43379421</v>
      </c>
      <c r="M151" s="321" t="str">
        <f t="shared" si="5"/>
        <v>liviade</v>
      </c>
      <c r="N151" s="176">
        <f>IFERROR(__xludf.DUMMYFUNCTION("""COMPUTED_VALUE"""),25.0)</f>
        <v>25</v>
      </c>
      <c r="O151" s="176"/>
      <c r="P151" s="176"/>
      <c r="Q151" s="176"/>
      <c r="R151" s="176"/>
      <c r="S151" s="176"/>
      <c r="T151" s="176"/>
      <c r="U151" s="176"/>
      <c r="V151" s="176"/>
      <c r="W151" s="176"/>
      <c r="X151" s="176"/>
      <c r="Y151" s="176"/>
      <c r="Z151" s="176"/>
    </row>
    <row r="152">
      <c r="A152" s="249" t="s">
        <v>18</v>
      </c>
      <c r="B152" s="249" t="s">
        <v>10</v>
      </c>
      <c r="C152" s="329" t="s">
        <v>2498</v>
      </c>
      <c r="D152" s="268" t="s">
        <v>495</v>
      </c>
      <c r="E152" s="251">
        <v>44239.0</v>
      </c>
      <c r="F152" s="250" t="s">
        <v>545</v>
      </c>
      <c r="G152" s="171">
        <v>20.0</v>
      </c>
      <c r="H152" s="171">
        <v>15.0</v>
      </c>
      <c r="I152" s="171">
        <v>15.0</v>
      </c>
      <c r="J152" s="325">
        <f t="shared" si="2"/>
        <v>0.0006416516372</v>
      </c>
      <c r="K152" s="326">
        <f t="shared" si="7"/>
        <v>0.5240155037</v>
      </c>
      <c r="L152" s="327">
        <f t="shared" si="3"/>
        <v>14.43379421</v>
      </c>
      <c r="M152" s="321" t="str">
        <f t="shared" si="5"/>
        <v>liviade</v>
      </c>
      <c r="N152" s="176">
        <f>IFERROR(__xludf.DUMMYFUNCTION("""COMPUTED_VALUE"""),26.0)</f>
        <v>26</v>
      </c>
      <c r="O152" s="176"/>
      <c r="P152" s="176"/>
      <c r="Q152" s="176"/>
      <c r="R152" s="176"/>
      <c r="S152" s="176"/>
      <c r="T152" s="176"/>
      <c r="U152" s="176"/>
      <c r="V152" s="176"/>
      <c r="W152" s="176"/>
      <c r="X152" s="176"/>
      <c r="Y152" s="176"/>
      <c r="Z152" s="176"/>
    </row>
    <row r="153">
      <c r="A153" s="249" t="s">
        <v>18</v>
      </c>
      <c r="B153" s="249" t="s">
        <v>10</v>
      </c>
      <c r="C153" s="329" t="s">
        <v>2530</v>
      </c>
      <c r="D153" s="268" t="s">
        <v>495</v>
      </c>
      <c r="E153" s="251">
        <v>44239.0</v>
      </c>
      <c r="F153" s="250" t="s">
        <v>499</v>
      </c>
      <c r="G153" s="171">
        <v>10.0</v>
      </c>
      <c r="H153" s="171">
        <v>15.0</v>
      </c>
      <c r="I153" s="171">
        <v>15.0</v>
      </c>
      <c r="J153" s="325">
        <f t="shared" si="2"/>
        <v>0.0005283808294</v>
      </c>
      <c r="K153" s="326">
        <f t="shared" si="7"/>
        <v>0.4315110107</v>
      </c>
      <c r="L153" s="327">
        <f t="shared" si="3"/>
        <v>14.43379421</v>
      </c>
      <c r="M153" s="321" t="str">
        <f t="shared" si="5"/>
        <v>liviade</v>
      </c>
      <c r="N153" s="176">
        <f>IFERROR(__xludf.DUMMYFUNCTION("""COMPUTED_VALUE"""),27.0)</f>
        <v>27</v>
      </c>
      <c r="O153" s="176"/>
      <c r="P153" s="176"/>
      <c r="Q153" s="176"/>
      <c r="R153" s="176"/>
      <c r="S153" s="176"/>
      <c r="T153" s="176"/>
      <c r="U153" s="176"/>
      <c r="V153" s="176"/>
      <c r="W153" s="176"/>
      <c r="X153" s="176"/>
      <c r="Y153" s="176"/>
      <c r="Z153" s="176"/>
    </row>
    <row r="154">
      <c r="A154" s="253" t="s">
        <v>18</v>
      </c>
      <c r="B154" s="240" t="s">
        <v>534</v>
      </c>
      <c r="C154" s="221" t="s">
        <v>741</v>
      </c>
      <c r="D154" s="336"/>
      <c r="E154" s="255"/>
      <c r="F154" s="254"/>
      <c r="G154" s="222"/>
      <c r="H154" s="222"/>
      <c r="I154" s="222"/>
      <c r="J154" s="325">
        <f t="shared" si="2"/>
        <v>0</v>
      </c>
      <c r="K154" s="337">
        <f>96.228*-0.85</f>
        <v>-81.7938</v>
      </c>
      <c r="L154" s="327">
        <f t="shared" si="3"/>
        <v>14.43379421</v>
      </c>
      <c r="M154" s="321" t="str">
        <f t="shared" si="5"/>
        <v>liviade</v>
      </c>
      <c r="N154" s="209">
        <f>IFERROR(__xludf.DUMMYFUNCTION("""COMPUTED_VALUE"""),28.0)</f>
        <v>28</v>
      </c>
      <c r="O154" s="209"/>
      <c r="P154" s="209"/>
      <c r="Q154" s="209"/>
      <c r="R154" s="209"/>
      <c r="S154" s="209"/>
      <c r="T154" s="209"/>
      <c r="U154" s="209"/>
      <c r="V154" s="209"/>
      <c r="W154" s="209"/>
      <c r="X154" s="209"/>
      <c r="Y154" s="176"/>
      <c r="Z154" s="176"/>
    </row>
    <row r="155">
      <c r="A155" s="249" t="s">
        <v>9</v>
      </c>
      <c r="B155" s="249" t="s">
        <v>590</v>
      </c>
      <c r="C155" s="329" t="s">
        <v>2574</v>
      </c>
      <c r="D155" s="268" t="s">
        <v>495</v>
      </c>
      <c r="E155" s="361">
        <v>44230.0</v>
      </c>
      <c r="F155" s="250" t="s">
        <v>496</v>
      </c>
      <c r="G155" s="171">
        <v>200.0</v>
      </c>
      <c r="H155" s="171">
        <v>200.0</v>
      </c>
      <c r="I155" s="171">
        <v>200.0</v>
      </c>
      <c r="J155" s="325">
        <f t="shared" si="2"/>
        <v>0.007800216444</v>
      </c>
      <c r="K155" s="326">
        <f t="shared" ref="K155:K169" si="8">J155*$J$1</f>
        <v>6.370176762</v>
      </c>
      <c r="L155" s="327">
        <f t="shared" si="3"/>
        <v>13.24701691</v>
      </c>
      <c r="M155" s="321" t="str">
        <f t="shared" si="5"/>
        <v>akrtws</v>
      </c>
      <c r="N155" s="176">
        <f>IFERROR(__xludf.DUMMYFUNCTION("""COMPUTED_VALUE"""),1.0)</f>
        <v>1</v>
      </c>
      <c r="O155" s="176"/>
      <c r="P155" s="176"/>
      <c r="Q155" s="176"/>
      <c r="R155" s="176"/>
      <c r="S155" s="176"/>
      <c r="T155" s="176"/>
      <c r="U155" s="176"/>
      <c r="V155" s="176"/>
      <c r="W155" s="176"/>
      <c r="X155" s="176"/>
      <c r="Y155" s="176"/>
      <c r="Z155" s="176"/>
    </row>
    <row r="156">
      <c r="A156" s="249" t="s">
        <v>9</v>
      </c>
      <c r="B156" s="249" t="s">
        <v>10</v>
      </c>
      <c r="C156" s="329" t="s">
        <v>2546</v>
      </c>
      <c r="D156" s="268" t="s">
        <v>495</v>
      </c>
      <c r="E156" s="361">
        <v>44232.0</v>
      </c>
      <c r="F156" s="250" t="s">
        <v>496</v>
      </c>
      <c r="G156" s="171">
        <v>150.0</v>
      </c>
      <c r="H156" s="171">
        <v>150.0</v>
      </c>
      <c r="I156" s="171">
        <v>200.0</v>
      </c>
      <c r="J156" s="325">
        <f t="shared" si="2"/>
        <v>0.006426564431</v>
      </c>
      <c r="K156" s="326">
        <f t="shared" si="8"/>
        <v>5.248360952</v>
      </c>
      <c r="L156" s="327">
        <f t="shared" si="3"/>
        <v>13.24701691</v>
      </c>
      <c r="M156" s="321" t="str">
        <f t="shared" si="5"/>
        <v>akrtws</v>
      </c>
      <c r="N156" s="176">
        <f>IFERROR(__xludf.DUMMYFUNCTION("""COMPUTED_VALUE"""),2.0)</f>
        <v>2</v>
      </c>
      <c r="O156" s="176"/>
      <c r="P156" s="176"/>
      <c r="Q156" s="176"/>
      <c r="R156" s="176"/>
      <c r="S156" s="176"/>
      <c r="T156" s="176"/>
      <c r="U156" s="176"/>
      <c r="V156" s="176"/>
      <c r="W156" s="176"/>
      <c r="X156" s="176"/>
      <c r="Y156" s="176"/>
      <c r="Z156" s="176"/>
    </row>
    <row r="157">
      <c r="A157" s="249" t="s">
        <v>9</v>
      </c>
      <c r="B157" s="249" t="s">
        <v>10</v>
      </c>
      <c r="C157" s="329" t="s">
        <v>2497</v>
      </c>
      <c r="D157" s="268" t="s">
        <v>495</v>
      </c>
      <c r="E157" s="361">
        <v>44232.0</v>
      </c>
      <c r="F157" s="250" t="s">
        <v>496</v>
      </c>
      <c r="G157" s="171">
        <v>40.0</v>
      </c>
      <c r="H157" s="171">
        <v>25.0</v>
      </c>
      <c r="I157" s="171">
        <v>50.0</v>
      </c>
      <c r="J157" s="325">
        <f t="shared" si="2"/>
        <v>0.001433134316</v>
      </c>
      <c r="K157" s="326">
        <f t="shared" si="8"/>
        <v>1.170393025</v>
      </c>
      <c r="L157" s="327">
        <f t="shared" si="3"/>
        <v>13.24701691</v>
      </c>
      <c r="M157" s="321" t="str">
        <f t="shared" si="5"/>
        <v>akrtws</v>
      </c>
      <c r="N157" s="176">
        <f>IFERROR(__xludf.DUMMYFUNCTION("""COMPUTED_VALUE"""),3.0)</f>
        <v>3</v>
      </c>
      <c r="O157" s="176"/>
      <c r="P157" s="176"/>
      <c r="Q157" s="176"/>
      <c r="R157" s="176"/>
      <c r="S157" s="176"/>
      <c r="T157" s="176"/>
      <c r="U157" s="176"/>
      <c r="V157" s="176"/>
      <c r="W157" s="176"/>
      <c r="X157" s="176"/>
      <c r="Y157" s="176"/>
      <c r="Z157" s="176"/>
    </row>
    <row r="158">
      <c r="A158" s="249" t="s">
        <v>9</v>
      </c>
      <c r="B158" s="249" t="s">
        <v>10</v>
      </c>
      <c r="C158" s="329" t="s">
        <v>2498</v>
      </c>
      <c r="D158" s="268" t="s">
        <v>495</v>
      </c>
      <c r="E158" s="361">
        <v>44232.0</v>
      </c>
      <c r="F158" s="250" t="s">
        <v>545</v>
      </c>
      <c r="G158" s="171">
        <v>20.0</v>
      </c>
      <c r="H158" s="171">
        <v>10.0</v>
      </c>
      <c r="I158" s="171">
        <v>15.0</v>
      </c>
      <c r="J158" s="325">
        <f t="shared" si="2"/>
        <v>0.0005609218398</v>
      </c>
      <c r="K158" s="326">
        <f t="shared" si="8"/>
        <v>0.4580861692</v>
      </c>
      <c r="L158" s="327">
        <f t="shared" si="3"/>
        <v>13.24701691</v>
      </c>
      <c r="M158" s="321" t="str">
        <f t="shared" si="5"/>
        <v>akrtws</v>
      </c>
      <c r="N158" s="176">
        <f>IFERROR(__xludf.DUMMYFUNCTION("""COMPUTED_VALUE"""),4.0)</f>
        <v>4</v>
      </c>
      <c r="O158" s="176"/>
      <c r="P158" s="176"/>
      <c r="Q158" s="176"/>
      <c r="R158" s="176"/>
      <c r="S158" s="176"/>
      <c r="T158" s="176"/>
      <c r="U158" s="176"/>
      <c r="V158" s="176"/>
      <c r="W158" s="176"/>
      <c r="X158" s="176"/>
      <c r="Y158" s="176"/>
      <c r="Z158" s="176"/>
    </row>
    <row r="159">
      <c r="A159" s="249" t="s">
        <v>24</v>
      </c>
      <c r="B159" s="249" t="s">
        <v>10</v>
      </c>
      <c r="C159" s="329" t="s">
        <v>2546</v>
      </c>
      <c r="D159" s="268" t="s">
        <v>495</v>
      </c>
      <c r="E159" s="361">
        <v>44232.0</v>
      </c>
      <c r="F159" s="250" t="s">
        <v>496</v>
      </c>
      <c r="G159" s="171">
        <v>130.0</v>
      </c>
      <c r="H159" s="171">
        <v>150.0</v>
      </c>
      <c r="I159" s="171">
        <v>200.0</v>
      </c>
      <c r="J159" s="325">
        <f t="shared" si="2"/>
        <v>0.006200022815</v>
      </c>
      <c r="K159" s="326">
        <f t="shared" si="8"/>
        <v>5.063351966</v>
      </c>
      <c r="L159" s="327">
        <f t="shared" si="3"/>
        <v>12.42457983</v>
      </c>
      <c r="M159" s="321" t="str">
        <f t="shared" si="5"/>
        <v>danlessa</v>
      </c>
      <c r="N159" s="176">
        <f>IFERROR(__xludf.DUMMYFUNCTION("""COMPUTED_VALUE"""),1.0)</f>
        <v>1</v>
      </c>
      <c r="O159" s="176"/>
      <c r="P159" s="176"/>
      <c r="Q159" s="176"/>
      <c r="R159" s="176"/>
      <c r="S159" s="176"/>
      <c r="T159" s="176"/>
      <c r="U159" s="176"/>
      <c r="V159" s="176"/>
      <c r="W159" s="176"/>
      <c r="X159" s="176"/>
      <c r="Y159" s="176"/>
      <c r="Z159" s="176"/>
    </row>
    <row r="160">
      <c r="A160" s="249" t="s">
        <v>24</v>
      </c>
      <c r="B160" s="249" t="s">
        <v>10</v>
      </c>
      <c r="C160" s="329" t="s">
        <v>2548</v>
      </c>
      <c r="D160" s="268" t="s">
        <v>495</v>
      </c>
      <c r="E160" s="251">
        <v>44239.0</v>
      </c>
      <c r="F160" s="250" t="s">
        <v>496</v>
      </c>
      <c r="G160" s="171">
        <v>100.0</v>
      </c>
      <c r="H160" s="171">
        <v>50.0</v>
      </c>
      <c r="I160" s="171">
        <v>200.0</v>
      </c>
      <c r="J160" s="325">
        <f t="shared" si="2"/>
        <v>0.004245614444</v>
      </c>
      <c r="K160" s="326">
        <f t="shared" si="8"/>
        <v>3.467251796</v>
      </c>
      <c r="L160" s="327">
        <f t="shared" si="3"/>
        <v>12.42457983</v>
      </c>
      <c r="M160" s="321" t="str">
        <f t="shared" si="5"/>
        <v>danlessa</v>
      </c>
      <c r="N160" s="176">
        <f>IFERROR(__xludf.DUMMYFUNCTION("""COMPUTED_VALUE"""),2.0)</f>
        <v>2</v>
      </c>
      <c r="O160" s="176"/>
      <c r="P160" s="176"/>
      <c r="Q160" s="176"/>
      <c r="R160" s="176"/>
      <c r="S160" s="176"/>
      <c r="T160" s="176"/>
      <c r="U160" s="176"/>
      <c r="V160" s="176"/>
      <c r="W160" s="176"/>
      <c r="X160" s="176"/>
      <c r="Y160" s="176"/>
      <c r="Z160" s="176"/>
    </row>
    <row r="161">
      <c r="A161" s="249" t="s">
        <v>24</v>
      </c>
      <c r="B161" s="249" t="s">
        <v>10</v>
      </c>
      <c r="C161" s="329" t="s">
        <v>2575</v>
      </c>
      <c r="D161" s="268" t="s">
        <v>495</v>
      </c>
      <c r="E161" s="361">
        <v>44232.0</v>
      </c>
      <c r="F161" s="250" t="s">
        <v>496</v>
      </c>
      <c r="G161" s="171">
        <v>100.0</v>
      </c>
      <c r="H161" s="171">
        <v>65.0</v>
      </c>
      <c r="I161" s="171">
        <v>100.0</v>
      </c>
      <c r="J161" s="325">
        <f t="shared" si="2"/>
        <v>0.00333499964</v>
      </c>
      <c r="K161" s="326">
        <f t="shared" si="8"/>
        <v>2.72358304</v>
      </c>
      <c r="L161" s="327">
        <f t="shared" si="3"/>
        <v>12.42457983</v>
      </c>
      <c r="M161" s="321" t="str">
        <f t="shared" si="5"/>
        <v>danlessa</v>
      </c>
      <c r="N161" s="176">
        <f>IFERROR(__xludf.DUMMYFUNCTION("""COMPUTED_VALUE"""),3.0)</f>
        <v>3</v>
      </c>
      <c r="O161" s="176"/>
      <c r="P161" s="176"/>
      <c r="Q161" s="176"/>
      <c r="R161" s="176"/>
      <c r="S161" s="176"/>
      <c r="T161" s="176"/>
      <c r="U161" s="176"/>
      <c r="V161" s="176"/>
      <c r="W161" s="176"/>
      <c r="X161" s="176"/>
      <c r="Y161" s="176"/>
      <c r="Z161" s="176"/>
    </row>
    <row r="162">
      <c r="A162" s="249" t="s">
        <v>24</v>
      </c>
      <c r="B162" s="249" t="s">
        <v>10</v>
      </c>
      <c r="C162" s="329" t="s">
        <v>2497</v>
      </c>
      <c r="D162" s="268" t="s">
        <v>495</v>
      </c>
      <c r="E162" s="361">
        <v>44232.0</v>
      </c>
      <c r="F162" s="250" t="s">
        <v>496</v>
      </c>
      <c r="G162" s="171">
        <v>40.0</v>
      </c>
      <c r="H162" s="171">
        <v>25.0</v>
      </c>
      <c r="I162" s="171">
        <v>50.0</v>
      </c>
      <c r="J162" s="325">
        <f t="shared" si="2"/>
        <v>0.001433134316</v>
      </c>
      <c r="K162" s="326">
        <f t="shared" si="8"/>
        <v>1.170393025</v>
      </c>
      <c r="L162" s="327">
        <f t="shared" si="3"/>
        <v>12.42457983</v>
      </c>
      <c r="M162" s="321" t="str">
        <f t="shared" si="5"/>
        <v>danlessa</v>
      </c>
      <c r="N162" s="176">
        <f>IFERROR(__xludf.DUMMYFUNCTION("""COMPUTED_VALUE"""),4.0)</f>
        <v>4</v>
      </c>
      <c r="O162" s="176"/>
      <c r="P162" s="176"/>
      <c r="Q162" s="176"/>
      <c r="R162" s="176"/>
      <c r="S162" s="176"/>
      <c r="T162" s="176"/>
      <c r="U162" s="176"/>
      <c r="V162" s="176"/>
      <c r="W162" s="176"/>
      <c r="X162" s="176"/>
      <c r="Y162" s="176"/>
      <c r="Z162" s="176"/>
    </row>
    <row r="163">
      <c r="A163" s="249" t="s">
        <v>35</v>
      </c>
      <c r="B163" s="249" t="s">
        <v>25</v>
      </c>
      <c r="C163" s="329" t="s">
        <v>2576</v>
      </c>
      <c r="D163" s="268" t="s">
        <v>495</v>
      </c>
      <c r="E163" s="361">
        <v>44229.0</v>
      </c>
      <c r="F163" s="250" t="s">
        <v>496</v>
      </c>
      <c r="G163" s="171">
        <v>250.0</v>
      </c>
      <c r="H163" s="171">
        <v>200.0</v>
      </c>
      <c r="I163" s="171">
        <v>150.0</v>
      </c>
      <c r="J163" s="325">
        <f t="shared" si="2"/>
        <v>0.007790168385</v>
      </c>
      <c r="K163" s="326">
        <f t="shared" si="8"/>
        <v>6.361970848</v>
      </c>
      <c r="L163" s="327">
        <f t="shared" si="3"/>
        <v>11.98353789</v>
      </c>
      <c r="M163" s="321" t="str">
        <f t="shared" si="5"/>
        <v>vitormarthendal</v>
      </c>
      <c r="N163" s="176">
        <f>IFERROR(__xludf.DUMMYFUNCTION("""COMPUTED_VALUE"""),1.0)</f>
        <v>1</v>
      </c>
      <c r="O163" s="176"/>
      <c r="P163" s="176"/>
      <c r="Q163" s="176"/>
      <c r="R163" s="176"/>
      <c r="S163" s="176"/>
      <c r="T163" s="176"/>
      <c r="U163" s="176"/>
      <c r="V163" s="176"/>
      <c r="W163" s="176"/>
      <c r="X163" s="176"/>
      <c r="Y163" s="176"/>
      <c r="Z163" s="176"/>
    </row>
    <row r="164">
      <c r="A164" s="249" t="s">
        <v>35</v>
      </c>
      <c r="B164" s="249" t="s">
        <v>10</v>
      </c>
      <c r="C164" s="329" t="s">
        <v>2577</v>
      </c>
      <c r="D164" s="268" t="s">
        <v>495</v>
      </c>
      <c r="E164" s="361">
        <v>44232.0</v>
      </c>
      <c r="F164" s="250" t="s">
        <v>496</v>
      </c>
      <c r="G164" s="171">
        <v>140.0</v>
      </c>
      <c r="H164" s="171">
        <v>200.0</v>
      </c>
      <c r="I164" s="171">
        <v>100.0</v>
      </c>
      <c r="J164" s="325">
        <f t="shared" si="2"/>
        <v>0.005967787401</v>
      </c>
      <c r="K164" s="326">
        <f t="shared" si="8"/>
        <v>4.873693044</v>
      </c>
      <c r="L164" s="327">
        <f t="shared" si="3"/>
        <v>11.98353789</v>
      </c>
      <c r="M164" s="321" t="str">
        <f t="shared" si="5"/>
        <v>vitormarthendal</v>
      </c>
      <c r="N164" s="176">
        <f>IFERROR(__xludf.DUMMYFUNCTION("""COMPUTED_VALUE"""),2.0)</f>
        <v>2</v>
      </c>
      <c r="O164" s="176"/>
      <c r="P164" s="176"/>
      <c r="Q164" s="176"/>
      <c r="R164" s="176"/>
      <c r="S164" s="176"/>
      <c r="T164" s="176"/>
      <c r="U164" s="176"/>
      <c r="V164" s="176"/>
      <c r="W164" s="176"/>
      <c r="X164" s="176"/>
      <c r="Y164" s="176"/>
      <c r="Z164" s="176"/>
    </row>
    <row r="165">
      <c r="A165" s="249" t="s">
        <v>35</v>
      </c>
      <c r="B165" s="249" t="s">
        <v>10</v>
      </c>
      <c r="C165" s="329" t="s">
        <v>2578</v>
      </c>
      <c r="D165" s="268" t="s">
        <v>495</v>
      </c>
      <c r="E165" s="251">
        <v>44239.0</v>
      </c>
      <c r="F165" s="250" t="s">
        <v>496</v>
      </c>
      <c r="G165" s="171">
        <v>180.0</v>
      </c>
      <c r="H165" s="171">
        <v>100.0</v>
      </c>
      <c r="I165" s="171">
        <v>150.0</v>
      </c>
      <c r="J165" s="325">
        <f t="shared" si="2"/>
        <v>0.005382676783</v>
      </c>
      <c r="K165" s="326">
        <f t="shared" si="8"/>
        <v>4.395852706</v>
      </c>
      <c r="L165" s="327">
        <f t="shared" si="3"/>
        <v>11.98353789</v>
      </c>
      <c r="M165" s="321" t="str">
        <f t="shared" si="5"/>
        <v>vitormarthendal</v>
      </c>
      <c r="N165" s="176">
        <f>IFERROR(__xludf.DUMMYFUNCTION("""COMPUTED_VALUE"""),3.0)</f>
        <v>3</v>
      </c>
      <c r="O165" s="176"/>
      <c r="P165" s="176"/>
      <c r="Q165" s="176"/>
      <c r="R165" s="176"/>
      <c r="S165" s="176"/>
      <c r="T165" s="176"/>
      <c r="U165" s="176"/>
      <c r="V165" s="176"/>
      <c r="W165" s="176"/>
      <c r="X165" s="176"/>
      <c r="Y165" s="176"/>
      <c r="Z165" s="176"/>
    </row>
    <row r="166">
      <c r="A166" s="249" t="s">
        <v>35</v>
      </c>
      <c r="B166" s="249" t="s">
        <v>10</v>
      </c>
      <c r="C166" s="329" t="s">
        <v>2550</v>
      </c>
      <c r="D166" s="268" t="s">
        <v>495</v>
      </c>
      <c r="E166" s="361">
        <v>44232.0</v>
      </c>
      <c r="F166" s="250" t="s">
        <v>496</v>
      </c>
      <c r="G166" s="171">
        <v>150.0</v>
      </c>
      <c r="H166" s="171">
        <v>150.0</v>
      </c>
      <c r="I166" s="171">
        <v>80.0</v>
      </c>
      <c r="J166" s="325">
        <f t="shared" si="2"/>
        <v>0.005043199396</v>
      </c>
      <c r="K166" s="326">
        <f t="shared" si="8"/>
        <v>4.11861284</v>
      </c>
      <c r="L166" s="327">
        <f t="shared" si="3"/>
        <v>11.98353789</v>
      </c>
      <c r="M166" s="321" t="str">
        <f t="shared" si="5"/>
        <v>vitormarthendal</v>
      </c>
      <c r="N166" s="176">
        <f>IFERROR(__xludf.DUMMYFUNCTION("""COMPUTED_VALUE"""),4.0)</f>
        <v>4</v>
      </c>
      <c r="O166" s="176"/>
      <c r="P166" s="176"/>
      <c r="Q166" s="176"/>
      <c r="R166" s="176"/>
      <c r="S166" s="176"/>
      <c r="T166" s="176"/>
      <c r="U166" s="176"/>
      <c r="V166" s="176"/>
      <c r="W166" s="176"/>
      <c r="X166" s="176"/>
      <c r="Y166" s="176"/>
      <c r="Z166" s="176"/>
    </row>
    <row r="167">
      <c r="A167" s="249" t="s">
        <v>35</v>
      </c>
      <c r="B167" s="249" t="s">
        <v>519</v>
      </c>
      <c r="C167" s="329" t="s">
        <v>2329</v>
      </c>
      <c r="D167" s="268" t="s">
        <v>495</v>
      </c>
      <c r="E167" s="251">
        <v>44237.0</v>
      </c>
      <c r="F167" s="250" t="s">
        <v>521</v>
      </c>
      <c r="G167" s="171">
        <v>40.0</v>
      </c>
      <c r="H167" s="171">
        <v>50.0</v>
      </c>
      <c r="I167" s="171">
        <v>60.0</v>
      </c>
      <c r="J167" s="325">
        <f t="shared" si="2"/>
        <v>0.001952063723</v>
      </c>
      <c r="K167" s="326">
        <f t="shared" si="8"/>
        <v>1.594185374</v>
      </c>
      <c r="L167" s="327">
        <f t="shared" si="3"/>
        <v>11.98353789</v>
      </c>
      <c r="M167" s="321" t="str">
        <f t="shared" si="5"/>
        <v>vitormarthendal</v>
      </c>
      <c r="N167" s="176">
        <f>IFERROR(__xludf.DUMMYFUNCTION("""COMPUTED_VALUE"""),5.0)</f>
        <v>5</v>
      </c>
      <c r="O167" s="176"/>
      <c r="P167" s="176"/>
      <c r="Q167" s="176"/>
      <c r="R167" s="176"/>
      <c r="S167" s="176"/>
      <c r="T167" s="176"/>
      <c r="U167" s="176"/>
      <c r="V167" s="176"/>
      <c r="W167" s="176"/>
      <c r="X167" s="176"/>
      <c r="Y167" s="176"/>
      <c r="Z167" s="176"/>
    </row>
    <row r="168">
      <c r="A168" s="249" t="s">
        <v>35</v>
      </c>
      <c r="B168" s="249" t="s">
        <v>519</v>
      </c>
      <c r="C168" s="329" t="s">
        <v>2329</v>
      </c>
      <c r="D168" s="268" t="s">
        <v>495</v>
      </c>
      <c r="E168" s="361">
        <v>44230.0</v>
      </c>
      <c r="F168" s="250" t="s">
        <v>521</v>
      </c>
      <c r="G168" s="171">
        <v>40.0</v>
      </c>
      <c r="H168" s="171">
        <v>25.0</v>
      </c>
      <c r="I168" s="171">
        <v>80.0</v>
      </c>
      <c r="J168" s="325">
        <f t="shared" si="2"/>
        <v>0.001778975575</v>
      </c>
      <c r="K168" s="326">
        <f t="shared" si="8"/>
        <v>1.452830053</v>
      </c>
      <c r="L168" s="327">
        <f t="shared" si="3"/>
        <v>11.98353789</v>
      </c>
      <c r="M168" s="321" t="str">
        <f t="shared" si="5"/>
        <v>vitormarthendal</v>
      </c>
      <c r="N168" s="176">
        <f>IFERROR(__xludf.DUMMYFUNCTION("""COMPUTED_VALUE"""),6.0)</f>
        <v>6</v>
      </c>
      <c r="O168" s="176"/>
      <c r="P168" s="176"/>
      <c r="Q168" s="176"/>
      <c r="R168" s="176"/>
      <c r="S168" s="176"/>
      <c r="T168" s="176"/>
      <c r="U168" s="176"/>
      <c r="V168" s="176"/>
      <c r="W168" s="176"/>
      <c r="X168" s="176"/>
      <c r="Y168" s="176"/>
      <c r="Z168" s="176"/>
    </row>
    <row r="169">
      <c r="A169" s="249" t="s">
        <v>35</v>
      </c>
      <c r="B169" s="249" t="s">
        <v>10</v>
      </c>
      <c r="C169" s="329" t="s">
        <v>2497</v>
      </c>
      <c r="D169" s="268" t="s">
        <v>495</v>
      </c>
      <c r="E169" s="361">
        <v>44232.0</v>
      </c>
      <c r="F169" s="250" t="s">
        <v>496</v>
      </c>
      <c r="G169" s="171">
        <v>40.0</v>
      </c>
      <c r="H169" s="171">
        <v>25.0</v>
      </c>
      <c r="I169" s="171">
        <v>50.0</v>
      </c>
      <c r="J169" s="325">
        <f t="shared" si="2"/>
        <v>0.001433134316</v>
      </c>
      <c r="K169" s="326">
        <f t="shared" si="8"/>
        <v>1.170393025</v>
      </c>
      <c r="L169" s="327">
        <f t="shared" si="3"/>
        <v>11.98353789</v>
      </c>
      <c r="M169" s="321" t="str">
        <f t="shared" si="5"/>
        <v>vitormarthendal</v>
      </c>
      <c r="N169" s="176">
        <f>IFERROR(__xludf.DUMMYFUNCTION("""COMPUTED_VALUE"""),7.0)</f>
        <v>7</v>
      </c>
      <c r="O169" s="176"/>
      <c r="P169" s="176"/>
      <c r="Q169" s="176"/>
      <c r="R169" s="176"/>
      <c r="S169" s="176"/>
      <c r="T169" s="176"/>
      <c r="U169" s="176"/>
      <c r="V169" s="176"/>
      <c r="W169" s="176"/>
      <c r="X169" s="176"/>
      <c r="Y169" s="176"/>
      <c r="Z169" s="176"/>
    </row>
    <row r="170">
      <c r="A170" s="253" t="s">
        <v>35</v>
      </c>
      <c r="B170" s="253" t="s">
        <v>534</v>
      </c>
      <c r="C170" s="347" t="s">
        <v>774</v>
      </c>
      <c r="D170" s="343"/>
      <c r="E170" s="344"/>
      <c r="F170" s="343"/>
      <c r="G170" s="253"/>
      <c r="H170" s="253"/>
      <c r="I170" s="253"/>
      <c r="J170" s="172">
        <f t="shared" si="2"/>
        <v>0</v>
      </c>
      <c r="K170" s="299">
        <f>-23.968*0.5</f>
        <v>-11.984</v>
      </c>
      <c r="L170" s="270">
        <f t="shared" si="3"/>
        <v>11.98353789</v>
      </c>
      <c r="M170" s="271" t="str">
        <f t="shared" si="5"/>
        <v>vitormarthendal</v>
      </c>
      <c r="N170" s="348">
        <f>IFERROR(__xludf.DUMMYFUNCTION("""COMPUTED_VALUE"""),8.0)</f>
        <v>8</v>
      </c>
      <c r="O170" s="343"/>
      <c r="P170" s="343"/>
      <c r="Q170" s="343"/>
      <c r="R170" s="336">
        <v>57.049855624848725</v>
      </c>
      <c r="S170" s="343"/>
      <c r="T170" s="343"/>
      <c r="U170" s="343"/>
      <c r="V170" s="343"/>
      <c r="W170" s="343"/>
      <c r="X170" s="343"/>
      <c r="Y170" s="226"/>
      <c r="Z170" s="226"/>
    </row>
    <row r="171">
      <c r="A171" s="249" t="s">
        <v>8</v>
      </c>
      <c r="B171" s="249" t="s">
        <v>925</v>
      </c>
      <c r="C171" s="329" t="s">
        <v>2579</v>
      </c>
      <c r="D171" s="268" t="s">
        <v>495</v>
      </c>
      <c r="E171" s="361">
        <v>44231.0</v>
      </c>
      <c r="F171" s="250" t="s">
        <v>496</v>
      </c>
      <c r="G171" s="171">
        <v>200.0</v>
      </c>
      <c r="H171" s="171">
        <v>100.0</v>
      </c>
      <c r="I171" s="171">
        <v>150.0</v>
      </c>
      <c r="J171" s="325">
        <f t="shared" si="2"/>
        <v>0.005609218398</v>
      </c>
      <c r="K171" s="326">
        <f t="shared" ref="K171:K202" si="9">J171*$J$1</f>
        <v>4.580861692</v>
      </c>
      <c r="L171" s="327">
        <f t="shared" si="3"/>
        <v>11.93642249</v>
      </c>
      <c r="M171" s="321" t="str">
        <f t="shared" si="5"/>
        <v>solsista</v>
      </c>
      <c r="N171" s="176">
        <f>IFERROR(__xludf.DUMMYFUNCTION("""COMPUTED_VALUE"""),1.0)</f>
        <v>1</v>
      </c>
      <c r="O171" s="176"/>
      <c r="P171" s="176"/>
      <c r="Q171" s="176"/>
      <c r="R171" s="176"/>
      <c r="S171" s="176"/>
      <c r="T171" s="176"/>
      <c r="U171" s="176"/>
      <c r="V171" s="176"/>
      <c r="W171" s="176"/>
      <c r="X171" s="176"/>
      <c r="Y171" s="176"/>
      <c r="Z171" s="176"/>
    </row>
    <row r="172">
      <c r="A172" s="249" t="s">
        <v>8</v>
      </c>
      <c r="B172" s="249" t="s">
        <v>10</v>
      </c>
      <c r="C172" s="329" t="s">
        <v>2580</v>
      </c>
      <c r="D172" s="268" t="s">
        <v>495</v>
      </c>
      <c r="E172" s="361">
        <v>44232.0</v>
      </c>
      <c r="F172" s="250" t="s">
        <v>496</v>
      </c>
      <c r="G172" s="171">
        <v>100.0</v>
      </c>
      <c r="H172" s="171">
        <v>100.0</v>
      </c>
      <c r="I172" s="171">
        <v>100.0</v>
      </c>
      <c r="J172" s="325">
        <f t="shared" si="2"/>
        <v>0.003900108222</v>
      </c>
      <c r="K172" s="326">
        <f t="shared" si="9"/>
        <v>3.185088381</v>
      </c>
      <c r="L172" s="327">
        <f t="shared" si="3"/>
        <v>11.93642249</v>
      </c>
      <c r="M172" s="321" t="str">
        <f t="shared" si="5"/>
        <v>solsista</v>
      </c>
      <c r="N172" s="176">
        <f>IFERROR(__xludf.DUMMYFUNCTION("""COMPUTED_VALUE"""),2.0)</f>
        <v>2</v>
      </c>
      <c r="O172" s="176"/>
      <c r="P172" s="176"/>
      <c r="Q172" s="176"/>
      <c r="R172" s="176"/>
      <c r="S172" s="176"/>
      <c r="T172" s="176"/>
      <c r="U172" s="176"/>
      <c r="V172" s="176"/>
      <c r="W172" s="176"/>
      <c r="X172" s="176"/>
      <c r="Y172" s="176"/>
      <c r="Z172" s="176"/>
    </row>
    <row r="173">
      <c r="A173" s="249" t="s">
        <v>8</v>
      </c>
      <c r="B173" s="249" t="s">
        <v>10</v>
      </c>
      <c r="C173" s="329" t="s">
        <v>2581</v>
      </c>
      <c r="D173" s="268" t="s">
        <v>495</v>
      </c>
      <c r="E173" s="361">
        <v>44232.0</v>
      </c>
      <c r="F173" s="250" t="s">
        <v>496</v>
      </c>
      <c r="G173" s="171">
        <v>80.0</v>
      </c>
      <c r="H173" s="171">
        <v>100.0</v>
      </c>
      <c r="I173" s="171">
        <v>100.0</v>
      </c>
      <c r="J173" s="325">
        <f t="shared" si="2"/>
        <v>0.003673566606</v>
      </c>
      <c r="K173" s="326">
        <f t="shared" si="9"/>
        <v>3.000079395</v>
      </c>
      <c r="L173" s="327">
        <f t="shared" si="3"/>
        <v>11.93642249</v>
      </c>
      <c r="M173" s="321" t="str">
        <f t="shared" si="5"/>
        <v>solsista</v>
      </c>
      <c r="N173" s="176">
        <f>IFERROR(__xludf.DUMMYFUNCTION("""COMPUTED_VALUE"""),3.0)</f>
        <v>3</v>
      </c>
      <c r="O173" s="176"/>
      <c r="P173" s="176"/>
      <c r="Q173" s="176"/>
      <c r="R173" s="176"/>
      <c r="S173" s="176"/>
      <c r="T173" s="176"/>
      <c r="U173" s="176"/>
      <c r="V173" s="176"/>
      <c r="W173" s="176"/>
      <c r="X173" s="176"/>
      <c r="Y173" s="176"/>
      <c r="Z173" s="176"/>
    </row>
    <row r="174">
      <c r="A174" s="249" t="s">
        <v>8</v>
      </c>
      <c r="B174" s="249" t="s">
        <v>10</v>
      </c>
      <c r="C174" s="329" t="s">
        <v>2497</v>
      </c>
      <c r="D174" s="268" t="s">
        <v>495</v>
      </c>
      <c r="E174" s="361">
        <v>44232.0</v>
      </c>
      <c r="F174" s="250" t="s">
        <v>496</v>
      </c>
      <c r="G174" s="171">
        <v>40.0</v>
      </c>
      <c r="H174" s="171">
        <v>25.0</v>
      </c>
      <c r="I174" s="171">
        <v>50.0</v>
      </c>
      <c r="J174" s="325">
        <f t="shared" si="2"/>
        <v>0.001433134316</v>
      </c>
      <c r="K174" s="326">
        <f t="shared" si="9"/>
        <v>1.170393025</v>
      </c>
      <c r="L174" s="327">
        <f t="shared" si="3"/>
        <v>11.93642249</v>
      </c>
      <c r="M174" s="321" t="str">
        <f t="shared" si="5"/>
        <v>solsista</v>
      </c>
      <c r="N174" s="176">
        <f>IFERROR(__xludf.DUMMYFUNCTION("""COMPUTED_VALUE"""),4.0)</f>
        <v>4</v>
      </c>
      <c r="O174" s="176"/>
      <c r="P174" s="176"/>
      <c r="Q174" s="176"/>
      <c r="R174" s="176"/>
      <c r="S174" s="176"/>
      <c r="T174" s="176"/>
      <c r="U174" s="176"/>
      <c r="V174" s="176"/>
      <c r="W174" s="176"/>
      <c r="X174" s="176"/>
      <c r="Y174" s="176"/>
      <c r="Z174" s="176"/>
    </row>
    <row r="175">
      <c r="A175" s="249" t="s">
        <v>16</v>
      </c>
      <c r="B175" s="249" t="s">
        <v>1228</v>
      </c>
      <c r="C175" s="329" t="s">
        <v>2557</v>
      </c>
      <c r="D175" s="268" t="s">
        <v>495</v>
      </c>
      <c r="E175" s="251">
        <v>44237.0</v>
      </c>
      <c r="F175" s="250" t="s">
        <v>496</v>
      </c>
      <c r="G175" s="171">
        <v>400.0</v>
      </c>
      <c r="H175" s="171">
        <v>200.0</v>
      </c>
      <c r="I175" s="171">
        <v>300.0</v>
      </c>
      <c r="J175" s="325">
        <f t="shared" si="2"/>
        <v>0.0112184368</v>
      </c>
      <c r="K175" s="326">
        <f t="shared" si="9"/>
        <v>9.161723384</v>
      </c>
      <c r="L175" s="327">
        <f t="shared" si="3"/>
        <v>9.881107706</v>
      </c>
      <c r="M175" s="321" t="str">
        <f t="shared" si="5"/>
        <v>griffgreen</v>
      </c>
      <c r="N175" s="176">
        <f>IFERROR(__xludf.DUMMYFUNCTION("""COMPUTED_VALUE"""),1.0)</f>
        <v>1</v>
      </c>
      <c r="O175" s="176"/>
      <c r="P175" s="176"/>
      <c r="Q175" s="176"/>
      <c r="R175" s="176"/>
      <c r="S175" s="176"/>
      <c r="T175" s="176"/>
      <c r="U175" s="176"/>
      <c r="V175" s="176"/>
      <c r="W175" s="176"/>
      <c r="X175" s="176"/>
      <c r="Y175" s="176"/>
      <c r="Z175" s="176"/>
    </row>
    <row r="176">
      <c r="A176" s="249" t="s">
        <v>16</v>
      </c>
      <c r="B176" s="249" t="s">
        <v>10</v>
      </c>
      <c r="C176" s="329" t="s">
        <v>2582</v>
      </c>
      <c r="D176" s="268" t="s">
        <v>495</v>
      </c>
      <c r="E176" s="361">
        <v>44232.0</v>
      </c>
      <c r="F176" s="250" t="s">
        <v>496</v>
      </c>
      <c r="G176" s="171">
        <v>300.0</v>
      </c>
      <c r="H176" s="171">
        <v>150.0</v>
      </c>
      <c r="I176" s="171">
        <v>200.0</v>
      </c>
      <c r="J176" s="325">
        <f t="shared" si="2"/>
        <v>0.008125626549</v>
      </c>
      <c r="K176" s="326">
        <f t="shared" si="9"/>
        <v>6.635928348</v>
      </c>
      <c r="L176" s="327">
        <f t="shared" si="3"/>
        <v>9.881107706</v>
      </c>
      <c r="M176" s="321" t="str">
        <f t="shared" si="5"/>
        <v>griffgreen</v>
      </c>
      <c r="N176" s="176">
        <f>IFERROR(__xludf.DUMMYFUNCTION("""COMPUTED_VALUE"""),2.0)</f>
        <v>2</v>
      </c>
      <c r="O176" s="176"/>
      <c r="P176" s="176"/>
      <c r="Q176" s="176"/>
      <c r="R176" s="176"/>
      <c r="S176" s="176"/>
      <c r="T176" s="176"/>
      <c r="U176" s="176"/>
      <c r="V176" s="176"/>
      <c r="W176" s="176"/>
      <c r="X176" s="176"/>
      <c r="Y176" s="176"/>
      <c r="Z176" s="176"/>
    </row>
    <row r="177">
      <c r="A177" s="249" t="s">
        <v>16</v>
      </c>
      <c r="B177" s="249" t="s">
        <v>590</v>
      </c>
      <c r="C177" s="329" t="s">
        <v>2560</v>
      </c>
      <c r="D177" s="268" t="s">
        <v>495</v>
      </c>
      <c r="E177" s="251">
        <v>44239.0</v>
      </c>
      <c r="F177" s="250" t="s">
        <v>496</v>
      </c>
      <c r="G177" s="171">
        <v>250.0</v>
      </c>
      <c r="H177" s="171">
        <v>100.0</v>
      </c>
      <c r="I177" s="171">
        <v>200.0</v>
      </c>
      <c r="J177" s="325">
        <f t="shared" si="2"/>
        <v>0.006751974536</v>
      </c>
      <c r="K177" s="326">
        <f t="shared" si="9"/>
        <v>5.514112538</v>
      </c>
      <c r="L177" s="327">
        <f t="shared" si="3"/>
        <v>9.881107706</v>
      </c>
      <c r="M177" s="321" t="str">
        <f t="shared" si="5"/>
        <v>griffgreen</v>
      </c>
      <c r="N177" s="176">
        <f>IFERROR(__xludf.DUMMYFUNCTION("""COMPUTED_VALUE"""),3.0)</f>
        <v>3</v>
      </c>
      <c r="O177" s="176"/>
      <c r="P177" s="176"/>
      <c r="Q177" s="176"/>
      <c r="R177" s="176"/>
      <c r="S177" s="176"/>
      <c r="T177" s="176"/>
      <c r="U177" s="176"/>
      <c r="V177" s="176"/>
      <c r="W177" s="176"/>
      <c r="X177" s="176"/>
      <c r="Y177" s="176"/>
      <c r="Z177" s="176"/>
    </row>
    <row r="178">
      <c r="A178" s="249" t="s">
        <v>16</v>
      </c>
      <c r="B178" s="249" t="s">
        <v>10</v>
      </c>
      <c r="C178" s="329" t="s">
        <v>2569</v>
      </c>
      <c r="D178" s="268" t="s">
        <v>495</v>
      </c>
      <c r="E178" s="251">
        <v>44239.0</v>
      </c>
      <c r="F178" s="250" t="s">
        <v>496</v>
      </c>
      <c r="G178" s="171">
        <v>250.0</v>
      </c>
      <c r="H178" s="171">
        <v>100.0</v>
      </c>
      <c r="I178" s="171">
        <v>150.0</v>
      </c>
      <c r="J178" s="325">
        <f t="shared" si="2"/>
        <v>0.006175572438</v>
      </c>
      <c r="K178" s="326">
        <f t="shared" si="9"/>
        <v>5.043384157</v>
      </c>
      <c r="L178" s="327">
        <f t="shared" si="3"/>
        <v>9.881107706</v>
      </c>
      <c r="M178" s="321" t="str">
        <f t="shared" si="5"/>
        <v>griffgreen</v>
      </c>
      <c r="N178" s="176">
        <f>IFERROR(__xludf.DUMMYFUNCTION("""COMPUTED_VALUE"""),4.0)</f>
        <v>4</v>
      </c>
      <c r="O178" s="176"/>
      <c r="P178" s="176"/>
      <c r="Q178" s="176"/>
      <c r="R178" s="176"/>
      <c r="S178" s="176"/>
      <c r="T178" s="176"/>
      <c r="U178" s="176"/>
      <c r="V178" s="176"/>
      <c r="W178" s="176"/>
      <c r="X178" s="176"/>
      <c r="Y178" s="176"/>
      <c r="Z178" s="176"/>
    </row>
    <row r="179">
      <c r="A179" s="249" t="s">
        <v>16</v>
      </c>
      <c r="B179" s="249" t="s">
        <v>10</v>
      </c>
      <c r="C179" s="329" t="s">
        <v>2583</v>
      </c>
      <c r="D179" s="268" t="s">
        <v>495</v>
      </c>
      <c r="E179" s="251">
        <v>44239.0</v>
      </c>
      <c r="F179" s="250" t="s">
        <v>496</v>
      </c>
      <c r="G179" s="171">
        <v>150.0</v>
      </c>
      <c r="H179" s="171">
        <v>100.0</v>
      </c>
      <c r="I179" s="171">
        <v>200.0</v>
      </c>
      <c r="J179" s="325">
        <f t="shared" si="2"/>
        <v>0.005619266457</v>
      </c>
      <c r="K179" s="326">
        <f t="shared" si="9"/>
        <v>4.589067607</v>
      </c>
      <c r="L179" s="327">
        <f t="shared" si="3"/>
        <v>9.881107706</v>
      </c>
      <c r="M179" s="321" t="str">
        <f t="shared" si="5"/>
        <v>griffgreen</v>
      </c>
      <c r="N179" s="176">
        <f>IFERROR(__xludf.DUMMYFUNCTION("""COMPUTED_VALUE"""),5.0)</f>
        <v>5</v>
      </c>
      <c r="O179" s="176"/>
      <c r="P179" s="176"/>
      <c r="Q179" s="176"/>
      <c r="R179" s="176"/>
      <c r="S179" s="176"/>
      <c r="T179" s="176"/>
      <c r="U179" s="176"/>
      <c r="V179" s="176"/>
      <c r="W179" s="176"/>
      <c r="X179" s="176"/>
      <c r="Y179" s="176"/>
      <c r="Z179" s="176"/>
    </row>
    <row r="180">
      <c r="A180" s="249" t="s">
        <v>16</v>
      </c>
      <c r="B180" s="249" t="s">
        <v>12</v>
      </c>
      <c r="C180" s="329" t="s">
        <v>2584</v>
      </c>
      <c r="D180" s="268" t="s">
        <v>495</v>
      </c>
      <c r="E180" s="251">
        <v>44237.0</v>
      </c>
      <c r="F180" s="250" t="s">
        <v>496</v>
      </c>
      <c r="G180" s="171">
        <v>200.0</v>
      </c>
      <c r="H180" s="171">
        <v>50.0</v>
      </c>
      <c r="I180" s="171">
        <v>100.0</v>
      </c>
      <c r="J180" s="325">
        <f t="shared" si="2"/>
        <v>0.004225518327</v>
      </c>
      <c r="K180" s="326">
        <f t="shared" si="9"/>
        <v>3.450839967</v>
      </c>
      <c r="L180" s="327">
        <f t="shared" si="3"/>
        <v>9.881107706</v>
      </c>
      <c r="M180" s="321" t="str">
        <f t="shared" si="5"/>
        <v>griffgreen</v>
      </c>
      <c r="N180" s="176">
        <f>IFERROR(__xludf.DUMMYFUNCTION("""COMPUTED_VALUE"""),6.0)</f>
        <v>6</v>
      </c>
      <c r="O180" s="176"/>
      <c r="P180" s="176"/>
      <c r="Q180" s="176"/>
      <c r="R180" s="176"/>
      <c r="S180" s="176"/>
      <c r="T180" s="176"/>
      <c r="U180" s="176"/>
      <c r="V180" s="176"/>
      <c r="W180" s="176"/>
      <c r="X180" s="176"/>
      <c r="Y180" s="176"/>
      <c r="Z180" s="176"/>
    </row>
    <row r="181">
      <c r="A181" s="249" t="s">
        <v>16</v>
      </c>
      <c r="B181" s="249" t="s">
        <v>63</v>
      </c>
      <c r="C181" s="329" t="s">
        <v>2585</v>
      </c>
      <c r="D181" s="268" t="s">
        <v>495</v>
      </c>
      <c r="E181" s="361">
        <v>44229.0</v>
      </c>
      <c r="F181" s="250" t="s">
        <v>2586</v>
      </c>
      <c r="G181" s="171">
        <v>70.0</v>
      </c>
      <c r="H181" s="171">
        <v>85.0</v>
      </c>
      <c r="I181" s="171">
        <v>100.0</v>
      </c>
      <c r="J181" s="325">
        <f t="shared" si="2"/>
        <v>0.003318106406</v>
      </c>
      <c r="K181" s="326">
        <f t="shared" si="9"/>
        <v>2.709786898</v>
      </c>
      <c r="L181" s="327">
        <f t="shared" si="3"/>
        <v>9.881107706</v>
      </c>
      <c r="M181" s="321" t="str">
        <f t="shared" si="5"/>
        <v>griffgreen</v>
      </c>
      <c r="N181" s="176">
        <f>IFERROR(__xludf.DUMMYFUNCTION("""COMPUTED_VALUE"""),7.0)</f>
        <v>7</v>
      </c>
      <c r="O181" s="176"/>
      <c r="P181" s="176"/>
      <c r="Q181" s="176"/>
      <c r="R181" s="176"/>
      <c r="S181" s="176"/>
      <c r="T181" s="176"/>
      <c r="U181" s="176"/>
      <c r="V181" s="176"/>
      <c r="W181" s="176"/>
      <c r="X181" s="176"/>
      <c r="Y181" s="176"/>
      <c r="Z181" s="176"/>
    </row>
    <row r="182">
      <c r="A182" s="249" t="s">
        <v>16</v>
      </c>
      <c r="B182" s="249" t="s">
        <v>867</v>
      </c>
      <c r="C182" s="329" t="s">
        <v>2541</v>
      </c>
      <c r="D182" s="268" t="s">
        <v>495</v>
      </c>
      <c r="E182" s="361">
        <v>44232.0</v>
      </c>
      <c r="F182" s="250" t="s">
        <v>496</v>
      </c>
      <c r="G182" s="171">
        <v>60.0</v>
      </c>
      <c r="H182" s="171">
        <v>80.0</v>
      </c>
      <c r="I182" s="171">
        <v>100.0</v>
      </c>
      <c r="J182" s="325">
        <f t="shared" si="2"/>
        <v>0.003124105801</v>
      </c>
      <c r="K182" s="326">
        <f t="shared" si="9"/>
        <v>2.551353071</v>
      </c>
      <c r="L182" s="327">
        <f t="shared" si="3"/>
        <v>9.881107706</v>
      </c>
      <c r="M182" s="321" t="str">
        <f t="shared" si="5"/>
        <v>griffgreen</v>
      </c>
      <c r="N182" s="176">
        <f>IFERROR(__xludf.DUMMYFUNCTION("""COMPUTED_VALUE"""),8.0)</f>
        <v>8</v>
      </c>
      <c r="O182" s="176"/>
      <c r="P182" s="176"/>
      <c r="Q182" s="176"/>
      <c r="R182" s="176"/>
      <c r="S182" s="176"/>
      <c r="T182" s="176"/>
      <c r="U182" s="176"/>
      <c r="V182" s="176"/>
      <c r="W182" s="176"/>
      <c r="X182" s="176"/>
      <c r="Y182" s="176"/>
      <c r="Z182" s="176"/>
    </row>
    <row r="183">
      <c r="A183" s="249" t="s">
        <v>16</v>
      </c>
      <c r="B183" s="249" t="s">
        <v>10</v>
      </c>
      <c r="C183" s="329" t="s">
        <v>494</v>
      </c>
      <c r="D183" s="268" t="s">
        <v>495</v>
      </c>
      <c r="E183" s="251">
        <v>44239.0</v>
      </c>
      <c r="F183" s="250" t="s">
        <v>545</v>
      </c>
      <c r="G183" s="171">
        <v>80.0</v>
      </c>
      <c r="H183" s="171">
        <v>50.0</v>
      </c>
      <c r="I183" s="171">
        <v>100.0</v>
      </c>
      <c r="J183" s="325">
        <f t="shared" si="2"/>
        <v>0.002866268633</v>
      </c>
      <c r="K183" s="326">
        <f t="shared" si="9"/>
        <v>2.34078605</v>
      </c>
      <c r="L183" s="327">
        <f t="shared" si="3"/>
        <v>9.881107706</v>
      </c>
      <c r="M183" s="321" t="str">
        <f t="shared" si="5"/>
        <v>griffgreen</v>
      </c>
      <c r="N183" s="176">
        <f>IFERROR(__xludf.DUMMYFUNCTION("""COMPUTED_VALUE"""),9.0)</f>
        <v>9</v>
      </c>
      <c r="O183" s="176"/>
      <c r="P183" s="176"/>
      <c r="Q183" s="176"/>
      <c r="R183" s="176"/>
      <c r="S183" s="176"/>
      <c r="T183" s="176"/>
      <c r="U183" s="176"/>
      <c r="V183" s="176"/>
      <c r="W183" s="176"/>
      <c r="X183" s="176"/>
      <c r="Y183" s="176"/>
      <c r="Z183" s="176"/>
    </row>
    <row r="184">
      <c r="A184" s="249" t="s">
        <v>16</v>
      </c>
      <c r="B184" s="249" t="s">
        <v>18</v>
      </c>
      <c r="C184" s="329" t="s">
        <v>2587</v>
      </c>
      <c r="D184" s="268" t="s">
        <v>495</v>
      </c>
      <c r="E184" s="361">
        <v>44236.0</v>
      </c>
      <c r="F184" s="250" t="s">
        <v>496</v>
      </c>
      <c r="G184" s="171">
        <v>70.0</v>
      </c>
      <c r="H184" s="171">
        <v>50.0</v>
      </c>
      <c r="I184" s="171">
        <v>80.0</v>
      </c>
      <c r="J184" s="325">
        <f t="shared" si="2"/>
        <v>0.002522436986</v>
      </c>
      <c r="K184" s="326">
        <f t="shared" si="9"/>
        <v>2.059990205</v>
      </c>
      <c r="L184" s="327">
        <f t="shared" si="3"/>
        <v>9.881107706</v>
      </c>
      <c r="M184" s="321" t="str">
        <f t="shared" si="5"/>
        <v>griffgreen</v>
      </c>
      <c r="N184" s="176">
        <f>IFERROR(__xludf.DUMMYFUNCTION("""COMPUTED_VALUE"""),10.0)</f>
        <v>10</v>
      </c>
      <c r="O184" s="176"/>
      <c r="P184" s="176"/>
      <c r="Q184" s="176"/>
      <c r="R184" s="176"/>
      <c r="S184" s="176"/>
      <c r="T184" s="176"/>
      <c r="U184" s="176"/>
      <c r="V184" s="176"/>
      <c r="W184" s="176"/>
      <c r="X184" s="176"/>
      <c r="Y184" s="176"/>
      <c r="Z184" s="176"/>
    </row>
    <row r="185">
      <c r="A185" s="249" t="s">
        <v>16</v>
      </c>
      <c r="B185" s="249" t="s">
        <v>10</v>
      </c>
      <c r="C185" s="329" t="s">
        <v>2588</v>
      </c>
      <c r="D185" s="268" t="s">
        <v>495</v>
      </c>
      <c r="E185" s="361">
        <v>44232.0</v>
      </c>
      <c r="F185" s="250" t="s">
        <v>496</v>
      </c>
      <c r="G185" s="171">
        <v>60.0</v>
      </c>
      <c r="H185" s="171">
        <v>50.0</v>
      </c>
      <c r="I185" s="171">
        <v>80.0</v>
      </c>
      <c r="J185" s="325">
        <f t="shared" si="2"/>
        <v>0.002409166178</v>
      </c>
      <c r="K185" s="326">
        <f t="shared" si="9"/>
        <v>1.967485712</v>
      </c>
      <c r="L185" s="327">
        <f t="shared" si="3"/>
        <v>9.881107706</v>
      </c>
      <c r="M185" s="321" t="str">
        <f t="shared" si="5"/>
        <v>griffgreen</v>
      </c>
      <c r="N185" s="176">
        <f>IFERROR(__xludf.DUMMYFUNCTION("""COMPUTED_VALUE"""),11.0)</f>
        <v>11</v>
      </c>
      <c r="O185" s="176"/>
      <c r="P185" s="176"/>
      <c r="Q185" s="176"/>
      <c r="R185" s="176"/>
      <c r="S185" s="176"/>
      <c r="T185" s="176"/>
      <c r="U185" s="176"/>
      <c r="V185" s="176"/>
      <c r="W185" s="176"/>
      <c r="X185" s="176"/>
      <c r="Y185" s="176"/>
      <c r="Z185" s="176"/>
    </row>
    <row r="186">
      <c r="A186" s="249" t="s">
        <v>16</v>
      </c>
      <c r="B186" s="249" t="s">
        <v>18</v>
      </c>
      <c r="C186" s="329" t="s">
        <v>2502</v>
      </c>
      <c r="D186" s="268" t="s">
        <v>495</v>
      </c>
      <c r="E186" s="361">
        <v>44236.0</v>
      </c>
      <c r="F186" s="250" t="s">
        <v>496</v>
      </c>
      <c r="G186" s="171">
        <v>60.0</v>
      </c>
      <c r="H186" s="171">
        <v>50.0</v>
      </c>
      <c r="I186" s="171">
        <v>60.0</v>
      </c>
      <c r="J186" s="325">
        <f t="shared" si="2"/>
        <v>0.002178605338</v>
      </c>
      <c r="K186" s="326">
        <f t="shared" si="9"/>
        <v>1.77919436</v>
      </c>
      <c r="L186" s="327">
        <f t="shared" si="3"/>
        <v>9.881107706</v>
      </c>
      <c r="M186" s="321" t="str">
        <f t="shared" si="5"/>
        <v>griffgreen</v>
      </c>
      <c r="N186" s="176">
        <f>IFERROR(__xludf.DUMMYFUNCTION("""COMPUTED_VALUE"""),12.0)</f>
        <v>12</v>
      </c>
      <c r="O186" s="176"/>
      <c r="P186" s="176"/>
      <c r="Q186" s="176"/>
      <c r="R186" s="176"/>
      <c r="S186" s="176"/>
      <c r="T186" s="176"/>
      <c r="U186" s="176"/>
      <c r="V186" s="176"/>
      <c r="W186" s="176"/>
      <c r="X186" s="176"/>
      <c r="Y186" s="176"/>
      <c r="Z186" s="176"/>
    </row>
    <row r="187">
      <c r="A187" s="249" t="s">
        <v>16</v>
      </c>
      <c r="B187" s="249" t="s">
        <v>867</v>
      </c>
      <c r="C187" s="329" t="s">
        <v>2508</v>
      </c>
      <c r="D187" s="268" t="s">
        <v>495</v>
      </c>
      <c r="E187" s="361">
        <v>44228.0</v>
      </c>
      <c r="F187" s="250" t="s">
        <v>496</v>
      </c>
      <c r="G187" s="171">
        <v>50.0</v>
      </c>
      <c r="H187" s="171">
        <v>25.0</v>
      </c>
      <c r="I187" s="171">
        <v>100.0</v>
      </c>
      <c r="J187" s="325">
        <f t="shared" si="2"/>
        <v>0.002122807222</v>
      </c>
      <c r="K187" s="326">
        <f t="shared" si="9"/>
        <v>1.733625898</v>
      </c>
      <c r="L187" s="327">
        <f t="shared" si="3"/>
        <v>9.881107706</v>
      </c>
      <c r="M187" s="321" t="str">
        <f t="shared" si="5"/>
        <v>griffgreen</v>
      </c>
      <c r="N187" s="176">
        <f>IFERROR(__xludf.DUMMYFUNCTION("""COMPUTED_VALUE"""),13.0)</f>
        <v>13</v>
      </c>
      <c r="O187" s="176"/>
      <c r="P187" s="176"/>
      <c r="Q187" s="176"/>
      <c r="R187" s="176"/>
      <c r="S187" s="176"/>
      <c r="T187" s="176"/>
      <c r="U187" s="176"/>
      <c r="V187" s="176"/>
      <c r="W187" s="176"/>
      <c r="X187" s="176"/>
      <c r="Y187" s="176"/>
      <c r="Z187" s="176"/>
    </row>
    <row r="188">
      <c r="A188" s="249" t="s">
        <v>16</v>
      </c>
      <c r="B188" s="249" t="s">
        <v>63</v>
      </c>
      <c r="C188" s="329" t="s">
        <v>2589</v>
      </c>
      <c r="D188" s="268" t="s">
        <v>495</v>
      </c>
      <c r="E188" s="361">
        <v>44229.0</v>
      </c>
      <c r="F188" s="250" t="s">
        <v>2586</v>
      </c>
      <c r="G188" s="171">
        <v>60.0</v>
      </c>
      <c r="H188" s="171">
        <v>25.0</v>
      </c>
      <c r="I188" s="171">
        <v>80.0</v>
      </c>
      <c r="J188" s="325">
        <f t="shared" si="2"/>
        <v>0.002005517191</v>
      </c>
      <c r="K188" s="326">
        <f t="shared" si="9"/>
        <v>1.637839039</v>
      </c>
      <c r="L188" s="327">
        <f t="shared" si="3"/>
        <v>9.881107706</v>
      </c>
      <c r="M188" s="321" t="str">
        <f t="shared" si="5"/>
        <v>griffgreen</v>
      </c>
      <c r="N188" s="176">
        <f>IFERROR(__xludf.DUMMYFUNCTION("""COMPUTED_VALUE"""),14.0)</f>
        <v>14</v>
      </c>
      <c r="O188" s="176"/>
      <c r="P188" s="176"/>
      <c r="Q188" s="176"/>
      <c r="R188" s="176"/>
      <c r="S188" s="176"/>
      <c r="T188" s="176"/>
      <c r="U188" s="176"/>
      <c r="V188" s="176"/>
      <c r="W188" s="176"/>
      <c r="X188" s="176"/>
      <c r="Y188" s="176"/>
      <c r="Z188" s="176"/>
    </row>
    <row r="189">
      <c r="A189" s="249" t="s">
        <v>16</v>
      </c>
      <c r="B189" s="249" t="s">
        <v>519</v>
      </c>
      <c r="C189" s="329" t="s">
        <v>2329</v>
      </c>
      <c r="D189" s="268" t="s">
        <v>495</v>
      </c>
      <c r="E189" s="251">
        <v>44237.0</v>
      </c>
      <c r="F189" s="250" t="s">
        <v>521</v>
      </c>
      <c r="G189" s="171">
        <v>40.0</v>
      </c>
      <c r="H189" s="171">
        <v>50.0</v>
      </c>
      <c r="I189" s="171">
        <v>60.0</v>
      </c>
      <c r="J189" s="325">
        <f t="shared" si="2"/>
        <v>0.001952063723</v>
      </c>
      <c r="K189" s="326">
        <f t="shared" si="9"/>
        <v>1.594185374</v>
      </c>
      <c r="L189" s="327">
        <f t="shared" si="3"/>
        <v>9.881107706</v>
      </c>
      <c r="M189" s="321" t="str">
        <f t="shared" si="5"/>
        <v>griffgreen</v>
      </c>
      <c r="N189" s="176">
        <f>IFERROR(__xludf.DUMMYFUNCTION("""COMPUTED_VALUE"""),15.0)</f>
        <v>15</v>
      </c>
      <c r="O189" s="176"/>
      <c r="P189" s="176"/>
      <c r="Q189" s="176"/>
      <c r="R189" s="176"/>
      <c r="S189" s="176"/>
      <c r="T189" s="176"/>
      <c r="U189" s="176"/>
      <c r="V189" s="176"/>
      <c r="W189" s="176"/>
      <c r="X189" s="176"/>
      <c r="Y189" s="176"/>
      <c r="Z189" s="176"/>
    </row>
    <row r="190">
      <c r="A190" s="249" t="s">
        <v>16</v>
      </c>
      <c r="B190" s="249" t="s">
        <v>519</v>
      </c>
      <c r="C190" s="329" t="s">
        <v>2329</v>
      </c>
      <c r="D190" s="268" t="s">
        <v>495</v>
      </c>
      <c r="E190" s="361">
        <v>44230.0</v>
      </c>
      <c r="F190" s="250" t="s">
        <v>521</v>
      </c>
      <c r="G190" s="171">
        <v>40.0</v>
      </c>
      <c r="H190" s="171">
        <v>25.0</v>
      </c>
      <c r="I190" s="171">
        <v>80.0</v>
      </c>
      <c r="J190" s="325">
        <f t="shared" si="2"/>
        <v>0.001778975575</v>
      </c>
      <c r="K190" s="326">
        <f t="shared" si="9"/>
        <v>1.452830053</v>
      </c>
      <c r="L190" s="327">
        <f t="shared" si="3"/>
        <v>9.881107706</v>
      </c>
      <c r="M190" s="321" t="str">
        <f t="shared" si="5"/>
        <v>griffgreen</v>
      </c>
      <c r="N190" s="176">
        <f>IFERROR(__xludf.DUMMYFUNCTION("""COMPUTED_VALUE"""),16.0)</f>
        <v>16</v>
      </c>
      <c r="O190" s="176"/>
      <c r="P190" s="176"/>
      <c r="Q190" s="176"/>
      <c r="R190" s="176"/>
      <c r="S190" s="176"/>
      <c r="T190" s="176"/>
      <c r="U190" s="176"/>
      <c r="V190" s="176"/>
      <c r="W190" s="176"/>
      <c r="X190" s="176"/>
      <c r="Y190" s="176"/>
      <c r="Z190" s="176"/>
    </row>
    <row r="191">
      <c r="A191" s="249" t="s">
        <v>16</v>
      </c>
      <c r="B191" s="249" t="s">
        <v>590</v>
      </c>
      <c r="C191" s="329" t="s">
        <v>2590</v>
      </c>
      <c r="D191" s="268" t="s">
        <v>495</v>
      </c>
      <c r="E191" s="361">
        <v>44232.0</v>
      </c>
      <c r="F191" s="250" t="s">
        <v>496</v>
      </c>
      <c r="G191" s="171">
        <v>40.0</v>
      </c>
      <c r="H191" s="171">
        <v>25.0</v>
      </c>
      <c r="I191" s="171">
        <v>80.0</v>
      </c>
      <c r="J191" s="325">
        <f t="shared" si="2"/>
        <v>0.001778975575</v>
      </c>
      <c r="K191" s="326">
        <f t="shared" si="9"/>
        <v>1.452830053</v>
      </c>
      <c r="L191" s="327">
        <f t="shared" si="3"/>
        <v>9.881107706</v>
      </c>
      <c r="M191" s="321" t="str">
        <f t="shared" si="5"/>
        <v>griffgreen</v>
      </c>
      <c r="N191" s="176">
        <f>IFERROR(__xludf.DUMMYFUNCTION("""COMPUTED_VALUE"""),17.0)</f>
        <v>17</v>
      </c>
      <c r="O191" s="176"/>
      <c r="P191" s="176"/>
      <c r="Q191" s="176"/>
      <c r="R191" s="176"/>
      <c r="S191" s="176"/>
      <c r="T191" s="176"/>
      <c r="U191" s="176"/>
      <c r="V191" s="176"/>
      <c r="W191" s="176"/>
      <c r="X191" s="176"/>
      <c r="Y191" s="176"/>
      <c r="Z191" s="176"/>
    </row>
    <row r="192">
      <c r="A192" s="249" t="s">
        <v>16</v>
      </c>
      <c r="B192" s="249" t="s">
        <v>1228</v>
      </c>
      <c r="C192" s="329" t="s">
        <v>2499</v>
      </c>
      <c r="D192" s="268" t="s">
        <v>495</v>
      </c>
      <c r="E192" s="361">
        <v>44236.0</v>
      </c>
      <c r="F192" s="250" t="s">
        <v>496</v>
      </c>
      <c r="G192" s="171">
        <v>60.0</v>
      </c>
      <c r="H192" s="171">
        <v>25.0</v>
      </c>
      <c r="I192" s="171">
        <v>60.0</v>
      </c>
      <c r="J192" s="325">
        <f t="shared" si="2"/>
        <v>0.001774956352</v>
      </c>
      <c r="K192" s="326">
        <f t="shared" si="9"/>
        <v>1.449547687</v>
      </c>
      <c r="L192" s="327">
        <f t="shared" si="3"/>
        <v>9.881107706</v>
      </c>
      <c r="M192" s="321" t="str">
        <f t="shared" si="5"/>
        <v>griffgreen</v>
      </c>
      <c r="N192" s="176">
        <f>IFERROR(__xludf.DUMMYFUNCTION("""COMPUTED_VALUE"""),18.0)</f>
        <v>18</v>
      </c>
      <c r="O192" s="176"/>
      <c r="P192" s="176"/>
      <c r="Q192" s="176"/>
      <c r="R192" s="176"/>
      <c r="S192" s="176"/>
      <c r="T192" s="176"/>
      <c r="U192" s="176"/>
      <c r="V192" s="176"/>
      <c r="W192" s="176"/>
      <c r="X192" s="176"/>
      <c r="Y192" s="176"/>
      <c r="Z192" s="176"/>
    </row>
    <row r="193">
      <c r="A193" s="249" t="s">
        <v>16</v>
      </c>
      <c r="B193" s="249" t="s">
        <v>590</v>
      </c>
      <c r="C193" s="329" t="s">
        <v>2492</v>
      </c>
      <c r="D193" s="268" t="s">
        <v>495</v>
      </c>
      <c r="E193" s="361">
        <v>44229.0</v>
      </c>
      <c r="F193" s="250" t="s">
        <v>496</v>
      </c>
      <c r="G193" s="171">
        <v>60.0</v>
      </c>
      <c r="H193" s="171">
        <v>25.0</v>
      </c>
      <c r="I193" s="171">
        <v>50.0</v>
      </c>
      <c r="J193" s="325">
        <f t="shared" si="2"/>
        <v>0.001659675932</v>
      </c>
      <c r="K193" s="326">
        <f t="shared" si="9"/>
        <v>1.355402011</v>
      </c>
      <c r="L193" s="327">
        <f t="shared" si="3"/>
        <v>9.881107706</v>
      </c>
      <c r="M193" s="321" t="str">
        <f t="shared" si="5"/>
        <v>griffgreen</v>
      </c>
      <c r="N193" s="176">
        <f>IFERROR(__xludf.DUMMYFUNCTION("""COMPUTED_VALUE"""),19.0)</f>
        <v>19</v>
      </c>
      <c r="O193" s="176"/>
      <c r="P193" s="176"/>
      <c r="Q193" s="176"/>
      <c r="R193" s="176"/>
      <c r="S193" s="176"/>
      <c r="T193" s="176"/>
      <c r="U193" s="176"/>
      <c r="V193" s="176"/>
      <c r="W193" s="176"/>
      <c r="X193" s="176"/>
      <c r="Y193" s="176"/>
      <c r="Z193" s="176"/>
    </row>
    <row r="194">
      <c r="A194" s="249" t="s">
        <v>16</v>
      </c>
      <c r="B194" s="249" t="s">
        <v>10</v>
      </c>
      <c r="C194" s="329" t="s">
        <v>2497</v>
      </c>
      <c r="D194" s="268" t="s">
        <v>495</v>
      </c>
      <c r="E194" s="361">
        <v>44232.0</v>
      </c>
      <c r="F194" s="250" t="s">
        <v>496</v>
      </c>
      <c r="G194" s="171">
        <v>40.0</v>
      </c>
      <c r="H194" s="171">
        <v>25.0</v>
      </c>
      <c r="I194" s="171">
        <v>50.0</v>
      </c>
      <c r="J194" s="325">
        <f t="shared" si="2"/>
        <v>0.001433134316</v>
      </c>
      <c r="K194" s="326">
        <f t="shared" si="9"/>
        <v>1.170393025</v>
      </c>
      <c r="L194" s="327">
        <f t="shared" si="3"/>
        <v>9.881107706</v>
      </c>
      <c r="M194" s="321" t="str">
        <f t="shared" si="5"/>
        <v>griffgreen</v>
      </c>
      <c r="N194" s="176">
        <f>IFERROR(__xludf.DUMMYFUNCTION("""COMPUTED_VALUE"""),20.0)</f>
        <v>20</v>
      </c>
      <c r="O194" s="176"/>
      <c r="P194" s="176"/>
      <c r="Q194" s="176"/>
      <c r="R194" s="176"/>
      <c r="S194" s="176"/>
      <c r="T194" s="176"/>
      <c r="U194" s="176"/>
      <c r="V194" s="176"/>
      <c r="W194" s="176"/>
      <c r="X194" s="176"/>
      <c r="Y194" s="176"/>
      <c r="Z194" s="176"/>
    </row>
    <row r="195">
      <c r="A195" s="249" t="s">
        <v>16</v>
      </c>
      <c r="B195" s="249" t="s">
        <v>590</v>
      </c>
      <c r="C195" s="329" t="s">
        <v>2500</v>
      </c>
      <c r="D195" s="268" t="s">
        <v>495</v>
      </c>
      <c r="E195" s="361">
        <v>44236.0</v>
      </c>
      <c r="F195" s="250" t="s">
        <v>496</v>
      </c>
      <c r="G195" s="171">
        <v>40.0</v>
      </c>
      <c r="H195" s="171">
        <v>25.0</v>
      </c>
      <c r="I195" s="171">
        <v>50.0</v>
      </c>
      <c r="J195" s="325">
        <f t="shared" si="2"/>
        <v>0.001433134316</v>
      </c>
      <c r="K195" s="326">
        <f t="shared" si="9"/>
        <v>1.170393025</v>
      </c>
      <c r="L195" s="327">
        <f t="shared" si="3"/>
        <v>9.881107706</v>
      </c>
      <c r="M195" s="321" t="str">
        <f t="shared" si="5"/>
        <v>griffgreen</v>
      </c>
      <c r="N195" s="176">
        <f>IFERROR(__xludf.DUMMYFUNCTION("""COMPUTED_VALUE"""),21.0)</f>
        <v>21</v>
      </c>
      <c r="O195" s="176"/>
      <c r="P195" s="176"/>
      <c r="Q195" s="176"/>
      <c r="R195" s="176"/>
      <c r="S195" s="176"/>
      <c r="T195" s="176"/>
      <c r="U195" s="176"/>
      <c r="V195" s="176"/>
      <c r="W195" s="176"/>
      <c r="X195" s="176"/>
      <c r="Y195" s="176"/>
      <c r="Z195" s="176"/>
    </row>
    <row r="196">
      <c r="A196" s="249" t="s">
        <v>16</v>
      </c>
      <c r="B196" s="249" t="s">
        <v>10</v>
      </c>
      <c r="C196" s="329" t="s">
        <v>2506</v>
      </c>
      <c r="D196" s="268" t="s">
        <v>495</v>
      </c>
      <c r="E196" s="251">
        <v>44239.0</v>
      </c>
      <c r="F196" s="250" t="s">
        <v>496</v>
      </c>
      <c r="G196" s="171">
        <v>40.0</v>
      </c>
      <c r="H196" s="171">
        <v>25.0</v>
      </c>
      <c r="I196" s="171">
        <v>50.0</v>
      </c>
      <c r="J196" s="325">
        <f t="shared" si="2"/>
        <v>0.001433134316</v>
      </c>
      <c r="K196" s="326">
        <f t="shared" si="9"/>
        <v>1.170393025</v>
      </c>
      <c r="L196" s="327">
        <f t="shared" si="3"/>
        <v>9.881107706</v>
      </c>
      <c r="M196" s="321" t="str">
        <f t="shared" si="5"/>
        <v>griffgreen</v>
      </c>
      <c r="N196" s="176">
        <f>IFERROR(__xludf.DUMMYFUNCTION("""COMPUTED_VALUE"""),22.0)</f>
        <v>22</v>
      </c>
      <c r="O196" s="176"/>
      <c r="P196" s="176"/>
      <c r="Q196" s="176"/>
      <c r="R196" s="176"/>
      <c r="S196" s="176"/>
      <c r="T196" s="176"/>
      <c r="U196" s="176"/>
      <c r="V196" s="176"/>
      <c r="W196" s="176"/>
      <c r="X196" s="176"/>
      <c r="Y196" s="176"/>
      <c r="Z196" s="176"/>
    </row>
    <row r="197">
      <c r="A197" s="249" t="s">
        <v>16</v>
      </c>
      <c r="B197" s="249" t="s">
        <v>10</v>
      </c>
      <c r="C197" s="329" t="s">
        <v>2507</v>
      </c>
      <c r="D197" s="268" t="s">
        <v>495</v>
      </c>
      <c r="E197" s="251">
        <v>44239.0</v>
      </c>
      <c r="F197" s="250" t="s">
        <v>496</v>
      </c>
      <c r="G197" s="171">
        <v>40.0</v>
      </c>
      <c r="H197" s="171">
        <v>25.0</v>
      </c>
      <c r="I197" s="171">
        <v>50.0</v>
      </c>
      <c r="J197" s="325">
        <f t="shared" si="2"/>
        <v>0.001433134316</v>
      </c>
      <c r="K197" s="326">
        <f t="shared" si="9"/>
        <v>1.170393025</v>
      </c>
      <c r="L197" s="327">
        <f t="shared" si="3"/>
        <v>9.881107706</v>
      </c>
      <c r="M197" s="321" t="str">
        <f t="shared" si="5"/>
        <v>griffgreen</v>
      </c>
      <c r="N197" s="176">
        <f>IFERROR(__xludf.DUMMYFUNCTION("""COMPUTED_VALUE"""),23.0)</f>
        <v>23</v>
      </c>
      <c r="O197" s="176"/>
      <c r="P197" s="176"/>
      <c r="Q197" s="176"/>
      <c r="R197" s="176"/>
      <c r="S197" s="176"/>
      <c r="T197" s="176"/>
      <c r="U197" s="176"/>
      <c r="V197" s="176"/>
      <c r="W197" s="176"/>
      <c r="X197" s="176"/>
      <c r="Y197" s="176"/>
      <c r="Z197" s="176"/>
    </row>
    <row r="198">
      <c r="A198" s="249" t="s">
        <v>16</v>
      </c>
      <c r="B198" s="249" t="s">
        <v>868</v>
      </c>
      <c r="C198" s="329" t="s">
        <v>2488</v>
      </c>
      <c r="D198" s="268" t="s">
        <v>495</v>
      </c>
      <c r="E198" s="251">
        <v>44226.0</v>
      </c>
      <c r="F198" s="250" t="s">
        <v>496</v>
      </c>
      <c r="G198" s="171">
        <v>40.0</v>
      </c>
      <c r="H198" s="171">
        <v>25.0</v>
      </c>
      <c r="I198" s="171">
        <v>25.0</v>
      </c>
      <c r="J198" s="325">
        <f t="shared" si="2"/>
        <v>0.001144933267</v>
      </c>
      <c r="K198" s="326">
        <f t="shared" si="9"/>
        <v>0.9350288349</v>
      </c>
      <c r="L198" s="327">
        <f t="shared" si="3"/>
        <v>9.881107706</v>
      </c>
      <c r="M198" s="321" t="str">
        <f t="shared" si="5"/>
        <v>griffgreen</v>
      </c>
      <c r="N198" s="176">
        <f>IFERROR(__xludf.DUMMYFUNCTION("""COMPUTED_VALUE"""),24.0)</f>
        <v>24</v>
      </c>
      <c r="O198" s="176"/>
      <c r="P198" s="176"/>
      <c r="Q198" s="176"/>
      <c r="R198" s="176"/>
      <c r="S198" s="176"/>
      <c r="T198" s="176"/>
      <c r="U198" s="176"/>
      <c r="V198" s="176"/>
      <c r="W198" s="176"/>
      <c r="X198" s="176"/>
      <c r="Y198" s="176"/>
      <c r="Z198" s="176"/>
    </row>
    <row r="199">
      <c r="A199" s="249" t="s">
        <v>16</v>
      </c>
      <c r="B199" s="249" t="s">
        <v>10</v>
      </c>
      <c r="C199" s="329" t="s">
        <v>2498</v>
      </c>
      <c r="D199" s="268" t="s">
        <v>495</v>
      </c>
      <c r="E199" s="251">
        <v>44239.0</v>
      </c>
      <c r="F199" s="250" t="s">
        <v>545</v>
      </c>
      <c r="G199" s="171">
        <v>20.0</v>
      </c>
      <c r="H199" s="171">
        <v>15.0</v>
      </c>
      <c r="I199" s="171">
        <v>15.0</v>
      </c>
      <c r="J199" s="325">
        <f t="shared" si="2"/>
        <v>0.0006416516372</v>
      </c>
      <c r="K199" s="326">
        <f t="shared" si="9"/>
        <v>0.5240155037</v>
      </c>
      <c r="L199" s="327">
        <f t="shared" si="3"/>
        <v>9.881107706</v>
      </c>
      <c r="M199" s="321" t="str">
        <f t="shared" si="5"/>
        <v>griffgreen</v>
      </c>
      <c r="N199" s="176">
        <f>IFERROR(__xludf.DUMMYFUNCTION("""COMPUTED_VALUE"""),25.0)</f>
        <v>25</v>
      </c>
      <c r="O199" s="176"/>
      <c r="P199" s="176"/>
      <c r="Q199" s="176"/>
      <c r="R199" s="176"/>
      <c r="S199" s="176"/>
      <c r="T199" s="176"/>
      <c r="U199" s="176"/>
      <c r="V199" s="176"/>
      <c r="W199" s="176"/>
      <c r="X199" s="176"/>
      <c r="Y199" s="176"/>
      <c r="Z199" s="176"/>
    </row>
    <row r="200">
      <c r="A200" s="249" t="s">
        <v>16</v>
      </c>
      <c r="B200" s="249" t="s">
        <v>10</v>
      </c>
      <c r="C200" s="329" t="s">
        <v>2498</v>
      </c>
      <c r="D200" s="268" t="s">
        <v>495</v>
      </c>
      <c r="E200" s="361">
        <v>44232.0</v>
      </c>
      <c r="F200" s="250" t="s">
        <v>545</v>
      </c>
      <c r="G200" s="171">
        <v>20.0</v>
      </c>
      <c r="H200" s="171">
        <v>10.0</v>
      </c>
      <c r="I200" s="171">
        <v>15.0</v>
      </c>
      <c r="J200" s="325">
        <f t="shared" si="2"/>
        <v>0.0005609218398</v>
      </c>
      <c r="K200" s="326">
        <f t="shared" si="9"/>
        <v>0.4580861692</v>
      </c>
      <c r="L200" s="327">
        <f t="shared" si="3"/>
        <v>9.881107706</v>
      </c>
      <c r="M200" s="321" t="str">
        <f t="shared" si="5"/>
        <v>griffgreen</v>
      </c>
      <c r="N200" s="176">
        <f>IFERROR(__xludf.DUMMYFUNCTION("""COMPUTED_VALUE"""),26.0)</f>
        <v>26</v>
      </c>
      <c r="O200" s="176"/>
      <c r="P200" s="176"/>
      <c r="Q200" s="176"/>
      <c r="R200" s="176"/>
      <c r="S200" s="176"/>
      <c r="T200" s="176"/>
      <c r="U200" s="176"/>
      <c r="V200" s="176"/>
      <c r="W200" s="176"/>
      <c r="X200" s="176"/>
      <c r="Y200" s="176"/>
      <c r="Z200" s="176"/>
    </row>
    <row r="201">
      <c r="A201" s="249" t="s">
        <v>16</v>
      </c>
      <c r="B201" s="249" t="s">
        <v>10</v>
      </c>
      <c r="C201" s="329" t="s">
        <v>2530</v>
      </c>
      <c r="D201" s="268" t="s">
        <v>495</v>
      </c>
      <c r="E201" s="251">
        <v>44239.0</v>
      </c>
      <c r="F201" s="250" t="s">
        <v>499</v>
      </c>
      <c r="G201" s="171">
        <v>10.0</v>
      </c>
      <c r="H201" s="171">
        <v>15.0</v>
      </c>
      <c r="I201" s="171">
        <v>15.0</v>
      </c>
      <c r="J201" s="325">
        <f t="shared" si="2"/>
        <v>0.0005283808294</v>
      </c>
      <c r="K201" s="326">
        <f t="shared" si="9"/>
        <v>0.4315110107</v>
      </c>
      <c r="L201" s="327">
        <f t="shared" si="3"/>
        <v>9.881107706</v>
      </c>
      <c r="M201" s="321" t="str">
        <f t="shared" si="5"/>
        <v>griffgreen</v>
      </c>
      <c r="N201" s="176">
        <f>IFERROR(__xludf.DUMMYFUNCTION("""COMPUTED_VALUE"""),27.0)</f>
        <v>27</v>
      </c>
      <c r="O201" s="176"/>
      <c r="P201" s="176"/>
      <c r="Q201" s="176"/>
      <c r="R201" s="176"/>
      <c r="S201" s="176"/>
      <c r="T201" s="176"/>
      <c r="U201" s="176"/>
      <c r="V201" s="176"/>
      <c r="W201" s="176"/>
      <c r="X201" s="176"/>
      <c r="Y201" s="176"/>
      <c r="Z201" s="176"/>
    </row>
    <row r="202">
      <c r="A202" s="249" t="s">
        <v>16</v>
      </c>
      <c r="B202" s="249" t="s">
        <v>10</v>
      </c>
      <c r="C202" s="329" t="s">
        <v>2531</v>
      </c>
      <c r="D202" s="268" t="s">
        <v>495</v>
      </c>
      <c r="E202" s="361">
        <v>44232.0</v>
      </c>
      <c r="F202" s="250" t="s">
        <v>499</v>
      </c>
      <c r="G202" s="171">
        <v>10.0</v>
      </c>
      <c r="H202" s="171">
        <v>10.0</v>
      </c>
      <c r="I202" s="171">
        <v>15.0</v>
      </c>
      <c r="J202" s="325">
        <f t="shared" si="2"/>
        <v>0.000447651032</v>
      </c>
      <c r="K202" s="326">
        <f t="shared" si="9"/>
        <v>0.3655816761</v>
      </c>
      <c r="L202" s="327">
        <f t="shared" si="3"/>
        <v>9.881107706</v>
      </c>
      <c r="M202" s="321" t="str">
        <f t="shared" si="5"/>
        <v>griffgreen</v>
      </c>
      <c r="N202" s="176">
        <f>IFERROR(__xludf.DUMMYFUNCTION("""COMPUTED_VALUE"""),28.0)</f>
        <v>28</v>
      </c>
      <c r="O202" s="176"/>
      <c r="P202" s="176"/>
      <c r="Q202" s="176"/>
      <c r="R202" s="176"/>
      <c r="S202" s="176"/>
      <c r="T202" s="176"/>
      <c r="U202" s="176"/>
      <c r="V202" s="176"/>
      <c r="W202" s="176"/>
      <c r="X202" s="176"/>
      <c r="Y202" s="176"/>
      <c r="Z202" s="176"/>
    </row>
    <row r="203">
      <c r="A203" s="240" t="s">
        <v>16</v>
      </c>
      <c r="B203" s="240" t="s">
        <v>534</v>
      </c>
      <c r="C203" s="256" t="s">
        <v>684</v>
      </c>
      <c r="D203" s="343"/>
      <c r="E203" s="344"/>
      <c r="F203" s="343"/>
      <c r="G203" s="253"/>
      <c r="H203" s="253"/>
      <c r="I203" s="253"/>
      <c r="J203" s="325">
        <f t="shared" si="2"/>
        <v>0</v>
      </c>
      <c r="K203" s="345">
        <f>65.876*-0.85</f>
        <v>-55.9946</v>
      </c>
      <c r="L203" s="327">
        <f t="shared" si="3"/>
        <v>9.881107706</v>
      </c>
      <c r="M203" s="321" t="str">
        <f t="shared" si="5"/>
        <v>griffgreen</v>
      </c>
      <c r="N203" s="343">
        <f>IFERROR(__xludf.DUMMYFUNCTION("""COMPUTED_VALUE"""),29.0)</f>
        <v>29</v>
      </c>
      <c r="O203" s="343"/>
      <c r="P203" s="343"/>
      <c r="Q203" s="343"/>
      <c r="R203" s="343"/>
      <c r="S203" s="343"/>
      <c r="T203" s="343"/>
      <c r="U203" s="343"/>
      <c r="V203" s="343"/>
      <c r="W203" s="343"/>
      <c r="X203" s="343"/>
      <c r="Y203" s="226"/>
      <c r="Z203" s="226"/>
    </row>
    <row r="204">
      <c r="A204" s="249" t="s">
        <v>25</v>
      </c>
      <c r="B204" s="249" t="s">
        <v>519</v>
      </c>
      <c r="C204" s="329" t="s">
        <v>2521</v>
      </c>
      <c r="D204" s="268" t="s">
        <v>495</v>
      </c>
      <c r="E204" s="251">
        <v>44226.0</v>
      </c>
      <c r="F204" s="250" t="s">
        <v>496</v>
      </c>
      <c r="G204" s="171"/>
      <c r="H204" s="171"/>
      <c r="I204" s="171"/>
      <c r="J204" s="172">
        <f t="shared" si="2"/>
        <v>0</v>
      </c>
      <c r="K204" s="330">
        <v>2.1953405017921144</v>
      </c>
      <c r="L204" s="327">
        <f t="shared" si="3"/>
        <v>7.573781541</v>
      </c>
      <c r="M204" s="321" t="str">
        <f t="shared" si="5"/>
        <v>freedumbs00</v>
      </c>
      <c r="N204" s="176">
        <f>IFERROR(__xludf.DUMMYFUNCTION("""COMPUTED_VALUE"""),1.0)</f>
        <v>1</v>
      </c>
      <c r="O204" s="176"/>
      <c r="P204" s="176"/>
      <c r="Q204" s="176"/>
      <c r="R204" s="176"/>
      <c r="S204" s="176"/>
      <c r="T204" s="176"/>
      <c r="U204" s="176"/>
      <c r="V204" s="176"/>
      <c r="W204" s="176"/>
      <c r="X204" s="176"/>
      <c r="Y204" s="176"/>
      <c r="Z204" s="176"/>
    </row>
    <row r="205">
      <c r="A205" s="249" t="s">
        <v>25</v>
      </c>
      <c r="B205" s="249" t="s">
        <v>43</v>
      </c>
      <c r="C205" s="329" t="s">
        <v>2591</v>
      </c>
      <c r="D205" s="268" t="s">
        <v>495</v>
      </c>
      <c r="E205" s="361">
        <v>44228.0</v>
      </c>
      <c r="F205" s="250" t="s">
        <v>496</v>
      </c>
      <c r="G205" s="171"/>
      <c r="H205" s="171"/>
      <c r="I205" s="171"/>
      <c r="J205" s="172">
        <f t="shared" si="2"/>
        <v>0</v>
      </c>
      <c r="K205" s="330">
        <v>2.1953405017921144</v>
      </c>
      <c r="L205" s="327">
        <f t="shared" si="3"/>
        <v>7.573781541</v>
      </c>
      <c r="M205" s="321"/>
      <c r="N205" s="176">
        <f>IFERROR(__xludf.DUMMYFUNCTION("""COMPUTED_VALUE"""),2.0)</f>
        <v>2</v>
      </c>
      <c r="O205" s="176"/>
      <c r="P205" s="176"/>
      <c r="Q205" s="176"/>
      <c r="R205" s="176"/>
      <c r="S205" s="176"/>
      <c r="T205" s="176"/>
      <c r="U205" s="176"/>
      <c r="V205" s="176"/>
      <c r="W205" s="176"/>
      <c r="X205" s="176"/>
      <c r="Y205" s="176"/>
      <c r="Z205" s="176"/>
    </row>
    <row r="206">
      <c r="A206" s="249" t="s">
        <v>25</v>
      </c>
      <c r="B206" s="249" t="s">
        <v>18</v>
      </c>
      <c r="C206" s="329" t="s">
        <v>2491</v>
      </c>
      <c r="D206" s="268" t="s">
        <v>495</v>
      </c>
      <c r="E206" s="361">
        <v>44228.0</v>
      </c>
      <c r="F206" s="250" t="s">
        <v>496</v>
      </c>
      <c r="G206" s="171"/>
      <c r="H206" s="171"/>
      <c r="I206" s="171"/>
      <c r="J206" s="172">
        <f t="shared" si="2"/>
        <v>0</v>
      </c>
      <c r="K206" s="330">
        <v>2.1953405017921144</v>
      </c>
      <c r="L206" s="327">
        <f t="shared" si="3"/>
        <v>7.573781541</v>
      </c>
      <c r="M206" s="321"/>
      <c r="N206" s="176">
        <f>IFERROR(__xludf.DUMMYFUNCTION("""COMPUTED_VALUE"""),3.0)</f>
        <v>3</v>
      </c>
      <c r="O206" s="176"/>
      <c r="P206" s="176"/>
      <c r="Q206" s="176"/>
      <c r="R206" s="176"/>
      <c r="S206" s="176"/>
      <c r="T206" s="176"/>
      <c r="U206" s="176"/>
      <c r="V206" s="176"/>
      <c r="W206" s="176"/>
      <c r="X206" s="176"/>
      <c r="Y206" s="176"/>
      <c r="Z206" s="176"/>
    </row>
    <row r="207">
      <c r="A207" s="249" t="s">
        <v>25</v>
      </c>
      <c r="B207" s="249" t="s">
        <v>18</v>
      </c>
      <c r="C207" s="329" t="s">
        <v>2592</v>
      </c>
      <c r="D207" s="268" t="s">
        <v>495</v>
      </c>
      <c r="E207" s="361">
        <v>44228.0</v>
      </c>
      <c r="F207" s="250" t="s">
        <v>496</v>
      </c>
      <c r="G207" s="171"/>
      <c r="H207" s="171"/>
      <c r="I207" s="171"/>
      <c r="J207" s="172">
        <f t="shared" si="2"/>
        <v>0</v>
      </c>
      <c r="K207" s="330">
        <v>2.1953405017921144</v>
      </c>
      <c r="L207" s="327">
        <f t="shared" si="3"/>
        <v>7.573781541</v>
      </c>
      <c r="M207" s="321"/>
      <c r="N207" s="176">
        <f>IFERROR(__xludf.DUMMYFUNCTION("""COMPUTED_VALUE"""),4.0)</f>
        <v>4</v>
      </c>
      <c r="O207" s="176"/>
      <c r="P207" s="176"/>
      <c r="Q207" s="176"/>
      <c r="R207" s="176"/>
      <c r="S207" s="176"/>
      <c r="T207" s="176"/>
      <c r="U207" s="176"/>
      <c r="V207" s="176"/>
      <c r="W207" s="176"/>
      <c r="X207" s="176"/>
      <c r="Y207" s="176"/>
      <c r="Z207" s="176"/>
    </row>
    <row r="208">
      <c r="A208" s="249" t="s">
        <v>25</v>
      </c>
      <c r="B208" s="249" t="s">
        <v>43</v>
      </c>
      <c r="C208" s="329" t="s">
        <v>2593</v>
      </c>
      <c r="D208" s="268" t="s">
        <v>495</v>
      </c>
      <c r="E208" s="361">
        <v>44229.0</v>
      </c>
      <c r="F208" s="250" t="s">
        <v>496</v>
      </c>
      <c r="G208" s="171"/>
      <c r="H208" s="171"/>
      <c r="I208" s="171"/>
      <c r="J208" s="172">
        <f t="shared" si="2"/>
        <v>0</v>
      </c>
      <c r="K208" s="330">
        <v>2.1953405017921144</v>
      </c>
      <c r="L208" s="327">
        <f t="shared" si="3"/>
        <v>7.573781541</v>
      </c>
      <c r="M208" s="321"/>
      <c r="N208" s="176">
        <f>IFERROR(__xludf.DUMMYFUNCTION("""COMPUTED_VALUE"""),5.0)</f>
        <v>5</v>
      </c>
      <c r="O208" s="176"/>
      <c r="P208" s="176"/>
      <c r="Q208" s="176"/>
      <c r="R208" s="176"/>
      <c r="S208" s="176"/>
      <c r="T208" s="176"/>
      <c r="U208" s="176"/>
      <c r="V208" s="176"/>
      <c r="W208" s="176"/>
      <c r="X208" s="176"/>
      <c r="Y208" s="176"/>
      <c r="Z208" s="176"/>
    </row>
    <row r="209">
      <c r="A209" s="249" t="s">
        <v>25</v>
      </c>
      <c r="B209" s="249" t="s">
        <v>590</v>
      </c>
      <c r="C209" s="329" t="s">
        <v>2492</v>
      </c>
      <c r="D209" s="268" t="s">
        <v>495</v>
      </c>
      <c r="E209" s="361">
        <v>44229.0</v>
      </c>
      <c r="F209" s="250" t="s">
        <v>496</v>
      </c>
      <c r="G209" s="171"/>
      <c r="H209" s="171"/>
      <c r="I209" s="171"/>
      <c r="J209" s="172">
        <f t="shared" si="2"/>
        <v>0</v>
      </c>
      <c r="K209" s="330">
        <v>2.1953405017921144</v>
      </c>
      <c r="L209" s="327">
        <f t="shared" si="3"/>
        <v>7.573781541</v>
      </c>
      <c r="M209" s="321"/>
      <c r="N209" s="176">
        <f>IFERROR(__xludf.DUMMYFUNCTION("""COMPUTED_VALUE"""),6.0)</f>
        <v>6</v>
      </c>
      <c r="O209" s="176"/>
      <c r="P209" s="176"/>
      <c r="Q209" s="176"/>
      <c r="R209" s="176"/>
      <c r="S209" s="176"/>
      <c r="T209" s="176"/>
      <c r="U209" s="176"/>
      <c r="V209" s="176"/>
      <c r="W209" s="176"/>
      <c r="X209" s="176"/>
      <c r="Y209" s="176"/>
      <c r="Z209" s="176"/>
    </row>
    <row r="210">
      <c r="A210" s="249" t="s">
        <v>25</v>
      </c>
      <c r="B210" s="249" t="s">
        <v>10</v>
      </c>
      <c r="C210" s="329" t="s">
        <v>2594</v>
      </c>
      <c r="D210" s="268" t="s">
        <v>495</v>
      </c>
      <c r="E210" s="361">
        <v>44232.0</v>
      </c>
      <c r="F210" s="250" t="s">
        <v>496</v>
      </c>
      <c r="G210" s="171"/>
      <c r="H210" s="171"/>
      <c r="I210" s="171"/>
      <c r="J210" s="172">
        <f t="shared" si="2"/>
        <v>0</v>
      </c>
      <c r="K210" s="330">
        <v>2.1953405017921144</v>
      </c>
      <c r="L210" s="327">
        <f t="shared" si="3"/>
        <v>7.573781541</v>
      </c>
      <c r="M210" s="321"/>
      <c r="N210" s="176">
        <f>IFERROR(__xludf.DUMMYFUNCTION("""COMPUTED_VALUE"""),7.0)</f>
        <v>7</v>
      </c>
      <c r="O210" s="176"/>
      <c r="P210" s="176"/>
      <c r="Q210" s="176"/>
      <c r="R210" s="176"/>
      <c r="S210" s="176"/>
      <c r="T210" s="176"/>
      <c r="U210" s="176"/>
      <c r="V210" s="176"/>
      <c r="W210" s="176"/>
      <c r="X210" s="176"/>
      <c r="Y210" s="176"/>
      <c r="Z210" s="176"/>
    </row>
    <row r="211">
      <c r="A211" s="249" t="s">
        <v>25</v>
      </c>
      <c r="B211" s="249" t="s">
        <v>10</v>
      </c>
      <c r="C211" s="329" t="s">
        <v>2595</v>
      </c>
      <c r="D211" s="268" t="s">
        <v>495</v>
      </c>
      <c r="E211" s="361">
        <v>44232.0</v>
      </c>
      <c r="F211" s="250" t="s">
        <v>496</v>
      </c>
      <c r="G211" s="171"/>
      <c r="H211" s="171"/>
      <c r="I211" s="171"/>
      <c r="J211" s="172">
        <f t="shared" si="2"/>
        <v>0</v>
      </c>
      <c r="K211" s="330">
        <v>2.1953405017921144</v>
      </c>
      <c r="L211" s="327">
        <f t="shared" si="3"/>
        <v>7.573781541</v>
      </c>
      <c r="M211" s="321"/>
      <c r="N211" s="176">
        <f>IFERROR(__xludf.DUMMYFUNCTION("""COMPUTED_VALUE"""),8.0)</f>
        <v>8</v>
      </c>
      <c r="O211" s="176"/>
      <c r="P211" s="176"/>
      <c r="Q211" s="176"/>
      <c r="R211" s="176"/>
      <c r="S211" s="176"/>
      <c r="T211" s="176"/>
      <c r="U211" s="176"/>
      <c r="V211" s="176"/>
      <c r="W211" s="176"/>
      <c r="X211" s="176"/>
      <c r="Y211" s="176"/>
      <c r="Z211" s="176"/>
    </row>
    <row r="212">
      <c r="A212" s="249" t="s">
        <v>25</v>
      </c>
      <c r="B212" s="249" t="s">
        <v>10</v>
      </c>
      <c r="C212" s="329" t="s">
        <v>2582</v>
      </c>
      <c r="D212" s="268" t="s">
        <v>495</v>
      </c>
      <c r="E212" s="361">
        <v>44232.0</v>
      </c>
      <c r="F212" s="250" t="s">
        <v>496</v>
      </c>
      <c r="G212" s="171"/>
      <c r="H212" s="171"/>
      <c r="I212" s="171"/>
      <c r="J212" s="172">
        <f t="shared" si="2"/>
        <v>0</v>
      </c>
      <c r="K212" s="330">
        <v>2.1953405017921144</v>
      </c>
      <c r="L212" s="327">
        <f t="shared" si="3"/>
        <v>7.573781541</v>
      </c>
      <c r="M212" s="321"/>
      <c r="N212" s="176">
        <f>IFERROR(__xludf.DUMMYFUNCTION("""COMPUTED_VALUE"""),9.0)</f>
        <v>9</v>
      </c>
      <c r="O212" s="176"/>
      <c r="P212" s="176"/>
      <c r="Q212" s="176"/>
      <c r="R212" s="176"/>
      <c r="S212" s="176"/>
      <c r="T212" s="176"/>
      <c r="U212" s="176"/>
      <c r="V212" s="176"/>
      <c r="W212" s="176"/>
      <c r="X212" s="176"/>
      <c r="Y212" s="176"/>
      <c r="Z212" s="176"/>
    </row>
    <row r="213">
      <c r="A213" s="249" t="s">
        <v>25</v>
      </c>
      <c r="B213" s="249" t="s">
        <v>10</v>
      </c>
      <c r="C213" s="329" t="s">
        <v>2512</v>
      </c>
      <c r="D213" s="268" t="s">
        <v>495</v>
      </c>
      <c r="E213" s="361">
        <v>44232.0</v>
      </c>
      <c r="F213" s="250" t="s">
        <v>496</v>
      </c>
      <c r="G213" s="171"/>
      <c r="H213" s="171"/>
      <c r="I213" s="171"/>
      <c r="J213" s="172">
        <f t="shared" si="2"/>
        <v>0</v>
      </c>
      <c r="K213" s="330">
        <v>2.1953405017921144</v>
      </c>
      <c r="L213" s="327">
        <f t="shared" si="3"/>
        <v>7.573781541</v>
      </c>
      <c r="M213" s="321"/>
      <c r="N213" s="176">
        <f>IFERROR(__xludf.DUMMYFUNCTION("""COMPUTED_VALUE"""),10.0)</f>
        <v>10</v>
      </c>
      <c r="O213" s="176"/>
      <c r="P213" s="176"/>
      <c r="Q213" s="176"/>
      <c r="R213" s="176"/>
      <c r="S213" s="176"/>
      <c r="T213" s="176"/>
      <c r="U213" s="176"/>
      <c r="V213" s="176"/>
      <c r="W213" s="176"/>
      <c r="X213" s="176"/>
      <c r="Y213" s="176"/>
      <c r="Z213" s="176"/>
    </row>
    <row r="214">
      <c r="A214" s="249" t="s">
        <v>25</v>
      </c>
      <c r="B214" s="249" t="s">
        <v>10</v>
      </c>
      <c r="C214" s="329" t="s">
        <v>2497</v>
      </c>
      <c r="D214" s="268" t="s">
        <v>495</v>
      </c>
      <c r="E214" s="361">
        <v>44232.0</v>
      </c>
      <c r="F214" s="250" t="s">
        <v>496</v>
      </c>
      <c r="G214" s="171"/>
      <c r="H214" s="171"/>
      <c r="I214" s="171"/>
      <c r="J214" s="172">
        <f t="shared" si="2"/>
        <v>0</v>
      </c>
      <c r="K214" s="330">
        <v>2.1953405017921144</v>
      </c>
      <c r="L214" s="327">
        <f t="shared" si="3"/>
        <v>7.573781541</v>
      </c>
      <c r="M214" s="321"/>
      <c r="N214" s="176">
        <f>IFERROR(__xludf.DUMMYFUNCTION("""COMPUTED_VALUE"""),11.0)</f>
        <v>11</v>
      </c>
      <c r="O214" s="176"/>
      <c r="P214" s="176"/>
      <c r="Q214" s="176"/>
      <c r="R214" s="176"/>
      <c r="S214" s="176"/>
      <c r="T214" s="176"/>
      <c r="U214" s="176"/>
      <c r="V214" s="176"/>
      <c r="W214" s="176"/>
      <c r="X214" s="176"/>
      <c r="Y214" s="176"/>
      <c r="Z214" s="176"/>
    </row>
    <row r="215">
      <c r="A215" s="249" t="s">
        <v>25</v>
      </c>
      <c r="B215" s="249" t="s">
        <v>10</v>
      </c>
      <c r="C215" s="329" t="s">
        <v>494</v>
      </c>
      <c r="D215" s="268" t="s">
        <v>495</v>
      </c>
      <c r="E215" s="361">
        <v>44232.0</v>
      </c>
      <c r="F215" s="250" t="s">
        <v>545</v>
      </c>
      <c r="G215" s="171"/>
      <c r="H215" s="171"/>
      <c r="I215" s="171"/>
      <c r="J215" s="172">
        <f t="shared" si="2"/>
        <v>0</v>
      </c>
      <c r="K215" s="330">
        <v>2.1953405017921144</v>
      </c>
      <c r="L215" s="327">
        <f t="shared" si="3"/>
        <v>7.573781541</v>
      </c>
      <c r="M215" s="321"/>
      <c r="N215" s="176">
        <f>IFERROR(__xludf.DUMMYFUNCTION("""COMPUTED_VALUE"""),12.0)</f>
        <v>12</v>
      </c>
      <c r="O215" s="176"/>
      <c r="P215" s="176"/>
      <c r="Q215" s="176"/>
      <c r="R215" s="176"/>
      <c r="S215" s="176"/>
      <c r="T215" s="176"/>
      <c r="U215" s="176"/>
      <c r="V215" s="176"/>
      <c r="W215" s="176"/>
      <c r="X215" s="176"/>
      <c r="Y215" s="176"/>
      <c r="Z215" s="176"/>
    </row>
    <row r="216">
      <c r="A216" s="249" t="s">
        <v>25</v>
      </c>
      <c r="B216" s="249" t="s">
        <v>590</v>
      </c>
      <c r="C216" s="329" t="s">
        <v>2590</v>
      </c>
      <c r="D216" s="268" t="s">
        <v>495</v>
      </c>
      <c r="E216" s="361">
        <v>44232.0</v>
      </c>
      <c r="F216" s="250" t="s">
        <v>496</v>
      </c>
      <c r="G216" s="171"/>
      <c r="H216" s="171"/>
      <c r="I216" s="171"/>
      <c r="J216" s="172">
        <f t="shared" si="2"/>
        <v>0</v>
      </c>
      <c r="K216" s="330">
        <v>2.1953405017921144</v>
      </c>
      <c r="L216" s="327">
        <f t="shared" si="3"/>
        <v>7.573781541</v>
      </c>
      <c r="M216" s="321"/>
      <c r="N216" s="176">
        <f>IFERROR(__xludf.DUMMYFUNCTION("""COMPUTED_VALUE"""),13.0)</f>
        <v>13</v>
      </c>
      <c r="O216" s="176"/>
      <c r="P216" s="176"/>
      <c r="Q216" s="176"/>
      <c r="R216" s="176"/>
      <c r="S216" s="176"/>
      <c r="T216" s="176"/>
      <c r="U216" s="176"/>
      <c r="V216" s="176"/>
      <c r="W216" s="176"/>
      <c r="X216" s="176"/>
      <c r="Y216" s="176"/>
      <c r="Z216" s="176"/>
    </row>
    <row r="217">
      <c r="A217" s="249" t="s">
        <v>25</v>
      </c>
      <c r="B217" s="249" t="s">
        <v>1228</v>
      </c>
      <c r="C217" s="329" t="s">
        <v>2499</v>
      </c>
      <c r="D217" s="268" t="s">
        <v>495</v>
      </c>
      <c r="E217" s="361">
        <v>44236.0</v>
      </c>
      <c r="F217" s="250" t="s">
        <v>496</v>
      </c>
      <c r="G217" s="171"/>
      <c r="H217" s="171"/>
      <c r="I217" s="171"/>
      <c r="J217" s="172">
        <f t="shared" si="2"/>
        <v>0</v>
      </c>
      <c r="K217" s="330">
        <v>2.1953405017921144</v>
      </c>
      <c r="L217" s="327">
        <f t="shared" si="3"/>
        <v>7.573781541</v>
      </c>
      <c r="M217" s="321"/>
      <c r="N217" s="176">
        <f>IFERROR(__xludf.DUMMYFUNCTION("""COMPUTED_VALUE"""),14.0)</f>
        <v>14</v>
      </c>
      <c r="O217" s="176"/>
      <c r="P217" s="176"/>
      <c r="Q217" s="176"/>
      <c r="R217" s="176"/>
      <c r="S217" s="176"/>
      <c r="T217" s="176"/>
      <c r="U217" s="176"/>
      <c r="V217" s="176"/>
      <c r="W217" s="176"/>
      <c r="X217" s="176"/>
      <c r="Y217" s="176"/>
      <c r="Z217" s="176"/>
    </row>
    <row r="218">
      <c r="A218" s="249" t="s">
        <v>25</v>
      </c>
      <c r="B218" s="249" t="s">
        <v>590</v>
      </c>
      <c r="C218" s="329" t="s">
        <v>2500</v>
      </c>
      <c r="D218" s="268" t="s">
        <v>495</v>
      </c>
      <c r="E218" s="361">
        <v>44236.0</v>
      </c>
      <c r="F218" s="250" t="s">
        <v>496</v>
      </c>
      <c r="G218" s="171"/>
      <c r="H218" s="171"/>
      <c r="I218" s="171"/>
      <c r="J218" s="172">
        <f t="shared" si="2"/>
        <v>0</v>
      </c>
      <c r="K218" s="330">
        <v>2.1953405017921144</v>
      </c>
      <c r="L218" s="327">
        <f t="shared" si="3"/>
        <v>7.573781541</v>
      </c>
      <c r="M218" s="321"/>
      <c r="N218" s="176">
        <f>IFERROR(__xludf.DUMMYFUNCTION("""COMPUTED_VALUE"""),15.0)</f>
        <v>15</v>
      </c>
      <c r="O218" s="176"/>
      <c r="P218" s="176"/>
      <c r="Q218" s="176"/>
      <c r="R218" s="176"/>
      <c r="S218" s="176"/>
      <c r="T218" s="176"/>
      <c r="U218" s="176"/>
      <c r="V218" s="176"/>
      <c r="W218" s="176"/>
      <c r="X218" s="176"/>
      <c r="Y218" s="176"/>
      <c r="Z218" s="176"/>
    </row>
    <row r="219">
      <c r="A219" s="249" t="s">
        <v>25</v>
      </c>
      <c r="B219" s="249" t="s">
        <v>590</v>
      </c>
      <c r="C219" s="329" t="s">
        <v>2596</v>
      </c>
      <c r="D219" s="268" t="s">
        <v>495</v>
      </c>
      <c r="E219" s="361">
        <v>44236.0</v>
      </c>
      <c r="F219" s="250" t="s">
        <v>496</v>
      </c>
      <c r="G219" s="171"/>
      <c r="H219" s="171"/>
      <c r="I219" s="171"/>
      <c r="J219" s="172">
        <f t="shared" si="2"/>
        <v>0</v>
      </c>
      <c r="K219" s="330">
        <v>2.1953405017921144</v>
      </c>
      <c r="L219" s="327">
        <f t="shared" si="3"/>
        <v>7.573781541</v>
      </c>
      <c r="M219" s="321"/>
      <c r="N219" s="176">
        <f>IFERROR(__xludf.DUMMYFUNCTION("""COMPUTED_VALUE"""),16.0)</f>
        <v>16</v>
      </c>
      <c r="O219" s="176"/>
      <c r="P219" s="176"/>
      <c r="Q219" s="176"/>
      <c r="R219" s="176"/>
      <c r="S219" s="176"/>
      <c r="T219" s="176"/>
      <c r="U219" s="176"/>
      <c r="V219" s="176"/>
      <c r="W219" s="176"/>
      <c r="X219" s="176"/>
      <c r="Y219" s="176"/>
      <c r="Z219" s="176"/>
    </row>
    <row r="220">
      <c r="A220" s="249" t="s">
        <v>25</v>
      </c>
      <c r="B220" s="249" t="s">
        <v>18</v>
      </c>
      <c r="C220" s="329" t="s">
        <v>2587</v>
      </c>
      <c r="D220" s="268" t="s">
        <v>495</v>
      </c>
      <c r="E220" s="361">
        <v>44236.0</v>
      </c>
      <c r="F220" s="250" t="s">
        <v>496</v>
      </c>
      <c r="G220" s="171"/>
      <c r="H220" s="171"/>
      <c r="I220" s="171"/>
      <c r="J220" s="172">
        <f t="shared" si="2"/>
        <v>0</v>
      </c>
      <c r="K220" s="330">
        <v>2.1953405017921144</v>
      </c>
      <c r="L220" s="327">
        <f t="shared" si="3"/>
        <v>7.573781541</v>
      </c>
      <c r="M220" s="321"/>
      <c r="N220" s="176">
        <f>IFERROR(__xludf.DUMMYFUNCTION("""COMPUTED_VALUE"""),17.0)</f>
        <v>17</v>
      </c>
      <c r="O220" s="176"/>
      <c r="P220" s="176"/>
      <c r="Q220" s="176"/>
      <c r="R220" s="176"/>
      <c r="S220" s="176"/>
      <c r="T220" s="176"/>
      <c r="U220" s="176"/>
      <c r="V220" s="176"/>
      <c r="W220" s="176"/>
      <c r="X220" s="176"/>
      <c r="Y220" s="176"/>
      <c r="Z220" s="176"/>
    </row>
    <row r="221">
      <c r="A221" s="249" t="s">
        <v>25</v>
      </c>
      <c r="B221" s="249" t="s">
        <v>18</v>
      </c>
      <c r="C221" s="329" t="s">
        <v>2502</v>
      </c>
      <c r="D221" s="268" t="s">
        <v>495</v>
      </c>
      <c r="E221" s="361">
        <v>44236.0</v>
      </c>
      <c r="F221" s="250" t="s">
        <v>496</v>
      </c>
      <c r="G221" s="171"/>
      <c r="H221" s="171"/>
      <c r="I221" s="171"/>
      <c r="J221" s="172">
        <f t="shared" si="2"/>
        <v>0</v>
      </c>
      <c r="K221" s="330">
        <v>2.1953405017921144</v>
      </c>
      <c r="L221" s="327">
        <f t="shared" si="3"/>
        <v>7.573781541</v>
      </c>
      <c r="M221" s="321"/>
      <c r="N221" s="176">
        <f>IFERROR(__xludf.DUMMYFUNCTION("""COMPUTED_VALUE"""),18.0)</f>
        <v>18</v>
      </c>
      <c r="O221" s="176"/>
      <c r="P221" s="176"/>
      <c r="Q221" s="176"/>
      <c r="R221" s="176"/>
      <c r="S221" s="176"/>
      <c r="T221" s="176"/>
      <c r="U221" s="176"/>
      <c r="V221" s="176"/>
      <c r="W221" s="176"/>
      <c r="X221" s="176"/>
      <c r="Y221" s="176"/>
      <c r="Z221" s="176"/>
    </row>
    <row r="222">
      <c r="A222" s="249" t="s">
        <v>25</v>
      </c>
      <c r="B222" s="249" t="s">
        <v>10</v>
      </c>
      <c r="C222" s="329" t="s">
        <v>2597</v>
      </c>
      <c r="D222" s="268" t="s">
        <v>495</v>
      </c>
      <c r="E222" s="251">
        <v>44239.0</v>
      </c>
      <c r="F222" s="250" t="s">
        <v>496</v>
      </c>
      <c r="G222" s="171"/>
      <c r="H222" s="171"/>
      <c r="I222" s="171"/>
      <c r="J222" s="172">
        <f t="shared" si="2"/>
        <v>0</v>
      </c>
      <c r="K222" s="330">
        <v>2.1953405017921144</v>
      </c>
      <c r="L222" s="327">
        <f t="shared" si="3"/>
        <v>7.573781541</v>
      </c>
      <c r="M222" s="321"/>
      <c r="N222" s="176">
        <f>IFERROR(__xludf.DUMMYFUNCTION("""COMPUTED_VALUE"""),19.0)</f>
        <v>19</v>
      </c>
      <c r="O222" s="176"/>
      <c r="P222" s="176"/>
      <c r="Q222" s="176"/>
      <c r="R222" s="176"/>
      <c r="S222" s="176"/>
      <c r="T222" s="176"/>
      <c r="U222" s="176"/>
      <c r="V222" s="176"/>
      <c r="W222" s="176"/>
      <c r="X222" s="176"/>
      <c r="Y222" s="176"/>
      <c r="Z222" s="176"/>
    </row>
    <row r="223">
      <c r="A223" s="249" t="s">
        <v>25</v>
      </c>
      <c r="B223" s="249" t="s">
        <v>10</v>
      </c>
      <c r="C223" s="329" t="s">
        <v>2506</v>
      </c>
      <c r="D223" s="268" t="s">
        <v>495</v>
      </c>
      <c r="E223" s="251">
        <v>44239.0</v>
      </c>
      <c r="F223" s="250" t="s">
        <v>496</v>
      </c>
      <c r="G223" s="171"/>
      <c r="H223" s="171"/>
      <c r="I223" s="171"/>
      <c r="J223" s="172">
        <f t="shared" si="2"/>
        <v>0</v>
      </c>
      <c r="K223" s="330">
        <v>2.1953405017921144</v>
      </c>
      <c r="L223" s="327">
        <f t="shared" si="3"/>
        <v>7.573781541</v>
      </c>
      <c r="M223" s="321"/>
      <c r="N223" s="176">
        <f>IFERROR(__xludf.DUMMYFUNCTION("""COMPUTED_VALUE"""),20.0)</f>
        <v>20</v>
      </c>
      <c r="O223" s="176"/>
      <c r="P223" s="176"/>
      <c r="Q223" s="176"/>
      <c r="R223" s="176"/>
      <c r="S223" s="176"/>
      <c r="T223" s="176"/>
      <c r="U223" s="176"/>
      <c r="V223" s="176"/>
      <c r="W223" s="176"/>
      <c r="X223" s="176"/>
      <c r="Y223" s="176"/>
      <c r="Z223" s="176"/>
    </row>
    <row r="224">
      <c r="A224" s="249" t="s">
        <v>25</v>
      </c>
      <c r="B224" s="249" t="s">
        <v>10</v>
      </c>
      <c r="C224" s="329" t="s">
        <v>494</v>
      </c>
      <c r="D224" s="268" t="s">
        <v>495</v>
      </c>
      <c r="E224" s="251">
        <v>44239.0</v>
      </c>
      <c r="F224" s="250" t="s">
        <v>545</v>
      </c>
      <c r="G224" s="171"/>
      <c r="H224" s="171"/>
      <c r="I224" s="171"/>
      <c r="J224" s="172">
        <f t="shared" si="2"/>
        <v>0</v>
      </c>
      <c r="K224" s="330">
        <v>2.1953405017921144</v>
      </c>
      <c r="L224" s="327">
        <f t="shared" si="3"/>
        <v>7.573781541</v>
      </c>
      <c r="M224" s="321"/>
      <c r="N224" s="176">
        <f>IFERROR(__xludf.DUMMYFUNCTION("""COMPUTED_VALUE"""),21.0)</f>
        <v>21</v>
      </c>
      <c r="O224" s="176"/>
      <c r="P224" s="176"/>
      <c r="Q224" s="176"/>
      <c r="R224" s="176"/>
      <c r="S224" s="176"/>
      <c r="T224" s="176"/>
      <c r="U224" s="176"/>
      <c r="V224" s="176"/>
      <c r="W224" s="176"/>
      <c r="X224" s="176"/>
      <c r="Y224" s="176"/>
      <c r="Z224" s="176"/>
    </row>
    <row r="225">
      <c r="A225" s="249" t="s">
        <v>25</v>
      </c>
      <c r="B225" s="249" t="s">
        <v>867</v>
      </c>
      <c r="C225" s="329" t="s">
        <v>2598</v>
      </c>
      <c r="D225" s="268" t="s">
        <v>495</v>
      </c>
      <c r="E225" s="251">
        <v>44239.0</v>
      </c>
      <c r="F225" s="250" t="s">
        <v>496</v>
      </c>
      <c r="G225" s="171"/>
      <c r="H225" s="171"/>
      <c r="I225" s="171"/>
      <c r="J225" s="172">
        <f t="shared" si="2"/>
        <v>0</v>
      </c>
      <c r="K225" s="330">
        <v>2.1953405017921144</v>
      </c>
      <c r="L225" s="327">
        <f t="shared" si="3"/>
        <v>7.573781541</v>
      </c>
      <c r="M225" s="321"/>
      <c r="N225" s="176">
        <f>IFERROR(__xludf.DUMMYFUNCTION("""COMPUTED_VALUE"""),22.0)</f>
        <v>22</v>
      </c>
      <c r="O225" s="176"/>
      <c r="P225" s="176"/>
      <c r="Q225" s="176"/>
      <c r="R225" s="176"/>
      <c r="S225" s="176"/>
      <c r="T225" s="176"/>
      <c r="U225" s="176"/>
      <c r="V225" s="176"/>
      <c r="W225" s="176"/>
      <c r="X225" s="176"/>
      <c r="Y225" s="176"/>
      <c r="Z225" s="176"/>
    </row>
    <row r="226">
      <c r="A226" s="249" t="s">
        <v>25</v>
      </c>
      <c r="B226" s="249" t="s">
        <v>590</v>
      </c>
      <c r="C226" s="329" t="s">
        <v>2599</v>
      </c>
      <c r="D226" s="268" t="s">
        <v>495</v>
      </c>
      <c r="E226" s="251">
        <v>44239.0</v>
      </c>
      <c r="F226" s="250" t="s">
        <v>496</v>
      </c>
      <c r="G226" s="171"/>
      <c r="H226" s="171"/>
      <c r="I226" s="171"/>
      <c r="J226" s="172">
        <f t="shared" si="2"/>
        <v>0</v>
      </c>
      <c r="K226" s="330">
        <v>2.1953405017921144</v>
      </c>
      <c r="L226" s="327">
        <f t="shared" si="3"/>
        <v>7.573781541</v>
      </c>
      <c r="M226" s="321"/>
      <c r="N226" s="176">
        <f>IFERROR(__xludf.DUMMYFUNCTION("""COMPUTED_VALUE"""),23.0)</f>
        <v>23</v>
      </c>
      <c r="O226" s="176"/>
      <c r="P226" s="176"/>
      <c r="Q226" s="176"/>
      <c r="R226" s="176"/>
      <c r="S226" s="176"/>
      <c r="T226" s="176"/>
      <c r="U226" s="176"/>
      <c r="V226" s="176"/>
      <c r="W226" s="176"/>
      <c r="X226" s="176"/>
      <c r="Y226" s="176"/>
      <c r="Z226" s="176"/>
    </row>
    <row r="227">
      <c r="A227" s="240" t="s">
        <v>25</v>
      </c>
      <c r="B227" s="343" t="s">
        <v>534</v>
      </c>
      <c r="C227" s="221" t="s">
        <v>684</v>
      </c>
      <c r="D227" s="343"/>
      <c r="E227" s="344"/>
      <c r="F227" s="343"/>
      <c r="G227" s="343"/>
      <c r="H227" s="253"/>
      <c r="I227" s="253"/>
      <c r="J227" s="172">
        <f t="shared" si="2"/>
        <v>0</v>
      </c>
      <c r="K227" s="299">
        <f>50.493*-0.85</f>
        <v>-42.91905</v>
      </c>
      <c r="L227" s="327">
        <f t="shared" si="3"/>
        <v>7.573781541</v>
      </c>
      <c r="M227" s="321" t="str">
        <f t="shared" ref="M227:M277" si="10">A227</f>
        <v>freedumbs00</v>
      </c>
      <c r="N227" s="336">
        <f>IFERROR(__xludf.DUMMYFUNCTION("""COMPUTED_VALUE"""),24.0)</f>
        <v>24</v>
      </c>
      <c r="O227" s="343"/>
      <c r="P227" s="343"/>
      <c r="Q227" s="343"/>
      <c r="R227" s="336">
        <v>36.89669088595067</v>
      </c>
      <c r="S227" s="343"/>
      <c r="T227" s="343"/>
      <c r="U227" s="343"/>
      <c r="V227" s="343"/>
      <c r="W227" s="343"/>
      <c r="X227" s="343"/>
      <c r="Y227" s="226"/>
      <c r="Z227" s="226"/>
    </row>
    <row r="228">
      <c r="A228" s="249" t="s">
        <v>27</v>
      </c>
      <c r="B228" s="249" t="s">
        <v>519</v>
      </c>
      <c r="C228" s="329" t="s">
        <v>2600</v>
      </c>
      <c r="D228" s="268" t="s">
        <v>495</v>
      </c>
      <c r="E228" s="361">
        <v>44232.0</v>
      </c>
      <c r="F228" s="250" t="s">
        <v>1956</v>
      </c>
      <c r="G228" s="171">
        <v>150.0</v>
      </c>
      <c r="H228" s="171">
        <v>100.0</v>
      </c>
      <c r="I228" s="171">
        <v>100.0</v>
      </c>
      <c r="J228" s="325">
        <f t="shared" si="2"/>
        <v>0.004466462261</v>
      </c>
      <c r="K228" s="326">
        <f t="shared" ref="K228:K238" si="11">J228*$J$1</f>
        <v>3.647610847</v>
      </c>
      <c r="L228" s="327">
        <f t="shared" si="3"/>
        <v>7.49171896</v>
      </c>
      <c r="M228" s="321" t="str">
        <f t="shared" si="10"/>
        <v>merlinegalite</v>
      </c>
      <c r="N228" s="176">
        <f>IFERROR(__xludf.DUMMYFUNCTION("""COMPUTED_VALUE"""),1.0)</f>
        <v>1</v>
      </c>
      <c r="O228" s="176"/>
      <c r="P228" s="176"/>
      <c r="Q228" s="176"/>
      <c r="R228" s="176"/>
      <c r="S228" s="176"/>
      <c r="T228" s="176"/>
      <c r="U228" s="176"/>
      <c r="V228" s="176"/>
      <c r="W228" s="176"/>
      <c r="X228" s="176"/>
      <c r="Y228" s="176"/>
      <c r="Z228" s="176"/>
    </row>
    <row r="229">
      <c r="A229" s="249" t="s">
        <v>27</v>
      </c>
      <c r="B229" s="249" t="s">
        <v>519</v>
      </c>
      <c r="C229" s="329" t="s">
        <v>2329</v>
      </c>
      <c r="D229" s="268" t="s">
        <v>495</v>
      </c>
      <c r="E229" s="251">
        <v>44237.0</v>
      </c>
      <c r="F229" s="250" t="s">
        <v>521</v>
      </c>
      <c r="G229" s="171">
        <v>40.0</v>
      </c>
      <c r="H229" s="171">
        <v>50.0</v>
      </c>
      <c r="I229" s="171">
        <v>60.0</v>
      </c>
      <c r="J229" s="325">
        <f t="shared" si="2"/>
        <v>0.001952063723</v>
      </c>
      <c r="K229" s="326">
        <f t="shared" si="11"/>
        <v>1.594185374</v>
      </c>
      <c r="L229" s="327">
        <f t="shared" si="3"/>
        <v>7.49171896</v>
      </c>
      <c r="M229" s="321" t="str">
        <f t="shared" si="10"/>
        <v>merlinegalite</v>
      </c>
      <c r="N229" s="176">
        <f>IFERROR(__xludf.DUMMYFUNCTION("""COMPUTED_VALUE"""),2.0)</f>
        <v>2</v>
      </c>
      <c r="O229" s="176"/>
      <c r="P229" s="176"/>
      <c r="Q229" s="176"/>
      <c r="R229" s="176"/>
      <c r="S229" s="176"/>
      <c r="T229" s="176"/>
      <c r="U229" s="176"/>
      <c r="V229" s="176"/>
      <c r="W229" s="176"/>
      <c r="X229" s="176"/>
      <c r="Y229" s="176"/>
      <c r="Z229" s="176"/>
    </row>
    <row r="230">
      <c r="A230" s="249" t="s">
        <v>27</v>
      </c>
      <c r="B230" s="249" t="s">
        <v>519</v>
      </c>
      <c r="C230" s="329" t="s">
        <v>2329</v>
      </c>
      <c r="D230" s="268" t="s">
        <v>495</v>
      </c>
      <c r="E230" s="361">
        <v>44230.0</v>
      </c>
      <c r="F230" s="250" t="s">
        <v>521</v>
      </c>
      <c r="G230" s="171">
        <v>40.0</v>
      </c>
      <c r="H230" s="171">
        <v>25.0</v>
      </c>
      <c r="I230" s="171">
        <v>80.0</v>
      </c>
      <c r="J230" s="325">
        <f t="shared" si="2"/>
        <v>0.001778975575</v>
      </c>
      <c r="K230" s="326">
        <f t="shared" si="11"/>
        <v>1.452830053</v>
      </c>
      <c r="L230" s="327">
        <f t="shared" si="3"/>
        <v>7.49171896</v>
      </c>
      <c r="M230" s="321" t="str">
        <f t="shared" si="10"/>
        <v>merlinegalite</v>
      </c>
      <c r="N230" s="176">
        <f>IFERROR(__xludf.DUMMYFUNCTION("""COMPUTED_VALUE"""),3.0)</f>
        <v>3</v>
      </c>
      <c r="O230" s="176"/>
      <c r="P230" s="176"/>
      <c r="Q230" s="176"/>
      <c r="R230" s="176"/>
      <c r="S230" s="176"/>
      <c r="T230" s="176"/>
      <c r="U230" s="176"/>
      <c r="V230" s="176"/>
      <c r="W230" s="176"/>
      <c r="X230" s="176"/>
      <c r="Y230" s="176"/>
      <c r="Z230" s="176"/>
    </row>
    <row r="231">
      <c r="A231" s="249" t="s">
        <v>27</v>
      </c>
      <c r="B231" s="249" t="s">
        <v>10</v>
      </c>
      <c r="C231" s="329" t="s">
        <v>2530</v>
      </c>
      <c r="D231" s="268" t="s">
        <v>495</v>
      </c>
      <c r="E231" s="251">
        <v>44239.0</v>
      </c>
      <c r="F231" s="250" t="s">
        <v>499</v>
      </c>
      <c r="G231" s="171">
        <v>10.0</v>
      </c>
      <c r="H231" s="171">
        <v>15.0</v>
      </c>
      <c r="I231" s="171">
        <v>15.0</v>
      </c>
      <c r="J231" s="325">
        <f t="shared" si="2"/>
        <v>0.0005283808294</v>
      </c>
      <c r="K231" s="326">
        <f t="shared" si="11"/>
        <v>0.4315110107</v>
      </c>
      <c r="L231" s="327">
        <f t="shared" si="3"/>
        <v>7.49171896</v>
      </c>
      <c r="M231" s="321" t="str">
        <f t="shared" si="10"/>
        <v>merlinegalite</v>
      </c>
      <c r="N231" s="176">
        <f>IFERROR(__xludf.DUMMYFUNCTION("""COMPUTED_VALUE"""),4.0)</f>
        <v>4</v>
      </c>
      <c r="O231" s="176"/>
      <c r="P231" s="176"/>
      <c r="Q231" s="176"/>
      <c r="R231" s="176"/>
      <c r="S231" s="176"/>
      <c r="T231" s="176"/>
      <c r="U231" s="176"/>
      <c r="V231" s="176"/>
      <c r="W231" s="176"/>
      <c r="X231" s="176"/>
      <c r="Y231" s="176"/>
      <c r="Z231" s="176"/>
    </row>
    <row r="232">
      <c r="A232" s="249" t="s">
        <v>27</v>
      </c>
      <c r="B232" s="249" t="s">
        <v>10</v>
      </c>
      <c r="C232" s="329" t="s">
        <v>2531</v>
      </c>
      <c r="D232" s="268" t="s">
        <v>495</v>
      </c>
      <c r="E232" s="361">
        <v>44232.0</v>
      </c>
      <c r="F232" s="250" t="s">
        <v>499</v>
      </c>
      <c r="G232" s="171">
        <v>10.0</v>
      </c>
      <c r="H232" s="171">
        <v>10.0</v>
      </c>
      <c r="I232" s="171">
        <v>15.0</v>
      </c>
      <c r="J232" s="325">
        <f t="shared" si="2"/>
        <v>0.000447651032</v>
      </c>
      <c r="K232" s="326">
        <f t="shared" si="11"/>
        <v>0.3655816761</v>
      </c>
      <c r="L232" s="327">
        <f t="shared" si="3"/>
        <v>7.49171896</v>
      </c>
      <c r="M232" s="321" t="str">
        <f t="shared" si="10"/>
        <v>merlinegalite</v>
      </c>
      <c r="N232" s="176">
        <f>IFERROR(__xludf.DUMMYFUNCTION("""COMPUTED_VALUE"""),5.0)</f>
        <v>5</v>
      </c>
      <c r="O232" s="176"/>
      <c r="P232" s="176"/>
      <c r="Q232" s="176"/>
      <c r="R232" s="176"/>
      <c r="S232" s="176"/>
      <c r="T232" s="176"/>
      <c r="U232" s="176"/>
      <c r="V232" s="176"/>
      <c r="W232" s="176"/>
      <c r="X232" s="176"/>
      <c r="Y232" s="176"/>
      <c r="Z232" s="176"/>
    </row>
    <row r="233">
      <c r="A233" s="249" t="s">
        <v>49</v>
      </c>
      <c r="B233" s="249" t="s">
        <v>18</v>
      </c>
      <c r="C233" s="329" t="s">
        <v>2502</v>
      </c>
      <c r="D233" s="268" t="s">
        <v>495</v>
      </c>
      <c r="E233" s="361">
        <v>44236.0</v>
      </c>
      <c r="F233" s="250" t="s">
        <v>496</v>
      </c>
      <c r="G233" s="171">
        <v>40.0</v>
      </c>
      <c r="H233" s="171">
        <v>50.0</v>
      </c>
      <c r="I233" s="171">
        <v>60.0</v>
      </c>
      <c r="J233" s="325">
        <f t="shared" si="2"/>
        <v>0.001952063723</v>
      </c>
      <c r="K233" s="326">
        <f t="shared" si="11"/>
        <v>1.594185374</v>
      </c>
      <c r="L233" s="327">
        <f t="shared" si="3"/>
        <v>7.408437505</v>
      </c>
      <c r="M233" s="321" t="str">
        <f t="shared" si="10"/>
        <v>knobsdao</v>
      </c>
      <c r="N233" s="176">
        <f>IFERROR(__xludf.DUMMYFUNCTION("""COMPUTED_VALUE"""),1.0)</f>
        <v>1</v>
      </c>
      <c r="O233" s="176"/>
      <c r="P233" s="176"/>
      <c r="Q233" s="176"/>
      <c r="R233" s="176"/>
      <c r="S233" s="176"/>
      <c r="T233" s="176"/>
      <c r="U233" s="176"/>
      <c r="V233" s="176"/>
      <c r="W233" s="176"/>
      <c r="X233" s="176"/>
      <c r="Y233" s="176"/>
      <c r="Z233" s="176"/>
    </row>
    <row r="234">
      <c r="A234" s="249" t="s">
        <v>49</v>
      </c>
      <c r="B234" s="249" t="s">
        <v>1228</v>
      </c>
      <c r="C234" s="329" t="s">
        <v>2499</v>
      </c>
      <c r="D234" s="268" t="s">
        <v>495</v>
      </c>
      <c r="E234" s="361">
        <v>44236.0</v>
      </c>
      <c r="F234" s="250" t="s">
        <v>496</v>
      </c>
      <c r="G234" s="171">
        <v>60.0</v>
      </c>
      <c r="H234" s="171">
        <v>25.0</v>
      </c>
      <c r="I234" s="171">
        <v>60.0</v>
      </c>
      <c r="J234" s="325">
        <f t="shared" si="2"/>
        <v>0.001774956352</v>
      </c>
      <c r="K234" s="326">
        <f t="shared" si="11"/>
        <v>1.449547687</v>
      </c>
      <c r="L234" s="327">
        <f t="shared" si="3"/>
        <v>7.408437505</v>
      </c>
      <c r="M234" s="321" t="str">
        <f t="shared" si="10"/>
        <v>knobsdao</v>
      </c>
      <c r="N234" s="176">
        <f>IFERROR(__xludf.DUMMYFUNCTION("""COMPUTED_VALUE"""),2.0)</f>
        <v>2</v>
      </c>
      <c r="O234" s="176"/>
      <c r="P234" s="176"/>
      <c r="Q234" s="176"/>
      <c r="R234" s="176"/>
      <c r="S234" s="176"/>
      <c r="T234" s="176"/>
      <c r="U234" s="176"/>
      <c r="V234" s="176"/>
      <c r="W234" s="176"/>
      <c r="X234" s="176"/>
      <c r="Y234" s="176"/>
      <c r="Z234" s="176"/>
    </row>
    <row r="235">
      <c r="A235" s="249" t="s">
        <v>49</v>
      </c>
      <c r="B235" s="249" t="s">
        <v>590</v>
      </c>
      <c r="C235" s="329" t="s">
        <v>2492</v>
      </c>
      <c r="D235" s="268" t="s">
        <v>495</v>
      </c>
      <c r="E235" s="361">
        <v>44229.0</v>
      </c>
      <c r="F235" s="250" t="s">
        <v>496</v>
      </c>
      <c r="G235" s="171">
        <v>50.0</v>
      </c>
      <c r="H235" s="171">
        <v>25.0</v>
      </c>
      <c r="I235" s="171">
        <v>50.0</v>
      </c>
      <c r="J235" s="325">
        <f t="shared" si="2"/>
        <v>0.001546405124</v>
      </c>
      <c r="K235" s="326">
        <f t="shared" si="11"/>
        <v>1.262897518</v>
      </c>
      <c r="L235" s="327">
        <f t="shared" si="3"/>
        <v>7.408437505</v>
      </c>
      <c r="M235" s="321" t="str">
        <f t="shared" si="10"/>
        <v>knobsdao</v>
      </c>
      <c r="N235" s="176">
        <f>IFERROR(__xludf.DUMMYFUNCTION("""COMPUTED_VALUE"""),3.0)</f>
        <v>3</v>
      </c>
      <c r="O235" s="176"/>
      <c r="P235" s="176"/>
      <c r="Q235" s="176"/>
      <c r="R235" s="176"/>
      <c r="S235" s="176"/>
      <c r="T235" s="176"/>
      <c r="U235" s="176"/>
      <c r="V235" s="176"/>
      <c r="W235" s="176"/>
      <c r="X235" s="176"/>
      <c r="Y235" s="176"/>
      <c r="Z235" s="176"/>
    </row>
    <row r="236">
      <c r="A236" s="249" t="s">
        <v>49</v>
      </c>
      <c r="B236" s="249" t="s">
        <v>10</v>
      </c>
      <c r="C236" s="329" t="s">
        <v>2497</v>
      </c>
      <c r="D236" s="268" t="s">
        <v>495</v>
      </c>
      <c r="E236" s="361">
        <v>44232.0</v>
      </c>
      <c r="F236" s="250" t="s">
        <v>496</v>
      </c>
      <c r="G236" s="171">
        <v>40.0</v>
      </c>
      <c r="H236" s="171">
        <v>25.0</v>
      </c>
      <c r="I236" s="171">
        <v>50.0</v>
      </c>
      <c r="J236" s="325">
        <f t="shared" si="2"/>
        <v>0.001433134316</v>
      </c>
      <c r="K236" s="326">
        <f t="shared" si="11"/>
        <v>1.170393025</v>
      </c>
      <c r="L236" s="327">
        <f t="shared" si="3"/>
        <v>7.408437505</v>
      </c>
      <c r="M236" s="321" t="str">
        <f t="shared" si="10"/>
        <v>knobsdao</v>
      </c>
      <c r="N236" s="176">
        <f>IFERROR(__xludf.DUMMYFUNCTION("""COMPUTED_VALUE"""),4.0)</f>
        <v>4</v>
      </c>
      <c r="O236" s="176"/>
      <c r="P236" s="176"/>
      <c r="Q236" s="176"/>
      <c r="R236" s="176"/>
      <c r="S236" s="176"/>
      <c r="T236" s="176"/>
      <c r="U236" s="176"/>
      <c r="V236" s="176"/>
      <c r="W236" s="176"/>
      <c r="X236" s="176"/>
      <c r="Y236" s="176"/>
      <c r="Z236" s="176"/>
    </row>
    <row r="237">
      <c r="A237" s="249" t="s">
        <v>49</v>
      </c>
      <c r="B237" s="249" t="s">
        <v>590</v>
      </c>
      <c r="C237" s="329" t="s">
        <v>2500</v>
      </c>
      <c r="D237" s="268" t="s">
        <v>495</v>
      </c>
      <c r="E237" s="361">
        <v>44236.0</v>
      </c>
      <c r="F237" s="250" t="s">
        <v>496</v>
      </c>
      <c r="G237" s="171">
        <v>40.0</v>
      </c>
      <c r="H237" s="171">
        <v>25.0</v>
      </c>
      <c r="I237" s="171">
        <v>50.0</v>
      </c>
      <c r="J237" s="325">
        <f t="shared" si="2"/>
        <v>0.001433134316</v>
      </c>
      <c r="K237" s="326">
        <f t="shared" si="11"/>
        <v>1.170393025</v>
      </c>
      <c r="L237" s="327">
        <f t="shared" si="3"/>
        <v>7.408437505</v>
      </c>
      <c r="M237" s="321" t="str">
        <f t="shared" si="10"/>
        <v>knobsdao</v>
      </c>
      <c r="N237" s="176">
        <f>IFERROR(__xludf.DUMMYFUNCTION("""COMPUTED_VALUE"""),5.0)</f>
        <v>5</v>
      </c>
      <c r="O237" s="176"/>
      <c r="P237" s="176"/>
      <c r="Q237" s="176"/>
      <c r="R237" s="176"/>
      <c r="S237" s="176"/>
      <c r="T237" s="176"/>
      <c r="U237" s="176"/>
      <c r="V237" s="176"/>
      <c r="W237" s="176"/>
      <c r="X237" s="176"/>
      <c r="Y237" s="176"/>
      <c r="Z237" s="176"/>
    </row>
    <row r="238">
      <c r="A238" s="249" t="s">
        <v>49</v>
      </c>
      <c r="B238" s="249" t="s">
        <v>10</v>
      </c>
      <c r="C238" s="329" t="s">
        <v>2530</v>
      </c>
      <c r="D238" s="268" t="s">
        <v>495</v>
      </c>
      <c r="E238" s="251">
        <v>44239.0</v>
      </c>
      <c r="F238" s="250" t="s">
        <v>499</v>
      </c>
      <c r="G238" s="171">
        <v>10.0</v>
      </c>
      <c r="H238" s="171">
        <v>15.0</v>
      </c>
      <c r="I238" s="171">
        <v>50.0</v>
      </c>
      <c r="J238" s="325">
        <f t="shared" si="2"/>
        <v>0.000931862298</v>
      </c>
      <c r="K238" s="326">
        <f t="shared" si="11"/>
        <v>0.7610208767</v>
      </c>
      <c r="L238" s="327">
        <f t="shared" si="3"/>
        <v>7.408437505</v>
      </c>
      <c r="M238" s="321" t="str">
        <f t="shared" si="10"/>
        <v>knobsdao</v>
      </c>
      <c r="N238" s="176">
        <f>IFERROR(__xludf.DUMMYFUNCTION("""COMPUTED_VALUE"""),6.0)</f>
        <v>6</v>
      </c>
      <c r="O238" s="176"/>
      <c r="P238" s="176"/>
      <c r="Q238" s="176"/>
      <c r="R238" s="176"/>
      <c r="S238" s="176"/>
      <c r="T238" s="176"/>
      <c r="U238" s="176"/>
      <c r="V238" s="176"/>
      <c r="W238" s="176"/>
      <c r="X238" s="176"/>
      <c r="Y238" s="176"/>
      <c r="Z238" s="176"/>
    </row>
    <row r="239">
      <c r="A239" s="240" t="s">
        <v>49</v>
      </c>
      <c r="B239" s="240" t="s">
        <v>534</v>
      </c>
      <c r="C239" s="221" t="s">
        <v>684</v>
      </c>
      <c r="D239" s="336"/>
      <c r="E239" s="255"/>
      <c r="F239" s="254"/>
      <c r="G239" s="222"/>
      <c r="H239" s="222"/>
      <c r="I239" s="222"/>
      <c r="J239" s="325">
        <f t="shared" si="2"/>
        <v>0</v>
      </c>
      <c r="K239" s="337"/>
      <c r="L239" s="327">
        <f t="shared" si="3"/>
        <v>7.408437505</v>
      </c>
      <c r="M239" s="321" t="str">
        <f t="shared" si="10"/>
        <v>knobsdao</v>
      </c>
      <c r="N239" s="209">
        <f>IFERROR(__xludf.DUMMYFUNCTION("""COMPUTED_VALUE"""),7.0)</f>
        <v>7</v>
      </c>
      <c r="O239" s="209"/>
      <c r="P239" s="209"/>
      <c r="Q239" s="209"/>
      <c r="R239" s="209">
        <v>15.224018051145396</v>
      </c>
      <c r="S239" s="209"/>
      <c r="T239" s="209"/>
      <c r="U239" s="209"/>
      <c r="V239" s="209"/>
      <c r="W239" s="209"/>
      <c r="X239" s="209"/>
      <c r="Y239" s="176"/>
      <c r="Z239" s="176"/>
    </row>
    <row r="240">
      <c r="A240" s="249" t="s">
        <v>43</v>
      </c>
      <c r="B240" s="249" t="s">
        <v>590</v>
      </c>
      <c r="C240" s="329" t="s">
        <v>2596</v>
      </c>
      <c r="D240" s="268" t="s">
        <v>495</v>
      </c>
      <c r="E240" s="361">
        <v>44236.0</v>
      </c>
      <c r="F240" s="250" t="s">
        <v>496</v>
      </c>
      <c r="G240" s="171">
        <v>300.0</v>
      </c>
      <c r="H240" s="171">
        <v>150.0</v>
      </c>
      <c r="I240" s="171">
        <v>150.0</v>
      </c>
      <c r="J240" s="325">
        <f t="shared" si="2"/>
        <v>0.007549224451</v>
      </c>
      <c r="K240" s="326">
        <f t="shared" ref="K240:K255" si="12">J240*$J$1</f>
        <v>6.165199968</v>
      </c>
      <c r="L240" s="327">
        <f t="shared" si="3"/>
        <v>6.968108792</v>
      </c>
      <c r="M240" s="321" t="str">
        <f t="shared" si="10"/>
        <v>markop</v>
      </c>
      <c r="N240" s="176">
        <f>IFERROR(__xludf.DUMMYFUNCTION("""COMPUTED_VALUE"""),1.0)</f>
        <v>1</v>
      </c>
      <c r="O240" s="176"/>
      <c r="P240" s="176"/>
      <c r="Q240" s="176"/>
      <c r="R240" s="176"/>
      <c r="S240" s="176"/>
      <c r="T240" s="176"/>
      <c r="U240" s="176"/>
      <c r="V240" s="176"/>
      <c r="W240" s="176"/>
      <c r="X240" s="176"/>
      <c r="Y240" s="176"/>
      <c r="Z240" s="176"/>
    </row>
    <row r="241">
      <c r="A241" s="249" t="s">
        <v>43</v>
      </c>
      <c r="B241" s="249" t="s">
        <v>10</v>
      </c>
      <c r="C241" s="329" t="s">
        <v>2601</v>
      </c>
      <c r="D241" s="268" t="s">
        <v>495</v>
      </c>
      <c r="E241" s="361">
        <v>44232.0</v>
      </c>
      <c r="F241" s="250" t="s">
        <v>496</v>
      </c>
      <c r="G241" s="171">
        <v>280.0</v>
      </c>
      <c r="H241" s="171">
        <v>100.0</v>
      </c>
      <c r="I241" s="171">
        <v>100.0</v>
      </c>
      <c r="J241" s="325">
        <f t="shared" si="2"/>
        <v>0.005938982763</v>
      </c>
      <c r="K241" s="326">
        <f t="shared" si="12"/>
        <v>4.850169257</v>
      </c>
      <c r="L241" s="327">
        <f t="shared" si="3"/>
        <v>6.968108792</v>
      </c>
      <c r="M241" s="321" t="str">
        <f t="shared" si="10"/>
        <v>markop</v>
      </c>
      <c r="N241" s="176">
        <f>IFERROR(__xludf.DUMMYFUNCTION("""COMPUTED_VALUE"""),2.0)</f>
        <v>2</v>
      </c>
      <c r="O241" s="176"/>
      <c r="P241" s="176"/>
      <c r="Q241" s="176"/>
      <c r="R241" s="176"/>
      <c r="S241" s="176"/>
      <c r="T241" s="176"/>
      <c r="U241" s="176"/>
      <c r="V241" s="176"/>
      <c r="W241" s="176"/>
      <c r="X241" s="176"/>
      <c r="Y241" s="176"/>
      <c r="Z241" s="176"/>
    </row>
    <row r="242">
      <c r="A242" s="249" t="s">
        <v>43</v>
      </c>
      <c r="B242" s="249" t="s">
        <v>590</v>
      </c>
      <c r="C242" s="329" t="s">
        <v>2602</v>
      </c>
      <c r="D242" s="268" t="s">
        <v>495</v>
      </c>
      <c r="E242" s="251">
        <v>44239.0</v>
      </c>
      <c r="F242" s="250" t="s">
        <v>496</v>
      </c>
      <c r="G242" s="171">
        <v>200.0</v>
      </c>
      <c r="H242" s="171">
        <v>100.0</v>
      </c>
      <c r="I242" s="171">
        <v>150.0</v>
      </c>
      <c r="J242" s="325">
        <f t="shared" si="2"/>
        <v>0.005609218398</v>
      </c>
      <c r="K242" s="326">
        <f t="shared" si="12"/>
        <v>4.580861692</v>
      </c>
      <c r="L242" s="327">
        <f t="shared" si="3"/>
        <v>6.968108792</v>
      </c>
      <c r="M242" s="321" t="str">
        <f t="shared" si="10"/>
        <v>markop</v>
      </c>
      <c r="N242" s="176">
        <f>IFERROR(__xludf.DUMMYFUNCTION("""COMPUTED_VALUE"""),3.0)</f>
        <v>3</v>
      </c>
      <c r="O242" s="176"/>
      <c r="P242" s="176"/>
      <c r="Q242" s="176"/>
      <c r="R242" s="176"/>
      <c r="S242" s="176"/>
      <c r="T242" s="176"/>
      <c r="U242" s="176"/>
      <c r="V242" s="176"/>
      <c r="W242" s="176"/>
      <c r="X242" s="176"/>
      <c r="Y242" s="176"/>
      <c r="Z242" s="176"/>
    </row>
    <row r="243">
      <c r="A243" s="249" t="s">
        <v>43</v>
      </c>
      <c r="B243" s="249" t="s">
        <v>867</v>
      </c>
      <c r="C243" s="329" t="s">
        <v>2603</v>
      </c>
      <c r="D243" s="268" t="s">
        <v>495</v>
      </c>
      <c r="E243" s="361">
        <v>44232.0</v>
      </c>
      <c r="F243" s="250" t="s">
        <v>496</v>
      </c>
      <c r="G243" s="171">
        <v>200.0</v>
      </c>
      <c r="H243" s="171">
        <v>100.0</v>
      </c>
      <c r="I243" s="171">
        <v>100.0</v>
      </c>
      <c r="J243" s="325">
        <f t="shared" si="2"/>
        <v>0.0050328163</v>
      </c>
      <c r="K243" s="326">
        <f t="shared" si="12"/>
        <v>4.110133312</v>
      </c>
      <c r="L243" s="327">
        <f t="shared" si="3"/>
        <v>6.968108792</v>
      </c>
      <c r="M243" s="321" t="str">
        <f t="shared" si="10"/>
        <v>markop</v>
      </c>
      <c r="N243" s="176">
        <f>IFERROR(__xludf.DUMMYFUNCTION("""COMPUTED_VALUE"""),4.0)</f>
        <v>4</v>
      </c>
      <c r="O243" s="176"/>
      <c r="P243" s="176"/>
      <c r="Q243" s="176"/>
      <c r="R243" s="176"/>
      <c r="S243" s="176"/>
      <c r="T243" s="176"/>
      <c r="U243" s="176"/>
      <c r="V243" s="176"/>
      <c r="W243" s="176"/>
      <c r="X243" s="176"/>
      <c r="Y243" s="176"/>
      <c r="Z243" s="176"/>
    </row>
    <row r="244">
      <c r="A244" s="249" t="s">
        <v>43</v>
      </c>
      <c r="B244" s="249" t="s">
        <v>590</v>
      </c>
      <c r="C244" s="329" t="s">
        <v>2604</v>
      </c>
      <c r="D244" s="268" t="s">
        <v>495</v>
      </c>
      <c r="E244" s="361">
        <v>44236.0</v>
      </c>
      <c r="F244" s="250" t="s">
        <v>496</v>
      </c>
      <c r="G244" s="171">
        <v>150.0</v>
      </c>
      <c r="H244" s="171">
        <v>125.0</v>
      </c>
      <c r="I244" s="171">
        <v>100.0</v>
      </c>
      <c r="J244" s="325">
        <f t="shared" si="2"/>
        <v>0.004870111248</v>
      </c>
      <c r="K244" s="326">
        <f t="shared" si="12"/>
        <v>3.977257519</v>
      </c>
      <c r="L244" s="327">
        <f t="shared" si="3"/>
        <v>6.968108792</v>
      </c>
      <c r="M244" s="321" t="str">
        <f t="shared" si="10"/>
        <v>markop</v>
      </c>
      <c r="N244" s="176">
        <f>IFERROR(__xludf.DUMMYFUNCTION("""COMPUTED_VALUE"""),5.0)</f>
        <v>5</v>
      </c>
      <c r="O244" s="176"/>
      <c r="P244" s="176"/>
      <c r="Q244" s="176"/>
      <c r="R244" s="176"/>
      <c r="S244" s="176"/>
      <c r="T244" s="176"/>
      <c r="U244" s="176"/>
      <c r="V244" s="176"/>
      <c r="W244" s="176"/>
      <c r="X244" s="176"/>
      <c r="Y244" s="176"/>
      <c r="Z244" s="176"/>
    </row>
    <row r="245">
      <c r="A245" s="249" t="s">
        <v>43</v>
      </c>
      <c r="B245" s="249" t="s">
        <v>25</v>
      </c>
      <c r="C245" s="329" t="s">
        <v>2605</v>
      </c>
      <c r="D245" s="268" t="s">
        <v>495</v>
      </c>
      <c r="E245" s="361">
        <v>44232.0</v>
      </c>
      <c r="F245" s="250" t="s">
        <v>496</v>
      </c>
      <c r="G245" s="171">
        <v>120.0</v>
      </c>
      <c r="H245" s="171">
        <v>100.0</v>
      </c>
      <c r="I245" s="171">
        <v>100.0</v>
      </c>
      <c r="J245" s="325">
        <f t="shared" si="2"/>
        <v>0.004126649838</v>
      </c>
      <c r="K245" s="326">
        <f t="shared" si="12"/>
        <v>3.370097367</v>
      </c>
      <c r="L245" s="327">
        <f t="shared" si="3"/>
        <v>6.968108792</v>
      </c>
      <c r="M245" s="321" t="str">
        <f t="shared" si="10"/>
        <v>markop</v>
      </c>
      <c r="N245" s="176">
        <f>IFERROR(__xludf.DUMMYFUNCTION("""COMPUTED_VALUE"""),6.0)</f>
        <v>6</v>
      </c>
      <c r="O245" s="176"/>
      <c r="P245" s="176"/>
      <c r="Q245" s="176"/>
      <c r="R245" s="176"/>
      <c r="S245" s="176"/>
      <c r="T245" s="176"/>
      <c r="U245" s="176"/>
      <c r="V245" s="176"/>
      <c r="W245" s="176"/>
      <c r="X245" s="176"/>
      <c r="Y245" s="176"/>
      <c r="Z245" s="176"/>
    </row>
    <row r="246">
      <c r="A246" s="249" t="s">
        <v>43</v>
      </c>
      <c r="B246" s="249" t="s">
        <v>25</v>
      </c>
      <c r="C246" s="329" t="s">
        <v>2606</v>
      </c>
      <c r="D246" s="268" t="s">
        <v>495</v>
      </c>
      <c r="E246" s="251">
        <v>44239.0</v>
      </c>
      <c r="F246" s="250" t="s">
        <v>496</v>
      </c>
      <c r="G246" s="171">
        <v>100.0</v>
      </c>
      <c r="H246" s="171">
        <v>100.0</v>
      </c>
      <c r="I246" s="171">
        <v>100.0</v>
      </c>
      <c r="J246" s="325">
        <f t="shared" si="2"/>
        <v>0.003900108222</v>
      </c>
      <c r="K246" s="326">
        <f t="shared" si="12"/>
        <v>3.185088381</v>
      </c>
      <c r="L246" s="327">
        <f t="shared" si="3"/>
        <v>6.968108792</v>
      </c>
      <c r="M246" s="321" t="str">
        <f t="shared" si="10"/>
        <v>markop</v>
      </c>
      <c r="N246" s="176">
        <f>IFERROR(__xludf.DUMMYFUNCTION("""COMPUTED_VALUE"""),7.0)</f>
        <v>7</v>
      </c>
      <c r="O246" s="176"/>
      <c r="P246" s="176"/>
      <c r="Q246" s="176"/>
      <c r="R246" s="176"/>
      <c r="S246" s="176"/>
      <c r="T246" s="176"/>
      <c r="U246" s="176"/>
      <c r="V246" s="176"/>
      <c r="W246" s="176"/>
      <c r="X246" s="176"/>
      <c r="Y246" s="176"/>
      <c r="Z246" s="176"/>
    </row>
    <row r="247">
      <c r="A247" s="249" t="s">
        <v>43</v>
      </c>
      <c r="B247" s="249" t="s">
        <v>867</v>
      </c>
      <c r="C247" s="329" t="s">
        <v>2607</v>
      </c>
      <c r="D247" s="268" t="s">
        <v>495</v>
      </c>
      <c r="E247" s="251">
        <v>44239.0</v>
      </c>
      <c r="F247" s="250" t="s">
        <v>496</v>
      </c>
      <c r="G247" s="171">
        <v>200.0</v>
      </c>
      <c r="H247" s="171">
        <v>25.0</v>
      </c>
      <c r="I247" s="171">
        <v>100.0</v>
      </c>
      <c r="J247" s="325">
        <f t="shared" si="2"/>
        <v>0.00382186934</v>
      </c>
      <c r="K247" s="326">
        <f t="shared" si="12"/>
        <v>3.121193294</v>
      </c>
      <c r="L247" s="327">
        <f t="shared" si="3"/>
        <v>6.968108792</v>
      </c>
      <c r="M247" s="321" t="str">
        <f t="shared" si="10"/>
        <v>markop</v>
      </c>
      <c r="N247" s="176">
        <f>IFERROR(__xludf.DUMMYFUNCTION("""COMPUTED_VALUE"""),8.0)</f>
        <v>8</v>
      </c>
      <c r="O247" s="176"/>
      <c r="P247" s="176"/>
      <c r="Q247" s="176"/>
      <c r="R247" s="176"/>
      <c r="S247" s="176"/>
      <c r="T247" s="176"/>
      <c r="U247" s="176"/>
      <c r="V247" s="176"/>
      <c r="W247" s="176"/>
      <c r="X247" s="176"/>
      <c r="Y247" s="176"/>
      <c r="Z247" s="176"/>
    </row>
    <row r="248">
      <c r="A248" s="249" t="s">
        <v>43</v>
      </c>
      <c r="B248" s="249" t="s">
        <v>519</v>
      </c>
      <c r="C248" s="329" t="s">
        <v>2608</v>
      </c>
      <c r="D248" s="268" t="s">
        <v>495</v>
      </c>
      <c r="E248" s="361">
        <v>44231.0</v>
      </c>
      <c r="F248" s="250" t="s">
        <v>499</v>
      </c>
      <c r="G248" s="171">
        <v>120.0</v>
      </c>
      <c r="H248" s="171">
        <v>65.0</v>
      </c>
      <c r="I248" s="171">
        <v>100.0</v>
      </c>
      <c r="J248" s="325">
        <f t="shared" si="2"/>
        <v>0.003561541256</v>
      </c>
      <c r="K248" s="326">
        <f t="shared" si="12"/>
        <v>2.908592026</v>
      </c>
      <c r="L248" s="327">
        <f t="shared" si="3"/>
        <v>6.968108792</v>
      </c>
      <c r="M248" s="321" t="str">
        <f t="shared" si="10"/>
        <v>markop</v>
      </c>
      <c r="N248" s="176">
        <f>IFERROR(__xludf.DUMMYFUNCTION("""COMPUTED_VALUE"""),9.0)</f>
        <v>9</v>
      </c>
      <c r="O248" s="176"/>
      <c r="P248" s="176"/>
      <c r="Q248" s="176"/>
      <c r="R248" s="176"/>
      <c r="S248" s="176"/>
      <c r="T248" s="176"/>
      <c r="U248" s="176"/>
      <c r="V248" s="176"/>
      <c r="W248" s="176"/>
      <c r="X248" s="176"/>
      <c r="Y248" s="176"/>
      <c r="Z248" s="176"/>
    </row>
    <row r="249">
      <c r="A249" s="249" t="s">
        <v>43</v>
      </c>
      <c r="B249" s="249" t="s">
        <v>18</v>
      </c>
      <c r="C249" s="329" t="s">
        <v>2609</v>
      </c>
      <c r="D249" s="268" t="s">
        <v>495</v>
      </c>
      <c r="E249" s="251">
        <v>44239.0</v>
      </c>
      <c r="F249" s="250" t="s">
        <v>496</v>
      </c>
      <c r="G249" s="171">
        <v>120.0</v>
      </c>
      <c r="H249" s="171">
        <v>50.0</v>
      </c>
      <c r="I249" s="171">
        <v>100.0</v>
      </c>
      <c r="J249" s="325">
        <f t="shared" si="2"/>
        <v>0.003319351864</v>
      </c>
      <c r="K249" s="326">
        <f t="shared" si="12"/>
        <v>2.710804022</v>
      </c>
      <c r="L249" s="327">
        <f t="shared" si="3"/>
        <v>6.968108792</v>
      </c>
      <c r="M249" s="321" t="str">
        <f t="shared" si="10"/>
        <v>markop</v>
      </c>
      <c r="N249" s="176">
        <f>IFERROR(__xludf.DUMMYFUNCTION("""COMPUTED_VALUE"""),10.0)</f>
        <v>10</v>
      </c>
      <c r="O249" s="176"/>
      <c r="P249" s="176"/>
      <c r="Q249" s="176"/>
      <c r="R249" s="176"/>
      <c r="S249" s="176"/>
      <c r="T249" s="176"/>
      <c r="U249" s="176"/>
      <c r="V249" s="176"/>
      <c r="W249" s="176"/>
      <c r="X249" s="176"/>
      <c r="Y249" s="176"/>
      <c r="Z249" s="176"/>
    </row>
    <row r="250">
      <c r="A250" s="249" t="s">
        <v>43</v>
      </c>
      <c r="B250" s="249" t="s">
        <v>519</v>
      </c>
      <c r="C250" s="329" t="s">
        <v>2329</v>
      </c>
      <c r="D250" s="268" t="s">
        <v>495</v>
      </c>
      <c r="E250" s="251">
        <v>44237.0</v>
      </c>
      <c r="F250" s="250" t="s">
        <v>521</v>
      </c>
      <c r="G250" s="171">
        <v>40.0</v>
      </c>
      <c r="H250" s="171">
        <v>50.0</v>
      </c>
      <c r="I250" s="171">
        <v>60.0</v>
      </c>
      <c r="J250" s="325">
        <f t="shared" si="2"/>
        <v>0.001952063723</v>
      </c>
      <c r="K250" s="326">
        <f t="shared" si="12"/>
        <v>1.594185374</v>
      </c>
      <c r="L250" s="327">
        <f t="shared" si="3"/>
        <v>6.968108792</v>
      </c>
      <c r="M250" s="321" t="str">
        <f t="shared" si="10"/>
        <v>markop</v>
      </c>
      <c r="N250" s="176">
        <f>IFERROR(__xludf.DUMMYFUNCTION("""COMPUTED_VALUE"""),11.0)</f>
        <v>11</v>
      </c>
      <c r="O250" s="176"/>
      <c r="P250" s="176"/>
      <c r="Q250" s="176"/>
      <c r="R250" s="176"/>
      <c r="S250" s="176"/>
      <c r="T250" s="176"/>
      <c r="U250" s="176"/>
      <c r="V250" s="176"/>
      <c r="W250" s="176"/>
      <c r="X250" s="176"/>
      <c r="Y250" s="176"/>
      <c r="Z250" s="176"/>
    </row>
    <row r="251">
      <c r="A251" s="249" t="s">
        <v>43</v>
      </c>
      <c r="B251" s="249" t="s">
        <v>519</v>
      </c>
      <c r="C251" s="329" t="s">
        <v>2329</v>
      </c>
      <c r="D251" s="268" t="s">
        <v>495</v>
      </c>
      <c r="E251" s="361">
        <v>44230.0</v>
      </c>
      <c r="F251" s="250" t="s">
        <v>521</v>
      </c>
      <c r="G251" s="171">
        <v>40.0</v>
      </c>
      <c r="H251" s="171">
        <v>25.0</v>
      </c>
      <c r="I251" s="171">
        <v>80.0</v>
      </c>
      <c r="J251" s="325">
        <f t="shared" si="2"/>
        <v>0.001778975575</v>
      </c>
      <c r="K251" s="326">
        <f t="shared" si="12"/>
        <v>1.452830053</v>
      </c>
      <c r="L251" s="327">
        <f t="shared" si="3"/>
        <v>6.968108792</v>
      </c>
      <c r="M251" s="321" t="str">
        <f t="shared" si="10"/>
        <v>markop</v>
      </c>
      <c r="N251" s="176">
        <f>IFERROR(__xludf.DUMMYFUNCTION("""COMPUTED_VALUE"""),12.0)</f>
        <v>12</v>
      </c>
      <c r="O251" s="176"/>
      <c r="P251" s="176"/>
      <c r="Q251" s="176"/>
      <c r="R251" s="176"/>
      <c r="S251" s="176"/>
      <c r="T251" s="176"/>
      <c r="U251" s="176"/>
      <c r="V251" s="176"/>
      <c r="W251" s="176"/>
      <c r="X251" s="176"/>
      <c r="Y251" s="176"/>
      <c r="Z251" s="176"/>
    </row>
    <row r="252">
      <c r="A252" s="249" t="s">
        <v>43</v>
      </c>
      <c r="B252" s="249" t="s">
        <v>590</v>
      </c>
      <c r="C252" s="329" t="s">
        <v>2492</v>
      </c>
      <c r="D252" s="268" t="s">
        <v>495</v>
      </c>
      <c r="E252" s="361">
        <v>44229.0</v>
      </c>
      <c r="F252" s="250" t="s">
        <v>496</v>
      </c>
      <c r="G252" s="171">
        <v>60.0</v>
      </c>
      <c r="H252" s="171">
        <v>25.0</v>
      </c>
      <c r="I252" s="171">
        <v>50.0</v>
      </c>
      <c r="J252" s="325">
        <f t="shared" si="2"/>
        <v>0.001659675932</v>
      </c>
      <c r="K252" s="326">
        <f t="shared" si="12"/>
        <v>1.355402011</v>
      </c>
      <c r="L252" s="327">
        <f t="shared" si="3"/>
        <v>6.968108792</v>
      </c>
      <c r="M252" s="321" t="str">
        <f t="shared" si="10"/>
        <v>markop</v>
      </c>
      <c r="N252" s="176">
        <f>IFERROR(__xludf.DUMMYFUNCTION("""COMPUTED_VALUE"""),13.0)</f>
        <v>13</v>
      </c>
      <c r="O252" s="176"/>
      <c r="P252" s="176"/>
      <c r="Q252" s="176"/>
      <c r="R252" s="176"/>
      <c r="S252" s="176"/>
      <c r="T252" s="176"/>
      <c r="U252" s="176"/>
      <c r="V252" s="176"/>
      <c r="W252" s="176"/>
      <c r="X252" s="176"/>
      <c r="Y252" s="176"/>
      <c r="Z252" s="176"/>
    </row>
    <row r="253">
      <c r="A253" s="249" t="s">
        <v>43</v>
      </c>
      <c r="B253" s="249" t="s">
        <v>590</v>
      </c>
      <c r="C253" s="329" t="s">
        <v>2500</v>
      </c>
      <c r="D253" s="268" t="s">
        <v>495</v>
      </c>
      <c r="E253" s="361">
        <v>44236.0</v>
      </c>
      <c r="F253" s="250" t="s">
        <v>496</v>
      </c>
      <c r="G253" s="171">
        <v>60.0</v>
      </c>
      <c r="H253" s="171">
        <v>25.0</v>
      </c>
      <c r="I253" s="171">
        <v>50.0</v>
      </c>
      <c r="J253" s="325">
        <f t="shared" si="2"/>
        <v>0.001659675932</v>
      </c>
      <c r="K253" s="326">
        <f t="shared" si="12"/>
        <v>1.355402011</v>
      </c>
      <c r="L253" s="327">
        <f t="shared" si="3"/>
        <v>6.968108792</v>
      </c>
      <c r="M253" s="321" t="str">
        <f t="shared" si="10"/>
        <v>markop</v>
      </c>
      <c r="N253" s="176">
        <f>IFERROR(__xludf.DUMMYFUNCTION("""COMPUTED_VALUE"""),14.0)</f>
        <v>14</v>
      </c>
      <c r="O253" s="176"/>
      <c r="P253" s="176"/>
      <c r="Q253" s="176"/>
      <c r="R253" s="176"/>
      <c r="S253" s="176"/>
      <c r="T253" s="176"/>
      <c r="U253" s="176"/>
      <c r="V253" s="176"/>
      <c r="W253" s="176"/>
      <c r="X253" s="176"/>
      <c r="Y253" s="176"/>
      <c r="Z253" s="176"/>
    </row>
    <row r="254">
      <c r="A254" s="249" t="s">
        <v>43</v>
      </c>
      <c r="B254" s="249" t="s">
        <v>10</v>
      </c>
      <c r="C254" s="329" t="s">
        <v>494</v>
      </c>
      <c r="D254" s="268" t="s">
        <v>495</v>
      </c>
      <c r="E254" s="361">
        <v>44232.0</v>
      </c>
      <c r="F254" s="250" t="s">
        <v>545</v>
      </c>
      <c r="G254" s="171">
        <v>60.0</v>
      </c>
      <c r="H254" s="171">
        <v>25.0</v>
      </c>
      <c r="I254" s="171">
        <v>40.0</v>
      </c>
      <c r="J254" s="325">
        <f t="shared" si="2"/>
        <v>0.001544395512</v>
      </c>
      <c r="K254" s="326">
        <f t="shared" si="12"/>
        <v>1.261256335</v>
      </c>
      <c r="L254" s="327">
        <f t="shared" si="3"/>
        <v>6.968108792</v>
      </c>
      <c r="M254" s="321" t="str">
        <f t="shared" si="10"/>
        <v>markop</v>
      </c>
      <c r="N254" s="176">
        <f>IFERROR(__xludf.DUMMYFUNCTION("""COMPUTED_VALUE"""),15.0)</f>
        <v>15</v>
      </c>
      <c r="O254" s="176"/>
      <c r="P254" s="176"/>
      <c r="Q254" s="176"/>
      <c r="R254" s="176"/>
      <c r="S254" s="176"/>
      <c r="T254" s="176"/>
      <c r="U254" s="176"/>
      <c r="V254" s="176"/>
      <c r="W254" s="176"/>
      <c r="X254" s="176"/>
      <c r="Y254" s="176"/>
      <c r="Z254" s="176"/>
    </row>
    <row r="255">
      <c r="A255" s="249" t="s">
        <v>43</v>
      </c>
      <c r="B255" s="249" t="s">
        <v>10</v>
      </c>
      <c r="C255" s="329" t="s">
        <v>2498</v>
      </c>
      <c r="D255" s="268" t="s">
        <v>495</v>
      </c>
      <c r="E255" s="361">
        <v>44232.0</v>
      </c>
      <c r="F255" s="250" t="s">
        <v>545</v>
      </c>
      <c r="G255" s="171">
        <v>20.0</v>
      </c>
      <c r="H255" s="171">
        <v>10.0</v>
      </c>
      <c r="I255" s="171">
        <v>15.0</v>
      </c>
      <c r="J255" s="325">
        <f t="shared" si="2"/>
        <v>0.0005609218398</v>
      </c>
      <c r="K255" s="326">
        <f t="shared" si="12"/>
        <v>0.4580861692</v>
      </c>
      <c r="L255" s="327">
        <f t="shared" si="3"/>
        <v>6.968108792</v>
      </c>
      <c r="M255" s="321" t="str">
        <f t="shared" si="10"/>
        <v>markop</v>
      </c>
      <c r="N255" s="176">
        <f>IFERROR(__xludf.DUMMYFUNCTION("""COMPUTED_VALUE"""),16.0)</f>
        <v>16</v>
      </c>
      <c r="O255" s="176"/>
      <c r="P255" s="176"/>
      <c r="Q255" s="176"/>
      <c r="R255" s="176"/>
      <c r="S255" s="176"/>
      <c r="T255" s="176"/>
      <c r="U255" s="176"/>
      <c r="V255" s="176"/>
      <c r="W255" s="176"/>
      <c r="X255" s="176"/>
      <c r="Y255" s="176"/>
      <c r="Z255" s="176"/>
    </row>
    <row r="256">
      <c r="A256" s="343" t="s">
        <v>43</v>
      </c>
      <c r="B256" s="240" t="s">
        <v>534</v>
      </c>
      <c r="C256" s="221" t="s">
        <v>794</v>
      </c>
      <c r="D256" s="336"/>
      <c r="E256" s="255"/>
      <c r="F256" s="254"/>
      <c r="G256" s="222"/>
      <c r="H256" s="222"/>
      <c r="I256" s="222"/>
      <c r="J256" s="325">
        <f t="shared" si="2"/>
        <v>0</v>
      </c>
      <c r="K256" s="345">
        <f>46.457*-0.85</f>
        <v>-39.48845</v>
      </c>
      <c r="L256" s="327">
        <f t="shared" si="3"/>
        <v>6.968108792</v>
      </c>
      <c r="M256" s="321" t="str">
        <f t="shared" si="10"/>
        <v>markop</v>
      </c>
      <c r="N256" s="209">
        <f>IFERROR(__xludf.DUMMYFUNCTION("""COMPUTED_VALUE"""),17.0)</f>
        <v>17</v>
      </c>
      <c r="O256" s="209"/>
      <c r="P256" s="209"/>
      <c r="Q256" s="209"/>
      <c r="R256" s="209">
        <v>18.848124090566696</v>
      </c>
      <c r="S256" s="209"/>
      <c r="T256" s="209"/>
      <c r="U256" s="209"/>
      <c r="V256" s="209"/>
      <c r="W256" s="209"/>
      <c r="X256" s="209"/>
      <c r="Y256" s="176"/>
      <c r="Z256" s="176"/>
    </row>
    <row r="257">
      <c r="A257" s="249" t="s">
        <v>14</v>
      </c>
      <c r="B257" s="249" t="s">
        <v>590</v>
      </c>
      <c r="C257" s="329" t="s">
        <v>2596</v>
      </c>
      <c r="D257" s="268" t="s">
        <v>495</v>
      </c>
      <c r="E257" s="361">
        <v>44236.0</v>
      </c>
      <c r="F257" s="250" t="s">
        <v>496</v>
      </c>
      <c r="G257" s="171">
        <v>250.0</v>
      </c>
      <c r="H257" s="171">
        <v>150.0</v>
      </c>
      <c r="I257" s="171">
        <v>150.0</v>
      </c>
      <c r="J257" s="325">
        <f t="shared" si="2"/>
        <v>0.006982870411</v>
      </c>
      <c r="K257" s="326">
        <f t="shared" ref="K257:K275" si="13">J257*$J$1</f>
        <v>5.702677503</v>
      </c>
      <c r="L257" s="327">
        <f t="shared" si="3"/>
        <v>6.787617027</v>
      </c>
      <c r="M257" s="321" t="str">
        <f t="shared" si="10"/>
        <v>jessicazartler</v>
      </c>
      <c r="N257" s="176">
        <f>IFERROR(__xludf.DUMMYFUNCTION("""COMPUTED_VALUE"""),1.0)</f>
        <v>1</v>
      </c>
      <c r="O257" s="176"/>
      <c r="P257" s="176"/>
      <c r="Q257" s="176"/>
      <c r="R257" s="176"/>
      <c r="S257" s="176"/>
      <c r="T257" s="176"/>
      <c r="U257" s="176"/>
      <c r="V257" s="176"/>
      <c r="W257" s="176"/>
      <c r="X257" s="176"/>
      <c r="Y257" s="176"/>
      <c r="Z257" s="176"/>
    </row>
    <row r="258">
      <c r="A258" s="249" t="s">
        <v>14</v>
      </c>
      <c r="B258" s="249" t="s">
        <v>43</v>
      </c>
      <c r="C258" s="329" t="s">
        <v>2533</v>
      </c>
      <c r="D258" s="268" t="s">
        <v>495</v>
      </c>
      <c r="E258" s="361">
        <v>44228.0</v>
      </c>
      <c r="F258" s="250" t="s">
        <v>496</v>
      </c>
      <c r="G258" s="171">
        <v>120.0</v>
      </c>
      <c r="H258" s="171">
        <v>100.0</v>
      </c>
      <c r="I258" s="171">
        <v>100.0</v>
      </c>
      <c r="J258" s="325">
        <f t="shared" si="2"/>
        <v>0.004126649838</v>
      </c>
      <c r="K258" s="326">
        <f t="shared" si="13"/>
        <v>3.370097367</v>
      </c>
      <c r="L258" s="327">
        <f t="shared" si="3"/>
        <v>6.787617027</v>
      </c>
      <c r="M258" s="321" t="str">
        <f t="shared" si="10"/>
        <v>jessicazartler</v>
      </c>
      <c r="N258" s="176">
        <f>IFERROR(__xludf.DUMMYFUNCTION("""COMPUTED_VALUE"""),2.0)</f>
        <v>2</v>
      </c>
      <c r="O258" s="176"/>
      <c r="P258" s="176"/>
      <c r="Q258" s="176"/>
      <c r="R258" s="176"/>
      <c r="S258" s="176"/>
      <c r="T258" s="176"/>
      <c r="U258" s="176"/>
      <c r="V258" s="176"/>
      <c r="W258" s="176"/>
      <c r="X258" s="176"/>
      <c r="Y258" s="176"/>
      <c r="Z258" s="176"/>
    </row>
    <row r="259">
      <c r="A259" s="249" t="s">
        <v>14</v>
      </c>
      <c r="B259" s="249" t="s">
        <v>10</v>
      </c>
      <c r="C259" s="329" t="s">
        <v>2610</v>
      </c>
      <c r="D259" s="268" t="s">
        <v>495</v>
      </c>
      <c r="E259" s="251">
        <v>44239.0</v>
      </c>
      <c r="F259" s="250" t="s">
        <v>496</v>
      </c>
      <c r="G259" s="171">
        <v>120.0</v>
      </c>
      <c r="H259" s="171">
        <v>100.0</v>
      </c>
      <c r="I259" s="171">
        <v>100.0</v>
      </c>
      <c r="J259" s="325">
        <f t="shared" si="2"/>
        <v>0.004126649838</v>
      </c>
      <c r="K259" s="326">
        <f t="shared" si="13"/>
        <v>3.370097367</v>
      </c>
      <c r="L259" s="327">
        <f t="shared" si="3"/>
        <v>6.787617027</v>
      </c>
      <c r="M259" s="321" t="str">
        <f t="shared" si="10"/>
        <v>jessicazartler</v>
      </c>
      <c r="N259" s="176">
        <f>IFERROR(__xludf.DUMMYFUNCTION("""COMPUTED_VALUE"""),3.0)</f>
        <v>3</v>
      </c>
      <c r="O259" s="176"/>
      <c r="P259" s="176"/>
      <c r="Q259" s="176"/>
      <c r="R259" s="176"/>
      <c r="S259" s="176"/>
      <c r="T259" s="176"/>
      <c r="U259" s="176"/>
      <c r="V259" s="176"/>
      <c r="W259" s="176"/>
      <c r="X259" s="176"/>
      <c r="Y259" s="176"/>
      <c r="Z259" s="176"/>
    </row>
    <row r="260">
      <c r="A260" s="249" t="s">
        <v>14</v>
      </c>
      <c r="B260" s="249" t="s">
        <v>10</v>
      </c>
      <c r="C260" s="329" t="s">
        <v>2611</v>
      </c>
      <c r="D260" s="268" t="s">
        <v>495</v>
      </c>
      <c r="E260" s="361">
        <v>44232.0</v>
      </c>
      <c r="F260" s="250" t="s">
        <v>496</v>
      </c>
      <c r="G260" s="171">
        <v>110.0</v>
      </c>
      <c r="H260" s="171">
        <v>100.0</v>
      </c>
      <c r="I260" s="171">
        <v>100.0</v>
      </c>
      <c r="J260" s="325">
        <f t="shared" si="2"/>
        <v>0.00401337903</v>
      </c>
      <c r="K260" s="326">
        <f t="shared" si="13"/>
        <v>3.277592874</v>
      </c>
      <c r="L260" s="327">
        <f t="shared" si="3"/>
        <v>6.787617027</v>
      </c>
      <c r="M260" s="321" t="str">
        <f t="shared" si="10"/>
        <v>jessicazartler</v>
      </c>
      <c r="N260" s="176">
        <f>IFERROR(__xludf.DUMMYFUNCTION("""COMPUTED_VALUE"""),4.0)</f>
        <v>4</v>
      </c>
      <c r="O260" s="176"/>
      <c r="P260" s="176"/>
      <c r="Q260" s="176"/>
      <c r="R260" s="176"/>
      <c r="S260" s="176"/>
      <c r="T260" s="176"/>
      <c r="U260" s="176"/>
      <c r="V260" s="176"/>
      <c r="W260" s="176"/>
      <c r="X260" s="176"/>
      <c r="Y260" s="176"/>
      <c r="Z260" s="176"/>
    </row>
    <row r="261">
      <c r="A261" s="249" t="s">
        <v>14</v>
      </c>
      <c r="B261" s="249" t="s">
        <v>18</v>
      </c>
      <c r="C261" s="329" t="s">
        <v>2612</v>
      </c>
      <c r="D261" s="268" t="s">
        <v>495</v>
      </c>
      <c r="E261" s="361">
        <v>44236.0</v>
      </c>
      <c r="F261" s="250" t="s">
        <v>496</v>
      </c>
      <c r="G261" s="171">
        <v>100.0</v>
      </c>
      <c r="H261" s="171">
        <v>100.0</v>
      </c>
      <c r="I261" s="171">
        <v>100.0</v>
      </c>
      <c r="J261" s="325">
        <f t="shared" si="2"/>
        <v>0.003900108222</v>
      </c>
      <c r="K261" s="326">
        <f t="shared" si="13"/>
        <v>3.185088381</v>
      </c>
      <c r="L261" s="327">
        <f t="shared" si="3"/>
        <v>6.787617027</v>
      </c>
      <c r="M261" s="321" t="str">
        <f t="shared" si="10"/>
        <v>jessicazartler</v>
      </c>
      <c r="N261" s="176">
        <f>IFERROR(__xludf.DUMMYFUNCTION("""COMPUTED_VALUE"""),5.0)</f>
        <v>5</v>
      </c>
      <c r="O261" s="176"/>
      <c r="P261" s="176"/>
      <c r="Q261" s="176"/>
      <c r="R261" s="176"/>
      <c r="S261" s="176"/>
      <c r="T261" s="176"/>
      <c r="U261" s="176"/>
      <c r="V261" s="176"/>
      <c r="W261" s="176"/>
      <c r="X261" s="176"/>
      <c r="Y261" s="176"/>
      <c r="Z261" s="176"/>
    </row>
    <row r="262">
      <c r="A262" s="249" t="s">
        <v>14</v>
      </c>
      <c r="B262" s="249" t="s">
        <v>10</v>
      </c>
      <c r="C262" s="329" t="s">
        <v>2581</v>
      </c>
      <c r="D262" s="268" t="s">
        <v>495</v>
      </c>
      <c r="E262" s="361">
        <v>44232.0</v>
      </c>
      <c r="F262" s="250" t="s">
        <v>496</v>
      </c>
      <c r="G262" s="171">
        <v>80.0</v>
      </c>
      <c r="H262" s="171">
        <v>100.0</v>
      </c>
      <c r="I262" s="171">
        <v>100.0</v>
      </c>
      <c r="J262" s="325">
        <f t="shared" si="2"/>
        <v>0.003673566606</v>
      </c>
      <c r="K262" s="326">
        <f t="shared" si="13"/>
        <v>3.000079395</v>
      </c>
      <c r="L262" s="327">
        <f t="shared" si="3"/>
        <v>6.787617027</v>
      </c>
      <c r="M262" s="321" t="str">
        <f t="shared" si="10"/>
        <v>jessicazartler</v>
      </c>
      <c r="N262" s="176">
        <f>IFERROR(__xludf.DUMMYFUNCTION("""COMPUTED_VALUE"""),6.0)</f>
        <v>6</v>
      </c>
      <c r="O262" s="176"/>
      <c r="P262" s="176"/>
      <c r="Q262" s="176"/>
      <c r="R262" s="176"/>
      <c r="S262" s="176"/>
      <c r="T262" s="176"/>
      <c r="U262" s="176"/>
      <c r="V262" s="176"/>
      <c r="W262" s="176"/>
      <c r="X262" s="176"/>
      <c r="Y262" s="176"/>
      <c r="Z262" s="176"/>
    </row>
    <row r="263">
      <c r="A263" s="249" t="s">
        <v>14</v>
      </c>
      <c r="B263" s="249" t="s">
        <v>10</v>
      </c>
      <c r="C263" s="329" t="s">
        <v>2528</v>
      </c>
      <c r="D263" s="268" t="s">
        <v>495</v>
      </c>
      <c r="E263" s="361">
        <v>44232.0</v>
      </c>
      <c r="F263" s="250" t="s">
        <v>496</v>
      </c>
      <c r="G263" s="171">
        <v>150.0</v>
      </c>
      <c r="H263" s="171">
        <v>50.0</v>
      </c>
      <c r="I263" s="171">
        <v>100.0</v>
      </c>
      <c r="J263" s="325">
        <f t="shared" si="2"/>
        <v>0.003659164288</v>
      </c>
      <c r="K263" s="326">
        <f t="shared" si="13"/>
        <v>2.988317501</v>
      </c>
      <c r="L263" s="327">
        <f t="shared" si="3"/>
        <v>6.787617027</v>
      </c>
      <c r="M263" s="321" t="str">
        <f t="shared" si="10"/>
        <v>jessicazartler</v>
      </c>
      <c r="N263" s="176">
        <f>IFERROR(__xludf.DUMMYFUNCTION("""COMPUTED_VALUE"""),7.0)</f>
        <v>7</v>
      </c>
      <c r="O263" s="176"/>
      <c r="P263" s="176"/>
      <c r="Q263" s="176"/>
      <c r="R263" s="176"/>
      <c r="S263" s="176"/>
      <c r="T263" s="176"/>
      <c r="U263" s="176"/>
      <c r="V263" s="176"/>
      <c r="W263" s="176"/>
      <c r="X263" s="176"/>
      <c r="Y263" s="176"/>
      <c r="Z263" s="176"/>
    </row>
    <row r="264">
      <c r="A264" s="249" t="s">
        <v>14</v>
      </c>
      <c r="B264" s="249" t="s">
        <v>18</v>
      </c>
      <c r="C264" s="329" t="s">
        <v>2613</v>
      </c>
      <c r="D264" s="268" t="s">
        <v>495</v>
      </c>
      <c r="E264" s="361">
        <v>44229.0</v>
      </c>
      <c r="F264" s="250" t="s">
        <v>496</v>
      </c>
      <c r="G264" s="171">
        <v>130.0</v>
      </c>
      <c r="H264" s="171">
        <v>50.0</v>
      </c>
      <c r="I264" s="171">
        <v>100.0</v>
      </c>
      <c r="J264" s="325">
        <f t="shared" si="2"/>
        <v>0.003432622672</v>
      </c>
      <c r="K264" s="326">
        <f t="shared" si="13"/>
        <v>2.803308515</v>
      </c>
      <c r="L264" s="327">
        <f t="shared" si="3"/>
        <v>6.787617027</v>
      </c>
      <c r="M264" s="321" t="str">
        <f t="shared" si="10"/>
        <v>jessicazartler</v>
      </c>
      <c r="N264" s="176">
        <f>IFERROR(__xludf.DUMMYFUNCTION("""COMPUTED_VALUE"""),8.0)</f>
        <v>8</v>
      </c>
      <c r="O264" s="176"/>
      <c r="P264" s="176"/>
      <c r="Q264" s="176"/>
      <c r="R264" s="176"/>
      <c r="S264" s="176"/>
      <c r="T264" s="176"/>
      <c r="U264" s="176"/>
      <c r="V264" s="176"/>
      <c r="W264" s="176"/>
      <c r="X264" s="176"/>
      <c r="Y264" s="176"/>
      <c r="Z264" s="176"/>
    </row>
    <row r="265">
      <c r="A265" s="249" t="s">
        <v>14</v>
      </c>
      <c r="B265" s="249" t="s">
        <v>18</v>
      </c>
      <c r="C265" s="329" t="s">
        <v>2609</v>
      </c>
      <c r="D265" s="268" t="s">
        <v>495</v>
      </c>
      <c r="E265" s="251">
        <v>44239.0</v>
      </c>
      <c r="F265" s="250" t="s">
        <v>496</v>
      </c>
      <c r="G265" s="171">
        <v>120.0</v>
      </c>
      <c r="H265" s="171">
        <v>50.0</v>
      </c>
      <c r="I265" s="171">
        <v>100.0</v>
      </c>
      <c r="J265" s="325">
        <f t="shared" si="2"/>
        <v>0.003319351864</v>
      </c>
      <c r="K265" s="326">
        <f t="shared" si="13"/>
        <v>2.710804022</v>
      </c>
      <c r="L265" s="327">
        <f t="shared" si="3"/>
        <v>6.787617027</v>
      </c>
      <c r="M265" s="321" t="str">
        <f t="shared" si="10"/>
        <v>jessicazartler</v>
      </c>
      <c r="N265" s="176">
        <f>IFERROR(__xludf.DUMMYFUNCTION("""COMPUTED_VALUE"""),9.0)</f>
        <v>9</v>
      </c>
      <c r="O265" s="176"/>
      <c r="P265" s="176"/>
      <c r="Q265" s="176"/>
      <c r="R265" s="176"/>
      <c r="S265" s="176"/>
      <c r="T265" s="176"/>
      <c r="U265" s="176"/>
      <c r="V265" s="176"/>
      <c r="W265" s="176"/>
      <c r="X265" s="176"/>
      <c r="Y265" s="176"/>
      <c r="Z265" s="176"/>
    </row>
    <row r="266">
      <c r="A266" s="249" t="s">
        <v>14</v>
      </c>
      <c r="B266" s="249" t="s">
        <v>18</v>
      </c>
      <c r="C266" s="329" t="s">
        <v>2614</v>
      </c>
      <c r="D266" s="268" t="s">
        <v>495</v>
      </c>
      <c r="E266" s="361">
        <v>44236.0</v>
      </c>
      <c r="F266" s="250" t="s">
        <v>496</v>
      </c>
      <c r="G266" s="171">
        <v>80.0</v>
      </c>
      <c r="H266" s="171">
        <v>50.0</v>
      </c>
      <c r="I266" s="171">
        <v>100.0</v>
      </c>
      <c r="J266" s="325">
        <f t="shared" si="2"/>
        <v>0.002866268633</v>
      </c>
      <c r="K266" s="326">
        <f t="shared" si="13"/>
        <v>2.34078605</v>
      </c>
      <c r="L266" s="327">
        <f t="shared" si="3"/>
        <v>6.787617027</v>
      </c>
      <c r="M266" s="321" t="str">
        <f t="shared" si="10"/>
        <v>jessicazartler</v>
      </c>
      <c r="N266" s="176">
        <f>IFERROR(__xludf.DUMMYFUNCTION("""COMPUTED_VALUE"""),10.0)</f>
        <v>10</v>
      </c>
      <c r="O266" s="176"/>
      <c r="P266" s="176"/>
      <c r="Q266" s="176"/>
      <c r="R266" s="176"/>
      <c r="S266" s="176"/>
      <c r="T266" s="176"/>
      <c r="U266" s="176"/>
      <c r="V266" s="176"/>
      <c r="W266" s="176"/>
      <c r="X266" s="176"/>
      <c r="Y266" s="176"/>
      <c r="Z266" s="176"/>
    </row>
    <row r="267">
      <c r="A267" s="249" t="s">
        <v>14</v>
      </c>
      <c r="B267" s="249" t="s">
        <v>10</v>
      </c>
      <c r="C267" s="329" t="s">
        <v>2573</v>
      </c>
      <c r="D267" s="268" t="s">
        <v>495</v>
      </c>
      <c r="E267" s="361">
        <v>44232.0</v>
      </c>
      <c r="F267" s="250" t="s">
        <v>496</v>
      </c>
      <c r="G267" s="171">
        <v>70.0</v>
      </c>
      <c r="H267" s="171">
        <v>55.0</v>
      </c>
      <c r="I267" s="171">
        <v>80.0</v>
      </c>
      <c r="J267" s="325">
        <f t="shared" si="2"/>
        <v>0.002603166783</v>
      </c>
      <c r="K267" s="326">
        <f t="shared" si="13"/>
        <v>2.125919539</v>
      </c>
      <c r="L267" s="327">
        <f t="shared" si="3"/>
        <v>6.787617027</v>
      </c>
      <c r="M267" s="321" t="str">
        <f t="shared" si="10"/>
        <v>jessicazartler</v>
      </c>
      <c r="N267" s="176">
        <f>IFERROR(__xludf.DUMMYFUNCTION("""COMPUTED_VALUE"""),11.0)</f>
        <v>11</v>
      </c>
      <c r="O267" s="176"/>
      <c r="P267" s="176"/>
      <c r="Q267" s="176"/>
      <c r="R267" s="176"/>
      <c r="S267" s="176"/>
      <c r="T267" s="176"/>
      <c r="U267" s="176"/>
      <c r="V267" s="176"/>
      <c r="W267" s="176"/>
      <c r="X267" s="176"/>
      <c r="Y267" s="176"/>
      <c r="Z267" s="176"/>
    </row>
    <row r="268">
      <c r="A268" s="249" t="s">
        <v>14</v>
      </c>
      <c r="B268" s="249" t="s">
        <v>18</v>
      </c>
      <c r="C268" s="329" t="s">
        <v>2587</v>
      </c>
      <c r="D268" s="268" t="s">
        <v>495</v>
      </c>
      <c r="E268" s="361">
        <v>44236.0</v>
      </c>
      <c r="F268" s="250" t="s">
        <v>496</v>
      </c>
      <c r="G268" s="171">
        <v>70.0</v>
      </c>
      <c r="H268" s="171">
        <v>50.0</v>
      </c>
      <c r="I268" s="171">
        <v>80.0</v>
      </c>
      <c r="J268" s="325">
        <f t="shared" si="2"/>
        <v>0.002522436986</v>
      </c>
      <c r="K268" s="326">
        <f t="shared" si="13"/>
        <v>2.059990205</v>
      </c>
      <c r="L268" s="327">
        <f t="shared" si="3"/>
        <v>6.787617027</v>
      </c>
      <c r="M268" s="321" t="str">
        <f t="shared" si="10"/>
        <v>jessicazartler</v>
      </c>
      <c r="N268" s="176">
        <f>IFERROR(__xludf.DUMMYFUNCTION("""COMPUTED_VALUE"""),12.0)</f>
        <v>12</v>
      </c>
      <c r="O268" s="176"/>
      <c r="P268" s="176"/>
      <c r="Q268" s="176"/>
      <c r="R268" s="176"/>
      <c r="S268" s="176"/>
      <c r="T268" s="176"/>
      <c r="U268" s="176"/>
      <c r="V268" s="176"/>
      <c r="W268" s="176"/>
      <c r="X268" s="176"/>
      <c r="Y268" s="176"/>
      <c r="Z268" s="176"/>
    </row>
    <row r="269">
      <c r="A269" s="249" t="s">
        <v>14</v>
      </c>
      <c r="B269" s="249" t="s">
        <v>590</v>
      </c>
      <c r="C269" s="329" t="s">
        <v>2590</v>
      </c>
      <c r="D269" s="268" t="s">
        <v>495</v>
      </c>
      <c r="E269" s="361">
        <v>44232.0</v>
      </c>
      <c r="F269" s="250" t="s">
        <v>496</v>
      </c>
      <c r="G269" s="171">
        <v>40.0</v>
      </c>
      <c r="H269" s="171">
        <v>25.0</v>
      </c>
      <c r="I269" s="171">
        <v>80.0</v>
      </c>
      <c r="J269" s="325">
        <f t="shared" si="2"/>
        <v>0.001778975575</v>
      </c>
      <c r="K269" s="326">
        <f t="shared" si="13"/>
        <v>1.452830053</v>
      </c>
      <c r="L269" s="327">
        <f t="shared" si="3"/>
        <v>6.787617027</v>
      </c>
      <c r="M269" s="321" t="str">
        <f t="shared" si="10"/>
        <v>jessicazartler</v>
      </c>
      <c r="N269" s="176">
        <f>IFERROR(__xludf.DUMMYFUNCTION("""COMPUTED_VALUE"""),13.0)</f>
        <v>13</v>
      </c>
      <c r="O269" s="176"/>
      <c r="P269" s="176"/>
      <c r="Q269" s="176"/>
      <c r="R269" s="176"/>
      <c r="S269" s="176"/>
      <c r="T269" s="176"/>
      <c r="U269" s="176"/>
      <c r="V269" s="176"/>
      <c r="W269" s="176"/>
      <c r="X269" s="176"/>
      <c r="Y269" s="176"/>
      <c r="Z269" s="176"/>
    </row>
    <row r="270">
      <c r="A270" s="249" t="s">
        <v>14</v>
      </c>
      <c r="B270" s="249" t="s">
        <v>1228</v>
      </c>
      <c r="C270" s="329" t="s">
        <v>2499</v>
      </c>
      <c r="D270" s="268" t="s">
        <v>495</v>
      </c>
      <c r="E270" s="361">
        <v>44236.0</v>
      </c>
      <c r="F270" s="250" t="s">
        <v>496</v>
      </c>
      <c r="G270" s="171">
        <v>60.0</v>
      </c>
      <c r="H270" s="171">
        <v>25.0</v>
      </c>
      <c r="I270" s="171">
        <v>60.0</v>
      </c>
      <c r="J270" s="325">
        <f t="shared" si="2"/>
        <v>0.001774956352</v>
      </c>
      <c r="K270" s="326">
        <f t="shared" si="13"/>
        <v>1.449547687</v>
      </c>
      <c r="L270" s="327">
        <f t="shared" si="3"/>
        <v>6.787617027</v>
      </c>
      <c r="M270" s="321" t="str">
        <f t="shared" si="10"/>
        <v>jessicazartler</v>
      </c>
      <c r="N270" s="176">
        <f>IFERROR(__xludf.DUMMYFUNCTION("""COMPUTED_VALUE"""),14.0)</f>
        <v>14</v>
      </c>
      <c r="O270" s="176"/>
      <c r="P270" s="176"/>
      <c r="Q270" s="176"/>
      <c r="R270" s="176"/>
      <c r="S270" s="176"/>
      <c r="T270" s="176"/>
      <c r="U270" s="176"/>
      <c r="V270" s="176"/>
      <c r="W270" s="176"/>
      <c r="X270" s="176"/>
      <c r="Y270" s="176"/>
      <c r="Z270" s="176"/>
    </row>
    <row r="271">
      <c r="A271" s="249" t="s">
        <v>14</v>
      </c>
      <c r="B271" s="249" t="s">
        <v>590</v>
      </c>
      <c r="C271" s="329" t="s">
        <v>2500</v>
      </c>
      <c r="D271" s="268" t="s">
        <v>495</v>
      </c>
      <c r="E271" s="361">
        <v>44236.0</v>
      </c>
      <c r="F271" s="250" t="s">
        <v>496</v>
      </c>
      <c r="G271" s="171">
        <v>60.0</v>
      </c>
      <c r="H271" s="171">
        <v>25.0</v>
      </c>
      <c r="I271" s="171">
        <v>50.0</v>
      </c>
      <c r="J271" s="325">
        <f t="shared" si="2"/>
        <v>0.001659675932</v>
      </c>
      <c r="K271" s="326">
        <f t="shared" si="13"/>
        <v>1.355402011</v>
      </c>
      <c r="L271" s="327">
        <f t="shared" si="3"/>
        <v>6.787617027</v>
      </c>
      <c r="M271" s="321" t="str">
        <f t="shared" si="10"/>
        <v>jessicazartler</v>
      </c>
      <c r="N271" s="176">
        <f>IFERROR(__xludf.DUMMYFUNCTION("""COMPUTED_VALUE"""),15.0)</f>
        <v>15</v>
      </c>
      <c r="O271" s="176"/>
      <c r="P271" s="176"/>
      <c r="Q271" s="176"/>
      <c r="R271" s="176"/>
      <c r="S271" s="176"/>
      <c r="T271" s="176"/>
      <c r="U271" s="176"/>
      <c r="V271" s="176"/>
      <c r="W271" s="176"/>
      <c r="X271" s="176"/>
      <c r="Y271" s="176"/>
      <c r="Z271" s="176"/>
    </row>
    <row r="272">
      <c r="A272" s="249" t="s">
        <v>14</v>
      </c>
      <c r="B272" s="249" t="s">
        <v>10</v>
      </c>
      <c r="C272" s="329" t="s">
        <v>494</v>
      </c>
      <c r="D272" s="268" t="s">
        <v>495</v>
      </c>
      <c r="E272" s="361">
        <v>44232.0</v>
      </c>
      <c r="F272" s="250" t="s">
        <v>545</v>
      </c>
      <c r="G272" s="171">
        <v>60.0</v>
      </c>
      <c r="H272" s="171">
        <v>25.0</v>
      </c>
      <c r="I272" s="171">
        <v>40.0</v>
      </c>
      <c r="J272" s="325">
        <f t="shared" si="2"/>
        <v>0.001544395512</v>
      </c>
      <c r="K272" s="326">
        <f t="shared" si="13"/>
        <v>1.261256335</v>
      </c>
      <c r="L272" s="327">
        <f t="shared" si="3"/>
        <v>6.787617027</v>
      </c>
      <c r="M272" s="321" t="str">
        <f t="shared" si="10"/>
        <v>jessicazartler</v>
      </c>
      <c r="N272" s="176">
        <f>IFERROR(__xludf.DUMMYFUNCTION("""COMPUTED_VALUE"""),16.0)</f>
        <v>16</v>
      </c>
      <c r="O272" s="176"/>
      <c r="P272" s="176"/>
      <c r="Q272" s="176"/>
      <c r="R272" s="176"/>
      <c r="S272" s="176"/>
      <c r="T272" s="176"/>
      <c r="U272" s="176"/>
      <c r="V272" s="176"/>
      <c r="W272" s="176"/>
      <c r="X272" s="176"/>
      <c r="Y272" s="176"/>
      <c r="Z272" s="176"/>
    </row>
    <row r="273">
      <c r="A273" s="249" t="s">
        <v>14</v>
      </c>
      <c r="B273" s="249" t="s">
        <v>10</v>
      </c>
      <c r="C273" s="329" t="s">
        <v>2497</v>
      </c>
      <c r="D273" s="268" t="s">
        <v>495</v>
      </c>
      <c r="E273" s="361">
        <v>44232.0</v>
      </c>
      <c r="F273" s="250" t="s">
        <v>496</v>
      </c>
      <c r="G273" s="171">
        <v>40.0</v>
      </c>
      <c r="H273" s="171">
        <v>25.0</v>
      </c>
      <c r="I273" s="171">
        <v>50.0</v>
      </c>
      <c r="J273" s="325">
        <f t="shared" si="2"/>
        <v>0.001433134316</v>
      </c>
      <c r="K273" s="326">
        <f t="shared" si="13"/>
        <v>1.170393025</v>
      </c>
      <c r="L273" s="327">
        <f t="shared" si="3"/>
        <v>6.787617027</v>
      </c>
      <c r="M273" s="321" t="str">
        <f t="shared" si="10"/>
        <v>jessicazartler</v>
      </c>
      <c r="N273" s="176">
        <f>IFERROR(__xludf.DUMMYFUNCTION("""COMPUTED_VALUE"""),17.0)</f>
        <v>17</v>
      </c>
      <c r="O273" s="176"/>
      <c r="P273" s="176"/>
      <c r="Q273" s="176"/>
      <c r="R273" s="176"/>
      <c r="S273" s="176"/>
      <c r="T273" s="176"/>
      <c r="U273" s="176"/>
      <c r="V273" s="176"/>
      <c r="W273" s="176"/>
      <c r="X273" s="176"/>
      <c r="Y273" s="176"/>
      <c r="Z273" s="176"/>
    </row>
    <row r="274">
      <c r="A274" s="249" t="s">
        <v>14</v>
      </c>
      <c r="B274" s="249" t="s">
        <v>10</v>
      </c>
      <c r="C274" s="329" t="s">
        <v>2506</v>
      </c>
      <c r="D274" s="268" t="s">
        <v>495</v>
      </c>
      <c r="E274" s="251">
        <v>44239.0</v>
      </c>
      <c r="F274" s="250" t="s">
        <v>496</v>
      </c>
      <c r="G274" s="171">
        <v>40.0</v>
      </c>
      <c r="H274" s="171">
        <v>25.0</v>
      </c>
      <c r="I274" s="171">
        <v>50.0</v>
      </c>
      <c r="J274" s="325">
        <f t="shared" si="2"/>
        <v>0.001433134316</v>
      </c>
      <c r="K274" s="326">
        <f t="shared" si="13"/>
        <v>1.170393025</v>
      </c>
      <c r="L274" s="327">
        <f t="shared" si="3"/>
        <v>6.787617027</v>
      </c>
      <c r="M274" s="321" t="str">
        <f t="shared" si="10"/>
        <v>jessicazartler</v>
      </c>
      <c r="N274" s="176">
        <f>IFERROR(__xludf.DUMMYFUNCTION("""COMPUTED_VALUE"""),18.0)</f>
        <v>18</v>
      </c>
      <c r="O274" s="176"/>
      <c r="P274" s="176"/>
      <c r="Q274" s="176"/>
      <c r="R274" s="176"/>
      <c r="S274" s="176"/>
      <c r="T274" s="176"/>
      <c r="U274" s="176"/>
      <c r="V274" s="176"/>
      <c r="W274" s="176"/>
      <c r="X274" s="176"/>
      <c r="Y274" s="176"/>
      <c r="Z274" s="176"/>
    </row>
    <row r="275">
      <c r="A275" s="249" t="s">
        <v>14</v>
      </c>
      <c r="B275" s="249" t="s">
        <v>10</v>
      </c>
      <c r="C275" s="329" t="s">
        <v>2498</v>
      </c>
      <c r="D275" s="268" t="s">
        <v>495</v>
      </c>
      <c r="E275" s="361">
        <v>44232.0</v>
      </c>
      <c r="F275" s="250" t="s">
        <v>545</v>
      </c>
      <c r="G275" s="171">
        <v>20.0</v>
      </c>
      <c r="H275" s="171">
        <v>10.0</v>
      </c>
      <c r="I275" s="171">
        <v>15.0</v>
      </c>
      <c r="J275" s="325">
        <f t="shared" si="2"/>
        <v>0.0005609218398</v>
      </c>
      <c r="K275" s="326">
        <f t="shared" si="13"/>
        <v>0.4580861692</v>
      </c>
      <c r="L275" s="327">
        <f t="shared" si="3"/>
        <v>6.787617027</v>
      </c>
      <c r="M275" s="321" t="str">
        <f t="shared" si="10"/>
        <v>jessicazartler</v>
      </c>
      <c r="N275" s="176">
        <f>IFERROR(__xludf.DUMMYFUNCTION("""COMPUTED_VALUE"""),19.0)</f>
        <v>19</v>
      </c>
      <c r="O275" s="176"/>
      <c r="P275" s="176"/>
      <c r="Q275" s="176"/>
      <c r="R275" s="176"/>
      <c r="S275" s="176"/>
      <c r="T275" s="176"/>
      <c r="U275" s="176"/>
      <c r="V275" s="176"/>
      <c r="W275" s="176"/>
      <c r="X275" s="176"/>
      <c r="Y275" s="176"/>
      <c r="Z275" s="176"/>
    </row>
    <row r="276">
      <c r="A276" s="240" t="s">
        <v>14</v>
      </c>
      <c r="B276" s="240" t="s">
        <v>534</v>
      </c>
      <c r="C276" s="221" t="s">
        <v>741</v>
      </c>
      <c r="D276" s="336"/>
      <c r="E276" s="255"/>
      <c r="F276" s="254"/>
      <c r="G276" s="222"/>
      <c r="H276" s="222"/>
      <c r="I276" s="222"/>
      <c r="J276" s="325">
        <f t="shared" si="2"/>
        <v>0</v>
      </c>
      <c r="K276" s="337">
        <f>45.253*-0.85</f>
        <v>-38.46505</v>
      </c>
      <c r="L276" s="327">
        <f t="shared" si="3"/>
        <v>6.787617027</v>
      </c>
      <c r="M276" s="321" t="str">
        <f t="shared" si="10"/>
        <v>jessicazartler</v>
      </c>
      <c r="N276" s="209">
        <f>IFERROR(__xludf.DUMMYFUNCTION("""COMPUTED_VALUE"""),20.0)</f>
        <v>20</v>
      </c>
      <c r="O276" s="209"/>
      <c r="P276" s="209"/>
      <c r="Q276" s="209"/>
      <c r="R276" s="209"/>
      <c r="S276" s="209"/>
      <c r="T276" s="209"/>
      <c r="U276" s="209"/>
      <c r="V276" s="209"/>
      <c r="W276" s="209"/>
      <c r="X276" s="209"/>
      <c r="Y276" s="176"/>
      <c r="Z276" s="176"/>
    </row>
    <row r="277">
      <c r="A277" s="249" t="s">
        <v>15</v>
      </c>
      <c r="B277" s="249" t="s">
        <v>519</v>
      </c>
      <c r="C277" s="329" t="s">
        <v>2521</v>
      </c>
      <c r="D277" s="268" t="s">
        <v>495</v>
      </c>
      <c r="E277" s="251">
        <v>44226.0</v>
      </c>
      <c r="F277" s="250" t="s">
        <v>496</v>
      </c>
      <c r="G277" s="171"/>
      <c r="H277" s="171"/>
      <c r="I277" s="171"/>
      <c r="J277" s="172">
        <f t="shared" si="2"/>
        <v>0</v>
      </c>
      <c r="K277" s="330">
        <v>2.1953405017921144</v>
      </c>
      <c r="L277" s="327">
        <f t="shared" si="3"/>
        <v>6.585860036</v>
      </c>
      <c r="M277" s="321" t="str">
        <f t="shared" si="10"/>
        <v>juankbell</v>
      </c>
      <c r="N277" s="176">
        <f>IFERROR(__xludf.DUMMYFUNCTION("""COMPUTED_VALUE"""),1.0)</f>
        <v>1</v>
      </c>
      <c r="O277" s="176"/>
      <c r="P277" s="176"/>
      <c r="Q277" s="176"/>
      <c r="R277" s="176"/>
      <c r="S277" s="176"/>
      <c r="T277" s="176"/>
      <c r="U277" s="176"/>
      <c r="V277" s="176"/>
      <c r="W277" s="176"/>
      <c r="X277" s="176"/>
      <c r="Y277" s="176"/>
      <c r="Z277" s="176"/>
    </row>
    <row r="278">
      <c r="A278" s="249" t="s">
        <v>15</v>
      </c>
      <c r="B278" s="249" t="s">
        <v>18</v>
      </c>
      <c r="C278" s="329" t="s">
        <v>2491</v>
      </c>
      <c r="D278" s="268" t="s">
        <v>495</v>
      </c>
      <c r="E278" s="361">
        <v>44228.0</v>
      </c>
      <c r="F278" s="250" t="s">
        <v>496</v>
      </c>
      <c r="G278" s="171"/>
      <c r="H278" s="171"/>
      <c r="I278" s="171"/>
      <c r="J278" s="172">
        <f t="shared" si="2"/>
        <v>0</v>
      </c>
      <c r="K278" s="330">
        <v>2.1953405017921144</v>
      </c>
      <c r="L278" s="327">
        <f t="shared" si="3"/>
        <v>6.585860036</v>
      </c>
      <c r="M278" s="321"/>
      <c r="N278" s="176">
        <f>IFERROR(__xludf.DUMMYFUNCTION("""COMPUTED_VALUE"""),2.0)</f>
        <v>2</v>
      </c>
      <c r="O278" s="176"/>
      <c r="P278" s="176"/>
      <c r="Q278" s="176"/>
      <c r="R278" s="176"/>
      <c r="S278" s="176"/>
      <c r="T278" s="176"/>
      <c r="U278" s="176"/>
      <c r="V278" s="176"/>
      <c r="W278" s="176"/>
      <c r="X278" s="176"/>
      <c r="Y278" s="176"/>
      <c r="Z278" s="176"/>
    </row>
    <row r="279">
      <c r="A279" s="249" t="s">
        <v>15</v>
      </c>
      <c r="B279" s="249" t="s">
        <v>10</v>
      </c>
      <c r="C279" s="329" t="s">
        <v>2615</v>
      </c>
      <c r="D279" s="268" t="s">
        <v>495</v>
      </c>
      <c r="E279" s="361">
        <v>44229.0</v>
      </c>
      <c r="F279" s="250" t="s">
        <v>496</v>
      </c>
      <c r="G279" s="171"/>
      <c r="H279" s="171"/>
      <c r="I279" s="171"/>
      <c r="J279" s="172">
        <f t="shared" si="2"/>
        <v>0</v>
      </c>
      <c r="K279" s="330">
        <v>2.1953405017921144</v>
      </c>
      <c r="L279" s="327">
        <f t="shared" si="3"/>
        <v>6.585860036</v>
      </c>
      <c r="M279" s="321"/>
      <c r="N279" s="176">
        <f>IFERROR(__xludf.DUMMYFUNCTION("""COMPUTED_VALUE"""),3.0)</f>
        <v>3</v>
      </c>
      <c r="O279" s="176"/>
      <c r="P279" s="176"/>
      <c r="Q279" s="176"/>
      <c r="R279" s="176"/>
      <c r="S279" s="176"/>
      <c r="T279" s="176"/>
      <c r="U279" s="176"/>
      <c r="V279" s="176"/>
      <c r="W279" s="176"/>
      <c r="X279" s="176"/>
      <c r="Y279" s="176"/>
      <c r="Z279" s="176"/>
    </row>
    <row r="280">
      <c r="A280" s="249" t="s">
        <v>15</v>
      </c>
      <c r="B280" s="249" t="s">
        <v>590</v>
      </c>
      <c r="C280" s="329" t="s">
        <v>2492</v>
      </c>
      <c r="D280" s="268" t="s">
        <v>495</v>
      </c>
      <c r="E280" s="361">
        <v>44229.0</v>
      </c>
      <c r="F280" s="250" t="s">
        <v>496</v>
      </c>
      <c r="G280" s="171"/>
      <c r="H280" s="171"/>
      <c r="I280" s="171"/>
      <c r="J280" s="172">
        <f t="shared" si="2"/>
        <v>0</v>
      </c>
      <c r="K280" s="330">
        <v>2.1953405017921144</v>
      </c>
      <c r="L280" s="327">
        <f t="shared" si="3"/>
        <v>6.585860036</v>
      </c>
      <c r="M280" s="321"/>
      <c r="N280" s="176">
        <f>IFERROR(__xludf.DUMMYFUNCTION("""COMPUTED_VALUE"""),4.0)</f>
        <v>4</v>
      </c>
      <c r="O280" s="176"/>
      <c r="P280" s="176"/>
      <c r="Q280" s="176"/>
      <c r="R280" s="176"/>
      <c r="S280" s="176"/>
      <c r="T280" s="176"/>
      <c r="U280" s="176"/>
      <c r="V280" s="176"/>
      <c r="W280" s="176"/>
      <c r="X280" s="176"/>
      <c r="Y280" s="176"/>
      <c r="Z280" s="176"/>
    </row>
    <row r="281">
      <c r="A281" s="249" t="s">
        <v>15</v>
      </c>
      <c r="B281" s="249" t="s">
        <v>867</v>
      </c>
      <c r="C281" s="329" t="s">
        <v>2616</v>
      </c>
      <c r="D281" s="268" t="s">
        <v>495</v>
      </c>
      <c r="E281" s="361">
        <v>44230.0</v>
      </c>
      <c r="F281" s="250" t="s">
        <v>496</v>
      </c>
      <c r="G281" s="171"/>
      <c r="H281" s="171"/>
      <c r="I281" s="171"/>
      <c r="J281" s="172">
        <f t="shared" si="2"/>
        <v>0</v>
      </c>
      <c r="K281" s="330">
        <v>2.1953405017921144</v>
      </c>
      <c r="L281" s="327">
        <f t="shared" si="3"/>
        <v>6.585860036</v>
      </c>
      <c r="M281" s="321"/>
      <c r="N281" s="176">
        <f>IFERROR(__xludf.DUMMYFUNCTION("""COMPUTED_VALUE"""),5.0)</f>
        <v>5</v>
      </c>
      <c r="O281" s="176"/>
      <c r="P281" s="176"/>
      <c r="Q281" s="176"/>
      <c r="R281" s="176"/>
      <c r="S281" s="176"/>
      <c r="T281" s="176"/>
      <c r="U281" s="176"/>
      <c r="V281" s="176"/>
      <c r="W281" s="176"/>
      <c r="X281" s="176"/>
      <c r="Y281" s="176"/>
      <c r="Z281" s="176"/>
    </row>
    <row r="282">
      <c r="A282" s="249" t="s">
        <v>15</v>
      </c>
      <c r="B282" s="249" t="s">
        <v>10</v>
      </c>
      <c r="C282" s="329" t="s">
        <v>2617</v>
      </c>
      <c r="D282" s="268" t="s">
        <v>495</v>
      </c>
      <c r="E282" s="361">
        <v>44232.0</v>
      </c>
      <c r="F282" s="250" t="s">
        <v>496</v>
      </c>
      <c r="G282" s="171"/>
      <c r="H282" s="171"/>
      <c r="I282" s="171"/>
      <c r="J282" s="172">
        <f t="shared" si="2"/>
        <v>0</v>
      </c>
      <c r="K282" s="330">
        <v>2.1953405017921144</v>
      </c>
      <c r="L282" s="327">
        <f t="shared" si="3"/>
        <v>6.585860036</v>
      </c>
      <c r="M282" s="321"/>
      <c r="N282" s="176">
        <f>IFERROR(__xludf.DUMMYFUNCTION("""COMPUTED_VALUE"""),6.0)</f>
        <v>6</v>
      </c>
      <c r="O282" s="176"/>
      <c r="P282" s="176"/>
      <c r="Q282" s="176"/>
      <c r="R282" s="176"/>
      <c r="S282" s="176"/>
      <c r="T282" s="176"/>
      <c r="U282" s="176"/>
      <c r="V282" s="176"/>
      <c r="W282" s="176"/>
      <c r="X282" s="176"/>
      <c r="Y282" s="176"/>
      <c r="Z282" s="176"/>
    </row>
    <row r="283">
      <c r="A283" s="249" t="s">
        <v>15</v>
      </c>
      <c r="B283" s="249" t="s">
        <v>10</v>
      </c>
      <c r="C283" s="329" t="s">
        <v>2496</v>
      </c>
      <c r="D283" s="268" t="s">
        <v>495</v>
      </c>
      <c r="E283" s="361">
        <v>44232.0</v>
      </c>
      <c r="F283" s="250" t="s">
        <v>496</v>
      </c>
      <c r="G283" s="171"/>
      <c r="H283" s="171"/>
      <c r="I283" s="171"/>
      <c r="J283" s="172">
        <f t="shared" si="2"/>
        <v>0</v>
      </c>
      <c r="K283" s="330">
        <v>2.1953405017921144</v>
      </c>
      <c r="L283" s="327">
        <f t="shared" si="3"/>
        <v>6.585860036</v>
      </c>
      <c r="M283" s="321"/>
      <c r="N283" s="176">
        <f>IFERROR(__xludf.DUMMYFUNCTION("""COMPUTED_VALUE"""),7.0)</f>
        <v>7</v>
      </c>
      <c r="O283" s="176"/>
      <c r="P283" s="176"/>
      <c r="Q283" s="176"/>
      <c r="R283" s="176"/>
      <c r="S283" s="176"/>
      <c r="T283" s="176"/>
      <c r="U283" s="176"/>
      <c r="V283" s="176"/>
      <c r="W283" s="176"/>
      <c r="X283" s="176"/>
      <c r="Y283" s="176"/>
      <c r="Z283" s="176"/>
    </row>
    <row r="284">
      <c r="A284" s="249" t="s">
        <v>15</v>
      </c>
      <c r="B284" s="249" t="s">
        <v>10</v>
      </c>
      <c r="C284" s="329" t="s">
        <v>2512</v>
      </c>
      <c r="D284" s="268" t="s">
        <v>495</v>
      </c>
      <c r="E284" s="361">
        <v>44232.0</v>
      </c>
      <c r="F284" s="250" t="s">
        <v>496</v>
      </c>
      <c r="G284" s="171"/>
      <c r="H284" s="171"/>
      <c r="I284" s="171"/>
      <c r="J284" s="172">
        <f t="shared" si="2"/>
        <v>0</v>
      </c>
      <c r="K284" s="330">
        <v>2.1953405017921144</v>
      </c>
      <c r="L284" s="327">
        <f t="shared" si="3"/>
        <v>6.585860036</v>
      </c>
      <c r="M284" s="321"/>
      <c r="N284" s="176">
        <f>IFERROR(__xludf.DUMMYFUNCTION("""COMPUTED_VALUE"""),8.0)</f>
        <v>8</v>
      </c>
      <c r="O284" s="176"/>
      <c r="P284" s="176"/>
      <c r="Q284" s="176"/>
      <c r="R284" s="176"/>
      <c r="S284" s="176"/>
      <c r="T284" s="176"/>
      <c r="U284" s="176"/>
      <c r="V284" s="176"/>
      <c r="W284" s="176"/>
      <c r="X284" s="176"/>
      <c r="Y284" s="176"/>
      <c r="Z284" s="176"/>
    </row>
    <row r="285">
      <c r="A285" s="249" t="s">
        <v>15</v>
      </c>
      <c r="B285" s="249" t="s">
        <v>10</v>
      </c>
      <c r="C285" s="329" t="s">
        <v>2497</v>
      </c>
      <c r="D285" s="268" t="s">
        <v>495</v>
      </c>
      <c r="E285" s="361">
        <v>44232.0</v>
      </c>
      <c r="F285" s="250" t="s">
        <v>496</v>
      </c>
      <c r="G285" s="171"/>
      <c r="H285" s="171"/>
      <c r="I285" s="171"/>
      <c r="J285" s="172">
        <f t="shared" si="2"/>
        <v>0</v>
      </c>
      <c r="K285" s="330">
        <v>2.1953405017921144</v>
      </c>
      <c r="L285" s="327">
        <f t="shared" si="3"/>
        <v>6.585860036</v>
      </c>
      <c r="M285" s="321"/>
      <c r="N285" s="176">
        <f>IFERROR(__xludf.DUMMYFUNCTION("""COMPUTED_VALUE"""),9.0)</f>
        <v>9</v>
      </c>
      <c r="O285" s="176"/>
      <c r="P285" s="176"/>
      <c r="Q285" s="176"/>
      <c r="R285" s="176"/>
      <c r="S285" s="176"/>
      <c r="T285" s="176"/>
      <c r="U285" s="176"/>
      <c r="V285" s="176"/>
      <c r="W285" s="176"/>
      <c r="X285" s="176"/>
      <c r="Y285" s="176"/>
      <c r="Z285" s="176"/>
    </row>
    <row r="286">
      <c r="A286" s="249" t="s">
        <v>15</v>
      </c>
      <c r="B286" s="249" t="s">
        <v>10</v>
      </c>
      <c r="C286" s="329" t="s">
        <v>2498</v>
      </c>
      <c r="D286" s="268" t="s">
        <v>495</v>
      </c>
      <c r="E286" s="361">
        <v>44232.0</v>
      </c>
      <c r="F286" s="250" t="s">
        <v>545</v>
      </c>
      <c r="G286" s="171"/>
      <c r="H286" s="171"/>
      <c r="I286" s="171"/>
      <c r="J286" s="172">
        <f t="shared" si="2"/>
        <v>0</v>
      </c>
      <c r="K286" s="330">
        <v>2.1953405017921144</v>
      </c>
      <c r="L286" s="327">
        <f t="shared" si="3"/>
        <v>6.585860036</v>
      </c>
      <c r="M286" s="321"/>
      <c r="N286" s="176">
        <f>IFERROR(__xludf.DUMMYFUNCTION("""COMPUTED_VALUE"""),10.0)</f>
        <v>10</v>
      </c>
      <c r="O286" s="176"/>
      <c r="P286" s="176"/>
      <c r="Q286" s="176"/>
      <c r="R286" s="176"/>
      <c r="S286" s="176"/>
      <c r="T286" s="176"/>
      <c r="U286" s="176"/>
      <c r="V286" s="176"/>
      <c r="W286" s="176"/>
      <c r="X286" s="176"/>
      <c r="Y286" s="176"/>
      <c r="Z286" s="176"/>
    </row>
    <row r="287">
      <c r="A287" s="249" t="s">
        <v>15</v>
      </c>
      <c r="B287" s="249" t="s">
        <v>590</v>
      </c>
      <c r="C287" s="329" t="s">
        <v>2590</v>
      </c>
      <c r="D287" s="268" t="s">
        <v>495</v>
      </c>
      <c r="E287" s="361">
        <v>44232.0</v>
      </c>
      <c r="F287" s="250" t="s">
        <v>496</v>
      </c>
      <c r="G287" s="171"/>
      <c r="H287" s="171"/>
      <c r="I287" s="171"/>
      <c r="J287" s="172">
        <f t="shared" si="2"/>
        <v>0</v>
      </c>
      <c r="K287" s="330">
        <v>2.1953405017921144</v>
      </c>
      <c r="L287" s="327">
        <f t="shared" si="3"/>
        <v>6.585860036</v>
      </c>
      <c r="M287" s="321"/>
      <c r="N287" s="176">
        <f>IFERROR(__xludf.DUMMYFUNCTION("""COMPUTED_VALUE"""),11.0)</f>
        <v>11</v>
      </c>
      <c r="O287" s="176"/>
      <c r="P287" s="176"/>
      <c r="Q287" s="176"/>
      <c r="R287" s="176"/>
      <c r="S287" s="176"/>
      <c r="T287" s="176"/>
      <c r="U287" s="176"/>
      <c r="V287" s="176"/>
      <c r="W287" s="176"/>
      <c r="X287" s="176"/>
      <c r="Y287" s="176"/>
      <c r="Z287" s="176"/>
    </row>
    <row r="288">
      <c r="A288" s="249" t="s">
        <v>15</v>
      </c>
      <c r="B288" s="249" t="s">
        <v>590</v>
      </c>
      <c r="C288" s="329" t="s">
        <v>2500</v>
      </c>
      <c r="D288" s="268" t="s">
        <v>495</v>
      </c>
      <c r="E288" s="361">
        <v>44236.0</v>
      </c>
      <c r="F288" s="250" t="s">
        <v>496</v>
      </c>
      <c r="G288" s="171"/>
      <c r="H288" s="171"/>
      <c r="I288" s="171"/>
      <c r="J288" s="172">
        <f t="shared" si="2"/>
        <v>0</v>
      </c>
      <c r="K288" s="330">
        <v>2.1953405017921144</v>
      </c>
      <c r="L288" s="327">
        <f t="shared" si="3"/>
        <v>6.585860036</v>
      </c>
      <c r="M288" s="321"/>
      <c r="N288" s="176">
        <f>IFERROR(__xludf.DUMMYFUNCTION("""COMPUTED_VALUE"""),12.0)</f>
        <v>12</v>
      </c>
      <c r="O288" s="176"/>
      <c r="P288" s="176"/>
      <c r="Q288" s="176"/>
      <c r="R288" s="176"/>
      <c r="S288" s="176"/>
      <c r="T288" s="176"/>
      <c r="U288" s="176"/>
      <c r="V288" s="176"/>
      <c r="W288" s="176"/>
      <c r="X288" s="176"/>
      <c r="Y288" s="176"/>
      <c r="Z288" s="176"/>
    </row>
    <row r="289">
      <c r="A289" s="249" t="s">
        <v>15</v>
      </c>
      <c r="B289" s="249" t="s">
        <v>18</v>
      </c>
      <c r="C289" s="329" t="s">
        <v>2587</v>
      </c>
      <c r="D289" s="268" t="s">
        <v>495</v>
      </c>
      <c r="E289" s="361">
        <v>44236.0</v>
      </c>
      <c r="F289" s="250" t="s">
        <v>496</v>
      </c>
      <c r="G289" s="171"/>
      <c r="H289" s="171"/>
      <c r="I289" s="171"/>
      <c r="J289" s="172">
        <f t="shared" si="2"/>
        <v>0</v>
      </c>
      <c r="K289" s="330">
        <v>2.1953405017921144</v>
      </c>
      <c r="L289" s="327">
        <f t="shared" si="3"/>
        <v>6.585860036</v>
      </c>
      <c r="M289" s="321"/>
      <c r="N289" s="176">
        <f>IFERROR(__xludf.DUMMYFUNCTION("""COMPUTED_VALUE"""),13.0)</f>
        <v>13</v>
      </c>
      <c r="O289" s="176"/>
      <c r="P289" s="176"/>
      <c r="Q289" s="176"/>
      <c r="R289" s="176"/>
      <c r="S289" s="176"/>
      <c r="T289" s="176"/>
      <c r="U289" s="176"/>
      <c r="V289" s="176"/>
      <c r="W289" s="176"/>
      <c r="X289" s="176"/>
      <c r="Y289" s="176"/>
      <c r="Z289" s="176"/>
    </row>
    <row r="290">
      <c r="A290" s="249" t="s">
        <v>15</v>
      </c>
      <c r="B290" s="249" t="s">
        <v>18</v>
      </c>
      <c r="C290" s="329" t="s">
        <v>2502</v>
      </c>
      <c r="D290" s="268" t="s">
        <v>495</v>
      </c>
      <c r="E290" s="361">
        <v>44236.0</v>
      </c>
      <c r="F290" s="250" t="s">
        <v>496</v>
      </c>
      <c r="G290" s="171"/>
      <c r="H290" s="171"/>
      <c r="I290" s="171"/>
      <c r="J290" s="172">
        <f t="shared" si="2"/>
        <v>0</v>
      </c>
      <c r="K290" s="330">
        <v>2.1953405017921144</v>
      </c>
      <c r="L290" s="327">
        <f t="shared" si="3"/>
        <v>6.585860036</v>
      </c>
      <c r="M290" s="321"/>
      <c r="N290" s="176">
        <f>IFERROR(__xludf.DUMMYFUNCTION("""COMPUTED_VALUE"""),14.0)</f>
        <v>14</v>
      </c>
      <c r="O290" s="176"/>
      <c r="P290" s="176"/>
      <c r="Q290" s="176"/>
      <c r="R290" s="176"/>
      <c r="S290" s="176"/>
      <c r="T290" s="176"/>
      <c r="U290" s="176"/>
      <c r="V290" s="176"/>
      <c r="W290" s="176"/>
      <c r="X290" s="176"/>
      <c r="Y290" s="176"/>
      <c r="Z290" s="176"/>
    </row>
    <row r="291">
      <c r="A291" s="249" t="s">
        <v>15</v>
      </c>
      <c r="B291" s="249" t="s">
        <v>867</v>
      </c>
      <c r="C291" s="329" t="s">
        <v>2618</v>
      </c>
      <c r="D291" s="268" t="s">
        <v>495</v>
      </c>
      <c r="E291" s="251">
        <v>44237.0</v>
      </c>
      <c r="F291" s="250" t="s">
        <v>496</v>
      </c>
      <c r="G291" s="171"/>
      <c r="H291" s="171"/>
      <c r="I291" s="171"/>
      <c r="J291" s="172">
        <f t="shared" si="2"/>
        <v>0</v>
      </c>
      <c r="K291" s="330">
        <v>2.1953405017921144</v>
      </c>
      <c r="L291" s="327">
        <f t="shared" si="3"/>
        <v>6.585860036</v>
      </c>
      <c r="M291" s="321"/>
      <c r="N291" s="176">
        <f>IFERROR(__xludf.DUMMYFUNCTION("""COMPUTED_VALUE"""),15.0)</f>
        <v>15</v>
      </c>
      <c r="O291" s="176"/>
      <c r="P291" s="176"/>
      <c r="Q291" s="176"/>
      <c r="R291" s="176"/>
      <c r="S291" s="176"/>
      <c r="T291" s="176"/>
      <c r="U291" s="176"/>
      <c r="V291" s="176"/>
      <c r="W291" s="176"/>
      <c r="X291" s="176"/>
      <c r="Y291" s="176"/>
      <c r="Z291" s="176"/>
    </row>
    <row r="292">
      <c r="A292" s="249" t="s">
        <v>15</v>
      </c>
      <c r="B292" s="249" t="s">
        <v>10</v>
      </c>
      <c r="C292" s="329" t="s">
        <v>2619</v>
      </c>
      <c r="D292" s="268" t="s">
        <v>495</v>
      </c>
      <c r="E292" s="251">
        <v>44239.0</v>
      </c>
      <c r="F292" s="250" t="s">
        <v>496</v>
      </c>
      <c r="G292" s="171"/>
      <c r="H292" s="171"/>
      <c r="I292" s="171"/>
      <c r="J292" s="172">
        <f t="shared" si="2"/>
        <v>0</v>
      </c>
      <c r="K292" s="330">
        <v>2.1953405017921144</v>
      </c>
      <c r="L292" s="327">
        <f t="shared" si="3"/>
        <v>6.585860036</v>
      </c>
      <c r="M292" s="321"/>
      <c r="N292" s="176">
        <f>IFERROR(__xludf.DUMMYFUNCTION("""COMPUTED_VALUE"""),16.0)</f>
        <v>16</v>
      </c>
      <c r="O292" s="176"/>
      <c r="P292" s="176"/>
      <c r="Q292" s="176"/>
      <c r="R292" s="176"/>
      <c r="S292" s="176"/>
      <c r="T292" s="176"/>
      <c r="U292" s="176"/>
      <c r="V292" s="176"/>
      <c r="W292" s="176"/>
      <c r="X292" s="176"/>
      <c r="Y292" s="176"/>
      <c r="Z292" s="176"/>
    </row>
    <row r="293">
      <c r="A293" s="249" t="s">
        <v>15</v>
      </c>
      <c r="B293" s="249" t="s">
        <v>10</v>
      </c>
      <c r="C293" s="329" t="s">
        <v>2506</v>
      </c>
      <c r="D293" s="268" t="s">
        <v>495</v>
      </c>
      <c r="E293" s="251">
        <v>44239.0</v>
      </c>
      <c r="F293" s="250" t="s">
        <v>496</v>
      </c>
      <c r="G293" s="171"/>
      <c r="H293" s="171"/>
      <c r="I293" s="171"/>
      <c r="J293" s="172">
        <f t="shared" si="2"/>
        <v>0</v>
      </c>
      <c r="K293" s="330">
        <v>2.1953405017921144</v>
      </c>
      <c r="L293" s="327">
        <f t="shared" si="3"/>
        <v>6.585860036</v>
      </c>
      <c r="M293" s="321"/>
      <c r="N293" s="176">
        <f>IFERROR(__xludf.DUMMYFUNCTION("""COMPUTED_VALUE"""),17.0)</f>
        <v>17</v>
      </c>
      <c r="O293" s="176"/>
      <c r="P293" s="176"/>
      <c r="Q293" s="176"/>
      <c r="R293" s="176"/>
      <c r="S293" s="176"/>
      <c r="T293" s="176"/>
      <c r="U293" s="176"/>
      <c r="V293" s="176"/>
      <c r="W293" s="176"/>
      <c r="X293" s="176"/>
      <c r="Y293" s="176"/>
      <c r="Z293" s="176"/>
    </row>
    <row r="294">
      <c r="A294" s="249" t="s">
        <v>15</v>
      </c>
      <c r="B294" s="249" t="s">
        <v>10</v>
      </c>
      <c r="C294" s="329" t="s">
        <v>2530</v>
      </c>
      <c r="D294" s="268" t="s">
        <v>495</v>
      </c>
      <c r="E294" s="251">
        <v>44239.0</v>
      </c>
      <c r="F294" s="250" t="s">
        <v>499</v>
      </c>
      <c r="G294" s="171"/>
      <c r="H294" s="171"/>
      <c r="I294" s="171"/>
      <c r="J294" s="172">
        <f t="shared" si="2"/>
        <v>0</v>
      </c>
      <c r="K294" s="330">
        <v>2.1953405017921144</v>
      </c>
      <c r="L294" s="327">
        <f t="shared" si="3"/>
        <v>6.585860036</v>
      </c>
      <c r="M294" s="321"/>
      <c r="N294" s="176">
        <f>IFERROR(__xludf.DUMMYFUNCTION("""COMPUTED_VALUE"""),18.0)</f>
        <v>18</v>
      </c>
      <c r="O294" s="176"/>
      <c r="P294" s="176"/>
      <c r="Q294" s="176"/>
      <c r="R294" s="176"/>
      <c r="S294" s="176"/>
      <c r="T294" s="176"/>
      <c r="U294" s="176"/>
      <c r="V294" s="176"/>
      <c r="W294" s="176"/>
      <c r="X294" s="176"/>
      <c r="Y294" s="176"/>
      <c r="Z294" s="176"/>
    </row>
    <row r="295">
      <c r="A295" s="249" t="s">
        <v>15</v>
      </c>
      <c r="B295" s="249" t="s">
        <v>10</v>
      </c>
      <c r="C295" s="329" t="s">
        <v>2498</v>
      </c>
      <c r="D295" s="268" t="s">
        <v>495</v>
      </c>
      <c r="E295" s="251">
        <v>44239.0</v>
      </c>
      <c r="F295" s="250" t="s">
        <v>545</v>
      </c>
      <c r="G295" s="171"/>
      <c r="H295" s="171"/>
      <c r="I295" s="171"/>
      <c r="J295" s="172">
        <f t="shared" si="2"/>
        <v>0</v>
      </c>
      <c r="K295" s="330">
        <v>2.1953405017921144</v>
      </c>
      <c r="L295" s="327">
        <f t="shared" si="3"/>
        <v>6.585860036</v>
      </c>
      <c r="M295" s="321"/>
      <c r="N295" s="176">
        <f>IFERROR(__xludf.DUMMYFUNCTION("""COMPUTED_VALUE"""),19.0)</f>
        <v>19</v>
      </c>
      <c r="O295" s="176"/>
      <c r="P295" s="176"/>
      <c r="Q295" s="176"/>
      <c r="R295" s="176"/>
      <c r="S295" s="176"/>
      <c r="T295" s="176"/>
      <c r="U295" s="176"/>
      <c r="V295" s="176"/>
      <c r="W295" s="176"/>
      <c r="X295" s="176"/>
      <c r="Y295" s="176"/>
      <c r="Z295" s="176"/>
    </row>
    <row r="296">
      <c r="A296" s="249" t="s">
        <v>15</v>
      </c>
      <c r="B296" s="249" t="s">
        <v>10</v>
      </c>
      <c r="C296" s="329" t="s">
        <v>2507</v>
      </c>
      <c r="D296" s="268" t="s">
        <v>495</v>
      </c>
      <c r="E296" s="251">
        <v>44239.0</v>
      </c>
      <c r="F296" s="250" t="s">
        <v>496</v>
      </c>
      <c r="G296" s="171"/>
      <c r="H296" s="171"/>
      <c r="I296" s="171"/>
      <c r="J296" s="172">
        <f t="shared" si="2"/>
        <v>0</v>
      </c>
      <c r="K296" s="330">
        <v>2.1953405017921144</v>
      </c>
      <c r="L296" s="327">
        <f t="shared" si="3"/>
        <v>6.585860036</v>
      </c>
      <c r="M296" s="321"/>
      <c r="N296" s="176">
        <f>IFERROR(__xludf.DUMMYFUNCTION("""COMPUTED_VALUE"""),20.0)</f>
        <v>20</v>
      </c>
      <c r="O296" s="176"/>
      <c r="P296" s="176"/>
      <c r="Q296" s="176"/>
      <c r="R296" s="176"/>
      <c r="S296" s="176"/>
      <c r="T296" s="176"/>
      <c r="U296" s="176"/>
      <c r="V296" s="176"/>
      <c r="W296" s="176"/>
      <c r="X296" s="176"/>
      <c r="Y296" s="176"/>
      <c r="Z296" s="176"/>
    </row>
    <row r="297">
      <c r="A297" s="240" t="s">
        <v>15</v>
      </c>
      <c r="B297" s="240" t="s">
        <v>534</v>
      </c>
      <c r="C297" s="221" t="s">
        <v>684</v>
      </c>
      <c r="D297" s="336"/>
      <c r="E297" s="255"/>
      <c r="F297" s="254"/>
      <c r="G297" s="222"/>
      <c r="H297" s="222"/>
      <c r="I297" s="222"/>
      <c r="J297" s="325">
        <f t="shared" si="2"/>
        <v>0</v>
      </c>
      <c r="K297" s="337">
        <f>43.907*-0.85</f>
        <v>-37.32095</v>
      </c>
      <c r="L297" s="327">
        <f t="shared" si="3"/>
        <v>6.585860036</v>
      </c>
      <c r="M297" s="321" t="str">
        <f t="shared" ref="M297:M466" si="14">A297</f>
        <v>juankbell</v>
      </c>
      <c r="N297" s="209">
        <f>IFERROR(__xludf.DUMMYFUNCTION("""COMPUTED_VALUE"""),21.0)</f>
        <v>21</v>
      </c>
      <c r="O297" s="209"/>
      <c r="P297" s="209"/>
      <c r="Q297" s="209"/>
      <c r="R297" s="209">
        <v>36.89669088595067</v>
      </c>
      <c r="S297" s="209"/>
      <c r="T297" s="209"/>
      <c r="U297" s="209"/>
      <c r="V297" s="209"/>
      <c r="W297" s="209"/>
      <c r="X297" s="209"/>
      <c r="Y297" s="176"/>
      <c r="Z297" s="176"/>
    </row>
    <row r="298">
      <c r="A298" s="249" t="s">
        <v>58</v>
      </c>
      <c r="B298" s="249" t="s">
        <v>925</v>
      </c>
      <c r="C298" s="329" t="s">
        <v>2620</v>
      </c>
      <c r="D298" s="268" t="s">
        <v>495</v>
      </c>
      <c r="E298" s="251">
        <v>44239.0</v>
      </c>
      <c r="F298" s="250" t="s">
        <v>496</v>
      </c>
      <c r="G298" s="171">
        <v>60.0</v>
      </c>
      <c r="H298" s="171">
        <v>50.0</v>
      </c>
      <c r="I298" s="171">
        <v>100.0</v>
      </c>
      <c r="J298" s="325">
        <f t="shared" si="2"/>
        <v>0.002639727017</v>
      </c>
      <c r="K298" s="326">
        <f t="shared" ref="K298:K305" si="15">J298*$J$1</f>
        <v>2.155777064</v>
      </c>
      <c r="L298" s="327">
        <f t="shared" si="3"/>
        <v>6.371544332</v>
      </c>
      <c r="M298" s="321" t="str">
        <f t="shared" si="14"/>
        <v>heater03</v>
      </c>
      <c r="N298" s="176">
        <f>IFERROR(__xludf.DUMMYFUNCTION("""COMPUTED_VALUE"""),1.0)</f>
        <v>1</v>
      </c>
      <c r="O298" s="176"/>
      <c r="P298" s="176"/>
      <c r="Q298" s="176"/>
      <c r="R298" s="176"/>
      <c r="S298" s="176"/>
      <c r="T298" s="176"/>
      <c r="U298" s="176"/>
      <c r="V298" s="176"/>
      <c r="W298" s="176"/>
      <c r="X298" s="176"/>
      <c r="Y298" s="176"/>
      <c r="Z298" s="176"/>
    </row>
    <row r="299">
      <c r="A299" s="249" t="s">
        <v>58</v>
      </c>
      <c r="B299" s="249" t="s">
        <v>10</v>
      </c>
      <c r="C299" s="329" t="s">
        <v>2621</v>
      </c>
      <c r="D299" s="268" t="s">
        <v>495</v>
      </c>
      <c r="E299" s="251">
        <v>44239.0</v>
      </c>
      <c r="F299" s="250" t="s">
        <v>496</v>
      </c>
      <c r="G299" s="171">
        <v>50.0</v>
      </c>
      <c r="H299" s="171">
        <v>50.0</v>
      </c>
      <c r="I299" s="171">
        <v>80.0</v>
      </c>
      <c r="J299" s="325">
        <f t="shared" si="2"/>
        <v>0.00229589537</v>
      </c>
      <c r="K299" s="326">
        <f t="shared" si="15"/>
        <v>1.874981219</v>
      </c>
      <c r="L299" s="327">
        <f t="shared" si="3"/>
        <v>6.371544332</v>
      </c>
      <c r="M299" s="321" t="str">
        <f t="shared" si="14"/>
        <v>heater03</v>
      </c>
      <c r="N299" s="176">
        <f>IFERROR(__xludf.DUMMYFUNCTION("""COMPUTED_VALUE"""),2.0)</f>
        <v>2</v>
      </c>
      <c r="O299" s="176"/>
      <c r="P299" s="176"/>
      <c r="Q299" s="176"/>
      <c r="R299" s="176"/>
      <c r="S299" s="176"/>
      <c r="T299" s="176"/>
      <c r="U299" s="176"/>
      <c r="V299" s="176"/>
      <c r="W299" s="176"/>
      <c r="X299" s="176"/>
      <c r="Y299" s="176"/>
      <c r="Z299" s="176"/>
    </row>
    <row r="300">
      <c r="A300" s="249" t="s">
        <v>58</v>
      </c>
      <c r="B300" s="249" t="s">
        <v>10</v>
      </c>
      <c r="C300" s="329" t="s">
        <v>2497</v>
      </c>
      <c r="D300" s="268" t="s">
        <v>495</v>
      </c>
      <c r="E300" s="361">
        <v>44232.0</v>
      </c>
      <c r="F300" s="250" t="s">
        <v>496</v>
      </c>
      <c r="G300" s="171">
        <v>40.0</v>
      </c>
      <c r="H300" s="171">
        <v>25.0</v>
      </c>
      <c r="I300" s="171">
        <v>50.0</v>
      </c>
      <c r="J300" s="325">
        <f t="shared" si="2"/>
        <v>0.001433134316</v>
      </c>
      <c r="K300" s="326">
        <f t="shared" si="15"/>
        <v>1.170393025</v>
      </c>
      <c r="L300" s="327">
        <f t="shared" si="3"/>
        <v>6.371544332</v>
      </c>
      <c r="M300" s="321" t="str">
        <f t="shared" si="14"/>
        <v>heater03</v>
      </c>
      <c r="N300" s="176">
        <f>IFERROR(__xludf.DUMMYFUNCTION("""COMPUTED_VALUE"""),3.0)</f>
        <v>3</v>
      </c>
      <c r="O300" s="176"/>
      <c r="P300" s="176"/>
      <c r="Q300" s="176"/>
      <c r="R300" s="176"/>
      <c r="S300" s="176"/>
      <c r="T300" s="176"/>
      <c r="U300" s="176"/>
      <c r="V300" s="176"/>
      <c r="W300" s="176"/>
      <c r="X300" s="176"/>
      <c r="Y300" s="176"/>
      <c r="Z300" s="176"/>
    </row>
    <row r="301">
      <c r="A301" s="249" t="s">
        <v>58</v>
      </c>
      <c r="B301" s="249" t="s">
        <v>10</v>
      </c>
      <c r="C301" s="329" t="s">
        <v>2506</v>
      </c>
      <c r="D301" s="268" t="s">
        <v>495</v>
      </c>
      <c r="E301" s="251">
        <v>44239.0</v>
      </c>
      <c r="F301" s="250" t="s">
        <v>496</v>
      </c>
      <c r="G301" s="171">
        <v>40.0</v>
      </c>
      <c r="H301" s="171">
        <v>25.0</v>
      </c>
      <c r="I301" s="171">
        <v>50.0</v>
      </c>
      <c r="J301" s="325">
        <f t="shared" si="2"/>
        <v>0.001433134316</v>
      </c>
      <c r="K301" s="326">
        <f t="shared" si="15"/>
        <v>1.170393025</v>
      </c>
      <c r="L301" s="327">
        <f t="shared" si="3"/>
        <v>6.371544332</v>
      </c>
      <c r="M301" s="321" t="str">
        <f t="shared" si="14"/>
        <v>heater03</v>
      </c>
      <c r="N301" s="176">
        <f>IFERROR(__xludf.DUMMYFUNCTION("""COMPUTED_VALUE"""),4.0)</f>
        <v>4</v>
      </c>
      <c r="O301" s="176"/>
      <c r="P301" s="176"/>
      <c r="Q301" s="176"/>
      <c r="R301" s="176"/>
      <c r="S301" s="176"/>
      <c r="T301" s="176"/>
      <c r="U301" s="176"/>
      <c r="V301" s="176"/>
      <c r="W301" s="176"/>
      <c r="X301" s="176"/>
      <c r="Y301" s="176"/>
      <c r="Z301" s="176"/>
    </row>
    <row r="302">
      <c r="A302" s="249" t="s">
        <v>59</v>
      </c>
      <c r="B302" s="249" t="s">
        <v>18</v>
      </c>
      <c r="C302" s="329" t="s">
        <v>2520</v>
      </c>
      <c r="D302" s="268" t="s">
        <v>495</v>
      </c>
      <c r="E302" s="361">
        <v>44236.0</v>
      </c>
      <c r="F302" s="250" t="s">
        <v>496</v>
      </c>
      <c r="G302" s="171">
        <v>100.0</v>
      </c>
      <c r="H302" s="171">
        <v>50.0</v>
      </c>
      <c r="I302" s="171">
        <v>100.0</v>
      </c>
      <c r="J302" s="325">
        <f t="shared" si="2"/>
        <v>0.003092810248</v>
      </c>
      <c r="K302" s="326">
        <f t="shared" si="15"/>
        <v>2.525795036</v>
      </c>
      <c r="L302" s="327">
        <f t="shared" si="3"/>
        <v>6.283476136</v>
      </c>
      <c r="M302" s="321" t="str">
        <f t="shared" si="14"/>
        <v>krisjones</v>
      </c>
      <c r="N302" s="176">
        <f>IFERROR(__xludf.DUMMYFUNCTION("""COMPUTED_VALUE"""),1.0)</f>
        <v>1</v>
      </c>
      <c r="O302" s="176"/>
      <c r="P302" s="176"/>
      <c r="Q302" s="176"/>
      <c r="R302" s="176"/>
      <c r="S302" s="176"/>
      <c r="T302" s="176"/>
      <c r="U302" s="176"/>
      <c r="V302" s="176"/>
      <c r="W302" s="176"/>
      <c r="X302" s="176"/>
      <c r="Y302" s="176"/>
      <c r="Z302" s="176"/>
    </row>
    <row r="303">
      <c r="A303" s="249" t="s">
        <v>59</v>
      </c>
      <c r="B303" s="249" t="s">
        <v>519</v>
      </c>
      <c r="C303" s="329" t="s">
        <v>2622</v>
      </c>
      <c r="D303" s="268" t="s">
        <v>495</v>
      </c>
      <c r="E303" s="251">
        <v>44226.0</v>
      </c>
      <c r="F303" s="250" t="s">
        <v>499</v>
      </c>
      <c r="G303" s="171">
        <v>60.0</v>
      </c>
      <c r="H303" s="171">
        <v>50.0</v>
      </c>
      <c r="I303" s="171">
        <v>100.0</v>
      </c>
      <c r="J303" s="325">
        <f t="shared" si="2"/>
        <v>0.002639727017</v>
      </c>
      <c r="K303" s="326">
        <f t="shared" si="15"/>
        <v>2.155777064</v>
      </c>
      <c r="L303" s="327">
        <f t="shared" si="3"/>
        <v>6.283476136</v>
      </c>
      <c r="M303" s="321" t="str">
        <f t="shared" si="14"/>
        <v>krisjones</v>
      </c>
      <c r="N303" s="176">
        <f>IFERROR(__xludf.DUMMYFUNCTION("""COMPUTED_VALUE"""),2.0)</f>
        <v>2</v>
      </c>
      <c r="O303" s="176"/>
      <c r="P303" s="176"/>
      <c r="Q303" s="176"/>
      <c r="R303" s="176"/>
      <c r="S303" s="176"/>
      <c r="T303" s="176"/>
      <c r="U303" s="176"/>
      <c r="V303" s="176"/>
      <c r="W303" s="176"/>
      <c r="X303" s="176"/>
      <c r="Y303" s="176"/>
      <c r="Z303" s="176"/>
    </row>
    <row r="304">
      <c r="A304" s="249" t="s">
        <v>59</v>
      </c>
      <c r="B304" s="249" t="s">
        <v>10</v>
      </c>
      <c r="C304" s="329" t="s">
        <v>2497</v>
      </c>
      <c r="D304" s="268" t="s">
        <v>495</v>
      </c>
      <c r="E304" s="361">
        <v>44232.0</v>
      </c>
      <c r="F304" s="250" t="s">
        <v>496</v>
      </c>
      <c r="G304" s="171">
        <v>40.0</v>
      </c>
      <c r="H304" s="171">
        <v>25.0</v>
      </c>
      <c r="I304" s="171">
        <v>50.0</v>
      </c>
      <c r="J304" s="325">
        <f t="shared" si="2"/>
        <v>0.001433134316</v>
      </c>
      <c r="K304" s="326">
        <f t="shared" si="15"/>
        <v>1.170393025</v>
      </c>
      <c r="L304" s="327">
        <f t="shared" si="3"/>
        <v>6.283476136</v>
      </c>
      <c r="M304" s="321" t="str">
        <f t="shared" si="14"/>
        <v>krisjones</v>
      </c>
      <c r="N304" s="176">
        <f>IFERROR(__xludf.DUMMYFUNCTION("""COMPUTED_VALUE"""),3.0)</f>
        <v>3</v>
      </c>
      <c r="O304" s="176"/>
      <c r="P304" s="176"/>
      <c r="Q304" s="176"/>
      <c r="R304" s="176"/>
      <c r="S304" s="176"/>
      <c r="T304" s="176"/>
      <c r="U304" s="176"/>
      <c r="V304" s="176"/>
      <c r="W304" s="176"/>
      <c r="X304" s="176"/>
      <c r="Y304" s="176"/>
      <c r="Z304" s="176"/>
    </row>
    <row r="305">
      <c r="A305" s="249" t="s">
        <v>59</v>
      </c>
      <c r="B305" s="249" t="s">
        <v>10</v>
      </c>
      <c r="C305" s="329" t="s">
        <v>2530</v>
      </c>
      <c r="D305" s="268" t="s">
        <v>495</v>
      </c>
      <c r="E305" s="251">
        <v>44239.0</v>
      </c>
      <c r="F305" s="250" t="s">
        <v>499</v>
      </c>
      <c r="G305" s="171">
        <v>10.0</v>
      </c>
      <c r="H305" s="171">
        <v>15.0</v>
      </c>
      <c r="I305" s="171">
        <v>15.0</v>
      </c>
      <c r="J305" s="325">
        <f t="shared" si="2"/>
        <v>0.0005283808294</v>
      </c>
      <c r="K305" s="326">
        <f t="shared" si="15"/>
        <v>0.4315110107</v>
      </c>
      <c r="L305" s="327">
        <f t="shared" si="3"/>
        <v>6.283476136</v>
      </c>
      <c r="M305" s="321" t="str">
        <f t="shared" si="14"/>
        <v>krisjones</v>
      </c>
      <c r="N305" s="176">
        <f>IFERROR(__xludf.DUMMYFUNCTION("""COMPUTED_VALUE"""),4.0)</f>
        <v>4</v>
      </c>
      <c r="O305" s="176"/>
      <c r="P305" s="176"/>
      <c r="Q305" s="176"/>
      <c r="R305" s="176"/>
      <c r="S305" s="176"/>
      <c r="T305" s="176"/>
      <c r="U305" s="176"/>
      <c r="V305" s="176"/>
      <c r="W305" s="176"/>
      <c r="X305" s="176"/>
      <c r="Y305" s="176"/>
      <c r="Z305" s="176"/>
    </row>
    <row r="306">
      <c r="A306" s="240" t="s">
        <v>59</v>
      </c>
      <c r="B306" s="240" t="s">
        <v>534</v>
      </c>
      <c r="C306" s="349" t="s">
        <v>810</v>
      </c>
      <c r="D306" s="336"/>
      <c r="E306" s="340"/>
      <c r="F306" s="254"/>
      <c r="G306" s="222"/>
      <c r="H306" s="222"/>
      <c r="I306" s="222"/>
      <c r="J306" s="325">
        <f t="shared" si="2"/>
        <v>0</v>
      </c>
      <c r="K306" s="337"/>
      <c r="L306" s="327">
        <f t="shared" si="3"/>
        <v>6.283476136</v>
      </c>
      <c r="M306" s="321" t="str">
        <f t="shared" si="14"/>
        <v>krisjones</v>
      </c>
      <c r="N306" s="209">
        <f>IFERROR(__xludf.DUMMYFUNCTION("""COMPUTED_VALUE"""),5.0)</f>
        <v>5</v>
      </c>
      <c r="O306" s="209"/>
      <c r="P306" s="209"/>
      <c r="Q306" s="209"/>
      <c r="R306" s="209">
        <v>14.561258630642886</v>
      </c>
      <c r="S306" s="209"/>
      <c r="T306" s="209"/>
      <c r="U306" s="209"/>
      <c r="V306" s="209"/>
      <c r="W306" s="209"/>
      <c r="X306" s="209"/>
      <c r="Y306" s="176"/>
      <c r="Z306" s="176"/>
    </row>
    <row r="307">
      <c r="A307" s="249" t="s">
        <v>28</v>
      </c>
      <c r="B307" s="249" t="s">
        <v>10</v>
      </c>
      <c r="C307" s="329" t="s">
        <v>2623</v>
      </c>
      <c r="D307" s="268" t="s">
        <v>495</v>
      </c>
      <c r="E307" s="361">
        <v>44232.0</v>
      </c>
      <c r="F307" s="250" t="s">
        <v>496</v>
      </c>
      <c r="G307" s="171">
        <v>200.0</v>
      </c>
      <c r="H307" s="171">
        <v>200.0</v>
      </c>
      <c r="I307" s="171">
        <v>150.0</v>
      </c>
      <c r="J307" s="325">
        <f t="shared" si="2"/>
        <v>0.007223814346</v>
      </c>
      <c r="K307" s="326">
        <f t="shared" ref="K307:K323" si="16">J307*$J$1</f>
        <v>5.899448382</v>
      </c>
      <c r="L307" s="327">
        <f t="shared" si="3"/>
        <v>6.262961604</v>
      </c>
      <c r="M307" s="321" t="str">
        <f t="shared" si="14"/>
        <v>tam2140</v>
      </c>
      <c r="N307" s="176">
        <f>IFERROR(__xludf.DUMMYFUNCTION("""COMPUTED_VALUE"""),1.0)</f>
        <v>1</v>
      </c>
      <c r="O307" s="176"/>
      <c r="P307" s="176"/>
      <c r="Q307" s="176"/>
      <c r="R307" s="176"/>
      <c r="S307" s="176"/>
      <c r="T307" s="176"/>
      <c r="U307" s="176"/>
      <c r="V307" s="176"/>
      <c r="W307" s="176"/>
      <c r="X307" s="176"/>
      <c r="Y307" s="176"/>
      <c r="Z307" s="176"/>
    </row>
    <row r="308">
      <c r="A308" s="249" t="s">
        <v>28</v>
      </c>
      <c r="B308" s="249" t="s">
        <v>10</v>
      </c>
      <c r="C308" s="329" t="s">
        <v>2595</v>
      </c>
      <c r="D308" s="268" t="s">
        <v>495</v>
      </c>
      <c r="E308" s="361">
        <v>44232.0</v>
      </c>
      <c r="F308" s="250" t="s">
        <v>496</v>
      </c>
      <c r="G308" s="171">
        <v>80.0</v>
      </c>
      <c r="H308" s="171">
        <v>100.0</v>
      </c>
      <c r="I308" s="171">
        <v>200.0</v>
      </c>
      <c r="J308" s="325">
        <f t="shared" si="2"/>
        <v>0.004826370802</v>
      </c>
      <c r="K308" s="326">
        <f t="shared" si="16"/>
        <v>3.941536155</v>
      </c>
      <c r="L308" s="327">
        <f t="shared" si="3"/>
        <v>6.262961604</v>
      </c>
      <c r="M308" s="321" t="str">
        <f t="shared" si="14"/>
        <v>tam2140</v>
      </c>
      <c r="N308" s="176">
        <f>IFERROR(__xludf.DUMMYFUNCTION("""COMPUTED_VALUE"""),2.0)</f>
        <v>2</v>
      </c>
      <c r="O308" s="176"/>
      <c r="P308" s="176"/>
      <c r="Q308" s="176"/>
      <c r="R308" s="176"/>
      <c r="S308" s="176"/>
      <c r="T308" s="176"/>
      <c r="U308" s="176"/>
      <c r="V308" s="176"/>
      <c r="W308" s="176"/>
      <c r="X308" s="176"/>
      <c r="Y308" s="176"/>
      <c r="Z308" s="176"/>
    </row>
    <row r="309">
      <c r="A309" s="249" t="s">
        <v>28</v>
      </c>
      <c r="B309" s="249" t="s">
        <v>590</v>
      </c>
      <c r="C309" s="329" t="s">
        <v>2517</v>
      </c>
      <c r="D309" s="268" t="s">
        <v>495</v>
      </c>
      <c r="E309" s="361">
        <v>44236.0</v>
      </c>
      <c r="F309" s="250" t="s">
        <v>496</v>
      </c>
      <c r="G309" s="171">
        <v>100.0</v>
      </c>
      <c r="H309" s="171">
        <v>100.0</v>
      </c>
      <c r="I309" s="171">
        <v>150.0</v>
      </c>
      <c r="J309" s="325">
        <f t="shared" si="2"/>
        <v>0.00447651032</v>
      </c>
      <c r="K309" s="326">
        <f t="shared" si="16"/>
        <v>3.655816761</v>
      </c>
      <c r="L309" s="327">
        <f t="shared" si="3"/>
        <v>6.262961604</v>
      </c>
      <c r="M309" s="321" t="str">
        <f t="shared" si="14"/>
        <v>tam2140</v>
      </c>
      <c r="N309" s="176">
        <f>IFERROR(__xludf.DUMMYFUNCTION("""COMPUTED_VALUE"""),3.0)</f>
        <v>3</v>
      </c>
      <c r="O309" s="176"/>
      <c r="P309" s="176"/>
      <c r="Q309" s="176"/>
      <c r="R309" s="176"/>
      <c r="S309" s="176"/>
      <c r="T309" s="176"/>
      <c r="U309" s="176"/>
      <c r="V309" s="176"/>
      <c r="W309" s="176"/>
      <c r="X309" s="176"/>
      <c r="Y309" s="176"/>
      <c r="Z309" s="176"/>
    </row>
    <row r="310">
      <c r="A310" s="249" t="s">
        <v>28</v>
      </c>
      <c r="B310" s="249" t="s">
        <v>10</v>
      </c>
      <c r="C310" s="329" t="s">
        <v>2496</v>
      </c>
      <c r="D310" s="268" t="s">
        <v>495</v>
      </c>
      <c r="E310" s="361">
        <v>44232.0</v>
      </c>
      <c r="F310" s="250" t="s">
        <v>496</v>
      </c>
      <c r="G310" s="171">
        <v>100.0</v>
      </c>
      <c r="H310" s="171">
        <v>100.0</v>
      </c>
      <c r="I310" s="171">
        <v>100.0</v>
      </c>
      <c r="J310" s="325">
        <f t="shared" si="2"/>
        <v>0.003900108222</v>
      </c>
      <c r="K310" s="326">
        <f t="shared" si="16"/>
        <v>3.185088381</v>
      </c>
      <c r="L310" s="327">
        <f t="shared" si="3"/>
        <v>6.262961604</v>
      </c>
      <c r="M310" s="321" t="str">
        <f t="shared" si="14"/>
        <v>tam2140</v>
      </c>
      <c r="N310" s="176">
        <f>IFERROR(__xludf.DUMMYFUNCTION("""COMPUTED_VALUE"""),4.0)</f>
        <v>4</v>
      </c>
      <c r="O310" s="176"/>
      <c r="P310" s="176"/>
      <c r="Q310" s="176"/>
      <c r="R310" s="176"/>
      <c r="S310" s="176"/>
      <c r="T310" s="176"/>
      <c r="U310" s="176"/>
      <c r="V310" s="176"/>
      <c r="W310" s="176"/>
      <c r="X310" s="176"/>
      <c r="Y310" s="176"/>
      <c r="Z310" s="176"/>
    </row>
    <row r="311">
      <c r="A311" s="249" t="s">
        <v>28</v>
      </c>
      <c r="B311" s="249" t="s">
        <v>10</v>
      </c>
      <c r="C311" s="329" t="s">
        <v>2624</v>
      </c>
      <c r="D311" s="268" t="s">
        <v>495</v>
      </c>
      <c r="E311" s="251">
        <v>44239.0</v>
      </c>
      <c r="F311" s="250" t="s">
        <v>496</v>
      </c>
      <c r="G311" s="171">
        <v>100.0</v>
      </c>
      <c r="H311" s="171">
        <v>100.0</v>
      </c>
      <c r="I311" s="171">
        <v>100.0</v>
      </c>
      <c r="J311" s="325">
        <f t="shared" si="2"/>
        <v>0.003900108222</v>
      </c>
      <c r="K311" s="326">
        <f t="shared" si="16"/>
        <v>3.185088381</v>
      </c>
      <c r="L311" s="327">
        <f t="shared" si="3"/>
        <v>6.262961604</v>
      </c>
      <c r="M311" s="321" t="str">
        <f t="shared" si="14"/>
        <v>tam2140</v>
      </c>
      <c r="N311" s="176">
        <f>IFERROR(__xludf.DUMMYFUNCTION("""COMPUTED_VALUE"""),5.0)</f>
        <v>5</v>
      </c>
      <c r="O311" s="176"/>
      <c r="P311" s="176"/>
      <c r="Q311" s="176"/>
      <c r="R311" s="176"/>
      <c r="S311" s="176"/>
      <c r="T311" s="176"/>
      <c r="U311" s="176"/>
      <c r="V311" s="176"/>
      <c r="W311" s="176"/>
      <c r="X311" s="176"/>
      <c r="Y311" s="176"/>
      <c r="Z311" s="176"/>
    </row>
    <row r="312">
      <c r="A312" s="249" t="s">
        <v>28</v>
      </c>
      <c r="B312" s="249" t="s">
        <v>12</v>
      </c>
      <c r="C312" s="329" t="s">
        <v>2625</v>
      </c>
      <c r="D312" s="268" t="s">
        <v>495</v>
      </c>
      <c r="E312" s="361">
        <v>44234.0</v>
      </c>
      <c r="F312" s="250" t="s">
        <v>496</v>
      </c>
      <c r="G312" s="171">
        <v>90.0</v>
      </c>
      <c r="H312" s="171">
        <v>100.0</v>
      </c>
      <c r="I312" s="171">
        <v>100.0</v>
      </c>
      <c r="J312" s="325">
        <f t="shared" si="2"/>
        <v>0.003786837414</v>
      </c>
      <c r="K312" s="326">
        <f t="shared" si="16"/>
        <v>3.092583888</v>
      </c>
      <c r="L312" s="327">
        <f t="shared" si="3"/>
        <v>6.262961604</v>
      </c>
      <c r="M312" s="321" t="str">
        <f t="shared" si="14"/>
        <v>tam2140</v>
      </c>
      <c r="N312" s="176">
        <f>IFERROR(__xludf.DUMMYFUNCTION("""COMPUTED_VALUE"""),6.0)</f>
        <v>6</v>
      </c>
      <c r="O312" s="176"/>
      <c r="P312" s="176"/>
      <c r="Q312" s="176"/>
      <c r="R312" s="176"/>
      <c r="S312" s="176"/>
      <c r="T312" s="176"/>
      <c r="U312" s="176"/>
      <c r="V312" s="176"/>
      <c r="W312" s="176"/>
      <c r="X312" s="176"/>
      <c r="Y312" s="176"/>
      <c r="Z312" s="176"/>
    </row>
    <row r="313">
      <c r="A313" s="249" t="s">
        <v>28</v>
      </c>
      <c r="B313" s="249" t="s">
        <v>519</v>
      </c>
      <c r="C313" s="329" t="s">
        <v>2608</v>
      </c>
      <c r="D313" s="268" t="s">
        <v>495</v>
      </c>
      <c r="E313" s="361">
        <v>44231.0</v>
      </c>
      <c r="F313" s="250" t="s">
        <v>499</v>
      </c>
      <c r="G313" s="171">
        <v>120.0</v>
      </c>
      <c r="H313" s="171">
        <v>65.0</v>
      </c>
      <c r="I313" s="171">
        <v>100.0</v>
      </c>
      <c r="J313" s="325">
        <f t="shared" si="2"/>
        <v>0.003561541256</v>
      </c>
      <c r="K313" s="326">
        <f t="shared" si="16"/>
        <v>2.908592026</v>
      </c>
      <c r="L313" s="327">
        <f t="shared" si="3"/>
        <v>6.262961604</v>
      </c>
      <c r="M313" s="321" t="str">
        <f t="shared" si="14"/>
        <v>tam2140</v>
      </c>
      <c r="N313" s="176">
        <f>IFERROR(__xludf.DUMMYFUNCTION("""COMPUTED_VALUE"""),7.0)</f>
        <v>7</v>
      </c>
      <c r="O313" s="176"/>
      <c r="P313" s="176"/>
      <c r="Q313" s="176"/>
      <c r="R313" s="176"/>
      <c r="S313" s="176"/>
      <c r="T313" s="176"/>
      <c r="U313" s="176"/>
      <c r="V313" s="176"/>
      <c r="W313" s="176"/>
      <c r="X313" s="176"/>
      <c r="Y313" s="176"/>
      <c r="Z313" s="176"/>
    </row>
    <row r="314">
      <c r="A314" s="249" t="s">
        <v>28</v>
      </c>
      <c r="B314" s="249" t="s">
        <v>18</v>
      </c>
      <c r="C314" s="329" t="s">
        <v>2520</v>
      </c>
      <c r="D314" s="268" t="s">
        <v>495</v>
      </c>
      <c r="E314" s="361">
        <v>44236.0</v>
      </c>
      <c r="F314" s="250" t="s">
        <v>496</v>
      </c>
      <c r="G314" s="171">
        <v>100.0</v>
      </c>
      <c r="H314" s="171">
        <v>50.0</v>
      </c>
      <c r="I314" s="171">
        <v>100.0</v>
      </c>
      <c r="J314" s="325">
        <f t="shared" si="2"/>
        <v>0.003092810248</v>
      </c>
      <c r="K314" s="326">
        <f t="shared" si="16"/>
        <v>2.525795036</v>
      </c>
      <c r="L314" s="327">
        <f t="shared" si="3"/>
        <v>6.262961604</v>
      </c>
      <c r="M314" s="321" t="str">
        <f t="shared" si="14"/>
        <v>tam2140</v>
      </c>
      <c r="N314" s="176">
        <f>IFERROR(__xludf.DUMMYFUNCTION("""COMPUTED_VALUE"""),8.0)</f>
        <v>8</v>
      </c>
      <c r="O314" s="176"/>
      <c r="P314" s="176"/>
      <c r="Q314" s="176"/>
      <c r="R314" s="176"/>
      <c r="S314" s="176"/>
      <c r="T314" s="176"/>
      <c r="U314" s="176"/>
      <c r="V314" s="176"/>
      <c r="W314" s="176"/>
      <c r="X314" s="176"/>
      <c r="Y314" s="176"/>
      <c r="Z314" s="176"/>
    </row>
    <row r="315">
      <c r="A315" s="249" t="s">
        <v>28</v>
      </c>
      <c r="B315" s="249" t="s">
        <v>10</v>
      </c>
      <c r="C315" s="329" t="s">
        <v>2573</v>
      </c>
      <c r="D315" s="268" t="s">
        <v>495</v>
      </c>
      <c r="E315" s="361">
        <v>44232.0</v>
      </c>
      <c r="F315" s="250" t="s">
        <v>496</v>
      </c>
      <c r="G315" s="171">
        <v>70.0</v>
      </c>
      <c r="H315" s="171">
        <v>55.0</v>
      </c>
      <c r="I315" s="171">
        <v>80.0</v>
      </c>
      <c r="J315" s="325">
        <f t="shared" si="2"/>
        <v>0.002603166783</v>
      </c>
      <c r="K315" s="326">
        <f t="shared" si="16"/>
        <v>2.125919539</v>
      </c>
      <c r="L315" s="327">
        <f t="shared" si="3"/>
        <v>6.262961604</v>
      </c>
      <c r="M315" s="321" t="str">
        <f t="shared" si="14"/>
        <v>tam2140</v>
      </c>
      <c r="N315" s="176">
        <f>IFERROR(__xludf.DUMMYFUNCTION("""COMPUTED_VALUE"""),9.0)</f>
        <v>9</v>
      </c>
      <c r="O315" s="176"/>
      <c r="P315" s="176"/>
      <c r="Q315" s="176"/>
      <c r="R315" s="176"/>
      <c r="S315" s="176"/>
      <c r="T315" s="176"/>
      <c r="U315" s="176"/>
      <c r="V315" s="176"/>
      <c r="W315" s="176"/>
      <c r="X315" s="176"/>
      <c r="Y315" s="176"/>
      <c r="Z315" s="176"/>
    </row>
    <row r="316">
      <c r="A316" s="249" t="s">
        <v>28</v>
      </c>
      <c r="B316" s="249" t="s">
        <v>867</v>
      </c>
      <c r="C316" s="329" t="s">
        <v>2626</v>
      </c>
      <c r="D316" s="268" t="s">
        <v>495</v>
      </c>
      <c r="E316" s="251">
        <v>44239.0</v>
      </c>
      <c r="F316" s="250" t="s">
        <v>496</v>
      </c>
      <c r="G316" s="171">
        <v>50.0</v>
      </c>
      <c r="H316" s="171">
        <v>50.0</v>
      </c>
      <c r="I316" s="171">
        <v>100.0</v>
      </c>
      <c r="J316" s="325">
        <f t="shared" si="2"/>
        <v>0.002526456209</v>
      </c>
      <c r="K316" s="326">
        <f t="shared" si="16"/>
        <v>2.063272571</v>
      </c>
      <c r="L316" s="327">
        <f t="shared" si="3"/>
        <v>6.262961604</v>
      </c>
      <c r="M316" s="321" t="str">
        <f t="shared" si="14"/>
        <v>tam2140</v>
      </c>
      <c r="N316" s="176">
        <f>IFERROR(__xludf.DUMMYFUNCTION("""COMPUTED_VALUE"""),10.0)</f>
        <v>10</v>
      </c>
      <c r="O316" s="176"/>
      <c r="P316" s="176"/>
      <c r="Q316" s="176"/>
      <c r="R316" s="176"/>
      <c r="S316" s="176"/>
      <c r="T316" s="176"/>
      <c r="U316" s="176"/>
      <c r="V316" s="176"/>
      <c r="W316" s="176"/>
      <c r="X316" s="176"/>
      <c r="Y316" s="176"/>
      <c r="Z316" s="176"/>
    </row>
    <row r="317">
      <c r="A317" s="249" t="s">
        <v>28</v>
      </c>
      <c r="B317" s="249" t="s">
        <v>18</v>
      </c>
      <c r="C317" s="329" t="s">
        <v>2502</v>
      </c>
      <c r="D317" s="268" t="s">
        <v>495</v>
      </c>
      <c r="E317" s="361">
        <v>44236.0</v>
      </c>
      <c r="F317" s="250" t="s">
        <v>496</v>
      </c>
      <c r="G317" s="171">
        <v>40.0</v>
      </c>
      <c r="H317" s="171">
        <v>50.0</v>
      </c>
      <c r="I317" s="171">
        <v>60.0</v>
      </c>
      <c r="J317" s="325">
        <f t="shared" si="2"/>
        <v>0.001952063723</v>
      </c>
      <c r="K317" s="326">
        <f t="shared" si="16"/>
        <v>1.594185374</v>
      </c>
      <c r="L317" s="327">
        <f t="shared" si="3"/>
        <v>6.262961604</v>
      </c>
      <c r="M317" s="321" t="str">
        <f t="shared" si="14"/>
        <v>tam2140</v>
      </c>
      <c r="N317" s="176">
        <f>IFERROR(__xludf.DUMMYFUNCTION("""COMPUTED_VALUE"""),11.0)</f>
        <v>11</v>
      </c>
      <c r="O317" s="176"/>
      <c r="P317" s="176"/>
      <c r="Q317" s="176"/>
      <c r="R317" s="176"/>
      <c r="S317" s="176"/>
      <c r="T317" s="176"/>
      <c r="U317" s="176"/>
      <c r="V317" s="176"/>
      <c r="W317" s="176"/>
      <c r="X317" s="176"/>
      <c r="Y317" s="176"/>
      <c r="Z317" s="176"/>
    </row>
    <row r="318">
      <c r="A318" s="249" t="s">
        <v>28</v>
      </c>
      <c r="B318" s="249" t="s">
        <v>1228</v>
      </c>
      <c r="C318" s="329" t="s">
        <v>2499</v>
      </c>
      <c r="D318" s="268" t="s">
        <v>495</v>
      </c>
      <c r="E318" s="361">
        <v>44236.0</v>
      </c>
      <c r="F318" s="250" t="s">
        <v>496</v>
      </c>
      <c r="G318" s="171">
        <v>60.0</v>
      </c>
      <c r="H318" s="171">
        <v>25.0</v>
      </c>
      <c r="I318" s="171">
        <v>60.0</v>
      </c>
      <c r="J318" s="325">
        <f t="shared" si="2"/>
        <v>0.001774956352</v>
      </c>
      <c r="K318" s="326">
        <f t="shared" si="16"/>
        <v>1.449547687</v>
      </c>
      <c r="L318" s="327">
        <f t="shared" si="3"/>
        <v>6.262961604</v>
      </c>
      <c r="M318" s="321" t="str">
        <f t="shared" si="14"/>
        <v>tam2140</v>
      </c>
      <c r="N318" s="176">
        <f>IFERROR(__xludf.DUMMYFUNCTION("""COMPUTED_VALUE"""),12.0)</f>
        <v>12</v>
      </c>
      <c r="O318" s="176"/>
      <c r="P318" s="176"/>
      <c r="Q318" s="176"/>
      <c r="R318" s="176"/>
      <c r="S318" s="176"/>
      <c r="T318" s="176"/>
      <c r="U318" s="176"/>
      <c r="V318" s="176"/>
      <c r="W318" s="176"/>
      <c r="X318" s="176"/>
      <c r="Y318" s="176"/>
      <c r="Z318" s="176"/>
    </row>
    <row r="319">
      <c r="A319" s="249" t="s">
        <v>28</v>
      </c>
      <c r="B319" s="249" t="s">
        <v>590</v>
      </c>
      <c r="C319" s="329" t="s">
        <v>2492</v>
      </c>
      <c r="D319" s="268" t="s">
        <v>495</v>
      </c>
      <c r="E319" s="361">
        <v>44229.0</v>
      </c>
      <c r="F319" s="250" t="s">
        <v>496</v>
      </c>
      <c r="G319" s="171">
        <v>60.0</v>
      </c>
      <c r="H319" s="171">
        <v>25.0</v>
      </c>
      <c r="I319" s="171">
        <v>50.0</v>
      </c>
      <c r="J319" s="325">
        <f t="shared" si="2"/>
        <v>0.001659675932</v>
      </c>
      <c r="K319" s="326">
        <f t="shared" si="16"/>
        <v>1.355402011</v>
      </c>
      <c r="L319" s="327">
        <f t="shared" si="3"/>
        <v>6.262961604</v>
      </c>
      <c r="M319" s="321" t="str">
        <f t="shared" si="14"/>
        <v>tam2140</v>
      </c>
      <c r="N319" s="176">
        <f>IFERROR(__xludf.DUMMYFUNCTION("""COMPUTED_VALUE"""),13.0)</f>
        <v>13</v>
      </c>
      <c r="O319" s="176"/>
      <c r="P319" s="176"/>
      <c r="Q319" s="176"/>
      <c r="R319" s="176"/>
      <c r="S319" s="176"/>
      <c r="T319" s="176"/>
      <c r="U319" s="176"/>
      <c r="V319" s="176"/>
      <c r="W319" s="176"/>
      <c r="X319" s="176"/>
      <c r="Y319" s="176"/>
      <c r="Z319" s="176"/>
    </row>
    <row r="320">
      <c r="A320" s="249" t="s">
        <v>28</v>
      </c>
      <c r="B320" s="249" t="s">
        <v>10</v>
      </c>
      <c r="C320" s="329" t="s">
        <v>494</v>
      </c>
      <c r="D320" s="268" t="s">
        <v>495</v>
      </c>
      <c r="E320" s="361">
        <v>44232.0</v>
      </c>
      <c r="F320" s="250" t="s">
        <v>545</v>
      </c>
      <c r="G320" s="171">
        <v>60.0</v>
      </c>
      <c r="H320" s="171">
        <v>25.0</v>
      </c>
      <c r="I320" s="171">
        <v>40.0</v>
      </c>
      <c r="J320" s="325">
        <f t="shared" si="2"/>
        <v>0.001544395512</v>
      </c>
      <c r="K320" s="326">
        <f t="shared" si="16"/>
        <v>1.261256335</v>
      </c>
      <c r="L320" s="327">
        <f t="shared" si="3"/>
        <v>6.262961604</v>
      </c>
      <c r="M320" s="321" t="str">
        <f t="shared" si="14"/>
        <v>tam2140</v>
      </c>
      <c r="N320" s="176">
        <f>IFERROR(__xludf.DUMMYFUNCTION("""COMPUTED_VALUE"""),14.0)</f>
        <v>14</v>
      </c>
      <c r="O320" s="176"/>
      <c r="P320" s="176"/>
      <c r="Q320" s="176"/>
      <c r="R320" s="176"/>
      <c r="S320" s="176"/>
      <c r="T320" s="176"/>
      <c r="U320" s="176"/>
      <c r="V320" s="176"/>
      <c r="W320" s="176"/>
      <c r="X320" s="176"/>
      <c r="Y320" s="176"/>
      <c r="Z320" s="176"/>
    </row>
    <row r="321">
      <c r="A321" s="249" t="s">
        <v>28</v>
      </c>
      <c r="B321" s="249" t="s">
        <v>10</v>
      </c>
      <c r="C321" s="329" t="s">
        <v>2497</v>
      </c>
      <c r="D321" s="268" t="s">
        <v>495</v>
      </c>
      <c r="E321" s="361">
        <v>44232.0</v>
      </c>
      <c r="F321" s="250" t="s">
        <v>496</v>
      </c>
      <c r="G321" s="171">
        <v>40.0</v>
      </c>
      <c r="H321" s="171">
        <v>25.0</v>
      </c>
      <c r="I321" s="171">
        <v>50.0</v>
      </c>
      <c r="J321" s="325">
        <f t="shared" si="2"/>
        <v>0.001433134316</v>
      </c>
      <c r="K321" s="326">
        <f t="shared" si="16"/>
        <v>1.170393025</v>
      </c>
      <c r="L321" s="327">
        <f t="shared" si="3"/>
        <v>6.262961604</v>
      </c>
      <c r="M321" s="321" t="str">
        <f t="shared" si="14"/>
        <v>tam2140</v>
      </c>
      <c r="N321" s="176">
        <f>IFERROR(__xludf.DUMMYFUNCTION("""COMPUTED_VALUE"""),15.0)</f>
        <v>15</v>
      </c>
      <c r="O321" s="176"/>
      <c r="P321" s="176"/>
      <c r="Q321" s="176"/>
      <c r="R321" s="176"/>
      <c r="S321" s="176"/>
      <c r="T321" s="176"/>
      <c r="U321" s="176"/>
      <c r="V321" s="176"/>
      <c r="W321" s="176"/>
      <c r="X321" s="176"/>
      <c r="Y321" s="176"/>
      <c r="Z321" s="176"/>
    </row>
    <row r="322">
      <c r="A322" s="249" t="s">
        <v>28</v>
      </c>
      <c r="B322" s="249" t="s">
        <v>590</v>
      </c>
      <c r="C322" s="329" t="s">
        <v>2500</v>
      </c>
      <c r="D322" s="268" t="s">
        <v>495</v>
      </c>
      <c r="E322" s="361">
        <v>44236.0</v>
      </c>
      <c r="F322" s="250" t="s">
        <v>496</v>
      </c>
      <c r="G322" s="171">
        <v>40.0</v>
      </c>
      <c r="H322" s="171">
        <v>25.0</v>
      </c>
      <c r="I322" s="171">
        <v>50.0</v>
      </c>
      <c r="J322" s="325">
        <f t="shared" si="2"/>
        <v>0.001433134316</v>
      </c>
      <c r="K322" s="326">
        <f t="shared" si="16"/>
        <v>1.170393025</v>
      </c>
      <c r="L322" s="327">
        <f t="shared" si="3"/>
        <v>6.262961604</v>
      </c>
      <c r="M322" s="321" t="str">
        <f t="shared" si="14"/>
        <v>tam2140</v>
      </c>
      <c r="N322" s="176">
        <f>IFERROR(__xludf.DUMMYFUNCTION("""COMPUTED_VALUE"""),16.0)</f>
        <v>16</v>
      </c>
      <c r="O322" s="176"/>
      <c r="P322" s="176"/>
      <c r="Q322" s="176"/>
      <c r="R322" s="176"/>
      <c r="S322" s="176"/>
      <c r="T322" s="176"/>
      <c r="U322" s="176"/>
      <c r="V322" s="176"/>
      <c r="W322" s="176"/>
      <c r="X322" s="176"/>
      <c r="Y322" s="176"/>
      <c r="Z322" s="176"/>
    </row>
    <row r="323">
      <c r="A323" s="249" t="s">
        <v>28</v>
      </c>
      <c r="B323" s="249" t="s">
        <v>10</v>
      </c>
      <c r="C323" s="329" t="s">
        <v>2506</v>
      </c>
      <c r="D323" s="268" t="s">
        <v>495</v>
      </c>
      <c r="E323" s="251">
        <v>44239.0</v>
      </c>
      <c r="F323" s="250" t="s">
        <v>496</v>
      </c>
      <c r="G323" s="171">
        <v>40.0</v>
      </c>
      <c r="H323" s="171">
        <v>25.0</v>
      </c>
      <c r="I323" s="171">
        <v>50.0</v>
      </c>
      <c r="J323" s="325">
        <f t="shared" si="2"/>
        <v>0.001433134316</v>
      </c>
      <c r="K323" s="326">
        <f t="shared" si="16"/>
        <v>1.170393025</v>
      </c>
      <c r="L323" s="327">
        <f t="shared" si="3"/>
        <v>6.262961604</v>
      </c>
      <c r="M323" s="321" t="str">
        <f t="shared" si="14"/>
        <v>tam2140</v>
      </c>
      <c r="N323" s="176">
        <f>IFERROR(__xludf.DUMMYFUNCTION("""COMPUTED_VALUE"""),17.0)</f>
        <v>17</v>
      </c>
      <c r="O323" s="176"/>
      <c r="P323" s="176"/>
      <c r="Q323" s="176"/>
      <c r="R323" s="176"/>
      <c r="S323" s="176"/>
      <c r="T323" s="176"/>
      <c r="U323" s="176"/>
      <c r="V323" s="176"/>
      <c r="W323" s="176"/>
      <c r="X323" s="176"/>
      <c r="Y323" s="176"/>
      <c r="Z323" s="176"/>
    </row>
    <row r="324">
      <c r="A324" s="240" t="s">
        <v>28</v>
      </c>
      <c r="B324" s="240" t="s">
        <v>534</v>
      </c>
      <c r="C324" s="221" t="s">
        <v>781</v>
      </c>
      <c r="D324" s="336"/>
      <c r="E324" s="340"/>
      <c r="F324" s="254"/>
      <c r="G324" s="312"/>
      <c r="H324" s="222"/>
      <c r="I324" s="222"/>
      <c r="J324" s="325">
        <f t="shared" si="2"/>
        <v>0</v>
      </c>
      <c r="K324" s="337">
        <f>41.755*-0.85</f>
        <v>-35.49175</v>
      </c>
      <c r="L324" s="327">
        <f t="shared" si="3"/>
        <v>6.262961604</v>
      </c>
      <c r="M324" s="321" t="str">
        <f t="shared" si="14"/>
        <v>tam2140</v>
      </c>
      <c r="N324" s="209">
        <f>IFERROR(__xludf.DUMMYFUNCTION("""COMPUTED_VALUE"""),18.0)</f>
        <v>18</v>
      </c>
      <c r="O324" s="209"/>
      <c r="P324" s="209"/>
      <c r="Q324" s="209"/>
      <c r="R324" s="209">
        <v>27.866735844582376</v>
      </c>
      <c r="S324" s="209"/>
      <c r="T324" s="209"/>
      <c r="U324" s="209"/>
      <c r="V324" s="209"/>
      <c r="W324" s="209"/>
      <c r="X324" s="209"/>
      <c r="Y324" s="176"/>
      <c r="Z324" s="176"/>
    </row>
    <row r="325">
      <c r="A325" s="249" t="s">
        <v>21</v>
      </c>
      <c r="B325" s="249" t="s">
        <v>10</v>
      </c>
      <c r="C325" s="329" t="s">
        <v>2627</v>
      </c>
      <c r="D325" s="268" t="s">
        <v>495</v>
      </c>
      <c r="E325" s="251">
        <v>44239.0</v>
      </c>
      <c r="F325" s="250" t="s">
        <v>496</v>
      </c>
      <c r="G325" s="171">
        <v>100.0</v>
      </c>
      <c r="H325" s="171">
        <v>50.0</v>
      </c>
      <c r="I325" s="171">
        <v>100.0</v>
      </c>
      <c r="J325" s="325">
        <f t="shared" si="2"/>
        <v>0.003092810248</v>
      </c>
      <c r="K325" s="326">
        <f t="shared" ref="K325:K344" si="17">J325*$J$1</f>
        <v>2.525795036</v>
      </c>
      <c r="L325" s="327">
        <f t="shared" si="3"/>
        <v>5.892336425</v>
      </c>
      <c r="M325" s="321" t="str">
        <f t="shared" si="14"/>
        <v>shawn_westrick</v>
      </c>
      <c r="N325" s="176">
        <f>IFERROR(__xludf.DUMMYFUNCTION("""COMPUTED_VALUE"""),1.0)</f>
        <v>1</v>
      </c>
      <c r="O325" s="176"/>
      <c r="P325" s="176"/>
      <c r="Q325" s="176"/>
      <c r="R325" s="176"/>
      <c r="S325" s="176"/>
      <c r="T325" s="176"/>
      <c r="U325" s="176"/>
      <c r="V325" s="176"/>
      <c r="W325" s="176"/>
      <c r="X325" s="176"/>
      <c r="Y325" s="176"/>
      <c r="Z325" s="176"/>
    </row>
    <row r="326">
      <c r="A326" s="249" t="s">
        <v>21</v>
      </c>
      <c r="B326" s="249" t="s">
        <v>10</v>
      </c>
      <c r="C326" s="329" t="s">
        <v>2628</v>
      </c>
      <c r="D326" s="268" t="s">
        <v>495</v>
      </c>
      <c r="E326" s="251">
        <v>44239.0</v>
      </c>
      <c r="F326" s="250" t="s">
        <v>496</v>
      </c>
      <c r="G326" s="171">
        <v>100.0</v>
      </c>
      <c r="H326" s="171">
        <v>25.0</v>
      </c>
      <c r="I326" s="171">
        <v>100.0</v>
      </c>
      <c r="J326" s="325">
        <f t="shared" si="2"/>
        <v>0.002689161261</v>
      </c>
      <c r="K326" s="326">
        <f t="shared" si="17"/>
        <v>2.196148364</v>
      </c>
      <c r="L326" s="327">
        <f t="shared" si="3"/>
        <v>5.892336425</v>
      </c>
      <c r="M326" s="321" t="str">
        <f t="shared" si="14"/>
        <v>shawn_westrick</v>
      </c>
      <c r="N326" s="176">
        <f>IFERROR(__xludf.DUMMYFUNCTION("""COMPUTED_VALUE"""),2.0)</f>
        <v>2</v>
      </c>
      <c r="O326" s="176"/>
      <c r="P326" s="176"/>
      <c r="Q326" s="176"/>
      <c r="R326" s="176"/>
      <c r="S326" s="176"/>
      <c r="T326" s="176"/>
      <c r="U326" s="176"/>
      <c r="V326" s="176"/>
      <c r="W326" s="176"/>
      <c r="X326" s="176"/>
      <c r="Y326" s="176"/>
      <c r="Z326" s="176"/>
    </row>
    <row r="327">
      <c r="A327" s="249" t="s">
        <v>21</v>
      </c>
      <c r="B327" s="249" t="s">
        <v>10</v>
      </c>
      <c r="C327" s="329" t="s">
        <v>2507</v>
      </c>
      <c r="D327" s="268" t="s">
        <v>495</v>
      </c>
      <c r="E327" s="251">
        <v>44239.0</v>
      </c>
      <c r="F327" s="250" t="s">
        <v>496</v>
      </c>
      <c r="G327" s="171">
        <v>40.0</v>
      </c>
      <c r="H327" s="171">
        <v>25.0</v>
      </c>
      <c r="I327" s="171">
        <v>50.0</v>
      </c>
      <c r="J327" s="325">
        <f t="shared" si="2"/>
        <v>0.001433134316</v>
      </c>
      <c r="K327" s="326">
        <f t="shared" si="17"/>
        <v>1.170393025</v>
      </c>
      <c r="L327" s="327">
        <f t="shared" si="3"/>
        <v>5.892336425</v>
      </c>
      <c r="M327" s="321" t="str">
        <f t="shared" si="14"/>
        <v>shawn_westrick</v>
      </c>
      <c r="N327" s="176">
        <f>IFERROR(__xludf.DUMMYFUNCTION("""COMPUTED_VALUE"""),3.0)</f>
        <v>3</v>
      </c>
      <c r="O327" s="176"/>
      <c r="P327" s="176"/>
      <c r="Q327" s="176"/>
      <c r="R327" s="176"/>
      <c r="S327" s="176"/>
      <c r="T327" s="176"/>
      <c r="U327" s="176"/>
      <c r="V327" s="176"/>
      <c r="W327" s="176"/>
      <c r="X327" s="176"/>
      <c r="Y327" s="176"/>
      <c r="Z327" s="176"/>
    </row>
    <row r="328">
      <c r="A328" s="249" t="s">
        <v>50</v>
      </c>
      <c r="B328" s="249" t="s">
        <v>29</v>
      </c>
      <c r="C328" s="329" t="s">
        <v>2629</v>
      </c>
      <c r="D328" s="268" t="s">
        <v>495</v>
      </c>
      <c r="E328" s="361">
        <v>44228.0</v>
      </c>
      <c r="F328" s="250" t="s">
        <v>592</v>
      </c>
      <c r="G328" s="171">
        <v>80.0</v>
      </c>
      <c r="H328" s="171">
        <v>100.0</v>
      </c>
      <c r="I328" s="171">
        <v>100.0</v>
      </c>
      <c r="J328" s="325">
        <f t="shared" si="2"/>
        <v>0.003673566606</v>
      </c>
      <c r="K328" s="326">
        <f t="shared" si="17"/>
        <v>3.000079395</v>
      </c>
      <c r="L328" s="327">
        <f t="shared" si="3"/>
        <v>5.155856459</v>
      </c>
      <c r="M328" s="321" t="str">
        <f t="shared" si="14"/>
        <v>geleeroyale</v>
      </c>
      <c r="N328" s="176">
        <f>IFERROR(__xludf.DUMMYFUNCTION("""COMPUTED_VALUE"""),1.0)</f>
        <v>1</v>
      </c>
      <c r="O328" s="176"/>
      <c r="P328" s="176"/>
      <c r="Q328" s="176"/>
      <c r="R328" s="176"/>
      <c r="S328" s="176"/>
      <c r="T328" s="176"/>
      <c r="U328" s="176"/>
      <c r="V328" s="176"/>
      <c r="W328" s="176"/>
      <c r="X328" s="176"/>
      <c r="Y328" s="176"/>
      <c r="Z328" s="176"/>
    </row>
    <row r="329">
      <c r="A329" s="249" t="s">
        <v>50</v>
      </c>
      <c r="B329" s="249" t="s">
        <v>519</v>
      </c>
      <c r="C329" s="329" t="s">
        <v>2622</v>
      </c>
      <c r="D329" s="268" t="s">
        <v>495</v>
      </c>
      <c r="E329" s="251">
        <v>44226.0</v>
      </c>
      <c r="F329" s="250" t="s">
        <v>499</v>
      </c>
      <c r="G329" s="171">
        <v>60.0</v>
      </c>
      <c r="H329" s="171">
        <v>50.0</v>
      </c>
      <c r="I329" s="171">
        <v>100.0</v>
      </c>
      <c r="J329" s="325">
        <f t="shared" si="2"/>
        <v>0.002639727017</v>
      </c>
      <c r="K329" s="326">
        <f t="shared" si="17"/>
        <v>2.155777064</v>
      </c>
      <c r="L329" s="327">
        <f t="shared" si="3"/>
        <v>5.155856459</v>
      </c>
      <c r="M329" s="321" t="str">
        <f t="shared" si="14"/>
        <v>geleeroyale</v>
      </c>
      <c r="N329" s="176">
        <f>IFERROR(__xludf.DUMMYFUNCTION("""COMPUTED_VALUE"""),2.0)</f>
        <v>2</v>
      </c>
      <c r="O329" s="176"/>
      <c r="P329" s="176"/>
      <c r="Q329" s="176"/>
      <c r="R329" s="176"/>
      <c r="S329" s="176"/>
      <c r="T329" s="176"/>
      <c r="U329" s="176"/>
      <c r="V329" s="176"/>
      <c r="W329" s="176"/>
      <c r="X329" s="176"/>
      <c r="Y329" s="176"/>
      <c r="Z329" s="176"/>
    </row>
    <row r="330">
      <c r="A330" s="249" t="s">
        <v>33</v>
      </c>
      <c r="B330" s="249" t="s">
        <v>10</v>
      </c>
      <c r="C330" s="329" t="s">
        <v>2601</v>
      </c>
      <c r="D330" s="268" t="s">
        <v>495</v>
      </c>
      <c r="E330" s="361">
        <v>44232.0</v>
      </c>
      <c r="F330" s="250" t="s">
        <v>496</v>
      </c>
      <c r="G330" s="171">
        <v>200.0</v>
      </c>
      <c r="H330" s="171">
        <v>100.0</v>
      </c>
      <c r="I330" s="171">
        <v>100.0</v>
      </c>
      <c r="J330" s="325">
        <f t="shared" si="2"/>
        <v>0.0050328163</v>
      </c>
      <c r="K330" s="326">
        <f t="shared" si="17"/>
        <v>4.110133312</v>
      </c>
      <c r="L330" s="327">
        <f t="shared" si="3"/>
        <v>5.155674751</v>
      </c>
      <c r="M330" s="321" t="str">
        <f t="shared" si="14"/>
        <v>vegayp</v>
      </c>
      <c r="N330" s="176">
        <f>IFERROR(__xludf.DUMMYFUNCTION("""COMPUTED_VALUE"""),1.0)</f>
        <v>1</v>
      </c>
      <c r="O330" s="176"/>
      <c r="P330" s="176"/>
      <c r="Q330" s="176"/>
      <c r="R330" s="176"/>
      <c r="S330" s="176"/>
      <c r="T330" s="176"/>
      <c r="U330" s="176"/>
      <c r="V330" s="176"/>
      <c r="W330" s="176"/>
      <c r="X330" s="176"/>
      <c r="Y330" s="176"/>
      <c r="Z330" s="176"/>
    </row>
    <row r="331">
      <c r="A331" s="249" t="s">
        <v>33</v>
      </c>
      <c r="B331" s="249" t="s">
        <v>10</v>
      </c>
      <c r="C331" s="329" t="s">
        <v>2630</v>
      </c>
      <c r="D331" s="268" t="s">
        <v>495</v>
      </c>
      <c r="E331" s="251">
        <v>44239.0</v>
      </c>
      <c r="F331" s="250" t="s">
        <v>496</v>
      </c>
      <c r="G331" s="171">
        <v>150.0</v>
      </c>
      <c r="H331" s="171">
        <v>100.0</v>
      </c>
      <c r="I331" s="171">
        <v>100.0</v>
      </c>
      <c r="J331" s="325">
        <f t="shared" si="2"/>
        <v>0.004466462261</v>
      </c>
      <c r="K331" s="326">
        <f t="shared" si="17"/>
        <v>3.647610847</v>
      </c>
      <c r="L331" s="327">
        <f t="shared" si="3"/>
        <v>5.155674751</v>
      </c>
      <c r="M331" s="321" t="str">
        <f t="shared" si="14"/>
        <v>vegayp</v>
      </c>
      <c r="N331" s="176">
        <f>IFERROR(__xludf.DUMMYFUNCTION("""COMPUTED_VALUE"""),2.0)</f>
        <v>2</v>
      </c>
      <c r="O331" s="176"/>
      <c r="P331" s="176"/>
      <c r="Q331" s="176"/>
      <c r="R331" s="176"/>
      <c r="S331" s="176"/>
      <c r="T331" s="176"/>
      <c r="U331" s="176"/>
      <c r="V331" s="176"/>
      <c r="W331" s="176"/>
      <c r="X331" s="176"/>
      <c r="Y331" s="176"/>
      <c r="Z331" s="176"/>
    </row>
    <row r="332">
      <c r="A332" s="249" t="s">
        <v>33</v>
      </c>
      <c r="B332" s="249" t="s">
        <v>867</v>
      </c>
      <c r="C332" s="329" t="s">
        <v>2616</v>
      </c>
      <c r="D332" s="268" t="s">
        <v>495</v>
      </c>
      <c r="E332" s="361">
        <v>44230.0</v>
      </c>
      <c r="F332" s="250" t="s">
        <v>496</v>
      </c>
      <c r="G332" s="171">
        <v>120.0</v>
      </c>
      <c r="H332" s="171">
        <v>100.0</v>
      </c>
      <c r="I332" s="171">
        <v>100.0</v>
      </c>
      <c r="J332" s="325">
        <f t="shared" si="2"/>
        <v>0.004126649838</v>
      </c>
      <c r="K332" s="326">
        <f t="shared" si="17"/>
        <v>3.370097367</v>
      </c>
      <c r="L332" s="327">
        <f t="shared" si="3"/>
        <v>5.155674751</v>
      </c>
      <c r="M332" s="321" t="str">
        <f t="shared" si="14"/>
        <v>vegayp</v>
      </c>
      <c r="N332" s="176">
        <f>IFERROR(__xludf.DUMMYFUNCTION("""COMPUTED_VALUE"""),3.0)</f>
        <v>3</v>
      </c>
      <c r="O332" s="176"/>
      <c r="P332" s="176"/>
      <c r="Q332" s="176"/>
      <c r="R332" s="176"/>
      <c r="S332" s="176"/>
      <c r="T332" s="176"/>
      <c r="U332" s="176"/>
      <c r="V332" s="176"/>
      <c r="W332" s="176"/>
      <c r="X332" s="176"/>
      <c r="Y332" s="176"/>
      <c r="Z332" s="176"/>
    </row>
    <row r="333">
      <c r="A333" s="249" t="s">
        <v>33</v>
      </c>
      <c r="B333" s="249" t="s">
        <v>25</v>
      </c>
      <c r="C333" s="329" t="s">
        <v>2605</v>
      </c>
      <c r="D333" s="268" t="s">
        <v>495</v>
      </c>
      <c r="E333" s="361">
        <v>44232.0</v>
      </c>
      <c r="F333" s="250" t="s">
        <v>496</v>
      </c>
      <c r="G333" s="171">
        <v>120.0</v>
      </c>
      <c r="H333" s="171">
        <v>100.0</v>
      </c>
      <c r="I333" s="171">
        <v>100.0</v>
      </c>
      <c r="J333" s="325">
        <f t="shared" si="2"/>
        <v>0.004126649838</v>
      </c>
      <c r="K333" s="326">
        <f t="shared" si="17"/>
        <v>3.370097367</v>
      </c>
      <c r="L333" s="327">
        <f t="shared" si="3"/>
        <v>5.155674751</v>
      </c>
      <c r="M333" s="321" t="str">
        <f t="shared" si="14"/>
        <v>vegayp</v>
      </c>
      <c r="N333" s="176">
        <f>IFERROR(__xludf.DUMMYFUNCTION("""COMPUTED_VALUE"""),4.0)</f>
        <v>4</v>
      </c>
      <c r="O333" s="176"/>
      <c r="P333" s="176"/>
      <c r="Q333" s="176"/>
      <c r="R333" s="176"/>
      <c r="S333" s="176"/>
      <c r="T333" s="176"/>
      <c r="U333" s="176"/>
      <c r="V333" s="176"/>
      <c r="W333" s="176"/>
      <c r="X333" s="176"/>
      <c r="Y333" s="176"/>
      <c r="Z333" s="176"/>
    </row>
    <row r="334">
      <c r="A334" s="249" t="s">
        <v>33</v>
      </c>
      <c r="B334" s="249" t="s">
        <v>590</v>
      </c>
      <c r="C334" s="329" t="s">
        <v>2631</v>
      </c>
      <c r="D334" s="268" t="s">
        <v>495</v>
      </c>
      <c r="E334" s="361">
        <v>44236.0</v>
      </c>
      <c r="F334" s="250" t="s">
        <v>496</v>
      </c>
      <c r="G334" s="171">
        <v>120.0</v>
      </c>
      <c r="H334" s="171">
        <v>100.0</v>
      </c>
      <c r="I334" s="171">
        <v>100.0</v>
      </c>
      <c r="J334" s="325">
        <f t="shared" si="2"/>
        <v>0.004126649838</v>
      </c>
      <c r="K334" s="326">
        <f t="shared" si="17"/>
        <v>3.370097367</v>
      </c>
      <c r="L334" s="327">
        <f t="shared" si="3"/>
        <v>5.155674751</v>
      </c>
      <c r="M334" s="321" t="str">
        <f t="shared" si="14"/>
        <v>vegayp</v>
      </c>
      <c r="N334" s="176">
        <f>IFERROR(__xludf.DUMMYFUNCTION("""COMPUTED_VALUE"""),5.0)</f>
        <v>5</v>
      </c>
      <c r="O334" s="176"/>
      <c r="P334" s="176"/>
      <c r="Q334" s="176"/>
      <c r="R334" s="176"/>
      <c r="S334" s="176"/>
      <c r="T334" s="176"/>
      <c r="U334" s="176"/>
      <c r="V334" s="176"/>
      <c r="W334" s="176"/>
      <c r="X334" s="176"/>
      <c r="Y334" s="176"/>
      <c r="Z334" s="176"/>
    </row>
    <row r="335">
      <c r="A335" s="249" t="s">
        <v>33</v>
      </c>
      <c r="B335" s="249" t="s">
        <v>845</v>
      </c>
      <c r="C335" s="329" t="s">
        <v>2518</v>
      </c>
      <c r="D335" s="268" t="s">
        <v>495</v>
      </c>
      <c r="E335" s="361">
        <v>44234.0</v>
      </c>
      <c r="F335" s="250" t="s">
        <v>496</v>
      </c>
      <c r="G335" s="171">
        <v>100.0</v>
      </c>
      <c r="H335" s="171">
        <v>100.0</v>
      </c>
      <c r="I335" s="171">
        <v>100.0</v>
      </c>
      <c r="J335" s="325">
        <f t="shared" si="2"/>
        <v>0.003900108222</v>
      </c>
      <c r="K335" s="326">
        <f t="shared" si="17"/>
        <v>3.185088381</v>
      </c>
      <c r="L335" s="327">
        <f t="shared" si="3"/>
        <v>5.155674751</v>
      </c>
      <c r="M335" s="321" t="str">
        <f t="shared" si="14"/>
        <v>vegayp</v>
      </c>
      <c r="N335" s="176">
        <f>IFERROR(__xludf.DUMMYFUNCTION("""COMPUTED_VALUE"""),6.0)</f>
        <v>6</v>
      </c>
      <c r="O335" s="176"/>
      <c r="P335" s="176"/>
      <c r="Q335" s="176"/>
      <c r="R335" s="176"/>
      <c r="S335" s="176"/>
      <c r="T335" s="176"/>
      <c r="U335" s="176"/>
      <c r="V335" s="176"/>
      <c r="W335" s="176"/>
      <c r="X335" s="176"/>
      <c r="Y335" s="176"/>
      <c r="Z335" s="176"/>
    </row>
    <row r="336">
      <c r="A336" s="249" t="s">
        <v>33</v>
      </c>
      <c r="B336" s="249" t="s">
        <v>12</v>
      </c>
      <c r="C336" s="329" t="s">
        <v>2632</v>
      </c>
      <c r="D336" s="268" t="s">
        <v>495</v>
      </c>
      <c r="E336" s="361">
        <v>44234.0</v>
      </c>
      <c r="F336" s="250" t="s">
        <v>496</v>
      </c>
      <c r="G336" s="171">
        <v>70.0</v>
      </c>
      <c r="H336" s="171">
        <v>100.0</v>
      </c>
      <c r="I336" s="171">
        <v>100.0</v>
      </c>
      <c r="J336" s="325">
        <f t="shared" si="2"/>
        <v>0.003560295798</v>
      </c>
      <c r="K336" s="326">
        <f t="shared" si="17"/>
        <v>2.907574902</v>
      </c>
      <c r="L336" s="327">
        <f t="shared" si="3"/>
        <v>5.155674751</v>
      </c>
      <c r="M336" s="321" t="str">
        <f t="shared" si="14"/>
        <v>vegayp</v>
      </c>
      <c r="N336" s="176">
        <f>IFERROR(__xludf.DUMMYFUNCTION("""COMPUTED_VALUE"""),7.0)</f>
        <v>7</v>
      </c>
      <c r="O336" s="176"/>
      <c r="P336" s="176"/>
      <c r="Q336" s="176"/>
      <c r="R336" s="176"/>
      <c r="S336" s="176"/>
      <c r="T336" s="176"/>
      <c r="U336" s="176"/>
      <c r="V336" s="176"/>
      <c r="W336" s="176"/>
      <c r="X336" s="176"/>
      <c r="Y336" s="176"/>
      <c r="Z336" s="176"/>
    </row>
    <row r="337">
      <c r="A337" s="249" t="s">
        <v>33</v>
      </c>
      <c r="B337" s="249" t="s">
        <v>18</v>
      </c>
      <c r="C337" s="329" t="s">
        <v>2520</v>
      </c>
      <c r="D337" s="268" t="s">
        <v>495</v>
      </c>
      <c r="E337" s="361">
        <v>44236.0</v>
      </c>
      <c r="F337" s="250" t="s">
        <v>496</v>
      </c>
      <c r="G337" s="171">
        <v>100.0</v>
      </c>
      <c r="H337" s="171">
        <v>50.0</v>
      </c>
      <c r="I337" s="171">
        <v>100.0</v>
      </c>
      <c r="J337" s="325">
        <f t="shared" si="2"/>
        <v>0.003092810248</v>
      </c>
      <c r="K337" s="326">
        <f t="shared" si="17"/>
        <v>2.525795036</v>
      </c>
      <c r="L337" s="327">
        <f t="shared" si="3"/>
        <v>5.155674751</v>
      </c>
      <c r="M337" s="321" t="str">
        <f t="shared" si="14"/>
        <v>vegayp</v>
      </c>
      <c r="N337" s="176">
        <f>IFERROR(__xludf.DUMMYFUNCTION("""COMPUTED_VALUE"""),8.0)</f>
        <v>8</v>
      </c>
      <c r="O337" s="176"/>
      <c r="P337" s="176"/>
      <c r="Q337" s="176"/>
      <c r="R337" s="176"/>
      <c r="S337" s="176"/>
      <c r="T337" s="176"/>
      <c r="U337" s="176"/>
      <c r="V337" s="176"/>
      <c r="W337" s="176"/>
      <c r="X337" s="176"/>
      <c r="Y337" s="176"/>
      <c r="Z337" s="176"/>
    </row>
    <row r="338">
      <c r="A338" s="249" t="s">
        <v>33</v>
      </c>
      <c r="B338" s="249" t="s">
        <v>10</v>
      </c>
      <c r="C338" s="329" t="s">
        <v>2514</v>
      </c>
      <c r="D338" s="268" t="s">
        <v>495</v>
      </c>
      <c r="E338" s="361">
        <v>44232.0</v>
      </c>
      <c r="F338" s="250" t="s">
        <v>496</v>
      </c>
      <c r="G338" s="171">
        <v>50.0</v>
      </c>
      <c r="H338" s="171">
        <v>50.0</v>
      </c>
      <c r="I338" s="171">
        <v>100.0</v>
      </c>
      <c r="J338" s="325">
        <f t="shared" si="2"/>
        <v>0.002526456209</v>
      </c>
      <c r="K338" s="326">
        <f t="shared" si="17"/>
        <v>2.063272571</v>
      </c>
      <c r="L338" s="327">
        <f t="shared" si="3"/>
        <v>5.155674751</v>
      </c>
      <c r="M338" s="321" t="str">
        <f t="shared" si="14"/>
        <v>vegayp</v>
      </c>
      <c r="N338" s="176">
        <f>IFERROR(__xludf.DUMMYFUNCTION("""COMPUTED_VALUE"""),9.0)</f>
        <v>9</v>
      </c>
      <c r="O338" s="176"/>
      <c r="P338" s="176"/>
      <c r="Q338" s="176"/>
      <c r="R338" s="176"/>
      <c r="S338" s="176"/>
      <c r="T338" s="176"/>
      <c r="U338" s="176"/>
      <c r="V338" s="176"/>
      <c r="W338" s="176"/>
      <c r="X338" s="176"/>
      <c r="Y338" s="176"/>
      <c r="Z338" s="176"/>
    </row>
    <row r="339">
      <c r="A339" s="249" t="s">
        <v>33</v>
      </c>
      <c r="B339" s="249" t="s">
        <v>590</v>
      </c>
      <c r="C339" s="329" t="s">
        <v>2492</v>
      </c>
      <c r="D339" s="268" t="s">
        <v>495</v>
      </c>
      <c r="E339" s="361">
        <v>44229.0</v>
      </c>
      <c r="F339" s="250" t="s">
        <v>496</v>
      </c>
      <c r="G339" s="171">
        <v>60.0</v>
      </c>
      <c r="H339" s="171">
        <v>25.0</v>
      </c>
      <c r="I339" s="171">
        <v>50.0</v>
      </c>
      <c r="J339" s="325">
        <f t="shared" si="2"/>
        <v>0.001659675932</v>
      </c>
      <c r="K339" s="326">
        <f t="shared" si="17"/>
        <v>1.355402011</v>
      </c>
      <c r="L339" s="327">
        <f t="shared" si="3"/>
        <v>5.155674751</v>
      </c>
      <c r="M339" s="321" t="str">
        <f t="shared" si="14"/>
        <v>vegayp</v>
      </c>
      <c r="N339" s="176">
        <f>IFERROR(__xludf.DUMMYFUNCTION("""COMPUTED_VALUE"""),10.0)</f>
        <v>10</v>
      </c>
      <c r="O339" s="176"/>
      <c r="P339" s="176"/>
      <c r="Q339" s="176"/>
      <c r="R339" s="176"/>
      <c r="S339" s="176"/>
      <c r="T339" s="176"/>
      <c r="U339" s="176"/>
      <c r="V339" s="176"/>
      <c r="W339" s="176"/>
      <c r="X339" s="176"/>
      <c r="Y339" s="176"/>
      <c r="Z339" s="176"/>
    </row>
    <row r="340">
      <c r="A340" s="249" t="s">
        <v>33</v>
      </c>
      <c r="B340" s="249" t="s">
        <v>10</v>
      </c>
      <c r="C340" s="329" t="s">
        <v>2497</v>
      </c>
      <c r="D340" s="268" t="s">
        <v>495</v>
      </c>
      <c r="E340" s="361">
        <v>44232.0</v>
      </c>
      <c r="F340" s="250" t="s">
        <v>496</v>
      </c>
      <c r="G340" s="171">
        <v>40.0</v>
      </c>
      <c r="H340" s="171">
        <v>25.0</v>
      </c>
      <c r="I340" s="171">
        <v>50.0</v>
      </c>
      <c r="J340" s="325">
        <f t="shared" si="2"/>
        <v>0.001433134316</v>
      </c>
      <c r="K340" s="326">
        <f t="shared" si="17"/>
        <v>1.170393025</v>
      </c>
      <c r="L340" s="327">
        <f t="shared" si="3"/>
        <v>5.155674751</v>
      </c>
      <c r="M340" s="321" t="str">
        <f t="shared" si="14"/>
        <v>vegayp</v>
      </c>
      <c r="N340" s="176">
        <f>IFERROR(__xludf.DUMMYFUNCTION("""COMPUTED_VALUE"""),11.0)</f>
        <v>11</v>
      </c>
      <c r="O340" s="176"/>
      <c r="P340" s="176"/>
      <c r="Q340" s="176"/>
      <c r="R340" s="176"/>
      <c r="S340" s="176"/>
      <c r="T340" s="176"/>
      <c r="U340" s="176"/>
      <c r="V340" s="176"/>
      <c r="W340" s="176"/>
      <c r="X340" s="176"/>
      <c r="Y340" s="176"/>
      <c r="Z340" s="176"/>
    </row>
    <row r="341">
      <c r="A341" s="249" t="s">
        <v>33</v>
      </c>
      <c r="B341" s="249" t="s">
        <v>590</v>
      </c>
      <c r="C341" s="329" t="s">
        <v>2500</v>
      </c>
      <c r="D341" s="268" t="s">
        <v>495</v>
      </c>
      <c r="E341" s="361">
        <v>44236.0</v>
      </c>
      <c r="F341" s="250" t="s">
        <v>496</v>
      </c>
      <c r="G341" s="171">
        <v>40.0</v>
      </c>
      <c r="H341" s="171">
        <v>25.0</v>
      </c>
      <c r="I341" s="171">
        <v>50.0</v>
      </c>
      <c r="J341" s="325">
        <f t="shared" si="2"/>
        <v>0.001433134316</v>
      </c>
      <c r="K341" s="326">
        <f t="shared" si="17"/>
        <v>1.170393025</v>
      </c>
      <c r="L341" s="327">
        <f t="shared" si="3"/>
        <v>5.155674751</v>
      </c>
      <c r="M341" s="321" t="str">
        <f t="shared" si="14"/>
        <v>vegayp</v>
      </c>
      <c r="N341" s="176">
        <f>IFERROR(__xludf.DUMMYFUNCTION("""COMPUTED_VALUE"""),12.0)</f>
        <v>12</v>
      </c>
      <c r="O341" s="176"/>
      <c r="P341" s="176"/>
      <c r="Q341" s="176"/>
      <c r="R341" s="176"/>
      <c r="S341" s="176"/>
      <c r="T341" s="176"/>
      <c r="U341" s="176"/>
      <c r="V341" s="176"/>
      <c r="W341" s="176"/>
      <c r="X341" s="176"/>
      <c r="Y341" s="176"/>
      <c r="Z341" s="176"/>
    </row>
    <row r="342">
      <c r="A342" s="249" t="s">
        <v>33</v>
      </c>
      <c r="B342" s="249" t="s">
        <v>10</v>
      </c>
      <c r="C342" s="329" t="s">
        <v>2506</v>
      </c>
      <c r="D342" s="268" t="s">
        <v>495</v>
      </c>
      <c r="E342" s="251">
        <v>44239.0</v>
      </c>
      <c r="F342" s="250" t="s">
        <v>496</v>
      </c>
      <c r="G342" s="171">
        <v>40.0</v>
      </c>
      <c r="H342" s="171">
        <v>25.0</v>
      </c>
      <c r="I342" s="171">
        <v>50.0</v>
      </c>
      <c r="J342" s="325">
        <f t="shared" si="2"/>
        <v>0.001433134316</v>
      </c>
      <c r="K342" s="326">
        <f t="shared" si="17"/>
        <v>1.170393025</v>
      </c>
      <c r="L342" s="327">
        <f t="shared" si="3"/>
        <v>5.155674751</v>
      </c>
      <c r="M342" s="321" t="str">
        <f t="shared" si="14"/>
        <v>vegayp</v>
      </c>
      <c r="N342" s="176">
        <f>IFERROR(__xludf.DUMMYFUNCTION("""COMPUTED_VALUE"""),13.0)</f>
        <v>13</v>
      </c>
      <c r="O342" s="176"/>
      <c r="P342" s="176"/>
      <c r="Q342" s="176"/>
      <c r="R342" s="176"/>
      <c r="S342" s="176"/>
      <c r="T342" s="176"/>
      <c r="U342" s="176"/>
      <c r="V342" s="176"/>
      <c r="W342" s="176"/>
      <c r="X342" s="176"/>
      <c r="Y342" s="176"/>
      <c r="Z342" s="176"/>
    </row>
    <row r="343">
      <c r="A343" s="249" t="s">
        <v>33</v>
      </c>
      <c r="B343" s="249" t="s">
        <v>10</v>
      </c>
      <c r="C343" s="329" t="s">
        <v>2498</v>
      </c>
      <c r="D343" s="268" t="s">
        <v>495</v>
      </c>
      <c r="E343" s="251">
        <v>44239.0</v>
      </c>
      <c r="F343" s="250" t="s">
        <v>545</v>
      </c>
      <c r="G343" s="171">
        <v>20.0</v>
      </c>
      <c r="H343" s="171">
        <v>15.0</v>
      </c>
      <c r="I343" s="171">
        <v>15.0</v>
      </c>
      <c r="J343" s="325">
        <f t="shared" si="2"/>
        <v>0.0006416516372</v>
      </c>
      <c r="K343" s="326">
        <f t="shared" si="17"/>
        <v>0.5240155037</v>
      </c>
      <c r="L343" s="327">
        <f t="shared" si="3"/>
        <v>5.155674751</v>
      </c>
      <c r="M343" s="321" t="str">
        <f t="shared" si="14"/>
        <v>vegayp</v>
      </c>
      <c r="N343" s="176">
        <f>IFERROR(__xludf.DUMMYFUNCTION("""COMPUTED_VALUE"""),14.0)</f>
        <v>14</v>
      </c>
      <c r="O343" s="176"/>
      <c r="P343" s="176"/>
      <c r="Q343" s="176"/>
      <c r="R343" s="176"/>
      <c r="S343" s="176"/>
      <c r="T343" s="176"/>
      <c r="U343" s="176"/>
      <c r="V343" s="176"/>
      <c r="W343" s="176"/>
      <c r="X343" s="176"/>
      <c r="Y343" s="176"/>
      <c r="Z343" s="176"/>
    </row>
    <row r="344">
      <c r="A344" s="249" t="s">
        <v>33</v>
      </c>
      <c r="B344" s="249" t="s">
        <v>10</v>
      </c>
      <c r="C344" s="329" t="s">
        <v>2530</v>
      </c>
      <c r="D344" s="268" t="s">
        <v>495</v>
      </c>
      <c r="E344" s="251">
        <v>44239.0</v>
      </c>
      <c r="F344" s="250" t="s">
        <v>499</v>
      </c>
      <c r="G344" s="171">
        <v>10.0</v>
      </c>
      <c r="H344" s="171">
        <v>15.0</v>
      </c>
      <c r="I344" s="171">
        <v>15.0</v>
      </c>
      <c r="J344" s="325">
        <f t="shared" si="2"/>
        <v>0.0005283808294</v>
      </c>
      <c r="K344" s="326">
        <f t="shared" si="17"/>
        <v>0.4315110107</v>
      </c>
      <c r="L344" s="327">
        <f t="shared" si="3"/>
        <v>5.155674751</v>
      </c>
      <c r="M344" s="321" t="str">
        <f t="shared" si="14"/>
        <v>vegayp</v>
      </c>
      <c r="N344" s="176">
        <f>IFERROR(__xludf.DUMMYFUNCTION("""COMPUTED_VALUE"""),15.0)</f>
        <v>15</v>
      </c>
      <c r="O344" s="176"/>
      <c r="P344" s="176"/>
      <c r="Q344" s="176"/>
      <c r="R344" s="176"/>
      <c r="S344" s="176"/>
      <c r="T344" s="176"/>
      <c r="U344" s="176"/>
      <c r="V344" s="176"/>
      <c r="W344" s="176"/>
      <c r="X344" s="176"/>
      <c r="Y344" s="176"/>
      <c r="Z344" s="176"/>
    </row>
    <row r="345">
      <c r="A345" s="240" t="s">
        <v>33</v>
      </c>
      <c r="B345" s="240" t="s">
        <v>534</v>
      </c>
      <c r="C345" s="221" t="s">
        <v>810</v>
      </c>
      <c r="D345" s="336"/>
      <c r="E345" s="255"/>
      <c r="F345" s="254"/>
      <c r="G345" s="222"/>
      <c r="H345" s="222"/>
      <c r="I345" s="222"/>
      <c r="J345" s="325">
        <f t="shared" si="2"/>
        <v>0</v>
      </c>
      <c r="K345" s="337">
        <f>34.372*-0.85</f>
        <v>-29.2162</v>
      </c>
      <c r="L345" s="327">
        <f t="shared" si="3"/>
        <v>5.155674751</v>
      </c>
      <c r="M345" s="321" t="str">
        <f t="shared" si="14"/>
        <v>vegayp</v>
      </c>
      <c r="N345" s="209">
        <f>IFERROR(__xludf.DUMMYFUNCTION("""COMPUTED_VALUE"""),16.0)</f>
        <v>16</v>
      </c>
      <c r="O345" s="209"/>
      <c r="P345" s="209"/>
      <c r="Q345" s="209"/>
      <c r="R345" s="209">
        <v>18.802169413641863</v>
      </c>
      <c r="S345" s="209"/>
      <c r="T345" s="209"/>
      <c r="U345" s="209"/>
      <c r="V345" s="209"/>
      <c r="W345" s="209"/>
      <c r="X345" s="209"/>
      <c r="Y345" s="176"/>
      <c r="Z345" s="176"/>
    </row>
    <row r="346">
      <c r="A346" s="249" t="s">
        <v>38</v>
      </c>
      <c r="B346" s="249" t="s">
        <v>519</v>
      </c>
      <c r="C346" s="329" t="s">
        <v>2329</v>
      </c>
      <c r="D346" s="268" t="s">
        <v>495</v>
      </c>
      <c r="E346" s="251">
        <v>44237.0</v>
      </c>
      <c r="F346" s="250" t="s">
        <v>521</v>
      </c>
      <c r="G346" s="171">
        <v>40.0</v>
      </c>
      <c r="H346" s="171">
        <v>50.0</v>
      </c>
      <c r="I346" s="171">
        <v>100.0</v>
      </c>
      <c r="J346" s="325">
        <f t="shared" si="2"/>
        <v>0.002413185401</v>
      </c>
      <c r="K346" s="326">
        <f t="shared" ref="K346:K354" si="18">J346*$J$1</f>
        <v>1.970768078</v>
      </c>
      <c r="L346" s="327">
        <f t="shared" si="3"/>
        <v>4.837210814</v>
      </c>
      <c r="M346" s="321" t="str">
        <f t="shared" si="14"/>
        <v>danibelle</v>
      </c>
      <c r="N346" s="176">
        <f>IFERROR(__xludf.DUMMYFUNCTION("""COMPUTED_VALUE"""),1.0)</f>
        <v>1</v>
      </c>
      <c r="O346" s="176"/>
      <c r="P346" s="176"/>
      <c r="Q346" s="176"/>
      <c r="R346" s="176"/>
      <c r="S346" s="176"/>
      <c r="T346" s="176"/>
      <c r="U346" s="176"/>
      <c r="V346" s="176"/>
      <c r="W346" s="176"/>
      <c r="X346" s="176"/>
      <c r="Y346" s="176"/>
      <c r="Z346" s="176"/>
    </row>
    <row r="347">
      <c r="A347" s="249" t="s">
        <v>38</v>
      </c>
      <c r="B347" s="249" t="s">
        <v>519</v>
      </c>
      <c r="C347" s="329" t="s">
        <v>2329</v>
      </c>
      <c r="D347" s="268" t="s">
        <v>495</v>
      </c>
      <c r="E347" s="361">
        <v>44230.0</v>
      </c>
      <c r="F347" s="250" t="s">
        <v>521</v>
      </c>
      <c r="G347" s="171">
        <v>40.0</v>
      </c>
      <c r="H347" s="171">
        <v>25.0</v>
      </c>
      <c r="I347" s="171">
        <v>80.0</v>
      </c>
      <c r="J347" s="325">
        <f t="shared" si="2"/>
        <v>0.001778975575</v>
      </c>
      <c r="K347" s="326">
        <f t="shared" si="18"/>
        <v>1.452830053</v>
      </c>
      <c r="L347" s="327">
        <f t="shared" si="3"/>
        <v>4.837210814</v>
      </c>
      <c r="M347" s="321" t="str">
        <f t="shared" si="14"/>
        <v>danibelle</v>
      </c>
      <c r="N347" s="176">
        <f>IFERROR(__xludf.DUMMYFUNCTION("""COMPUTED_VALUE"""),2.0)</f>
        <v>2</v>
      </c>
      <c r="O347" s="176"/>
      <c r="P347" s="176"/>
      <c r="Q347" s="176"/>
      <c r="R347" s="176"/>
      <c r="S347" s="176"/>
      <c r="T347" s="176"/>
      <c r="U347" s="176"/>
      <c r="V347" s="176"/>
      <c r="W347" s="176"/>
      <c r="X347" s="176"/>
      <c r="Y347" s="176"/>
      <c r="Z347" s="176"/>
    </row>
    <row r="348">
      <c r="A348" s="249" t="s">
        <v>38</v>
      </c>
      <c r="B348" s="249" t="s">
        <v>10</v>
      </c>
      <c r="C348" s="329" t="s">
        <v>2498</v>
      </c>
      <c r="D348" s="268" t="s">
        <v>495</v>
      </c>
      <c r="E348" s="251">
        <v>44239.0</v>
      </c>
      <c r="F348" s="250" t="s">
        <v>545</v>
      </c>
      <c r="G348" s="171">
        <v>20.0</v>
      </c>
      <c r="H348" s="171">
        <v>15.0</v>
      </c>
      <c r="I348" s="171">
        <v>15.0</v>
      </c>
      <c r="J348" s="325">
        <f t="shared" si="2"/>
        <v>0.0006416516372</v>
      </c>
      <c r="K348" s="326">
        <f t="shared" si="18"/>
        <v>0.5240155037</v>
      </c>
      <c r="L348" s="327">
        <f t="shared" si="3"/>
        <v>4.837210814</v>
      </c>
      <c r="M348" s="321" t="str">
        <f t="shared" si="14"/>
        <v>danibelle</v>
      </c>
      <c r="N348" s="176">
        <f>IFERROR(__xludf.DUMMYFUNCTION("""COMPUTED_VALUE"""),3.0)</f>
        <v>3</v>
      </c>
      <c r="O348" s="176"/>
      <c r="P348" s="176"/>
      <c r="Q348" s="176"/>
      <c r="R348" s="176"/>
      <c r="S348" s="176"/>
      <c r="T348" s="176"/>
      <c r="U348" s="176"/>
      <c r="V348" s="176"/>
      <c r="W348" s="176"/>
      <c r="X348" s="176"/>
      <c r="Y348" s="176"/>
      <c r="Z348" s="176"/>
    </row>
    <row r="349">
      <c r="A349" s="249" t="s">
        <v>38</v>
      </c>
      <c r="B349" s="249" t="s">
        <v>10</v>
      </c>
      <c r="C349" s="329" t="s">
        <v>2498</v>
      </c>
      <c r="D349" s="268" t="s">
        <v>495</v>
      </c>
      <c r="E349" s="361">
        <v>44232.0</v>
      </c>
      <c r="F349" s="250" t="s">
        <v>545</v>
      </c>
      <c r="G349" s="171">
        <v>20.0</v>
      </c>
      <c r="H349" s="171">
        <v>10.0</v>
      </c>
      <c r="I349" s="171">
        <v>15.0</v>
      </c>
      <c r="J349" s="325">
        <f t="shared" si="2"/>
        <v>0.0005609218398</v>
      </c>
      <c r="K349" s="326">
        <f t="shared" si="18"/>
        <v>0.4580861692</v>
      </c>
      <c r="L349" s="327">
        <f t="shared" si="3"/>
        <v>4.837210814</v>
      </c>
      <c r="M349" s="321" t="str">
        <f t="shared" si="14"/>
        <v>danibelle</v>
      </c>
      <c r="N349" s="176">
        <f>IFERROR(__xludf.DUMMYFUNCTION("""COMPUTED_VALUE"""),4.0)</f>
        <v>4</v>
      </c>
      <c r="O349" s="176"/>
      <c r="P349" s="176"/>
      <c r="Q349" s="176"/>
      <c r="R349" s="176"/>
      <c r="S349" s="176"/>
      <c r="T349" s="176"/>
      <c r="U349" s="176"/>
      <c r="V349" s="176"/>
      <c r="W349" s="176"/>
      <c r="X349" s="176"/>
      <c r="Y349" s="176"/>
      <c r="Z349" s="176"/>
    </row>
    <row r="350">
      <c r="A350" s="249" t="s">
        <v>38</v>
      </c>
      <c r="B350" s="249" t="s">
        <v>10</v>
      </c>
      <c r="C350" s="329" t="s">
        <v>2530</v>
      </c>
      <c r="D350" s="268" t="s">
        <v>495</v>
      </c>
      <c r="E350" s="251">
        <v>44239.0</v>
      </c>
      <c r="F350" s="250" t="s">
        <v>499</v>
      </c>
      <c r="G350" s="171">
        <v>10.0</v>
      </c>
      <c r="H350" s="171">
        <v>15.0</v>
      </c>
      <c r="I350" s="171">
        <v>15.0</v>
      </c>
      <c r="J350" s="325">
        <f t="shared" si="2"/>
        <v>0.0005283808294</v>
      </c>
      <c r="K350" s="326">
        <f t="shared" si="18"/>
        <v>0.4315110107</v>
      </c>
      <c r="L350" s="327">
        <f t="shared" si="3"/>
        <v>4.837210814</v>
      </c>
      <c r="M350" s="321" t="str">
        <f t="shared" si="14"/>
        <v>danibelle</v>
      </c>
      <c r="N350" s="176">
        <f>IFERROR(__xludf.DUMMYFUNCTION("""COMPUTED_VALUE"""),5.0)</f>
        <v>5</v>
      </c>
      <c r="O350" s="176"/>
      <c r="P350" s="176"/>
      <c r="Q350" s="176"/>
      <c r="R350" s="176"/>
      <c r="S350" s="176"/>
      <c r="T350" s="176"/>
      <c r="U350" s="176"/>
      <c r="V350" s="176"/>
      <c r="W350" s="176"/>
      <c r="X350" s="176"/>
      <c r="Y350" s="176"/>
      <c r="Z350" s="176"/>
    </row>
    <row r="351">
      <c r="A351" s="249" t="s">
        <v>57</v>
      </c>
      <c r="B351" s="249" t="s">
        <v>519</v>
      </c>
      <c r="C351" s="329" t="s">
        <v>2600</v>
      </c>
      <c r="D351" s="268" t="s">
        <v>495</v>
      </c>
      <c r="E351" s="361">
        <v>44232.0</v>
      </c>
      <c r="F351" s="250" t="s">
        <v>1956</v>
      </c>
      <c r="G351" s="171">
        <v>150.0</v>
      </c>
      <c r="H351" s="171">
        <v>100.0</v>
      </c>
      <c r="I351" s="171">
        <v>100.0</v>
      </c>
      <c r="J351" s="325">
        <f t="shared" si="2"/>
        <v>0.004466462261</v>
      </c>
      <c r="K351" s="326">
        <f t="shared" si="18"/>
        <v>3.647610847</v>
      </c>
      <c r="L351" s="327">
        <f t="shared" si="3"/>
        <v>4.798777626</v>
      </c>
      <c r="M351" s="321" t="str">
        <f t="shared" si="14"/>
        <v>fabiosmendes</v>
      </c>
      <c r="N351" s="176">
        <f>IFERROR(__xludf.DUMMYFUNCTION("""COMPUTED_VALUE"""),1.0)</f>
        <v>1</v>
      </c>
      <c r="O351" s="176"/>
      <c r="P351" s="176"/>
      <c r="Q351" s="176"/>
      <c r="R351" s="176"/>
      <c r="S351" s="176"/>
      <c r="T351" s="176"/>
      <c r="U351" s="176"/>
      <c r="V351" s="176"/>
      <c r="W351" s="176"/>
      <c r="X351" s="176"/>
      <c r="Y351" s="176"/>
      <c r="Z351" s="176"/>
    </row>
    <row r="352">
      <c r="A352" s="249" t="s">
        <v>57</v>
      </c>
      <c r="B352" s="249" t="s">
        <v>10</v>
      </c>
      <c r="C352" s="329" t="s">
        <v>2553</v>
      </c>
      <c r="D352" s="268" t="s">
        <v>495</v>
      </c>
      <c r="E352" s="251">
        <v>44239.0</v>
      </c>
      <c r="F352" s="250" t="s">
        <v>496</v>
      </c>
      <c r="G352" s="171">
        <v>100.0</v>
      </c>
      <c r="H352" s="171">
        <v>100.0</v>
      </c>
      <c r="I352" s="171">
        <v>70.0</v>
      </c>
      <c r="J352" s="325">
        <f t="shared" si="2"/>
        <v>0.003554266963</v>
      </c>
      <c r="K352" s="326">
        <f t="shared" si="18"/>
        <v>2.902651353</v>
      </c>
      <c r="L352" s="327">
        <f t="shared" si="3"/>
        <v>4.798777626</v>
      </c>
      <c r="M352" s="321" t="str">
        <f t="shared" si="14"/>
        <v>fabiosmendes</v>
      </c>
      <c r="N352" s="176">
        <f>IFERROR(__xludf.DUMMYFUNCTION("""COMPUTED_VALUE"""),2.0)</f>
        <v>2</v>
      </c>
      <c r="O352" s="176"/>
      <c r="P352" s="176"/>
      <c r="Q352" s="176"/>
      <c r="R352" s="176"/>
      <c r="S352" s="176"/>
      <c r="T352" s="176"/>
      <c r="U352" s="176"/>
      <c r="V352" s="176"/>
      <c r="W352" s="176"/>
      <c r="X352" s="176"/>
      <c r="Y352" s="176"/>
      <c r="Z352" s="176"/>
    </row>
    <row r="353">
      <c r="A353" s="249" t="s">
        <v>57</v>
      </c>
      <c r="B353" s="249" t="s">
        <v>519</v>
      </c>
      <c r="C353" s="329" t="s">
        <v>2329</v>
      </c>
      <c r="D353" s="268" t="s">
        <v>495</v>
      </c>
      <c r="E353" s="251">
        <v>44237.0</v>
      </c>
      <c r="F353" s="250" t="s">
        <v>521</v>
      </c>
      <c r="G353" s="171">
        <v>40.0</v>
      </c>
      <c r="H353" s="171">
        <v>50.0</v>
      </c>
      <c r="I353" s="171">
        <v>60.0</v>
      </c>
      <c r="J353" s="325">
        <f t="shared" si="2"/>
        <v>0.001952063723</v>
      </c>
      <c r="K353" s="326">
        <f t="shared" si="18"/>
        <v>1.594185374</v>
      </c>
      <c r="L353" s="327">
        <f t="shared" si="3"/>
        <v>4.798777626</v>
      </c>
      <c r="M353" s="321" t="str">
        <f t="shared" si="14"/>
        <v>fabiosmendes</v>
      </c>
      <c r="N353" s="176">
        <f>IFERROR(__xludf.DUMMYFUNCTION("""COMPUTED_VALUE"""),3.0)</f>
        <v>3</v>
      </c>
      <c r="O353" s="176"/>
      <c r="P353" s="176"/>
      <c r="Q353" s="176"/>
      <c r="R353" s="176"/>
      <c r="S353" s="176"/>
      <c r="T353" s="176"/>
      <c r="U353" s="176"/>
      <c r="V353" s="176"/>
      <c r="W353" s="176"/>
      <c r="X353" s="176"/>
      <c r="Y353" s="176"/>
      <c r="Z353" s="176"/>
    </row>
    <row r="354">
      <c r="A354" s="249" t="s">
        <v>57</v>
      </c>
      <c r="B354" s="249" t="s">
        <v>519</v>
      </c>
      <c r="C354" s="329" t="s">
        <v>2329</v>
      </c>
      <c r="D354" s="268" t="s">
        <v>495</v>
      </c>
      <c r="E354" s="361">
        <v>44230.0</v>
      </c>
      <c r="F354" s="250" t="s">
        <v>521</v>
      </c>
      <c r="G354" s="171">
        <v>40.0</v>
      </c>
      <c r="H354" s="171">
        <v>25.0</v>
      </c>
      <c r="I354" s="171">
        <v>80.0</v>
      </c>
      <c r="J354" s="325">
        <f t="shared" si="2"/>
        <v>0.001778975575</v>
      </c>
      <c r="K354" s="326">
        <f t="shared" si="18"/>
        <v>1.452830053</v>
      </c>
      <c r="L354" s="327">
        <f t="shared" si="3"/>
        <v>4.798777626</v>
      </c>
      <c r="M354" s="321" t="str">
        <f t="shared" si="14"/>
        <v>fabiosmendes</v>
      </c>
      <c r="N354" s="176">
        <f>IFERROR(__xludf.DUMMYFUNCTION("""COMPUTED_VALUE"""),4.0)</f>
        <v>4</v>
      </c>
      <c r="O354" s="176"/>
      <c r="P354" s="176"/>
      <c r="Q354" s="176"/>
      <c r="R354" s="176"/>
      <c r="S354" s="176"/>
      <c r="T354" s="176"/>
      <c r="U354" s="176"/>
      <c r="V354" s="176"/>
      <c r="W354" s="176"/>
      <c r="X354" s="176"/>
      <c r="Y354" s="176"/>
      <c r="Z354" s="176"/>
    </row>
    <row r="355">
      <c r="A355" s="253" t="s">
        <v>57</v>
      </c>
      <c r="B355" s="253" t="s">
        <v>534</v>
      </c>
      <c r="C355" s="347" t="s">
        <v>774</v>
      </c>
      <c r="D355" s="343"/>
      <c r="E355" s="344"/>
      <c r="F355" s="343"/>
      <c r="G355" s="253"/>
      <c r="H355" s="253"/>
      <c r="I355" s="253"/>
      <c r="J355" s="172">
        <f t="shared" si="2"/>
        <v>0</v>
      </c>
      <c r="K355" s="299">
        <f>-9.597*0.5</f>
        <v>-4.7985</v>
      </c>
      <c r="L355" s="270">
        <f t="shared" si="3"/>
        <v>4.798777626</v>
      </c>
      <c r="M355" s="271" t="str">
        <f t="shared" si="14"/>
        <v>fabiosmendes</v>
      </c>
      <c r="N355" s="348">
        <f>IFERROR(__xludf.DUMMYFUNCTION("""COMPUTED_VALUE"""),5.0)</f>
        <v>5</v>
      </c>
      <c r="O355" s="343"/>
      <c r="P355" s="343"/>
      <c r="Q355" s="343"/>
      <c r="R355" s="336">
        <v>57.049855624848725</v>
      </c>
      <c r="S355" s="343"/>
      <c r="T355" s="343"/>
      <c r="U355" s="343"/>
      <c r="V355" s="343"/>
      <c r="W355" s="343"/>
      <c r="X355" s="343"/>
      <c r="Y355" s="226"/>
      <c r="Z355" s="226"/>
    </row>
    <row r="356">
      <c r="A356" s="249" t="s">
        <v>13</v>
      </c>
      <c r="B356" s="249" t="s">
        <v>1228</v>
      </c>
      <c r="C356" s="329" t="s">
        <v>2499</v>
      </c>
      <c r="D356" s="268" t="s">
        <v>495</v>
      </c>
      <c r="E356" s="361">
        <v>44236.0</v>
      </c>
      <c r="F356" s="250" t="s">
        <v>496</v>
      </c>
      <c r="G356" s="171">
        <v>60.0</v>
      </c>
      <c r="H356" s="171">
        <v>25.0</v>
      </c>
      <c r="I356" s="171">
        <v>60.0</v>
      </c>
      <c r="J356" s="325">
        <f t="shared" si="2"/>
        <v>0.001774956352</v>
      </c>
      <c r="K356" s="326">
        <f t="shared" ref="K356:K368" si="19">J356*$J$1</f>
        <v>1.449547687</v>
      </c>
      <c r="L356" s="327">
        <f t="shared" si="3"/>
        <v>3.88283823</v>
      </c>
      <c r="M356" s="321" t="str">
        <f t="shared" si="14"/>
        <v>durgadasji</v>
      </c>
      <c r="N356" s="176">
        <f>IFERROR(__xludf.DUMMYFUNCTION("""COMPUTED_VALUE"""),1.0)</f>
        <v>1</v>
      </c>
      <c r="O356" s="176"/>
      <c r="P356" s="176"/>
      <c r="Q356" s="176"/>
      <c r="R356" s="176"/>
      <c r="S356" s="176"/>
      <c r="T356" s="176"/>
      <c r="U356" s="176"/>
      <c r="V356" s="176"/>
      <c r="W356" s="176"/>
      <c r="X356" s="176"/>
      <c r="Y356" s="176"/>
      <c r="Z356" s="176"/>
    </row>
    <row r="357">
      <c r="A357" s="249" t="s">
        <v>13</v>
      </c>
      <c r="B357" s="249" t="s">
        <v>590</v>
      </c>
      <c r="C357" s="329" t="s">
        <v>2492</v>
      </c>
      <c r="D357" s="268" t="s">
        <v>495</v>
      </c>
      <c r="E357" s="361">
        <v>44229.0</v>
      </c>
      <c r="F357" s="250" t="s">
        <v>496</v>
      </c>
      <c r="G357" s="171">
        <v>50.0</v>
      </c>
      <c r="H357" s="171">
        <v>25.0</v>
      </c>
      <c r="I357" s="171">
        <v>50.0</v>
      </c>
      <c r="J357" s="325">
        <f t="shared" si="2"/>
        <v>0.001546405124</v>
      </c>
      <c r="K357" s="326">
        <f t="shared" si="19"/>
        <v>1.262897518</v>
      </c>
      <c r="L357" s="327">
        <f t="shared" si="3"/>
        <v>3.88283823</v>
      </c>
      <c r="M357" s="321" t="str">
        <f t="shared" si="14"/>
        <v>durgadasji</v>
      </c>
      <c r="N357" s="176">
        <f>IFERROR(__xludf.DUMMYFUNCTION("""COMPUTED_VALUE"""),2.0)</f>
        <v>2</v>
      </c>
      <c r="O357" s="176"/>
      <c r="P357" s="176"/>
      <c r="Q357" s="176"/>
      <c r="R357" s="176"/>
      <c r="S357" s="176"/>
      <c r="T357" s="176"/>
      <c r="U357" s="176"/>
      <c r="V357" s="176"/>
      <c r="W357" s="176"/>
      <c r="X357" s="176"/>
      <c r="Y357" s="176"/>
      <c r="Z357" s="176"/>
    </row>
    <row r="358">
      <c r="A358" s="249" t="s">
        <v>13</v>
      </c>
      <c r="B358" s="249" t="s">
        <v>10</v>
      </c>
      <c r="C358" s="329" t="s">
        <v>2497</v>
      </c>
      <c r="D358" s="268" t="s">
        <v>495</v>
      </c>
      <c r="E358" s="361">
        <v>44232.0</v>
      </c>
      <c r="F358" s="250" t="s">
        <v>496</v>
      </c>
      <c r="G358" s="171">
        <v>40.0</v>
      </c>
      <c r="H358" s="171">
        <v>25.0</v>
      </c>
      <c r="I358" s="171">
        <v>50.0</v>
      </c>
      <c r="J358" s="325">
        <f t="shared" si="2"/>
        <v>0.001433134316</v>
      </c>
      <c r="K358" s="326">
        <f t="shared" si="19"/>
        <v>1.170393025</v>
      </c>
      <c r="L358" s="327">
        <f t="shared" si="3"/>
        <v>3.88283823</v>
      </c>
      <c r="M358" s="321" t="str">
        <f t="shared" si="14"/>
        <v>durgadasji</v>
      </c>
      <c r="N358" s="176">
        <f>IFERROR(__xludf.DUMMYFUNCTION("""COMPUTED_VALUE"""),3.0)</f>
        <v>3</v>
      </c>
      <c r="O358" s="176"/>
      <c r="P358" s="176"/>
      <c r="Q358" s="176"/>
      <c r="R358" s="176"/>
      <c r="S358" s="176"/>
      <c r="T358" s="176"/>
      <c r="U358" s="176"/>
      <c r="V358" s="176"/>
      <c r="W358" s="176"/>
      <c r="X358" s="176"/>
      <c r="Y358" s="176"/>
      <c r="Z358" s="176"/>
    </row>
    <row r="359">
      <c r="A359" s="249" t="s">
        <v>6</v>
      </c>
      <c r="B359" s="249" t="s">
        <v>6</v>
      </c>
      <c r="C359" s="329" t="s">
        <v>2633</v>
      </c>
      <c r="D359" s="268" t="s">
        <v>495</v>
      </c>
      <c r="E359" s="361">
        <v>44228.0</v>
      </c>
      <c r="F359" s="250" t="s">
        <v>2586</v>
      </c>
      <c r="G359" s="171">
        <v>300.0</v>
      </c>
      <c r="H359" s="171">
        <v>250.0</v>
      </c>
      <c r="I359" s="171">
        <v>250.0</v>
      </c>
      <c r="J359" s="325">
        <f t="shared" si="2"/>
        <v>0.01031662459</v>
      </c>
      <c r="K359" s="326">
        <f t="shared" si="19"/>
        <v>8.425243418</v>
      </c>
      <c r="L359" s="327">
        <f t="shared" si="3"/>
        <v>3.396597994</v>
      </c>
      <c r="M359" s="321" t="str">
        <f t="shared" si="14"/>
        <v>sembrestels</v>
      </c>
      <c r="N359" s="176">
        <f>IFERROR(__xludf.DUMMYFUNCTION("""COMPUTED_VALUE"""),1.0)</f>
        <v>1</v>
      </c>
      <c r="O359" s="176"/>
      <c r="P359" s="176"/>
      <c r="Q359" s="176"/>
      <c r="R359" s="176"/>
      <c r="S359" s="176"/>
      <c r="T359" s="176"/>
      <c r="U359" s="176"/>
      <c r="V359" s="176"/>
      <c r="W359" s="176"/>
      <c r="X359" s="176"/>
      <c r="Y359" s="176"/>
      <c r="Z359" s="176"/>
    </row>
    <row r="360">
      <c r="A360" s="249" t="s">
        <v>6</v>
      </c>
      <c r="B360" s="249" t="s">
        <v>10</v>
      </c>
      <c r="C360" s="329" t="s">
        <v>2634</v>
      </c>
      <c r="D360" s="268" t="s">
        <v>495</v>
      </c>
      <c r="E360" s="361">
        <v>44232.0</v>
      </c>
      <c r="F360" s="250" t="s">
        <v>496</v>
      </c>
      <c r="G360" s="171">
        <v>160.0</v>
      </c>
      <c r="H360" s="171">
        <v>50.0</v>
      </c>
      <c r="I360" s="171">
        <v>100.0</v>
      </c>
      <c r="J360" s="325">
        <f t="shared" si="2"/>
        <v>0.003772435095</v>
      </c>
      <c r="K360" s="326">
        <f t="shared" si="19"/>
        <v>3.080821995</v>
      </c>
      <c r="L360" s="327">
        <f t="shared" si="3"/>
        <v>3.396597994</v>
      </c>
      <c r="M360" s="321" t="str">
        <f t="shared" si="14"/>
        <v>sembrestels</v>
      </c>
      <c r="N360" s="176">
        <f>IFERROR(__xludf.DUMMYFUNCTION("""COMPUTED_VALUE"""),2.0)</f>
        <v>2</v>
      </c>
      <c r="O360" s="176"/>
      <c r="P360" s="176"/>
      <c r="Q360" s="176"/>
      <c r="R360" s="176"/>
      <c r="S360" s="176"/>
      <c r="T360" s="176"/>
      <c r="U360" s="176"/>
      <c r="V360" s="176"/>
      <c r="W360" s="176"/>
      <c r="X360" s="176"/>
      <c r="Y360" s="176"/>
      <c r="Z360" s="176"/>
    </row>
    <row r="361">
      <c r="A361" s="249" t="s">
        <v>6</v>
      </c>
      <c r="B361" s="249" t="s">
        <v>867</v>
      </c>
      <c r="C361" s="329" t="s">
        <v>2508</v>
      </c>
      <c r="D361" s="268" t="s">
        <v>495</v>
      </c>
      <c r="E361" s="361">
        <v>44228.0</v>
      </c>
      <c r="F361" s="250" t="s">
        <v>496</v>
      </c>
      <c r="G361" s="171">
        <v>50.0</v>
      </c>
      <c r="H361" s="171">
        <v>25.0</v>
      </c>
      <c r="I361" s="171">
        <v>100.0</v>
      </c>
      <c r="J361" s="325">
        <f t="shared" si="2"/>
        <v>0.002122807222</v>
      </c>
      <c r="K361" s="326">
        <f t="shared" si="19"/>
        <v>1.733625898</v>
      </c>
      <c r="L361" s="327">
        <f t="shared" si="3"/>
        <v>3.396597994</v>
      </c>
      <c r="M361" s="321" t="str">
        <f t="shared" si="14"/>
        <v>sembrestels</v>
      </c>
      <c r="N361" s="176">
        <f>IFERROR(__xludf.DUMMYFUNCTION("""COMPUTED_VALUE"""),3.0)</f>
        <v>3</v>
      </c>
      <c r="O361" s="176"/>
      <c r="P361" s="176"/>
      <c r="Q361" s="176"/>
      <c r="R361" s="176"/>
      <c r="S361" s="176"/>
      <c r="T361" s="176"/>
      <c r="U361" s="176"/>
      <c r="V361" s="176"/>
      <c r="W361" s="176"/>
      <c r="X361" s="176"/>
      <c r="Y361" s="176"/>
      <c r="Z361" s="176"/>
    </row>
    <row r="362">
      <c r="A362" s="249" t="s">
        <v>6</v>
      </c>
      <c r="B362" s="249" t="s">
        <v>63</v>
      </c>
      <c r="C362" s="329" t="s">
        <v>2589</v>
      </c>
      <c r="D362" s="268" t="s">
        <v>495</v>
      </c>
      <c r="E362" s="361">
        <v>44229.0</v>
      </c>
      <c r="F362" s="250" t="s">
        <v>2586</v>
      </c>
      <c r="G362" s="171">
        <v>60.0</v>
      </c>
      <c r="H362" s="171">
        <v>25.0</v>
      </c>
      <c r="I362" s="171">
        <v>80.0</v>
      </c>
      <c r="J362" s="325">
        <f t="shared" si="2"/>
        <v>0.002005517191</v>
      </c>
      <c r="K362" s="326">
        <f t="shared" si="19"/>
        <v>1.637839039</v>
      </c>
      <c r="L362" s="327">
        <f t="shared" si="3"/>
        <v>3.396597994</v>
      </c>
      <c r="M362" s="321" t="str">
        <f t="shared" si="14"/>
        <v>sembrestels</v>
      </c>
      <c r="N362" s="176">
        <f>IFERROR(__xludf.DUMMYFUNCTION("""COMPUTED_VALUE"""),4.0)</f>
        <v>4</v>
      </c>
      <c r="O362" s="176"/>
      <c r="P362" s="176"/>
      <c r="Q362" s="176"/>
      <c r="R362" s="176"/>
      <c r="S362" s="176"/>
      <c r="T362" s="176"/>
      <c r="U362" s="176"/>
      <c r="V362" s="176"/>
      <c r="W362" s="176"/>
      <c r="X362" s="176"/>
      <c r="Y362" s="176"/>
      <c r="Z362" s="176"/>
    </row>
    <row r="363">
      <c r="A363" s="249" t="s">
        <v>6</v>
      </c>
      <c r="B363" s="249" t="s">
        <v>1228</v>
      </c>
      <c r="C363" s="329" t="s">
        <v>2499</v>
      </c>
      <c r="D363" s="268" t="s">
        <v>495</v>
      </c>
      <c r="E363" s="361">
        <v>44236.0</v>
      </c>
      <c r="F363" s="250" t="s">
        <v>496</v>
      </c>
      <c r="G363" s="171">
        <v>60.0</v>
      </c>
      <c r="H363" s="171">
        <v>25.0</v>
      </c>
      <c r="I363" s="171">
        <v>60.0</v>
      </c>
      <c r="J363" s="325">
        <f t="shared" si="2"/>
        <v>0.001774956352</v>
      </c>
      <c r="K363" s="326">
        <f t="shared" si="19"/>
        <v>1.449547687</v>
      </c>
      <c r="L363" s="327">
        <f t="shared" si="3"/>
        <v>3.396597994</v>
      </c>
      <c r="M363" s="321" t="str">
        <f t="shared" si="14"/>
        <v>sembrestels</v>
      </c>
      <c r="N363" s="176">
        <f>IFERROR(__xludf.DUMMYFUNCTION("""COMPUTED_VALUE"""),5.0)</f>
        <v>5</v>
      </c>
      <c r="O363" s="176"/>
      <c r="P363" s="176"/>
      <c r="Q363" s="176"/>
      <c r="R363" s="176"/>
      <c r="S363" s="176"/>
      <c r="T363" s="176"/>
      <c r="U363" s="176"/>
      <c r="V363" s="176"/>
      <c r="W363" s="176"/>
      <c r="X363" s="176"/>
      <c r="Y363" s="176"/>
      <c r="Z363" s="176"/>
    </row>
    <row r="364">
      <c r="A364" s="249" t="s">
        <v>6</v>
      </c>
      <c r="B364" s="249" t="s">
        <v>10</v>
      </c>
      <c r="C364" s="329" t="s">
        <v>2635</v>
      </c>
      <c r="D364" s="268" t="s">
        <v>495</v>
      </c>
      <c r="E364" s="361">
        <v>44232.0</v>
      </c>
      <c r="F364" s="250" t="s">
        <v>496</v>
      </c>
      <c r="G364" s="171">
        <v>30.0</v>
      </c>
      <c r="H364" s="171">
        <v>25.0</v>
      </c>
      <c r="I364" s="171">
        <v>80.0</v>
      </c>
      <c r="J364" s="325">
        <f t="shared" si="2"/>
        <v>0.001665704767</v>
      </c>
      <c r="K364" s="326">
        <f t="shared" si="19"/>
        <v>1.36032556</v>
      </c>
      <c r="L364" s="327">
        <f t="shared" si="3"/>
        <v>3.396597994</v>
      </c>
      <c r="M364" s="321" t="str">
        <f t="shared" si="14"/>
        <v>sembrestels</v>
      </c>
      <c r="N364" s="176">
        <f>IFERROR(__xludf.DUMMYFUNCTION("""COMPUTED_VALUE"""),6.0)</f>
        <v>6</v>
      </c>
      <c r="O364" s="176"/>
      <c r="P364" s="176"/>
      <c r="Q364" s="176"/>
      <c r="R364" s="176"/>
      <c r="S364" s="176"/>
      <c r="T364" s="176"/>
      <c r="U364" s="176"/>
      <c r="V364" s="176"/>
      <c r="W364" s="176"/>
      <c r="X364" s="176"/>
      <c r="Y364" s="176"/>
      <c r="Z364" s="176"/>
    </row>
    <row r="365">
      <c r="A365" s="249" t="s">
        <v>6</v>
      </c>
      <c r="B365" s="249" t="s">
        <v>590</v>
      </c>
      <c r="C365" s="329" t="s">
        <v>2492</v>
      </c>
      <c r="D365" s="268" t="s">
        <v>495</v>
      </c>
      <c r="E365" s="361">
        <v>44229.0</v>
      </c>
      <c r="F365" s="250" t="s">
        <v>496</v>
      </c>
      <c r="G365" s="171">
        <v>60.0</v>
      </c>
      <c r="H365" s="171">
        <v>25.0</v>
      </c>
      <c r="I365" s="171">
        <v>50.0</v>
      </c>
      <c r="J365" s="325">
        <f t="shared" si="2"/>
        <v>0.001659675932</v>
      </c>
      <c r="K365" s="326">
        <f t="shared" si="19"/>
        <v>1.355402011</v>
      </c>
      <c r="L365" s="327">
        <f t="shared" si="3"/>
        <v>3.396597994</v>
      </c>
      <c r="M365" s="321" t="str">
        <f t="shared" si="14"/>
        <v>sembrestels</v>
      </c>
      <c r="N365" s="176">
        <f>IFERROR(__xludf.DUMMYFUNCTION("""COMPUTED_VALUE"""),7.0)</f>
        <v>7</v>
      </c>
      <c r="O365" s="176"/>
      <c r="P365" s="176"/>
      <c r="Q365" s="176"/>
      <c r="R365" s="176"/>
      <c r="S365" s="176"/>
      <c r="T365" s="176"/>
      <c r="U365" s="176"/>
      <c r="V365" s="176"/>
      <c r="W365" s="176"/>
      <c r="X365" s="176"/>
      <c r="Y365" s="176"/>
      <c r="Z365" s="176"/>
    </row>
    <row r="366">
      <c r="A366" s="249" t="s">
        <v>6</v>
      </c>
      <c r="B366" s="249" t="s">
        <v>10</v>
      </c>
      <c r="C366" s="329" t="s">
        <v>494</v>
      </c>
      <c r="D366" s="268" t="s">
        <v>495</v>
      </c>
      <c r="E366" s="361">
        <v>44232.0</v>
      </c>
      <c r="F366" s="250" t="s">
        <v>545</v>
      </c>
      <c r="G366" s="171">
        <v>60.0</v>
      </c>
      <c r="H366" s="171">
        <v>25.0</v>
      </c>
      <c r="I366" s="171">
        <v>40.0</v>
      </c>
      <c r="J366" s="325">
        <f t="shared" si="2"/>
        <v>0.001544395512</v>
      </c>
      <c r="K366" s="326">
        <f t="shared" si="19"/>
        <v>1.261256335</v>
      </c>
      <c r="L366" s="327">
        <f t="shared" si="3"/>
        <v>3.396597994</v>
      </c>
      <c r="M366" s="321" t="str">
        <f t="shared" si="14"/>
        <v>sembrestels</v>
      </c>
      <c r="N366" s="176">
        <f>IFERROR(__xludf.DUMMYFUNCTION("""COMPUTED_VALUE"""),8.0)</f>
        <v>8</v>
      </c>
      <c r="O366" s="176"/>
      <c r="P366" s="176"/>
      <c r="Q366" s="176"/>
      <c r="R366" s="176"/>
      <c r="S366" s="176"/>
      <c r="T366" s="176"/>
      <c r="U366" s="176"/>
      <c r="V366" s="176"/>
      <c r="W366" s="176"/>
      <c r="X366" s="176"/>
      <c r="Y366" s="176"/>
      <c r="Z366" s="176"/>
    </row>
    <row r="367">
      <c r="A367" s="249" t="s">
        <v>6</v>
      </c>
      <c r="B367" s="249" t="s">
        <v>10</v>
      </c>
      <c r="C367" s="329" t="s">
        <v>2497</v>
      </c>
      <c r="D367" s="268" t="s">
        <v>495</v>
      </c>
      <c r="E367" s="361">
        <v>44232.0</v>
      </c>
      <c r="F367" s="250" t="s">
        <v>496</v>
      </c>
      <c r="G367" s="171">
        <v>40.0</v>
      </c>
      <c r="H367" s="171">
        <v>25.0</v>
      </c>
      <c r="I367" s="171">
        <v>50.0</v>
      </c>
      <c r="J367" s="325">
        <f t="shared" si="2"/>
        <v>0.001433134316</v>
      </c>
      <c r="K367" s="326">
        <f t="shared" si="19"/>
        <v>1.170393025</v>
      </c>
      <c r="L367" s="327">
        <f t="shared" si="3"/>
        <v>3.396597994</v>
      </c>
      <c r="M367" s="321" t="str">
        <f t="shared" si="14"/>
        <v>sembrestels</v>
      </c>
      <c r="N367" s="176">
        <f>IFERROR(__xludf.DUMMYFUNCTION("""COMPUTED_VALUE"""),9.0)</f>
        <v>9</v>
      </c>
      <c r="O367" s="176"/>
      <c r="P367" s="176"/>
      <c r="Q367" s="176"/>
      <c r="R367" s="176"/>
      <c r="S367" s="176"/>
      <c r="T367" s="176"/>
      <c r="U367" s="176"/>
      <c r="V367" s="176"/>
      <c r="W367" s="176"/>
      <c r="X367" s="176"/>
      <c r="Y367" s="176"/>
      <c r="Z367" s="176"/>
    </row>
    <row r="368">
      <c r="A368" s="249" t="s">
        <v>6</v>
      </c>
      <c r="B368" s="249" t="s">
        <v>10</v>
      </c>
      <c r="C368" s="329" t="s">
        <v>2506</v>
      </c>
      <c r="D368" s="268" t="s">
        <v>495</v>
      </c>
      <c r="E368" s="251">
        <v>44239.0</v>
      </c>
      <c r="F368" s="250" t="s">
        <v>496</v>
      </c>
      <c r="G368" s="171">
        <v>40.0</v>
      </c>
      <c r="H368" s="171">
        <v>25.0</v>
      </c>
      <c r="I368" s="171">
        <v>50.0</v>
      </c>
      <c r="J368" s="325">
        <f t="shared" si="2"/>
        <v>0.001433134316</v>
      </c>
      <c r="K368" s="326">
        <f t="shared" si="19"/>
        <v>1.170393025</v>
      </c>
      <c r="L368" s="327">
        <f t="shared" si="3"/>
        <v>3.396597994</v>
      </c>
      <c r="M368" s="321" t="str">
        <f t="shared" si="14"/>
        <v>sembrestels</v>
      </c>
      <c r="N368" s="176">
        <f>IFERROR(__xludf.DUMMYFUNCTION("""COMPUTED_VALUE"""),10.0)</f>
        <v>10</v>
      </c>
      <c r="O368" s="176"/>
      <c r="P368" s="176"/>
      <c r="Q368" s="176"/>
      <c r="R368" s="176"/>
      <c r="S368" s="176"/>
      <c r="T368" s="176"/>
      <c r="U368" s="176"/>
      <c r="V368" s="176"/>
      <c r="W368" s="176"/>
      <c r="X368" s="176"/>
      <c r="Y368" s="176"/>
      <c r="Z368" s="176"/>
    </row>
    <row r="369">
      <c r="A369" s="343" t="s">
        <v>6</v>
      </c>
      <c r="B369" s="240" t="s">
        <v>534</v>
      </c>
      <c r="C369" s="346" t="s">
        <v>2386</v>
      </c>
      <c r="D369" s="336"/>
      <c r="E369" s="255"/>
      <c r="F369" s="254"/>
      <c r="G369" s="222"/>
      <c r="H369" s="222"/>
      <c r="I369" s="222"/>
      <c r="J369" s="325">
        <f t="shared" si="2"/>
        <v>0</v>
      </c>
      <c r="K369" s="337">
        <f>22.645*-0.85</f>
        <v>-19.24825</v>
      </c>
      <c r="L369" s="327">
        <f t="shared" si="3"/>
        <v>3.396597994</v>
      </c>
      <c r="M369" s="321" t="str">
        <f t="shared" si="14"/>
        <v>sembrestels</v>
      </c>
      <c r="N369" s="153">
        <f>IFERROR(__xludf.DUMMYFUNCTION("""COMPUTED_VALUE"""),11.0)</f>
        <v>11</v>
      </c>
      <c r="O369" s="209"/>
      <c r="P369" s="209"/>
      <c r="Q369" s="209"/>
      <c r="R369" s="209">
        <v>57.049855624848725</v>
      </c>
      <c r="S369" s="209"/>
      <c r="T369" s="209"/>
      <c r="U369" s="209"/>
      <c r="V369" s="209"/>
      <c r="W369" s="209"/>
      <c r="X369" s="209"/>
      <c r="Y369" s="176"/>
      <c r="Z369" s="176"/>
    </row>
    <row r="370">
      <c r="A370" s="249" t="s">
        <v>68</v>
      </c>
      <c r="B370" s="249" t="s">
        <v>29</v>
      </c>
      <c r="C370" s="329" t="s">
        <v>2556</v>
      </c>
      <c r="D370" s="268" t="s">
        <v>495</v>
      </c>
      <c r="E370" s="361">
        <v>44228.0</v>
      </c>
      <c r="F370" s="250" t="s">
        <v>592</v>
      </c>
      <c r="G370" s="171">
        <v>100.0</v>
      </c>
      <c r="H370" s="171">
        <v>100.0</v>
      </c>
      <c r="I370" s="171">
        <v>100.0</v>
      </c>
      <c r="J370" s="325">
        <f t="shared" si="2"/>
        <v>0.003900108222</v>
      </c>
      <c r="K370" s="326">
        <f t="shared" ref="K370:K376" si="20">J370*$J$1</f>
        <v>3.185088381</v>
      </c>
      <c r="L370" s="327">
        <f t="shared" si="3"/>
        <v>3.185088381</v>
      </c>
      <c r="M370" s="321" t="str">
        <f t="shared" si="14"/>
        <v>tylerdmace</v>
      </c>
      <c r="N370" s="176">
        <f>IFERROR(__xludf.DUMMYFUNCTION("""COMPUTED_VALUE"""),1.0)</f>
        <v>1</v>
      </c>
      <c r="O370" s="176"/>
      <c r="P370" s="176"/>
      <c r="Q370" s="176"/>
      <c r="R370" s="176"/>
      <c r="S370" s="176"/>
      <c r="T370" s="176"/>
      <c r="U370" s="176"/>
      <c r="V370" s="176"/>
      <c r="W370" s="176"/>
      <c r="X370" s="176"/>
      <c r="Y370" s="176"/>
      <c r="Z370" s="176"/>
    </row>
    <row r="371">
      <c r="A371" s="249" t="s">
        <v>129</v>
      </c>
      <c r="B371" s="249" t="s">
        <v>29</v>
      </c>
      <c r="C371" s="329" t="s">
        <v>2556</v>
      </c>
      <c r="D371" s="268" t="s">
        <v>495</v>
      </c>
      <c r="E371" s="361">
        <v>44228.0</v>
      </c>
      <c r="F371" s="250" t="s">
        <v>592</v>
      </c>
      <c r="G371" s="171">
        <v>100.0</v>
      </c>
      <c r="H371" s="171">
        <v>100.0</v>
      </c>
      <c r="I371" s="171">
        <v>100.0</v>
      </c>
      <c r="J371" s="325">
        <f t="shared" si="2"/>
        <v>0.003900108222</v>
      </c>
      <c r="K371" s="326">
        <f t="shared" si="20"/>
        <v>3.185088381</v>
      </c>
      <c r="L371" s="327">
        <f t="shared" si="3"/>
        <v>3.185088381</v>
      </c>
      <c r="M371" s="321" t="str">
        <f t="shared" si="14"/>
        <v>rogervs</v>
      </c>
      <c r="N371" s="176">
        <f>IFERROR(__xludf.DUMMYFUNCTION("""COMPUTED_VALUE"""),1.0)</f>
        <v>1</v>
      </c>
      <c r="O371" s="176"/>
      <c r="P371" s="176"/>
      <c r="Q371" s="176"/>
      <c r="R371" s="176"/>
      <c r="S371" s="176"/>
      <c r="T371" s="176"/>
      <c r="U371" s="176"/>
      <c r="V371" s="176"/>
      <c r="W371" s="176"/>
      <c r="X371" s="176"/>
      <c r="Y371" s="176"/>
      <c r="Z371" s="176"/>
    </row>
    <row r="372">
      <c r="A372" s="249" t="s">
        <v>30</v>
      </c>
      <c r="B372" s="249" t="s">
        <v>30</v>
      </c>
      <c r="C372" s="329" t="s">
        <v>2636</v>
      </c>
      <c r="D372" s="268" t="s">
        <v>495</v>
      </c>
      <c r="E372" s="361">
        <v>44228.0</v>
      </c>
      <c r="F372" s="250" t="s">
        <v>2586</v>
      </c>
      <c r="G372" s="171">
        <v>300.0</v>
      </c>
      <c r="H372" s="171">
        <v>125.0</v>
      </c>
      <c r="I372" s="171">
        <v>250.0</v>
      </c>
      <c r="J372" s="325">
        <f t="shared" si="2"/>
        <v>0.00829837966</v>
      </c>
      <c r="K372" s="326">
        <f t="shared" si="20"/>
        <v>6.777010056</v>
      </c>
      <c r="L372" s="327">
        <f t="shared" si="3"/>
        <v>3.101179916</v>
      </c>
      <c r="M372" s="321" t="str">
        <f t="shared" si="14"/>
        <v>paulo_c2d</v>
      </c>
      <c r="N372" s="176">
        <f>IFERROR(__xludf.DUMMYFUNCTION("""COMPUTED_VALUE"""),1.0)</f>
        <v>1</v>
      </c>
      <c r="O372" s="176"/>
      <c r="P372" s="176"/>
      <c r="Q372" s="176"/>
      <c r="R372" s="176"/>
      <c r="S372" s="176"/>
      <c r="T372" s="176"/>
      <c r="U372" s="176"/>
      <c r="V372" s="176"/>
      <c r="W372" s="176"/>
      <c r="X372" s="176"/>
      <c r="Y372" s="176"/>
      <c r="Z372" s="176"/>
    </row>
    <row r="373">
      <c r="A373" s="249" t="s">
        <v>30</v>
      </c>
      <c r="B373" s="249" t="s">
        <v>30</v>
      </c>
      <c r="C373" s="329" t="s">
        <v>2637</v>
      </c>
      <c r="D373" s="268" t="s">
        <v>495</v>
      </c>
      <c r="E373" s="361">
        <v>44228.0</v>
      </c>
      <c r="F373" s="250" t="s">
        <v>2586</v>
      </c>
      <c r="G373" s="171">
        <v>240.0</v>
      </c>
      <c r="H373" s="171">
        <v>100.0</v>
      </c>
      <c r="I373" s="171">
        <v>200.0</v>
      </c>
      <c r="J373" s="325">
        <f t="shared" si="2"/>
        <v>0.006638703728</v>
      </c>
      <c r="K373" s="326">
        <f t="shared" si="20"/>
        <v>5.421608044</v>
      </c>
      <c r="L373" s="327">
        <f t="shared" si="3"/>
        <v>3.101179916</v>
      </c>
      <c r="M373" s="321" t="str">
        <f t="shared" si="14"/>
        <v>paulo_c2d</v>
      </c>
      <c r="N373" s="176">
        <f>IFERROR(__xludf.DUMMYFUNCTION("""COMPUTED_VALUE"""),2.0)</f>
        <v>2</v>
      </c>
      <c r="O373" s="176"/>
      <c r="P373" s="176"/>
      <c r="Q373" s="176"/>
      <c r="R373" s="176"/>
      <c r="S373" s="176"/>
      <c r="T373" s="176"/>
      <c r="U373" s="176"/>
      <c r="V373" s="176"/>
      <c r="W373" s="176"/>
      <c r="X373" s="176"/>
      <c r="Y373" s="176"/>
      <c r="Z373" s="176"/>
    </row>
    <row r="374">
      <c r="A374" s="249" t="s">
        <v>30</v>
      </c>
      <c r="B374" s="249" t="s">
        <v>30</v>
      </c>
      <c r="C374" s="329" t="s">
        <v>2638</v>
      </c>
      <c r="D374" s="268" t="s">
        <v>495</v>
      </c>
      <c r="E374" s="361">
        <v>44228.0</v>
      </c>
      <c r="F374" s="250" t="s">
        <v>2586</v>
      </c>
      <c r="G374" s="171">
        <v>180.0</v>
      </c>
      <c r="H374" s="171">
        <v>150.0</v>
      </c>
      <c r="I374" s="171">
        <v>150.0</v>
      </c>
      <c r="J374" s="325">
        <f t="shared" si="2"/>
        <v>0.006189974756</v>
      </c>
      <c r="K374" s="326">
        <f t="shared" si="20"/>
        <v>5.055146051</v>
      </c>
      <c r="L374" s="327">
        <f t="shared" si="3"/>
        <v>3.101179916</v>
      </c>
      <c r="M374" s="321" t="str">
        <f t="shared" si="14"/>
        <v>paulo_c2d</v>
      </c>
      <c r="N374" s="176">
        <f>IFERROR(__xludf.DUMMYFUNCTION("""COMPUTED_VALUE"""),3.0)</f>
        <v>3</v>
      </c>
      <c r="O374" s="176"/>
      <c r="P374" s="176"/>
      <c r="Q374" s="176"/>
      <c r="R374" s="176"/>
      <c r="S374" s="176"/>
      <c r="T374" s="176"/>
      <c r="U374" s="176"/>
      <c r="V374" s="176"/>
      <c r="W374" s="176"/>
      <c r="X374" s="176"/>
      <c r="Y374" s="176"/>
      <c r="Z374" s="176"/>
    </row>
    <row r="375">
      <c r="A375" s="249" t="s">
        <v>30</v>
      </c>
      <c r="B375" s="249" t="s">
        <v>10</v>
      </c>
      <c r="C375" s="329" t="s">
        <v>2588</v>
      </c>
      <c r="D375" s="268" t="s">
        <v>495</v>
      </c>
      <c r="E375" s="361">
        <v>44232.0</v>
      </c>
      <c r="F375" s="250" t="s">
        <v>496</v>
      </c>
      <c r="G375" s="171">
        <v>60.0</v>
      </c>
      <c r="H375" s="171">
        <v>50.0</v>
      </c>
      <c r="I375" s="171">
        <v>80.0</v>
      </c>
      <c r="J375" s="325">
        <f t="shared" si="2"/>
        <v>0.002409166178</v>
      </c>
      <c r="K375" s="326">
        <f t="shared" si="20"/>
        <v>1.967485712</v>
      </c>
      <c r="L375" s="327">
        <f t="shared" si="3"/>
        <v>3.101179916</v>
      </c>
      <c r="M375" s="321" t="str">
        <f t="shared" si="14"/>
        <v>paulo_c2d</v>
      </c>
      <c r="N375" s="176">
        <f>IFERROR(__xludf.DUMMYFUNCTION("""COMPUTED_VALUE"""),4.0)</f>
        <v>4</v>
      </c>
      <c r="O375" s="176"/>
      <c r="P375" s="176"/>
      <c r="Q375" s="176"/>
      <c r="R375" s="176"/>
      <c r="S375" s="176"/>
      <c r="T375" s="176"/>
      <c r="U375" s="176"/>
      <c r="V375" s="176"/>
      <c r="W375" s="176"/>
      <c r="X375" s="176"/>
      <c r="Y375" s="176"/>
      <c r="Z375" s="176"/>
    </row>
    <row r="376">
      <c r="A376" s="249" t="s">
        <v>30</v>
      </c>
      <c r="B376" s="249" t="s">
        <v>63</v>
      </c>
      <c r="C376" s="329" t="s">
        <v>2589</v>
      </c>
      <c r="D376" s="268" t="s">
        <v>495</v>
      </c>
      <c r="E376" s="361">
        <v>44229.0</v>
      </c>
      <c r="F376" s="250" t="s">
        <v>2586</v>
      </c>
      <c r="G376" s="171">
        <v>40.0</v>
      </c>
      <c r="H376" s="171">
        <v>25.0</v>
      </c>
      <c r="I376" s="171">
        <v>80.0</v>
      </c>
      <c r="J376" s="325">
        <f t="shared" si="2"/>
        <v>0.001778975575</v>
      </c>
      <c r="K376" s="326">
        <f t="shared" si="20"/>
        <v>1.452830053</v>
      </c>
      <c r="L376" s="327">
        <f t="shared" si="3"/>
        <v>3.101179916</v>
      </c>
      <c r="M376" s="321" t="str">
        <f t="shared" si="14"/>
        <v>paulo_c2d</v>
      </c>
      <c r="N376" s="176">
        <f>IFERROR(__xludf.DUMMYFUNCTION("""COMPUTED_VALUE"""),5.0)</f>
        <v>5</v>
      </c>
      <c r="O376" s="176"/>
      <c r="P376" s="176"/>
      <c r="Q376" s="176"/>
      <c r="R376" s="176"/>
      <c r="S376" s="176"/>
      <c r="T376" s="176"/>
      <c r="U376" s="176"/>
      <c r="V376" s="176"/>
      <c r="W376" s="176"/>
      <c r="X376" s="176"/>
      <c r="Y376" s="176"/>
      <c r="Z376" s="176"/>
    </row>
    <row r="377">
      <c r="A377" s="240" t="s">
        <v>30</v>
      </c>
      <c r="B377" s="240" t="s">
        <v>534</v>
      </c>
      <c r="C377" s="346" t="s">
        <v>2452</v>
      </c>
      <c r="D377" s="336"/>
      <c r="E377" s="255"/>
      <c r="F377" s="254"/>
      <c r="G377" s="222"/>
      <c r="H377" s="222"/>
      <c r="I377" s="222"/>
      <c r="J377" s="325">
        <f t="shared" si="2"/>
        <v>0</v>
      </c>
      <c r="K377" s="337">
        <f>20.674*-0.85</f>
        <v>-17.5729</v>
      </c>
      <c r="L377" s="327">
        <f t="shared" si="3"/>
        <v>3.101179916</v>
      </c>
      <c r="M377" s="321" t="str">
        <f t="shared" si="14"/>
        <v>paulo_c2d</v>
      </c>
      <c r="N377" s="209">
        <f>IFERROR(__xludf.DUMMYFUNCTION("""COMPUTED_VALUE"""),6.0)</f>
        <v>6</v>
      </c>
      <c r="O377" s="209"/>
      <c r="P377" s="209"/>
      <c r="Q377" s="209"/>
      <c r="R377" s="209">
        <v>51.99833903635589</v>
      </c>
      <c r="S377" s="209"/>
      <c r="T377" s="209"/>
      <c r="U377" s="209"/>
      <c r="V377" s="209"/>
      <c r="W377" s="209"/>
      <c r="X377" s="209"/>
      <c r="Y377" s="176"/>
      <c r="Z377" s="176"/>
    </row>
    <row r="378">
      <c r="A378" s="249" t="s">
        <v>23</v>
      </c>
      <c r="B378" s="249" t="s">
        <v>519</v>
      </c>
      <c r="C378" s="329" t="s">
        <v>2329</v>
      </c>
      <c r="D378" s="268" t="s">
        <v>495</v>
      </c>
      <c r="E378" s="251">
        <v>44237.0</v>
      </c>
      <c r="F378" s="250" t="s">
        <v>521</v>
      </c>
      <c r="G378" s="171">
        <v>40.0</v>
      </c>
      <c r="H378" s="171">
        <v>50.0</v>
      </c>
      <c r="I378" s="171">
        <v>60.0</v>
      </c>
      <c r="J378" s="325">
        <f t="shared" si="2"/>
        <v>0.001952063723</v>
      </c>
      <c r="K378" s="326">
        <f t="shared" ref="K378:K394" si="21">J378*$J$1</f>
        <v>1.594185374</v>
      </c>
      <c r="L378" s="327">
        <f t="shared" si="3"/>
        <v>3.047015427</v>
      </c>
      <c r="M378" s="321" t="str">
        <f t="shared" si="14"/>
        <v>laurenluz</v>
      </c>
      <c r="N378" s="176">
        <f>IFERROR(__xludf.DUMMYFUNCTION("""COMPUTED_VALUE"""),1.0)</f>
        <v>1</v>
      </c>
      <c r="O378" s="176"/>
      <c r="P378" s="176"/>
      <c r="Q378" s="176"/>
      <c r="R378" s="176"/>
      <c r="S378" s="176"/>
      <c r="T378" s="176"/>
      <c r="U378" s="176"/>
      <c r="V378" s="176"/>
      <c r="W378" s="176"/>
      <c r="X378" s="176"/>
      <c r="Y378" s="176"/>
      <c r="Z378" s="176"/>
    </row>
    <row r="379">
      <c r="A379" s="249" t="s">
        <v>23</v>
      </c>
      <c r="B379" s="249" t="s">
        <v>519</v>
      </c>
      <c r="C379" s="329" t="s">
        <v>2329</v>
      </c>
      <c r="D379" s="268" t="s">
        <v>495</v>
      </c>
      <c r="E379" s="361">
        <v>44230.0</v>
      </c>
      <c r="F379" s="250" t="s">
        <v>521</v>
      </c>
      <c r="G379" s="171">
        <v>40.0</v>
      </c>
      <c r="H379" s="171">
        <v>25.0</v>
      </c>
      <c r="I379" s="171">
        <v>80.0</v>
      </c>
      <c r="J379" s="325">
        <f t="shared" si="2"/>
        <v>0.001778975575</v>
      </c>
      <c r="K379" s="326">
        <f t="shared" si="21"/>
        <v>1.452830053</v>
      </c>
      <c r="L379" s="327">
        <f t="shared" si="3"/>
        <v>3.047015427</v>
      </c>
      <c r="M379" s="321" t="str">
        <f t="shared" si="14"/>
        <v>laurenluz</v>
      </c>
      <c r="N379" s="176">
        <f>IFERROR(__xludf.DUMMYFUNCTION("""COMPUTED_VALUE"""),2.0)</f>
        <v>2</v>
      </c>
      <c r="O379" s="176"/>
      <c r="P379" s="176"/>
      <c r="Q379" s="176"/>
      <c r="R379" s="176"/>
      <c r="S379" s="176"/>
      <c r="T379" s="176"/>
      <c r="U379" s="176"/>
      <c r="V379" s="176"/>
      <c r="W379" s="176"/>
      <c r="X379" s="176"/>
      <c r="Y379" s="176"/>
      <c r="Z379" s="176"/>
    </row>
    <row r="380">
      <c r="A380" s="249" t="s">
        <v>109</v>
      </c>
      <c r="B380" s="249" t="s">
        <v>29</v>
      </c>
      <c r="C380" s="329" t="s">
        <v>2629</v>
      </c>
      <c r="D380" s="268" t="s">
        <v>495</v>
      </c>
      <c r="E380" s="361">
        <v>44228.0</v>
      </c>
      <c r="F380" s="250" t="s">
        <v>592</v>
      </c>
      <c r="G380" s="171">
        <v>80.0</v>
      </c>
      <c r="H380" s="171">
        <v>100.0</v>
      </c>
      <c r="I380" s="171">
        <v>100.0</v>
      </c>
      <c r="J380" s="325">
        <f t="shared" si="2"/>
        <v>0.003673566606</v>
      </c>
      <c r="K380" s="326">
        <f t="shared" si="21"/>
        <v>3.000079395</v>
      </c>
      <c r="L380" s="327">
        <f t="shared" si="3"/>
        <v>3.000079395</v>
      </c>
      <c r="M380" s="321" t="str">
        <f t="shared" si="14"/>
        <v>chriscyber</v>
      </c>
      <c r="N380" s="176">
        <f>IFERROR(__xludf.DUMMYFUNCTION("""COMPUTED_VALUE"""),1.0)</f>
        <v>1</v>
      </c>
      <c r="O380" s="176"/>
      <c r="P380" s="176"/>
      <c r="Q380" s="176"/>
      <c r="R380" s="176"/>
      <c r="S380" s="176"/>
      <c r="T380" s="176"/>
      <c r="U380" s="176"/>
      <c r="V380" s="176"/>
      <c r="W380" s="176"/>
      <c r="X380" s="176"/>
      <c r="Y380" s="176"/>
      <c r="Z380" s="176"/>
    </row>
    <row r="381">
      <c r="A381" s="249" t="s">
        <v>100</v>
      </c>
      <c r="B381" s="249" t="s">
        <v>519</v>
      </c>
      <c r="C381" s="329" t="s">
        <v>2608</v>
      </c>
      <c r="D381" s="268" t="s">
        <v>495</v>
      </c>
      <c r="E381" s="361">
        <v>44231.0</v>
      </c>
      <c r="F381" s="250" t="s">
        <v>499</v>
      </c>
      <c r="G381" s="171">
        <v>100.0</v>
      </c>
      <c r="H381" s="171">
        <v>65.0</v>
      </c>
      <c r="I381" s="171">
        <v>80.0</v>
      </c>
      <c r="J381" s="325">
        <f t="shared" si="2"/>
        <v>0.003104438801</v>
      </c>
      <c r="K381" s="326">
        <f t="shared" si="21"/>
        <v>2.535291688</v>
      </c>
      <c r="L381" s="327">
        <f t="shared" si="3"/>
        <v>2.966802698</v>
      </c>
      <c r="M381" s="321" t="str">
        <f t="shared" si="14"/>
        <v>nikoline_nik</v>
      </c>
      <c r="N381" s="176">
        <f>IFERROR(__xludf.DUMMYFUNCTION("""COMPUTED_VALUE"""),1.0)</f>
        <v>1</v>
      </c>
      <c r="O381" s="176"/>
      <c r="P381" s="176"/>
      <c r="Q381" s="176"/>
      <c r="R381" s="176"/>
      <c r="S381" s="176"/>
      <c r="T381" s="176"/>
      <c r="U381" s="176"/>
      <c r="V381" s="176"/>
      <c r="W381" s="176"/>
      <c r="X381" s="176"/>
      <c r="Y381" s="176"/>
      <c r="Z381" s="176"/>
    </row>
    <row r="382">
      <c r="A382" s="249" t="s">
        <v>175</v>
      </c>
      <c r="B382" s="249" t="s">
        <v>519</v>
      </c>
      <c r="C382" s="329" t="s">
        <v>2608</v>
      </c>
      <c r="D382" s="268" t="s">
        <v>495</v>
      </c>
      <c r="E382" s="361">
        <v>44231.0</v>
      </c>
      <c r="F382" s="250" t="s">
        <v>499</v>
      </c>
      <c r="G382" s="171">
        <v>100.0</v>
      </c>
      <c r="H382" s="171">
        <v>65.0</v>
      </c>
      <c r="I382" s="171">
        <v>80.0</v>
      </c>
      <c r="J382" s="325">
        <f t="shared" si="2"/>
        <v>0.003104438801</v>
      </c>
      <c r="K382" s="326">
        <f t="shared" si="21"/>
        <v>2.535291688</v>
      </c>
      <c r="L382" s="327">
        <f t="shared" si="3"/>
        <v>2.966802698</v>
      </c>
      <c r="M382" s="321" t="str">
        <f t="shared" si="14"/>
        <v>exiledsurfer</v>
      </c>
      <c r="N382" s="176">
        <f>IFERROR(__xludf.DUMMYFUNCTION("""COMPUTED_VALUE"""),1.0)</f>
        <v>1</v>
      </c>
      <c r="O382" s="176"/>
      <c r="P382" s="176"/>
      <c r="Q382" s="176"/>
      <c r="R382" s="176"/>
      <c r="S382" s="176"/>
      <c r="T382" s="176"/>
      <c r="U382" s="176"/>
      <c r="V382" s="176"/>
      <c r="W382" s="176"/>
      <c r="X382" s="176"/>
      <c r="Y382" s="176"/>
      <c r="Z382" s="176"/>
    </row>
    <row r="383">
      <c r="A383" s="249" t="s">
        <v>100</v>
      </c>
      <c r="B383" s="249" t="s">
        <v>10</v>
      </c>
      <c r="C383" s="329" t="s">
        <v>2530</v>
      </c>
      <c r="D383" s="268" t="s">
        <v>495</v>
      </c>
      <c r="E383" s="251">
        <v>44239.0</v>
      </c>
      <c r="F383" s="250" t="s">
        <v>499</v>
      </c>
      <c r="G383" s="171">
        <v>10.0</v>
      </c>
      <c r="H383" s="171">
        <v>15.0</v>
      </c>
      <c r="I383" s="171">
        <v>15.0</v>
      </c>
      <c r="J383" s="325">
        <f t="shared" si="2"/>
        <v>0.0005283808294</v>
      </c>
      <c r="K383" s="326">
        <f t="shared" si="21"/>
        <v>0.4315110107</v>
      </c>
      <c r="L383" s="327">
        <f t="shared" si="3"/>
        <v>2.966802698</v>
      </c>
      <c r="M383" s="321" t="str">
        <f t="shared" si="14"/>
        <v>nikoline_nik</v>
      </c>
      <c r="N383" s="176">
        <f>IFERROR(__xludf.DUMMYFUNCTION("""COMPUTED_VALUE"""),2.0)</f>
        <v>2</v>
      </c>
      <c r="O383" s="176"/>
      <c r="P383" s="176"/>
      <c r="Q383" s="176"/>
      <c r="R383" s="176"/>
      <c r="S383" s="176"/>
      <c r="T383" s="176"/>
      <c r="U383" s="176"/>
      <c r="V383" s="176"/>
      <c r="W383" s="176"/>
      <c r="X383" s="176"/>
      <c r="Y383" s="176"/>
      <c r="Z383" s="176"/>
    </row>
    <row r="384">
      <c r="A384" s="249" t="s">
        <v>175</v>
      </c>
      <c r="B384" s="249" t="s">
        <v>10</v>
      </c>
      <c r="C384" s="329" t="s">
        <v>2530</v>
      </c>
      <c r="D384" s="268" t="s">
        <v>495</v>
      </c>
      <c r="E384" s="251">
        <v>44239.0</v>
      </c>
      <c r="F384" s="250" t="s">
        <v>499</v>
      </c>
      <c r="G384" s="171">
        <v>10.0</v>
      </c>
      <c r="H384" s="171">
        <v>15.0</v>
      </c>
      <c r="I384" s="171">
        <v>15.0</v>
      </c>
      <c r="J384" s="325">
        <f t="shared" si="2"/>
        <v>0.0005283808294</v>
      </c>
      <c r="K384" s="326">
        <f t="shared" si="21"/>
        <v>0.4315110107</v>
      </c>
      <c r="L384" s="327">
        <f t="shared" si="3"/>
        <v>2.966802698</v>
      </c>
      <c r="M384" s="321" t="str">
        <f t="shared" si="14"/>
        <v>exiledsurfer</v>
      </c>
      <c r="N384" s="176">
        <f>IFERROR(__xludf.DUMMYFUNCTION("""COMPUTED_VALUE"""),2.0)</f>
        <v>2</v>
      </c>
      <c r="O384" s="176"/>
      <c r="P384" s="176"/>
      <c r="Q384" s="176"/>
      <c r="R384" s="176"/>
      <c r="S384" s="176"/>
      <c r="T384" s="176"/>
      <c r="U384" s="176"/>
      <c r="V384" s="176"/>
      <c r="W384" s="176"/>
      <c r="X384" s="176"/>
      <c r="Y384" s="176"/>
      <c r="Z384" s="176"/>
    </row>
    <row r="385">
      <c r="A385" s="249" t="s">
        <v>63</v>
      </c>
      <c r="B385" s="249" t="s">
        <v>63</v>
      </c>
      <c r="C385" s="329" t="s">
        <v>2639</v>
      </c>
      <c r="D385" s="268" t="s">
        <v>495</v>
      </c>
      <c r="E385" s="361">
        <v>44230.0</v>
      </c>
      <c r="F385" s="250" t="s">
        <v>2586</v>
      </c>
      <c r="G385" s="171">
        <v>120.0</v>
      </c>
      <c r="H385" s="171">
        <v>100.0</v>
      </c>
      <c r="I385" s="171">
        <v>100.0</v>
      </c>
      <c r="J385" s="325">
        <f t="shared" si="2"/>
        <v>0.004126649838</v>
      </c>
      <c r="K385" s="326">
        <f t="shared" si="21"/>
        <v>3.370097367</v>
      </c>
      <c r="L385" s="327">
        <f t="shared" si="3"/>
        <v>2.594884667</v>
      </c>
      <c r="M385" s="321" t="str">
        <f t="shared" si="14"/>
        <v>chuygarcia92</v>
      </c>
      <c r="N385" s="176">
        <f>IFERROR(__xludf.DUMMYFUNCTION("""COMPUTED_VALUE"""),1.0)</f>
        <v>1</v>
      </c>
      <c r="O385" s="176"/>
      <c r="P385" s="176"/>
      <c r="Q385" s="176"/>
      <c r="R385" s="176"/>
      <c r="S385" s="176"/>
      <c r="T385" s="176"/>
      <c r="U385" s="176"/>
      <c r="V385" s="176"/>
      <c r="W385" s="176"/>
      <c r="X385" s="176"/>
      <c r="Y385" s="176"/>
      <c r="Z385" s="176"/>
    </row>
    <row r="386">
      <c r="A386" s="249" t="s">
        <v>63</v>
      </c>
      <c r="B386" s="249" t="s">
        <v>63</v>
      </c>
      <c r="C386" s="329" t="s">
        <v>2585</v>
      </c>
      <c r="D386" s="268" t="s">
        <v>495</v>
      </c>
      <c r="E386" s="361">
        <v>44229.0</v>
      </c>
      <c r="F386" s="250" t="s">
        <v>2586</v>
      </c>
      <c r="G386" s="171">
        <v>70.0</v>
      </c>
      <c r="H386" s="171">
        <v>85.0</v>
      </c>
      <c r="I386" s="171">
        <v>100.0</v>
      </c>
      <c r="J386" s="325">
        <f t="shared" si="2"/>
        <v>0.003318106406</v>
      </c>
      <c r="K386" s="326">
        <f t="shared" si="21"/>
        <v>2.709786898</v>
      </c>
      <c r="L386" s="327">
        <f t="shared" si="3"/>
        <v>2.594884667</v>
      </c>
      <c r="M386" s="321" t="str">
        <f t="shared" si="14"/>
        <v>chuygarcia92</v>
      </c>
      <c r="N386" s="176">
        <f>IFERROR(__xludf.DUMMYFUNCTION("""COMPUTED_VALUE"""),2.0)</f>
        <v>2</v>
      </c>
      <c r="O386" s="176"/>
      <c r="P386" s="176"/>
      <c r="Q386" s="176"/>
      <c r="R386" s="176"/>
      <c r="S386" s="176"/>
      <c r="T386" s="176"/>
      <c r="U386" s="176"/>
      <c r="V386" s="176"/>
      <c r="W386" s="176"/>
      <c r="X386" s="176"/>
      <c r="Y386" s="176"/>
      <c r="Z386" s="176"/>
    </row>
    <row r="387">
      <c r="A387" s="249" t="s">
        <v>63</v>
      </c>
      <c r="B387" s="249" t="s">
        <v>63</v>
      </c>
      <c r="C387" s="329" t="s">
        <v>2640</v>
      </c>
      <c r="D387" s="268" t="s">
        <v>495</v>
      </c>
      <c r="E387" s="361">
        <v>44233.0</v>
      </c>
      <c r="F387" s="250" t="s">
        <v>2641</v>
      </c>
      <c r="G387" s="171">
        <v>45.0</v>
      </c>
      <c r="H387" s="171">
        <v>80.0</v>
      </c>
      <c r="I387" s="171">
        <v>60.0</v>
      </c>
      <c r="J387" s="325">
        <f t="shared" si="2"/>
        <v>0.002493077911</v>
      </c>
      <c r="K387" s="326">
        <f t="shared" si="21"/>
        <v>2.036013627</v>
      </c>
      <c r="L387" s="327">
        <f t="shared" si="3"/>
        <v>2.594884667</v>
      </c>
      <c r="M387" s="321" t="str">
        <f t="shared" si="14"/>
        <v>chuygarcia92</v>
      </c>
      <c r="N387" s="176">
        <f>IFERROR(__xludf.DUMMYFUNCTION("""COMPUTED_VALUE"""),3.0)</f>
        <v>3</v>
      </c>
      <c r="O387" s="176"/>
      <c r="P387" s="176"/>
      <c r="Q387" s="176"/>
      <c r="R387" s="176"/>
      <c r="S387" s="176"/>
      <c r="T387" s="176"/>
      <c r="U387" s="176"/>
      <c r="V387" s="176"/>
      <c r="W387" s="176"/>
      <c r="X387" s="176"/>
      <c r="Y387" s="176"/>
      <c r="Z387" s="176"/>
    </row>
    <row r="388">
      <c r="A388" s="249" t="s">
        <v>63</v>
      </c>
      <c r="B388" s="249" t="s">
        <v>10</v>
      </c>
      <c r="C388" s="329" t="s">
        <v>2588</v>
      </c>
      <c r="D388" s="268" t="s">
        <v>495</v>
      </c>
      <c r="E388" s="361">
        <v>44232.0</v>
      </c>
      <c r="F388" s="250" t="s">
        <v>496</v>
      </c>
      <c r="G388" s="171">
        <v>60.0</v>
      </c>
      <c r="H388" s="171">
        <v>50.0</v>
      </c>
      <c r="I388" s="171">
        <v>80.0</v>
      </c>
      <c r="J388" s="325">
        <f t="shared" si="2"/>
        <v>0.002409166178</v>
      </c>
      <c r="K388" s="326">
        <f t="shared" si="21"/>
        <v>1.967485712</v>
      </c>
      <c r="L388" s="327">
        <f t="shared" si="3"/>
        <v>2.594884667</v>
      </c>
      <c r="M388" s="321" t="str">
        <f t="shared" si="14"/>
        <v>chuygarcia92</v>
      </c>
      <c r="N388" s="176">
        <f>IFERROR(__xludf.DUMMYFUNCTION("""COMPUTED_VALUE"""),4.0)</f>
        <v>4</v>
      </c>
      <c r="O388" s="176"/>
      <c r="P388" s="176"/>
      <c r="Q388" s="176"/>
      <c r="R388" s="176"/>
      <c r="S388" s="176"/>
      <c r="T388" s="176"/>
      <c r="U388" s="176"/>
      <c r="V388" s="176"/>
      <c r="W388" s="176"/>
      <c r="X388" s="176"/>
      <c r="Y388" s="176"/>
      <c r="Z388" s="176"/>
    </row>
    <row r="389">
      <c r="A389" s="249" t="s">
        <v>63</v>
      </c>
      <c r="B389" s="249" t="s">
        <v>868</v>
      </c>
      <c r="C389" s="329" t="s">
        <v>2642</v>
      </c>
      <c r="D389" s="268" t="s">
        <v>495</v>
      </c>
      <c r="E389" s="361">
        <v>44229.0</v>
      </c>
      <c r="F389" s="250" t="s">
        <v>496</v>
      </c>
      <c r="G389" s="171">
        <v>40.0</v>
      </c>
      <c r="H389" s="171">
        <v>50.0</v>
      </c>
      <c r="I389" s="171">
        <v>50.0</v>
      </c>
      <c r="J389" s="325">
        <f t="shared" si="2"/>
        <v>0.001836783303</v>
      </c>
      <c r="K389" s="326">
        <f t="shared" si="21"/>
        <v>1.500039698</v>
      </c>
      <c r="L389" s="327">
        <f t="shared" si="3"/>
        <v>2.594884667</v>
      </c>
      <c r="M389" s="321" t="str">
        <f t="shared" si="14"/>
        <v>chuygarcia92</v>
      </c>
      <c r="N389" s="176">
        <f>IFERROR(__xludf.DUMMYFUNCTION("""COMPUTED_VALUE"""),5.0)</f>
        <v>5</v>
      </c>
      <c r="O389" s="176"/>
      <c r="P389" s="176"/>
      <c r="Q389" s="176"/>
      <c r="R389" s="176"/>
      <c r="S389" s="176"/>
      <c r="T389" s="176"/>
      <c r="U389" s="176"/>
      <c r="V389" s="176"/>
      <c r="W389" s="176"/>
      <c r="X389" s="176"/>
      <c r="Y389" s="176"/>
      <c r="Z389" s="176"/>
    </row>
    <row r="390">
      <c r="A390" s="249" t="s">
        <v>63</v>
      </c>
      <c r="B390" s="249" t="s">
        <v>10</v>
      </c>
      <c r="C390" s="329" t="s">
        <v>2643</v>
      </c>
      <c r="D390" s="268" t="s">
        <v>495</v>
      </c>
      <c r="E390" s="361">
        <v>44232.0</v>
      </c>
      <c r="F390" s="250" t="s">
        <v>496</v>
      </c>
      <c r="G390" s="171">
        <v>40.0</v>
      </c>
      <c r="H390" s="171">
        <v>50.0</v>
      </c>
      <c r="I390" s="171">
        <v>50.0</v>
      </c>
      <c r="J390" s="325">
        <f t="shared" si="2"/>
        <v>0.001836783303</v>
      </c>
      <c r="K390" s="326">
        <f t="shared" si="21"/>
        <v>1.500039698</v>
      </c>
      <c r="L390" s="327">
        <f t="shared" si="3"/>
        <v>2.594884667</v>
      </c>
      <c r="M390" s="321" t="str">
        <f t="shared" si="14"/>
        <v>chuygarcia92</v>
      </c>
      <c r="N390" s="176">
        <f>IFERROR(__xludf.DUMMYFUNCTION("""COMPUTED_VALUE"""),6.0)</f>
        <v>6</v>
      </c>
      <c r="O390" s="176"/>
      <c r="P390" s="176"/>
      <c r="Q390" s="176"/>
      <c r="R390" s="176"/>
      <c r="S390" s="176"/>
      <c r="T390" s="176"/>
      <c r="U390" s="176"/>
      <c r="V390" s="176"/>
      <c r="W390" s="176"/>
      <c r="X390" s="176"/>
      <c r="Y390" s="176"/>
      <c r="Z390" s="176"/>
    </row>
    <row r="391">
      <c r="A391" s="249" t="s">
        <v>63</v>
      </c>
      <c r="B391" s="249" t="s">
        <v>63</v>
      </c>
      <c r="C391" s="329" t="s">
        <v>2589</v>
      </c>
      <c r="D391" s="268" t="s">
        <v>495</v>
      </c>
      <c r="E391" s="361">
        <v>44229.0</v>
      </c>
      <c r="F391" s="250" t="s">
        <v>2586</v>
      </c>
      <c r="G391" s="171">
        <v>40.0</v>
      </c>
      <c r="H391" s="171">
        <v>25.0</v>
      </c>
      <c r="I391" s="171">
        <v>80.0</v>
      </c>
      <c r="J391" s="325">
        <f t="shared" si="2"/>
        <v>0.001778975575</v>
      </c>
      <c r="K391" s="326">
        <f t="shared" si="21"/>
        <v>1.452830053</v>
      </c>
      <c r="L391" s="327">
        <f t="shared" si="3"/>
        <v>2.594884667</v>
      </c>
      <c r="M391" s="321" t="str">
        <f t="shared" si="14"/>
        <v>chuygarcia92</v>
      </c>
      <c r="N391" s="176">
        <f>IFERROR(__xludf.DUMMYFUNCTION("""COMPUTED_VALUE"""),7.0)</f>
        <v>7</v>
      </c>
      <c r="O391" s="176"/>
      <c r="P391" s="176"/>
      <c r="Q391" s="176"/>
      <c r="R391" s="176"/>
      <c r="S391" s="176"/>
      <c r="T391" s="176"/>
      <c r="U391" s="176"/>
      <c r="V391" s="176"/>
      <c r="W391" s="176"/>
      <c r="X391" s="176"/>
      <c r="Y391" s="176"/>
      <c r="Z391" s="176"/>
    </row>
    <row r="392">
      <c r="A392" s="249" t="s">
        <v>63</v>
      </c>
      <c r="B392" s="249" t="s">
        <v>18</v>
      </c>
      <c r="C392" s="329" t="s">
        <v>2644</v>
      </c>
      <c r="D392" s="268" t="s">
        <v>495</v>
      </c>
      <c r="E392" s="361">
        <v>44228.0</v>
      </c>
      <c r="F392" s="250" t="s">
        <v>496</v>
      </c>
      <c r="G392" s="171">
        <v>40.0</v>
      </c>
      <c r="H392" s="171">
        <v>25.0</v>
      </c>
      <c r="I392" s="171">
        <v>50.0</v>
      </c>
      <c r="J392" s="325">
        <f t="shared" si="2"/>
        <v>0.001433134316</v>
      </c>
      <c r="K392" s="326">
        <f t="shared" si="21"/>
        <v>1.170393025</v>
      </c>
      <c r="L392" s="327">
        <f t="shared" si="3"/>
        <v>2.594884667</v>
      </c>
      <c r="M392" s="321" t="str">
        <f t="shared" si="14"/>
        <v>chuygarcia92</v>
      </c>
      <c r="N392" s="176">
        <f>IFERROR(__xludf.DUMMYFUNCTION("""COMPUTED_VALUE"""),8.0)</f>
        <v>8</v>
      </c>
      <c r="O392" s="176"/>
      <c r="P392" s="176"/>
      <c r="Q392" s="176"/>
      <c r="R392" s="176"/>
      <c r="S392" s="176"/>
      <c r="T392" s="176"/>
      <c r="U392" s="176"/>
      <c r="V392" s="176"/>
      <c r="W392" s="176"/>
      <c r="X392" s="176"/>
      <c r="Y392" s="176"/>
      <c r="Z392" s="176"/>
    </row>
    <row r="393">
      <c r="A393" s="249" t="s">
        <v>63</v>
      </c>
      <c r="B393" s="249" t="s">
        <v>868</v>
      </c>
      <c r="C393" s="329" t="s">
        <v>2488</v>
      </c>
      <c r="D393" s="268" t="s">
        <v>495</v>
      </c>
      <c r="E393" s="251">
        <v>44226.0</v>
      </c>
      <c r="F393" s="250" t="s">
        <v>496</v>
      </c>
      <c r="G393" s="171">
        <v>40.0</v>
      </c>
      <c r="H393" s="171">
        <v>25.0</v>
      </c>
      <c r="I393" s="171">
        <v>25.0</v>
      </c>
      <c r="J393" s="325">
        <f t="shared" si="2"/>
        <v>0.001144933267</v>
      </c>
      <c r="K393" s="326">
        <f t="shared" si="21"/>
        <v>0.9350288349</v>
      </c>
      <c r="L393" s="327">
        <f t="shared" si="3"/>
        <v>2.594884667</v>
      </c>
      <c r="M393" s="321" t="str">
        <f t="shared" si="14"/>
        <v>chuygarcia92</v>
      </c>
      <c r="N393" s="176">
        <f>IFERROR(__xludf.DUMMYFUNCTION("""COMPUTED_VALUE"""),9.0)</f>
        <v>9</v>
      </c>
      <c r="O393" s="176"/>
      <c r="P393" s="176"/>
      <c r="Q393" s="176"/>
      <c r="R393" s="176"/>
      <c r="S393" s="176"/>
      <c r="T393" s="176"/>
      <c r="U393" s="176"/>
      <c r="V393" s="176"/>
      <c r="W393" s="176"/>
      <c r="X393" s="176"/>
      <c r="Y393" s="176"/>
      <c r="Z393" s="176"/>
    </row>
    <row r="394">
      <c r="A394" s="249" t="s">
        <v>63</v>
      </c>
      <c r="B394" s="249" t="s">
        <v>63</v>
      </c>
      <c r="C394" s="329" t="s">
        <v>2645</v>
      </c>
      <c r="D394" s="268" t="s">
        <v>495</v>
      </c>
      <c r="E394" s="251">
        <v>44226.0</v>
      </c>
      <c r="F394" s="250" t="s">
        <v>2586</v>
      </c>
      <c r="G394" s="171">
        <v>1.0E-6</v>
      </c>
      <c r="H394" s="171">
        <v>1.0E-6</v>
      </c>
      <c r="I394" s="171">
        <v>70.0</v>
      </c>
      <c r="J394" s="325">
        <f t="shared" si="2"/>
        <v>0.0008069629648</v>
      </c>
      <c r="K394" s="326">
        <f t="shared" si="21"/>
        <v>0.6590197546</v>
      </c>
      <c r="L394" s="327">
        <f t="shared" si="3"/>
        <v>2.594884667</v>
      </c>
      <c r="M394" s="321" t="str">
        <f t="shared" si="14"/>
        <v>chuygarcia92</v>
      </c>
      <c r="N394" s="176">
        <f>IFERROR(__xludf.DUMMYFUNCTION("""COMPUTED_VALUE"""),10.0)</f>
        <v>10</v>
      </c>
      <c r="O394" s="176"/>
      <c r="P394" s="176"/>
      <c r="Q394" s="176"/>
      <c r="R394" s="176"/>
      <c r="S394" s="176"/>
      <c r="T394" s="176"/>
      <c r="U394" s="176"/>
      <c r="V394" s="176"/>
      <c r="W394" s="176"/>
      <c r="X394" s="176"/>
      <c r="Y394" s="176"/>
      <c r="Z394" s="176"/>
    </row>
    <row r="395">
      <c r="A395" s="240" t="s">
        <v>63</v>
      </c>
      <c r="B395" s="240" t="s">
        <v>534</v>
      </c>
      <c r="C395" s="346" t="s">
        <v>2386</v>
      </c>
      <c r="D395" s="336"/>
      <c r="E395" s="255"/>
      <c r="F395" s="254"/>
      <c r="G395" s="222"/>
      <c r="H395" s="222"/>
      <c r="I395" s="222"/>
      <c r="J395" s="325">
        <f t="shared" si="2"/>
        <v>0</v>
      </c>
      <c r="K395" s="337">
        <f>17.301*-0.85</f>
        <v>-14.70585</v>
      </c>
      <c r="L395" s="327">
        <f t="shared" si="3"/>
        <v>2.594884667</v>
      </c>
      <c r="M395" s="321" t="str">
        <f t="shared" si="14"/>
        <v>chuygarcia92</v>
      </c>
      <c r="N395" s="153">
        <f>IFERROR(__xludf.DUMMYFUNCTION("""COMPUTED_VALUE"""),11.0)</f>
        <v>11</v>
      </c>
      <c r="O395" s="209"/>
      <c r="P395" s="209"/>
      <c r="Q395" s="209"/>
      <c r="R395" s="209">
        <v>57.049855624848725</v>
      </c>
      <c r="S395" s="209"/>
      <c r="T395" s="209"/>
      <c r="U395" s="209"/>
      <c r="V395" s="209"/>
      <c r="W395" s="209"/>
      <c r="X395" s="209"/>
      <c r="Y395" s="176"/>
      <c r="Z395" s="176"/>
    </row>
    <row r="396">
      <c r="A396" s="249" t="s">
        <v>91</v>
      </c>
      <c r="B396" s="249" t="s">
        <v>519</v>
      </c>
      <c r="C396" s="329" t="s">
        <v>2608</v>
      </c>
      <c r="D396" s="268" t="s">
        <v>495</v>
      </c>
      <c r="E396" s="361">
        <v>44231.0</v>
      </c>
      <c r="F396" s="250" t="s">
        <v>499</v>
      </c>
      <c r="G396" s="171">
        <v>100.0</v>
      </c>
      <c r="H396" s="171">
        <v>65.0</v>
      </c>
      <c r="I396" s="171">
        <v>80.0</v>
      </c>
      <c r="J396" s="325">
        <f t="shared" si="2"/>
        <v>0.003104438801</v>
      </c>
      <c r="K396" s="326">
        <f t="shared" ref="K396:K401" si="22">J396*$J$1</f>
        <v>2.535291688</v>
      </c>
      <c r="L396" s="327">
        <f t="shared" si="3"/>
        <v>2.535291688</v>
      </c>
      <c r="M396" s="321" t="str">
        <f t="shared" si="14"/>
        <v>ludo_lb</v>
      </c>
      <c r="N396" s="176">
        <f>IFERROR(__xludf.DUMMYFUNCTION("""COMPUTED_VALUE"""),1.0)</f>
        <v>1</v>
      </c>
      <c r="O396" s="176"/>
      <c r="P396" s="176"/>
      <c r="Q396" s="176"/>
      <c r="R396" s="176"/>
      <c r="S396" s="176"/>
      <c r="T396" s="176"/>
      <c r="U396" s="176"/>
      <c r="V396" s="176"/>
      <c r="W396" s="176"/>
      <c r="X396" s="176"/>
      <c r="Y396" s="176"/>
      <c r="Z396" s="176"/>
    </row>
    <row r="397">
      <c r="A397" s="249" t="s">
        <v>105</v>
      </c>
      <c r="B397" s="249" t="s">
        <v>868</v>
      </c>
      <c r="C397" s="329" t="s">
        <v>2646</v>
      </c>
      <c r="D397" s="268" t="s">
        <v>495</v>
      </c>
      <c r="E397" s="251">
        <v>44239.0</v>
      </c>
      <c r="F397" s="250" t="s">
        <v>496</v>
      </c>
      <c r="G397" s="171">
        <v>120.0</v>
      </c>
      <c r="H397" s="171">
        <v>25.0</v>
      </c>
      <c r="I397" s="171">
        <v>100.0</v>
      </c>
      <c r="J397" s="325">
        <f t="shared" si="2"/>
        <v>0.002915702877</v>
      </c>
      <c r="K397" s="326">
        <f t="shared" si="22"/>
        <v>2.38115735</v>
      </c>
      <c r="L397" s="327">
        <f t="shared" si="3"/>
        <v>2.38115735</v>
      </c>
      <c r="M397" s="321" t="str">
        <f t="shared" si="14"/>
        <v>marinam00</v>
      </c>
      <c r="N397" s="176">
        <f>IFERROR(__xludf.DUMMYFUNCTION("""COMPUTED_VALUE"""),1.0)</f>
        <v>1</v>
      </c>
      <c r="O397" s="176"/>
      <c r="P397" s="176"/>
      <c r="Q397" s="176"/>
      <c r="R397" s="176"/>
      <c r="S397" s="176"/>
      <c r="T397" s="176"/>
      <c r="U397" s="176"/>
      <c r="V397" s="176"/>
      <c r="W397" s="176"/>
      <c r="X397" s="176"/>
      <c r="Y397" s="176"/>
      <c r="Z397" s="176"/>
    </row>
    <row r="398">
      <c r="A398" s="249" t="s">
        <v>61</v>
      </c>
      <c r="B398" s="249" t="s">
        <v>1175</v>
      </c>
      <c r="C398" s="329" t="s">
        <v>2647</v>
      </c>
      <c r="D398" s="268" t="s">
        <v>495</v>
      </c>
      <c r="E398" s="361">
        <v>44228.0</v>
      </c>
      <c r="F398" s="250" t="s">
        <v>2586</v>
      </c>
      <c r="G398" s="171">
        <v>220.0</v>
      </c>
      <c r="H398" s="171">
        <v>200.0</v>
      </c>
      <c r="I398" s="171">
        <v>200.0</v>
      </c>
      <c r="J398" s="325">
        <f t="shared" si="2"/>
        <v>0.00802675806</v>
      </c>
      <c r="K398" s="326">
        <f t="shared" si="22"/>
        <v>6.555185749</v>
      </c>
      <c r="L398" s="327">
        <f t="shared" si="3"/>
        <v>2.072727261</v>
      </c>
      <c r="M398" s="321" t="str">
        <f t="shared" si="14"/>
        <v>fabimol</v>
      </c>
      <c r="N398" s="176">
        <f>IFERROR(__xludf.DUMMYFUNCTION("""COMPUTED_VALUE"""),1.0)</f>
        <v>1</v>
      </c>
      <c r="O398" s="176"/>
      <c r="P398" s="176"/>
      <c r="Q398" s="176"/>
      <c r="R398" s="176"/>
      <c r="S398" s="176"/>
      <c r="T398" s="176"/>
      <c r="U398" s="176"/>
      <c r="V398" s="176"/>
      <c r="W398" s="176"/>
      <c r="X398" s="176"/>
      <c r="Y398" s="176"/>
      <c r="Z398" s="176"/>
    </row>
    <row r="399">
      <c r="A399" s="249" t="s">
        <v>61</v>
      </c>
      <c r="B399" s="249" t="s">
        <v>1175</v>
      </c>
      <c r="C399" s="329" t="s">
        <v>2648</v>
      </c>
      <c r="D399" s="268" t="s">
        <v>495</v>
      </c>
      <c r="E399" s="361">
        <v>44230.0</v>
      </c>
      <c r="F399" s="250" t="s">
        <v>2586</v>
      </c>
      <c r="G399" s="171">
        <v>120.0</v>
      </c>
      <c r="H399" s="171">
        <v>100.0</v>
      </c>
      <c r="I399" s="171">
        <v>150.0</v>
      </c>
      <c r="J399" s="325">
        <f t="shared" si="2"/>
        <v>0.004703051936</v>
      </c>
      <c r="K399" s="326">
        <f t="shared" si="22"/>
        <v>3.840825748</v>
      </c>
      <c r="L399" s="327">
        <f t="shared" si="3"/>
        <v>2.072727261</v>
      </c>
      <c r="M399" s="321" t="str">
        <f t="shared" si="14"/>
        <v>fabimol</v>
      </c>
      <c r="N399" s="176">
        <f>IFERROR(__xludf.DUMMYFUNCTION("""COMPUTED_VALUE"""),2.0)</f>
        <v>2</v>
      </c>
      <c r="O399" s="176"/>
      <c r="P399" s="176"/>
      <c r="Q399" s="176"/>
      <c r="R399" s="176"/>
      <c r="S399" s="176"/>
      <c r="T399" s="176"/>
      <c r="U399" s="176"/>
      <c r="V399" s="176"/>
      <c r="W399" s="176"/>
      <c r="X399" s="176"/>
      <c r="Y399" s="176"/>
      <c r="Z399" s="176"/>
    </row>
    <row r="400">
      <c r="A400" s="249" t="s">
        <v>61</v>
      </c>
      <c r="B400" s="249" t="s">
        <v>10</v>
      </c>
      <c r="C400" s="329" t="s">
        <v>2588</v>
      </c>
      <c r="D400" s="268" t="s">
        <v>495</v>
      </c>
      <c r="E400" s="361">
        <v>44232.0</v>
      </c>
      <c r="F400" s="250" t="s">
        <v>496</v>
      </c>
      <c r="G400" s="171">
        <v>60.0</v>
      </c>
      <c r="H400" s="171">
        <v>50.0</v>
      </c>
      <c r="I400" s="171">
        <v>80.0</v>
      </c>
      <c r="J400" s="325">
        <f t="shared" si="2"/>
        <v>0.002409166178</v>
      </c>
      <c r="K400" s="326">
        <f t="shared" si="22"/>
        <v>1.967485712</v>
      </c>
      <c r="L400" s="327">
        <f t="shared" si="3"/>
        <v>2.072727261</v>
      </c>
      <c r="M400" s="321" t="str">
        <f t="shared" si="14"/>
        <v>fabimol</v>
      </c>
      <c r="N400" s="176">
        <f>IFERROR(__xludf.DUMMYFUNCTION("""COMPUTED_VALUE"""),3.0)</f>
        <v>3</v>
      </c>
      <c r="O400" s="176"/>
      <c r="P400" s="176"/>
      <c r="Q400" s="176"/>
      <c r="R400" s="176"/>
      <c r="S400" s="176"/>
      <c r="T400" s="176"/>
      <c r="U400" s="176"/>
      <c r="V400" s="176"/>
      <c r="W400" s="176"/>
      <c r="X400" s="176"/>
      <c r="Y400" s="176"/>
      <c r="Z400" s="176"/>
    </row>
    <row r="401">
      <c r="A401" s="249" t="s">
        <v>61</v>
      </c>
      <c r="B401" s="249" t="s">
        <v>63</v>
      </c>
      <c r="C401" s="329" t="s">
        <v>2589</v>
      </c>
      <c r="D401" s="268" t="s">
        <v>495</v>
      </c>
      <c r="E401" s="361">
        <v>44229.0</v>
      </c>
      <c r="F401" s="250" t="s">
        <v>2586</v>
      </c>
      <c r="G401" s="171">
        <v>40.0</v>
      </c>
      <c r="H401" s="171">
        <v>25.0</v>
      </c>
      <c r="I401" s="171">
        <v>80.0</v>
      </c>
      <c r="J401" s="325">
        <f t="shared" si="2"/>
        <v>0.001778975575</v>
      </c>
      <c r="K401" s="326">
        <f t="shared" si="22"/>
        <v>1.452830053</v>
      </c>
      <c r="L401" s="327">
        <f t="shared" si="3"/>
        <v>2.072727261</v>
      </c>
      <c r="M401" s="321" t="str">
        <f t="shared" si="14"/>
        <v>fabimol</v>
      </c>
      <c r="N401" s="176">
        <f>IFERROR(__xludf.DUMMYFUNCTION("""COMPUTED_VALUE"""),4.0)</f>
        <v>4</v>
      </c>
      <c r="O401" s="176"/>
      <c r="P401" s="176"/>
      <c r="Q401" s="176"/>
      <c r="R401" s="176"/>
      <c r="S401" s="176"/>
      <c r="T401" s="176"/>
      <c r="U401" s="176"/>
      <c r="V401" s="176"/>
      <c r="W401" s="176"/>
      <c r="X401" s="176"/>
      <c r="Y401" s="176"/>
      <c r="Z401" s="176"/>
    </row>
    <row r="402">
      <c r="A402" s="362" t="s">
        <v>61</v>
      </c>
      <c r="B402" s="240" t="s">
        <v>534</v>
      </c>
      <c r="C402" s="346" t="s">
        <v>2452</v>
      </c>
      <c r="D402" s="336"/>
      <c r="E402" s="255"/>
      <c r="F402" s="254"/>
      <c r="G402" s="222"/>
      <c r="H402" s="222"/>
      <c r="I402" s="222"/>
      <c r="J402" s="325">
        <f t="shared" si="2"/>
        <v>0</v>
      </c>
      <c r="K402" s="337">
        <f>13.816*-0.85</f>
        <v>-11.7436</v>
      </c>
      <c r="L402" s="327">
        <f t="shared" si="3"/>
        <v>2.072727261</v>
      </c>
      <c r="M402" s="321" t="str">
        <f t="shared" si="14"/>
        <v>fabimol</v>
      </c>
      <c r="N402" s="209">
        <f>IFERROR(__xludf.DUMMYFUNCTION("""COMPUTED_VALUE"""),5.0)</f>
        <v>5</v>
      </c>
      <c r="O402" s="176"/>
      <c r="P402" s="176"/>
      <c r="Q402" s="176"/>
      <c r="R402" s="176">
        <v>15.387070331364484</v>
      </c>
      <c r="S402" s="176"/>
      <c r="T402" s="176"/>
      <c r="U402" s="176"/>
      <c r="V402" s="176"/>
      <c r="W402" s="176"/>
      <c r="X402" s="176"/>
      <c r="Y402" s="176"/>
      <c r="Z402" s="176"/>
    </row>
    <row r="403">
      <c r="A403" s="249" t="s">
        <v>135</v>
      </c>
      <c r="B403" s="249" t="s">
        <v>590</v>
      </c>
      <c r="C403" s="329" t="s">
        <v>2649</v>
      </c>
      <c r="D403" s="268" t="s">
        <v>495</v>
      </c>
      <c r="E403" s="251">
        <v>44237.0</v>
      </c>
      <c r="F403" s="250" t="s">
        <v>496</v>
      </c>
      <c r="G403" s="171">
        <v>50.0</v>
      </c>
      <c r="H403" s="171">
        <v>50.0</v>
      </c>
      <c r="I403" s="171">
        <v>100.0</v>
      </c>
      <c r="J403" s="325">
        <f t="shared" si="2"/>
        <v>0.002526456209</v>
      </c>
      <c r="K403" s="326">
        <f t="shared" ref="K403:K419" si="23">J403*$J$1</f>
        <v>2.063272571</v>
      </c>
      <c r="L403" s="327">
        <f t="shared" si="3"/>
        <v>2.063272571</v>
      </c>
      <c r="M403" s="321" t="str">
        <f t="shared" si="14"/>
        <v>boring877</v>
      </c>
      <c r="N403" s="176">
        <f>IFERROR(__xludf.DUMMYFUNCTION("""COMPUTED_VALUE"""),1.0)</f>
        <v>1</v>
      </c>
      <c r="O403" s="176"/>
      <c r="P403" s="176"/>
      <c r="Q403" s="176"/>
      <c r="R403" s="176"/>
      <c r="S403" s="176"/>
      <c r="T403" s="176"/>
      <c r="U403" s="176"/>
      <c r="V403" s="176"/>
      <c r="W403" s="176"/>
      <c r="X403" s="176"/>
      <c r="Y403" s="176"/>
      <c r="Z403" s="176"/>
    </row>
    <row r="404">
      <c r="A404" s="249" t="s">
        <v>66</v>
      </c>
      <c r="B404" s="249" t="s">
        <v>10</v>
      </c>
      <c r="C404" s="329" t="s">
        <v>2588</v>
      </c>
      <c r="D404" s="268" t="s">
        <v>495</v>
      </c>
      <c r="E404" s="361">
        <v>44232.0</v>
      </c>
      <c r="F404" s="250" t="s">
        <v>496</v>
      </c>
      <c r="G404" s="171">
        <v>60.0</v>
      </c>
      <c r="H404" s="171">
        <v>50.0</v>
      </c>
      <c r="I404" s="171">
        <v>80.0</v>
      </c>
      <c r="J404" s="325">
        <f t="shared" si="2"/>
        <v>0.002409166178</v>
      </c>
      <c r="K404" s="326">
        <f t="shared" si="23"/>
        <v>1.967485712</v>
      </c>
      <c r="L404" s="327">
        <f t="shared" si="3"/>
        <v>1.967485712</v>
      </c>
      <c r="M404" s="321" t="str">
        <f t="shared" si="14"/>
        <v>willjgriff</v>
      </c>
      <c r="N404" s="176">
        <f>IFERROR(__xludf.DUMMYFUNCTION("""COMPUTED_VALUE"""),1.0)</f>
        <v>1</v>
      </c>
      <c r="O404" s="176"/>
      <c r="P404" s="176"/>
      <c r="Q404" s="176"/>
      <c r="R404" s="176"/>
      <c r="S404" s="176"/>
      <c r="T404" s="176"/>
      <c r="U404" s="176"/>
      <c r="V404" s="176"/>
      <c r="W404" s="176"/>
      <c r="X404" s="176"/>
      <c r="Y404" s="176"/>
      <c r="Z404" s="176"/>
    </row>
    <row r="405">
      <c r="A405" s="249" t="s">
        <v>40</v>
      </c>
      <c r="B405" s="249" t="s">
        <v>10</v>
      </c>
      <c r="C405" s="329" t="s">
        <v>2588</v>
      </c>
      <c r="D405" s="268" t="s">
        <v>495</v>
      </c>
      <c r="E405" s="361">
        <v>44232.0</v>
      </c>
      <c r="F405" s="250" t="s">
        <v>496</v>
      </c>
      <c r="G405" s="171">
        <v>60.0</v>
      </c>
      <c r="H405" s="171">
        <v>50.0</v>
      </c>
      <c r="I405" s="171">
        <v>80.0</v>
      </c>
      <c r="J405" s="325">
        <f t="shared" si="2"/>
        <v>0.002409166178</v>
      </c>
      <c r="K405" s="326">
        <f t="shared" si="23"/>
        <v>1.967485712</v>
      </c>
      <c r="L405" s="327">
        <f t="shared" si="3"/>
        <v>1.967485712</v>
      </c>
      <c r="M405" s="321" t="str">
        <f t="shared" si="14"/>
        <v>lkngtn</v>
      </c>
      <c r="N405" s="176">
        <f>IFERROR(__xludf.DUMMYFUNCTION("""COMPUTED_VALUE"""),1.0)</f>
        <v>1</v>
      </c>
      <c r="O405" s="176"/>
      <c r="P405" s="176"/>
      <c r="Q405" s="176"/>
      <c r="R405" s="176"/>
      <c r="S405" s="176"/>
      <c r="T405" s="176"/>
      <c r="U405" s="176"/>
      <c r="V405" s="176"/>
      <c r="W405" s="176"/>
      <c r="X405" s="176"/>
      <c r="Y405" s="176"/>
      <c r="Z405" s="176"/>
    </row>
    <row r="406">
      <c r="A406" s="249" t="s">
        <v>185</v>
      </c>
      <c r="B406" s="249" t="s">
        <v>10</v>
      </c>
      <c r="C406" s="329" t="s">
        <v>2506</v>
      </c>
      <c r="D406" s="268" t="s">
        <v>495</v>
      </c>
      <c r="E406" s="251">
        <v>44239.0</v>
      </c>
      <c r="F406" s="250" t="s">
        <v>496</v>
      </c>
      <c r="G406" s="171">
        <v>40.0</v>
      </c>
      <c r="H406" s="171">
        <v>25.0</v>
      </c>
      <c r="I406" s="171">
        <v>50.0</v>
      </c>
      <c r="J406" s="325">
        <f t="shared" si="2"/>
        <v>0.001433134316</v>
      </c>
      <c r="K406" s="326">
        <f t="shared" si="23"/>
        <v>1.170393025</v>
      </c>
      <c r="L406" s="327">
        <f t="shared" si="3"/>
        <v>1.601904036</v>
      </c>
      <c r="M406" s="321" t="str">
        <f t="shared" si="14"/>
        <v>adaptdao</v>
      </c>
      <c r="N406" s="176">
        <f>IFERROR(__xludf.DUMMYFUNCTION("""COMPUTED_VALUE"""),1.0)</f>
        <v>1</v>
      </c>
      <c r="O406" s="176"/>
      <c r="P406" s="176"/>
      <c r="Q406" s="176"/>
      <c r="R406" s="176"/>
      <c r="S406" s="176"/>
      <c r="T406" s="176"/>
      <c r="U406" s="176"/>
      <c r="V406" s="176"/>
      <c r="W406" s="176"/>
      <c r="X406" s="176"/>
      <c r="Y406" s="176"/>
      <c r="Z406" s="176"/>
    </row>
    <row r="407">
      <c r="A407" s="249" t="s">
        <v>185</v>
      </c>
      <c r="B407" s="249" t="s">
        <v>10</v>
      </c>
      <c r="C407" s="329" t="s">
        <v>2530</v>
      </c>
      <c r="D407" s="268" t="s">
        <v>495</v>
      </c>
      <c r="E407" s="251">
        <v>44239.0</v>
      </c>
      <c r="F407" s="250" t="s">
        <v>499</v>
      </c>
      <c r="G407" s="171">
        <v>10.0</v>
      </c>
      <c r="H407" s="171">
        <v>15.0</v>
      </c>
      <c r="I407" s="171">
        <v>15.0</v>
      </c>
      <c r="J407" s="325">
        <f t="shared" si="2"/>
        <v>0.0005283808294</v>
      </c>
      <c r="K407" s="326">
        <f t="shared" si="23"/>
        <v>0.4315110107</v>
      </c>
      <c r="L407" s="327">
        <f t="shared" si="3"/>
        <v>1.601904036</v>
      </c>
      <c r="M407" s="321" t="str">
        <f t="shared" si="14"/>
        <v>adaptdao</v>
      </c>
      <c r="N407" s="176">
        <f>IFERROR(__xludf.DUMMYFUNCTION("""COMPUTED_VALUE"""),2.0)</f>
        <v>2</v>
      </c>
      <c r="O407" s="176"/>
      <c r="P407" s="176"/>
      <c r="Q407" s="176"/>
      <c r="R407" s="176"/>
      <c r="S407" s="176"/>
      <c r="T407" s="176"/>
      <c r="U407" s="176"/>
      <c r="V407" s="176"/>
      <c r="W407" s="176"/>
      <c r="X407" s="176"/>
      <c r="Y407" s="176"/>
      <c r="Z407" s="176"/>
    </row>
    <row r="408">
      <c r="A408" s="249" t="s">
        <v>34</v>
      </c>
      <c r="B408" s="249" t="s">
        <v>63</v>
      </c>
      <c r="C408" s="329" t="s">
        <v>2589</v>
      </c>
      <c r="D408" s="268" t="s">
        <v>495</v>
      </c>
      <c r="E408" s="361">
        <v>44229.0</v>
      </c>
      <c r="F408" s="250" t="s">
        <v>2586</v>
      </c>
      <c r="G408" s="171">
        <v>40.0</v>
      </c>
      <c r="H408" s="171">
        <v>25.0</v>
      </c>
      <c r="I408" s="171">
        <v>80.0</v>
      </c>
      <c r="J408" s="325">
        <f t="shared" si="2"/>
        <v>0.001778975575</v>
      </c>
      <c r="K408" s="326">
        <f t="shared" si="23"/>
        <v>1.452830053</v>
      </c>
      <c r="L408" s="327">
        <f t="shared" si="3"/>
        <v>1.452830053</v>
      </c>
      <c r="M408" s="321" t="str">
        <f t="shared" si="14"/>
        <v>xgabi</v>
      </c>
      <c r="N408" s="176">
        <f>IFERROR(__xludf.DUMMYFUNCTION("""COMPUTED_VALUE"""),1.0)</f>
        <v>1</v>
      </c>
      <c r="O408" s="176"/>
      <c r="P408" s="176"/>
      <c r="Q408" s="176"/>
      <c r="R408" s="176"/>
      <c r="S408" s="176"/>
      <c r="T408" s="176"/>
      <c r="U408" s="176"/>
      <c r="V408" s="176"/>
      <c r="W408" s="176"/>
      <c r="X408" s="176"/>
      <c r="Y408" s="176"/>
      <c r="Z408" s="176"/>
    </row>
    <row r="409">
      <c r="A409" s="249" t="s">
        <v>52</v>
      </c>
      <c r="B409" s="249" t="s">
        <v>519</v>
      </c>
      <c r="C409" s="329" t="s">
        <v>2329</v>
      </c>
      <c r="D409" s="268" t="s">
        <v>495</v>
      </c>
      <c r="E409" s="361">
        <v>44230.0</v>
      </c>
      <c r="F409" s="250" t="s">
        <v>521</v>
      </c>
      <c r="G409" s="171">
        <v>40.0</v>
      </c>
      <c r="H409" s="171">
        <v>25.0</v>
      </c>
      <c r="I409" s="171">
        <v>80.0</v>
      </c>
      <c r="J409" s="325">
        <f t="shared" si="2"/>
        <v>0.001778975575</v>
      </c>
      <c r="K409" s="326">
        <f t="shared" si="23"/>
        <v>1.452830053</v>
      </c>
      <c r="L409" s="327">
        <f t="shared" si="3"/>
        <v>1.452830053</v>
      </c>
      <c r="M409" s="321" t="str">
        <f t="shared" si="14"/>
        <v>randomshinichi</v>
      </c>
      <c r="N409" s="176">
        <f>IFERROR(__xludf.DUMMYFUNCTION("""COMPUTED_VALUE"""),1.0)</f>
        <v>1</v>
      </c>
      <c r="O409" s="176"/>
      <c r="P409" s="176"/>
      <c r="Q409" s="176"/>
      <c r="R409" s="176"/>
      <c r="S409" s="176"/>
      <c r="T409" s="176"/>
      <c r="U409" s="176"/>
      <c r="V409" s="176"/>
      <c r="W409" s="176"/>
      <c r="X409" s="176"/>
      <c r="Y409" s="176"/>
      <c r="Z409" s="176"/>
    </row>
    <row r="410">
      <c r="A410" s="249" t="s">
        <v>54</v>
      </c>
      <c r="B410" s="249" t="s">
        <v>10</v>
      </c>
      <c r="C410" s="329" t="s">
        <v>2498</v>
      </c>
      <c r="D410" s="268" t="s">
        <v>495</v>
      </c>
      <c r="E410" s="251">
        <v>44239.0</v>
      </c>
      <c r="F410" s="250" t="s">
        <v>545</v>
      </c>
      <c r="G410" s="171">
        <v>20.0</v>
      </c>
      <c r="H410" s="171">
        <v>15.0</v>
      </c>
      <c r="I410" s="171">
        <v>15.0</v>
      </c>
      <c r="J410" s="325">
        <f t="shared" si="2"/>
        <v>0.0006416516372</v>
      </c>
      <c r="K410" s="326">
        <f t="shared" si="23"/>
        <v>0.5240155037</v>
      </c>
      <c r="L410" s="327">
        <f t="shared" si="3"/>
        <v>1.413612684</v>
      </c>
      <c r="M410" s="321" t="str">
        <f t="shared" si="14"/>
        <v>hbesso31</v>
      </c>
      <c r="N410" s="176">
        <f>IFERROR(__xludf.DUMMYFUNCTION("""COMPUTED_VALUE"""),1.0)</f>
        <v>1</v>
      </c>
      <c r="O410" s="176"/>
      <c r="P410" s="176"/>
      <c r="Q410" s="176"/>
      <c r="R410" s="176"/>
      <c r="S410" s="176"/>
      <c r="T410" s="176"/>
      <c r="U410" s="176"/>
      <c r="V410" s="176"/>
      <c r="W410" s="176"/>
      <c r="X410" s="176"/>
      <c r="Y410" s="176"/>
      <c r="Z410" s="176"/>
    </row>
    <row r="411">
      <c r="A411" s="249" t="s">
        <v>54</v>
      </c>
      <c r="B411" s="249" t="s">
        <v>10</v>
      </c>
      <c r="C411" s="329" t="s">
        <v>2498</v>
      </c>
      <c r="D411" s="268" t="s">
        <v>495</v>
      </c>
      <c r="E411" s="361">
        <v>44232.0</v>
      </c>
      <c r="F411" s="250" t="s">
        <v>545</v>
      </c>
      <c r="G411" s="171">
        <v>20.0</v>
      </c>
      <c r="H411" s="171">
        <v>10.0</v>
      </c>
      <c r="I411" s="171">
        <v>15.0</v>
      </c>
      <c r="J411" s="325">
        <f t="shared" si="2"/>
        <v>0.0005609218398</v>
      </c>
      <c r="K411" s="326">
        <f t="shared" si="23"/>
        <v>0.4580861692</v>
      </c>
      <c r="L411" s="327">
        <f t="shared" si="3"/>
        <v>1.413612684</v>
      </c>
      <c r="M411" s="321" t="str">
        <f t="shared" si="14"/>
        <v>hbesso31</v>
      </c>
      <c r="N411" s="176">
        <f>IFERROR(__xludf.DUMMYFUNCTION("""COMPUTED_VALUE"""),2.0)</f>
        <v>2</v>
      </c>
      <c r="O411" s="176"/>
      <c r="P411" s="176"/>
      <c r="Q411" s="176"/>
      <c r="R411" s="176"/>
      <c r="S411" s="176"/>
      <c r="T411" s="176"/>
      <c r="U411" s="176"/>
      <c r="V411" s="176"/>
      <c r="W411" s="176"/>
      <c r="X411" s="176"/>
      <c r="Y411" s="176"/>
      <c r="Z411" s="176"/>
    </row>
    <row r="412">
      <c r="A412" s="249" t="s">
        <v>54</v>
      </c>
      <c r="B412" s="249" t="s">
        <v>10</v>
      </c>
      <c r="C412" s="329" t="s">
        <v>2530</v>
      </c>
      <c r="D412" s="268" t="s">
        <v>495</v>
      </c>
      <c r="E412" s="251">
        <v>44239.0</v>
      </c>
      <c r="F412" s="250" t="s">
        <v>499</v>
      </c>
      <c r="G412" s="171">
        <v>10.0</v>
      </c>
      <c r="H412" s="171">
        <v>15.0</v>
      </c>
      <c r="I412" s="171">
        <v>15.0</v>
      </c>
      <c r="J412" s="325">
        <f t="shared" si="2"/>
        <v>0.0005283808294</v>
      </c>
      <c r="K412" s="326">
        <f t="shared" si="23"/>
        <v>0.4315110107</v>
      </c>
      <c r="L412" s="327">
        <f t="shared" si="3"/>
        <v>1.413612684</v>
      </c>
      <c r="M412" s="321" t="str">
        <f t="shared" si="14"/>
        <v>hbesso31</v>
      </c>
      <c r="N412" s="176">
        <f>IFERROR(__xludf.DUMMYFUNCTION("""COMPUTED_VALUE"""),3.0)</f>
        <v>3</v>
      </c>
      <c r="O412" s="176"/>
      <c r="P412" s="176"/>
      <c r="Q412" s="176"/>
      <c r="R412" s="176"/>
      <c r="S412" s="176"/>
      <c r="T412" s="176"/>
      <c r="U412" s="176"/>
      <c r="V412" s="176"/>
      <c r="W412" s="176"/>
      <c r="X412" s="176"/>
      <c r="Y412" s="176"/>
      <c r="Z412" s="176"/>
    </row>
    <row r="413">
      <c r="A413" s="249" t="s">
        <v>268</v>
      </c>
      <c r="B413" s="249" t="s">
        <v>18</v>
      </c>
      <c r="C413" s="329" t="s">
        <v>2650</v>
      </c>
      <c r="D413" s="268" t="s">
        <v>495</v>
      </c>
      <c r="E413" s="361">
        <v>44228.0</v>
      </c>
      <c r="F413" s="250" t="s">
        <v>496</v>
      </c>
      <c r="G413" s="171">
        <v>30.0</v>
      </c>
      <c r="H413" s="171">
        <v>25.0</v>
      </c>
      <c r="I413" s="171">
        <v>80.0</v>
      </c>
      <c r="J413" s="325">
        <f t="shared" si="2"/>
        <v>0.001665704767</v>
      </c>
      <c r="K413" s="326">
        <f t="shared" si="23"/>
        <v>1.36032556</v>
      </c>
      <c r="L413" s="327">
        <f t="shared" si="3"/>
        <v>1.36032556</v>
      </c>
      <c r="M413" s="321" t="str">
        <f t="shared" si="14"/>
        <v>cyotee</v>
      </c>
      <c r="N413" s="176">
        <f>IFERROR(__xludf.DUMMYFUNCTION("""COMPUTED_VALUE"""),1.0)</f>
        <v>1</v>
      </c>
      <c r="O413" s="176"/>
      <c r="P413" s="176"/>
      <c r="Q413" s="176"/>
      <c r="R413" s="176"/>
      <c r="S413" s="176"/>
      <c r="T413" s="176"/>
      <c r="U413" s="176"/>
      <c r="V413" s="176"/>
      <c r="W413" s="176"/>
      <c r="X413" s="176"/>
      <c r="Y413" s="176"/>
      <c r="Z413" s="176"/>
    </row>
    <row r="414">
      <c r="A414" s="249" t="s">
        <v>29</v>
      </c>
      <c r="B414" s="249" t="s">
        <v>10</v>
      </c>
      <c r="C414" s="329" t="s">
        <v>2498</v>
      </c>
      <c r="D414" s="268" t="s">
        <v>495</v>
      </c>
      <c r="E414" s="251">
        <v>44239.0</v>
      </c>
      <c r="F414" s="250" t="s">
        <v>545</v>
      </c>
      <c r="G414" s="171">
        <v>20.0</v>
      </c>
      <c r="H414" s="171">
        <v>15.0</v>
      </c>
      <c r="I414" s="171">
        <v>15.0</v>
      </c>
      <c r="J414" s="325">
        <f t="shared" si="2"/>
        <v>0.0006416516372</v>
      </c>
      <c r="K414" s="326">
        <f t="shared" si="23"/>
        <v>0.5240155037</v>
      </c>
      <c r="L414" s="327">
        <f t="shared" si="3"/>
        <v>1.321108191</v>
      </c>
      <c r="M414" s="321" t="str">
        <f t="shared" si="14"/>
        <v>jeffemmett</v>
      </c>
      <c r="N414" s="176">
        <f>IFERROR(__xludf.DUMMYFUNCTION("""COMPUTED_VALUE"""),1.0)</f>
        <v>1</v>
      </c>
      <c r="O414" s="176"/>
      <c r="P414" s="176"/>
      <c r="Q414" s="176"/>
      <c r="R414" s="176"/>
      <c r="S414" s="176"/>
      <c r="T414" s="176"/>
      <c r="U414" s="176"/>
      <c r="V414" s="176"/>
      <c r="W414" s="176"/>
      <c r="X414" s="176"/>
      <c r="Y414" s="176"/>
      <c r="Z414" s="176"/>
    </row>
    <row r="415">
      <c r="A415" s="249" t="s">
        <v>108</v>
      </c>
      <c r="B415" s="249" t="s">
        <v>10</v>
      </c>
      <c r="C415" s="329" t="s">
        <v>2498</v>
      </c>
      <c r="D415" s="268" t="s">
        <v>495</v>
      </c>
      <c r="E415" s="251">
        <v>44239.0</v>
      </c>
      <c r="F415" s="250" t="s">
        <v>545</v>
      </c>
      <c r="G415" s="171">
        <v>20.0</v>
      </c>
      <c r="H415" s="171">
        <v>15.0</v>
      </c>
      <c r="I415" s="171">
        <v>15.0</v>
      </c>
      <c r="J415" s="325">
        <f t="shared" si="2"/>
        <v>0.0006416516372</v>
      </c>
      <c r="K415" s="326">
        <f t="shared" si="23"/>
        <v>0.5240155037</v>
      </c>
      <c r="L415" s="327">
        <f t="shared" si="3"/>
        <v>1.321108191</v>
      </c>
      <c r="M415" s="321" t="str">
        <f t="shared" si="14"/>
        <v>gyalbo</v>
      </c>
      <c r="N415" s="176">
        <f>IFERROR(__xludf.DUMMYFUNCTION("""COMPUTED_VALUE"""),1.0)</f>
        <v>1</v>
      </c>
      <c r="O415" s="176"/>
      <c r="P415" s="176"/>
      <c r="Q415" s="176"/>
      <c r="R415" s="176"/>
      <c r="S415" s="176"/>
      <c r="T415" s="176"/>
      <c r="U415" s="176"/>
      <c r="V415" s="176"/>
      <c r="W415" s="176"/>
      <c r="X415" s="176"/>
      <c r="Y415" s="176"/>
      <c r="Z415" s="176"/>
    </row>
    <row r="416">
      <c r="A416" s="249" t="s">
        <v>29</v>
      </c>
      <c r="B416" s="249" t="s">
        <v>10</v>
      </c>
      <c r="C416" s="329" t="s">
        <v>2530</v>
      </c>
      <c r="D416" s="268" t="s">
        <v>495</v>
      </c>
      <c r="E416" s="251">
        <v>44239.0</v>
      </c>
      <c r="F416" s="250" t="s">
        <v>499</v>
      </c>
      <c r="G416" s="171">
        <v>10.0</v>
      </c>
      <c r="H416" s="171">
        <v>15.0</v>
      </c>
      <c r="I416" s="171">
        <v>15.0</v>
      </c>
      <c r="J416" s="325">
        <f t="shared" si="2"/>
        <v>0.0005283808294</v>
      </c>
      <c r="K416" s="326">
        <f t="shared" si="23"/>
        <v>0.4315110107</v>
      </c>
      <c r="L416" s="327">
        <f t="shared" si="3"/>
        <v>1.321108191</v>
      </c>
      <c r="M416" s="321" t="str">
        <f t="shared" si="14"/>
        <v>jeffemmett</v>
      </c>
      <c r="N416" s="176">
        <f>IFERROR(__xludf.DUMMYFUNCTION("""COMPUTED_VALUE"""),2.0)</f>
        <v>2</v>
      </c>
      <c r="O416" s="176"/>
      <c r="P416" s="176"/>
      <c r="Q416" s="176"/>
      <c r="R416" s="176"/>
      <c r="S416" s="176"/>
      <c r="T416" s="176"/>
      <c r="U416" s="176"/>
      <c r="V416" s="176"/>
      <c r="W416" s="176"/>
      <c r="X416" s="176"/>
      <c r="Y416" s="176"/>
      <c r="Z416" s="176"/>
    </row>
    <row r="417">
      <c r="A417" s="249" t="s">
        <v>108</v>
      </c>
      <c r="B417" s="249" t="s">
        <v>10</v>
      </c>
      <c r="C417" s="329" t="s">
        <v>2530</v>
      </c>
      <c r="D417" s="268" t="s">
        <v>495</v>
      </c>
      <c r="E417" s="251">
        <v>44239.0</v>
      </c>
      <c r="F417" s="250" t="s">
        <v>499</v>
      </c>
      <c r="G417" s="171">
        <v>10.0</v>
      </c>
      <c r="H417" s="171">
        <v>15.0</v>
      </c>
      <c r="I417" s="171">
        <v>15.0</v>
      </c>
      <c r="J417" s="325">
        <f t="shared" si="2"/>
        <v>0.0005283808294</v>
      </c>
      <c r="K417" s="326">
        <f t="shared" si="23"/>
        <v>0.4315110107</v>
      </c>
      <c r="L417" s="327">
        <f t="shared" si="3"/>
        <v>1.321108191</v>
      </c>
      <c r="M417" s="321" t="str">
        <f t="shared" si="14"/>
        <v>gyalbo</v>
      </c>
      <c r="N417" s="176">
        <f>IFERROR(__xludf.DUMMYFUNCTION("""COMPUTED_VALUE"""),2.0)</f>
        <v>2</v>
      </c>
      <c r="O417" s="176"/>
      <c r="P417" s="176"/>
      <c r="Q417" s="176"/>
      <c r="R417" s="176"/>
      <c r="S417" s="176"/>
      <c r="T417" s="176"/>
      <c r="U417" s="176"/>
      <c r="V417" s="176"/>
      <c r="W417" s="176"/>
      <c r="X417" s="176"/>
      <c r="Y417" s="176"/>
      <c r="Z417" s="176"/>
    </row>
    <row r="418">
      <c r="A418" s="249" t="s">
        <v>29</v>
      </c>
      <c r="B418" s="249" t="s">
        <v>10</v>
      </c>
      <c r="C418" s="329" t="s">
        <v>2531</v>
      </c>
      <c r="D418" s="268" t="s">
        <v>495</v>
      </c>
      <c r="E418" s="361">
        <v>44232.0</v>
      </c>
      <c r="F418" s="250" t="s">
        <v>499</v>
      </c>
      <c r="G418" s="171">
        <v>10.0</v>
      </c>
      <c r="H418" s="171">
        <v>10.0</v>
      </c>
      <c r="I418" s="171">
        <v>15.0</v>
      </c>
      <c r="J418" s="325">
        <f t="shared" si="2"/>
        <v>0.000447651032</v>
      </c>
      <c r="K418" s="326">
        <f t="shared" si="23"/>
        <v>0.3655816761</v>
      </c>
      <c r="L418" s="327">
        <f t="shared" si="3"/>
        <v>1.321108191</v>
      </c>
      <c r="M418" s="321" t="str">
        <f t="shared" si="14"/>
        <v>jeffemmett</v>
      </c>
      <c r="N418" s="176">
        <f>IFERROR(__xludf.DUMMYFUNCTION("""COMPUTED_VALUE"""),3.0)</f>
        <v>3</v>
      </c>
      <c r="O418" s="176"/>
      <c r="P418" s="176"/>
      <c r="Q418" s="176"/>
      <c r="R418" s="176"/>
      <c r="S418" s="176"/>
      <c r="T418" s="176"/>
      <c r="U418" s="176"/>
      <c r="V418" s="176"/>
      <c r="W418" s="176"/>
      <c r="X418" s="176"/>
      <c r="Y418" s="176"/>
      <c r="Z418" s="176"/>
    </row>
    <row r="419">
      <c r="A419" s="249" t="s">
        <v>108</v>
      </c>
      <c r="B419" s="249" t="s">
        <v>10</v>
      </c>
      <c r="C419" s="329" t="s">
        <v>2651</v>
      </c>
      <c r="D419" s="268" t="s">
        <v>495</v>
      </c>
      <c r="E419" s="361">
        <v>44232.0</v>
      </c>
      <c r="F419" s="250" t="s">
        <v>499</v>
      </c>
      <c r="G419" s="171">
        <v>10.0</v>
      </c>
      <c r="H419" s="171">
        <v>10.0</v>
      </c>
      <c r="I419" s="171">
        <v>15.0</v>
      </c>
      <c r="J419" s="325">
        <f t="shared" si="2"/>
        <v>0.000447651032</v>
      </c>
      <c r="K419" s="326">
        <f t="shared" si="23"/>
        <v>0.3655816761</v>
      </c>
      <c r="L419" s="327">
        <f t="shared" si="3"/>
        <v>1.321108191</v>
      </c>
      <c r="M419" s="321" t="str">
        <f t="shared" si="14"/>
        <v>gyalbo</v>
      </c>
      <c r="N419" s="176">
        <f>IFERROR(__xludf.DUMMYFUNCTION("""COMPUTED_VALUE"""),3.0)</f>
        <v>3</v>
      </c>
      <c r="O419" s="176"/>
      <c r="P419" s="176"/>
      <c r="Q419" s="176"/>
      <c r="R419" s="176"/>
      <c r="S419" s="176"/>
      <c r="T419" s="176"/>
      <c r="U419" s="176"/>
      <c r="V419" s="176"/>
      <c r="W419" s="176"/>
      <c r="X419" s="176"/>
      <c r="Y419" s="176"/>
      <c r="Z419" s="176"/>
    </row>
    <row r="420">
      <c r="A420" s="343" t="s">
        <v>29</v>
      </c>
      <c r="B420" s="253" t="s">
        <v>534</v>
      </c>
      <c r="C420" s="256" t="s">
        <v>684</v>
      </c>
      <c r="D420" s="343"/>
      <c r="E420" s="344"/>
      <c r="F420" s="343"/>
      <c r="G420" s="253"/>
      <c r="H420" s="253"/>
      <c r="I420" s="253"/>
      <c r="J420" s="325">
        <f t="shared" si="2"/>
        <v>0</v>
      </c>
      <c r="K420" s="337"/>
      <c r="L420" s="327">
        <f t="shared" si="3"/>
        <v>1.321108191</v>
      </c>
      <c r="M420" s="321" t="str">
        <f t="shared" si="14"/>
        <v>jeffemmett</v>
      </c>
      <c r="N420" s="343">
        <f>IFERROR(__xludf.DUMMYFUNCTION("""COMPUTED_VALUE"""),4.0)</f>
        <v>4</v>
      </c>
      <c r="O420" s="343"/>
      <c r="P420" s="343"/>
      <c r="Q420" s="343"/>
      <c r="R420" s="343">
        <v>18.15686701513158</v>
      </c>
      <c r="S420" s="343"/>
      <c r="T420" s="343"/>
      <c r="U420" s="343"/>
      <c r="V420" s="343"/>
      <c r="W420" s="343"/>
      <c r="X420" s="343"/>
      <c r="Y420" s="226"/>
      <c r="Z420" s="226"/>
    </row>
    <row r="421">
      <c r="A421" s="249" t="s">
        <v>150</v>
      </c>
      <c r="B421" s="249" t="s">
        <v>10</v>
      </c>
      <c r="C421" s="329" t="s">
        <v>2506</v>
      </c>
      <c r="D421" s="268" t="s">
        <v>495</v>
      </c>
      <c r="E421" s="251">
        <v>44239.0</v>
      </c>
      <c r="F421" s="250" t="s">
        <v>496</v>
      </c>
      <c r="G421" s="171">
        <v>40.0</v>
      </c>
      <c r="H421" s="171">
        <v>25.0</v>
      </c>
      <c r="I421" s="171">
        <v>50.0</v>
      </c>
      <c r="J421" s="325">
        <f t="shared" si="2"/>
        <v>0.001433134316</v>
      </c>
      <c r="K421" s="326">
        <f t="shared" ref="K421:K460" si="24">J421*$J$1</f>
        <v>1.170393025</v>
      </c>
      <c r="L421" s="327">
        <f t="shared" si="3"/>
        <v>1.170393025</v>
      </c>
      <c r="M421" s="321" t="str">
        <f t="shared" si="14"/>
        <v>glefevre</v>
      </c>
      <c r="N421" s="176">
        <f>IFERROR(__xludf.DUMMYFUNCTION("""COMPUTED_VALUE"""),1.0)</f>
        <v>1</v>
      </c>
      <c r="O421" s="176"/>
      <c r="P421" s="176"/>
      <c r="Q421" s="176"/>
      <c r="R421" s="176"/>
      <c r="S421" s="176"/>
      <c r="T421" s="176"/>
      <c r="U421" s="176"/>
      <c r="V421" s="176"/>
      <c r="W421" s="176"/>
      <c r="X421" s="176"/>
      <c r="Y421" s="176"/>
      <c r="Z421" s="176"/>
    </row>
    <row r="422">
      <c r="A422" s="249" t="s">
        <v>127</v>
      </c>
      <c r="B422" s="249" t="s">
        <v>10</v>
      </c>
      <c r="C422" s="329" t="s">
        <v>2497</v>
      </c>
      <c r="D422" s="268" t="s">
        <v>495</v>
      </c>
      <c r="E422" s="361">
        <v>44232.0</v>
      </c>
      <c r="F422" s="250" t="s">
        <v>496</v>
      </c>
      <c r="G422" s="171">
        <v>40.0</v>
      </c>
      <c r="H422" s="171">
        <v>25.0</v>
      </c>
      <c r="I422" s="171">
        <v>50.0</v>
      </c>
      <c r="J422" s="325">
        <f t="shared" si="2"/>
        <v>0.001433134316</v>
      </c>
      <c r="K422" s="326">
        <f t="shared" si="24"/>
        <v>1.170393025</v>
      </c>
      <c r="L422" s="327">
        <f t="shared" si="3"/>
        <v>1.170393025</v>
      </c>
      <c r="M422" s="321" t="str">
        <f t="shared" si="14"/>
        <v>crypt0dawg</v>
      </c>
      <c r="N422" s="176">
        <f>IFERROR(__xludf.DUMMYFUNCTION("""COMPUTED_VALUE"""),1.0)</f>
        <v>1</v>
      </c>
      <c r="O422" s="176"/>
      <c r="P422" s="176"/>
      <c r="Q422" s="176"/>
      <c r="R422" s="176"/>
      <c r="S422" s="176"/>
      <c r="T422" s="176"/>
      <c r="U422" s="176"/>
      <c r="V422" s="176"/>
      <c r="W422" s="176"/>
      <c r="X422" s="176"/>
      <c r="Y422" s="176"/>
      <c r="Z422" s="176"/>
    </row>
    <row r="423">
      <c r="A423" s="249" t="s">
        <v>259</v>
      </c>
      <c r="B423" s="249" t="s">
        <v>18</v>
      </c>
      <c r="C423" s="329" t="s">
        <v>2652</v>
      </c>
      <c r="D423" s="268" t="s">
        <v>495</v>
      </c>
      <c r="E423" s="361">
        <v>44228.0</v>
      </c>
      <c r="F423" s="250" t="s">
        <v>496</v>
      </c>
      <c r="G423" s="171">
        <v>20.0</v>
      </c>
      <c r="H423" s="171">
        <v>25.0</v>
      </c>
      <c r="I423" s="171">
        <v>50.0</v>
      </c>
      <c r="J423" s="325">
        <f t="shared" si="2"/>
        <v>0.001206592701</v>
      </c>
      <c r="K423" s="326">
        <f t="shared" si="24"/>
        <v>0.9853840388</v>
      </c>
      <c r="L423" s="327">
        <f t="shared" si="3"/>
        <v>0.9853840388</v>
      </c>
      <c r="M423" s="321" t="str">
        <f t="shared" si="14"/>
        <v>hypereum</v>
      </c>
      <c r="N423" s="176">
        <f>IFERROR(__xludf.DUMMYFUNCTION("""COMPUTED_VALUE"""),1.0)</f>
        <v>1</v>
      </c>
      <c r="O423" s="176"/>
      <c r="P423" s="176"/>
      <c r="Q423" s="176"/>
      <c r="R423" s="176"/>
      <c r="S423" s="176"/>
      <c r="T423" s="176"/>
      <c r="U423" s="176"/>
      <c r="V423" s="176"/>
      <c r="W423" s="176"/>
      <c r="X423" s="176"/>
      <c r="Y423" s="176"/>
      <c r="Z423" s="176"/>
    </row>
    <row r="424">
      <c r="A424" s="249" t="s">
        <v>137</v>
      </c>
      <c r="B424" s="249" t="s">
        <v>10</v>
      </c>
      <c r="C424" s="329" t="s">
        <v>2498</v>
      </c>
      <c r="D424" s="268" t="s">
        <v>495</v>
      </c>
      <c r="E424" s="251">
        <v>44239.0</v>
      </c>
      <c r="F424" s="250" t="s">
        <v>545</v>
      </c>
      <c r="G424" s="171">
        <v>20.0</v>
      </c>
      <c r="H424" s="171">
        <v>15.0</v>
      </c>
      <c r="I424" s="171">
        <v>15.0</v>
      </c>
      <c r="J424" s="325">
        <f t="shared" si="2"/>
        <v>0.0006416516372</v>
      </c>
      <c r="K424" s="326">
        <f t="shared" si="24"/>
        <v>0.5240155037</v>
      </c>
      <c r="L424" s="327">
        <f t="shared" si="3"/>
        <v>0.9821016729</v>
      </c>
      <c r="M424" s="321" t="str">
        <f t="shared" si="14"/>
        <v>nelsonm</v>
      </c>
      <c r="N424" s="176">
        <f>IFERROR(__xludf.DUMMYFUNCTION("""COMPUTED_VALUE"""),1.0)</f>
        <v>1</v>
      </c>
      <c r="O424" s="176"/>
      <c r="P424" s="176"/>
      <c r="Q424" s="176"/>
      <c r="R424" s="176"/>
      <c r="S424" s="176"/>
      <c r="T424" s="176"/>
      <c r="U424" s="176"/>
      <c r="V424" s="176"/>
      <c r="W424" s="176"/>
      <c r="X424" s="176"/>
      <c r="Y424" s="176"/>
      <c r="Z424" s="176"/>
    </row>
    <row r="425">
      <c r="A425" s="249" t="s">
        <v>137</v>
      </c>
      <c r="B425" s="249" t="s">
        <v>10</v>
      </c>
      <c r="C425" s="329" t="s">
        <v>2498</v>
      </c>
      <c r="D425" s="268" t="s">
        <v>495</v>
      </c>
      <c r="E425" s="361">
        <v>44232.0</v>
      </c>
      <c r="F425" s="250" t="s">
        <v>545</v>
      </c>
      <c r="G425" s="171">
        <v>20.0</v>
      </c>
      <c r="H425" s="171">
        <v>10.0</v>
      </c>
      <c r="I425" s="171">
        <v>15.0</v>
      </c>
      <c r="J425" s="325">
        <f t="shared" si="2"/>
        <v>0.0005609218398</v>
      </c>
      <c r="K425" s="326">
        <f t="shared" si="24"/>
        <v>0.4580861692</v>
      </c>
      <c r="L425" s="327">
        <f t="shared" si="3"/>
        <v>0.9821016729</v>
      </c>
      <c r="M425" s="321" t="str">
        <f t="shared" si="14"/>
        <v>nelsonm</v>
      </c>
      <c r="N425" s="176">
        <f>IFERROR(__xludf.DUMMYFUNCTION("""COMPUTED_VALUE"""),2.0)</f>
        <v>2</v>
      </c>
      <c r="O425" s="176"/>
      <c r="P425" s="176"/>
      <c r="Q425" s="176"/>
      <c r="R425" s="176"/>
      <c r="S425" s="176"/>
      <c r="T425" s="176"/>
      <c r="U425" s="176"/>
      <c r="V425" s="176"/>
      <c r="W425" s="176"/>
      <c r="X425" s="176"/>
      <c r="Y425" s="176"/>
      <c r="Z425" s="176"/>
    </row>
    <row r="426">
      <c r="A426" s="249" t="s">
        <v>64</v>
      </c>
      <c r="B426" s="249" t="s">
        <v>10</v>
      </c>
      <c r="C426" s="329" t="s">
        <v>2498</v>
      </c>
      <c r="D426" s="268" t="s">
        <v>495</v>
      </c>
      <c r="E426" s="251">
        <v>44239.0</v>
      </c>
      <c r="F426" s="250" t="s">
        <v>545</v>
      </c>
      <c r="G426" s="171">
        <v>20.0</v>
      </c>
      <c r="H426" s="171">
        <v>15.0</v>
      </c>
      <c r="I426" s="171">
        <v>15.0</v>
      </c>
      <c r="J426" s="325">
        <f t="shared" si="2"/>
        <v>0.0006416516372</v>
      </c>
      <c r="K426" s="326">
        <f t="shared" si="24"/>
        <v>0.5240155037</v>
      </c>
      <c r="L426" s="327">
        <f t="shared" si="3"/>
        <v>0.9555265144</v>
      </c>
      <c r="M426" s="321" t="str">
        <f t="shared" si="14"/>
        <v>trentmc0</v>
      </c>
      <c r="N426" s="176">
        <f>IFERROR(__xludf.DUMMYFUNCTION("""COMPUTED_VALUE"""),1.0)</f>
        <v>1</v>
      </c>
      <c r="O426" s="176"/>
      <c r="P426" s="176"/>
      <c r="Q426" s="176"/>
      <c r="R426" s="176"/>
      <c r="S426" s="176"/>
      <c r="T426" s="176"/>
      <c r="U426" s="176"/>
      <c r="V426" s="176"/>
      <c r="W426" s="176"/>
      <c r="X426" s="176"/>
      <c r="Y426" s="176"/>
      <c r="Z426" s="176"/>
    </row>
    <row r="427">
      <c r="A427" s="249" t="s">
        <v>77</v>
      </c>
      <c r="B427" s="249" t="s">
        <v>10</v>
      </c>
      <c r="C427" s="329" t="s">
        <v>2498</v>
      </c>
      <c r="D427" s="268" t="s">
        <v>495</v>
      </c>
      <c r="E427" s="251">
        <v>44239.0</v>
      </c>
      <c r="F427" s="250" t="s">
        <v>545</v>
      </c>
      <c r="G427" s="171">
        <v>20.0</v>
      </c>
      <c r="H427" s="171">
        <v>15.0</v>
      </c>
      <c r="I427" s="171">
        <v>15.0</v>
      </c>
      <c r="J427" s="325">
        <f t="shared" si="2"/>
        <v>0.0006416516372</v>
      </c>
      <c r="K427" s="326">
        <f t="shared" si="24"/>
        <v>0.5240155037</v>
      </c>
      <c r="L427" s="327">
        <f t="shared" si="3"/>
        <v>0.9555265144</v>
      </c>
      <c r="M427" s="321" t="str">
        <f t="shared" si="14"/>
        <v>krrisis</v>
      </c>
      <c r="N427" s="176">
        <f>IFERROR(__xludf.DUMMYFUNCTION("""COMPUTED_VALUE"""),1.0)</f>
        <v>1</v>
      </c>
      <c r="O427" s="176"/>
      <c r="P427" s="176"/>
      <c r="Q427" s="176"/>
      <c r="R427" s="176"/>
      <c r="S427" s="176"/>
      <c r="T427" s="176"/>
      <c r="U427" s="176"/>
      <c r="V427" s="176"/>
      <c r="W427" s="176"/>
      <c r="X427" s="176"/>
      <c r="Y427" s="176"/>
      <c r="Z427" s="176"/>
    </row>
    <row r="428">
      <c r="A428" s="249" t="s">
        <v>151</v>
      </c>
      <c r="B428" s="249" t="s">
        <v>10</v>
      </c>
      <c r="C428" s="329" t="s">
        <v>2498</v>
      </c>
      <c r="D428" s="268" t="s">
        <v>495</v>
      </c>
      <c r="E428" s="251">
        <v>44239.0</v>
      </c>
      <c r="F428" s="250" t="s">
        <v>545</v>
      </c>
      <c r="G428" s="171">
        <v>20.0</v>
      </c>
      <c r="H428" s="171">
        <v>15.0</v>
      </c>
      <c r="I428" s="171">
        <v>15.0</v>
      </c>
      <c r="J428" s="325">
        <f t="shared" si="2"/>
        <v>0.0006416516372</v>
      </c>
      <c r="K428" s="326">
        <f t="shared" si="24"/>
        <v>0.5240155037</v>
      </c>
      <c r="L428" s="327">
        <f t="shared" si="3"/>
        <v>0.9555265144</v>
      </c>
      <c r="M428" s="321" t="str">
        <f t="shared" si="14"/>
        <v>antoniopaglino</v>
      </c>
      <c r="N428" s="176">
        <f>IFERROR(__xludf.DUMMYFUNCTION("""COMPUTED_VALUE"""),1.0)</f>
        <v>1</v>
      </c>
      <c r="O428" s="176"/>
      <c r="P428" s="176"/>
      <c r="Q428" s="176"/>
      <c r="R428" s="176"/>
      <c r="S428" s="176"/>
      <c r="T428" s="176"/>
      <c r="U428" s="176"/>
      <c r="V428" s="176"/>
      <c r="W428" s="176"/>
      <c r="X428" s="176"/>
      <c r="Y428" s="176"/>
      <c r="Z428" s="176"/>
    </row>
    <row r="429">
      <c r="A429" s="249" t="s">
        <v>64</v>
      </c>
      <c r="B429" s="249" t="s">
        <v>10</v>
      </c>
      <c r="C429" s="329" t="s">
        <v>2530</v>
      </c>
      <c r="D429" s="268" t="s">
        <v>495</v>
      </c>
      <c r="E429" s="251">
        <v>44239.0</v>
      </c>
      <c r="F429" s="250" t="s">
        <v>499</v>
      </c>
      <c r="G429" s="171">
        <v>10.0</v>
      </c>
      <c r="H429" s="171">
        <v>15.0</v>
      </c>
      <c r="I429" s="171">
        <v>15.0</v>
      </c>
      <c r="J429" s="325">
        <f t="shared" si="2"/>
        <v>0.0005283808294</v>
      </c>
      <c r="K429" s="326">
        <f t="shared" si="24"/>
        <v>0.4315110107</v>
      </c>
      <c r="L429" s="327">
        <f t="shared" si="3"/>
        <v>0.9555265144</v>
      </c>
      <c r="M429" s="321" t="str">
        <f t="shared" si="14"/>
        <v>trentmc0</v>
      </c>
      <c r="N429" s="176">
        <f>IFERROR(__xludf.DUMMYFUNCTION("""COMPUTED_VALUE"""),2.0)</f>
        <v>2</v>
      </c>
      <c r="O429" s="176"/>
      <c r="P429" s="176"/>
      <c r="Q429" s="176"/>
      <c r="R429" s="176"/>
      <c r="S429" s="176"/>
      <c r="T429" s="176"/>
      <c r="U429" s="176"/>
      <c r="V429" s="176"/>
      <c r="W429" s="176"/>
      <c r="X429" s="176"/>
      <c r="Y429" s="176"/>
      <c r="Z429" s="176"/>
    </row>
    <row r="430">
      <c r="A430" s="249" t="s">
        <v>77</v>
      </c>
      <c r="B430" s="249" t="s">
        <v>10</v>
      </c>
      <c r="C430" s="329" t="s">
        <v>2530</v>
      </c>
      <c r="D430" s="268" t="s">
        <v>495</v>
      </c>
      <c r="E430" s="251">
        <v>44239.0</v>
      </c>
      <c r="F430" s="250" t="s">
        <v>499</v>
      </c>
      <c r="G430" s="171">
        <v>10.0</v>
      </c>
      <c r="H430" s="171">
        <v>15.0</v>
      </c>
      <c r="I430" s="171">
        <v>15.0</v>
      </c>
      <c r="J430" s="325">
        <f t="shared" si="2"/>
        <v>0.0005283808294</v>
      </c>
      <c r="K430" s="326">
        <f t="shared" si="24"/>
        <v>0.4315110107</v>
      </c>
      <c r="L430" s="327">
        <f t="shared" si="3"/>
        <v>0.9555265144</v>
      </c>
      <c r="M430" s="321" t="str">
        <f t="shared" si="14"/>
        <v>krrisis</v>
      </c>
      <c r="N430" s="176">
        <f>IFERROR(__xludf.DUMMYFUNCTION("""COMPUTED_VALUE"""),2.0)</f>
        <v>2</v>
      </c>
      <c r="O430" s="176"/>
      <c r="P430" s="176"/>
      <c r="Q430" s="176"/>
      <c r="R430" s="176"/>
      <c r="S430" s="176"/>
      <c r="T430" s="176"/>
      <c r="U430" s="176"/>
      <c r="V430" s="176"/>
      <c r="W430" s="176"/>
      <c r="X430" s="176"/>
      <c r="Y430" s="176"/>
      <c r="Z430" s="176"/>
    </row>
    <row r="431">
      <c r="A431" s="249" t="s">
        <v>151</v>
      </c>
      <c r="B431" s="249" t="s">
        <v>10</v>
      </c>
      <c r="C431" s="329" t="s">
        <v>2530</v>
      </c>
      <c r="D431" s="268" t="s">
        <v>495</v>
      </c>
      <c r="E431" s="251">
        <v>44239.0</v>
      </c>
      <c r="F431" s="250" t="s">
        <v>499</v>
      </c>
      <c r="G431" s="171">
        <v>10.0</v>
      </c>
      <c r="H431" s="171">
        <v>15.0</v>
      </c>
      <c r="I431" s="171">
        <v>15.0</v>
      </c>
      <c r="J431" s="325">
        <f t="shared" si="2"/>
        <v>0.0005283808294</v>
      </c>
      <c r="K431" s="326">
        <f t="shared" si="24"/>
        <v>0.4315110107</v>
      </c>
      <c r="L431" s="327">
        <f t="shared" si="3"/>
        <v>0.9555265144</v>
      </c>
      <c r="M431" s="321" t="str">
        <f t="shared" si="14"/>
        <v>antoniopaglino</v>
      </c>
      <c r="N431" s="176">
        <f>IFERROR(__xludf.DUMMYFUNCTION("""COMPUTED_VALUE"""),2.0)</f>
        <v>2</v>
      </c>
      <c r="O431" s="176"/>
      <c r="P431" s="176"/>
      <c r="Q431" s="176"/>
      <c r="R431" s="176"/>
      <c r="S431" s="176"/>
      <c r="T431" s="176"/>
      <c r="U431" s="176"/>
      <c r="V431" s="176"/>
      <c r="W431" s="176"/>
      <c r="X431" s="176"/>
      <c r="Y431" s="176"/>
      <c r="Z431" s="176"/>
    </row>
    <row r="432">
      <c r="A432" s="249" t="s">
        <v>65</v>
      </c>
      <c r="B432" s="249" t="s">
        <v>10</v>
      </c>
      <c r="C432" s="329" t="s">
        <v>2498</v>
      </c>
      <c r="D432" s="268" t="s">
        <v>495</v>
      </c>
      <c r="E432" s="361">
        <v>44232.0</v>
      </c>
      <c r="F432" s="250" t="s">
        <v>545</v>
      </c>
      <c r="G432" s="171">
        <v>20.0</v>
      </c>
      <c r="H432" s="171">
        <v>10.0</v>
      </c>
      <c r="I432" s="171">
        <v>15.0</v>
      </c>
      <c r="J432" s="325">
        <f t="shared" si="2"/>
        <v>0.0005609218398</v>
      </c>
      <c r="K432" s="326">
        <f t="shared" si="24"/>
        <v>0.4580861692</v>
      </c>
      <c r="L432" s="327">
        <f t="shared" si="3"/>
        <v>0.8895971799</v>
      </c>
      <c r="M432" s="321" t="str">
        <f t="shared" si="14"/>
        <v>loie_giveth</v>
      </c>
      <c r="N432" s="176">
        <f>IFERROR(__xludf.DUMMYFUNCTION("""COMPUTED_VALUE"""),1.0)</f>
        <v>1</v>
      </c>
      <c r="O432" s="176"/>
      <c r="P432" s="176"/>
      <c r="Q432" s="176"/>
      <c r="R432" s="176"/>
      <c r="S432" s="176"/>
      <c r="T432" s="176"/>
      <c r="U432" s="176"/>
      <c r="V432" s="176"/>
      <c r="W432" s="176"/>
      <c r="X432" s="176"/>
      <c r="Y432" s="176"/>
      <c r="Z432" s="176"/>
    </row>
    <row r="433">
      <c r="A433" s="249" t="s">
        <v>65</v>
      </c>
      <c r="B433" s="249" t="s">
        <v>10</v>
      </c>
      <c r="C433" s="329" t="s">
        <v>2530</v>
      </c>
      <c r="D433" s="268" t="s">
        <v>495</v>
      </c>
      <c r="E433" s="251">
        <v>44239.0</v>
      </c>
      <c r="F433" s="250" t="s">
        <v>499</v>
      </c>
      <c r="G433" s="171">
        <v>10.0</v>
      </c>
      <c r="H433" s="171">
        <v>15.0</v>
      </c>
      <c r="I433" s="171">
        <v>15.0</v>
      </c>
      <c r="J433" s="325">
        <f t="shared" si="2"/>
        <v>0.0005283808294</v>
      </c>
      <c r="K433" s="326">
        <f t="shared" si="24"/>
        <v>0.4315110107</v>
      </c>
      <c r="L433" s="327">
        <f t="shared" si="3"/>
        <v>0.8895971799</v>
      </c>
      <c r="M433" s="321" t="str">
        <f t="shared" si="14"/>
        <v>loie_giveth</v>
      </c>
      <c r="N433" s="176">
        <f>IFERROR(__xludf.DUMMYFUNCTION("""COMPUTED_VALUE"""),2.0)</f>
        <v>2</v>
      </c>
      <c r="O433" s="176"/>
      <c r="P433" s="176"/>
      <c r="Q433" s="176"/>
      <c r="R433" s="176"/>
      <c r="S433" s="176"/>
      <c r="T433" s="176"/>
      <c r="U433" s="176"/>
      <c r="V433" s="176"/>
      <c r="W433" s="176"/>
      <c r="X433" s="176"/>
      <c r="Y433" s="176"/>
      <c r="Z433" s="176"/>
    </row>
    <row r="434">
      <c r="A434" s="249" t="s">
        <v>131</v>
      </c>
      <c r="B434" s="249" t="s">
        <v>10</v>
      </c>
      <c r="C434" s="329" t="s">
        <v>2530</v>
      </c>
      <c r="D434" s="268" t="s">
        <v>495</v>
      </c>
      <c r="E434" s="251">
        <v>44239.0</v>
      </c>
      <c r="F434" s="250" t="s">
        <v>499</v>
      </c>
      <c r="G434" s="171">
        <v>10.0</v>
      </c>
      <c r="H434" s="171">
        <v>15.0</v>
      </c>
      <c r="I434" s="171">
        <v>15.0</v>
      </c>
      <c r="J434" s="325">
        <f t="shared" si="2"/>
        <v>0.0005283808294</v>
      </c>
      <c r="K434" s="326">
        <f t="shared" si="24"/>
        <v>0.4315110107</v>
      </c>
      <c r="L434" s="327">
        <f t="shared" si="3"/>
        <v>0.7970926868</v>
      </c>
      <c r="M434" s="321" t="str">
        <f t="shared" si="14"/>
        <v>unquale</v>
      </c>
      <c r="N434" s="176">
        <f>IFERROR(__xludf.DUMMYFUNCTION("""COMPUTED_VALUE"""),1.0)</f>
        <v>1</v>
      </c>
      <c r="O434" s="176"/>
      <c r="P434" s="176"/>
      <c r="Q434" s="176"/>
      <c r="R434" s="176"/>
      <c r="S434" s="176"/>
      <c r="T434" s="176"/>
      <c r="U434" s="176"/>
      <c r="V434" s="176"/>
      <c r="W434" s="176"/>
      <c r="X434" s="176"/>
      <c r="Y434" s="176"/>
      <c r="Z434" s="176"/>
    </row>
    <row r="435">
      <c r="A435" s="249" t="s">
        <v>149</v>
      </c>
      <c r="B435" s="249" t="s">
        <v>10</v>
      </c>
      <c r="C435" s="329" t="s">
        <v>2530</v>
      </c>
      <c r="D435" s="268" t="s">
        <v>495</v>
      </c>
      <c r="E435" s="251">
        <v>44239.0</v>
      </c>
      <c r="F435" s="250" t="s">
        <v>499</v>
      </c>
      <c r="G435" s="171">
        <v>10.0</v>
      </c>
      <c r="H435" s="171">
        <v>15.0</v>
      </c>
      <c r="I435" s="171">
        <v>15.0</v>
      </c>
      <c r="J435" s="325">
        <f t="shared" si="2"/>
        <v>0.0005283808294</v>
      </c>
      <c r="K435" s="326">
        <f t="shared" si="24"/>
        <v>0.4315110107</v>
      </c>
      <c r="L435" s="327">
        <f t="shared" si="3"/>
        <v>0.7970926868</v>
      </c>
      <c r="M435" s="321" t="str">
        <f t="shared" si="14"/>
        <v>thebeautyway</v>
      </c>
      <c r="N435" s="176">
        <f>IFERROR(__xludf.DUMMYFUNCTION("""COMPUTED_VALUE"""),1.0)</f>
        <v>1</v>
      </c>
      <c r="O435" s="176"/>
      <c r="P435" s="176"/>
      <c r="Q435" s="176"/>
      <c r="R435" s="176"/>
      <c r="S435" s="176"/>
      <c r="T435" s="176"/>
      <c r="U435" s="176"/>
      <c r="V435" s="176"/>
      <c r="W435" s="176"/>
      <c r="X435" s="176"/>
      <c r="Y435" s="176"/>
      <c r="Z435" s="176"/>
    </row>
    <row r="436">
      <c r="A436" s="249" t="s">
        <v>154</v>
      </c>
      <c r="B436" s="249" t="s">
        <v>10</v>
      </c>
      <c r="C436" s="329" t="s">
        <v>2530</v>
      </c>
      <c r="D436" s="268" t="s">
        <v>495</v>
      </c>
      <c r="E436" s="251">
        <v>44239.0</v>
      </c>
      <c r="F436" s="250" t="s">
        <v>499</v>
      </c>
      <c r="G436" s="171">
        <v>10.0</v>
      </c>
      <c r="H436" s="171">
        <v>15.0</v>
      </c>
      <c r="I436" s="171">
        <v>15.0</v>
      </c>
      <c r="J436" s="325">
        <f t="shared" si="2"/>
        <v>0.0005283808294</v>
      </c>
      <c r="K436" s="326">
        <f t="shared" si="24"/>
        <v>0.4315110107</v>
      </c>
      <c r="L436" s="327">
        <f t="shared" si="3"/>
        <v>0.7970926868</v>
      </c>
      <c r="M436" s="321" t="str">
        <f t="shared" si="14"/>
        <v>morgangr</v>
      </c>
      <c r="N436" s="176">
        <f>IFERROR(__xludf.DUMMYFUNCTION("""COMPUTED_VALUE"""),1.0)</f>
        <v>1</v>
      </c>
      <c r="O436" s="176"/>
      <c r="P436" s="176"/>
      <c r="Q436" s="176"/>
      <c r="R436" s="176"/>
      <c r="S436" s="176"/>
      <c r="T436" s="176"/>
      <c r="U436" s="176"/>
      <c r="V436" s="176"/>
      <c r="W436" s="176"/>
      <c r="X436" s="176"/>
      <c r="Y436" s="176"/>
      <c r="Z436" s="176"/>
    </row>
    <row r="437">
      <c r="A437" s="249" t="s">
        <v>86</v>
      </c>
      <c r="B437" s="249" t="s">
        <v>10</v>
      </c>
      <c r="C437" s="329" t="s">
        <v>2530</v>
      </c>
      <c r="D437" s="268" t="s">
        <v>495</v>
      </c>
      <c r="E437" s="251">
        <v>44239.0</v>
      </c>
      <c r="F437" s="250" t="s">
        <v>499</v>
      </c>
      <c r="G437" s="171">
        <v>10.0</v>
      </c>
      <c r="H437" s="171">
        <v>15.0</v>
      </c>
      <c r="I437" s="171">
        <v>15.0</v>
      </c>
      <c r="J437" s="325">
        <f t="shared" si="2"/>
        <v>0.0005283808294</v>
      </c>
      <c r="K437" s="326">
        <f t="shared" si="24"/>
        <v>0.4315110107</v>
      </c>
      <c r="L437" s="327">
        <f t="shared" si="3"/>
        <v>0.7970926868</v>
      </c>
      <c r="M437" s="321" t="str">
        <f t="shared" si="14"/>
        <v>misterboyfriend</v>
      </c>
      <c r="N437" s="176">
        <f>IFERROR(__xludf.DUMMYFUNCTION("""COMPUTED_VALUE"""),1.0)</f>
        <v>1</v>
      </c>
      <c r="O437" s="176"/>
      <c r="P437" s="176"/>
      <c r="Q437" s="176"/>
      <c r="R437" s="176"/>
      <c r="S437" s="176"/>
      <c r="T437" s="176"/>
      <c r="U437" s="176"/>
      <c r="V437" s="176"/>
      <c r="W437" s="176"/>
      <c r="X437" s="176"/>
      <c r="Y437" s="176"/>
      <c r="Z437" s="176"/>
    </row>
    <row r="438">
      <c r="A438" s="249" t="s">
        <v>250</v>
      </c>
      <c r="B438" s="249" t="s">
        <v>10</v>
      </c>
      <c r="C438" s="329" t="s">
        <v>2530</v>
      </c>
      <c r="D438" s="268" t="s">
        <v>495</v>
      </c>
      <c r="E438" s="251">
        <v>44239.0</v>
      </c>
      <c r="F438" s="250" t="s">
        <v>499</v>
      </c>
      <c r="G438" s="171">
        <v>10.0</v>
      </c>
      <c r="H438" s="171">
        <v>15.0</v>
      </c>
      <c r="I438" s="171">
        <v>15.0</v>
      </c>
      <c r="J438" s="325">
        <f t="shared" si="2"/>
        <v>0.0005283808294</v>
      </c>
      <c r="K438" s="326">
        <f t="shared" si="24"/>
        <v>0.4315110107</v>
      </c>
      <c r="L438" s="327">
        <f t="shared" si="3"/>
        <v>0.7970926868</v>
      </c>
      <c r="M438" s="321" t="str">
        <f t="shared" si="14"/>
        <v>johnkellden</v>
      </c>
      <c r="N438" s="176">
        <f>IFERROR(__xludf.DUMMYFUNCTION("""COMPUTED_VALUE"""),1.0)</f>
        <v>1</v>
      </c>
      <c r="O438" s="176"/>
      <c r="P438" s="176"/>
      <c r="Q438" s="176"/>
      <c r="R438" s="176"/>
      <c r="S438" s="176"/>
      <c r="T438" s="176"/>
      <c r="U438" s="176"/>
      <c r="V438" s="176"/>
      <c r="W438" s="176"/>
      <c r="X438" s="176"/>
      <c r="Y438" s="176"/>
      <c r="Z438" s="176"/>
    </row>
    <row r="439">
      <c r="A439" s="249" t="s">
        <v>114</v>
      </c>
      <c r="B439" s="249" t="s">
        <v>10</v>
      </c>
      <c r="C439" s="329" t="s">
        <v>2530</v>
      </c>
      <c r="D439" s="268" t="s">
        <v>495</v>
      </c>
      <c r="E439" s="251">
        <v>44239.0</v>
      </c>
      <c r="F439" s="250" t="s">
        <v>499</v>
      </c>
      <c r="G439" s="171">
        <v>10.0</v>
      </c>
      <c r="H439" s="171">
        <v>15.0</v>
      </c>
      <c r="I439" s="171">
        <v>15.0</v>
      </c>
      <c r="J439" s="325">
        <f t="shared" si="2"/>
        <v>0.0005283808294</v>
      </c>
      <c r="K439" s="326">
        <f t="shared" si="24"/>
        <v>0.4315110107</v>
      </c>
      <c r="L439" s="327">
        <f t="shared" si="3"/>
        <v>0.7970926868</v>
      </c>
      <c r="M439" s="321" t="str">
        <f t="shared" si="14"/>
        <v>existenialstoic</v>
      </c>
      <c r="N439" s="176">
        <f>IFERROR(__xludf.DUMMYFUNCTION("""COMPUTED_VALUE"""),1.0)</f>
        <v>1</v>
      </c>
      <c r="O439" s="176"/>
      <c r="P439" s="176"/>
      <c r="Q439" s="176"/>
      <c r="R439" s="176"/>
      <c r="S439" s="176"/>
      <c r="T439" s="176"/>
      <c r="U439" s="176"/>
      <c r="V439" s="176"/>
      <c r="W439" s="176"/>
      <c r="X439" s="176"/>
      <c r="Y439" s="176"/>
      <c r="Z439" s="176"/>
    </row>
    <row r="440">
      <c r="A440" s="249" t="s">
        <v>131</v>
      </c>
      <c r="B440" s="249" t="s">
        <v>10</v>
      </c>
      <c r="C440" s="329" t="s">
        <v>2531</v>
      </c>
      <c r="D440" s="268" t="s">
        <v>495</v>
      </c>
      <c r="E440" s="361">
        <v>44232.0</v>
      </c>
      <c r="F440" s="250" t="s">
        <v>499</v>
      </c>
      <c r="G440" s="171">
        <v>10.0</v>
      </c>
      <c r="H440" s="171">
        <v>10.0</v>
      </c>
      <c r="I440" s="171">
        <v>15.0</v>
      </c>
      <c r="J440" s="325">
        <f t="shared" si="2"/>
        <v>0.000447651032</v>
      </c>
      <c r="K440" s="326">
        <f t="shared" si="24"/>
        <v>0.3655816761</v>
      </c>
      <c r="L440" s="327">
        <f t="shared" si="3"/>
        <v>0.7970926868</v>
      </c>
      <c r="M440" s="321" t="str">
        <f t="shared" si="14"/>
        <v>unquale</v>
      </c>
      <c r="N440" s="176">
        <f>IFERROR(__xludf.DUMMYFUNCTION("""COMPUTED_VALUE"""),2.0)</f>
        <v>2</v>
      </c>
      <c r="O440" s="176"/>
      <c r="P440" s="176"/>
      <c r="Q440" s="176"/>
      <c r="R440" s="176"/>
      <c r="S440" s="176"/>
      <c r="T440" s="176"/>
      <c r="U440" s="176"/>
      <c r="V440" s="176"/>
      <c r="W440" s="176"/>
      <c r="X440" s="176"/>
      <c r="Y440" s="176"/>
      <c r="Z440" s="176"/>
    </row>
    <row r="441">
      <c r="A441" s="249" t="s">
        <v>149</v>
      </c>
      <c r="B441" s="249" t="s">
        <v>10</v>
      </c>
      <c r="C441" s="329" t="s">
        <v>2531</v>
      </c>
      <c r="D441" s="268" t="s">
        <v>495</v>
      </c>
      <c r="E441" s="361">
        <v>44232.0</v>
      </c>
      <c r="F441" s="250" t="s">
        <v>499</v>
      </c>
      <c r="G441" s="171">
        <v>10.0</v>
      </c>
      <c r="H441" s="171">
        <v>10.0</v>
      </c>
      <c r="I441" s="171">
        <v>15.0</v>
      </c>
      <c r="J441" s="325">
        <f t="shared" si="2"/>
        <v>0.000447651032</v>
      </c>
      <c r="K441" s="326">
        <f t="shared" si="24"/>
        <v>0.3655816761</v>
      </c>
      <c r="L441" s="327">
        <f t="shared" si="3"/>
        <v>0.7970926868</v>
      </c>
      <c r="M441" s="321" t="str">
        <f t="shared" si="14"/>
        <v>thebeautyway</v>
      </c>
      <c r="N441" s="176">
        <f>IFERROR(__xludf.DUMMYFUNCTION("""COMPUTED_VALUE"""),2.0)</f>
        <v>2</v>
      </c>
      <c r="O441" s="176"/>
      <c r="P441" s="176"/>
      <c r="Q441" s="176"/>
      <c r="R441" s="176"/>
      <c r="S441" s="176"/>
      <c r="T441" s="176"/>
      <c r="U441" s="176"/>
      <c r="V441" s="176"/>
      <c r="W441" s="176"/>
      <c r="X441" s="176"/>
      <c r="Y441" s="176"/>
      <c r="Z441" s="176"/>
    </row>
    <row r="442">
      <c r="A442" s="249" t="s">
        <v>154</v>
      </c>
      <c r="B442" s="249" t="s">
        <v>10</v>
      </c>
      <c r="C442" s="329" t="s">
        <v>2531</v>
      </c>
      <c r="D442" s="268" t="s">
        <v>495</v>
      </c>
      <c r="E442" s="361">
        <v>44232.0</v>
      </c>
      <c r="F442" s="250" t="s">
        <v>499</v>
      </c>
      <c r="G442" s="171">
        <v>10.0</v>
      </c>
      <c r="H442" s="171">
        <v>10.0</v>
      </c>
      <c r="I442" s="171">
        <v>15.0</v>
      </c>
      <c r="J442" s="325">
        <f t="shared" si="2"/>
        <v>0.000447651032</v>
      </c>
      <c r="K442" s="326">
        <f t="shared" si="24"/>
        <v>0.3655816761</v>
      </c>
      <c r="L442" s="327">
        <f t="shared" si="3"/>
        <v>0.7970926868</v>
      </c>
      <c r="M442" s="321" t="str">
        <f t="shared" si="14"/>
        <v>morgangr</v>
      </c>
      <c r="N442" s="176">
        <f>IFERROR(__xludf.DUMMYFUNCTION("""COMPUTED_VALUE"""),2.0)</f>
        <v>2</v>
      </c>
      <c r="O442" s="176"/>
      <c r="P442" s="176"/>
      <c r="Q442" s="176"/>
      <c r="R442" s="176"/>
      <c r="S442" s="176"/>
      <c r="T442" s="176"/>
      <c r="U442" s="176"/>
      <c r="V442" s="176"/>
      <c r="W442" s="176"/>
      <c r="X442" s="176"/>
      <c r="Y442" s="176"/>
      <c r="Z442" s="176"/>
    </row>
    <row r="443">
      <c r="A443" s="249" t="s">
        <v>86</v>
      </c>
      <c r="B443" s="249" t="s">
        <v>10</v>
      </c>
      <c r="C443" s="329" t="s">
        <v>2531</v>
      </c>
      <c r="D443" s="268" t="s">
        <v>495</v>
      </c>
      <c r="E443" s="361">
        <v>44232.0</v>
      </c>
      <c r="F443" s="250" t="s">
        <v>499</v>
      </c>
      <c r="G443" s="171">
        <v>10.0</v>
      </c>
      <c r="H443" s="171">
        <v>10.0</v>
      </c>
      <c r="I443" s="171">
        <v>15.0</v>
      </c>
      <c r="J443" s="325">
        <f t="shared" si="2"/>
        <v>0.000447651032</v>
      </c>
      <c r="K443" s="326">
        <f t="shared" si="24"/>
        <v>0.3655816761</v>
      </c>
      <c r="L443" s="327">
        <f t="shared" si="3"/>
        <v>0.7970926868</v>
      </c>
      <c r="M443" s="321" t="str">
        <f t="shared" si="14"/>
        <v>misterboyfriend</v>
      </c>
      <c r="N443" s="176">
        <f>IFERROR(__xludf.DUMMYFUNCTION("""COMPUTED_VALUE"""),2.0)</f>
        <v>2</v>
      </c>
      <c r="O443" s="176"/>
      <c r="P443" s="176"/>
      <c r="Q443" s="176"/>
      <c r="R443" s="176"/>
      <c r="S443" s="176"/>
      <c r="T443" s="176"/>
      <c r="U443" s="176"/>
      <c r="V443" s="176"/>
      <c r="W443" s="176"/>
      <c r="X443" s="176"/>
      <c r="Y443" s="176"/>
      <c r="Z443" s="176"/>
    </row>
    <row r="444">
      <c r="A444" s="249" t="s">
        <v>250</v>
      </c>
      <c r="B444" s="249" t="s">
        <v>10</v>
      </c>
      <c r="C444" s="329" t="s">
        <v>2651</v>
      </c>
      <c r="D444" s="268" t="s">
        <v>495</v>
      </c>
      <c r="E444" s="361">
        <v>44232.0</v>
      </c>
      <c r="F444" s="250" t="s">
        <v>499</v>
      </c>
      <c r="G444" s="171">
        <v>10.0</v>
      </c>
      <c r="H444" s="171">
        <v>10.0</v>
      </c>
      <c r="I444" s="171">
        <v>15.0</v>
      </c>
      <c r="J444" s="325">
        <f t="shared" si="2"/>
        <v>0.000447651032</v>
      </c>
      <c r="K444" s="326">
        <f t="shared" si="24"/>
        <v>0.3655816761</v>
      </c>
      <c r="L444" s="327">
        <f t="shared" si="3"/>
        <v>0.7970926868</v>
      </c>
      <c r="M444" s="321" t="str">
        <f t="shared" si="14"/>
        <v>johnkellden</v>
      </c>
      <c r="N444" s="176">
        <f>IFERROR(__xludf.DUMMYFUNCTION("""COMPUTED_VALUE"""),2.0)</f>
        <v>2</v>
      </c>
      <c r="O444" s="176"/>
      <c r="P444" s="176"/>
      <c r="Q444" s="176"/>
      <c r="R444" s="176"/>
      <c r="S444" s="176"/>
      <c r="T444" s="176"/>
      <c r="U444" s="176"/>
      <c r="V444" s="176"/>
      <c r="W444" s="176"/>
      <c r="X444" s="176"/>
      <c r="Y444" s="176"/>
      <c r="Z444" s="176"/>
    </row>
    <row r="445">
      <c r="A445" s="249" t="s">
        <v>114</v>
      </c>
      <c r="B445" s="249" t="s">
        <v>10</v>
      </c>
      <c r="C445" s="329" t="s">
        <v>2531</v>
      </c>
      <c r="D445" s="268" t="s">
        <v>495</v>
      </c>
      <c r="E445" s="361">
        <v>44232.0</v>
      </c>
      <c r="F445" s="250" t="s">
        <v>499</v>
      </c>
      <c r="G445" s="171">
        <v>10.0</v>
      </c>
      <c r="H445" s="171">
        <v>10.0</v>
      </c>
      <c r="I445" s="171">
        <v>15.0</v>
      </c>
      <c r="J445" s="325">
        <f t="shared" si="2"/>
        <v>0.000447651032</v>
      </c>
      <c r="K445" s="326">
        <f t="shared" si="24"/>
        <v>0.3655816761</v>
      </c>
      <c r="L445" s="327">
        <f t="shared" si="3"/>
        <v>0.7970926868</v>
      </c>
      <c r="M445" s="321" t="str">
        <f t="shared" si="14"/>
        <v>existenialstoic</v>
      </c>
      <c r="N445" s="176">
        <f>IFERROR(__xludf.DUMMYFUNCTION("""COMPUTED_VALUE"""),2.0)</f>
        <v>2</v>
      </c>
      <c r="O445" s="176"/>
      <c r="P445" s="176"/>
      <c r="Q445" s="176"/>
      <c r="R445" s="176"/>
      <c r="S445" s="176"/>
      <c r="T445" s="176"/>
      <c r="U445" s="176"/>
      <c r="V445" s="176"/>
      <c r="W445" s="176"/>
      <c r="X445" s="176"/>
      <c r="Y445" s="176"/>
      <c r="Z445" s="176"/>
    </row>
    <row r="446">
      <c r="A446" s="249" t="s">
        <v>164</v>
      </c>
      <c r="B446" s="249" t="s">
        <v>590</v>
      </c>
      <c r="C446" s="329" t="s">
        <v>2653</v>
      </c>
      <c r="D446" s="268" t="s">
        <v>495</v>
      </c>
      <c r="E446" s="251">
        <v>44237.0</v>
      </c>
      <c r="F446" s="250" t="s">
        <v>496</v>
      </c>
      <c r="G446" s="171">
        <v>1.0</v>
      </c>
      <c r="H446" s="171">
        <v>25.0</v>
      </c>
      <c r="I446" s="171">
        <v>30.0</v>
      </c>
      <c r="J446" s="325">
        <f t="shared" si="2"/>
        <v>0.0007608173265</v>
      </c>
      <c r="K446" s="326">
        <f t="shared" si="24"/>
        <v>0.6213341499</v>
      </c>
      <c r="L446" s="327">
        <f t="shared" si="3"/>
        <v>0.6213341499</v>
      </c>
      <c r="M446" s="321" t="str">
        <f t="shared" si="14"/>
        <v>decentralizesdgs</v>
      </c>
      <c r="N446" s="176">
        <f>IFERROR(__xludf.DUMMYFUNCTION("""COMPUTED_VALUE"""),1.0)</f>
        <v>1</v>
      </c>
      <c r="O446" s="176"/>
      <c r="P446" s="176"/>
      <c r="Q446" s="176"/>
      <c r="R446" s="176"/>
      <c r="S446" s="176"/>
      <c r="T446" s="176"/>
      <c r="U446" s="176"/>
      <c r="V446" s="176"/>
      <c r="W446" s="176"/>
      <c r="X446" s="176"/>
      <c r="Y446" s="176"/>
      <c r="Z446" s="176"/>
    </row>
    <row r="447">
      <c r="A447" s="249" t="s">
        <v>17</v>
      </c>
      <c r="B447" s="249" t="s">
        <v>10</v>
      </c>
      <c r="C447" s="329" t="s">
        <v>2498</v>
      </c>
      <c r="D447" s="268" t="s">
        <v>495</v>
      </c>
      <c r="E447" s="251">
        <v>44239.0</v>
      </c>
      <c r="F447" s="250" t="s">
        <v>545</v>
      </c>
      <c r="G447" s="171">
        <v>20.0</v>
      </c>
      <c r="H447" s="171">
        <v>15.0</v>
      </c>
      <c r="I447" s="171">
        <v>15.0</v>
      </c>
      <c r="J447" s="325">
        <f t="shared" si="2"/>
        <v>0.0006416516372</v>
      </c>
      <c r="K447" s="326">
        <f t="shared" si="24"/>
        <v>0.5240155037</v>
      </c>
      <c r="L447" s="327">
        <f t="shared" si="3"/>
        <v>0.5240155037</v>
      </c>
      <c r="M447" s="321" t="str">
        <f t="shared" si="14"/>
        <v>tonga2020</v>
      </c>
      <c r="N447" s="176">
        <f>IFERROR(__xludf.DUMMYFUNCTION("""COMPUTED_VALUE"""),1.0)</f>
        <v>1</v>
      </c>
      <c r="O447" s="176"/>
      <c r="P447" s="176"/>
      <c r="Q447" s="176"/>
      <c r="R447" s="176"/>
      <c r="S447" s="176"/>
      <c r="T447" s="176"/>
      <c r="U447" s="176"/>
      <c r="V447" s="176"/>
      <c r="W447" s="176"/>
      <c r="X447" s="176"/>
      <c r="Y447" s="176"/>
      <c r="Z447" s="176"/>
    </row>
    <row r="448">
      <c r="A448" s="249" t="s">
        <v>363</v>
      </c>
      <c r="B448" s="249" t="s">
        <v>5</v>
      </c>
      <c r="C448" s="329" t="s">
        <v>2654</v>
      </c>
      <c r="D448" s="268" t="s">
        <v>495</v>
      </c>
      <c r="E448" s="361">
        <v>44229.0</v>
      </c>
      <c r="F448" s="250" t="s">
        <v>496</v>
      </c>
      <c r="G448" s="171">
        <v>1.0</v>
      </c>
      <c r="H448" s="171">
        <v>20.0</v>
      </c>
      <c r="I448" s="171">
        <v>25.0</v>
      </c>
      <c r="J448" s="325">
        <f t="shared" si="2"/>
        <v>0.0006224473193</v>
      </c>
      <c r="K448" s="326">
        <f t="shared" si="24"/>
        <v>0.5083319774</v>
      </c>
      <c r="L448" s="327">
        <f t="shared" si="3"/>
        <v>0.5083319774</v>
      </c>
      <c r="M448" s="321" t="str">
        <f t="shared" si="14"/>
        <v>sanolution</v>
      </c>
      <c r="N448" s="176">
        <f>IFERROR(__xludf.DUMMYFUNCTION("""COMPUTED_VALUE"""),1.0)</f>
        <v>1</v>
      </c>
      <c r="O448" s="176"/>
      <c r="P448" s="176"/>
      <c r="Q448" s="176"/>
      <c r="R448" s="176"/>
      <c r="S448" s="176"/>
      <c r="T448" s="176"/>
      <c r="U448" s="176"/>
      <c r="V448" s="176"/>
      <c r="W448" s="176"/>
      <c r="X448" s="176"/>
      <c r="Y448" s="176"/>
      <c r="Z448" s="176"/>
    </row>
    <row r="449">
      <c r="A449" s="249" t="s">
        <v>119</v>
      </c>
      <c r="B449" s="249" t="s">
        <v>10</v>
      </c>
      <c r="C449" s="329" t="s">
        <v>2498</v>
      </c>
      <c r="D449" s="268" t="s">
        <v>495</v>
      </c>
      <c r="E449" s="361">
        <v>44232.0</v>
      </c>
      <c r="F449" s="250" t="s">
        <v>545</v>
      </c>
      <c r="G449" s="171">
        <v>20.0</v>
      </c>
      <c r="H449" s="171">
        <v>10.0</v>
      </c>
      <c r="I449" s="171">
        <v>15.0</v>
      </c>
      <c r="J449" s="325">
        <f t="shared" si="2"/>
        <v>0.0005609218398</v>
      </c>
      <c r="K449" s="326">
        <f t="shared" si="24"/>
        <v>0.4580861692</v>
      </c>
      <c r="L449" s="327">
        <f t="shared" si="3"/>
        <v>0.4580861692</v>
      </c>
      <c r="M449" s="321" t="str">
        <f t="shared" si="14"/>
        <v>sergei_tran</v>
      </c>
      <c r="N449" s="176">
        <f>IFERROR(__xludf.DUMMYFUNCTION("""COMPUTED_VALUE"""),1.0)</f>
        <v>1</v>
      </c>
      <c r="O449" s="176"/>
      <c r="P449" s="176"/>
      <c r="Q449" s="176"/>
      <c r="R449" s="176"/>
      <c r="S449" s="176"/>
      <c r="T449" s="176"/>
      <c r="U449" s="176"/>
      <c r="V449" s="176"/>
      <c r="W449" s="176"/>
      <c r="X449" s="176"/>
      <c r="Y449" s="176"/>
      <c r="Z449" s="176"/>
    </row>
    <row r="450">
      <c r="A450" s="249" t="s">
        <v>312</v>
      </c>
      <c r="B450" s="249" t="s">
        <v>10</v>
      </c>
      <c r="C450" s="329" t="s">
        <v>2530</v>
      </c>
      <c r="D450" s="268" t="s">
        <v>495</v>
      </c>
      <c r="E450" s="251">
        <v>44239.0</v>
      </c>
      <c r="F450" s="250" t="s">
        <v>499</v>
      </c>
      <c r="G450" s="171">
        <v>10.0</v>
      </c>
      <c r="H450" s="171">
        <v>15.0</v>
      </c>
      <c r="I450" s="171">
        <v>15.0</v>
      </c>
      <c r="J450" s="325">
        <f t="shared" si="2"/>
        <v>0.0005283808294</v>
      </c>
      <c r="K450" s="326">
        <f t="shared" si="24"/>
        <v>0.4315110107</v>
      </c>
      <c r="L450" s="327">
        <f t="shared" si="3"/>
        <v>0.4315110107</v>
      </c>
      <c r="M450" s="321" t="str">
        <f t="shared" si="14"/>
        <v>wunluv</v>
      </c>
      <c r="N450" s="176">
        <f>IFERROR(__xludf.DUMMYFUNCTION("""COMPUTED_VALUE"""),1.0)</f>
        <v>1</v>
      </c>
      <c r="O450" s="176"/>
      <c r="P450" s="176"/>
      <c r="Q450" s="176"/>
      <c r="R450" s="176"/>
      <c r="S450" s="176"/>
      <c r="T450" s="176"/>
      <c r="U450" s="176"/>
      <c r="V450" s="176"/>
      <c r="W450" s="176"/>
      <c r="X450" s="176"/>
      <c r="Y450" s="176"/>
      <c r="Z450" s="176"/>
    </row>
    <row r="451">
      <c r="A451" s="249" t="s">
        <v>189</v>
      </c>
      <c r="B451" s="249" t="s">
        <v>10</v>
      </c>
      <c r="C451" s="329" t="s">
        <v>2530</v>
      </c>
      <c r="D451" s="268" t="s">
        <v>495</v>
      </c>
      <c r="E451" s="251">
        <v>44239.0</v>
      </c>
      <c r="F451" s="250" t="s">
        <v>499</v>
      </c>
      <c r="G451" s="171">
        <v>10.0</v>
      </c>
      <c r="H451" s="171">
        <v>15.0</v>
      </c>
      <c r="I451" s="171">
        <v>15.0</v>
      </c>
      <c r="J451" s="325">
        <f t="shared" si="2"/>
        <v>0.0005283808294</v>
      </c>
      <c r="K451" s="326">
        <f t="shared" si="24"/>
        <v>0.4315110107</v>
      </c>
      <c r="L451" s="327">
        <f t="shared" si="3"/>
        <v>0.4315110107</v>
      </c>
      <c r="M451" s="321" t="str">
        <f t="shared" si="14"/>
        <v>smokyish</v>
      </c>
      <c r="N451" s="176">
        <f>IFERROR(__xludf.DUMMYFUNCTION("""COMPUTED_VALUE"""),1.0)</f>
        <v>1</v>
      </c>
      <c r="O451" s="176"/>
      <c r="P451" s="176"/>
      <c r="Q451" s="176"/>
      <c r="R451" s="176"/>
      <c r="S451" s="176"/>
      <c r="T451" s="176"/>
      <c r="U451" s="176"/>
      <c r="V451" s="176"/>
      <c r="W451" s="176"/>
      <c r="X451" s="176"/>
      <c r="Y451" s="176"/>
      <c r="Z451" s="176"/>
    </row>
    <row r="452">
      <c r="A452" s="249" t="s">
        <v>365</v>
      </c>
      <c r="B452" s="249" t="s">
        <v>10</v>
      </c>
      <c r="C452" s="329" t="s">
        <v>2655</v>
      </c>
      <c r="D452" s="268" t="s">
        <v>495</v>
      </c>
      <c r="E452" s="251">
        <v>44239.0</v>
      </c>
      <c r="F452" s="250" t="s">
        <v>499</v>
      </c>
      <c r="G452" s="171">
        <v>10.0</v>
      </c>
      <c r="H452" s="171">
        <v>15.0</v>
      </c>
      <c r="I452" s="171">
        <v>15.0</v>
      </c>
      <c r="J452" s="325">
        <f t="shared" si="2"/>
        <v>0.0005283808294</v>
      </c>
      <c r="K452" s="326">
        <f t="shared" si="24"/>
        <v>0.4315110107</v>
      </c>
      <c r="L452" s="327">
        <f t="shared" si="3"/>
        <v>0.4315110107</v>
      </c>
      <c r="M452" s="321" t="str">
        <f t="shared" si="14"/>
        <v>matiasbd</v>
      </c>
      <c r="N452" s="176">
        <f>IFERROR(__xludf.DUMMYFUNCTION("""COMPUTED_VALUE"""),1.0)</f>
        <v>1</v>
      </c>
      <c r="O452" s="176"/>
      <c r="P452" s="176"/>
      <c r="Q452" s="176"/>
      <c r="R452" s="176"/>
      <c r="S452" s="176"/>
      <c r="T452" s="176"/>
      <c r="U452" s="176"/>
      <c r="V452" s="176"/>
      <c r="W452" s="176"/>
      <c r="X452" s="176"/>
      <c r="Y452" s="176"/>
      <c r="Z452" s="176"/>
    </row>
    <row r="453">
      <c r="A453" s="249" t="s">
        <v>78</v>
      </c>
      <c r="B453" s="249" t="s">
        <v>10</v>
      </c>
      <c r="C453" s="329" t="s">
        <v>2530</v>
      </c>
      <c r="D453" s="268" t="s">
        <v>495</v>
      </c>
      <c r="E453" s="251">
        <v>44239.0</v>
      </c>
      <c r="F453" s="250" t="s">
        <v>499</v>
      </c>
      <c r="G453" s="171">
        <v>10.0</v>
      </c>
      <c r="H453" s="171">
        <v>15.0</v>
      </c>
      <c r="I453" s="171">
        <v>15.0</v>
      </c>
      <c r="J453" s="325">
        <f t="shared" si="2"/>
        <v>0.0005283808294</v>
      </c>
      <c r="K453" s="326">
        <f t="shared" si="24"/>
        <v>0.4315110107</v>
      </c>
      <c r="L453" s="327">
        <f t="shared" si="3"/>
        <v>0.4315110107</v>
      </c>
      <c r="M453" s="321" t="str">
        <f t="shared" si="14"/>
        <v>jonathanbsci</v>
      </c>
      <c r="N453" s="176">
        <f>IFERROR(__xludf.DUMMYFUNCTION("""COMPUTED_VALUE"""),1.0)</f>
        <v>1</v>
      </c>
      <c r="O453" s="176"/>
      <c r="P453" s="176"/>
      <c r="Q453" s="176"/>
      <c r="R453" s="176"/>
      <c r="S453" s="176"/>
      <c r="T453" s="176"/>
      <c r="U453" s="176"/>
      <c r="V453" s="176"/>
      <c r="W453" s="176"/>
      <c r="X453" s="176"/>
      <c r="Y453" s="176"/>
      <c r="Z453" s="176"/>
    </row>
    <row r="454">
      <c r="A454" s="249" t="s">
        <v>206</v>
      </c>
      <c r="B454" s="249" t="s">
        <v>10</v>
      </c>
      <c r="C454" s="329" t="s">
        <v>2655</v>
      </c>
      <c r="D454" s="268" t="s">
        <v>495</v>
      </c>
      <c r="E454" s="251">
        <v>44239.0</v>
      </c>
      <c r="F454" s="250" t="s">
        <v>499</v>
      </c>
      <c r="G454" s="171">
        <v>10.0</v>
      </c>
      <c r="H454" s="171">
        <v>15.0</v>
      </c>
      <c r="I454" s="171">
        <v>15.0</v>
      </c>
      <c r="J454" s="325">
        <f t="shared" si="2"/>
        <v>0.0005283808294</v>
      </c>
      <c r="K454" s="326">
        <f t="shared" si="24"/>
        <v>0.4315110107</v>
      </c>
      <c r="L454" s="327">
        <f t="shared" si="3"/>
        <v>0.4315110107</v>
      </c>
      <c r="M454" s="321" t="str">
        <f t="shared" si="14"/>
        <v>cemfd</v>
      </c>
      <c r="N454" s="176">
        <f>IFERROR(__xludf.DUMMYFUNCTION("""COMPUTED_VALUE"""),1.0)</f>
        <v>1</v>
      </c>
      <c r="O454" s="176"/>
      <c r="P454" s="176"/>
      <c r="Q454" s="176"/>
      <c r="R454" s="176"/>
      <c r="S454" s="176"/>
      <c r="T454" s="176"/>
      <c r="U454" s="176"/>
      <c r="V454" s="176"/>
      <c r="W454" s="176"/>
      <c r="X454" s="176"/>
      <c r="Y454" s="176"/>
      <c r="Z454" s="176"/>
    </row>
    <row r="455">
      <c r="A455" s="249" t="s">
        <v>223</v>
      </c>
      <c r="B455" s="249" t="s">
        <v>10</v>
      </c>
      <c r="C455" s="329" t="s">
        <v>2531</v>
      </c>
      <c r="D455" s="268" t="s">
        <v>495</v>
      </c>
      <c r="E455" s="361">
        <v>44232.0</v>
      </c>
      <c r="F455" s="250" t="s">
        <v>499</v>
      </c>
      <c r="G455" s="171">
        <v>10.0</v>
      </c>
      <c r="H455" s="171">
        <v>10.0</v>
      </c>
      <c r="I455" s="171">
        <v>15.0</v>
      </c>
      <c r="J455" s="325">
        <f t="shared" si="2"/>
        <v>0.000447651032</v>
      </c>
      <c r="K455" s="326">
        <f t="shared" si="24"/>
        <v>0.3655816761</v>
      </c>
      <c r="L455" s="327">
        <f t="shared" si="3"/>
        <v>0.3655816761</v>
      </c>
      <c r="M455" s="321" t="str">
        <f t="shared" si="14"/>
        <v>seedsalchemist</v>
      </c>
      <c r="N455" s="176">
        <f>IFERROR(__xludf.DUMMYFUNCTION("""COMPUTED_VALUE"""),1.0)</f>
        <v>1</v>
      </c>
      <c r="O455" s="176"/>
      <c r="P455" s="176"/>
      <c r="Q455" s="176"/>
      <c r="R455" s="176"/>
      <c r="S455" s="176"/>
      <c r="T455" s="176"/>
      <c r="U455" s="176"/>
      <c r="V455" s="176"/>
      <c r="W455" s="176"/>
      <c r="X455" s="176"/>
      <c r="Y455" s="176"/>
      <c r="Z455" s="176"/>
    </row>
    <row r="456">
      <c r="A456" s="249" t="s">
        <v>69</v>
      </c>
      <c r="B456" s="249" t="s">
        <v>10</v>
      </c>
      <c r="C456" s="329" t="s">
        <v>2531</v>
      </c>
      <c r="D456" s="268" t="s">
        <v>495</v>
      </c>
      <c r="E456" s="361">
        <v>44232.0</v>
      </c>
      <c r="F456" s="250" t="s">
        <v>499</v>
      </c>
      <c r="G456" s="171">
        <v>10.0</v>
      </c>
      <c r="H456" s="171">
        <v>10.0</v>
      </c>
      <c r="I456" s="171">
        <v>15.0</v>
      </c>
      <c r="J456" s="325">
        <f t="shared" si="2"/>
        <v>0.000447651032</v>
      </c>
      <c r="K456" s="326">
        <f t="shared" si="24"/>
        <v>0.3655816761</v>
      </c>
      <c r="L456" s="327">
        <f t="shared" si="3"/>
        <v>0.3655816761</v>
      </c>
      <c r="M456" s="321" t="str">
        <f t="shared" si="14"/>
        <v>owocki</v>
      </c>
      <c r="N456" s="176">
        <f>IFERROR(__xludf.DUMMYFUNCTION("""COMPUTED_VALUE"""),1.0)</f>
        <v>1</v>
      </c>
      <c r="O456" s="176"/>
      <c r="P456" s="176"/>
      <c r="Q456" s="176"/>
      <c r="R456" s="176"/>
      <c r="S456" s="176"/>
      <c r="T456" s="176"/>
      <c r="U456" s="176"/>
      <c r="V456" s="176"/>
      <c r="W456" s="176"/>
      <c r="X456" s="176"/>
      <c r="Y456" s="176"/>
      <c r="Z456" s="176"/>
    </row>
    <row r="457">
      <c r="A457" s="249" t="s">
        <v>144</v>
      </c>
      <c r="B457" s="249" t="s">
        <v>10</v>
      </c>
      <c r="C457" s="329" t="s">
        <v>2531</v>
      </c>
      <c r="D457" s="268" t="s">
        <v>495</v>
      </c>
      <c r="E457" s="361">
        <v>44232.0</v>
      </c>
      <c r="F457" s="250" t="s">
        <v>499</v>
      </c>
      <c r="G457" s="171">
        <v>10.0</v>
      </c>
      <c r="H457" s="171">
        <v>10.0</v>
      </c>
      <c r="I457" s="171">
        <v>15.0</v>
      </c>
      <c r="J457" s="325">
        <f t="shared" si="2"/>
        <v>0.000447651032</v>
      </c>
      <c r="K457" s="326">
        <f t="shared" si="24"/>
        <v>0.3655816761</v>
      </c>
      <c r="L457" s="327">
        <f t="shared" si="3"/>
        <v>0.3655816761</v>
      </c>
      <c r="M457" s="321" t="str">
        <f t="shared" si="14"/>
        <v>cpt_grog</v>
      </c>
      <c r="N457" s="176">
        <f>IFERROR(__xludf.DUMMYFUNCTION("""COMPUTED_VALUE"""),1.0)</f>
        <v>1</v>
      </c>
      <c r="O457" s="176"/>
      <c r="P457" s="176"/>
      <c r="Q457" s="176"/>
      <c r="R457" s="176"/>
      <c r="S457" s="176"/>
      <c r="T457" s="176"/>
      <c r="U457" s="176"/>
      <c r="V457" s="176"/>
      <c r="W457" s="176"/>
      <c r="X457" s="176"/>
      <c r="Y457" s="176"/>
      <c r="Z457" s="176"/>
    </row>
    <row r="458">
      <c r="A458" s="249" t="s">
        <v>104</v>
      </c>
      <c r="B458" s="249" t="s">
        <v>10</v>
      </c>
      <c r="C458" s="329" t="s">
        <v>2531</v>
      </c>
      <c r="D458" s="268" t="s">
        <v>495</v>
      </c>
      <c r="E458" s="361">
        <v>44232.0</v>
      </c>
      <c r="F458" s="250" t="s">
        <v>499</v>
      </c>
      <c r="G458" s="171">
        <v>10.0</v>
      </c>
      <c r="H458" s="171">
        <v>10.0</v>
      </c>
      <c r="I458" s="171">
        <v>15.0</v>
      </c>
      <c r="J458" s="325">
        <f t="shared" si="2"/>
        <v>0.000447651032</v>
      </c>
      <c r="K458" s="326">
        <f t="shared" si="24"/>
        <v>0.3655816761</v>
      </c>
      <c r="L458" s="327">
        <f t="shared" si="3"/>
        <v>0.3655816761</v>
      </c>
      <c r="M458" s="321" t="str">
        <f t="shared" si="14"/>
        <v>coachb</v>
      </c>
      <c r="N458" s="176">
        <f>IFERROR(__xludf.DUMMYFUNCTION("""COMPUTED_VALUE"""),1.0)</f>
        <v>1</v>
      </c>
      <c r="O458" s="176"/>
      <c r="P458" s="176"/>
      <c r="Q458" s="176"/>
      <c r="R458" s="176"/>
      <c r="S458" s="176"/>
      <c r="T458" s="176"/>
      <c r="U458" s="176"/>
      <c r="V458" s="176"/>
      <c r="W458" s="176"/>
      <c r="X458" s="176"/>
      <c r="Y458" s="176"/>
      <c r="Z458" s="176"/>
    </row>
    <row r="459">
      <c r="A459" s="249" t="s">
        <v>41</v>
      </c>
      <c r="B459" s="249" t="s">
        <v>10</v>
      </c>
      <c r="C459" s="329" t="s">
        <v>2531</v>
      </c>
      <c r="D459" s="268" t="s">
        <v>495</v>
      </c>
      <c r="E459" s="361">
        <v>44232.0</v>
      </c>
      <c r="F459" s="250" t="s">
        <v>499</v>
      </c>
      <c r="G459" s="171">
        <v>10.0</v>
      </c>
      <c r="H459" s="171">
        <v>10.0</v>
      </c>
      <c r="I459" s="171">
        <v>15.0</v>
      </c>
      <c r="J459" s="325">
        <f t="shared" si="2"/>
        <v>0.000447651032</v>
      </c>
      <c r="K459" s="326">
        <f t="shared" si="24"/>
        <v>0.3655816761</v>
      </c>
      <c r="L459" s="327">
        <f t="shared" si="3"/>
        <v>0.3655816761</v>
      </c>
      <c r="M459" s="321" t="str">
        <f t="shared" si="14"/>
        <v>blairv</v>
      </c>
      <c r="N459" s="176">
        <f>IFERROR(__xludf.DUMMYFUNCTION("""COMPUTED_VALUE"""),1.0)</f>
        <v>1</v>
      </c>
      <c r="O459" s="176"/>
      <c r="P459" s="176"/>
      <c r="Q459" s="176"/>
      <c r="R459" s="176"/>
      <c r="S459" s="176"/>
      <c r="T459" s="176"/>
      <c r="U459" s="176"/>
      <c r="V459" s="176"/>
      <c r="W459" s="176"/>
      <c r="X459" s="176"/>
      <c r="Y459" s="176"/>
      <c r="Z459" s="176"/>
    </row>
    <row r="460">
      <c r="A460" s="249" t="s">
        <v>174</v>
      </c>
      <c r="B460" s="249" t="s">
        <v>868</v>
      </c>
      <c r="C460" s="329" t="s">
        <v>2656</v>
      </c>
      <c r="D460" s="268" t="s">
        <v>495</v>
      </c>
      <c r="E460" s="361">
        <v>44229.0</v>
      </c>
      <c r="F460" s="250" t="s">
        <v>496</v>
      </c>
      <c r="G460" s="171">
        <v>1.0</v>
      </c>
      <c r="H460" s="171">
        <v>5.0</v>
      </c>
      <c r="I460" s="171">
        <v>25.0</v>
      </c>
      <c r="J460" s="325">
        <f t="shared" si="2"/>
        <v>0.0003802579272</v>
      </c>
      <c r="K460" s="326">
        <f t="shared" si="24"/>
        <v>0.3105439739</v>
      </c>
      <c r="L460" s="327">
        <f t="shared" si="3"/>
        <v>0.3105439739</v>
      </c>
      <c r="M460" s="321" t="str">
        <f t="shared" si="14"/>
        <v>chanate91</v>
      </c>
      <c r="N460" s="176">
        <f>IFERROR(__xludf.DUMMYFUNCTION("""COMPUTED_VALUE"""),1.0)</f>
        <v>1</v>
      </c>
      <c r="O460" s="176"/>
      <c r="P460" s="176"/>
      <c r="Q460" s="176"/>
      <c r="R460" s="176"/>
      <c r="S460" s="176"/>
      <c r="T460" s="176"/>
      <c r="U460" s="176"/>
      <c r="V460" s="176"/>
      <c r="W460" s="176"/>
      <c r="X460" s="176"/>
      <c r="Y460" s="176"/>
      <c r="Z460" s="176"/>
    </row>
    <row r="461">
      <c r="A461" s="240" t="s">
        <v>85</v>
      </c>
      <c r="B461" s="240" t="s">
        <v>534</v>
      </c>
      <c r="C461" s="346" t="s">
        <v>2386</v>
      </c>
      <c r="D461" s="336"/>
      <c r="E461" s="255"/>
      <c r="F461" s="254"/>
      <c r="G461" s="222"/>
      <c r="H461" s="222"/>
      <c r="I461" s="222"/>
      <c r="J461" s="325">
        <f t="shared" si="2"/>
        <v>0</v>
      </c>
      <c r="K461" s="337"/>
      <c r="L461" s="327">
        <f t="shared" si="3"/>
        <v>0</v>
      </c>
      <c r="M461" s="321" t="str">
        <f t="shared" si="14"/>
        <v>vivszaid</v>
      </c>
      <c r="N461" s="209">
        <f>IFERROR(__xludf.DUMMYFUNCTION("""COMPUTED_VALUE"""),1.0)</f>
        <v>1</v>
      </c>
      <c r="O461" s="176"/>
      <c r="P461" s="176"/>
      <c r="Q461" s="176"/>
      <c r="R461" s="176">
        <v>14.130370493717818</v>
      </c>
      <c r="S461" s="176"/>
      <c r="T461" s="176"/>
      <c r="U461" s="176"/>
      <c r="V461" s="176"/>
      <c r="W461" s="176"/>
      <c r="X461" s="176"/>
      <c r="Y461" s="176"/>
      <c r="Z461" s="176"/>
    </row>
    <row r="462">
      <c r="A462" s="240" t="s">
        <v>118</v>
      </c>
      <c r="B462" s="240" t="s">
        <v>534</v>
      </c>
      <c r="C462" s="221" t="s">
        <v>2549</v>
      </c>
      <c r="D462" s="336"/>
      <c r="E462" s="255"/>
      <c r="F462" s="254"/>
      <c r="G462" s="222"/>
      <c r="H462" s="222"/>
      <c r="I462" s="222"/>
      <c r="J462" s="325">
        <f t="shared" si="2"/>
        <v>0</v>
      </c>
      <c r="K462" s="337"/>
      <c r="L462" s="327">
        <f t="shared" si="3"/>
        <v>0</v>
      </c>
      <c r="M462" s="321" t="str">
        <f t="shared" si="14"/>
        <v>katalenacaban</v>
      </c>
      <c r="N462" s="209">
        <f>IFERROR(__xludf.DUMMYFUNCTION("""COMPUTED_VALUE"""),1.0)</f>
        <v>1</v>
      </c>
      <c r="O462" s="209"/>
      <c r="P462" s="209"/>
      <c r="Q462" s="209"/>
      <c r="R462" s="209">
        <v>36.89669088595067</v>
      </c>
      <c r="S462" s="209"/>
      <c r="T462" s="209"/>
      <c r="U462" s="209"/>
      <c r="V462" s="209"/>
      <c r="W462" s="209"/>
      <c r="X462" s="209"/>
      <c r="Y462" s="176"/>
      <c r="Z462" s="176"/>
    </row>
    <row r="463">
      <c r="A463" s="362" t="s">
        <v>62</v>
      </c>
      <c r="B463" s="240" t="s">
        <v>534</v>
      </c>
      <c r="C463" s="346" t="s">
        <v>2386</v>
      </c>
      <c r="D463" s="336"/>
      <c r="E463" s="255"/>
      <c r="F463" s="254"/>
      <c r="G463" s="222"/>
      <c r="H463" s="222"/>
      <c r="I463" s="222"/>
      <c r="J463" s="325">
        <f t="shared" si="2"/>
        <v>0</v>
      </c>
      <c r="K463" s="337"/>
      <c r="L463" s="327">
        <f t="shared" si="3"/>
        <v>0</v>
      </c>
      <c r="M463" s="321" t="str">
        <f t="shared" si="14"/>
        <v>fiorebotta</v>
      </c>
      <c r="N463" s="209">
        <f>IFERROR(__xludf.DUMMYFUNCTION("""COMPUTED_VALUE"""),1.0)</f>
        <v>1</v>
      </c>
      <c r="O463" s="176"/>
      <c r="P463" s="176"/>
      <c r="Q463" s="176"/>
      <c r="R463" s="176">
        <v>11.125055275694283</v>
      </c>
      <c r="S463" s="176"/>
      <c r="T463" s="176"/>
      <c r="U463" s="176"/>
      <c r="V463" s="176"/>
      <c r="W463" s="176"/>
      <c r="X463" s="176"/>
      <c r="Y463" s="176"/>
      <c r="Z463" s="176"/>
    </row>
    <row r="464">
      <c r="A464" s="240" t="s">
        <v>55</v>
      </c>
      <c r="B464" s="240" t="s">
        <v>534</v>
      </c>
      <c r="C464" s="221" t="s">
        <v>688</v>
      </c>
      <c r="D464" s="336"/>
      <c r="E464" s="255"/>
      <c r="F464" s="254"/>
      <c r="G464" s="209"/>
      <c r="H464" s="222"/>
      <c r="I464" s="222"/>
      <c r="J464" s="325">
        <f t="shared" si="2"/>
        <v>0</v>
      </c>
      <c r="K464" s="337"/>
      <c r="L464" s="327">
        <f t="shared" si="3"/>
        <v>0</v>
      </c>
      <c r="M464" s="321" t="str">
        <f t="shared" si="14"/>
        <v>atacas</v>
      </c>
      <c r="N464" s="209">
        <f>IFERROR(__xludf.DUMMYFUNCTION("""COMPUTED_VALUE"""),1.0)</f>
        <v>1</v>
      </c>
      <c r="O464" s="176"/>
      <c r="P464" s="176"/>
      <c r="Q464" s="176"/>
      <c r="R464" s="176">
        <v>6.463920504925881</v>
      </c>
      <c r="S464" s="176"/>
      <c r="T464" s="176"/>
      <c r="U464" s="176"/>
      <c r="V464" s="176"/>
      <c r="W464" s="176"/>
      <c r="X464" s="176"/>
      <c r="Y464" s="176"/>
      <c r="Z464" s="176"/>
    </row>
    <row r="465">
      <c r="A465" s="362" t="s">
        <v>122</v>
      </c>
      <c r="B465" s="240" t="s">
        <v>534</v>
      </c>
      <c r="C465" s="346" t="s">
        <v>2452</v>
      </c>
      <c r="D465" s="336"/>
      <c r="E465" s="255"/>
      <c r="F465" s="254"/>
      <c r="G465" s="222"/>
      <c r="H465" s="222"/>
      <c r="I465" s="222"/>
      <c r="J465" s="325">
        <f t="shared" si="2"/>
        <v>0</v>
      </c>
      <c r="K465" s="337"/>
      <c r="L465" s="327">
        <f t="shared" si="3"/>
        <v>0</v>
      </c>
      <c r="M465" s="321" t="str">
        <f t="shared" si="14"/>
        <v>anthonyoliai</v>
      </c>
      <c r="N465" s="209">
        <f>IFERROR(__xludf.DUMMYFUNCTION("""COMPUTED_VALUE"""),1.0)</f>
        <v>1</v>
      </c>
      <c r="O465" s="176"/>
      <c r="P465" s="176"/>
      <c r="Q465" s="176"/>
      <c r="R465" s="176">
        <v>8.606119831199203</v>
      </c>
      <c r="S465" s="176"/>
      <c r="T465" s="176"/>
      <c r="U465" s="176"/>
      <c r="V465" s="176"/>
      <c r="W465" s="176"/>
      <c r="X465" s="176"/>
      <c r="Y465" s="176"/>
      <c r="Z465" s="176"/>
    </row>
    <row r="466">
      <c r="A466" s="240" t="s">
        <v>73</v>
      </c>
      <c r="B466" s="240" t="s">
        <v>534</v>
      </c>
      <c r="C466" s="221" t="s">
        <v>839</v>
      </c>
      <c r="D466" s="336"/>
      <c r="E466" s="255"/>
      <c r="F466" s="254"/>
      <c r="G466" s="222"/>
      <c r="H466" s="222"/>
      <c r="I466" s="222"/>
      <c r="J466" s="172">
        <f t="shared" si="2"/>
        <v>0</v>
      </c>
      <c r="K466" s="345"/>
      <c r="L466" s="327">
        <f t="shared" si="3"/>
        <v>0</v>
      </c>
      <c r="M466" s="321" t="str">
        <f t="shared" si="14"/>
        <v>aminlatifi</v>
      </c>
      <c r="N466" s="209">
        <f>IFERROR(__xludf.DUMMYFUNCTION("""COMPUTED_VALUE"""),1.0)</f>
        <v>1</v>
      </c>
      <c r="O466" s="209"/>
      <c r="P466" s="209"/>
      <c r="Q466" s="209"/>
      <c r="R466" s="209">
        <v>18.802169413641863</v>
      </c>
      <c r="S466" s="209"/>
      <c r="T466" s="209"/>
      <c r="U466" s="209"/>
      <c r="V466" s="209"/>
      <c r="W466" s="209"/>
      <c r="X466" s="209"/>
      <c r="Y466" s="176"/>
      <c r="Z466" s="176"/>
    </row>
  </sheetData>
  <autoFilter ref="$A$3:$Z$466">
    <sortState ref="A3:Z466">
      <sortCondition descending="1" ref="L3:L466"/>
      <sortCondition descending="1" ref="K3:K466"/>
      <sortCondition descending="1" ref="A3:A466"/>
    </sortState>
  </autoFilter>
  <hyperlinks>
    <hyperlink r:id="rId1" ref="C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2657</v>
      </c>
      <c r="B1" s="2">
        <f>sum(B3:B901)</f>
        <v>473.6485088</v>
      </c>
    </row>
    <row r="2">
      <c r="A2" s="246" t="s">
        <v>388</v>
      </c>
      <c r="B2" s="247" t="s">
        <v>2</v>
      </c>
    </row>
    <row r="3">
      <c r="A3" s="5" t="s">
        <v>3</v>
      </c>
      <c r="B3" s="6">
        <v>46.10215053763441</v>
      </c>
    </row>
    <row r="4">
      <c r="A4" s="5" t="s">
        <v>4</v>
      </c>
      <c r="B4" s="6">
        <v>38.536312310590624</v>
      </c>
    </row>
    <row r="5">
      <c r="A5" s="5" t="s">
        <v>12</v>
      </c>
      <c r="B5" s="6">
        <v>30.05617480044563</v>
      </c>
    </row>
    <row r="6">
      <c r="A6" s="5" t="s">
        <v>5</v>
      </c>
      <c r="B6" s="6">
        <v>27.972583975101003</v>
      </c>
    </row>
    <row r="7">
      <c r="A7" s="5" t="s">
        <v>10</v>
      </c>
      <c r="B7" s="6">
        <v>25.227720613994826</v>
      </c>
    </row>
    <row r="8">
      <c r="A8" s="5" t="s">
        <v>22</v>
      </c>
      <c r="B8" s="6">
        <v>19.663642449956384</v>
      </c>
    </row>
    <row r="9">
      <c r="A9" s="5" t="s">
        <v>7</v>
      </c>
      <c r="B9" s="6">
        <v>17.54998212465274</v>
      </c>
    </row>
    <row r="10">
      <c r="A10" s="5" t="s">
        <v>26</v>
      </c>
      <c r="B10" s="6">
        <v>16.947034561584147</v>
      </c>
    </row>
    <row r="11">
      <c r="A11" s="5" t="s">
        <v>11</v>
      </c>
      <c r="B11" s="6">
        <v>16.62078970651188</v>
      </c>
    </row>
    <row r="12">
      <c r="A12" s="5" t="s">
        <v>18</v>
      </c>
      <c r="B12" s="6">
        <v>14.4337942084897</v>
      </c>
    </row>
    <row r="13">
      <c r="A13" s="5" t="s">
        <v>9</v>
      </c>
      <c r="B13" s="6">
        <v>13.247016908650359</v>
      </c>
    </row>
    <row r="14">
      <c r="A14" s="5" t="s">
        <v>24</v>
      </c>
      <c r="B14" s="6">
        <v>12.424579826792609</v>
      </c>
    </row>
    <row r="15">
      <c r="A15" s="5" t="s">
        <v>35</v>
      </c>
      <c r="B15" s="6">
        <v>11.983537888775034</v>
      </c>
    </row>
    <row r="16">
      <c r="A16" s="5" t="s">
        <v>8</v>
      </c>
      <c r="B16" s="6">
        <v>11.936422493399109</v>
      </c>
    </row>
    <row r="17">
      <c r="A17" s="5" t="s">
        <v>16</v>
      </c>
      <c r="B17" s="6">
        <v>9.881107706390907</v>
      </c>
    </row>
    <row r="18">
      <c r="A18" s="5" t="s">
        <v>25</v>
      </c>
      <c r="B18" s="6">
        <v>7.5737815412186436</v>
      </c>
    </row>
    <row r="19">
      <c r="A19" s="5" t="s">
        <v>27</v>
      </c>
      <c r="B19" s="6">
        <v>7.491718960009978</v>
      </c>
    </row>
    <row r="20">
      <c r="A20" s="5" t="s">
        <v>49</v>
      </c>
      <c r="B20" s="6">
        <v>7.408437505456476</v>
      </c>
    </row>
    <row r="21">
      <c r="A21" s="5" t="s">
        <v>43</v>
      </c>
      <c r="B21" s="6">
        <v>6.968108791791927</v>
      </c>
    </row>
    <row r="22">
      <c r="A22" s="5" t="s">
        <v>14</v>
      </c>
      <c r="B22" s="6">
        <v>6.787617026754653</v>
      </c>
    </row>
    <row r="23">
      <c r="A23" s="5" t="s">
        <v>15</v>
      </c>
      <c r="B23" s="6">
        <v>6.585860035842295</v>
      </c>
    </row>
    <row r="24">
      <c r="A24" s="5" t="s">
        <v>58</v>
      </c>
      <c r="B24" s="6">
        <v>6.371544332458396</v>
      </c>
    </row>
    <row r="25">
      <c r="A25" s="5" t="s">
        <v>59</v>
      </c>
      <c r="B25" s="6">
        <v>6.28347613553912</v>
      </c>
    </row>
    <row r="26">
      <c r="A26" s="5" t="s">
        <v>28</v>
      </c>
      <c r="B26" s="6">
        <v>6.262961603560754</v>
      </c>
    </row>
    <row r="27">
      <c r="A27" s="5" t="s">
        <v>21</v>
      </c>
      <c r="B27" s="6">
        <v>5.892336424607018</v>
      </c>
    </row>
    <row r="28">
      <c r="A28" s="5" t="s">
        <v>50</v>
      </c>
      <c r="B28" s="6">
        <v>5.15585645890847</v>
      </c>
    </row>
    <row r="29">
      <c r="A29" s="5" t="s">
        <v>33</v>
      </c>
      <c r="B29" s="6">
        <v>5.155674751260101</v>
      </c>
    </row>
    <row r="30">
      <c r="A30" s="5" t="s">
        <v>38</v>
      </c>
      <c r="B30" s="6">
        <v>4.837210814295984</v>
      </c>
    </row>
    <row r="31">
      <c r="A31" s="5" t="s">
        <v>57</v>
      </c>
      <c r="B31" s="6">
        <v>4.798777626394885</v>
      </c>
    </row>
    <row r="32">
      <c r="A32" s="5" t="s">
        <v>13</v>
      </c>
      <c r="B32" s="6">
        <v>3.882838230173676</v>
      </c>
    </row>
    <row r="33">
      <c r="A33" s="5" t="s">
        <v>6</v>
      </c>
      <c r="B33" s="6">
        <v>3.3965979936589505</v>
      </c>
    </row>
    <row r="34">
      <c r="A34" s="5" t="s">
        <v>68</v>
      </c>
      <c r="B34" s="6">
        <v>3.1850883812418234</v>
      </c>
    </row>
    <row r="35">
      <c r="A35" s="5" t="s">
        <v>129</v>
      </c>
      <c r="B35" s="6">
        <v>3.1850883812418234</v>
      </c>
    </row>
    <row r="36">
      <c r="A36" s="5" t="s">
        <v>30</v>
      </c>
      <c r="B36" s="6">
        <v>3.1011799159922973</v>
      </c>
    </row>
    <row r="37">
      <c r="A37" s="5" t="s">
        <v>23</v>
      </c>
      <c r="B37" s="6">
        <v>3.0470154266208462</v>
      </c>
    </row>
    <row r="38">
      <c r="A38" s="5" t="s">
        <v>109</v>
      </c>
      <c r="B38" s="6">
        <v>3.0000793950973543</v>
      </c>
    </row>
    <row r="39">
      <c r="A39" s="5" t="s">
        <v>100</v>
      </c>
      <c r="B39" s="6">
        <v>2.9668026982455538</v>
      </c>
    </row>
    <row r="40">
      <c r="A40" s="5" t="s">
        <v>175</v>
      </c>
      <c r="B40" s="6">
        <v>2.9668026982455538</v>
      </c>
    </row>
    <row r="41">
      <c r="A41" s="5" t="s">
        <v>63</v>
      </c>
      <c r="B41" s="6">
        <v>2.594884667470268</v>
      </c>
    </row>
    <row r="42">
      <c r="A42" s="5" t="s">
        <v>91</v>
      </c>
      <c r="B42" s="6">
        <v>2.5352916875953975</v>
      </c>
    </row>
    <row r="43">
      <c r="A43" s="5" t="s">
        <v>105</v>
      </c>
      <c r="B43" s="6">
        <v>2.3811573496736393</v>
      </c>
    </row>
    <row r="44">
      <c r="A44" s="5" t="s">
        <v>61</v>
      </c>
      <c r="B44" s="6">
        <v>2.072727260944884</v>
      </c>
    </row>
    <row r="45">
      <c r="A45" s="5" t="s">
        <v>135</v>
      </c>
      <c r="B45" s="6">
        <v>2.063272570738882</v>
      </c>
    </row>
    <row r="46">
      <c r="A46" s="5" t="s">
        <v>66</v>
      </c>
      <c r="B46" s="6">
        <v>1.9674857117639286</v>
      </c>
    </row>
    <row r="47">
      <c r="A47" s="5" t="s">
        <v>40</v>
      </c>
      <c r="B47" s="6">
        <v>1.9674857117639286</v>
      </c>
    </row>
    <row r="48">
      <c r="A48" s="5" t="s">
        <v>185</v>
      </c>
      <c r="B48" s="6">
        <v>1.6019040356279493</v>
      </c>
    </row>
    <row r="49">
      <c r="A49" s="5" t="s">
        <v>34</v>
      </c>
      <c r="B49" s="6">
        <v>1.452830053048575</v>
      </c>
    </row>
    <row r="50">
      <c r="A50" s="5" t="s">
        <v>52</v>
      </c>
      <c r="B50" s="6">
        <v>1.452830053048575</v>
      </c>
    </row>
    <row r="51">
      <c r="A51" s="5" t="s">
        <v>54</v>
      </c>
      <c r="B51" s="6">
        <v>1.413612683580761</v>
      </c>
    </row>
    <row r="52">
      <c r="A52" s="5" t="s">
        <v>268</v>
      </c>
      <c r="B52" s="6">
        <v>1.3603255599763406</v>
      </c>
    </row>
    <row r="53">
      <c r="A53" s="5" t="s">
        <v>29</v>
      </c>
      <c r="B53" s="6">
        <v>1.3211081905085265</v>
      </c>
    </row>
    <row r="54">
      <c r="A54" s="5" t="s">
        <v>108</v>
      </c>
      <c r="B54" s="6">
        <v>1.3211081905085265</v>
      </c>
    </row>
    <row r="55">
      <c r="A55" s="5" t="s">
        <v>150</v>
      </c>
      <c r="B55" s="6">
        <v>1.170393024977793</v>
      </c>
    </row>
    <row r="56">
      <c r="A56" s="5" t="s">
        <v>127</v>
      </c>
      <c r="B56" s="6">
        <v>1.170393024977793</v>
      </c>
    </row>
    <row r="57">
      <c r="A57" s="5" t="s">
        <v>259</v>
      </c>
      <c r="B57" s="6">
        <v>0.9853840388333237</v>
      </c>
    </row>
    <row r="58">
      <c r="A58" s="5" t="s">
        <v>137</v>
      </c>
      <c r="B58" s="6">
        <v>0.9821016729306047</v>
      </c>
    </row>
    <row r="59">
      <c r="A59" s="5" t="s">
        <v>64</v>
      </c>
      <c r="B59" s="6">
        <v>0.9555265143725471</v>
      </c>
    </row>
    <row r="60">
      <c r="A60" s="5" t="s">
        <v>77</v>
      </c>
      <c r="B60" s="6">
        <v>0.9555265143725471</v>
      </c>
    </row>
    <row r="61">
      <c r="A61" s="5" t="s">
        <v>151</v>
      </c>
      <c r="B61" s="6">
        <v>0.9555265143725471</v>
      </c>
    </row>
    <row r="62">
      <c r="A62" s="5" t="s">
        <v>65</v>
      </c>
      <c r="B62" s="6">
        <v>0.8895971798583702</v>
      </c>
    </row>
    <row r="63">
      <c r="A63" s="5" t="s">
        <v>131</v>
      </c>
      <c r="B63" s="6">
        <v>0.7970926867861357</v>
      </c>
    </row>
    <row r="64">
      <c r="A64" s="5" t="s">
        <v>149</v>
      </c>
      <c r="B64" s="6">
        <v>0.7970926867861357</v>
      </c>
    </row>
    <row r="65">
      <c r="A65" s="5" t="s">
        <v>154</v>
      </c>
      <c r="B65" s="6">
        <v>0.7970926867861357</v>
      </c>
    </row>
    <row r="66">
      <c r="A66" s="5" t="s">
        <v>86</v>
      </c>
      <c r="B66" s="6">
        <v>0.7970926867861357</v>
      </c>
    </row>
    <row r="67">
      <c r="A67" s="5" t="s">
        <v>250</v>
      </c>
      <c r="B67" s="6">
        <v>0.7970926867861357</v>
      </c>
    </row>
    <row r="68">
      <c r="A68" s="5" t="s">
        <v>114</v>
      </c>
      <c r="B68" s="6">
        <v>0.7970926867861357</v>
      </c>
    </row>
    <row r="69">
      <c r="A69" s="5" t="s">
        <v>164</v>
      </c>
      <c r="B69" s="6">
        <v>0.6213341499488901</v>
      </c>
    </row>
    <row r="70">
      <c r="A70" s="5" t="s">
        <v>17</v>
      </c>
      <c r="B70" s="6">
        <v>0.5240155037223908</v>
      </c>
    </row>
    <row r="71">
      <c r="A71" s="5" t="s">
        <v>363</v>
      </c>
      <c r="B71" s="6">
        <v>0.5083319774229161</v>
      </c>
    </row>
    <row r="72">
      <c r="A72" s="5" t="s">
        <v>119</v>
      </c>
      <c r="B72" s="6">
        <v>0.45808616920821393</v>
      </c>
    </row>
    <row r="73">
      <c r="A73" s="5" t="s">
        <v>312</v>
      </c>
      <c r="B73" s="6">
        <v>0.4315110106501563</v>
      </c>
    </row>
    <row r="74">
      <c r="A74" s="5" t="s">
        <v>189</v>
      </c>
      <c r="B74" s="6">
        <v>0.4315110106501563</v>
      </c>
    </row>
    <row r="75">
      <c r="A75" s="5" t="s">
        <v>365</v>
      </c>
      <c r="B75" s="6">
        <v>0.4315110106501563</v>
      </c>
    </row>
    <row r="76">
      <c r="A76" s="5" t="s">
        <v>78</v>
      </c>
      <c r="B76" s="6">
        <v>0.4315110106501563</v>
      </c>
    </row>
    <row r="77">
      <c r="A77" s="5" t="s">
        <v>206</v>
      </c>
      <c r="B77" s="6">
        <v>0.4315110106501563</v>
      </c>
    </row>
    <row r="78">
      <c r="A78" s="5" t="s">
        <v>223</v>
      </c>
      <c r="B78" s="6">
        <v>0.36558167613597936</v>
      </c>
    </row>
    <row r="79">
      <c r="A79" s="5" t="s">
        <v>69</v>
      </c>
      <c r="B79" s="6">
        <v>0.36558167613597936</v>
      </c>
    </row>
    <row r="80">
      <c r="A80" s="5" t="s">
        <v>144</v>
      </c>
      <c r="B80" s="6">
        <v>0.36558167613597936</v>
      </c>
    </row>
    <row r="81">
      <c r="A81" s="5" t="s">
        <v>104</v>
      </c>
      <c r="B81" s="6">
        <v>0.36558167613597936</v>
      </c>
    </row>
    <row r="82">
      <c r="A82" s="5" t="s">
        <v>41</v>
      </c>
      <c r="B82" s="6">
        <v>0.36558167613597936</v>
      </c>
    </row>
    <row r="83">
      <c r="A83" s="5" t="s">
        <v>174</v>
      </c>
      <c r="B83" s="6">
        <v>0.31054397388038546</v>
      </c>
    </row>
    <row r="84">
      <c r="A84" s="5"/>
      <c r="B84" s="247"/>
    </row>
    <row r="85">
      <c r="A85" s="5"/>
      <c r="B85" s="247"/>
    </row>
    <row r="86">
      <c r="A86" s="5"/>
      <c r="B86" s="247"/>
    </row>
    <row r="87">
      <c r="A87" s="5"/>
      <c r="B87" s="247"/>
    </row>
    <row r="88">
      <c r="A88" s="5"/>
      <c r="B88" s="247"/>
    </row>
    <row r="89">
      <c r="A89" s="5"/>
      <c r="B89" s="247"/>
    </row>
    <row r="90">
      <c r="A90" s="5"/>
      <c r="B90" s="247"/>
    </row>
    <row r="91">
      <c r="A91" s="5"/>
      <c r="B91" s="247"/>
    </row>
    <row r="92">
      <c r="A92" s="5"/>
      <c r="B92" s="247"/>
    </row>
    <row r="93">
      <c r="A93" s="5"/>
      <c r="B93" s="247"/>
    </row>
    <row r="94">
      <c r="A94" s="5"/>
      <c r="B94" s="6"/>
    </row>
    <row r="95">
      <c r="A95" s="5"/>
      <c r="B95" s="6"/>
    </row>
    <row r="96">
      <c r="A96" s="5"/>
      <c r="B96" s="6"/>
    </row>
    <row r="97">
      <c r="A97" s="5"/>
      <c r="B97" s="6"/>
    </row>
    <row r="98">
      <c r="A98" s="5"/>
      <c r="B98" s="6"/>
    </row>
    <row r="99">
      <c r="A99" s="5"/>
      <c r="B99" s="6"/>
    </row>
    <row r="100">
      <c r="A100" s="5"/>
      <c r="B100" s="6"/>
    </row>
    <row r="101">
      <c r="A101" s="5"/>
      <c r="B101" s="6"/>
    </row>
    <row r="102">
      <c r="A102" s="5"/>
      <c r="B102" s="6"/>
    </row>
    <row r="103">
      <c r="A103" s="5"/>
      <c r="B103" s="6"/>
    </row>
    <row r="104">
      <c r="A104" s="5"/>
      <c r="B104" s="6"/>
    </row>
    <row r="105">
      <c r="A105" s="5"/>
      <c r="B105" s="6"/>
    </row>
    <row r="106">
      <c r="A106" s="5"/>
      <c r="B106" s="6"/>
    </row>
    <row r="107">
      <c r="A107" s="5"/>
      <c r="B107" s="6"/>
    </row>
    <row r="108">
      <c r="A108" s="5"/>
      <c r="B108" s="6"/>
    </row>
    <row r="109">
      <c r="A109" s="5"/>
      <c r="B109" s="6"/>
    </row>
    <row r="110">
      <c r="A110" s="5"/>
      <c r="B110" s="6"/>
    </row>
    <row r="111">
      <c r="A111" s="5"/>
      <c r="B111" s="6"/>
    </row>
    <row r="112">
      <c r="A112" s="5"/>
      <c r="B112" s="6"/>
    </row>
    <row r="113">
      <c r="A113" s="5"/>
      <c r="B113" s="6"/>
    </row>
    <row r="114">
      <c r="A114" s="5"/>
      <c r="B114" s="6"/>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122">
    <sortState ref="A2:U122">
      <sortCondition descending="1" ref="B2:B122"/>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33"/>
      <c r="B1" s="359"/>
      <c r="C1" s="360"/>
      <c r="D1" s="136"/>
      <c r="E1" s="323"/>
      <c r="F1" s="138" t="s">
        <v>416</v>
      </c>
      <c r="G1" s="139">
        <v>1200.0</v>
      </c>
      <c r="H1" s="139">
        <v>800.0</v>
      </c>
      <c r="I1" s="139">
        <v>800.0</v>
      </c>
      <c r="J1" s="140">
        <f>AVERAGE(G1:I1)</f>
        <v>933.3333333</v>
      </c>
      <c r="K1" s="141" t="s">
        <v>417</v>
      </c>
      <c r="L1" s="142">
        <f>countif(J4:J1066, "&gt;0.000001")</f>
        <v>462</v>
      </c>
      <c r="M1" s="141" t="s">
        <v>418</v>
      </c>
      <c r="N1" s="143">
        <v>1.981599434</v>
      </c>
      <c r="O1" s="144" t="s">
        <v>419</v>
      </c>
      <c r="P1" s="145"/>
      <c r="Q1" s="145"/>
      <c r="R1" s="145"/>
      <c r="S1" s="145"/>
      <c r="T1" s="145"/>
      <c r="U1" s="145"/>
    </row>
    <row r="2">
      <c r="A2" s="146"/>
      <c r="B2" s="134" t="s">
        <v>2487</v>
      </c>
      <c r="C2" s="234" t="s">
        <v>421</v>
      </c>
      <c r="D2" s="148"/>
      <c r="E2" s="323"/>
      <c r="F2" s="149" t="s">
        <v>422</v>
      </c>
      <c r="G2" s="139">
        <f t="shared" ref="G2:K2" si="1">sum(G4:G579)</f>
        <v>4296260</v>
      </c>
      <c r="H2" s="139">
        <f t="shared" si="1"/>
        <v>17820</v>
      </c>
      <c r="I2" s="139">
        <f t="shared" si="1"/>
        <v>32275</v>
      </c>
      <c r="J2" s="150">
        <f t="shared" si="1"/>
        <v>1</v>
      </c>
      <c r="K2" s="151">
        <f t="shared" si="1"/>
        <v>540.9730392</v>
      </c>
      <c r="L2" s="152" t="s">
        <v>416</v>
      </c>
      <c r="M2" s="153"/>
      <c r="N2" s="153" t="s">
        <v>423</v>
      </c>
      <c r="O2" s="145"/>
      <c r="P2" s="145"/>
      <c r="Q2" s="145"/>
      <c r="R2" s="145"/>
      <c r="S2" s="145"/>
      <c r="T2" s="145"/>
      <c r="U2" s="145"/>
    </row>
    <row r="3">
      <c r="A3" s="154" t="s">
        <v>424</v>
      </c>
      <c r="B3" s="154" t="s">
        <v>425</v>
      </c>
      <c r="C3" s="235" t="s">
        <v>426</v>
      </c>
      <c r="D3" s="156"/>
      <c r="E3" s="324" t="s">
        <v>427</v>
      </c>
      <c r="F3" s="158" t="s">
        <v>428</v>
      </c>
      <c r="G3" s="159" t="s">
        <v>2658</v>
      </c>
      <c r="H3" s="159" t="s">
        <v>1580</v>
      </c>
      <c r="I3" s="159" t="s">
        <v>2180</v>
      </c>
      <c r="J3" s="160" t="s">
        <v>432</v>
      </c>
      <c r="K3" s="161" t="s">
        <v>433</v>
      </c>
      <c r="L3" s="162" t="s">
        <v>434</v>
      </c>
      <c r="M3" s="161"/>
      <c r="N3" s="163">
        <f>IFERROR(__xludf.DUMMYFUNCTION("query(iferror(sort({row(A3:A579)-row(A3)+2-match(sort(A3:A579),sort(A3:A579),0),SORT(ROW(A3:A579)+2-row(A3)+2,A3:A579,1)},2,1),),""Select Col1"")"),1.0)</f>
        <v>1</v>
      </c>
      <c r="O3" s="163"/>
      <c r="P3" s="164"/>
      <c r="Q3" s="164"/>
      <c r="R3" s="164"/>
      <c r="S3" s="164"/>
      <c r="T3" s="164"/>
      <c r="U3" s="164"/>
      <c r="V3" s="164"/>
      <c r="W3" s="164"/>
      <c r="X3" s="164"/>
      <c r="Y3" s="164"/>
      <c r="Z3" s="164"/>
    </row>
    <row r="4">
      <c r="A4" s="249" t="s">
        <v>3</v>
      </c>
      <c r="B4" s="249" t="s">
        <v>519</v>
      </c>
      <c r="C4" s="219" t="s">
        <v>2659</v>
      </c>
      <c r="D4" s="268" t="s">
        <v>495</v>
      </c>
      <c r="E4" s="251">
        <v>44217.0</v>
      </c>
      <c r="F4" s="250" t="s">
        <v>496</v>
      </c>
      <c r="G4" s="171">
        <v>125000.0</v>
      </c>
      <c r="H4" s="171">
        <v>200.0</v>
      </c>
      <c r="I4" s="171">
        <v>100.0</v>
      </c>
      <c r="J4" s="325">
        <f t="shared" ref="J4:J182" si="2">(G4/$G$2+H4/$H$2+I4/$I$2)/3</f>
        <v>0.01447226377</v>
      </c>
      <c r="K4" s="326">
        <f t="shared" ref="K4:K62" si="3">J4*$J$1</f>
        <v>13.50744618</v>
      </c>
      <c r="L4" s="327">
        <f t="shared" ref="L4:L184" si="4">dsum($A$3:$K579,"IH per Praise",{$A$3;A4})</f>
        <v>59.96553876</v>
      </c>
      <c r="M4" s="321" t="str">
        <f t="shared" ref="M4:M184" si="5">A4</f>
        <v>zeptimusq</v>
      </c>
      <c r="N4" s="176">
        <f>IFERROR(__xludf.DUMMYFUNCTION("""COMPUTED_VALUE"""),1.0)</f>
        <v>1</v>
      </c>
      <c r="O4" s="176"/>
      <c r="P4" s="176"/>
      <c r="Q4" s="176"/>
      <c r="R4" s="176"/>
      <c r="S4" s="176"/>
      <c r="T4" s="176"/>
      <c r="U4" s="176"/>
      <c r="V4" s="176"/>
      <c r="W4" s="176"/>
      <c r="X4" s="176"/>
      <c r="Y4" s="176"/>
      <c r="Z4" s="176"/>
    </row>
    <row r="5">
      <c r="A5" s="249" t="s">
        <v>3</v>
      </c>
      <c r="B5" s="249" t="s">
        <v>10</v>
      </c>
      <c r="C5" s="219" t="s">
        <v>2660</v>
      </c>
      <c r="D5" s="268" t="s">
        <v>495</v>
      </c>
      <c r="E5" s="251">
        <v>44218.0</v>
      </c>
      <c r="F5" s="250" t="s">
        <v>496</v>
      </c>
      <c r="G5" s="171">
        <v>20000.0</v>
      </c>
      <c r="H5" s="171">
        <v>100.0</v>
      </c>
      <c r="I5" s="171">
        <v>100.0</v>
      </c>
      <c r="J5" s="325">
        <f t="shared" si="2"/>
        <v>0.004455085792</v>
      </c>
      <c r="K5" s="326">
        <f t="shared" si="3"/>
        <v>4.158080072</v>
      </c>
      <c r="L5" s="327">
        <f t="shared" si="4"/>
        <v>59.96553876</v>
      </c>
      <c r="M5" s="321" t="str">
        <f t="shared" si="5"/>
        <v>zeptimusq</v>
      </c>
      <c r="N5" s="176">
        <f>IFERROR(__xludf.DUMMYFUNCTION("""COMPUTED_VALUE"""),2.0)</f>
        <v>2</v>
      </c>
      <c r="O5" s="176"/>
      <c r="P5" s="176"/>
      <c r="Q5" s="176"/>
      <c r="R5" s="176"/>
      <c r="S5" s="176"/>
      <c r="T5" s="176"/>
      <c r="U5" s="176"/>
      <c r="V5" s="176"/>
      <c r="W5" s="176"/>
      <c r="X5" s="176"/>
      <c r="Y5" s="176"/>
      <c r="Z5" s="176"/>
    </row>
    <row r="6">
      <c r="A6" s="249" t="s">
        <v>3</v>
      </c>
      <c r="B6" s="249" t="s">
        <v>1228</v>
      </c>
      <c r="C6" s="219" t="s">
        <v>2661</v>
      </c>
      <c r="D6" s="268" t="s">
        <v>495</v>
      </c>
      <c r="E6" s="251">
        <v>44224.0</v>
      </c>
      <c r="F6" s="250" t="s">
        <v>496</v>
      </c>
      <c r="G6" s="171">
        <v>10000.0</v>
      </c>
      <c r="H6" s="171">
        <v>100.0</v>
      </c>
      <c r="I6" s="171">
        <v>150.0</v>
      </c>
      <c r="J6" s="325">
        <f t="shared" si="2"/>
        <v>0.004195612727</v>
      </c>
      <c r="K6" s="326">
        <f t="shared" si="3"/>
        <v>3.915905212</v>
      </c>
      <c r="L6" s="327">
        <f t="shared" si="4"/>
        <v>59.96553876</v>
      </c>
      <c r="M6" s="321" t="str">
        <f t="shared" si="5"/>
        <v>zeptimusq</v>
      </c>
      <c r="N6" s="176">
        <f>IFERROR(__xludf.DUMMYFUNCTION("""COMPUTED_VALUE"""),3.0)</f>
        <v>3</v>
      </c>
      <c r="O6" s="176"/>
      <c r="P6" s="176"/>
      <c r="Q6" s="176"/>
      <c r="R6" s="176"/>
      <c r="S6" s="176"/>
      <c r="T6" s="176"/>
      <c r="U6" s="176"/>
      <c r="V6" s="176"/>
      <c r="W6" s="176"/>
      <c r="X6" s="176"/>
      <c r="Y6" s="176"/>
      <c r="Z6" s="176"/>
    </row>
    <row r="7">
      <c r="A7" s="249" t="s">
        <v>3</v>
      </c>
      <c r="B7" s="249" t="s">
        <v>1228</v>
      </c>
      <c r="C7" s="219" t="s">
        <v>2662</v>
      </c>
      <c r="D7" s="268" t="s">
        <v>495</v>
      </c>
      <c r="E7" s="251">
        <v>44215.0</v>
      </c>
      <c r="F7" s="250" t="s">
        <v>496</v>
      </c>
      <c r="G7" s="171">
        <v>30000.0</v>
      </c>
      <c r="H7" s="171">
        <v>50.0</v>
      </c>
      <c r="I7" s="171">
        <v>100.0</v>
      </c>
      <c r="J7" s="325">
        <f t="shared" si="2"/>
        <v>0.004295675702</v>
      </c>
      <c r="K7" s="326">
        <f t="shared" si="3"/>
        <v>4.009297322</v>
      </c>
      <c r="L7" s="327">
        <f t="shared" si="4"/>
        <v>59.96553876</v>
      </c>
      <c r="M7" s="321" t="str">
        <f t="shared" si="5"/>
        <v>zeptimusq</v>
      </c>
      <c r="N7" s="176">
        <f>IFERROR(__xludf.DUMMYFUNCTION("""COMPUTED_VALUE"""),4.0)</f>
        <v>4</v>
      </c>
      <c r="O7" s="176"/>
      <c r="P7" s="176"/>
      <c r="Q7" s="176"/>
      <c r="R7" s="176"/>
      <c r="S7" s="176"/>
      <c r="T7" s="176"/>
      <c r="U7" s="176"/>
      <c r="V7" s="176"/>
      <c r="W7" s="176"/>
      <c r="X7" s="176"/>
      <c r="Y7" s="176"/>
      <c r="Z7" s="176"/>
    </row>
    <row r="8">
      <c r="A8" s="249" t="s">
        <v>3</v>
      </c>
      <c r="B8" s="249" t="s">
        <v>10</v>
      </c>
      <c r="C8" s="219" t="s">
        <v>2663</v>
      </c>
      <c r="D8" s="268" t="s">
        <v>495</v>
      </c>
      <c r="E8" s="251">
        <v>44216.0</v>
      </c>
      <c r="F8" s="250" t="s">
        <v>496</v>
      </c>
      <c r="G8" s="171">
        <v>5000.0</v>
      </c>
      <c r="H8" s="171">
        <v>100.0</v>
      </c>
      <c r="I8" s="171">
        <v>100.0</v>
      </c>
      <c r="J8" s="325">
        <f t="shared" si="2"/>
        <v>0.003291282856</v>
      </c>
      <c r="K8" s="326">
        <f t="shared" si="3"/>
        <v>3.071863999</v>
      </c>
      <c r="L8" s="327">
        <f t="shared" si="4"/>
        <v>59.96553876</v>
      </c>
      <c r="M8" s="321" t="str">
        <f t="shared" si="5"/>
        <v>zeptimusq</v>
      </c>
      <c r="N8" s="176">
        <f>IFERROR(__xludf.DUMMYFUNCTION("""COMPUTED_VALUE"""),5.0)</f>
        <v>5</v>
      </c>
      <c r="O8" s="176"/>
      <c r="P8" s="176"/>
      <c r="Q8" s="176"/>
      <c r="R8" s="176"/>
      <c r="S8" s="176"/>
      <c r="T8" s="176"/>
      <c r="U8" s="176"/>
      <c r="V8" s="176"/>
      <c r="W8" s="176"/>
      <c r="X8" s="176"/>
      <c r="Y8" s="176"/>
      <c r="Z8" s="176"/>
    </row>
    <row r="9">
      <c r="A9" s="249" t="s">
        <v>3</v>
      </c>
      <c r="B9" s="249" t="s">
        <v>18</v>
      </c>
      <c r="C9" s="219" t="s">
        <v>2664</v>
      </c>
      <c r="D9" s="268" t="s">
        <v>495</v>
      </c>
      <c r="E9" s="251">
        <v>44215.0</v>
      </c>
      <c r="F9" s="250" t="s">
        <v>496</v>
      </c>
      <c r="G9" s="171">
        <v>5000.0</v>
      </c>
      <c r="H9" s="171">
        <v>50.0</v>
      </c>
      <c r="I9" s="171">
        <v>100.0</v>
      </c>
      <c r="J9" s="325">
        <f t="shared" si="2"/>
        <v>0.002356004143</v>
      </c>
      <c r="K9" s="326">
        <f t="shared" si="3"/>
        <v>2.1989372</v>
      </c>
      <c r="L9" s="327">
        <f t="shared" si="4"/>
        <v>59.96553876</v>
      </c>
      <c r="M9" s="321" t="str">
        <f t="shared" si="5"/>
        <v>zeptimusq</v>
      </c>
      <c r="N9" s="176">
        <f>IFERROR(__xludf.DUMMYFUNCTION("""COMPUTED_VALUE"""),6.0)</f>
        <v>6</v>
      </c>
      <c r="O9" s="176"/>
      <c r="P9" s="176"/>
      <c r="Q9" s="176"/>
      <c r="R9" s="176"/>
      <c r="S9" s="176"/>
      <c r="T9" s="176"/>
      <c r="U9" s="176"/>
      <c r="V9" s="176"/>
      <c r="W9" s="176"/>
      <c r="X9" s="176"/>
      <c r="Y9" s="176"/>
      <c r="Z9" s="176"/>
    </row>
    <row r="10">
      <c r="A10" s="249" t="s">
        <v>3</v>
      </c>
      <c r="B10" s="249" t="s">
        <v>845</v>
      </c>
      <c r="C10" s="219" t="s">
        <v>2665</v>
      </c>
      <c r="D10" s="268" t="s">
        <v>495</v>
      </c>
      <c r="E10" s="251">
        <v>44221.0</v>
      </c>
      <c r="F10" s="250" t="s">
        <v>496</v>
      </c>
      <c r="G10" s="171">
        <v>10000.0</v>
      </c>
      <c r="H10" s="171">
        <v>25.0</v>
      </c>
      <c r="I10" s="171">
        <v>100.0</v>
      </c>
      <c r="J10" s="325">
        <f t="shared" si="2"/>
        <v>0.002276299098</v>
      </c>
      <c r="K10" s="326">
        <f t="shared" si="3"/>
        <v>2.124545825</v>
      </c>
      <c r="L10" s="327">
        <f t="shared" si="4"/>
        <v>59.96553876</v>
      </c>
      <c r="M10" s="321" t="str">
        <f t="shared" si="5"/>
        <v>zeptimusq</v>
      </c>
      <c r="N10" s="176">
        <f>IFERROR(__xludf.DUMMYFUNCTION("""COMPUTED_VALUE"""),7.0)</f>
        <v>7</v>
      </c>
      <c r="O10" s="176"/>
      <c r="P10" s="176"/>
      <c r="Q10" s="176"/>
      <c r="R10" s="176"/>
      <c r="S10" s="176"/>
      <c r="T10" s="176"/>
      <c r="U10" s="176"/>
      <c r="V10" s="176"/>
      <c r="W10" s="176"/>
      <c r="X10" s="176"/>
      <c r="Y10" s="176"/>
      <c r="Z10" s="176"/>
    </row>
    <row r="11">
      <c r="A11" s="249" t="s">
        <v>3</v>
      </c>
      <c r="B11" s="249" t="s">
        <v>10</v>
      </c>
      <c r="C11" s="219" t="s">
        <v>2666</v>
      </c>
      <c r="D11" s="268" t="s">
        <v>495</v>
      </c>
      <c r="E11" s="251">
        <v>44225.0</v>
      </c>
      <c r="F11" s="250" t="s">
        <v>496</v>
      </c>
      <c r="G11" s="171">
        <v>2000.0</v>
      </c>
      <c r="H11" s="171">
        <v>50.0</v>
      </c>
      <c r="I11" s="171">
        <v>100.0</v>
      </c>
      <c r="J11" s="325">
        <f t="shared" si="2"/>
        <v>0.002123243556</v>
      </c>
      <c r="K11" s="326">
        <f t="shared" si="3"/>
        <v>1.981693985</v>
      </c>
      <c r="L11" s="327">
        <f t="shared" si="4"/>
        <v>59.96553876</v>
      </c>
      <c r="M11" s="321" t="str">
        <f t="shared" si="5"/>
        <v>zeptimusq</v>
      </c>
      <c r="N11" s="176">
        <f>IFERROR(__xludf.DUMMYFUNCTION("""COMPUTED_VALUE"""),8.0)</f>
        <v>8</v>
      </c>
      <c r="O11" s="176"/>
      <c r="P11" s="176"/>
      <c r="Q11" s="176"/>
      <c r="R11" s="176"/>
      <c r="S11" s="176"/>
      <c r="T11" s="176"/>
      <c r="U11" s="176"/>
      <c r="V11" s="176"/>
      <c r="W11" s="176"/>
      <c r="X11" s="176"/>
      <c r="Y11" s="176"/>
      <c r="Z11" s="176"/>
    </row>
    <row r="12">
      <c r="A12" s="249" t="s">
        <v>3</v>
      </c>
      <c r="B12" s="249" t="s">
        <v>1228</v>
      </c>
      <c r="C12" s="219" t="s">
        <v>2667</v>
      </c>
      <c r="D12" s="268" t="s">
        <v>495</v>
      </c>
      <c r="E12" s="251">
        <v>44218.0</v>
      </c>
      <c r="F12" s="250" t="s">
        <v>496</v>
      </c>
      <c r="G12" s="171">
        <v>5000.0</v>
      </c>
      <c r="H12" s="171">
        <v>35.0</v>
      </c>
      <c r="I12" s="171">
        <v>100.0</v>
      </c>
      <c r="J12" s="325">
        <f t="shared" si="2"/>
        <v>0.002075420529</v>
      </c>
      <c r="K12" s="326">
        <f t="shared" si="3"/>
        <v>1.93705916</v>
      </c>
      <c r="L12" s="327">
        <f t="shared" si="4"/>
        <v>59.96553876</v>
      </c>
      <c r="M12" s="321" t="str">
        <f t="shared" si="5"/>
        <v>zeptimusq</v>
      </c>
      <c r="N12" s="176">
        <f>IFERROR(__xludf.DUMMYFUNCTION("""COMPUTED_VALUE"""),9.0)</f>
        <v>9</v>
      </c>
      <c r="O12" s="176"/>
      <c r="P12" s="176"/>
      <c r="Q12" s="176"/>
      <c r="R12" s="176"/>
      <c r="S12" s="176"/>
      <c r="T12" s="176"/>
      <c r="U12" s="176"/>
      <c r="V12" s="176"/>
      <c r="W12" s="176"/>
      <c r="X12" s="176"/>
      <c r="Y12" s="176"/>
      <c r="Z12" s="176"/>
    </row>
    <row r="13">
      <c r="A13" s="249" t="s">
        <v>3</v>
      </c>
      <c r="B13" s="249" t="s">
        <v>10</v>
      </c>
      <c r="C13" s="219" t="s">
        <v>2668</v>
      </c>
      <c r="D13" s="268" t="s">
        <v>495</v>
      </c>
      <c r="E13" s="251">
        <v>44218.0</v>
      </c>
      <c r="F13" s="250" t="s">
        <v>496</v>
      </c>
      <c r="G13" s="171">
        <v>5000.0</v>
      </c>
      <c r="H13" s="171">
        <v>25.0</v>
      </c>
      <c r="I13" s="171">
        <v>100.0</v>
      </c>
      <c r="J13" s="325">
        <f t="shared" si="2"/>
        <v>0.001888364786</v>
      </c>
      <c r="K13" s="326">
        <f t="shared" si="3"/>
        <v>1.762473801</v>
      </c>
      <c r="L13" s="327">
        <f t="shared" si="4"/>
        <v>59.96553876</v>
      </c>
      <c r="M13" s="321" t="str">
        <f t="shared" si="5"/>
        <v>zeptimusq</v>
      </c>
      <c r="N13" s="176">
        <f>IFERROR(__xludf.DUMMYFUNCTION("""COMPUTED_VALUE"""),10.0)</f>
        <v>10</v>
      </c>
      <c r="O13" s="176"/>
      <c r="P13" s="176"/>
      <c r="Q13" s="176"/>
      <c r="R13" s="176"/>
      <c r="S13" s="176"/>
      <c r="T13" s="176"/>
      <c r="U13" s="176"/>
      <c r="V13" s="176"/>
      <c r="W13" s="176"/>
      <c r="X13" s="176"/>
      <c r="Y13" s="176"/>
      <c r="Z13" s="176"/>
    </row>
    <row r="14">
      <c r="A14" s="249" t="s">
        <v>3</v>
      </c>
      <c r="B14" s="249" t="s">
        <v>1228</v>
      </c>
      <c r="C14" s="219" t="s">
        <v>2669</v>
      </c>
      <c r="D14" s="268" t="s">
        <v>495</v>
      </c>
      <c r="E14" s="251">
        <v>44222.0</v>
      </c>
      <c r="F14" s="250" t="s">
        <v>496</v>
      </c>
      <c r="G14" s="171">
        <v>5000.0</v>
      </c>
      <c r="H14" s="171">
        <v>25.0</v>
      </c>
      <c r="I14" s="171">
        <v>100.0</v>
      </c>
      <c r="J14" s="325">
        <f t="shared" si="2"/>
        <v>0.001888364786</v>
      </c>
      <c r="K14" s="326">
        <f t="shared" si="3"/>
        <v>1.762473801</v>
      </c>
      <c r="L14" s="327">
        <f t="shared" si="4"/>
        <v>59.96553876</v>
      </c>
      <c r="M14" s="321" t="str">
        <f t="shared" si="5"/>
        <v>zeptimusq</v>
      </c>
      <c r="N14" s="176">
        <f>IFERROR(__xludf.DUMMYFUNCTION("""COMPUTED_VALUE"""),11.0)</f>
        <v>11</v>
      </c>
      <c r="O14" s="176"/>
      <c r="P14" s="176"/>
      <c r="Q14" s="176"/>
      <c r="R14" s="176"/>
      <c r="S14" s="176"/>
      <c r="T14" s="176"/>
      <c r="U14" s="176"/>
      <c r="V14" s="176"/>
      <c r="W14" s="176"/>
      <c r="X14" s="176"/>
      <c r="Y14" s="176"/>
      <c r="Z14" s="176"/>
    </row>
    <row r="15">
      <c r="A15" s="249" t="s">
        <v>3</v>
      </c>
      <c r="B15" s="249" t="s">
        <v>10</v>
      </c>
      <c r="C15" s="219" t="s">
        <v>2670</v>
      </c>
      <c r="D15" s="268" t="s">
        <v>495</v>
      </c>
      <c r="E15" s="251">
        <v>44225.0</v>
      </c>
      <c r="F15" s="250" t="s">
        <v>496</v>
      </c>
      <c r="G15" s="171">
        <v>5000.0</v>
      </c>
      <c r="H15" s="171">
        <v>25.0</v>
      </c>
      <c r="I15" s="171">
        <v>100.0</v>
      </c>
      <c r="J15" s="325">
        <f t="shared" si="2"/>
        <v>0.001888364786</v>
      </c>
      <c r="K15" s="326">
        <f t="shared" si="3"/>
        <v>1.762473801</v>
      </c>
      <c r="L15" s="327">
        <f t="shared" si="4"/>
        <v>59.96553876</v>
      </c>
      <c r="M15" s="321" t="str">
        <f t="shared" si="5"/>
        <v>zeptimusq</v>
      </c>
      <c r="N15" s="176">
        <f>IFERROR(__xludf.DUMMYFUNCTION("""COMPUTED_VALUE"""),12.0)</f>
        <v>12</v>
      </c>
      <c r="O15" s="176"/>
      <c r="P15" s="176"/>
      <c r="Q15" s="176"/>
      <c r="R15" s="176"/>
      <c r="S15" s="176"/>
      <c r="T15" s="176"/>
      <c r="U15" s="176"/>
      <c r="V15" s="176"/>
      <c r="W15" s="176"/>
      <c r="X15" s="176"/>
      <c r="Y15" s="176"/>
      <c r="Z15" s="176"/>
    </row>
    <row r="16">
      <c r="A16" s="249" t="s">
        <v>3</v>
      </c>
      <c r="B16" s="249" t="s">
        <v>1228</v>
      </c>
      <c r="C16" s="219" t="s">
        <v>2671</v>
      </c>
      <c r="D16" s="268" t="s">
        <v>495</v>
      </c>
      <c r="E16" s="251">
        <v>44215.0</v>
      </c>
      <c r="F16" s="250" t="s">
        <v>496</v>
      </c>
      <c r="G16" s="171">
        <v>2000.0</v>
      </c>
      <c r="H16" s="171">
        <v>25.0</v>
      </c>
      <c r="I16" s="171">
        <v>100.0</v>
      </c>
      <c r="J16" s="325">
        <f t="shared" si="2"/>
        <v>0.001655604199</v>
      </c>
      <c r="K16" s="326">
        <f t="shared" si="3"/>
        <v>1.545230586</v>
      </c>
      <c r="L16" s="327">
        <f t="shared" si="4"/>
        <v>59.96553876</v>
      </c>
      <c r="M16" s="321" t="str">
        <f t="shared" si="5"/>
        <v>zeptimusq</v>
      </c>
      <c r="N16" s="176">
        <f>IFERROR(__xludf.DUMMYFUNCTION("""COMPUTED_VALUE"""),13.0)</f>
        <v>13</v>
      </c>
      <c r="O16" s="176"/>
      <c r="P16" s="176"/>
      <c r="Q16" s="176"/>
      <c r="R16" s="176"/>
      <c r="S16" s="176"/>
      <c r="T16" s="176"/>
      <c r="U16" s="176"/>
      <c r="V16" s="176"/>
      <c r="W16" s="176"/>
      <c r="X16" s="176"/>
      <c r="Y16" s="176"/>
      <c r="Z16" s="176"/>
    </row>
    <row r="17">
      <c r="A17" s="249" t="s">
        <v>3</v>
      </c>
      <c r="B17" s="249" t="s">
        <v>10</v>
      </c>
      <c r="C17" s="219" t="s">
        <v>2672</v>
      </c>
      <c r="D17" s="268" t="s">
        <v>495</v>
      </c>
      <c r="E17" s="251">
        <v>44225.0</v>
      </c>
      <c r="F17" s="250" t="s">
        <v>496</v>
      </c>
      <c r="G17" s="171">
        <v>5000.0</v>
      </c>
      <c r="H17" s="171">
        <v>15.0</v>
      </c>
      <c r="I17" s="171">
        <v>100.0</v>
      </c>
      <c r="J17" s="325">
        <f t="shared" si="2"/>
        <v>0.001701309044</v>
      </c>
      <c r="K17" s="326">
        <f t="shared" si="3"/>
        <v>1.587888441</v>
      </c>
      <c r="L17" s="327">
        <f t="shared" si="4"/>
        <v>59.96553876</v>
      </c>
      <c r="M17" s="321" t="str">
        <f t="shared" si="5"/>
        <v>zeptimusq</v>
      </c>
      <c r="N17" s="176">
        <f>IFERROR(__xludf.DUMMYFUNCTION("""COMPUTED_VALUE"""),14.0)</f>
        <v>14</v>
      </c>
      <c r="O17" s="176"/>
      <c r="P17" s="176"/>
      <c r="Q17" s="176"/>
      <c r="R17" s="176"/>
      <c r="S17" s="176"/>
      <c r="T17" s="176"/>
      <c r="U17" s="176"/>
      <c r="V17" s="176"/>
      <c r="W17" s="176"/>
      <c r="X17" s="176"/>
      <c r="Y17" s="176"/>
      <c r="Z17" s="176"/>
    </row>
    <row r="18">
      <c r="A18" s="249" t="s">
        <v>3</v>
      </c>
      <c r="B18" s="249" t="s">
        <v>1228</v>
      </c>
      <c r="C18" s="219" t="s">
        <v>2673</v>
      </c>
      <c r="D18" s="268" t="s">
        <v>495</v>
      </c>
      <c r="E18" s="251">
        <v>44212.0</v>
      </c>
      <c r="F18" s="250" t="s">
        <v>496</v>
      </c>
      <c r="G18" s="171">
        <v>20000.0</v>
      </c>
      <c r="H18" s="171">
        <v>25.0</v>
      </c>
      <c r="I18" s="171">
        <v>25.0</v>
      </c>
      <c r="J18" s="325">
        <f t="shared" si="2"/>
        <v>0.002277574383</v>
      </c>
      <c r="K18" s="326">
        <f t="shared" si="3"/>
        <v>2.125736091</v>
      </c>
      <c r="L18" s="327">
        <f t="shared" si="4"/>
        <v>59.96553876</v>
      </c>
      <c r="M18" s="321" t="str">
        <f t="shared" si="5"/>
        <v>zeptimusq</v>
      </c>
      <c r="N18" s="176">
        <f>IFERROR(__xludf.DUMMYFUNCTION("""COMPUTED_VALUE"""),15.0)</f>
        <v>15</v>
      </c>
      <c r="O18" s="176"/>
      <c r="P18" s="176"/>
      <c r="Q18" s="176"/>
      <c r="R18" s="176"/>
      <c r="S18" s="176"/>
      <c r="T18" s="176"/>
      <c r="U18" s="176"/>
      <c r="V18" s="176"/>
      <c r="W18" s="176"/>
      <c r="X18" s="176"/>
      <c r="Y18" s="176"/>
      <c r="Z18" s="176"/>
    </row>
    <row r="19">
      <c r="A19" s="249" t="s">
        <v>3</v>
      </c>
      <c r="B19" s="249" t="s">
        <v>18</v>
      </c>
      <c r="C19" s="219" t="s">
        <v>2674</v>
      </c>
      <c r="D19" s="268" t="s">
        <v>495</v>
      </c>
      <c r="E19" s="251">
        <v>44222.0</v>
      </c>
      <c r="F19" s="250" t="s">
        <v>496</v>
      </c>
      <c r="G19" s="312"/>
      <c r="H19" s="171">
        <v>0.0</v>
      </c>
      <c r="I19" s="171">
        <v>0.0</v>
      </c>
      <c r="J19" s="325">
        <f t="shared" si="2"/>
        <v>0</v>
      </c>
      <c r="K19" s="326">
        <f t="shared" si="3"/>
        <v>0</v>
      </c>
      <c r="L19" s="327">
        <f t="shared" si="4"/>
        <v>59.96553876</v>
      </c>
      <c r="M19" s="321" t="str">
        <f t="shared" si="5"/>
        <v>zeptimusq</v>
      </c>
      <c r="N19" s="176">
        <f>IFERROR(__xludf.DUMMYFUNCTION("""COMPUTED_VALUE"""),16.0)</f>
        <v>16</v>
      </c>
      <c r="O19" s="176"/>
      <c r="P19" s="176"/>
      <c r="Q19" s="176"/>
      <c r="R19" s="176"/>
      <c r="S19" s="176"/>
      <c r="T19" s="176"/>
      <c r="U19" s="176"/>
      <c r="V19" s="176"/>
      <c r="W19" s="176"/>
      <c r="X19" s="176"/>
      <c r="Y19" s="176"/>
      <c r="Z19" s="176"/>
    </row>
    <row r="20">
      <c r="A20" s="249" t="s">
        <v>3</v>
      </c>
      <c r="B20" s="249" t="s">
        <v>10</v>
      </c>
      <c r="C20" s="219" t="s">
        <v>2675</v>
      </c>
      <c r="D20" s="268" t="s">
        <v>495</v>
      </c>
      <c r="E20" s="251">
        <v>44225.0</v>
      </c>
      <c r="F20" s="250" t="s">
        <v>496</v>
      </c>
      <c r="G20" s="171">
        <v>5000.0</v>
      </c>
      <c r="H20" s="171">
        <v>25.0</v>
      </c>
      <c r="I20" s="171">
        <v>50.0</v>
      </c>
      <c r="J20" s="325">
        <f t="shared" si="2"/>
        <v>0.001371969227</v>
      </c>
      <c r="K20" s="326">
        <f t="shared" si="3"/>
        <v>1.280504612</v>
      </c>
      <c r="L20" s="327">
        <f t="shared" si="4"/>
        <v>59.96553876</v>
      </c>
      <c r="M20" s="321" t="str">
        <f t="shared" si="5"/>
        <v>zeptimusq</v>
      </c>
      <c r="N20" s="176">
        <f>IFERROR(__xludf.DUMMYFUNCTION("""COMPUTED_VALUE"""),17.0)</f>
        <v>17</v>
      </c>
      <c r="O20" s="176"/>
      <c r="P20" s="176"/>
      <c r="Q20" s="176"/>
      <c r="R20" s="176"/>
      <c r="S20" s="176"/>
      <c r="T20" s="176"/>
      <c r="U20" s="176"/>
      <c r="V20" s="176"/>
      <c r="W20" s="176"/>
      <c r="X20" s="176"/>
      <c r="Y20" s="176"/>
      <c r="Z20" s="176"/>
    </row>
    <row r="21">
      <c r="A21" s="249" t="s">
        <v>3</v>
      </c>
      <c r="B21" s="249" t="s">
        <v>5</v>
      </c>
      <c r="C21" s="219" t="s">
        <v>2676</v>
      </c>
      <c r="D21" s="268" t="s">
        <v>495</v>
      </c>
      <c r="E21" s="251">
        <v>44224.0</v>
      </c>
      <c r="F21" s="250" t="s">
        <v>496</v>
      </c>
      <c r="G21" s="171">
        <v>1000.0</v>
      </c>
      <c r="H21" s="171">
        <v>25.0</v>
      </c>
      <c r="I21" s="171">
        <v>50.0</v>
      </c>
      <c r="J21" s="325">
        <f t="shared" si="2"/>
        <v>0.001061621778</v>
      </c>
      <c r="K21" s="326">
        <f t="shared" si="3"/>
        <v>0.9908469927</v>
      </c>
      <c r="L21" s="327">
        <f t="shared" si="4"/>
        <v>59.96553876</v>
      </c>
      <c r="M21" s="321" t="str">
        <f t="shared" si="5"/>
        <v>zeptimusq</v>
      </c>
      <c r="N21" s="176">
        <f>IFERROR(__xludf.DUMMYFUNCTION("""COMPUTED_VALUE"""),18.0)</f>
        <v>18</v>
      </c>
      <c r="O21" s="176"/>
      <c r="P21" s="176"/>
      <c r="Q21" s="176"/>
      <c r="R21" s="176"/>
      <c r="S21" s="176"/>
      <c r="T21" s="176"/>
      <c r="U21" s="176"/>
      <c r="V21" s="176"/>
      <c r="W21" s="176"/>
      <c r="X21" s="176"/>
      <c r="Y21" s="176"/>
      <c r="Z21" s="176"/>
    </row>
    <row r="22">
      <c r="A22" s="249" t="s">
        <v>3</v>
      </c>
      <c r="B22" s="249" t="s">
        <v>5</v>
      </c>
      <c r="C22" s="219" t="s">
        <v>2677</v>
      </c>
      <c r="D22" s="268" t="s">
        <v>495</v>
      </c>
      <c r="E22" s="251">
        <v>44217.0</v>
      </c>
      <c r="F22" s="250" t="s">
        <v>496</v>
      </c>
      <c r="G22" s="171">
        <v>5000.0</v>
      </c>
      <c r="H22" s="171">
        <v>25.0</v>
      </c>
      <c r="I22" s="171">
        <v>25.0</v>
      </c>
      <c r="J22" s="325">
        <f t="shared" si="2"/>
        <v>0.001113771448</v>
      </c>
      <c r="K22" s="326">
        <f t="shared" si="3"/>
        <v>1.039520018</v>
      </c>
      <c r="L22" s="327">
        <f t="shared" si="4"/>
        <v>59.96553876</v>
      </c>
      <c r="M22" s="321" t="str">
        <f t="shared" si="5"/>
        <v>zeptimusq</v>
      </c>
      <c r="N22" s="176">
        <f>IFERROR(__xludf.DUMMYFUNCTION("""COMPUTED_VALUE"""),19.0)</f>
        <v>19</v>
      </c>
      <c r="O22" s="176"/>
      <c r="P22" s="176"/>
      <c r="Q22" s="176"/>
      <c r="R22" s="176"/>
      <c r="S22" s="176"/>
      <c r="T22" s="176"/>
      <c r="U22" s="176"/>
      <c r="V22" s="176"/>
      <c r="W22" s="176"/>
      <c r="X22" s="176"/>
      <c r="Y22" s="176"/>
      <c r="Z22" s="176"/>
    </row>
    <row r="23">
      <c r="A23" s="249" t="s">
        <v>3</v>
      </c>
      <c r="B23" s="249" t="s">
        <v>590</v>
      </c>
      <c r="C23" s="219" t="s">
        <v>2678</v>
      </c>
      <c r="D23" s="268" t="s">
        <v>495</v>
      </c>
      <c r="E23" s="251">
        <v>44216.0</v>
      </c>
      <c r="F23" s="250" t="s">
        <v>496</v>
      </c>
      <c r="G23" s="171">
        <v>1000.0</v>
      </c>
      <c r="H23" s="171">
        <v>25.0</v>
      </c>
      <c r="I23" s="171">
        <v>25.0</v>
      </c>
      <c r="J23" s="325">
        <f t="shared" si="2"/>
        <v>0.0008034239984</v>
      </c>
      <c r="K23" s="326">
        <f t="shared" si="3"/>
        <v>0.7498623985</v>
      </c>
      <c r="L23" s="327">
        <f t="shared" si="4"/>
        <v>59.96553876</v>
      </c>
      <c r="M23" s="321" t="str">
        <f t="shared" si="5"/>
        <v>zeptimusq</v>
      </c>
      <c r="N23" s="176">
        <f>IFERROR(__xludf.DUMMYFUNCTION("""COMPUTED_VALUE"""),20.0)</f>
        <v>20</v>
      </c>
      <c r="O23" s="176"/>
      <c r="P23" s="176"/>
      <c r="Q23" s="176"/>
      <c r="R23" s="176"/>
      <c r="S23" s="176"/>
      <c r="T23" s="176"/>
      <c r="U23" s="176"/>
      <c r="V23" s="176"/>
      <c r="W23" s="176"/>
      <c r="X23" s="176"/>
      <c r="Y23" s="176"/>
      <c r="Z23" s="176"/>
    </row>
    <row r="24">
      <c r="A24" s="249" t="s">
        <v>3</v>
      </c>
      <c r="B24" s="249" t="s">
        <v>868</v>
      </c>
      <c r="C24" s="219" t="s">
        <v>2679</v>
      </c>
      <c r="D24" s="268" t="s">
        <v>495</v>
      </c>
      <c r="E24" s="251">
        <v>44218.0</v>
      </c>
      <c r="F24" s="250" t="s">
        <v>496</v>
      </c>
      <c r="G24" s="171">
        <v>1000.0</v>
      </c>
      <c r="H24" s="171">
        <v>25.0</v>
      </c>
      <c r="I24" s="171">
        <v>25.0</v>
      </c>
      <c r="J24" s="325">
        <f t="shared" si="2"/>
        <v>0.0008034239984</v>
      </c>
      <c r="K24" s="326">
        <f t="shared" si="3"/>
        <v>0.7498623985</v>
      </c>
      <c r="L24" s="327">
        <f t="shared" si="4"/>
        <v>59.96553876</v>
      </c>
      <c r="M24" s="321" t="str">
        <f t="shared" si="5"/>
        <v>zeptimusq</v>
      </c>
      <c r="N24" s="176">
        <f>IFERROR(__xludf.DUMMYFUNCTION("""COMPUTED_VALUE"""),21.0)</f>
        <v>21</v>
      </c>
      <c r="O24" s="176"/>
      <c r="P24" s="176"/>
      <c r="Q24" s="176"/>
      <c r="R24" s="176"/>
      <c r="S24" s="176"/>
      <c r="T24" s="176"/>
      <c r="U24" s="176"/>
      <c r="V24" s="176"/>
      <c r="W24" s="176"/>
      <c r="X24" s="176"/>
      <c r="Y24" s="176"/>
      <c r="Z24" s="176"/>
    </row>
    <row r="25">
      <c r="A25" s="249" t="s">
        <v>3</v>
      </c>
      <c r="B25" s="249" t="s">
        <v>867</v>
      </c>
      <c r="C25" s="219" t="s">
        <v>2680</v>
      </c>
      <c r="D25" s="268" t="s">
        <v>495</v>
      </c>
      <c r="E25" s="251">
        <v>44221.0</v>
      </c>
      <c r="F25" s="250" t="s">
        <v>496</v>
      </c>
      <c r="G25" s="171">
        <v>1000.0</v>
      </c>
      <c r="H25" s="171">
        <v>25.0</v>
      </c>
      <c r="I25" s="171">
        <v>25.0</v>
      </c>
      <c r="J25" s="325">
        <f t="shared" si="2"/>
        <v>0.0008034239984</v>
      </c>
      <c r="K25" s="326">
        <f t="shared" si="3"/>
        <v>0.7498623985</v>
      </c>
      <c r="L25" s="327">
        <f t="shared" si="4"/>
        <v>59.96553876</v>
      </c>
      <c r="M25" s="321" t="str">
        <f t="shared" si="5"/>
        <v>zeptimusq</v>
      </c>
      <c r="N25" s="176">
        <f>IFERROR(__xludf.DUMMYFUNCTION("""COMPUTED_VALUE"""),22.0)</f>
        <v>22</v>
      </c>
      <c r="O25" s="176"/>
      <c r="P25" s="176"/>
      <c r="Q25" s="176"/>
      <c r="R25" s="176"/>
      <c r="S25" s="176"/>
      <c r="T25" s="176"/>
      <c r="U25" s="176"/>
      <c r="V25" s="176"/>
      <c r="W25" s="176"/>
      <c r="X25" s="176"/>
      <c r="Y25" s="176"/>
      <c r="Z25" s="176"/>
    </row>
    <row r="26">
      <c r="A26" s="249" t="s">
        <v>3</v>
      </c>
      <c r="B26" s="249" t="s">
        <v>590</v>
      </c>
      <c r="C26" s="219" t="s">
        <v>2681</v>
      </c>
      <c r="D26" s="268" t="s">
        <v>495</v>
      </c>
      <c r="E26" s="251">
        <v>44222.0</v>
      </c>
      <c r="F26" s="250" t="s">
        <v>496</v>
      </c>
      <c r="G26" s="171">
        <v>1000.0</v>
      </c>
      <c r="H26" s="171">
        <v>25.0</v>
      </c>
      <c r="I26" s="171">
        <v>25.0</v>
      </c>
      <c r="J26" s="325">
        <f t="shared" si="2"/>
        <v>0.0008034239984</v>
      </c>
      <c r="K26" s="326">
        <f t="shared" si="3"/>
        <v>0.7498623985</v>
      </c>
      <c r="L26" s="327">
        <f t="shared" si="4"/>
        <v>59.96553876</v>
      </c>
      <c r="M26" s="321" t="str">
        <f t="shared" si="5"/>
        <v>zeptimusq</v>
      </c>
      <c r="N26" s="176">
        <f>IFERROR(__xludf.DUMMYFUNCTION("""COMPUTED_VALUE"""),23.0)</f>
        <v>23</v>
      </c>
      <c r="O26" s="176"/>
      <c r="P26" s="176"/>
      <c r="Q26" s="176"/>
      <c r="R26" s="176"/>
      <c r="S26" s="176"/>
      <c r="T26" s="176"/>
      <c r="U26" s="176"/>
      <c r="V26" s="176"/>
      <c r="W26" s="176"/>
      <c r="X26" s="176"/>
      <c r="Y26" s="176"/>
      <c r="Z26" s="176"/>
    </row>
    <row r="27">
      <c r="A27" s="249" t="s">
        <v>3</v>
      </c>
      <c r="B27" s="249" t="s">
        <v>25</v>
      </c>
      <c r="C27" s="219" t="s">
        <v>2682</v>
      </c>
      <c r="D27" s="268" t="s">
        <v>495</v>
      </c>
      <c r="E27" s="251">
        <v>44223.0</v>
      </c>
      <c r="F27" s="250" t="s">
        <v>496</v>
      </c>
      <c r="G27" s="171">
        <v>1000.0</v>
      </c>
      <c r="H27" s="171">
        <v>25.0</v>
      </c>
      <c r="I27" s="171">
        <v>25.0</v>
      </c>
      <c r="J27" s="325">
        <f t="shared" si="2"/>
        <v>0.0008034239984</v>
      </c>
      <c r="K27" s="326">
        <f t="shared" si="3"/>
        <v>0.7498623985</v>
      </c>
      <c r="L27" s="327">
        <f t="shared" si="4"/>
        <v>59.96553876</v>
      </c>
      <c r="M27" s="321" t="str">
        <f t="shared" si="5"/>
        <v>zeptimusq</v>
      </c>
      <c r="N27" s="176">
        <f>IFERROR(__xludf.DUMMYFUNCTION("""COMPUTED_VALUE"""),24.0)</f>
        <v>24</v>
      </c>
      <c r="O27" s="176"/>
      <c r="P27" s="176"/>
      <c r="Q27" s="176"/>
      <c r="R27" s="176"/>
      <c r="S27" s="176"/>
      <c r="T27" s="176"/>
      <c r="U27" s="176"/>
      <c r="V27" s="176"/>
      <c r="W27" s="176"/>
      <c r="X27" s="176"/>
      <c r="Y27" s="176"/>
      <c r="Z27" s="176"/>
    </row>
    <row r="28">
      <c r="A28" s="249" t="s">
        <v>3</v>
      </c>
      <c r="B28" s="249" t="s">
        <v>18</v>
      </c>
      <c r="C28" s="219" t="s">
        <v>2683</v>
      </c>
      <c r="D28" s="268" t="s">
        <v>495</v>
      </c>
      <c r="E28" s="251">
        <v>44215.0</v>
      </c>
      <c r="F28" s="250" t="s">
        <v>496</v>
      </c>
      <c r="G28" s="171">
        <v>500.0</v>
      </c>
      <c r="H28" s="171">
        <v>25.0</v>
      </c>
      <c r="I28" s="171">
        <v>25.0</v>
      </c>
      <c r="J28" s="325">
        <f t="shared" si="2"/>
        <v>0.0007646305672</v>
      </c>
      <c r="K28" s="326">
        <f t="shared" si="3"/>
        <v>0.7136551961</v>
      </c>
      <c r="L28" s="327">
        <f t="shared" si="4"/>
        <v>59.96553876</v>
      </c>
      <c r="M28" s="321" t="str">
        <f t="shared" si="5"/>
        <v>zeptimusq</v>
      </c>
      <c r="N28" s="176">
        <f>IFERROR(__xludf.DUMMYFUNCTION("""COMPUTED_VALUE"""),25.0)</f>
        <v>25</v>
      </c>
      <c r="O28" s="176"/>
      <c r="P28" s="176"/>
      <c r="Q28" s="176"/>
      <c r="R28" s="176"/>
      <c r="S28" s="176"/>
      <c r="T28" s="176"/>
      <c r="U28" s="176"/>
      <c r="V28" s="176"/>
      <c r="W28" s="176"/>
      <c r="X28" s="176"/>
      <c r="Y28" s="176"/>
      <c r="Z28" s="176"/>
    </row>
    <row r="29">
      <c r="A29" s="249" t="s">
        <v>3</v>
      </c>
      <c r="B29" s="249" t="s">
        <v>10</v>
      </c>
      <c r="C29" s="219" t="s">
        <v>2498</v>
      </c>
      <c r="D29" s="268" t="s">
        <v>495</v>
      </c>
      <c r="E29" s="251">
        <v>44225.0</v>
      </c>
      <c r="F29" s="250" t="s">
        <v>496</v>
      </c>
      <c r="G29" s="171">
        <v>500.0</v>
      </c>
      <c r="H29" s="171">
        <v>25.0</v>
      </c>
      <c r="I29" s="171">
        <v>25.0</v>
      </c>
      <c r="J29" s="325">
        <f t="shared" si="2"/>
        <v>0.0007646305672</v>
      </c>
      <c r="K29" s="326">
        <f t="shared" si="3"/>
        <v>0.7136551961</v>
      </c>
      <c r="L29" s="327">
        <f t="shared" si="4"/>
        <v>59.96553876</v>
      </c>
      <c r="M29" s="321" t="str">
        <f t="shared" si="5"/>
        <v>zeptimusq</v>
      </c>
      <c r="N29" s="176">
        <f>IFERROR(__xludf.DUMMYFUNCTION("""COMPUTED_VALUE"""),26.0)</f>
        <v>26</v>
      </c>
      <c r="O29" s="176"/>
      <c r="P29" s="176"/>
      <c r="Q29" s="176"/>
      <c r="R29" s="176"/>
      <c r="S29" s="176"/>
      <c r="T29" s="176"/>
      <c r="U29" s="176"/>
      <c r="V29" s="176"/>
      <c r="W29" s="176"/>
      <c r="X29" s="176"/>
      <c r="Y29" s="176"/>
      <c r="Z29" s="176"/>
    </row>
    <row r="30">
      <c r="A30" s="249" t="s">
        <v>3</v>
      </c>
      <c r="B30" s="249" t="s">
        <v>867</v>
      </c>
      <c r="C30" s="219" t="s">
        <v>2684</v>
      </c>
      <c r="D30" s="268" t="s">
        <v>495</v>
      </c>
      <c r="E30" s="251">
        <v>44214.0</v>
      </c>
      <c r="F30" s="250" t="s">
        <v>496</v>
      </c>
      <c r="G30" s="171">
        <v>1000.0</v>
      </c>
      <c r="H30" s="171">
        <v>15.0</v>
      </c>
      <c r="I30" s="171">
        <v>25.0</v>
      </c>
      <c r="J30" s="325">
        <f t="shared" si="2"/>
        <v>0.0006163682558</v>
      </c>
      <c r="K30" s="326">
        <f t="shared" si="3"/>
        <v>0.5752770387</v>
      </c>
      <c r="L30" s="327">
        <f t="shared" si="4"/>
        <v>59.96553876</v>
      </c>
      <c r="M30" s="321" t="str">
        <f t="shared" si="5"/>
        <v>zeptimusq</v>
      </c>
      <c r="N30" s="176">
        <f>IFERROR(__xludf.DUMMYFUNCTION("""COMPUTED_VALUE"""),27.0)</f>
        <v>27</v>
      </c>
      <c r="O30" s="176"/>
      <c r="P30" s="176"/>
      <c r="Q30" s="176"/>
      <c r="R30" s="176"/>
      <c r="S30" s="176"/>
      <c r="T30" s="176"/>
      <c r="U30" s="176"/>
      <c r="V30" s="176"/>
      <c r="W30" s="176"/>
      <c r="X30" s="176"/>
      <c r="Y30" s="176"/>
      <c r="Z30" s="176"/>
    </row>
    <row r="31">
      <c r="A31" s="249" t="s">
        <v>3</v>
      </c>
      <c r="B31" s="249" t="s">
        <v>18</v>
      </c>
      <c r="C31" s="219" t="s">
        <v>2685</v>
      </c>
      <c r="D31" s="268" t="s">
        <v>495</v>
      </c>
      <c r="E31" s="251">
        <v>44215.0</v>
      </c>
      <c r="F31" s="250" t="s">
        <v>496</v>
      </c>
      <c r="G31" s="171">
        <v>1000.0</v>
      </c>
      <c r="H31" s="171">
        <v>15.0</v>
      </c>
      <c r="I31" s="171">
        <v>25.0</v>
      </c>
      <c r="J31" s="325">
        <f t="shared" si="2"/>
        <v>0.0006163682558</v>
      </c>
      <c r="K31" s="326">
        <f t="shared" si="3"/>
        <v>0.5752770387</v>
      </c>
      <c r="L31" s="327">
        <f t="shared" si="4"/>
        <v>59.96553876</v>
      </c>
      <c r="M31" s="321" t="str">
        <f t="shared" si="5"/>
        <v>zeptimusq</v>
      </c>
      <c r="N31" s="176">
        <f>IFERROR(__xludf.DUMMYFUNCTION("""COMPUTED_VALUE"""),28.0)</f>
        <v>28</v>
      </c>
      <c r="O31" s="176"/>
      <c r="P31" s="176"/>
      <c r="Q31" s="176"/>
      <c r="R31" s="176"/>
      <c r="S31" s="176"/>
      <c r="T31" s="176"/>
      <c r="U31" s="176"/>
      <c r="V31" s="176"/>
      <c r="W31" s="176"/>
      <c r="X31" s="176"/>
      <c r="Y31" s="176"/>
      <c r="Z31" s="176"/>
    </row>
    <row r="32">
      <c r="A32" s="249" t="s">
        <v>3</v>
      </c>
      <c r="B32" s="249" t="s">
        <v>6</v>
      </c>
      <c r="C32" s="219" t="s">
        <v>2686</v>
      </c>
      <c r="D32" s="268" t="s">
        <v>495</v>
      </c>
      <c r="E32" s="251">
        <v>44215.0</v>
      </c>
      <c r="F32" s="250" t="s">
        <v>496</v>
      </c>
      <c r="G32" s="171">
        <v>1000.0</v>
      </c>
      <c r="H32" s="171">
        <v>15.0</v>
      </c>
      <c r="I32" s="171">
        <v>25.0</v>
      </c>
      <c r="J32" s="325">
        <f t="shared" si="2"/>
        <v>0.0006163682558</v>
      </c>
      <c r="K32" s="326">
        <f t="shared" si="3"/>
        <v>0.5752770387</v>
      </c>
      <c r="L32" s="327">
        <f t="shared" si="4"/>
        <v>59.96553876</v>
      </c>
      <c r="M32" s="321" t="str">
        <f t="shared" si="5"/>
        <v>zeptimusq</v>
      </c>
      <c r="N32" s="176">
        <f>IFERROR(__xludf.DUMMYFUNCTION("""COMPUTED_VALUE"""),29.0)</f>
        <v>29</v>
      </c>
      <c r="O32" s="176"/>
      <c r="P32" s="176"/>
      <c r="Q32" s="176"/>
      <c r="R32" s="176"/>
      <c r="S32" s="176"/>
      <c r="T32" s="176"/>
      <c r="U32" s="176"/>
      <c r="V32" s="176"/>
      <c r="W32" s="176"/>
      <c r="X32" s="176"/>
      <c r="Y32" s="176"/>
      <c r="Z32" s="176"/>
    </row>
    <row r="33">
      <c r="A33" s="249" t="s">
        <v>3</v>
      </c>
      <c r="B33" s="249" t="s">
        <v>10</v>
      </c>
      <c r="C33" s="219" t="s">
        <v>2687</v>
      </c>
      <c r="D33" s="268" t="s">
        <v>495</v>
      </c>
      <c r="E33" s="251">
        <v>44218.0</v>
      </c>
      <c r="F33" s="250" t="s">
        <v>496</v>
      </c>
      <c r="G33" s="171">
        <v>1000.0</v>
      </c>
      <c r="H33" s="171">
        <v>15.0</v>
      </c>
      <c r="I33" s="171">
        <v>25.0</v>
      </c>
      <c r="J33" s="325">
        <f t="shared" si="2"/>
        <v>0.0006163682558</v>
      </c>
      <c r="K33" s="326">
        <f t="shared" si="3"/>
        <v>0.5752770387</v>
      </c>
      <c r="L33" s="327">
        <f t="shared" si="4"/>
        <v>59.96553876</v>
      </c>
      <c r="M33" s="321" t="str">
        <f t="shared" si="5"/>
        <v>zeptimusq</v>
      </c>
      <c r="N33" s="176">
        <f>IFERROR(__xludf.DUMMYFUNCTION("""COMPUTED_VALUE"""),30.0)</f>
        <v>30</v>
      </c>
      <c r="O33" s="176"/>
      <c r="P33" s="176"/>
      <c r="Q33" s="176"/>
      <c r="R33" s="176"/>
      <c r="S33" s="176"/>
      <c r="T33" s="176"/>
      <c r="U33" s="176"/>
      <c r="V33" s="176"/>
      <c r="W33" s="176"/>
      <c r="X33" s="176"/>
      <c r="Y33" s="176"/>
      <c r="Z33" s="176"/>
    </row>
    <row r="34">
      <c r="A34" s="249" t="s">
        <v>3</v>
      </c>
      <c r="B34" s="249" t="s">
        <v>18</v>
      </c>
      <c r="C34" s="219" t="s">
        <v>2688</v>
      </c>
      <c r="D34" s="268" t="s">
        <v>495</v>
      </c>
      <c r="E34" s="251">
        <v>44222.0</v>
      </c>
      <c r="F34" s="250" t="s">
        <v>496</v>
      </c>
      <c r="G34" s="171">
        <v>1000.0</v>
      </c>
      <c r="H34" s="171">
        <v>15.0</v>
      </c>
      <c r="I34" s="171">
        <v>25.0</v>
      </c>
      <c r="J34" s="325">
        <f t="shared" si="2"/>
        <v>0.0006163682558</v>
      </c>
      <c r="K34" s="326">
        <f t="shared" si="3"/>
        <v>0.5752770387</v>
      </c>
      <c r="L34" s="327">
        <f t="shared" si="4"/>
        <v>59.96553876</v>
      </c>
      <c r="M34" s="321" t="str">
        <f t="shared" si="5"/>
        <v>zeptimusq</v>
      </c>
      <c r="N34" s="176">
        <f>IFERROR(__xludf.DUMMYFUNCTION("""COMPUTED_VALUE"""),31.0)</f>
        <v>31</v>
      </c>
      <c r="O34" s="176"/>
      <c r="P34" s="176"/>
      <c r="Q34" s="176"/>
      <c r="R34" s="176"/>
      <c r="S34" s="176"/>
      <c r="T34" s="176"/>
      <c r="U34" s="176"/>
      <c r="V34" s="176"/>
      <c r="W34" s="176"/>
      <c r="X34" s="176"/>
      <c r="Y34" s="176"/>
      <c r="Z34" s="176"/>
    </row>
    <row r="35">
      <c r="A35" s="249" t="s">
        <v>3</v>
      </c>
      <c r="B35" s="249" t="s">
        <v>18</v>
      </c>
      <c r="C35" s="219" t="s">
        <v>2689</v>
      </c>
      <c r="D35" s="268" t="s">
        <v>495</v>
      </c>
      <c r="E35" s="251">
        <v>44222.0</v>
      </c>
      <c r="F35" s="250" t="s">
        <v>496</v>
      </c>
      <c r="G35" s="171">
        <v>1000.0</v>
      </c>
      <c r="H35" s="171">
        <v>15.0</v>
      </c>
      <c r="I35" s="171">
        <v>25.0</v>
      </c>
      <c r="J35" s="325">
        <f t="shared" si="2"/>
        <v>0.0006163682558</v>
      </c>
      <c r="K35" s="326">
        <f t="shared" si="3"/>
        <v>0.5752770387</v>
      </c>
      <c r="L35" s="327">
        <f t="shared" si="4"/>
        <v>59.96553876</v>
      </c>
      <c r="M35" s="321" t="str">
        <f t="shared" si="5"/>
        <v>zeptimusq</v>
      </c>
      <c r="N35" s="176">
        <f>IFERROR(__xludf.DUMMYFUNCTION("""COMPUTED_VALUE"""),32.0)</f>
        <v>32</v>
      </c>
      <c r="O35" s="176"/>
      <c r="P35" s="176"/>
      <c r="Q35" s="176"/>
      <c r="R35" s="176"/>
      <c r="S35" s="176"/>
      <c r="T35" s="176"/>
      <c r="U35" s="176"/>
      <c r="V35" s="176"/>
      <c r="W35" s="176"/>
      <c r="X35" s="176"/>
      <c r="Y35" s="176"/>
      <c r="Z35" s="176"/>
    </row>
    <row r="36">
      <c r="A36" s="249" t="s">
        <v>3</v>
      </c>
      <c r="B36" s="249" t="s">
        <v>10</v>
      </c>
      <c r="C36" s="219" t="s">
        <v>2690</v>
      </c>
      <c r="D36" s="268" t="s">
        <v>495</v>
      </c>
      <c r="E36" s="251">
        <v>44225.0</v>
      </c>
      <c r="F36" s="250" t="s">
        <v>496</v>
      </c>
      <c r="G36" s="171">
        <v>1000.0</v>
      </c>
      <c r="H36" s="171">
        <v>15.0</v>
      </c>
      <c r="I36" s="171">
        <v>25.0</v>
      </c>
      <c r="J36" s="325">
        <f t="shared" si="2"/>
        <v>0.0006163682558</v>
      </c>
      <c r="K36" s="326">
        <f t="shared" si="3"/>
        <v>0.5752770387</v>
      </c>
      <c r="L36" s="327">
        <f t="shared" si="4"/>
        <v>59.96553876</v>
      </c>
      <c r="M36" s="321" t="str">
        <f t="shared" si="5"/>
        <v>zeptimusq</v>
      </c>
      <c r="N36" s="176">
        <f>IFERROR(__xludf.DUMMYFUNCTION("""COMPUTED_VALUE"""),33.0)</f>
        <v>33</v>
      </c>
      <c r="O36" s="176"/>
      <c r="P36" s="176"/>
      <c r="Q36" s="176"/>
      <c r="R36" s="176"/>
      <c r="S36" s="176"/>
      <c r="T36" s="176"/>
      <c r="U36" s="176"/>
      <c r="V36" s="176"/>
      <c r="W36" s="176"/>
      <c r="X36" s="176"/>
      <c r="Y36" s="176"/>
      <c r="Z36" s="176"/>
    </row>
    <row r="37">
      <c r="A37" s="249" t="s">
        <v>4</v>
      </c>
      <c r="B37" s="249" t="s">
        <v>10</v>
      </c>
      <c r="C37" s="219" t="s">
        <v>2691</v>
      </c>
      <c r="D37" s="268" t="s">
        <v>495</v>
      </c>
      <c r="E37" s="251">
        <v>44225.0</v>
      </c>
      <c r="F37" s="250" t="s">
        <v>496</v>
      </c>
      <c r="G37" s="171">
        <v>200000.0</v>
      </c>
      <c r="H37" s="171">
        <v>45.0</v>
      </c>
      <c r="I37" s="171">
        <v>25.0</v>
      </c>
      <c r="J37" s="325">
        <f t="shared" si="2"/>
        <v>0.0166173211</v>
      </c>
      <c r="K37" s="326">
        <f t="shared" si="3"/>
        <v>15.50949969</v>
      </c>
      <c r="L37" s="327">
        <f t="shared" si="4"/>
        <v>58.23033231</v>
      </c>
      <c r="M37" s="321" t="str">
        <f t="shared" si="5"/>
        <v>santigs67</v>
      </c>
      <c r="N37" s="176">
        <f>IFERROR(__xludf.DUMMYFUNCTION("""COMPUTED_VALUE"""),1.0)</f>
        <v>1</v>
      </c>
      <c r="O37" s="176"/>
      <c r="P37" s="176"/>
      <c r="Q37" s="176"/>
      <c r="R37" s="176"/>
      <c r="S37" s="176"/>
      <c r="T37" s="176"/>
      <c r="U37" s="176"/>
      <c r="V37" s="176"/>
      <c r="W37" s="176"/>
      <c r="X37" s="176"/>
      <c r="Y37" s="176"/>
      <c r="Z37" s="176"/>
    </row>
    <row r="38">
      <c r="A38" s="249" t="s">
        <v>4</v>
      </c>
      <c r="B38" s="249" t="s">
        <v>1576</v>
      </c>
      <c r="C38" s="219" t="s">
        <v>2692</v>
      </c>
      <c r="D38" s="268" t="s">
        <v>495</v>
      </c>
      <c r="E38" s="251">
        <v>44221.0</v>
      </c>
      <c r="F38" s="250" t="s">
        <v>496</v>
      </c>
      <c r="G38" s="171">
        <v>50000.0</v>
      </c>
      <c r="H38" s="171">
        <v>100.0</v>
      </c>
      <c r="I38" s="171">
        <v>150.0</v>
      </c>
      <c r="J38" s="325">
        <f t="shared" si="2"/>
        <v>0.007299087222</v>
      </c>
      <c r="K38" s="326">
        <f t="shared" si="3"/>
        <v>6.812481407</v>
      </c>
      <c r="L38" s="327">
        <f t="shared" si="4"/>
        <v>58.23033231</v>
      </c>
      <c r="M38" s="321" t="str">
        <f t="shared" si="5"/>
        <v>santigs67</v>
      </c>
      <c r="N38" s="176">
        <f>IFERROR(__xludf.DUMMYFUNCTION("""COMPUTED_VALUE"""),2.0)</f>
        <v>2</v>
      </c>
      <c r="O38" s="176"/>
      <c r="P38" s="176"/>
      <c r="Q38" s="176"/>
      <c r="R38" s="176"/>
      <c r="S38" s="176"/>
      <c r="T38" s="176"/>
      <c r="U38" s="176"/>
      <c r="V38" s="176"/>
      <c r="W38" s="176"/>
      <c r="X38" s="176"/>
      <c r="Y38" s="176"/>
      <c r="Z38" s="176"/>
    </row>
    <row r="39">
      <c r="A39" s="249" t="s">
        <v>4</v>
      </c>
      <c r="B39" s="249" t="s">
        <v>18</v>
      </c>
      <c r="C39" s="219" t="s">
        <v>2693</v>
      </c>
      <c r="D39" s="268" t="s">
        <v>495</v>
      </c>
      <c r="E39" s="251">
        <v>44218.0</v>
      </c>
      <c r="F39" s="250" t="s">
        <v>496</v>
      </c>
      <c r="G39" s="171">
        <v>50000.0</v>
      </c>
      <c r="H39" s="171">
        <v>100.0</v>
      </c>
      <c r="I39" s="171">
        <v>150.0</v>
      </c>
      <c r="J39" s="325">
        <f t="shared" si="2"/>
        <v>0.007299087222</v>
      </c>
      <c r="K39" s="326">
        <f t="shared" si="3"/>
        <v>6.812481407</v>
      </c>
      <c r="L39" s="327">
        <f t="shared" si="4"/>
        <v>58.23033231</v>
      </c>
      <c r="M39" s="321" t="str">
        <f t="shared" si="5"/>
        <v>santigs67</v>
      </c>
      <c r="N39" s="176">
        <f>IFERROR(__xludf.DUMMYFUNCTION("""COMPUTED_VALUE"""),3.0)</f>
        <v>3</v>
      </c>
      <c r="O39" s="176"/>
      <c r="P39" s="176"/>
      <c r="Q39" s="176"/>
      <c r="R39" s="176"/>
      <c r="S39" s="176"/>
      <c r="T39" s="176"/>
      <c r="U39" s="176"/>
      <c r="V39" s="176"/>
      <c r="W39" s="176"/>
      <c r="X39" s="176"/>
      <c r="Y39" s="176"/>
      <c r="Z39" s="176"/>
    </row>
    <row r="40">
      <c r="A40" s="249" t="s">
        <v>4</v>
      </c>
      <c r="B40" s="249" t="s">
        <v>1228</v>
      </c>
      <c r="C40" s="219" t="s">
        <v>2694</v>
      </c>
      <c r="D40" s="268" t="s">
        <v>495</v>
      </c>
      <c r="E40" s="251">
        <v>44215.0</v>
      </c>
      <c r="F40" s="250" t="s">
        <v>496</v>
      </c>
      <c r="G40" s="171">
        <v>30000.0</v>
      </c>
      <c r="H40" s="171">
        <v>50.0</v>
      </c>
      <c r="I40" s="171">
        <v>200.0</v>
      </c>
      <c r="J40" s="325">
        <f t="shared" si="2"/>
        <v>0.00532846682</v>
      </c>
      <c r="K40" s="326">
        <f t="shared" si="3"/>
        <v>4.973235699</v>
      </c>
      <c r="L40" s="327">
        <f t="shared" si="4"/>
        <v>58.23033231</v>
      </c>
      <c r="M40" s="321" t="str">
        <f t="shared" si="5"/>
        <v>santigs67</v>
      </c>
      <c r="N40" s="176">
        <f>IFERROR(__xludf.DUMMYFUNCTION("""COMPUTED_VALUE"""),4.0)</f>
        <v>4</v>
      </c>
      <c r="O40" s="176"/>
      <c r="P40" s="176"/>
      <c r="Q40" s="176"/>
      <c r="R40" s="176"/>
      <c r="S40" s="176"/>
      <c r="T40" s="176"/>
      <c r="U40" s="176"/>
      <c r="V40" s="176"/>
      <c r="W40" s="176"/>
      <c r="X40" s="176"/>
      <c r="Y40" s="176"/>
      <c r="Z40" s="176"/>
    </row>
    <row r="41">
      <c r="A41" s="249" t="s">
        <v>4</v>
      </c>
      <c r="B41" s="249" t="s">
        <v>10</v>
      </c>
      <c r="C41" s="219" t="s">
        <v>2695</v>
      </c>
      <c r="D41" s="268" t="s">
        <v>495</v>
      </c>
      <c r="E41" s="251">
        <v>44225.0</v>
      </c>
      <c r="F41" s="250" t="s">
        <v>496</v>
      </c>
      <c r="G41" s="171">
        <v>10000.0</v>
      </c>
      <c r="H41" s="171">
        <v>100.0</v>
      </c>
      <c r="I41" s="171">
        <v>200.0</v>
      </c>
      <c r="J41" s="325">
        <f t="shared" si="2"/>
        <v>0.004712008286</v>
      </c>
      <c r="K41" s="326">
        <f t="shared" si="3"/>
        <v>4.3978744</v>
      </c>
      <c r="L41" s="327">
        <f t="shared" si="4"/>
        <v>58.23033231</v>
      </c>
      <c r="M41" s="321" t="str">
        <f t="shared" si="5"/>
        <v>santigs67</v>
      </c>
      <c r="N41" s="176">
        <f>IFERROR(__xludf.DUMMYFUNCTION("""COMPUTED_VALUE"""),5.0)</f>
        <v>5</v>
      </c>
      <c r="O41" s="176"/>
      <c r="P41" s="176"/>
      <c r="Q41" s="176"/>
      <c r="R41" s="176"/>
      <c r="S41" s="176"/>
      <c r="T41" s="176"/>
      <c r="U41" s="176"/>
      <c r="V41" s="176"/>
      <c r="W41" s="176"/>
      <c r="X41" s="176"/>
      <c r="Y41" s="176"/>
      <c r="Z41" s="176"/>
    </row>
    <row r="42">
      <c r="A42" s="249" t="s">
        <v>4</v>
      </c>
      <c r="B42" s="249" t="s">
        <v>867</v>
      </c>
      <c r="C42" s="219" t="s">
        <v>2696</v>
      </c>
      <c r="D42" s="268" t="s">
        <v>495</v>
      </c>
      <c r="E42" s="251">
        <v>44216.0</v>
      </c>
      <c r="F42" s="250" t="s">
        <v>496</v>
      </c>
      <c r="G42" s="171">
        <v>5000.0</v>
      </c>
      <c r="H42" s="171">
        <v>100.0</v>
      </c>
      <c r="I42" s="171">
        <v>150.0</v>
      </c>
      <c r="J42" s="325">
        <f t="shared" si="2"/>
        <v>0.003807678415</v>
      </c>
      <c r="K42" s="326">
        <f t="shared" si="3"/>
        <v>3.553833187</v>
      </c>
      <c r="L42" s="327">
        <f t="shared" si="4"/>
        <v>58.23033231</v>
      </c>
      <c r="M42" s="321" t="str">
        <f t="shared" si="5"/>
        <v>santigs67</v>
      </c>
      <c r="N42" s="176">
        <f>IFERROR(__xludf.DUMMYFUNCTION("""COMPUTED_VALUE"""),6.0)</f>
        <v>6</v>
      </c>
      <c r="O42" s="176"/>
      <c r="P42" s="176"/>
      <c r="Q42" s="176"/>
      <c r="R42" s="176"/>
      <c r="S42" s="176"/>
      <c r="T42" s="176"/>
      <c r="U42" s="176"/>
      <c r="V42" s="176"/>
      <c r="W42" s="176"/>
      <c r="X42" s="176"/>
      <c r="Y42" s="176"/>
      <c r="Z42" s="176"/>
    </row>
    <row r="43">
      <c r="A43" s="249" t="s">
        <v>4</v>
      </c>
      <c r="B43" s="249" t="s">
        <v>845</v>
      </c>
      <c r="C43" s="219" t="s">
        <v>2697</v>
      </c>
      <c r="D43" s="268" t="s">
        <v>495</v>
      </c>
      <c r="E43" s="251">
        <v>44221.0</v>
      </c>
      <c r="F43" s="250" t="s">
        <v>496</v>
      </c>
      <c r="G43" s="171">
        <v>10000.0</v>
      </c>
      <c r="H43" s="171">
        <v>25.0</v>
      </c>
      <c r="I43" s="171">
        <v>100.0</v>
      </c>
      <c r="J43" s="325">
        <f t="shared" si="2"/>
        <v>0.002276299098</v>
      </c>
      <c r="K43" s="326">
        <f t="shared" si="3"/>
        <v>2.124545825</v>
      </c>
      <c r="L43" s="327">
        <f t="shared" si="4"/>
        <v>58.23033231</v>
      </c>
      <c r="M43" s="321" t="str">
        <f t="shared" si="5"/>
        <v>santigs67</v>
      </c>
      <c r="N43" s="176">
        <f>IFERROR(__xludf.DUMMYFUNCTION("""COMPUTED_VALUE"""),7.0)</f>
        <v>7</v>
      </c>
      <c r="O43" s="176"/>
      <c r="P43" s="176"/>
      <c r="Q43" s="176"/>
      <c r="R43" s="176"/>
      <c r="S43" s="176"/>
      <c r="T43" s="176"/>
      <c r="U43" s="176"/>
      <c r="V43" s="176"/>
      <c r="W43" s="176"/>
      <c r="X43" s="176"/>
      <c r="Y43" s="176"/>
      <c r="Z43" s="176"/>
    </row>
    <row r="44">
      <c r="A44" s="249" t="s">
        <v>4</v>
      </c>
      <c r="B44" s="249" t="s">
        <v>10</v>
      </c>
      <c r="C44" s="219" t="s">
        <v>2698</v>
      </c>
      <c r="D44" s="268" t="s">
        <v>495</v>
      </c>
      <c r="E44" s="251">
        <v>44225.0</v>
      </c>
      <c r="F44" s="250" t="s">
        <v>496</v>
      </c>
      <c r="G44" s="171">
        <v>10000.0</v>
      </c>
      <c r="H44" s="171">
        <v>50.0</v>
      </c>
      <c r="I44" s="171">
        <v>50.0</v>
      </c>
      <c r="J44" s="325">
        <f t="shared" si="2"/>
        <v>0.002227542896</v>
      </c>
      <c r="K44" s="326">
        <f t="shared" si="3"/>
        <v>2.079040036</v>
      </c>
      <c r="L44" s="327">
        <f t="shared" si="4"/>
        <v>58.23033231</v>
      </c>
      <c r="M44" s="321" t="str">
        <f t="shared" si="5"/>
        <v>santigs67</v>
      </c>
      <c r="N44" s="176">
        <f>IFERROR(__xludf.DUMMYFUNCTION("""COMPUTED_VALUE"""),8.0)</f>
        <v>8</v>
      </c>
      <c r="O44" s="176"/>
      <c r="P44" s="176"/>
      <c r="Q44" s="176"/>
      <c r="R44" s="176"/>
      <c r="S44" s="176"/>
      <c r="T44" s="176"/>
      <c r="U44" s="176"/>
      <c r="V44" s="176"/>
      <c r="W44" s="176"/>
      <c r="X44" s="176"/>
      <c r="Y44" s="176"/>
      <c r="Z44" s="176"/>
    </row>
    <row r="45">
      <c r="A45" s="249" t="s">
        <v>4</v>
      </c>
      <c r="B45" s="249" t="s">
        <v>10</v>
      </c>
      <c r="C45" s="219" t="s">
        <v>2668</v>
      </c>
      <c r="D45" s="268" t="s">
        <v>495</v>
      </c>
      <c r="E45" s="251">
        <v>44218.0</v>
      </c>
      <c r="F45" s="250" t="s">
        <v>496</v>
      </c>
      <c r="G45" s="171">
        <v>5000.0</v>
      </c>
      <c r="H45" s="171">
        <v>25.0</v>
      </c>
      <c r="I45" s="171">
        <v>100.0</v>
      </c>
      <c r="J45" s="325">
        <f t="shared" si="2"/>
        <v>0.001888364786</v>
      </c>
      <c r="K45" s="326">
        <f t="shared" si="3"/>
        <v>1.762473801</v>
      </c>
      <c r="L45" s="327">
        <f t="shared" si="4"/>
        <v>58.23033231</v>
      </c>
      <c r="M45" s="321" t="str">
        <f t="shared" si="5"/>
        <v>santigs67</v>
      </c>
      <c r="N45" s="176">
        <f>IFERROR(__xludf.DUMMYFUNCTION("""COMPUTED_VALUE"""),9.0)</f>
        <v>9</v>
      </c>
      <c r="O45" s="176"/>
      <c r="P45" s="176"/>
      <c r="Q45" s="176"/>
      <c r="R45" s="176"/>
      <c r="S45" s="176"/>
      <c r="T45" s="176"/>
      <c r="U45" s="176"/>
      <c r="V45" s="176"/>
      <c r="W45" s="176"/>
      <c r="X45" s="176"/>
      <c r="Y45" s="176"/>
      <c r="Z45" s="176"/>
    </row>
    <row r="46">
      <c r="A46" s="249" t="s">
        <v>4</v>
      </c>
      <c r="B46" s="249" t="s">
        <v>10</v>
      </c>
      <c r="C46" s="219" t="s">
        <v>2670</v>
      </c>
      <c r="D46" s="268" t="s">
        <v>495</v>
      </c>
      <c r="E46" s="251">
        <v>44225.0</v>
      </c>
      <c r="F46" s="250" t="s">
        <v>496</v>
      </c>
      <c r="G46" s="171">
        <v>5000.0</v>
      </c>
      <c r="H46" s="171">
        <v>25.0</v>
      </c>
      <c r="I46" s="171">
        <v>100.0</v>
      </c>
      <c r="J46" s="325">
        <f t="shared" si="2"/>
        <v>0.001888364786</v>
      </c>
      <c r="K46" s="326">
        <f t="shared" si="3"/>
        <v>1.762473801</v>
      </c>
      <c r="L46" s="327">
        <f t="shared" si="4"/>
        <v>58.23033231</v>
      </c>
      <c r="M46" s="321" t="str">
        <f t="shared" si="5"/>
        <v>santigs67</v>
      </c>
      <c r="N46" s="176">
        <f>IFERROR(__xludf.DUMMYFUNCTION("""COMPUTED_VALUE"""),10.0)</f>
        <v>10</v>
      </c>
      <c r="O46" s="176"/>
      <c r="P46" s="176"/>
      <c r="Q46" s="176"/>
      <c r="R46" s="176"/>
      <c r="S46" s="176"/>
      <c r="T46" s="176"/>
      <c r="U46" s="176"/>
      <c r="V46" s="176"/>
      <c r="W46" s="176"/>
      <c r="X46" s="176"/>
      <c r="Y46" s="176"/>
      <c r="Z46" s="176"/>
    </row>
    <row r="47">
      <c r="A47" s="249" t="s">
        <v>4</v>
      </c>
      <c r="B47" s="249" t="s">
        <v>590</v>
      </c>
      <c r="C47" s="219" t="s">
        <v>2699</v>
      </c>
      <c r="D47" s="268" t="s">
        <v>495</v>
      </c>
      <c r="E47" s="251">
        <v>44224.0</v>
      </c>
      <c r="F47" s="250" t="s">
        <v>496</v>
      </c>
      <c r="G47" s="171">
        <v>1000.0</v>
      </c>
      <c r="H47" s="171">
        <v>25.0</v>
      </c>
      <c r="I47" s="171">
        <v>100.0</v>
      </c>
      <c r="J47" s="325">
        <f t="shared" si="2"/>
        <v>0.001578017337</v>
      </c>
      <c r="K47" s="326">
        <f t="shared" si="3"/>
        <v>1.472816181</v>
      </c>
      <c r="L47" s="327">
        <f t="shared" si="4"/>
        <v>58.23033231</v>
      </c>
      <c r="M47" s="321" t="str">
        <f t="shared" si="5"/>
        <v>santigs67</v>
      </c>
      <c r="N47" s="176">
        <f>IFERROR(__xludf.DUMMYFUNCTION("""COMPUTED_VALUE"""),11.0)</f>
        <v>11</v>
      </c>
      <c r="O47" s="176"/>
      <c r="P47" s="176"/>
      <c r="Q47" s="176"/>
      <c r="R47" s="176"/>
      <c r="S47" s="176"/>
      <c r="T47" s="176"/>
      <c r="U47" s="176"/>
      <c r="V47" s="176"/>
      <c r="W47" s="176"/>
      <c r="X47" s="176"/>
      <c r="Y47" s="176"/>
      <c r="Z47" s="176"/>
    </row>
    <row r="48">
      <c r="A48" s="249" t="s">
        <v>4</v>
      </c>
      <c r="B48" s="249" t="s">
        <v>10</v>
      </c>
      <c r="C48" s="219" t="s">
        <v>2700</v>
      </c>
      <c r="D48" s="268" t="s">
        <v>495</v>
      </c>
      <c r="E48" s="251">
        <v>44218.0</v>
      </c>
      <c r="F48" s="250" t="s">
        <v>496</v>
      </c>
      <c r="G48" s="171">
        <v>2000.0</v>
      </c>
      <c r="H48" s="171">
        <v>25.0</v>
      </c>
      <c r="I48" s="171">
        <v>50.0</v>
      </c>
      <c r="J48" s="325">
        <f t="shared" si="2"/>
        <v>0.00113920864</v>
      </c>
      <c r="K48" s="326">
        <f t="shared" si="3"/>
        <v>1.063261398</v>
      </c>
      <c r="L48" s="327">
        <f t="shared" si="4"/>
        <v>58.23033231</v>
      </c>
      <c r="M48" s="321" t="str">
        <f t="shared" si="5"/>
        <v>santigs67</v>
      </c>
      <c r="N48" s="176">
        <f>IFERROR(__xludf.DUMMYFUNCTION("""COMPUTED_VALUE"""),12.0)</f>
        <v>12</v>
      </c>
      <c r="O48" s="176"/>
      <c r="P48" s="176"/>
      <c r="Q48" s="176"/>
      <c r="R48" s="176"/>
      <c r="S48" s="176"/>
      <c r="T48" s="176"/>
      <c r="U48" s="176"/>
      <c r="V48" s="176"/>
      <c r="W48" s="176"/>
      <c r="X48" s="176"/>
      <c r="Y48" s="176"/>
      <c r="Z48" s="176"/>
    </row>
    <row r="49">
      <c r="A49" s="249" t="s">
        <v>4</v>
      </c>
      <c r="B49" s="249" t="s">
        <v>590</v>
      </c>
      <c r="C49" s="219" t="s">
        <v>2678</v>
      </c>
      <c r="D49" s="268" t="s">
        <v>495</v>
      </c>
      <c r="E49" s="251">
        <v>44216.0</v>
      </c>
      <c r="F49" s="250" t="s">
        <v>496</v>
      </c>
      <c r="G49" s="171">
        <v>1000.0</v>
      </c>
      <c r="H49" s="171">
        <v>25.0</v>
      </c>
      <c r="I49" s="171">
        <v>25.0</v>
      </c>
      <c r="J49" s="325">
        <f t="shared" si="2"/>
        <v>0.0008034239984</v>
      </c>
      <c r="K49" s="326">
        <f t="shared" si="3"/>
        <v>0.7498623985</v>
      </c>
      <c r="L49" s="327">
        <f t="shared" si="4"/>
        <v>58.23033231</v>
      </c>
      <c r="M49" s="321" t="str">
        <f t="shared" si="5"/>
        <v>santigs67</v>
      </c>
      <c r="N49" s="176">
        <f>IFERROR(__xludf.DUMMYFUNCTION("""COMPUTED_VALUE"""),13.0)</f>
        <v>13</v>
      </c>
      <c r="O49" s="176"/>
      <c r="P49" s="176"/>
      <c r="Q49" s="176"/>
      <c r="R49" s="176"/>
      <c r="S49" s="176"/>
      <c r="T49" s="176"/>
      <c r="U49" s="176"/>
      <c r="V49" s="176"/>
      <c r="W49" s="176"/>
      <c r="X49" s="176"/>
      <c r="Y49" s="176"/>
      <c r="Z49" s="176"/>
    </row>
    <row r="50">
      <c r="A50" s="249" t="s">
        <v>4</v>
      </c>
      <c r="B50" s="249" t="s">
        <v>868</v>
      </c>
      <c r="C50" s="219" t="s">
        <v>2679</v>
      </c>
      <c r="D50" s="268" t="s">
        <v>495</v>
      </c>
      <c r="E50" s="251">
        <v>44218.0</v>
      </c>
      <c r="F50" s="250" t="s">
        <v>496</v>
      </c>
      <c r="G50" s="171">
        <v>1000.0</v>
      </c>
      <c r="H50" s="171">
        <v>25.0</v>
      </c>
      <c r="I50" s="171">
        <v>25.0</v>
      </c>
      <c r="J50" s="325">
        <f t="shared" si="2"/>
        <v>0.0008034239984</v>
      </c>
      <c r="K50" s="326">
        <f t="shared" si="3"/>
        <v>0.7498623985</v>
      </c>
      <c r="L50" s="327">
        <f t="shared" si="4"/>
        <v>58.23033231</v>
      </c>
      <c r="M50" s="321" t="str">
        <f t="shared" si="5"/>
        <v>santigs67</v>
      </c>
      <c r="N50" s="176">
        <f>IFERROR(__xludf.DUMMYFUNCTION("""COMPUTED_VALUE"""),14.0)</f>
        <v>14</v>
      </c>
      <c r="O50" s="176"/>
      <c r="P50" s="176"/>
      <c r="Q50" s="176"/>
      <c r="R50" s="176"/>
      <c r="S50" s="176"/>
      <c r="T50" s="176"/>
      <c r="U50" s="176"/>
      <c r="V50" s="176"/>
      <c r="W50" s="176"/>
      <c r="X50" s="176"/>
      <c r="Y50" s="176"/>
      <c r="Z50" s="176"/>
    </row>
    <row r="51">
      <c r="A51" s="249" t="s">
        <v>4</v>
      </c>
      <c r="B51" s="249" t="s">
        <v>590</v>
      </c>
      <c r="C51" s="219" t="s">
        <v>2681</v>
      </c>
      <c r="D51" s="268" t="s">
        <v>495</v>
      </c>
      <c r="E51" s="251">
        <v>44222.0</v>
      </c>
      <c r="F51" s="250" t="s">
        <v>496</v>
      </c>
      <c r="G51" s="171">
        <v>1000.0</v>
      </c>
      <c r="H51" s="171">
        <v>25.0</v>
      </c>
      <c r="I51" s="171">
        <v>25.0</v>
      </c>
      <c r="J51" s="325">
        <f t="shared" si="2"/>
        <v>0.0008034239984</v>
      </c>
      <c r="K51" s="326">
        <f t="shared" si="3"/>
        <v>0.7498623985</v>
      </c>
      <c r="L51" s="327">
        <f t="shared" si="4"/>
        <v>58.23033231</v>
      </c>
      <c r="M51" s="321" t="str">
        <f t="shared" si="5"/>
        <v>santigs67</v>
      </c>
      <c r="N51" s="176">
        <f>IFERROR(__xludf.DUMMYFUNCTION("""COMPUTED_VALUE"""),15.0)</f>
        <v>15</v>
      </c>
      <c r="O51" s="176"/>
      <c r="P51" s="176"/>
      <c r="Q51" s="176"/>
      <c r="R51" s="176"/>
      <c r="S51" s="176"/>
      <c r="T51" s="176"/>
      <c r="U51" s="176"/>
      <c r="V51" s="176"/>
      <c r="W51" s="176"/>
      <c r="X51" s="176"/>
      <c r="Y51" s="176"/>
      <c r="Z51" s="176"/>
    </row>
    <row r="52">
      <c r="A52" s="249" t="s">
        <v>4</v>
      </c>
      <c r="B52" s="249" t="s">
        <v>10</v>
      </c>
      <c r="C52" s="219" t="s">
        <v>2498</v>
      </c>
      <c r="D52" s="268" t="s">
        <v>495</v>
      </c>
      <c r="E52" s="251">
        <v>44218.0</v>
      </c>
      <c r="F52" s="250" t="s">
        <v>545</v>
      </c>
      <c r="G52" s="171">
        <v>500.0</v>
      </c>
      <c r="H52" s="171">
        <v>25.0</v>
      </c>
      <c r="I52" s="171">
        <v>25.0</v>
      </c>
      <c r="J52" s="325">
        <f t="shared" si="2"/>
        <v>0.0007646305672</v>
      </c>
      <c r="K52" s="326">
        <f t="shared" si="3"/>
        <v>0.7136551961</v>
      </c>
      <c r="L52" s="327">
        <f t="shared" si="4"/>
        <v>58.23033231</v>
      </c>
      <c r="M52" s="321" t="str">
        <f t="shared" si="5"/>
        <v>santigs67</v>
      </c>
      <c r="N52" s="176">
        <f>IFERROR(__xludf.DUMMYFUNCTION("""COMPUTED_VALUE"""),16.0)</f>
        <v>16</v>
      </c>
      <c r="O52" s="176"/>
      <c r="P52" s="176"/>
      <c r="Q52" s="176"/>
      <c r="R52" s="176"/>
      <c r="S52" s="176"/>
      <c r="T52" s="176"/>
      <c r="U52" s="176"/>
      <c r="V52" s="176"/>
      <c r="W52" s="176"/>
      <c r="X52" s="176"/>
      <c r="Y52" s="176"/>
      <c r="Z52" s="176"/>
    </row>
    <row r="53">
      <c r="A53" s="249" t="s">
        <v>4</v>
      </c>
      <c r="B53" s="249" t="s">
        <v>10</v>
      </c>
      <c r="C53" s="219" t="s">
        <v>2498</v>
      </c>
      <c r="D53" s="268" t="s">
        <v>495</v>
      </c>
      <c r="E53" s="251">
        <v>44225.0</v>
      </c>
      <c r="F53" s="250" t="s">
        <v>496</v>
      </c>
      <c r="G53" s="171">
        <v>500.0</v>
      </c>
      <c r="H53" s="171">
        <v>25.0</v>
      </c>
      <c r="I53" s="171">
        <v>25.0</v>
      </c>
      <c r="J53" s="325">
        <f t="shared" si="2"/>
        <v>0.0007646305672</v>
      </c>
      <c r="K53" s="326">
        <f t="shared" si="3"/>
        <v>0.7136551961</v>
      </c>
      <c r="L53" s="327">
        <f t="shared" si="4"/>
        <v>58.23033231</v>
      </c>
      <c r="M53" s="321" t="str">
        <f t="shared" si="5"/>
        <v>santigs67</v>
      </c>
      <c r="N53" s="176">
        <f>IFERROR(__xludf.DUMMYFUNCTION("""COMPUTED_VALUE"""),17.0)</f>
        <v>17</v>
      </c>
      <c r="O53" s="176"/>
      <c r="P53" s="176"/>
      <c r="Q53" s="176"/>
      <c r="R53" s="176"/>
      <c r="S53" s="176"/>
      <c r="T53" s="176"/>
      <c r="U53" s="176"/>
      <c r="V53" s="176"/>
      <c r="W53" s="176"/>
      <c r="X53" s="176"/>
      <c r="Y53" s="176"/>
      <c r="Z53" s="176"/>
    </row>
    <row r="54">
      <c r="A54" s="249" t="s">
        <v>4</v>
      </c>
      <c r="B54" s="249" t="s">
        <v>10</v>
      </c>
      <c r="C54" s="219" t="s">
        <v>2687</v>
      </c>
      <c r="D54" s="268" t="s">
        <v>495</v>
      </c>
      <c r="E54" s="251">
        <v>44218.0</v>
      </c>
      <c r="F54" s="250" t="s">
        <v>496</v>
      </c>
      <c r="G54" s="171">
        <v>1000.0</v>
      </c>
      <c r="H54" s="171">
        <v>15.0</v>
      </c>
      <c r="I54" s="171">
        <v>25.0</v>
      </c>
      <c r="J54" s="325">
        <f t="shared" si="2"/>
        <v>0.0006163682558</v>
      </c>
      <c r="K54" s="326">
        <f t="shared" si="3"/>
        <v>0.5752770387</v>
      </c>
      <c r="L54" s="327">
        <f t="shared" si="4"/>
        <v>58.23033231</v>
      </c>
      <c r="M54" s="321" t="str">
        <f t="shared" si="5"/>
        <v>santigs67</v>
      </c>
      <c r="N54" s="176">
        <f>IFERROR(__xludf.DUMMYFUNCTION("""COMPUTED_VALUE"""),18.0)</f>
        <v>18</v>
      </c>
      <c r="O54" s="176"/>
      <c r="P54" s="176"/>
      <c r="Q54" s="176"/>
      <c r="R54" s="176"/>
      <c r="S54" s="176"/>
      <c r="T54" s="176"/>
      <c r="U54" s="176"/>
      <c r="V54" s="176"/>
      <c r="W54" s="176"/>
      <c r="X54" s="176"/>
      <c r="Y54" s="176"/>
      <c r="Z54" s="176"/>
    </row>
    <row r="55">
      <c r="A55" s="249" t="s">
        <v>4</v>
      </c>
      <c r="B55" s="249" t="s">
        <v>18</v>
      </c>
      <c r="C55" s="219" t="s">
        <v>2689</v>
      </c>
      <c r="D55" s="268" t="s">
        <v>495</v>
      </c>
      <c r="E55" s="251">
        <v>44222.0</v>
      </c>
      <c r="F55" s="250" t="s">
        <v>496</v>
      </c>
      <c r="G55" s="171">
        <v>1000.0</v>
      </c>
      <c r="H55" s="171">
        <v>15.0</v>
      </c>
      <c r="I55" s="171">
        <v>25.0</v>
      </c>
      <c r="J55" s="325">
        <f t="shared" si="2"/>
        <v>0.0006163682558</v>
      </c>
      <c r="K55" s="326">
        <f t="shared" si="3"/>
        <v>0.5752770387</v>
      </c>
      <c r="L55" s="327">
        <f t="shared" si="4"/>
        <v>58.23033231</v>
      </c>
      <c r="M55" s="321" t="str">
        <f t="shared" si="5"/>
        <v>santigs67</v>
      </c>
      <c r="N55" s="176">
        <f>IFERROR(__xludf.DUMMYFUNCTION("""COMPUTED_VALUE"""),19.0)</f>
        <v>19</v>
      </c>
      <c r="O55" s="176"/>
      <c r="P55" s="176"/>
      <c r="Q55" s="176"/>
      <c r="R55" s="176"/>
      <c r="S55" s="176"/>
      <c r="T55" s="176"/>
      <c r="U55" s="176"/>
      <c r="V55" s="176"/>
      <c r="W55" s="176"/>
      <c r="X55" s="176"/>
      <c r="Y55" s="176"/>
      <c r="Z55" s="176"/>
    </row>
    <row r="56">
      <c r="A56" s="249" t="s">
        <v>4</v>
      </c>
      <c r="B56" s="249" t="s">
        <v>10</v>
      </c>
      <c r="C56" s="219" t="s">
        <v>2690</v>
      </c>
      <c r="D56" s="268" t="s">
        <v>495</v>
      </c>
      <c r="E56" s="251">
        <v>44225.0</v>
      </c>
      <c r="F56" s="250" t="s">
        <v>496</v>
      </c>
      <c r="G56" s="171">
        <v>1000.0</v>
      </c>
      <c r="H56" s="171">
        <v>15.0</v>
      </c>
      <c r="I56" s="171">
        <v>25.0</v>
      </c>
      <c r="J56" s="325">
        <f t="shared" si="2"/>
        <v>0.0006163682558</v>
      </c>
      <c r="K56" s="326">
        <f t="shared" si="3"/>
        <v>0.5752770387</v>
      </c>
      <c r="L56" s="327">
        <f t="shared" si="4"/>
        <v>58.23033231</v>
      </c>
      <c r="M56" s="321" t="str">
        <f t="shared" si="5"/>
        <v>santigs67</v>
      </c>
      <c r="N56" s="176">
        <f>IFERROR(__xludf.DUMMYFUNCTION("""COMPUTED_VALUE"""),20.0)</f>
        <v>20</v>
      </c>
      <c r="O56" s="176"/>
      <c r="P56" s="176"/>
      <c r="Q56" s="176"/>
      <c r="R56" s="176"/>
      <c r="S56" s="176"/>
      <c r="T56" s="176"/>
      <c r="U56" s="176"/>
      <c r="V56" s="176"/>
      <c r="W56" s="176"/>
      <c r="X56" s="176"/>
      <c r="Y56" s="176"/>
      <c r="Z56" s="176"/>
    </row>
    <row r="57">
      <c r="A57" s="249" t="s">
        <v>4</v>
      </c>
      <c r="B57" s="249" t="s">
        <v>18</v>
      </c>
      <c r="C57" s="219" t="s">
        <v>2685</v>
      </c>
      <c r="D57" s="268" t="s">
        <v>495</v>
      </c>
      <c r="E57" s="251">
        <v>44215.0</v>
      </c>
      <c r="F57" s="250" t="s">
        <v>496</v>
      </c>
      <c r="G57" s="171">
        <v>10.0</v>
      </c>
      <c r="H57" s="171">
        <v>15.0</v>
      </c>
      <c r="I57" s="171">
        <v>25.0</v>
      </c>
      <c r="J57" s="325">
        <f t="shared" si="2"/>
        <v>0.000539557262</v>
      </c>
      <c r="K57" s="326">
        <f t="shared" si="3"/>
        <v>0.5035867779</v>
      </c>
      <c r="L57" s="327">
        <f t="shared" si="4"/>
        <v>58.23033231</v>
      </c>
      <c r="M57" s="321" t="str">
        <f t="shared" si="5"/>
        <v>santigs67</v>
      </c>
      <c r="N57" s="176">
        <f>IFERROR(__xludf.DUMMYFUNCTION("""COMPUTED_VALUE"""),21.0)</f>
        <v>21</v>
      </c>
      <c r="O57" s="176"/>
      <c r="P57" s="176"/>
      <c r="Q57" s="176"/>
      <c r="R57" s="176"/>
      <c r="S57" s="176"/>
      <c r="T57" s="176"/>
      <c r="U57" s="176"/>
      <c r="V57" s="176"/>
      <c r="W57" s="176"/>
      <c r="X57" s="176"/>
      <c r="Y57" s="176"/>
      <c r="Z57" s="176"/>
    </row>
    <row r="58">
      <c r="A58" s="249" t="s">
        <v>19</v>
      </c>
      <c r="B58" s="249" t="s">
        <v>590</v>
      </c>
      <c r="C58" s="219" t="s">
        <v>2701</v>
      </c>
      <c r="D58" s="268" t="s">
        <v>495</v>
      </c>
      <c r="E58" s="251">
        <v>44224.0</v>
      </c>
      <c r="F58" s="250" t="s">
        <v>499</v>
      </c>
      <c r="G58" s="171">
        <v>250000.0</v>
      </c>
      <c r="H58" s="171">
        <v>50.0</v>
      </c>
      <c r="I58" s="171">
        <v>200.0</v>
      </c>
      <c r="J58" s="325">
        <f t="shared" si="2"/>
        <v>0.02239757654</v>
      </c>
      <c r="K58" s="326">
        <f t="shared" si="3"/>
        <v>20.90440477</v>
      </c>
      <c r="L58" s="327">
        <f t="shared" si="4"/>
        <v>40.94891441</v>
      </c>
      <c r="M58" s="321" t="str">
        <f t="shared" si="5"/>
        <v>mzargham</v>
      </c>
      <c r="N58" s="176">
        <f>IFERROR(__xludf.DUMMYFUNCTION("""COMPUTED_VALUE"""),1.0)</f>
        <v>1</v>
      </c>
      <c r="O58" s="176"/>
      <c r="P58" s="176"/>
      <c r="Q58" s="176"/>
      <c r="R58" s="176"/>
      <c r="S58" s="176"/>
      <c r="T58" s="176"/>
      <c r="U58" s="176"/>
      <c r="V58" s="176"/>
      <c r="W58" s="176"/>
      <c r="X58" s="176"/>
      <c r="Y58" s="176"/>
      <c r="Z58" s="176"/>
    </row>
    <row r="59">
      <c r="A59" s="249" t="s">
        <v>19</v>
      </c>
      <c r="B59" s="249" t="s">
        <v>925</v>
      </c>
      <c r="C59" s="219" t="s">
        <v>2702</v>
      </c>
      <c r="D59" s="268" t="s">
        <v>495</v>
      </c>
      <c r="E59" s="251">
        <v>44214.0</v>
      </c>
      <c r="F59" s="250" t="s">
        <v>496</v>
      </c>
      <c r="G59" s="171">
        <v>100000.0</v>
      </c>
      <c r="H59" s="171">
        <v>50.0</v>
      </c>
      <c r="I59" s="171">
        <v>200.0</v>
      </c>
      <c r="J59" s="325">
        <f t="shared" si="2"/>
        <v>0.01075954719</v>
      </c>
      <c r="K59" s="326">
        <f t="shared" si="3"/>
        <v>10.04224404</v>
      </c>
      <c r="L59" s="327">
        <f t="shared" si="4"/>
        <v>40.94891441</v>
      </c>
      <c r="M59" s="321" t="str">
        <f t="shared" si="5"/>
        <v>mzargham</v>
      </c>
      <c r="N59" s="176">
        <f>IFERROR(__xludf.DUMMYFUNCTION("""COMPUTED_VALUE"""),2.0)</f>
        <v>2</v>
      </c>
      <c r="O59" s="176"/>
      <c r="P59" s="176"/>
      <c r="Q59" s="176"/>
      <c r="R59" s="176"/>
      <c r="S59" s="176"/>
      <c r="T59" s="176"/>
      <c r="U59" s="176"/>
      <c r="V59" s="176"/>
      <c r="W59" s="176"/>
      <c r="X59" s="176"/>
      <c r="Y59" s="176"/>
      <c r="Z59" s="176"/>
    </row>
    <row r="60">
      <c r="A60" s="249" t="s">
        <v>19</v>
      </c>
      <c r="B60" s="249" t="s">
        <v>10</v>
      </c>
      <c r="C60" s="219" t="s">
        <v>2703</v>
      </c>
      <c r="D60" s="268" t="s">
        <v>495</v>
      </c>
      <c r="E60" s="251">
        <v>44225.0</v>
      </c>
      <c r="F60" s="250" t="s">
        <v>496</v>
      </c>
      <c r="G60" s="171">
        <v>50000.0</v>
      </c>
      <c r="H60" s="171">
        <v>100.0</v>
      </c>
      <c r="I60" s="171">
        <v>100.0</v>
      </c>
      <c r="J60" s="325">
        <f t="shared" si="2"/>
        <v>0.006782691663</v>
      </c>
      <c r="K60" s="326">
        <f t="shared" si="3"/>
        <v>6.330512219</v>
      </c>
      <c r="L60" s="327">
        <f t="shared" si="4"/>
        <v>40.94891441</v>
      </c>
      <c r="M60" s="321" t="str">
        <f t="shared" si="5"/>
        <v>mzargham</v>
      </c>
      <c r="N60" s="176">
        <f>IFERROR(__xludf.DUMMYFUNCTION("""COMPUTED_VALUE"""),3.0)</f>
        <v>3</v>
      </c>
      <c r="O60" s="176"/>
      <c r="P60" s="176"/>
      <c r="Q60" s="176"/>
      <c r="R60" s="176"/>
      <c r="S60" s="176"/>
      <c r="T60" s="176"/>
      <c r="U60" s="176"/>
      <c r="V60" s="176"/>
      <c r="W60" s="176"/>
      <c r="X60" s="176"/>
      <c r="Y60" s="176"/>
      <c r="Z60" s="176"/>
    </row>
    <row r="61">
      <c r="A61" s="249" t="s">
        <v>19</v>
      </c>
      <c r="B61" s="249" t="s">
        <v>590</v>
      </c>
      <c r="C61" s="219" t="s">
        <v>2704</v>
      </c>
      <c r="D61" s="268" t="s">
        <v>495</v>
      </c>
      <c r="E61" s="251">
        <v>44217.0</v>
      </c>
      <c r="F61" s="250" t="s">
        <v>592</v>
      </c>
      <c r="G61" s="171">
        <v>5000.0</v>
      </c>
      <c r="H61" s="171">
        <v>50.0</v>
      </c>
      <c r="I61" s="171">
        <v>100.0</v>
      </c>
      <c r="J61" s="325">
        <f t="shared" si="2"/>
        <v>0.002356004143</v>
      </c>
      <c r="K61" s="326">
        <f t="shared" si="3"/>
        <v>2.1989372</v>
      </c>
      <c r="L61" s="327">
        <f t="shared" si="4"/>
        <v>40.94891441</v>
      </c>
      <c r="M61" s="321" t="str">
        <f t="shared" si="5"/>
        <v>mzargham</v>
      </c>
      <c r="N61" s="176">
        <f>IFERROR(__xludf.DUMMYFUNCTION("""COMPUTED_VALUE"""),4.0)</f>
        <v>4</v>
      </c>
      <c r="O61" s="176"/>
      <c r="P61" s="176"/>
      <c r="Q61" s="176"/>
      <c r="R61" s="176"/>
      <c r="S61" s="176"/>
      <c r="T61" s="176"/>
      <c r="U61" s="176"/>
      <c r="V61" s="176"/>
      <c r="W61" s="176"/>
      <c r="X61" s="176"/>
      <c r="Y61" s="176"/>
      <c r="Z61" s="176"/>
    </row>
    <row r="62">
      <c r="A62" s="249" t="s">
        <v>19</v>
      </c>
      <c r="B62" s="249" t="s">
        <v>519</v>
      </c>
      <c r="C62" s="219" t="s">
        <v>2705</v>
      </c>
      <c r="D62" s="268" t="s">
        <v>495</v>
      </c>
      <c r="E62" s="251">
        <v>44223.0</v>
      </c>
      <c r="F62" s="250" t="s">
        <v>499</v>
      </c>
      <c r="G62" s="171">
        <v>1000.0</v>
      </c>
      <c r="H62" s="171">
        <v>25.0</v>
      </c>
      <c r="I62" s="171">
        <v>100.0</v>
      </c>
      <c r="J62" s="325">
        <f t="shared" si="2"/>
        <v>0.001578017337</v>
      </c>
      <c r="K62" s="326">
        <f t="shared" si="3"/>
        <v>1.472816181</v>
      </c>
      <c r="L62" s="327">
        <f t="shared" si="4"/>
        <v>40.94891441</v>
      </c>
      <c r="M62" s="321" t="str">
        <f t="shared" si="5"/>
        <v>mzargham</v>
      </c>
      <c r="N62" s="176">
        <f>IFERROR(__xludf.DUMMYFUNCTION("""COMPUTED_VALUE"""),5.0)</f>
        <v>5</v>
      </c>
      <c r="O62" s="176"/>
      <c r="P62" s="176"/>
      <c r="Q62" s="176"/>
      <c r="R62" s="176"/>
      <c r="S62" s="176"/>
      <c r="T62" s="176"/>
      <c r="U62" s="176"/>
      <c r="V62" s="176"/>
      <c r="W62" s="176"/>
      <c r="X62" s="176"/>
      <c r="Y62" s="176"/>
      <c r="Z62" s="176"/>
    </row>
    <row r="63">
      <c r="A63" s="249" t="s">
        <v>12</v>
      </c>
      <c r="B63" s="249" t="s">
        <v>10</v>
      </c>
      <c r="C63" s="219" t="s">
        <v>2498</v>
      </c>
      <c r="D63" s="268" t="s">
        <v>495</v>
      </c>
      <c r="E63" s="251">
        <v>44212.0</v>
      </c>
      <c r="F63" s="250" t="s">
        <v>496</v>
      </c>
      <c r="G63" s="243"/>
      <c r="H63" s="243"/>
      <c r="I63" s="243"/>
      <c r="J63" s="325">
        <f t="shared" si="2"/>
        <v>0</v>
      </c>
      <c r="K63" s="330">
        <v>1.9815994338287328</v>
      </c>
      <c r="L63" s="327">
        <f t="shared" si="4"/>
        <v>31.70559094</v>
      </c>
      <c r="M63" s="321" t="str">
        <f t="shared" si="5"/>
        <v>metaverde</v>
      </c>
      <c r="N63" s="176">
        <f>IFERROR(__xludf.DUMMYFUNCTION("""COMPUTED_VALUE"""),1.0)</f>
        <v>1</v>
      </c>
      <c r="O63" s="176"/>
      <c r="P63" s="176"/>
      <c r="Q63" s="176"/>
      <c r="R63" s="176"/>
      <c r="S63" s="176"/>
      <c r="T63" s="176"/>
      <c r="U63" s="176"/>
      <c r="V63" s="176"/>
      <c r="W63" s="176"/>
      <c r="X63" s="176"/>
      <c r="Y63" s="176"/>
      <c r="Z63" s="176"/>
    </row>
    <row r="64">
      <c r="A64" s="249" t="s">
        <v>12</v>
      </c>
      <c r="B64" s="249" t="s">
        <v>519</v>
      </c>
      <c r="C64" s="219" t="s">
        <v>2706</v>
      </c>
      <c r="D64" s="268" t="s">
        <v>495</v>
      </c>
      <c r="E64" s="251">
        <v>44213.0</v>
      </c>
      <c r="F64" s="250" t="s">
        <v>496</v>
      </c>
      <c r="G64" s="243"/>
      <c r="H64" s="243"/>
      <c r="I64" s="243"/>
      <c r="J64" s="325">
        <f t="shared" si="2"/>
        <v>0</v>
      </c>
      <c r="K64" s="330">
        <v>1.9815994338287328</v>
      </c>
      <c r="L64" s="327">
        <f t="shared" si="4"/>
        <v>31.70559094</v>
      </c>
      <c r="M64" s="321" t="str">
        <f t="shared" si="5"/>
        <v>metaverde</v>
      </c>
      <c r="N64" s="176">
        <f>IFERROR(__xludf.DUMMYFUNCTION("""COMPUTED_VALUE"""),2.0)</f>
        <v>2</v>
      </c>
      <c r="O64" s="176"/>
      <c r="P64" s="176"/>
      <c r="Q64" s="176"/>
      <c r="R64" s="176"/>
      <c r="S64" s="176"/>
      <c r="T64" s="176"/>
      <c r="U64" s="176"/>
      <c r="V64" s="176"/>
      <c r="W64" s="176"/>
      <c r="X64" s="176"/>
      <c r="Y64" s="176"/>
      <c r="Z64" s="176"/>
    </row>
    <row r="65">
      <c r="A65" s="249" t="s">
        <v>12</v>
      </c>
      <c r="B65" s="249" t="s">
        <v>18</v>
      </c>
      <c r="C65" s="219" t="s">
        <v>2685</v>
      </c>
      <c r="D65" s="268" t="s">
        <v>495</v>
      </c>
      <c r="E65" s="251">
        <v>44215.0</v>
      </c>
      <c r="F65" s="250" t="s">
        <v>496</v>
      </c>
      <c r="G65" s="243"/>
      <c r="H65" s="243"/>
      <c r="I65" s="243"/>
      <c r="J65" s="325">
        <f t="shared" si="2"/>
        <v>0</v>
      </c>
      <c r="K65" s="330">
        <v>1.9815994338287328</v>
      </c>
      <c r="L65" s="327">
        <f t="shared" si="4"/>
        <v>31.70559094</v>
      </c>
      <c r="M65" s="321" t="str">
        <f t="shared" si="5"/>
        <v>metaverde</v>
      </c>
      <c r="N65" s="176">
        <f>IFERROR(__xludf.DUMMYFUNCTION("""COMPUTED_VALUE"""),3.0)</f>
        <v>3</v>
      </c>
      <c r="O65" s="176"/>
      <c r="P65" s="176"/>
      <c r="Q65" s="176"/>
      <c r="R65" s="176"/>
      <c r="S65" s="176"/>
      <c r="T65" s="176"/>
      <c r="U65" s="176"/>
      <c r="V65" s="176"/>
      <c r="W65" s="176"/>
      <c r="X65" s="176"/>
      <c r="Y65" s="176"/>
      <c r="Z65" s="176"/>
    </row>
    <row r="66">
      <c r="A66" s="249" t="s">
        <v>12</v>
      </c>
      <c r="B66" s="249" t="s">
        <v>590</v>
      </c>
      <c r="C66" s="219" t="s">
        <v>2678</v>
      </c>
      <c r="D66" s="268" t="s">
        <v>495</v>
      </c>
      <c r="E66" s="251">
        <v>44216.0</v>
      </c>
      <c r="F66" s="250" t="s">
        <v>496</v>
      </c>
      <c r="G66" s="243"/>
      <c r="H66" s="243"/>
      <c r="I66" s="243"/>
      <c r="J66" s="325">
        <f t="shared" si="2"/>
        <v>0</v>
      </c>
      <c r="K66" s="330">
        <v>1.9815994338287328</v>
      </c>
      <c r="L66" s="327">
        <f t="shared" si="4"/>
        <v>31.70559094</v>
      </c>
      <c r="M66" s="321" t="str">
        <f t="shared" si="5"/>
        <v>metaverde</v>
      </c>
      <c r="N66" s="176">
        <f>IFERROR(__xludf.DUMMYFUNCTION("""COMPUTED_VALUE"""),4.0)</f>
        <v>4</v>
      </c>
      <c r="O66" s="176"/>
      <c r="P66" s="176"/>
      <c r="Q66" s="176"/>
      <c r="R66" s="176"/>
      <c r="S66" s="176"/>
      <c r="T66" s="176"/>
      <c r="U66" s="176"/>
      <c r="V66" s="176"/>
      <c r="W66" s="176"/>
      <c r="X66" s="176"/>
      <c r="Y66" s="176"/>
      <c r="Z66" s="176"/>
    </row>
    <row r="67">
      <c r="A67" s="249" t="s">
        <v>12</v>
      </c>
      <c r="B67" s="249" t="s">
        <v>867</v>
      </c>
      <c r="C67" s="219" t="s">
        <v>2707</v>
      </c>
      <c r="D67" s="268" t="s">
        <v>495</v>
      </c>
      <c r="E67" s="251">
        <v>44216.0</v>
      </c>
      <c r="F67" s="250" t="s">
        <v>496</v>
      </c>
      <c r="G67" s="243"/>
      <c r="H67" s="243"/>
      <c r="I67" s="243"/>
      <c r="J67" s="325">
        <f t="shared" si="2"/>
        <v>0</v>
      </c>
      <c r="K67" s="330">
        <v>1.9815994338287328</v>
      </c>
      <c r="L67" s="327">
        <f t="shared" si="4"/>
        <v>31.70559094</v>
      </c>
      <c r="M67" s="321" t="str">
        <f t="shared" si="5"/>
        <v>metaverde</v>
      </c>
      <c r="N67" s="176">
        <f>IFERROR(__xludf.DUMMYFUNCTION("""COMPUTED_VALUE"""),5.0)</f>
        <v>5</v>
      </c>
      <c r="O67" s="176"/>
      <c r="P67" s="176"/>
      <c r="Q67" s="176"/>
      <c r="R67" s="176"/>
      <c r="S67" s="176"/>
      <c r="T67" s="176"/>
      <c r="U67" s="176"/>
      <c r="V67" s="176"/>
      <c r="W67" s="176"/>
      <c r="X67" s="176"/>
      <c r="Y67" s="176"/>
      <c r="Z67" s="176"/>
    </row>
    <row r="68">
      <c r="A68" s="249" t="s">
        <v>12</v>
      </c>
      <c r="B68" s="249" t="s">
        <v>10</v>
      </c>
      <c r="C68" s="219" t="s">
        <v>2498</v>
      </c>
      <c r="D68" s="268" t="s">
        <v>495</v>
      </c>
      <c r="E68" s="251">
        <v>44218.0</v>
      </c>
      <c r="F68" s="250" t="s">
        <v>545</v>
      </c>
      <c r="G68" s="243"/>
      <c r="H68" s="243"/>
      <c r="I68" s="243"/>
      <c r="J68" s="325">
        <f t="shared" si="2"/>
        <v>0</v>
      </c>
      <c r="K68" s="330">
        <v>1.9815994338287328</v>
      </c>
      <c r="L68" s="327">
        <f t="shared" si="4"/>
        <v>31.70559094</v>
      </c>
      <c r="M68" s="321" t="str">
        <f t="shared" si="5"/>
        <v>metaverde</v>
      </c>
      <c r="N68" s="176">
        <f>IFERROR(__xludf.DUMMYFUNCTION("""COMPUTED_VALUE"""),6.0)</f>
        <v>6</v>
      </c>
      <c r="O68" s="176"/>
      <c r="P68" s="176"/>
      <c r="Q68" s="176"/>
      <c r="R68" s="176"/>
      <c r="S68" s="176"/>
      <c r="T68" s="176"/>
      <c r="U68" s="176"/>
      <c r="V68" s="176"/>
      <c r="W68" s="176"/>
      <c r="X68" s="176"/>
      <c r="Y68" s="176"/>
      <c r="Z68" s="176"/>
    </row>
    <row r="69">
      <c r="A69" s="249" t="s">
        <v>12</v>
      </c>
      <c r="B69" s="249" t="s">
        <v>10</v>
      </c>
      <c r="C69" s="219" t="s">
        <v>2708</v>
      </c>
      <c r="D69" s="268" t="s">
        <v>495</v>
      </c>
      <c r="E69" s="251">
        <v>44218.0</v>
      </c>
      <c r="F69" s="250" t="s">
        <v>496</v>
      </c>
      <c r="G69" s="243"/>
      <c r="H69" s="243"/>
      <c r="I69" s="243"/>
      <c r="J69" s="325">
        <f t="shared" si="2"/>
        <v>0</v>
      </c>
      <c r="K69" s="330">
        <v>1.9815994338287328</v>
      </c>
      <c r="L69" s="327">
        <f t="shared" si="4"/>
        <v>31.70559094</v>
      </c>
      <c r="M69" s="321" t="str">
        <f t="shared" si="5"/>
        <v>metaverde</v>
      </c>
      <c r="N69" s="176">
        <f>IFERROR(__xludf.DUMMYFUNCTION("""COMPUTED_VALUE"""),7.0)</f>
        <v>7</v>
      </c>
      <c r="O69" s="176"/>
      <c r="P69" s="176"/>
      <c r="Q69" s="176"/>
      <c r="R69" s="176"/>
      <c r="S69" s="176"/>
      <c r="T69" s="176"/>
      <c r="U69" s="176"/>
      <c r="V69" s="176"/>
      <c r="W69" s="176"/>
      <c r="X69" s="176"/>
      <c r="Y69" s="176"/>
      <c r="Z69" s="176"/>
    </row>
    <row r="70">
      <c r="A70" s="249" t="s">
        <v>12</v>
      </c>
      <c r="B70" s="249" t="s">
        <v>10</v>
      </c>
      <c r="C70" s="219" t="s">
        <v>2687</v>
      </c>
      <c r="D70" s="268" t="s">
        <v>495</v>
      </c>
      <c r="E70" s="251">
        <v>44218.0</v>
      </c>
      <c r="F70" s="250" t="s">
        <v>496</v>
      </c>
      <c r="G70" s="243"/>
      <c r="H70" s="243"/>
      <c r="I70" s="243"/>
      <c r="J70" s="325">
        <f t="shared" si="2"/>
        <v>0</v>
      </c>
      <c r="K70" s="330">
        <v>1.9815994338287328</v>
      </c>
      <c r="L70" s="327">
        <f t="shared" si="4"/>
        <v>31.70559094</v>
      </c>
      <c r="M70" s="321" t="str">
        <f t="shared" si="5"/>
        <v>metaverde</v>
      </c>
      <c r="N70" s="176">
        <f>IFERROR(__xludf.DUMMYFUNCTION("""COMPUTED_VALUE"""),8.0)</f>
        <v>8</v>
      </c>
      <c r="O70" s="176"/>
      <c r="P70" s="176"/>
      <c r="Q70" s="176"/>
      <c r="R70" s="176"/>
      <c r="S70" s="176"/>
      <c r="T70" s="176"/>
      <c r="U70" s="176"/>
      <c r="V70" s="176"/>
      <c r="W70" s="176"/>
      <c r="X70" s="176"/>
      <c r="Y70" s="176"/>
      <c r="Z70" s="176"/>
    </row>
    <row r="71">
      <c r="A71" s="249" t="s">
        <v>12</v>
      </c>
      <c r="B71" s="249" t="s">
        <v>845</v>
      </c>
      <c r="C71" s="219" t="s">
        <v>2709</v>
      </c>
      <c r="D71" s="268" t="s">
        <v>495</v>
      </c>
      <c r="E71" s="251">
        <v>44221.0</v>
      </c>
      <c r="F71" s="250" t="s">
        <v>496</v>
      </c>
      <c r="G71" s="243"/>
      <c r="H71" s="243"/>
      <c r="I71" s="243"/>
      <c r="J71" s="325">
        <f t="shared" si="2"/>
        <v>0</v>
      </c>
      <c r="K71" s="330">
        <v>1.9815994338287328</v>
      </c>
      <c r="L71" s="327">
        <f t="shared" si="4"/>
        <v>31.70559094</v>
      </c>
      <c r="M71" s="321" t="str">
        <f t="shared" si="5"/>
        <v>metaverde</v>
      </c>
      <c r="N71" s="176">
        <f>IFERROR(__xludf.DUMMYFUNCTION("""COMPUTED_VALUE"""),9.0)</f>
        <v>9</v>
      </c>
      <c r="O71" s="176"/>
      <c r="P71" s="176"/>
      <c r="Q71" s="176"/>
      <c r="R71" s="176"/>
      <c r="S71" s="176"/>
      <c r="T71" s="176"/>
      <c r="U71" s="176"/>
      <c r="V71" s="176"/>
      <c r="W71" s="176"/>
      <c r="X71" s="176"/>
      <c r="Y71" s="176"/>
      <c r="Z71" s="176"/>
    </row>
    <row r="72">
      <c r="A72" s="249" t="s">
        <v>12</v>
      </c>
      <c r="B72" s="249" t="s">
        <v>590</v>
      </c>
      <c r="C72" s="219" t="s">
        <v>2681</v>
      </c>
      <c r="D72" s="268" t="s">
        <v>495</v>
      </c>
      <c r="E72" s="251">
        <v>44222.0</v>
      </c>
      <c r="F72" s="250" t="s">
        <v>496</v>
      </c>
      <c r="G72" s="243"/>
      <c r="H72" s="243"/>
      <c r="I72" s="243"/>
      <c r="J72" s="325">
        <f t="shared" si="2"/>
        <v>0</v>
      </c>
      <c r="K72" s="330">
        <v>1.9815994338287328</v>
      </c>
      <c r="L72" s="327">
        <f t="shared" si="4"/>
        <v>31.70559094</v>
      </c>
      <c r="M72" s="321" t="str">
        <f t="shared" si="5"/>
        <v>metaverde</v>
      </c>
      <c r="N72" s="176">
        <f>IFERROR(__xludf.DUMMYFUNCTION("""COMPUTED_VALUE"""),10.0)</f>
        <v>10</v>
      </c>
      <c r="O72" s="176"/>
      <c r="P72" s="176"/>
      <c r="Q72" s="176"/>
      <c r="R72" s="176"/>
      <c r="S72" s="176"/>
      <c r="T72" s="176"/>
      <c r="U72" s="176"/>
      <c r="V72" s="176"/>
      <c r="W72" s="176"/>
      <c r="X72" s="176"/>
      <c r="Y72" s="176"/>
      <c r="Z72" s="176"/>
    </row>
    <row r="73">
      <c r="A73" s="249" t="s">
        <v>12</v>
      </c>
      <c r="B73" s="249" t="s">
        <v>18</v>
      </c>
      <c r="C73" s="219" t="s">
        <v>2689</v>
      </c>
      <c r="D73" s="268" t="s">
        <v>495</v>
      </c>
      <c r="E73" s="251">
        <v>44222.0</v>
      </c>
      <c r="F73" s="250" t="s">
        <v>496</v>
      </c>
      <c r="G73" s="243"/>
      <c r="H73" s="243"/>
      <c r="I73" s="243"/>
      <c r="J73" s="325">
        <f t="shared" si="2"/>
        <v>0</v>
      </c>
      <c r="K73" s="330">
        <v>1.9815994338287328</v>
      </c>
      <c r="L73" s="327">
        <f t="shared" si="4"/>
        <v>31.70559094</v>
      </c>
      <c r="M73" s="321" t="str">
        <f t="shared" si="5"/>
        <v>metaverde</v>
      </c>
      <c r="N73" s="176">
        <f>IFERROR(__xludf.DUMMYFUNCTION("""COMPUTED_VALUE"""),11.0)</f>
        <v>11</v>
      </c>
      <c r="O73" s="176"/>
      <c r="P73" s="176"/>
      <c r="Q73" s="176"/>
      <c r="R73" s="176"/>
      <c r="S73" s="176"/>
      <c r="T73" s="176"/>
      <c r="U73" s="176"/>
      <c r="V73" s="176"/>
      <c r="W73" s="176"/>
      <c r="X73" s="176"/>
      <c r="Y73" s="176"/>
      <c r="Z73" s="176"/>
    </row>
    <row r="74">
      <c r="A74" s="249" t="s">
        <v>12</v>
      </c>
      <c r="B74" s="249" t="s">
        <v>25</v>
      </c>
      <c r="C74" s="219" t="s">
        <v>2710</v>
      </c>
      <c r="D74" s="268" t="s">
        <v>495</v>
      </c>
      <c r="E74" s="251">
        <v>44223.0</v>
      </c>
      <c r="F74" s="250" t="s">
        <v>496</v>
      </c>
      <c r="G74" s="243"/>
      <c r="H74" s="243"/>
      <c r="I74" s="243"/>
      <c r="J74" s="325">
        <f t="shared" si="2"/>
        <v>0</v>
      </c>
      <c r="K74" s="330">
        <v>1.9815994338287328</v>
      </c>
      <c r="L74" s="327">
        <f t="shared" si="4"/>
        <v>31.70559094</v>
      </c>
      <c r="M74" s="321" t="str">
        <f t="shared" si="5"/>
        <v>metaverde</v>
      </c>
      <c r="N74" s="176">
        <f>IFERROR(__xludf.DUMMYFUNCTION("""COMPUTED_VALUE"""),12.0)</f>
        <v>12</v>
      </c>
      <c r="O74" s="176"/>
      <c r="P74" s="176"/>
      <c r="Q74" s="176"/>
      <c r="R74" s="176"/>
      <c r="S74" s="176"/>
      <c r="T74" s="176"/>
      <c r="U74" s="176"/>
      <c r="V74" s="176"/>
      <c r="W74" s="176"/>
      <c r="X74" s="176"/>
      <c r="Y74" s="176"/>
      <c r="Z74" s="176"/>
    </row>
    <row r="75">
      <c r="A75" s="249" t="s">
        <v>12</v>
      </c>
      <c r="B75" s="249" t="s">
        <v>5</v>
      </c>
      <c r="C75" s="219" t="s">
        <v>2676</v>
      </c>
      <c r="D75" s="268" t="s">
        <v>495</v>
      </c>
      <c r="E75" s="251">
        <v>44224.0</v>
      </c>
      <c r="F75" s="250" t="s">
        <v>496</v>
      </c>
      <c r="G75" s="243"/>
      <c r="H75" s="243"/>
      <c r="I75" s="243"/>
      <c r="J75" s="325">
        <f t="shared" si="2"/>
        <v>0</v>
      </c>
      <c r="K75" s="330">
        <v>1.9815994338287328</v>
      </c>
      <c r="L75" s="327">
        <f t="shared" si="4"/>
        <v>31.70559094</v>
      </c>
      <c r="M75" s="321" t="str">
        <f t="shared" si="5"/>
        <v>metaverde</v>
      </c>
      <c r="N75" s="176">
        <f>IFERROR(__xludf.DUMMYFUNCTION("""COMPUTED_VALUE"""),13.0)</f>
        <v>13</v>
      </c>
      <c r="O75" s="176"/>
      <c r="P75" s="176"/>
      <c r="Q75" s="176"/>
      <c r="R75" s="176"/>
      <c r="S75" s="176"/>
      <c r="T75" s="176"/>
      <c r="U75" s="176"/>
      <c r="V75" s="176"/>
      <c r="W75" s="176"/>
      <c r="X75" s="176"/>
      <c r="Y75" s="176"/>
      <c r="Z75" s="176"/>
    </row>
    <row r="76">
      <c r="A76" s="249" t="s">
        <v>12</v>
      </c>
      <c r="B76" s="249" t="s">
        <v>10</v>
      </c>
      <c r="C76" s="219" t="s">
        <v>2711</v>
      </c>
      <c r="D76" s="268" t="s">
        <v>495</v>
      </c>
      <c r="E76" s="251">
        <v>44225.0</v>
      </c>
      <c r="F76" s="250" t="s">
        <v>496</v>
      </c>
      <c r="G76" s="243"/>
      <c r="H76" s="243"/>
      <c r="I76" s="243"/>
      <c r="J76" s="325">
        <f t="shared" si="2"/>
        <v>0</v>
      </c>
      <c r="K76" s="330">
        <v>1.9815994338287328</v>
      </c>
      <c r="L76" s="327">
        <f t="shared" si="4"/>
        <v>31.70559094</v>
      </c>
      <c r="M76" s="321" t="str">
        <f t="shared" si="5"/>
        <v>metaverde</v>
      </c>
      <c r="N76" s="176">
        <f>IFERROR(__xludf.DUMMYFUNCTION("""COMPUTED_VALUE"""),14.0)</f>
        <v>14</v>
      </c>
      <c r="O76" s="176"/>
      <c r="P76" s="176"/>
      <c r="Q76" s="176"/>
      <c r="R76" s="176"/>
      <c r="S76" s="176"/>
      <c r="T76" s="176"/>
      <c r="U76" s="176"/>
      <c r="V76" s="176"/>
      <c r="W76" s="176"/>
      <c r="X76" s="176"/>
      <c r="Y76" s="176"/>
      <c r="Z76" s="176"/>
    </row>
    <row r="77">
      <c r="A77" s="249" t="s">
        <v>12</v>
      </c>
      <c r="B77" s="249" t="s">
        <v>10</v>
      </c>
      <c r="C77" s="219" t="s">
        <v>2690</v>
      </c>
      <c r="D77" s="268" t="s">
        <v>495</v>
      </c>
      <c r="E77" s="251">
        <v>44225.0</v>
      </c>
      <c r="F77" s="250" t="s">
        <v>496</v>
      </c>
      <c r="G77" s="243"/>
      <c r="H77" s="243"/>
      <c r="I77" s="243"/>
      <c r="J77" s="325">
        <f t="shared" si="2"/>
        <v>0</v>
      </c>
      <c r="K77" s="330">
        <v>1.9815994338287328</v>
      </c>
      <c r="L77" s="327">
        <f t="shared" si="4"/>
        <v>31.70559094</v>
      </c>
      <c r="M77" s="321" t="str">
        <f t="shared" si="5"/>
        <v>metaverde</v>
      </c>
      <c r="N77" s="176">
        <f>IFERROR(__xludf.DUMMYFUNCTION("""COMPUTED_VALUE"""),15.0)</f>
        <v>15</v>
      </c>
      <c r="O77" s="176"/>
      <c r="P77" s="176"/>
      <c r="Q77" s="176"/>
      <c r="R77" s="176"/>
      <c r="S77" s="176"/>
      <c r="T77" s="176"/>
      <c r="U77" s="176"/>
      <c r="V77" s="176"/>
      <c r="W77" s="176"/>
      <c r="X77" s="176"/>
      <c r="Y77" s="176"/>
      <c r="Z77" s="176"/>
    </row>
    <row r="78">
      <c r="A78" s="249" t="s">
        <v>12</v>
      </c>
      <c r="B78" s="249" t="s">
        <v>10</v>
      </c>
      <c r="C78" s="219" t="s">
        <v>2498</v>
      </c>
      <c r="D78" s="268" t="s">
        <v>495</v>
      </c>
      <c r="E78" s="251">
        <v>44225.0</v>
      </c>
      <c r="F78" s="250" t="s">
        <v>496</v>
      </c>
      <c r="G78" s="243"/>
      <c r="H78" s="243"/>
      <c r="I78" s="243"/>
      <c r="J78" s="325">
        <f t="shared" si="2"/>
        <v>0</v>
      </c>
      <c r="K78" s="330">
        <v>1.9815994338287328</v>
      </c>
      <c r="L78" s="327">
        <f t="shared" si="4"/>
        <v>31.70559094</v>
      </c>
      <c r="M78" s="321" t="str">
        <f t="shared" si="5"/>
        <v>metaverde</v>
      </c>
      <c r="N78" s="176">
        <f>IFERROR(__xludf.DUMMYFUNCTION("""COMPUTED_VALUE"""),16.0)</f>
        <v>16</v>
      </c>
      <c r="O78" s="176"/>
      <c r="P78" s="176"/>
      <c r="Q78" s="176"/>
      <c r="R78" s="176"/>
      <c r="S78" s="176"/>
      <c r="T78" s="176"/>
      <c r="U78" s="176"/>
      <c r="V78" s="176"/>
      <c r="W78" s="176"/>
      <c r="X78" s="176"/>
      <c r="Y78" s="176"/>
      <c r="Z78" s="176"/>
    </row>
    <row r="79">
      <c r="A79" s="249" t="s">
        <v>36</v>
      </c>
      <c r="B79" s="249" t="s">
        <v>879</v>
      </c>
      <c r="C79" s="219" t="s">
        <v>2712</v>
      </c>
      <c r="D79" s="268" t="s">
        <v>495</v>
      </c>
      <c r="E79" s="251">
        <v>44215.0</v>
      </c>
      <c r="F79" s="250" t="s">
        <v>499</v>
      </c>
      <c r="G79" s="171">
        <v>200000.0</v>
      </c>
      <c r="H79" s="171">
        <v>100.0</v>
      </c>
      <c r="I79" s="171">
        <v>50.0</v>
      </c>
      <c r="J79" s="325">
        <f t="shared" si="2"/>
        <v>0.01790432546</v>
      </c>
      <c r="K79" s="326">
        <f t="shared" ref="K79:K103" si="6">J79*$J$1</f>
        <v>16.71070376</v>
      </c>
      <c r="L79" s="327">
        <f t="shared" si="4"/>
        <v>29.66046251</v>
      </c>
      <c r="M79" s="321" t="str">
        <f t="shared" si="5"/>
        <v>wslyvh</v>
      </c>
      <c r="N79" s="176">
        <f>IFERROR(__xludf.DUMMYFUNCTION("""COMPUTED_VALUE"""),1.0)</f>
        <v>1</v>
      </c>
      <c r="O79" s="176"/>
      <c r="P79" s="176"/>
      <c r="Q79" s="176"/>
      <c r="R79" s="176"/>
      <c r="S79" s="176"/>
      <c r="T79" s="176"/>
      <c r="U79" s="176"/>
      <c r="V79" s="176"/>
      <c r="W79" s="176"/>
      <c r="X79" s="176"/>
      <c r="Y79" s="176"/>
      <c r="Z79" s="176"/>
    </row>
    <row r="80">
      <c r="A80" s="249" t="s">
        <v>36</v>
      </c>
      <c r="B80" s="249" t="s">
        <v>519</v>
      </c>
      <c r="C80" s="219" t="s">
        <v>2713</v>
      </c>
      <c r="D80" s="268" t="s">
        <v>495</v>
      </c>
      <c r="E80" s="251">
        <v>44213.0</v>
      </c>
      <c r="F80" s="250" t="s">
        <v>496</v>
      </c>
      <c r="G80" s="171">
        <v>40000.0</v>
      </c>
      <c r="H80" s="171">
        <v>100.0</v>
      </c>
      <c r="I80" s="171">
        <v>100.0</v>
      </c>
      <c r="J80" s="325">
        <f t="shared" si="2"/>
        <v>0.006006823039</v>
      </c>
      <c r="K80" s="326">
        <f t="shared" si="6"/>
        <v>5.60636817</v>
      </c>
      <c r="L80" s="327">
        <f t="shared" si="4"/>
        <v>29.66046251</v>
      </c>
      <c r="M80" s="321" t="str">
        <f t="shared" si="5"/>
        <v>wslyvh</v>
      </c>
      <c r="N80" s="176">
        <f>IFERROR(__xludf.DUMMYFUNCTION("""COMPUTED_VALUE"""),2.0)</f>
        <v>2</v>
      </c>
      <c r="O80" s="176"/>
      <c r="P80" s="176"/>
      <c r="Q80" s="176"/>
      <c r="R80" s="176"/>
      <c r="S80" s="176"/>
      <c r="T80" s="176"/>
      <c r="U80" s="176"/>
      <c r="V80" s="176"/>
      <c r="W80" s="176"/>
      <c r="X80" s="176"/>
      <c r="Y80" s="176"/>
      <c r="Z80" s="176"/>
    </row>
    <row r="81">
      <c r="A81" s="249" t="s">
        <v>36</v>
      </c>
      <c r="B81" s="249" t="s">
        <v>519</v>
      </c>
      <c r="C81" s="219" t="s">
        <v>2714</v>
      </c>
      <c r="D81" s="268" t="s">
        <v>495</v>
      </c>
      <c r="E81" s="251">
        <v>44216.0</v>
      </c>
      <c r="F81" s="250" t="s">
        <v>545</v>
      </c>
      <c r="G81" s="171">
        <v>5000.0</v>
      </c>
      <c r="H81" s="171">
        <v>100.0</v>
      </c>
      <c r="I81" s="171">
        <v>100.0</v>
      </c>
      <c r="J81" s="325">
        <f t="shared" si="2"/>
        <v>0.003291282856</v>
      </c>
      <c r="K81" s="326">
        <f t="shared" si="6"/>
        <v>3.071863999</v>
      </c>
      <c r="L81" s="327">
        <f t="shared" si="4"/>
        <v>29.66046251</v>
      </c>
      <c r="M81" s="321" t="str">
        <f t="shared" si="5"/>
        <v>wslyvh</v>
      </c>
      <c r="N81" s="176">
        <f>IFERROR(__xludf.DUMMYFUNCTION("""COMPUTED_VALUE"""),3.0)</f>
        <v>3</v>
      </c>
      <c r="O81" s="176"/>
      <c r="P81" s="176"/>
      <c r="Q81" s="176"/>
      <c r="R81" s="176"/>
      <c r="S81" s="176"/>
      <c r="T81" s="176"/>
      <c r="U81" s="176"/>
      <c r="V81" s="176"/>
      <c r="W81" s="176"/>
      <c r="X81" s="176"/>
      <c r="Y81" s="176"/>
      <c r="Z81" s="176"/>
    </row>
    <row r="82">
      <c r="A82" s="249" t="s">
        <v>36</v>
      </c>
      <c r="B82" s="249" t="s">
        <v>10</v>
      </c>
      <c r="C82" s="219" t="s">
        <v>2715</v>
      </c>
      <c r="D82" s="268" t="s">
        <v>495</v>
      </c>
      <c r="E82" s="251">
        <v>44225.0</v>
      </c>
      <c r="F82" s="250" t="s">
        <v>496</v>
      </c>
      <c r="G82" s="171">
        <v>10000.0</v>
      </c>
      <c r="H82" s="171">
        <v>50.0</v>
      </c>
      <c r="I82" s="171">
        <v>100.0</v>
      </c>
      <c r="J82" s="325">
        <f t="shared" si="2"/>
        <v>0.002743938455</v>
      </c>
      <c r="K82" s="326">
        <f t="shared" si="6"/>
        <v>2.561009224</v>
      </c>
      <c r="L82" s="327">
        <f t="shared" si="4"/>
        <v>29.66046251</v>
      </c>
      <c r="M82" s="321" t="str">
        <f t="shared" si="5"/>
        <v>wslyvh</v>
      </c>
      <c r="N82" s="176">
        <f>IFERROR(__xludf.DUMMYFUNCTION("""COMPUTED_VALUE"""),4.0)</f>
        <v>4</v>
      </c>
      <c r="O82" s="176"/>
      <c r="P82" s="176"/>
      <c r="Q82" s="176"/>
      <c r="R82" s="176"/>
      <c r="S82" s="176"/>
      <c r="T82" s="176"/>
      <c r="U82" s="176"/>
      <c r="V82" s="176"/>
      <c r="W82" s="176"/>
      <c r="X82" s="176"/>
      <c r="Y82" s="176"/>
      <c r="Z82" s="176"/>
    </row>
    <row r="83">
      <c r="A83" s="249" t="s">
        <v>36</v>
      </c>
      <c r="B83" s="249" t="s">
        <v>10</v>
      </c>
      <c r="C83" s="219" t="s">
        <v>2716</v>
      </c>
      <c r="D83" s="268" t="s">
        <v>495</v>
      </c>
      <c r="E83" s="251">
        <v>44225.0</v>
      </c>
      <c r="F83" s="250" t="s">
        <v>496</v>
      </c>
      <c r="G83" s="171">
        <v>500.0</v>
      </c>
      <c r="H83" s="171">
        <v>35.0</v>
      </c>
      <c r="I83" s="171">
        <v>25.0</v>
      </c>
      <c r="J83" s="325">
        <f t="shared" si="2"/>
        <v>0.0009516863098</v>
      </c>
      <c r="K83" s="326">
        <f t="shared" si="6"/>
        <v>0.8882405558</v>
      </c>
      <c r="L83" s="327">
        <f t="shared" si="4"/>
        <v>29.66046251</v>
      </c>
      <c r="M83" s="321" t="str">
        <f t="shared" si="5"/>
        <v>wslyvh</v>
      </c>
      <c r="N83" s="176">
        <f>IFERROR(__xludf.DUMMYFUNCTION("""COMPUTED_VALUE"""),5.0)</f>
        <v>5</v>
      </c>
      <c r="O83" s="176"/>
      <c r="P83" s="176"/>
      <c r="Q83" s="176"/>
      <c r="R83" s="176"/>
      <c r="S83" s="176"/>
      <c r="T83" s="176"/>
      <c r="U83" s="176"/>
      <c r="V83" s="176"/>
      <c r="W83" s="176"/>
      <c r="X83" s="176"/>
      <c r="Y83" s="176"/>
      <c r="Z83" s="176"/>
    </row>
    <row r="84">
      <c r="A84" s="249" t="s">
        <v>36</v>
      </c>
      <c r="B84" s="249" t="s">
        <v>10</v>
      </c>
      <c r="C84" s="219" t="s">
        <v>494</v>
      </c>
      <c r="D84" s="268" t="s">
        <v>495</v>
      </c>
      <c r="E84" s="251">
        <v>44218.0</v>
      </c>
      <c r="F84" s="250" t="s">
        <v>545</v>
      </c>
      <c r="G84" s="171">
        <v>2000.0</v>
      </c>
      <c r="H84" s="171">
        <v>25.0</v>
      </c>
      <c r="I84" s="171">
        <v>25.0</v>
      </c>
      <c r="J84" s="325">
        <f t="shared" si="2"/>
        <v>0.0008810108608</v>
      </c>
      <c r="K84" s="326">
        <f t="shared" si="6"/>
        <v>0.8222768034</v>
      </c>
      <c r="L84" s="327">
        <f t="shared" si="4"/>
        <v>29.66046251</v>
      </c>
      <c r="M84" s="321" t="str">
        <f t="shared" si="5"/>
        <v>wslyvh</v>
      </c>
      <c r="N84" s="176">
        <f>IFERROR(__xludf.DUMMYFUNCTION("""COMPUTED_VALUE"""),6.0)</f>
        <v>6</v>
      </c>
      <c r="O84" s="176"/>
      <c r="P84" s="176"/>
      <c r="Q84" s="176"/>
      <c r="R84" s="176"/>
      <c r="S84" s="176"/>
      <c r="T84" s="176"/>
      <c r="U84" s="176"/>
      <c r="V84" s="176"/>
      <c r="W84" s="176"/>
      <c r="X84" s="176"/>
      <c r="Y84" s="176"/>
      <c r="Z84" s="176"/>
    </row>
    <row r="85">
      <c r="A85" s="249" t="s">
        <v>10</v>
      </c>
      <c r="B85" s="249" t="s">
        <v>867</v>
      </c>
      <c r="C85" s="219" t="s">
        <v>2717</v>
      </c>
      <c r="D85" s="268" t="s">
        <v>495</v>
      </c>
      <c r="E85" s="251">
        <v>44214.0</v>
      </c>
      <c r="F85" s="250" t="s">
        <v>496</v>
      </c>
      <c r="G85" s="171">
        <v>100000.0</v>
      </c>
      <c r="H85" s="171">
        <v>100.0</v>
      </c>
      <c r="I85" s="171">
        <v>100.0</v>
      </c>
      <c r="J85" s="325">
        <f t="shared" si="2"/>
        <v>0.01066203478</v>
      </c>
      <c r="K85" s="326">
        <f t="shared" si="6"/>
        <v>9.951232463</v>
      </c>
      <c r="L85" s="327">
        <f t="shared" si="4"/>
        <v>25.63526864</v>
      </c>
      <c r="M85" s="321" t="str">
        <f t="shared" si="5"/>
        <v>iviangita</v>
      </c>
      <c r="N85" s="176">
        <f>IFERROR(__xludf.DUMMYFUNCTION("""COMPUTED_VALUE"""),1.0)</f>
        <v>1</v>
      </c>
      <c r="O85" s="176"/>
      <c r="P85" s="176"/>
      <c r="Q85" s="176"/>
      <c r="R85" s="176"/>
      <c r="S85" s="176"/>
      <c r="T85" s="176"/>
      <c r="U85" s="176"/>
      <c r="V85" s="176"/>
      <c r="W85" s="176"/>
      <c r="X85" s="176"/>
      <c r="Y85" s="176"/>
      <c r="Z85" s="176"/>
    </row>
    <row r="86">
      <c r="A86" s="249" t="s">
        <v>10</v>
      </c>
      <c r="B86" s="249" t="s">
        <v>10</v>
      </c>
      <c r="C86" s="219" t="s">
        <v>2718</v>
      </c>
      <c r="D86" s="268" t="s">
        <v>495</v>
      </c>
      <c r="E86" s="251">
        <v>44218.0</v>
      </c>
      <c r="F86" s="250" t="s">
        <v>496</v>
      </c>
      <c r="G86" s="171">
        <v>20000.0</v>
      </c>
      <c r="H86" s="171">
        <v>150.0</v>
      </c>
      <c r="I86" s="171">
        <v>100.0</v>
      </c>
      <c r="J86" s="325">
        <f t="shared" si="2"/>
        <v>0.005390364505</v>
      </c>
      <c r="K86" s="326">
        <f t="shared" si="6"/>
        <v>5.031006871</v>
      </c>
      <c r="L86" s="327">
        <f t="shared" si="4"/>
        <v>25.63526864</v>
      </c>
      <c r="M86" s="321" t="str">
        <f t="shared" si="5"/>
        <v>iviangita</v>
      </c>
      <c r="N86" s="176">
        <f>IFERROR(__xludf.DUMMYFUNCTION("""COMPUTED_VALUE"""),2.0)</f>
        <v>2</v>
      </c>
      <c r="O86" s="176"/>
      <c r="P86" s="176"/>
      <c r="Q86" s="176"/>
      <c r="R86" s="176"/>
      <c r="S86" s="176"/>
      <c r="T86" s="176"/>
      <c r="U86" s="176"/>
      <c r="V86" s="176"/>
      <c r="W86" s="176"/>
      <c r="X86" s="176"/>
      <c r="Y86" s="176"/>
      <c r="Z86" s="176"/>
    </row>
    <row r="87">
      <c r="A87" s="249" t="s">
        <v>10</v>
      </c>
      <c r="B87" s="249" t="s">
        <v>10</v>
      </c>
      <c r="C87" s="219" t="s">
        <v>2719</v>
      </c>
      <c r="D87" s="268" t="s">
        <v>495</v>
      </c>
      <c r="E87" s="251">
        <v>44225.0</v>
      </c>
      <c r="F87" s="250" t="s">
        <v>496</v>
      </c>
      <c r="G87" s="171">
        <v>50000.0</v>
      </c>
      <c r="H87" s="171">
        <v>50.0</v>
      </c>
      <c r="I87" s="171">
        <v>100.0</v>
      </c>
      <c r="J87" s="325">
        <f t="shared" si="2"/>
        <v>0.00584741295</v>
      </c>
      <c r="K87" s="326">
        <f t="shared" si="6"/>
        <v>5.45758542</v>
      </c>
      <c r="L87" s="327">
        <f t="shared" si="4"/>
        <v>25.63526864</v>
      </c>
      <c r="M87" s="321" t="str">
        <f t="shared" si="5"/>
        <v>iviangita</v>
      </c>
      <c r="N87" s="176">
        <f>IFERROR(__xludf.DUMMYFUNCTION("""COMPUTED_VALUE"""),3.0)</f>
        <v>3</v>
      </c>
      <c r="O87" s="176"/>
      <c r="P87" s="176"/>
      <c r="Q87" s="176"/>
      <c r="R87" s="176"/>
      <c r="S87" s="176"/>
      <c r="T87" s="176"/>
      <c r="U87" s="176"/>
      <c r="V87" s="176"/>
      <c r="W87" s="176"/>
      <c r="X87" s="176"/>
      <c r="Y87" s="176"/>
      <c r="Z87" s="176"/>
    </row>
    <row r="88">
      <c r="A88" s="249" t="s">
        <v>10</v>
      </c>
      <c r="B88" s="249" t="s">
        <v>1228</v>
      </c>
      <c r="C88" s="219" t="s">
        <v>2661</v>
      </c>
      <c r="D88" s="268" t="s">
        <v>495</v>
      </c>
      <c r="E88" s="251">
        <v>44224.0</v>
      </c>
      <c r="F88" s="250" t="s">
        <v>496</v>
      </c>
      <c r="G88" s="171">
        <v>10000.0</v>
      </c>
      <c r="H88" s="171">
        <v>100.0</v>
      </c>
      <c r="I88" s="171">
        <v>200.0</v>
      </c>
      <c r="J88" s="325">
        <f t="shared" si="2"/>
        <v>0.004712008286</v>
      </c>
      <c r="K88" s="326">
        <f t="shared" si="6"/>
        <v>4.3978744</v>
      </c>
      <c r="L88" s="327">
        <f t="shared" si="4"/>
        <v>25.63526864</v>
      </c>
      <c r="M88" s="321" t="str">
        <f t="shared" si="5"/>
        <v>iviangita</v>
      </c>
      <c r="N88" s="176">
        <f>IFERROR(__xludf.DUMMYFUNCTION("""COMPUTED_VALUE"""),4.0)</f>
        <v>4</v>
      </c>
      <c r="O88" s="176"/>
      <c r="P88" s="176"/>
      <c r="Q88" s="176"/>
      <c r="R88" s="176"/>
      <c r="S88" s="176"/>
      <c r="T88" s="176"/>
      <c r="U88" s="176"/>
      <c r="V88" s="176"/>
      <c r="W88" s="176"/>
      <c r="X88" s="176"/>
      <c r="Y88" s="176"/>
      <c r="Z88" s="176"/>
    </row>
    <row r="89">
      <c r="A89" s="249" t="s">
        <v>10</v>
      </c>
      <c r="B89" s="249" t="s">
        <v>25</v>
      </c>
      <c r="C89" s="219" t="s">
        <v>2720</v>
      </c>
      <c r="D89" s="268" t="s">
        <v>495</v>
      </c>
      <c r="E89" s="251">
        <v>44225.0</v>
      </c>
      <c r="F89" s="250" t="s">
        <v>496</v>
      </c>
      <c r="G89" s="171">
        <v>50000.0</v>
      </c>
      <c r="H89" s="171">
        <v>25.0</v>
      </c>
      <c r="I89" s="171">
        <v>100.0</v>
      </c>
      <c r="J89" s="325">
        <f t="shared" si="2"/>
        <v>0.005379773593</v>
      </c>
      <c r="K89" s="326">
        <f t="shared" si="6"/>
        <v>5.02112202</v>
      </c>
      <c r="L89" s="327">
        <f t="shared" si="4"/>
        <v>25.63526864</v>
      </c>
      <c r="M89" s="321" t="str">
        <f t="shared" si="5"/>
        <v>iviangita</v>
      </c>
      <c r="N89" s="176">
        <f>IFERROR(__xludf.DUMMYFUNCTION("""COMPUTED_VALUE"""),5.0)</f>
        <v>5</v>
      </c>
      <c r="O89" s="176"/>
      <c r="P89" s="176"/>
      <c r="Q89" s="176"/>
      <c r="R89" s="176"/>
      <c r="S89" s="176"/>
      <c r="T89" s="176"/>
      <c r="U89" s="176"/>
      <c r="V89" s="176"/>
      <c r="W89" s="176"/>
      <c r="X89" s="176"/>
      <c r="Y89" s="176"/>
      <c r="Z89" s="176"/>
    </row>
    <row r="90">
      <c r="A90" s="249" t="s">
        <v>10</v>
      </c>
      <c r="B90" s="249" t="s">
        <v>1228</v>
      </c>
      <c r="C90" s="219" t="s">
        <v>2662</v>
      </c>
      <c r="D90" s="268" t="s">
        <v>495</v>
      </c>
      <c r="E90" s="251">
        <v>44215.0</v>
      </c>
      <c r="F90" s="250" t="s">
        <v>496</v>
      </c>
      <c r="G90" s="171">
        <v>30000.0</v>
      </c>
      <c r="H90" s="171">
        <v>50.0</v>
      </c>
      <c r="I90" s="171">
        <v>100.0</v>
      </c>
      <c r="J90" s="325">
        <f t="shared" si="2"/>
        <v>0.004295675702</v>
      </c>
      <c r="K90" s="326">
        <f t="shared" si="6"/>
        <v>4.009297322</v>
      </c>
      <c r="L90" s="327">
        <f t="shared" si="4"/>
        <v>25.63526864</v>
      </c>
      <c r="M90" s="321" t="str">
        <f t="shared" si="5"/>
        <v>iviangita</v>
      </c>
      <c r="N90" s="176">
        <f>IFERROR(__xludf.DUMMYFUNCTION("""COMPUTED_VALUE"""),6.0)</f>
        <v>6</v>
      </c>
      <c r="O90" s="176"/>
      <c r="P90" s="176"/>
      <c r="Q90" s="176"/>
      <c r="R90" s="176"/>
      <c r="S90" s="176"/>
      <c r="T90" s="176"/>
      <c r="U90" s="176"/>
      <c r="V90" s="176"/>
      <c r="W90" s="176"/>
      <c r="X90" s="176"/>
      <c r="Y90" s="176"/>
      <c r="Z90" s="176"/>
    </row>
    <row r="91">
      <c r="A91" s="249" t="s">
        <v>10</v>
      </c>
      <c r="B91" s="249" t="s">
        <v>18</v>
      </c>
      <c r="C91" s="219" t="s">
        <v>2721</v>
      </c>
      <c r="D91" s="268" t="s">
        <v>495</v>
      </c>
      <c r="E91" s="251">
        <v>44215.0</v>
      </c>
      <c r="F91" s="250" t="s">
        <v>496</v>
      </c>
      <c r="G91" s="171">
        <v>5000.0</v>
      </c>
      <c r="H91" s="171">
        <v>20.0</v>
      </c>
      <c r="I91" s="171">
        <v>150.0</v>
      </c>
      <c r="J91" s="325">
        <f t="shared" si="2"/>
        <v>0.002311232474</v>
      </c>
      <c r="K91" s="326">
        <f t="shared" si="6"/>
        <v>2.157150309</v>
      </c>
      <c r="L91" s="327">
        <f t="shared" si="4"/>
        <v>25.63526864</v>
      </c>
      <c r="M91" s="321" t="str">
        <f t="shared" si="5"/>
        <v>iviangita</v>
      </c>
      <c r="N91" s="176">
        <f>IFERROR(__xludf.DUMMYFUNCTION("""COMPUTED_VALUE"""),7.0)</f>
        <v>7</v>
      </c>
      <c r="O91" s="176"/>
      <c r="P91" s="176"/>
      <c r="Q91" s="176"/>
      <c r="R91" s="176"/>
      <c r="S91" s="176"/>
      <c r="T91" s="176"/>
      <c r="U91" s="176"/>
      <c r="V91" s="176"/>
      <c r="W91" s="176"/>
      <c r="X91" s="176"/>
      <c r="Y91" s="176"/>
      <c r="Z91" s="176"/>
    </row>
    <row r="92">
      <c r="A92" s="249" t="s">
        <v>10</v>
      </c>
      <c r="B92" s="249" t="s">
        <v>867</v>
      </c>
      <c r="C92" s="219" t="s">
        <v>2722</v>
      </c>
      <c r="D92" s="268" t="s">
        <v>495</v>
      </c>
      <c r="E92" s="251">
        <v>44225.0</v>
      </c>
      <c r="F92" s="250" t="s">
        <v>496</v>
      </c>
      <c r="G92" s="171">
        <v>1000.0</v>
      </c>
      <c r="H92" s="171">
        <v>25.0</v>
      </c>
      <c r="I92" s="171">
        <v>150.0</v>
      </c>
      <c r="J92" s="325">
        <f t="shared" si="2"/>
        <v>0.002094412896</v>
      </c>
      <c r="K92" s="326">
        <f t="shared" si="6"/>
        <v>1.95478537</v>
      </c>
      <c r="L92" s="327">
        <f t="shared" si="4"/>
        <v>25.63526864</v>
      </c>
      <c r="M92" s="321" t="str">
        <f t="shared" si="5"/>
        <v>iviangita</v>
      </c>
      <c r="N92" s="176">
        <f>IFERROR(__xludf.DUMMYFUNCTION("""COMPUTED_VALUE"""),8.0)</f>
        <v>8</v>
      </c>
      <c r="O92" s="176"/>
      <c r="P92" s="176"/>
      <c r="Q92" s="176"/>
      <c r="R92" s="176"/>
      <c r="S92" s="176"/>
      <c r="T92" s="176"/>
      <c r="U92" s="176"/>
      <c r="V92" s="176"/>
      <c r="W92" s="176"/>
      <c r="X92" s="176"/>
      <c r="Y92" s="176"/>
      <c r="Z92" s="176"/>
    </row>
    <row r="93">
      <c r="A93" s="249" t="s">
        <v>10</v>
      </c>
      <c r="B93" s="249" t="s">
        <v>845</v>
      </c>
      <c r="C93" s="219" t="s">
        <v>2665</v>
      </c>
      <c r="D93" s="268" t="s">
        <v>495</v>
      </c>
      <c r="E93" s="251">
        <v>44221.0</v>
      </c>
      <c r="F93" s="250" t="s">
        <v>496</v>
      </c>
      <c r="G93" s="171">
        <v>10000.0</v>
      </c>
      <c r="H93" s="171">
        <v>25.0</v>
      </c>
      <c r="I93" s="171">
        <v>100.0</v>
      </c>
      <c r="J93" s="325">
        <f t="shared" si="2"/>
        <v>0.002276299098</v>
      </c>
      <c r="K93" s="326">
        <f t="shared" si="6"/>
        <v>2.124545825</v>
      </c>
      <c r="L93" s="327">
        <f t="shared" si="4"/>
        <v>25.63526864</v>
      </c>
      <c r="M93" s="321" t="str">
        <f t="shared" si="5"/>
        <v>iviangita</v>
      </c>
      <c r="N93" s="176">
        <f>IFERROR(__xludf.DUMMYFUNCTION("""COMPUTED_VALUE"""),9.0)</f>
        <v>9</v>
      </c>
      <c r="O93" s="176"/>
      <c r="P93" s="176"/>
      <c r="Q93" s="176"/>
      <c r="R93" s="176"/>
      <c r="S93" s="176"/>
      <c r="T93" s="176"/>
      <c r="U93" s="176"/>
      <c r="V93" s="176"/>
      <c r="W93" s="176"/>
      <c r="X93" s="176"/>
      <c r="Y93" s="176"/>
      <c r="Z93" s="176"/>
    </row>
    <row r="94">
      <c r="A94" s="249" t="s">
        <v>10</v>
      </c>
      <c r="B94" s="249" t="s">
        <v>10</v>
      </c>
      <c r="C94" s="219" t="s">
        <v>2666</v>
      </c>
      <c r="D94" s="268" t="s">
        <v>495</v>
      </c>
      <c r="E94" s="251">
        <v>44225.0</v>
      </c>
      <c r="F94" s="250" t="s">
        <v>496</v>
      </c>
      <c r="G94" s="171">
        <v>2000.0</v>
      </c>
      <c r="H94" s="171">
        <v>50.0</v>
      </c>
      <c r="I94" s="171">
        <v>100.0</v>
      </c>
      <c r="J94" s="325">
        <f t="shared" si="2"/>
        <v>0.002123243556</v>
      </c>
      <c r="K94" s="326">
        <f t="shared" si="6"/>
        <v>1.981693985</v>
      </c>
      <c r="L94" s="327">
        <f t="shared" si="4"/>
        <v>25.63526864</v>
      </c>
      <c r="M94" s="321" t="str">
        <f t="shared" si="5"/>
        <v>iviangita</v>
      </c>
      <c r="N94" s="176">
        <f>IFERROR(__xludf.DUMMYFUNCTION("""COMPUTED_VALUE"""),10.0)</f>
        <v>10</v>
      </c>
      <c r="O94" s="176"/>
      <c r="P94" s="176"/>
      <c r="Q94" s="176"/>
      <c r="R94" s="176"/>
      <c r="S94" s="176"/>
      <c r="T94" s="176"/>
      <c r="U94" s="176"/>
      <c r="V94" s="176"/>
      <c r="W94" s="176"/>
      <c r="X94" s="176"/>
      <c r="Y94" s="176"/>
      <c r="Z94" s="176"/>
    </row>
    <row r="95">
      <c r="A95" s="249" t="s">
        <v>10</v>
      </c>
      <c r="B95" s="249" t="s">
        <v>10</v>
      </c>
      <c r="C95" s="219" t="s">
        <v>2670</v>
      </c>
      <c r="D95" s="268" t="s">
        <v>495</v>
      </c>
      <c r="E95" s="251">
        <v>44225.0</v>
      </c>
      <c r="F95" s="250" t="s">
        <v>496</v>
      </c>
      <c r="G95" s="171">
        <v>5000.0</v>
      </c>
      <c r="H95" s="171">
        <v>25.0</v>
      </c>
      <c r="I95" s="171">
        <v>100.0</v>
      </c>
      <c r="J95" s="325">
        <f t="shared" si="2"/>
        <v>0.001888364786</v>
      </c>
      <c r="K95" s="326">
        <f t="shared" si="6"/>
        <v>1.762473801</v>
      </c>
      <c r="L95" s="327">
        <f t="shared" si="4"/>
        <v>25.63526864</v>
      </c>
      <c r="M95" s="321" t="str">
        <f t="shared" si="5"/>
        <v>iviangita</v>
      </c>
      <c r="N95" s="176">
        <f>IFERROR(__xludf.DUMMYFUNCTION("""COMPUTED_VALUE"""),11.0)</f>
        <v>11</v>
      </c>
      <c r="O95" s="176"/>
      <c r="P95" s="176"/>
      <c r="Q95" s="176"/>
      <c r="R95" s="176"/>
      <c r="S95" s="176"/>
      <c r="T95" s="176"/>
      <c r="U95" s="176"/>
      <c r="V95" s="176"/>
      <c r="W95" s="176"/>
      <c r="X95" s="176"/>
      <c r="Y95" s="176"/>
      <c r="Z95" s="176"/>
    </row>
    <row r="96">
      <c r="A96" s="249" t="s">
        <v>10</v>
      </c>
      <c r="B96" s="249" t="s">
        <v>10</v>
      </c>
      <c r="C96" s="219" t="s">
        <v>2723</v>
      </c>
      <c r="D96" s="268" t="s">
        <v>495</v>
      </c>
      <c r="E96" s="251">
        <v>44225.0</v>
      </c>
      <c r="F96" s="250" t="s">
        <v>496</v>
      </c>
      <c r="G96" s="171">
        <v>5000.0</v>
      </c>
      <c r="H96" s="171">
        <v>25.0</v>
      </c>
      <c r="I96" s="171">
        <v>100.0</v>
      </c>
      <c r="J96" s="325">
        <f t="shared" si="2"/>
        <v>0.001888364786</v>
      </c>
      <c r="K96" s="326">
        <f t="shared" si="6"/>
        <v>1.762473801</v>
      </c>
      <c r="L96" s="327">
        <f t="shared" si="4"/>
        <v>25.63526864</v>
      </c>
      <c r="M96" s="321" t="str">
        <f t="shared" si="5"/>
        <v>iviangita</v>
      </c>
      <c r="N96" s="176">
        <f>IFERROR(__xludf.DUMMYFUNCTION("""COMPUTED_VALUE"""),12.0)</f>
        <v>12</v>
      </c>
      <c r="O96" s="176"/>
      <c r="P96" s="176"/>
      <c r="Q96" s="176"/>
      <c r="R96" s="176"/>
      <c r="S96" s="176"/>
      <c r="T96" s="176"/>
      <c r="U96" s="176"/>
      <c r="V96" s="176"/>
      <c r="W96" s="176"/>
      <c r="X96" s="176"/>
      <c r="Y96" s="176"/>
      <c r="Z96" s="176"/>
    </row>
    <row r="97">
      <c r="A97" s="249" t="s">
        <v>10</v>
      </c>
      <c r="B97" s="249" t="s">
        <v>519</v>
      </c>
      <c r="C97" s="219" t="s">
        <v>2705</v>
      </c>
      <c r="D97" s="268" t="s">
        <v>495</v>
      </c>
      <c r="E97" s="251">
        <v>44223.0</v>
      </c>
      <c r="F97" s="250" t="s">
        <v>499</v>
      </c>
      <c r="G97" s="171">
        <v>1000.0</v>
      </c>
      <c r="H97" s="171">
        <v>25.0</v>
      </c>
      <c r="I97" s="171">
        <v>100.0</v>
      </c>
      <c r="J97" s="325">
        <f t="shared" si="2"/>
        <v>0.001578017337</v>
      </c>
      <c r="K97" s="326">
        <f t="shared" si="6"/>
        <v>1.472816181</v>
      </c>
      <c r="L97" s="327">
        <f t="shared" si="4"/>
        <v>25.63526864</v>
      </c>
      <c r="M97" s="321" t="str">
        <f t="shared" si="5"/>
        <v>iviangita</v>
      </c>
      <c r="N97" s="176">
        <f>IFERROR(__xludf.DUMMYFUNCTION("""COMPUTED_VALUE"""),13.0)</f>
        <v>13</v>
      </c>
      <c r="O97" s="176"/>
      <c r="P97" s="176"/>
      <c r="Q97" s="176"/>
      <c r="R97" s="176"/>
      <c r="S97" s="176"/>
      <c r="T97" s="176"/>
      <c r="U97" s="176"/>
      <c r="V97" s="176"/>
      <c r="W97" s="176"/>
      <c r="X97" s="176"/>
      <c r="Y97" s="176"/>
      <c r="Z97" s="176"/>
    </row>
    <row r="98">
      <c r="A98" s="249" t="s">
        <v>10</v>
      </c>
      <c r="B98" s="249" t="s">
        <v>10</v>
      </c>
      <c r="C98" s="219" t="s">
        <v>494</v>
      </c>
      <c r="D98" s="268" t="s">
        <v>495</v>
      </c>
      <c r="E98" s="251">
        <v>44218.0</v>
      </c>
      <c r="F98" s="250" t="s">
        <v>545</v>
      </c>
      <c r="G98" s="171">
        <v>2000.0</v>
      </c>
      <c r="H98" s="171">
        <v>25.0</v>
      </c>
      <c r="I98" s="171">
        <v>25.0</v>
      </c>
      <c r="J98" s="325">
        <f t="shared" si="2"/>
        <v>0.0008810108608</v>
      </c>
      <c r="K98" s="326">
        <f t="shared" si="6"/>
        <v>0.8222768034</v>
      </c>
      <c r="L98" s="327">
        <f t="shared" si="4"/>
        <v>25.63526864</v>
      </c>
      <c r="M98" s="321" t="str">
        <f t="shared" si="5"/>
        <v>iviangita</v>
      </c>
      <c r="N98" s="176">
        <f>IFERROR(__xludf.DUMMYFUNCTION("""COMPUTED_VALUE"""),14.0)</f>
        <v>14</v>
      </c>
      <c r="O98" s="176"/>
      <c r="P98" s="176"/>
      <c r="Q98" s="176"/>
      <c r="R98" s="176"/>
      <c r="S98" s="176"/>
      <c r="T98" s="176"/>
      <c r="U98" s="176"/>
      <c r="V98" s="176"/>
      <c r="W98" s="176"/>
      <c r="X98" s="176"/>
      <c r="Y98" s="176"/>
      <c r="Z98" s="176"/>
    </row>
    <row r="99">
      <c r="A99" s="249" t="s">
        <v>10</v>
      </c>
      <c r="B99" s="249" t="s">
        <v>868</v>
      </c>
      <c r="C99" s="219" t="s">
        <v>2679</v>
      </c>
      <c r="D99" s="268" t="s">
        <v>495</v>
      </c>
      <c r="E99" s="251">
        <v>44218.0</v>
      </c>
      <c r="F99" s="250" t="s">
        <v>496</v>
      </c>
      <c r="G99" s="171">
        <v>1000.0</v>
      </c>
      <c r="H99" s="171">
        <v>25.0</v>
      </c>
      <c r="I99" s="171">
        <v>25.0</v>
      </c>
      <c r="J99" s="325">
        <f t="shared" si="2"/>
        <v>0.0008034239984</v>
      </c>
      <c r="K99" s="326">
        <f t="shared" si="6"/>
        <v>0.7498623985</v>
      </c>
      <c r="L99" s="327">
        <f t="shared" si="4"/>
        <v>25.63526864</v>
      </c>
      <c r="M99" s="321" t="str">
        <f t="shared" si="5"/>
        <v>iviangita</v>
      </c>
      <c r="N99" s="176">
        <f>IFERROR(__xludf.DUMMYFUNCTION("""COMPUTED_VALUE"""),15.0)</f>
        <v>15</v>
      </c>
      <c r="O99" s="176"/>
      <c r="P99" s="176"/>
      <c r="Q99" s="176"/>
      <c r="R99" s="176"/>
      <c r="S99" s="176"/>
      <c r="T99" s="176"/>
      <c r="U99" s="176"/>
      <c r="V99" s="176"/>
      <c r="W99" s="176"/>
      <c r="X99" s="176"/>
      <c r="Y99" s="176"/>
      <c r="Z99" s="176"/>
    </row>
    <row r="100">
      <c r="A100" s="249" t="s">
        <v>10</v>
      </c>
      <c r="B100" s="249" t="s">
        <v>867</v>
      </c>
      <c r="C100" s="219" t="s">
        <v>2680</v>
      </c>
      <c r="D100" s="268" t="s">
        <v>495</v>
      </c>
      <c r="E100" s="251">
        <v>44221.0</v>
      </c>
      <c r="F100" s="250" t="s">
        <v>496</v>
      </c>
      <c r="G100" s="171">
        <v>1000.0</v>
      </c>
      <c r="H100" s="171">
        <v>25.0</v>
      </c>
      <c r="I100" s="171">
        <v>25.0</v>
      </c>
      <c r="J100" s="325">
        <f t="shared" si="2"/>
        <v>0.0008034239984</v>
      </c>
      <c r="K100" s="326">
        <f t="shared" si="6"/>
        <v>0.7498623985</v>
      </c>
      <c r="L100" s="327">
        <f t="shared" si="4"/>
        <v>25.63526864</v>
      </c>
      <c r="M100" s="321" t="str">
        <f t="shared" si="5"/>
        <v>iviangita</v>
      </c>
      <c r="N100" s="176">
        <f>IFERROR(__xludf.DUMMYFUNCTION("""COMPUTED_VALUE"""),16.0)</f>
        <v>16</v>
      </c>
      <c r="O100" s="176"/>
      <c r="P100" s="176"/>
      <c r="Q100" s="176"/>
      <c r="R100" s="176"/>
      <c r="S100" s="176"/>
      <c r="T100" s="176"/>
      <c r="U100" s="176"/>
      <c r="V100" s="176"/>
      <c r="W100" s="176"/>
      <c r="X100" s="176"/>
      <c r="Y100" s="176"/>
      <c r="Z100" s="176"/>
    </row>
    <row r="101">
      <c r="A101" s="249" t="s">
        <v>10</v>
      </c>
      <c r="B101" s="249" t="s">
        <v>18</v>
      </c>
      <c r="C101" s="219" t="s">
        <v>2683</v>
      </c>
      <c r="D101" s="268" t="s">
        <v>495</v>
      </c>
      <c r="E101" s="251">
        <v>44215.0</v>
      </c>
      <c r="F101" s="250" t="s">
        <v>496</v>
      </c>
      <c r="G101" s="171">
        <v>500.0</v>
      </c>
      <c r="H101" s="171">
        <v>25.0</v>
      </c>
      <c r="I101" s="171">
        <v>25.0</v>
      </c>
      <c r="J101" s="325">
        <f t="shared" si="2"/>
        <v>0.0007646305672</v>
      </c>
      <c r="K101" s="326">
        <f t="shared" si="6"/>
        <v>0.7136551961</v>
      </c>
      <c r="L101" s="327">
        <f t="shared" si="4"/>
        <v>25.63526864</v>
      </c>
      <c r="M101" s="321" t="str">
        <f t="shared" si="5"/>
        <v>iviangita</v>
      </c>
      <c r="N101" s="176">
        <f>IFERROR(__xludf.DUMMYFUNCTION("""COMPUTED_VALUE"""),17.0)</f>
        <v>17</v>
      </c>
      <c r="O101" s="176"/>
      <c r="P101" s="176"/>
      <c r="Q101" s="176"/>
      <c r="R101" s="176"/>
      <c r="S101" s="176"/>
      <c r="T101" s="176"/>
      <c r="U101" s="176"/>
      <c r="V101" s="176"/>
      <c r="W101" s="176"/>
      <c r="X101" s="176"/>
      <c r="Y101" s="176"/>
      <c r="Z101" s="176"/>
    </row>
    <row r="102">
      <c r="A102" s="249" t="s">
        <v>10</v>
      </c>
      <c r="B102" s="249" t="s">
        <v>867</v>
      </c>
      <c r="C102" s="219" t="s">
        <v>2684</v>
      </c>
      <c r="D102" s="268" t="s">
        <v>495</v>
      </c>
      <c r="E102" s="251">
        <v>44214.0</v>
      </c>
      <c r="F102" s="250" t="s">
        <v>496</v>
      </c>
      <c r="G102" s="171">
        <v>1000.0</v>
      </c>
      <c r="H102" s="171">
        <v>15.0</v>
      </c>
      <c r="I102" s="171">
        <v>25.0</v>
      </c>
      <c r="J102" s="325">
        <f t="shared" si="2"/>
        <v>0.0006163682558</v>
      </c>
      <c r="K102" s="326">
        <f t="shared" si="6"/>
        <v>0.5752770387</v>
      </c>
      <c r="L102" s="327">
        <f t="shared" si="4"/>
        <v>25.63526864</v>
      </c>
      <c r="M102" s="321" t="str">
        <f t="shared" si="5"/>
        <v>iviangita</v>
      </c>
      <c r="N102" s="176">
        <f>IFERROR(__xludf.DUMMYFUNCTION("""COMPUTED_VALUE"""),18.0)</f>
        <v>18</v>
      </c>
      <c r="O102" s="176"/>
      <c r="P102" s="176"/>
      <c r="Q102" s="176"/>
      <c r="R102" s="176"/>
      <c r="S102" s="176"/>
      <c r="T102" s="176"/>
      <c r="U102" s="176"/>
      <c r="V102" s="176"/>
      <c r="W102" s="176"/>
      <c r="X102" s="176"/>
      <c r="Y102" s="176"/>
      <c r="Z102" s="176"/>
    </row>
    <row r="103">
      <c r="A103" s="249" t="s">
        <v>10</v>
      </c>
      <c r="B103" s="249" t="s">
        <v>18</v>
      </c>
      <c r="C103" s="219" t="s">
        <v>2685</v>
      </c>
      <c r="D103" s="268" t="s">
        <v>495</v>
      </c>
      <c r="E103" s="251">
        <v>44215.0</v>
      </c>
      <c r="F103" s="250" t="s">
        <v>496</v>
      </c>
      <c r="G103" s="171">
        <v>1000.0</v>
      </c>
      <c r="H103" s="171">
        <v>15.0</v>
      </c>
      <c r="I103" s="171">
        <v>25.0</v>
      </c>
      <c r="J103" s="325">
        <f t="shared" si="2"/>
        <v>0.0006163682558</v>
      </c>
      <c r="K103" s="326">
        <f t="shared" si="6"/>
        <v>0.5752770387</v>
      </c>
      <c r="L103" s="327">
        <f t="shared" si="4"/>
        <v>25.63526864</v>
      </c>
      <c r="M103" s="321" t="str">
        <f t="shared" si="5"/>
        <v>iviangita</v>
      </c>
      <c r="N103" s="176">
        <f>IFERROR(__xludf.DUMMYFUNCTION("""COMPUTED_VALUE"""),19.0)</f>
        <v>19</v>
      </c>
      <c r="O103" s="176"/>
      <c r="P103" s="176"/>
      <c r="Q103" s="176"/>
      <c r="R103" s="176"/>
      <c r="S103" s="176"/>
      <c r="T103" s="176"/>
      <c r="U103" s="176"/>
      <c r="V103" s="176"/>
      <c r="W103" s="176"/>
      <c r="X103" s="176"/>
      <c r="Y103" s="176"/>
      <c r="Z103" s="176"/>
    </row>
    <row r="104">
      <c r="A104" s="240" t="s">
        <v>10</v>
      </c>
      <c r="B104" s="240" t="s">
        <v>534</v>
      </c>
      <c r="C104" s="221" t="s">
        <v>535</v>
      </c>
      <c r="D104" s="336"/>
      <c r="E104" s="255"/>
      <c r="F104" s="254"/>
      <c r="G104" s="222"/>
      <c r="H104" s="222"/>
      <c r="I104" s="222"/>
      <c r="J104" s="325">
        <f t="shared" si="2"/>
        <v>0</v>
      </c>
      <c r="K104" s="337">
        <f>51.27*-0.5</f>
        <v>-25.635</v>
      </c>
      <c r="L104" s="327">
        <f t="shared" si="4"/>
        <v>25.63526864</v>
      </c>
      <c r="M104" s="321" t="str">
        <f t="shared" si="5"/>
        <v>iviangita</v>
      </c>
      <c r="N104" s="209">
        <f>IFERROR(__xludf.DUMMYFUNCTION("""COMPUTED_VALUE"""),20.0)</f>
        <v>20</v>
      </c>
      <c r="O104" s="209"/>
      <c r="P104" s="209"/>
      <c r="Q104" s="209"/>
      <c r="R104" s="209">
        <v>18.802169413641863</v>
      </c>
      <c r="S104" s="209"/>
      <c r="T104" s="209"/>
      <c r="U104" s="209"/>
      <c r="V104" s="209"/>
      <c r="W104" s="209"/>
      <c r="X104" s="209"/>
      <c r="Y104" s="176"/>
      <c r="Z104" s="176"/>
    </row>
    <row r="105">
      <c r="A105" s="249" t="s">
        <v>42</v>
      </c>
      <c r="B105" s="249" t="s">
        <v>590</v>
      </c>
      <c r="C105" s="219" t="s">
        <v>2701</v>
      </c>
      <c r="D105" s="268" t="s">
        <v>495</v>
      </c>
      <c r="E105" s="251">
        <v>44224.0</v>
      </c>
      <c r="F105" s="250" t="s">
        <v>499</v>
      </c>
      <c r="G105" s="171">
        <v>250000.0</v>
      </c>
      <c r="H105" s="171">
        <v>50.0</v>
      </c>
      <c r="I105" s="171">
        <v>200.0</v>
      </c>
      <c r="J105" s="325">
        <f t="shared" si="2"/>
        <v>0.02239757654</v>
      </c>
      <c r="K105" s="326">
        <f t="shared" ref="K105:K182" si="7">J105*$J$1</f>
        <v>20.90440477</v>
      </c>
      <c r="L105" s="327">
        <f t="shared" si="4"/>
        <v>21.61805997</v>
      </c>
      <c r="M105" s="321" t="str">
        <f t="shared" si="5"/>
        <v>tannra</v>
      </c>
      <c r="N105" s="176">
        <f>IFERROR(__xludf.DUMMYFUNCTION("""COMPUTED_VALUE"""),1.0)</f>
        <v>1</v>
      </c>
      <c r="O105" s="176"/>
      <c r="P105" s="176"/>
      <c r="Q105" s="176"/>
      <c r="R105" s="176"/>
      <c r="S105" s="176"/>
      <c r="T105" s="176"/>
      <c r="U105" s="176"/>
      <c r="V105" s="176"/>
      <c r="W105" s="176"/>
      <c r="X105" s="176"/>
      <c r="Y105" s="176"/>
      <c r="Z105" s="176"/>
    </row>
    <row r="106">
      <c r="A106" s="249" t="s">
        <v>42</v>
      </c>
      <c r="B106" s="249" t="s">
        <v>10</v>
      </c>
      <c r="C106" s="219" t="s">
        <v>2498</v>
      </c>
      <c r="D106" s="268" t="s">
        <v>495</v>
      </c>
      <c r="E106" s="251">
        <v>44212.0</v>
      </c>
      <c r="F106" s="250" t="s">
        <v>496</v>
      </c>
      <c r="G106" s="171">
        <v>500.0</v>
      </c>
      <c r="H106" s="171">
        <v>25.0</v>
      </c>
      <c r="I106" s="171">
        <v>25.0</v>
      </c>
      <c r="J106" s="325">
        <f t="shared" si="2"/>
        <v>0.0007646305672</v>
      </c>
      <c r="K106" s="326">
        <f t="shared" si="7"/>
        <v>0.7136551961</v>
      </c>
      <c r="L106" s="327">
        <f t="shared" si="4"/>
        <v>21.61805997</v>
      </c>
      <c r="M106" s="321" t="str">
        <f t="shared" si="5"/>
        <v>tannra</v>
      </c>
      <c r="N106" s="176">
        <f>IFERROR(__xludf.DUMMYFUNCTION("""COMPUTED_VALUE"""),2.0)</f>
        <v>2</v>
      </c>
      <c r="O106" s="176"/>
      <c r="P106" s="176"/>
      <c r="Q106" s="176"/>
      <c r="R106" s="176"/>
      <c r="S106" s="176"/>
      <c r="T106" s="176"/>
      <c r="U106" s="176"/>
      <c r="V106" s="176"/>
      <c r="W106" s="176"/>
      <c r="X106" s="176"/>
      <c r="Y106" s="176"/>
      <c r="Z106" s="176"/>
    </row>
    <row r="107">
      <c r="A107" s="249" t="s">
        <v>5</v>
      </c>
      <c r="B107" s="249" t="s">
        <v>590</v>
      </c>
      <c r="C107" s="219" t="s">
        <v>2724</v>
      </c>
      <c r="D107" s="268" t="s">
        <v>495</v>
      </c>
      <c r="E107" s="251">
        <v>44217.0</v>
      </c>
      <c r="F107" s="250" t="s">
        <v>496</v>
      </c>
      <c r="G107" s="171">
        <v>20000.0</v>
      </c>
      <c r="H107" s="171">
        <v>100.0</v>
      </c>
      <c r="I107" s="171">
        <v>100.0</v>
      </c>
      <c r="J107" s="325">
        <f t="shared" si="2"/>
        <v>0.004455085792</v>
      </c>
      <c r="K107" s="326">
        <f t="shared" si="7"/>
        <v>4.158080072</v>
      </c>
      <c r="L107" s="327">
        <f t="shared" si="4"/>
        <v>21.23895794</v>
      </c>
      <c r="M107" s="321" t="str">
        <f t="shared" si="5"/>
        <v>cranders71</v>
      </c>
      <c r="N107" s="176">
        <f>IFERROR(__xludf.DUMMYFUNCTION("""COMPUTED_VALUE"""),1.0)</f>
        <v>1</v>
      </c>
      <c r="O107" s="176"/>
      <c r="P107" s="176"/>
      <c r="Q107" s="176"/>
      <c r="R107" s="176"/>
      <c r="S107" s="176"/>
      <c r="T107" s="176"/>
      <c r="U107" s="176"/>
      <c r="V107" s="176"/>
      <c r="W107" s="176"/>
      <c r="X107" s="176"/>
      <c r="Y107" s="176"/>
      <c r="Z107" s="176"/>
    </row>
    <row r="108">
      <c r="A108" s="249" t="s">
        <v>5</v>
      </c>
      <c r="B108" s="249" t="s">
        <v>867</v>
      </c>
      <c r="C108" s="219" t="s">
        <v>2725</v>
      </c>
      <c r="D108" s="268" t="s">
        <v>495</v>
      </c>
      <c r="E108" s="251">
        <v>44220.0</v>
      </c>
      <c r="F108" s="250" t="s">
        <v>496</v>
      </c>
      <c r="G108" s="171">
        <v>5000.0</v>
      </c>
      <c r="H108" s="171">
        <v>100.0</v>
      </c>
      <c r="I108" s="171">
        <v>100.0</v>
      </c>
      <c r="J108" s="325">
        <f t="shared" si="2"/>
        <v>0.003291282856</v>
      </c>
      <c r="K108" s="326">
        <f t="shared" si="7"/>
        <v>3.071863999</v>
      </c>
      <c r="L108" s="327">
        <f t="shared" si="4"/>
        <v>21.23895794</v>
      </c>
      <c r="M108" s="321" t="str">
        <f t="shared" si="5"/>
        <v>cranders71</v>
      </c>
      <c r="N108" s="176">
        <f>IFERROR(__xludf.DUMMYFUNCTION("""COMPUTED_VALUE"""),2.0)</f>
        <v>2</v>
      </c>
      <c r="O108" s="176"/>
      <c r="P108" s="176"/>
      <c r="Q108" s="176"/>
      <c r="R108" s="176"/>
      <c r="S108" s="176"/>
      <c r="T108" s="176"/>
      <c r="U108" s="176"/>
      <c r="V108" s="176"/>
      <c r="W108" s="176"/>
      <c r="X108" s="176"/>
      <c r="Y108" s="176"/>
      <c r="Z108" s="176"/>
    </row>
    <row r="109">
      <c r="A109" s="249" t="s">
        <v>5</v>
      </c>
      <c r="B109" s="249" t="s">
        <v>590</v>
      </c>
      <c r="C109" s="219" t="s">
        <v>2726</v>
      </c>
      <c r="D109" s="268" t="s">
        <v>495</v>
      </c>
      <c r="E109" s="251">
        <v>44216.0</v>
      </c>
      <c r="F109" s="250" t="s">
        <v>496</v>
      </c>
      <c r="G109" s="171">
        <v>5000.0</v>
      </c>
      <c r="H109" s="171">
        <v>50.0</v>
      </c>
      <c r="I109" s="171">
        <v>100.0</v>
      </c>
      <c r="J109" s="325">
        <f t="shared" si="2"/>
        <v>0.002356004143</v>
      </c>
      <c r="K109" s="326">
        <f t="shared" si="7"/>
        <v>2.1989372</v>
      </c>
      <c r="L109" s="327">
        <f t="shared" si="4"/>
        <v>21.23895794</v>
      </c>
      <c r="M109" s="321" t="str">
        <f t="shared" si="5"/>
        <v>cranders71</v>
      </c>
      <c r="N109" s="176">
        <f>IFERROR(__xludf.DUMMYFUNCTION("""COMPUTED_VALUE"""),3.0)</f>
        <v>3</v>
      </c>
      <c r="O109" s="176"/>
      <c r="P109" s="176"/>
      <c r="Q109" s="176"/>
      <c r="R109" s="176"/>
      <c r="S109" s="176"/>
      <c r="T109" s="176"/>
      <c r="U109" s="176"/>
      <c r="V109" s="176"/>
      <c r="W109" s="176"/>
      <c r="X109" s="176"/>
      <c r="Y109" s="176"/>
      <c r="Z109" s="176"/>
    </row>
    <row r="110">
      <c r="A110" s="249" t="s">
        <v>5</v>
      </c>
      <c r="B110" s="249" t="s">
        <v>10</v>
      </c>
      <c r="C110" s="219" t="s">
        <v>2668</v>
      </c>
      <c r="D110" s="268" t="s">
        <v>495</v>
      </c>
      <c r="E110" s="251">
        <v>44218.0</v>
      </c>
      <c r="F110" s="250" t="s">
        <v>496</v>
      </c>
      <c r="G110" s="171">
        <v>5000.0</v>
      </c>
      <c r="H110" s="171">
        <v>25.0</v>
      </c>
      <c r="I110" s="171">
        <v>100.0</v>
      </c>
      <c r="J110" s="325">
        <f t="shared" si="2"/>
        <v>0.001888364786</v>
      </c>
      <c r="K110" s="326">
        <f t="shared" si="7"/>
        <v>1.762473801</v>
      </c>
      <c r="L110" s="327">
        <f t="shared" si="4"/>
        <v>21.23895794</v>
      </c>
      <c r="M110" s="321" t="str">
        <f t="shared" si="5"/>
        <v>cranders71</v>
      </c>
      <c r="N110" s="176">
        <f>IFERROR(__xludf.DUMMYFUNCTION("""COMPUTED_VALUE"""),4.0)</f>
        <v>4</v>
      </c>
      <c r="O110" s="176"/>
      <c r="P110" s="176"/>
      <c r="Q110" s="176"/>
      <c r="R110" s="176"/>
      <c r="S110" s="176"/>
      <c r="T110" s="176"/>
      <c r="U110" s="176"/>
      <c r="V110" s="176"/>
      <c r="W110" s="176"/>
      <c r="X110" s="176"/>
      <c r="Y110" s="176"/>
      <c r="Z110" s="176"/>
    </row>
    <row r="111">
      <c r="A111" s="249" t="s">
        <v>5</v>
      </c>
      <c r="B111" s="249" t="s">
        <v>10</v>
      </c>
      <c r="C111" s="219" t="s">
        <v>2670</v>
      </c>
      <c r="D111" s="268" t="s">
        <v>495</v>
      </c>
      <c r="E111" s="251">
        <v>44225.0</v>
      </c>
      <c r="F111" s="250" t="s">
        <v>496</v>
      </c>
      <c r="G111" s="171">
        <v>5000.0</v>
      </c>
      <c r="H111" s="171">
        <v>25.0</v>
      </c>
      <c r="I111" s="171">
        <v>100.0</v>
      </c>
      <c r="J111" s="325">
        <f t="shared" si="2"/>
        <v>0.001888364786</v>
      </c>
      <c r="K111" s="326">
        <f t="shared" si="7"/>
        <v>1.762473801</v>
      </c>
      <c r="L111" s="327">
        <f t="shared" si="4"/>
        <v>21.23895794</v>
      </c>
      <c r="M111" s="321" t="str">
        <f t="shared" si="5"/>
        <v>cranders71</v>
      </c>
      <c r="N111" s="176">
        <f>IFERROR(__xludf.DUMMYFUNCTION("""COMPUTED_VALUE"""),5.0)</f>
        <v>5</v>
      </c>
      <c r="O111" s="176"/>
      <c r="P111" s="176"/>
      <c r="Q111" s="176"/>
      <c r="R111" s="176"/>
      <c r="S111" s="176"/>
      <c r="T111" s="176"/>
      <c r="U111" s="176"/>
      <c r="V111" s="176"/>
      <c r="W111" s="176"/>
      <c r="X111" s="176"/>
      <c r="Y111" s="176"/>
      <c r="Z111" s="176"/>
    </row>
    <row r="112">
      <c r="A112" s="249" t="s">
        <v>5</v>
      </c>
      <c r="B112" s="249" t="s">
        <v>5</v>
      </c>
      <c r="C112" s="219" t="s">
        <v>2676</v>
      </c>
      <c r="D112" s="268" t="s">
        <v>495</v>
      </c>
      <c r="E112" s="251">
        <v>44224.0</v>
      </c>
      <c r="F112" s="250" t="s">
        <v>496</v>
      </c>
      <c r="G112" s="171">
        <v>1000.0</v>
      </c>
      <c r="H112" s="171">
        <v>25.0</v>
      </c>
      <c r="I112" s="171">
        <v>50.0</v>
      </c>
      <c r="J112" s="325">
        <f t="shared" si="2"/>
        <v>0.001061621778</v>
      </c>
      <c r="K112" s="326">
        <f t="shared" si="7"/>
        <v>0.9908469927</v>
      </c>
      <c r="L112" s="327">
        <f t="shared" si="4"/>
        <v>21.23895794</v>
      </c>
      <c r="M112" s="321" t="str">
        <f t="shared" si="5"/>
        <v>cranders71</v>
      </c>
      <c r="N112" s="176">
        <f>IFERROR(__xludf.DUMMYFUNCTION("""COMPUTED_VALUE"""),6.0)</f>
        <v>6</v>
      </c>
      <c r="O112" s="176"/>
      <c r="P112" s="176"/>
      <c r="Q112" s="176"/>
      <c r="R112" s="176"/>
      <c r="S112" s="176"/>
      <c r="T112" s="176"/>
      <c r="U112" s="176"/>
      <c r="V112" s="176"/>
      <c r="W112" s="176"/>
      <c r="X112" s="176"/>
      <c r="Y112" s="176"/>
      <c r="Z112" s="176"/>
    </row>
    <row r="113">
      <c r="A113" s="249" t="s">
        <v>5</v>
      </c>
      <c r="B113" s="249" t="s">
        <v>5</v>
      </c>
      <c r="C113" s="219" t="s">
        <v>2677</v>
      </c>
      <c r="D113" s="268" t="s">
        <v>495</v>
      </c>
      <c r="E113" s="251">
        <v>44217.0</v>
      </c>
      <c r="F113" s="250" t="s">
        <v>496</v>
      </c>
      <c r="G113" s="171">
        <v>5000.0</v>
      </c>
      <c r="H113" s="171">
        <v>25.0</v>
      </c>
      <c r="I113" s="171">
        <v>25.0</v>
      </c>
      <c r="J113" s="325">
        <f t="shared" si="2"/>
        <v>0.001113771448</v>
      </c>
      <c r="K113" s="326">
        <f t="shared" si="7"/>
        <v>1.039520018</v>
      </c>
      <c r="L113" s="327">
        <f t="shared" si="4"/>
        <v>21.23895794</v>
      </c>
      <c r="M113" s="321" t="str">
        <f t="shared" si="5"/>
        <v>cranders71</v>
      </c>
      <c r="N113" s="176">
        <f>IFERROR(__xludf.DUMMYFUNCTION("""COMPUTED_VALUE"""),7.0)</f>
        <v>7</v>
      </c>
      <c r="O113" s="176"/>
      <c r="P113" s="176"/>
      <c r="Q113" s="176"/>
      <c r="R113" s="176"/>
      <c r="S113" s="176"/>
      <c r="T113" s="176"/>
      <c r="U113" s="176"/>
      <c r="V113" s="176"/>
      <c r="W113" s="176"/>
      <c r="X113" s="176"/>
      <c r="Y113" s="176"/>
      <c r="Z113" s="176"/>
    </row>
    <row r="114">
      <c r="A114" s="249" t="s">
        <v>5</v>
      </c>
      <c r="B114" s="249" t="s">
        <v>10</v>
      </c>
      <c r="C114" s="219" t="s">
        <v>2531</v>
      </c>
      <c r="D114" s="268" t="s">
        <v>495</v>
      </c>
      <c r="E114" s="251">
        <v>44225.0</v>
      </c>
      <c r="F114" s="250" t="s">
        <v>499</v>
      </c>
      <c r="G114" s="171">
        <v>500.0</v>
      </c>
      <c r="H114" s="171">
        <v>35.0</v>
      </c>
      <c r="I114" s="171">
        <v>25.0</v>
      </c>
      <c r="J114" s="325">
        <f t="shared" si="2"/>
        <v>0.0009516863098</v>
      </c>
      <c r="K114" s="326">
        <f t="shared" si="7"/>
        <v>0.8882405558</v>
      </c>
      <c r="L114" s="327">
        <f t="shared" si="4"/>
        <v>21.23895794</v>
      </c>
      <c r="M114" s="321" t="str">
        <f t="shared" si="5"/>
        <v>cranders71</v>
      </c>
      <c r="N114" s="176">
        <f>IFERROR(__xludf.DUMMYFUNCTION("""COMPUTED_VALUE"""),8.0)</f>
        <v>8</v>
      </c>
      <c r="O114" s="176"/>
      <c r="P114" s="176"/>
      <c r="Q114" s="176"/>
      <c r="R114" s="176"/>
      <c r="S114" s="176"/>
      <c r="T114" s="176"/>
      <c r="U114" s="176"/>
      <c r="V114" s="176"/>
      <c r="W114" s="176"/>
      <c r="X114" s="176"/>
      <c r="Y114" s="176"/>
      <c r="Z114" s="176"/>
    </row>
    <row r="115">
      <c r="A115" s="249" t="s">
        <v>5</v>
      </c>
      <c r="B115" s="249" t="s">
        <v>590</v>
      </c>
      <c r="C115" s="219" t="s">
        <v>2681</v>
      </c>
      <c r="D115" s="268" t="s">
        <v>495</v>
      </c>
      <c r="E115" s="251">
        <v>44222.0</v>
      </c>
      <c r="F115" s="250" t="s">
        <v>496</v>
      </c>
      <c r="G115" s="171">
        <v>1000.0</v>
      </c>
      <c r="H115" s="171">
        <v>25.0</v>
      </c>
      <c r="I115" s="171">
        <v>25.0</v>
      </c>
      <c r="J115" s="325">
        <f t="shared" si="2"/>
        <v>0.0008034239984</v>
      </c>
      <c r="K115" s="326">
        <f t="shared" si="7"/>
        <v>0.7498623985</v>
      </c>
      <c r="L115" s="327">
        <f t="shared" si="4"/>
        <v>21.23895794</v>
      </c>
      <c r="M115" s="321" t="str">
        <f t="shared" si="5"/>
        <v>cranders71</v>
      </c>
      <c r="N115" s="176">
        <f>IFERROR(__xludf.DUMMYFUNCTION("""COMPUTED_VALUE"""),9.0)</f>
        <v>9</v>
      </c>
      <c r="O115" s="176"/>
      <c r="P115" s="176"/>
      <c r="Q115" s="176"/>
      <c r="R115" s="176"/>
      <c r="S115" s="176"/>
      <c r="T115" s="176"/>
      <c r="U115" s="176"/>
      <c r="V115" s="176"/>
      <c r="W115" s="176"/>
      <c r="X115" s="176"/>
      <c r="Y115" s="176"/>
      <c r="Z115" s="176"/>
    </row>
    <row r="116">
      <c r="A116" s="249" t="s">
        <v>5</v>
      </c>
      <c r="B116" s="249" t="s">
        <v>25</v>
      </c>
      <c r="C116" s="219" t="s">
        <v>2682</v>
      </c>
      <c r="D116" s="268" t="s">
        <v>495</v>
      </c>
      <c r="E116" s="251">
        <v>44223.0</v>
      </c>
      <c r="F116" s="250" t="s">
        <v>496</v>
      </c>
      <c r="G116" s="171">
        <v>1000.0</v>
      </c>
      <c r="H116" s="171">
        <v>25.0</v>
      </c>
      <c r="I116" s="171">
        <v>25.0</v>
      </c>
      <c r="J116" s="325">
        <f t="shared" si="2"/>
        <v>0.0008034239984</v>
      </c>
      <c r="K116" s="326">
        <f t="shared" si="7"/>
        <v>0.7498623985</v>
      </c>
      <c r="L116" s="327">
        <f t="shared" si="4"/>
        <v>21.23895794</v>
      </c>
      <c r="M116" s="321" t="str">
        <f t="shared" si="5"/>
        <v>cranders71</v>
      </c>
      <c r="N116" s="176">
        <f>IFERROR(__xludf.DUMMYFUNCTION("""COMPUTED_VALUE"""),10.0)</f>
        <v>10</v>
      </c>
      <c r="O116" s="176"/>
      <c r="P116" s="176"/>
      <c r="Q116" s="176"/>
      <c r="R116" s="176"/>
      <c r="S116" s="176"/>
      <c r="T116" s="176"/>
      <c r="U116" s="176"/>
      <c r="V116" s="176"/>
      <c r="W116" s="176"/>
      <c r="X116" s="176"/>
      <c r="Y116" s="176"/>
      <c r="Z116" s="176"/>
    </row>
    <row r="117">
      <c r="A117" s="249" t="s">
        <v>5</v>
      </c>
      <c r="B117" s="249" t="s">
        <v>10</v>
      </c>
      <c r="C117" s="219" t="s">
        <v>2498</v>
      </c>
      <c r="D117" s="268" t="s">
        <v>495</v>
      </c>
      <c r="E117" s="251">
        <v>44212.0</v>
      </c>
      <c r="F117" s="250" t="s">
        <v>496</v>
      </c>
      <c r="G117" s="171">
        <v>500.0</v>
      </c>
      <c r="H117" s="171">
        <v>25.0</v>
      </c>
      <c r="I117" s="171">
        <v>25.0</v>
      </c>
      <c r="J117" s="325">
        <f t="shared" si="2"/>
        <v>0.0007646305672</v>
      </c>
      <c r="K117" s="326">
        <f t="shared" si="7"/>
        <v>0.7136551961</v>
      </c>
      <c r="L117" s="327">
        <f t="shared" si="4"/>
        <v>21.23895794</v>
      </c>
      <c r="M117" s="321" t="str">
        <f t="shared" si="5"/>
        <v>cranders71</v>
      </c>
      <c r="N117" s="176">
        <f>IFERROR(__xludf.DUMMYFUNCTION("""COMPUTED_VALUE"""),11.0)</f>
        <v>11</v>
      </c>
      <c r="O117" s="176"/>
      <c r="P117" s="176"/>
      <c r="Q117" s="176"/>
      <c r="R117" s="176"/>
      <c r="S117" s="176"/>
      <c r="T117" s="176"/>
      <c r="U117" s="176"/>
      <c r="V117" s="176"/>
      <c r="W117" s="176"/>
      <c r="X117" s="176"/>
      <c r="Y117" s="176"/>
      <c r="Z117" s="176"/>
    </row>
    <row r="118">
      <c r="A118" s="249" t="s">
        <v>5</v>
      </c>
      <c r="B118" s="249" t="s">
        <v>10</v>
      </c>
      <c r="C118" s="219" t="s">
        <v>2498</v>
      </c>
      <c r="D118" s="268" t="s">
        <v>495</v>
      </c>
      <c r="E118" s="251">
        <v>44218.0</v>
      </c>
      <c r="F118" s="250" t="s">
        <v>545</v>
      </c>
      <c r="G118" s="171">
        <v>500.0</v>
      </c>
      <c r="H118" s="171">
        <v>25.0</v>
      </c>
      <c r="I118" s="171">
        <v>25.0</v>
      </c>
      <c r="J118" s="325">
        <f t="shared" si="2"/>
        <v>0.0007646305672</v>
      </c>
      <c r="K118" s="326">
        <f t="shared" si="7"/>
        <v>0.7136551961</v>
      </c>
      <c r="L118" s="327">
        <f t="shared" si="4"/>
        <v>21.23895794</v>
      </c>
      <c r="M118" s="321" t="str">
        <f t="shared" si="5"/>
        <v>cranders71</v>
      </c>
      <c r="N118" s="176">
        <f>IFERROR(__xludf.DUMMYFUNCTION("""COMPUTED_VALUE"""),12.0)</f>
        <v>12</v>
      </c>
      <c r="O118" s="176"/>
      <c r="P118" s="176"/>
      <c r="Q118" s="176"/>
      <c r="R118" s="176"/>
      <c r="S118" s="176"/>
      <c r="T118" s="176"/>
      <c r="U118" s="176"/>
      <c r="V118" s="176"/>
      <c r="W118" s="176"/>
      <c r="X118" s="176"/>
      <c r="Y118" s="176"/>
      <c r="Z118" s="176"/>
    </row>
    <row r="119">
      <c r="A119" s="249" t="s">
        <v>5</v>
      </c>
      <c r="B119" s="249" t="s">
        <v>10</v>
      </c>
      <c r="C119" s="219" t="s">
        <v>2498</v>
      </c>
      <c r="D119" s="268" t="s">
        <v>495</v>
      </c>
      <c r="E119" s="251">
        <v>44225.0</v>
      </c>
      <c r="F119" s="250" t="s">
        <v>496</v>
      </c>
      <c r="G119" s="171">
        <v>500.0</v>
      </c>
      <c r="H119" s="171">
        <v>25.0</v>
      </c>
      <c r="I119" s="171">
        <v>25.0</v>
      </c>
      <c r="J119" s="325">
        <f t="shared" si="2"/>
        <v>0.0007646305672</v>
      </c>
      <c r="K119" s="326">
        <f t="shared" si="7"/>
        <v>0.7136551961</v>
      </c>
      <c r="L119" s="327">
        <f t="shared" si="4"/>
        <v>21.23895794</v>
      </c>
      <c r="M119" s="321" t="str">
        <f t="shared" si="5"/>
        <v>cranders71</v>
      </c>
      <c r="N119" s="176">
        <f>IFERROR(__xludf.DUMMYFUNCTION("""COMPUTED_VALUE"""),13.0)</f>
        <v>13</v>
      </c>
      <c r="O119" s="176"/>
      <c r="P119" s="176"/>
      <c r="Q119" s="176"/>
      <c r="R119" s="176"/>
      <c r="S119" s="176"/>
      <c r="T119" s="176"/>
      <c r="U119" s="176"/>
      <c r="V119" s="176"/>
      <c r="W119" s="176"/>
      <c r="X119" s="176"/>
      <c r="Y119" s="176"/>
      <c r="Z119" s="176"/>
    </row>
    <row r="120">
      <c r="A120" s="249" t="s">
        <v>5</v>
      </c>
      <c r="B120" s="249" t="s">
        <v>10</v>
      </c>
      <c r="C120" s="219" t="s">
        <v>2687</v>
      </c>
      <c r="D120" s="268" t="s">
        <v>495</v>
      </c>
      <c r="E120" s="251">
        <v>44218.0</v>
      </c>
      <c r="F120" s="250" t="s">
        <v>496</v>
      </c>
      <c r="G120" s="171">
        <v>1000.0</v>
      </c>
      <c r="H120" s="171">
        <v>15.0</v>
      </c>
      <c r="I120" s="171">
        <v>25.0</v>
      </c>
      <c r="J120" s="325">
        <f t="shared" si="2"/>
        <v>0.0006163682558</v>
      </c>
      <c r="K120" s="326">
        <f t="shared" si="7"/>
        <v>0.5752770387</v>
      </c>
      <c r="L120" s="327">
        <f t="shared" si="4"/>
        <v>21.23895794</v>
      </c>
      <c r="M120" s="321" t="str">
        <f t="shared" si="5"/>
        <v>cranders71</v>
      </c>
      <c r="N120" s="176">
        <f>IFERROR(__xludf.DUMMYFUNCTION("""COMPUTED_VALUE"""),14.0)</f>
        <v>14</v>
      </c>
      <c r="O120" s="176"/>
      <c r="P120" s="176"/>
      <c r="Q120" s="176"/>
      <c r="R120" s="176"/>
      <c r="S120" s="176"/>
      <c r="T120" s="176"/>
      <c r="U120" s="176"/>
      <c r="V120" s="176"/>
      <c r="W120" s="176"/>
      <c r="X120" s="176"/>
      <c r="Y120" s="176"/>
      <c r="Z120" s="176"/>
    </row>
    <row r="121">
      <c r="A121" s="249" t="s">
        <v>5</v>
      </c>
      <c r="B121" s="249" t="s">
        <v>18</v>
      </c>
      <c r="C121" s="219" t="s">
        <v>2689</v>
      </c>
      <c r="D121" s="268" t="s">
        <v>495</v>
      </c>
      <c r="E121" s="251">
        <v>44222.0</v>
      </c>
      <c r="F121" s="250" t="s">
        <v>496</v>
      </c>
      <c r="G121" s="171">
        <v>1000.0</v>
      </c>
      <c r="H121" s="171">
        <v>15.0</v>
      </c>
      <c r="I121" s="171">
        <v>25.0</v>
      </c>
      <c r="J121" s="325">
        <f t="shared" si="2"/>
        <v>0.0006163682558</v>
      </c>
      <c r="K121" s="326">
        <f t="shared" si="7"/>
        <v>0.5752770387</v>
      </c>
      <c r="L121" s="327">
        <f t="shared" si="4"/>
        <v>21.23895794</v>
      </c>
      <c r="M121" s="321" t="str">
        <f t="shared" si="5"/>
        <v>cranders71</v>
      </c>
      <c r="N121" s="176">
        <f>IFERROR(__xludf.DUMMYFUNCTION("""COMPUTED_VALUE"""),15.0)</f>
        <v>15</v>
      </c>
      <c r="O121" s="176"/>
      <c r="P121" s="176"/>
      <c r="Q121" s="176"/>
      <c r="R121" s="176"/>
      <c r="S121" s="176"/>
      <c r="T121" s="176"/>
      <c r="U121" s="176"/>
      <c r="V121" s="176"/>
      <c r="W121" s="176"/>
      <c r="X121" s="176"/>
      <c r="Y121" s="176"/>
      <c r="Z121" s="176"/>
    </row>
    <row r="122">
      <c r="A122" s="249" t="s">
        <v>5</v>
      </c>
      <c r="B122" s="249" t="s">
        <v>10</v>
      </c>
      <c r="C122" s="219" t="s">
        <v>2690</v>
      </c>
      <c r="D122" s="268" t="s">
        <v>495</v>
      </c>
      <c r="E122" s="251">
        <v>44225.0</v>
      </c>
      <c r="F122" s="250" t="s">
        <v>496</v>
      </c>
      <c r="G122" s="171">
        <v>1000.0</v>
      </c>
      <c r="H122" s="171">
        <v>15.0</v>
      </c>
      <c r="I122" s="171">
        <v>25.0</v>
      </c>
      <c r="J122" s="325">
        <f t="shared" si="2"/>
        <v>0.0006163682558</v>
      </c>
      <c r="K122" s="326">
        <f t="shared" si="7"/>
        <v>0.5752770387</v>
      </c>
      <c r="L122" s="327">
        <f t="shared" si="4"/>
        <v>21.23895794</v>
      </c>
      <c r="M122" s="321" t="str">
        <f t="shared" si="5"/>
        <v>cranders71</v>
      </c>
      <c r="N122" s="176">
        <f>IFERROR(__xludf.DUMMYFUNCTION("""COMPUTED_VALUE"""),16.0)</f>
        <v>16</v>
      </c>
      <c r="O122" s="176"/>
      <c r="P122" s="176"/>
      <c r="Q122" s="176"/>
      <c r="R122" s="176"/>
      <c r="S122" s="176"/>
      <c r="T122" s="176"/>
      <c r="U122" s="176"/>
      <c r="V122" s="176"/>
      <c r="W122" s="176"/>
      <c r="X122" s="176"/>
      <c r="Y122" s="176"/>
      <c r="Z122" s="176"/>
    </row>
    <row r="123">
      <c r="A123" s="249" t="s">
        <v>13</v>
      </c>
      <c r="B123" s="249" t="s">
        <v>1228</v>
      </c>
      <c r="C123" s="219" t="s">
        <v>2727</v>
      </c>
      <c r="D123" s="268" t="s">
        <v>495</v>
      </c>
      <c r="E123" s="251">
        <v>44217.0</v>
      </c>
      <c r="F123" s="250" t="s">
        <v>496</v>
      </c>
      <c r="G123" s="171">
        <v>50000.0</v>
      </c>
      <c r="H123" s="171">
        <v>100.0</v>
      </c>
      <c r="I123" s="171">
        <v>150.0</v>
      </c>
      <c r="J123" s="325">
        <f t="shared" si="2"/>
        <v>0.007299087222</v>
      </c>
      <c r="K123" s="326">
        <f t="shared" si="7"/>
        <v>6.812481407</v>
      </c>
      <c r="L123" s="327">
        <f t="shared" si="4"/>
        <v>16.5398834</v>
      </c>
      <c r="M123" s="321" t="str">
        <f t="shared" si="5"/>
        <v>durgadasji</v>
      </c>
      <c r="N123" s="176">
        <f>IFERROR(__xludf.DUMMYFUNCTION("""COMPUTED_VALUE"""),1.0)</f>
        <v>1</v>
      </c>
      <c r="O123" s="176"/>
      <c r="P123" s="176"/>
      <c r="Q123" s="176"/>
      <c r="R123" s="176"/>
      <c r="S123" s="176"/>
      <c r="T123" s="176"/>
      <c r="U123" s="176"/>
      <c r="V123" s="176"/>
      <c r="W123" s="176"/>
      <c r="X123" s="176"/>
      <c r="Y123" s="176"/>
      <c r="Z123" s="176"/>
    </row>
    <row r="124">
      <c r="A124" s="249" t="s">
        <v>13</v>
      </c>
      <c r="B124" s="249" t="s">
        <v>18</v>
      </c>
      <c r="C124" s="219" t="s">
        <v>2728</v>
      </c>
      <c r="D124" s="268" t="s">
        <v>495</v>
      </c>
      <c r="E124" s="251">
        <v>44218.0</v>
      </c>
      <c r="F124" s="250" t="s">
        <v>496</v>
      </c>
      <c r="G124" s="312"/>
      <c r="H124" s="171">
        <v>0.0</v>
      </c>
      <c r="I124" s="171">
        <v>0.0</v>
      </c>
      <c r="J124" s="325">
        <f t="shared" si="2"/>
        <v>0</v>
      </c>
      <c r="K124" s="326">
        <f t="shared" si="7"/>
        <v>0</v>
      </c>
      <c r="L124" s="327">
        <f t="shared" si="4"/>
        <v>16.5398834</v>
      </c>
      <c r="M124" s="321" t="str">
        <f t="shared" si="5"/>
        <v>durgadasji</v>
      </c>
      <c r="N124" s="176">
        <f>IFERROR(__xludf.DUMMYFUNCTION("""COMPUTED_VALUE"""),2.0)</f>
        <v>2</v>
      </c>
      <c r="O124" s="176"/>
      <c r="P124" s="176"/>
      <c r="Q124" s="176"/>
      <c r="R124" s="176"/>
      <c r="S124" s="176"/>
      <c r="T124" s="176"/>
      <c r="U124" s="176"/>
      <c r="V124" s="176"/>
      <c r="W124" s="176"/>
      <c r="X124" s="176"/>
      <c r="Y124" s="176"/>
      <c r="Z124" s="176"/>
    </row>
    <row r="125">
      <c r="A125" s="249" t="s">
        <v>13</v>
      </c>
      <c r="B125" s="249" t="s">
        <v>10</v>
      </c>
      <c r="C125" s="219" t="s">
        <v>2729</v>
      </c>
      <c r="D125" s="268" t="s">
        <v>495</v>
      </c>
      <c r="E125" s="251">
        <v>44218.0</v>
      </c>
      <c r="F125" s="250" t="s">
        <v>496</v>
      </c>
      <c r="G125" s="171">
        <v>2000.0</v>
      </c>
      <c r="H125" s="171">
        <v>100.0</v>
      </c>
      <c r="I125" s="171">
        <v>100.0</v>
      </c>
      <c r="J125" s="325">
        <f t="shared" si="2"/>
        <v>0.003058522269</v>
      </c>
      <c r="K125" s="326">
        <f t="shared" si="7"/>
        <v>2.854620784</v>
      </c>
      <c r="L125" s="327">
        <f t="shared" si="4"/>
        <v>16.5398834</v>
      </c>
      <c r="M125" s="321" t="str">
        <f t="shared" si="5"/>
        <v>durgadasji</v>
      </c>
      <c r="N125" s="176">
        <f>IFERROR(__xludf.DUMMYFUNCTION("""COMPUTED_VALUE"""),3.0)</f>
        <v>3</v>
      </c>
      <c r="O125" s="176"/>
      <c r="P125" s="176"/>
      <c r="Q125" s="176"/>
      <c r="R125" s="176"/>
      <c r="S125" s="176"/>
      <c r="T125" s="176"/>
      <c r="U125" s="176"/>
      <c r="V125" s="176"/>
      <c r="W125" s="176"/>
      <c r="X125" s="176"/>
      <c r="Y125" s="176"/>
      <c r="Z125" s="176"/>
    </row>
    <row r="126">
      <c r="A126" s="249" t="s">
        <v>13</v>
      </c>
      <c r="B126" s="249" t="s">
        <v>1576</v>
      </c>
      <c r="C126" s="219" t="s">
        <v>2730</v>
      </c>
      <c r="D126" s="268" t="s">
        <v>495</v>
      </c>
      <c r="E126" s="251">
        <v>44217.0</v>
      </c>
      <c r="F126" s="250" t="s">
        <v>496</v>
      </c>
      <c r="G126" s="312"/>
      <c r="H126" s="171">
        <v>0.0</v>
      </c>
      <c r="I126" s="171">
        <v>0.0</v>
      </c>
      <c r="J126" s="325">
        <f t="shared" si="2"/>
        <v>0</v>
      </c>
      <c r="K126" s="326">
        <f t="shared" si="7"/>
        <v>0</v>
      </c>
      <c r="L126" s="327">
        <f t="shared" si="4"/>
        <v>16.5398834</v>
      </c>
      <c r="M126" s="321" t="str">
        <f t="shared" si="5"/>
        <v>durgadasji</v>
      </c>
      <c r="N126" s="176">
        <f>IFERROR(__xludf.DUMMYFUNCTION("""COMPUTED_VALUE"""),4.0)</f>
        <v>4</v>
      </c>
      <c r="O126" s="176"/>
      <c r="P126" s="176"/>
      <c r="Q126" s="176"/>
      <c r="R126" s="176"/>
      <c r="S126" s="176"/>
      <c r="T126" s="176"/>
      <c r="U126" s="176"/>
      <c r="V126" s="176"/>
      <c r="W126" s="176"/>
      <c r="X126" s="176"/>
      <c r="Y126" s="176"/>
      <c r="Z126" s="176"/>
    </row>
    <row r="127">
      <c r="A127" s="249" t="s">
        <v>13</v>
      </c>
      <c r="B127" s="249" t="s">
        <v>12</v>
      </c>
      <c r="C127" s="219" t="s">
        <v>2731</v>
      </c>
      <c r="D127" s="268" t="s">
        <v>495</v>
      </c>
      <c r="E127" s="251">
        <v>44217.0</v>
      </c>
      <c r="F127" s="250" t="s">
        <v>496</v>
      </c>
      <c r="G127" s="312"/>
      <c r="H127" s="171">
        <v>0.0</v>
      </c>
      <c r="I127" s="171">
        <v>0.0</v>
      </c>
      <c r="J127" s="325">
        <f t="shared" si="2"/>
        <v>0</v>
      </c>
      <c r="K127" s="326">
        <f t="shared" si="7"/>
        <v>0</v>
      </c>
      <c r="L127" s="327">
        <f t="shared" si="4"/>
        <v>16.5398834</v>
      </c>
      <c r="M127" s="321" t="str">
        <f t="shared" si="5"/>
        <v>durgadasji</v>
      </c>
      <c r="N127" s="176">
        <f>IFERROR(__xludf.DUMMYFUNCTION("""COMPUTED_VALUE"""),5.0)</f>
        <v>5</v>
      </c>
      <c r="O127" s="176"/>
      <c r="P127" s="176"/>
      <c r="Q127" s="176"/>
      <c r="R127" s="176"/>
      <c r="S127" s="176"/>
      <c r="T127" s="176"/>
      <c r="U127" s="176"/>
      <c r="V127" s="176"/>
      <c r="W127" s="176"/>
      <c r="X127" s="176"/>
      <c r="Y127" s="176"/>
      <c r="Z127" s="176"/>
    </row>
    <row r="128">
      <c r="A128" s="249" t="s">
        <v>13</v>
      </c>
      <c r="B128" s="249" t="s">
        <v>10</v>
      </c>
      <c r="C128" s="219" t="s">
        <v>2732</v>
      </c>
      <c r="D128" s="268" t="s">
        <v>495</v>
      </c>
      <c r="E128" s="251">
        <v>44225.0</v>
      </c>
      <c r="F128" s="250" t="s">
        <v>496</v>
      </c>
      <c r="G128" s="171">
        <v>20000.0</v>
      </c>
      <c r="H128" s="171">
        <v>25.0</v>
      </c>
      <c r="I128" s="171">
        <v>50.0</v>
      </c>
      <c r="J128" s="325">
        <f t="shared" si="2"/>
        <v>0.002535772163</v>
      </c>
      <c r="K128" s="326">
        <f t="shared" si="7"/>
        <v>2.366720685</v>
      </c>
      <c r="L128" s="327">
        <f t="shared" si="4"/>
        <v>16.5398834</v>
      </c>
      <c r="M128" s="321" t="str">
        <f t="shared" si="5"/>
        <v>durgadasji</v>
      </c>
      <c r="N128" s="176">
        <f>IFERROR(__xludf.DUMMYFUNCTION("""COMPUTED_VALUE"""),6.0)</f>
        <v>6</v>
      </c>
      <c r="O128" s="176"/>
      <c r="P128" s="176"/>
      <c r="Q128" s="176"/>
      <c r="R128" s="176"/>
      <c r="S128" s="176"/>
      <c r="T128" s="176"/>
      <c r="U128" s="176"/>
      <c r="V128" s="176"/>
      <c r="W128" s="176"/>
      <c r="X128" s="176"/>
      <c r="Y128" s="176"/>
      <c r="Z128" s="176"/>
    </row>
    <row r="129">
      <c r="A129" s="249" t="s">
        <v>13</v>
      </c>
      <c r="B129" s="249" t="s">
        <v>590</v>
      </c>
      <c r="C129" s="219" t="s">
        <v>2733</v>
      </c>
      <c r="D129" s="268" t="s">
        <v>495</v>
      </c>
      <c r="E129" s="251">
        <v>44216.0</v>
      </c>
      <c r="F129" s="250" t="s">
        <v>496</v>
      </c>
      <c r="G129" s="171">
        <v>5000.0</v>
      </c>
      <c r="H129" s="171">
        <v>25.0</v>
      </c>
      <c r="I129" s="171">
        <v>50.0</v>
      </c>
      <c r="J129" s="325">
        <f t="shared" si="2"/>
        <v>0.001371969227</v>
      </c>
      <c r="K129" s="326">
        <f t="shared" si="7"/>
        <v>1.280504612</v>
      </c>
      <c r="L129" s="327">
        <f t="shared" si="4"/>
        <v>16.5398834</v>
      </c>
      <c r="M129" s="321" t="str">
        <f t="shared" si="5"/>
        <v>durgadasji</v>
      </c>
      <c r="N129" s="176">
        <f>IFERROR(__xludf.DUMMYFUNCTION("""COMPUTED_VALUE"""),7.0)</f>
        <v>7</v>
      </c>
      <c r="O129" s="176"/>
      <c r="P129" s="176"/>
      <c r="Q129" s="176"/>
      <c r="R129" s="176"/>
      <c r="S129" s="176"/>
      <c r="T129" s="176"/>
      <c r="U129" s="176"/>
      <c r="V129" s="176"/>
      <c r="W129" s="176"/>
      <c r="X129" s="176"/>
      <c r="Y129" s="176"/>
      <c r="Z129" s="176"/>
    </row>
    <row r="130">
      <c r="A130" s="249" t="s">
        <v>13</v>
      </c>
      <c r="B130" s="249" t="s">
        <v>10</v>
      </c>
      <c r="C130" s="219" t="s">
        <v>2734</v>
      </c>
      <c r="D130" s="268" t="s">
        <v>495</v>
      </c>
      <c r="E130" s="251">
        <v>44225.0</v>
      </c>
      <c r="F130" s="250" t="s">
        <v>496</v>
      </c>
      <c r="G130" s="312"/>
      <c r="H130" s="171">
        <v>0.0</v>
      </c>
      <c r="I130" s="171">
        <v>0.0</v>
      </c>
      <c r="J130" s="325">
        <f t="shared" si="2"/>
        <v>0</v>
      </c>
      <c r="K130" s="326">
        <f t="shared" si="7"/>
        <v>0</v>
      </c>
      <c r="L130" s="327">
        <f t="shared" si="4"/>
        <v>16.5398834</v>
      </c>
      <c r="M130" s="321" t="str">
        <f t="shared" si="5"/>
        <v>durgadasji</v>
      </c>
      <c r="N130" s="176">
        <f>IFERROR(__xludf.DUMMYFUNCTION("""COMPUTED_VALUE"""),8.0)</f>
        <v>8</v>
      </c>
      <c r="O130" s="176"/>
      <c r="P130" s="176"/>
      <c r="Q130" s="176"/>
      <c r="R130" s="176"/>
      <c r="S130" s="176"/>
      <c r="T130" s="176"/>
      <c r="U130" s="176"/>
      <c r="V130" s="176"/>
      <c r="W130" s="176"/>
      <c r="X130" s="176"/>
      <c r="Y130" s="176"/>
      <c r="Z130" s="176"/>
    </row>
    <row r="131">
      <c r="A131" s="249" t="s">
        <v>13</v>
      </c>
      <c r="B131" s="249" t="s">
        <v>590</v>
      </c>
      <c r="C131" s="219" t="s">
        <v>2678</v>
      </c>
      <c r="D131" s="268" t="s">
        <v>495</v>
      </c>
      <c r="E131" s="251">
        <v>44216.0</v>
      </c>
      <c r="F131" s="250" t="s">
        <v>496</v>
      </c>
      <c r="G131" s="171">
        <v>1000.0</v>
      </c>
      <c r="H131" s="171">
        <v>25.0</v>
      </c>
      <c r="I131" s="171">
        <v>25.0</v>
      </c>
      <c r="J131" s="325">
        <f t="shared" si="2"/>
        <v>0.0008034239984</v>
      </c>
      <c r="K131" s="326">
        <f t="shared" si="7"/>
        <v>0.7498623985</v>
      </c>
      <c r="L131" s="327">
        <f t="shared" si="4"/>
        <v>16.5398834</v>
      </c>
      <c r="M131" s="321" t="str">
        <f t="shared" si="5"/>
        <v>durgadasji</v>
      </c>
      <c r="N131" s="176">
        <f>IFERROR(__xludf.DUMMYFUNCTION("""COMPUTED_VALUE"""),9.0)</f>
        <v>9</v>
      </c>
      <c r="O131" s="176"/>
      <c r="P131" s="176"/>
      <c r="Q131" s="176"/>
      <c r="R131" s="176"/>
      <c r="S131" s="176"/>
      <c r="T131" s="176"/>
      <c r="U131" s="176"/>
      <c r="V131" s="176"/>
      <c r="W131" s="176"/>
      <c r="X131" s="176"/>
      <c r="Y131" s="176"/>
      <c r="Z131" s="176"/>
    </row>
    <row r="132">
      <c r="A132" s="249" t="s">
        <v>13</v>
      </c>
      <c r="B132" s="249" t="s">
        <v>590</v>
      </c>
      <c r="C132" s="219" t="s">
        <v>2681</v>
      </c>
      <c r="D132" s="268" t="s">
        <v>495</v>
      </c>
      <c r="E132" s="251">
        <v>44222.0</v>
      </c>
      <c r="F132" s="250" t="s">
        <v>496</v>
      </c>
      <c r="G132" s="171">
        <v>1000.0</v>
      </c>
      <c r="H132" s="171">
        <v>25.0</v>
      </c>
      <c r="I132" s="171">
        <v>25.0</v>
      </c>
      <c r="J132" s="325">
        <f t="shared" si="2"/>
        <v>0.0008034239984</v>
      </c>
      <c r="K132" s="326">
        <f t="shared" si="7"/>
        <v>0.7498623985</v>
      </c>
      <c r="L132" s="327">
        <f t="shared" si="4"/>
        <v>16.5398834</v>
      </c>
      <c r="M132" s="321" t="str">
        <f t="shared" si="5"/>
        <v>durgadasji</v>
      </c>
      <c r="N132" s="176">
        <f>IFERROR(__xludf.DUMMYFUNCTION("""COMPUTED_VALUE"""),10.0)</f>
        <v>10</v>
      </c>
      <c r="O132" s="176"/>
      <c r="P132" s="176"/>
      <c r="Q132" s="176"/>
      <c r="R132" s="176"/>
      <c r="S132" s="176"/>
      <c r="T132" s="176"/>
      <c r="U132" s="176"/>
      <c r="V132" s="176"/>
      <c r="W132" s="176"/>
      <c r="X132" s="176"/>
      <c r="Y132" s="176"/>
      <c r="Z132" s="176"/>
    </row>
    <row r="133">
      <c r="A133" s="249" t="s">
        <v>13</v>
      </c>
      <c r="B133" s="249" t="s">
        <v>18</v>
      </c>
      <c r="C133" s="219" t="s">
        <v>2688</v>
      </c>
      <c r="D133" s="268" t="s">
        <v>495</v>
      </c>
      <c r="E133" s="251">
        <v>44222.0</v>
      </c>
      <c r="F133" s="250" t="s">
        <v>496</v>
      </c>
      <c r="G133" s="171">
        <v>1000.0</v>
      </c>
      <c r="H133" s="171">
        <v>15.0</v>
      </c>
      <c r="I133" s="171">
        <v>25.0</v>
      </c>
      <c r="J133" s="325">
        <f t="shared" si="2"/>
        <v>0.0006163682558</v>
      </c>
      <c r="K133" s="326">
        <f t="shared" si="7"/>
        <v>0.5752770387</v>
      </c>
      <c r="L133" s="327">
        <f t="shared" si="4"/>
        <v>16.5398834</v>
      </c>
      <c r="M133" s="321" t="str">
        <f t="shared" si="5"/>
        <v>durgadasji</v>
      </c>
      <c r="N133" s="176">
        <f>IFERROR(__xludf.DUMMYFUNCTION("""COMPUTED_VALUE"""),11.0)</f>
        <v>11</v>
      </c>
      <c r="O133" s="176"/>
      <c r="P133" s="176"/>
      <c r="Q133" s="176"/>
      <c r="R133" s="176"/>
      <c r="S133" s="176"/>
      <c r="T133" s="176"/>
      <c r="U133" s="176"/>
      <c r="V133" s="176"/>
      <c r="W133" s="176"/>
      <c r="X133" s="176"/>
      <c r="Y133" s="176"/>
      <c r="Z133" s="176"/>
    </row>
    <row r="134">
      <c r="A134" s="249" t="s">
        <v>13</v>
      </c>
      <c r="B134" s="249" t="s">
        <v>18</v>
      </c>
      <c r="C134" s="219" t="s">
        <v>2689</v>
      </c>
      <c r="D134" s="268" t="s">
        <v>495</v>
      </c>
      <c r="E134" s="251">
        <v>44222.0</v>
      </c>
      <c r="F134" s="250" t="s">
        <v>496</v>
      </c>
      <c r="G134" s="171">
        <v>1000.0</v>
      </c>
      <c r="H134" s="171">
        <v>15.0</v>
      </c>
      <c r="I134" s="171">
        <v>25.0</v>
      </c>
      <c r="J134" s="325">
        <f t="shared" si="2"/>
        <v>0.0006163682558</v>
      </c>
      <c r="K134" s="326">
        <f t="shared" si="7"/>
        <v>0.5752770387</v>
      </c>
      <c r="L134" s="327">
        <f t="shared" si="4"/>
        <v>16.5398834</v>
      </c>
      <c r="M134" s="321" t="str">
        <f t="shared" si="5"/>
        <v>durgadasji</v>
      </c>
      <c r="N134" s="176">
        <f>IFERROR(__xludf.DUMMYFUNCTION("""COMPUTED_VALUE"""),12.0)</f>
        <v>12</v>
      </c>
      <c r="O134" s="176"/>
      <c r="P134" s="176"/>
      <c r="Q134" s="176"/>
      <c r="R134" s="176"/>
      <c r="S134" s="176"/>
      <c r="T134" s="176"/>
      <c r="U134" s="176"/>
      <c r="V134" s="176"/>
      <c r="W134" s="176"/>
      <c r="X134" s="176"/>
      <c r="Y134" s="176"/>
      <c r="Z134" s="176"/>
    </row>
    <row r="135">
      <c r="A135" s="249" t="s">
        <v>13</v>
      </c>
      <c r="B135" s="249" t="s">
        <v>10</v>
      </c>
      <c r="C135" s="219" t="s">
        <v>2690</v>
      </c>
      <c r="D135" s="268" t="s">
        <v>495</v>
      </c>
      <c r="E135" s="251">
        <v>44225.0</v>
      </c>
      <c r="F135" s="250" t="s">
        <v>496</v>
      </c>
      <c r="G135" s="171">
        <v>1000.0</v>
      </c>
      <c r="H135" s="171">
        <v>15.0</v>
      </c>
      <c r="I135" s="171">
        <v>25.0</v>
      </c>
      <c r="J135" s="325">
        <f t="shared" si="2"/>
        <v>0.0006163682558</v>
      </c>
      <c r="K135" s="326">
        <f t="shared" si="7"/>
        <v>0.5752770387</v>
      </c>
      <c r="L135" s="327">
        <f t="shared" si="4"/>
        <v>16.5398834</v>
      </c>
      <c r="M135" s="321" t="str">
        <f t="shared" si="5"/>
        <v>durgadasji</v>
      </c>
      <c r="N135" s="176">
        <f>IFERROR(__xludf.DUMMYFUNCTION("""COMPUTED_VALUE"""),13.0)</f>
        <v>13</v>
      </c>
      <c r="O135" s="176"/>
      <c r="P135" s="176"/>
      <c r="Q135" s="176"/>
      <c r="R135" s="176"/>
      <c r="S135" s="176"/>
      <c r="T135" s="176"/>
      <c r="U135" s="176"/>
      <c r="V135" s="176"/>
      <c r="W135" s="176"/>
      <c r="X135" s="176"/>
      <c r="Y135" s="176"/>
      <c r="Z135" s="176"/>
    </row>
    <row r="136">
      <c r="A136" s="249" t="s">
        <v>16</v>
      </c>
      <c r="B136" s="249" t="s">
        <v>12</v>
      </c>
      <c r="C136" s="219" t="s">
        <v>2735</v>
      </c>
      <c r="D136" s="268" t="s">
        <v>495</v>
      </c>
      <c r="E136" s="251">
        <v>44213.0</v>
      </c>
      <c r="F136" s="250" t="s">
        <v>496</v>
      </c>
      <c r="G136" s="171">
        <v>20000.0</v>
      </c>
      <c r="H136" s="171">
        <v>100.0</v>
      </c>
      <c r="I136" s="171">
        <v>100.0</v>
      </c>
      <c r="J136" s="325">
        <f t="shared" si="2"/>
        <v>0.004455085792</v>
      </c>
      <c r="K136" s="326">
        <f t="shared" si="7"/>
        <v>4.158080072</v>
      </c>
      <c r="L136" s="327">
        <f t="shared" si="4"/>
        <v>12.43401535</v>
      </c>
      <c r="M136" s="321" t="str">
        <f t="shared" si="5"/>
        <v>griffgreen</v>
      </c>
      <c r="N136" s="176">
        <f>IFERROR(__xludf.DUMMYFUNCTION("""COMPUTED_VALUE"""),1.0)</f>
        <v>1</v>
      </c>
      <c r="O136" s="176"/>
      <c r="P136" s="176"/>
      <c r="Q136" s="176"/>
      <c r="R136" s="176"/>
      <c r="S136" s="176"/>
      <c r="T136" s="176"/>
      <c r="U136" s="176"/>
      <c r="V136" s="176"/>
      <c r="W136" s="176"/>
      <c r="X136" s="176"/>
      <c r="Y136" s="176"/>
      <c r="Z136" s="176"/>
    </row>
    <row r="137">
      <c r="A137" s="249" t="s">
        <v>16</v>
      </c>
      <c r="B137" s="249" t="s">
        <v>519</v>
      </c>
      <c r="C137" s="219" t="s">
        <v>2659</v>
      </c>
      <c r="D137" s="268" t="s">
        <v>495</v>
      </c>
      <c r="E137" s="251">
        <v>44217.0</v>
      </c>
      <c r="F137" s="250" t="s">
        <v>496</v>
      </c>
      <c r="G137" s="171">
        <v>20000.0</v>
      </c>
      <c r="H137" s="171">
        <v>100.0</v>
      </c>
      <c r="I137" s="171">
        <v>200.0</v>
      </c>
      <c r="J137" s="325">
        <f t="shared" si="2"/>
        <v>0.00548787691</v>
      </c>
      <c r="K137" s="326">
        <f t="shared" si="7"/>
        <v>5.122018449</v>
      </c>
      <c r="L137" s="327">
        <f t="shared" si="4"/>
        <v>12.43401535</v>
      </c>
      <c r="M137" s="321" t="str">
        <f t="shared" si="5"/>
        <v>griffgreen</v>
      </c>
      <c r="N137" s="176">
        <f>IFERROR(__xludf.DUMMYFUNCTION("""COMPUTED_VALUE"""),2.0)</f>
        <v>2</v>
      </c>
      <c r="O137" s="176"/>
      <c r="P137" s="176"/>
      <c r="Q137" s="176"/>
      <c r="R137" s="176"/>
      <c r="S137" s="176"/>
      <c r="T137" s="176"/>
      <c r="U137" s="176"/>
      <c r="V137" s="176"/>
      <c r="W137" s="176"/>
      <c r="X137" s="176"/>
      <c r="Y137" s="176"/>
      <c r="Z137" s="176"/>
    </row>
    <row r="138">
      <c r="A138" s="249" t="s">
        <v>16</v>
      </c>
      <c r="B138" s="249" t="s">
        <v>867</v>
      </c>
      <c r="C138" s="219" t="s">
        <v>2736</v>
      </c>
      <c r="D138" s="268" t="s">
        <v>495</v>
      </c>
      <c r="E138" s="251">
        <v>44214.0</v>
      </c>
      <c r="F138" s="250" t="s">
        <v>496</v>
      </c>
      <c r="G138" s="171">
        <v>20000.0</v>
      </c>
      <c r="H138" s="171">
        <v>15.0</v>
      </c>
      <c r="I138" s="171">
        <v>100.0</v>
      </c>
      <c r="J138" s="325">
        <f t="shared" si="2"/>
        <v>0.002865111979</v>
      </c>
      <c r="K138" s="326">
        <f t="shared" si="7"/>
        <v>2.674104514</v>
      </c>
      <c r="L138" s="327">
        <f t="shared" si="4"/>
        <v>12.43401535</v>
      </c>
      <c r="M138" s="321" t="str">
        <f t="shared" si="5"/>
        <v>griffgreen</v>
      </c>
      <c r="N138" s="176">
        <f>IFERROR(__xludf.DUMMYFUNCTION("""COMPUTED_VALUE"""),3.0)</f>
        <v>3</v>
      </c>
      <c r="O138" s="176"/>
      <c r="P138" s="176"/>
      <c r="Q138" s="176"/>
      <c r="R138" s="176"/>
      <c r="S138" s="176"/>
      <c r="T138" s="176"/>
      <c r="U138" s="176"/>
      <c r="V138" s="176"/>
      <c r="W138" s="176"/>
      <c r="X138" s="176"/>
      <c r="Y138" s="176"/>
      <c r="Z138" s="176"/>
    </row>
    <row r="139">
      <c r="A139" s="249" t="s">
        <v>16</v>
      </c>
      <c r="B139" s="249" t="s">
        <v>10</v>
      </c>
      <c r="C139" s="219" t="s">
        <v>2737</v>
      </c>
      <c r="D139" s="268" t="s">
        <v>495</v>
      </c>
      <c r="E139" s="251">
        <v>44225.0</v>
      </c>
      <c r="F139" s="250" t="s">
        <v>496</v>
      </c>
      <c r="G139" s="171">
        <v>40000.0</v>
      </c>
      <c r="H139" s="171">
        <v>35.0</v>
      </c>
      <c r="I139" s="171">
        <v>200.0</v>
      </c>
      <c r="J139" s="325">
        <f t="shared" si="2"/>
        <v>0.00582375183</v>
      </c>
      <c r="K139" s="326">
        <f t="shared" si="7"/>
        <v>5.435501708</v>
      </c>
      <c r="L139" s="327">
        <f t="shared" si="4"/>
        <v>12.43401535</v>
      </c>
      <c r="M139" s="321" t="str">
        <f t="shared" si="5"/>
        <v>griffgreen</v>
      </c>
      <c r="N139" s="176">
        <f>IFERROR(__xludf.DUMMYFUNCTION("""COMPUTED_VALUE"""),4.0)</f>
        <v>4</v>
      </c>
      <c r="O139" s="176"/>
      <c r="P139" s="176"/>
      <c r="Q139" s="176"/>
      <c r="R139" s="176"/>
      <c r="S139" s="176"/>
      <c r="T139" s="176"/>
      <c r="U139" s="176"/>
      <c r="V139" s="176"/>
      <c r="W139" s="176"/>
      <c r="X139" s="176"/>
      <c r="Y139" s="176"/>
      <c r="Z139" s="176"/>
    </row>
    <row r="140">
      <c r="A140" s="249" t="s">
        <v>16</v>
      </c>
      <c r="B140" s="249" t="s">
        <v>10</v>
      </c>
      <c r="C140" s="219" t="s">
        <v>2738</v>
      </c>
      <c r="D140" s="268" t="s">
        <v>495</v>
      </c>
      <c r="E140" s="251">
        <v>44225.0</v>
      </c>
      <c r="F140" s="250" t="s">
        <v>496</v>
      </c>
      <c r="G140" s="171">
        <v>20000.0</v>
      </c>
      <c r="H140" s="171">
        <v>25.0</v>
      </c>
      <c r="I140" s="171">
        <v>200.0</v>
      </c>
      <c r="J140" s="325">
        <f t="shared" si="2"/>
        <v>0.00408495884</v>
      </c>
      <c r="K140" s="326">
        <f t="shared" si="7"/>
        <v>3.812628251</v>
      </c>
      <c r="L140" s="327">
        <f t="shared" si="4"/>
        <v>12.43401535</v>
      </c>
      <c r="M140" s="321" t="str">
        <f t="shared" si="5"/>
        <v>griffgreen</v>
      </c>
      <c r="N140" s="176">
        <f>IFERROR(__xludf.DUMMYFUNCTION("""COMPUTED_VALUE"""),5.0)</f>
        <v>5</v>
      </c>
      <c r="O140" s="176"/>
      <c r="P140" s="176"/>
      <c r="Q140" s="176"/>
      <c r="R140" s="176"/>
      <c r="S140" s="176"/>
      <c r="T140" s="176"/>
      <c r="U140" s="176"/>
      <c r="V140" s="176"/>
      <c r="W140" s="176"/>
      <c r="X140" s="176"/>
      <c r="Y140" s="176"/>
      <c r="Z140" s="176"/>
    </row>
    <row r="141">
      <c r="A141" s="249" t="s">
        <v>16</v>
      </c>
      <c r="B141" s="249" t="s">
        <v>10</v>
      </c>
      <c r="C141" s="219" t="s">
        <v>2739</v>
      </c>
      <c r="D141" s="268" t="s">
        <v>495</v>
      </c>
      <c r="E141" s="251">
        <v>44218.0</v>
      </c>
      <c r="F141" s="250" t="s">
        <v>496</v>
      </c>
      <c r="G141" s="171">
        <v>20000.0</v>
      </c>
      <c r="H141" s="171">
        <v>50.0</v>
      </c>
      <c r="I141" s="171">
        <v>150.0</v>
      </c>
      <c r="J141" s="325">
        <f t="shared" si="2"/>
        <v>0.004036202637</v>
      </c>
      <c r="K141" s="326">
        <f t="shared" si="7"/>
        <v>3.767122462</v>
      </c>
      <c r="L141" s="327">
        <f t="shared" si="4"/>
        <v>12.43401535</v>
      </c>
      <c r="M141" s="321" t="str">
        <f t="shared" si="5"/>
        <v>griffgreen</v>
      </c>
      <c r="N141" s="176">
        <f>IFERROR(__xludf.DUMMYFUNCTION("""COMPUTED_VALUE"""),6.0)</f>
        <v>6</v>
      </c>
      <c r="O141" s="176"/>
      <c r="P141" s="176"/>
      <c r="Q141" s="176"/>
      <c r="R141" s="176"/>
      <c r="S141" s="176"/>
      <c r="T141" s="176"/>
      <c r="U141" s="176"/>
      <c r="V141" s="176"/>
      <c r="W141" s="176"/>
      <c r="X141" s="176"/>
      <c r="Y141" s="176"/>
      <c r="Z141" s="176"/>
    </row>
    <row r="142">
      <c r="A142" s="249" t="s">
        <v>16</v>
      </c>
      <c r="B142" s="249" t="s">
        <v>867</v>
      </c>
      <c r="C142" s="219" t="s">
        <v>2696</v>
      </c>
      <c r="D142" s="268" t="s">
        <v>495</v>
      </c>
      <c r="E142" s="251">
        <v>44216.0</v>
      </c>
      <c r="F142" s="250" t="s">
        <v>496</v>
      </c>
      <c r="G142" s="171">
        <v>5000.0</v>
      </c>
      <c r="H142" s="171">
        <v>100.0</v>
      </c>
      <c r="I142" s="171">
        <v>150.0</v>
      </c>
      <c r="J142" s="325">
        <f t="shared" si="2"/>
        <v>0.003807678415</v>
      </c>
      <c r="K142" s="326">
        <f t="shared" si="7"/>
        <v>3.553833187</v>
      </c>
      <c r="L142" s="327">
        <f t="shared" si="4"/>
        <v>12.43401535</v>
      </c>
      <c r="M142" s="321" t="str">
        <f t="shared" si="5"/>
        <v>griffgreen</v>
      </c>
      <c r="N142" s="176">
        <f>IFERROR(__xludf.DUMMYFUNCTION("""COMPUTED_VALUE"""),7.0)</f>
        <v>7</v>
      </c>
      <c r="O142" s="176"/>
      <c r="P142" s="176"/>
      <c r="Q142" s="176"/>
      <c r="R142" s="176"/>
      <c r="S142" s="176"/>
      <c r="T142" s="176"/>
      <c r="U142" s="176"/>
      <c r="V142" s="176"/>
      <c r="W142" s="176"/>
      <c r="X142" s="176"/>
      <c r="Y142" s="176"/>
      <c r="Z142" s="176"/>
    </row>
    <row r="143">
      <c r="A143" s="249" t="s">
        <v>16</v>
      </c>
      <c r="B143" s="249" t="s">
        <v>25</v>
      </c>
      <c r="C143" s="219" t="s">
        <v>2740</v>
      </c>
      <c r="D143" s="268" t="s">
        <v>495</v>
      </c>
      <c r="E143" s="251">
        <v>44223.0</v>
      </c>
      <c r="F143" s="250" t="s">
        <v>496</v>
      </c>
      <c r="G143" s="171">
        <v>1000.0</v>
      </c>
      <c r="H143" s="171">
        <v>100.0</v>
      </c>
      <c r="I143" s="171">
        <v>150.0</v>
      </c>
      <c r="J143" s="325">
        <f t="shared" si="2"/>
        <v>0.003497330965</v>
      </c>
      <c r="K143" s="326">
        <f t="shared" si="7"/>
        <v>3.264175568</v>
      </c>
      <c r="L143" s="327">
        <f t="shared" si="4"/>
        <v>12.43401535</v>
      </c>
      <c r="M143" s="321" t="str">
        <f t="shared" si="5"/>
        <v>griffgreen</v>
      </c>
      <c r="N143" s="176">
        <f>IFERROR(__xludf.DUMMYFUNCTION("""COMPUTED_VALUE"""),8.0)</f>
        <v>8</v>
      </c>
      <c r="O143" s="176"/>
      <c r="P143" s="176"/>
      <c r="Q143" s="176"/>
      <c r="R143" s="176"/>
      <c r="S143" s="176"/>
      <c r="T143" s="176"/>
      <c r="U143" s="176"/>
      <c r="V143" s="176"/>
      <c r="W143" s="176"/>
      <c r="X143" s="176"/>
      <c r="Y143" s="176"/>
      <c r="Z143" s="176"/>
    </row>
    <row r="144">
      <c r="A144" s="249" t="s">
        <v>16</v>
      </c>
      <c r="B144" s="249" t="s">
        <v>5</v>
      </c>
      <c r="C144" s="219" t="s">
        <v>2741</v>
      </c>
      <c r="D144" s="268" t="s">
        <v>495</v>
      </c>
      <c r="E144" s="251">
        <v>44217.0</v>
      </c>
      <c r="F144" s="250" t="s">
        <v>496</v>
      </c>
      <c r="G144" s="171">
        <v>5000.0</v>
      </c>
      <c r="H144" s="171">
        <v>50.0</v>
      </c>
      <c r="I144" s="171">
        <v>200.0</v>
      </c>
      <c r="J144" s="325">
        <f t="shared" si="2"/>
        <v>0.003388795261</v>
      </c>
      <c r="K144" s="326">
        <f t="shared" si="7"/>
        <v>3.162875577</v>
      </c>
      <c r="L144" s="327">
        <f t="shared" si="4"/>
        <v>12.43401535</v>
      </c>
      <c r="M144" s="321" t="str">
        <f t="shared" si="5"/>
        <v>griffgreen</v>
      </c>
      <c r="N144" s="176">
        <f>IFERROR(__xludf.DUMMYFUNCTION("""COMPUTED_VALUE"""),9.0)</f>
        <v>9</v>
      </c>
      <c r="O144" s="176"/>
      <c r="P144" s="176"/>
      <c r="Q144" s="176"/>
      <c r="R144" s="176"/>
      <c r="S144" s="176"/>
      <c r="T144" s="176"/>
      <c r="U144" s="176"/>
      <c r="V144" s="176"/>
      <c r="W144" s="176"/>
      <c r="X144" s="176"/>
      <c r="Y144" s="176"/>
      <c r="Z144" s="176"/>
    </row>
    <row r="145">
      <c r="A145" s="249" t="s">
        <v>16</v>
      </c>
      <c r="B145" s="249" t="s">
        <v>590</v>
      </c>
      <c r="C145" s="219" t="s">
        <v>2742</v>
      </c>
      <c r="D145" s="268" t="s">
        <v>495</v>
      </c>
      <c r="E145" s="251">
        <v>44224.0</v>
      </c>
      <c r="F145" s="250" t="s">
        <v>496</v>
      </c>
      <c r="G145" s="171">
        <v>5000.0</v>
      </c>
      <c r="H145" s="171">
        <v>45.0</v>
      </c>
      <c r="I145" s="171">
        <v>150.0</v>
      </c>
      <c r="J145" s="325">
        <f t="shared" si="2"/>
        <v>0.002778871831</v>
      </c>
      <c r="K145" s="326">
        <f t="shared" si="7"/>
        <v>2.593613709</v>
      </c>
      <c r="L145" s="327">
        <f t="shared" si="4"/>
        <v>12.43401535</v>
      </c>
      <c r="M145" s="321" t="str">
        <f t="shared" si="5"/>
        <v>griffgreen</v>
      </c>
      <c r="N145" s="176">
        <f>IFERROR(__xludf.DUMMYFUNCTION("""COMPUTED_VALUE"""),10.0)</f>
        <v>10</v>
      </c>
      <c r="O145" s="176"/>
      <c r="P145" s="176"/>
      <c r="Q145" s="176"/>
      <c r="R145" s="176"/>
      <c r="S145" s="176"/>
      <c r="T145" s="176"/>
      <c r="U145" s="176"/>
      <c r="V145" s="176"/>
      <c r="W145" s="176"/>
      <c r="X145" s="176"/>
      <c r="Y145" s="176"/>
      <c r="Z145" s="176"/>
    </row>
    <row r="146">
      <c r="A146" s="249" t="s">
        <v>16</v>
      </c>
      <c r="B146" s="249" t="s">
        <v>10</v>
      </c>
      <c r="C146" s="219" t="s">
        <v>2743</v>
      </c>
      <c r="D146" s="268" t="s">
        <v>495</v>
      </c>
      <c r="E146" s="251">
        <v>44225.0</v>
      </c>
      <c r="F146" s="250" t="s">
        <v>496</v>
      </c>
      <c r="G146" s="171">
        <v>5000.0</v>
      </c>
      <c r="H146" s="171">
        <v>15.0</v>
      </c>
      <c r="I146" s="171">
        <v>200.0</v>
      </c>
      <c r="J146" s="325">
        <f t="shared" si="2"/>
        <v>0.002734100162</v>
      </c>
      <c r="K146" s="326">
        <f t="shared" si="7"/>
        <v>2.551826818</v>
      </c>
      <c r="L146" s="327">
        <f t="shared" si="4"/>
        <v>12.43401535</v>
      </c>
      <c r="M146" s="321" t="str">
        <f t="shared" si="5"/>
        <v>griffgreen</v>
      </c>
      <c r="N146" s="176">
        <f>IFERROR(__xludf.DUMMYFUNCTION("""COMPUTED_VALUE"""),11.0)</f>
        <v>11</v>
      </c>
      <c r="O146" s="176"/>
      <c r="P146" s="176"/>
      <c r="Q146" s="176"/>
      <c r="R146" s="176"/>
      <c r="S146" s="176"/>
      <c r="T146" s="176"/>
      <c r="U146" s="176"/>
      <c r="V146" s="176"/>
      <c r="W146" s="176"/>
      <c r="X146" s="176"/>
      <c r="Y146" s="176"/>
      <c r="Z146" s="176"/>
    </row>
    <row r="147">
      <c r="A147" s="249" t="s">
        <v>16</v>
      </c>
      <c r="B147" s="249" t="s">
        <v>10</v>
      </c>
      <c r="C147" s="219" t="s">
        <v>2744</v>
      </c>
      <c r="D147" s="268" t="s">
        <v>495</v>
      </c>
      <c r="E147" s="251">
        <v>44218.0</v>
      </c>
      <c r="F147" s="250" t="s">
        <v>496</v>
      </c>
      <c r="G147" s="171">
        <v>2000.0</v>
      </c>
      <c r="H147" s="171">
        <v>50.0</v>
      </c>
      <c r="I147" s="171">
        <v>150.0</v>
      </c>
      <c r="J147" s="325">
        <f t="shared" si="2"/>
        <v>0.002639639115</v>
      </c>
      <c r="K147" s="326">
        <f t="shared" si="7"/>
        <v>2.463663174</v>
      </c>
      <c r="L147" s="327">
        <f t="shared" si="4"/>
        <v>12.43401535</v>
      </c>
      <c r="M147" s="321" t="str">
        <f t="shared" si="5"/>
        <v>griffgreen</v>
      </c>
      <c r="N147" s="176">
        <f>IFERROR(__xludf.DUMMYFUNCTION("""COMPUTED_VALUE"""),12.0)</f>
        <v>12</v>
      </c>
      <c r="O147" s="176"/>
      <c r="P147" s="176"/>
      <c r="Q147" s="176"/>
      <c r="R147" s="176"/>
      <c r="S147" s="176"/>
      <c r="T147" s="176"/>
      <c r="U147" s="176"/>
      <c r="V147" s="176"/>
      <c r="W147" s="176"/>
      <c r="X147" s="176"/>
      <c r="Y147" s="176"/>
      <c r="Z147" s="176"/>
    </row>
    <row r="148">
      <c r="A148" s="249" t="s">
        <v>16</v>
      </c>
      <c r="B148" s="249" t="s">
        <v>10</v>
      </c>
      <c r="C148" s="219" t="s">
        <v>2745</v>
      </c>
      <c r="D148" s="268" t="s">
        <v>495</v>
      </c>
      <c r="E148" s="251">
        <v>44225.0</v>
      </c>
      <c r="F148" s="250" t="s">
        <v>496</v>
      </c>
      <c r="G148" s="171">
        <v>10000.0</v>
      </c>
      <c r="H148" s="171">
        <v>15.0</v>
      </c>
      <c r="I148" s="171">
        <v>100.0</v>
      </c>
      <c r="J148" s="325">
        <f t="shared" si="2"/>
        <v>0.002089243356</v>
      </c>
      <c r="K148" s="326">
        <f t="shared" si="7"/>
        <v>1.949960465</v>
      </c>
      <c r="L148" s="327">
        <f t="shared" si="4"/>
        <v>12.43401535</v>
      </c>
      <c r="M148" s="321" t="str">
        <f t="shared" si="5"/>
        <v>griffgreen</v>
      </c>
      <c r="N148" s="176">
        <f>IFERROR(__xludf.DUMMYFUNCTION("""COMPUTED_VALUE"""),13.0)</f>
        <v>13</v>
      </c>
      <c r="O148" s="176"/>
      <c r="P148" s="176"/>
      <c r="Q148" s="176"/>
      <c r="R148" s="176"/>
      <c r="S148" s="176"/>
      <c r="T148" s="176"/>
      <c r="U148" s="176"/>
      <c r="V148" s="176"/>
      <c r="W148" s="176"/>
      <c r="X148" s="176"/>
      <c r="Y148" s="176"/>
      <c r="Z148" s="176"/>
    </row>
    <row r="149">
      <c r="A149" s="249" t="s">
        <v>16</v>
      </c>
      <c r="B149" s="249" t="s">
        <v>590</v>
      </c>
      <c r="C149" s="219" t="s">
        <v>2746</v>
      </c>
      <c r="D149" s="268" t="s">
        <v>495</v>
      </c>
      <c r="E149" s="251">
        <v>44222.0</v>
      </c>
      <c r="F149" s="250" t="s">
        <v>496</v>
      </c>
      <c r="G149" s="171">
        <v>1000.0</v>
      </c>
      <c r="H149" s="171">
        <v>15.0</v>
      </c>
      <c r="I149" s="171">
        <v>200.0</v>
      </c>
      <c r="J149" s="325">
        <f t="shared" si="2"/>
        <v>0.002423752712</v>
      </c>
      <c r="K149" s="326">
        <f t="shared" si="7"/>
        <v>2.262169198</v>
      </c>
      <c r="L149" s="327">
        <f t="shared" si="4"/>
        <v>12.43401535</v>
      </c>
      <c r="M149" s="321" t="str">
        <f t="shared" si="5"/>
        <v>griffgreen</v>
      </c>
      <c r="N149" s="176">
        <f>IFERROR(__xludf.DUMMYFUNCTION("""COMPUTED_VALUE"""),14.0)</f>
        <v>14</v>
      </c>
      <c r="O149" s="176"/>
      <c r="P149" s="176"/>
      <c r="Q149" s="176"/>
      <c r="R149" s="176"/>
      <c r="S149" s="176"/>
      <c r="T149" s="176"/>
      <c r="U149" s="176"/>
      <c r="V149" s="176"/>
      <c r="W149" s="176"/>
      <c r="X149" s="176"/>
      <c r="Y149" s="176"/>
      <c r="Z149" s="176"/>
    </row>
    <row r="150">
      <c r="A150" s="249" t="s">
        <v>16</v>
      </c>
      <c r="B150" s="249" t="s">
        <v>1228</v>
      </c>
      <c r="C150" s="219" t="s">
        <v>2747</v>
      </c>
      <c r="D150" s="268" t="s">
        <v>495</v>
      </c>
      <c r="E150" s="251">
        <v>44222.0</v>
      </c>
      <c r="F150" s="250" t="s">
        <v>496</v>
      </c>
      <c r="G150" s="171">
        <v>1000.0</v>
      </c>
      <c r="H150" s="171">
        <v>15.0</v>
      </c>
      <c r="I150" s="171">
        <v>200.0</v>
      </c>
      <c r="J150" s="325">
        <f t="shared" si="2"/>
        <v>0.002423752712</v>
      </c>
      <c r="K150" s="326">
        <f t="shared" si="7"/>
        <v>2.262169198</v>
      </c>
      <c r="L150" s="327">
        <f t="shared" si="4"/>
        <v>12.43401535</v>
      </c>
      <c r="M150" s="321" t="str">
        <f t="shared" si="5"/>
        <v>griffgreen</v>
      </c>
      <c r="N150" s="176">
        <f>IFERROR(__xludf.DUMMYFUNCTION("""COMPUTED_VALUE"""),15.0)</f>
        <v>15</v>
      </c>
      <c r="O150" s="176"/>
      <c r="P150" s="176"/>
      <c r="Q150" s="176"/>
      <c r="R150" s="176"/>
      <c r="S150" s="176"/>
      <c r="T150" s="176"/>
      <c r="U150" s="176"/>
      <c r="V150" s="176"/>
      <c r="W150" s="176"/>
      <c r="X150" s="176"/>
      <c r="Y150" s="176"/>
      <c r="Z150" s="176"/>
    </row>
    <row r="151">
      <c r="A151" s="249" t="s">
        <v>16</v>
      </c>
      <c r="B151" s="249" t="s">
        <v>867</v>
      </c>
      <c r="C151" s="219" t="s">
        <v>2748</v>
      </c>
      <c r="D151" s="268" t="s">
        <v>495</v>
      </c>
      <c r="E151" s="251">
        <v>44225.0</v>
      </c>
      <c r="F151" s="250" t="s">
        <v>496</v>
      </c>
      <c r="G151" s="171">
        <v>15000.0</v>
      </c>
      <c r="H151" s="171">
        <v>25.0</v>
      </c>
      <c r="I151" s="171">
        <v>25.0</v>
      </c>
      <c r="J151" s="325">
        <f t="shared" si="2"/>
        <v>0.001889640072</v>
      </c>
      <c r="K151" s="326">
        <f t="shared" si="7"/>
        <v>1.763664067</v>
      </c>
      <c r="L151" s="327">
        <f t="shared" si="4"/>
        <v>12.43401535</v>
      </c>
      <c r="M151" s="321" t="str">
        <f t="shared" si="5"/>
        <v>griffgreen</v>
      </c>
      <c r="N151" s="176">
        <f>IFERROR(__xludf.DUMMYFUNCTION("""COMPUTED_VALUE"""),16.0)</f>
        <v>16</v>
      </c>
      <c r="O151" s="176"/>
      <c r="P151" s="176"/>
      <c r="Q151" s="176"/>
      <c r="R151" s="176"/>
      <c r="S151" s="176"/>
      <c r="T151" s="176"/>
      <c r="U151" s="176"/>
      <c r="V151" s="176"/>
      <c r="W151" s="176"/>
      <c r="X151" s="176"/>
      <c r="Y151" s="176"/>
      <c r="Z151" s="176"/>
    </row>
    <row r="152">
      <c r="A152" s="249" t="s">
        <v>16</v>
      </c>
      <c r="B152" s="249" t="s">
        <v>10</v>
      </c>
      <c r="C152" s="219" t="s">
        <v>2749</v>
      </c>
      <c r="D152" s="268" t="s">
        <v>495</v>
      </c>
      <c r="E152" s="251">
        <v>44225.0</v>
      </c>
      <c r="F152" s="250" t="s">
        <v>496</v>
      </c>
      <c r="G152" s="171">
        <v>5000.0</v>
      </c>
      <c r="H152" s="171">
        <v>15.0</v>
      </c>
      <c r="I152" s="171">
        <v>150.0</v>
      </c>
      <c r="J152" s="325">
        <f t="shared" si="2"/>
        <v>0.002217704603</v>
      </c>
      <c r="K152" s="326">
        <f t="shared" si="7"/>
        <v>2.069857629</v>
      </c>
      <c r="L152" s="327">
        <f t="shared" si="4"/>
        <v>12.43401535</v>
      </c>
      <c r="M152" s="321" t="str">
        <f t="shared" si="5"/>
        <v>griffgreen</v>
      </c>
      <c r="N152" s="176">
        <f>IFERROR(__xludf.DUMMYFUNCTION("""COMPUTED_VALUE"""),17.0)</f>
        <v>17</v>
      </c>
      <c r="O152" s="176"/>
      <c r="P152" s="176"/>
      <c r="Q152" s="176"/>
      <c r="R152" s="176"/>
      <c r="S152" s="176"/>
      <c r="T152" s="176"/>
      <c r="U152" s="176"/>
      <c r="V152" s="176"/>
      <c r="W152" s="176"/>
      <c r="X152" s="176"/>
      <c r="Y152" s="176"/>
      <c r="Z152" s="176"/>
    </row>
    <row r="153">
      <c r="A153" s="249" t="s">
        <v>16</v>
      </c>
      <c r="B153" s="249" t="s">
        <v>10</v>
      </c>
      <c r="C153" s="219" t="s">
        <v>2750</v>
      </c>
      <c r="D153" s="268" t="s">
        <v>495</v>
      </c>
      <c r="E153" s="251">
        <v>44218.0</v>
      </c>
      <c r="F153" s="250" t="s">
        <v>496</v>
      </c>
      <c r="G153" s="171">
        <v>5000.0</v>
      </c>
      <c r="H153" s="171">
        <v>35.0</v>
      </c>
      <c r="I153" s="171">
        <v>100.0</v>
      </c>
      <c r="J153" s="325">
        <f t="shared" si="2"/>
        <v>0.002075420529</v>
      </c>
      <c r="K153" s="326">
        <f t="shared" si="7"/>
        <v>1.93705916</v>
      </c>
      <c r="L153" s="327">
        <f t="shared" si="4"/>
        <v>12.43401535</v>
      </c>
      <c r="M153" s="321" t="str">
        <f t="shared" si="5"/>
        <v>griffgreen</v>
      </c>
      <c r="N153" s="176">
        <f>IFERROR(__xludf.DUMMYFUNCTION("""COMPUTED_VALUE"""),18.0)</f>
        <v>18</v>
      </c>
      <c r="O153" s="176"/>
      <c r="P153" s="176"/>
      <c r="Q153" s="176"/>
      <c r="R153" s="176"/>
      <c r="S153" s="176"/>
      <c r="T153" s="176"/>
      <c r="U153" s="176"/>
      <c r="V153" s="176"/>
      <c r="W153" s="176"/>
      <c r="X153" s="176"/>
      <c r="Y153" s="176"/>
      <c r="Z153" s="176"/>
    </row>
    <row r="154">
      <c r="A154" s="249" t="s">
        <v>16</v>
      </c>
      <c r="B154" s="249" t="s">
        <v>1228</v>
      </c>
      <c r="C154" s="219" t="s">
        <v>2673</v>
      </c>
      <c r="D154" s="268" t="s">
        <v>495</v>
      </c>
      <c r="E154" s="251">
        <v>44212.0</v>
      </c>
      <c r="F154" s="250" t="s">
        <v>496</v>
      </c>
      <c r="G154" s="171">
        <v>10000.0</v>
      </c>
      <c r="H154" s="171">
        <v>25.0</v>
      </c>
      <c r="I154" s="171">
        <v>25.0</v>
      </c>
      <c r="J154" s="325">
        <f t="shared" si="2"/>
        <v>0.00150170576</v>
      </c>
      <c r="K154" s="326">
        <f t="shared" si="7"/>
        <v>1.401592042</v>
      </c>
      <c r="L154" s="327">
        <f t="shared" si="4"/>
        <v>12.43401535</v>
      </c>
      <c r="M154" s="321" t="str">
        <f t="shared" si="5"/>
        <v>griffgreen</v>
      </c>
      <c r="N154" s="176">
        <f>IFERROR(__xludf.DUMMYFUNCTION("""COMPUTED_VALUE"""),19.0)</f>
        <v>19</v>
      </c>
      <c r="O154" s="176"/>
      <c r="P154" s="176"/>
      <c r="Q154" s="176"/>
      <c r="R154" s="176"/>
      <c r="S154" s="176"/>
      <c r="T154" s="176"/>
      <c r="U154" s="176"/>
      <c r="V154" s="176"/>
      <c r="W154" s="176"/>
      <c r="X154" s="176"/>
      <c r="Y154" s="176"/>
      <c r="Z154" s="176"/>
    </row>
    <row r="155">
      <c r="A155" s="249" t="s">
        <v>16</v>
      </c>
      <c r="B155" s="249" t="s">
        <v>10</v>
      </c>
      <c r="C155" s="219" t="s">
        <v>2668</v>
      </c>
      <c r="D155" s="268" t="s">
        <v>495</v>
      </c>
      <c r="E155" s="251">
        <v>44218.0</v>
      </c>
      <c r="F155" s="250" t="s">
        <v>496</v>
      </c>
      <c r="G155" s="171">
        <v>5000.0</v>
      </c>
      <c r="H155" s="171">
        <v>25.0</v>
      </c>
      <c r="I155" s="171">
        <v>100.0</v>
      </c>
      <c r="J155" s="325">
        <f t="shared" si="2"/>
        <v>0.001888364786</v>
      </c>
      <c r="K155" s="326">
        <f t="shared" si="7"/>
        <v>1.762473801</v>
      </c>
      <c r="L155" s="327">
        <f t="shared" si="4"/>
        <v>12.43401535</v>
      </c>
      <c r="M155" s="321" t="str">
        <f t="shared" si="5"/>
        <v>griffgreen</v>
      </c>
      <c r="N155" s="176">
        <f>IFERROR(__xludf.DUMMYFUNCTION("""COMPUTED_VALUE"""),20.0)</f>
        <v>20</v>
      </c>
      <c r="O155" s="176"/>
      <c r="P155" s="176"/>
      <c r="Q155" s="176"/>
      <c r="R155" s="176"/>
      <c r="S155" s="176"/>
      <c r="T155" s="176"/>
      <c r="U155" s="176"/>
      <c r="V155" s="176"/>
      <c r="W155" s="176"/>
      <c r="X155" s="176"/>
      <c r="Y155" s="176"/>
      <c r="Z155" s="176"/>
    </row>
    <row r="156">
      <c r="A156" s="249" t="s">
        <v>16</v>
      </c>
      <c r="B156" s="249" t="s">
        <v>10</v>
      </c>
      <c r="C156" s="219" t="s">
        <v>2670</v>
      </c>
      <c r="D156" s="268" t="s">
        <v>495</v>
      </c>
      <c r="E156" s="251">
        <v>44225.0</v>
      </c>
      <c r="F156" s="250" t="s">
        <v>496</v>
      </c>
      <c r="G156" s="171">
        <v>5000.0</v>
      </c>
      <c r="H156" s="171">
        <v>25.0</v>
      </c>
      <c r="I156" s="171">
        <v>100.0</v>
      </c>
      <c r="J156" s="325">
        <f t="shared" si="2"/>
        <v>0.001888364786</v>
      </c>
      <c r="K156" s="326">
        <f t="shared" si="7"/>
        <v>1.762473801</v>
      </c>
      <c r="L156" s="327">
        <f t="shared" si="4"/>
        <v>12.43401535</v>
      </c>
      <c r="M156" s="321" t="str">
        <f t="shared" si="5"/>
        <v>griffgreen</v>
      </c>
      <c r="N156" s="176">
        <f>IFERROR(__xludf.DUMMYFUNCTION("""COMPUTED_VALUE"""),21.0)</f>
        <v>21</v>
      </c>
      <c r="O156" s="176"/>
      <c r="P156" s="176"/>
      <c r="Q156" s="176"/>
      <c r="R156" s="176"/>
      <c r="S156" s="176"/>
      <c r="T156" s="176"/>
      <c r="U156" s="176"/>
      <c r="V156" s="176"/>
      <c r="W156" s="176"/>
      <c r="X156" s="176"/>
      <c r="Y156" s="176"/>
      <c r="Z156" s="176"/>
    </row>
    <row r="157">
      <c r="A157" s="249" t="s">
        <v>16</v>
      </c>
      <c r="B157" s="249" t="s">
        <v>590</v>
      </c>
      <c r="C157" s="219" t="s">
        <v>2751</v>
      </c>
      <c r="D157" s="268" t="s">
        <v>495</v>
      </c>
      <c r="E157" s="251">
        <v>44216.0</v>
      </c>
      <c r="F157" s="250" t="s">
        <v>496</v>
      </c>
      <c r="G157" s="171">
        <v>5000.0</v>
      </c>
      <c r="H157" s="171">
        <v>20.0</v>
      </c>
      <c r="I157" s="171">
        <v>100.0</v>
      </c>
      <c r="J157" s="325">
        <f t="shared" si="2"/>
        <v>0.001794836915</v>
      </c>
      <c r="K157" s="326">
        <f t="shared" si="7"/>
        <v>1.675181121</v>
      </c>
      <c r="L157" s="327">
        <f t="shared" si="4"/>
        <v>12.43401535</v>
      </c>
      <c r="M157" s="321" t="str">
        <f t="shared" si="5"/>
        <v>griffgreen</v>
      </c>
      <c r="N157" s="176">
        <f>IFERROR(__xludf.DUMMYFUNCTION("""COMPUTED_VALUE"""),22.0)</f>
        <v>22</v>
      </c>
      <c r="O157" s="176"/>
      <c r="P157" s="176"/>
      <c r="Q157" s="176"/>
      <c r="R157" s="176"/>
      <c r="S157" s="176"/>
      <c r="T157" s="176"/>
      <c r="U157" s="176"/>
      <c r="V157" s="176"/>
      <c r="W157" s="176"/>
      <c r="X157" s="176"/>
      <c r="Y157" s="176"/>
      <c r="Z157" s="176"/>
    </row>
    <row r="158">
      <c r="A158" s="249" t="s">
        <v>16</v>
      </c>
      <c r="B158" s="249" t="s">
        <v>10</v>
      </c>
      <c r="C158" s="219" t="s">
        <v>2752</v>
      </c>
      <c r="D158" s="268" t="s">
        <v>495</v>
      </c>
      <c r="E158" s="251">
        <v>44218.0</v>
      </c>
      <c r="F158" s="250" t="s">
        <v>496</v>
      </c>
      <c r="G158" s="171">
        <v>2000.0</v>
      </c>
      <c r="H158" s="171">
        <v>25.0</v>
      </c>
      <c r="I158" s="171">
        <v>100.0</v>
      </c>
      <c r="J158" s="325">
        <f t="shared" si="2"/>
        <v>0.001655604199</v>
      </c>
      <c r="K158" s="326">
        <f t="shared" si="7"/>
        <v>1.545230586</v>
      </c>
      <c r="L158" s="327">
        <f t="shared" si="4"/>
        <v>12.43401535</v>
      </c>
      <c r="M158" s="321" t="str">
        <f t="shared" si="5"/>
        <v>griffgreen</v>
      </c>
      <c r="N158" s="176">
        <f>IFERROR(__xludf.DUMMYFUNCTION("""COMPUTED_VALUE"""),23.0)</f>
        <v>23</v>
      </c>
      <c r="O158" s="176"/>
      <c r="P158" s="176"/>
      <c r="Q158" s="176"/>
      <c r="R158" s="176"/>
      <c r="S158" s="176"/>
      <c r="T158" s="176"/>
      <c r="U158" s="176"/>
      <c r="V158" s="176"/>
      <c r="W158" s="176"/>
      <c r="X158" s="176"/>
      <c r="Y158" s="176"/>
      <c r="Z158" s="176"/>
    </row>
    <row r="159">
      <c r="A159" s="249" t="s">
        <v>16</v>
      </c>
      <c r="B159" s="249" t="s">
        <v>519</v>
      </c>
      <c r="C159" s="219" t="s">
        <v>2705</v>
      </c>
      <c r="D159" s="268" t="s">
        <v>495</v>
      </c>
      <c r="E159" s="251">
        <v>44223.0</v>
      </c>
      <c r="F159" s="250" t="s">
        <v>499</v>
      </c>
      <c r="G159" s="171">
        <v>1000.0</v>
      </c>
      <c r="H159" s="171">
        <v>25.0</v>
      </c>
      <c r="I159" s="171">
        <v>100.0</v>
      </c>
      <c r="J159" s="325">
        <f t="shared" si="2"/>
        <v>0.001578017337</v>
      </c>
      <c r="K159" s="326">
        <f t="shared" si="7"/>
        <v>1.472816181</v>
      </c>
      <c r="L159" s="327">
        <f t="shared" si="4"/>
        <v>12.43401535</v>
      </c>
      <c r="M159" s="321" t="str">
        <f t="shared" si="5"/>
        <v>griffgreen</v>
      </c>
      <c r="N159" s="176">
        <f>IFERROR(__xludf.DUMMYFUNCTION("""COMPUTED_VALUE"""),24.0)</f>
        <v>24</v>
      </c>
      <c r="O159" s="176"/>
      <c r="P159" s="176"/>
      <c r="Q159" s="176"/>
      <c r="R159" s="176"/>
      <c r="S159" s="176"/>
      <c r="T159" s="176"/>
      <c r="U159" s="176"/>
      <c r="V159" s="176"/>
      <c r="W159" s="176"/>
      <c r="X159" s="176"/>
      <c r="Y159" s="176"/>
      <c r="Z159" s="176"/>
    </row>
    <row r="160">
      <c r="A160" s="249" t="s">
        <v>16</v>
      </c>
      <c r="B160" s="249" t="s">
        <v>63</v>
      </c>
      <c r="C160" s="219" t="s">
        <v>2753</v>
      </c>
      <c r="D160" s="268" t="s">
        <v>495</v>
      </c>
      <c r="E160" s="251">
        <v>44217.0</v>
      </c>
      <c r="F160" s="250" t="s">
        <v>2586</v>
      </c>
      <c r="G160" s="171">
        <v>5000.0</v>
      </c>
      <c r="H160" s="171">
        <v>50.0</v>
      </c>
      <c r="I160" s="171">
        <v>25.0</v>
      </c>
      <c r="J160" s="325">
        <f t="shared" si="2"/>
        <v>0.001581410804</v>
      </c>
      <c r="K160" s="326">
        <f t="shared" si="7"/>
        <v>1.475983417</v>
      </c>
      <c r="L160" s="327">
        <f t="shared" si="4"/>
        <v>12.43401535</v>
      </c>
      <c r="M160" s="321" t="str">
        <f t="shared" si="5"/>
        <v>griffgreen</v>
      </c>
      <c r="N160" s="176">
        <f>IFERROR(__xludf.DUMMYFUNCTION("""COMPUTED_VALUE"""),25.0)</f>
        <v>25</v>
      </c>
      <c r="O160" s="176"/>
      <c r="P160" s="176"/>
      <c r="Q160" s="176"/>
      <c r="R160" s="176"/>
      <c r="S160" s="176"/>
      <c r="T160" s="176"/>
      <c r="U160" s="176"/>
      <c r="V160" s="176"/>
      <c r="W160" s="176"/>
      <c r="X160" s="176"/>
      <c r="Y160" s="176"/>
      <c r="Z160" s="176"/>
    </row>
    <row r="161">
      <c r="A161" s="249" t="s">
        <v>16</v>
      </c>
      <c r="B161" s="249" t="s">
        <v>1228</v>
      </c>
      <c r="C161" s="219" t="s">
        <v>2754</v>
      </c>
      <c r="D161" s="268" t="s">
        <v>495</v>
      </c>
      <c r="E161" s="251">
        <v>44215.0</v>
      </c>
      <c r="F161" s="250" t="s">
        <v>496</v>
      </c>
      <c r="G161" s="171">
        <v>1000.0</v>
      </c>
      <c r="H161" s="171">
        <v>10.0</v>
      </c>
      <c r="I161" s="171">
        <v>100.0</v>
      </c>
      <c r="J161" s="325">
        <f t="shared" si="2"/>
        <v>0.001297433723</v>
      </c>
      <c r="K161" s="326">
        <f t="shared" si="7"/>
        <v>1.210938141</v>
      </c>
      <c r="L161" s="327">
        <f t="shared" si="4"/>
        <v>12.43401535</v>
      </c>
      <c r="M161" s="321" t="str">
        <f t="shared" si="5"/>
        <v>griffgreen</v>
      </c>
      <c r="N161" s="176">
        <f>IFERROR(__xludf.DUMMYFUNCTION("""COMPUTED_VALUE"""),26.0)</f>
        <v>26</v>
      </c>
      <c r="O161" s="176"/>
      <c r="P161" s="176"/>
      <c r="Q161" s="176"/>
      <c r="R161" s="176"/>
      <c r="S161" s="176"/>
      <c r="T161" s="176"/>
      <c r="U161" s="176"/>
      <c r="V161" s="176"/>
      <c r="W161" s="176"/>
      <c r="X161" s="176"/>
      <c r="Y161" s="176"/>
      <c r="Z161" s="176"/>
    </row>
    <row r="162">
      <c r="A162" s="249" t="s">
        <v>16</v>
      </c>
      <c r="B162" s="249" t="s">
        <v>519</v>
      </c>
      <c r="C162" s="219" t="s">
        <v>2755</v>
      </c>
      <c r="D162" s="268" t="s">
        <v>495</v>
      </c>
      <c r="E162" s="251">
        <v>44225.0</v>
      </c>
      <c r="F162" s="250" t="s">
        <v>521</v>
      </c>
      <c r="G162" s="171">
        <v>1000.0</v>
      </c>
      <c r="H162" s="171">
        <v>45.0</v>
      </c>
      <c r="I162" s="171">
        <v>25.0</v>
      </c>
      <c r="J162" s="325">
        <f t="shared" si="2"/>
        <v>0.001177535484</v>
      </c>
      <c r="K162" s="326">
        <f t="shared" si="7"/>
        <v>1.099033118</v>
      </c>
      <c r="L162" s="327">
        <f t="shared" si="4"/>
        <v>12.43401535</v>
      </c>
      <c r="M162" s="321" t="str">
        <f t="shared" si="5"/>
        <v>griffgreen</v>
      </c>
      <c r="N162" s="176">
        <f>IFERROR(__xludf.DUMMYFUNCTION("""COMPUTED_VALUE"""),27.0)</f>
        <v>27</v>
      </c>
      <c r="O162" s="176"/>
      <c r="P162" s="176"/>
      <c r="Q162" s="176"/>
      <c r="R162" s="176"/>
      <c r="S162" s="176"/>
      <c r="T162" s="176"/>
      <c r="U162" s="176"/>
      <c r="V162" s="176"/>
      <c r="W162" s="176"/>
      <c r="X162" s="176"/>
      <c r="Y162" s="176"/>
      <c r="Z162" s="176"/>
    </row>
    <row r="163">
      <c r="A163" s="249" t="s">
        <v>16</v>
      </c>
      <c r="B163" s="249" t="s">
        <v>5</v>
      </c>
      <c r="C163" s="219" t="s">
        <v>2676</v>
      </c>
      <c r="D163" s="268" t="s">
        <v>495</v>
      </c>
      <c r="E163" s="251">
        <v>44224.0</v>
      </c>
      <c r="F163" s="250" t="s">
        <v>496</v>
      </c>
      <c r="G163" s="171">
        <v>1000.0</v>
      </c>
      <c r="H163" s="171">
        <v>25.0</v>
      </c>
      <c r="I163" s="171">
        <v>50.0</v>
      </c>
      <c r="J163" s="325">
        <f t="shared" si="2"/>
        <v>0.001061621778</v>
      </c>
      <c r="K163" s="326">
        <f t="shared" si="7"/>
        <v>0.9908469927</v>
      </c>
      <c r="L163" s="327">
        <f t="shared" si="4"/>
        <v>12.43401535</v>
      </c>
      <c r="M163" s="321" t="str">
        <f t="shared" si="5"/>
        <v>griffgreen</v>
      </c>
      <c r="N163" s="176">
        <f>IFERROR(__xludf.DUMMYFUNCTION("""COMPUTED_VALUE"""),28.0)</f>
        <v>28</v>
      </c>
      <c r="O163" s="176"/>
      <c r="P163" s="176"/>
      <c r="Q163" s="176"/>
      <c r="R163" s="176"/>
      <c r="S163" s="176"/>
      <c r="T163" s="176"/>
      <c r="U163" s="176"/>
      <c r="V163" s="176"/>
      <c r="W163" s="176"/>
      <c r="X163" s="176"/>
      <c r="Y163" s="176"/>
      <c r="Z163" s="176"/>
    </row>
    <row r="164">
      <c r="A164" s="249" t="s">
        <v>16</v>
      </c>
      <c r="B164" s="249" t="s">
        <v>519</v>
      </c>
      <c r="C164" s="219" t="s">
        <v>2329</v>
      </c>
      <c r="D164" s="268" t="s">
        <v>495</v>
      </c>
      <c r="E164" s="251">
        <v>44216.0</v>
      </c>
      <c r="F164" s="250" t="s">
        <v>521</v>
      </c>
      <c r="G164" s="171">
        <v>5000.0</v>
      </c>
      <c r="H164" s="171">
        <v>25.0</v>
      </c>
      <c r="I164" s="171">
        <v>25.0</v>
      </c>
      <c r="J164" s="325">
        <f t="shared" si="2"/>
        <v>0.001113771448</v>
      </c>
      <c r="K164" s="326">
        <f t="shared" si="7"/>
        <v>1.039520018</v>
      </c>
      <c r="L164" s="327">
        <f t="shared" si="4"/>
        <v>12.43401535</v>
      </c>
      <c r="M164" s="321" t="str">
        <f t="shared" si="5"/>
        <v>griffgreen</v>
      </c>
      <c r="N164" s="176">
        <f>IFERROR(__xludf.DUMMYFUNCTION("""COMPUTED_VALUE"""),29.0)</f>
        <v>29</v>
      </c>
      <c r="O164" s="176"/>
      <c r="P164" s="176"/>
      <c r="Q164" s="176"/>
      <c r="R164" s="176"/>
      <c r="S164" s="176"/>
      <c r="T164" s="176"/>
      <c r="U164" s="176"/>
      <c r="V164" s="176"/>
      <c r="W164" s="176"/>
      <c r="X164" s="176"/>
      <c r="Y164" s="176"/>
      <c r="Z164" s="176"/>
    </row>
    <row r="165">
      <c r="A165" s="249" t="s">
        <v>16</v>
      </c>
      <c r="B165" s="249" t="s">
        <v>590</v>
      </c>
      <c r="C165" s="219" t="s">
        <v>2756</v>
      </c>
      <c r="D165" s="268" t="s">
        <v>495</v>
      </c>
      <c r="E165" s="251">
        <v>44216.0</v>
      </c>
      <c r="F165" s="250" t="s">
        <v>496</v>
      </c>
      <c r="G165" s="171">
        <v>1500.0</v>
      </c>
      <c r="H165" s="171">
        <v>35.0</v>
      </c>
      <c r="I165" s="171">
        <v>25.0</v>
      </c>
      <c r="J165" s="325">
        <f t="shared" si="2"/>
        <v>0.001029273172</v>
      </c>
      <c r="K165" s="326">
        <f t="shared" si="7"/>
        <v>0.9606549607</v>
      </c>
      <c r="L165" s="327">
        <f t="shared" si="4"/>
        <v>12.43401535</v>
      </c>
      <c r="M165" s="321" t="str">
        <f t="shared" si="5"/>
        <v>griffgreen</v>
      </c>
      <c r="N165" s="176">
        <f>IFERROR(__xludf.DUMMYFUNCTION("""COMPUTED_VALUE"""),30.0)</f>
        <v>30</v>
      </c>
      <c r="O165" s="176"/>
      <c r="P165" s="176"/>
      <c r="Q165" s="176"/>
      <c r="R165" s="176"/>
      <c r="S165" s="176"/>
      <c r="T165" s="176"/>
      <c r="U165" s="176"/>
      <c r="V165" s="176"/>
      <c r="W165" s="176"/>
      <c r="X165" s="176"/>
      <c r="Y165" s="176"/>
      <c r="Z165" s="176"/>
    </row>
    <row r="166">
      <c r="A166" s="249" t="s">
        <v>16</v>
      </c>
      <c r="B166" s="249" t="s">
        <v>10</v>
      </c>
      <c r="C166" s="219" t="s">
        <v>2716</v>
      </c>
      <c r="D166" s="268" t="s">
        <v>495</v>
      </c>
      <c r="E166" s="251">
        <v>44225.0</v>
      </c>
      <c r="F166" s="250" t="s">
        <v>496</v>
      </c>
      <c r="G166" s="171">
        <v>500.0</v>
      </c>
      <c r="H166" s="171">
        <v>35.0</v>
      </c>
      <c r="I166" s="171">
        <v>25.0</v>
      </c>
      <c r="J166" s="325">
        <f t="shared" si="2"/>
        <v>0.0009516863098</v>
      </c>
      <c r="K166" s="326">
        <f t="shared" si="7"/>
        <v>0.8882405558</v>
      </c>
      <c r="L166" s="327">
        <f t="shared" si="4"/>
        <v>12.43401535</v>
      </c>
      <c r="M166" s="321" t="str">
        <f t="shared" si="5"/>
        <v>griffgreen</v>
      </c>
      <c r="N166" s="176">
        <f>IFERROR(__xludf.DUMMYFUNCTION("""COMPUTED_VALUE"""),31.0)</f>
        <v>31</v>
      </c>
      <c r="O166" s="176"/>
      <c r="P166" s="176"/>
      <c r="Q166" s="176"/>
      <c r="R166" s="176"/>
      <c r="S166" s="176"/>
      <c r="T166" s="176"/>
      <c r="U166" s="176"/>
      <c r="V166" s="176"/>
      <c r="W166" s="176"/>
      <c r="X166" s="176"/>
      <c r="Y166" s="176"/>
      <c r="Z166" s="176"/>
    </row>
    <row r="167">
      <c r="A167" s="249" t="s">
        <v>16</v>
      </c>
      <c r="B167" s="249" t="s">
        <v>10</v>
      </c>
      <c r="C167" s="219" t="s">
        <v>2531</v>
      </c>
      <c r="D167" s="268" t="s">
        <v>495</v>
      </c>
      <c r="E167" s="251">
        <v>44225.0</v>
      </c>
      <c r="F167" s="250" t="s">
        <v>499</v>
      </c>
      <c r="G167" s="171">
        <v>500.0</v>
      </c>
      <c r="H167" s="171">
        <v>35.0</v>
      </c>
      <c r="I167" s="171">
        <v>25.0</v>
      </c>
      <c r="J167" s="325">
        <f t="shared" si="2"/>
        <v>0.0009516863098</v>
      </c>
      <c r="K167" s="326">
        <f t="shared" si="7"/>
        <v>0.8882405558</v>
      </c>
      <c r="L167" s="327">
        <f t="shared" si="4"/>
        <v>12.43401535</v>
      </c>
      <c r="M167" s="321" t="str">
        <f t="shared" si="5"/>
        <v>griffgreen</v>
      </c>
      <c r="N167" s="176">
        <f>IFERROR(__xludf.DUMMYFUNCTION("""COMPUTED_VALUE"""),32.0)</f>
        <v>32</v>
      </c>
      <c r="O167" s="176"/>
      <c r="P167" s="176"/>
      <c r="Q167" s="176"/>
      <c r="R167" s="176"/>
      <c r="S167" s="176"/>
      <c r="T167" s="176"/>
      <c r="U167" s="176"/>
      <c r="V167" s="176"/>
      <c r="W167" s="176"/>
      <c r="X167" s="176"/>
      <c r="Y167" s="176"/>
      <c r="Z167" s="176"/>
    </row>
    <row r="168">
      <c r="A168" s="249" t="s">
        <v>16</v>
      </c>
      <c r="B168" s="249" t="s">
        <v>10</v>
      </c>
      <c r="C168" s="219" t="s">
        <v>494</v>
      </c>
      <c r="D168" s="268" t="s">
        <v>495</v>
      </c>
      <c r="E168" s="251">
        <v>44218.0</v>
      </c>
      <c r="F168" s="250" t="s">
        <v>545</v>
      </c>
      <c r="G168" s="171">
        <v>2000.0</v>
      </c>
      <c r="H168" s="171">
        <v>25.0</v>
      </c>
      <c r="I168" s="171">
        <v>25.0</v>
      </c>
      <c r="J168" s="325">
        <f t="shared" si="2"/>
        <v>0.0008810108608</v>
      </c>
      <c r="K168" s="326">
        <f t="shared" si="7"/>
        <v>0.8222768034</v>
      </c>
      <c r="L168" s="327">
        <f t="shared" si="4"/>
        <v>12.43401535</v>
      </c>
      <c r="M168" s="321" t="str">
        <f t="shared" si="5"/>
        <v>griffgreen</v>
      </c>
      <c r="N168" s="176">
        <f>IFERROR(__xludf.DUMMYFUNCTION("""COMPUTED_VALUE"""),33.0)</f>
        <v>33</v>
      </c>
      <c r="O168" s="176"/>
      <c r="P168" s="176"/>
      <c r="Q168" s="176"/>
      <c r="R168" s="176"/>
      <c r="S168" s="176"/>
      <c r="T168" s="176"/>
      <c r="U168" s="176"/>
      <c r="V168" s="176"/>
      <c r="W168" s="176"/>
      <c r="X168" s="176"/>
      <c r="Y168" s="176"/>
      <c r="Z168" s="176"/>
    </row>
    <row r="169">
      <c r="A169" s="249" t="s">
        <v>16</v>
      </c>
      <c r="B169" s="249" t="s">
        <v>868</v>
      </c>
      <c r="C169" s="219" t="s">
        <v>2679</v>
      </c>
      <c r="D169" s="268" t="s">
        <v>495</v>
      </c>
      <c r="E169" s="251">
        <v>44218.0</v>
      </c>
      <c r="F169" s="250" t="s">
        <v>496</v>
      </c>
      <c r="G169" s="171">
        <v>1000.0</v>
      </c>
      <c r="H169" s="171">
        <v>25.0</v>
      </c>
      <c r="I169" s="171">
        <v>25.0</v>
      </c>
      <c r="J169" s="325">
        <f t="shared" si="2"/>
        <v>0.0008034239984</v>
      </c>
      <c r="K169" s="326">
        <f t="shared" si="7"/>
        <v>0.7498623985</v>
      </c>
      <c r="L169" s="327">
        <f t="shared" si="4"/>
        <v>12.43401535</v>
      </c>
      <c r="M169" s="321" t="str">
        <f t="shared" si="5"/>
        <v>griffgreen</v>
      </c>
      <c r="N169" s="176">
        <f>IFERROR(__xludf.DUMMYFUNCTION("""COMPUTED_VALUE"""),34.0)</f>
        <v>34</v>
      </c>
      <c r="O169" s="176"/>
      <c r="P169" s="176"/>
      <c r="Q169" s="176"/>
      <c r="R169" s="176"/>
      <c r="S169" s="176"/>
      <c r="T169" s="176"/>
      <c r="U169" s="176"/>
      <c r="V169" s="176"/>
      <c r="W169" s="176"/>
      <c r="X169" s="176"/>
      <c r="Y169" s="176"/>
      <c r="Z169" s="176"/>
    </row>
    <row r="170">
      <c r="A170" s="249" t="s">
        <v>16</v>
      </c>
      <c r="B170" s="249" t="s">
        <v>25</v>
      </c>
      <c r="C170" s="219" t="s">
        <v>2682</v>
      </c>
      <c r="D170" s="268" t="s">
        <v>495</v>
      </c>
      <c r="E170" s="251">
        <v>44223.0</v>
      </c>
      <c r="F170" s="250" t="s">
        <v>496</v>
      </c>
      <c r="G170" s="171">
        <v>1000.0</v>
      </c>
      <c r="H170" s="171">
        <v>25.0</v>
      </c>
      <c r="I170" s="171">
        <v>25.0</v>
      </c>
      <c r="J170" s="325">
        <f t="shared" si="2"/>
        <v>0.0008034239984</v>
      </c>
      <c r="K170" s="326">
        <f t="shared" si="7"/>
        <v>0.7498623985</v>
      </c>
      <c r="L170" s="327">
        <f t="shared" si="4"/>
        <v>12.43401535</v>
      </c>
      <c r="M170" s="321" t="str">
        <f t="shared" si="5"/>
        <v>griffgreen</v>
      </c>
      <c r="N170" s="176">
        <f>IFERROR(__xludf.DUMMYFUNCTION("""COMPUTED_VALUE"""),35.0)</f>
        <v>35</v>
      </c>
      <c r="O170" s="176"/>
      <c r="P170" s="176"/>
      <c r="Q170" s="176"/>
      <c r="R170" s="176"/>
      <c r="S170" s="176"/>
      <c r="T170" s="176"/>
      <c r="U170" s="176"/>
      <c r="V170" s="176"/>
      <c r="W170" s="176"/>
      <c r="X170" s="176"/>
      <c r="Y170" s="176"/>
      <c r="Z170" s="176"/>
    </row>
    <row r="171">
      <c r="A171" s="249" t="s">
        <v>16</v>
      </c>
      <c r="B171" s="249" t="s">
        <v>10</v>
      </c>
      <c r="C171" s="219" t="s">
        <v>2498</v>
      </c>
      <c r="D171" s="268" t="s">
        <v>495</v>
      </c>
      <c r="E171" s="251">
        <v>44212.0</v>
      </c>
      <c r="F171" s="250" t="s">
        <v>496</v>
      </c>
      <c r="G171" s="171">
        <v>500.0</v>
      </c>
      <c r="H171" s="171">
        <v>25.0</v>
      </c>
      <c r="I171" s="171">
        <v>25.0</v>
      </c>
      <c r="J171" s="325">
        <f t="shared" si="2"/>
        <v>0.0007646305672</v>
      </c>
      <c r="K171" s="326">
        <f t="shared" si="7"/>
        <v>0.7136551961</v>
      </c>
      <c r="L171" s="327">
        <f t="shared" si="4"/>
        <v>12.43401535</v>
      </c>
      <c r="M171" s="321" t="str">
        <f t="shared" si="5"/>
        <v>griffgreen</v>
      </c>
      <c r="N171" s="176">
        <f>IFERROR(__xludf.DUMMYFUNCTION("""COMPUTED_VALUE"""),36.0)</f>
        <v>36</v>
      </c>
      <c r="O171" s="176"/>
      <c r="P171" s="176"/>
      <c r="Q171" s="176"/>
      <c r="R171" s="176"/>
      <c r="S171" s="176"/>
      <c r="T171" s="176"/>
      <c r="U171" s="176"/>
      <c r="V171" s="176"/>
      <c r="W171" s="176"/>
      <c r="X171" s="176"/>
      <c r="Y171" s="176"/>
      <c r="Z171" s="176"/>
    </row>
    <row r="172">
      <c r="A172" s="249" t="s">
        <v>16</v>
      </c>
      <c r="B172" s="249" t="s">
        <v>18</v>
      </c>
      <c r="C172" s="219" t="s">
        <v>2683</v>
      </c>
      <c r="D172" s="268" t="s">
        <v>495</v>
      </c>
      <c r="E172" s="251">
        <v>44215.0</v>
      </c>
      <c r="F172" s="250" t="s">
        <v>496</v>
      </c>
      <c r="G172" s="171">
        <v>500.0</v>
      </c>
      <c r="H172" s="171">
        <v>25.0</v>
      </c>
      <c r="I172" s="171">
        <v>25.0</v>
      </c>
      <c r="J172" s="325">
        <f t="shared" si="2"/>
        <v>0.0007646305672</v>
      </c>
      <c r="K172" s="326">
        <f t="shared" si="7"/>
        <v>0.7136551961</v>
      </c>
      <c r="L172" s="327">
        <f t="shared" si="4"/>
        <v>12.43401535</v>
      </c>
      <c r="M172" s="321" t="str">
        <f t="shared" si="5"/>
        <v>griffgreen</v>
      </c>
      <c r="N172" s="176">
        <f>IFERROR(__xludf.DUMMYFUNCTION("""COMPUTED_VALUE"""),37.0)</f>
        <v>37</v>
      </c>
      <c r="O172" s="176"/>
      <c r="P172" s="176"/>
      <c r="Q172" s="176"/>
      <c r="R172" s="176"/>
      <c r="S172" s="176"/>
      <c r="T172" s="176"/>
      <c r="U172" s="176"/>
      <c r="V172" s="176"/>
      <c r="W172" s="176"/>
      <c r="X172" s="176"/>
      <c r="Y172" s="176"/>
      <c r="Z172" s="176"/>
    </row>
    <row r="173">
      <c r="A173" s="249" t="s">
        <v>16</v>
      </c>
      <c r="B173" s="249" t="s">
        <v>10</v>
      </c>
      <c r="C173" s="219" t="s">
        <v>2531</v>
      </c>
      <c r="D173" s="268" t="s">
        <v>495</v>
      </c>
      <c r="E173" s="251">
        <v>44218.0</v>
      </c>
      <c r="F173" s="250" t="s">
        <v>499</v>
      </c>
      <c r="G173" s="171">
        <v>500.0</v>
      </c>
      <c r="H173" s="171">
        <v>25.0</v>
      </c>
      <c r="I173" s="171">
        <v>25.0</v>
      </c>
      <c r="J173" s="325">
        <f t="shared" si="2"/>
        <v>0.0007646305672</v>
      </c>
      <c r="K173" s="326">
        <f t="shared" si="7"/>
        <v>0.7136551961</v>
      </c>
      <c r="L173" s="327">
        <f t="shared" si="4"/>
        <v>12.43401535</v>
      </c>
      <c r="M173" s="321" t="str">
        <f t="shared" si="5"/>
        <v>griffgreen</v>
      </c>
      <c r="N173" s="176">
        <f>IFERROR(__xludf.DUMMYFUNCTION("""COMPUTED_VALUE"""),38.0)</f>
        <v>38</v>
      </c>
      <c r="O173" s="176"/>
      <c r="P173" s="176"/>
      <c r="Q173" s="176"/>
      <c r="R173" s="176"/>
      <c r="S173" s="176"/>
      <c r="T173" s="176"/>
      <c r="U173" s="176"/>
      <c r="V173" s="176"/>
      <c r="W173" s="176"/>
      <c r="X173" s="176"/>
      <c r="Y173" s="176"/>
      <c r="Z173" s="176"/>
    </row>
    <row r="174">
      <c r="A174" s="249" t="s">
        <v>16</v>
      </c>
      <c r="B174" s="249" t="s">
        <v>10</v>
      </c>
      <c r="C174" s="219" t="s">
        <v>2498</v>
      </c>
      <c r="D174" s="268" t="s">
        <v>495</v>
      </c>
      <c r="E174" s="251">
        <v>44218.0</v>
      </c>
      <c r="F174" s="250" t="s">
        <v>545</v>
      </c>
      <c r="G174" s="171">
        <v>500.0</v>
      </c>
      <c r="H174" s="171">
        <v>25.0</v>
      </c>
      <c r="I174" s="171">
        <v>25.0</v>
      </c>
      <c r="J174" s="325">
        <f t="shared" si="2"/>
        <v>0.0007646305672</v>
      </c>
      <c r="K174" s="326">
        <f t="shared" si="7"/>
        <v>0.7136551961</v>
      </c>
      <c r="L174" s="327">
        <f t="shared" si="4"/>
        <v>12.43401535</v>
      </c>
      <c r="M174" s="321" t="str">
        <f t="shared" si="5"/>
        <v>griffgreen</v>
      </c>
      <c r="N174" s="176">
        <f>IFERROR(__xludf.DUMMYFUNCTION("""COMPUTED_VALUE"""),39.0)</f>
        <v>39</v>
      </c>
      <c r="O174" s="176"/>
      <c r="P174" s="176"/>
      <c r="Q174" s="176"/>
      <c r="R174" s="176"/>
      <c r="S174" s="176"/>
      <c r="T174" s="176"/>
      <c r="U174" s="176"/>
      <c r="V174" s="176"/>
      <c r="W174" s="176"/>
      <c r="X174" s="176"/>
      <c r="Y174" s="176"/>
      <c r="Z174" s="176"/>
    </row>
    <row r="175">
      <c r="A175" s="249" t="s">
        <v>16</v>
      </c>
      <c r="B175" s="249" t="s">
        <v>10</v>
      </c>
      <c r="C175" s="219" t="s">
        <v>2498</v>
      </c>
      <c r="D175" s="268" t="s">
        <v>495</v>
      </c>
      <c r="E175" s="251">
        <v>44225.0</v>
      </c>
      <c r="F175" s="250" t="s">
        <v>496</v>
      </c>
      <c r="G175" s="171">
        <v>500.0</v>
      </c>
      <c r="H175" s="171">
        <v>25.0</v>
      </c>
      <c r="I175" s="171">
        <v>25.0</v>
      </c>
      <c r="J175" s="325">
        <f t="shared" si="2"/>
        <v>0.0007646305672</v>
      </c>
      <c r="K175" s="326">
        <f t="shared" si="7"/>
        <v>0.7136551961</v>
      </c>
      <c r="L175" s="327">
        <f t="shared" si="4"/>
        <v>12.43401535</v>
      </c>
      <c r="M175" s="321" t="str">
        <f t="shared" si="5"/>
        <v>griffgreen</v>
      </c>
      <c r="N175" s="176">
        <f>IFERROR(__xludf.DUMMYFUNCTION("""COMPUTED_VALUE"""),40.0)</f>
        <v>40</v>
      </c>
      <c r="O175" s="176"/>
      <c r="P175" s="176"/>
      <c r="Q175" s="176"/>
      <c r="R175" s="176"/>
      <c r="S175" s="176"/>
      <c r="T175" s="176"/>
      <c r="U175" s="176"/>
      <c r="V175" s="176"/>
      <c r="W175" s="176"/>
      <c r="X175" s="176"/>
      <c r="Y175" s="176"/>
      <c r="Z175" s="176"/>
    </row>
    <row r="176">
      <c r="A176" s="249" t="s">
        <v>16</v>
      </c>
      <c r="B176" s="249" t="s">
        <v>867</v>
      </c>
      <c r="C176" s="219" t="s">
        <v>2684</v>
      </c>
      <c r="D176" s="268" t="s">
        <v>495</v>
      </c>
      <c r="E176" s="251">
        <v>44214.0</v>
      </c>
      <c r="F176" s="250" t="s">
        <v>496</v>
      </c>
      <c r="G176" s="171">
        <v>1000.0</v>
      </c>
      <c r="H176" s="171">
        <v>15.0</v>
      </c>
      <c r="I176" s="171">
        <v>25.0</v>
      </c>
      <c r="J176" s="325">
        <f t="shared" si="2"/>
        <v>0.0006163682558</v>
      </c>
      <c r="K176" s="326">
        <f t="shared" si="7"/>
        <v>0.5752770387</v>
      </c>
      <c r="L176" s="327">
        <f t="shared" si="4"/>
        <v>12.43401535</v>
      </c>
      <c r="M176" s="321" t="str">
        <f t="shared" si="5"/>
        <v>griffgreen</v>
      </c>
      <c r="N176" s="176">
        <f>IFERROR(__xludf.DUMMYFUNCTION("""COMPUTED_VALUE"""),41.0)</f>
        <v>41</v>
      </c>
      <c r="O176" s="176"/>
      <c r="P176" s="176"/>
      <c r="Q176" s="176"/>
      <c r="R176" s="176"/>
      <c r="S176" s="176"/>
      <c r="T176" s="176"/>
      <c r="U176" s="176"/>
      <c r="V176" s="176"/>
      <c r="W176" s="176"/>
      <c r="X176" s="176"/>
      <c r="Y176" s="176"/>
      <c r="Z176" s="176"/>
    </row>
    <row r="177">
      <c r="A177" s="249" t="s">
        <v>16</v>
      </c>
      <c r="B177" s="249" t="s">
        <v>18</v>
      </c>
      <c r="C177" s="219" t="s">
        <v>2685</v>
      </c>
      <c r="D177" s="268" t="s">
        <v>495</v>
      </c>
      <c r="E177" s="251">
        <v>44215.0</v>
      </c>
      <c r="F177" s="250" t="s">
        <v>496</v>
      </c>
      <c r="G177" s="171">
        <v>1000.0</v>
      </c>
      <c r="H177" s="171">
        <v>15.0</v>
      </c>
      <c r="I177" s="171">
        <v>25.0</v>
      </c>
      <c r="J177" s="325">
        <f t="shared" si="2"/>
        <v>0.0006163682558</v>
      </c>
      <c r="K177" s="326">
        <f t="shared" si="7"/>
        <v>0.5752770387</v>
      </c>
      <c r="L177" s="327">
        <f t="shared" si="4"/>
        <v>12.43401535</v>
      </c>
      <c r="M177" s="321" t="str">
        <f t="shared" si="5"/>
        <v>griffgreen</v>
      </c>
      <c r="N177" s="176">
        <f>IFERROR(__xludf.DUMMYFUNCTION("""COMPUTED_VALUE"""),42.0)</f>
        <v>42</v>
      </c>
      <c r="O177" s="176"/>
      <c r="P177" s="176"/>
      <c r="Q177" s="176"/>
      <c r="R177" s="176"/>
      <c r="S177" s="176"/>
      <c r="T177" s="176"/>
      <c r="U177" s="176"/>
      <c r="V177" s="176"/>
      <c r="W177" s="176"/>
      <c r="X177" s="176"/>
      <c r="Y177" s="176"/>
      <c r="Z177" s="176"/>
    </row>
    <row r="178">
      <c r="A178" s="249" t="s">
        <v>16</v>
      </c>
      <c r="B178" s="249" t="s">
        <v>6</v>
      </c>
      <c r="C178" s="219" t="s">
        <v>2686</v>
      </c>
      <c r="D178" s="268" t="s">
        <v>495</v>
      </c>
      <c r="E178" s="251">
        <v>44215.0</v>
      </c>
      <c r="F178" s="250" t="s">
        <v>496</v>
      </c>
      <c r="G178" s="171">
        <v>1000.0</v>
      </c>
      <c r="H178" s="171">
        <v>15.0</v>
      </c>
      <c r="I178" s="171">
        <v>25.0</v>
      </c>
      <c r="J178" s="325">
        <f t="shared" si="2"/>
        <v>0.0006163682558</v>
      </c>
      <c r="K178" s="326">
        <f t="shared" si="7"/>
        <v>0.5752770387</v>
      </c>
      <c r="L178" s="327">
        <f t="shared" si="4"/>
        <v>12.43401535</v>
      </c>
      <c r="M178" s="321" t="str">
        <f t="shared" si="5"/>
        <v>griffgreen</v>
      </c>
      <c r="N178" s="176">
        <f>IFERROR(__xludf.DUMMYFUNCTION("""COMPUTED_VALUE"""),43.0)</f>
        <v>43</v>
      </c>
      <c r="O178" s="176"/>
      <c r="P178" s="176"/>
      <c r="Q178" s="176"/>
      <c r="R178" s="176"/>
      <c r="S178" s="176"/>
      <c r="T178" s="176"/>
      <c r="U178" s="176"/>
      <c r="V178" s="176"/>
      <c r="W178" s="176"/>
      <c r="X178" s="176"/>
      <c r="Y178" s="176"/>
      <c r="Z178" s="176"/>
    </row>
    <row r="179">
      <c r="A179" s="249" t="s">
        <v>16</v>
      </c>
      <c r="B179" s="249" t="s">
        <v>10</v>
      </c>
      <c r="C179" s="219" t="s">
        <v>2687</v>
      </c>
      <c r="D179" s="268" t="s">
        <v>495</v>
      </c>
      <c r="E179" s="251">
        <v>44218.0</v>
      </c>
      <c r="F179" s="250" t="s">
        <v>496</v>
      </c>
      <c r="G179" s="171">
        <v>1000.0</v>
      </c>
      <c r="H179" s="171">
        <v>15.0</v>
      </c>
      <c r="I179" s="171">
        <v>25.0</v>
      </c>
      <c r="J179" s="325">
        <f t="shared" si="2"/>
        <v>0.0006163682558</v>
      </c>
      <c r="K179" s="326">
        <f t="shared" si="7"/>
        <v>0.5752770387</v>
      </c>
      <c r="L179" s="327">
        <f t="shared" si="4"/>
        <v>12.43401535</v>
      </c>
      <c r="M179" s="321" t="str">
        <f t="shared" si="5"/>
        <v>griffgreen</v>
      </c>
      <c r="N179" s="176">
        <f>IFERROR(__xludf.DUMMYFUNCTION("""COMPUTED_VALUE"""),44.0)</f>
        <v>44</v>
      </c>
      <c r="O179" s="176"/>
      <c r="P179" s="176"/>
      <c r="Q179" s="176"/>
      <c r="R179" s="176"/>
      <c r="S179" s="176"/>
      <c r="T179" s="176"/>
      <c r="U179" s="176"/>
      <c r="V179" s="176"/>
      <c r="W179" s="176"/>
      <c r="X179" s="176"/>
      <c r="Y179" s="176"/>
      <c r="Z179" s="176"/>
    </row>
    <row r="180">
      <c r="A180" s="249" t="s">
        <v>16</v>
      </c>
      <c r="B180" s="249" t="s">
        <v>18</v>
      </c>
      <c r="C180" s="219" t="s">
        <v>2688</v>
      </c>
      <c r="D180" s="268" t="s">
        <v>495</v>
      </c>
      <c r="E180" s="251">
        <v>44222.0</v>
      </c>
      <c r="F180" s="250" t="s">
        <v>496</v>
      </c>
      <c r="G180" s="171">
        <v>1000.0</v>
      </c>
      <c r="H180" s="171">
        <v>15.0</v>
      </c>
      <c r="I180" s="171">
        <v>25.0</v>
      </c>
      <c r="J180" s="325">
        <f t="shared" si="2"/>
        <v>0.0006163682558</v>
      </c>
      <c r="K180" s="326">
        <f t="shared" si="7"/>
        <v>0.5752770387</v>
      </c>
      <c r="L180" s="327">
        <f t="shared" si="4"/>
        <v>12.43401535</v>
      </c>
      <c r="M180" s="321" t="str">
        <f t="shared" si="5"/>
        <v>griffgreen</v>
      </c>
      <c r="N180" s="176">
        <f>IFERROR(__xludf.DUMMYFUNCTION("""COMPUTED_VALUE"""),45.0)</f>
        <v>45</v>
      </c>
      <c r="O180" s="176"/>
      <c r="P180" s="176"/>
      <c r="Q180" s="176"/>
      <c r="R180" s="176"/>
      <c r="S180" s="176"/>
      <c r="T180" s="176"/>
      <c r="U180" s="176"/>
      <c r="V180" s="176"/>
      <c r="W180" s="176"/>
      <c r="X180" s="176"/>
      <c r="Y180" s="176"/>
      <c r="Z180" s="176"/>
    </row>
    <row r="181">
      <c r="A181" s="249" t="s">
        <v>16</v>
      </c>
      <c r="B181" s="249" t="s">
        <v>18</v>
      </c>
      <c r="C181" s="219" t="s">
        <v>2689</v>
      </c>
      <c r="D181" s="268" t="s">
        <v>495</v>
      </c>
      <c r="E181" s="251">
        <v>44222.0</v>
      </c>
      <c r="F181" s="250" t="s">
        <v>496</v>
      </c>
      <c r="G181" s="171">
        <v>1000.0</v>
      </c>
      <c r="H181" s="171">
        <v>15.0</v>
      </c>
      <c r="I181" s="171">
        <v>25.0</v>
      </c>
      <c r="J181" s="325">
        <f t="shared" si="2"/>
        <v>0.0006163682558</v>
      </c>
      <c r="K181" s="326">
        <f t="shared" si="7"/>
        <v>0.5752770387</v>
      </c>
      <c r="L181" s="327">
        <f t="shared" si="4"/>
        <v>12.43401535</v>
      </c>
      <c r="M181" s="321" t="str">
        <f t="shared" si="5"/>
        <v>griffgreen</v>
      </c>
      <c r="N181" s="176">
        <f>IFERROR(__xludf.DUMMYFUNCTION("""COMPUTED_VALUE"""),46.0)</f>
        <v>46</v>
      </c>
      <c r="O181" s="176"/>
      <c r="P181" s="176"/>
      <c r="Q181" s="176"/>
      <c r="R181" s="176"/>
      <c r="S181" s="176"/>
      <c r="T181" s="176"/>
      <c r="U181" s="176"/>
      <c r="V181" s="176"/>
      <c r="W181" s="176"/>
      <c r="X181" s="176"/>
      <c r="Y181" s="176"/>
      <c r="Z181" s="176"/>
    </row>
    <row r="182">
      <c r="A182" s="249" t="s">
        <v>16</v>
      </c>
      <c r="B182" s="249" t="s">
        <v>10</v>
      </c>
      <c r="C182" s="219" t="s">
        <v>2690</v>
      </c>
      <c r="D182" s="268" t="s">
        <v>495</v>
      </c>
      <c r="E182" s="251">
        <v>44225.0</v>
      </c>
      <c r="F182" s="250" t="s">
        <v>496</v>
      </c>
      <c r="G182" s="171">
        <v>1000.0</v>
      </c>
      <c r="H182" s="171">
        <v>15.0</v>
      </c>
      <c r="I182" s="171">
        <v>25.0</v>
      </c>
      <c r="J182" s="325">
        <f t="shared" si="2"/>
        <v>0.0006163682558</v>
      </c>
      <c r="K182" s="326">
        <f t="shared" si="7"/>
        <v>0.5752770387</v>
      </c>
      <c r="L182" s="327">
        <f t="shared" si="4"/>
        <v>12.43401535</v>
      </c>
      <c r="M182" s="321" t="str">
        <f t="shared" si="5"/>
        <v>griffgreen</v>
      </c>
      <c r="N182" s="176">
        <f>IFERROR(__xludf.DUMMYFUNCTION("""COMPUTED_VALUE"""),47.0)</f>
        <v>47</v>
      </c>
      <c r="O182" s="176"/>
      <c r="P182" s="176"/>
      <c r="Q182" s="176"/>
      <c r="R182" s="176"/>
      <c r="S182" s="176"/>
      <c r="T182" s="176"/>
      <c r="U182" s="176"/>
      <c r="V182" s="176"/>
      <c r="W182" s="176"/>
      <c r="X182" s="176"/>
      <c r="Y182" s="176"/>
      <c r="Z182" s="176"/>
    </row>
    <row r="183">
      <c r="A183" s="240" t="s">
        <v>16</v>
      </c>
      <c r="B183" s="240" t="s">
        <v>534</v>
      </c>
      <c r="C183" s="256" t="s">
        <v>684</v>
      </c>
      <c r="D183" s="343"/>
      <c r="E183" s="344"/>
      <c r="F183" s="343"/>
      <c r="G183" s="253"/>
      <c r="H183" s="253"/>
      <c r="I183" s="253"/>
      <c r="J183" s="325"/>
      <c r="K183" s="345">
        <f>-0.85*82.895</f>
        <v>-70.46075</v>
      </c>
      <c r="L183" s="327">
        <f t="shared" si="4"/>
        <v>12.43401535</v>
      </c>
      <c r="M183" s="321" t="str">
        <f t="shared" si="5"/>
        <v>griffgreen</v>
      </c>
      <c r="N183" s="343">
        <f>IFERROR(__xludf.DUMMYFUNCTION("""COMPUTED_VALUE"""),48.0)</f>
        <v>48</v>
      </c>
      <c r="O183" s="343"/>
      <c r="P183" s="343"/>
      <c r="Q183" s="343"/>
      <c r="R183" s="343"/>
      <c r="S183" s="343"/>
      <c r="T183" s="343"/>
      <c r="U183" s="343"/>
      <c r="V183" s="343"/>
      <c r="W183" s="343"/>
      <c r="X183" s="343"/>
      <c r="Y183" s="226"/>
      <c r="Z183" s="226"/>
    </row>
    <row r="184">
      <c r="A184" s="240" t="s">
        <v>15</v>
      </c>
      <c r="B184" s="240" t="s">
        <v>534</v>
      </c>
      <c r="C184" s="221" t="s">
        <v>684</v>
      </c>
      <c r="D184" s="336"/>
      <c r="E184" s="255"/>
      <c r="F184" s="254"/>
      <c r="G184" s="222"/>
      <c r="H184" s="222"/>
      <c r="I184" s="222"/>
      <c r="J184" s="325">
        <f>(G184/$G$2+H184/$H$2+I184/$I$2)/3</f>
        <v>0</v>
      </c>
      <c r="K184" s="337">
        <f>-71.338*0.85</f>
        <v>-60.6373</v>
      </c>
      <c r="L184" s="327">
        <f t="shared" si="4"/>
        <v>8.718680184</v>
      </c>
      <c r="M184" s="321" t="str">
        <f t="shared" si="5"/>
        <v>juankbell</v>
      </c>
      <c r="N184" s="209">
        <f>IFERROR(__xludf.DUMMYFUNCTION("""COMPUTED_VALUE"""),1.0)</f>
        <v>1</v>
      </c>
      <c r="O184" s="209"/>
      <c r="P184" s="209"/>
      <c r="Q184" s="209"/>
      <c r="R184" s="209">
        <v>36.89669088595067</v>
      </c>
      <c r="S184" s="209"/>
      <c r="T184" s="209"/>
      <c r="U184" s="209"/>
      <c r="V184" s="209"/>
      <c r="W184" s="209"/>
      <c r="X184" s="209"/>
      <c r="Y184" s="176"/>
      <c r="Z184" s="176"/>
    </row>
    <row r="185">
      <c r="A185" s="249"/>
      <c r="B185" s="249"/>
      <c r="C185" s="219"/>
      <c r="D185" s="268"/>
      <c r="E185" s="361"/>
      <c r="F185" s="250"/>
      <c r="G185" s="171"/>
      <c r="H185" s="171"/>
      <c r="I185" s="171"/>
      <c r="J185" s="325"/>
      <c r="K185" s="330"/>
      <c r="L185" s="327"/>
      <c r="M185" s="321"/>
      <c r="N185" s="209"/>
      <c r="O185" s="176"/>
      <c r="P185" s="176"/>
      <c r="Q185" s="176"/>
      <c r="R185" s="176"/>
      <c r="S185" s="176"/>
      <c r="T185" s="176"/>
      <c r="U185" s="176"/>
      <c r="V185" s="176"/>
      <c r="W185" s="176"/>
      <c r="X185" s="176"/>
      <c r="Y185" s="176"/>
      <c r="Z185" s="176"/>
    </row>
    <row r="186">
      <c r="A186" s="249" t="s">
        <v>15</v>
      </c>
      <c r="B186" s="249" t="s">
        <v>10</v>
      </c>
      <c r="C186" s="219" t="s">
        <v>2498</v>
      </c>
      <c r="D186" s="268" t="s">
        <v>495</v>
      </c>
      <c r="E186" s="251">
        <v>44212.0</v>
      </c>
      <c r="F186" s="250" t="s">
        <v>496</v>
      </c>
      <c r="G186" s="243"/>
      <c r="H186" s="243"/>
      <c r="I186" s="243"/>
      <c r="J186" s="325">
        <f t="shared" ref="J186:J250" si="8">(G186/$G$2+H186/$H$2+I186/$I$2)/3</f>
        <v>0</v>
      </c>
      <c r="K186" s="330">
        <v>1.9815994338287328</v>
      </c>
      <c r="L186" s="327">
        <f t="shared" ref="L186:L579" si="9">dsum($A$3:$K579,"IH per Praise",{$A$3;A186})</f>
        <v>8.718680184</v>
      </c>
      <c r="M186" s="321" t="str">
        <f t="shared" ref="M186:M579" si="10">A186</f>
        <v>juankbell</v>
      </c>
      <c r="N186" s="176">
        <f>IFERROR(__xludf.DUMMYFUNCTION("""COMPUTED_VALUE"""),2.0)</f>
        <v>2</v>
      </c>
      <c r="O186" s="176"/>
      <c r="P186" s="176"/>
      <c r="Q186" s="176"/>
      <c r="R186" s="176"/>
      <c r="S186" s="176"/>
      <c r="T186" s="176"/>
      <c r="U186" s="176"/>
      <c r="V186" s="176"/>
      <c r="W186" s="176"/>
      <c r="X186" s="176"/>
      <c r="Y186" s="176"/>
      <c r="Z186" s="176"/>
    </row>
    <row r="187">
      <c r="A187" s="249" t="s">
        <v>15</v>
      </c>
      <c r="B187" s="249" t="s">
        <v>867</v>
      </c>
      <c r="C187" s="219" t="s">
        <v>2684</v>
      </c>
      <c r="D187" s="268" t="s">
        <v>495</v>
      </c>
      <c r="E187" s="251">
        <v>44214.0</v>
      </c>
      <c r="F187" s="250" t="s">
        <v>496</v>
      </c>
      <c r="G187" s="243"/>
      <c r="H187" s="243"/>
      <c r="I187" s="243"/>
      <c r="J187" s="325">
        <f t="shared" si="8"/>
        <v>0</v>
      </c>
      <c r="K187" s="330">
        <v>1.9815994338287328</v>
      </c>
      <c r="L187" s="327">
        <f t="shared" si="9"/>
        <v>8.718680184</v>
      </c>
      <c r="M187" s="321" t="str">
        <f t="shared" si="10"/>
        <v>juankbell</v>
      </c>
      <c r="N187" s="176">
        <f>IFERROR(__xludf.DUMMYFUNCTION("""COMPUTED_VALUE"""),3.0)</f>
        <v>3</v>
      </c>
      <c r="O187" s="176"/>
      <c r="P187" s="176"/>
      <c r="Q187" s="176"/>
      <c r="R187" s="176"/>
      <c r="S187" s="176"/>
      <c r="T187" s="176"/>
      <c r="U187" s="176"/>
      <c r="V187" s="176"/>
      <c r="W187" s="176"/>
      <c r="X187" s="176"/>
      <c r="Y187" s="176"/>
      <c r="Z187" s="176"/>
    </row>
    <row r="188">
      <c r="A188" s="249" t="s">
        <v>15</v>
      </c>
      <c r="B188" s="249" t="s">
        <v>867</v>
      </c>
      <c r="C188" s="219" t="s">
        <v>2757</v>
      </c>
      <c r="D188" s="268" t="s">
        <v>495</v>
      </c>
      <c r="E188" s="251">
        <v>44214.0</v>
      </c>
      <c r="F188" s="250" t="s">
        <v>496</v>
      </c>
      <c r="G188" s="243"/>
      <c r="H188" s="243"/>
      <c r="I188" s="243"/>
      <c r="J188" s="325">
        <f t="shared" si="8"/>
        <v>0</v>
      </c>
      <c r="K188" s="330">
        <v>1.9815994338287328</v>
      </c>
      <c r="L188" s="327">
        <f t="shared" si="9"/>
        <v>8.718680184</v>
      </c>
      <c r="M188" s="321" t="str">
        <f t="shared" si="10"/>
        <v>juankbell</v>
      </c>
      <c r="N188" s="176">
        <f>IFERROR(__xludf.DUMMYFUNCTION("""COMPUTED_VALUE"""),4.0)</f>
        <v>4</v>
      </c>
      <c r="O188" s="176"/>
      <c r="P188" s="176"/>
      <c r="Q188" s="176"/>
      <c r="R188" s="176"/>
      <c r="S188" s="176"/>
      <c r="T188" s="176"/>
      <c r="U188" s="176"/>
      <c r="V188" s="176"/>
      <c r="W188" s="176"/>
      <c r="X188" s="176"/>
      <c r="Y188" s="176"/>
      <c r="Z188" s="176"/>
    </row>
    <row r="189">
      <c r="A189" s="249" t="s">
        <v>15</v>
      </c>
      <c r="B189" s="249" t="s">
        <v>18</v>
      </c>
      <c r="C189" s="219" t="s">
        <v>2683</v>
      </c>
      <c r="D189" s="268" t="s">
        <v>495</v>
      </c>
      <c r="E189" s="251">
        <v>44215.0</v>
      </c>
      <c r="F189" s="250" t="s">
        <v>496</v>
      </c>
      <c r="G189" s="243"/>
      <c r="H189" s="243"/>
      <c r="I189" s="243"/>
      <c r="J189" s="325">
        <f t="shared" si="8"/>
        <v>0</v>
      </c>
      <c r="K189" s="330">
        <v>1.9815994338287328</v>
      </c>
      <c r="L189" s="327">
        <f t="shared" si="9"/>
        <v>8.718680184</v>
      </c>
      <c r="M189" s="321" t="str">
        <f t="shared" si="10"/>
        <v>juankbell</v>
      </c>
      <c r="N189" s="176">
        <f>IFERROR(__xludf.DUMMYFUNCTION("""COMPUTED_VALUE"""),5.0)</f>
        <v>5</v>
      </c>
      <c r="O189" s="176"/>
      <c r="P189" s="176"/>
      <c r="Q189" s="176"/>
      <c r="R189" s="176"/>
      <c r="S189" s="176"/>
      <c r="T189" s="176"/>
      <c r="U189" s="176"/>
      <c r="V189" s="176"/>
      <c r="W189" s="176"/>
      <c r="X189" s="176"/>
      <c r="Y189" s="176"/>
      <c r="Z189" s="176"/>
    </row>
    <row r="190">
      <c r="A190" s="249" t="s">
        <v>15</v>
      </c>
      <c r="B190" s="249" t="s">
        <v>18</v>
      </c>
      <c r="C190" s="219" t="s">
        <v>2685</v>
      </c>
      <c r="D190" s="268" t="s">
        <v>495</v>
      </c>
      <c r="E190" s="251">
        <v>44215.0</v>
      </c>
      <c r="F190" s="250" t="s">
        <v>496</v>
      </c>
      <c r="G190" s="243"/>
      <c r="H190" s="243"/>
      <c r="I190" s="243"/>
      <c r="J190" s="325">
        <f t="shared" si="8"/>
        <v>0</v>
      </c>
      <c r="K190" s="330">
        <v>1.9815994338287328</v>
      </c>
      <c r="L190" s="327">
        <f t="shared" si="9"/>
        <v>8.718680184</v>
      </c>
      <c r="M190" s="321" t="str">
        <f t="shared" si="10"/>
        <v>juankbell</v>
      </c>
      <c r="N190" s="176">
        <f>IFERROR(__xludf.DUMMYFUNCTION("""COMPUTED_VALUE"""),6.0)</f>
        <v>6</v>
      </c>
      <c r="O190" s="176"/>
      <c r="P190" s="176"/>
      <c r="Q190" s="176"/>
      <c r="R190" s="176"/>
      <c r="S190" s="176"/>
      <c r="T190" s="176"/>
      <c r="U190" s="176"/>
      <c r="V190" s="176"/>
      <c r="W190" s="176"/>
      <c r="X190" s="176"/>
      <c r="Y190" s="176"/>
      <c r="Z190" s="176"/>
    </row>
    <row r="191">
      <c r="A191" s="249" t="s">
        <v>15</v>
      </c>
      <c r="B191" s="249" t="s">
        <v>867</v>
      </c>
      <c r="C191" s="219" t="s">
        <v>2707</v>
      </c>
      <c r="D191" s="268" t="s">
        <v>495</v>
      </c>
      <c r="E191" s="251">
        <v>44216.0</v>
      </c>
      <c r="F191" s="250" t="s">
        <v>496</v>
      </c>
      <c r="G191" s="243"/>
      <c r="H191" s="243"/>
      <c r="I191" s="243"/>
      <c r="J191" s="325">
        <f t="shared" si="8"/>
        <v>0</v>
      </c>
      <c r="K191" s="330">
        <v>1.9815994338287328</v>
      </c>
      <c r="L191" s="327">
        <f t="shared" si="9"/>
        <v>8.718680184</v>
      </c>
      <c r="M191" s="321" t="str">
        <f t="shared" si="10"/>
        <v>juankbell</v>
      </c>
      <c r="N191" s="176">
        <f>IFERROR(__xludf.DUMMYFUNCTION("""COMPUTED_VALUE"""),7.0)</f>
        <v>7</v>
      </c>
      <c r="O191" s="176"/>
      <c r="P191" s="176"/>
      <c r="Q191" s="176"/>
      <c r="R191" s="176"/>
      <c r="S191" s="176"/>
      <c r="T191" s="176"/>
      <c r="U191" s="176"/>
      <c r="V191" s="176"/>
      <c r="W191" s="176"/>
      <c r="X191" s="176"/>
      <c r="Y191" s="176"/>
      <c r="Z191" s="176"/>
    </row>
    <row r="192">
      <c r="A192" s="249" t="s">
        <v>15</v>
      </c>
      <c r="B192" s="249" t="s">
        <v>5</v>
      </c>
      <c r="C192" s="219" t="s">
        <v>2677</v>
      </c>
      <c r="D192" s="268" t="s">
        <v>495</v>
      </c>
      <c r="E192" s="251">
        <v>44217.0</v>
      </c>
      <c r="F192" s="250" t="s">
        <v>496</v>
      </c>
      <c r="G192" s="243"/>
      <c r="H192" s="243"/>
      <c r="I192" s="243"/>
      <c r="J192" s="325">
        <f t="shared" si="8"/>
        <v>0</v>
      </c>
      <c r="K192" s="330">
        <v>1.9815994338287328</v>
      </c>
      <c r="L192" s="327">
        <f t="shared" si="9"/>
        <v>8.718680184</v>
      </c>
      <c r="M192" s="321" t="str">
        <f t="shared" si="10"/>
        <v>juankbell</v>
      </c>
      <c r="N192" s="176">
        <f>IFERROR(__xludf.DUMMYFUNCTION("""COMPUTED_VALUE"""),8.0)</f>
        <v>8</v>
      </c>
      <c r="O192" s="176"/>
      <c r="P192" s="176"/>
      <c r="Q192" s="176"/>
      <c r="R192" s="176"/>
      <c r="S192" s="176"/>
      <c r="T192" s="176"/>
      <c r="U192" s="176"/>
      <c r="V192" s="176"/>
      <c r="W192" s="176"/>
      <c r="X192" s="176"/>
      <c r="Y192" s="176"/>
      <c r="Z192" s="176"/>
    </row>
    <row r="193">
      <c r="A193" s="249" t="s">
        <v>15</v>
      </c>
      <c r="B193" s="249" t="s">
        <v>1576</v>
      </c>
      <c r="C193" s="219" t="s">
        <v>2730</v>
      </c>
      <c r="D193" s="268" t="s">
        <v>495</v>
      </c>
      <c r="E193" s="251">
        <v>44217.0</v>
      </c>
      <c r="F193" s="250" t="s">
        <v>496</v>
      </c>
      <c r="G193" s="243"/>
      <c r="H193" s="243"/>
      <c r="I193" s="243"/>
      <c r="J193" s="325">
        <f t="shared" si="8"/>
        <v>0</v>
      </c>
      <c r="K193" s="330">
        <v>1.9815994338287328</v>
      </c>
      <c r="L193" s="327">
        <f t="shared" si="9"/>
        <v>8.718680184</v>
      </c>
      <c r="M193" s="321" t="str">
        <f t="shared" si="10"/>
        <v>juankbell</v>
      </c>
      <c r="N193" s="176">
        <f>IFERROR(__xludf.DUMMYFUNCTION("""COMPUTED_VALUE"""),9.0)</f>
        <v>9</v>
      </c>
      <c r="O193" s="176"/>
      <c r="P193" s="176"/>
      <c r="Q193" s="176"/>
      <c r="R193" s="176"/>
      <c r="S193" s="176"/>
      <c r="T193" s="176"/>
      <c r="U193" s="176"/>
      <c r="V193" s="176"/>
      <c r="W193" s="176"/>
      <c r="X193" s="176"/>
      <c r="Y193" s="176"/>
      <c r="Z193" s="176"/>
    </row>
    <row r="194">
      <c r="A194" s="249" t="s">
        <v>15</v>
      </c>
      <c r="B194" s="249" t="s">
        <v>12</v>
      </c>
      <c r="C194" s="219" t="s">
        <v>2758</v>
      </c>
      <c r="D194" s="268" t="s">
        <v>495</v>
      </c>
      <c r="E194" s="251">
        <v>44217.0</v>
      </c>
      <c r="F194" s="250" t="s">
        <v>496</v>
      </c>
      <c r="G194" s="243"/>
      <c r="H194" s="243"/>
      <c r="I194" s="243"/>
      <c r="J194" s="325">
        <f t="shared" si="8"/>
        <v>0</v>
      </c>
      <c r="K194" s="330">
        <v>1.9815994338287328</v>
      </c>
      <c r="L194" s="327">
        <f t="shared" si="9"/>
        <v>8.718680184</v>
      </c>
      <c r="M194" s="321" t="str">
        <f t="shared" si="10"/>
        <v>juankbell</v>
      </c>
      <c r="N194" s="176">
        <f>IFERROR(__xludf.DUMMYFUNCTION("""COMPUTED_VALUE"""),10.0)</f>
        <v>10</v>
      </c>
      <c r="O194" s="176"/>
      <c r="P194" s="176"/>
      <c r="Q194" s="176"/>
      <c r="R194" s="176"/>
      <c r="S194" s="176"/>
      <c r="T194" s="176"/>
      <c r="U194" s="176"/>
      <c r="V194" s="176"/>
      <c r="W194" s="176"/>
      <c r="X194" s="176"/>
      <c r="Y194" s="176"/>
      <c r="Z194" s="176"/>
    </row>
    <row r="195">
      <c r="A195" s="249" t="s">
        <v>15</v>
      </c>
      <c r="B195" s="249" t="s">
        <v>10</v>
      </c>
      <c r="C195" s="219" t="s">
        <v>2498</v>
      </c>
      <c r="D195" s="268" t="s">
        <v>495</v>
      </c>
      <c r="E195" s="251">
        <v>44218.0</v>
      </c>
      <c r="F195" s="250" t="s">
        <v>545</v>
      </c>
      <c r="G195" s="243"/>
      <c r="H195" s="243"/>
      <c r="I195" s="243"/>
      <c r="J195" s="325">
        <f t="shared" si="8"/>
        <v>0</v>
      </c>
      <c r="K195" s="330">
        <v>1.9815994338287328</v>
      </c>
      <c r="L195" s="327">
        <f t="shared" si="9"/>
        <v>8.718680184</v>
      </c>
      <c r="M195" s="321" t="str">
        <f t="shared" si="10"/>
        <v>juankbell</v>
      </c>
      <c r="N195" s="176">
        <f>IFERROR(__xludf.DUMMYFUNCTION("""COMPUTED_VALUE"""),11.0)</f>
        <v>11</v>
      </c>
      <c r="O195" s="176"/>
      <c r="P195" s="176"/>
      <c r="Q195" s="176"/>
      <c r="R195" s="176"/>
      <c r="S195" s="176"/>
      <c r="T195" s="176"/>
      <c r="U195" s="176"/>
      <c r="V195" s="176"/>
      <c r="W195" s="176"/>
      <c r="X195" s="176"/>
      <c r="Y195" s="176"/>
      <c r="Z195" s="176"/>
    </row>
    <row r="196">
      <c r="A196" s="249" t="s">
        <v>15</v>
      </c>
      <c r="B196" s="249" t="s">
        <v>10</v>
      </c>
      <c r="C196" s="219" t="s">
        <v>2759</v>
      </c>
      <c r="D196" s="268" t="s">
        <v>495</v>
      </c>
      <c r="E196" s="251">
        <v>44218.0</v>
      </c>
      <c r="F196" s="250" t="s">
        <v>496</v>
      </c>
      <c r="G196" s="243"/>
      <c r="H196" s="243"/>
      <c r="I196" s="243"/>
      <c r="J196" s="325">
        <f t="shared" si="8"/>
        <v>0</v>
      </c>
      <c r="K196" s="330">
        <v>1.9815994338287328</v>
      </c>
      <c r="L196" s="327">
        <f t="shared" si="9"/>
        <v>8.718680184</v>
      </c>
      <c r="M196" s="321" t="str">
        <f t="shared" si="10"/>
        <v>juankbell</v>
      </c>
      <c r="N196" s="176">
        <f>IFERROR(__xludf.DUMMYFUNCTION("""COMPUTED_VALUE"""),12.0)</f>
        <v>12</v>
      </c>
      <c r="O196" s="176"/>
      <c r="P196" s="176"/>
      <c r="Q196" s="176"/>
      <c r="R196" s="176"/>
      <c r="S196" s="176"/>
      <c r="T196" s="176"/>
      <c r="U196" s="176"/>
      <c r="V196" s="176"/>
      <c r="W196" s="176"/>
      <c r="X196" s="176"/>
      <c r="Y196" s="176"/>
      <c r="Z196" s="176"/>
    </row>
    <row r="197">
      <c r="A197" s="249" t="s">
        <v>15</v>
      </c>
      <c r="B197" s="249" t="s">
        <v>10</v>
      </c>
      <c r="C197" s="219" t="s">
        <v>2760</v>
      </c>
      <c r="D197" s="268" t="s">
        <v>495</v>
      </c>
      <c r="E197" s="251">
        <v>44218.0</v>
      </c>
      <c r="F197" s="250" t="s">
        <v>496</v>
      </c>
      <c r="G197" s="243"/>
      <c r="H197" s="243"/>
      <c r="I197" s="243"/>
      <c r="J197" s="325">
        <f t="shared" si="8"/>
        <v>0</v>
      </c>
      <c r="K197" s="330">
        <v>1.9815994338287328</v>
      </c>
      <c r="L197" s="327">
        <f t="shared" si="9"/>
        <v>8.718680184</v>
      </c>
      <c r="M197" s="321" t="str">
        <f t="shared" si="10"/>
        <v>juankbell</v>
      </c>
      <c r="N197" s="176">
        <f>IFERROR(__xludf.DUMMYFUNCTION("""COMPUTED_VALUE"""),13.0)</f>
        <v>13</v>
      </c>
      <c r="O197" s="176"/>
      <c r="P197" s="176"/>
      <c r="Q197" s="176"/>
      <c r="R197" s="176"/>
      <c r="S197" s="176"/>
      <c r="T197" s="176"/>
      <c r="U197" s="176"/>
      <c r="V197" s="176"/>
      <c r="W197" s="176"/>
      <c r="X197" s="176"/>
      <c r="Y197" s="176"/>
      <c r="Z197" s="176"/>
    </row>
    <row r="198">
      <c r="A198" s="249" t="s">
        <v>15</v>
      </c>
      <c r="B198" s="249" t="s">
        <v>10</v>
      </c>
      <c r="C198" s="219" t="s">
        <v>2668</v>
      </c>
      <c r="D198" s="268" t="s">
        <v>495</v>
      </c>
      <c r="E198" s="251">
        <v>44218.0</v>
      </c>
      <c r="F198" s="250" t="s">
        <v>496</v>
      </c>
      <c r="G198" s="243"/>
      <c r="H198" s="243"/>
      <c r="I198" s="243"/>
      <c r="J198" s="325">
        <f t="shared" si="8"/>
        <v>0</v>
      </c>
      <c r="K198" s="330">
        <v>1.9815994338287328</v>
      </c>
      <c r="L198" s="327">
        <f t="shared" si="9"/>
        <v>8.718680184</v>
      </c>
      <c r="M198" s="321" t="str">
        <f t="shared" si="10"/>
        <v>juankbell</v>
      </c>
      <c r="N198" s="176">
        <f>IFERROR(__xludf.DUMMYFUNCTION("""COMPUTED_VALUE"""),14.0)</f>
        <v>14</v>
      </c>
      <c r="O198" s="176"/>
      <c r="P198" s="176"/>
      <c r="Q198" s="176"/>
      <c r="R198" s="176"/>
      <c r="S198" s="176"/>
      <c r="T198" s="176"/>
      <c r="U198" s="176"/>
      <c r="V198" s="176"/>
      <c r="W198" s="176"/>
      <c r="X198" s="176"/>
      <c r="Y198" s="176"/>
      <c r="Z198" s="176"/>
    </row>
    <row r="199">
      <c r="A199" s="249" t="s">
        <v>15</v>
      </c>
      <c r="B199" s="249" t="s">
        <v>10</v>
      </c>
      <c r="C199" s="219" t="s">
        <v>2687</v>
      </c>
      <c r="D199" s="268" t="s">
        <v>495</v>
      </c>
      <c r="E199" s="251">
        <v>44218.0</v>
      </c>
      <c r="F199" s="250" t="s">
        <v>496</v>
      </c>
      <c r="G199" s="243"/>
      <c r="H199" s="243"/>
      <c r="I199" s="243"/>
      <c r="J199" s="325">
        <f t="shared" si="8"/>
        <v>0</v>
      </c>
      <c r="K199" s="330">
        <v>1.9815994338287328</v>
      </c>
      <c r="L199" s="327">
        <f t="shared" si="9"/>
        <v>8.718680184</v>
      </c>
      <c r="M199" s="321" t="str">
        <f t="shared" si="10"/>
        <v>juankbell</v>
      </c>
      <c r="N199" s="176">
        <f>IFERROR(__xludf.DUMMYFUNCTION("""COMPUTED_VALUE"""),15.0)</f>
        <v>15</v>
      </c>
      <c r="O199" s="176"/>
      <c r="P199" s="176"/>
      <c r="Q199" s="176"/>
      <c r="R199" s="176"/>
      <c r="S199" s="176"/>
      <c r="T199" s="176"/>
      <c r="U199" s="176"/>
      <c r="V199" s="176"/>
      <c r="W199" s="176"/>
      <c r="X199" s="176"/>
      <c r="Y199" s="176"/>
      <c r="Z199" s="176"/>
    </row>
    <row r="200">
      <c r="A200" s="249" t="s">
        <v>15</v>
      </c>
      <c r="B200" s="249" t="s">
        <v>18</v>
      </c>
      <c r="C200" s="219" t="s">
        <v>2761</v>
      </c>
      <c r="D200" s="268" t="s">
        <v>495</v>
      </c>
      <c r="E200" s="251">
        <v>44218.0</v>
      </c>
      <c r="F200" s="250" t="s">
        <v>496</v>
      </c>
      <c r="G200" s="243"/>
      <c r="H200" s="243"/>
      <c r="I200" s="243"/>
      <c r="J200" s="325">
        <f t="shared" si="8"/>
        <v>0</v>
      </c>
      <c r="K200" s="330">
        <v>1.9815994338287328</v>
      </c>
      <c r="L200" s="327">
        <f t="shared" si="9"/>
        <v>8.718680184</v>
      </c>
      <c r="M200" s="321" t="str">
        <f t="shared" si="10"/>
        <v>juankbell</v>
      </c>
      <c r="N200" s="176">
        <f>IFERROR(__xludf.DUMMYFUNCTION("""COMPUTED_VALUE"""),16.0)</f>
        <v>16</v>
      </c>
      <c r="O200" s="176"/>
      <c r="P200" s="176"/>
      <c r="Q200" s="176"/>
      <c r="R200" s="176"/>
      <c r="S200" s="176"/>
      <c r="T200" s="176"/>
      <c r="U200" s="176"/>
      <c r="V200" s="176"/>
      <c r="W200" s="176"/>
      <c r="X200" s="176"/>
      <c r="Y200" s="176"/>
      <c r="Z200" s="176"/>
    </row>
    <row r="201">
      <c r="A201" s="249" t="s">
        <v>15</v>
      </c>
      <c r="B201" s="249" t="s">
        <v>845</v>
      </c>
      <c r="C201" s="219" t="s">
        <v>2762</v>
      </c>
      <c r="D201" s="268" t="s">
        <v>495</v>
      </c>
      <c r="E201" s="251">
        <v>44221.0</v>
      </c>
      <c r="F201" s="250" t="s">
        <v>496</v>
      </c>
      <c r="G201" s="243"/>
      <c r="H201" s="243"/>
      <c r="I201" s="243"/>
      <c r="J201" s="325">
        <f t="shared" si="8"/>
        <v>0</v>
      </c>
      <c r="K201" s="330">
        <v>1.9815994338287328</v>
      </c>
      <c r="L201" s="327">
        <f t="shared" si="9"/>
        <v>8.718680184</v>
      </c>
      <c r="M201" s="321" t="str">
        <f t="shared" si="10"/>
        <v>juankbell</v>
      </c>
      <c r="N201" s="176">
        <f>IFERROR(__xludf.DUMMYFUNCTION("""COMPUTED_VALUE"""),17.0)</f>
        <v>17</v>
      </c>
      <c r="O201" s="176"/>
      <c r="P201" s="176"/>
      <c r="Q201" s="176"/>
      <c r="R201" s="176"/>
      <c r="S201" s="176"/>
      <c r="T201" s="176"/>
      <c r="U201" s="176"/>
      <c r="V201" s="176"/>
      <c r="W201" s="176"/>
      <c r="X201" s="176"/>
      <c r="Y201" s="176"/>
      <c r="Z201" s="176"/>
    </row>
    <row r="202">
      <c r="A202" s="249" t="s">
        <v>15</v>
      </c>
      <c r="B202" s="249" t="s">
        <v>845</v>
      </c>
      <c r="C202" s="219" t="s">
        <v>2763</v>
      </c>
      <c r="D202" s="268" t="s">
        <v>495</v>
      </c>
      <c r="E202" s="251">
        <v>44221.0</v>
      </c>
      <c r="F202" s="250" t="s">
        <v>496</v>
      </c>
      <c r="G202" s="243"/>
      <c r="H202" s="243"/>
      <c r="I202" s="243"/>
      <c r="J202" s="325">
        <f t="shared" si="8"/>
        <v>0</v>
      </c>
      <c r="K202" s="330">
        <v>1.9815994338287328</v>
      </c>
      <c r="L202" s="327">
        <f t="shared" si="9"/>
        <v>8.718680184</v>
      </c>
      <c r="M202" s="321" t="str">
        <f t="shared" si="10"/>
        <v>juankbell</v>
      </c>
      <c r="N202" s="176">
        <f>IFERROR(__xludf.DUMMYFUNCTION("""COMPUTED_VALUE"""),18.0)</f>
        <v>18</v>
      </c>
      <c r="O202" s="176"/>
      <c r="P202" s="176"/>
      <c r="Q202" s="176"/>
      <c r="R202" s="176"/>
      <c r="S202" s="176"/>
      <c r="T202" s="176"/>
      <c r="U202" s="176"/>
      <c r="V202" s="176"/>
      <c r="W202" s="176"/>
      <c r="X202" s="176"/>
      <c r="Y202" s="176"/>
      <c r="Z202" s="176"/>
    </row>
    <row r="203">
      <c r="A203" s="249" t="s">
        <v>15</v>
      </c>
      <c r="B203" s="249" t="s">
        <v>590</v>
      </c>
      <c r="C203" s="219" t="s">
        <v>2681</v>
      </c>
      <c r="D203" s="268" t="s">
        <v>495</v>
      </c>
      <c r="E203" s="251">
        <v>44222.0</v>
      </c>
      <c r="F203" s="250" t="s">
        <v>496</v>
      </c>
      <c r="G203" s="243"/>
      <c r="H203" s="243"/>
      <c r="I203" s="243"/>
      <c r="J203" s="325">
        <f t="shared" si="8"/>
        <v>0</v>
      </c>
      <c r="K203" s="330">
        <v>1.9815994338287328</v>
      </c>
      <c r="L203" s="327">
        <f t="shared" si="9"/>
        <v>8.718680184</v>
      </c>
      <c r="M203" s="321" t="str">
        <f t="shared" si="10"/>
        <v>juankbell</v>
      </c>
      <c r="N203" s="176">
        <f>IFERROR(__xludf.DUMMYFUNCTION("""COMPUTED_VALUE"""),19.0)</f>
        <v>19</v>
      </c>
      <c r="O203" s="176"/>
      <c r="P203" s="176"/>
      <c r="Q203" s="176"/>
      <c r="R203" s="176"/>
      <c r="S203" s="176"/>
      <c r="T203" s="176"/>
      <c r="U203" s="176"/>
      <c r="V203" s="176"/>
      <c r="W203" s="176"/>
      <c r="X203" s="176"/>
      <c r="Y203" s="176"/>
      <c r="Z203" s="176"/>
    </row>
    <row r="204">
      <c r="A204" s="249" t="s">
        <v>15</v>
      </c>
      <c r="B204" s="249" t="s">
        <v>18</v>
      </c>
      <c r="C204" s="219" t="s">
        <v>2688</v>
      </c>
      <c r="D204" s="268" t="s">
        <v>495</v>
      </c>
      <c r="E204" s="251">
        <v>44222.0</v>
      </c>
      <c r="F204" s="250" t="s">
        <v>496</v>
      </c>
      <c r="G204" s="243"/>
      <c r="H204" s="243"/>
      <c r="I204" s="243"/>
      <c r="J204" s="325">
        <f t="shared" si="8"/>
        <v>0</v>
      </c>
      <c r="K204" s="330">
        <v>1.9815994338287328</v>
      </c>
      <c r="L204" s="327">
        <f t="shared" si="9"/>
        <v>8.718680184</v>
      </c>
      <c r="M204" s="321" t="str">
        <f t="shared" si="10"/>
        <v>juankbell</v>
      </c>
      <c r="N204" s="176">
        <f>IFERROR(__xludf.DUMMYFUNCTION("""COMPUTED_VALUE"""),20.0)</f>
        <v>20</v>
      </c>
      <c r="O204" s="176"/>
      <c r="P204" s="176"/>
      <c r="Q204" s="176"/>
      <c r="R204" s="176"/>
      <c r="S204" s="176"/>
      <c r="T204" s="176"/>
      <c r="U204" s="176"/>
      <c r="V204" s="176"/>
      <c r="W204" s="176"/>
      <c r="X204" s="176"/>
      <c r="Y204" s="176"/>
      <c r="Z204" s="176"/>
    </row>
    <row r="205">
      <c r="A205" s="249" t="s">
        <v>15</v>
      </c>
      <c r="B205" s="249" t="s">
        <v>18</v>
      </c>
      <c r="C205" s="219" t="s">
        <v>2689</v>
      </c>
      <c r="D205" s="268" t="s">
        <v>495</v>
      </c>
      <c r="E205" s="251">
        <v>44222.0</v>
      </c>
      <c r="F205" s="250" t="s">
        <v>496</v>
      </c>
      <c r="G205" s="243"/>
      <c r="H205" s="243"/>
      <c r="I205" s="243"/>
      <c r="J205" s="325">
        <f t="shared" si="8"/>
        <v>0</v>
      </c>
      <c r="K205" s="330">
        <v>1.9815994338287328</v>
      </c>
      <c r="L205" s="327">
        <f t="shared" si="9"/>
        <v>8.718680184</v>
      </c>
      <c r="M205" s="321" t="str">
        <f t="shared" si="10"/>
        <v>juankbell</v>
      </c>
      <c r="N205" s="176">
        <f>IFERROR(__xludf.DUMMYFUNCTION("""COMPUTED_VALUE"""),21.0)</f>
        <v>21</v>
      </c>
      <c r="O205" s="176"/>
      <c r="P205" s="176"/>
      <c r="Q205" s="176"/>
      <c r="R205" s="176"/>
      <c r="S205" s="176"/>
      <c r="T205" s="176"/>
      <c r="U205" s="176"/>
      <c r="V205" s="176"/>
      <c r="W205" s="176"/>
      <c r="X205" s="176"/>
      <c r="Y205" s="176"/>
      <c r="Z205" s="176"/>
    </row>
    <row r="206">
      <c r="A206" s="249" t="s">
        <v>15</v>
      </c>
      <c r="B206" s="249" t="s">
        <v>25</v>
      </c>
      <c r="C206" s="219" t="s">
        <v>2682</v>
      </c>
      <c r="D206" s="268" t="s">
        <v>495</v>
      </c>
      <c r="E206" s="251">
        <v>44223.0</v>
      </c>
      <c r="F206" s="250" t="s">
        <v>496</v>
      </c>
      <c r="G206" s="243"/>
      <c r="H206" s="243"/>
      <c r="I206" s="243"/>
      <c r="J206" s="325">
        <f t="shared" si="8"/>
        <v>0</v>
      </c>
      <c r="K206" s="330">
        <v>1.9815994338287328</v>
      </c>
      <c r="L206" s="327">
        <f t="shared" si="9"/>
        <v>8.718680184</v>
      </c>
      <c r="M206" s="321" t="str">
        <f t="shared" si="10"/>
        <v>juankbell</v>
      </c>
      <c r="N206" s="176">
        <f>IFERROR(__xludf.DUMMYFUNCTION("""COMPUTED_VALUE"""),22.0)</f>
        <v>22</v>
      </c>
      <c r="O206" s="176"/>
      <c r="P206" s="176"/>
      <c r="Q206" s="176"/>
      <c r="R206" s="176"/>
      <c r="S206" s="176"/>
      <c r="T206" s="176"/>
      <c r="U206" s="176"/>
      <c r="V206" s="176"/>
      <c r="W206" s="176"/>
      <c r="X206" s="176"/>
      <c r="Y206" s="176"/>
      <c r="Z206" s="176"/>
    </row>
    <row r="207">
      <c r="A207" s="249" t="s">
        <v>15</v>
      </c>
      <c r="B207" s="249" t="s">
        <v>867</v>
      </c>
      <c r="C207" s="219" t="s">
        <v>2764</v>
      </c>
      <c r="D207" s="268" t="s">
        <v>495</v>
      </c>
      <c r="E207" s="251">
        <v>44224.0</v>
      </c>
      <c r="F207" s="250" t="s">
        <v>496</v>
      </c>
      <c r="G207" s="243"/>
      <c r="H207" s="243"/>
      <c r="I207" s="243"/>
      <c r="J207" s="325">
        <f t="shared" si="8"/>
        <v>0</v>
      </c>
      <c r="K207" s="330">
        <v>1.9815994338287328</v>
      </c>
      <c r="L207" s="327">
        <f t="shared" si="9"/>
        <v>8.718680184</v>
      </c>
      <c r="M207" s="321" t="str">
        <f t="shared" si="10"/>
        <v>juankbell</v>
      </c>
      <c r="N207" s="176">
        <f>IFERROR(__xludf.DUMMYFUNCTION("""COMPUTED_VALUE"""),23.0)</f>
        <v>23</v>
      </c>
      <c r="O207" s="176"/>
      <c r="P207" s="176"/>
      <c r="Q207" s="176"/>
      <c r="R207" s="176"/>
      <c r="S207" s="176"/>
      <c r="T207" s="176"/>
      <c r="U207" s="176"/>
      <c r="V207" s="176"/>
      <c r="W207" s="176"/>
      <c r="X207" s="176"/>
      <c r="Y207" s="176"/>
      <c r="Z207" s="176"/>
    </row>
    <row r="208">
      <c r="A208" s="249" t="s">
        <v>15</v>
      </c>
      <c r="B208" s="249" t="s">
        <v>18</v>
      </c>
      <c r="C208" s="219" t="s">
        <v>2765</v>
      </c>
      <c r="D208" s="268" t="s">
        <v>495</v>
      </c>
      <c r="E208" s="251">
        <v>44224.0</v>
      </c>
      <c r="F208" s="250" t="s">
        <v>496</v>
      </c>
      <c r="G208" s="243"/>
      <c r="H208" s="243"/>
      <c r="I208" s="243"/>
      <c r="J208" s="325">
        <f t="shared" si="8"/>
        <v>0</v>
      </c>
      <c r="K208" s="330">
        <v>1.9815994338287328</v>
      </c>
      <c r="L208" s="327">
        <f t="shared" si="9"/>
        <v>8.718680184</v>
      </c>
      <c r="M208" s="321" t="str">
        <f t="shared" si="10"/>
        <v>juankbell</v>
      </c>
      <c r="N208" s="176">
        <f>IFERROR(__xludf.DUMMYFUNCTION("""COMPUTED_VALUE"""),24.0)</f>
        <v>24</v>
      </c>
      <c r="O208" s="176"/>
      <c r="P208" s="176"/>
      <c r="Q208" s="176"/>
      <c r="R208" s="176"/>
      <c r="S208" s="176"/>
      <c r="T208" s="176"/>
      <c r="U208" s="176"/>
      <c r="V208" s="176"/>
      <c r="W208" s="176"/>
      <c r="X208" s="176"/>
      <c r="Y208" s="176"/>
      <c r="Z208" s="176"/>
    </row>
    <row r="209">
      <c r="A209" s="249" t="s">
        <v>15</v>
      </c>
      <c r="B209" s="249" t="s">
        <v>25</v>
      </c>
      <c r="C209" s="219" t="s">
        <v>2766</v>
      </c>
      <c r="D209" s="268" t="s">
        <v>495</v>
      </c>
      <c r="E209" s="251">
        <v>44224.0</v>
      </c>
      <c r="F209" s="250" t="s">
        <v>496</v>
      </c>
      <c r="G209" s="243"/>
      <c r="H209" s="243"/>
      <c r="I209" s="243"/>
      <c r="J209" s="325">
        <f t="shared" si="8"/>
        <v>0</v>
      </c>
      <c r="K209" s="330">
        <v>1.9815994338287328</v>
      </c>
      <c r="L209" s="327">
        <f t="shared" si="9"/>
        <v>8.718680184</v>
      </c>
      <c r="M209" s="321" t="str">
        <f t="shared" si="10"/>
        <v>juankbell</v>
      </c>
      <c r="N209" s="176">
        <f>IFERROR(__xludf.DUMMYFUNCTION("""COMPUTED_VALUE"""),25.0)</f>
        <v>25</v>
      </c>
      <c r="O209" s="176"/>
      <c r="P209" s="176"/>
      <c r="Q209" s="176"/>
      <c r="R209" s="176"/>
      <c r="S209" s="176"/>
      <c r="T209" s="176"/>
      <c r="U209" s="176"/>
      <c r="V209" s="176"/>
      <c r="W209" s="176"/>
      <c r="X209" s="176"/>
      <c r="Y209" s="176"/>
      <c r="Z209" s="176"/>
    </row>
    <row r="210">
      <c r="A210" s="249" t="s">
        <v>15</v>
      </c>
      <c r="B210" s="249" t="s">
        <v>925</v>
      </c>
      <c r="C210" s="219" t="s">
        <v>2767</v>
      </c>
      <c r="D210" s="268" t="s">
        <v>495</v>
      </c>
      <c r="E210" s="251">
        <v>44224.0</v>
      </c>
      <c r="F210" s="250" t="s">
        <v>496</v>
      </c>
      <c r="G210" s="243"/>
      <c r="H210" s="243"/>
      <c r="I210" s="243"/>
      <c r="J210" s="325">
        <f t="shared" si="8"/>
        <v>0</v>
      </c>
      <c r="K210" s="330">
        <v>1.9815994338287328</v>
      </c>
      <c r="L210" s="327">
        <f t="shared" si="9"/>
        <v>8.718680184</v>
      </c>
      <c r="M210" s="321" t="str">
        <f t="shared" si="10"/>
        <v>juankbell</v>
      </c>
      <c r="N210" s="176">
        <f>IFERROR(__xludf.DUMMYFUNCTION("""COMPUTED_VALUE"""),26.0)</f>
        <v>26</v>
      </c>
      <c r="O210" s="176"/>
      <c r="P210" s="176"/>
      <c r="Q210" s="176"/>
      <c r="R210" s="176"/>
      <c r="S210" s="176"/>
      <c r="T210" s="176"/>
      <c r="U210" s="176"/>
      <c r="V210" s="176"/>
      <c r="W210" s="176"/>
      <c r="X210" s="176"/>
      <c r="Y210" s="176"/>
      <c r="Z210" s="176"/>
    </row>
    <row r="211">
      <c r="A211" s="249" t="s">
        <v>15</v>
      </c>
      <c r="B211" s="249" t="s">
        <v>867</v>
      </c>
      <c r="C211" s="219" t="s">
        <v>2768</v>
      </c>
      <c r="D211" s="268" t="s">
        <v>495</v>
      </c>
      <c r="E211" s="251">
        <v>44224.0</v>
      </c>
      <c r="F211" s="250" t="s">
        <v>496</v>
      </c>
      <c r="G211" s="243"/>
      <c r="H211" s="243"/>
      <c r="I211" s="243"/>
      <c r="J211" s="325">
        <f t="shared" si="8"/>
        <v>0</v>
      </c>
      <c r="K211" s="330">
        <v>1.9815994338287328</v>
      </c>
      <c r="L211" s="327">
        <f t="shared" si="9"/>
        <v>8.718680184</v>
      </c>
      <c r="M211" s="321" t="str">
        <f t="shared" si="10"/>
        <v>juankbell</v>
      </c>
      <c r="N211" s="176">
        <f>IFERROR(__xludf.DUMMYFUNCTION("""COMPUTED_VALUE"""),27.0)</f>
        <v>27</v>
      </c>
      <c r="O211" s="176"/>
      <c r="P211" s="176"/>
      <c r="Q211" s="176"/>
      <c r="R211" s="176"/>
      <c r="S211" s="176"/>
      <c r="T211" s="176"/>
      <c r="U211" s="176"/>
      <c r="V211" s="176"/>
      <c r="W211" s="176"/>
      <c r="X211" s="176"/>
      <c r="Y211" s="176"/>
      <c r="Z211" s="176"/>
    </row>
    <row r="212">
      <c r="A212" s="249" t="s">
        <v>15</v>
      </c>
      <c r="B212" s="249" t="s">
        <v>10</v>
      </c>
      <c r="C212" s="219" t="s">
        <v>2769</v>
      </c>
      <c r="D212" s="268" t="s">
        <v>495</v>
      </c>
      <c r="E212" s="251">
        <v>44225.0</v>
      </c>
      <c r="F212" s="250" t="s">
        <v>496</v>
      </c>
      <c r="G212" s="243"/>
      <c r="H212" s="243"/>
      <c r="I212" s="243"/>
      <c r="J212" s="325">
        <f t="shared" si="8"/>
        <v>0</v>
      </c>
      <c r="K212" s="330">
        <v>1.9815994338287328</v>
      </c>
      <c r="L212" s="327">
        <f t="shared" si="9"/>
        <v>8.718680184</v>
      </c>
      <c r="M212" s="321" t="str">
        <f t="shared" si="10"/>
        <v>juankbell</v>
      </c>
      <c r="N212" s="176">
        <f>IFERROR(__xludf.DUMMYFUNCTION("""COMPUTED_VALUE"""),28.0)</f>
        <v>28</v>
      </c>
      <c r="O212" s="176"/>
      <c r="P212" s="176"/>
      <c r="Q212" s="176"/>
      <c r="R212" s="176"/>
      <c r="S212" s="176"/>
      <c r="T212" s="176"/>
      <c r="U212" s="176"/>
      <c r="V212" s="176"/>
      <c r="W212" s="176"/>
      <c r="X212" s="176"/>
      <c r="Y212" s="176"/>
      <c r="Z212" s="176"/>
    </row>
    <row r="213">
      <c r="A213" s="249" t="s">
        <v>15</v>
      </c>
      <c r="B213" s="249" t="s">
        <v>10</v>
      </c>
      <c r="C213" s="219" t="s">
        <v>2670</v>
      </c>
      <c r="D213" s="268" t="s">
        <v>495</v>
      </c>
      <c r="E213" s="251">
        <v>44225.0</v>
      </c>
      <c r="F213" s="250" t="s">
        <v>496</v>
      </c>
      <c r="G213" s="243"/>
      <c r="H213" s="243"/>
      <c r="I213" s="243"/>
      <c r="J213" s="325">
        <f t="shared" si="8"/>
        <v>0</v>
      </c>
      <c r="K213" s="330">
        <v>1.9815994338287328</v>
      </c>
      <c r="L213" s="327">
        <f t="shared" si="9"/>
        <v>8.718680184</v>
      </c>
      <c r="M213" s="321" t="str">
        <f t="shared" si="10"/>
        <v>juankbell</v>
      </c>
      <c r="N213" s="176">
        <f>IFERROR(__xludf.DUMMYFUNCTION("""COMPUTED_VALUE"""),29.0)</f>
        <v>29</v>
      </c>
      <c r="O213" s="176"/>
      <c r="P213" s="176"/>
      <c r="Q213" s="176"/>
      <c r="R213" s="176"/>
      <c r="S213" s="176"/>
      <c r="T213" s="176"/>
      <c r="U213" s="176"/>
      <c r="V213" s="176"/>
      <c r="W213" s="176"/>
      <c r="X213" s="176"/>
      <c r="Y213" s="176"/>
      <c r="Z213" s="176"/>
    </row>
    <row r="214">
      <c r="A214" s="249" t="s">
        <v>15</v>
      </c>
      <c r="B214" s="249" t="s">
        <v>10</v>
      </c>
      <c r="C214" s="219" t="s">
        <v>2770</v>
      </c>
      <c r="D214" s="268" t="s">
        <v>495</v>
      </c>
      <c r="E214" s="251">
        <v>44225.0</v>
      </c>
      <c r="F214" s="250" t="s">
        <v>496</v>
      </c>
      <c r="G214" s="243"/>
      <c r="H214" s="243"/>
      <c r="I214" s="243"/>
      <c r="J214" s="325">
        <f t="shared" si="8"/>
        <v>0</v>
      </c>
      <c r="K214" s="330">
        <v>1.9815994338287328</v>
      </c>
      <c r="L214" s="327">
        <f t="shared" si="9"/>
        <v>8.718680184</v>
      </c>
      <c r="M214" s="321" t="str">
        <f t="shared" si="10"/>
        <v>juankbell</v>
      </c>
      <c r="N214" s="176">
        <f>IFERROR(__xludf.DUMMYFUNCTION("""COMPUTED_VALUE"""),30.0)</f>
        <v>30</v>
      </c>
      <c r="O214" s="176"/>
      <c r="P214" s="176"/>
      <c r="Q214" s="176"/>
      <c r="R214" s="176"/>
      <c r="S214" s="176"/>
      <c r="T214" s="176"/>
      <c r="U214" s="176"/>
      <c r="V214" s="176"/>
      <c r="W214" s="176"/>
      <c r="X214" s="176"/>
      <c r="Y214" s="176"/>
      <c r="Z214" s="176"/>
    </row>
    <row r="215">
      <c r="A215" s="249" t="s">
        <v>15</v>
      </c>
      <c r="B215" s="249" t="s">
        <v>10</v>
      </c>
      <c r="C215" s="219" t="s">
        <v>2698</v>
      </c>
      <c r="D215" s="268" t="s">
        <v>495</v>
      </c>
      <c r="E215" s="251">
        <v>44225.0</v>
      </c>
      <c r="F215" s="250" t="s">
        <v>496</v>
      </c>
      <c r="G215" s="243"/>
      <c r="H215" s="243"/>
      <c r="I215" s="243"/>
      <c r="J215" s="325">
        <f t="shared" si="8"/>
        <v>0</v>
      </c>
      <c r="K215" s="330">
        <v>1.9815994338287328</v>
      </c>
      <c r="L215" s="327">
        <f t="shared" si="9"/>
        <v>8.718680184</v>
      </c>
      <c r="M215" s="321" t="str">
        <f t="shared" si="10"/>
        <v>juankbell</v>
      </c>
      <c r="N215" s="176">
        <f>IFERROR(__xludf.DUMMYFUNCTION("""COMPUTED_VALUE"""),31.0)</f>
        <v>31</v>
      </c>
      <c r="O215" s="176"/>
      <c r="P215" s="176"/>
      <c r="Q215" s="176"/>
      <c r="R215" s="176"/>
      <c r="S215" s="176"/>
      <c r="T215" s="176"/>
      <c r="U215" s="176"/>
      <c r="V215" s="176"/>
      <c r="W215" s="176"/>
      <c r="X215" s="176"/>
      <c r="Y215" s="176"/>
      <c r="Z215" s="176"/>
    </row>
    <row r="216">
      <c r="A216" s="249" t="s">
        <v>15</v>
      </c>
      <c r="B216" s="249" t="s">
        <v>10</v>
      </c>
      <c r="C216" s="219" t="s">
        <v>2734</v>
      </c>
      <c r="D216" s="268" t="s">
        <v>495</v>
      </c>
      <c r="E216" s="251">
        <v>44225.0</v>
      </c>
      <c r="F216" s="250" t="s">
        <v>496</v>
      </c>
      <c r="G216" s="243"/>
      <c r="H216" s="243"/>
      <c r="I216" s="243"/>
      <c r="J216" s="325">
        <f t="shared" si="8"/>
        <v>0</v>
      </c>
      <c r="K216" s="330">
        <v>1.9815994338287328</v>
      </c>
      <c r="L216" s="327">
        <f t="shared" si="9"/>
        <v>8.718680184</v>
      </c>
      <c r="M216" s="321" t="str">
        <f t="shared" si="10"/>
        <v>juankbell</v>
      </c>
      <c r="N216" s="176">
        <f>IFERROR(__xludf.DUMMYFUNCTION("""COMPUTED_VALUE"""),32.0)</f>
        <v>32</v>
      </c>
      <c r="O216" s="176"/>
      <c r="P216" s="176"/>
      <c r="Q216" s="176"/>
      <c r="R216" s="176"/>
      <c r="S216" s="176"/>
      <c r="T216" s="176"/>
      <c r="U216" s="176"/>
      <c r="V216" s="176"/>
      <c r="W216" s="176"/>
      <c r="X216" s="176"/>
      <c r="Y216" s="176"/>
      <c r="Z216" s="176"/>
    </row>
    <row r="217">
      <c r="A217" s="249" t="s">
        <v>15</v>
      </c>
      <c r="B217" s="249" t="s">
        <v>10</v>
      </c>
      <c r="C217" s="219" t="s">
        <v>2690</v>
      </c>
      <c r="D217" s="268" t="s">
        <v>495</v>
      </c>
      <c r="E217" s="251">
        <v>44225.0</v>
      </c>
      <c r="F217" s="250" t="s">
        <v>496</v>
      </c>
      <c r="G217" s="243"/>
      <c r="H217" s="243"/>
      <c r="I217" s="243"/>
      <c r="J217" s="325">
        <f t="shared" si="8"/>
        <v>0</v>
      </c>
      <c r="K217" s="330">
        <v>1.9815994338287328</v>
      </c>
      <c r="L217" s="327">
        <f t="shared" si="9"/>
        <v>8.718680184</v>
      </c>
      <c r="M217" s="321" t="str">
        <f t="shared" si="10"/>
        <v>juankbell</v>
      </c>
      <c r="N217" s="176">
        <f>IFERROR(__xludf.DUMMYFUNCTION("""COMPUTED_VALUE"""),33.0)</f>
        <v>33</v>
      </c>
      <c r="O217" s="176"/>
      <c r="P217" s="176"/>
      <c r="Q217" s="176"/>
      <c r="R217" s="176"/>
      <c r="S217" s="176"/>
      <c r="T217" s="176"/>
      <c r="U217" s="176"/>
      <c r="V217" s="176"/>
      <c r="W217" s="176"/>
      <c r="X217" s="176"/>
      <c r="Y217" s="176"/>
      <c r="Z217" s="176"/>
    </row>
    <row r="218">
      <c r="A218" s="249" t="s">
        <v>15</v>
      </c>
      <c r="B218" s="249" t="s">
        <v>10</v>
      </c>
      <c r="C218" s="219" t="s">
        <v>2498</v>
      </c>
      <c r="D218" s="268" t="s">
        <v>495</v>
      </c>
      <c r="E218" s="251">
        <v>44225.0</v>
      </c>
      <c r="F218" s="250" t="s">
        <v>496</v>
      </c>
      <c r="G218" s="243"/>
      <c r="H218" s="243"/>
      <c r="I218" s="243"/>
      <c r="J218" s="325">
        <f t="shared" si="8"/>
        <v>0</v>
      </c>
      <c r="K218" s="330">
        <v>1.9815994338287328</v>
      </c>
      <c r="L218" s="327">
        <f t="shared" si="9"/>
        <v>8.718680184</v>
      </c>
      <c r="M218" s="321" t="str">
        <f t="shared" si="10"/>
        <v>juankbell</v>
      </c>
      <c r="N218" s="176">
        <f>IFERROR(__xludf.DUMMYFUNCTION("""COMPUTED_VALUE"""),34.0)</f>
        <v>34</v>
      </c>
      <c r="O218" s="176"/>
      <c r="P218" s="176"/>
      <c r="Q218" s="176"/>
      <c r="R218" s="176"/>
      <c r="S218" s="176"/>
      <c r="T218" s="176"/>
      <c r="U218" s="176"/>
      <c r="V218" s="176"/>
      <c r="W218" s="176"/>
      <c r="X218" s="176"/>
      <c r="Y218" s="176"/>
      <c r="Z218" s="176"/>
    </row>
    <row r="219">
      <c r="A219" s="249" t="s">
        <v>15</v>
      </c>
      <c r="B219" s="249" t="s">
        <v>10</v>
      </c>
      <c r="C219" s="219" t="s">
        <v>2716</v>
      </c>
      <c r="D219" s="268" t="s">
        <v>495</v>
      </c>
      <c r="E219" s="251">
        <v>44225.0</v>
      </c>
      <c r="F219" s="250" t="s">
        <v>496</v>
      </c>
      <c r="G219" s="243"/>
      <c r="H219" s="243"/>
      <c r="I219" s="243"/>
      <c r="J219" s="325">
        <f t="shared" si="8"/>
        <v>0</v>
      </c>
      <c r="K219" s="330">
        <v>1.9815994338287328</v>
      </c>
      <c r="L219" s="327">
        <f t="shared" si="9"/>
        <v>8.718680184</v>
      </c>
      <c r="M219" s="321" t="str">
        <f t="shared" si="10"/>
        <v>juankbell</v>
      </c>
      <c r="N219" s="176">
        <f>IFERROR(__xludf.DUMMYFUNCTION("""COMPUTED_VALUE"""),35.0)</f>
        <v>35</v>
      </c>
      <c r="O219" s="176"/>
      <c r="P219" s="176"/>
      <c r="Q219" s="176"/>
      <c r="R219" s="176"/>
      <c r="S219" s="176"/>
      <c r="T219" s="176"/>
      <c r="U219" s="176"/>
      <c r="V219" s="176"/>
      <c r="W219" s="176"/>
      <c r="X219" s="176"/>
      <c r="Y219" s="176"/>
      <c r="Z219" s="176"/>
    </row>
    <row r="220">
      <c r="A220" s="249" t="s">
        <v>15</v>
      </c>
      <c r="B220" s="249" t="s">
        <v>867</v>
      </c>
      <c r="C220" s="219" t="s">
        <v>2748</v>
      </c>
      <c r="D220" s="268" t="s">
        <v>495</v>
      </c>
      <c r="E220" s="251">
        <v>44225.0</v>
      </c>
      <c r="F220" s="250" t="s">
        <v>496</v>
      </c>
      <c r="G220" s="243"/>
      <c r="H220" s="243"/>
      <c r="I220" s="243"/>
      <c r="J220" s="325">
        <f t="shared" si="8"/>
        <v>0</v>
      </c>
      <c r="K220" s="330">
        <v>1.9815994338287328</v>
      </c>
      <c r="L220" s="327">
        <f t="shared" si="9"/>
        <v>8.718680184</v>
      </c>
      <c r="M220" s="321" t="str">
        <f t="shared" si="10"/>
        <v>juankbell</v>
      </c>
      <c r="N220" s="176">
        <f>IFERROR(__xludf.DUMMYFUNCTION("""COMPUTED_VALUE"""),36.0)</f>
        <v>36</v>
      </c>
      <c r="O220" s="176"/>
      <c r="P220" s="176"/>
      <c r="Q220" s="176"/>
      <c r="R220" s="176"/>
      <c r="S220" s="176"/>
      <c r="T220" s="176"/>
      <c r="U220" s="176"/>
      <c r="V220" s="176"/>
      <c r="W220" s="176"/>
      <c r="X220" s="176"/>
      <c r="Y220" s="176"/>
      <c r="Z220" s="176"/>
    </row>
    <row r="221">
      <c r="A221" s="249" t="s">
        <v>50</v>
      </c>
      <c r="B221" s="249" t="s">
        <v>10</v>
      </c>
      <c r="C221" s="219" t="s">
        <v>2738</v>
      </c>
      <c r="D221" s="268" t="s">
        <v>495</v>
      </c>
      <c r="E221" s="251">
        <v>44225.0</v>
      </c>
      <c r="F221" s="250" t="s">
        <v>496</v>
      </c>
      <c r="G221" s="171">
        <v>25000.0</v>
      </c>
      <c r="H221" s="171">
        <v>75.0</v>
      </c>
      <c r="I221" s="171">
        <v>200.0</v>
      </c>
      <c r="J221" s="325">
        <f t="shared" si="8"/>
        <v>0.005408171865</v>
      </c>
      <c r="K221" s="326">
        <f t="shared" ref="K221:K250" si="11">J221*$J$1</f>
        <v>5.047627074</v>
      </c>
      <c r="L221" s="327">
        <f t="shared" si="9"/>
        <v>9.292245042</v>
      </c>
      <c r="M221" s="321" t="str">
        <f t="shared" si="10"/>
        <v>geleeroyale</v>
      </c>
      <c r="N221" s="176">
        <f>IFERROR(__xludf.DUMMYFUNCTION("""COMPUTED_VALUE"""),1.0)</f>
        <v>1</v>
      </c>
      <c r="O221" s="176"/>
      <c r="P221" s="176"/>
      <c r="Q221" s="176"/>
      <c r="R221" s="176"/>
      <c r="S221" s="176"/>
      <c r="T221" s="176"/>
      <c r="U221" s="176"/>
      <c r="V221" s="176"/>
      <c r="W221" s="176"/>
      <c r="X221" s="176"/>
      <c r="Y221" s="176"/>
      <c r="Z221" s="176"/>
    </row>
    <row r="222">
      <c r="A222" s="249" t="s">
        <v>50</v>
      </c>
      <c r="B222" s="249" t="s">
        <v>845</v>
      </c>
      <c r="C222" s="219" t="s">
        <v>2771</v>
      </c>
      <c r="D222" s="268" t="s">
        <v>495</v>
      </c>
      <c r="E222" s="251">
        <v>44221.0</v>
      </c>
      <c r="F222" s="250" t="s">
        <v>496</v>
      </c>
      <c r="G222" s="171">
        <v>10000.0</v>
      </c>
      <c r="H222" s="171">
        <v>25.0</v>
      </c>
      <c r="I222" s="171">
        <v>100.0</v>
      </c>
      <c r="J222" s="325">
        <f t="shared" si="8"/>
        <v>0.002276299098</v>
      </c>
      <c r="K222" s="326">
        <f t="shared" si="11"/>
        <v>2.124545825</v>
      </c>
      <c r="L222" s="327">
        <f t="shared" si="9"/>
        <v>9.292245042</v>
      </c>
      <c r="M222" s="321" t="str">
        <f t="shared" si="10"/>
        <v>geleeroyale</v>
      </c>
      <c r="N222" s="176">
        <f>IFERROR(__xludf.DUMMYFUNCTION("""COMPUTED_VALUE"""),2.0)</f>
        <v>2</v>
      </c>
      <c r="O222" s="176"/>
      <c r="P222" s="176"/>
      <c r="Q222" s="176"/>
      <c r="R222" s="176"/>
      <c r="S222" s="176"/>
      <c r="T222" s="176"/>
      <c r="U222" s="176"/>
      <c r="V222" s="176"/>
      <c r="W222" s="176"/>
      <c r="X222" s="176"/>
      <c r="Y222" s="176"/>
      <c r="Z222" s="176"/>
    </row>
    <row r="223">
      <c r="A223" s="249" t="s">
        <v>50</v>
      </c>
      <c r="B223" s="249" t="s">
        <v>18</v>
      </c>
      <c r="C223" s="219" t="s">
        <v>2772</v>
      </c>
      <c r="D223" s="268" t="s">
        <v>495</v>
      </c>
      <c r="E223" s="251">
        <v>44217.0</v>
      </c>
      <c r="F223" s="250" t="s">
        <v>496</v>
      </c>
      <c r="G223" s="171">
        <v>500.0</v>
      </c>
      <c r="H223" s="171">
        <v>35.0</v>
      </c>
      <c r="I223" s="171">
        <v>50.0</v>
      </c>
      <c r="J223" s="325">
        <f t="shared" si="8"/>
        <v>0.001209884089</v>
      </c>
      <c r="K223" s="326">
        <f t="shared" si="11"/>
        <v>1.12922515</v>
      </c>
      <c r="L223" s="327">
        <f t="shared" si="9"/>
        <v>9.292245042</v>
      </c>
      <c r="M223" s="321" t="str">
        <f t="shared" si="10"/>
        <v>geleeroyale</v>
      </c>
      <c r="N223" s="176">
        <f>IFERROR(__xludf.DUMMYFUNCTION("""COMPUTED_VALUE"""),3.0)</f>
        <v>3</v>
      </c>
      <c r="O223" s="176"/>
      <c r="P223" s="176"/>
      <c r="Q223" s="176"/>
      <c r="R223" s="176"/>
      <c r="S223" s="176"/>
      <c r="T223" s="176"/>
      <c r="U223" s="176"/>
      <c r="V223" s="176"/>
      <c r="W223" s="176"/>
      <c r="X223" s="176"/>
      <c r="Y223" s="176"/>
      <c r="Z223" s="176"/>
    </row>
    <row r="224">
      <c r="A224" s="249" t="s">
        <v>50</v>
      </c>
      <c r="B224" s="249" t="s">
        <v>519</v>
      </c>
      <c r="C224" s="219" t="s">
        <v>2705</v>
      </c>
      <c r="D224" s="268" t="s">
        <v>495</v>
      </c>
      <c r="E224" s="251">
        <v>44223.0</v>
      </c>
      <c r="F224" s="250" t="s">
        <v>499</v>
      </c>
      <c r="G224" s="171">
        <v>1000.0</v>
      </c>
      <c r="H224" s="171">
        <v>25.0</v>
      </c>
      <c r="I224" s="171">
        <v>50.0</v>
      </c>
      <c r="J224" s="325">
        <f t="shared" si="8"/>
        <v>0.001061621778</v>
      </c>
      <c r="K224" s="326">
        <f t="shared" si="11"/>
        <v>0.9908469927</v>
      </c>
      <c r="L224" s="327">
        <f t="shared" si="9"/>
        <v>9.292245042</v>
      </c>
      <c r="M224" s="321" t="str">
        <f t="shared" si="10"/>
        <v>geleeroyale</v>
      </c>
      <c r="N224" s="176">
        <f>IFERROR(__xludf.DUMMYFUNCTION("""COMPUTED_VALUE"""),4.0)</f>
        <v>4</v>
      </c>
      <c r="O224" s="176"/>
      <c r="P224" s="176"/>
      <c r="Q224" s="176"/>
      <c r="R224" s="176"/>
      <c r="S224" s="176"/>
      <c r="T224" s="176"/>
      <c r="U224" s="176"/>
      <c r="V224" s="176"/>
      <c r="W224" s="176"/>
      <c r="X224" s="176"/>
      <c r="Y224" s="176"/>
      <c r="Z224" s="176"/>
    </row>
    <row r="225">
      <c r="A225" s="249" t="s">
        <v>11</v>
      </c>
      <c r="B225" s="249" t="s">
        <v>10</v>
      </c>
      <c r="C225" s="219" t="s">
        <v>2695</v>
      </c>
      <c r="D225" s="268" t="s">
        <v>495</v>
      </c>
      <c r="E225" s="251">
        <v>44225.0</v>
      </c>
      <c r="F225" s="250" t="s">
        <v>496</v>
      </c>
      <c r="G225" s="171">
        <v>10000.0</v>
      </c>
      <c r="H225" s="171">
        <v>50.0</v>
      </c>
      <c r="I225" s="171">
        <v>200.0</v>
      </c>
      <c r="J225" s="325">
        <f t="shared" si="8"/>
        <v>0.003776729573</v>
      </c>
      <c r="K225" s="326">
        <f t="shared" si="11"/>
        <v>3.524947601</v>
      </c>
      <c r="L225" s="327">
        <f t="shared" si="9"/>
        <v>9.114843667</v>
      </c>
      <c r="M225" s="321" t="str">
        <f t="shared" si="10"/>
        <v>mateodaza</v>
      </c>
      <c r="N225" s="176">
        <f>IFERROR(__xludf.DUMMYFUNCTION("""COMPUTED_VALUE"""),1.0)</f>
        <v>1</v>
      </c>
      <c r="O225" s="176"/>
      <c r="P225" s="176"/>
      <c r="Q225" s="176"/>
      <c r="R225" s="176"/>
      <c r="S225" s="176"/>
      <c r="T225" s="176"/>
      <c r="U225" s="176"/>
      <c r="V225" s="176"/>
      <c r="W225" s="176"/>
      <c r="X225" s="176"/>
      <c r="Y225" s="176"/>
      <c r="Z225" s="176"/>
    </row>
    <row r="226">
      <c r="A226" s="249" t="s">
        <v>11</v>
      </c>
      <c r="B226" s="249" t="s">
        <v>590</v>
      </c>
      <c r="C226" s="219" t="s">
        <v>2699</v>
      </c>
      <c r="D226" s="268" t="s">
        <v>495</v>
      </c>
      <c r="E226" s="251">
        <v>44224.0</v>
      </c>
      <c r="F226" s="250" t="s">
        <v>496</v>
      </c>
      <c r="G226" s="171">
        <v>1000.0</v>
      </c>
      <c r="H226" s="171">
        <v>25.0</v>
      </c>
      <c r="I226" s="171">
        <v>200.0</v>
      </c>
      <c r="J226" s="325">
        <f t="shared" si="8"/>
        <v>0.002610808455</v>
      </c>
      <c r="K226" s="326">
        <f t="shared" si="11"/>
        <v>2.436754558</v>
      </c>
      <c r="L226" s="327">
        <f t="shared" si="9"/>
        <v>9.114843667</v>
      </c>
      <c r="M226" s="321" t="str">
        <f t="shared" si="10"/>
        <v>mateodaza</v>
      </c>
      <c r="N226" s="176">
        <f>IFERROR(__xludf.DUMMYFUNCTION("""COMPUTED_VALUE"""),2.0)</f>
        <v>2</v>
      </c>
      <c r="O226" s="176"/>
      <c r="P226" s="176"/>
      <c r="Q226" s="176"/>
      <c r="R226" s="176"/>
      <c r="S226" s="176"/>
      <c r="T226" s="176"/>
      <c r="U226" s="176"/>
      <c r="V226" s="176"/>
      <c r="W226" s="176"/>
      <c r="X226" s="176"/>
      <c r="Y226" s="176"/>
      <c r="Z226" s="176"/>
    </row>
    <row r="227">
      <c r="A227" s="249" t="s">
        <v>11</v>
      </c>
      <c r="B227" s="249" t="s">
        <v>10</v>
      </c>
      <c r="C227" s="219" t="s">
        <v>2498</v>
      </c>
      <c r="D227" s="268" t="s">
        <v>495</v>
      </c>
      <c r="E227" s="251">
        <v>44212.0</v>
      </c>
      <c r="F227" s="250" t="s">
        <v>496</v>
      </c>
      <c r="G227" s="171">
        <v>500.0</v>
      </c>
      <c r="H227" s="171">
        <v>25.0</v>
      </c>
      <c r="I227" s="171">
        <v>25.0</v>
      </c>
      <c r="J227" s="325">
        <f t="shared" si="8"/>
        <v>0.0007646305672</v>
      </c>
      <c r="K227" s="326">
        <f t="shared" si="11"/>
        <v>0.7136551961</v>
      </c>
      <c r="L227" s="327">
        <f t="shared" si="9"/>
        <v>9.114843667</v>
      </c>
      <c r="M227" s="321" t="str">
        <f t="shared" si="10"/>
        <v>mateodaza</v>
      </c>
      <c r="N227" s="176">
        <f>IFERROR(__xludf.DUMMYFUNCTION("""COMPUTED_VALUE"""),3.0)</f>
        <v>3</v>
      </c>
      <c r="O227" s="176"/>
      <c r="P227" s="176"/>
      <c r="Q227" s="176"/>
      <c r="R227" s="176"/>
      <c r="S227" s="176"/>
      <c r="T227" s="176"/>
      <c r="U227" s="176"/>
      <c r="V227" s="176"/>
      <c r="W227" s="176"/>
      <c r="X227" s="176"/>
      <c r="Y227" s="176"/>
      <c r="Z227" s="176"/>
    </row>
    <row r="228">
      <c r="A228" s="249" t="s">
        <v>11</v>
      </c>
      <c r="B228" s="249" t="s">
        <v>18</v>
      </c>
      <c r="C228" s="219" t="s">
        <v>2683</v>
      </c>
      <c r="D228" s="268" t="s">
        <v>495</v>
      </c>
      <c r="E228" s="251">
        <v>44215.0</v>
      </c>
      <c r="F228" s="250" t="s">
        <v>496</v>
      </c>
      <c r="G228" s="171">
        <v>500.0</v>
      </c>
      <c r="H228" s="171">
        <v>25.0</v>
      </c>
      <c r="I228" s="171">
        <v>25.0</v>
      </c>
      <c r="J228" s="325">
        <f t="shared" si="8"/>
        <v>0.0007646305672</v>
      </c>
      <c r="K228" s="326">
        <f t="shared" si="11"/>
        <v>0.7136551961</v>
      </c>
      <c r="L228" s="327">
        <f t="shared" si="9"/>
        <v>9.114843667</v>
      </c>
      <c r="M228" s="321" t="str">
        <f t="shared" si="10"/>
        <v>mateodaza</v>
      </c>
      <c r="N228" s="176">
        <f>IFERROR(__xludf.DUMMYFUNCTION("""COMPUTED_VALUE"""),4.0)</f>
        <v>4</v>
      </c>
      <c r="O228" s="176"/>
      <c r="P228" s="176"/>
      <c r="Q228" s="176"/>
      <c r="R228" s="176"/>
      <c r="S228" s="176"/>
      <c r="T228" s="176"/>
      <c r="U228" s="176"/>
      <c r="V228" s="176"/>
      <c r="W228" s="176"/>
      <c r="X228" s="176"/>
      <c r="Y228" s="176"/>
      <c r="Z228" s="176"/>
    </row>
    <row r="229">
      <c r="A229" s="249" t="s">
        <v>11</v>
      </c>
      <c r="B229" s="249" t="s">
        <v>18</v>
      </c>
      <c r="C229" s="219" t="s">
        <v>2685</v>
      </c>
      <c r="D229" s="268" t="s">
        <v>495</v>
      </c>
      <c r="E229" s="251">
        <v>44215.0</v>
      </c>
      <c r="F229" s="250" t="s">
        <v>496</v>
      </c>
      <c r="G229" s="171">
        <v>1000.0</v>
      </c>
      <c r="H229" s="171">
        <v>15.0</v>
      </c>
      <c r="I229" s="171">
        <v>25.0</v>
      </c>
      <c r="J229" s="325">
        <f t="shared" si="8"/>
        <v>0.0006163682558</v>
      </c>
      <c r="K229" s="326">
        <f t="shared" si="11"/>
        <v>0.5752770387</v>
      </c>
      <c r="L229" s="327">
        <f t="shared" si="9"/>
        <v>9.114843667</v>
      </c>
      <c r="M229" s="321" t="str">
        <f t="shared" si="10"/>
        <v>mateodaza</v>
      </c>
      <c r="N229" s="176">
        <f>IFERROR(__xludf.DUMMYFUNCTION("""COMPUTED_VALUE"""),5.0)</f>
        <v>5</v>
      </c>
      <c r="O229" s="176"/>
      <c r="P229" s="176"/>
      <c r="Q229" s="176"/>
      <c r="R229" s="176"/>
      <c r="S229" s="176"/>
      <c r="T229" s="176"/>
      <c r="U229" s="176"/>
      <c r="V229" s="176"/>
      <c r="W229" s="176"/>
      <c r="X229" s="176"/>
      <c r="Y229" s="176"/>
      <c r="Z229" s="176"/>
    </row>
    <row r="230">
      <c r="A230" s="249" t="s">
        <v>11</v>
      </c>
      <c r="B230" s="249" t="s">
        <v>10</v>
      </c>
      <c r="C230" s="219" t="s">
        <v>2687</v>
      </c>
      <c r="D230" s="268" t="s">
        <v>495</v>
      </c>
      <c r="E230" s="251">
        <v>44218.0</v>
      </c>
      <c r="F230" s="250" t="s">
        <v>496</v>
      </c>
      <c r="G230" s="171">
        <v>1000.0</v>
      </c>
      <c r="H230" s="171">
        <v>15.0</v>
      </c>
      <c r="I230" s="171">
        <v>25.0</v>
      </c>
      <c r="J230" s="325">
        <f t="shared" si="8"/>
        <v>0.0006163682558</v>
      </c>
      <c r="K230" s="326">
        <f t="shared" si="11"/>
        <v>0.5752770387</v>
      </c>
      <c r="L230" s="327">
        <f t="shared" si="9"/>
        <v>9.114843667</v>
      </c>
      <c r="M230" s="321" t="str">
        <f t="shared" si="10"/>
        <v>mateodaza</v>
      </c>
      <c r="N230" s="176">
        <f>IFERROR(__xludf.DUMMYFUNCTION("""COMPUTED_VALUE"""),6.0)</f>
        <v>6</v>
      </c>
      <c r="O230" s="176"/>
      <c r="P230" s="176"/>
      <c r="Q230" s="176"/>
      <c r="R230" s="176"/>
      <c r="S230" s="176"/>
      <c r="T230" s="176"/>
      <c r="U230" s="176"/>
      <c r="V230" s="176"/>
      <c r="W230" s="176"/>
      <c r="X230" s="176"/>
      <c r="Y230" s="176"/>
      <c r="Z230" s="176"/>
    </row>
    <row r="231">
      <c r="A231" s="249" t="s">
        <v>11</v>
      </c>
      <c r="B231" s="249" t="s">
        <v>10</v>
      </c>
      <c r="C231" s="219" t="s">
        <v>2690</v>
      </c>
      <c r="D231" s="268" t="s">
        <v>495</v>
      </c>
      <c r="E231" s="251">
        <v>44225.0</v>
      </c>
      <c r="F231" s="250" t="s">
        <v>496</v>
      </c>
      <c r="G231" s="171">
        <v>1000.0</v>
      </c>
      <c r="H231" s="171">
        <v>15.0</v>
      </c>
      <c r="I231" s="171">
        <v>25.0</v>
      </c>
      <c r="J231" s="325">
        <f t="shared" si="8"/>
        <v>0.0006163682558</v>
      </c>
      <c r="K231" s="326">
        <f t="shared" si="11"/>
        <v>0.5752770387</v>
      </c>
      <c r="L231" s="327">
        <f t="shared" si="9"/>
        <v>9.114843667</v>
      </c>
      <c r="M231" s="321" t="str">
        <f t="shared" si="10"/>
        <v>mateodaza</v>
      </c>
      <c r="N231" s="176">
        <f>IFERROR(__xludf.DUMMYFUNCTION("""COMPUTED_VALUE"""),7.0)</f>
        <v>7</v>
      </c>
      <c r="O231" s="176"/>
      <c r="P231" s="176"/>
      <c r="Q231" s="176"/>
      <c r="R231" s="176"/>
      <c r="S231" s="176"/>
      <c r="T231" s="176"/>
      <c r="U231" s="176"/>
      <c r="V231" s="176"/>
      <c r="W231" s="176"/>
      <c r="X231" s="176"/>
      <c r="Y231" s="176"/>
      <c r="Z231" s="176"/>
    </row>
    <row r="232">
      <c r="A232" s="249" t="s">
        <v>7</v>
      </c>
      <c r="B232" s="249" t="s">
        <v>519</v>
      </c>
      <c r="C232" s="219" t="s">
        <v>2659</v>
      </c>
      <c r="D232" s="268" t="s">
        <v>495</v>
      </c>
      <c r="E232" s="251">
        <v>44217.0</v>
      </c>
      <c r="F232" s="250" t="s">
        <v>496</v>
      </c>
      <c r="G232" s="171">
        <v>125000.0</v>
      </c>
      <c r="H232" s="171">
        <v>200.0</v>
      </c>
      <c r="I232" s="171">
        <v>200.0</v>
      </c>
      <c r="J232" s="325">
        <f t="shared" si="8"/>
        <v>0.01550505488</v>
      </c>
      <c r="K232" s="326">
        <f t="shared" si="11"/>
        <v>14.47138456</v>
      </c>
      <c r="L232" s="327">
        <f t="shared" si="9"/>
        <v>8.930831576</v>
      </c>
      <c r="M232" s="321" t="str">
        <f t="shared" si="10"/>
        <v>ygganderson</v>
      </c>
      <c r="N232" s="176">
        <f>IFERROR(__xludf.DUMMYFUNCTION("""COMPUTED_VALUE"""),1.0)</f>
        <v>1</v>
      </c>
      <c r="O232" s="176"/>
      <c r="P232" s="176"/>
      <c r="Q232" s="176"/>
      <c r="R232" s="176"/>
      <c r="S232" s="176"/>
      <c r="T232" s="176"/>
      <c r="U232" s="176"/>
      <c r="V232" s="176"/>
      <c r="W232" s="176"/>
      <c r="X232" s="176"/>
      <c r="Y232" s="176"/>
      <c r="Z232" s="176"/>
    </row>
    <row r="233">
      <c r="A233" s="249" t="s">
        <v>7</v>
      </c>
      <c r="B233" s="249" t="s">
        <v>18</v>
      </c>
      <c r="C233" s="219" t="s">
        <v>2773</v>
      </c>
      <c r="D233" s="268" t="s">
        <v>495</v>
      </c>
      <c r="E233" s="251">
        <v>44218.0</v>
      </c>
      <c r="F233" s="250" t="s">
        <v>496</v>
      </c>
      <c r="G233" s="171">
        <v>30000.0</v>
      </c>
      <c r="H233" s="171">
        <v>300.0</v>
      </c>
      <c r="I233" s="171">
        <v>200.0</v>
      </c>
      <c r="J233" s="325">
        <f t="shared" si="8"/>
        <v>0.01000486039</v>
      </c>
      <c r="K233" s="326">
        <f t="shared" si="11"/>
        <v>9.337869693</v>
      </c>
      <c r="L233" s="327">
        <f t="shared" si="9"/>
        <v>8.930831576</v>
      </c>
      <c r="M233" s="321" t="str">
        <f t="shared" si="10"/>
        <v>ygganderson</v>
      </c>
      <c r="N233" s="176">
        <f>IFERROR(__xludf.DUMMYFUNCTION("""COMPUTED_VALUE"""),2.0)</f>
        <v>2</v>
      </c>
      <c r="O233" s="176"/>
      <c r="P233" s="176"/>
      <c r="Q233" s="176"/>
      <c r="R233" s="176"/>
      <c r="S233" s="176"/>
      <c r="T233" s="176"/>
      <c r="U233" s="176"/>
      <c r="V233" s="176"/>
      <c r="W233" s="176"/>
      <c r="X233" s="176"/>
      <c r="Y233" s="176"/>
      <c r="Z233" s="176"/>
    </row>
    <row r="234">
      <c r="A234" s="249" t="s">
        <v>7</v>
      </c>
      <c r="B234" s="249" t="s">
        <v>10</v>
      </c>
      <c r="C234" s="219" t="s">
        <v>2737</v>
      </c>
      <c r="D234" s="268" t="s">
        <v>495</v>
      </c>
      <c r="E234" s="251">
        <v>44225.0</v>
      </c>
      <c r="F234" s="250" t="s">
        <v>496</v>
      </c>
      <c r="G234" s="171">
        <v>50000.0</v>
      </c>
      <c r="H234" s="171">
        <v>100.0</v>
      </c>
      <c r="I234" s="171">
        <v>200.0</v>
      </c>
      <c r="J234" s="325">
        <f t="shared" si="8"/>
        <v>0.007815482781</v>
      </c>
      <c r="K234" s="326">
        <f t="shared" si="11"/>
        <v>7.294450595</v>
      </c>
      <c r="L234" s="327">
        <f t="shared" si="9"/>
        <v>8.930831576</v>
      </c>
      <c r="M234" s="321" t="str">
        <f t="shared" si="10"/>
        <v>ygganderson</v>
      </c>
      <c r="N234" s="176">
        <f>IFERROR(__xludf.DUMMYFUNCTION("""COMPUTED_VALUE"""),3.0)</f>
        <v>3</v>
      </c>
      <c r="O234" s="176"/>
      <c r="P234" s="176"/>
      <c r="Q234" s="176"/>
      <c r="R234" s="176"/>
      <c r="S234" s="176"/>
      <c r="T234" s="176"/>
      <c r="U234" s="176"/>
      <c r="V234" s="176"/>
      <c r="W234" s="176"/>
      <c r="X234" s="176"/>
      <c r="Y234" s="176"/>
      <c r="Z234" s="176"/>
    </row>
    <row r="235">
      <c r="A235" s="249" t="s">
        <v>7</v>
      </c>
      <c r="B235" s="249" t="s">
        <v>10</v>
      </c>
      <c r="C235" s="219" t="s">
        <v>2774</v>
      </c>
      <c r="D235" s="268" t="s">
        <v>495</v>
      </c>
      <c r="E235" s="251">
        <v>44225.0</v>
      </c>
      <c r="F235" s="250" t="s">
        <v>496</v>
      </c>
      <c r="G235" s="171">
        <v>10000.0</v>
      </c>
      <c r="H235" s="171">
        <v>100.0</v>
      </c>
      <c r="I235" s="171">
        <v>200.0</v>
      </c>
      <c r="J235" s="325">
        <f t="shared" si="8"/>
        <v>0.004712008286</v>
      </c>
      <c r="K235" s="326">
        <f t="shared" si="11"/>
        <v>4.3978744</v>
      </c>
      <c r="L235" s="327">
        <f t="shared" si="9"/>
        <v>8.930831576</v>
      </c>
      <c r="M235" s="321" t="str">
        <f t="shared" si="10"/>
        <v>ygganderson</v>
      </c>
      <c r="N235" s="176">
        <f>IFERROR(__xludf.DUMMYFUNCTION("""COMPUTED_VALUE"""),4.0)</f>
        <v>4</v>
      </c>
      <c r="O235" s="176"/>
      <c r="P235" s="176"/>
      <c r="Q235" s="176"/>
      <c r="R235" s="176"/>
      <c r="S235" s="176"/>
      <c r="T235" s="176"/>
      <c r="U235" s="176"/>
      <c r="V235" s="176"/>
      <c r="W235" s="176"/>
      <c r="X235" s="176"/>
      <c r="Y235" s="176"/>
      <c r="Z235" s="176"/>
    </row>
    <row r="236">
      <c r="A236" s="249" t="s">
        <v>7</v>
      </c>
      <c r="B236" s="249" t="s">
        <v>867</v>
      </c>
      <c r="C236" s="219" t="s">
        <v>2775</v>
      </c>
      <c r="D236" s="268" t="s">
        <v>495</v>
      </c>
      <c r="E236" s="251">
        <v>44223.0</v>
      </c>
      <c r="F236" s="250" t="s">
        <v>496</v>
      </c>
      <c r="G236" s="171">
        <v>5000.0</v>
      </c>
      <c r="H236" s="171">
        <v>100.0</v>
      </c>
      <c r="I236" s="171">
        <v>200.0</v>
      </c>
      <c r="J236" s="325">
        <f t="shared" si="8"/>
        <v>0.004324073974</v>
      </c>
      <c r="K236" s="326">
        <f t="shared" si="11"/>
        <v>4.035802376</v>
      </c>
      <c r="L236" s="327">
        <f t="shared" si="9"/>
        <v>8.930831576</v>
      </c>
      <c r="M236" s="321" t="str">
        <f t="shared" si="10"/>
        <v>ygganderson</v>
      </c>
      <c r="N236" s="176">
        <f>IFERROR(__xludf.DUMMYFUNCTION("""COMPUTED_VALUE"""),5.0)</f>
        <v>5</v>
      </c>
      <c r="O236" s="176"/>
      <c r="P236" s="176"/>
      <c r="Q236" s="176"/>
      <c r="R236" s="176"/>
      <c r="S236" s="176"/>
      <c r="T236" s="176"/>
      <c r="U236" s="176"/>
      <c r="V236" s="176"/>
      <c r="W236" s="176"/>
      <c r="X236" s="176"/>
      <c r="Y236" s="176"/>
      <c r="Z236" s="176"/>
    </row>
    <row r="237">
      <c r="A237" s="249" t="s">
        <v>7</v>
      </c>
      <c r="B237" s="249" t="s">
        <v>10</v>
      </c>
      <c r="C237" s="219" t="s">
        <v>2776</v>
      </c>
      <c r="D237" s="268" t="s">
        <v>495</v>
      </c>
      <c r="E237" s="251">
        <v>44218.0</v>
      </c>
      <c r="F237" s="250" t="s">
        <v>496</v>
      </c>
      <c r="G237" s="171">
        <v>20000.0</v>
      </c>
      <c r="H237" s="171">
        <v>100.0</v>
      </c>
      <c r="I237" s="171">
        <v>100.0</v>
      </c>
      <c r="J237" s="325">
        <f t="shared" si="8"/>
        <v>0.004455085792</v>
      </c>
      <c r="K237" s="326">
        <f t="shared" si="11"/>
        <v>4.158080072</v>
      </c>
      <c r="L237" s="327">
        <f t="shared" si="9"/>
        <v>8.930831576</v>
      </c>
      <c r="M237" s="321" t="str">
        <f t="shared" si="10"/>
        <v>ygganderson</v>
      </c>
      <c r="N237" s="176">
        <f>IFERROR(__xludf.DUMMYFUNCTION("""COMPUTED_VALUE"""),6.0)</f>
        <v>6</v>
      </c>
      <c r="O237" s="176"/>
      <c r="P237" s="176"/>
      <c r="Q237" s="176"/>
      <c r="R237" s="176"/>
      <c r="S237" s="176"/>
      <c r="T237" s="176"/>
      <c r="U237" s="176"/>
      <c r="V237" s="176"/>
      <c r="W237" s="176"/>
      <c r="X237" s="176"/>
      <c r="Y237" s="176"/>
      <c r="Z237" s="176"/>
    </row>
    <row r="238">
      <c r="A238" s="249" t="s">
        <v>7</v>
      </c>
      <c r="B238" s="249" t="s">
        <v>10</v>
      </c>
      <c r="C238" s="219" t="s">
        <v>2770</v>
      </c>
      <c r="D238" s="268" t="s">
        <v>495</v>
      </c>
      <c r="E238" s="251">
        <v>44225.0</v>
      </c>
      <c r="F238" s="250" t="s">
        <v>496</v>
      </c>
      <c r="G238" s="171">
        <v>5000.0</v>
      </c>
      <c r="H238" s="171">
        <v>75.0</v>
      </c>
      <c r="I238" s="171">
        <v>200.0</v>
      </c>
      <c r="J238" s="325">
        <f t="shared" si="8"/>
        <v>0.003856434617</v>
      </c>
      <c r="K238" s="326">
        <f t="shared" si="11"/>
        <v>3.599338976</v>
      </c>
      <c r="L238" s="327">
        <f t="shared" si="9"/>
        <v>8.930831576</v>
      </c>
      <c r="M238" s="321" t="str">
        <f t="shared" si="10"/>
        <v>ygganderson</v>
      </c>
      <c r="N238" s="176">
        <f>IFERROR(__xludf.DUMMYFUNCTION("""COMPUTED_VALUE"""),7.0)</f>
        <v>7</v>
      </c>
      <c r="O238" s="176"/>
      <c r="P238" s="176"/>
      <c r="Q238" s="176"/>
      <c r="R238" s="176"/>
      <c r="S238" s="176"/>
      <c r="T238" s="176"/>
      <c r="U238" s="176"/>
      <c r="V238" s="176"/>
      <c r="W238" s="176"/>
      <c r="X238" s="176"/>
      <c r="Y238" s="176"/>
      <c r="Z238" s="176"/>
    </row>
    <row r="239">
      <c r="A239" s="249" t="s">
        <v>7</v>
      </c>
      <c r="B239" s="249" t="s">
        <v>25</v>
      </c>
      <c r="C239" s="219" t="s">
        <v>2740</v>
      </c>
      <c r="D239" s="268" t="s">
        <v>495</v>
      </c>
      <c r="E239" s="251">
        <v>44223.0</v>
      </c>
      <c r="F239" s="250" t="s">
        <v>496</v>
      </c>
      <c r="G239" s="171">
        <v>1000.0</v>
      </c>
      <c r="H239" s="171">
        <v>100.0</v>
      </c>
      <c r="I239" s="171">
        <v>150.0</v>
      </c>
      <c r="J239" s="325">
        <f t="shared" si="8"/>
        <v>0.003497330965</v>
      </c>
      <c r="K239" s="326">
        <f t="shared" si="11"/>
        <v>3.264175568</v>
      </c>
      <c r="L239" s="327">
        <f t="shared" si="9"/>
        <v>8.930831576</v>
      </c>
      <c r="M239" s="321" t="str">
        <f t="shared" si="10"/>
        <v>ygganderson</v>
      </c>
      <c r="N239" s="176">
        <f>IFERROR(__xludf.DUMMYFUNCTION("""COMPUTED_VALUE"""),8.0)</f>
        <v>8</v>
      </c>
      <c r="O239" s="176"/>
      <c r="P239" s="176"/>
      <c r="Q239" s="176"/>
      <c r="R239" s="176"/>
      <c r="S239" s="176"/>
      <c r="T239" s="176"/>
      <c r="U239" s="176"/>
      <c r="V239" s="176"/>
      <c r="W239" s="176"/>
      <c r="X239" s="176"/>
      <c r="Y239" s="176"/>
      <c r="Z239" s="176"/>
    </row>
    <row r="240">
      <c r="A240" s="249" t="s">
        <v>7</v>
      </c>
      <c r="B240" s="249" t="s">
        <v>12</v>
      </c>
      <c r="C240" s="219" t="s">
        <v>2777</v>
      </c>
      <c r="D240" s="268" t="s">
        <v>495</v>
      </c>
      <c r="E240" s="251">
        <v>44218.0</v>
      </c>
      <c r="F240" s="250" t="s">
        <v>496</v>
      </c>
      <c r="G240" s="312"/>
      <c r="H240" s="171">
        <v>0.0</v>
      </c>
      <c r="I240" s="171">
        <v>0.0</v>
      </c>
      <c r="J240" s="325">
        <f t="shared" si="8"/>
        <v>0</v>
      </c>
      <c r="K240" s="326">
        <f t="shared" si="11"/>
        <v>0</v>
      </c>
      <c r="L240" s="327">
        <f t="shared" si="9"/>
        <v>8.930831576</v>
      </c>
      <c r="M240" s="321" t="str">
        <f t="shared" si="10"/>
        <v>ygganderson</v>
      </c>
      <c r="N240" s="176">
        <f>IFERROR(__xludf.DUMMYFUNCTION("""COMPUTED_VALUE"""),9.0)</f>
        <v>9</v>
      </c>
      <c r="O240" s="176"/>
      <c r="P240" s="176"/>
      <c r="Q240" s="176"/>
      <c r="R240" s="176"/>
      <c r="S240" s="176"/>
      <c r="T240" s="176"/>
      <c r="U240" s="176"/>
      <c r="V240" s="176"/>
      <c r="W240" s="176"/>
      <c r="X240" s="176"/>
      <c r="Y240" s="176"/>
      <c r="Z240" s="176"/>
    </row>
    <row r="241">
      <c r="A241" s="249" t="s">
        <v>7</v>
      </c>
      <c r="B241" s="249" t="s">
        <v>590</v>
      </c>
      <c r="C241" s="219" t="s">
        <v>2704</v>
      </c>
      <c r="D241" s="268" t="s">
        <v>495</v>
      </c>
      <c r="E241" s="251">
        <v>44217.0</v>
      </c>
      <c r="F241" s="250" t="s">
        <v>592</v>
      </c>
      <c r="G241" s="171">
        <v>5000.0</v>
      </c>
      <c r="H241" s="171">
        <v>50.0</v>
      </c>
      <c r="I241" s="171">
        <v>100.0</v>
      </c>
      <c r="J241" s="325">
        <f t="shared" si="8"/>
        <v>0.002356004143</v>
      </c>
      <c r="K241" s="326">
        <f t="shared" si="11"/>
        <v>2.1989372</v>
      </c>
      <c r="L241" s="327">
        <f t="shared" si="9"/>
        <v>8.930831576</v>
      </c>
      <c r="M241" s="321" t="str">
        <f t="shared" si="10"/>
        <v>ygganderson</v>
      </c>
      <c r="N241" s="176">
        <f>IFERROR(__xludf.DUMMYFUNCTION("""COMPUTED_VALUE"""),10.0)</f>
        <v>10</v>
      </c>
      <c r="O241" s="176"/>
      <c r="P241" s="176"/>
      <c r="Q241" s="176"/>
      <c r="R241" s="176"/>
      <c r="S241" s="176"/>
      <c r="T241" s="176"/>
      <c r="U241" s="176"/>
      <c r="V241" s="176"/>
      <c r="W241" s="176"/>
      <c r="X241" s="176"/>
      <c r="Y241" s="176"/>
      <c r="Z241" s="176"/>
    </row>
    <row r="242">
      <c r="A242" s="249" t="s">
        <v>7</v>
      </c>
      <c r="B242" s="249" t="s">
        <v>519</v>
      </c>
      <c r="C242" s="219" t="s">
        <v>2755</v>
      </c>
      <c r="D242" s="268" t="s">
        <v>495</v>
      </c>
      <c r="E242" s="251">
        <v>44225.0</v>
      </c>
      <c r="F242" s="250" t="s">
        <v>521</v>
      </c>
      <c r="G242" s="171">
        <v>1000.0</v>
      </c>
      <c r="H242" s="171">
        <v>45.0</v>
      </c>
      <c r="I242" s="171">
        <v>25.0</v>
      </c>
      <c r="J242" s="325">
        <f t="shared" si="8"/>
        <v>0.001177535484</v>
      </c>
      <c r="K242" s="326">
        <f t="shared" si="11"/>
        <v>1.099033118</v>
      </c>
      <c r="L242" s="327">
        <f t="shared" si="9"/>
        <v>8.930831576</v>
      </c>
      <c r="M242" s="321" t="str">
        <f t="shared" si="10"/>
        <v>ygganderson</v>
      </c>
      <c r="N242" s="176">
        <f>IFERROR(__xludf.DUMMYFUNCTION("""COMPUTED_VALUE"""),11.0)</f>
        <v>11</v>
      </c>
      <c r="O242" s="176"/>
      <c r="P242" s="176"/>
      <c r="Q242" s="176"/>
      <c r="R242" s="176"/>
      <c r="S242" s="176"/>
      <c r="T242" s="176"/>
      <c r="U242" s="176"/>
      <c r="V242" s="176"/>
      <c r="W242" s="176"/>
      <c r="X242" s="176"/>
      <c r="Y242" s="176"/>
      <c r="Z242" s="176"/>
    </row>
    <row r="243">
      <c r="A243" s="249" t="s">
        <v>7</v>
      </c>
      <c r="B243" s="249" t="s">
        <v>10</v>
      </c>
      <c r="C243" s="219" t="s">
        <v>2531</v>
      </c>
      <c r="D243" s="268" t="s">
        <v>495</v>
      </c>
      <c r="E243" s="251">
        <v>44225.0</v>
      </c>
      <c r="F243" s="250" t="s">
        <v>499</v>
      </c>
      <c r="G243" s="171">
        <v>500.0</v>
      </c>
      <c r="H243" s="171">
        <v>35.0</v>
      </c>
      <c r="I243" s="171">
        <v>25.0</v>
      </c>
      <c r="J243" s="325">
        <f t="shared" si="8"/>
        <v>0.0009516863098</v>
      </c>
      <c r="K243" s="326">
        <f t="shared" si="11"/>
        <v>0.8882405558</v>
      </c>
      <c r="L243" s="327">
        <f t="shared" si="9"/>
        <v>8.930831576</v>
      </c>
      <c r="M243" s="321" t="str">
        <f t="shared" si="10"/>
        <v>ygganderson</v>
      </c>
      <c r="N243" s="176">
        <f>IFERROR(__xludf.DUMMYFUNCTION("""COMPUTED_VALUE"""),12.0)</f>
        <v>12</v>
      </c>
      <c r="O243" s="176"/>
      <c r="P243" s="176"/>
      <c r="Q243" s="176"/>
      <c r="R243" s="176"/>
      <c r="S243" s="176"/>
      <c r="T243" s="176"/>
      <c r="U243" s="176"/>
      <c r="V243" s="176"/>
      <c r="W243" s="176"/>
      <c r="X243" s="176"/>
      <c r="Y243" s="176"/>
      <c r="Z243" s="176"/>
    </row>
    <row r="244">
      <c r="A244" s="249" t="s">
        <v>7</v>
      </c>
      <c r="B244" s="249" t="s">
        <v>590</v>
      </c>
      <c r="C244" s="219" t="s">
        <v>2678</v>
      </c>
      <c r="D244" s="268" t="s">
        <v>495</v>
      </c>
      <c r="E244" s="251">
        <v>44216.0</v>
      </c>
      <c r="F244" s="250" t="s">
        <v>496</v>
      </c>
      <c r="G244" s="171">
        <v>1000.0</v>
      </c>
      <c r="H244" s="171">
        <v>25.0</v>
      </c>
      <c r="I244" s="171">
        <v>25.0</v>
      </c>
      <c r="J244" s="325">
        <f t="shared" si="8"/>
        <v>0.0008034239984</v>
      </c>
      <c r="K244" s="326">
        <f t="shared" si="11"/>
        <v>0.7498623985</v>
      </c>
      <c r="L244" s="327">
        <f t="shared" si="9"/>
        <v>8.930831576</v>
      </c>
      <c r="M244" s="321" t="str">
        <f t="shared" si="10"/>
        <v>ygganderson</v>
      </c>
      <c r="N244" s="176">
        <f>IFERROR(__xludf.DUMMYFUNCTION("""COMPUTED_VALUE"""),13.0)</f>
        <v>13</v>
      </c>
      <c r="O244" s="176"/>
      <c r="P244" s="176"/>
      <c r="Q244" s="176"/>
      <c r="R244" s="176"/>
      <c r="S244" s="176"/>
      <c r="T244" s="176"/>
      <c r="U244" s="176"/>
      <c r="V244" s="176"/>
      <c r="W244" s="176"/>
      <c r="X244" s="176"/>
      <c r="Y244" s="176"/>
      <c r="Z244" s="176"/>
    </row>
    <row r="245">
      <c r="A245" s="249" t="s">
        <v>7</v>
      </c>
      <c r="B245" s="249" t="s">
        <v>25</v>
      </c>
      <c r="C245" s="219" t="s">
        <v>2682</v>
      </c>
      <c r="D245" s="268" t="s">
        <v>495</v>
      </c>
      <c r="E245" s="251">
        <v>44223.0</v>
      </c>
      <c r="F245" s="250" t="s">
        <v>496</v>
      </c>
      <c r="G245" s="171">
        <v>1000.0</v>
      </c>
      <c r="H245" s="171">
        <v>25.0</v>
      </c>
      <c r="I245" s="171">
        <v>25.0</v>
      </c>
      <c r="J245" s="325">
        <f t="shared" si="8"/>
        <v>0.0008034239984</v>
      </c>
      <c r="K245" s="326">
        <f t="shared" si="11"/>
        <v>0.7498623985</v>
      </c>
      <c r="L245" s="327">
        <f t="shared" si="9"/>
        <v>8.930831576</v>
      </c>
      <c r="M245" s="321" t="str">
        <f t="shared" si="10"/>
        <v>ygganderson</v>
      </c>
      <c r="N245" s="176">
        <f>IFERROR(__xludf.DUMMYFUNCTION("""COMPUTED_VALUE"""),14.0)</f>
        <v>14</v>
      </c>
      <c r="O245" s="176"/>
      <c r="P245" s="176"/>
      <c r="Q245" s="176"/>
      <c r="R245" s="176"/>
      <c r="S245" s="176"/>
      <c r="T245" s="176"/>
      <c r="U245" s="176"/>
      <c r="V245" s="176"/>
      <c r="W245" s="176"/>
      <c r="X245" s="176"/>
      <c r="Y245" s="176"/>
      <c r="Z245" s="176"/>
    </row>
    <row r="246">
      <c r="A246" s="249" t="s">
        <v>7</v>
      </c>
      <c r="B246" s="249" t="s">
        <v>10</v>
      </c>
      <c r="C246" s="219" t="s">
        <v>2498</v>
      </c>
      <c r="D246" s="268" t="s">
        <v>495</v>
      </c>
      <c r="E246" s="251">
        <v>44212.0</v>
      </c>
      <c r="F246" s="250" t="s">
        <v>496</v>
      </c>
      <c r="G246" s="171">
        <v>500.0</v>
      </c>
      <c r="H246" s="171">
        <v>25.0</v>
      </c>
      <c r="I246" s="171">
        <v>25.0</v>
      </c>
      <c r="J246" s="325">
        <f t="shared" si="8"/>
        <v>0.0007646305672</v>
      </c>
      <c r="K246" s="326">
        <f t="shared" si="11"/>
        <v>0.7136551961</v>
      </c>
      <c r="L246" s="327">
        <f t="shared" si="9"/>
        <v>8.930831576</v>
      </c>
      <c r="M246" s="321" t="str">
        <f t="shared" si="10"/>
        <v>ygganderson</v>
      </c>
      <c r="N246" s="176">
        <f>IFERROR(__xludf.DUMMYFUNCTION("""COMPUTED_VALUE"""),15.0)</f>
        <v>15</v>
      </c>
      <c r="O246" s="176"/>
      <c r="P246" s="176"/>
      <c r="Q246" s="176"/>
      <c r="R246" s="176"/>
      <c r="S246" s="176"/>
      <c r="T246" s="176"/>
      <c r="U246" s="176"/>
      <c r="V246" s="176"/>
      <c r="W246" s="176"/>
      <c r="X246" s="176"/>
      <c r="Y246" s="176"/>
      <c r="Z246" s="176"/>
    </row>
    <row r="247">
      <c r="A247" s="249" t="s">
        <v>7</v>
      </c>
      <c r="B247" s="249" t="s">
        <v>10</v>
      </c>
      <c r="C247" s="219" t="s">
        <v>2498</v>
      </c>
      <c r="D247" s="268" t="s">
        <v>495</v>
      </c>
      <c r="E247" s="251">
        <v>44218.0</v>
      </c>
      <c r="F247" s="250" t="s">
        <v>545</v>
      </c>
      <c r="G247" s="171">
        <v>500.0</v>
      </c>
      <c r="H247" s="171">
        <v>25.0</v>
      </c>
      <c r="I247" s="171">
        <v>25.0</v>
      </c>
      <c r="J247" s="325">
        <f t="shared" si="8"/>
        <v>0.0007646305672</v>
      </c>
      <c r="K247" s="326">
        <f t="shared" si="11"/>
        <v>0.7136551961</v>
      </c>
      <c r="L247" s="327">
        <f t="shared" si="9"/>
        <v>8.930831576</v>
      </c>
      <c r="M247" s="321" t="str">
        <f t="shared" si="10"/>
        <v>ygganderson</v>
      </c>
      <c r="N247" s="176">
        <f>IFERROR(__xludf.DUMMYFUNCTION("""COMPUTED_VALUE"""),16.0)</f>
        <v>16</v>
      </c>
      <c r="O247" s="176"/>
      <c r="P247" s="176"/>
      <c r="Q247" s="176"/>
      <c r="R247" s="176"/>
      <c r="S247" s="176"/>
      <c r="T247" s="176"/>
      <c r="U247" s="176"/>
      <c r="V247" s="176"/>
      <c r="W247" s="176"/>
      <c r="X247" s="176"/>
      <c r="Y247" s="176"/>
      <c r="Z247" s="176"/>
    </row>
    <row r="248">
      <c r="A248" s="249" t="s">
        <v>7</v>
      </c>
      <c r="B248" s="249" t="s">
        <v>10</v>
      </c>
      <c r="C248" s="219" t="s">
        <v>2498</v>
      </c>
      <c r="D248" s="268" t="s">
        <v>495</v>
      </c>
      <c r="E248" s="251">
        <v>44225.0</v>
      </c>
      <c r="F248" s="250" t="s">
        <v>496</v>
      </c>
      <c r="G248" s="171">
        <v>500.0</v>
      </c>
      <c r="H248" s="171">
        <v>25.0</v>
      </c>
      <c r="I248" s="171">
        <v>25.0</v>
      </c>
      <c r="J248" s="325">
        <f t="shared" si="8"/>
        <v>0.0007646305672</v>
      </c>
      <c r="K248" s="326">
        <f t="shared" si="11"/>
        <v>0.7136551961</v>
      </c>
      <c r="L248" s="327">
        <f t="shared" si="9"/>
        <v>8.930831576</v>
      </c>
      <c r="M248" s="321" t="str">
        <f t="shared" si="10"/>
        <v>ygganderson</v>
      </c>
      <c r="N248" s="176">
        <f>IFERROR(__xludf.DUMMYFUNCTION("""COMPUTED_VALUE"""),17.0)</f>
        <v>17</v>
      </c>
      <c r="O248" s="176"/>
      <c r="P248" s="176"/>
      <c r="Q248" s="176"/>
      <c r="R248" s="176"/>
      <c r="S248" s="176"/>
      <c r="T248" s="176"/>
      <c r="U248" s="176"/>
      <c r="V248" s="176"/>
      <c r="W248" s="176"/>
      <c r="X248" s="176"/>
      <c r="Y248" s="176"/>
      <c r="Z248" s="176"/>
    </row>
    <row r="249">
      <c r="A249" s="249" t="s">
        <v>7</v>
      </c>
      <c r="B249" s="249" t="s">
        <v>10</v>
      </c>
      <c r="C249" s="219" t="s">
        <v>2687</v>
      </c>
      <c r="D249" s="268" t="s">
        <v>495</v>
      </c>
      <c r="E249" s="251">
        <v>44218.0</v>
      </c>
      <c r="F249" s="250" t="s">
        <v>496</v>
      </c>
      <c r="G249" s="171">
        <v>1000.0</v>
      </c>
      <c r="H249" s="171">
        <v>15.0</v>
      </c>
      <c r="I249" s="171">
        <v>25.0</v>
      </c>
      <c r="J249" s="325">
        <f t="shared" si="8"/>
        <v>0.0006163682558</v>
      </c>
      <c r="K249" s="326">
        <f t="shared" si="11"/>
        <v>0.5752770387</v>
      </c>
      <c r="L249" s="327">
        <f t="shared" si="9"/>
        <v>8.930831576</v>
      </c>
      <c r="M249" s="321" t="str">
        <f t="shared" si="10"/>
        <v>ygganderson</v>
      </c>
      <c r="N249" s="176">
        <f>IFERROR(__xludf.DUMMYFUNCTION("""COMPUTED_VALUE"""),18.0)</f>
        <v>18</v>
      </c>
      <c r="O249" s="176"/>
      <c r="P249" s="176"/>
      <c r="Q249" s="176"/>
      <c r="R249" s="176"/>
      <c r="S249" s="176"/>
      <c r="T249" s="176"/>
      <c r="U249" s="176"/>
      <c r="V249" s="176"/>
      <c r="W249" s="176"/>
      <c r="X249" s="176"/>
      <c r="Y249" s="176"/>
      <c r="Z249" s="176"/>
    </row>
    <row r="250">
      <c r="A250" s="249" t="s">
        <v>7</v>
      </c>
      <c r="B250" s="249" t="s">
        <v>10</v>
      </c>
      <c r="C250" s="219" t="s">
        <v>2690</v>
      </c>
      <c r="D250" s="268" t="s">
        <v>495</v>
      </c>
      <c r="E250" s="251">
        <v>44225.0</v>
      </c>
      <c r="F250" s="250" t="s">
        <v>496</v>
      </c>
      <c r="G250" s="171">
        <v>1000.0</v>
      </c>
      <c r="H250" s="171">
        <v>15.0</v>
      </c>
      <c r="I250" s="171">
        <v>25.0</v>
      </c>
      <c r="J250" s="325">
        <f t="shared" si="8"/>
        <v>0.0006163682558</v>
      </c>
      <c r="K250" s="326">
        <f t="shared" si="11"/>
        <v>0.5752770387</v>
      </c>
      <c r="L250" s="327">
        <f t="shared" si="9"/>
        <v>8.930831576</v>
      </c>
      <c r="M250" s="321" t="str">
        <f t="shared" si="10"/>
        <v>ygganderson</v>
      </c>
      <c r="N250" s="176">
        <f>IFERROR(__xludf.DUMMYFUNCTION("""COMPUTED_VALUE"""),19.0)</f>
        <v>19</v>
      </c>
      <c r="O250" s="176"/>
      <c r="P250" s="176"/>
      <c r="Q250" s="176"/>
      <c r="R250" s="176"/>
      <c r="S250" s="176"/>
      <c r="T250" s="176"/>
      <c r="U250" s="176"/>
      <c r="V250" s="176"/>
      <c r="W250" s="176"/>
      <c r="X250" s="176"/>
      <c r="Y250" s="176"/>
      <c r="Z250" s="176"/>
    </row>
    <row r="251">
      <c r="A251" s="253" t="s">
        <v>7</v>
      </c>
      <c r="B251" s="240" t="s">
        <v>534</v>
      </c>
      <c r="C251" s="221" t="s">
        <v>781</v>
      </c>
      <c r="D251" s="336"/>
      <c r="E251" s="340"/>
      <c r="F251" s="221"/>
      <c r="G251" s="222"/>
      <c r="H251" s="222"/>
      <c r="I251" s="222"/>
      <c r="J251" s="339"/>
      <c r="K251" s="337">
        <f>59.536*-0.85</f>
        <v>-50.6056</v>
      </c>
      <c r="L251" s="341">
        <f t="shared" si="9"/>
        <v>8.930831576</v>
      </c>
      <c r="M251" s="342" t="str">
        <f t="shared" si="10"/>
        <v>ygganderson</v>
      </c>
      <c r="N251" s="209">
        <f>IFERROR(__xludf.DUMMYFUNCTION("""COMPUTED_VALUE"""),20.0)</f>
        <v>20</v>
      </c>
      <c r="O251" s="209"/>
      <c r="P251" s="209"/>
      <c r="Q251" s="209"/>
      <c r="R251" s="209"/>
      <c r="S251" s="209"/>
      <c r="T251" s="209"/>
      <c r="U251" s="209"/>
      <c r="V251" s="209"/>
      <c r="W251" s="209"/>
      <c r="X251" s="209"/>
      <c r="Y251" s="209"/>
      <c r="Z251" s="209"/>
    </row>
    <row r="252">
      <c r="A252" s="249" t="s">
        <v>18</v>
      </c>
      <c r="B252" s="249" t="s">
        <v>1228</v>
      </c>
      <c r="C252" s="219" t="s">
        <v>2778</v>
      </c>
      <c r="D252" s="268" t="s">
        <v>495</v>
      </c>
      <c r="E252" s="251">
        <v>44215.0</v>
      </c>
      <c r="F252" s="250" t="s">
        <v>496</v>
      </c>
      <c r="G252" s="171">
        <v>50000.0</v>
      </c>
      <c r="H252" s="171">
        <v>50.0</v>
      </c>
      <c r="I252" s="171">
        <v>300.0</v>
      </c>
      <c r="J252" s="325">
        <f t="shared" ref="J252:J579" si="12">(G252/$G$2+H252/$H$2+I252/$I$2)/3</f>
        <v>0.007912995186</v>
      </c>
      <c r="K252" s="326">
        <f t="shared" ref="K252:K283" si="13">J252*$J$1</f>
        <v>7.385462173</v>
      </c>
      <c r="L252" s="327">
        <f t="shared" si="9"/>
        <v>8.851726303</v>
      </c>
      <c r="M252" s="321" t="str">
        <f t="shared" si="10"/>
        <v>liviade</v>
      </c>
      <c r="N252" s="176">
        <f>IFERROR(__xludf.DUMMYFUNCTION("""COMPUTED_VALUE"""),1.0)</f>
        <v>1</v>
      </c>
      <c r="O252" s="176"/>
      <c r="P252" s="176"/>
      <c r="Q252" s="176"/>
      <c r="R252" s="176"/>
      <c r="S252" s="176"/>
      <c r="T252" s="176"/>
      <c r="U252" s="176"/>
      <c r="V252" s="176"/>
      <c r="W252" s="176"/>
      <c r="X252" s="176"/>
      <c r="Y252" s="176"/>
      <c r="Z252" s="176"/>
    </row>
    <row r="253">
      <c r="A253" s="249" t="s">
        <v>18</v>
      </c>
      <c r="B253" s="249" t="s">
        <v>925</v>
      </c>
      <c r="C253" s="219" t="s">
        <v>2779</v>
      </c>
      <c r="D253" s="268" t="s">
        <v>495</v>
      </c>
      <c r="E253" s="251">
        <v>44218.0</v>
      </c>
      <c r="F253" s="250" t="s">
        <v>496</v>
      </c>
      <c r="G253" s="171">
        <v>50000.0</v>
      </c>
      <c r="H253" s="171">
        <v>50.0</v>
      </c>
      <c r="I253" s="171">
        <v>100.0</v>
      </c>
      <c r="J253" s="325">
        <f t="shared" si="12"/>
        <v>0.00584741295</v>
      </c>
      <c r="K253" s="326">
        <f t="shared" si="13"/>
        <v>5.45758542</v>
      </c>
      <c r="L253" s="327">
        <f t="shared" si="9"/>
        <v>8.851726303</v>
      </c>
      <c r="M253" s="321" t="str">
        <f t="shared" si="10"/>
        <v>liviade</v>
      </c>
      <c r="N253" s="176">
        <f>IFERROR(__xludf.DUMMYFUNCTION("""COMPUTED_VALUE"""),2.0)</f>
        <v>2</v>
      </c>
      <c r="O253" s="176"/>
      <c r="P253" s="176"/>
      <c r="Q253" s="176"/>
      <c r="R253" s="176"/>
      <c r="S253" s="176"/>
      <c r="T253" s="176"/>
      <c r="U253" s="176"/>
      <c r="V253" s="176"/>
      <c r="W253" s="176"/>
      <c r="X253" s="176"/>
      <c r="Y253" s="176"/>
      <c r="Z253" s="176"/>
    </row>
    <row r="254">
      <c r="A254" s="249" t="s">
        <v>18</v>
      </c>
      <c r="B254" s="249" t="s">
        <v>1228</v>
      </c>
      <c r="C254" s="219" t="s">
        <v>2780</v>
      </c>
      <c r="D254" s="268" t="s">
        <v>495</v>
      </c>
      <c r="E254" s="251">
        <v>44224.0</v>
      </c>
      <c r="F254" s="250" t="s">
        <v>496</v>
      </c>
      <c r="G254" s="171">
        <v>2500.0</v>
      </c>
      <c r="H254" s="171">
        <v>75.0</v>
      </c>
      <c r="I254" s="171">
        <v>200.0</v>
      </c>
      <c r="J254" s="325">
        <f t="shared" si="12"/>
        <v>0.003662467462</v>
      </c>
      <c r="K254" s="326">
        <f t="shared" si="13"/>
        <v>3.418302964</v>
      </c>
      <c r="L254" s="327">
        <f t="shared" si="9"/>
        <v>8.851726303</v>
      </c>
      <c r="M254" s="321" t="str">
        <f t="shared" si="10"/>
        <v>liviade</v>
      </c>
      <c r="N254" s="176">
        <f>IFERROR(__xludf.DUMMYFUNCTION("""COMPUTED_VALUE"""),3.0)</f>
        <v>3</v>
      </c>
      <c r="O254" s="176"/>
      <c r="P254" s="176"/>
      <c r="Q254" s="176"/>
      <c r="R254" s="176"/>
      <c r="S254" s="176"/>
      <c r="T254" s="176"/>
      <c r="U254" s="176"/>
      <c r="V254" s="176"/>
      <c r="W254" s="176"/>
      <c r="X254" s="176"/>
      <c r="Y254" s="176"/>
      <c r="Z254" s="176"/>
    </row>
    <row r="255">
      <c r="A255" s="249" t="s">
        <v>18</v>
      </c>
      <c r="B255" s="249" t="s">
        <v>1228</v>
      </c>
      <c r="C255" s="219" t="s">
        <v>2781</v>
      </c>
      <c r="D255" s="268" t="s">
        <v>495</v>
      </c>
      <c r="E255" s="251">
        <v>44222.0</v>
      </c>
      <c r="F255" s="250" t="s">
        <v>496</v>
      </c>
      <c r="G255" s="171">
        <v>20000.0</v>
      </c>
      <c r="H255" s="171">
        <v>25.0</v>
      </c>
      <c r="I255" s="171">
        <v>150.0</v>
      </c>
      <c r="J255" s="325">
        <f t="shared" si="12"/>
        <v>0.003568563281</v>
      </c>
      <c r="K255" s="326">
        <f t="shared" si="13"/>
        <v>3.330659062</v>
      </c>
      <c r="L255" s="327">
        <f t="shared" si="9"/>
        <v>8.851726303</v>
      </c>
      <c r="M255" s="321" t="str">
        <f t="shared" si="10"/>
        <v>liviade</v>
      </c>
      <c r="N255" s="176">
        <f>IFERROR(__xludf.DUMMYFUNCTION("""COMPUTED_VALUE"""),4.0)</f>
        <v>4</v>
      </c>
      <c r="O255" s="176"/>
      <c r="P255" s="176"/>
      <c r="Q255" s="176"/>
      <c r="R255" s="176"/>
      <c r="S255" s="176"/>
      <c r="T255" s="176"/>
      <c r="U255" s="176"/>
      <c r="V255" s="176"/>
      <c r="W255" s="176"/>
      <c r="X255" s="176"/>
      <c r="Y255" s="176"/>
      <c r="Z255" s="176"/>
    </row>
    <row r="256">
      <c r="A256" s="249" t="s">
        <v>18</v>
      </c>
      <c r="B256" s="249" t="s">
        <v>845</v>
      </c>
      <c r="C256" s="219" t="s">
        <v>2782</v>
      </c>
      <c r="D256" s="268" t="s">
        <v>495</v>
      </c>
      <c r="E256" s="251">
        <v>44221.0</v>
      </c>
      <c r="F256" s="250" t="s">
        <v>496</v>
      </c>
      <c r="G256" s="171">
        <v>10000.0</v>
      </c>
      <c r="H256" s="171">
        <v>25.0</v>
      </c>
      <c r="I256" s="171">
        <v>200.0</v>
      </c>
      <c r="J256" s="325">
        <f t="shared" si="12"/>
        <v>0.003309090216</v>
      </c>
      <c r="K256" s="326">
        <f t="shared" si="13"/>
        <v>3.088484202</v>
      </c>
      <c r="L256" s="327">
        <f t="shared" si="9"/>
        <v>8.851726303</v>
      </c>
      <c r="M256" s="321" t="str">
        <f t="shared" si="10"/>
        <v>liviade</v>
      </c>
      <c r="N256" s="176">
        <f>IFERROR(__xludf.DUMMYFUNCTION("""COMPUTED_VALUE"""),5.0)</f>
        <v>5</v>
      </c>
      <c r="O256" s="176"/>
      <c r="P256" s="176"/>
      <c r="Q256" s="176"/>
      <c r="R256" s="176"/>
      <c r="S256" s="176"/>
      <c r="T256" s="176"/>
      <c r="U256" s="176"/>
      <c r="V256" s="176"/>
      <c r="W256" s="176"/>
      <c r="X256" s="176"/>
      <c r="Y256" s="176"/>
      <c r="Z256" s="176"/>
    </row>
    <row r="257">
      <c r="A257" s="249" t="s">
        <v>18</v>
      </c>
      <c r="B257" s="249" t="s">
        <v>10</v>
      </c>
      <c r="C257" s="219" t="s">
        <v>2783</v>
      </c>
      <c r="D257" s="268" t="s">
        <v>495</v>
      </c>
      <c r="E257" s="251">
        <v>44225.0</v>
      </c>
      <c r="F257" s="250" t="s">
        <v>496</v>
      </c>
      <c r="G257" s="171">
        <v>5000.0</v>
      </c>
      <c r="H257" s="171">
        <v>35.0</v>
      </c>
      <c r="I257" s="171">
        <v>200.0</v>
      </c>
      <c r="J257" s="325">
        <f t="shared" si="12"/>
        <v>0.003108211647</v>
      </c>
      <c r="K257" s="326">
        <f t="shared" si="13"/>
        <v>2.900997537</v>
      </c>
      <c r="L257" s="327">
        <f t="shared" si="9"/>
        <v>8.851726303</v>
      </c>
      <c r="M257" s="321" t="str">
        <f t="shared" si="10"/>
        <v>liviade</v>
      </c>
      <c r="N257" s="176">
        <f>IFERROR(__xludf.DUMMYFUNCTION("""COMPUTED_VALUE"""),6.0)</f>
        <v>6</v>
      </c>
      <c r="O257" s="176"/>
      <c r="P257" s="176"/>
      <c r="Q257" s="176"/>
      <c r="R257" s="176"/>
      <c r="S257" s="176"/>
      <c r="T257" s="176"/>
      <c r="U257" s="176"/>
      <c r="V257" s="176"/>
      <c r="W257" s="176"/>
      <c r="X257" s="176"/>
      <c r="Y257" s="176"/>
      <c r="Z257" s="176"/>
    </row>
    <row r="258">
      <c r="A258" s="249" t="s">
        <v>18</v>
      </c>
      <c r="B258" s="249" t="s">
        <v>10</v>
      </c>
      <c r="C258" s="219" t="s">
        <v>2760</v>
      </c>
      <c r="D258" s="268" t="s">
        <v>495</v>
      </c>
      <c r="E258" s="251">
        <v>44218.0</v>
      </c>
      <c r="F258" s="250" t="s">
        <v>496</v>
      </c>
      <c r="G258" s="171">
        <v>2000.0</v>
      </c>
      <c r="H258" s="171">
        <v>25.0</v>
      </c>
      <c r="I258" s="171">
        <v>200.0</v>
      </c>
      <c r="J258" s="325">
        <f t="shared" si="12"/>
        <v>0.002688395317</v>
      </c>
      <c r="K258" s="326">
        <f t="shared" si="13"/>
        <v>2.509168963</v>
      </c>
      <c r="L258" s="327">
        <f t="shared" si="9"/>
        <v>8.851726303</v>
      </c>
      <c r="M258" s="321" t="str">
        <f t="shared" si="10"/>
        <v>liviade</v>
      </c>
      <c r="N258" s="176">
        <f>IFERROR(__xludf.DUMMYFUNCTION("""COMPUTED_VALUE"""),7.0)</f>
        <v>7</v>
      </c>
      <c r="O258" s="176"/>
      <c r="P258" s="176"/>
      <c r="Q258" s="176"/>
      <c r="R258" s="176"/>
      <c r="S258" s="176"/>
      <c r="T258" s="176"/>
      <c r="U258" s="176"/>
      <c r="V258" s="176"/>
      <c r="W258" s="176"/>
      <c r="X258" s="176"/>
      <c r="Y258" s="176"/>
      <c r="Z258" s="176"/>
    </row>
    <row r="259">
      <c r="A259" s="249" t="s">
        <v>18</v>
      </c>
      <c r="B259" s="249" t="s">
        <v>10</v>
      </c>
      <c r="C259" s="219" t="s">
        <v>2743</v>
      </c>
      <c r="D259" s="268" t="s">
        <v>495</v>
      </c>
      <c r="E259" s="251">
        <v>44225.0</v>
      </c>
      <c r="F259" s="250" t="s">
        <v>496</v>
      </c>
      <c r="G259" s="171">
        <v>5000.0</v>
      </c>
      <c r="H259" s="171">
        <v>15.0</v>
      </c>
      <c r="I259" s="171">
        <v>200.0</v>
      </c>
      <c r="J259" s="325">
        <f t="shared" si="12"/>
        <v>0.002734100162</v>
      </c>
      <c r="K259" s="326">
        <f t="shared" si="13"/>
        <v>2.551826818</v>
      </c>
      <c r="L259" s="327">
        <f t="shared" si="9"/>
        <v>8.851726303</v>
      </c>
      <c r="M259" s="321" t="str">
        <f t="shared" si="10"/>
        <v>liviade</v>
      </c>
      <c r="N259" s="176">
        <f>IFERROR(__xludf.DUMMYFUNCTION("""COMPUTED_VALUE"""),8.0)</f>
        <v>8</v>
      </c>
      <c r="O259" s="176"/>
      <c r="P259" s="176"/>
      <c r="Q259" s="176"/>
      <c r="R259" s="176"/>
      <c r="S259" s="176"/>
      <c r="T259" s="176"/>
      <c r="U259" s="176"/>
      <c r="V259" s="176"/>
      <c r="W259" s="176"/>
      <c r="X259" s="176"/>
      <c r="Y259" s="176"/>
      <c r="Z259" s="176"/>
    </row>
    <row r="260">
      <c r="A260" s="249" t="s">
        <v>18</v>
      </c>
      <c r="B260" s="249" t="s">
        <v>6</v>
      </c>
      <c r="C260" s="219" t="s">
        <v>2784</v>
      </c>
      <c r="D260" s="268" t="s">
        <v>495</v>
      </c>
      <c r="E260" s="251">
        <v>44217.0</v>
      </c>
      <c r="F260" s="250" t="s">
        <v>496</v>
      </c>
      <c r="G260" s="171">
        <v>1000.0</v>
      </c>
      <c r="H260" s="171">
        <v>25.0</v>
      </c>
      <c r="I260" s="171">
        <v>200.0</v>
      </c>
      <c r="J260" s="325">
        <f t="shared" si="12"/>
        <v>0.002610808455</v>
      </c>
      <c r="K260" s="326">
        <f t="shared" si="13"/>
        <v>2.436754558</v>
      </c>
      <c r="L260" s="327">
        <f t="shared" si="9"/>
        <v>8.851726303</v>
      </c>
      <c r="M260" s="321" t="str">
        <f t="shared" si="10"/>
        <v>liviade</v>
      </c>
      <c r="N260" s="176">
        <f>IFERROR(__xludf.DUMMYFUNCTION("""COMPUTED_VALUE"""),9.0)</f>
        <v>9</v>
      </c>
      <c r="O260" s="176"/>
      <c r="P260" s="176"/>
      <c r="Q260" s="176"/>
      <c r="R260" s="176"/>
      <c r="S260" s="176"/>
      <c r="T260" s="176"/>
      <c r="U260" s="176"/>
      <c r="V260" s="176"/>
      <c r="W260" s="176"/>
      <c r="X260" s="176"/>
      <c r="Y260" s="176"/>
      <c r="Z260" s="176"/>
    </row>
    <row r="261">
      <c r="A261" s="249" t="s">
        <v>18</v>
      </c>
      <c r="B261" s="249" t="s">
        <v>867</v>
      </c>
      <c r="C261" s="219" t="s">
        <v>2748</v>
      </c>
      <c r="D261" s="268" t="s">
        <v>495</v>
      </c>
      <c r="E261" s="251">
        <v>44225.0</v>
      </c>
      <c r="F261" s="250" t="s">
        <v>496</v>
      </c>
      <c r="G261" s="171">
        <v>25000.0</v>
      </c>
      <c r="H261" s="171">
        <v>25.0</v>
      </c>
      <c r="I261" s="171">
        <v>25.0</v>
      </c>
      <c r="J261" s="325">
        <f t="shared" si="12"/>
        <v>0.002665508695</v>
      </c>
      <c r="K261" s="326">
        <f t="shared" si="13"/>
        <v>2.487808116</v>
      </c>
      <c r="L261" s="327">
        <f t="shared" si="9"/>
        <v>8.851726303</v>
      </c>
      <c r="M261" s="321" t="str">
        <f t="shared" si="10"/>
        <v>liviade</v>
      </c>
      <c r="N261" s="176">
        <f>IFERROR(__xludf.DUMMYFUNCTION("""COMPUTED_VALUE"""),10.0)</f>
        <v>10</v>
      </c>
      <c r="O261" s="176"/>
      <c r="P261" s="176"/>
      <c r="Q261" s="176"/>
      <c r="R261" s="176"/>
      <c r="S261" s="176"/>
      <c r="T261" s="176"/>
      <c r="U261" s="176"/>
      <c r="V261" s="176"/>
      <c r="W261" s="176"/>
      <c r="X261" s="176"/>
      <c r="Y261" s="176"/>
      <c r="Z261" s="176"/>
    </row>
    <row r="262">
      <c r="A262" s="249" t="s">
        <v>18</v>
      </c>
      <c r="B262" s="249" t="s">
        <v>10</v>
      </c>
      <c r="C262" s="219" t="s">
        <v>2698</v>
      </c>
      <c r="D262" s="268" t="s">
        <v>495</v>
      </c>
      <c r="E262" s="251">
        <v>44225.0</v>
      </c>
      <c r="F262" s="250" t="s">
        <v>496</v>
      </c>
      <c r="G262" s="171">
        <v>10000.0</v>
      </c>
      <c r="H262" s="171">
        <v>50.0</v>
      </c>
      <c r="I262" s="171">
        <v>50.0</v>
      </c>
      <c r="J262" s="325">
        <f t="shared" si="12"/>
        <v>0.002227542896</v>
      </c>
      <c r="K262" s="326">
        <f t="shared" si="13"/>
        <v>2.079040036</v>
      </c>
      <c r="L262" s="327">
        <f t="shared" si="9"/>
        <v>8.851726303</v>
      </c>
      <c r="M262" s="321" t="str">
        <f t="shared" si="10"/>
        <v>liviade</v>
      </c>
      <c r="N262" s="176">
        <f>IFERROR(__xludf.DUMMYFUNCTION("""COMPUTED_VALUE"""),11.0)</f>
        <v>11</v>
      </c>
      <c r="O262" s="176"/>
      <c r="P262" s="176"/>
      <c r="Q262" s="176"/>
      <c r="R262" s="176"/>
      <c r="S262" s="176"/>
      <c r="T262" s="176"/>
      <c r="U262" s="176"/>
      <c r="V262" s="176"/>
      <c r="W262" s="176"/>
      <c r="X262" s="176"/>
      <c r="Y262" s="176"/>
      <c r="Z262" s="176"/>
    </row>
    <row r="263">
      <c r="A263" s="249" t="s">
        <v>18</v>
      </c>
      <c r="B263" s="249" t="s">
        <v>10</v>
      </c>
      <c r="C263" s="219" t="s">
        <v>2785</v>
      </c>
      <c r="D263" s="268" t="s">
        <v>495</v>
      </c>
      <c r="E263" s="251">
        <v>44218.0</v>
      </c>
      <c r="F263" s="250" t="s">
        <v>496</v>
      </c>
      <c r="G263" s="171">
        <v>5000.0</v>
      </c>
      <c r="H263" s="171">
        <v>25.0</v>
      </c>
      <c r="I263" s="171">
        <v>100.0</v>
      </c>
      <c r="J263" s="325">
        <f t="shared" si="12"/>
        <v>0.001888364786</v>
      </c>
      <c r="K263" s="326">
        <f t="shared" si="13"/>
        <v>1.762473801</v>
      </c>
      <c r="L263" s="327">
        <f t="shared" si="9"/>
        <v>8.851726303</v>
      </c>
      <c r="M263" s="321" t="str">
        <f t="shared" si="10"/>
        <v>liviade</v>
      </c>
      <c r="N263" s="176">
        <f>IFERROR(__xludf.DUMMYFUNCTION("""COMPUTED_VALUE"""),12.0)</f>
        <v>12</v>
      </c>
      <c r="O263" s="176"/>
      <c r="P263" s="176"/>
      <c r="Q263" s="176"/>
      <c r="R263" s="176"/>
      <c r="S263" s="176"/>
      <c r="T263" s="176"/>
      <c r="U263" s="176"/>
      <c r="V263" s="176"/>
      <c r="W263" s="176"/>
      <c r="X263" s="176"/>
      <c r="Y263" s="176"/>
      <c r="Z263" s="176"/>
    </row>
    <row r="264">
      <c r="A264" s="249" t="s">
        <v>18</v>
      </c>
      <c r="B264" s="249" t="s">
        <v>10</v>
      </c>
      <c r="C264" s="219" t="s">
        <v>2668</v>
      </c>
      <c r="D264" s="268" t="s">
        <v>495</v>
      </c>
      <c r="E264" s="251">
        <v>44218.0</v>
      </c>
      <c r="F264" s="250" t="s">
        <v>496</v>
      </c>
      <c r="G264" s="171">
        <v>5000.0</v>
      </c>
      <c r="H264" s="171">
        <v>25.0</v>
      </c>
      <c r="I264" s="171">
        <v>100.0</v>
      </c>
      <c r="J264" s="325">
        <f t="shared" si="12"/>
        <v>0.001888364786</v>
      </c>
      <c r="K264" s="326">
        <f t="shared" si="13"/>
        <v>1.762473801</v>
      </c>
      <c r="L264" s="327">
        <f t="shared" si="9"/>
        <v>8.851726303</v>
      </c>
      <c r="M264" s="321" t="str">
        <f t="shared" si="10"/>
        <v>liviade</v>
      </c>
      <c r="N264" s="176">
        <f>IFERROR(__xludf.DUMMYFUNCTION("""COMPUTED_VALUE"""),13.0)</f>
        <v>13</v>
      </c>
      <c r="O264" s="176"/>
      <c r="P264" s="176"/>
      <c r="Q264" s="176"/>
      <c r="R264" s="176"/>
      <c r="S264" s="176"/>
      <c r="T264" s="176"/>
      <c r="U264" s="176"/>
      <c r="V264" s="176"/>
      <c r="W264" s="176"/>
      <c r="X264" s="176"/>
      <c r="Y264" s="176"/>
      <c r="Z264" s="176"/>
    </row>
    <row r="265">
      <c r="A265" s="249" t="s">
        <v>18</v>
      </c>
      <c r="B265" s="249" t="s">
        <v>10</v>
      </c>
      <c r="C265" s="219" t="s">
        <v>2670</v>
      </c>
      <c r="D265" s="268" t="s">
        <v>495</v>
      </c>
      <c r="E265" s="251">
        <v>44225.0</v>
      </c>
      <c r="F265" s="250" t="s">
        <v>496</v>
      </c>
      <c r="G265" s="171">
        <v>5000.0</v>
      </c>
      <c r="H265" s="171">
        <v>25.0</v>
      </c>
      <c r="I265" s="171">
        <v>100.0</v>
      </c>
      <c r="J265" s="325">
        <f t="shared" si="12"/>
        <v>0.001888364786</v>
      </c>
      <c r="K265" s="326">
        <f t="shared" si="13"/>
        <v>1.762473801</v>
      </c>
      <c r="L265" s="327">
        <f t="shared" si="9"/>
        <v>8.851726303</v>
      </c>
      <c r="M265" s="321" t="str">
        <f t="shared" si="10"/>
        <v>liviade</v>
      </c>
      <c r="N265" s="176">
        <f>IFERROR(__xludf.DUMMYFUNCTION("""COMPUTED_VALUE"""),14.0)</f>
        <v>14</v>
      </c>
      <c r="O265" s="176"/>
      <c r="P265" s="176"/>
      <c r="Q265" s="176"/>
      <c r="R265" s="176"/>
      <c r="S265" s="176"/>
      <c r="T265" s="176"/>
      <c r="U265" s="176"/>
      <c r="V265" s="176"/>
      <c r="W265" s="176"/>
      <c r="X265" s="176"/>
      <c r="Y265" s="176"/>
      <c r="Z265" s="176"/>
    </row>
    <row r="266">
      <c r="A266" s="249" t="s">
        <v>18</v>
      </c>
      <c r="B266" s="249" t="s">
        <v>10</v>
      </c>
      <c r="C266" s="219" t="s">
        <v>2786</v>
      </c>
      <c r="D266" s="268" t="s">
        <v>495</v>
      </c>
      <c r="E266" s="251">
        <v>44225.0</v>
      </c>
      <c r="F266" s="250" t="s">
        <v>496</v>
      </c>
      <c r="G266" s="171">
        <v>5000.0</v>
      </c>
      <c r="H266" s="171">
        <v>25.0</v>
      </c>
      <c r="I266" s="171">
        <v>100.0</v>
      </c>
      <c r="J266" s="325">
        <f t="shared" si="12"/>
        <v>0.001888364786</v>
      </c>
      <c r="K266" s="326">
        <f t="shared" si="13"/>
        <v>1.762473801</v>
      </c>
      <c r="L266" s="327">
        <f t="shared" si="9"/>
        <v>8.851726303</v>
      </c>
      <c r="M266" s="321" t="str">
        <f t="shared" si="10"/>
        <v>liviade</v>
      </c>
      <c r="N266" s="176">
        <f>IFERROR(__xludf.DUMMYFUNCTION("""COMPUTED_VALUE"""),15.0)</f>
        <v>15</v>
      </c>
      <c r="O266" s="176"/>
      <c r="P266" s="176"/>
      <c r="Q266" s="176"/>
      <c r="R266" s="176"/>
      <c r="S266" s="176"/>
      <c r="T266" s="176"/>
      <c r="U266" s="176"/>
      <c r="V266" s="176"/>
      <c r="W266" s="176"/>
      <c r="X266" s="176"/>
      <c r="Y266" s="176"/>
      <c r="Z266" s="176"/>
    </row>
    <row r="267">
      <c r="A267" s="249" t="s">
        <v>18</v>
      </c>
      <c r="B267" s="249" t="s">
        <v>25</v>
      </c>
      <c r="C267" s="219" t="s">
        <v>2787</v>
      </c>
      <c r="D267" s="268" t="s">
        <v>495</v>
      </c>
      <c r="E267" s="251">
        <v>44223.0</v>
      </c>
      <c r="F267" s="250" t="s">
        <v>496</v>
      </c>
      <c r="G267" s="171">
        <v>1000.0</v>
      </c>
      <c r="H267" s="171">
        <v>35.0</v>
      </c>
      <c r="I267" s="171">
        <v>100.0</v>
      </c>
      <c r="J267" s="325">
        <f t="shared" si="12"/>
        <v>0.00176507308</v>
      </c>
      <c r="K267" s="326">
        <f t="shared" si="13"/>
        <v>1.647401541</v>
      </c>
      <c r="L267" s="327">
        <f t="shared" si="9"/>
        <v>8.851726303</v>
      </c>
      <c r="M267" s="321" t="str">
        <f t="shared" si="10"/>
        <v>liviade</v>
      </c>
      <c r="N267" s="176">
        <f>IFERROR(__xludf.DUMMYFUNCTION("""COMPUTED_VALUE"""),16.0)</f>
        <v>16</v>
      </c>
      <c r="O267" s="176"/>
      <c r="P267" s="176"/>
      <c r="Q267" s="176"/>
      <c r="R267" s="176"/>
      <c r="S267" s="176"/>
      <c r="T267" s="176"/>
      <c r="U267" s="176"/>
      <c r="V267" s="176"/>
      <c r="W267" s="176"/>
      <c r="X267" s="176"/>
      <c r="Y267" s="176"/>
      <c r="Z267" s="176"/>
    </row>
    <row r="268">
      <c r="A268" s="249" t="s">
        <v>18</v>
      </c>
      <c r="B268" s="249" t="s">
        <v>10</v>
      </c>
      <c r="C268" s="219" t="s">
        <v>2788</v>
      </c>
      <c r="D268" s="268" t="s">
        <v>495</v>
      </c>
      <c r="E268" s="251">
        <v>44218.0</v>
      </c>
      <c r="F268" s="250" t="s">
        <v>496</v>
      </c>
      <c r="G268" s="171">
        <v>2000.0</v>
      </c>
      <c r="H268" s="171">
        <v>25.0</v>
      </c>
      <c r="I268" s="171">
        <v>50.0</v>
      </c>
      <c r="J268" s="325">
        <f t="shared" si="12"/>
        <v>0.00113920864</v>
      </c>
      <c r="K268" s="326">
        <f t="shared" si="13"/>
        <v>1.063261398</v>
      </c>
      <c r="L268" s="327">
        <f t="shared" si="9"/>
        <v>8.851726303</v>
      </c>
      <c r="M268" s="321" t="str">
        <f t="shared" si="10"/>
        <v>liviade</v>
      </c>
      <c r="N268" s="176">
        <f>IFERROR(__xludf.DUMMYFUNCTION("""COMPUTED_VALUE"""),17.0)</f>
        <v>17</v>
      </c>
      <c r="O268" s="176"/>
      <c r="P268" s="176"/>
      <c r="Q268" s="176"/>
      <c r="R268" s="176"/>
      <c r="S268" s="176"/>
      <c r="T268" s="176"/>
      <c r="U268" s="176"/>
      <c r="V268" s="176"/>
      <c r="W268" s="176"/>
      <c r="X268" s="176"/>
      <c r="Y268" s="176"/>
      <c r="Z268" s="176"/>
    </row>
    <row r="269">
      <c r="A269" s="249" t="s">
        <v>18</v>
      </c>
      <c r="B269" s="249" t="s">
        <v>5</v>
      </c>
      <c r="C269" s="219" t="s">
        <v>2676</v>
      </c>
      <c r="D269" s="268" t="s">
        <v>495</v>
      </c>
      <c r="E269" s="251">
        <v>44224.0</v>
      </c>
      <c r="F269" s="250" t="s">
        <v>496</v>
      </c>
      <c r="G269" s="171">
        <v>1000.0</v>
      </c>
      <c r="H269" s="171">
        <v>25.0</v>
      </c>
      <c r="I269" s="171">
        <v>50.0</v>
      </c>
      <c r="J269" s="325">
        <f t="shared" si="12"/>
        <v>0.001061621778</v>
      </c>
      <c r="K269" s="326">
        <f t="shared" si="13"/>
        <v>0.9908469927</v>
      </c>
      <c r="L269" s="327">
        <f t="shared" si="9"/>
        <v>8.851726303</v>
      </c>
      <c r="M269" s="321" t="str">
        <f t="shared" si="10"/>
        <v>liviade</v>
      </c>
      <c r="N269" s="176">
        <f>IFERROR(__xludf.DUMMYFUNCTION("""COMPUTED_VALUE"""),18.0)</f>
        <v>18</v>
      </c>
      <c r="O269" s="176"/>
      <c r="P269" s="176"/>
      <c r="Q269" s="176"/>
      <c r="R269" s="176"/>
      <c r="S269" s="176"/>
      <c r="T269" s="176"/>
      <c r="U269" s="176"/>
      <c r="V269" s="176"/>
      <c r="W269" s="176"/>
      <c r="X269" s="176"/>
      <c r="Y269" s="176"/>
      <c r="Z269" s="176"/>
    </row>
    <row r="270">
      <c r="A270" s="249" t="s">
        <v>18</v>
      </c>
      <c r="B270" s="249" t="s">
        <v>590</v>
      </c>
      <c r="C270" s="219" t="s">
        <v>2789</v>
      </c>
      <c r="D270" s="268" t="s">
        <v>495</v>
      </c>
      <c r="E270" s="251">
        <v>44224.0</v>
      </c>
      <c r="F270" s="250" t="s">
        <v>496</v>
      </c>
      <c r="G270" s="171">
        <v>1000.0</v>
      </c>
      <c r="H270" s="171">
        <v>25.0</v>
      </c>
      <c r="I270" s="171">
        <v>50.0</v>
      </c>
      <c r="J270" s="325">
        <f t="shared" si="12"/>
        <v>0.001061621778</v>
      </c>
      <c r="K270" s="326">
        <f t="shared" si="13"/>
        <v>0.9908469927</v>
      </c>
      <c r="L270" s="327">
        <f t="shared" si="9"/>
        <v>8.851726303</v>
      </c>
      <c r="M270" s="321" t="str">
        <f t="shared" si="10"/>
        <v>liviade</v>
      </c>
      <c r="N270" s="176">
        <f>IFERROR(__xludf.DUMMYFUNCTION("""COMPUTED_VALUE"""),19.0)</f>
        <v>19</v>
      </c>
      <c r="O270" s="176"/>
      <c r="P270" s="176"/>
      <c r="Q270" s="176"/>
      <c r="R270" s="176"/>
      <c r="S270" s="176"/>
      <c r="T270" s="176"/>
      <c r="U270" s="176"/>
      <c r="V270" s="176"/>
      <c r="W270" s="176"/>
      <c r="X270" s="176"/>
      <c r="Y270" s="176"/>
      <c r="Z270" s="176"/>
    </row>
    <row r="271">
      <c r="A271" s="249" t="s">
        <v>18</v>
      </c>
      <c r="B271" s="249" t="s">
        <v>5</v>
      </c>
      <c r="C271" s="219" t="s">
        <v>2677</v>
      </c>
      <c r="D271" s="268" t="s">
        <v>495</v>
      </c>
      <c r="E271" s="251">
        <v>44217.0</v>
      </c>
      <c r="F271" s="250" t="s">
        <v>496</v>
      </c>
      <c r="G271" s="171">
        <v>5000.0</v>
      </c>
      <c r="H271" s="171">
        <v>25.0</v>
      </c>
      <c r="I271" s="171">
        <v>25.0</v>
      </c>
      <c r="J271" s="325">
        <f t="shared" si="12"/>
        <v>0.001113771448</v>
      </c>
      <c r="K271" s="326">
        <f t="shared" si="13"/>
        <v>1.039520018</v>
      </c>
      <c r="L271" s="327">
        <f t="shared" si="9"/>
        <v>8.851726303</v>
      </c>
      <c r="M271" s="321" t="str">
        <f t="shared" si="10"/>
        <v>liviade</v>
      </c>
      <c r="N271" s="176">
        <f>IFERROR(__xludf.DUMMYFUNCTION("""COMPUTED_VALUE"""),20.0)</f>
        <v>20</v>
      </c>
      <c r="O271" s="176"/>
      <c r="P271" s="176"/>
      <c r="Q271" s="176"/>
      <c r="R271" s="176"/>
      <c r="S271" s="176"/>
      <c r="T271" s="176"/>
      <c r="U271" s="176"/>
      <c r="V271" s="176"/>
      <c r="W271" s="176"/>
      <c r="X271" s="176"/>
      <c r="Y271" s="176"/>
      <c r="Z271" s="176"/>
    </row>
    <row r="272">
      <c r="A272" s="249" t="s">
        <v>18</v>
      </c>
      <c r="B272" s="249" t="s">
        <v>590</v>
      </c>
      <c r="C272" s="219" t="s">
        <v>2756</v>
      </c>
      <c r="D272" s="268" t="s">
        <v>495</v>
      </c>
      <c r="E272" s="251">
        <v>44216.0</v>
      </c>
      <c r="F272" s="250" t="s">
        <v>496</v>
      </c>
      <c r="G272" s="171">
        <v>1500.0</v>
      </c>
      <c r="H272" s="171">
        <v>35.0</v>
      </c>
      <c r="I272" s="171">
        <v>25.0</v>
      </c>
      <c r="J272" s="325">
        <f t="shared" si="12"/>
        <v>0.001029273172</v>
      </c>
      <c r="K272" s="326">
        <f t="shared" si="13"/>
        <v>0.9606549607</v>
      </c>
      <c r="L272" s="327">
        <f t="shared" si="9"/>
        <v>8.851726303</v>
      </c>
      <c r="M272" s="321" t="str">
        <f t="shared" si="10"/>
        <v>liviade</v>
      </c>
      <c r="N272" s="176">
        <f>IFERROR(__xludf.DUMMYFUNCTION("""COMPUTED_VALUE"""),21.0)</f>
        <v>21</v>
      </c>
      <c r="O272" s="176"/>
      <c r="P272" s="176"/>
      <c r="Q272" s="176"/>
      <c r="R272" s="176"/>
      <c r="S272" s="176"/>
      <c r="T272" s="176"/>
      <c r="U272" s="176"/>
      <c r="V272" s="176"/>
      <c r="W272" s="176"/>
      <c r="X272" s="176"/>
      <c r="Y272" s="176"/>
      <c r="Z272" s="176"/>
    </row>
    <row r="273">
      <c r="A273" s="249" t="s">
        <v>18</v>
      </c>
      <c r="B273" s="249" t="s">
        <v>10</v>
      </c>
      <c r="C273" s="219" t="s">
        <v>494</v>
      </c>
      <c r="D273" s="268" t="s">
        <v>495</v>
      </c>
      <c r="E273" s="251">
        <v>44218.0</v>
      </c>
      <c r="F273" s="250" t="s">
        <v>545</v>
      </c>
      <c r="G273" s="171">
        <v>2000.0</v>
      </c>
      <c r="H273" s="171">
        <v>25.0</v>
      </c>
      <c r="I273" s="171">
        <v>25.0</v>
      </c>
      <c r="J273" s="325">
        <f t="shared" si="12"/>
        <v>0.0008810108608</v>
      </c>
      <c r="K273" s="326">
        <f t="shared" si="13"/>
        <v>0.8222768034</v>
      </c>
      <c r="L273" s="327">
        <f t="shared" si="9"/>
        <v>8.851726303</v>
      </c>
      <c r="M273" s="321" t="str">
        <f t="shared" si="10"/>
        <v>liviade</v>
      </c>
      <c r="N273" s="176">
        <f>IFERROR(__xludf.DUMMYFUNCTION("""COMPUTED_VALUE"""),22.0)</f>
        <v>22</v>
      </c>
      <c r="O273" s="176"/>
      <c r="P273" s="176"/>
      <c r="Q273" s="176"/>
      <c r="R273" s="176"/>
      <c r="S273" s="176"/>
      <c r="T273" s="176"/>
      <c r="U273" s="176"/>
      <c r="V273" s="176"/>
      <c r="W273" s="176"/>
      <c r="X273" s="176"/>
      <c r="Y273" s="176"/>
      <c r="Z273" s="176"/>
    </row>
    <row r="274">
      <c r="A274" s="249" t="s">
        <v>18</v>
      </c>
      <c r="B274" s="249" t="s">
        <v>590</v>
      </c>
      <c r="C274" s="219" t="s">
        <v>2790</v>
      </c>
      <c r="D274" s="268" t="s">
        <v>495</v>
      </c>
      <c r="E274" s="251">
        <v>44216.0</v>
      </c>
      <c r="F274" s="250" t="s">
        <v>496</v>
      </c>
      <c r="G274" s="171">
        <v>1500.0</v>
      </c>
      <c r="H274" s="171">
        <v>25.0</v>
      </c>
      <c r="I274" s="171">
        <v>25.0</v>
      </c>
      <c r="J274" s="325">
        <f t="shared" si="12"/>
        <v>0.0008422174296</v>
      </c>
      <c r="K274" s="326">
        <f t="shared" si="13"/>
        <v>0.7860696009</v>
      </c>
      <c r="L274" s="327">
        <f t="shared" si="9"/>
        <v>8.851726303</v>
      </c>
      <c r="M274" s="321" t="str">
        <f t="shared" si="10"/>
        <v>liviade</v>
      </c>
      <c r="N274" s="176">
        <f>IFERROR(__xludf.DUMMYFUNCTION("""COMPUTED_VALUE"""),23.0)</f>
        <v>23</v>
      </c>
      <c r="O274" s="176"/>
      <c r="P274" s="176"/>
      <c r="Q274" s="176"/>
      <c r="R274" s="176"/>
      <c r="S274" s="176"/>
      <c r="T274" s="176"/>
      <c r="U274" s="176"/>
      <c r="V274" s="176"/>
      <c r="W274" s="176"/>
      <c r="X274" s="176"/>
      <c r="Y274" s="176"/>
      <c r="Z274" s="176"/>
    </row>
    <row r="275">
      <c r="A275" s="249" t="s">
        <v>18</v>
      </c>
      <c r="B275" s="249" t="s">
        <v>590</v>
      </c>
      <c r="C275" s="219" t="s">
        <v>2678</v>
      </c>
      <c r="D275" s="268" t="s">
        <v>495</v>
      </c>
      <c r="E275" s="251">
        <v>44216.0</v>
      </c>
      <c r="F275" s="250" t="s">
        <v>496</v>
      </c>
      <c r="G275" s="171">
        <v>1000.0</v>
      </c>
      <c r="H275" s="171">
        <v>25.0</v>
      </c>
      <c r="I275" s="171">
        <v>25.0</v>
      </c>
      <c r="J275" s="325">
        <f t="shared" si="12"/>
        <v>0.0008034239984</v>
      </c>
      <c r="K275" s="326">
        <f t="shared" si="13"/>
        <v>0.7498623985</v>
      </c>
      <c r="L275" s="327">
        <f t="shared" si="9"/>
        <v>8.851726303</v>
      </c>
      <c r="M275" s="321" t="str">
        <f t="shared" si="10"/>
        <v>liviade</v>
      </c>
      <c r="N275" s="176">
        <f>IFERROR(__xludf.DUMMYFUNCTION("""COMPUTED_VALUE"""),24.0)</f>
        <v>24</v>
      </c>
      <c r="O275" s="176"/>
      <c r="P275" s="176"/>
      <c r="Q275" s="176"/>
      <c r="R275" s="176"/>
      <c r="S275" s="176"/>
      <c r="T275" s="176"/>
      <c r="U275" s="176"/>
      <c r="V275" s="176"/>
      <c r="W275" s="176"/>
      <c r="X275" s="176"/>
      <c r="Y275" s="176"/>
      <c r="Z275" s="176"/>
    </row>
    <row r="276">
      <c r="A276" s="249" t="s">
        <v>18</v>
      </c>
      <c r="B276" s="249" t="s">
        <v>868</v>
      </c>
      <c r="C276" s="219" t="s">
        <v>2679</v>
      </c>
      <c r="D276" s="268" t="s">
        <v>495</v>
      </c>
      <c r="E276" s="251">
        <v>44218.0</v>
      </c>
      <c r="F276" s="250" t="s">
        <v>496</v>
      </c>
      <c r="G276" s="171">
        <v>1000.0</v>
      </c>
      <c r="H276" s="171">
        <v>25.0</v>
      </c>
      <c r="I276" s="171">
        <v>25.0</v>
      </c>
      <c r="J276" s="325">
        <f t="shared" si="12"/>
        <v>0.0008034239984</v>
      </c>
      <c r="K276" s="326">
        <f t="shared" si="13"/>
        <v>0.7498623985</v>
      </c>
      <c r="L276" s="327">
        <f t="shared" si="9"/>
        <v>8.851726303</v>
      </c>
      <c r="M276" s="321" t="str">
        <f t="shared" si="10"/>
        <v>liviade</v>
      </c>
      <c r="N276" s="176">
        <f>IFERROR(__xludf.DUMMYFUNCTION("""COMPUTED_VALUE"""),25.0)</f>
        <v>25</v>
      </c>
      <c r="O276" s="176"/>
      <c r="P276" s="176"/>
      <c r="Q276" s="176"/>
      <c r="R276" s="176"/>
      <c r="S276" s="176"/>
      <c r="T276" s="176"/>
      <c r="U276" s="176"/>
      <c r="V276" s="176"/>
      <c r="W276" s="176"/>
      <c r="X276" s="176"/>
      <c r="Y276" s="176"/>
      <c r="Z276" s="176"/>
    </row>
    <row r="277">
      <c r="A277" s="249" t="s">
        <v>18</v>
      </c>
      <c r="B277" s="249" t="s">
        <v>867</v>
      </c>
      <c r="C277" s="219" t="s">
        <v>2680</v>
      </c>
      <c r="D277" s="268" t="s">
        <v>495</v>
      </c>
      <c r="E277" s="251">
        <v>44221.0</v>
      </c>
      <c r="F277" s="250" t="s">
        <v>496</v>
      </c>
      <c r="G277" s="171">
        <v>1000.0</v>
      </c>
      <c r="H277" s="171">
        <v>25.0</v>
      </c>
      <c r="I277" s="171">
        <v>25.0</v>
      </c>
      <c r="J277" s="325">
        <f t="shared" si="12"/>
        <v>0.0008034239984</v>
      </c>
      <c r="K277" s="326">
        <f t="shared" si="13"/>
        <v>0.7498623985</v>
      </c>
      <c r="L277" s="327">
        <f t="shared" si="9"/>
        <v>8.851726303</v>
      </c>
      <c r="M277" s="321" t="str">
        <f t="shared" si="10"/>
        <v>liviade</v>
      </c>
      <c r="N277" s="176">
        <f>IFERROR(__xludf.DUMMYFUNCTION("""COMPUTED_VALUE"""),26.0)</f>
        <v>26</v>
      </c>
      <c r="O277" s="176"/>
      <c r="P277" s="176"/>
      <c r="Q277" s="176"/>
      <c r="R277" s="176"/>
      <c r="S277" s="176"/>
      <c r="T277" s="176"/>
      <c r="U277" s="176"/>
      <c r="V277" s="176"/>
      <c r="W277" s="176"/>
      <c r="X277" s="176"/>
      <c r="Y277" s="176"/>
      <c r="Z277" s="176"/>
    </row>
    <row r="278">
      <c r="A278" s="249" t="s">
        <v>18</v>
      </c>
      <c r="B278" s="249" t="s">
        <v>25</v>
      </c>
      <c r="C278" s="219" t="s">
        <v>2682</v>
      </c>
      <c r="D278" s="268" t="s">
        <v>495</v>
      </c>
      <c r="E278" s="251">
        <v>44223.0</v>
      </c>
      <c r="F278" s="250" t="s">
        <v>496</v>
      </c>
      <c r="G278" s="171">
        <v>1000.0</v>
      </c>
      <c r="H278" s="171">
        <v>25.0</v>
      </c>
      <c r="I278" s="171">
        <v>25.0</v>
      </c>
      <c r="J278" s="325">
        <f t="shared" si="12"/>
        <v>0.0008034239984</v>
      </c>
      <c r="K278" s="326">
        <f t="shared" si="13"/>
        <v>0.7498623985</v>
      </c>
      <c r="L278" s="327">
        <f t="shared" si="9"/>
        <v>8.851726303</v>
      </c>
      <c r="M278" s="321" t="str">
        <f t="shared" si="10"/>
        <v>liviade</v>
      </c>
      <c r="N278" s="176">
        <f>IFERROR(__xludf.DUMMYFUNCTION("""COMPUTED_VALUE"""),27.0)</f>
        <v>27</v>
      </c>
      <c r="O278" s="176"/>
      <c r="P278" s="176"/>
      <c r="Q278" s="176"/>
      <c r="R278" s="176"/>
      <c r="S278" s="176"/>
      <c r="T278" s="176"/>
      <c r="U278" s="176"/>
      <c r="V278" s="176"/>
      <c r="W278" s="176"/>
      <c r="X278" s="176"/>
      <c r="Y278" s="176"/>
      <c r="Z278" s="176"/>
    </row>
    <row r="279">
      <c r="A279" s="249" t="s">
        <v>18</v>
      </c>
      <c r="B279" s="249" t="s">
        <v>18</v>
      </c>
      <c r="C279" s="219" t="s">
        <v>2683</v>
      </c>
      <c r="D279" s="268" t="s">
        <v>495</v>
      </c>
      <c r="E279" s="251">
        <v>44215.0</v>
      </c>
      <c r="F279" s="250" t="s">
        <v>496</v>
      </c>
      <c r="G279" s="171">
        <v>500.0</v>
      </c>
      <c r="H279" s="171">
        <v>25.0</v>
      </c>
      <c r="I279" s="171">
        <v>25.0</v>
      </c>
      <c r="J279" s="325">
        <f t="shared" si="12"/>
        <v>0.0007646305672</v>
      </c>
      <c r="K279" s="326">
        <f t="shared" si="13"/>
        <v>0.7136551961</v>
      </c>
      <c r="L279" s="327">
        <f t="shared" si="9"/>
        <v>8.851726303</v>
      </c>
      <c r="M279" s="321" t="str">
        <f t="shared" si="10"/>
        <v>liviade</v>
      </c>
      <c r="N279" s="176">
        <f>IFERROR(__xludf.DUMMYFUNCTION("""COMPUTED_VALUE"""),28.0)</f>
        <v>28</v>
      </c>
      <c r="O279" s="176"/>
      <c r="P279" s="176"/>
      <c r="Q279" s="176"/>
      <c r="R279" s="176"/>
      <c r="S279" s="176"/>
      <c r="T279" s="176"/>
      <c r="U279" s="176"/>
      <c r="V279" s="176"/>
      <c r="W279" s="176"/>
      <c r="X279" s="176"/>
      <c r="Y279" s="176"/>
      <c r="Z279" s="176"/>
    </row>
    <row r="280">
      <c r="A280" s="249" t="s">
        <v>18</v>
      </c>
      <c r="B280" s="249" t="s">
        <v>10</v>
      </c>
      <c r="C280" s="219" t="s">
        <v>2687</v>
      </c>
      <c r="D280" s="268" t="s">
        <v>495</v>
      </c>
      <c r="E280" s="251">
        <v>44218.0</v>
      </c>
      <c r="F280" s="250" t="s">
        <v>496</v>
      </c>
      <c r="G280" s="171">
        <v>1000.0</v>
      </c>
      <c r="H280" s="171">
        <v>15.0</v>
      </c>
      <c r="I280" s="171">
        <v>25.0</v>
      </c>
      <c r="J280" s="325">
        <f t="shared" si="12"/>
        <v>0.0006163682558</v>
      </c>
      <c r="K280" s="326">
        <f t="shared" si="13"/>
        <v>0.5752770387</v>
      </c>
      <c r="L280" s="327">
        <f t="shared" si="9"/>
        <v>8.851726303</v>
      </c>
      <c r="M280" s="321" t="str">
        <f t="shared" si="10"/>
        <v>liviade</v>
      </c>
      <c r="N280" s="176">
        <f>IFERROR(__xludf.DUMMYFUNCTION("""COMPUTED_VALUE"""),29.0)</f>
        <v>29</v>
      </c>
      <c r="O280" s="176"/>
      <c r="P280" s="176"/>
      <c r="Q280" s="176"/>
      <c r="R280" s="176"/>
      <c r="S280" s="176"/>
      <c r="T280" s="176"/>
      <c r="U280" s="176"/>
      <c r="V280" s="176"/>
      <c r="W280" s="176"/>
      <c r="X280" s="176"/>
      <c r="Y280" s="176"/>
      <c r="Z280" s="176"/>
    </row>
    <row r="281">
      <c r="A281" s="249" t="s">
        <v>18</v>
      </c>
      <c r="B281" s="249" t="s">
        <v>18</v>
      </c>
      <c r="C281" s="219" t="s">
        <v>2688</v>
      </c>
      <c r="D281" s="268" t="s">
        <v>495</v>
      </c>
      <c r="E281" s="251">
        <v>44222.0</v>
      </c>
      <c r="F281" s="250" t="s">
        <v>496</v>
      </c>
      <c r="G281" s="171">
        <v>1000.0</v>
      </c>
      <c r="H281" s="171">
        <v>15.0</v>
      </c>
      <c r="I281" s="171">
        <v>25.0</v>
      </c>
      <c r="J281" s="325">
        <f t="shared" si="12"/>
        <v>0.0006163682558</v>
      </c>
      <c r="K281" s="326">
        <f t="shared" si="13"/>
        <v>0.5752770387</v>
      </c>
      <c r="L281" s="327">
        <f t="shared" si="9"/>
        <v>8.851726303</v>
      </c>
      <c r="M281" s="321" t="str">
        <f t="shared" si="10"/>
        <v>liviade</v>
      </c>
      <c r="N281" s="176">
        <f>IFERROR(__xludf.DUMMYFUNCTION("""COMPUTED_VALUE"""),30.0)</f>
        <v>30</v>
      </c>
      <c r="O281" s="176"/>
      <c r="P281" s="176"/>
      <c r="Q281" s="176"/>
      <c r="R281" s="176"/>
      <c r="S281" s="176"/>
      <c r="T281" s="176"/>
      <c r="U281" s="176"/>
      <c r="V281" s="176"/>
      <c r="W281" s="176"/>
      <c r="X281" s="176"/>
      <c r="Y281" s="176"/>
      <c r="Z281" s="176"/>
    </row>
    <row r="282">
      <c r="A282" s="249" t="s">
        <v>18</v>
      </c>
      <c r="B282" s="249" t="s">
        <v>18</v>
      </c>
      <c r="C282" s="219" t="s">
        <v>2689</v>
      </c>
      <c r="D282" s="268" t="s">
        <v>495</v>
      </c>
      <c r="E282" s="251">
        <v>44222.0</v>
      </c>
      <c r="F282" s="250" t="s">
        <v>496</v>
      </c>
      <c r="G282" s="171">
        <v>1000.0</v>
      </c>
      <c r="H282" s="171">
        <v>15.0</v>
      </c>
      <c r="I282" s="171">
        <v>25.0</v>
      </c>
      <c r="J282" s="325">
        <f t="shared" si="12"/>
        <v>0.0006163682558</v>
      </c>
      <c r="K282" s="326">
        <f t="shared" si="13"/>
        <v>0.5752770387</v>
      </c>
      <c r="L282" s="327">
        <f t="shared" si="9"/>
        <v>8.851726303</v>
      </c>
      <c r="M282" s="321" t="str">
        <f t="shared" si="10"/>
        <v>liviade</v>
      </c>
      <c r="N282" s="176">
        <f>IFERROR(__xludf.DUMMYFUNCTION("""COMPUTED_VALUE"""),31.0)</f>
        <v>31</v>
      </c>
      <c r="O282" s="176"/>
      <c r="P282" s="176"/>
      <c r="Q282" s="176"/>
      <c r="R282" s="176"/>
      <c r="S282" s="176"/>
      <c r="T282" s="176"/>
      <c r="U282" s="176"/>
      <c r="V282" s="176"/>
      <c r="W282" s="176"/>
      <c r="X282" s="176"/>
      <c r="Y282" s="176"/>
      <c r="Z282" s="176"/>
    </row>
    <row r="283">
      <c r="A283" s="249" t="s">
        <v>18</v>
      </c>
      <c r="B283" s="249" t="s">
        <v>10</v>
      </c>
      <c r="C283" s="219" t="s">
        <v>2690</v>
      </c>
      <c r="D283" s="268" t="s">
        <v>495</v>
      </c>
      <c r="E283" s="251">
        <v>44225.0</v>
      </c>
      <c r="F283" s="250" t="s">
        <v>496</v>
      </c>
      <c r="G283" s="171">
        <v>1000.0</v>
      </c>
      <c r="H283" s="171">
        <v>15.0</v>
      </c>
      <c r="I283" s="171">
        <v>25.0</v>
      </c>
      <c r="J283" s="325">
        <f t="shared" si="12"/>
        <v>0.0006163682558</v>
      </c>
      <c r="K283" s="326">
        <f t="shared" si="13"/>
        <v>0.5752770387</v>
      </c>
      <c r="L283" s="327">
        <f t="shared" si="9"/>
        <v>8.851726303</v>
      </c>
      <c r="M283" s="321" t="str">
        <f t="shared" si="10"/>
        <v>liviade</v>
      </c>
      <c r="N283" s="176">
        <f>IFERROR(__xludf.DUMMYFUNCTION("""COMPUTED_VALUE"""),32.0)</f>
        <v>32</v>
      </c>
      <c r="O283" s="176"/>
      <c r="P283" s="176"/>
      <c r="Q283" s="176"/>
      <c r="R283" s="176"/>
      <c r="S283" s="176"/>
      <c r="T283" s="176"/>
      <c r="U283" s="176"/>
      <c r="V283" s="176"/>
      <c r="W283" s="176"/>
      <c r="X283" s="176"/>
      <c r="Y283" s="176"/>
      <c r="Z283" s="176"/>
    </row>
    <row r="284">
      <c r="A284" s="253" t="s">
        <v>18</v>
      </c>
      <c r="B284" s="240" t="s">
        <v>534</v>
      </c>
      <c r="C284" s="221" t="s">
        <v>741</v>
      </c>
      <c r="D284" s="336"/>
      <c r="E284" s="255"/>
      <c r="F284" s="254"/>
      <c r="G284" s="222"/>
      <c r="H284" s="222"/>
      <c r="I284" s="222"/>
      <c r="J284" s="325">
        <f t="shared" si="12"/>
        <v>0</v>
      </c>
      <c r="K284" s="337">
        <f>59.011*-0.85</f>
        <v>-50.15935</v>
      </c>
      <c r="L284" s="327">
        <f t="shared" si="9"/>
        <v>8.851726303</v>
      </c>
      <c r="M284" s="321" t="str">
        <f t="shared" si="10"/>
        <v>liviade</v>
      </c>
      <c r="N284" s="209">
        <f>IFERROR(__xludf.DUMMYFUNCTION("""COMPUTED_VALUE"""),33.0)</f>
        <v>33</v>
      </c>
      <c r="O284" s="209"/>
      <c r="P284" s="209"/>
      <c r="Q284" s="209"/>
      <c r="R284" s="209"/>
      <c r="S284" s="209"/>
      <c r="T284" s="209"/>
      <c r="U284" s="209"/>
      <c r="V284" s="209"/>
      <c r="W284" s="209"/>
      <c r="X284" s="209"/>
      <c r="Y284" s="176"/>
      <c r="Z284" s="176"/>
    </row>
    <row r="285">
      <c r="A285" s="240" t="s">
        <v>25</v>
      </c>
      <c r="B285" s="343" t="s">
        <v>534</v>
      </c>
      <c r="C285" s="221" t="s">
        <v>684</v>
      </c>
      <c r="D285" s="343"/>
      <c r="E285" s="344"/>
      <c r="F285" s="343"/>
      <c r="G285" s="343"/>
      <c r="H285" s="253"/>
      <c r="I285" s="253"/>
      <c r="J285" s="172">
        <f t="shared" si="12"/>
        <v>0</v>
      </c>
      <c r="K285" s="299">
        <f>-0.85*53.503</f>
        <v>-45.47755</v>
      </c>
      <c r="L285" s="327">
        <f t="shared" si="9"/>
        <v>8.025634713</v>
      </c>
      <c r="M285" s="321" t="str">
        <f t="shared" si="10"/>
        <v>freedumbs00</v>
      </c>
      <c r="N285" s="336">
        <f>IFERROR(__xludf.DUMMYFUNCTION("""COMPUTED_VALUE"""),1.0)</f>
        <v>1</v>
      </c>
      <c r="O285" s="343"/>
      <c r="P285" s="343"/>
      <c r="Q285" s="343"/>
      <c r="R285" s="336">
        <v>36.89669088595067</v>
      </c>
      <c r="S285" s="343"/>
      <c r="T285" s="343"/>
      <c r="U285" s="343"/>
      <c r="V285" s="343"/>
      <c r="W285" s="343"/>
      <c r="X285" s="343"/>
      <c r="Y285" s="226"/>
      <c r="Z285" s="226"/>
    </row>
    <row r="286">
      <c r="A286" s="249" t="s">
        <v>25</v>
      </c>
      <c r="B286" s="249" t="s">
        <v>1228</v>
      </c>
      <c r="C286" s="219" t="s">
        <v>2673</v>
      </c>
      <c r="D286" s="268" t="s">
        <v>495</v>
      </c>
      <c r="E286" s="251">
        <v>44212.0</v>
      </c>
      <c r="F286" s="250" t="s">
        <v>496</v>
      </c>
      <c r="G286" s="243"/>
      <c r="H286" s="243"/>
      <c r="I286" s="243"/>
      <c r="J286" s="325">
        <f t="shared" si="12"/>
        <v>0</v>
      </c>
      <c r="K286" s="330">
        <v>1.9815994338287328</v>
      </c>
      <c r="L286" s="327">
        <f t="shared" si="9"/>
        <v>8.025634713</v>
      </c>
      <c r="M286" s="321" t="str">
        <f t="shared" si="10"/>
        <v>freedumbs00</v>
      </c>
      <c r="N286" s="176">
        <f>IFERROR(__xludf.DUMMYFUNCTION("""COMPUTED_VALUE"""),2.0)</f>
        <v>2</v>
      </c>
      <c r="O286" s="176"/>
      <c r="P286" s="176"/>
      <c r="Q286" s="176"/>
      <c r="R286" s="176"/>
      <c r="S286" s="176"/>
      <c r="T286" s="176"/>
      <c r="U286" s="176"/>
      <c r="V286" s="176"/>
      <c r="W286" s="176"/>
      <c r="X286" s="176"/>
      <c r="Y286" s="176"/>
      <c r="Z286" s="176"/>
    </row>
    <row r="287">
      <c r="A287" s="249" t="s">
        <v>25</v>
      </c>
      <c r="B287" s="249" t="s">
        <v>43</v>
      </c>
      <c r="C287" s="219" t="s">
        <v>2791</v>
      </c>
      <c r="D287" s="268" t="s">
        <v>495</v>
      </c>
      <c r="E287" s="251">
        <v>44215.0</v>
      </c>
      <c r="F287" s="250" t="s">
        <v>521</v>
      </c>
      <c r="G287" s="243"/>
      <c r="H287" s="243"/>
      <c r="I287" s="243"/>
      <c r="J287" s="325">
        <f t="shared" si="12"/>
        <v>0</v>
      </c>
      <c r="K287" s="330">
        <v>1.9815994338287328</v>
      </c>
      <c r="L287" s="327">
        <f t="shared" si="9"/>
        <v>8.025634713</v>
      </c>
      <c r="M287" s="321" t="str">
        <f t="shared" si="10"/>
        <v>freedumbs00</v>
      </c>
      <c r="N287" s="176">
        <f>IFERROR(__xludf.DUMMYFUNCTION("""COMPUTED_VALUE"""),3.0)</f>
        <v>3</v>
      </c>
      <c r="O287" s="176"/>
      <c r="P287" s="176"/>
      <c r="Q287" s="176"/>
      <c r="R287" s="176"/>
      <c r="S287" s="176"/>
      <c r="T287" s="176"/>
      <c r="U287" s="176"/>
      <c r="V287" s="176"/>
      <c r="W287" s="176"/>
      <c r="X287" s="176"/>
      <c r="Y287" s="176"/>
      <c r="Z287" s="176"/>
    </row>
    <row r="288">
      <c r="A288" s="249" t="s">
        <v>25</v>
      </c>
      <c r="B288" s="249" t="s">
        <v>18</v>
      </c>
      <c r="C288" s="219" t="s">
        <v>2683</v>
      </c>
      <c r="D288" s="268" t="s">
        <v>495</v>
      </c>
      <c r="E288" s="251">
        <v>44215.0</v>
      </c>
      <c r="F288" s="250" t="s">
        <v>496</v>
      </c>
      <c r="G288" s="243"/>
      <c r="H288" s="243"/>
      <c r="I288" s="243"/>
      <c r="J288" s="325">
        <f t="shared" si="12"/>
        <v>0</v>
      </c>
      <c r="K288" s="330">
        <v>1.9815994338287328</v>
      </c>
      <c r="L288" s="327">
        <f t="shared" si="9"/>
        <v>8.025634713</v>
      </c>
      <c r="M288" s="321" t="str">
        <f t="shared" si="10"/>
        <v>freedumbs00</v>
      </c>
      <c r="N288" s="176">
        <f>IFERROR(__xludf.DUMMYFUNCTION("""COMPUTED_VALUE"""),4.0)</f>
        <v>4</v>
      </c>
      <c r="O288" s="176"/>
      <c r="P288" s="176"/>
      <c r="Q288" s="176"/>
      <c r="R288" s="176"/>
      <c r="S288" s="176"/>
      <c r="T288" s="176"/>
      <c r="U288" s="176"/>
      <c r="V288" s="176"/>
      <c r="W288" s="176"/>
      <c r="X288" s="176"/>
      <c r="Y288" s="176"/>
      <c r="Z288" s="176"/>
    </row>
    <row r="289">
      <c r="A289" s="249" t="s">
        <v>25</v>
      </c>
      <c r="B289" s="249" t="s">
        <v>18</v>
      </c>
      <c r="C289" s="219" t="s">
        <v>2685</v>
      </c>
      <c r="D289" s="268" t="s">
        <v>495</v>
      </c>
      <c r="E289" s="251">
        <v>44215.0</v>
      </c>
      <c r="F289" s="250" t="s">
        <v>496</v>
      </c>
      <c r="G289" s="243"/>
      <c r="H289" s="243"/>
      <c r="I289" s="243"/>
      <c r="J289" s="325">
        <f t="shared" si="12"/>
        <v>0</v>
      </c>
      <c r="K289" s="330">
        <v>1.9815994338287328</v>
      </c>
      <c r="L289" s="327">
        <f t="shared" si="9"/>
        <v>8.025634713</v>
      </c>
      <c r="M289" s="321" t="str">
        <f t="shared" si="10"/>
        <v>freedumbs00</v>
      </c>
      <c r="N289" s="176">
        <f>IFERROR(__xludf.DUMMYFUNCTION("""COMPUTED_VALUE"""),5.0)</f>
        <v>5</v>
      </c>
      <c r="O289" s="176"/>
      <c r="P289" s="176"/>
      <c r="Q289" s="176"/>
      <c r="R289" s="176"/>
      <c r="S289" s="176"/>
      <c r="T289" s="176"/>
      <c r="U289" s="176"/>
      <c r="V289" s="176"/>
      <c r="W289" s="176"/>
      <c r="X289" s="176"/>
      <c r="Y289" s="176"/>
      <c r="Z289" s="176"/>
    </row>
    <row r="290">
      <c r="A290" s="249" t="s">
        <v>25</v>
      </c>
      <c r="B290" s="249" t="s">
        <v>590</v>
      </c>
      <c r="C290" s="219" t="s">
        <v>2678</v>
      </c>
      <c r="D290" s="268" t="s">
        <v>495</v>
      </c>
      <c r="E290" s="251">
        <v>44216.0</v>
      </c>
      <c r="F290" s="250" t="s">
        <v>496</v>
      </c>
      <c r="G290" s="243"/>
      <c r="H290" s="243"/>
      <c r="I290" s="243"/>
      <c r="J290" s="325">
        <f t="shared" si="12"/>
        <v>0</v>
      </c>
      <c r="K290" s="330">
        <v>1.9815994338287328</v>
      </c>
      <c r="L290" s="327">
        <f t="shared" si="9"/>
        <v>8.025634713</v>
      </c>
      <c r="M290" s="321" t="str">
        <f t="shared" si="10"/>
        <v>freedumbs00</v>
      </c>
      <c r="N290" s="176">
        <f>IFERROR(__xludf.DUMMYFUNCTION("""COMPUTED_VALUE"""),6.0)</f>
        <v>6</v>
      </c>
      <c r="O290" s="176"/>
      <c r="P290" s="176"/>
      <c r="Q290" s="176"/>
      <c r="R290" s="176"/>
      <c r="S290" s="176"/>
      <c r="T290" s="176"/>
      <c r="U290" s="176"/>
      <c r="V290" s="176"/>
      <c r="W290" s="176"/>
      <c r="X290" s="176"/>
      <c r="Y290" s="176"/>
      <c r="Z290" s="176"/>
    </row>
    <row r="291">
      <c r="A291" s="249" t="s">
        <v>25</v>
      </c>
      <c r="B291" s="249" t="s">
        <v>519</v>
      </c>
      <c r="C291" s="219" t="s">
        <v>2329</v>
      </c>
      <c r="D291" s="268" t="s">
        <v>495</v>
      </c>
      <c r="E291" s="251">
        <v>44216.0</v>
      </c>
      <c r="F291" s="250" t="s">
        <v>521</v>
      </c>
      <c r="G291" s="243"/>
      <c r="H291" s="243"/>
      <c r="I291" s="243"/>
      <c r="J291" s="325">
        <f t="shared" si="12"/>
        <v>0</v>
      </c>
      <c r="K291" s="330">
        <v>1.9815994338287328</v>
      </c>
      <c r="L291" s="327">
        <f t="shared" si="9"/>
        <v>8.025634713</v>
      </c>
      <c r="M291" s="321" t="str">
        <f t="shared" si="10"/>
        <v>freedumbs00</v>
      </c>
      <c r="N291" s="176">
        <f>IFERROR(__xludf.DUMMYFUNCTION("""COMPUTED_VALUE"""),7.0)</f>
        <v>7</v>
      </c>
      <c r="O291" s="176"/>
      <c r="P291" s="176"/>
      <c r="Q291" s="176"/>
      <c r="R291" s="176"/>
      <c r="S291" s="176"/>
      <c r="T291" s="176"/>
      <c r="U291" s="176"/>
      <c r="V291" s="176"/>
      <c r="W291" s="176"/>
      <c r="X291" s="176"/>
      <c r="Y291" s="176"/>
      <c r="Z291" s="176"/>
    </row>
    <row r="292">
      <c r="A292" s="249" t="s">
        <v>25</v>
      </c>
      <c r="B292" s="249" t="s">
        <v>519</v>
      </c>
      <c r="C292" s="219" t="s">
        <v>2659</v>
      </c>
      <c r="D292" s="268" t="s">
        <v>495</v>
      </c>
      <c r="E292" s="251">
        <v>44217.0</v>
      </c>
      <c r="F292" s="250" t="s">
        <v>496</v>
      </c>
      <c r="G292" s="243"/>
      <c r="H292" s="243"/>
      <c r="I292" s="243"/>
      <c r="J292" s="325">
        <f t="shared" si="12"/>
        <v>0</v>
      </c>
      <c r="K292" s="330">
        <v>1.9815994338287328</v>
      </c>
      <c r="L292" s="327">
        <f t="shared" si="9"/>
        <v>8.025634713</v>
      </c>
      <c r="M292" s="321" t="str">
        <f t="shared" si="10"/>
        <v>freedumbs00</v>
      </c>
      <c r="N292" s="176">
        <f>IFERROR(__xludf.DUMMYFUNCTION("""COMPUTED_VALUE"""),8.0)</f>
        <v>8</v>
      </c>
      <c r="O292" s="176"/>
      <c r="P292" s="176"/>
      <c r="Q292" s="176"/>
      <c r="R292" s="176"/>
      <c r="S292" s="176"/>
      <c r="T292" s="176"/>
      <c r="U292" s="176"/>
      <c r="V292" s="176"/>
      <c r="W292" s="176"/>
      <c r="X292" s="176"/>
      <c r="Y292" s="176"/>
      <c r="Z292" s="176"/>
    </row>
    <row r="293">
      <c r="A293" s="249" t="s">
        <v>25</v>
      </c>
      <c r="B293" s="249" t="s">
        <v>590</v>
      </c>
      <c r="C293" s="219" t="s">
        <v>2792</v>
      </c>
      <c r="D293" s="268" t="s">
        <v>495</v>
      </c>
      <c r="E293" s="251">
        <v>44217.0</v>
      </c>
      <c r="F293" s="250" t="s">
        <v>496</v>
      </c>
      <c r="G293" s="243"/>
      <c r="H293" s="243"/>
      <c r="I293" s="243"/>
      <c r="J293" s="325">
        <f t="shared" si="12"/>
        <v>0</v>
      </c>
      <c r="K293" s="330">
        <v>1.9815994338287328</v>
      </c>
      <c r="L293" s="327">
        <f t="shared" si="9"/>
        <v>8.025634713</v>
      </c>
      <c r="M293" s="321" t="str">
        <f t="shared" si="10"/>
        <v>freedumbs00</v>
      </c>
      <c r="N293" s="176">
        <f>IFERROR(__xludf.DUMMYFUNCTION("""COMPUTED_VALUE"""),9.0)</f>
        <v>9</v>
      </c>
      <c r="O293" s="176"/>
      <c r="P293" s="176"/>
      <c r="Q293" s="176"/>
      <c r="R293" s="176"/>
      <c r="S293" s="176"/>
      <c r="T293" s="176"/>
      <c r="U293" s="176"/>
      <c r="V293" s="176"/>
      <c r="W293" s="176"/>
      <c r="X293" s="176"/>
      <c r="Y293" s="176"/>
      <c r="Z293" s="176"/>
    </row>
    <row r="294">
      <c r="A294" s="249" t="s">
        <v>25</v>
      </c>
      <c r="B294" s="249" t="s">
        <v>10</v>
      </c>
      <c r="C294" s="219" t="s">
        <v>2531</v>
      </c>
      <c r="D294" s="268" t="s">
        <v>495</v>
      </c>
      <c r="E294" s="251">
        <v>44218.0</v>
      </c>
      <c r="F294" s="250" t="s">
        <v>499</v>
      </c>
      <c r="G294" s="243"/>
      <c r="H294" s="243"/>
      <c r="I294" s="243"/>
      <c r="J294" s="325">
        <f t="shared" si="12"/>
        <v>0</v>
      </c>
      <c r="K294" s="330">
        <v>1.9815994338287328</v>
      </c>
      <c r="L294" s="327">
        <f t="shared" si="9"/>
        <v>8.025634713</v>
      </c>
      <c r="M294" s="321" t="str">
        <f t="shared" si="10"/>
        <v>freedumbs00</v>
      </c>
      <c r="N294" s="176">
        <f>IFERROR(__xludf.DUMMYFUNCTION("""COMPUTED_VALUE"""),10.0)</f>
        <v>10</v>
      </c>
      <c r="O294" s="176"/>
      <c r="P294" s="176"/>
      <c r="Q294" s="176"/>
      <c r="R294" s="176"/>
      <c r="S294" s="176"/>
      <c r="T294" s="176"/>
      <c r="U294" s="176"/>
      <c r="V294" s="176"/>
      <c r="W294" s="176"/>
      <c r="X294" s="176"/>
      <c r="Y294" s="176"/>
      <c r="Z294" s="176"/>
    </row>
    <row r="295">
      <c r="A295" s="249" t="s">
        <v>25</v>
      </c>
      <c r="B295" s="249" t="s">
        <v>10</v>
      </c>
      <c r="C295" s="219" t="s">
        <v>494</v>
      </c>
      <c r="D295" s="268" t="s">
        <v>495</v>
      </c>
      <c r="E295" s="251">
        <v>44218.0</v>
      </c>
      <c r="F295" s="250" t="s">
        <v>545</v>
      </c>
      <c r="G295" s="243"/>
      <c r="H295" s="243"/>
      <c r="I295" s="243"/>
      <c r="J295" s="325">
        <f t="shared" si="12"/>
        <v>0</v>
      </c>
      <c r="K295" s="330">
        <v>1.9815994338287328</v>
      </c>
      <c r="L295" s="327">
        <f t="shared" si="9"/>
        <v>8.025634713</v>
      </c>
      <c r="M295" s="321" t="str">
        <f t="shared" si="10"/>
        <v>freedumbs00</v>
      </c>
      <c r="N295" s="176">
        <f>IFERROR(__xludf.DUMMYFUNCTION("""COMPUTED_VALUE"""),11.0)</f>
        <v>11</v>
      </c>
      <c r="O295" s="176"/>
      <c r="P295" s="176"/>
      <c r="Q295" s="176"/>
      <c r="R295" s="176"/>
      <c r="S295" s="176"/>
      <c r="T295" s="176"/>
      <c r="U295" s="176"/>
      <c r="V295" s="176"/>
      <c r="W295" s="176"/>
      <c r="X295" s="176"/>
      <c r="Y295" s="176"/>
      <c r="Z295" s="176"/>
    </row>
    <row r="296">
      <c r="A296" s="249" t="s">
        <v>25</v>
      </c>
      <c r="B296" s="249" t="s">
        <v>10</v>
      </c>
      <c r="C296" s="219" t="s">
        <v>2793</v>
      </c>
      <c r="D296" s="268" t="s">
        <v>495</v>
      </c>
      <c r="E296" s="251">
        <v>44218.0</v>
      </c>
      <c r="F296" s="250" t="s">
        <v>496</v>
      </c>
      <c r="G296" s="243"/>
      <c r="H296" s="243"/>
      <c r="I296" s="243"/>
      <c r="J296" s="325">
        <f t="shared" si="12"/>
        <v>0</v>
      </c>
      <c r="K296" s="330">
        <v>1.9815994338287328</v>
      </c>
      <c r="L296" s="327">
        <f t="shared" si="9"/>
        <v>8.025634713</v>
      </c>
      <c r="M296" s="321" t="str">
        <f t="shared" si="10"/>
        <v>freedumbs00</v>
      </c>
      <c r="N296" s="176">
        <f>IFERROR(__xludf.DUMMYFUNCTION("""COMPUTED_VALUE"""),12.0)</f>
        <v>12</v>
      </c>
      <c r="O296" s="176"/>
      <c r="P296" s="176"/>
      <c r="Q296" s="176"/>
      <c r="R296" s="176"/>
      <c r="S296" s="176"/>
      <c r="T296" s="176"/>
      <c r="U296" s="176"/>
      <c r="V296" s="176"/>
      <c r="W296" s="176"/>
      <c r="X296" s="176"/>
      <c r="Y296" s="176"/>
      <c r="Z296" s="176"/>
    </row>
    <row r="297">
      <c r="A297" s="249" t="s">
        <v>25</v>
      </c>
      <c r="B297" s="249" t="s">
        <v>10</v>
      </c>
      <c r="C297" s="219" t="s">
        <v>2668</v>
      </c>
      <c r="D297" s="268" t="s">
        <v>495</v>
      </c>
      <c r="E297" s="251">
        <v>44218.0</v>
      </c>
      <c r="F297" s="250" t="s">
        <v>496</v>
      </c>
      <c r="G297" s="243"/>
      <c r="H297" s="243"/>
      <c r="I297" s="243"/>
      <c r="J297" s="325">
        <f t="shared" si="12"/>
        <v>0</v>
      </c>
      <c r="K297" s="330">
        <v>1.9815994338287328</v>
      </c>
      <c r="L297" s="327">
        <f t="shared" si="9"/>
        <v>8.025634713</v>
      </c>
      <c r="M297" s="321" t="str">
        <f t="shared" si="10"/>
        <v>freedumbs00</v>
      </c>
      <c r="N297" s="176">
        <f>IFERROR(__xludf.DUMMYFUNCTION("""COMPUTED_VALUE"""),13.0)</f>
        <v>13</v>
      </c>
      <c r="O297" s="176"/>
      <c r="P297" s="176"/>
      <c r="Q297" s="176"/>
      <c r="R297" s="176"/>
      <c r="S297" s="176"/>
      <c r="T297" s="176"/>
      <c r="U297" s="176"/>
      <c r="V297" s="176"/>
      <c r="W297" s="176"/>
      <c r="X297" s="176"/>
      <c r="Y297" s="176"/>
      <c r="Z297" s="176"/>
    </row>
    <row r="298">
      <c r="A298" s="249" t="s">
        <v>25</v>
      </c>
      <c r="B298" s="249" t="s">
        <v>10</v>
      </c>
      <c r="C298" s="219" t="s">
        <v>2739</v>
      </c>
      <c r="D298" s="268" t="s">
        <v>495</v>
      </c>
      <c r="E298" s="251">
        <v>44218.0</v>
      </c>
      <c r="F298" s="250" t="s">
        <v>496</v>
      </c>
      <c r="G298" s="243"/>
      <c r="H298" s="243"/>
      <c r="I298" s="243"/>
      <c r="J298" s="325">
        <f t="shared" si="12"/>
        <v>0</v>
      </c>
      <c r="K298" s="330">
        <v>1.9815994338287328</v>
      </c>
      <c r="L298" s="327">
        <f t="shared" si="9"/>
        <v>8.025634713</v>
      </c>
      <c r="M298" s="321" t="str">
        <f t="shared" si="10"/>
        <v>freedumbs00</v>
      </c>
      <c r="N298" s="176">
        <f>IFERROR(__xludf.DUMMYFUNCTION("""COMPUTED_VALUE"""),14.0)</f>
        <v>14</v>
      </c>
      <c r="O298" s="176"/>
      <c r="P298" s="176"/>
      <c r="Q298" s="176"/>
      <c r="R298" s="176"/>
      <c r="S298" s="176"/>
      <c r="T298" s="176"/>
      <c r="U298" s="176"/>
      <c r="V298" s="176"/>
      <c r="W298" s="176"/>
      <c r="X298" s="176"/>
      <c r="Y298" s="176"/>
      <c r="Z298" s="176"/>
    </row>
    <row r="299">
      <c r="A299" s="249" t="s">
        <v>25</v>
      </c>
      <c r="B299" s="249" t="s">
        <v>10</v>
      </c>
      <c r="C299" s="219" t="s">
        <v>2687</v>
      </c>
      <c r="D299" s="268" t="s">
        <v>495</v>
      </c>
      <c r="E299" s="251">
        <v>44218.0</v>
      </c>
      <c r="F299" s="250" t="s">
        <v>496</v>
      </c>
      <c r="G299" s="243"/>
      <c r="H299" s="243"/>
      <c r="I299" s="243"/>
      <c r="J299" s="325">
        <f t="shared" si="12"/>
        <v>0</v>
      </c>
      <c r="K299" s="330">
        <v>1.9815994338287328</v>
      </c>
      <c r="L299" s="327">
        <f t="shared" si="9"/>
        <v>8.025634713</v>
      </c>
      <c r="M299" s="321" t="str">
        <f t="shared" si="10"/>
        <v>freedumbs00</v>
      </c>
      <c r="N299" s="176">
        <f>IFERROR(__xludf.DUMMYFUNCTION("""COMPUTED_VALUE"""),15.0)</f>
        <v>15</v>
      </c>
      <c r="O299" s="176"/>
      <c r="P299" s="176"/>
      <c r="Q299" s="176"/>
      <c r="R299" s="176"/>
      <c r="S299" s="176"/>
      <c r="T299" s="176"/>
      <c r="U299" s="176"/>
      <c r="V299" s="176"/>
      <c r="W299" s="176"/>
      <c r="X299" s="176"/>
      <c r="Y299" s="176"/>
      <c r="Z299" s="176"/>
    </row>
    <row r="300">
      <c r="A300" s="249" t="s">
        <v>25</v>
      </c>
      <c r="B300" s="249" t="s">
        <v>845</v>
      </c>
      <c r="C300" s="219" t="s">
        <v>2794</v>
      </c>
      <c r="D300" s="268" t="s">
        <v>495</v>
      </c>
      <c r="E300" s="251">
        <v>44221.0</v>
      </c>
      <c r="F300" s="250" t="s">
        <v>496</v>
      </c>
      <c r="G300" s="243"/>
      <c r="H300" s="243"/>
      <c r="I300" s="243"/>
      <c r="J300" s="325">
        <f t="shared" si="12"/>
        <v>0</v>
      </c>
      <c r="K300" s="330">
        <v>1.9815994338287328</v>
      </c>
      <c r="L300" s="327">
        <f t="shared" si="9"/>
        <v>8.025634713</v>
      </c>
      <c r="M300" s="321" t="str">
        <f t="shared" si="10"/>
        <v>freedumbs00</v>
      </c>
      <c r="N300" s="176">
        <f>IFERROR(__xludf.DUMMYFUNCTION("""COMPUTED_VALUE"""),16.0)</f>
        <v>16</v>
      </c>
      <c r="O300" s="176"/>
      <c r="P300" s="176"/>
      <c r="Q300" s="176"/>
      <c r="R300" s="176"/>
      <c r="S300" s="176"/>
      <c r="T300" s="176"/>
      <c r="U300" s="176"/>
      <c r="V300" s="176"/>
      <c r="W300" s="176"/>
      <c r="X300" s="176"/>
      <c r="Y300" s="176"/>
      <c r="Z300" s="176"/>
    </row>
    <row r="301">
      <c r="A301" s="249" t="s">
        <v>25</v>
      </c>
      <c r="B301" s="249" t="s">
        <v>18</v>
      </c>
      <c r="C301" s="219" t="s">
        <v>2795</v>
      </c>
      <c r="D301" s="268" t="s">
        <v>495</v>
      </c>
      <c r="E301" s="251">
        <v>44221.0</v>
      </c>
      <c r="F301" s="250" t="s">
        <v>496</v>
      </c>
      <c r="G301" s="243"/>
      <c r="H301" s="243"/>
      <c r="I301" s="243"/>
      <c r="J301" s="325">
        <f t="shared" si="12"/>
        <v>0</v>
      </c>
      <c r="K301" s="330">
        <v>1.9815994338287328</v>
      </c>
      <c r="L301" s="327">
        <f t="shared" si="9"/>
        <v>8.025634713</v>
      </c>
      <c r="M301" s="321" t="str">
        <f t="shared" si="10"/>
        <v>freedumbs00</v>
      </c>
      <c r="N301" s="176">
        <f>IFERROR(__xludf.DUMMYFUNCTION("""COMPUTED_VALUE"""),17.0)</f>
        <v>17</v>
      </c>
      <c r="O301" s="176"/>
      <c r="P301" s="176"/>
      <c r="Q301" s="176"/>
      <c r="R301" s="176"/>
      <c r="S301" s="176"/>
      <c r="T301" s="176"/>
      <c r="U301" s="176"/>
      <c r="V301" s="176"/>
      <c r="W301" s="176"/>
      <c r="X301" s="176"/>
      <c r="Y301" s="176"/>
      <c r="Z301" s="176"/>
    </row>
    <row r="302">
      <c r="A302" s="249" t="s">
        <v>25</v>
      </c>
      <c r="B302" s="249" t="s">
        <v>590</v>
      </c>
      <c r="C302" s="219" t="s">
        <v>2681</v>
      </c>
      <c r="D302" s="268" t="s">
        <v>495</v>
      </c>
      <c r="E302" s="251">
        <v>44222.0</v>
      </c>
      <c r="F302" s="250" t="s">
        <v>496</v>
      </c>
      <c r="G302" s="243"/>
      <c r="H302" s="243"/>
      <c r="I302" s="243"/>
      <c r="J302" s="325">
        <f t="shared" si="12"/>
        <v>0</v>
      </c>
      <c r="K302" s="330">
        <v>1.9815994338287328</v>
      </c>
      <c r="L302" s="327">
        <f t="shared" si="9"/>
        <v>8.025634713</v>
      </c>
      <c r="M302" s="321" t="str">
        <f t="shared" si="10"/>
        <v>freedumbs00</v>
      </c>
      <c r="N302" s="176">
        <f>IFERROR(__xludf.DUMMYFUNCTION("""COMPUTED_VALUE"""),18.0)</f>
        <v>18</v>
      </c>
      <c r="O302" s="176"/>
      <c r="P302" s="176"/>
      <c r="Q302" s="176"/>
      <c r="R302" s="176"/>
      <c r="S302" s="176"/>
      <c r="T302" s="176"/>
      <c r="U302" s="176"/>
      <c r="V302" s="176"/>
      <c r="W302" s="176"/>
      <c r="X302" s="176"/>
      <c r="Y302" s="176"/>
      <c r="Z302" s="176"/>
    </row>
    <row r="303">
      <c r="A303" s="249" t="s">
        <v>25</v>
      </c>
      <c r="B303" s="249" t="s">
        <v>18</v>
      </c>
      <c r="C303" s="219" t="s">
        <v>2689</v>
      </c>
      <c r="D303" s="268" t="s">
        <v>495</v>
      </c>
      <c r="E303" s="251">
        <v>44222.0</v>
      </c>
      <c r="F303" s="250" t="s">
        <v>496</v>
      </c>
      <c r="G303" s="243"/>
      <c r="H303" s="243"/>
      <c r="I303" s="243"/>
      <c r="J303" s="325">
        <f t="shared" si="12"/>
        <v>0</v>
      </c>
      <c r="K303" s="330">
        <v>1.9815994338287328</v>
      </c>
      <c r="L303" s="327">
        <f t="shared" si="9"/>
        <v>8.025634713</v>
      </c>
      <c r="M303" s="321" t="str">
        <f t="shared" si="10"/>
        <v>freedumbs00</v>
      </c>
      <c r="N303" s="176">
        <f>IFERROR(__xludf.DUMMYFUNCTION("""COMPUTED_VALUE"""),19.0)</f>
        <v>19</v>
      </c>
      <c r="O303" s="176"/>
      <c r="P303" s="176"/>
      <c r="Q303" s="176"/>
      <c r="R303" s="176"/>
      <c r="S303" s="176"/>
      <c r="T303" s="176"/>
      <c r="U303" s="176"/>
      <c r="V303" s="176"/>
      <c r="W303" s="176"/>
      <c r="X303" s="176"/>
      <c r="Y303" s="176"/>
      <c r="Z303" s="176"/>
    </row>
    <row r="304">
      <c r="A304" s="249" t="s">
        <v>25</v>
      </c>
      <c r="B304" s="249" t="s">
        <v>25</v>
      </c>
      <c r="C304" s="219" t="s">
        <v>2682</v>
      </c>
      <c r="D304" s="268" t="s">
        <v>495</v>
      </c>
      <c r="E304" s="251">
        <v>44223.0</v>
      </c>
      <c r="F304" s="250" t="s">
        <v>496</v>
      </c>
      <c r="G304" s="243"/>
      <c r="H304" s="243"/>
      <c r="I304" s="243"/>
      <c r="J304" s="325">
        <f t="shared" si="12"/>
        <v>0</v>
      </c>
      <c r="K304" s="326">
        <f t="shared" ref="K304:K305" si="14">J304*$J$1</f>
        <v>0</v>
      </c>
      <c r="L304" s="327">
        <f t="shared" si="9"/>
        <v>8.025634713</v>
      </c>
      <c r="M304" s="321" t="str">
        <f t="shared" si="10"/>
        <v>freedumbs00</v>
      </c>
      <c r="N304" s="176">
        <f>IFERROR(__xludf.DUMMYFUNCTION("""COMPUTED_VALUE"""),20.0)</f>
        <v>20</v>
      </c>
      <c r="O304" s="176"/>
      <c r="P304" s="176"/>
      <c r="Q304" s="176"/>
      <c r="R304" s="176"/>
      <c r="S304" s="176"/>
      <c r="T304" s="176"/>
      <c r="U304" s="176"/>
      <c r="V304" s="176"/>
      <c r="W304" s="176"/>
      <c r="X304" s="176"/>
      <c r="Y304" s="176"/>
      <c r="Z304" s="176"/>
    </row>
    <row r="305">
      <c r="A305" s="249" t="s">
        <v>25</v>
      </c>
      <c r="B305" s="249" t="s">
        <v>25</v>
      </c>
      <c r="C305" s="219" t="s">
        <v>2740</v>
      </c>
      <c r="D305" s="268" t="s">
        <v>495</v>
      </c>
      <c r="E305" s="251">
        <v>44223.0</v>
      </c>
      <c r="F305" s="250" t="s">
        <v>496</v>
      </c>
      <c r="G305" s="243"/>
      <c r="H305" s="243"/>
      <c r="I305" s="243"/>
      <c r="J305" s="325">
        <f t="shared" si="12"/>
        <v>0</v>
      </c>
      <c r="K305" s="326">
        <f t="shared" si="14"/>
        <v>0</v>
      </c>
      <c r="L305" s="327">
        <f t="shared" si="9"/>
        <v>8.025634713</v>
      </c>
      <c r="M305" s="321" t="str">
        <f t="shared" si="10"/>
        <v>freedumbs00</v>
      </c>
      <c r="N305" s="176">
        <f>IFERROR(__xludf.DUMMYFUNCTION("""COMPUTED_VALUE"""),21.0)</f>
        <v>21</v>
      </c>
      <c r="O305" s="176"/>
      <c r="P305" s="176"/>
      <c r="Q305" s="176"/>
      <c r="R305" s="176"/>
      <c r="S305" s="176"/>
      <c r="T305" s="176"/>
      <c r="U305" s="176"/>
      <c r="V305" s="176"/>
      <c r="W305" s="176"/>
      <c r="X305" s="176"/>
      <c r="Y305" s="176"/>
      <c r="Z305" s="176"/>
    </row>
    <row r="306">
      <c r="A306" s="249" t="s">
        <v>25</v>
      </c>
      <c r="B306" s="249" t="s">
        <v>5</v>
      </c>
      <c r="C306" s="219" t="s">
        <v>2676</v>
      </c>
      <c r="D306" s="268" t="s">
        <v>495</v>
      </c>
      <c r="E306" s="251">
        <v>44224.0</v>
      </c>
      <c r="F306" s="250" t="s">
        <v>496</v>
      </c>
      <c r="G306" s="243"/>
      <c r="H306" s="243"/>
      <c r="I306" s="243"/>
      <c r="J306" s="325">
        <f t="shared" si="12"/>
        <v>0</v>
      </c>
      <c r="K306" s="330">
        <v>1.9815994338287328</v>
      </c>
      <c r="L306" s="327">
        <f t="shared" si="9"/>
        <v>8.025634713</v>
      </c>
      <c r="M306" s="321" t="str">
        <f t="shared" si="10"/>
        <v>freedumbs00</v>
      </c>
      <c r="N306" s="176">
        <f>IFERROR(__xludf.DUMMYFUNCTION("""COMPUTED_VALUE"""),22.0)</f>
        <v>22</v>
      </c>
      <c r="O306" s="176"/>
      <c r="P306" s="176"/>
      <c r="Q306" s="176"/>
      <c r="R306" s="176"/>
      <c r="S306" s="176"/>
      <c r="T306" s="176"/>
      <c r="U306" s="176"/>
      <c r="V306" s="176"/>
      <c r="W306" s="176"/>
      <c r="X306" s="176"/>
      <c r="Y306" s="176"/>
      <c r="Z306" s="176"/>
    </row>
    <row r="307">
      <c r="A307" s="249" t="s">
        <v>25</v>
      </c>
      <c r="B307" s="249" t="s">
        <v>10</v>
      </c>
      <c r="C307" s="219" t="s">
        <v>2796</v>
      </c>
      <c r="D307" s="268" t="s">
        <v>495</v>
      </c>
      <c r="E307" s="251">
        <v>44225.0</v>
      </c>
      <c r="F307" s="250" t="s">
        <v>496</v>
      </c>
      <c r="G307" s="243"/>
      <c r="H307" s="243"/>
      <c r="I307" s="243"/>
      <c r="J307" s="325">
        <f t="shared" si="12"/>
        <v>0</v>
      </c>
      <c r="K307" s="330">
        <v>1.9815994338287328</v>
      </c>
      <c r="L307" s="327">
        <f t="shared" si="9"/>
        <v>8.025634713</v>
      </c>
      <c r="M307" s="321" t="str">
        <f t="shared" si="10"/>
        <v>freedumbs00</v>
      </c>
      <c r="N307" s="176">
        <f>IFERROR(__xludf.DUMMYFUNCTION("""COMPUTED_VALUE"""),23.0)</f>
        <v>23</v>
      </c>
      <c r="O307" s="176"/>
      <c r="P307" s="176"/>
      <c r="Q307" s="176"/>
      <c r="R307" s="176"/>
      <c r="S307" s="176"/>
      <c r="T307" s="176"/>
      <c r="U307" s="176"/>
      <c r="V307" s="176"/>
      <c r="W307" s="176"/>
      <c r="X307" s="176"/>
      <c r="Y307" s="176"/>
      <c r="Z307" s="176"/>
    </row>
    <row r="308">
      <c r="A308" s="249" t="s">
        <v>25</v>
      </c>
      <c r="B308" s="249" t="s">
        <v>10</v>
      </c>
      <c r="C308" s="219" t="s">
        <v>2675</v>
      </c>
      <c r="D308" s="268" t="s">
        <v>495</v>
      </c>
      <c r="E308" s="251">
        <v>44225.0</v>
      </c>
      <c r="F308" s="250" t="s">
        <v>496</v>
      </c>
      <c r="G308" s="243"/>
      <c r="H308" s="243"/>
      <c r="I308" s="243"/>
      <c r="J308" s="325">
        <f t="shared" si="12"/>
        <v>0</v>
      </c>
      <c r="K308" s="330">
        <v>1.9815994338287328</v>
      </c>
      <c r="L308" s="327">
        <f t="shared" si="9"/>
        <v>8.025634713</v>
      </c>
      <c r="M308" s="321" t="str">
        <f t="shared" si="10"/>
        <v>freedumbs00</v>
      </c>
      <c r="N308" s="176">
        <f>IFERROR(__xludf.DUMMYFUNCTION("""COMPUTED_VALUE"""),24.0)</f>
        <v>24</v>
      </c>
      <c r="O308" s="176"/>
      <c r="P308" s="176"/>
      <c r="Q308" s="176"/>
      <c r="R308" s="176"/>
      <c r="S308" s="176"/>
      <c r="T308" s="176"/>
      <c r="U308" s="176"/>
      <c r="V308" s="176"/>
      <c r="W308" s="176"/>
      <c r="X308" s="176"/>
      <c r="Y308" s="176"/>
      <c r="Z308" s="176"/>
    </row>
    <row r="309">
      <c r="A309" s="249" t="s">
        <v>25</v>
      </c>
      <c r="B309" s="249" t="s">
        <v>10</v>
      </c>
      <c r="C309" s="219" t="s">
        <v>2670</v>
      </c>
      <c r="D309" s="268" t="s">
        <v>495</v>
      </c>
      <c r="E309" s="251">
        <v>44225.0</v>
      </c>
      <c r="F309" s="250" t="s">
        <v>496</v>
      </c>
      <c r="G309" s="243"/>
      <c r="H309" s="243"/>
      <c r="I309" s="243"/>
      <c r="J309" s="325">
        <f t="shared" si="12"/>
        <v>0</v>
      </c>
      <c r="K309" s="330">
        <v>1.9815994338287328</v>
      </c>
      <c r="L309" s="327">
        <f t="shared" si="9"/>
        <v>8.025634713</v>
      </c>
      <c r="M309" s="321" t="str">
        <f t="shared" si="10"/>
        <v>freedumbs00</v>
      </c>
      <c r="N309" s="176">
        <f>IFERROR(__xludf.DUMMYFUNCTION("""COMPUTED_VALUE"""),25.0)</f>
        <v>25</v>
      </c>
      <c r="O309" s="176"/>
      <c r="P309" s="176"/>
      <c r="Q309" s="176"/>
      <c r="R309" s="176"/>
      <c r="S309" s="176"/>
      <c r="T309" s="176"/>
      <c r="U309" s="176"/>
      <c r="V309" s="176"/>
      <c r="W309" s="176"/>
      <c r="X309" s="176"/>
      <c r="Y309" s="176"/>
      <c r="Z309" s="176"/>
    </row>
    <row r="310">
      <c r="A310" s="249" t="s">
        <v>25</v>
      </c>
      <c r="B310" s="249" t="s">
        <v>10</v>
      </c>
      <c r="C310" s="219" t="s">
        <v>2737</v>
      </c>
      <c r="D310" s="268" t="s">
        <v>495</v>
      </c>
      <c r="E310" s="251">
        <v>44225.0</v>
      </c>
      <c r="F310" s="250" t="s">
        <v>496</v>
      </c>
      <c r="G310" s="243"/>
      <c r="H310" s="243"/>
      <c r="I310" s="243"/>
      <c r="J310" s="325">
        <f t="shared" si="12"/>
        <v>0</v>
      </c>
      <c r="K310" s="330">
        <v>1.9815994338287328</v>
      </c>
      <c r="L310" s="327">
        <f t="shared" si="9"/>
        <v>8.025634713</v>
      </c>
      <c r="M310" s="321" t="str">
        <f t="shared" si="10"/>
        <v>freedumbs00</v>
      </c>
      <c r="N310" s="176">
        <f>IFERROR(__xludf.DUMMYFUNCTION("""COMPUTED_VALUE"""),26.0)</f>
        <v>26</v>
      </c>
      <c r="O310" s="176"/>
      <c r="P310" s="176"/>
      <c r="Q310" s="176"/>
      <c r="R310" s="176"/>
      <c r="S310" s="176"/>
      <c r="T310" s="176"/>
      <c r="U310" s="176"/>
      <c r="V310" s="176"/>
      <c r="W310" s="176"/>
      <c r="X310" s="176"/>
      <c r="Y310" s="176"/>
      <c r="Z310" s="176"/>
    </row>
    <row r="311">
      <c r="A311" s="249" t="s">
        <v>25</v>
      </c>
      <c r="B311" s="249" t="s">
        <v>10</v>
      </c>
      <c r="C311" s="219" t="s">
        <v>2690</v>
      </c>
      <c r="D311" s="268" t="s">
        <v>495</v>
      </c>
      <c r="E311" s="251">
        <v>44225.0</v>
      </c>
      <c r="F311" s="250" t="s">
        <v>496</v>
      </c>
      <c r="G311" s="243"/>
      <c r="H311" s="243"/>
      <c r="I311" s="243"/>
      <c r="J311" s="325">
        <f t="shared" si="12"/>
        <v>0</v>
      </c>
      <c r="K311" s="330">
        <v>1.9815994338287328</v>
      </c>
      <c r="L311" s="327">
        <f t="shared" si="9"/>
        <v>8.025634713</v>
      </c>
      <c r="M311" s="321" t="str">
        <f t="shared" si="10"/>
        <v>freedumbs00</v>
      </c>
      <c r="N311" s="176">
        <f>IFERROR(__xludf.DUMMYFUNCTION("""COMPUTED_VALUE"""),27.0)</f>
        <v>27</v>
      </c>
      <c r="O311" s="176"/>
      <c r="P311" s="176"/>
      <c r="Q311" s="176"/>
      <c r="R311" s="176"/>
      <c r="S311" s="176"/>
      <c r="T311" s="176"/>
      <c r="U311" s="176"/>
      <c r="V311" s="176"/>
      <c r="W311" s="176"/>
      <c r="X311" s="176"/>
      <c r="Y311" s="176"/>
      <c r="Z311" s="176"/>
    </row>
    <row r="312">
      <c r="A312" s="249" t="s">
        <v>25</v>
      </c>
      <c r="B312" s="249" t="s">
        <v>10</v>
      </c>
      <c r="C312" s="219" t="s">
        <v>2498</v>
      </c>
      <c r="D312" s="268" t="s">
        <v>495</v>
      </c>
      <c r="E312" s="251">
        <v>44225.0</v>
      </c>
      <c r="F312" s="250" t="s">
        <v>496</v>
      </c>
      <c r="G312" s="243"/>
      <c r="H312" s="243"/>
      <c r="I312" s="243"/>
      <c r="J312" s="325">
        <f t="shared" si="12"/>
        <v>0</v>
      </c>
      <c r="K312" s="330">
        <v>1.9815994338287328</v>
      </c>
      <c r="L312" s="327">
        <f t="shared" si="9"/>
        <v>8.025634713</v>
      </c>
      <c r="M312" s="321" t="str">
        <f t="shared" si="10"/>
        <v>freedumbs00</v>
      </c>
      <c r="N312" s="176">
        <f>IFERROR(__xludf.DUMMYFUNCTION("""COMPUTED_VALUE"""),28.0)</f>
        <v>28</v>
      </c>
      <c r="O312" s="176"/>
      <c r="P312" s="176"/>
      <c r="Q312" s="176"/>
      <c r="R312" s="176"/>
      <c r="S312" s="176"/>
      <c r="T312" s="176"/>
      <c r="U312" s="176"/>
      <c r="V312" s="176"/>
      <c r="W312" s="176"/>
      <c r="X312" s="176"/>
      <c r="Y312" s="176"/>
      <c r="Z312" s="176"/>
    </row>
    <row r="313">
      <c r="A313" s="249" t="s">
        <v>25</v>
      </c>
      <c r="B313" s="249" t="s">
        <v>10</v>
      </c>
      <c r="C313" s="219" t="s">
        <v>2716</v>
      </c>
      <c r="D313" s="268" t="s">
        <v>495</v>
      </c>
      <c r="E313" s="251">
        <v>44225.0</v>
      </c>
      <c r="F313" s="250" t="s">
        <v>496</v>
      </c>
      <c r="G313" s="243"/>
      <c r="H313" s="243"/>
      <c r="I313" s="243"/>
      <c r="J313" s="325">
        <f t="shared" si="12"/>
        <v>0</v>
      </c>
      <c r="K313" s="330">
        <v>1.9815994338287328</v>
      </c>
      <c r="L313" s="327">
        <f t="shared" si="9"/>
        <v>8.025634713</v>
      </c>
      <c r="M313" s="321" t="str">
        <f t="shared" si="10"/>
        <v>freedumbs00</v>
      </c>
      <c r="N313" s="176">
        <f>IFERROR(__xludf.DUMMYFUNCTION("""COMPUTED_VALUE"""),29.0)</f>
        <v>29</v>
      </c>
      <c r="O313" s="176"/>
      <c r="P313" s="176"/>
      <c r="Q313" s="176"/>
      <c r="R313" s="176"/>
      <c r="S313" s="176"/>
      <c r="T313" s="176"/>
      <c r="U313" s="176"/>
      <c r="V313" s="176"/>
      <c r="W313" s="176"/>
      <c r="X313" s="176"/>
      <c r="Y313" s="176"/>
      <c r="Z313" s="176"/>
    </row>
    <row r="314">
      <c r="A314" s="249" t="s">
        <v>25</v>
      </c>
      <c r="B314" s="249" t="s">
        <v>10</v>
      </c>
      <c r="C314" s="219" t="s">
        <v>2531</v>
      </c>
      <c r="D314" s="268" t="s">
        <v>495</v>
      </c>
      <c r="E314" s="251">
        <v>44225.0</v>
      </c>
      <c r="F314" s="250" t="s">
        <v>499</v>
      </c>
      <c r="G314" s="243"/>
      <c r="H314" s="243"/>
      <c r="I314" s="243"/>
      <c r="J314" s="325">
        <f t="shared" si="12"/>
        <v>0</v>
      </c>
      <c r="K314" s="330">
        <v>1.9815994338287328</v>
      </c>
      <c r="L314" s="327">
        <f t="shared" si="9"/>
        <v>8.025634713</v>
      </c>
      <c r="M314" s="321" t="str">
        <f t="shared" si="10"/>
        <v>freedumbs00</v>
      </c>
      <c r="N314" s="176">
        <f>IFERROR(__xludf.DUMMYFUNCTION("""COMPUTED_VALUE"""),30.0)</f>
        <v>30</v>
      </c>
      <c r="O314" s="176"/>
      <c r="P314" s="176"/>
      <c r="Q314" s="176"/>
      <c r="R314" s="176"/>
      <c r="S314" s="176"/>
      <c r="T314" s="176"/>
      <c r="U314" s="176"/>
      <c r="V314" s="176"/>
      <c r="W314" s="176"/>
      <c r="X314" s="176"/>
      <c r="Y314" s="176"/>
      <c r="Z314" s="176"/>
    </row>
    <row r="315">
      <c r="A315" s="249" t="s">
        <v>25</v>
      </c>
      <c r="B315" s="249" t="s">
        <v>25</v>
      </c>
      <c r="C315" s="219" t="s">
        <v>2797</v>
      </c>
      <c r="D315" s="268" t="s">
        <v>495</v>
      </c>
      <c r="E315" s="251">
        <v>44225.0</v>
      </c>
      <c r="F315" s="250" t="s">
        <v>496</v>
      </c>
      <c r="G315" s="243"/>
      <c r="H315" s="243"/>
      <c r="I315" s="243"/>
      <c r="J315" s="325">
        <f t="shared" si="12"/>
        <v>0</v>
      </c>
      <c r="K315" s="326">
        <f t="shared" ref="K315:K334" si="15">J315*$J$1</f>
        <v>0</v>
      </c>
      <c r="L315" s="327">
        <f t="shared" si="9"/>
        <v>8.025634713</v>
      </c>
      <c r="M315" s="321" t="str">
        <f t="shared" si="10"/>
        <v>freedumbs00</v>
      </c>
      <c r="N315" s="176">
        <f>IFERROR(__xludf.DUMMYFUNCTION("""COMPUTED_VALUE"""),31.0)</f>
        <v>31</v>
      </c>
      <c r="O315" s="176"/>
      <c r="P315" s="176"/>
      <c r="Q315" s="176"/>
      <c r="R315" s="176"/>
      <c r="S315" s="176"/>
      <c r="T315" s="176"/>
      <c r="U315" s="176"/>
      <c r="V315" s="176"/>
      <c r="W315" s="176"/>
      <c r="X315" s="176"/>
      <c r="Y315" s="176"/>
      <c r="Z315" s="176"/>
    </row>
    <row r="316">
      <c r="A316" s="249" t="s">
        <v>6</v>
      </c>
      <c r="B316" s="249" t="s">
        <v>519</v>
      </c>
      <c r="C316" s="219" t="s">
        <v>2659</v>
      </c>
      <c r="D316" s="268" t="s">
        <v>495</v>
      </c>
      <c r="E316" s="251">
        <v>44217.0</v>
      </c>
      <c r="F316" s="250" t="s">
        <v>496</v>
      </c>
      <c r="G316" s="171">
        <v>125000.0</v>
      </c>
      <c r="H316" s="171">
        <v>200.0</v>
      </c>
      <c r="I316" s="171">
        <v>200.0</v>
      </c>
      <c r="J316" s="325">
        <f t="shared" si="12"/>
        <v>0.01550505488</v>
      </c>
      <c r="K316" s="326">
        <f t="shared" si="15"/>
        <v>14.47138456</v>
      </c>
      <c r="L316" s="327">
        <f t="shared" si="9"/>
        <v>8.005361856</v>
      </c>
      <c r="M316" s="321" t="str">
        <f t="shared" si="10"/>
        <v>sembrestels</v>
      </c>
      <c r="N316" s="176">
        <f>IFERROR(__xludf.DUMMYFUNCTION("""COMPUTED_VALUE"""),1.0)</f>
        <v>1</v>
      </c>
      <c r="O316" s="176"/>
      <c r="P316" s="176"/>
      <c r="Q316" s="176"/>
      <c r="R316" s="176"/>
      <c r="S316" s="176"/>
      <c r="T316" s="176"/>
      <c r="U316" s="176"/>
      <c r="V316" s="176"/>
      <c r="W316" s="176"/>
      <c r="X316" s="176"/>
      <c r="Y316" s="176"/>
      <c r="Z316" s="176"/>
    </row>
    <row r="317">
      <c r="A317" s="249" t="s">
        <v>6</v>
      </c>
      <c r="B317" s="249" t="s">
        <v>10</v>
      </c>
      <c r="C317" s="219" t="s">
        <v>2737</v>
      </c>
      <c r="D317" s="268" t="s">
        <v>495</v>
      </c>
      <c r="E317" s="251">
        <v>44225.0</v>
      </c>
      <c r="F317" s="250" t="s">
        <v>496</v>
      </c>
      <c r="G317" s="171">
        <v>50000.0</v>
      </c>
      <c r="H317" s="171">
        <v>100.0</v>
      </c>
      <c r="I317" s="171">
        <v>150.0</v>
      </c>
      <c r="J317" s="325">
        <f t="shared" si="12"/>
        <v>0.007299087222</v>
      </c>
      <c r="K317" s="326">
        <f t="shared" si="15"/>
        <v>6.812481407</v>
      </c>
      <c r="L317" s="327">
        <f t="shared" si="9"/>
        <v>8.005361856</v>
      </c>
      <c r="M317" s="321" t="str">
        <f t="shared" si="10"/>
        <v>sembrestels</v>
      </c>
      <c r="N317" s="176">
        <f>IFERROR(__xludf.DUMMYFUNCTION("""COMPUTED_VALUE"""),2.0)</f>
        <v>2</v>
      </c>
      <c r="O317" s="176"/>
      <c r="P317" s="176"/>
      <c r="Q317" s="176"/>
      <c r="R317" s="176"/>
      <c r="S317" s="176"/>
      <c r="T317" s="176"/>
      <c r="U317" s="176"/>
      <c r="V317" s="176"/>
      <c r="W317" s="176"/>
      <c r="X317" s="176"/>
      <c r="Y317" s="176"/>
      <c r="Z317" s="176"/>
    </row>
    <row r="318">
      <c r="A318" s="249" t="s">
        <v>6</v>
      </c>
      <c r="B318" s="249" t="s">
        <v>6</v>
      </c>
      <c r="C318" s="219" t="s">
        <v>2798</v>
      </c>
      <c r="D318" s="268" t="s">
        <v>495</v>
      </c>
      <c r="E318" s="251">
        <v>44216.0</v>
      </c>
      <c r="F318" s="250" t="s">
        <v>2586</v>
      </c>
      <c r="G318" s="171">
        <v>20000.0</v>
      </c>
      <c r="H318" s="171">
        <v>100.0</v>
      </c>
      <c r="I318" s="171">
        <v>300.0</v>
      </c>
      <c r="J318" s="325">
        <f t="shared" si="12"/>
        <v>0.006520668028</v>
      </c>
      <c r="K318" s="326">
        <f t="shared" si="15"/>
        <v>6.085956826</v>
      </c>
      <c r="L318" s="327">
        <f t="shared" si="9"/>
        <v>8.005361856</v>
      </c>
      <c r="M318" s="321" t="str">
        <f t="shared" si="10"/>
        <v>sembrestels</v>
      </c>
      <c r="N318" s="176">
        <f>IFERROR(__xludf.DUMMYFUNCTION("""COMPUTED_VALUE"""),3.0)</f>
        <v>3</v>
      </c>
      <c r="O318" s="176"/>
      <c r="P318" s="176"/>
      <c r="Q318" s="176"/>
      <c r="R318" s="176"/>
      <c r="S318" s="176"/>
      <c r="T318" s="176"/>
      <c r="U318" s="176"/>
      <c r="V318" s="176"/>
      <c r="W318" s="176"/>
      <c r="X318" s="176"/>
      <c r="Y318" s="176"/>
      <c r="Z318" s="176"/>
    </row>
    <row r="319">
      <c r="A319" s="249" t="s">
        <v>6</v>
      </c>
      <c r="B319" s="249" t="s">
        <v>6</v>
      </c>
      <c r="C319" s="219" t="s">
        <v>2799</v>
      </c>
      <c r="D319" s="268" t="s">
        <v>495</v>
      </c>
      <c r="E319" s="251">
        <v>44225.0</v>
      </c>
      <c r="F319" s="250" t="s">
        <v>2586</v>
      </c>
      <c r="G319" s="171">
        <v>25000.0</v>
      </c>
      <c r="H319" s="171">
        <v>100.0</v>
      </c>
      <c r="I319" s="171">
        <v>200.0</v>
      </c>
      <c r="J319" s="325">
        <f t="shared" si="12"/>
        <v>0.005875811221</v>
      </c>
      <c r="K319" s="326">
        <f t="shared" si="15"/>
        <v>5.484090473</v>
      </c>
      <c r="L319" s="327">
        <f t="shared" si="9"/>
        <v>8.005361856</v>
      </c>
      <c r="M319" s="321" t="str">
        <f t="shared" si="10"/>
        <v>sembrestels</v>
      </c>
      <c r="N319" s="176">
        <f>IFERROR(__xludf.DUMMYFUNCTION("""COMPUTED_VALUE"""),4.0)</f>
        <v>4</v>
      </c>
      <c r="O319" s="176"/>
      <c r="P319" s="176"/>
      <c r="Q319" s="176"/>
      <c r="R319" s="176"/>
      <c r="S319" s="176"/>
      <c r="T319" s="176"/>
      <c r="U319" s="176"/>
      <c r="V319" s="176"/>
      <c r="W319" s="176"/>
      <c r="X319" s="176"/>
      <c r="Y319" s="176"/>
      <c r="Z319" s="176"/>
    </row>
    <row r="320">
      <c r="A320" s="249" t="s">
        <v>6</v>
      </c>
      <c r="B320" s="249" t="s">
        <v>10</v>
      </c>
      <c r="C320" s="219" t="s">
        <v>2745</v>
      </c>
      <c r="D320" s="268" t="s">
        <v>495</v>
      </c>
      <c r="E320" s="251">
        <v>44225.0</v>
      </c>
      <c r="F320" s="250" t="s">
        <v>496</v>
      </c>
      <c r="G320" s="171">
        <v>20000.0</v>
      </c>
      <c r="H320" s="171">
        <v>15.0</v>
      </c>
      <c r="I320" s="171">
        <v>100.0</v>
      </c>
      <c r="J320" s="325">
        <f t="shared" si="12"/>
        <v>0.002865111979</v>
      </c>
      <c r="K320" s="326">
        <f t="shared" si="15"/>
        <v>2.674104514</v>
      </c>
      <c r="L320" s="327">
        <f t="shared" si="9"/>
        <v>8.005361856</v>
      </c>
      <c r="M320" s="321" t="str">
        <f t="shared" si="10"/>
        <v>sembrestels</v>
      </c>
      <c r="N320" s="176">
        <f>IFERROR(__xludf.DUMMYFUNCTION("""COMPUTED_VALUE"""),5.0)</f>
        <v>5</v>
      </c>
      <c r="O320" s="176"/>
      <c r="P320" s="176"/>
      <c r="Q320" s="176"/>
      <c r="R320" s="176"/>
      <c r="S320" s="176"/>
      <c r="T320" s="176"/>
      <c r="U320" s="176"/>
      <c r="V320" s="176"/>
      <c r="W320" s="176"/>
      <c r="X320" s="176"/>
      <c r="Y320" s="176"/>
      <c r="Z320" s="176"/>
    </row>
    <row r="321">
      <c r="A321" s="249" t="s">
        <v>6</v>
      </c>
      <c r="B321" s="249" t="s">
        <v>867</v>
      </c>
      <c r="C321" s="219" t="s">
        <v>2748</v>
      </c>
      <c r="D321" s="268" t="s">
        <v>495</v>
      </c>
      <c r="E321" s="251">
        <v>44225.0</v>
      </c>
      <c r="F321" s="250" t="s">
        <v>496</v>
      </c>
      <c r="G321" s="171">
        <v>25000.0</v>
      </c>
      <c r="H321" s="171">
        <v>25.0</v>
      </c>
      <c r="I321" s="171">
        <v>25.0</v>
      </c>
      <c r="J321" s="325">
        <f t="shared" si="12"/>
        <v>0.002665508695</v>
      </c>
      <c r="K321" s="326">
        <f t="shared" si="15"/>
        <v>2.487808116</v>
      </c>
      <c r="L321" s="327">
        <f t="shared" si="9"/>
        <v>8.005361856</v>
      </c>
      <c r="M321" s="321" t="str">
        <f t="shared" si="10"/>
        <v>sembrestels</v>
      </c>
      <c r="N321" s="176">
        <f>IFERROR(__xludf.DUMMYFUNCTION("""COMPUTED_VALUE"""),6.0)</f>
        <v>6</v>
      </c>
      <c r="O321" s="176"/>
      <c r="P321" s="176"/>
      <c r="Q321" s="176"/>
      <c r="R321" s="176"/>
      <c r="S321" s="176"/>
      <c r="T321" s="176"/>
      <c r="U321" s="176"/>
      <c r="V321" s="176"/>
      <c r="W321" s="176"/>
      <c r="X321" s="176"/>
      <c r="Y321" s="176"/>
      <c r="Z321" s="176"/>
    </row>
    <row r="322">
      <c r="A322" s="249" t="s">
        <v>6</v>
      </c>
      <c r="B322" s="249" t="s">
        <v>10</v>
      </c>
      <c r="C322" s="219" t="s">
        <v>2800</v>
      </c>
      <c r="D322" s="268" t="s">
        <v>495</v>
      </c>
      <c r="E322" s="251">
        <v>44225.0</v>
      </c>
      <c r="F322" s="250" t="s">
        <v>496</v>
      </c>
      <c r="G322" s="171">
        <v>5000.0</v>
      </c>
      <c r="H322" s="171">
        <v>45.0</v>
      </c>
      <c r="I322" s="171">
        <v>100.0</v>
      </c>
      <c r="J322" s="325">
        <f t="shared" si="12"/>
        <v>0.002262476272</v>
      </c>
      <c r="K322" s="326">
        <f t="shared" si="15"/>
        <v>2.11164452</v>
      </c>
      <c r="L322" s="327">
        <f t="shared" si="9"/>
        <v>8.005361856</v>
      </c>
      <c r="M322" s="321" t="str">
        <f t="shared" si="10"/>
        <v>sembrestels</v>
      </c>
      <c r="N322" s="176">
        <f>IFERROR(__xludf.DUMMYFUNCTION("""COMPUTED_VALUE"""),7.0)</f>
        <v>7</v>
      </c>
      <c r="O322" s="176"/>
      <c r="P322" s="176"/>
      <c r="Q322" s="176"/>
      <c r="R322" s="176"/>
      <c r="S322" s="176"/>
      <c r="T322" s="176"/>
      <c r="U322" s="176"/>
      <c r="V322" s="176"/>
      <c r="W322" s="176"/>
      <c r="X322" s="176"/>
      <c r="Y322" s="176"/>
      <c r="Z322" s="176"/>
    </row>
    <row r="323">
      <c r="A323" s="249" t="s">
        <v>6</v>
      </c>
      <c r="B323" s="249" t="s">
        <v>10</v>
      </c>
      <c r="C323" s="219" t="s">
        <v>2668</v>
      </c>
      <c r="D323" s="268" t="s">
        <v>495</v>
      </c>
      <c r="E323" s="251">
        <v>44218.0</v>
      </c>
      <c r="F323" s="250" t="s">
        <v>496</v>
      </c>
      <c r="G323" s="171">
        <v>5000.0</v>
      </c>
      <c r="H323" s="171">
        <v>25.0</v>
      </c>
      <c r="I323" s="171">
        <v>100.0</v>
      </c>
      <c r="J323" s="325">
        <f t="shared" si="12"/>
        <v>0.001888364786</v>
      </c>
      <c r="K323" s="326">
        <f t="shared" si="15"/>
        <v>1.762473801</v>
      </c>
      <c r="L323" s="327">
        <f t="shared" si="9"/>
        <v>8.005361856</v>
      </c>
      <c r="M323" s="321" t="str">
        <f t="shared" si="10"/>
        <v>sembrestels</v>
      </c>
      <c r="N323" s="176">
        <f>IFERROR(__xludf.DUMMYFUNCTION("""COMPUTED_VALUE"""),8.0)</f>
        <v>8</v>
      </c>
      <c r="O323" s="176"/>
      <c r="P323" s="176"/>
      <c r="Q323" s="176"/>
      <c r="R323" s="176"/>
      <c r="S323" s="176"/>
      <c r="T323" s="176"/>
      <c r="U323" s="176"/>
      <c r="V323" s="176"/>
      <c r="W323" s="176"/>
      <c r="X323" s="176"/>
      <c r="Y323" s="176"/>
      <c r="Z323" s="176"/>
    </row>
    <row r="324">
      <c r="A324" s="249" t="s">
        <v>6</v>
      </c>
      <c r="B324" s="249" t="s">
        <v>10</v>
      </c>
      <c r="C324" s="219" t="s">
        <v>2670</v>
      </c>
      <c r="D324" s="268" t="s">
        <v>495</v>
      </c>
      <c r="E324" s="251">
        <v>44225.0</v>
      </c>
      <c r="F324" s="250" t="s">
        <v>496</v>
      </c>
      <c r="G324" s="171">
        <v>5000.0</v>
      </c>
      <c r="H324" s="171">
        <v>25.0</v>
      </c>
      <c r="I324" s="171">
        <v>100.0</v>
      </c>
      <c r="J324" s="325">
        <f t="shared" si="12"/>
        <v>0.001888364786</v>
      </c>
      <c r="K324" s="326">
        <f t="shared" si="15"/>
        <v>1.762473801</v>
      </c>
      <c r="L324" s="327">
        <f t="shared" si="9"/>
        <v>8.005361856</v>
      </c>
      <c r="M324" s="321" t="str">
        <f t="shared" si="10"/>
        <v>sembrestels</v>
      </c>
      <c r="N324" s="176">
        <f>IFERROR(__xludf.DUMMYFUNCTION("""COMPUTED_VALUE"""),9.0)</f>
        <v>9</v>
      </c>
      <c r="O324" s="176"/>
      <c r="P324" s="176"/>
      <c r="Q324" s="176"/>
      <c r="R324" s="176"/>
      <c r="S324" s="176"/>
      <c r="T324" s="176"/>
      <c r="U324" s="176"/>
      <c r="V324" s="176"/>
      <c r="W324" s="176"/>
      <c r="X324" s="176"/>
      <c r="Y324" s="176"/>
      <c r="Z324" s="176"/>
    </row>
    <row r="325">
      <c r="A325" s="249" t="s">
        <v>6</v>
      </c>
      <c r="B325" s="249" t="s">
        <v>25</v>
      </c>
      <c r="C325" s="219" t="s">
        <v>2787</v>
      </c>
      <c r="D325" s="268" t="s">
        <v>495</v>
      </c>
      <c r="E325" s="251">
        <v>44223.0</v>
      </c>
      <c r="F325" s="250" t="s">
        <v>496</v>
      </c>
      <c r="G325" s="171">
        <v>1000.0</v>
      </c>
      <c r="H325" s="171">
        <v>35.0</v>
      </c>
      <c r="I325" s="171">
        <v>100.0</v>
      </c>
      <c r="J325" s="325">
        <f t="shared" si="12"/>
        <v>0.00176507308</v>
      </c>
      <c r="K325" s="326">
        <f t="shared" si="15"/>
        <v>1.647401541</v>
      </c>
      <c r="L325" s="327">
        <f t="shared" si="9"/>
        <v>8.005361856</v>
      </c>
      <c r="M325" s="321" t="str">
        <f t="shared" si="10"/>
        <v>sembrestels</v>
      </c>
      <c r="N325" s="176">
        <f>IFERROR(__xludf.DUMMYFUNCTION("""COMPUTED_VALUE"""),10.0)</f>
        <v>10</v>
      </c>
      <c r="O325" s="176"/>
      <c r="P325" s="176"/>
      <c r="Q325" s="176"/>
      <c r="R325" s="176"/>
      <c r="S325" s="176"/>
      <c r="T325" s="176"/>
      <c r="U325" s="176"/>
      <c r="V325" s="176"/>
      <c r="W325" s="176"/>
      <c r="X325" s="176"/>
      <c r="Y325" s="176"/>
      <c r="Z325" s="176"/>
    </row>
    <row r="326">
      <c r="A326" s="249" t="s">
        <v>6</v>
      </c>
      <c r="B326" s="249" t="s">
        <v>10</v>
      </c>
      <c r="C326" s="219" t="s">
        <v>2801</v>
      </c>
      <c r="D326" s="268" t="s">
        <v>495</v>
      </c>
      <c r="E326" s="251">
        <v>44218.0</v>
      </c>
      <c r="F326" s="250" t="s">
        <v>496</v>
      </c>
      <c r="G326" s="171">
        <v>2000.0</v>
      </c>
      <c r="H326" s="171">
        <v>25.0</v>
      </c>
      <c r="I326" s="171">
        <v>100.0</v>
      </c>
      <c r="J326" s="325">
        <f t="shared" si="12"/>
        <v>0.001655604199</v>
      </c>
      <c r="K326" s="326">
        <f t="shared" si="15"/>
        <v>1.545230586</v>
      </c>
      <c r="L326" s="327">
        <f t="shared" si="9"/>
        <v>8.005361856</v>
      </c>
      <c r="M326" s="321" t="str">
        <f t="shared" si="10"/>
        <v>sembrestels</v>
      </c>
      <c r="N326" s="176">
        <f>IFERROR(__xludf.DUMMYFUNCTION("""COMPUTED_VALUE"""),11.0)</f>
        <v>11</v>
      </c>
      <c r="O326" s="176"/>
      <c r="P326" s="176"/>
      <c r="Q326" s="176"/>
      <c r="R326" s="176"/>
      <c r="S326" s="176"/>
      <c r="T326" s="176"/>
      <c r="U326" s="176"/>
      <c r="V326" s="176"/>
      <c r="W326" s="176"/>
      <c r="X326" s="176"/>
      <c r="Y326" s="176"/>
      <c r="Z326" s="176"/>
    </row>
    <row r="327">
      <c r="A327" s="249" t="s">
        <v>6</v>
      </c>
      <c r="B327" s="249" t="s">
        <v>10</v>
      </c>
      <c r="C327" s="219" t="s">
        <v>2675</v>
      </c>
      <c r="D327" s="268" t="s">
        <v>495</v>
      </c>
      <c r="E327" s="251">
        <v>44225.0</v>
      </c>
      <c r="F327" s="250" t="s">
        <v>496</v>
      </c>
      <c r="G327" s="171">
        <v>5000.0</v>
      </c>
      <c r="H327" s="171">
        <v>25.0</v>
      </c>
      <c r="I327" s="171">
        <v>50.0</v>
      </c>
      <c r="J327" s="325">
        <f t="shared" si="12"/>
        <v>0.001371969227</v>
      </c>
      <c r="K327" s="326">
        <f t="shared" si="15"/>
        <v>1.280504612</v>
      </c>
      <c r="L327" s="327">
        <f t="shared" si="9"/>
        <v>8.005361856</v>
      </c>
      <c r="M327" s="321" t="str">
        <f t="shared" si="10"/>
        <v>sembrestels</v>
      </c>
      <c r="N327" s="176">
        <f>IFERROR(__xludf.DUMMYFUNCTION("""COMPUTED_VALUE"""),12.0)</f>
        <v>12</v>
      </c>
      <c r="O327" s="176"/>
      <c r="P327" s="176"/>
      <c r="Q327" s="176"/>
      <c r="R327" s="176"/>
      <c r="S327" s="176"/>
      <c r="T327" s="176"/>
      <c r="U327" s="176"/>
      <c r="V327" s="176"/>
      <c r="W327" s="176"/>
      <c r="X327" s="176"/>
      <c r="Y327" s="176"/>
      <c r="Z327" s="176"/>
    </row>
    <row r="328">
      <c r="A328" s="249" t="s">
        <v>6</v>
      </c>
      <c r="B328" s="249" t="s">
        <v>10</v>
      </c>
      <c r="C328" s="219" t="s">
        <v>2802</v>
      </c>
      <c r="D328" s="268" t="s">
        <v>495</v>
      </c>
      <c r="E328" s="251">
        <v>44225.0</v>
      </c>
      <c r="F328" s="250" t="s">
        <v>496</v>
      </c>
      <c r="G328" s="171">
        <v>2000.0</v>
      </c>
      <c r="H328" s="171">
        <v>25.0</v>
      </c>
      <c r="I328" s="171">
        <v>50.0</v>
      </c>
      <c r="J328" s="325">
        <f t="shared" si="12"/>
        <v>0.00113920864</v>
      </c>
      <c r="K328" s="326">
        <f t="shared" si="15"/>
        <v>1.063261398</v>
      </c>
      <c r="L328" s="327">
        <f t="shared" si="9"/>
        <v>8.005361856</v>
      </c>
      <c r="M328" s="321" t="str">
        <f t="shared" si="10"/>
        <v>sembrestels</v>
      </c>
      <c r="N328" s="176">
        <f>IFERROR(__xludf.DUMMYFUNCTION("""COMPUTED_VALUE"""),13.0)</f>
        <v>13</v>
      </c>
      <c r="O328" s="176"/>
      <c r="P328" s="176"/>
      <c r="Q328" s="176"/>
      <c r="R328" s="176"/>
      <c r="S328" s="176"/>
      <c r="T328" s="176"/>
      <c r="U328" s="176"/>
      <c r="V328" s="176"/>
      <c r="W328" s="176"/>
      <c r="X328" s="176"/>
      <c r="Y328" s="176"/>
      <c r="Z328" s="176"/>
    </row>
    <row r="329">
      <c r="A329" s="249" t="s">
        <v>6</v>
      </c>
      <c r="B329" s="249" t="s">
        <v>519</v>
      </c>
      <c r="C329" s="219" t="s">
        <v>2705</v>
      </c>
      <c r="D329" s="268" t="s">
        <v>495</v>
      </c>
      <c r="E329" s="251">
        <v>44223.0</v>
      </c>
      <c r="F329" s="250" t="s">
        <v>499</v>
      </c>
      <c r="G329" s="171">
        <v>1000.0</v>
      </c>
      <c r="H329" s="171">
        <v>25.0</v>
      </c>
      <c r="I329" s="171">
        <v>50.0</v>
      </c>
      <c r="J329" s="325">
        <f t="shared" si="12"/>
        <v>0.001061621778</v>
      </c>
      <c r="K329" s="326">
        <f t="shared" si="15"/>
        <v>0.9908469927</v>
      </c>
      <c r="L329" s="327">
        <f t="shared" si="9"/>
        <v>8.005361856</v>
      </c>
      <c r="M329" s="321" t="str">
        <f t="shared" si="10"/>
        <v>sembrestels</v>
      </c>
      <c r="N329" s="176">
        <f>IFERROR(__xludf.DUMMYFUNCTION("""COMPUTED_VALUE"""),14.0)</f>
        <v>14</v>
      </c>
      <c r="O329" s="176"/>
      <c r="P329" s="176"/>
      <c r="Q329" s="176"/>
      <c r="R329" s="176"/>
      <c r="S329" s="176"/>
      <c r="T329" s="176"/>
      <c r="U329" s="176"/>
      <c r="V329" s="176"/>
      <c r="W329" s="176"/>
      <c r="X329" s="176"/>
      <c r="Y329" s="176"/>
      <c r="Z329" s="176"/>
    </row>
    <row r="330">
      <c r="A330" s="249" t="s">
        <v>6</v>
      </c>
      <c r="B330" s="249" t="s">
        <v>590</v>
      </c>
      <c r="C330" s="219" t="s">
        <v>2678</v>
      </c>
      <c r="D330" s="268" t="s">
        <v>495</v>
      </c>
      <c r="E330" s="251">
        <v>44216.0</v>
      </c>
      <c r="F330" s="250" t="s">
        <v>496</v>
      </c>
      <c r="G330" s="171">
        <v>1000.0</v>
      </c>
      <c r="H330" s="171">
        <v>25.0</v>
      </c>
      <c r="I330" s="171">
        <v>25.0</v>
      </c>
      <c r="J330" s="325">
        <f t="shared" si="12"/>
        <v>0.0008034239984</v>
      </c>
      <c r="K330" s="326">
        <f t="shared" si="15"/>
        <v>0.7498623985</v>
      </c>
      <c r="L330" s="327">
        <f t="shared" si="9"/>
        <v>8.005361856</v>
      </c>
      <c r="M330" s="321" t="str">
        <f t="shared" si="10"/>
        <v>sembrestels</v>
      </c>
      <c r="N330" s="176">
        <f>IFERROR(__xludf.DUMMYFUNCTION("""COMPUTED_VALUE"""),15.0)</f>
        <v>15</v>
      </c>
      <c r="O330" s="176"/>
      <c r="P330" s="176"/>
      <c r="Q330" s="176"/>
      <c r="R330" s="176"/>
      <c r="S330" s="176"/>
      <c r="T330" s="176"/>
      <c r="U330" s="176"/>
      <c r="V330" s="176"/>
      <c r="W330" s="176"/>
      <c r="X330" s="176"/>
      <c r="Y330" s="176"/>
      <c r="Z330" s="176"/>
    </row>
    <row r="331">
      <c r="A331" s="249" t="s">
        <v>6</v>
      </c>
      <c r="B331" s="249" t="s">
        <v>10</v>
      </c>
      <c r="C331" s="219" t="s">
        <v>2498</v>
      </c>
      <c r="D331" s="268" t="s">
        <v>495</v>
      </c>
      <c r="E331" s="251">
        <v>44218.0</v>
      </c>
      <c r="F331" s="250" t="s">
        <v>545</v>
      </c>
      <c r="G331" s="171">
        <v>500.0</v>
      </c>
      <c r="H331" s="171">
        <v>25.0</v>
      </c>
      <c r="I331" s="171">
        <v>25.0</v>
      </c>
      <c r="J331" s="325">
        <f t="shared" si="12"/>
        <v>0.0007646305672</v>
      </c>
      <c r="K331" s="326">
        <f t="shared" si="15"/>
        <v>0.7136551961</v>
      </c>
      <c r="L331" s="327">
        <f t="shared" si="9"/>
        <v>8.005361856</v>
      </c>
      <c r="M331" s="321" t="str">
        <f t="shared" si="10"/>
        <v>sembrestels</v>
      </c>
      <c r="N331" s="176">
        <f>IFERROR(__xludf.DUMMYFUNCTION("""COMPUTED_VALUE"""),16.0)</f>
        <v>16</v>
      </c>
      <c r="O331" s="176"/>
      <c r="P331" s="176"/>
      <c r="Q331" s="176"/>
      <c r="R331" s="176"/>
      <c r="S331" s="176"/>
      <c r="T331" s="176"/>
      <c r="U331" s="176"/>
      <c r="V331" s="176"/>
      <c r="W331" s="176"/>
      <c r="X331" s="176"/>
      <c r="Y331" s="176"/>
      <c r="Z331" s="176"/>
    </row>
    <row r="332">
      <c r="A332" s="249" t="s">
        <v>6</v>
      </c>
      <c r="B332" s="249" t="s">
        <v>6</v>
      </c>
      <c r="C332" s="219" t="s">
        <v>2686</v>
      </c>
      <c r="D332" s="268" t="s">
        <v>495</v>
      </c>
      <c r="E332" s="251">
        <v>44215.0</v>
      </c>
      <c r="F332" s="250" t="s">
        <v>496</v>
      </c>
      <c r="G332" s="171">
        <v>1000.0</v>
      </c>
      <c r="H332" s="171">
        <v>15.0</v>
      </c>
      <c r="I332" s="171">
        <v>25.0</v>
      </c>
      <c r="J332" s="325">
        <f t="shared" si="12"/>
        <v>0.0006163682558</v>
      </c>
      <c r="K332" s="326">
        <f t="shared" si="15"/>
        <v>0.5752770387</v>
      </c>
      <c r="L332" s="327">
        <f t="shared" si="9"/>
        <v>8.005361856</v>
      </c>
      <c r="M332" s="321" t="str">
        <f t="shared" si="10"/>
        <v>sembrestels</v>
      </c>
      <c r="N332" s="176">
        <f>IFERROR(__xludf.DUMMYFUNCTION("""COMPUTED_VALUE"""),17.0)</f>
        <v>17</v>
      </c>
      <c r="O332" s="176"/>
      <c r="P332" s="176"/>
      <c r="Q332" s="176"/>
      <c r="R332" s="176"/>
      <c r="S332" s="176"/>
      <c r="T332" s="176"/>
      <c r="U332" s="176"/>
      <c r="V332" s="176"/>
      <c r="W332" s="176"/>
      <c r="X332" s="176"/>
      <c r="Y332" s="176"/>
      <c r="Z332" s="176"/>
    </row>
    <row r="333">
      <c r="A333" s="249" t="s">
        <v>6</v>
      </c>
      <c r="B333" s="249" t="s">
        <v>10</v>
      </c>
      <c r="C333" s="219" t="s">
        <v>2687</v>
      </c>
      <c r="D333" s="268" t="s">
        <v>495</v>
      </c>
      <c r="E333" s="251">
        <v>44218.0</v>
      </c>
      <c r="F333" s="250" t="s">
        <v>496</v>
      </c>
      <c r="G333" s="171">
        <v>1000.0</v>
      </c>
      <c r="H333" s="171">
        <v>15.0</v>
      </c>
      <c r="I333" s="171">
        <v>25.0</v>
      </c>
      <c r="J333" s="325">
        <f t="shared" si="12"/>
        <v>0.0006163682558</v>
      </c>
      <c r="K333" s="326">
        <f t="shared" si="15"/>
        <v>0.5752770387</v>
      </c>
      <c r="L333" s="327">
        <f t="shared" si="9"/>
        <v>8.005361856</v>
      </c>
      <c r="M333" s="321" t="str">
        <f t="shared" si="10"/>
        <v>sembrestels</v>
      </c>
      <c r="N333" s="176">
        <f>IFERROR(__xludf.DUMMYFUNCTION("""COMPUTED_VALUE"""),18.0)</f>
        <v>18</v>
      </c>
      <c r="O333" s="176"/>
      <c r="P333" s="176"/>
      <c r="Q333" s="176"/>
      <c r="R333" s="176"/>
      <c r="S333" s="176"/>
      <c r="T333" s="176"/>
      <c r="U333" s="176"/>
      <c r="V333" s="176"/>
      <c r="W333" s="176"/>
      <c r="X333" s="176"/>
      <c r="Y333" s="176"/>
      <c r="Z333" s="176"/>
    </row>
    <row r="334">
      <c r="A334" s="249" t="s">
        <v>6</v>
      </c>
      <c r="B334" s="249" t="s">
        <v>10</v>
      </c>
      <c r="C334" s="219" t="s">
        <v>2690</v>
      </c>
      <c r="D334" s="268" t="s">
        <v>495</v>
      </c>
      <c r="E334" s="251">
        <v>44225.0</v>
      </c>
      <c r="F334" s="250" t="s">
        <v>496</v>
      </c>
      <c r="G334" s="171">
        <v>1000.0</v>
      </c>
      <c r="H334" s="171">
        <v>15.0</v>
      </c>
      <c r="I334" s="171">
        <v>25.0</v>
      </c>
      <c r="J334" s="325">
        <f t="shared" si="12"/>
        <v>0.0006163682558</v>
      </c>
      <c r="K334" s="326">
        <f t="shared" si="15"/>
        <v>0.5752770387</v>
      </c>
      <c r="L334" s="327">
        <f t="shared" si="9"/>
        <v>8.005361856</v>
      </c>
      <c r="M334" s="321" t="str">
        <f t="shared" si="10"/>
        <v>sembrestels</v>
      </c>
      <c r="N334" s="176">
        <f>IFERROR(__xludf.DUMMYFUNCTION("""COMPUTED_VALUE"""),19.0)</f>
        <v>19</v>
      </c>
      <c r="O334" s="176"/>
      <c r="P334" s="176"/>
      <c r="Q334" s="176"/>
      <c r="R334" s="176"/>
      <c r="S334" s="176"/>
      <c r="T334" s="176"/>
      <c r="U334" s="176"/>
      <c r="V334" s="176"/>
      <c r="W334" s="176"/>
      <c r="X334" s="176"/>
      <c r="Y334" s="176"/>
      <c r="Z334" s="176"/>
    </row>
    <row r="335">
      <c r="A335" s="343" t="s">
        <v>6</v>
      </c>
      <c r="B335" s="240" t="s">
        <v>534</v>
      </c>
      <c r="C335" s="346" t="s">
        <v>2386</v>
      </c>
      <c r="D335" s="336"/>
      <c r="E335" s="255"/>
      <c r="F335" s="254"/>
      <c r="G335" s="222"/>
      <c r="H335" s="222"/>
      <c r="I335" s="222"/>
      <c r="J335" s="325">
        <f t="shared" si="12"/>
        <v>0</v>
      </c>
      <c r="K335" s="337">
        <f>-0.85*53.369</f>
        <v>-45.36365</v>
      </c>
      <c r="L335" s="327">
        <f t="shared" si="9"/>
        <v>8.005361856</v>
      </c>
      <c r="M335" s="321" t="str">
        <f t="shared" si="10"/>
        <v>sembrestels</v>
      </c>
      <c r="N335" s="153">
        <f>IFERROR(__xludf.DUMMYFUNCTION("""COMPUTED_VALUE"""),20.0)</f>
        <v>20</v>
      </c>
      <c r="O335" s="209"/>
      <c r="P335" s="209"/>
      <c r="Q335" s="209"/>
      <c r="R335" s="209">
        <v>57.049855624848725</v>
      </c>
      <c r="S335" s="209"/>
      <c r="T335" s="209"/>
      <c r="U335" s="209"/>
      <c r="V335" s="209"/>
      <c r="W335" s="209"/>
      <c r="X335" s="209"/>
      <c r="Y335" s="176"/>
      <c r="Z335" s="176"/>
    </row>
    <row r="336">
      <c r="A336" s="249" t="s">
        <v>34</v>
      </c>
      <c r="B336" s="249" t="s">
        <v>519</v>
      </c>
      <c r="C336" s="219" t="s">
        <v>2803</v>
      </c>
      <c r="D336" s="268" t="s">
        <v>495</v>
      </c>
      <c r="E336" s="251">
        <v>44218.0</v>
      </c>
      <c r="F336" s="250" t="s">
        <v>2586</v>
      </c>
      <c r="G336" s="171">
        <v>10000.0</v>
      </c>
      <c r="H336" s="171">
        <v>100.0</v>
      </c>
      <c r="I336" s="171">
        <v>100.0</v>
      </c>
      <c r="J336" s="325">
        <f t="shared" si="12"/>
        <v>0.003679217168</v>
      </c>
      <c r="K336" s="326">
        <f t="shared" ref="K336:K363" si="16">J336*$J$1</f>
        <v>3.433936023</v>
      </c>
      <c r="L336" s="327">
        <f t="shared" si="9"/>
        <v>7.497517979</v>
      </c>
      <c r="M336" s="321" t="str">
        <f t="shared" si="10"/>
        <v>xgabi</v>
      </c>
      <c r="N336" s="176">
        <f>IFERROR(__xludf.DUMMYFUNCTION("""COMPUTED_VALUE"""),1.0)</f>
        <v>1</v>
      </c>
      <c r="O336" s="176"/>
      <c r="P336" s="176"/>
      <c r="Q336" s="176"/>
      <c r="R336" s="176"/>
      <c r="S336" s="176"/>
      <c r="T336" s="176"/>
      <c r="U336" s="176"/>
      <c r="V336" s="176"/>
      <c r="W336" s="176"/>
      <c r="X336" s="176"/>
      <c r="Y336" s="176"/>
      <c r="Z336" s="176"/>
    </row>
    <row r="337">
      <c r="A337" s="249" t="s">
        <v>34</v>
      </c>
      <c r="B337" s="249" t="s">
        <v>10</v>
      </c>
      <c r="C337" s="219" t="s">
        <v>2801</v>
      </c>
      <c r="D337" s="268" t="s">
        <v>495</v>
      </c>
      <c r="E337" s="251">
        <v>44218.0</v>
      </c>
      <c r="F337" s="250" t="s">
        <v>496</v>
      </c>
      <c r="G337" s="171">
        <v>2000.0</v>
      </c>
      <c r="H337" s="171">
        <v>25.0</v>
      </c>
      <c r="I337" s="171">
        <v>100.0</v>
      </c>
      <c r="J337" s="325">
        <f t="shared" si="12"/>
        <v>0.001655604199</v>
      </c>
      <c r="K337" s="326">
        <f t="shared" si="16"/>
        <v>1.545230586</v>
      </c>
      <c r="L337" s="327">
        <f t="shared" si="9"/>
        <v>7.497517979</v>
      </c>
      <c r="M337" s="321" t="str">
        <f t="shared" si="10"/>
        <v>xgabi</v>
      </c>
      <c r="N337" s="176">
        <f>IFERROR(__xludf.DUMMYFUNCTION("""COMPUTED_VALUE"""),2.0)</f>
        <v>2</v>
      </c>
      <c r="O337" s="176"/>
      <c r="P337" s="176"/>
      <c r="Q337" s="176"/>
      <c r="R337" s="176"/>
      <c r="S337" s="176"/>
      <c r="T337" s="176"/>
      <c r="U337" s="176"/>
      <c r="V337" s="176"/>
      <c r="W337" s="176"/>
      <c r="X337" s="176"/>
      <c r="Y337" s="176"/>
      <c r="Z337" s="176"/>
    </row>
    <row r="338">
      <c r="A338" s="249" t="s">
        <v>34</v>
      </c>
      <c r="B338" s="249" t="s">
        <v>10</v>
      </c>
      <c r="C338" s="219" t="s">
        <v>2804</v>
      </c>
      <c r="D338" s="268" t="s">
        <v>495</v>
      </c>
      <c r="E338" s="251">
        <v>44218.0</v>
      </c>
      <c r="F338" s="250" t="s">
        <v>496</v>
      </c>
      <c r="G338" s="171">
        <v>5000.0</v>
      </c>
      <c r="H338" s="171">
        <v>35.0</v>
      </c>
      <c r="I338" s="171">
        <v>50.0</v>
      </c>
      <c r="J338" s="325">
        <f t="shared" si="12"/>
        <v>0.00155902497</v>
      </c>
      <c r="K338" s="326">
        <f t="shared" si="16"/>
        <v>1.455089972</v>
      </c>
      <c r="L338" s="327">
        <f t="shared" si="9"/>
        <v>7.497517979</v>
      </c>
      <c r="M338" s="321" t="str">
        <f t="shared" si="10"/>
        <v>xgabi</v>
      </c>
      <c r="N338" s="176">
        <f>IFERROR(__xludf.DUMMYFUNCTION("""COMPUTED_VALUE"""),3.0)</f>
        <v>3</v>
      </c>
      <c r="O338" s="176"/>
      <c r="P338" s="176"/>
      <c r="Q338" s="176"/>
      <c r="R338" s="176"/>
      <c r="S338" s="176"/>
      <c r="T338" s="176"/>
      <c r="U338" s="176"/>
      <c r="V338" s="176"/>
      <c r="W338" s="176"/>
      <c r="X338" s="176"/>
      <c r="Y338" s="176"/>
      <c r="Z338" s="176"/>
    </row>
    <row r="339">
      <c r="A339" s="249" t="s">
        <v>34</v>
      </c>
      <c r="B339" s="249" t="s">
        <v>10</v>
      </c>
      <c r="C339" s="219" t="s">
        <v>2802</v>
      </c>
      <c r="D339" s="268" t="s">
        <v>495</v>
      </c>
      <c r="E339" s="251">
        <v>44225.0</v>
      </c>
      <c r="F339" s="250" t="s">
        <v>496</v>
      </c>
      <c r="G339" s="171">
        <v>2000.0</v>
      </c>
      <c r="H339" s="171">
        <v>25.0</v>
      </c>
      <c r="I339" s="171">
        <v>50.0</v>
      </c>
      <c r="J339" s="325">
        <f t="shared" si="12"/>
        <v>0.00113920864</v>
      </c>
      <c r="K339" s="326">
        <f t="shared" si="16"/>
        <v>1.063261398</v>
      </c>
      <c r="L339" s="327">
        <f t="shared" si="9"/>
        <v>7.497517979</v>
      </c>
      <c r="M339" s="321" t="str">
        <f t="shared" si="10"/>
        <v>xgabi</v>
      </c>
      <c r="N339" s="176">
        <f>IFERROR(__xludf.DUMMYFUNCTION("""COMPUTED_VALUE"""),4.0)</f>
        <v>4</v>
      </c>
      <c r="O339" s="176"/>
      <c r="P339" s="176"/>
      <c r="Q339" s="176"/>
      <c r="R339" s="176"/>
      <c r="S339" s="176"/>
      <c r="T339" s="176"/>
      <c r="U339" s="176"/>
      <c r="V339" s="176"/>
      <c r="W339" s="176"/>
      <c r="X339" s="176"/>
      <c r="Y339" s="176"/>
      <c r="Z339" s="176"/>
    </row>
    <row r="340">
      <c r="A340" s="249" t="s">
        <v>14</v>
      </c>
      <c r="B340" s="249" t="s">
        <v>18</v>
      </c>
      <c r="C340" s="219" t="s">
        <v>2805</v>
      </c>
      <c r="D340" s="268" t="s">
        <v>495</v>
      </c>
      <c r="E340" s="251">
        <v>44224.0</v>
      </c>
      <c r="F340" s="250" t="s">
        <v>496</v>
      </c>
      <c r="G340" s="171">
        <v>100000.0</v>
      </c>
      <c r="H340" s="171">
        <v>50.0</v>
      </c>
      <c r="I340" s="171">
        <v>100.0</v>
      </c>
      <c r="J340" s="325">
        <f t="shared" si="12"/>
        <v>0.009726756068</v>
      </c>
      <c r="K340" s="326">
        <f t="shared" si="16"/>
        <v>9.078305664</v>
      </c>
      <c r="L340" s="327">
        <f t="shared" si="9"/>
        <v>6.953861378</v>
      </c>
      <c r="M340" s="321" t="str">
        <f t="shared" si="10"/>
        <v>jessicazartler</v>
      </c>
      <c r="N340" s="176">
        <f>IFERROR(__xludf.DUMMYFUNCTION("""COMPUTED_VALUE"""),1.0)</f>
        <v>1</v>
      </c>
      <c r="O340" s="176"/>
      <c r="P340" s="176"/>
      <c r="Q340" s="176"/>
      <c r="R340" s="176"/>
      <c r="S340" s="176"/>
      <c r="T340" s="176"/>
      <c r="U340" s="176"/>
      <c r="V340" s="176"/>
      <c r="W340" s="176"/>
      <c r="X340" s="176"/>
      <c r="Y340" s="176"/>
      <c r="Z340" s="176"/>
    </row>
    <row r="341">
      <c r="A341" s="249" t="s">
        <v>14</v>
      </c>
      <c r="B341" s="249" t="s">
        <v>925</v>
      </c>
      <c r="C341" s="219" t="s">
        <v>2806</v>
      </c>
      <c r="D341" s="268" t="s">
        <v>495</v>
      </c>
      <c r="E341" s="251">
        <v>44215.0</v>
      </c>
      <c r="F341" s="250" t="s">
        <v>496</v>
      </c>
      <c r="G341" s="171">
        <v>20000.0</v>
      </c>
      <c r="H341" s="171">
        <v>100.0</v>
      </c>
      <c r="I341" s="171">
        <v>150.0</v>
      </c>
      <c r="J341" s="325">
        <f t="shared" si="12"/>
        <v>0.004971481351</v>
      </c>
      <c r="K341" s="326">
        <f t="shared" si="16"/>
        <v>4.640049261</v>
      </c>
      <c r="L341" s="327">
        <f t="shared" si="9"/>
        <v>6.953861378</v>
      </c>
      <c r="M341" s="321" t="str">
        <f t="shared" si="10"/>
        <v>jessicazartler</v>
      </c>
      <c r="N341" s="176">
        <f>IFERROR(__xludf.DUMMYFUNCTION("""COMPUTED_VALUE"""),2.0)</f>
        <v>2</v>
      </c>
      <c r="O341" s="176"/>
      <c r="P341" s="176"/>
      <c r="Q341" s="176"/>
      <c r="R341" s="176"/>
      <c r="S341" s="176"/>
      <c r="T341" s="176"/>
      <c r="U341" s="176"/>
      <c r="V341" s="176"/>
      <c r="W341" s="176"/>
      <c r="X341" s="176"/>
      <c r="Y341" s="176"/>
      <c r="Z341" s="176"/>
    </row>
    <row r="342">
      <c r="A342" s="249" t="s">
        <v>14</v>
      </c>
      <c r="B342" s="249" t="s">
        <v>590</v>
      </c>
      <c r="C342" s="219" t="s">
        <v>2792</v>
      </c>
      <c r="D342" s="268" t="s">
        <v>495</v>
      </c>
      <c r="E342" s="251">
        <v>44217.0</v>
      </c>
      <c r="F342" s="250" t="s">
        <v>496</v>
      </c>
      <c r="G342" s="171">
        <v>2000.0</v>
      </c>
      <c r="H342" s="171">
        <v>100.0</v>
      </c>
      <c r="I342" s="171">
        <v>100.0</v>
      </c>
      <c r="J342" s="325">
        <f t="shared" si="12"/>
        <v>0.003058522269</v>
      </c>
      <c r="K342" s="326">
        <f t="shared" si="16"/>
        <v>2.854620784</v>
      </c>
      <c r="L342" s="327">
        <f t="shared" si="9"/>
        <v>6.953861378</v>
      </c>
      <c r="M342" s="321" t="str">
        <f t="shared" si="10"/>
        <v>jessicazartler</v>
      </c>
      <c r="N342" s="176">
        <f>IFERROR(__xludf.DUMMYFUNCTION("""COMPUTED_VALUE"""),3.0)</f>
        <v>3</v>
      </c>
      <c r="O342" s="176"/>
      <c r="P342" s="176"/>
      <c r="Q342" s="176"/>
      <c r="R342" s="176"/>
      <c r="S342" s="176"/>
      <c r="T342" s="176"/>
      <c r="U342" s="176"/>
      <c r="V342" s="176"/>
      <c r="W342" s="176"/>
      <c r="X342" s="176"/>
      <c r="Y342" s="176"/>
      <c r="Z342" s="176"/>
    </row>
    <row r="343">
      <c r="A343" s="249" t="s">
        <v>14</v>
      </c>
      <c r="B343" s="249" t="s">
        <v>10</v>
      </c>
      <c r="C343" s="219" t="s">
        <v>2807</v>
      </c>
      <c r="D343" s="268" t="s">
        <v>495</v>
      </c>
      <c r="E343" s="251">
        <v>44225.0</v>
      </c>
      <c r="F343" s="250" t="s">
        <v>496</v>
      </c>
      <c r="G343" s="312"/>
      <c r="H343" s="171">
        <v>0.0</v>
      </c>
      <c r="I343" s="171">
        <v>0.0</v>
      </c>
      <c r="J343" s="325">
        <f t="shared" si="12"/>
        <v>0</v>
      </c>
      <c r="K343" s="326">
        <f t="shared" si="16"/>
        <v>0</v>
      </c>
      <c r="L343" s="327">
        <f t="shared" si="9"/>
        <v>6.953861378</v>
      </c>
      <c r="M343" s="321" t="str">
        <f t="shared" si="10"/>
        <v>jessicazartler</v>
      </c>
      <c r="N343" s="176">
        <f>IFERROR(__xludf.DUMMYFUNCTION("""COMPUTED_VALUE"""),4.0)</f>
        <v>4</v>
      </c>
      <c r="O343" s="176"/>
      <c r="P343" s="176"/>
      <c r="Q343" s="176"/>
      <c r="R343" s="176"/>
      <c r="S343" s="176"/>
      <c r="T343" s="176"/>
      <c r="U343" s="176"/>
      <c r="V343" s="176"/>
      <c r="W343" s="176"/>
      <c r="X343" s="176"/>
      <c r="Y343" s="176"/>
      <c r="Z343" s="176"/>
    </row>
    <row r="344">
      <c r="A344" s="249" t="s">
        <v>14</v>
      </c>
      <c r="B344" s="249" t="s">
        <v>1228</v>
      </c>
      <c r="C344" s="219" t="s">
        <v>2808</v>
      </c>
      <c r="D344" s="268" t="s">
        <v>495</v>
      </c>
      <c r="E344" s="251">
        <v>44222.0</v>
      </c>
      <c r="F344" s="250" t="s">
        <v>496</v>
      </c>
      <c r="G344" s="171">
        <v>20000.0</v>
      </c>
      <c r="H344" s="171">
        <v>25.0</v>
      </c>
      <c r="I344" s="171">
        <v>100.0</v>
      </c>
      <c r="J344" s="325">
        <f t="shared" si="12"/>
        <v>0.003052167722</v>
      </c>
      <c r="K344" s="326">
        <f t="shared" si="16"/>
        <v>2.848689874</v>
      </c>
      <c r="L344" s="327">
        <f t="shared" si="9"/>
        <v>6.953861378</v>
      </c>
      <c r="M344" s="321" t="str">
        <f t="shared" si="10"/>
        <v>jessicazartler</v>
      </c>
      <c r="N344" s="176">
        <f>IFERROR(__xludf.DUMMYFUNCTION("""COMPUTED_VALUE"""),5.0)</f>
        <v>5</v>
      </c>
      <c r="O344" s="176"/>
      <c r="P344" s="176"/>
      <c r="Q344" s="176"/>
      <c r="R344" s="176"/>
      <c r="S344" s="176"/>
      <c r="T344" s="176"/>
      <c r="U344" s="176"/>
      <c r="V344" s="176"/>
      <c r="W344" s="176"/>
      <c r="X344" s="176"/>
      <c r="Y344" s="176"/>
      <c r="Z344" s="176"/>
    </row>
    <row r="345">
      <c r="A345" s="249" t="s">
        <v>14</v>
      </c>
      <c r="B345" s="249" t="s">
        <v>25</v>
      </c>
      <c r="C345" s="219" t="s">
        <v>2797</v>
      </c>
      <c r="D345" s="268" t="s">
        <v>495</v>
      </c>
      <c r="E345" s="251">
        <v>44225.0</v>
      </c>
      <c r="F345" s="250" t="s">
        <v>496</v>
      </c>
      <c r="G345" s="171">
        <v>10000.0</v>
      </c>
      <c r="H345" s="171">
        <v>50.0</v>
      </c>
      <c r="I345" s="171">
        <v>100.0</v>
      </c>
      <c r="J345" s="325">
        <f t="shared" si="12"/>
        <v>0.002743938455</v>
      </c>
      <c r="K345" s="326">
        <f t="shared" si="16"/>
        <v>2.561009224</v>
      </c>
      <c r="L345" s="327">
        <f t="shared" si="9"/>
        <v>6.953861378</v>
      </c>
      <c r="M345" s="321" t="str">
        <f t="shared" si="10"/>
        <v>jessicazartler</v>
      </c>
      <c r="N345" s="176">
        <f>IFERROR(__xludf.DUMMYFUNCTION("""COMPUTED_VALUE"""),6.0)</f>
        <v>6</v>
      </c>
      <c r="O345" s="176"/>
      <c r="P345" s="176"/>
      <c r="Q345" s="176"/>
      <c r="R345" s="176"/>
      <c r="S345" s="176"/>
      <c r="T345" s="176"/>
      <c r="U345" s="176"/>
      <c r="V345" s="176"/>
      <c r="W345" s="176"/>
      <c r="X345" s="176"/>
      <c r="Y345" s="176"/>
      <c r="Z345" s="176"/>
    </row>
    <row r="346">
      <c r="A346" s="249" t="s">
        <v>14</v>
      </c>
      <c r="B346" s="249" t="s">
        <v>10</v>
      </c>
      <c r="C346" s="219" t="s">
        <v>2743</v>
      </c>
      <c r="D346" s="268" t="s">
        <v>495</v>
      </c>
      <c r="E346" s="251">
        <v>44225.0</v>
      </c>
      <c r="F346" s="250" t="s">
        <v>496</v>
      </c>
      <c r="G346" s="171">
        <v>5000.0</v>
      </c>
      <c r="H346" s="171">
        <v>15.0</v>
      </c>
      <c r="I346" s="171">
        <v>150.0</v>
      </c>
      <c r="J346" s="325">
        <f t="shared" si="12"/>
        <v>0.002217704603</v>
      </c>
      <c r="K346" s="326">
        <f t="shared" si="16"/>
        <v>2.069857629</v>
      </c>
      <c r="L346" s="327">
        <f t="shared" si="9"/>
        <v>6.953861378</v>
      </c>
      <c r="M346" s="321" t="str">
        <f t="shared" si="10"/>
        <v>jessicazartler</v>
      </c>
      <c r="N346" s="176">
        <f>IFERROR(__xludf.DUMMYFUNCTION("""COMPUTED_VALUE"""),7.0)</f>
        <v>7</v>
      </c>
      <c r="O346" s="176"/>
      <c r="P346" s="176"/>
      <c r="Q346" s="176"/>
      <c r="R346" s="176"/>
      <c r="S346" s="176"/>
      <c r="T346" s="176"/>
      <c r="U346" s="176"/>
      <c r="V346" s="176"/>
      <c r="W346" s="176"/>
      <c r="X346" s="176"/>
      <c r="Y346" s="176"/>
      <c r="Z346" s="176"/>
    </row>
    <row r="347">
      <c r="A347" s="249" t="s">
        <v>14</v>
      </c>
      <c r="B347" s="249" t="s">
        <v>845</v>
      </c>
      <c r="C347" s="219" t="s">
        <v>2809</v>
      </c>
      <c r="D347" s="268" t="s">
        <v>495</v>
      </c>
      <c r="E347" s="251">
        <v>44221.0</v>
      </c>
      <c r="F347" s="250" t="s">
        <v>496</v>
      </c>
      <c r="G347" s="171">
        <v>10000.0</v>
      </c>
      <c r="H347" s="171">
        <v>25.0</v>
      </c>
      <c r="I347" s="171">
        <v>100.0</v>
      </c>
      <c r="J347" s="325">
        <f t="shared" si="12"/>
        <v>0.002276299098</v>
      </c>
      <c r="K347" s="326">
        <f t="shared" si="16"/>
        <v>2.124545825</v>
      </c>
      <c r="L347" s="327">
        <f t="shared" si="9"/>
        <v>6.953861378</v>
      </c>
      <c r="M347" s="321" t="str">
        <f t="shared" si="10"/>
        <v>jessicazartler</v>
      </c>
      <c r="N347" s="176">
        <f>IFERROR(__xludf.DUMMYFUNCTION("""COMPUTED_VALUE"""),8.0)</f>
        <v>8</v>
      </c>
      <c r="O347" s="176"/>
      <c r="P347" s="176"/>
      <c r="Q347" s="176"/>
      <c r="R347" s="176"/>
      <c r="S347" s="176"/>
      <c r="T347" s="176"/>
      <c r="U347" s="176"/>
      <c r="V347" s="176"/>
      <c r="W347" s="176"/>
      <c r="X347" s="176"/>
      <c r="Y347" s="176"/>
      <c r="Z347" s="176"/>
    </row>
    <row r="348">
      <c r="A348" s="249" t="s">
        <v>14</v>
      </c>
      <c r="B348" s="249" t="s">
        <v>25</v>
      </c>
      <c r="C348" s="219" t="s">
        <v>2810</v>
      </c>
      <c r="D348" s="268" t="s">
        <v>495</v>
      </c>
      <c r="E348" s="251">
        <v>44223.0</v>
      </c>
      <c r="F348" s="250" t="s">
        <v>496</v>
      </c>
      <c r="G348" s="171">
        <v>1000.0</v>
      </c>
      <c r="H348" s="171">
        <v>50.0</v>
      </c>
      <c r="I348" s="171">
        <v>100.0</v>
      </c>
      <c r="J348" s="325">
        <f t="shared" si="12"/>
        <v>0.002045656693</v>
      </c>
      <c r="K348" s="326">
        <f t="shared" si="16"/>
        <v>1.909279581</v>
      </c>
      <c r="L348" s="327">
        <f t="shared" si="9"/>
        <v>6.953861378</v>
      </c>
      <c r="M348" s="321" t="str">
        <f t="shared" si="10"/>
        <v>jessicazartler</v>
      </c>
      <c r="N348" s="176">
        <f>IFERROR(__xludf.DUMMYFUNCTION("""COMPUTED_VALUE"""),9.0)</f>
        <v>9</v>
      </c>
      <c r="O348" s="176"/>
      <c r="P348" s="176"/>
      <c r="Q348" s="176"/>
      <c r="R348" s="176"/>
      <c r="S348" s="176"/>
      <c r="T348" s="176"/>
      <c r="U348" s="176"/>
      <c r="V348" s="176"/>
      <c r="W348" s="176"/>
      <c r="X348" s="176"/>
      <c r="Y348" s="176"/>
      <c r="Z348" s="176"/>
    </row>
    <row r="349">
      <c r="A349" s="249" t="s">
        <v>14</v>
      </c>
      <c r="B349" s="249" t="s">
        <v>10</v>
      </c>
      <c r="C349" s="219" t="s">
        <v>2698</v>
      </c>
      <c r="D349" s="268" t="s">
        <v>495</v>
      </c>
      <c r="E349" s="251">
        <v>44225.0</v>
      </c>
      <c r="F349" s="250" t="s">
        <v>496</v>
      </c>
      <c r="G349" s="171">
        <v>10000.0</v>
      </c>
      <c r="H349" s="171">
        <v>50.0</v>
      </c>
      <c r="I349" s="171">
        <v>50.0</v>
      </c>
      <c r="J349" s="325">
        <f t="shared" si="12"/>
        <v>0.002227542896</v>
      </c>
      <c r="K349" s="326">
        <f t="shared" si="16"/>
        <v>2.079040036</v>
      </c>
      <c r="L349" s="327">
        <f t="shared" si="9"/>
        <v>6.953861378</v>
      </c>
      <c r="M349" s="321" t="str">
        <f t="shared" si="10"/>
        <v>jessicazartler</v>
      </c>
      <c r="N349" s="176">
        <f>IFERROR(__xludf.DUMMYFUNCTION("""COMPUTED_VALUE"""),10.0)</f>
        <v>10</v>
      </c>
      <c r="O349" s="176"/>
      <c r="P349" s="176"/>
      <c r="Q349" s="176"/>
      <c r="R349" s="176"/>
      <c r="S349" s="176"/>
      <c r="T349" s="176"/>
      <c r="U349" s="176"/>
      <c r="V349" s="176"/>
      <c r="W349" s="176"/>
      <c r="X349" s="176"/>
      <c r="Y349" s="176"/>
      <c r="Z349" s="176"/>
    </row>
    <row r="350">
      <c r="A350" s="249" t="s">
        <v>14</v>
      </c>
      <c r="B350" s="249" t="s">
        <v>12</v>
      </c>
      <c r="C350" s="219" t="s">
        <v>2811</v>
      </c>
      <c r="D350" s="268" t="s">
        <v>495</v>
      </c>
      <c r="E350" s="251">
        <v>44216.0</v>
      </c>
      <c r="F350" s="250" t="s">
        <v>496</v>
      </c>
      <c r="G350" s="171">
        <v>20000.0</v>
      </c>
      <c r="H350" s="171">
        <v>25.0</v>
      </c>
      <c r="I350" s="171">
        <v>25.0</v>
      </c>
      <c r="J350" s="325">
        <f t="shared" si="12"/>
        <v>0.002277574383</v>
      </c>
      <c r="K350" s="326">
        <f t="shared" si="16"/>
        <v>2.125736091</v>
      </c>
      <c r="L350" s="327">
        <f t="shared" si="9"/>
        <v>6.953861378</v>
      </c>
      <c r="M350" s="321" t="str">
        <f t="shared" si="10"/>
        <v>jessicazartler</v>
      </c>
      <c r="N350" s="176">
        <f>IFERROR(__xludf.DUMMYFUNCTION("""COMPUTED_VALUE"""),11.0)</f>
        <v>11</v>
      </c>
      <c r="O350" s="176"/>
      <c r="P350" s="176"/>
      <c r="Q350" s="176"/>
      <c r="R350" s="176"/>
      <c r="S350" s="176"/>
      <c r="T350" s="176"/>
      <c r="U350" s="176"/>
      <c r="V350" s="176"/>
      <c r="W350" s="176"/>
      <c r="X350" s="176"/>
      <c r="Y350" s="176"/>
      <c r="Z350" s="176"/>
    </row>
    <row r="351">
      <c r="A351" s="249" t="s">
        <v>14</v>
      </c>
      <c r="B351" s="249" t="s">
        <v>867</v>
      </c>
      <c r="C351" s="219" t="s">
        <v>2812</v>
      </c>
      <c r="D351" s="268" t="s">
        <v>495</v>
      </c>
      <c r="E351" s="251">
        <v>44216.0</v>
      </c>
      <c r="F351" s="250" t="s">
        <v>496</v>
      </c>
      <c r="G351" s="171">
        <v>5000.0</v>
      </c>
      <c r="H351" s="171">
        <v>25.0</v>
      </c>
      <c r="I351" s="171">
        <v>100.0</v>
      </c>
      <c r="J351" s="325">
        <f t="shared" si="12"/>
        <v>0.001888364786</v>
      </c>
      <c r="K351" s="326">
        <f t="shared" si="16"/>
        <v>1.762473801</v>
      </c>
      <c r="L351" s="327">
        <f t="shared" si="9"/>
        <v>6.953861378</v>
      </c>
      <c r="M351" s="321" t="str">
        <f t="shared" si="10"/>
        <v>jessicazartler</v>
      </c>
      <c r="N351" s="176">
        <f>IFERROR(__xludf.DUMMYFUNCTION("""COMPUTED_VALUE"""),12.0)</f>
        <v>12</v>
      </c>
      <c r="O351" s="176"/>
      <c r="P351" s="176"/>
      <c r="Q351" s="176"/>
      <c r="R351" s="176"/>
      <c r="S351" s="176"/>
      <c r="T351" s="176"/>
      <c r="U351" s="176"/>
      <c r="V351" s="176"/>
      <c r="W351" s="176"/>
      <c r="X351" s="176"/>
      <c r="Y351" s="176"/>
      <c r="Z351" s="176"/>
    </row>
    <row r="352">
      <c r="A352" s="249" t="s">
        <v>14</v>
      </c>
      <c r="B352" s="249" t="s">
        <v>10</v>
      </c>
      <c r="C352" s="219" t="s">
        <v>2668</v>
      </c>
      <c r="D352" s="268" t="s">
        <v>495</v>
      </c>
      <c r="E352" s="251">
        <v>44218.0</v>
      </c>
      <c r="F352" s="250" t="s">
        <v>496</v>
      </c>
      <c r="G352" s="171">
        <v>5000.0</v>
      </c>
      <c r="H352" s="171">
        <v>25.0</v>
      </c>
      <c r="I352" s="171">
        <v>100.0</v>
      </c>
      <c r="J352" s="325">
        <f t="shared" si="12"/>
        <v>0.001888364786</v>
      </c>
      <c r="K352" s="326">
        <f t="shared" si="16"/>
        <v>1.762473801</v>
      </c>
      <c r="L352" s="327">
        <f t="shared" si="9"/>
        <v>6.953861378</v>
      </c>
      <c r="M352" s="321" t="str">
        <f t="shared" si="10"/>
        <v>jessicazartler</v>
      </c>
      <c r="N352" s="176">
        <f>IFERROR(__xludf.DUMMYFUNCTION("""COMPUTED_VALUE"""),13.0)</f>
        <v>13</v>
      </c>
      <c r="O352" s="176"/>
      <c r="P352" s="176"/>
      <c r="Q352" s="176"/>
      <c r="R352" s="176"/>
      <c r="S352" s="176"/>
      <c r="T352" s="176"/>
      <c r="U352" s="176"/>
      <c r="V352" s="176"/>
      <c r="W352" s="176"/>
      <c r="X352" s="176"/>
      <c r="Y352" s="176"/>
      <c r="Z352" s="176"/>
    </row>
    <row r="353">
      <c r="A353" s="249" t="s">
        <v>14</v>
      </c>
      <c r="B353" s="249" t="s">
        <v>10</v>
      </c>
      <c r="C353" s="219" t="s">
        <v>2670</v>
      </c>
      <c r="D353" s="268" t="s">
        <v>495</v>
      </c>
      <c r="E353" s="251">
        <v>44225.0</v>
      </c>
      <c r="F353" s="250" t="s">
        <v>496</v>
      </c>
      <c r="G353" s="171">
        <v>5000.0</v>
      </c>
      <c r="H353" s="171">
        <v>25.0</v>
      </c>
      <c r="I353" s="171">
        <v>100.0</v>
      </c>
      <c r="J353" s="325">
        <f t="shared" si="12"/>
        <v>0.001888364786</v>
      </c>
      <c r="K353" s="326">
        <f t="shared" si="16"/>
        <v>1.762473801</v>
      </c>
      <c r="L353" s="327">
        <f t="shared" si="9"/>
        <v>6.953861378</v>
      </c>
      <c r="M353" s="321" t="str">
        <f t="shared" si="10"/>
        <v>jessicazartler</v>
      </c>
      <c r="N353" s="176">
        <f>IFERROR(__xludf.DUMMYFUNCTION("""COMPUTED_VALUE"""),14.0)</f>
        <v>14</v>
      </c>
      <c r="O353" s="176"/>
      <c r="P353" s="176"/>
      <c r="Q353" s="176"/>
      <c r="R353" s="176"/>
      <c r="S353" s="176"/>
      <c r="T353" s="176"/>
      <c r="U353" s="176"/>
      <c r="V353" s="176"/>
      <c r="W353" s="176"/>
      <c r="X353" s="176"/>
      <c r="Y353" s="176"/>
      <c r="Z353" s="176"/>
    </row>
    <row r="354">
      <c r="A354" s="249" t="s">
        <v>14</v>
      </c>
      <c r="B354" s="249" t="s">
        <v>10</v>
      </c>
      <c r="C354" s="219" t="s">
        <v>2813</v>
      </c>
      <c r="D354" s="268" t="s">
        <v>495</v>
      </c>
      <c r="E354" s="251">
        <v>44218.0</v>
      </c>
      <c r="F354" s="250" t="s">
        <v>496</v>
      </c>
      <c r="G354" s="171">
        <v>2000.0</v>
      </c>
      <c r="H354" s="171">
        <v>25.0</v>
      </c>
      <c r="I354" s="171">
        <v>100.0</v>
      </c>
      <c r="J354" s="325">
        <f t="shared" si="12"/>
        <v>0.001655604199</v>
      </c>
      <c r="K354" s="326">
        <f t="shared" si="16"/>
        <v>1.545230586</v>
      </c>
      <c r="L354" s="327">
        <f t="shared" si="9"/>
        <v>6.953861378</v>
      </c>
      <c r="M354" s="321" t="str">
        <f t="shared" si="10"/>
        <v>jessicazartler</v>
      </c>
      <c r="N354" s="176">
        <f>IFERROR(__xludf.DUMMYFUNCTION("""COMPUTED_VALUE"""),15.0)</f>
        <v>15</v>
      </c>
      <c r="O354" s="176"/>
      <c r="P354" s="176"/>
      <c r="Q354" s="176"/>
      <c r="R354" s="176"/>
      <c r="S354" s="176"/>
      <c r="T354" s="176"/>
      <c r="U354" s="176"/>
      <c r="V354" s="176"/>
      <c r="W354" s="176"/>
      <c r="X354" s="176"/>
      <c r="Y354" s="176"/>
      <c r="Z354" s="176"/>
    </row>
    <row r="355">
      <c r="A355" s="249" t="s">
        <v>14</v>
      </c>
      <c r="B355" s="249" t="s">
        <v>10</v>
      </c>
      <c r="C355" s="219" t="s">
        <v>2749</v>
      </c>
      <c r="D355" s="268" t="s">
        <v>495</v>
      </c>
      <c r="E355" s="251">
        <v>44225.0</v>
      </c>
      <c r="F355" s="250" t="s">
        <v>496</v>
      </c>
      <c r="G355" s="171">
        <v>5000.0</v>
      </c>
      <c r="H355" s="171">
        <v>15.0</v>
      </c>
      <c r="I355" s="171">
        <v>100.0</v>
      </c>
      <c r="J355" s="325">
        <f t="shared" si="12"/>
        <v>0.001701309044</v>
      </c>
      <c r="K355" s="326">
        <f t="shared" si="16"/>
        <v>1.587888441</v>
      </c>
      <c r="L355" s="327">
        <f t="shared" si="9"/>
        <v>6.953861378</v>
      </c>
      <c r="M355" s="321" t="str">
        <f t="shared" si="10"/>
        <v>jessicazartler</v>
      </c>
      <c r="N355" s="176">
        <f>IFERROR(__xludf.DUMMYFUNCTION("""COMPUTED_VALUE"""),16.0)</f>
        <v>16</v>
      </c>
      <c r="O355" s="176"/>
      <c r="P355" s="176"/>
      <c r="Q355" s="176"/>
      <c r="R355" s="176"/>
      <c r="S355" s="176"/>
      <c r="T355" s="176"/>
      <c r="U355" s="176"/>
      <c r="V355" s="176"/>
      <c r="W355" s="176"/>
      <c r="X355" s="176"/>
      <c r="Y355" s="176"/>
      <c r="Z355" s="176"/>
    </row>
    <row r="356">
      <c r="A356" s="249" t="s">
        <v>14</v>
      </c>
      <c r="B356" s="249" t="s">
        <v>867</v>
      </c>
      <c r="C356" s="219" t="s">
        <v>2814</v>
      </c>
      <c r="D356" s="268" t="s">
        <v>495</v>
      </c>
      <c r="E356" s="251">
        <v>44224.0</v>
      </c>
      <c r="F356" s="250" t="s">
        <v>496</v>
      </c>
      <c r="G356" s="312"/>
      <c r="H356" s="171">
        <v>0.0</v>
      </c>
      <c r="I356" s="171">
        <v>0.0</v>
      </c>
      <c r="J356" s="325">
        <f t="shared" si="12"/>
        <v>0</v>
      </c>
      <c r="K356" s="326">
        <f t="shared" si="16"/>
        <v>0</v>
      </c>
      <c r="L356" s="327">
        <f t="shared" si="9"/>
        <v>6.953861378</v>
      </c>
      <c r="M356" s="321" t="str">
        <f t="shared" si="10"/>
        <v>jessicazartler</v>
      </c>
      <c r="N356" s="176">
        <f>IFERROR(__xludf.DUMMYFUNCTION("""COMPUTED_VALUE"""),17.0)</f>
        <v>17</v>
      </c>
      <c r="O356" s="176"/>
      <c r="P356" s="176"/>
      <c r="Q356" s="176"/>
      <c r="R356" s="176"/>
      <c r="S356" s="176"/>
      <c r="T356" s="176"/>
      <c r="U356" s="176"/>
      <c r="V356" s="176"/>
      <c r="W356" s="176"/>
      <c r="X356" s="176"/>
      <c r="Y356" s="176"/>
      <c r="Z356" s="176"/>
    </row>
    <row r="357">
      <c r="A357" s="249" t="s">
        <v>14</v>
      </c>
      <c r="B357" s="249" t="s">
        <v>1576</v>
      </c>
      <c r="C357" s="219" t="s">
        <v>2815</v>
      </c>
      <c r="D357" s="268" t="s">
        <v>495</v>
      </c>
      <c r="E357" s="251">
        <v>44222.0</v>
      </c>
      <c r="F357" s="250" t="s">
        <v>496</v>
      </c>
      <c r="G357" s="171">
        <v>10000.0</v>
      </c>
      <c r="H357" s="171">
        <v>15.0</v>
      </c>
      <c r="I357" s="171">
        <v>50.0</v>
      </c>
      <c r="J357" s="325">
        <f t="shared" si="12"/>
        <v>0.001572847797</v>
      </c>
      <c r="K357" s="326">
        <f t="shared" si="16"/>
        <v>1.467991277</v>
      </c>
      <c r="L357" s="327">
        <f t="shared" si="9"/>
        <v>6.953861378</v>
      </c>
      <c r="M357" s="321" t="str">
        <f t="shared" si="10"/>
        <v>jessicazartler</v>
      </c>
      <c r="N357" s="176">
        <f>IFERROR(__xludf.DUMMYFUNCTION("""COMPUTED_VALUE"""),18.0)</f>
        <v>18</v>
      </c>
      <c r="O357" s="176"/>
      <c r="P357" s="176"/>
      <c r="Q357" s="176"/>
      <c r="R357" s="176"/>
      <c r="S357" s="176"/>
      <c r="T357" s="176"/>
      <c r="U357" s="176"/>
      <c r="V357" s="176"/>
      <c r="W357" s="176"/>
      <c r="X357" s="176"/>
      <c r="Y357" s="176"/>
      <c r="Z357" s="176"/>
    </row>
    <row r="358">
      <c r="A358" s="249" t="s">
        <v>14</v>
      </c>
      <c r="B358" s="249" t="s">
        <v>10</v>
      </c>
      <c r="C358" s="219" t="s">
        <v>2816</v>
      </c>
      <c r="D358" s="268" t="s">
        <v>495</v>
      </c>
      <c r="E358" s="251">
        <v>44218.0</v>
      </c>
      <c r="F358" s="250" t="s">
        <v>496</v>
      </c>
      <c r="G358" s="171">
        <v>2000.0</v>
      </c>
      <c r="H358" s="171">
        <v>15.0</v>
      </c>
      <c r="I358" s="171">
        <v>50.0</v>
      </c>
      <c r="J358" s="325">
        <f t="shared" si="12"/>
        <v>0.0009521528977</v>
      </c>
      <c r="K358" s="326">
        <f t="shared" si="16"/>
        <v>0.8886760378</v>
      </c>
      <c r="L358" s="327">
        <f t="shared" si="9"/>
        <v>6.953861378</v>
      </c>
      <c r="M358" s="321" t="str">
        <f t="shared" si="10"/>
        <v>jessicazartler</v>
      </c>
      <c r="N358" s="176">
        <f>IFERROR(__xludf.DUMMYFUNCTION("""COMPUTED_VALUE"""),19.0)</f>
        <v>19</v>
      </c>
      <c r="O358" s="176"/>
      <c r="P358" s="176"/>
      <c r="Q358" s="176"/>
      <c r="R358" s="176"/>
      <c r="S358" s="176"/>
      <c r="T358" s="176"/>
      <c r="U358" s="176"/>
      <c r="V358" s="176"/>
      <c r="W358" s="176"/>
      <c r="X358" s="176"/>
      <c r="Y358" s="176"/>
      <c r="Z358" s="176"/>
    </row>
    <row r="359">
      <c r="A359" s="249" t="s">
        <v>14</v>
      </c>
      <c r="B359" s="249" t="s">
        <v>10</v>
      </c>
      <c r="C359" s="219" t="s">
        <v>2498</v>
      </c>
      <c r="D359" s="268" t="s">
        <v>495</v>
      </c>
      <c r="E359" s="251">
        <v>44212.0</v>
      </c>
      <c r="F359" s="250" t="s">
        <v>496</v>
      </c>
      <c r="G359" s="171">
        <v>500.0</v>
      </c>
      <c r="H359" s="171">
        <v>25.0</v>
      </c>
      <c r="I359" s="171">
        <v>25.0</v>
      </c>
      <c r="J359" s="325">
        <f t="shared" si="12"/>
        <v>0.0007646305672</v>
      </c>
      <c r="K359" s="326">
        <f t="shared" si="16"/>
        <v>0.7136551961</v>
      </c>
      <c r="L359" s="327">
        <f t="shared" si="9"/>
        <v>6.953861378</v>
      </c>
      <c r="M359" s="321" t="str">
        <f t="shared" si="10"/>
        <v>jessicazartler</v>
      </c>
      <c r="N359" s="176">
        <f>IFERROR(__xludf.DUMMYFUNCTION("""COMPUTED_VALUE"""),20.0)</f>
        <v>20</v>
      </c>
      <c r="O359" s="176"/>
      <c r="P359" s="176"/>
      <c r="Q359" s="176"/>
      <c r="R359" s="176"/>
      <c r="S359" s="176"/>
      <c r="T359" s="176"/>
      <c r="U359" s="176"/>
      <c r="V359" s="176"/>
      <c r="W359" s="176"/>
      <c r="X359" s="176"/>
      <c r="Y359" s="176"/>
      <c r="Z359" s="176"/>
    </row>
    <row r="360">
      <c r="A360" s="249" t="s">
        <v>14</v>
      </c>
      <c r="B360" s="249" t="s">
        <v>10</v>
      </c>
      <c r="C360" s="219" t="s">
        <v>2498</v>
      </c>
      <c r="D360" s="268" t="s">
        <v>495</v>
      </c>
      <c r="E360" s="251">
        <v>44218.0</v>
      </c>
      <c r="F360" s="250" t="s">
        <v>545</v>
      </c>
      <c r="G360" s="171">
        <v>500.0</v>
      </c>
      <c r="H360" s="171">
        <v>25.0</v>
      </c>
      <c r="I360" s="171">
        <v>25.0</v>
      </c>
      <c r="J360" s="325">
        <f t="shared" si="12"/>
        <v>0.0007646305672</v>
      </c>
      <c r="K360" s="326">
        <f t="shared" si="16"/>
        <v>0.7136551961</v>
      </c>
      <c r="L360" s="327">
        <f t="shared" si="9"/>
        <v>6.953861378</v>
      </c>
      <c r="M360" s="321" t="str">
        <f t="shared" si="10"/>
        <v>jessicazartler</v>
      </c>
      <c r="N360" s="176">
        <f>IFERROR(__xludf.DUMMYFUNCTION("""COMPUTED_VALUE"""),21.0)</f>
        <v>21</v>
      </c>
      <c r="O360" s="176"/>
      <c r="P360" s="176"/>
      <c r="Q360" s="176"/>
      <c r="R360" s="176"/>
      <c r="S360" s="176"/>
      <c r="T360" s="176"/>
      <c r="U360" s="176"/>
      <c r="V360" s="176"/>
      <c r="W360" s="176"/>
      <c r="X360" s="176"/>
      <c r="Y360" s="176"/>
      <c r="Z360" s="176"/>
    </row>
    <row r="361">
      <c r="A361" s="249" t="s">
        <v>14</v>
      </c>
      <c r="B361" s="249" t="s">
        <v>10</v>
      </c>
      <c r="C361" s="219" t="s">
        <v>2498</v>
      </c>
      <c r="D361" s="268" t="s">
        <v>495</v>
      </c>
      <c r="E361" s="251">
        <v>44225.0</v>
      </c>
      <c r="F361" s="250" t="s">
        <v>496</v>
      </c>
      <c r="G361" s="171">
        <v>500.0</v>
      </c>
      <c r="H361" s="171">
        <v>25.0</v>
      </c>
      <c r="I361" s="171">
        <v>25.0</v>
      </c>
      <c r="J361" s="325">
        <f t="shared" si="12"/>
        <v>0.0007646305672</v>
      </c>
      <c r="K361" s="326">
        <f t="shared" si="16"/>
        <v>0.7136551961</v>
      </c>
      <c r="L361" s="327">
        <f t="shared" si="9"/>
        <v>6.953861378</v>
      </c>
      <c r="M361" s="321" t="str">
        <f t="shared" si="10"/>
        <v>jessicazartler</v>
      </c>
      <c r="N361" s="176">
        <f>IFERROR(__xludf.DUMMYFUNCTION("""COMPUTED_VALUE"""),22.0)</f>
        <v>22</v>
      </c>
      <c r="O361" s="176"/>
      <c r="P361" s="176"/>
      <c r="Q361" s="176"/>
      <c r="R361" s="176"/>
      <c r="S361" s="176"/>
      <c r="T361" s="176"/>
      <c r="U361" s="176"/>
      <c r="V361" s="176"/>
      <c r="W361" s="176"/>
      <c r="X361" s="176"/>
      <c r="Y361" s="176"/>
      <c r="Z361" s="176"/>
    </row>
    <row r="362">
      <c r="A362" s="249" t="s">
        <v>14</v>
      </c>
      <c r="B362" s="249" t="s">
        <v>10</v>
      </c>
      <c r="C362" s="219" t="s">
        <v>2687</v>
      </c>
      <c r="D362" s="268" t="s">
        <v>495</v>
      </c>
      <c r="E362" s="251">
        <v>44218.0</v>
      </c>
      <c r="F362" s="250" t="s">
        <v>496</v>
      </c>
      <c r="G362" s="171">
        <v>1000.0</v>
      </c>
      <c r="H362" s="171">
        <v>15.0</v>
      </c>
      <c r="I362" s="171">
        <v>25.0</v>
      </c>
      <c r="J362" s="325">
        <f t="shared" si="12"/>
        <v>0.0006163682558</v>
      </c>
      <c r="K362" s="326">
        <f t="shared" si="16"/>
        <v>0.5752770387</v>
      </c>
      <c r="L362" s="327">
        <f t="shared" si="9"/>
        <v>6.953861378</v>
      </c>
      <c r="M362" s="321" t="str">
        <f t="shared" si="10"/>
        <v>jessicazartler</v>
      </c>
      <c r="N362" s="176">
        <f>IFERROR(__xludf.DUMMYFUNCTION("""COMPUTED_VALUE"""),23.0)</f>
        <v>23</v>
      </c>
      <c r="O362" s="176"/>
      <c r="P362" s="176"/>
      <c r="Q362" s="176"/>
      <c r="R362" s="176"/>
      <c r="S362" s="176"/>
      <c r="T362" s="176"/>
      <c r="U362" s="176"/>
      <c r="V362" s="176"/>
      <c r="W362" s="176"/>
      <c r="X362" s="176"/>
      <c r="Y362" s="176"/>
      <c r="Z362" s="176"/>
    </row>
    <row r="363">
      <c r="A363" s="249" t="s">
        <v>14</v>
      </c>
      <c r="B363" s="249" t="s">
        <v>10</v>
      </c>
      <c r="C363" s="219" t="s">
        <v>2690</v>
      </c>
      <c r="D363" s="268" t="s">
        <v>495</v>
      </c>
      <c r="E363" s="251">
        <v>44225.0</v>
      </c>
      <c r="F363" s="250" t="s">
        <v>496</v>
      </c>
      <c r="G363" s="171">
        <v>1000.0</v>
      </c>
      <c r="H363" s="171">
        <v>15.0</v>
      </c>
      <c r="I363" s="171">
        <v>25.0</v>
      </c>
      <c r="J363" s="325">
        <f t="shared" si="12"/>
        <v>0.0006163682558</v>
      </c>
      <c r="K363" s="326">
        <f t="shared" si="16"/>
        <v>0.5752770387</v>
      </c>
      <c r="L363" s="327">
        <f t="shared" si="9"/>
        <v>6.953861378</v>
      </c>
      <c r="M363" s="321" t="str">
        <f t="shared" si="10"/>
        <v>jessicazartler</v>
      </c>
      <c r="N363" s="176">
        <f>IFERROR(__xludf.DUMMYFUNCTION("""COMPUTED_VALUE"""),24.0)</f>
        <v>24</v>
      </c>
      <c r="O363" s="176"/>
      <c r="P363" s="176"/>
      <c r="Q363" s="176"/>
      <c r="R363" s="176"/>
      <c r="S363" s="176"/>
      <c r="T363" s="176"/>
      <c r="U363" s="176"/>
      <c r="V363" s="176"/>
      <c r="W363" s="176"/>
      <c r="X363" s="176"/>
      <c r="Y363" s="176"/>
      <c r="Z363" s="176"/>
    </row>
    <row r="364">
      <c r="A364" s="240" t="s">
        <v>14</v>
      </c>
      <c r="B364" s="240" t="s">
        <v>534</v>
      </c>
      <c r="C364" s="221" t="s">
        <v>741</v>
      </c>
      <c r="D364" s="336"/>
      <c r="E364" s="255"/>
      <c r="F364" s="254"/>
      <c r="G364" s="222"/>
      <c r="H364" s="222"/>
      <c r="I364" s="222"/>
      <c r="J364" s="325">
        <f t="shared" si="12"/>
        <v>0</v>
      </c>
      <c r="K364" s="337">
        <f>46.36*-0.85</f>
        <v>-39.406</v>
      </c>
      <c r="L364" s="327">
        <f t="shared" si="9"/>
        <v>6.953861378</v>
      </c>
      <c r="M364" s="321" t="str">
        <f t="shared" si="10"/>
        <v>jessicazartler</v>
      </c>
      <c r="N364" s="209">
        <f>IFERROR(__xludf.DUMMYFUNCTION("""COMPUTED_VALUE"""),25.0)</f>
        <v>25</v>
      </c>
      <c r="O364" s="209"/>
      <c r="P364" s="209"/>
      <c r="Q364" s="209"/>
      <c r="R364" s="209"/>
      <c r="S364" s="209"/>
      <c r="T364" s="209"/>
      <c r="U364" s="209"/>
      <c r="V364" s="209"/>
      <c r="W364" s="209"/>
      <c r="X364" s="209"/>
      <c r="Y364" s="176"/>
      <c r="Z364" s="176"/>
    </row>
    <row r="365">
      <c r="A365" s="249" t="s">
        <v>28</v>
      </c>
      <c r="B365" s="249" t="s">
        <v>10</v>
      </c>
      <c r="C365" s="219" t="s">
        <v>2817</v>
      </c>
      <c r="D365" s="268" t="s">
        <v>495</v>
      </c>
      <c r="E365" s="251">
        <v>44218.0</v>
      </c>
      <c r="F365" s="250" t="s">
        <v>496</v>
      </c>
      <c r="G365" s="171">
        <v>50000.0</v>
      </c>
      <c r="H365" s="171">
        <v>200.0</v>
      </c>
      <c r="I365" s="171">
        <v>200.0</v>
      </c>
      <c r="J365" s="325">
        <f t="shared" si="12"/>
        <v>0.009686040207</v>
      </c>
      <c r="K365" s="326">
        <f t="shared" ref="K365:K385" si="17">J365*$J$1</f>
        <v>9.040304193</v>
      </c>
      <c r="L365" s="327">
        <f t="shared" si="9"/>
        <v>6.755354539</v>
      </c>
      <c r="M365" s="321" t="str">
        <f t="shared" si="10"/>
        <v>tam2140</v>
      </c>
      <c r="N365" s="176">
        <f>IFERROR(__xludf.DUMMYFUNCTION("""COMPUTED_VALUE"""),1.0)</f>
        <v>1</v>
      </c>
      <c r="O365" s="176"/>
      <c r="P365" s="176"/>
      <c r="Q365" s="176"/>
      <c r="R365" s="176"/>
      <c r="S365" s="176"/>
      <c r="T365" s="176"/>
      <c r="U365" s="176"/>
      <c r="V365" s="176"/>
      <c r="W365" s="176"/>
      <c r="X365" s="176"/>
      <c r="Y365" s="176"/>
      <c r="Z365" s="176"/>
    </row>
    <row r="366">
      <c r="A366" s="249" t="s">
        <v>28</v>
      </c>
      <c r="B366" s="249" t="s">
        <v>10</v>
      </c>
      <c r="C366" s="219" t="s">
        <v>2818</v>
      </c>
      <c r="D366" s="268" t="s">
        <v>495</v>
      </c>
      <c r="E366" s="251">
        <v>44225.0</v>
      </c>
      <c r="F366" s="250" t="s">
        <v>496</v>
      </c>
      <c r="G366" s="171">
        <v>25000.0</v>
      </c>
      <c r="H366" s="171">
        <v>35.0</v>
      </c>
      <c r="I366" s="171">
        <v>150.0</v>
      </c>
      <c r="J366" s="325">
        <f t="shared" si="12"/>
        <v>0.004143553335</v>
      </c>
      <c r="K366" s="326">
        <f t="shared" si="17"/>
        <v>3.867316446</v>
      </c>
      <c r="L366" s="327">
        <f t="shared" si="9"/>
        <v>6.755354539</v>
      </c>
      <c r="M366" s="321" t="str">
        <f t="shared" si="10"/>
        <v>tam2140</v>
      </c>
      <c r="N366" s="176">
        <f>IFERROR(__xludf.DUMMYFUNCTION("""COMPUTED_VALUE"""),2.0)</f>
        <v>2</v>
      </c>
      <c r="O366" s="176"/>
      <c r="P366" s="176"/>
      <c r="Q366" s="176"/>
      <c r="R366" s="176"/>
      <c r="S366" s="176"/>
      <c r="T366" s="176"/>
      <c r="U366" s="176"/>
      <c r="V366" s="176"/>
      <c r="W366" s="176"/>
      <c r="X366" s="176"/>
      <c r="Y366" s="176"/>
      <c r="Z366" s="176"/>
    </row>
    <row r="367">
      <c r="A367" s="249" t="s">
        <v>28</v>
      </c>
      <c r="B367" s="249" t="s">
        <v>18</v>
      </c>
      <c r="C367" s="219" t="s">
        <v>2819</v>
      </c>
      <c r="D367" s="268" t="s">
        <v>495</v>
      </c>
      <c r="E367" s="251">
        <v>44224.0</v>
      </c>
      <c r="F367" s="250" t="s">
        <v>496</v>
      </c>
      <c r="G367" s="171">
        <v>25000.0</v>
      </c>
      <c r="H367" s="171">
        <v>35.0</v>
      </c>
      <c r="I367" s="171">
        <v>150.0</v>
      </c>
      <c r="J367" s="325">
        <f t="shared" si="12"/>
        <v>0.004143553335</v>
      </c>
      <c r="K367" s="326">
        <f t="shared" si="17"/>
        <v>3.867316446</v>
      </c>
      <c r="L367" s="327">
        <f t="shared" si="9"/>
        <v>6.755354539</v>
      </c>
      <c r="M367" s="321" t="str">
        <f t="shared" si="10"/>
        <v>tam2140</v>
      </c>
      <c r="N367" s="176">
        <f>IFERROR(__xludf.DUMMYFUNCTION("""COMPUTED_VALUE"""),3.0)</f>
        <v>3</v>
      </c>
      <c r="O367" s="176"/>
      <c r="P367" s="176"/>
      <c r="Q367" s="176"/>
      <c r="R367" s="176"/>
      <c r="S367" s="176"/>
      <c r="T367" s="176"/>
      <c r="U367" s="176"/>
      <c r="V367" s="176"/>
      <c r="W367" s="176"/>
      <c r="X367" s="176"/>
      <c r="Y367" s="176"/>
      <c r="Z367" s="176"/>
    </row>
    <row r="368">
      <c r="A368" s="249" t="s">
        <v>28</v>
      </c>
      <c r="B368" s="249" t="s">
        <v>867</v>
      </c>
      <c r="C368" s="219" t="s">
        <v>2748</v>
      </c>
      <c r="D368" s="268" t="s">
        <v>495</v>
      </c>
      <c r="E368" s="251">
        <v>44225.0</v>
      </c>
      <c r="F368" s="250" t="s">
        <v>496</v>
      </c>
      <c r="G368" s="171">
        <v>25000.0</v>
      </c>
      <c r="H368" s="171">
        <v>25.0</v>
      </c>
      <c r="I368" s="171">
        <v>25.0</v>
      </c>
      <c r="J368" s="325">
        <f t="shared" si="12"/>
        <v>0.002665508695</v>
      </c>
      <c r="K368" s="326">
        <f t="shared" si="17"/>
        <v>2.487808116</v>
      </c>
      <c r="L368" s="327">
        <f t="shared" si="9"/>
        <v>6.755354539</v>
      </c>
      <c r="M368" s="321" t="str">
        <f t="shared" si="10"/>
        <v>tam2140</v>
      </c>
      <c r="N368" s="176">
        <f>IFERROR(__xludf.DUMMYFUNCTION("""COMPUTED_VALUE"""),4.0)</f>
        <v>4</v>
      </c>
      <c r="O368" s="176"/>
      <c r="P368" s="176"/>
      <c r="Q368" s="176"/>
      <c r="R368" s="176"/>
      <c r="S368" s="176"/>
      <c r="T368" s="176"/>
      <c r="U368" s="176"/>
      <c r="V368" s="176"/>
      <c r="W368" s="176"/>
      <c r="X368" s="176"/>
      <c r="Y368" s="176"/>
      <c r="Z368" s="176"/>
    </row>
    <row r="369">
      <c r="A369" s="249" t="s">
        <v>28</v>
      </c>
      <c r="B369" s="249" t="s">
        <v>25</v>
      </c>
      <c r="C369" s="219" t="s">
        <v>2820</v>
      </c>
      <c r="D369" s="268" t="s">
        <v>495</v>
      </c>
      <c r="E369" s="251">
        <v>44223.0</v>
      </c>
      <c r="F369" s="250" t="s">
        <v>496</v>
      </c>
      <c r="G369" s="171">
        <v>10000.0</v>
      </c>
      <c r="H369" s="171">
        <v>50.0</v>
      </c>
      <c r="I369" s="171">
        <v>100.0</v>
      </c>
      <c r="J369" s="325">
        <f t="shared" si="12"/>
        <v>0.002743938455</v>
      </c>
      <c r="K369" s="326">
        <f t="shared" si="17"/>
        <v>2.561009224</v>
      </c>
      <c r="L369" s="327">
        <f t="shared" si="9"/>
        <v>6.755354539</v>
      </c>
      <c r="M369" s="321" t="str">
        <f t="shared" si="10"/>
        <v>tam2140</v>
      </c>
      <c r="N369" s="176">
        <f>IFERROR(__xludf.DUMMYFUNCTION("""COMPUTED_VALUE"""),5.0)</f>
        <v>5</v>
      </c>
      <c r="O369" s="176"/>
      <c r="P369" s="176"/>
      <c r="Q369" s="176"/>
      <c r="R369" s="176"/>
      <c r="S369" s="176"/>
      <c r="T369" s="176"/>
      <c r="U369" s="176"/>
      <c r="V369" s="176"/>
      <c r="W369" s="176"/>
      <c r="X369" s="176"/>
      <c r="Y369" s="176"/>
      <c r="Z369" s="176"/>
    </row>
    <row r="370">
      <c r="A370" s="249" t="s">
        <v>28</v>
      </c>
      <c r="B370" s="249" t="s">
        <v>12</v>
      </c>
      <c r="C370" s="219" t="s">
        <v>2821</v>
      </c>
      <c r="D370" s="268" t="s">
        <v>495</v>
      </c>
      <c r="E370" s="251">
        <v>44216.0</v>
      </c>
      <c r="F370" s="250" t="s">
        <v>496</v>
      </c>
      <c r="G370" s="171">
        <v>20000.0</v>
      </c>
      <c r="H370" s="171">
        <v>25.0</v>
      </c>
      <c r="I370" s="171">
        <v>25.0</v>
      </c>
      <c r="J370" s="325">
        <f t="shared" si="12"/>
        <v>0.002277574383</v>
      </c>
      <c r="K370" s="326">
        <f t="shared" si="17"/>
        <v>2.125736091</v>
      </c>
      <c r="L370" s="327">
        <f t="shared" si="9"/>
        <v>6.755354539</v>
      </c>
      <c r="M370" s="321" t="str">
        <f t="shared" si="10"/>
        <v>tam2140</v>
      </c>
      <c r="N370" s="176">
        <f>IFERROR(__xludf.DUMMYFUNCTION("""COMPUTED_VALUE"""),6.0)</f>
        <v>6</v>
      </c>
      <c r="O370" s="176"/>
      <c r="P370" s="176"/>
      <c r="Q370" s="176"/>
      <c r="R370" s="176"/>
      <c r="S370" s="176"/>
      <c r="T370" s="176"/>
      <c r="U370" s="176"/>
      <c r="V370" s="176"/>
      <c r="W370" s="176"/>
      <c r="X370" s="176"/>
      <c r="Y370" s="176"/>
      <c r="Z370" s="176"/>
    </row>
    <row r="371">
      <c r="A371" s="249" t="s">
        <v>28</v>
      </c>
      <c r="B371" s="249" t="s">
        <v>10</v>
      </c>
      <c r="C371" s="219" t="s">
        <v>2668</v>
      </c>
      <c r="D371" s="268" t="s">
        <v>495</v>
      </c>
      <c r="E371" s="251">
        <v>44218.0</v>
      </c>
      <c r="F371" s="250" t="s">
        <v>496</v>
      </c>
      <c r="G371" s="171">
        <v>20000.0</v>
      </c>
      <c r="H371" s="171">
        <v>25.0</v>
      </c>
      <c r="I371" s="171">
        <v>100.0</v>
      </c>
      <c r="J371" s="325">
        <f t="shared" si="12"/>
        <v>0.003052167722</v>
      </c>
      <c r="K371" s="326">
        <f t="shared" si="17"/>
        <v>2.848689874</v>
      </c>
      <c r="L371" s="327">
        <f t="shared" si="9"/>
        <v>6.755354539</v>
      </c>
      <c r="M371" s="321" t="str">
        <f t="shared" si="10"/>
        <v>tam2140</v>
      </c>
      <c r="N371" s="176">
        <f>IFERROR(__xludf.DUMMYFUNCTION("""COMPUTED_VALUE"""),7.0)</f>
        <v>7</v>
      </c>
      <c r="O371" s="176"/>
      <c r="P371" s="176"/>
      <c r="Q371" s="176"/>
      <c r="R371" s="176"/>
      <c r="S371" s="176"/>
      <c r="T371" s="176"/>
      <c r="U371" s="176"/>
      <c r="V371" s="176"/>
      <c r="W371" s="176"/>
      <c r="X371" s="176"/>
      <c r="Y371" s="176"/>
      <c r="Z371" s="176"/>
    </row>
    <row r="372">
      <c r="A372" s="249" t="s">
        <v>28</v>
      </c>
      <c r="B372" s="249" t="s">
        <v>70</v>
      </c>
      <c r="C372" s="219" t="s">
        <v>2822</v>
      </c>
      <c r="D372" s="268" t="s">
        <v>495</v>
      </c>
      <c r="E372" s="251">
        <v>44224.0</v>
      </c>
      <c r="F372" s="250" t="s">
        <v>496</v>
      </c>
      <c r="G372" s="171">
        <v>5000.0</v>
      </c>
      <c r="H372" s="171">
        <v>25.0</v>
      </c>
      <c r="I372" s="171">
        <v>100.0</v>
      </c>
      <c r="J372" s="325">
        <f t="shared" si="12"/>
        <v>0.001888364786</v>
      </c>
      <c r="K372" s="326">
        <f t="shared" si="17"/>
        <v>1.762473801</v>
      </c>
      <c r="L372" s="327">
        <f t="shared" si="9"/>
        <v>6.755354539</v>
      </c>
      <c r="M372" s="321" t="str">
        <f t="shared" si="10"/>
        <v>tam2140</v>
      </c>
      <c r="N372" s="176">
        <f>IFERROR(__xludf.DUMMYFUNCTION("""COMPUTED_VALUE"""),8.0)</f>
        <v>8</v>
      </c>
      <c r="O372" s="176"/>
      <c r="P372" s="176"/>
      <c r="Q372" s="176"/>
      <c r="R372" s="176"/>
      <c r="S372" s="176"/>
      <c r="T372" s="176"/>
      <c r="U372" s="176"/>
      <c r="V372" s="176"/>
      <c r="W372" s="176"/>
      <c r="X372" s="176"/>
      <c r="Y372" s="176"/>
      <c r="Z372" s="176"/>
    </row>
    <row r="373">
      <c r="A373" s="249" t="s">
        <v>28</v>
      </c>
      <c r="B373" s="249" t="s">
        <v>10</v>
      </c>
      <c r="C373" s="219" t="s">
        <v>2670</v>
      </c>
      <c r="D373" s="268" t="s">
        <v>495</v>
      </c>
      <c r="E373" s="251">
        <v>44225.0</v>
      </c>
      <c r="F373" s="250" t="s">
        <v>496</v>
      </c>
      <c r="G373" s="171">
        <v>5000.0</v>
      </c>
      <c r="H373" s="171">
        <v>25.0</v>
      </c>
      <c r="I373" s="171">
        <v>100.0</v>
      </c>
      <c r="J373" s="325">
        <f t="shared" si="12"/>
        <v>0.001888364786</v>
      </c>
      <c r="K373" s="326">
        <f t="shared" si="17"/>
        <v>1.762473801</v>
      </c>
      <c r="L373" s="327">
        <f t="shared" si="9"/>
        <v>6.755354539</v>
      </c>
      <c r="M373" s="321" t="str">
        <f t="shared" si="10"/>
        <v>tam2140</v>
      </c>
      <c r="N373" s="176">
        <f>IFERROR(__xludf.DUMMYFUNCTION("""COMPUTED_VALUE"""),9.0)</f>
        <v>9</v>
      </c>
      <c r="O373" s="176"/>
      <c r="P373" s="176"/>
      <c r="Q373" s="176"/>
      <c r="R373" s="176"/>
      <c r="S373" s="176"/>
      <c r="T373" s="176"/>
      <c r="U373" s="176"/>
      <c r="V373" s="176"/>
      <c r="W373" s="176"/>
      <c r="X373" s="176"/>
      <c r="Y373" s="176"/>
      <c r="Z373" s="176"/>
    </row>
    <row r="374">
      <c r="A374" s="249" t="s">
        <v>28</v>
      </c>
      <c r="B374" s="249" t="s">
        <v>10</v>
      </c>
      <c r="C374" s="219" t="s">
        <v>2723</v>
      </c>
      <c r="D374" s="268" t="s">
        <v>495</v>
      </c>
      <c r="E374" s="251">
        <v>44225.0</v>
      </c>
      <c r="F374" s="250" t="s">
        <v>496</v>
      </c>
      <c r="G374" s="171">
        <v>5000.0</v>
      </c>
      <c r="H374" s="171">
        <v>25.0</v>
      </c>
      <c r="I374" s="171">
        <v>100.0</v>
      </c>
      <c r="J374" s="325">
        <f t="shared" si="12"/>
        <v>0.001888364786</v>
      </c>
      <c r="K374" s="326">
        <f t="shared" si="17"/>
        <v>1.762473801</v>
      </c>
      <c r="L374" s="327">
        <f t="shared" si="9"/>
        <v>6.755354539</v>
      </c>
      <c r="M374" s="321" t="str">
        <f t="shared" si="10"/>
        <v>tam2140</v>
      </c>
      <c r="N374" s="176">
        <f>IFERROR(__xludf.DUMMYFUNCTION("""COMPUTED_VALUE"""),10.0)</f>
        <v>10</v>
      </c>
      <c r="O374" s="176"/>
      <c r="P374" s="176"/>
      <c r="Q374" s="176"/>
      <c r="R374" s="176"/>
      <c r="S374" s="176"/>
      <c r="T374" s="176"/>
      <c r="U374" s="176"/>
      <c r="V374" s="176"/>
      <c r="W374" s="176"/>
      <c r="X374" s="176"/>
      <c r="Y374" s="176"/>
      <c r="Z374" s="176"/>
    </row>
    <row r="375">
      <c r="A375" s="249" t="s">
        <v>28</v>
      </c>
      <c r="B375" s="249" t="s">
        <v>10</v>
      </c>
      <c r="C375" s="219" t="s">
        <v>2786</v>
      </c>
      <c r="D375" s="268" t="s">
        <v>495</v>
      </c>
      <c r="E375" s="251">
        <v>44225.0</v>
      </c>
      <c r="F375" s="250" t="s">
        <v>496</v>
      </c>
      <c r="G375" s="171">
        <v>5000.0</v>
      </c>
      <c r="H375" s="171">
        <v>25.0</v>
      </c>
      <c r="I375" s="171">
        <v>100.0</v>
      </c>
      <c r="J375" s="325">
        <f t="shared" si="12"/>
        <v>0.001888364786</v>
      </c>
      <c r="K375" s="326">
        <f t="shared" si="17"/>
        <v>1.762473801</v>
      </c>
      <c r="L375" s="327">
        <f t="shared" si="9"/>
        <v>6.755354539</v>
      </c>
      <c r="M375" s="321" t="str">
        <f t="shared" si="10"/>
        <v>tam2140</v>
      </c>
      <c r="N375" s="176">
        <f>IFERROR(__xludf.DUMMYFUNCTION("""COMPUTED_VALUE"""),11.0)</f>
        <v>11</v>
      </c>
      <c r="O375" s="176"/>
      <c r="P375" s="176"/>
      <c r="Q375" s="176"/>
      <c r="R375" s="176"/>
      <c r="S375" s="176"/>
      <c r="T375" s="176"/>
      <c r="U375" s="176"/>
      <c r="V375" s="176"/>
      <c r="W375" s="176"/>
      <c r="X375" s="176"/>
      <c r="Y375" s="176"/>
      <c r="Z375" s="176"/>
    </row>
    <row r="376">
      <c r="A376" s="249" t="s">
        <v>28</v>
      </c>
      <c r="B376" s="249" t="s">
        <v>10</v>
      </c>
      <c r="C376" s="219" t="s">
        <v>2788</v>
      </c>
      <c r="D376" s="268" t="s">
        <v>495</v>
      </c>
      <c r="E376" s="251">
        <v>44218.0</v>
      </c>
      <c r="F376" s="250" t="s">
        <v>496</v>
      </c>
      <c r="G376" s="171">
        <v>10000.0</v>
      </c>
      <c r="H376" s="171">
        <v>25.0</v>
      </c>
      <c r="I376" s="171">
        <v>50.0</v>
      </c>
      <c r="J376" s="325">
        <f t="shared" si="12"/>
        <v>0.001759903539</v>
      </c>
      <c r="K376" s="326">
        <f t="shared" si="17"/>
        <v>1.642576637</v>
      </c>
      <c r="L376" s="327">
        <f t="shared" si="9"/>
        <v>6.755354539</v>
      </c>
      <c r="M376" s="321" t="str">
        <f t="shared" si="10"/>
        <v>tam2140</v>
      </c>
      <c r="N376" s="176">
        <f>IFERROR(__xludf.DUMMYFUNCTION("""COMPUTED_VALUE"""),12.0)</f>
        <v>12</v>
      </c>
      <c r="O376" s="176"/>
      <c r="P376" s="176"/>
      <c r="Q376" s="176"/>
      <c r="R376" s="176"/>
      <c r="S376" s="176"/>
      <c r="T376" s="176"/>
      <c r="U376" s="176"/>
      <c r="V376" s="176"/>
      <c r="W376" s="176"/>
      <c r="X376" s="176"/>
      <c r="Y376" s="176"/>
      <c r="Z376" s="176"/>
    </row>
    <row r="377">
      <c r="A377" s="249" t="s">
        <v>28</v>
      </c>
      <c r="B377" s="249" t="s">
        <v>5</v>
      </c>
      <c r="C377" s="219" t="s">
        <v>2676</v>
      </c>
      <c r="D377" s="268" t="s">
        <v>495</v>
      </c>
      <c r="E377" s="251">
        <v>44224.0</v>
      </c>
      <c r="F377" s="250" t="s">
        <v>496</v>
      </c>
      <c r="G377" s="171">
        <v>10000.0</v>
      </c>
      <c r="H377" s="171">
        <v>25.0</v>
      </c>
      <c r="I377" s="171">
        <v>50.0</v>
      </c>
      <c r="J377" s="325">
        <f t="shared" si="12"/>
        <v>0.001759903539</v>
      </c>
      <c r="K377" s="326">
        <f t="shared" si="17"/>
        <v>1.642576637</v>
      </c>
      <c r="L377" s="327">
        <f t="shared" si="9"/>
        <v>6.755354539</v>
      </c>
      <c r="M377" s="321" t="str">
        <f t="shared" si="10"/>
        <v>tam2140</v>
      </c>
      <c r="N377" s="176">
        <f>IFERROR(__xludf.DUMMYFUNCTION("""COMPUTED_VALUE"""),13.0)</f>
        <v>13</v>
      </c>
      <c r="O377" s="176"/>
      <c r="P377" s="176"/>
      <c r="Q377" s="176"/>
      <c r="R377" s="176"/>
      <c r="S377" s="176"/>
      <c r="T377" s="176"/>
      <c r="U377" s="176"/>
      <c r="V377" s="176"/>
      <c r="W377" s="176"/>
      <c r="X377" s="176"/>
      <c r="Y377" s="176"/>
      <c r="Z377" s="176"/>
    </row>
    <row r="378">
      <c r="A378" s="249" t="s">
        <v>28</v>
      </c>
      <c r="B378" s="249" t="s">
        <v>5</v>
      </c>
      <c r="C378" s="219" t="s">
        <v>2677</v>
      </c>
      <c r="D378" s="268" t="s">
        <v>495</v>
      </c>
      <c r="E378" s="251">
        <v>44217.0</v>
      </c>
      <c r="F378" s="250" t="s">
        <v>496</v>
      </c>
      <c r="G378" s="171">
        <v>5000.0</v>
      </c>
      <c r="H378" s="171">
        <v>25.0</v>
      </c>
      <c r="I378" s="171">
        <v>25.0</v>
      </c>
      <c r="J378" s="325">
        <f t="shared" si="12"/>
        <v>0.001113771448</v>
      </c>
      <c r="K378" s="326">
        <f t="shared" si="17"/>
        <v>1.039520018</v>
      </c>
      <c r="L378" s="327">
        <f t="shared" si="9"/>
        <v>6.755354539</v>
      </c>
      <c r="M378" s="321" t="str">
        <f t="shared" si="10"/>
        <v>tam2140</v>
      </c>
      <c r="N378" s="176">
        <f>IFERROR(__xludf.DUMMYFUNCTION("""COMPUTED_VALUE"""),14.0)</f>
        <v>14</v>
      </c>
      <c r="O378" s="176"/>
      <c r="P378" s="176"/>
      <c r="Q378" s="176"/>
      <c r="R378" s="176"/>
      <c r="S378" s="176"/>
      <c r="T378" s="176"/>
      <c r="U378" s="176"/>
      <c r="V378" s="176"/>
      <c r="W378" s="176"/>
      <c r="X378" s="176"/>
      <c r="Y378" s="176"/>
      <c r="Z378" s="176"/>
    </row>
    <row r="379">
      <c r="A379" s="249" t="s">
        <v>28</v>
      </c>
      <c r="B379" s="249" t="s">
        <v>590</v>
      </c>
      <c r="C379" s="219" t="s">
        <v>2790</v>
      </c>
      <c r="D379" s="268" t="s">
        <v>495</v>
      </c>
      <c r="E379" s="251">
        <v>44216.0</v>
      </c>
      <c r="F379" s="250" t="s">
        <v>496</v>
      </c>
      <c r="G379" s="171">
        <v>2000.0</v>
      </c>
      <c r="H379" s="171">
        <v>25.0</v>
      </c>
      <c r="I379" s="171">
        <v>25.0</v>
      </c>
      <c r="J379" s="325">
        <f t="shared" si="12"/>
        <v>0.0008810108608</v>
      </c>
      <c r="K379" s="326">
        <f t="shared" si="17"/>
        <v>0.8222768034</v>
      </c>
      <c r="L379" s="327">
        <f t="shared" si="9"/>
        <v>6.755354539</v>
      </c>
      <c r="M379" s="321" t="str">
        <f t="shared" si="10"/>
        <v>tam2140</v>
      </c>
      <c r="N379" s="176">
        <f>IFERROR(__xludf.DUMMYFUNCTION("""COMPUTED_VALUE"""),15.0)</f>
        <v>15</v>
      </c>
      <c r="O379" s="176"/>
      <c r="P379" s="176"/>
      <c r="Q379" s="176"/>
      <c r="R379" s="176"/>
      <c r="S379" s="176"/>
      <c r="T379" s="176"/>
      <c r="U379" s="176"/>
      <c r="V379" s="176"/>
      <c r="W379" s="176"/>
      <c r="X379" s="176"/>
      <c r="Y379" s="176"/>
      <c r="Z379" s="176"/>
    </row>
    <row r="380">
      <c r="A380" s="249" t="s">
        <v>28</v>
      </c>
      <c r="B380" s="249" t="s">
        <v>590</v>
      </c>
      <c r="C380" s="219" t="s">
        <v>2678</v>
      </c>
      <c r="D380" s="268" t="s">
        <v>495</v>
      </c>
      <c r="E380" s="251">
        <v>44216.0</v>
      </c>
      <c r="F380" s="250" t="s">
        <v>496</v>
      </c>
      <c r="G380" s="171">
        <v>30000.0</v>
      </c>
      <c r="H380" s="171">
        <v>25.0</v>
      </c>
      <c r="I380" s="171">
        <v>25.0</v>
      </c>
      <c r="J380" s="325">
        <f t="shared" si="12"/>
        <v>0.003053443007</v>
      </c>
      <c r="K380" s="326">
        <f t="shared" si="17"/>
        <v>2.84988014</v>
      </c>
      <c r="L380" s="327">
        <f t="shared" si="9"/>
        <v>6.755354539</v>
      </c>
      <c r="M380" s="321" t="str">
        <f t="shared" si="10"/>
        <v>tam2140</v>
      </c>
      <c r="N380" s="176">
        <f>IFERROR(__xludf.DUMMYFUNCTION("""COMPUTED_VALUE"""),16.0)</f>
        <v>16</v>
      </c>
      <c r="O380" s="176"/>
      <c r="P380" s="176"/>
      <c r="Q380" s="176"/>
      <c r="R380" s="176"/>
      <c r="S380" s="176"/>
      <c r="T380" s="176"/>
      <c r="U380" s="176"/>
      <c r="V380" s="176"/>
      <c r="W380" s="176"/>
      <c r="X380" s="176"/>
      <c r="Y380" s="176"/>
      <c r="Z380" s="176"/>
    </row>
    <row r="381">
      <c r="A381" s="249" t="s">
        <v>28</v>
      </c>
      <c r="B381" s="249" t="s">
        <v>590</v>
      </c>
      <c r="C381" s="219" t="s">
        <v>2681</v>
      </c>
      <c r="D381" s="268" t="s">
        <v>495</v>
      </c>
      <c r="E381" s="251">
        <v>44222.0</v>
      </c>
      <c r="F381" s="250" t="s">
        <v>496</v>
      </c>
      <c r="G381" s="171">
        <v>1000.0</v>
      </c>
      <c r="H381" s="171">
        <v>25.0</v>
      </c>
      <c r="I381" s="171">
        <v>25.0</v>
      </c>
      <c r="J381" s="325">
        <f t="shared" si="12"/>
        <v>0.0008034239984</v>
      </c>
      <c r="K381" s="326">
        <f t="shared" si="17"/>
        <v>0.7498623985</v>
      </c>
      <c r="L381" s="327">
        <f t="shared" si="9"/>
        <v>6.755354539</v>
      </c>
      <c r="M381" s="321" t="str">
        <f t="shared" si="10"/>
        <v>tam2140</v>
      </c>
      <c r="N381" s="176">
        <f>IFERROR(__xludf.DUMMYFUNCTION("""COMPUTED_VALUE"""),17.0)</f>
        <v>17</v>
      </c>
      <c r="O381" s="176"/>
      <c r="P381" s="176"/>
      <c r="Q381" s="176"/>
      <c r="R381" s="176"/>
      <c r="S381" s="176"/>
      <c r="T381" s="176"/>
      <c r="U381" s="176"/>
      <c r="V381" s="176"/>
      <c r="W381" s="176"/>
      <c r="X381" s="176"/>
      <c r="Y381" s="176"/>
      <c r="Z381" s="176"/>
    </row>
    <row r="382">
      <c r="A382" s="249" t="s">
        <v>28</v>
      </c>
      <c r="B382" s="249" t="s">
        <v>18</v>
      </c>
      <c r="C382" s="219" t="s">
        <v>2683</v>
      </c>
      <c r="D382" s="268" t="s">
        <v>495</v>
      </c>
      <c r="E382" s="251">
        <v>44215.0</v>
      </c>
      <c r="F382" s="250" t="s">
        <v>496</v>
      </c>
      <c r="G382" s="171">
        <v>500.0</v>
      </c>
      <c r="H382" s="171">
        <v>25.0</v>
      </c>
      <c r="I382" s="171">
        <v>25.0</v>
      </c>
      <c r="J382" s="325">
        <f t="shared" si="12"/>
        <v>0.0007646305672</v>
      </c>
      <c r="K382" s="326">
        <f t="shared" si="17"/>
        <v>0.7136551961</v>
      </c>
      <c r="L382" s="327">
        <f t="shared" si="9"/>
        <v>6.755354539</v>
      </c>
      <c r="M382" s="321" t="str">
        <f t="shared" si="10"/>
        <v>tam2140</v>
      </c>
      <c r="N382" s="176">
        <f>IFERROR(__xludf.DUMMYFUNCTION("""COMPUTED_VALUE"""),18.0)</f>
        <v>18</v>
      </c>
      <c r="O382" s="176"/>
      <c r="P382" s="176"/>
      <c r="Q382" s="176"/>
      <c r="R382" s="176"/>
      <c r="S382" s="176"/>
      <c r="T382" s="176"/>
      <c r="U382" s="176"/>
      <c r="V382" s="176"/>
      <c r="W382" s="176"/>
      <c r="X382" s="176"/>
      <c r="Y382" s="176"/>
      <c r="Z382" s="176"/>
    </row>
    <row r="383">
      <c r="A383" s="249" t="s">
        <v>28</v>
      </c>
      <c r="B383" s="249" t="s">
        <v>6</v>
      </c>
      <c r="C383" s="219" t="s">
        <v>2686</v>
      </c>
      <c r="D383" s="268" t="s">
        <v>495</v>
      </c>
      <c r="E383" s="251">
        <v>44215.0</v>
      </c>
      <c r="F383" s="250" t="s">
        <v>496</v>
      </c>
      <c r="G383" s="171">
        <v>1000.0</v>
      </c>
      <c r="H383" s="171">
        <v>15.0</v>
      </c>
      <c r="I383" s="171">
        <v>25.0</v>
      </c>
      <c r="J383" s="325">
        <f t="shared" si="12"/>
        <v>0.0006163682558</v>
      </c>
      <c r="K383" s="326">
        <f t="shared" si="17"/>
        <v>0.5752770387</v>
      </c>
      <c r="L383" s="327">
        <f t="shared" si="9"/>
        <v>6.755354539</v>
      </c>
      <c r="M383" s="321" t="str">
        <f t="shared" si="10"/>
        <v>tam2140</v>
      </c>
      <c r="N383" s="176">
        <f>IFERROR(__xludf.DUMMYFUNCTION("""COMPUTED_VALUE"""),19.0)</f>
        <v>19</v>
      </c>
      <c r="O383" s="176"/>
      <c r="P383" s="176"/>
      <c r="Q383" s="176"/>
      <c r="R383" s="176"/>
      <c r="S383" s="176"/>
      <c r="T383" s="176"/>
      <c r="U383" s="176"/>
      <c r="V383" s="176"/>
      <c r="W383" s="176"/>
      <c r="X383" s="176"/>
      <c r="Y383" s="176"/>
      <c r="Z383" s="176"/>
    </row>
    <row r="384">
      <c r="A384" s="249" t="s">
        <v>28</v>
      </c>
      <c r="B384" s="249" t="s">
        <v>10</v>
      </c>
      <c r="C384" s="219" t="s">
        <v>2687</v>
      </c>
      <c r="D384" s="268" t="s">
        <v>495</v>
      </c>
      <c r="E384" s="251">
        <v>44218.0</v>
      </c>
      <c r="F384" s="250" t="s">
        <v>496</v>
      </c>
      <c r="G384" s="171">
        <v>1000.0</v>
      </c>
      <c r="H384" s="171">
        <v>15.0</v>
      </c>
      <c r="I384" s="171">
        <v>25.0</v>
      </c>
      <c r="J384" s="325">
        <f t="shared" si="12"/>
        <v>0.0006163682558</v>
      </c>
      <c r="K384" s="326">
        <f t="shared" si="17"/>
        <v>0.5752770387</v>
      </c>
      <c r="L384" s="327">
        <f t="shared" si="9"/>
        <v>6.755354539</v>
      </c>
      <c r="M384" s="321" t="str">
        <f t="shared" si="10"/>
        <v>tam2140</v>
      </c>
      <c r="N384" s="176">
        <f>IFERROR(__xludf.DUMMYFUNCTION("""COMPUTED_VALUE"""),20.0)</f>
        <v>20</v>
      </c>
      <c r="O384" s="176"/>
      <c r="P384" s="176"/>
      <c r="Q384" s="176"/>
      <c r="R384" s="176"/>
      <c r="S384" s="176"/>
      <c r="T384" s="176"/>
      <c r="U384" s="176"/>
      <c r="V384" s="176"/>
      <c r="W384" s="176"/>
      <c r="X384" s="176"/>
      <c r="Y384" s="176"/>
      <c r="Z384" s="176"/>
    </row>
    <row r="385">
      <c r="A385" s="249" t="s">
        <v>28</v>
      </c>
      <c r="B385" s="249" t="s">
        <v>10</v>
      </c>
      <c r="C385" s="219" t="s">
        <v>2690</v>
      </c>
      <c r="D385" s="268" t="s">
        <v>495</v>
      </c>
      <c r="E385" s="251">
        <v>44225.0</v>
      </c>
      <c r="F385" s="250" t="s">
        <v>496</v>
      </c>
      <c r="G385" s="171">
        <v>1000.0</v>
      </c>
      <c r="H385" s="171">
        <v>15.0</v>
      </c>
      <c r="I385" s="171">
        <v>25.0</v>
      </c>
      <c r="J385" s="325">
        <f t="shared" si="12"/>
        <v>0.0006163682558</v>
      </c>
      <c r="K385" s="326">
        <f t="shared" si="17"/>
        <v>0.5752770387</v>
      </c>
      <c r="L385" s="327">
        <f t="shared" si="9"/>
        <v>6.755354539</v>
      </c>
      <c r="M385" s="321" t="str">
        <f t="shared" si="10"/>
        <v>tam2140</v>
      </c>
      <c r="N385" s="176">
        <f>IFERROR(__xludf.DUMMYFUNCTION("""COMPUTED_VALUE"""),21.0)</f>
        <v>21</v>
      </c>
      <c r="O385" s="176"/>
      <c r="P385" s="176"/>
      <c r="Q385" s="176"/>
      <c r="R385" s="176"/>
      <c r="S385" s="176"/>
      <c r="T385" s="176"/>
      <c r="U385" s="176"/>
      <c r="V385" s="176"/>
      <c r="W385" s="176"/>
      <c r="X385" s="176"/>
      <c r="Y385" s="176"/>
      <c r="Z385" s="176"/>
    </row>
    <row r="386">
      <c r="A386" s="240" t="s">
        <v>28</v>
      </c>
      <c r="B386" s="240" t="s">
        <v>534</v>
      </c>
      <c r="C386" s="221" t="s">
        <v>781</v>
      </c>
      <c r="D386" s="336"/>
      <c r="E386" s="340"/>
      <c r="F386" s="254"/>
      <c r="G386" s="312"/>
      <c r="H386" s="222"/>
      <c r="I386" s="222"/>
      <c r="J386" s="325">
        <f t="shared" si="12"/>
        <v>0</v>
      </c>
      <c r="K386" s="337">
        <f>45.034*-0.85</f>
        <v>-38.2789</v>
      </c>
      <c r="L386" s="327">
        <f t="shared" si="9"/>
        <v>6.755354539</v>
      </c>
      <c r="M386" s="321" t="str">
        <f t="shared" si="10"/>
        <v>tam2140</v>
      </c>
      <c r="N386" s="209">
        <f>IFERROR(__xludf.DUMMYFUNCTION("""COMPUTED_VALUE"""),22.0)</f>
        <v>22</v>
      </c>
      <c r="O386" s="209"/>
      <c r="P386" s="209"/>
      <c r="Q386" s="209"/>
      <c r="R386" s="209">
        <v>27.866735844582376</v>
      </c>
      <c r="S386" s="209"/>
      <c r="T386" s="209"/>
      <c r="U386" s="209"/>
      <c r="V386" s="209"/>
      <c r="W386" s="209"/>
      <c r="X386" s="209"/>
      <c r="Y386" s="176"/>
      <c r="Z386" s="176"/>
    </row>
    <row r="387">
      <c r="A387" s="249" t="s">
        <v>63</v>
      </c>
      <c r="B387" s="249" t="s">
        <v>63</v>
      </c>
      <c r="C387" s="219" t="s">
        <v>2823</v>
      </c>
      <c r="D387" s="268" t="s">
        <v>495</v>
      </c>
      <c r="E387" s="251">
        <v>44216.0</v>
      </c>
      <c r="F387" s="250" t="s">
        <v>2586</v>
      </c>
      <c r="G387" s="171">
        <v>25000.0</v>
      </c>
      <c r="H387" s="171">
        <v>250.0</v>
      </c>
      <c r="I387" s="171">
        <v>250.0</v>
      </c>
      <c r="J387" s="325">
        <f t="shared" si="12"/>
        <v>0.00919804292</v>
      </c>
      <c r="K387" s="326">
        <f t="shared" ref="K387:K401" si="18">J387*$J$1</f>
        <v>8.584840058</v>
      </c>
      <c r="L387" s="327">
        <f t="shared" si="9"/>
        <v>5.871911145</v>
      </c>
      <c r="M387" s="321" t="str">
        <f t="shared" si="10"/>
        <v>chuygarcia92</v>
      </c>
      <c r="N387" s="176">
        <f>IFERROR(__xludf.DUMMYFUNCTION("""COMPUTED_VALUE"""),1.0)</f>
        <v>1</v>
      </c>
      <c r="O387" s="176"/>
      <c r="P387" s="176"/>
      <c r="Q387" s="176"/>
      <c r="R387" s="176"/>
      <c r="S387" s="176"/>
      <c r="T387" s="176"/>
      <c r="U387" s="176"/>
      <c r="V387" s="176"/>
      <c r="W387" s="176"/>
      <c r="X387" s="176"/>
      <c r="Y387" s="176"/>
      <c r="Z387" s="176"/>
    </row>
    <row r="388">
      <c r="A388" s="249" t="s">
        <v>63</v>
      </c>
      <c r="B388" s="249" t="s">
        <v>63</v>
      </c>
      <c r="C388" s="219" t="s">
        <v>2824</v>
      </c>
      <c r="D388" s="268" t="s">
        <v>495</v>
      </c>
      <c r="E388" s="251">
        <v>44220.0</v>
      </c>
      <c r="F388" s="250" t="s">
        <v>2586</v>
      </c>
      <c r="G388" s="171">
        <v>7500.0</v>
      </c>
      <c r="H388" s="171">
        <v>150.0</v>
      </c>
      <c r="I388" s="171">
        <v>100.0</v>
      </c>
      <c r="J388" s="325">
        <f t="shared" si="12"/>
        <v>0.004420528725</v>
      </c>
      <c r="K388" s="326">
        <f t="shared" si="18"/>
        <v>4.12582681</v>
      </c>
      <c r="L388" s="327">
        <f t="shared" si="9"/>
        <v>5.871911145</v>
      </c>
      <c r="M388" s="321" t="str">
        <f t="shared" si="10"/>
        <v>chuygarcia92</v>
      </c>
      <c r="N388" s="176">
        <f>IFERROR(__xludf.DUMMYFUNCTION("""COMPUTED_VALUE"""),2.0)</f>
        <v>2</v>
      </c>
      <c r="O388" s="176"/>
      <c r="P388" s="176"/>
      <c r="Q388" s="176"/>
      <c r="R388" s="176"/>
      <c r="S388" s="176"/>
      <c r="T388" s="176"/>
      <c r="U388" s="176"/>
      <c r="V388" s="176"/>
      <c r="W388" s="176"/>
      <c r="X388" s="176"/>
      <c r="Y388" s="176"/>
      <c r="Z388" s="176"/>
    </row>
    <row r="389">
      <c r="A389" s="249" t="s">
        <v>63</v>
      </c>
      <c r="B389" s="249" t="s">
        <v>12</v>
      </c>
      <c r="C389" s="219" t="s">
        <v>2825</v>
      </c>
      <c r="D389" s="268" t="s">
        <v>495</v>
      </c>
      <c r="E389" s="251">
        <v>44222.0</v>
      </c>
      <c r="F389" s="250" t="s">
        <v>496</v>
      </c>
      <c r="G389" s="312"/>
      <c r="H389" s="171">
        <v>150.0</v>
      </c>
      <c r="I389" s="171">
        <v>100.0</v>
      </c>
      <c r="J389" s="325">
        <f t="shared" si="12"/>
        <v>0.003838627257</v>
      </c>
      <c r="K389" s="326">
        <f t="shared" si="18"/>
        <v>3.582718773</v>
      </c>
      <c r="L389" s="327">
        <f t="shared" si="9"/>
        <v>5.871911145</v>
      </c>
      <c r="M389" s="321" t="str">
        <f t="shared" si="10"/>
        <v>chuygarcia92</v>
      </c>
      <c r="N389" s="176">
        <f>IFERROR(__xludf.DUMMYFUNCTION("""COMPUTED_VALUE"""),3.0)</f>
        <v>3</v>
      </c>
      <c r="O389" s="176"/>
      <c r="P389" s="176"/>
      <c r="Q389" s="176"/>
      <c r="R389" s="176"/>
      <c r="S389" s="176"/>
      <c r="T389" s="176"/>
      <c r="U389" s="176"/>
      <c r="V389" s="176"/>
      <c r="W389" s="176"/>
      <c r="X389" s="176"/>
      <c r="Y389" s="176"/>
      <c r="Z389" s="176"/>
    </row>
    <row r="390">
      <c r="A390" s="249" t="s">
        <v>63</v>
      </c>
      <c r="B390" s="249" t="s">
        <v>63</v>
      </c>
      <c r="C390" s="219" t="s">
        <v>2826</v>
      </c>
      <c r="D390" s="268" t="s">
        <v>495</v>
      </c>
      <c r="E390" s="251">
        <v>44223.0</v>
      </c>
      <c r="F390" s="250" t="s">
        <v>2586</v>
      </c>
      <c r="G390" s="171">
        <v>7500.0</v>
      </c>
      <c r="H390" s="171">
        <v>100.0</v>
      </c>
      <c r="I390" s="171">
        <v>100.0</v>
      </c>
      <c r="J390" s="325">
        <f t="shared" si="12"/>
        <v>0.003485250012</v>
      </c>
      <c r="K390" s="326">
        <f t="shared" si="18"/>
        <v>3.252900011</v>
      </c>
      <c r="L390" s="327">
        <f t="shared" si="9"/>
        <v>5.871911145</v>
      </c>
      <c r="M390" s="321" t="str">
        <f t="shared" si="10"/>
        <v>chuygarcia92</v>
      </c>
      <c r="N390" s="176">
        <f>IFERROR(__xludf.DUMMYFUNCTION("""COMPUTED_VALUE"""),4.0)</f>
        <v>4</v>
      </c>
      <c r="O390" s="176"/>
      <c r="P390" s="176"/>
      <c r="Q390" s="176"/>
      <c r="R390" s="176"/>
      <c r="S390" s="176"/>
      <c r="T390" s="176"/>
      <c r="U390" s="176"/>
      <c r="V390" s="176"/>
      <c r="W390" s="176"/>
      <c r="X390" s="176"/>
      <c r="Y390" s="176"/>
      <c r="Z390" s="176"/>
    </row>
    <row r="391">
      <c r="A391" s="249" t="s">
        <v>63</v>
      </c>
      <c r="B391" s="249" t="s">
        <v>25</v>
      </c>
      <c r="C391" s="219" t="s">
        <v>2827</v>
      </c>
      <c r="D391" s="268" t="s">
        <v>495</v>
      </c>
      <c r="E391" s="251">
        <v>44223.0</v>
      </c>
      <c r="F391" s="250" t="s">
        <v>496</v>
      </c>
      <c r="G391" s="171">
        <v>1000.0</v>
      </c>
      <c r="H391" s="171">
        <v>100.0</v>
      </c>
      <c r="I391" s="171">
        <v>100.0</v>
      </c>
      <c r="J391" s="325">
        <f t="shared" si="12"/>
        <v>0.002980935406</v>
      </c>
      <c r="K391" s="326">
        <f t="shared" si="18"/>
        <v>2.782206379</v>
      </c>
      <c r="L391" s="327">
        <f t="shared" si="9"/>
        <v>5.871911145</v>
      </c>
      <c r="M391" s="321" t="str">
        <f t="shared" si="10"/>
        <v>chuygarcia92</v>
      </c>
      <c r="N391" s="176">
        <f>IFERROR(__xludf.DUMMYFUNCTION("""COMPUTED_VALUE"""),5.0)</f>
        <v>5</v>
      </c>
      <c r="O391" s="176"/>
      <c r="P391" s="176"/>
      <c r="Q391" s="176"/>
      <c r="R391" s="176"/>
      <c r="S391" s="176"/>
      <c r="T391" s="176"/>
      <c r="U391" s="176"/>
      <c r="V391" s="176"/>
      <c r="W391" s="176"/>
      <c r="X391" s="176"/>
      <c r="Y391" s="176"/>
      <c r="Z391" s="176"/>
    </row>
    <row r="392">
      <c r="A392" s="249" t="s">
        <v>63</v>
      </c>
      <c r="B392" s="249" t="s">
        <v>63</v>
      </c>
      <c r="C392" s="219" t="s">
        <v>2828</v>
      </c>
      <c r="D392" s="268" t="s">
        <v>495</v>
      </c>
      <c r="E392" s="251">
        <v>44221.0</v>
      </c>
      <c r="F392" s="250" t="s">
        <v>2586</v>
      </c>
      <c r="G392" s="171">
        <v>7500.0</v>
      </c>
      <c r="H392" s="171">
        <v>100.0</v>
      </c>
      <c r="I392" s="171">
        <v>50.0</v>
      </c>
      <c r="J392" s="325">
        <f t="shared" si="12"/>
        <v>0.002968854453</v>
      </c>
      <c r="K392" s="326">
        <f t="shared" si="18"/>
        <v>2.770930823</v>
      </c>
      <c r="L392" s="327">
        <f t="shared" si="9"/>
        <v>5.871911145</v>
      </c>
      <c r="M392" s="321" t="str">
        <f t="shared" si="10"/>
        <v>chuygarcia92</v>
      </c>
      <c r="N392" s="176">
        <f>IFERROR(__xludf.DUMMYFUNCTION("""COMPUTED_VALUE"""),6.0)</f>
        <v>6</v>
      </c>
      <c r="O392" s="176"/>
      <c r="P392" s="176"/>
      <c r="Q392" s="176"/>
      <c r="R392" s="176"/>
      <c r="S392" s="176"/>
      <c r="T392" s="176"/>
      <c r="U392" s="176"/>
      <c r="V392" s="176"/>
      <c r="W392" s="176"/>
      <c r="X392" s="176"/>
      <c r="Y392" s="176"/>
      <c r="Z392" s="176"/>
    </row>
    <row r="393">
      <c r="A393" s="249" t="s">
        <v>63</v>
      </c>
      <c r="B393" s="249" t="s">
        <v>10</v>
      </c>
      <c r="C393" s="219" t="s">
        <v>2829</v>
      </c>
      <c r="D393" s="268" t="s">
        <v>495</v>
      </c>
      <c r="E393" s="251">
        <v>44225.0</v>
      </c>
      <c r="F393" s="250" t="s">
        <v>496</v>
      </c>
      <c r="G393" s="171">
        <v>5000.0</v>
      </c>
      <c r="H393" s="171">
        <v>75.0</v>
      </c>
      <c r="I393" s="171">
        <v>100.0</v>
      </c>
      <c r="J393" s="325">
        <f t="shared" si="12"/>
        <v>0.002823643499</v>
      </c>
      <c r="K393" s="326">
        <f t="shared" si="18"/>
        <v>2.635400599</v>
      </c>
      <c r="L393" s="327">
        <f t="shared" si="9"/>
        <v>5.871911145</v>
      </c>
      <c r="M393" s="321" t="str">
        <f t="shared" si="10"/>
        <v>chuygarcia92</v>
      </c>
      <c r="N393" s="176">
        <f>IFERROR(__xludf.DUMMYFUNCTION("""COMPUTED_VALUE"""),7.0)</f>
        <v>7</v>
      </c>
      <c r="O393" s="176"/>
      <c r="P393" s="176"/>
      <c r="Q393" s="176"/>
      <c r="R393" s="176"/>
      <c r="S393" s="176"/>
      <c r="T393" s="176"/>
      <c r="U393" s="176"/>
      <c r="V393" s="176"/>
      <c r="W393" s="176"/>
      <c r="X393" s="176"/>
      <c r="Y393" s="176"/>
      <c r="Z393" s="176"/>
    </row>
    <row r="394">
      <c r="A394" s="249" t="s">
        <v>63</v>
      </c>
      <c r="B394" s="249" t="s">
        <v>25</v>
      </c>
      <c r="C394" s="219" t="s">
        <v>2830</v>
      </c>
      <c r="D394" s="268" t="s">
        <v>495</v>
      </c>
      <c r="E394" s="251">
        <v>44217.0</v>
      </c>
      <c r="F394" s="250" t="s">
        <v>496</v>
      </c>
      <c r="G394" s="171">
        <v>5000.0</v>
      </c>
      <c r="H394" s="171">
        <v>100.0</v>
      </c>
      <c r="I394" s="171">
        <v>50.0</v>
      </c>
      <c r="J394" s="325">
        <f t="shared" si="12"/>
        <v>0.002774887297</v>
      </c>
      <c r="K394" s="326">
        <f t="shared" si="18"/>
        <v>2.589894811</v>
      </c>
      <c r="L394" s="327">
        <f t="shared" si="9"/>
        <v>5.871911145</v>
      </c>
      <c r="M394" s="321" t="str">
        <f t="shared" si="10"/>
        <v>chuygarcia92</v>
      </c>
      <c r="N394" s="176">
        <f>IFERROR(__xludf.DUMMYFUNCTION("""COMPUTED_VALUE"""),8.0)</f>
        <v>8</v>
      </c>
      <c r="O394" s="176"/>
      <c r="P394" s="176"/>
      <c r="Q394" s="176"/>
      <c r="R394" s="176"/>
      <c r="S394" s="176"/>
      <c r="T394" s="176"/>
      <c r="U394" s="176"/>
      <c r="V394" s="176"/>
      <c r="W394" s="176"/>
      <c r="X394" s="176"/>
      <c r="Y394" s="176"/>
      <c r="Z394" s="176"/>
    </row>
    <row r="395">
      <c r="A395" s="249" t="s">
        <v>63</v>
      </c>
      <c r="B395" s="249" t="s">
        <v>63</v>
      </c>
      <c r="C395" s="219" t="s">
        <v>2831</v>
      </c>
      <c r="D395" s="268" t="s">
        <v>495</v>
      </c>
      <c r="E395" s="251">
        <v>44218.0</v>
      </c>
      <c r="F395" s="250" t="s">
        <v>2586</v>
      </c>
      <c r="G395" s="171">
        <v>5000.0</v>
      </c>
      <c r="H395" s="171">
        <v>100.0</v>
      </c>
      <c r="I395" s="171">
        <v>50.0</v>
      </c>
      <c r="J395" s="325">
        <f t="shared" si="12"/>
        <v>0.002774887297</v>
      </c>
      <c r="K395" s="326">
        <f t="shared" si="18"/>
        <v>2.589894811</v>
      </c>
      <c r="L395" s="327">
        <f t="shared" si="9"/>
        <v>5.871911145</v>
      </c>
      <c r="M395" s="321" t="str">
        <f t="shared" si="10"/>
        <v>chuygarcia92</v>
      </c>
      <c r="N395" s="176">
        <f>IFERROR(__xludf.DUMMYFUNCTION("""COMPUTED_VALUE"""),9.0)</f>
        <v>9</v>
      </c>
      <c r="O395" s="176"/>
      <c r="P395" s="176"/>
      <c r="Q395" s="176"/>
      <c r="R395" s="176"/>
      <c r="S395" s="176"/>
      <c r="T395" s="176"/>
      <c r="U395" s="176"/>
      <c r="V395" s="176"/>
      <c r="W395" s="176"/>
      <c r="X395" s="176"/>
      <c r="Y395" s="176"/>
      <c r="Z395" s="176"/>
    </row>
    <row r="396">
      <c r="A396" s="249" t="s">
        <v>63</v>
      </c>
      <c r="B396" s="249" t="s">
        <v>10</v>
      </c>
      <c r="C396" s="219" t="s">
        <v>2745</v>
      </c>
      <c r="D396" s="268" t="s">
        <v>495</v>
      </c>
      <c r="E396" s="251">
        <v>44225.0</v>
      </c>
      <c r="F396" s="250" t="s">
        <v>496</v>
      </c>
      <c r="G396" s="222"/>
      <c r="H396" s="171">
        <v>0.0</v>
      </c>
      <c r="I396" s="171">
        <v>0.0</v>
      </c>
      <c r="J396" s="325">
        <f t="shared" si="12"/>
        <v>0</v>
      </c>
      <c r="K396" s="326">
        <f t="shared" si="18"/>
        <v>0</v>
      </c>
      <c r="L396" s="327">
        <f t="shared" si="9"/>
        <v>5.871911145</v>
      </c>
      <c r="M396" s="321" t="str">
        <f t="shared" si="10"/>
        <v>chuygarcia92</v>
      </c>
      <c r="N396" s="176">
        <f>IFERROR(__xludf.DUMMYFUNCTION("""COMPUTED_VALUE"""),10.0)</f>
        <v>10</v>
      </c>
      <c r="O396" s="176"/>
      <c r="P396" s="176"/>
      <c r="Q396" s="176"/>
      <c r="R396" s="176"/>
      <c r="S396" s="176"/>
      <c r="T396" s="176"/>
      <c r="U396" s="176"/>
      <c r="V396" s="176"/>
      <c r="W396" s="176"/>
      <c r="X396" s="176"/>
      <c r="Y396" s="176"/>
      <c r="Z396" s="176"/>
    </row>
    <row r="397">
      <c r="A397" s="249" t="s">
        <v>63</v>
      </c>
      <c r="B397" s="249" t="s">
        <v>63</v>
      </c>
      <c r="C397" s="219" t="s">
        <v>2832</v>
      </c>
      <c r="D397" s="268" t="s">
        <v>495</v>
      </c>
      <c r="E397" s="251">
        <v>44221.0</v>
      </c>
      <c r="F397" s="250" t="s">
        <v>2586</v>
      </c>
      <c r="G397" s="171">
        <v>3750.0</v>
      </c>
      <c r="H397" s="171">
        <v>100.0</v>
      </c>
      <c r="I397" s="171">
        <v>25.0</v>
      </c>
      <c r="J397" s="325">
        <f t="shared" si="12"/>
        <v>0.00241970594</v>
      </c>
      <c r="K397" s="326">
        <f t="shared" si="18"/>
        <v>2.25839221</v>
      </c>
      <c r="L397" s="327">
        <f t="shared" si="9"/>
        <v>5.871911145</v>
      </c>
      <c r="M397" s="321" t="str">
        <f t="shared" si="10"/>
        <v>chuygarcia92</v>
      </c>
      <c r="N397" s="176">
        <f>IFERROR(__xludf.DUMMYFUNCTION("""COMPUTED_VALUE"""),11.0)</f>
        <v>11</v>
      </c>
      <c r="O397" s="176"/>
      <c r="P397" s="176"/>
      <c r="Q397" s="176"/>
      <c r="R397" s="176"/>
      <c r="S397" s="176"/>
      <c r="T397" s="176"/>
      <c r="U397" s="176"/>
      <c r="V397" s="176"/>
      <c r="W397" s="176"/>
      <c r="X397" s="176"/>
      <c r="Y397" s="176"/>
      <c r="Z397" s="176"/>
    </row>
    <row r="398">
      <c r="A398" s="249" t="s">
        <v>63</v>
      </c>
      <c r="B398" s="249" t="s">
        <v>63</v>
      </c>
      <c r="C398" s="219" t="s">
        <v>2753</v>
      </c>
      <c r="D398" s="268" t="s">
        <v>495</v>
      </c>
      <c r="E398" s="251">
        <v>44217.0</v>
      </c>
      <c r="F398" s="250" t="s">
        <v>2586</v>
      </c>
      <c r="G398" s="171">
        <v>2500.0</v>
      </c>
      <c r="H398" s="171">
        <v>50.0</v>
      </c>
      <c r="I398" s="171">
        <v>25.0</v>
      </c>
      <c r="J398" s="325">
        <f t="shared" si="12"/>
        <v>0.001387443648</v>
      </c>
      <c r="K398" s="326">
        <f t="shared" si="18"/>
        <v>1.294947405</v>
      </c>
      <c r="L398" s="327">
        <f t="shared" si="9"/>
        <v>5.871911145</v>
      </c>
      <c r="M398" s="321" t="str">
        <f t="shared" si="10"/>
        <v>chuygarcia92</v>
      </c>
      <c r="N398" s="176">
        <f>IFERROR(__xludf.DUMMYFUNCTION("""COMPUTED_VALUE"""),12.0)</f>
        <v>12</v>
      </c>
      <c r="O398" s="176"/>
      <c r="P398" s="176"/>
      <c r="Q398" s="176"/>
      <c r="R398" s="176"/>
      <c r="S398" s="176"/>
      <c r="T398" s="176"/>
      <c r="U398" s="176"/>
      <c r="V398" s="176"/>
      <c r="W398" s="176"/>
      <c r="X398" s="176"/>
      <c r="Y398" s="176"/>
      <c r="Z398" s="176"/>
    </row>
    <row r="399">
      <c r="A399" s="249" t="s">
        <v>63</v>
      </c>
      <c r="B399" s="249" t="s">
        <v>10</v>
      </c>
      <c r="C399" s="219" t="s">
        <v>2802</v>
      </c>
      <c r="D399" s="268" t="s">
        <v>495</v>
      </c>
      <c r="E399" s="251">
        <v>44225.0</v>
      </c>
      <c r="F399" s="250" t="s">
        <v>496</v>
      </c>
      <c r="G399" s="171">
        <v>2000.0</v>
      </c>
      <c r="H399" s="171">
        <v>25.0</v>
      </c>
      <c r="I399" s="171">
        <v>50.0</v>
      </c>
      <c r="J399" s="325">
        <f t="shared" si="12"/>
        <v>0.00113920864</v>
      </c>
      <c r="K399" s="326">
        <f t="shared" si="18"/>
        <v>1.063261398</v>
      </c>
      <c r="L399" s="327">
        <f t="shared" si="9"/>
        <v>5.871911145</v>
      </c>
      <c r="M399" s="321" t="str">
        <f t="shared" si="10"/>
        <v>chuygarcia92</v>
      </c>
      <c r="N399" s="176">
        <f>IFERROR(__xludf.DUMMYFUNCTION("""COMPUTED_VALUE"""),13.0)</f>
        <v>13</v>
      </c>
      <c r="O399" s="176"/>
      <c r="P399" s="176"/>
      <c r="Q399" s="176"/>
      <c r="R399" s="176"/>
      <c r="S399" s="176"/>
      <c r="T399" s="176"/>
      <c r="U399" s="176"/>
      <c r="V399" s="176"/>
      <c r="W399" s="176"/>
      <c r="X399" s="176"/>
      <c r="Y399" s="176"/>
      <c r="Z399" s="176"/>
    </row>
    <row r="400">
      <c r="A400" s="249" t="s">
        <v>63</v>
      </c>
      <c r="B400" s="249" t="s">
        <v>12</v>
      </c>
      <c r="C400" s="219" t="s">
        <v>2833</v>
      </c>
      <c r="D400" s="268" t="s">
        <v>495</v>
      </c>
      <c r="E400" s="251">
        <v>44216.0</v>
      </c>
      <c r="F400" s="250" t="s">
        <v>496</v>
      </c>
      <c r="G400" s="171">
        <v>5000.0</v>
      </c>
      <c r="H400" s="171">
        <v>25.0</v>
      </c>
      <c r="I400" s="171">
        <v>25.0</v>
      </c>
      <c r="J400" s="325">
        <f t="shared" si="12"/>
        <v>0.001113771448</v>
      </c>
      <c r="K400" s="326">
        <f t="shared" si="18"/>
        <v>1.039520018</v>
      </c>
      <c r="L400" s="327">
        <f t="shared" si="9"/>
        <v>5.871911145</v>
      </c>
      <c r="M400" s="321" t="str">
        <f t="shared" si="10"/>
        <v>chuygarcia92</v>
      </c>
      <c r="N400" s="176">
        <f>IFERROR(__xludf.DUMMYFUNCTION("""COMPUTED_VALUE"""),14.0)</f>
        <v>14</v>
      </c>
      <c r="O400" s="176"/>
      <c r="P400" s="176"/>
      <c r="Q400" s="176"/>
      <c r="R400" s="176"/>
      <c r="S400" s="176"/>
      <c r="T400" s="176"/>
      <c r="U400" s="176"/>
      <c r="V400" s="176"/>
      <c r="W400" s="176"/>
      <c r="X400" s="176"/>
      <c r="Y400" s="176"/>
      <c r="Z400" s="176"/>
    </row>
    <row r="401">
      <c r="A401" s="249" t="s">
        <v>63</v>
      </c>
      <c r="B401" s="249" t="s">
        <v>18</v>
      </c>
      <c r="C401" s="219" t="s">
        <v>2689</v>
      </c>
      <c r="D401" s="268" t="s">
        <v>495</v>
      </c>
      <c r="E401" s="251">
        <v>44222.0</v>
      </c>
      <c r="F401" s="250" t="s">
        <v>496</v>
      </c>
      <c r="G401" s="171">
        <v>1000.0</v>
      </c>
      <c r="H401" s="171">
        <v>15.0</v>
      </c>
      <c r="I401" s="171">
        <v>25.0</v>
      </c>
      <c r="J401" s="325">
        <f t="shared" si="12"/>
        <v>0.0006163682558</v>
      </c>
      <c r="K401" s="326">
        <f t="shared" si="18"/>
        <v>0.5752770387</v>
      </c>
      <c r="L401" s="327">
        <f t="shared" si="9"/>
        <v>5.871911145</v>
      </c>
      <c r="M401" s="321" t="str">
        <f t="shared" si="10"/>
        <v>chuygarcia92</v>
      </c>
      <c r="N401" s="176">
        <f>IFERROR(__xludf.DUMMYFUNCTION("""COMPUTED_VALUE"""),15.0)</f>
        <v>15</v>
      </c>
      <c r="O401" s="176"/>
      <c r="P401" s="176"/>
      <c r="Q401" s="176"/>
      <c r="R401" s="176"/>
      <c r="S401" s="176"/>
      <c r="T401" s="176"/>
      <c r="U401" s="176"/>
      <c r="V401" s="176"/>
      <c r="W401" s="176"/>
      <c r="X401" s="176"/>
      <c r="Y401" s="176"/>
      <c r="Z401" s="176"/>
    </row>
    <row r="402">
      <c r="A402" s="240" t="s">
        <v>63</v>
      </c>
      <c r="B402" s="240" t="s">
        <v>534</v>
      </c>
      <c r="C402" s="346" t="s">
        <v>2386</v>
      </c>
      <c r="D402" s="336"/>
      <c r="E402" s="255"/>
      <c r="F402" s="254"/>
      <c r="G402" s="222"/>
      <c r="H402" s="222"/>
      <c r="I402" s="222"/>
      <c r="J402" s="325">
        <f t="shared" si="12"/>
        <v>0</v>
      </c>
      <c r="K402" s="337">
        <f>39.146*-0.85</f>
        <v>-33.2741</v>
      </c>
      <c r="L402" s="327">
        <f t="shared" si="9"/>
        <v>5.871911145</v>
      </c>
      <c r="M402" s="321" t="str">
        <f t="shared" si="10"/>
        <v>chuygarcia92</v>
      </c>
      <c r="N402" s="153">
        <f>IFERROR(__xludf.DUMMYFUNCTION("""COMPUTED_VALUE"""),16.0)</f>
        <v>16</v>
      </c>
      <c r="O402" s="209"/>
      <c r="P402" s="209"/>
      <c r="Q402" s="209"/>
      <c r="R402" s="209">
        <v>57.049855624848725</v>
      </c>
      <c r="S402" s="209"/>
      <c r="T402" s="209"/>
      <c r="U402" s="209"/>
      <c r="V402" s="209"/>
      <c r="W402" s="209"/>
      <c r="X402" s="209"/>
      <c r="Y402" s="176"/>
      <c r="Z402" s="176"/>
    </row>
    <row r="403">
      <c r="A403" s="249" t="s">
        <v>22</v>
      </c>
      <c r="B403" s="249" t="s">
        <v>18</v>
      </c>
      <c r="C403" s="219" t="s">
        <v>2834</v>
      </c>
      <c r="D403" s="268" t="s">
        <v>495</v>
      </c>
      <c r="E403" s="251">
        <v>44222.0</v>
      </c>
      <c r="F403" s="250" t="s">
        <v>496</v>
      </c>
      <c r="G403" s="171">
        <v>2000.0</v>
      </c>
      <c r="H403" s="171">
        <v>15.0</v>
      </c>
      <c r="I403" s="171">
        <v>100.0</v>
      </c>
      <c r="J403" s="325">
        <f t="shared" si="12"/>
        <v>0.001468548457</v>
      </c>
      <c r="K403" s="326">
        <f t="shared" ref="K403:K442" si="19">J403*$J$1</f>
        <v>1.370645226</v>
      </c>
      <c r="L403" s="327">
        <f t="shared" si="9"/>
        <v>5.309856335</v>
      </c>
      <c r="M403" s="321" t="str">
        <f t="shared" si="10"/>
        <v>naynaysoo</v>
      </c>
      <c r="N403" s="176">
        <f>IFERROR(__xludf.DUMMYFUNCTION("""COMPUTED_VALUE"""),1.0)</f>
        <v>1</v>
      </c>
      <c r="O403" s="176"/>
      <c r="P403" s="176"/>
      <c r="Q403" s="176"/>
      <c r="R403" s="176"/>
      <c r="S403" s="176"/>
      <c r="T403" s="176"/>
      <c r="U403" s="176"/>
      <c r="V403" s="176"/>
      <c r="W403" s="176"/>
      <c r="X403" s="176"/>
      <c r="Y403" s="176"/>
      <c r="Z403" s="176"/>
    </row>
    <row r="404">
      <c r="A404" s="249" t="s">
        <v>22</v>
      </c>
      <c r="B404" s="249" t="s">
        <v>590</v>
      </c>
      <c r="C404" s="219" t="s">
        <v>2678</v>
      </c>
      <c r="D404" s="268" t="s">
        <v>495</v>
      </c>
      <c r="E404" s="251">
        <v>44216.0</v>
      </c>
      <c r="F404" s="250" t="s">
        <v>496</v>
      </c>
      <c r="G404" s="171">
        <v>1000.0</v>
      </c>
      <c r="H404" s="171">
        <v>25.0</v>
      </c>
      <c r="I404" s="171">
        <v>25.0</v>
      </c>
      <c r="J404" s="325">
        <f t="shared" si="12"/>
        <v>0.0008034239984</v>
      </c>
      <c r="K404" s="326">
        <f t="shared" si="19"/>
        <v>0.7498623985</v>
      </c>
      <c r="L404" s="327">
        <f t="shared" si="9"/>
        <v>5.309856335</v>
      </c>
      <c r="M404" s="321" t="str">
        <f t="shared" si="10"/>
        <v>naynaysoo</v>
      </c>
      <c r="N404" s="176">
        <f>IFERROR(__xludf.DUMMYFUNCTION("""COMPUTED_VALUE"""),2.0)</f>
        <v>2</v>
      </c>
      <c r="O404" s="176"/>
      <c r="P404" s="176"/>
      <c r="Q404" s="176"/>
      <c r="R404" s="176"/>
      <c r="S404" s="176"/>
      <c r="T404" s="176"/>
      <c r="U404" s="176"/>
      <c r="V404" s="176"/>
      <c r="W404" s="176"/>
      <c r="X404" s="176"/>
      <c r="Y404" s="176"/>
      <c r="Z404" s="176"/>
    </row>
    <row r="405">
      <c r="A405" s="249" t="s">
        <v>22</v>
      </c>
      <c r="B405" s="249" t="s">
        <v>590</v>
      </c>
      <c r="C405" s="219" t="s">
        <v>2681</v>
      </c>
      <c r="D405" s="268" t="s">
        <v>495</v>
      </c>
      <c r="E405" s="251">
        <v>44222.0</v>
      </c>
      <c r="F405" s="250" t="s">
        <v>496</v>
      </c>
      <c r="G405" s="171">
        <v>1000.0</v>
      </c>
      <c r="H405" s="171">
        <v>25.0</v>
      </c>
      <c r="I405" s="171">
        <v>25.0</v>
      </c>
      <c r="J405" s="325">
        <f t="shared" si="12"/>
        <v>0.0008034239984</v>
      </c>
      <c r="K405" s="326">
        <f t="shared" si="19"/>
        <v>0.7498623985</v>
      </c>
      <c r="L405" s="327">
        <f t="shared" si="9"/>
        <v>5.309856335</v>
      </c>
      <c r="M405" s="321" t="str">
        <f t="shared" si="10"/>
        <v>naynaysoo</v>
      </c>
      <c r="N405" s="176">
        <f>IFERROR(__xludf.DUMMYFUNCTION("""COMPUTED_VALUE"""),3.0)</f>
        <v>3</v>
      </c>
      <c r="O405" s="176"/>
      <c r="P405" s="176"/>
      <c r="Q405" s="176"/>
      <c r="R405" s="176"/>
      <c r="S405" s="176"/>
      <c r="T405" s="176"/>
      <c r="U405" s="176"/>
      <c r="V405" s="176"/>
      <c r="W405" s="176"/>
      <c r="X405" s="176"/>
      <c r="Y405" s="176"/>
      <c r="Z405" s="176"/>
    </row>
    <row r="406">
      <c r="A406" s="249" t="s">
        <v>22</v>
      </c>
      <c r="B406" s="249" t="s">
        <v>18</v>
      </c>
      <c r="C406" s="219" t="s">
        <v>2683</v>
      </c>
      <c r="D406" s="268" t="s">
        <v>495</v>
      </c>
      <c r="E406" s="251">
        <v>44215.0</v>
      </c>
      <c r="F406" s="250" t="s">
        <v>496</v>
      </c>
      <c r="G406" s="171">
        <v>500.0</v>
      </c>
      <c r="H406" s="171">
        <v>25.0</v>
      </c>
      <c r="I406" s="171">
        <v>25.0</v>
      </c>
      <c r="J406" s="325">
        <f t="shared" si="12"/>
        <v>0.0007646305672</v>
      </c>
      <c r="K406" s="326">
        <f t="shared" si="19"/>
        <v>0.7136551961</v>
      </c>
      <c r="L406" s="327">
        <f t="shared" si="9"/>
        <v>5.309856335</v>
      </c>
      <c r="M406" s="321" t="str">
        <f t="shared" si="10"/>
        <v>naynaysoo</v>
      </c>
      <c r="N406" s="176">
        <f>IFERROR(__xludf.DUMMYFUNCTION("""COMPUTED_VALUE"""),4.0)</f>
        <v>4</v>
      </c>
      <c r="O406" s="176"/>
      <c r="P406" s="176"/>
      <c r="Q406" s="176"/>
      <c r="R406" s="176"/>
      <c r="S406" s="176"/>
      <c r="T406" s="176"/>
      <c r="U406" s="176"/>
      <c r="V406" s="176"/>
      <c r="W406" s="176"/>
      <c r="X406" s="176"/>
      <c r="Y406" s="176"/>
      <c r="Z406" s="176"/>
    </row>
    <row r="407">
      <c r="A407" s="249" t="s">
        <v>22</v>
      </c>
      <c r="B407" s="249" t="s">
        <v>18</v>
      </c>
      <c r="C407" s="219" t="s">
        <v>2685</v>
      </c>
      <c r="D407" s="268" t="s">
        <v>495</v>
      </c>
      <c r="E407" s="251">
        <v>44215.0</v>
      </c>
      <c r="F407" s="250" t="s">
        <v>496</v>
      </c>
      <c r="G407" s="171">
        <v>1000.0</v>
      </c>
      <c r="H407" s="171">
        <v>15.0</v>
      </c>
      <c r="I407" s="171">
        <v>25.0</v>
      </c>
      <c r="J407" s="325">
        <f t="shared" si="12"/>
        <v>0.0006163682558</v>
      </c>
      <c r="K407" s="326">
        <f t="shared" si="19"/>
        <v>0.5752770387</v>
      </c>
      <c r="L407" s="327">
        <f t="shared" si="9"/>
        <v>5.309856335</v>
      </c>
      <c r="M407" s="321" t="str">
        <f t="shared" si="10"/>
        <v>naynaysoo</v>
      </c>
      <c r="N407" s="176">
        <f>IFERROR(__xludf.DUMMYFUNCTION("""COMPUTED_VALUE"""),5.0)</f>
        <v>5</v>
      </c>
      <c r="O407" s="176"/>
      <c r="P407" s="176"/>
      <c r="Q407" s="176"/>
      <c r="R407" s="176"/>
      <c r="S407" s="176"/>
      <c r="T407" s="176"/>
      <c r="U407" s="176"/>
      <c r="V407" s="176"/>
      <c r="W407" s="176"/>
      <c r="X407" s="176"/>
      <c r="Y407" s="176"/>
      <c r="Z407" s="176"/>
    </row>
    <row r="408">
      <c r="A408" s="249" t="s">
        <v>22</v>
      </c>
      <c r="B408" s="249" t="s">
        <v>18</v>
      </c>
      <c r="C408" s="219" t="s">
        <v>2688</v>
      </c>
      <c r="D408" s="268" t="s">
        <v>495</v>
      </c>
      <c r="E408" s="251">
        <v>44222.0</v>
      </c>
      <c r="F408" s="250" t="s">
        <v>496</v>
      </c>
      <c r="G408" s="171">
        <v>1000.0</v>
      </c>
      <c r="H408" s="171">
        <v>15.0</v>
      </c>
      <c r="I408" s="171">
        <v>25.0</v>
      </c>
      <c r="J408" s="325">
        <f t="shared" si="12"/>
        <v>0.0006163682558</v>
      </c>
      <c r="K408" s="326">
        <f t="shared" si="19"/>
        <v>0.5752770387</v>
      </c>
      <c r="L408" s="327">
        <f t="shared" si="9"/>
        <v>5.309856335</v>
      </c>
      <c r="M408" s="321" t="str">
        <f t="shared" si="10"/>
        <v>naynaysoo</v>
      </c>
      <c r="N408" s="176">
        <f>IFERROR(__xludf.DUMMYFUNCTION("""COMPUTED_VALUE"""),6.0)</f>
        <v>6</v>
      </c>
      <c r="O408" s="176"/>
      <c r="P408" s="176"/>
      <c r="Q408" s="176"/>
      <c r="R408" s="176"/>
      <c r="S408" s="176"/>
      <c r="T408" s="176"/>
      <c r="U408" s="176"/>
      <c r="V408" s="176"/>
      <c r="W408" s="176"/>
      <c r="X408" s="176"/>
      <c r="Y408" s="176"/>
      <c r="Z408" s="176"/>
    </row>
    <row r="409">
      <c r="A409" s="249" t="s">
        <v>22</v>
      </c>
      <c r="B409" s="249" t="s">
        <v>18</v>
      </c>
      <c r="C409" s="219" t="s">
        <v>2689</v>
      </c>
      <c r="D409" s="268" t="s">
        <v>495</v>
      </c>
      <c r="E409" s="251">
        <v>44222.0</v>
      </c>
      <c r="F409" s="250" t="s">
        <v>496</v>
      </c>
      <c r="G409" s="171">
        <v>1000.0</v>
      </c>
      <c r="H409" s="171">
        <v>15.0</v>
      </c>
      <c r="I409" s="171">
        <v>25.0</v>
      </c>
      <c r="J409" s="325">
        <f t="shared" si="12"/>
        <v>0.0006163682558</v>
      </c>
      <c r="K409" s="326">
        <f t="shared" si="19"/>
        <v>0.5752770387</v>
      </c>
      <c r="L409" s="327">
        <f t="shared" si="9"/>
        <v>5.309856335</v>
      </c>
      <c r="M409" s="321" t="str">
        <f t="shared" si="10"/>
        <v>naynaysoo</v>
      </c>
      <c r="N409" s="176">
        <f>IFERROR(__xludf.DUMMYFUNCTION("""COMPUTED_VALUE"""),7.0)</f>
        <v>7</v>
      </c>
      <c r="O409" s="176"/>
      <c r="P409" s="176"/>
      <c r="Q409" s="176"/>
      <c r="R409" s="176"/>
      <c r="S409" s="176"/>
      <c r="T409" s="176"/>
      <c r="U409" s="176"/>
      <c r="V409" s="176"/>
      <c r="W409" s="176"/>
      <c r="X409" s="176"/>
      <c r="Y409" s="176"/>
      <c r="Z409" s="176"/>
    </row>
    <row r="410">
      <c r="A410" s="249" t="s">
        <v>156</v>
      </c>
      <c r="B410" s="249" t="s">
        <v>519</v>
      </c>
      <c r="C410" s="219" t="s">
        <v>2835</v>
      </c>
      <c r="D410" s="268" t="s">
        <v>495</v>
      </c>
      <c r="E410" s="251">
        <v>44214.0</v>
      </c>
      <c r="F410" s="250" t="s">
        <v>499</v>
      </c>
      <c r="G410" s="171">
        <v>5000.0</v>
      </c>
      <c r="H410" s="171">
        <v>200.0</v>
      </c>
      <c r="I410" s="171">
        <v>150.0</v>
      </c>
      <c r="J410" s="325">
        <f t="shared" si="12"/>
        <v>0.005678235841</v>
      </c>
      <c r="K410" s="326">
        <f t="shared" si="19"/>
        <v>5.299686785</v>
      </c>
      <c r="L410" s="327">
        <f t="shared" si="9"/>
        <v>5.299686785</v>
      </c>
      <c r="M410" s="321" t="str">
        <f t="shared" si="10"/>
        <v>solarpunk_girl</v>
      </c>
      <c r="N410" s="176">
        <f>IFERROR(__xludf.DUMMYFUNCTION("""COMPUTED_VALUE"""),1.0)</f>
        <v>1</v>
      </c>
      <c r="O410" s="176"/>
      <c r="P410" s="176"/>
      <c r="Q410" s="176"/>
      <c r="R410" s="176"/>
      <c r="S410" s="176"/>
      <c r="T410" s="176"/>
      <c r="U410" s="176"/>
      <c r="V410" s="176"/>
      <c r="W410" s="176"/>
      <c r="X410" s="176"/>
      <c r="Y410" s="176"/>
      <c r="Z410" s="176"/>
    </row>
    <row r="411">
      <c r="A411" s="249" t="s">
        <v>31</v>
      </c>
      <c r="B411" s="249" t="s">
        <v>10</v>
      </c>
      <c r="C411" s="219" t="s">
        <v>2738</v>
      </c>
      <c r="D411" s="268" t="s">
        <v>495</v>
      </c>
      <c r="E411" s="251">
        <v>44225.0</v>
      </c>
      <c r="F411" s="250" t="s">
        <v>496</v>
      </c>
      <c r="G411" s="171">
        <v>25000.0</v>
      </c>
      <c r="H411" s="171">
        <v>75.0</v>
      </c>
      <c r="I411" s="171">
        <v>200.0</v>
      </c>
      <c r="J411" s="325">
        <f t="shared" si="12"/>
        <v>0.005408171865</v>
      </c>
      <c r="K411" s="326">
        <f t="shared" si="19"/>
        <v>5.047627074</v>
      </c>
      <c r="L411" s="327">
        <f t="shared" si="9"/>
        <v>5.047627074</v>
      </c>
      <c r="M411" s="321" t="str">
        <f t="shared" si="10"/>
        <v>sponnet2</v>
      </c>
      <c r="N411" s="176">
        <f>IFERROR(__xludf.DUMMYFUNCTION("""COMPUTED_VALUE"""),1.0)</f>
        <v>1</v>
      </c>
      <c r="O411" s="176"/>
      <c r="P411" s="176"/>
      <c r="Q411" s="176"/>
      <c r="R411" s="176"/>
      <c r="S411" s="176"/>
      <c r="T411" s="176"/>
      <c r="U411" s="176"/>
      <c r="V411" s="176"/>
      <c r="W411" s="176"/>
      <c r="X411" s="176"/>
      <c r="Y411" s="176"/>
      <c r="Z411" s="176"/>
    </row>
    <row r="412">
      <c r="A412" s="249" t="s">
        <v>70</v>
      </c>
      <c r="B412" s="249" t="s">
        <v>10</v>
      </c>
      <c r="C412" s="219" t="s">
        <v>2836</v>
      </c>
      <c r="D412" s="268" t="s">
        <v>495</v>
      </c>
      <c r="E412" s="251">
        <v>44218.0</v>
      </c>
      <c r="F412" s="250" t="s">
        <v>496</v>
      </c>
      <c r="G412" s="171">
        <v>2000.0</v>
      </c>
      <c r="H412" s="171">
        <v>50.0</v>
      </c>
      <c r="I412" s="171">
        <v>150.0</v>
      </c>
      <c r="J412" s="325">
        <f t="shared" si="12"/>
        <v>0.002639639115</v>
      </c>
      <c r="K412" s="326">
        <f t="shared" si="19"/>
        <v>2.463663174</v>
      </c>
      <c r="L412" s="327">
        <f t="shared" si="9"/>
        <v>4.588208999</v>
      </c>
      <c r="M412" s="321" t="str">
        <f t="shared" si="10"/>
        <v>rubenrussel7</v>
      </c>
      <c r="N412" s="176">
        <f>IFERROR(__xludf.DUMMYFUNCTION("""COMPUTED_VALUE"""),1.0)</f>
        <v>1</v>
      </c>
      <c r="O412" s="176"/>
      <c r="P412" s="176"/>
      <c r="Q412" s="176"/>
      <c r="R412" s="176"/>
      <c r="S412" s="176"/>
      <c r="T412" s="176"/>
      <c r="U412" s="176"/>
      <c r="V412" s="176"/>
      <c r="W412" s="176"/>
      <c r="X412" s="176"/>
      <c r="Y412" s="176"/>
      <c r="Z412" s="176"/>
    </row>
    <row r="413">
      <c r="A413" s="249" t="s">
        <v>70</v>
      </c>
      <c r="B413" s="249" t="s">
        <v>845</v>
      </c>
      <c r="C413" s="219" t="s">
        <v>2837</v>
      </c>
      <c r="D413" s="268" t="s">
        <v>495</v>
      </c>
      <c r="E413" s="251">
        <v>44221.0</v>
      </c>
      <c r="F413" s="250" t="s">
        <v>496</v>
      </c>
      <c r="G413" s="171">
        <v>10000.0</v>
      </c>
      <c r="H413" s="171">
        <v>25.0</v>
      </c>
      <c r="I413" s="171">
        <v>100.0</v>
      </c>
      <c r="J413" s="325">
        <f t="shared" si="12"/>
        <v>0.002276299098</v>
      </c>
      <c r="K413" s="326">
        <f t="shared" si="19"/>
        <v>2.124545825</v>
      </c>
      <c r="L413" s="327">
        <f t="shared" si="9"/>
        <v>4.588208999</v>
      </c>
      <c r="M413" s="321" t="str">
        <f t="shared" si="10"/>
        <v>rubenrussel7</v>
      </c>
      <c r="N413" s="176">
        <f>IFERROR(__xludf.DUMMYFUNCTION("""COMPUTED_VALUE"""),2.0)</f>
        <v>2</v>
      </c>
      <c r="O413" s="176"/>
      <c r="P413" s="176"/>
      <c r="Q413" s="176"/>
      <c r="R413" s="176"/>
      <c r="S413" s="176"/>
      <c r="T413" s="176"/>
      <c r="U413" s="176"/>
      <c r="V413" s="176"/>
      <c r="W413" s="176"/>
      <c r="X413" s="176"/>
      <c r="Y413" s="176"/>
      <c r="Z413" s="176"/>
    </row>
    <row r="414">
      <c r="A414" s="249" t="s">
        <v>26</v>
      </c>
      <c r="B414" s="249" t="s">
        <v>519</v>
      </c>
      <c r="C414" s="219" t="s">
        <v>2329</v>
      </c>
      <c r="D414" s="268" t="s">
        <v>495</v>
      </c>
      <c r="E414" s="251">
        <v>44216.0</v>
      </c>
      <c r="F414" s="250" t="s">
        <v>521</v>
      </c>
      <c r="G414" s="171">
        <v>5000.0</v>
      </c>
      <c r="H414" s="171">
        <v>25.0</v>
      </c>
      <c r="I414" s="171">
        <v>25.0</v>
      </c>
      <c r="J414" s="325">
        <f t="shared" si="12"/>
        <v>0.001113771448</v>
      </c>
      <c r="K414" s="326">
        <f t="shared" si="19"/>
        <v>1.039520018</v>
      </c>
      <c r="L414" s="327">
        <f t="shared" si="9"/>
        <v>4.556710521</v>
      </c>
      <c r="M414" s="321" t="str">
        <f t="shared" si="10"/>
        <v>sgonzt</v>
      </c>
      <c r="N414" s="176">
        <f>IFERROR(__xludf.DUMMYFUNCTION("""COMPUTED_VALUE"""),1.0)</f>
        <v>1</v>
      </c>
      <c r="O414" s="176"/>
      <c r="P414" s="176"/>
      <c r="Q414" s="176"/>
      <c r="R414" s="176"/>
      <c r="S414" s="176"/>
      <c r="T414" s="176"/>
      <c r="U414" s="176"/>
      <c r="V414" s="176"/>
      <c r="W414" s="176"/>
      <c r="X414" s="176"/>
      <c r="Y414" s="176"/>
      <c r="Z414" s="176"/>
    </row>
    <row r="415">
      <c r="A415" s="249" t="s">
        <v>26</v>
      </c>
      <c r="B415" s="249" t="s">
        <v>519</v>
      </c>
      <c r="C415" s="219" t="s">
        <v>2838</v>
      </c>
      <c r="D415" s="268" t="s">
        <v>495</v>
      </c>
      <c r="E415" s="251">
        <v>44217.0</v>
      </c>
      <c r="F415" s="250" t="s">
        <v>521</v>
      </c>
      <c r="G415" s="171">
        <v>1000.0</v>
      </c>
      <c r="H415" s="171">
        <v>50.0</v>
      </c>
      <c r="I415" s="171">
        <v>50.0</v>
      </c>
      <c r="J415" s="325">
        <f t="shared" si="12"/>
        <v>0.001529261134</v>
      </c>
      <c r="K415" s="326">
        <f t="shared" si="19"/>
        <v>1.427310392</v>
      </c>
      <c r="L415" s="327">
        <f t="shared" si="9"/>
        <v>4.556710521</v>
      </c>
      <c r="M415" s="321" t="str">
        <f t="shared" si="10"/>
        <v>sgonzt</v>
      </c>
      <c r="N415" s="176">
        <f>IFERROR(__xludf.DUMMYFUNCTION("""COMPUTED_VALUE"""),2.0)</f>
        <v>2</v>
      </c>
      <c r="O415" s="176"/>
      <c r="P415" s="176"/>
      <c r="Q415" s="176"/>
      <c r="R415" s="176"/>
      <c r="S415" s="176"/>
      <c r="T415" s="176"/>
      <c r="U415" s="176"/>
      <c r="V415" s="176"/>
      <c r="W415" s="176"/>
      <c r="X415" s="176"/>
      <c r="Y415" s="176"/>
      <c r="Z415" s="176"/>
    </row>
    <row r="416">
      <c r="A416" s="249" t="s">
        <v>26</v>
      </c>
      <c r="B416" s="249" t="s">
        <v>519</v>
      </c>
      <c r="C416" s="219" t="s">
        <v>2755</v>
      </c>
      <c r="D416" s="268" t="s">
        <v>495</v>
      </c>
      <c r="E416" s="251">
        <v>44225.0</v>
      </c>
      <c r="F416" s="250" t="s">
        <v>521</v>
      </c>
      <c r="G416" s="171">
        <v>1000.0</v>
      </c>
      <c r="H416" s="171">
        <v>45.0</v>
      </c>
      <c r="I416" s="171">
        <v>25.0</v>
      </c>
      <c r="J416" s="325">
        <f t="shared" si="12"/>
        <v>0.001177535484</v>
      </c>
      <c r="K416" s="326">
        <f t="shared" si="19"/>
        <v>1.099033118</v>
      </c>
      <c r="L416" s="327">
        <f t="shared" si="9"/>
        <v>4.556710521</v>
      </c>
      <c r="M416" s="321" t="str">
        <f t="shared" si="10"/>
        <v>sgonzt</v>
      </c>
      <c r="N416" s="176">
        <f>IFERROR(__xludf.DUMMYFUNCTION("""COMPUTED_VALUE"""),3.0)</f>
        <v>3</v>
      </c>
      <c r="O416" s="176"/>
      <c r="P416" s="176"/>
      <c r="Q416" s="176"/>
      <c r="R416" s="176"/>
      <c r="S416" s="176"/>
      <c r="T416" s="176"/>
      <c r="U416" s="176"/>
      <c r="V416" s="176"/>
      <c r="W416" s="176"/>
      <c r="X416" s="176"/>
      <c r="Y416" s="176"/>
      <c r="Z416" s="176"/>
    </row>
    <row r="417">
      <c r="A417" s="249" t="s">
        <v>26</v>
      </c>
      <c r="B417" s="249" t="s">
        <v>519</v>
      </c>
      <c r="C417" s="219" t="s">
        <v>2705</v>
      </c>
      <c r="D417" s="268" t="s">
        <v>495</v>
      </c>
      <c r="E417" s="251">
        <v>44223.0</v>
      </c>
      <c r="F417" s="250" t="s">
        <v>499</v>
      </c>
      <c r="G417" s="171">
        <v>1000.0</v>
      </c>
      <c r="H417" s="171">
        <v>25.0</v>
      </c>
      <c r="I417" s="171">
        <v>50.0</v>
      </c>
      <c r="J417" s="325">
        <f t="shared" si="12"/>
        <v>0.001061621778</v>
      </c>
      <c r="K417" s="326">
        <f t="shared" si="19"/>
        <v>0.9908469927</v>
      </c>
      <c r="L417" s="327">
        <f t="shared" si="9"/>
        <v>4.556710521</v>
      </c>
      <c r="M417" s="321" t="str">
        <f t="shared" si="10"/>
        <v>sgonzt</v>
      </c>
      <c r="N417" s="176">
        <f>IFERROR(__xludf.DUMMYFUNCTION("""COMPUTED_VALUE"""),4.0)</f>
        <v>4</v>
      </c>
      <c r="O417" s="176"/>
      <c r="P417" s="176"/>
      <c r="Q417" s="176"/>
      <c r="R417" s="176"/>
      <c r="S417" s="176"/>
      <c r="T417" s="176"/>
      <c r="U417" s="176"/>
      <c r="V417" s="176"/>
      <c r="W417" s="176"/>
      <c r="X417" s="176"/>
      <c r="Y417" s="176"/>
      <c r="Z417" s="176"/>
    </row>
    <row r="418">
      <c r="A418" s="249" t="s">
        <v>35</v>
      </c>
      <c r="B418" s="249" t="s">
        <v>519</v>
      </c>
      <c r="C418" s="219" t="s">
        <v>2838</v>
      </c>
      <c r="D418" s="268" t="s">
        <v>495</v>
      </c>
      <c r="E418" s="251">
        <v>44217.0</v>
      </c>
      <c r="F418" s="250" t="s">
        <v>521</v>
      </c>
      <c r="G418" s="171">
        <v>1000.0</v>
      </c>
      <c r="H418" s="171">
        <v>50.0</v>
      </c>
      <c r="I418" s="171">
        <v>50.0</v>
      </c>
      <c r="J418" s="325">
        <f t="shared" si="12"/>
        <v>0.001529261134</v>
      </c>
      <c r="K418" s="326">
        <f t="shared" si="19"/>
        <v>1.427310392</v>
      </c>
      <c r="L418" s="327">
        <f t="shared" si="9"/>
        <v>4.556710521</v>
      </c>
      <c r="M418" s="321" t="str">
        <f t="shared" si="10"/>
        <v>vitormarthendal</v>
      </c>
      <c r="N418" s="176">
        <f>IFERROR(__xludf.DUMMYFUNCTION("""COMPUTED_VALUE"""),1.0)</f>
        <v>1</v>
      </c>
      <c r="O418" s="176"/>
      <c r="P418" s="176"/>
      <c r="Q418" s="176"/>
      <c r="R418" s="176"/>
      <c r="S418" s="176"/>
      <c r="T418" s="176"/>
      <c r="U418" s="176"/>
      <c r="V418" s="176"/>
      <c r="W418" s="176"/>
      <c r="X418" s="176"/>
      <c r="Y418" s="176"/>
      <c r="Z418" s="176"/>
    </row>
    <row r="419">
      <c r="A419" s="249" t="s">
        <v>35</v>
      </c>
      <c r="B419" s="249" t="s">
        <v>519</v>
      </c>
      <c r="C419" s="219" t="s">
        <v>2755</v>
      </c>
      <c r="D419" s="268" t="s">
        <v>495</v>
      </c>
      <c r="E419" s="251">
        <v>44225.0</v>
      </c>
      <c r="F419" s="250" t="s">
        <v>521</v>
      </c>
      <c r="G419" s="171">
        <v>1000.0</v>
      </c>
      <c r="H419" s="171">
        <v>45.0</v>
      </c>
      <c r="I419" s="171">
        <v>25.0</v>
      </c>
      <c r="J419" s="325">
        <f t="shared" si="12"/>
        <v>0.001177535484</v>
      </c>
      <c r="K419" s="326">
        <f t="shared" si="19"/>
        <v>1.099033118</v>
      </c>
      <c r="L419" s="327">
        <f t="shared" si="9"/>
        <v>4.556710521</v>
      </c>
      <c r="M419" s="321" t="str">
        <f t="shared" si="10"/>
        <v>vitormarthendal</v>
      </c>
      <c r="N419" s="176">
        <f>IFERROR(__xludf.DUMMYFUNCTION("""COMPUTED_VALUE"""),2.0)</f>
        <v>2</v>
      </c>
      <c r="O419" s="176"/>
      <c r="P419" s="176"/>
      <c r="Q419" s="176"/>
      <c r="R419" s="176"/>
      <c r="S419" s="176"/>
      <c r="T419" s="176"/>
      <c r="U419" s="176"/>
      <c r="V419" s="176"/>
      <c r="W419" s="176"/>
      <c r="X419" s="176"/>
      <c r="Y419" s="176"/>
      <c r="Z419" s="176"/>
    </row>
    <row r="420">
      <c r="A420" s="249" t="s">
        <v>35</v>
      </c>
      <c r="B420" s="249" t="s">
        <v>519</v>
      </c>
      <c r="C420" s="219" t="s">
        <v>2705</v>
      </c>
      <c r="D420" s="268" t="s">
        <v>495</v>
      </c>
      <c r="E420" s="251">
        <v>44223.0</v>
      </c>
      <c r="F420" s="250" t="s">
        <v>499</v>
      </c>
      <c r="G420" s="171">
        <v>1000.0</v>
      </c>
      <c r="H420" s="171">
        <v>25.0</v>
      </c>
      <c r="I420" s="171">
        <v>50.0</v>
      </c>
      <c r="J420" s="325">
        <f t="shared" si="12"/>
        <v>0.001061621778</v>
      </c>
      <c r="K420" s="326">
        <f t="shared" si="19"/>
        <v>0.9908469927</v>
      </c>
      <c r="L420" s="327">
        <f t="shared" si="9"/>
        <v>4.556710521</v>
      </c>
      <c r="M420" s="321" t="str">
        <f t="shared" si="10"/>
        <v>vitormarthendal</v>
      </c>
      <c r="N420" s="176">
        <f>IFERROR(__xludf.DUMMYFUNCTION("""COMPUTED_VALUE"""),3.0)</f>
        <v>3</v>
      </c>
      <c r="O420" s="176"/>
      <c r="P420" s="176"/>
      <c r="Q420" s="176"/>
      <c r="R420" s="176"/>
      <c r="S420" s="176"/>
      <c r="T420" s="176"/>
      <c r="U420" s="176"/>
      <c r="V420" s="176"/>
      <c r="W420" s="176"/>
      <c r="X420" s="176"/>
      <c r="Y420" s="176"/>
      <c r="Z420" s="176"/>
    </row>
    <row r="421">
      <c r="A421" s="249" t="s">
        <v>35</v>
      </c>
      <c r="B421" s="249" t="s">
        <v>519</v>
      </c>
      <c r="C421" s="219" t="s">
        <v>2329</v>
      </c>
      <c r="D421" s="268" t="s">
        <v>495</v>
      </c>
      <c r="E421" s="251">
        <v>44216.0</v>
      </c>
      <c r="F421" s="250" t="s">
        <v>521</v>
      </c>
      <c r="G421" s="171">
        <v>5000.0</v>
      </c>
      <c r="H421" s="171">
        <v>25.0</v>
      </c>
      <c r="I421" s="171">
        <v>25.0</v>
      </c>
      <c r="J421" s="325">
        <f t="shared" si="12"/>
        <v>0.001113771448</v>
      </c>
      <c r="K421" s="326">
        <f t="shared" si="19"/>
        <v>1.039520018</v>
      </c>
      <c r="L421" s="327">
        <f t="shared" si="9"/>
        <v>4.556710521</v>
      </c>
      <c r="M421" s="321" t="str">
        <f t="shared" si="10"/>
        <v>vitormarthendal</v>
      </c>
      <c r="N421" s="176">
        <f>IFERROR(__xludf.DUMMYFUNCTION("""COMPUTED_VALUE"""),4.0)</f>
        <v>4</v>
      </c>
      <c r="O421" s="176"/>
      <c r="P421" s="176"/>
      <c r="Q421" s="176"/>
      <c r="R421" s="176"/>
      <c r="S421" s="176"/>
      <c r="T421" s="176"/>
      <c r="U421" s="176"/>
      <c r="V421" s="176"/>
      <c r="W421" s="176"/>
      <c r="X421" s="176"/>
      <c r="Y421" s="176"/>
      <c r="Z421" s="176"/>
    </row>
    <row r="422">
      <c r="A422" s="249" t="s">
        <v>145</v>
      </c>
      <c r="B422" s="249" t="s">
        <v>10</v>
      </c>
      <c r="C422" s="219" t="s">
        <v>2839</v>
      </c>
      <c r="D422" s="268" t="s">
        <v>495</v>
      </c>
      <c r="E422" s="251">
        <v>44218.0</v>
      </c>
      <c r="F422" s="250" t="s">
        <v>496</v>
      </c>
      <c r="G422" s="171">
        <v>5000.0</v>
      </c>
      <c r="H422" s="171">
        <v>25.0</v>
      </c>
      <c r="I422" s="171">
        <v>100.0</v>
      </c>
      <c r="J422" s="325">
        <f t="shared" si="12"/>
        <v>0.001888364786</v>
      </c>
      <c r="K422" s="326">
        <f t="shared" si="19"/>
        <v>1.762473801</v>
      </c>
      <c r="L422" s="327">
        <f t="shared" si="9"/>
        <v>4.150874635</v>
      </c>
      <c r="M422" s="321" t="str">
        <f t="shared" si="10"/>
        <v>brutalfluffy</v>
      </c>
      <c r="N422" s="176">
        <f>IFERROR(__xludf.DUMMYFUNCTION("""COMPUTED_VALUE"""),1.0)</f>
        <v>1</v>
      </c>
      <c r="O422" s="176"/>
      <c r="P422" s="176"/>
      <c r="Q422" s="176"/>
      <c r="R422" s="176"/>
      <c r="S422" s="176"/>
      <c r="T422" s="176"/>
      <c r="U422" s="176"/>
      <c r="V422" s="176"/>
      <c r="W422" s="176"/>
      <c r="X422" s="176"/>
      <c r="Y422" s="176"/>
      <c r="Z422" s="176"/>
    </row>
    <row r="423">
      <c r="A423" s="249" t="s">
        <v>145</v>
      </c>
      <c r="B423" s="249" t="s">
        <v>519</v>
      </c>
      <c r="C423" s="219" t="s">
        <v>2705</v>
      </c>
      <c r="D423" s="268" t="s">
        <v>495</v>
      </c>
      <c r="E423" s="251">
        <v>44223.0</v>
      </c>
      <c r="F423" s="250" t="s">
        <v>499</v>
      </c>
      <c r="G423" s="171">
        <v>1000.0</v>
      </c>
      <c r="H423" s="171">
        <v>25.0</v>
      </c>
      <c r="I423" s="171">
        <v>50.0</v>
      </c>
      <c r="J423" s="325">
        <f t="shared" si="12"/>
        <v>0.001061621778</v>
      </c>
      <c r="K423" s="326">
        <f t="shared" si="19"/>
        <v>0.9908469927</v>
      </c>
      <c r="L423" s="327">
        <f t="shared" si="9"/>
        <v>4.150874635</v>
      </c>
      <c r="M423" s="321" t="str">
        <f t="shared" si="10"/>
        <v>brutalfluffy</v>
      </c>
      <c r="N423" s="176">
        <f>IFERROR(__xludf.DUMMYFUNCTION("""COMPUTED_VALUE"""),2.0)</f>
        <v>2</v>
      </c>
      <c r="O423" s="176"/>
      <c r="P423" s="176"/>
      <c r="Q423" s="176"/>
      <c r="R423" s="176"/>
      <c r="S423" s="176"/>
      <c r="T423" s="176"/>
      <c r="U423" s="176"/>
      <c r="V423" s="176"/>
      <c r="W423" s="176"/>
      <c r="X423" s="176"/>
      <c r="Y423" s="176"/>
      <c r="Z423" s="176"/>
    </row>
    <row r="424">
      <c r="A424" s="249" t="s">
        <v>145</v>
      </c>
      <c r="B424" s="249" t="s">
        <v>10</v>
      </c>
      <c r="C424" s="219" t="s">
        <v>494</v>
      </c>
      <c r="D424" s="268" t="s">
        <v>495</v>
      </c>
      <c r="E424" s="251">
        <v>44218.0</v>
      </c>
      <c r="F424" s="250" t="s">
        <v>545</v>
      </c>
      <c r="G424" s="171">
        <v>2000.0</v>
      </c>
      <c r="H424" s="171">
        <v>25.0</v>
      </c>
      <c r="I424" s="171">
        <v>25.0</v>
      </c>
      <c r="J424" s="325">
        <f t="shared" si="12"/>
        <v>0.0008810108608</v>
      </c>
      <c r="K424" s="326">
        <f t="shared" si="19"/>
        <v>0.8222768034</v>
      </c>
      <c r="L424" s="327">
        <f t="shared" si="9"/>
        <v>4.150874635</v>
      </c>
      <c r="M424" s="321" t="str">
        <f t="shared" si="10"/>
        <v>brutalfluffy</v>
      </c>
      <c r="N424" s="176">
        <f>IFERROR(__xludf.DUMMYFUNCTION("""COMPUTED_VALUE"""),3.0)</f>
        <v>3</v>
      </c>
      <c r="O424" s="176"/>
      <c r="P424" s="176"/>
      <c r="Q424" s="176"/>
      <c r="R424" s="176"/>
      <c r="S424" s="176"/>
      <c r="T424" s="176"/>
      <c r="U424" s="176"/>
      <c r="V424" s="176"/>
      <c r="W424" s="176"/>
      <c r="X424" s="176"/>
      <c r="Y424" s="176"/>
      <c r="Z424" s="176"/>
    </row>
    <row r="425">
      <c r="A425" s="249" t="s">
        <v>145</v>
      </c>
      <c r="B425" s="249" t="s">
        <v>10</v>
      </c>
      <c r="C425" s="219" t="s">
        <v>2687</v>
      </c>
      <c r="D425" s="268" t="s">
        <v>495</v>
      </c>
      <c r="E425" s="251">
        <v>44218.0</v>
      </c>
      <c r="F425" s="250" t="s">
        <v>496</v>
      </c>
      <c r="G425" s="171">
        <v>1000.0</v>
      </c>
      <c r="H425" s="171">
        <v>15.0</v>
      </c>
      <c r="I425" s="171">
        <v>25.0</v>
      </c>
      <c r="J425" s="325">
        <f t="shared" si="12"/>
        <v>0.0006163682558</v>
      </c>
      <c r="K425" s="326">
        <f t="shared" si="19"/>
        <v>0.5752770387</v>
      </c>
      <c r="L425" s="327">
        <f t="shared" si="9"/>
        <v>4.150874635</v>
      </c>
      <c r="M425" s="321" t="str">
        <f t="shared" si="10"/>
        <v>brutalfluffy</v>
      </c>
      <c r="N425" s="176">
        <f>IFERROR(__xludf.DUMMYFUNCTION("""COMPUTED_VALUE"""),4.0)</f>
        <v>4</v>
      </c>
      <c r="O425" s="176"/>
      <c r="P425" s="176"/>
      <c r="Q425" s="176"/>
      <c r="R425" s="176"/>
      <c r="S425" s="176"/>
      <c r="T425" s="176"/>
      <c r="U425" s="176"/>
      <c r="V425" s="176"/>
      <c r="W425" s="176"/>
      <c r="X425" s="176"/>
      <c r="Y425" s="176"/>
      <c r="Z425" s="176"/>
    </row>
    <row r="426">
      <c r="A426" s="249" t="s">
        <v>23</v>
      </c>
      <c r="B426" s="249" t="s">
        <v>519</v>
      </c>
      <c r="C426" s="219" t="s">
        <v>2755</v>
      </c>
      <c r="D426" s="268" t="s">
        <v>495</v>
      </c>
      <c r="E426" s="251">
        <v>44225.0</v>
      </c>
      <c r="F426" s="250" t="s">
        <v>521</v>
      </c>
      <c r="G426" s="171">
        <v>1000.0</v>
      </c>
      <c r="H426" s="171">
        <v>45.0</v>
      </c>
      <c r="I426" s="171">
        <v>25.0</v>
      </c>
      <c r="J426" s="325">
        <f t="shared" si="12"/>
        <v>0.001177535484</v>
      </c>
      <c r="K426" s="326">
        <f t="shared" si="19"/>
        <v>1.099033118</v>
      </c>
      <c r="L426" s="327">
        <f t="shared" si="9"/>
        <v>4.120247121</v>
      </c>
      <c r="M426" s="321" t="str">
        <f t="shared" si="10"/>
        <v>laurenluz</v>
      </c>
      <c r="N426" s="176">
        <f>IFERROR(__xludf.DUMMYFUNCTION("""COMPUTED_VALUE"""),1.0)</f>
        <v>1</v>
      </c>
      <c r="O426" s="176"/>
      <c r="P426" s="176"/>
      <c r="Q426" s="176"/>
      <c r="R426" s="176"/>
      <c r="S426" s="176"/>
      <c r="T426" s="176"/>
      <c r="U426" s="176"/>
      <c r="V426" s="176"/>
      <c r="W426" s="176"/>
      <c r="X426" s="176"/>
      <c r="Y426" s="176"/>
      <c r="Z426" s="176"/>
    </row>
    <row r="427">
      <c r="A427" s="249" t="s">
        <v>23</v>
      </c>
      <c r="B427" s="249" t="s">
        <v>519</v>
      </c>
      <c r="C427" s="219" t="s">
        <v>2840</v>
      </c>
      <c r="D427" s="268" t="s">
        <v>495</v>
      </c>
      <c r="E427" s="251">
        <v>44217.0</v>
      </c>
      <c r="F427" s="250" t="s">
        <v>521</v>
      </c>
      <c r="G427" s="171">
        <v>1000.0</v>
      </c>
      <c r="H427" s="171">
        <v>25.0</v>
      </c>
      <c r="I427" s="171">
        <v>50.0</v>
      </c>
      <c r="J427" s="325">
        <f t="shared" si="12"/>
        <v>0.001061621778</v>
      </c>
      <c r="K427" s="326">
        <f t="shared" si="19"/>
        <v>0.9908469927</v>
      </c>
      <c r="L427" s="327">
        <f t="shared" si="9"/>
        <v>4.120247121</v>
      </c>
      <c r="M427" s="321" t="str">
        <f t="shared" si="10"/>
        <v>laurenluz</v>
      </c>
      <c r="N427" s="176">
        <f>IFERROR(__xludf.DUMMYFUNCTION("""COMPUTED_VALUE"""),2.0)</f>
        <v>2</v>
      </c>
      <c r="O427" s="176"/>
      <c r="P427" s="176"/>
      <c r="Q427" s="176"/>
      <c r="R427" s="176"/>
      <c r="S427" s="176"/>
      <c r="T427" s="176"/>
      <c r="U427" s="176"/>
      <c r="V427" s="176"/>
      <c r="W427" s="176"/>
      <c r="X427" s="176"/>
      <c r="Y427" s="176"/>
      <c r="Z427" s="176"/>
    </row>
    <row r="428">
      <c r="A428" s="249" t="s">
        <v>23</v>
      </c>
      <c r="B428" s="249" t="s">
        <v>519</v>
      </c>
      <c r="C428" s="219" t="s">
        <v>2705</v>
      </c>
      <c r="D428" s="268" t="s">
        <v>495</v>
      </c>
      <c r="E428" s="251">
        <v>44223.0</v>
      </c>
      <c r="F428" s="250" t="s">
        <v>499</v>
      </c>
      <c r="G428" s="171">
        <v>1000.0</v>
      </c>
      <c r="H428" s="171">
        <v>25.0</v>
      </c>
      <c r="I428" s="171">
        <v>50.0</v>
      </c>
      <c r="J428" s="325">
        <f t="shared" si="12"/>
        <v>0.001061621778</v>
      </c>
      <c r="K428" s="326">
        <f t="shared" si="19"/>
        <v>0.9908469927</v>
      </c>
      <c r="L428" s="327">
        <f t="shared" si="9"/>
        <v>4.120247121</v>
      </c>
      <c r="M428" s="321" t="str">
        <f t="shared" si="10"/>
        <v>laurenluz</v>
      </c>
      <c r="N428" s="176">
        <f>IFERROR(__xludf.DUMMYFUNCTION("""COMPUTED_VALUE"""),3.0)</f>
        <v>3</v>
      </c>
      <c r="O428" s="176"/>
      <c r="P428" s="176"/>
      <c r="Q428" s="176"/>
      <c r="R428" s="176"/>
      <c r="S428" s="176"/>
      <c r="T428" s="176"/>
      <c r="U428" s="176"/>
      <c r="V428" s="176"/>
      <c r="W428" s="176"/>
      <c r="X428" s="176"/>
      <c r="Y428" s="176"/>
      <c r="Z428" s="176"/>
    </row>
    <row r="429">
      <c r="A429" s="249" t="s">
        <v>23</v>
      </c>
      <c r="B429" s="249" t="s">
        <v>519</v>
      </c>
      <c r="C429" s="219" t="s">
        <v>2329</v>
      </c>
      <c r="D429" s="268" t="s">
        <v>495</v>
      </c>
      <c r="E429" s="251">
        <v>44216.0</v>
      </c>
      <c r="F429" s="250" t="s">
        <v>521</v>
      </c>
      <c r="G429" s="171">
        <v>5000.0</v>
      </c>
      <c r="H429" s="171">
        <v>25.0</v>
      </c>
      <c r="I429" s="171">
        <v>25.0</v>
      </c>
      <c r="J429" s="325">
        <f t="shared" si="12"/>
        <v>0.001113771448</v>
      </c>
      <c r="K429" s="326">
        <f t="shared" si="19"/>
        <v>1.039520018</v>
      </c>
      <c r="L429" s="327">
        <f t="shared" si="9"/>
        <v>4.120247121</v>
      </c>
      <c r="M429" s="321" t="str">
        <f t="shared" si="10"/>
        <v>laurenluz</v>
      </c>
      <c r="N429" s="176">
        <f>IFERROR(__xludf.DUMMYFUNCTION("""COMPUTED_VALUE"""),4.0)</f>
        <v>4</v>
      </c>
      <c r="O429" s="176"/>
      <c r="P429" s="176"/>
      <c r="Q429" s="176"/>
      <c r="R429" s="176"/>
      <c r="S429" s="176"/>
      <c r="T429" s="176"/>
      <c r="U429" s="176"/>
      <c r="V429" s="176"/>
      <c r="W429" s="176"/>
      <c r="X429" s="176"/>
      <c r="Y429" s="176"/>
      <c r="Z429" s="176"/>
    </row>
    <row r="430">
      <c r="A430" s="249" t="s">
        <v>153</v>
      </c>
      <c r="B430" s="249" t="s">
        <v>29</v>
      </c>
      <c r="C430" s="219" t="s">
        <v>2841</v>
      </c>
      <c r="D430" s="268" t="s">
        <v>495</v>
      </c>
      <c r="E430" s="251">
        <v>44224.0</v>
      </c>
      <c r="F430" s="250" t="s">
        <v>499</v>
      </c>
      <c r="G430" s="171">
        <v>20000.0</v>
      </c>
      <c r="H430" s="171">
        <v>35.0</v>
      </c>
      <c r="I430" s="171">
        <v>200.0</v>
      </c>
      <c r="J430" s="325">
        <f t="shared" si="12"/>
        <v>0.004272014583</v>
      </c>
      <c r="K430" s="326">
        <f t="shared" si="19"/>
        <v>3.98721361</v>
      </c>
      <c r="L430" s="327">
        <f t="shared" si="9"/>
        <v>3.98721361</v>
      </c>
      <c r="M430" s="321" t="str">
        <f t="shared" si="10"/>
        <v>xlcrr</v>
      </c>
      <c r="N430" s="176">
        <f>IFERROR(__xludf.DUMMYFUNCTION("""COMPUTED_VALUE"""),1.0)</f>
        <v>1</v>
      </c>
      <c r="O430" s="176"/>
      <c r="P430" s="176"/>
      <c r="Q430" s="176"/>
      <c r="R430" s="176"/>
      <c r="S430" s="176"/>
      <c r="T430" s="176"/>
      <c r="U430" s="176"/>
      <c r="V430" s="176"/>
      <c r="W430" s="176"/>
      <c r="X430" s="176"/>
      <c r="Y430" s="176"/>
      <c r="Z430" s="176"/>
    </row>
    <row r="431">
      <c r="A431" s="249" t="s">
        <v>8</v>
      </c>
      <c r="B431" s="249" t="s">
        <v>845</v>
      </c>
      <c r="C431" s="219" t="s">
        <v>2842</v>
      </c>
      <c r="D431" s="268" t="s">
        <v>495</v>
      </c>
      <c r="E431" s="251">
        <v>44221.0</v>
      </c>
      <c r="F431" s="250" t="s">
        <v>496</v>
      </c>
      <c r="G431" s="171">
        <v>10000.0</v>
      </c>
      <c r="H431" s="171">
        <v>25.0</v>
      </c>
      <c r="I431" s="171">
        <v>100.0</v>
      </c>
      <c r="J431" s="325">
        <f t="shared" si="12"/>
        <v>0.002276299098</v>
      </c>
      <c r="K431" s="326">
        <f t="shared" si="19"/>
        <v>2.124545825</v>
      </c>
      <c r="L431" s="327">
        <f t="shared" si="9"/>
        <v>3.887019626</v>
      </c>
      <c r="M431" s="321" t="str">
        <f t="shared" si="10"/>
        <v>solsista</v>
      </c>
      <c r="N431" s="176">
        <f>IFERROR(__xludf.DUMMYFUNCTION("""COMPUTED_VALUE"""),1.0)</f>
        <v>1</v>
      </c>
      <c r="O431" s="176"/>
      <c r="P431" s="176"/>
      <c r="Q431" s="176"/>
      <c r="R431" s="176"/>
      <c r="S431" s="176"/>
      <c r="T431" s="176"/>
      <c r="U431" s="176"/>
      <c r="V431" s="176"/>
      <c r="W431" s="176"/>
      <c r="X431" s="176"/>
      <c r="Y431" s="176"/>
      <c r="Z431" s="176"/>
    </row>
    <row r="432">
      <c r="A432" s="249" t="s">
        <v>8</v>
      </c>
      <c r="B432" s="249" t="s">
        <v>10</v>
      </c>
      <c r="C432" s="219" t="s">
        <v>2670</v>
      </c>
      <c r="D432" s="268" t="s">
        <v>495</v>
      </c>
      <c r="E432" s="251">
        <v>44225.0</v>
      </c>
      <c r="F432" s="250" t="s">
        <v>496</v>
      </c>
      <c r="G432" s="171">
        <v>5000.0</v>
      </c>
      <c r="H432" s="171">
        <v>25.0</v>
      </c>
      <c r="I432" s="171">
        <v>100.0</v>
      </c>
      <c r="J432" s="325">
        <f t="shared" si="12"/>
        <v>0.001888364786</v>
      </c>
      <c r="K432" s="326">
        <f t="shared" si="19"/>
        <v>1.762473801</v>
      </c>
      <c r="L432" s="327">
        <f t="shared" si="9"/>
        <v>3.887019626</v>
      </c>
      <c r="M432" s="321" t="str">
        <f t="shared" si="10"/>
        <v>solsista</v>
      </c>
      <c r="N432" s="176">
        <f>IFERROR(__xludf.DUMMYFUNCTION("""COMPUTED_VALUE"""),2.0)</f>
        <v>2</v>
      </c>
      <c r="O432" s="176"/>
      <c r="P432" s="176"/>
      <c r="Q432" s="176"/>
      <c r="R432" s="176"/>
      <c r="S432" s="176"/>
      <c r="T432" s="176"/>
      <c r="U432" s="176"/>
      <c r="V432" s="176"/>
      <c r="W432" s="176"/>
      <c r="X432" s="176"/>
      <c r="Y432" s="176"/>
      <c r="Z432" s="176"/>
    </row>
    <row r="433">
      <c r="A433" s="249" t="s">
        <v>61</v>
      </c>
      <c r="B433" s="249" t="s">
        <v>1175</v>
      </c>
      <c r="C433" s="219" t="s">
        <v>2843</v>
      </c>
      <c r="D433" s="268" t="s">
        <v>495</v>
      </c>
      <c r="E433" s="251">
        <v>44224.0</v>
      </c>
      <c r="F433" s="250" t="s">
        <v>2586</v>
      </c>
      <c r="G433" s="171">
        <v>20000.0</v>
      </c>
      <c r="H433" s="171">
        <v>200.0</v>
      </c>
      <c r="I433" s="171">
        <v>200.0</v>
      </c>
      <c r="J433" s="325">
        <f t="shared" si="12"/>
        <v>0.007358434336</v>
      </c>
      <c r="K433" s="326">
        <f t="shared" si="19"/>
        <v>6.867872047</v>
      </c>
      <c r="L433" s="327">
        <f t="shared" si="9"/>
        <v>3.688533038</v>
      </c>
      <c r="M433" s="321" t="str">
        <f t="shared" si="10"/>
        <v>fabimol</v>
      </c>
      <c r="N433" s="176">
        <f>IFERROR(__xludf.DUMMYFUNCTION("""COMPUTED_VALUE"""),1.0)</f>
        <v>1</v>
      </c>
      <c r="O433" s="176"/>
      <c r="P433" s="176"/>
      <c r="Q433" s="176"/>
      <c r="R433" s="176"/>
      <c r="S433" s="176"/>
      <c r="T433" s="176"/>
      <c r="U433" s="176"/>
      <c r="V433" s="176"/>
      <c r="W433" s="176"/>
      <c r="X433" s="176"/>
      <c r="Y433" s="176"/>
      <c r="Z433" s="176"/>
    </row>
    <row r="434">
      <c r="A434" s="249" t="s">
        <v>61</v>
      </c>
      <c r="B434" s="249" t="s">
        <v>1175</v>
      </c>
      <c r="C434" s="219" t="s">
        <v>2844</v>
      </c>
      <c r="D434" s="268" t="s">
        <v>495</v>
      </c>
      <c r="E434" s="251">
        <v>44223.0</v>
      </c>
      <c r="F434" s="250" t="s">
        <v>2586</v>
      </c>
      <c r="G434" s="171">
        <v>20000.0</v>
      </c>
      <c r="H434" s="171">
        <v>150.0</v>
      </c>
      <c r="I434" s="171">
        <v>150.0</v>
      </c>
      <c r="J434" s="325">
        <f t="shared" si="12"/>
        <v>0.005906760064</v>
      </c>
      <c r="K434" s="326">
        <f t="shared" si="19"/>
        <v>5.512976059</v>
      </c>
      <c r="L434" s="327">
        <f t="shared" si="9"/>
        <v>3.688533038</v>
      </c>
      <c r="M434" s="321" t="str">
        <f t="shared" si="10"/>
        <v>fabimol</v>
      </c>
      <c r="N434" s="176">
        <f>IFERROR(__xludf.DUMMYFUNCTION("""COMPUTED_VALUE"""),2.0)</f>
        <v>2</v>
      </c>
      <c r="O434" s="176"/>
      <c r="P434" s="176"/>
      <c r="Q434" s="176"/>
      <c r="R434" s="176"/>
      <c r="S434" s="176"/>
      <c r="T434" s="176"/>
      <c r="U434" s="176"/>
      <c r="V434" s="176"/>
      <c r="W434" s="176"/>
      <c r="X434" s="176"/>
      <c r="Y434" s="176"/>
      <c r="Z434" s="176"/>
    </row>
    <row r="435">
      <c r="A435" s="249" t="s">
        <v>61</v>
      </c>
      <c r="B435" s="249" t="s">
        <v>1175</v>
      </c>
      <c r="C435" s="219" t="s">
        <v>2845</v>
      </c>
      <c r="D435" s="268" t="s">
        <v>495</v>
      </c>
      <c r="E435" s="251">
        <v>44218.0</v>
      </c>
      <c r="F435" s="250" t="s">
        <v>2586</v>
      </c>
      <c r="G435" s="171">
        <v>10000.0</v>
      </c>
      <c r="H435" s="171">
        <v>100.0</v>
      </c>
      <c r="I435" s="171">
        <v>100.0</v>
      </c>
      <c r="J435" s="325">
        <f t="shared" si="12"/>
        <v>0.003679217168</v>
      </c>
      <c r="K435" s="326">
        <f t="shared" si="19"/>
        <v>3.433936023</v>
      </c>
      <c r="L435" s="327">
        <f t="shared" si="9"/>
        <v>3.688533038</v>
      </c>
      <c r="M435" s="321" t="str">
        <f t="shared" si="10"/>
        <v>fabimol</v>
      </c>
      <c r="N435" s="176">
        <f>IFERROR(__xludf.DUMMYFUNCTION("""COMPUTED_VALUE"""),3.0)</f>
        <v>3</v>
      </c>
      <c r="O435" s="176"/>
      <c r="P435" s="176"/>
      <c r="Q435" s="176"/>
      <c r="R435" s="176"/>
      <c r="S435" s="176"/>
      <c r="T435" s="176"/>
      <c r="U435" s="176"/>
      <c r="V435" s="176"/>
      <c r="W435" s="176"/>
      <c r="X435" s="176"/>
      <c r="Y435" s="176"/>
      <c r="Z435" s="176"/>
    </row>
    <row r="436">
      <c r="A436" s="249" t="s">
        <v>61</v>
      </c>
      <c r="B436" s="249" t="s">
        <v>1175</v>
      </c>
      <c r="C436" s="219" t="s">
        <v>2846</v>
      </c>
      <c r="D436" s="268" t="s">
        <v>495</v>
      </c>
      <c r="E436" s="251">
        <v>44216.0</v>
      </c>
      <c r="F436" s="250" t="s">
        <v>2586</v>
      </c>
      <c r="G436" s="171">
        <v>5000.0</v>
      </c>
      <c r="H436" s="171">
        <v>100.0</v>
      </c>
      <c r="I436" s="171">
        <v>100.0</v>
      </c>
      <c r="J436" s="325">
        <f t="shared" si="12"/>
        <v>0.003291282856</v>
      </c>
      <c r="K436" s="326">
        <f t="shared" si="19"/>
        <v>3.071863999</v>
      </c>
      <c r="L436" s="327">
        <f t="shared" si="9"/>
        <v>3.688533038</v>
      </c>
      <c r="M436" s="321" t="str">
        <f t="shared" si="10"/>
        <v>fabimol</v>
      </c>
      <c r="N436" s="176">
        <f>IFERROR(__xludf.DUMMYFUNCTION("""COMPUTED_VALUE"""),4.0)</f>
        <v>4</v>
      </c>
      <c r="O436" s="176"/>
      <c r="P436" s="176"/>
      <c r="Q436" s="176"/>
      <c r="R436" s="176"/>
      <c r="S436" s="176"/>
      <c r="T436" s="176"/>
      <c r="U436" s="176"/>
      <c r="V436" s="176"/>
      <c r="W436" s="176"/>
      <c r="X436" s="176"/>
      <c r="Y436" s="176"/>
      <c r="Z436" s="176"/>
    </row>
    <row r="437">
      <c r="A437" s="249" t="s">
        <v>61</v>
      </c>
      <c r="B437" s="249" t="s">
        <v>10</v>
      </c>
      <c r="C437" s="219" t="s">
        <v>2847</v>
      </c>
      <c r="D437" s="268" t="s">
        <v>495</v>
      </c>
      <c r="E437" s="251">
        <v>44218.0</v>
      </c>
      <c r="F437" s="250" t="s">
        <v>496</v>
      </c>
      <c r="G437" s="171">
        <v>5000.0</v>
      </c>
      <c r="H437" s="171">
        <v>50.0</v>
      </c>
      <c r="I437" s="171">
        <v>100.0</v>
      </c>
      <c r="J437" s="325">
        <f t="shared" si="12"/>
        <v>0.002356004143</v>
      </c>
      <c r="K437" s="326">
        <f t="shared" si="19"/>
        <v>2.1989372</v>
      </c>
      <c r="L437" s="327">
        <f t="shared" si="9"/>
        <v>3.688533038</v>
      </c>
      <c r="M437" s="321" t="str">
        <f t="shared" si="10"/>
        <v>fabimol</v>
      </c>
      <c r="N437" s="176">
        <f>IFERROR(__xludf.DUMMYFUNCTION("""COMPUTED_VALUE"""),5.0)</f>
        <v>5</v>
      </c>
      <c r="O437" s="176"/>
      <c r="P437" s="176"/>
      <c r="Q437" s="176"/>
      <c r="R437" s="176"/>
      <c r="S437" s="176"/>
      <c r="T437" s="176"/>
      <c r="U437" s="176"/>
      <c r="V437" s="176"/>
      <c r="W437" s="176"/>
      <c r="X437" s="176"/>
      <c r="Y437" s="176"/>
      <c r="Z437" s="176"/>
    </row>
    <row r="438">
      <c r="A438" s="249" t="s">
        <v>61</v>
      </c>
      <c r="B438" s="249" t="s">
        <v>10</v>
      </c>
      <c r="C438" s="219" t="s">
        <v>2802</v>
      </c>
      <c r="D438" s="268" t="s">
        <v>495</v>
      </c>
      <c r="E438" s="251">
        <v>44225.0</v>
      </c>
      <c r="F438" s="250" t="s">
        <v>496</v>
      </c>
      <c r="G438" s="171">
        <v>2000.0</v>
      </c>
      <c r="H438" s="171">
        <v>25.0</v>
      </c>
      <c r="I438" s="171">
        <v>50.0</v>
      </c>
      <c r="J438" s="325">
        <f t="shared" si="12"/>
        <v>0.00113920864</v>
      </c>
      <c r="K438" s="326">
        <f t="shared" si="19"/>
        <v>1.063261398</v>
      </c>
      <c r="L438" s="327">
        <f t="shared" si="9"/>
        <v>3.688533038</v>
      </c>
      <c r="M438" s="321" t="str">
        <f t="shared" si="10"/>
        <v>fabimol</v>
      </c>
      <c r="N438" s="176">
        <f>IFERROR(__xludf.DUMMYFUNCTION("""COMPUTED_VALUE"""),6.0)</f>
        <v>6</v>
      </c>
      <c r="O438" s="176"/>
      <c r="P438" s="176"/>
      <c r="Q438" s="176"/>
      <c r="R438" s="176"/>
      <c r="S438" s="176"/>
      <c r="T438" s="176"/>
      <c r="U438" s="176"/>
      <c r="V438" s="176"/>
      <c r="W438" s="176"/>
      <c r="X438" s="176"/>
      <c r="Y438" s="176"/>
      <c r="Z438" s="176"/>
    </row>
    <row r="439">
      <c r="A439" s="249" t="s">
        <v>61</v>
      </c>
      <c r="B439" s="249" t="s">
        <v>10</v>
      </c>
      <c r="C439" s="219" t="s">
        <v>2498</v>
      </c>
      <c r="D439" s="268" t="s">
        <v>495</v>
      </c>
      <c r="E439" s="251">
        <v>44218.0</v>
      </c>
      <c r="F439" s="250" t="s">
        <v>545</v>
      </c>
      <c r="G439" s="171">
        <v>500.0</v>
      </c>
      <c r="H439" s="171">
        <v>25.0</v>
      </c>
      <c r="I439" s="171">
        <v>25.0</v>
      </c>
      <c r="J439" s="325">
        <f t="shared" si="12"/>
        <v>0.0007646305672</v>
      </c>
      <c r="K439" s="326">
        <f t="shared" si="19"/>
        <v>0.7136551961</v>
      </c>
      <c r="L439" s="327">
        <f t="shared" si="9"/>
        <v>3.688533038</v>
      </c>
      <c r="M439" s="321" t="str">
        <f t="shared" si="10"/>
        <v>fabimol</v>
      </c>
      <c r="N439" s="176">
        <f>IFERROR(__xludf.DUMMYFUNCTION("""COMPUTED_VALUE"""),7.0)</f>
        <v>7</v>
      </c>
      <c r="O439" s="176"/>
      <c r="P439" s="176"/>
      <c r="Q439" s="176"/>
      <c r="R439" s="176"/>
      <c r="S439" s="176"/>
      <c r="T439" s="176"/>
      <c r="U439" s="176"/>
      <c r="V439" s="176"/>
      <c r="W439" s="176"/>
      <c r="X439" s="176"/>
      <c r="Y439" s="176"/>
      <c r="Z439" s="176"/>
    </row>
    <row r="440">
      <c r="A440" s="249" t="s">
        <v>61</v>
      </c>
      <c r="B440" s="249" t="s">
        <v>6</v>
      </c>
      <c r="C440" s="219" t="s">
        <v>2686</v>
      </c>
      <c r="D440" s="268" t="s">
        <v>495</v>
      </c>
      <c r="E440" s="251">
        <v>44215.0</v>
      </c>
      <c r="F440" s="250" t="s">
        <v>496</v>
      </c>
      <c r="G440" s="171">
        <v>1000.0</v>
      </c>
      <c r="H440" s="171">
        <v>15.0</v>
      </c>
      <c r="I440" s="171">
        <v>25.0</v>
      </c>
      <c r="J440" s="325">
        <f t="shared" si="12"/>
        <v>0.0006163682558</v>
      </c>
      <c r="K440" s="326">
        <f t="shared" si="19"/>
        <v>0.5752770387</v>
      </c>
      <c r="L440" s="327">
        <f t="shared" si="9"/>
        <v>3.688533038</v>
      </c>
      <c r="M440" s="321" t="str">
        <f t="shared" si="10"/>
        <v>fabimol</v>
      </c>
      <c r="N440" s="176">
        <f>IFERROR(__xludf.DUMMYFUNCTION("""COMPUTED_VALUE"""),8.0)</f>
        <v>8</v>
      </c>
      <c r="O440" s="176"/>
      <c r="P440" s="176"/>
      <c r="Q440" s="176"/>
      <c r="R440" s="176"/>
      <c r="S440" s="176"/>
      <c r="T440" s="176"/>
      <c r="U440" s="176"/>
      <c r="V440" s="176"/>
      <c r="W440" s="176"/>
      <c r="X440" s="176"/>
      <c r="Y440" s="176"/>
      <c r="Z440" s="176"/>
    </row>
    <row r="441">
      <c r="A441" s="249" t="s">
        <v>61</v>
      </c>
      <c r="B441" s="249" t="s">
        <v>10</v>
      </c>
      <c r="C441" s="219" t="s">
        <v>2687</v>
      </c>
      <c r="D441" s="268" t="s">
        <v>495</v>
      </c>
      <c r="E441" s="251">
        <v>44218.0</v>
      </c>
      <c r="F441" s="250" t="s">
        <v>496</v>
      </c>
      <c r="G441" s="171">
        <v>1000.0</v>
      </c>
      <c r="H441" s="171">
        <v>15.0</v>
      </c>
      <c r="I441" s="171">
        <v>25.0</v>
      </c>
      <c r="J441" s="325">
        <f t="shared" si="12"/>
        <v>0.0006163682558</v>
      </c>
      <c r="K441" s="326">
        <f t="shared" si="19"/>
        <v>0.5752770387</v>
      </c>
      <c r="L441" s="327">
        <f t="shared" si="9"/>
        <v>3.688533038</v>
      </c>
      <c r="M441" s="321" t="str">
        <f t="shared" si="10"/>
        <v>fabimol</v>
      </c>
      <c r="N441" s="176">
        <f>IFERROR(__xludf.DUMMYFUNCTION("""COMPUTED_VALUE"""),9.0)</f>
        <v>9</v>
      </c>
      <c r="O441" s="176"/>
      <c r="P441" s="176"/>
      <c r="Q441" s="176"/>
      <c r="R441" s="176"/>
      <c r="S441" s="176"/>
      <c r="T441" s="176"/>
      <c r="U441" s="176"/>
      <c r="V441" s="176"/>
      <c r="W441" s="176"/>
      <c r="X441" s="176"/>
      <c r="Y441" s="176"/>
      <c r="Z441" s="176"/>
    </row>
    <row r="442">
      <c r="A442" s="249" t="s">
        <v>61</v>
      </c>
      <c r="B442" s="249" t="s">
        <v>10</v>
      </c>
      <c r="C442" s="219" t="s">
        <v>2690</v>
      </c>
      <c r="D442" s="268" t="s">
        <v>495</v>
      </c>
      <c r="E442" s="251">
        <v>44225.0</v>
      </c>
      <c r="F442" s="250" t="s">
        <v>496</v>
      </c>
      <c r="G442" s="171">
        <v>1000.0</v>
      </c>
      <c r="H442" s="171">
        <v>15.0</v>
      </c>
      <c r="I442" s="171">
        <v>25.0</v>
      </c>
      <c r="J442" s="325">
        <f t="shared" si="12"/>
        <v>0.0006163682558</v>
      </c>
      <c r="K442" s="326">
        <f t="shared" si="19"/>
        <v>0.5752770387</v>
      </c>
      <c r="L442" s="327">
        <f t="shared" si="9"/>
        <v>3.688533038</v>
      </c>
      <c r="M442" s="321" t="str">
        <f t="shared" si="10"/>
        <v>fabimol</v>
      </c>
      <c r="N442" s="176">
        <f>IFERROR(__xludf.DUMMYFUNCTION("""COMPUTED_VALUE"""),10.0)</f>
        <v>10</v>
      </c>
      <c r="O442" s="176"/>
      <c r="P442" s="176"/>
      <c r="Q442" s="176"/>
      <c r="R442" s="176"/>
      <c r="S442" s="176"/>
      <c r="T442" s="176"/>
      <c r="U442" s="176"/>
      <c r="V442" s="176"/>
      <c r="W442" s="176"/>
      <c r="X442" s="176"/>
      <c r="Y442" s="176"/>
      <c r="Z442" s="176"/>
    </row>
    <row r="443">
      <c r="A443" s="362" t="s">
        <v>61</v>
      </c>
      <c r="B443" s="240" t="s">
        <v>534</v>
      </c>
      <c r="C443" s="346" t="s">
        <v>2452</v>
      </c>
      <c r="D443" s="336"/>
      <c r="E443" s="255"/>
      <c r="F443" s="254"/>
      <c r="G443" s="222"/>
      <c r="H443" s="222"/>
      <c r="I443" s="222"/>
      <c r="J443" s="325">
        <f t="shared" si="12"/>
        <v>0</v>
      </c>
      <c r="K443" s="337">
        <f>24.588*-0.85</f>
        <v>-20.8998</v>
      </c>
      <c r="L443" s="327">
        <f t="shared" si="9"/>
        <v>3.688533038</v>
      </c>
      <c r="M443" s="321" t="str">
        <f t="shared" si="10"/>
        <v>fabimol</v>
      </c>
      <c r="N443" s="209">
        <f>IFERROR(__xludf.DUMMYFUNCTION("""COMPUTED_VALUE"""),11.0)</f>
        <v>11</v>
      </c>
      <c r="O443" s="176"/>
      <c r="P443" s="176"/>
      <c r="Q443" s="176"/>
      <c r="R443" s="176">
        <v>15.387070331364484</v>
      </c>
      <c r="S443" s="176"/>
      <c r="T443" s="176"/>
      <c r="U443" s="176"/>
      <c r="V443" s="176"/>
      <c r="W443" s="176"/>
      <c r="X443" s="176"/>
      <c r="Y443" s="176"/>
      <c r="Z443" s="176"/>
    </row>
    <row r="444">
      <c r="A444" s="249" t="s">
        <v>30</v>
      </c>
      <c r="B444" s="249" t="s">
        <v>10</v>
      </c>
      <c r="C444" s="219" t="s">
        <v>2804</v>
      </c>
      <c r="D444" s="268" t="s">
        <v>495</v>
      </c>
      <c r="E444" s="251">
        <v>44218.0</v>
      </c>
      <c r="F444" s="250" t="s">
        <v>496</v>
      </c>
      <c r="G444" s="171">
        <v>5000.0</v>
      </c>
      <c r="H444" s="171">
        <v>35.0</v>
      </c>
      <c r="I444" s="171">
        <v>50.0</v>
      </c>
      <c r="J444" s="325">
        <f t="shared" si="12"/>
        <v>0.00155902497</v>
      </c>
      <c r="K444" s="326">
        <f t="shared" ref="K444:K447" si="20">J444*$J$1</f>
        <v>1.455089972</v>
      </c>
      <c r="L444" s="327">
        <f t="shared" si="9"/>
        <v>3.668905447</v>
      </c>
      <c r="M444" s="321" t="str">
        <f t="shared" si="10"/>
        <v>paulo_c2d</v>
      </c>
      <c r="N444" s="176">
        <f>IFERROR(__xludf.DUMMYFUNCTION("""COMPUTED_VALUE"""),1.0)</f>
        <v>1</v>
      </c>
      <c r="O444" s="176"/>
      <c r="P444" s="176"/>
      <c r="Q444" s="176"/>
      <c r="R444" s="176"/>
      <c r="S444" s="176"/>
      <c r="T444" s="176"/>
      <c r="U444" s="176"/>
      <c r="V444" s="176"/>
      <c r="W444" s="176"/>
      <c r="X444" s="176"/>
      <c r="Y444" s="176"/>
      <c r="Z444" s="176"/>
    </row>
    <row r="445">
      <c r="A445" s="249" t="s">
        <v>30</v>
      </c>
      <c r="B445" s="249" t="s">
        <v>10</v>
      </c>
      <c r="C445" s="219" t="s">
        <v>2802</v>
      </c>
      <c r="D445" s="268" t="s">
        <v>495</v>
      </c>
      <c r="E445" s="251">
        <v>44225.0</v>
      </c>
      <c r="F445" s="250" t="s">
        <v>496</v>
      </c>
      <c r="G445" s="171">
        <v>2000.0</v>
      </c>
      <c r="H445" s="171">
        <v>25.0</v>
      </c>
      <c r="I445" s="171">
        <v>50.0</v>
      </c>
      <c r="J445" s="325">
        <f t="shared" si="12"/>
        <v>0.00113920864</v>
      </c>
      <c r="K445" s="326">
        <f t="shared" si="20"/>
        <v>1.063261398</v>
      </c>
      <c r="L445" s="327">
        <f t="shared" si="9"/>
        <v>3.668905447</v>
      </c>
      <c r="M445" s="321" t="str">
        <f t="shared" si="10"/>
        <v>paulo_c2d</v>
      </c>
      <c r="N445" s="176">
        <f>IFERROR(__xludf.DUMMYFUNCTION("""COMPUTED_VALUE"""),2.0)</f>
        <v>2</v>
      </c>
      <c r="O445" s="176"/>
      <c r="P445" s="176"/>
      <c r="Q445" s="176"/>
      <c r="R445" s="176"/>
      <c r="S445" s="176"/>
      <c r="T445" s="176"/>
      <c r="U445" s="176"/>
      <c r="V445" s="176"/>
      <c r="W445" s="176"/>
      <c r="X445" s="176"/>
      <c r="Y445" s="176"/>
      <c r="Z445" s="176"/>
    </row>
    <row r="446">
      <c r="A446" s="249" t="s">
        <v>30</v>
      </c>
      <c r="B446" s="249" t="s">
        <v>6</v>
      </c>
      <c r="C446" s="219" t="s">
        <v>2686</v>
      </c>
      <c r="D446" s="268" t="s">
        <v>495</v>
      </c>
      <c r="E446" s="251">
        <v>44215.0</v>
      </c>
      <c r="F446" s="250" t="s">
        <v>496</v>
      </c>
      <c r="G446" s="171">
        <v>1000.0</v>
      </c>
      <c r="H446" s="171">
        <v>15.0</v>
      </c>
      <c r="I446" s="171">
        <v>25.0</v>
      </c>
      <c r="J446" s="325">
        <f t="shared" si="12"/>
        <v>0.0006163682558</v>
      </c>
      <c r="K446" s="326">
        <f t="shared" si="20"/>
        <v>0.5752770387</v>
      </c>
      <c r="L446" s="327">
        <f t="shared" si="9"/>
        <v>3.668905447</v>
      </c>
      <c r="M446" s="321" t="str">
        <f t="shared" si="10"/>
        <v>paulo_c2d</v>
      </c>
      <c r="N446" s="176">
        <f>IFERROR(__xludf.DUMMYFUNCTION("""COMPUTED_VALUE"""),3.0)</f>
        <v>3</v>
      </c>
      <c r="O446" s="176"/>
      <c r="P446" s="176"/>
      <c r="Q446" s="176"/>
      <c r="R446" s="176"/>
      <c r="S446" s="176"/>
      <c r="T446" s="176"/>
      <c r="U446" s="176"/>
      <c r="V446" s="176"/>
      <c r="W446" s="176"/>
      <c r="X446" s="176"/>
      <c r="Y446" s="176"/>
      <c r="Z446" s="176"/>
    </row>
    <row r="447">
      <c r="A447" s="249" t="s">
        <v>30</v>
      </c>
      <c r="B447" s="249" t="s">
        <v>10</v>
      </c>
      <c r="C447" s="219" t="s">
        <v>2687</v>
      </c>
      <c r="D447" s="268" t="s">
        <v>495</v>
      </c>
      <c r="E447" s="251">
        <v>44218.0</v>
      </c>
      <c r="F447" s="250" t="s">
        <v>496</v>
      </c>
      <c r="G447" s="171">
        <v>1000.0</v>
      </c>
      <c r="H447" s="171">
        <v>15.0</v>
      </c>
      <c r="I447" s="171">
        <v>25.0</v>
      </c>
      <c r="J447" s="325">
        <f t="shared" si="12"/>
        <v>0.0006163682558</v>
      </c>
      <c r="K447" s="326">
        <f t="shared" si="20"/>
        <v>0.5752770387</v>
      </c>
      <c r="L447" s="327">
        <f t="shared" si="9"/>
        <v>3.668905447</v>
      </c>
      <c r="M447" s="321" t="str">
        <f t="shared" si="10"/>
        <v>paulo_c2d</v>
      </c>
      <c r="N447" s="176">
        <f>IFERROR(__xludf.DUMMYFUNCTION("""COMPUTED_VALUE"""),4.0)</f>
        <v>4</v>
      </c>
      <c r="O447" s="176"/>
      <c r="P447" s="176"/>
      <c r="Q447" s="176"/>
      <c r="R447" s="176"/>
      <c r="S447" s="176"/>
      <c r="T447" s="176"/>
      <c r="U447" s="176"/>
      <c r="V447" s="176"/>
      <c r="W447" s="176"/>
      <c r="X447" s="176"/>
      <c r="Y447" s="176"/>
      <c r="Z447" s="176"/>
    </row>
    <row r="448">
      <c r="A448" s="240" t="s">
        <v>30</v>
      </c>
      <c r="B448" s="240" t="s">
        <v>534</v>
      </c>
      <c r="C448" s="346" t="s">
        <v>2452</v>
      </c>
      <c r="D448" s="336"/>
      <c r="E448" s="255"/>
      <c r="F448" s="254"/>
      <c r="G448" s="222"/>
      <c r="H448" s="222"/>
      <c r="I448" s="222"/>
      <c r="J448" s="325">
        <f t="shared" si="12"/>
        <v>0</v>
      </c>
      <c r="K448" s="337"/>
      <c r="L448" s="327">
        <f t="shared" si="9"/>
        <v>3.668905447</v>
      </c>
      <c r="M448" s="321" t="str">
        <f t="shared" si="10"/>
        <v>paulo_c2d</v>
      </c>
      <c r="N448" s="209">
        <f>IFERROR(__xludf.DUMMYFUNCTION("""COMPUTED_VALUE"""),5.0)</f>
        <v>5</v>
      </c>
      <c r="O448" s="209"/>
      <c r="P448" s="209"/>
      <c r="Q448" s="209"/>
      <c r="R448" s="209">
        <v>51.99833903635589</v>
      </c>
      <c r="S448" s="209"/>
      <c r="T448" s="209"/>
      <c r="U448" s="209"/>
      <c r="V448" s="209"/>
      <c r="W448" s="209"/>
      <c r="X448" s="209"/>
      <c r="Y448" s="176"/>
      <c r="Z448" s="176"/>
    </row>
    <row r="449">
      <c r="A449" s="249" t="s">
        <v>9</v>
      </c>
      <c r="B449" s="249" t="s">
        <v>590</v>
      </c>
      <c r="C449" s="219" t="s">
        <v>2704</v>
      </c>
      <c r="D449" s="268" t="s">
        <v>495</v>
      </c>
      <c r="E449" s="251">
        <v>44217.0</v>
      </c>
      <c r="F449" s="250" t="s">
        <v>592</v>
      </c>
      <c r="G449" s="171">
        <v>5000.0</v>
      </c>
      <c r="H449" s="171">
        <v>50.0</v>
      </c>
      <c r="I449" s="171">
        <v>100.0</v>
      </c>
      <c r="J449" s="325">
        <f t="shared" si="12"/>
        <v>0.002356004143</v>
      </c>
      <c r="K449" s="326">
        <f t="shared" ref="K449:K466" si="21">J449*$J$1</f>
        <v>2.1989372</v>
      </c>
      <c r="L449" s="327">
        <f t="shared" si="9"/>
        <v>3.626247592</v>
      </c>
      <c r="M449" s="321" t="str">
        <f t="shared" si="10"/>
        <v>akrtws</v>
      </c>
      <c r="N449" s="176">
        <f>IFERROR(__xludf.DUMMYFUNCTION("""COMPUTED_VALUE"""),1.0)</f>
        <v>1</v>
      </c>
      <c r="O449" s="176"/>
      <c r="P449" s="176"/>
      <c r="Q449" s="176"/>
      <c r="R449" s="176"/>
      <c r="S449" s="176"/>
      <c r="T449" s="176"/>
      <c r="U449" s="176"/>
      <c r="V449" s="176"/>
      <c r="W449" s="176"/>
      <c r="X449" s="176"/>
      <c r="Y449" s="176"/>
      <c r="Z449" s="176"/>
    </row>
    <row r="450">
      <c r="A450" s="249" t="s">
        <v>9</v>
      </c>
      <c r="B450" s="249" t="s">
        <v>10</v>
      </c>
      <c r="C450" s="219" t="s">
        <v>2498</v>
      </c>
      <c r="D450" s="268" t="s">
        <v>495</v>
      </c>
      <c r="E450" s="251">
        <v>44218.0</v>
      </c>
      <c r="F450" s="250" t="s">
        <v>545</v>
      </c>
      <c r="G450" s="171">
        <v>500.0</v>
      </c>
      <c r="H450" s="171">
        <v>25.0</v>
      </c>
      <c r="I450" s="171">
        <v>25.0</v>
      </c>
      <c r="J450" s="325">
        <f t="shared" si="12"/>
        <v>0.0007646305672</v>
      </c>
      <c r="K450" s="326">
        <f t="shared" si="21"/>
        <v>0.7136551961</v>
      </c>
      <c r="L450" s="327">
        <f t="shared" si="9"/>
        <v>3.626247592</v>
      </c>
      <c r="M450" s="321" t="str">
        <f t="shared" si="10"/>
        <v>akrtws</v>
      </c>
      <c r="N450" s="176">
        <f>IFERROR(__xludf.DUMMYFUNCTION("""COMPUTED_VALUE"""),2.0)</f>
        <v>2</v>
      </c>
      <c r="O450" s="176"/>
      <c r="P450" s="176"/>
      <c r="Q450" s="176"/>
      <c r="R450" s="176"/>
      <c r="S450" s="176"/>
      <c r="T450" s="176"/>
      <c r="U450" s="176"/>
      <c r="V450" s="176"/>
      <c r="W450" s="176"/>
      <c r="X450" s="176"/>
      <c r="Y450" s="176"/>
      <c r="Z450" s="176"/>
    </row>
    <row r="451">
      <c r="A451" s="249" t="s">
        <v>9</v>
      </c>
      <c r="B451" s="249" t="s">
        <v>10</v>
      </c>
      <c r="C451" s="219" t="s">
        <v>2498</v>
      </c>
      <c r="D451" s="268" t="s">
        <v>495</v>
      </c>
      <c r="E451" s="251">
        <v>44225.0</v>
      </c>
      <c r="F451" s="250" t="s">
        <v>496</v>
      </c>
      <c r="G451" s="171">
        <v>500.0</v>
      </c>
      <c r="H451" s="171">
        <v>25.0</v>
      </c>
      <c r="I451" s="171">
        <v>25.0</v>
      </c>
      <c r="J451" s="325">
        <f t="shared" si="12"/>
        <v>0.0007646305672</v>
      </c>
      <c r="K451" s="326">
        <f t="shared" si="21"/>
        <v>0.7136551961</v>
      </c>
      <c r="L451" s="327">
        <f t="shared" si="9"/>
        <v>3.626247592</v>
      </c>
      <c r="M451" s="321" t="str">
        <f t="shared" si="10"/>
        <v>akrtws</v>
      </c>
      <c r="N451" s="176">
        <f>IFERROR(__xludf.DUMMYFUNCTION("""COMPUTED_VALUE"""),3.0)</f>
        <v>3</v>
      </c>
      <c r="O451" s="176"/>
      <c r="P451" s="176"/>
      <c r="Q451" s="176"/>
      <c r="R451" s="176"/>
      <c r="S451" s="176"/>
      <c r="T451" s="176"/>
      <c r="U451" s="176"/>
      <c r="V451" s="176"/>
      <c r="W451" s="176"/>
      <c r="X451" s="176"/>
      <c r="Y451" s="176"/>
      <c r="Z451" s="176"/>
    </row>
    <row r="452">
      <c r="A452" s="249" t="s">
        <v>38</v>
      </c>
      <c r="B452" s="249" t="s">
        <v>519</v>
      </c>
      <c r="C452" s="219" t="s">
        <v>2705</v>
      </c>
      <c r="D452" s="268" t="s">
        <v>495</v>
      </c>
      <c r="E452" s="251">
        <v>44223.0</v>
      </c>
      <c r="F452" s="250" t="s">
        <v>499</v>
      </c>
      <c r="G452" s="171">
        <v>1000.0</v>
      </c>
      <c r="H452" s="171">
        <v>25.0</v>
      </c>
      <c r="I452" s="171">
        <v>200.0</v>
      </c>
      <c r="J452" s="325">
        <f t="shared" si="12"/>
        <v>0.002610808455</v>
      </c>
      <c r="K452" s="326">
        <f t="shared" si="21"/>
        <v>2.436754558</v>
      </c>
      <c r="L452" s="327">
        <f t="shared" si="9"/>
        <v>3.535787676</v>
      </c>
      <c r="M452" s="321" t="str">
        <f t="shared" si="10"/>
        <v>danibelle</v>
      </c>
      <c r="N452" s="176">
        <f>IFERROR(__xludf.DUMMYFUNCTION("""COMPUTED_VALUE"""),1.0)</f>
        <v>1</v>
      </c>
      <c r="O452" s="176"/>
      <c r="P452" s="176"/>
      <c r="Q452" s="176"/>
      <c r="R452" s="176"/>
      <c r="S452" s="176"/>
      <c r="T452" s="176"/>
      <c r="U452" s="176"/>
      <c r="V452" s="176"/>
      <c r="W452" s="176"/>
      <c r="X452" s="176"/>
      <c r="Y452" s="176"/>
      <c r="Z452" s="176"/>
    </row>
    <row r="453">
      <c r="A453" s="249" t="s">
        <v>38</v>
      </c>
      <c r="B453" s="249" t="s">
        <v>519</v>
      </c>
      <c r="C453" s="219" t="s">
        <v>2755</v>
      </c>
      <c r="D453" s="268" t="s">
        <v>495</v>
      </c>
      <c r="E453" s="251">
        <v>44225.0</v>
      </c>
      <c r="F453" s="250" t="s">
        <v>521</v>
      </c>
      <c r="G453" s="171">
        <v>1000.0</v>
      </c>
      <c r="H453" s="171">
        <v>45.0</v>
      </c>
      <c r="I453" s="171">
        <v>25.0</v>
      </c>
      <c r="J453" s="325">
        <f t="shared" si="12"/>
        <v>0.001177535484</v>
      </c>
      <c r="K453" s="326">
        <f t="shared" si="21"/>
        <v>1.099033118</v>
      </c>
      <c r="L453" s="327">
        <f t="shared" si="9"/>
        <v>3.535787676</v>
      </c>
      <c r="M453" s="321" t="str">
        <f t="shared" si="10"/>
        <v>danibelle</v>
      </c>
      <c r="N453" s="176">
        <f>IFERROR(__xludf.DUMMYFUNCTION("""COMPUTED_VALUE"""),2.0)</f>
        <v>2</v>
      </c>
      <c r="O453" s="176"/>
      <c r="P453" s="176"/>
      <c r="Q453" s="176"/>
      <c r="R453" s="176"/>
      <c r="S453" s="176"/>
      <c r="T453" s="176"/>
      <c r="U453" s="176"/>
      <c r="V453" s="176"/>
      <c r="W453" s="176"/>
      <c r="X453" s="176"/>
      <c r="Y453" s="176"/>
      <c r="Z453" s="176"/>
    </row>
    <row r="454">
      <c r="A454" s="249" t="s">
        <v>43</v>
      </c>
      <c r="B454" s="249" t="s">
        <v>10</v>
      </c>
      <c r="C454" s="219" t="s">
        <v>2848</v>
      </c>
      <c r="D454" s="268" t="s">
        <v>495</v>
      </c>
      <c r="E454" s="251">
        <v>44225.0</v>
      </c>
      <c r="F454" s="250" t="s">
        <v>496</v>
      </c>
      <c r="G454" s="171">
        <v>10000.0</v>
      </c>
      <c r="H454" s="171">
        <v>75.0</v>
      </c>
      <c r="I454" s="171">
        <v>100.0</v>
      </c>
      <c r="J454" s="325">
        <f t="shared" si="12"/>
        <v>0.003211577811</v>
      </c>
      <c r="K454" s="326">
        <f t="shared" si="21"/>
        <v>2.997472624</v>
      </c>
      <c r="L454" s="327">
        <f t="shared" si="9"/>
        <v>3.140640504</v>
      </c>
      <c r="M454" s="321" t="str">
        <f t="shared" si="10"/>
        <v>markop</v>
      </c>
      <c r="N454" s="176">
        <f>IFERROR(__xludf.DUMMYFUNCTION("""COMPUTED_VALUE"""),1.0)</f>
        <v>1</v>
      </c>
      <c r="O454" s="176"/>
      <c r="P454" s="176"/>
      <c r="Q454" s="176"/>
      <c r="R454" s="176"/>
      <c r="S454" s="176"/>
      <c r="T454" s="176"/>
      <c r="U454" s="176"/>
      <c r="V454" s="176"/>
      <c r="W454" s="176"/>
      <c r="X454" s="176"/>
      <c r="Y454" s="176"/>
      <c r="Z454" s="176"/>
    </row>
    <row r="455">
      <c r="A455" s="249" t="s">
        <v>43</v>
      </c>
      <c r="B455" s="249" t="s">
        <v>590</v>
      </c>
      <c r="C455" s="219" t="s">
        <v>2792</v>
      </c>
      <c r="D455" s="268" t="s">
        <v>495</v>
      </c>
      <c r="E455" s="251">
        <v>44217.0</v>
      </c>
      <c r="F455" s="250" t="s">
        <v>496</v>
      </c>
      <c r="G455" s="171">
        <v>2000.0</v>
      </c>
      <c r="H455" s="171">
        <v>100.0</v>
      </c>
      <c r="I455" s="171">
        <v>100.0</v>
      </c>
      <c r="J455" s="325">
        <f t="shared" si="12"/>
        <v>0.003058522269</v>
      </c>
      <c r="K455" s="326">
        <f t="shared" si="21"/>
        <v>2.854620784</v>
      </c>
      <c r="L455" s="327">
        <f t="shared" si="9"/>
        <v>3.140640504</v>
      </c>
      <c r="M455" s="321" t="str">
        <f t="shared" si="10"/>
        <v>markop</v>
      </c>
      <c r="N455" s="176">
        <f>IFERROR(__xludf.DUMMYFUNCTION("""COMPUTED_VALUE"""),2.0)</f>
        <v>2</v>
      </c>
      <c r="O455" s="176"/>
      <c r="P455" s="176"/>
      <c r="Q455" s="176"/>
      <c r="R455" s="176"/>
      <c r="S455" s="176"/>
      <c r="T455" s="176"/>
      <c r="U455" s="176"/>
      <c r="V455" s="176"/>
      <c r="W455" s="176"/>
      <c r="X455" s="176"/>
      <c r="Y455" s="176"/>
      <c r="Z455" s="176"/>
    </row>
    <row r="456">
      <c r="A456" s="249" t="s">
        <v>43</v>
      </c>
      <c r="B456" s="249" t="s">
        <v>25</v>
      </c>
      <c r="C456" s="219" t="s">
        <v>2849</v>
      </c>
      <c r="D456" s="268" t="s">
        <v>495</v>
      </c>
      <c r="E456" s="251">
        <v>44223.0</v>
      </c>
      <c r="F456" s="250" t="s">
        <v>496</v>
      </c>
      <c r="G456" s="171">
        <v>1000.0</v>
      </c>
      <c r="H456" s="171">
        <v>100.0</v>
      </c>
      <c r="I456" s="171">
        <v>100.0</v>
      </c>
      <c r="J456" s="325">
        <f t="shared" si="12"/>
        <v>0.002980935406</v>
      </c>
      <c r="K456" s="326">
        <f t="shared" si="21"/>
        <v>2.782206379</v>
      </c>
      <c r="L456" s="327">
        <f t="shared" si="9"/>
        <v>3.140640504</v>
      </c>
      <c r="M456" s="321" t="str">
        <f t="shared" si="10"/>
        <v>markop</v>
      </c>
      <c r="N456" s="176">
        <f>IFERROR(__xludf.DUMMYFUNCTION("""COMPUTED_VALUE"""),3.0)</f>
        <v>3</v>
      </c>
      <c r="O456" s="176"/>
      <c r="P456" s="176"/>
      <c r="Q456" s="176"/>
      <c r="R456" s="176"/>
      <c r="S456" s="176"/>
      <c r="T456" s="176"/>
      <c r="U456" s="176"/>
      <c r="V456" s="176"/>
      <c r="W456" s="176"/>
      <c r="X456" s="176"/>
      <c r="Y456" s="176"/>
      <c r="Z456" s="176"/>
    </row>
    <row r="457">
      <c r="A457" s="249" t="s">
        <v>43</v>
      </c>
      <c r="B457" s="249" t="s">
        <v>845</v>
      </c>
      <c r="C457" s="219" t="s">
        <v>2850</v>
      </c>
      <c r="D457" s="268" t="s">
        <v>495</v>
      </c>
      <c r="E457" s="251">
        <v>44221.0</v>
      </c>
      <c r="F457" s="250" t="s">
        <v>496</v>
      </c>
      <c r="G457" s="171">
        <v>10000.0</v>
      </c>
      <c r="H457" s="171">
        <v>50.0</v>
      </c>
      <c r="I457" s="171">
        <v>100.0</v>
      </c>
      <c r="J457" s="325">
        <f t="shared" si="12"/>
        <v>0.002743938455</v>
      </c>
      <c r="K457" s="326">
        <f t="shared" si="21"/>
        <v>2.561009224</v>
      </c>
      <c r="L457" s="327">
        <f t="shared" si="9"/>
        <v>3.140640504</v>
      </c>
      <c r="M457" s="321" t="str">
        <f t="shared" si="10"/>
        <v>markop</v>
      </c>
      <c r="N457" s="176">
        <f>IFERROR(__xludf.DUMMYFUNCTION("""COMPUTED_VALUE"""),4.0)</f>
        <v>4</v>
      </c>
      <c r="O457" s="176"/>
      <c r="P457" s="176"/>
      <c r="Q457" s="176"/>
      <c r="R457" s="176"/>
      <c r="S457" s="176"/>
      <c r="T457" s="176"/>
      <c r="U457" s="176"/>
      <c r="V457" s="176"/>
      <c r="W457" s="176"/>
      <c r="X457" s="176"/>
      <c r="Y457" s="176"/>
      <c r="Z457" s="176"/>
    </row>
    <row r="458">
      <c r="A458" s="249" t="s">
        <v>43</v>
      </c>
      <c r="B458" s="249" t="s">
        <v>519</v>
      </c>
      <c r="C458" s="219" t="s">
        <v>2705</v>
      </c>
      <c r="D458" s="268" t="s">
        <v>495</v>
      </c>
      <c r="E458" s="251">
        <v>44223.0</v>
      </c>
      <c r="F458" s="250" t="s">
        <v>499</v>
      </c>
      <c r="G458" s="171">
        <v>1000.0</v>
      </c>
      <c r="H458" s="171">
        <v>25.0</v>
      </c>
      <c r="I458" s="171">
        <v>100.0</v>
      </c>
      <c r="J458" s="325">
        <f t="shared" si="12"/>
        <v>0.001578017337</v>
      </c>
      <c r="K458" s="326">
        <f t="shared" si="21"/>
        <v>1.472816181</v>
      </c>
      <c r="L458" s="327">
        <f t="shared" si="9"/>
        <v>3.140640504</v>
      </c>
      <c r="M458" s="321" t="str">
        <f t="shared" si="10"/>
        <v>markop</v>
      </c>
      <c r="N458" s="176">
        <f>IFERROR(__xludf.DUMMYFUNCTION("""COMPUTED_VALUE"""),5.0)</f>
        <v>5</v>
      </c>
      <c r="O458" s="176"/>
      <c r="P458" s="176"/>
      <c r="Q458" s="176"/>
      <c r="R458" s="176"/>
      <c r="S458" s="176"/>
      <c r="T458" s="176"/>
      <c r="U458" s="176"/>
      <c r="V458" s="176"/>
      <c r="W458" s="176"/>
      <c r="X458" s="176"/>
      <c r="Y458" s="176"/>
      <c r="Z458" s="176"/>
    </row>
    <row r="459">
      <c r="A459" s="249" t="s">
        <v>43</v>
      </c>
      <c r="B459" s="249" t="s">
        <v>1920</v>
      </c>
      <c r="C459" s="219" t="s">
        <v>2851</v>
      </c>
      <c r="D459" s="268" t="s">
        <v>495</v>
      </c>
      <c r="E459" s="251">
        <v>44219.0</v>
      </c>
      <c r="F459" s="250" t="s">
        <v>1956</v>
      </c>
      <c r="G459" s="171">
        <v>1500.0</v>
      </c>
      <c r="H459" s="171">
        <v>50.0</v>
      </c>
      <c r="I459" s="171">
        <v>50.0</v>
      </c>
      <c r="J459" s="325">
        <f t="shared" si="12"/>
        <v>0.001568054566</v>
      </c>
      <c r="K459" s="326">
        <f t="shared" si="21"/>
        <v>1.463517595</v>
      </c>
      <c r="L459" s="327">
        <f t="shared" si="9"/>
        <v>3.140640504</v>
      </c>
      <c r="M459" s="321" t="str">
        <f t="shared" si="10"/>
        <v>markop</v>
      </c>
      <c r="N459" s="176">
        <f>IFERROR(__xludf.DUMMYFUNCTION("""COMPUTED_VALUE"""),6.0)</f>
        <v>6</v>
      </c>
      <c r="O459" s="176"/>
      <c r="P459" s="176"/>
      <c r="Q459" s="176"/>
      <c r="R459" s="176"/>
      <c r="S459" s="176"/>
      <c r="T459" s="176"/>
      <c r="U459" s="176"/>
      <c r="V459" s="176"/>
      <c r="W459" s="176"/>
      <c r="X459" s="176"/>
      <c r="Y459" s="176"/>
      <c r="Z459" s="176"/>
    </row>
    <row r="460">
      <c r="A460" s="249" t="s">
        <v>43</v>
      </c>
      <c r="B460" s="249" t="s">
        <v>519</v>
      </c>
      <c r="C460" s="219" t="s">
        <v>2838</v>
      </c>
      <c r="D460" s="268" t="s">
        <v>495</v>
      </c>
      <c r="E460" s="251">
        <v>44217.0</v>
      </c>
      <c r="F460" s="250" t="s">
        <v>521</v>
      </c>
      <c r="G460" s="171">
        <v>1000.0</v>
      </c>
      <c r="H460" s="171">
        <v>50.0</v>
      </c>
      <c r="I460" s="171">
        <v>50.0</v>
      </c>
      <c r="J460" s="325">
        <f t="shared" si="12"/>
        <v>0.001529261134</v>
      </c>
      <c r="K460" s="326">
        <f t="shared" si="21"/>
        <v>1.427310392</v>
      </c>
      <c r="L460" s="327">
        <f t="shared" si="9"/>
        <v>3.140640504</v>
      </c>
      <c r="M460" s="321" t="str">
        <f t="shared" si="10"/>
        <v>markop</v>
      </c>
      <c r="N460" s="176">
        <f>IFERROR(__xludf.DUMMYFUNCTION("""COMPUTED_VALUE"""),7.0)</f>
        <v>7</v>
      </c>
      <c r="O460" s="176"/>
      <c r="P460" s="176"/>
      <c r="Q460" s="176"/>
      <c r="R460" s="176"/>
      <c r="S460" s="176"/>
      <c r="T460" s="176"/>
      <c r="U460" s="176"/>
      <c r="V460" s="176"/>
      <c r="W460" s="176"/>
      <c r="X460" s="176"/>
      <c r="Y460" s="176"/>
      <c r="Z460" s="176"/>
    </row>
    <row r="461">
      <c r="A461" s="249" t="s">
        <v>43</v>
      </c>
      <c r="B461" s="249" t="s">
        <v>519</v>
      </c>
      <c r="C461" s="219" t="s">
        <v>2755</v>
      </c>
      <c r="D461" s="268" t="s">
        <v>495</v>
      </c>
      <c r="E461" s="251">
        <v>44225.0</v>
      </c>
      <c r="F461" s="250" t="s">
        <v>521</v>
      </c>
      <c r="G461" s="171">
        <v>1000.0</v>
      </c>
      <c r="H461" s="171">
        <v>45.0</v>
      </c>
      <c r="I461" s="171">
        <v>25.0</v>
      </c>
      <c r="J461" s="325">
        <f t="shared" si="12"/>
        <v>0.001177535484</v>
      </c>
      <c r="K461" s="326">
        <f t="shared" si="21"/>
        <v>1.099033118</v>
      </c>
      <c r="L461" s="327">
        <f t="shared" si="9"/>
        <v>3.140640504</v>
      </c>
      <c r="M461" s="321" t="str">
        <f t="shared" si="10"/>
        <v>markop</v>
      </c>
      <c r="N461" s="176">
        <f>IFERROR(__xludf.DUMMYFUNCTION("""COMPUTED_VALUE"""),8.0)</f>
        <v>8</v>
      </c>
      <c r="O461" s="176"/>
      <c r="P461" s="176"/>
      <c r="Q461" s="176"/>
      <c r="R461" s="176"/>
      <c r="S461" s="176"/>
      <c r="T461" s="176"/>
      <c r="U461" s="176"/>
      <c r="V461" s="176"/>
      <c r="W461" s="176"/>
      <c r="X461" s="176"/>
      <c r="Y461" s="176"/>
      <c r="Z461" s="176"/>
    </row>
    <row r="462">
      <c r="A462" s="249" t="s">
        <v>43</v>
      </c>
      <c r="B462" s="249" t="s">
        <v>10</v>
      </c>
      <c r="C462" s="219" t="s">
        <v>2802</v>
      </c>
      <c r="D462" s="268" t="s">
        <v>495</v>
      </c>
      <c r="E462" s="251">
        <v>44225.0</v>
      </c>
      <c r="F462" s="250" t="s">
        <v>496</v>
      </c>
      <c r="G462" s="171">
        <v>2000.0</v>
      </c>
      <c r="H462" s="171">
        <v>25.0</v>
      </c>
      <c r="I462" s="171">
        <v>50.0</v>
      </c>
      <c r="J462" s="325">
        <f t="shared" si="12"/>
        <v>0.00113920864</v>
      </c>
      <c r="K462" s="326">
        <f t="shared" si="21"/>
        <v>1.063261398</v>
      </c>
      <c r="L462" s="327">
        <f t="shared" si="9"/>
        <v>3.140640504</v>
      </c>
      <c r="M462" s="321" t="str">
        <f t="shared" si="10"/>
        <v>markop</v>
      </c>
      <c r="N462" s="176">
        <f>IFERROR(__xludf.DUMMYFUNCTION("""COMPUTED_VALUE"""),9.0)</f>
        <v>9</v>
      </c>
      <c r="O462" s="176"/>
      <c r="P462" s="176"/>
      <c r="Q462" s="176"/>
      <c r="R462" s="176"/>
      <c r="S462" s="176"/>
      <c r="T462" s="176"/>
      <c r="U462" s="176"/>
      <c r="V462" s="176"/>
      <c r="W462" s="176"/>
      <c r="X462" s="176"/>
      <c r="Y462" s="176"/>
      <c r="Z462" s="176"/>
    </row>
    <row r="463">
      <c r="A463" s="249" t="s">
        <v>43</v>
      </c>
      <c r="B463" s="249" t="s">
        <v>519</v>
      </c>
      <c r="C463" s="219" t="s">
        <v>2329</v>
      </c>
      <c r="D463" s="268" t="s">
        <v>495</v>
      </c>
      <c r="E463" s="251">
        <v>44216.0</v>
      </c>
      <c r="F463" s="250" t="s">
        <v>521</v>
      </c>
      <c r="G463" s="171">
        <v>5000.0</v>
      </c>
      <c r="H463" s="171">
        <v>25.0</v>
      </c>
      <c r="I463" s="171">
        <v>25.0</v>
      </c>
      <c r="J463" s="325">
        <f t="shared" si="12"/>
        <v>0.001113771448</v>
      </c>
      <c r="K463" s="326">
        <f t="shared" si="21"/>
        <v>1.039520018</v>
      </c>
      <c r="L463" s="327">
        <f t="shared" si="9"/>
        <v>3.140640504</v>
      </c>
      <c r="M463" s="321" t="str">
        <f t="shared" si="10"/>
        <v>markop</v>
      </c>
      <c r="N463" s="176">
        <f>IFERROR(__xludf.DUMMYFUNCTION("""COMPUTED_VALUE"""),10.0)</f>
        <v>10</v>
      </c>
      <c r="O463" s="176"/>
      <c r="P463" s="176"/>
      <c r="Q463" s="176"/>
      <c r="R463" s="176"/>
      <c r="S463" s="176"/>
      <c r="T463" s="176"/>
      <c r="U463" s="176"/>
      <c r="V463" s="176"/>
      <c r="W463" s="176"/>
      <c r="X463" s="176"/>
      <c r="Y463" s="176"/>
      <c r="Z463" s="176"/>
    </row>
    <row r="464">
      <c r="A464" s="249" t="s">
        <v>43</v>
      </c>
      <c r="B464" s="249" t="s">
        <v>590</v>
      </c>
      <c r="C464" s="219" t="s">
        <v>2681</v>
      </c>
      <c r="D464" s="268" t="s">
        <v>495</v>
      </c>
      <c r="E464" s="251">
        <v>44222.0</v>
      </c>
      <c r="F464" s="250" t="s">
        <v>496</v>
      </c>
      <c r="G464" s="171">
        <v>1000.0</v>
      </c>
      <c r="H464" s="171">
        <v>25.0</v>
      </c>
      <c r="I464" s="171">
        <v>25.0</v>
      </c>
      <c r="J464" s="325">
        <f t="shared" si="12"/>
        <v>0.0008034239984</v>
      </c>
      <c r="K464" s="326">
        <f t="shared" si="21"/>
        <v>0.7498623985</v>
      </c>
      <c r="L464" s="327">
        <f t="shared" si="9"/>
        <v>3.140640504</v>
      </c>
      <c r="M464" s="321" t="str">
        <f t="shared" si="10"/>
        <v>markop</v>
      </c>
      <c r="N464" s="176">
        <f>IFERROR(__xludf.DUMMYFUNCTION("""COMPUTED_VALUE"""),11.0)</f>
        <v>11</v>
      </c>
      <c r="O464" s="176"/>
      <c r="P464" s="176"/>
      <c r="Q464" s="176"/>
      <c r="R464" s="176"/>
      <c r="S464" s="176"/>
      <c r="T464" s="176"/>
      <c r="U464" s="176"/>
      <c r="V464" s="176"/>
      <c r="W464" s="176"/>
      <c r="X464" s="176"/>
      <c r="Y464" s="176"/>
      <c r="Z464" s="176"/>
    </row>
    <row r="465">
      <c r="A465" s="249" t="s">
        <v>43</v>
      </c>
      <c r="B465" s="249" t="s">
        <v>10</v>
      </c>
      <c r="C465" s="219" t="s">
        <v>2498</v>
      </c>
      <c r="D465" s="268" t="s">
        <v>495</v>
      </c>
      <c r="E465" s="251">
        <v>44218.0</v>
      </c>
      <c r="F465" s="250" t="s">
        <v>545</v>
      </c>
      <c r="G465" s="171">
        <v>500.0</v>
      </c>
      <c r="H465" s="171">
        <v>25.0</v>
      </c>
      <c r="I465" s="171">
        <v>25.0</v>
      </c>
      <c r="J465" s="325">
        <f t="shared" si="12"/>
        <v>0.0007646305672</v>
      </c>
      <c r="K465" s="326">
        <f t="shared" si="21"/>
        <v>0.7136551961</v>
      </c>
      <c r="L465" s="327">
        <f t="shared" si="9"/>
        <v>3.140640504</v>
      </c>
      <c r="M465" s="321" t="str">
        <f t="shared" si="10"/>
        <v>markop</v>
      </c>
      <c r="N465" s="176">
        <f>IFERROR(__xludf.DUMMYFUNCTION("""COMPUTED_VALUE"""),12.0)</f>
        <v>12</v>
      </c>
      <c r="O465" s="176"/>
      <c r="P465" s="176"/>
      <c r="Q465" s="176"/>
      <c r="R465" s="176"/>
      <c r="S465" s="176"/>
      <c r="T465" s="176"/>
      <c r="U465" s="176"/>
      <c r="V465" s="176"/>
      <c r="W465" s="176"/>
      <c r="X465" s="176"/>
      <c r="Y465" s="176"/>
      <c r="Z465" s="176"/>
    </row>
    <row r="466">
      <c r="A466" s="249" t="s">
        <v>43</v>
      </c>
      <c r="B466" s="249" t="s">
        <v>10</v>
      </c>
      <c r="C466" s="219" t="s">
        <v>2498</v>
      </c>
      <c r="D466" s="268" t="s">
        <v>495</v>
      </c>
      <c r="E466" s="251">
        <v>44225.0</v>
      </c>
      <c r="F466" s="250" t="s">
        <v>496</v>
      </c>
      <c r="G466" s="171">
        <v>500.0</v>
      </c>
      <c r="H466" s="171">
        <v>25.0</v>
      </c>
      <c r="I466" s="171">
        <v>25.0</v>
      </c>
      <c r="J466" s="325">
        <f t="shared" si="12"/>
        <v>0.0007646305672</v>
      </c>
      <c r="K466" s="326">
        <f t="shared" si="21"/>
        <v>0.7136551961</v>
      </c>
      <c r="L466" s="327">
        <f t="shared" si="9"/>
        <v>3.140640504</v>
      </c>
      <c r="M466" s="321" t="str">
        <f t="shared" si="10"/>
        <v>markop</v>
      </c>
      <c r="N466" s="176">
        <f>IFERROR(__xludf.DUMMYFUNCTION("""COMPUTED_VALUE"""),13.0)</f>
        <v>13</v>
      </c>
      <c r="O466" s="176"/>
      <c r="P466" s="176"/>
      <c r="Q466" s="176"/>
      <c r="R466" s="176"/>
      <c r="S466" s="176"/>
      <c r="T466" s="176"/>
      <c r="U466" s="176"/>
      <c r="V466" s="176"/>
      <c r="W466" s="176"/>
      <c r="X466" s="176"/>
      <c r="Y466" s="176"/>
      <c r="Z466" s="176"/>
    </row>
    <row r="467">
      <c r="A467" s="343" t="s">
        <v>43</v>
      </c>
      <c r="B467" s="240" t="s">
        <v>534</v>
      </c>
      <c r="C467" s="221" t="s">
        <v>794</v>
      </c>
      <c r="D467" s="336"/>
      <c r="E467" s="255"/>
      <c r="F467" s="254"/>
      <c r="G467" s="222"/>
      <c r="H467" s="222"/>
      <c r="I467" s="222"/>
      <c r="J467" s="325">
        <f t="shared" si="12"/>
        <v>0</v>
      </c>
      <c r="K467" s="345">
        <f>20.938*-0.85</f>
        <v>-17.7973</v>
      </c>
      <c r="L467" s="327">
        <f t="shared" si="9"/>
        <v>3.140640504</v>
      </c>
      <c r="M467" s="321" t="str">
        <f t="shared" si="10"/>
        <v>markop</v>
      </c>
      <c r="N467" s="209">
        <f>IFERROR(__xludf.DUMMYFUNCTION("""COMPUTED_VALUE"""),14.0)</f>
        <v>14</v>
      </c>
      <c r="O467" s="209"/>
      <c r="P467" s="209"/>
      <c r="Q467" s="209"/>
      <c r="R467" s="209">
        <v>18.848124090566696</v>
      </c>
      <c r="S467" s="209"/>
      <c r="T467" s="209"/>
      <c r="U467" s="209"/>
      <c r="V467" s="209"/>
      <c r="W467" s="209"/>
      <c r="X467" s="209"/>
      <c r="Y467" s="176"/>
      <c r="Z467" s="176"/>
    </row>
    <row r="468">
      <c r="A468" s="249" t="s">
        <v>29</v>
      </c>
      <c r="B468" s="249" t="s">
        <v>925</v>
      </c>
      <c r="C468" s="219" t="s">
        <v>2702</v>
      </c>
      <c r="D468" s="268" t="s">
        <v>495</v>
      </c>
      <c r="E468" s="251">
        <v>44214.0</v>
      </c>
      <c r="F468" s="250" t="s">
        <v>496</v>
      </c>
      <c r="G468" s="171">
        <v>100000.0</v>
      </c>
      <c r="H468" s="171">
        <v>50.0</v>
      </c>
      <c r="I468" s="171">
        <v>200.0</v>
      </c>
      <c r="J468" s="325">
        <f t="shared" si="12"/>
        <v>0.01075954719</v>
      </c>
      <c r="K468" s="326">
        <f t="shared" ref="K468:K476" si="22">J468*$J$1</f>
        <v>10.04224404</v>
      </c>
      <c r="L468" s="327">
        <f t="shared" si="9"/>
        <v>3.073006834</v>
      </c>
      <c r="M468" s="321" t="str">
        <f t="shared" si="10"/>
        <v>jeffemmett</v>
      </c>
      <c r="N468" s="176">
        <f>IFERROR(__xludf.DUMMYFUNCTION("""COMPUTED_VALUE"""),1.0)</f>
        <v>1</v>
      </c>
      <c r="O468" s="176"/>
      <c r="P468" s="176"/>
      <c r="Q468" s="176"/>
      <c r="R468" s="176"/>
      <c r="S468" s="176"/>
      <c r="T468" s="176"/>
      <c r="U468" s="176"/>
      <c r="V468" s="176"/>
      <c r="W468" s="176"/>
      <c r="X468" s="176"/>
      <c r="Y468" s="176"/>
      <c r="Z468" s="176"/>
    </row>
    <row r="469">
      <c r="A469" s="249" t="s">
        <v>29</v>
      </c>
      <c r="B469" s="249" t="s">
        <v>590</v>
      </c>
      <c r="C469" s="219" t="s">
        <v>2704</v>
      </c>
      <c r="D469" s="268" t="s">
        <v>495</v>
      </c>
      <c r="E469" s="251">
        <v>44217.0</v>
      </c>
      <c r="F469" s="250" t="s">
        <v>592</v>
      </c>
      <c r="G469" s="171">
        <v>5000.0</v>
      </c>
      <c r="H469" s="171">
        <v>50.0</v>
      </c>
      <c r="I469" s="171">
        <v>100.0</v>
      </c>
      <c r="J469" s="325">
        <f t="shared" si="12"/>
        <v>0.002356004143</v>
      </c>
      <c r="K469" s="326">
        <f t="shared" si="22"/>
        <v>2.1989372</v>
      </c>
      <c r="L469" s="327">
        <f t="shared" si="9"/>
        <v>3.073006834</v>
      </c>
      <c r="M469" s="321" t="str">
        <f t="shared" si="10"/>
        <v>jeffemmett</v>
      </c>
      <c r="N469" s="176">
        <f>IFERROR(__xludf.DUMMYFUNCTION("""COMPUTED_VALUE"""),2.0)</f>
        <v>2</v>
      </c>
      <c r="O469" s="176"/>
      <c r="P469" s="176"/>
      <c r="Q469" s="176"/>
      <c r="R469" s="176"/>
      <c r="S469" s="176"/>
      <c r="T469" s="176"/>
      <c r="U469" s="176"/>
      <c r="V469" s="176"/>
      <c r="W469" s="176"/>
      <c r="X469" s="176"/>
      <c r="Y469" s="176"/>
      <c r="Z469" s="176"/>
    </row>
    <row r="470">
      <c r="A470" s="249" t="s">
        <v>29</v>
      </c>
      <c r="B470" s="249" t="s">
        <v>590</v>
      </c>
      <c r="C470" s="219" t="s">
        <v>2852</v>
      </c>
      <c r="D470" s="268" t="s">
        <v>495</v>
      </c>
      <c r="E470" s="251">
        <v>44216.0</v>
      </c>
      <c r="F470" s="250" t="s">
        <v>496</v>
      </c>
      <c r="G470" s="171">
        <v>5000.0</v>
      </c>
      <c r="H470" s="171">
        <v>20.0</v>
      </c>
      <c r="I470" s="171">
        <v>100.0</v>
      </c>
      <c r="J470" s="325">
        <f t="shared" si="12"/>
        <v>0.001794836915</v>
      </c>
      <c r="K470" s="326">
        <f t="shared" si="22"/>
        <v>1.675181121</v>
      </c>
      <c r="L470" s="327">
        <f t="shared" si="9"/>
        <v>3.073006834</v>
      </c>
      <c r="M470" s="321" t="str">
        <f t="shared" si="10"/>
        <v>jeffemmett</v>
      </c>
      <c r="N470" s="176">
        <f>IFERROR(__xludf.DUMMYFUNCTION("""COMPUTED_VALUE"""),3.0)</f>
        <v>3</v>
      </c>
      <c r="O470" s="176"/>
      <c r="P470" s="176"/>
      <c r="Q470" s="176"/>
      <c r="R470" s="176"/>
      <c r="S470" s="176"/>
      <c r="T470" s="176"/>
      <c r="U470" s="176"/>
      <c r="V470" s="176"/>
      <c r="W470" s="176"/>
      <c r="X470" s="176"/>
      <c r="Y470" s="176"/>
      <c r="Z470" s="176"/>
    </row>
    <row r="471">
      <c r="A471" s="249" t="s">
        <v>29</v>
      </c>
      <c r="B471" s="249" t="s">
        <v>10</v>
      </c>
      <c r="C471" s="219" t="s">
        <v>2752</v>
      </c>
      <c r="D471" s="268" t="s">
        <v>495</v>
      </c>
      <c r="E471" s="251">
        <v>44218.0</v>
      </c>
      <c r="F471" s="250" t="s">
        <v>496</v>
      </c>
      <c r="G471" s="171">
        <v>2000.0</v>
      </c>
      <c r="H471" s="171">
        <v>25.0</v>
      </c>
      <c r="I471" s="171">
        <v>100.0</v>
      </c>
      <c r="J471" s="325">
        <f t="shared" si="12"/>
        <v>0.001655604199</v>
      </c>
      <c r="K471" s="326">
        <f t="shared" si="22"/>
        <v>1.545230586</v>
      </c>
      <c r="L471" s="327">
        <f t="shared" si="9"/>
        <v>3.073006834</v>
      </c>
      <c r="M471" s="321" t="str">
        <f t="shared" si="10"/>
        <v>jeffemmett</v>
      </c>
      <c r="N471" s="176">
        <f>IFERROR(__xludf.DUMMYFUNCTION("""COMPUTED_VALUE"""),4.0)</f>
        <v>4</v>
      </c>
      <c r="O471" s="176"/>
      <c r="P471" s="176"/>
      <c r="Q471" s="176"/>
      <c r="R471" s="176"/>
      <c r="S471" s="176"/>
      <c r="T471" s="176"/>
      <c r="U471" s="176"/>
      <c r="V471" s="176"/>
      <c r="W471" s="176"/>
      <c r="X471" s="176"/>
      <c r="Y471" s="176"/>
      <c r="Z471" s="176"/>
    </row>
    <row r="472">
      <c r="A472" s="249" t="s">
        <v>29</v>
      </c>
      <c r="B472" s="249" t="s">
        <v>519</v>
      </c>
      <c r="C472" s="219" t="s">
        <v>2705</v>
      </c>
      <c r="D472" s="268" t="s">
        <v>495</v>
      </c>
      <c r="E472" s="251">
        <v>44223.0</v>
      </c>
      <c r="F472" s="250" t="s">
        <v>499</v>
      </c>
      <c r="G472" s="171">
        <v>1000.0</v>
      </c>
      <c r="H472" s="171">
        <v>25.0</v>
      </c>
      <c r="I472" s="171">
        <v>100.0</v>
      </c>
      <c r="J472" s="325">
        <f t="shared" si="12"/>
        <v>0.001578017337</v>
      </c>
      <c r="K472" s="326">
        <f t="shared" si="22"/>
        <v>1.472816181</v>
      </c>
      <c r="L472" s="327">
        <f t="shared" si="9"/>
        <v>3.073006834</v>
      </c>
      <c r="M472" s="321" t="str">
        <f t="shared" si="10"/>
        <v>jeffemmett</v>
      </c>
      <c r="N472" s="176">
        <f>IFERROR(__xludf.DUMMYFUNCTION("""COMPUTED_VALUE"""),5.0)</f>
        <v>5</v>
      </c>
      <c r="O472" s="176"/>
      <c r="P472" s="176"/>
      <c r="Q472" s="176"/>
      <c r="R472" s="176"/>
      <c r="S472" s="176"/>
      <c r="T472" s="176"/>
      <c r="U472" s="176"/>
      <c r="V472" s="176"/>
      <c r="W472" s="176"/>
      <c r="X472" s="176"/>
      <c r="Y472" s="176"/>
      <c r="Z472" s="176"/>
    </row>
    <row r="473">
      <c r="A473" s="249" t="s">
        <v>29</v>
      </c>
      <c r="B473" s="249" t="s">
        <v>590</v>
      </c>
      <c r="C473" s="219" t="s">
        <v>2789</v>
      </c>
      <c r="D473" s="268" t="s">
        <v>495</v>
      </c>
      <c r="E473" s="251">
        <v>44224.0</v>
      </c>
      <c r="F473" s="250" t="s">
        <v>496</v>
      </c>
      <c r="G473" s="171">
        <v>1000.0</v>
      </c>
      <c r="H473" s="171">
        <v>25.0</v>
      </c>
      <c r="I473" s="171">
        <v>50.0</v>
      </c>
      <c r="J473" s="325">
        <f t="shared" si="12"/>
        <v>0.001061621778</v>
      </c>
      <c r="K473" s="326">
        <f t="shared" si="22"/>
        <v>0.9908469927</v>
      </c>
      <c r="L473" s="327">
        <f t="shared" si="9"/>
        <v>3.073006834</v>
      </c>
      <c r="M473" s="321" t="str">
        <f t="shared" si="10"/>
        <v>jeffemmett</v>
      </c>
      <c r="N473" s="176">
        <f>IFERROR(__xludf.DUMMYFUNCTION("""COMPUTED_VALUE"""),6.0)</f>
        <v>6</v>
      </c>
      <c r="O473" s="176"/>
      <c r="P473" s="176"/>
      <c r="Q473" s="176"/>
      <c r="R473" s="176"/>
      <c r="S473" s="176"/>
      <c r="T473" s="176"/>
      <c r="U473" s="176"/>
      <c r="V473" s="176"/>
      <c r="W473" s="176"/>
      <c r="X473" s="176"/>
      <c r="Y473" s="176"/>
      <c r="Z473" s="176"/>
    </row>
    <row r="474">
      <c r="A474" s="249" t="s">
        <v>29</v>
      </c>
      <c r="B474" s="249" t="s">
        <v>590</v>
      </c>
      <c r="C474" s="219" t="s">
        <v>2756</v>
      </c>
      <c r="D474" s="268" t="s">
        <v>495</v>
      </c>
      <c r="E474" s="251">
        <v>44216.0</v>
      </c>
      <c r="F474" s="250" t="s">
        <v>496</v>
      </c>
      <c r="G474" s="171">
        <v>1500.0</v>
      </c>
      <c r="H474" s="171">
        <v>35.0</v>
      </c>
      <c r="I474" s="171">
        <v>25.0</v>
      </c>
      <c r="J474" s="325">
        <f t="shared" si="12"/>
        <v>0.001029273172</v>
      </c>
      <c r="K474" s="326">
        <f t="shared" si="22"/>
        <v>0.9606549607</v>
      </c>
      <c r="L474" s="327">
        <f t="shared" si="9"/>
        <v>3.073006834</v>
      </c>
      <c r="M474" s="321" t="str">
        <f t="shared" si="10"/>
        <v>jeffemmett</v>
      </c>
      <c r="N474" s="176">
        <f>IFERROR(__xludf.DUMMYFUNCTION("""COMPUTED_VALUE"""),7.0)</f>
        <v>7</v>
      </c>
      <c r="O474" s="176"/>
      <c r="P474" s="176"/>
      <c r="Q474" s="176"/>
      <c r="R474" s="176"/>
      <c r="S474" s="176"/>
      <c r="T474" s="176"/>
      <c r="U474" s="176"/>
      <c r="V474" s="176"/>
      <c r="W474" s="176"/>
      <c r="X474" s="176"/>
      <c r="Y474" s="176"/>
      <c r="Z474" s="176"/>
    </row>
    <row r="475">
      <c r="A475" s="249" t="s">
        <v>29</v>
      </c>
      <c r="B475" s="249" t="s">
        <v>10</v>
      </c>
      <c r="C475" s="219" t="s">
        <v>2531</v>
      </c>
      <c r="D475" s="268" t="s">
        <v>495</v>
      </c>
      <c r="E475" s="251">
        <v>44225.0</v>
      </c>
      <c r="F475" s="250" t="s">
        <v>499</v>
      </c>
      <c r="G475" s="171">
        <v>500.0</v>
      </c>
      <c r="H475" s="171">
        <v>35.0</v>
      </c>
      <c r="I475" s="171">
        <v>25.0</v>
      </c>
      <c r="J475" s="325">
        <f t="shared" si="12"/>
        <v>0.0009516863098</v>
      </c>
      <c r="K475" s="326">
        <f t="shared" si="22"/>
        <v>0.8882405558</v>
      </c>
      <c r="L475" s="327">
        <f t="shared" si="9"/>
        <v>3.073006834</v>
      </c>
      <c r="M475" s="321" t="str">
        <f t="shared" si="10"/>
        <v>jeffemmett</v>
      </c>
      <c r="N475" s="176">
        <f>IFERROR(__xludf.DUMMYFUNCTION("""COMPUTED_VALUE"""),8.0)</f>
        <v>8</v>
      </c>
      <c r="O475" s="176"/>
      <c r="P475" s="176"/>
      <c r="Q475" s="176"/>
      <c r="R475" s="176"/>
      <c r="S475" s="176"/>
      <c r="T475" s="176"/>
      <c r="U475" s="176"/>
      <c r="V475" s="176"/>
      <c r="W475" s="176"/>
      <c r="X475" s="176"/>
      <c r="Y475" s="176"/>
      <c r="Z475" s="176"/>
    </row>
    <row r="476">
      <c r="A476" s="249" t="s">
        <v>29</v>
      </c>
      <c r="B476" s="249" t="s">
        <v>10</v>
      </c>
      <c r="C476" s="219" t="s">
        <v>2531</v>
      </c>
      <c r="D476" s="268" t="s">
        <v>495</v>
      </c>
      <c r="E476" s="251">
        <v>44212.0</v>
      </c>
      <c r="F476" s="250" t="s">
        <v>499</v>
      </c>
      <c r="G476" s="171">
        <v>500.0</v>
      </c>
      <c r="H476" s="171">
        <v>25.0</v>
      </c>
      <c r="I476" s="171">
        <v>25.0</v>
      </c>
      <c r="J476" s="325">
        <f t="shared" si="12"/>
        <v>0.0007646305672</v>
      </c>
      <c r="K476" s="326">
        <f t="shared" si="22"/>
        <v>0.7136551961</v>
      </c>
      <c r="L476" s="327">
        <f t="shared" si="9"/>
        <v>3.073006834</v>
      </c>
      <c r="M476" s="321" t="str">
        <f t="shared" si="10"/>
        <v>jeffemmett</v>
      </c>
      <c r="N476" s="176">
        <f>IFERROR(__xludf.DUMMYFUNCTION("""COMPUTED_VALUE"""),9.0)</f>
        <v>9</v>
      </c>
      <c r="O476" s="176"/>
      <c r="P476" s="176"/>
      <c r="Q476" s="176"/>
      <c r="R476" s="176"/>
      <c r="S476" s="176"/>
      <c r="T476" s="176"/>
      <c r="U476" s="176"/>
      <c r="V476" s="176"/>
      <c r="W476" s="176"/>
      <c r="X476" s="176"/>
      <c r="Y476" s="176"/>
      <c r="Z476" s="176"/>
    </row>
    <row r="477">
      <c r="A477" s="343" t="s">
        <v>29</v>
      </c>
      <c r="B477" s="253" t="s">
        <v>534</v>
      </c>
      <c r="C477" s="256" t="s">
        <v>684</v>
      </c>
      <c r="D477" s="343"/>
      <c r="E477" s="344"/>
      <c r="F477" s="343"/>
      <c r="G477" s="253"/>
      <c r="H477" s="253"/>
      <c r="I477" s="253"/>
      <c r="J477" s="325">
        <f t="shared" si="12"/>
        <v>0</v>
      </c>
      <c r="K477" s="337">
        <f>20.488*-0.85</f>
        <v>-17.4148</v>
      </c>
      <c r="L477" s="327">
        <f t="shared" si="9"/>
        <v>3.073006834</v>
      </c>
      <c r="M477" s="321" t="str">
        <f t="shared" si="10"/>
        <v>jeffemmett</v>
      </c>
      <c r="N477" s="343">
        <f>IFERROR(__xludf.DUMMYFUNCTION("""COMPUTED_VALUE"""),10.0)</f>
        <v>10</v>
      </c>
      <c r="O477" s="343"/>
      <c r="P477" s="343"/>
      <c r="Q477" s="343"/>
      <c r="R477" s="343">
        <v>18.15686701513158</v>
      </c>
      <c r="S477" s="343"/>
      <c r="T477" s="343"/>
      <c r="U477" s="343"/>
      <c r="V477" s="343"/>
      <c r="W477" s="343"/>
      <c r="X477" s="343"/>
      <c r="Y477" s="226"/>
      <c r="Z477" s="226"/>
    </row>
    <row r="478">
      <c r="A478" s="249" t="s">
        <v>27</v>
      </c>
      <c r="B478" s="249" t="s">
        <v>519</v>
      </c>
      <c r="C478" s="219" t="s">
        <v>2840</v>
      </c>
      <c r="D478" s="268" t="s">
        <v>495</v>
      </c>
      <c r="E478" s="251">
        <v>44217.0</v>
      </c>
      <c r="F478" s="250" t="s">
        <v>521</v>
      </c>
      <c r="G478" s="171">
        <v>1000.0</v>
      </c>
      <c r="H478" s="171">
        <v>25.0</v>
      </c>
      <c r="I478" s="171">
        <v>50.0</v>
      </c>
      <c r="J478" s="325">
        <f t="shared" si="12"/>
        <v>0.001061621778</v>
      </c>
      <c r="K478" s="326">
        <f t="shared" ref="K478:K495" si="23">J478*$J$1</f>
        <v>0.9908469927</v>
      </c>
      <c r="L478" s="327">
        <f t="shared" si="9"/>
        <v>3.021214003</v>
      </c>
      <c r="M478" s="321" t="str">
        <f t="shared" si="10"/>
        <v>merlinegalite</v>
      </c>
      <c r="N478" s="176">
        <f>IFERROR(__xludf.DUMMYFUNCTION("""COMPUTED_VALUE"""),1.0)</f>
        <v>1</v>
      </c>
      <c r="O478" s="176"/>
      <c r="P478" s="176"/>
      <c r="Q478" s="176"/>
      <c r="R478" s="176"/>
      <c r="S478" s="176"/>
      <c r="T478" s="176"/>
      <c r="U478" s="176"/>
      <c r="V478" s="176"/>
      <c r="W478" s="176"/>
      <c r="X478" s="176"/>
      <c r="Y478" s="176"/>
      <c r="Z478" s="176"/>
    </row>
    <row r="479">
      <c r="A479" s="249" t="s">
        <v>27</v>
      </c>
      <c r="B479" s="249" t="s">
        <v>519</v>
      </c>
      <c r="C479" s="219" t="s">
        <v>2705</v>
      </c>
      <c r="D479" s="268" t="s">
        <v>495</v>
      </c>
      <c r="E479" s="251">
        <v>44223.0</v>
      </c>
      <c r="F479" s="250" t="s">
        <v>499</v>
      </c>
      <c r="G479" s="171">
        <v>1000.0</v>
      </c>
      <c r="H479" s="171">
        <v>25.0</v>
      </c>
      <c r="I479" s="171">
        <v>50.0</v>
      </c>
      <c r="J479" s="325">
        <f t="shared" si="12"/>
        <v>0.001061621778</v>
      </c>
      <c r="K479" s="326">
        <f t="shared" si="23"/>
        <v>0.9908469927</v>
      </c>
      <c r="L479" s="327">
        <f t="shared" si="9"/>
        <v>3.021214003</v>
      </c>
      <c r="M479" s="321" t="str">
        <f t="shared" si="10"/>
        <v>merlinegalite</v>
      </c>
      <c r="N479" s="176">
        <f>IFERROR(__xludf.DUMMYFUNCTION("""COMPUTED_VALUE"""),2.0)</f>
        <v>2</v>
      </c>
      <c r="O479" s="176"/>
      <c r="P479" s="176"/>
      <c r="Q479" s="176"/>
      <c r="R479" s="176"/>
      <c r="S479" s="176"/>
      <c r="T479" s="176"/>
      <c r="U479" s="176"/>
      <c r="V479" s="176"/>
      <c r="W479" s="176"/>
      <c r="X479" s="176"/>
      <c r="Y479" s="176"/>
      <c r="Z479" s="176"/>
    </row>
    <row r="480">
      <c r="A480" s="249" t="s">
        <v>27</v>
      </c>
      <c r="B480" s="249" t="s">
        <v>519</v>
      </c>
      <c r="C480" s="219" t="s">
        <v>2329</v>
      </c>
      <c r="D480" s="268" t="s">
        <v>495</v>
      </c>
      <c r="E480" s="251">
        <v>44216.0</v>
      </c>
      <c r="F480" s="250" t="s">
        <v>521</v>
      </c>
      <c r="G480" s="171">
        <v>5000.0</v>
      </c>
      <c r="H480" s="171">
        <v>25.0</v>
      </c>
      <c r="I480" s="171">
        <v>25.0</v>
      </c>
      <c r="J480" s="325">
        <f t="shared" si="12"/>
        <v>0.001113771448</v>
      </c>
      <c r="K480" s="326">
        <f t="shared" si="23"/>
        <v>1.039520018</v>
      </c>
      <c r="L480" s="327">
        <f t="shared" si="9"/>
        <v>3.021214003</v>
      </c>
      <c r="M480" s="321" t="str">
        <f t="shared" si="10"/>
        <v>merlinegalite</v>
      </c>
      <c r="N480" s="176">
        <f>IFERROR(__xludf.DUMMYFUNCTION("""COMPUTED_VALUE"""),3.0)</f>
        <v>3</v>
      </c>
      <c r="O480" s="176"/>
      <c r="P480" s="176"/>
      <c r="Q480" s="176"/>
      <c r="R480" s="176"/>
      <c r="S480" s="176"/>
      <c r="T480" s="176"/>
      <c r="U480" s="176"/>
      <c r="V480" s="176"/>
      <c r="W480" s="176"/>
      <c r="X480" s="176"/>
      <c r="Y480" s="176"/>
      <c r="Z480" s="176"/>
    </row>
    <row r="481">
      <c r="A481" s="249" t="s">
        <v>24</v>
      </c>
      <c r="B481" s="249" t="s">
        <v>590</v>
      </c>
      <c r="C481" s="219" t="s">
        <v>2704</v>
      </c>
      <c r="D481" s="268" t="s">
        <v>495</v>
      </c>
      <c r="E481" s="251">
        <v>44217.0</v>
      </c>
      <c r="F481" s="250" t="s">
        <v>592</v>
      </c>
      <c r="G481" s="171">
        <v>5000.0</v>
      </c>
      <c r="H481" s="171">
        <v>50.0</v>
      </c>
      <c r="I481" s="171">
        <v>100.0</v>
      </c>
      <c r="J481" s="325">
        <f t="shared" si="12"/>
        <v>0.002356004143</v>
      </c>
      <c r="K481" s="326">
        <f t="shared" si="23"/>
        <v>2.1989372</v>
      </c>
      <c r="L481" s="327">
        <f t="shared" si="9"/>
        <v>2.912592396</v>
      </c>
      <c r="M481" s="321" t="str">
        <f t="shared" si="10"/>
        <v>danlessa</v>
      </c>
      <c r="N481" s="176">
        <f>IFERROR(__xludf.DUMMYFUNCTION("""COMPUTED_VALUE"""),1.0)</f>
        <v>1</v>
      </c>
      <c r="O481" s="176"/>
      <c r="P481" s="176"/>
      <c r="Q481" s="176"/>
      <c r="R481" s="176"/>
      <c r="S481" s="176"/>
      <c r="T481" s="176"/>
      <c r="U481" s="176"/>
      <c r="V481" s="176"/>
      <c r="W481" s="176"/>
      <c r="X481" s="176"/>
      <c r="Y481" s="176"/>
      <c r="Z481" s="176"/>
    </row>
    <row r="482">
      <c r="A482" s="249" t="s">
        <v>24</v>
      </c>
      <c r="B482" s="249" t="s">
        <v>10</v>
      </c>
      <c r="C482" s="219" t="s">
        <v>2498</v>
      </c>
      <c r="D482" s="268" t="s">
        <v>495</v>
      </c>
      <c r="E482" s="251">
        <v>44218.0</v>
      </c>
      <c r="F482" s="250" t="s">
        <v>545</v>
      </c>
      <c r="G482" s="171">
        <v>500.0</v>
      </c>
      <c r="H482" s="171">
        <v>25.0</v>
      </c>
      <c r="I482" s="171">
        <v>25.0</v>
      </c>
      <c r="J482" s="325">
        <f t="shared" si="12"/>
        <v>0.0007646305672</v>
      </c>
      <c r="K482" s="326">
        <f t="shared" si="23"/>
        <v>0.7136551961</v>
      </c>
      <c r="L482" s="327">
        <f t="shared" si="9"/>
        <v>2.912592396</v>
      </c>
      <c r="M482" s="321" t="str">
        <f t="shared" si="10"/>
        <v>danlessa</v>
      </c>
      <c r="N482" s="176">
        <f>IFERROR(__xludf.DUMMYFUNCTION("""COMPUTED_VALUE"""),2.0)</f>
        <v>2</v>
      </c>
      <c r="O482" s="176"/>
      <c r="P482" s="176"/>
      <c r="Q482" s="176"/>
      <c r="R482" s="176"/>
      <c r="S482" s="176"/>
      <c r="T482" s="176"/>
      <c r="U482" s="176"/>
      <c r="V482" s="176"/>
      <c r="W482" s="176"/>
      <c r="X482" s="176"/>
      <c r="Y482" s="176"/>
      <c r="Z482" s="176"/>
    </row>
    <row r="483">
      <c r="A483" s="249" t="s">
        <v>33</v>
      </c>
      <c r="B483" s="249" t="s">
        <v>845</v>
      </c>
      <c r="C483" s="219" t="s">
        <v>2853</v>
      </c>
      <c r="D483" s="268" t="s">
        <v>495</v>
      </c>
      <c r="E483" s="251">
        <v>44221.0</v>
      </c>
      <c r="F483" s="250" t="s">
        <v>496</v>
      </c>
      <c r="G483" s="171">
        <v>10000.0</v>
      </c>
      <c r="H483" s="171">
        <v>25.0</v>
      </c>
      <c r="I483" s="171">
        <v>100.0</v>
      </c>
      <c r="J483" s="325">
        <f t="shared" si="12"/>
        <v>0.002276299098</v>
      </c>
      <c r="K483" s="326">
        <f t="shared" si="23"/>
        <v>2.124545825</v>
      </c>
      <c r="L483" s="327">
        <f t="shared" si="9"/>
        <v>2.667675184</v>
      </c>
      <c r="M483" s="321" t="str">
        <f t="shared" si="10"/>
        <v>vegayp</v>
      </c>
      <c r="N483" s="176">
        <f>IFERROR(__xludf.DUMMYFUNCTION("""COMPUTED_VALUE"""),1.0)</f>
        <v>1</v>
      </c>
      <c r="O483" s="176"/>
      <c r="P483" s="176"/>
      <c r="Q483" s="176"/>
      <c r="R483" s="176"/>
      <c r="S483" s="176"/>
      <c r="T483" s="176"/>
      <c r="U483" s="176"/>
      <c r="V483" s="176"/>
      <c r="W483" s="176"/>
      <c r="X483" s="176"/>
      <c r="Y483" s="176"/>
      <c r="Z483" s="176"/>
    </row>
    <row r="484">
      <c r="A484" s="249" t="s">
        <v>33</v>
      </c>
      <c r="B484" s="249" t="s">
        <v>10</v>
      </c>
      <c r="C484" s="219" t="s">
        <v>2698</v>
      </c>
      <c r="D484" s="268" t="s">
        <v>495</v>
      </c>
      <c r="E484" s="251">
        <v>44225.0</v>
      </c>
      <c r="F484" s="250" t="s">
        <v>496</v>
      </c>
      <c r="G484" s="171">
        <v>10000.0</v>
      </c>
      <c r="H484" s="171">
        <v>50.0</v>
      </c>
      <c r="I484" s="171">
        <v>50.0</v>
      </c>
      <c r="J484" s="325">
        <f t="shared" si="12"/>
        <v>0.002227542896</v>
      </c>
      <c r="K484" s="326">
        <f t="shared" si="23"/>
        <v>2.079040036</v>
      </c>
      <c r="L484" s="327">
        <f t="shared" si="9"/>
        <v>2.667675184</v>
      </c>
      <c r="M484" s="321" t="str">
        <f t="shared" si="10"/>
        <v>vegayp</v>
      </c>
      <c r="N484" s="176">
        <f>IFERROR(__xludf.DUMMYFUNCTION("""COMPUTED_VALUE"""),2.0)</f>
        <v>2</v>
      </c>
      <c r="O484" s="176"/>
      <c r="P484" s="176"/>
      <c r="Q484" s="176"/>
      <c r="R484" s="176"/>
      <c r="S484" s="176"/>
      <c r="T484" s="176"/>
      <c r="U484" s="176"/>
      <c r="V484" s="176"/>
      <c r="W484" s="176"/>
      <c r="X484" s="176"/>
      <c r="Y484" s="176"/>
      <c r="Z484" s="176"/>
    </row>
    <row r="485">
      <c r="A485" s="249" t="s">
        <v>33</v>
      </c>
      <c r="B485" s="249" t="s">
        <v>867</v>
      </c>
      <c r="C485" s="219" t="s">
        <v>2764</v>
      </c>
      <c r="D485" s="268" t="s">
        <v>495</v>
      </c>
      <c r="E485" s="251">
        <v>44224.0</v>
      </c>
      <c r="F485" s="250" t="s">
        <v>496</v>
      </c>
      <c r="G485" s="171">
        <v>8000.0</v>
      </c>
      <c r="H485" s="171">
        <v>50.0</v>
      </c>
      <c r="I485" s="171">
        <v>50.0</v>
      </c>
      <c r="J485" s="325">
        <f t="shared" si="12"/>
        <v>0.002072369171</v>
      </c>
      <c r="K485" s="326">
        <f t="shared" si="23"/>
        <v>1.934211226</v>
      </c>
      <c r="L485" s="327">
        <f t="shared" si="9"/>
        <v>2.667675184</v>
      </c>
      <c r="M485" s="321" t="str">
        <f t="shared" si="10"/>
        <v>vegayp</v>
      </c>
      <c r="N485" s="176">
        <f>IFERROR(__xludf.DUMMYFUNCTION("""COMPUTED_VALUE"""),3.0)</f>
        <v>3</v>
      </c>
      <c r="O485" s="176"/>
      <c r="P485" s="176"/>
      <c r="Q485" s="176"/>
      <c r="R485" s="176"/>
      <c r="S485" s="176"/>
      <c r="T485" s="176"/>
      <c r="U485" s="176"/>
      <c r="V485" s="176"/>
      <c r="W485" s="176"/>
      <c r="X485" s="176"/>
      <c r="Y485" s="176"/>
      <c r="Z485" s="176"/>
    </row>
    <row r="486">
      <c r="A486" s="249" t="s">
        <v>33</v>
      </c>
      <c r="B486" s="249" t="s">
        <v>519</v>
      </c>
      <c r="C486" s="219" t="s">
        <v>2854</v>
      </c>
      <c r="D486" s="268" t="s">
        <v>495</v>
      </c>
      <c r="E486" s="251">
        <v>44225.0</v>
      </c>
      <c r="F486" s="250" t="s">
        <v>496</v>
      </c>
      <c r="G486" s="171">
        <v>10000.0</v>
      </c>
      <c r="H486" s="171">
        <v>15.0</v>
      </c>
      <c r="I486" s="171">
        <v>100.0</v>
      </c>
      <c r="J486" s="325">
        <f t="shared" si="12"/>
        <v>0.002089243356</v>
      </c>
      <c r="K486" s="326">
        <f t="shared" si="23"/>
        <v>1.949960465</v>
      </c>
      <c r="L486" s="327">
        <f t="shared" si="9"/>
        <v>2.667675184</v>
      </c>
      <c r="M486" s="321" t="str">
        <f t="shared" si="10"/>
        <v>vegayp</v>
      </c>
      <c r="N486" s="176">
        <f>IFERROR(__xludf.DUMMYFUNCTION("""COMPUTED_VALUE"""),4.0)</f>
        <v>4</v>
      </c>
      <c r="O486" s="176"/>
      <c r="P486" s="176"/>
      <c r="Q486" s="176"/>
      <c r="R486" s="176"/>
      <c r="S486" s="176"/>
      <c r="T486" s="176"/>
      <c r="U486" s="176"/>
      <c r="V486" s="176"/>
      <c r="W486" s="176"/>
      <c r="X486" s="176"/>
      <c r="Y486" s="176"/>
      <c r="Z486" s="176"/>
    </row>
    <row r="487">
      <c r="A487" s="249" t="s">
        <v>33</v>
      </c>
      <c r="B487" s="249" t="s">
        <v>10</v>
      </c>
      <c r="C487" s="219" t="s">
        <v>2668</v>
      </c>
      <c r="D487" s="268" t="s">
        <v>495</v>
      </c>
      <c r="E487" s="251">
        <v>44218.0</v>
      </c>
      <c r="F487" s="250" t="s">
        <v>496</v>
      </c>
      <c r="G487" s="171">
        <v>5000.0</v>
      </c>
      <c r="H487" s="171">
        <v>25.0</v>
      </c>
      <c r="I487" s="171">
        <v>100.0</v>
      </c>
      <c r="J487" s="325">
        <f t="shared" si="12"/>
        <v>0.001888364786</v>
      </c>
      <c r="K487" s="326">
        <f t="shared" si="23"/>
        <v>1.762473801</v>
      </c>
      <c r="L487" s="327">
        <f t="shared" si="9"/>
        <v>2.667675184</v>
      </c>
      <c r="M487" s="321" t="str">
        <f t="shared" si="10"/>
        <v>vegayp</v>
      </c>
      <c r="N487" s="176">
        <f>IFERROR(__xludf.DUMMYFUNCTION("""COMPUTED_VALUE"""),5.0)</f>
        <v>5</v>
      </c>
      <c r="O487" s="176"/>
      <c r="P487" s="176"/>
      <c r="Q487" s="176"/>
      <c r="R487" s="176"/>
      <c r="S487" s="176"/>
      <c r="T487" s="176"/>
      <c r="U487" s="176"/>
      <c r="V487" s="176"/>
      <c r="W487" s="176"/>
      <c r="X487" s="176"/>
      <c r="Y487" s="176"/>
      <c r="Z487" s="176"/>
    </row>
    <row r="488">
      <c r="A488" s="249" t="s">
        <v>33</v>
      </c>
      <c r="B488" s="249" t="s">
        <v>10</v>
      </c>
      <c r="C488" s="219" t="s">
        <v>2670</v>
      </c>
      <c r="D488" s="268" t="s">
        <v>495</v>
      </c>
      <c r="E488" s="251">
        <v>44225.0</v>
      </c>
      <c r="F488" s="250" t="s">
        <v>496</v>
      </c>
      <c r="G488" s="171">
        <v>5000.0</v>
      </c>
      <c r="H488" s="171">
        <v>25.0</v>
      </c>
      <c r="I488" s="171">
        <v>100.0</v>
      </c>
      <c r="J488" s="325">
        <f t="shared" si="12"/>
        <v>0.001888364786</v>
      </c>
      <c r="K488" s="326">
        <f t="shared" si="23"/>
        <v>1.762473801</v>
      </c>
      <c r="L488" s="327">
        <f t="shared" si="9"/>
        <v>2.667675184</v>
      </c>
      <c r="M488" s="321" t="str">
        <f t="shared" si="10"/>
        <v>vegayp</v>
      </c>
      <c r="N488" s="176">
        <f>IFERROR(__xludf.DUMMYFUNCTION("""COMPUTED_VALUE"""),6.0)</f>
        <v>6</v>
      </c>
      <c r="O488" s="176"/>
      <c r="P488" s="176"/>
      <c r="Q488" s="176"/>
      <c r="R488" s="176"/>
      <c r="S488" s="176"/>
      <c r="T488" s="176"/>
      <c r="U488" s="176"/>
      <c r="V488" s="176"/>
      <c r="W488" s="176"/>
      <c r="X488" s="176"/>
      <c r="Y488" s="176"/>
      <c r="Z488" s="176"/>
    </row>
    <row r="489">
      <c r="A489" s="249" t="s">
        <v>33</v>
      </c>
      <c r="B489" s="249" t="s">
        <v>10</v>
      </c>
      <c r="C489" s="219" t="s">
        <v>2855</v>
      </c>
      <c r="D489" s="268" t="s">
        <v>495</v>
      </c>
      <c r="E489" s="251">
        <v>44225.0</v>
      </c>
      <c r="F489" s="250" t="s">
        <v>496</v>
      </c>
      <c r="G489" s="171">
        <v>5000.0</v>
      </c>
      <c r="H489" s="171">
        <v>50.0</v>
      </c>
      <c r="I489" s="171">
        <v>50.0</v>
      </c>
      <c r="J489" s="325">
        <f t="shared" si="12"/>
        <v>0.001839608584</v>
      </c>
      <c r="K489" s="326">
        <f t="shared" si="23"/>
        <v>1.716968012</v>
      </c>
      <c r="L489" s="327">
        <f t="shared" si="9"/>
        <v>2.667675184</v>
      </c>
      <c r="M489" s="321" t="str">
        <f t="shared" si="10"/>
        <v>vegayp</v>
      </c>
      <c r="N489" s="176">
        <f>IFERROR(__xludf.DUMMYFUNCTION("""COMPUTED_VALUE"""),7.0)</f>
        <v>7</v>
      </c>
      <c r="O489" s="176"/>
      <c r="P489" s="176"/>
      <c r="Q489" s="176"/>
      <c r="R489" s="176"/>
      <c r="S489" s="176"/>
      <c r="T489" s="176"/>
      <c r="U489" s="176"/>
      <c r="V489" s="176"/>
      <c r="W489" s="176"/>
      <c r="X489" s="176"/>
      <c r="Y489" s="176"/>
      <c r="Z489" s="176"/>
    </row>
    <row r="490">
      <c r="A490" s="249" t="s">
        <v>33</v>
      </c>
      <c r="B490" s="249" t="s">
        <v>5</v>
      </c>
      <c r="C490" s="219" t="s">
        <v>2676</v>
      </c>
      <c r="D490" s="268" t="s">
        <v>495</v>
      </c>
      <c r="E490" s="251">
        <v>44224.0</v>
      </c>
      <c r="F490" s="250" t="s">
        <v>496</v>
      </c>
      <c r="G490" s="171">
        <v>1000.0</v>
      </c>
      <c r="H490" s="171">
        <v>25.0</v>
      </c>
      <c r="I490" s="171">
        <v>50.0</v>
      </c>
      <c r="J490" s="325">
        <f t="shared" si="12"/>
        <v>0.001061621778</v>
      </c>
      <c r="K490" s="326">
        <f t="shared" si="23"/>
        <v>0.9908469927</v>
      </c>
      <c r="L490" s="327">
        <f t="shared" si="9"/>
        <v>2.667675184</v>
      </c>
      <c r="M490" s="321" t="str">
        <f t="shared" si="10"/>
        <v>vegayp</v>
      </c>
      <c r="N490" s="176">
        <f>IFERROR(__xludf.DUMMYFUNCTION("""COMPUTED_VALUE"""),8.0)</f>
        <v>8</v>
      </c>
      <c r="O490" s="176"/>
      <c r="P490" s="176"/>
      <c r="Q490" s="176"/>
      <c r="R490" s="176"/>
      <c r="S490" s="176"/>
      <c r="T490" s="176"/>
      <c r="U490" s="176"/>
      <c r="V490" s="176"/>
      <c r="W490" s="176"/>
      <c r="X490" s="176"/>
      <c r="Y490" s="176"/>
      <c r="Z490" s="176"/>
    </row>
    <row r="491">
      <c r="A491" s="249" t="s">
        <v>33</v>
      </c>
      <c r="B491" s="249" t="s">
        <v>10</v>
      </c>
      <c r="C491" s="219" t="s">
        <v>2531</v>
      </c>
      <c r="D491" s="268" t="s">
        <v>495</v>
      </c>
      <c r="E491" s="251">
        <v>44225.0</v>
      </c>
      <c r="F491" s="250" t="s">
        <v>499</v>
      </c>
      <c r="G491" s="171">
        <v>500.0</v>
      </c>
      <c r="H491" s="171">
        <v>35.0</v>
      </c>
      <c r="I491" s="171">
        <v>25.0</v>
      </c>
      <c r="J491" s="325">
        <f t="shared" si="12"/>
        <v>0.0009516863098</v>
      </c>
      <c r="K491" s="326">
        <f t="shared" si="23"/>
        <v>0.8882405558</v>
      </c>
      <c r="L491" s="327">
        <f t="shared" si="9"/>
        <v>2.667675184</v>
      </c>
      <c r="M491" s="321" t="str">
        <f t="shared" si="10"/>
        <v>vegayp</v>
      </c>
      <c r="N491" s="176">
        <f>IFERROR(__xludf.DUMMYFUNCTION("""COMPUTED_VALUE"""),9.0)</f>
        <v>9</v>
      </c>
      <c r="O491" s="176"/>
      <c r="P491" s="176"/>
      <c r="Q491" s="176"/>
      <c r="R491" s="176"/>
      <c r="S491" s="176"/>
      <c r="T491" s="176"/>
      <c r="U491" s="176"/>
      <c r="V491" s="176"/>
      <c r="W491" s="176"/>
      <c r="X491" s="176"/>
      <c r="Y491" s="176"/>
      <c r="Z491" s="176"/>
    </row>
    <row r="492">
      <c r="A492" s="249" t="s">
        <v>33</v>
      </c>
      <c r="B492" s="249" t="s">
        <v>10</v>
      </c>
      <c r="C492" s="219" t="s">
        <v>2498</v>
      </c>
      <c r="D492" s="268" t="s">
        <v>495</v>
      </c>
      <c r="E492" s="251">
        <v>44218.0</v>
      </c>
      <c r="F492" s="250" t="s">
        <v>545</v>
      </c>
      <c r="G492" s="171">
        <v>500.0</v>
      </c>
      <c r="H492" s="171">
        <v>25.0</v>
      </c>
      <c r="I492" s="171">
        <v>25.0</v>
      </c>
      <c r="J492" s="325">
        <f t="shared" si="12"/>
        <v>0.0007646305672</v>
      </c>
      <c r="K492" s="326">
        <f t="shared" si="23"/>
        <v>0.7136551961</v>
      </c>
      <c r="L492" s="327">
        <f t="shared" si="9"/>
        <v>2.667675184</v>
      </c>
      <c r="M492" s="321" t="str">
        <f t="shared" si="10"/>
        <v>vegayp</v>
      </c>
      <c r="N492" s="176">
        <f>IFERROR(__xludf.DUMMYFUNCTION("""COMPUTED_VALUE"""),10.0)</f>
        <v>10</v>
      </c>
      <c r="O492" s="176"/>
      <c r="P492" s="176"/>
      <c r="Q492" s="176"/>
      <c r="R492" s="176"/>
      <c r="S492" s="176"/>
      <c r="T492" s="176"/>
      <c r="U492" s="176"/>
      <c r="V492" s="176"/>
      <c r="W492" s="176"/>
      <c r="X492" s="176"/>
      <c r="Y492" s="176"/>
      <c r="Z492" s="176"/>
    </row>
    <row r="493">
      <c r="A493" s="249" t="s">
        <v>33</v>
      </c>
      <c r="B493" s="249" t="s">
        <v>10</v>
      </c>
      <c r="C493" s="219" t="s">
        <v>2498</v>
      </c>
      <c r="D493" s="268" t="s">
        <v>495</v>
      </c>
      <c r="E493" s="251">
        <v>44225.0</v>
      </c>
      <c r="F493" s="250" t="s">
        <v>496</v>
      </c>
      <c r="G493" s="171">
        <v>500.0</v>
      </c>
      <c r="H493" s="171">
        <v>25.0</v>
      </c>
      <c r="I493" s="171">
        <v>25.0</v>
      </c>
      <c r="J493" s="325">
        <f t="shared" si="12"/>
        <v>0.0007646305672</v>
      </c>
      <c r="K493" s="326">
        <f t="shared" si="23"/>
        <v>0.7136551961</v>
      </c>
      <c r="L493" s="327">
        <f t="shared" si="9"/>
        <v>2.667675184</v>
      </c>
      <c r="M493" s="321" t="str">
        <f t="shared" si="10"/>
        <v>vegayp</v>
      </c>
      <c r="N493" s="176">
        <f>IFERROR(__xludf.DUMMYFUNCTION("""COMPUTED_VALUE"""),11.0)</f>
        <v>11</v>
      </c>
      <c r="O493" s="176"/>
      <c r="P493" s="176"/>
      <c r="Q493" s="176"/>
      <c r="R493" s="176"/>
      <c r="S493" s="176"/>
      <c r="T493" s="176"/>
      <c r="U493" s="176"/>
      <c r="V493" s="176"/>
      <c r="W493" s="176"/>
      <c r="X493" s="176"/>
      <c r="Y493" s="176"/>
      <c r="Z493" s="176"/>
    </row>
    <row r="494">
      <c r="A494" s="249" t="s">
        <v>33</v>
      </c>
      <c r="B494" s="249" t="s">
        <v>10</v>
      </c>
      <c r="C494" s="219" t="s">
        <v>2687</v>
      </c>
      <c r="D494" s="268" t="s">
        <v>495</v>
      </c>
      <c r="E494" s="251">
        <v>44218.0</v>
      </c>
      <c r="F494" s="250" t="s">
        <v>496</v>
      </c>
      <c r="G494" s="171">
        <v>1000.0</v>
      </c>
      <c r="H494" s="171">
        <v>15.0</v>
      </c>
      <c r="I494" s="171">
        <v>25.0</v>
      </c>
      <c r="J494" s="325">
        <f t="shared" si="12"/>
        <v>0.0006163682558</v>
      </c>
      <c r="K494" s="326">
        <f t="shared" si="23"/>
        <v>0.5752770387</v>
      </c>
      <c r="L494" s="327">
        <f t="shared" si="9"/>
        <v>2.667675184</v>
      </c>
      <c r="M494" s="321" t="str">
        <f t="shared" si="10"/>
        <v>vegayp</v>
      </c>
      <c r="N494" s="176">
        <f>IFERROR(__xludf.DUMMYFUNCTION("""COMPUTED_VALUE"""),12.0)</f>
        <v>12</v>
      </c>
      <c r="O494" s="176"/>
      <c r="P494" s="176"/>
      <c r="Q494" s="176"/>
      <c r="R494" s="176"/>
      <c r="S494" s="176"/>
      <c r="T494" s="176"/>
      <c r="U494" s="176"/>
      <c r="V494" s="176"/>
      <c r="W494" s="176"/>
      <c r="X494" s="176"/>
      <c r="Y494" s="176"/>
      <c r="Z494" s="176"/>
    </row>
    <row r="495">
      <c r="A495" s="249" t="s">
        <v>33</v>
      </c>
      <c r="B495" s="249" t="s">
        <v>10</v>
      </c>
      <c r="C495" s="219" t="s">
        <v>2690</v>
      </c>
      <c r="D495" s="268" t="s">
        <v>495</v>
      </c>
      <c r="E495" s="251">
        <v>44225.0</v>
      </c>
      <c r="F495" s="250" t="s">
        <v>496</v>
      </c>
      <c r="G495" s="171">
        <v>1000.0</v>
      </c>
      <c r="H495" s="171">
        <v>15.0</v>
      </c>
      <c r="I495" s="171">
        <v>25.0</v>
      </c>
      <c r="J495" s="325">
        <f t="shared" si="12"/>
        <v>0.0006163682558</v>
      </c>
      <c r="K495" s="326">
        <f t="shared" si="23"/>
        <v>0.5752770387</v>
      </c>
      <c r="L495" s="327">
        <f t="shared" si="9"/>
        <v>2.667675184</v>
      </c>
      <c r="M495" s="321" t="str">
        <f t="shared" si="10"/>
        <v>vegayp</v>
      </c>
      <c r="N495" s="176">
        <f>IFERROR(__xludf.DUMMYFUNCTION("""COMPUTED_VALUE"""),13.0)</f>
        <v>13</v>
      </c>
      <c r="O495" s="176"/>
      <c r="P495" s="176"/>
      <c r="Q495" s="176"/>
      <c r="R495" s="176"/>
      <c r="S495" s="176"/>
      <c r="T495" s="176"/>
      <c r="U495" s="176"/>
      <c r="V495" s="176"/>
      <c r="W495" s="176"/>
      <c r="X495" s="176"/>
      <c r="Y495" s="176"/>
      <c r="Z495" s="176"/>
    </row>
    <row r="496">
      <c r="A496" s="240" t="s">
        <v>33</v>
      </c>
      <c r="B496" s="240" t="s">
        <v>534</v>
      </c>
      <c r="C496" s="221" t="s">
        <v>810</v>
      </c>
      <c r="D496" s="336"/>
      <c r="E496" s="255"/>
      <c r="F496" s="254"/>
      <c r="G496" s="222"/>
      <c r="H496" s="222"/>
      <c r="I496" s="222"/>
      <c r="J496" s="325">
        <f t="shared" si="12"/>
        <v>0</v>
      </c>
      <c r="K496" s="337">
        <f>17.787*-0.85</f>
        <v>-15.11895</v>
      </c>
      <c r="L496" s="327">
        <f t="shared" si="9"/>
        <v>2.667675184</v>
      </c>
      <c r="M496" s="321" t="str">
        <f t="shared" si="10"/>
        <v>vegayp</v>
      </c>
      <c r="N496" s="209">
        <f>IFERROR(__xludf.DUMMYFUNCTION("""COMPUTED_VALUE"""),14.0)</f>
        <v>14</v>
      </c>
      <c r="O496" s="209"/>
      <c r="P496" s="209"/>
      <c r="Q496" s="209"/>
      <c r="R496" s="209">
        <v>18.802169413641863</v>
      </c>
      <c r="S496" s="209"/>
      <c r="T496" s="209"/>
      <c r="U496" s="209"/>
      <c r="V496" s="209"/>
      <c r="W496" s="209"/>
      <c r="X496" s="209"/>
      <c r="Y496" s="176"/>
      <c r="Z496" s="176"/>
    </row>
    <row r="497">
      <c r="A497" s="249" t="s">
        <v>62</v>
      </c>
      <c r="B497" s="249" t="s">
        <v>62</v>
      </c>
      <c r="C497" s="219" t="s">
        <v>2856</v>
      </c>
      <c r="D497" s="268" t="s">
        <v>495</v>
      </c>
      <c r="E497" s="251">
        <v>44221.0</v>
      </c>
      <c r="F497" s="250" t="s">
        <v>2586</v>
      </c>
      <c r="G497" s="171">
        <v>12500.0</v>
      </c>
      <c r="H497" s="171">
        <v>25.0</v>
      </c>
      <c r="I497" s="171">
        <v>25.0</v>
      </c>
      <c r="J497" s="325">
        <f t="shared" si="12"/>
        <v>0.001695672916</v>
      </c>
      <c r="K497" s="326">
        <f t="shared" ref="K497:K498" si="24">J497*$J$1</f>
        <v>1.582628055</v>
      </c>
      <c r="L497" s="327">
        <f t="shared" si="9"/>
        <v>2.645889452</v>
      </c>
      <c r="M497" s="321" t="str">
        <f t="shared" si="10"/>
        <v>fiorebotta</v>
      </c>
      <c r="N497" s="176">
        <f>IFERROR(__xludf.DUMMYFUNCTION("""COMPUTED_VALUE"""),1.0)</f>
        <v>1</v>
      </c>
      <c r="O497" s="176"/>
      <c r="P497" s="176"/>
      <c r="Q497" s="176"/>
      <c r="R497" s="176"/>
      <c r="S497" s="176"/>
      <c r="T497" s="176"/>
      <c r="U497" s="176"/>
      <c r="V497" s="176"/>
      <c r="W497" s="176"/>
      <c r="X497" s="176"/>
      <c r="Y497" s="176"/>
      <c r="Z497" s="176"/>
    </row>
    <row r="498">
      <c r="A498" s="249" t="s">
        <v>62</v>
      </c>
      <c r="B498" s="249" t="s">
        <v>10</v>
      </c>
      <c r="C498" s="219" t="s">
        <v>2802</v>
      </c>
      <c r="D498" s="268" t="s">
        <v>495</v>
      </c>
      <c r="E498" s="251">
        <v>44225.0</v>
      </c>
      <c r="F498" s="250" t="s">
        <v>496</v>
      </c>
      <c r="G498" s="171">
        <v>2000.0</v>
      </c>
      <c r="H498" s="171">
        <v>25.0</v>
      </c>
      <c r="I498" s="171">
        <v>50.0</v>
      </c>
      <c r="J498" s="325">
        <f t="shared" si="12"/>
        <v>0.00113920864</v>
      </c>
      <c r="K498" s="326">
        <f t="shared" si="24"/>
        <v>1.063261398</v>
      </c>
      <c r="L498" s="327">
        <f t="shared" si="9"/>
        <v>2.645889452</v>
      </c>
      <c r="M498" s="321" t="str">
        <f t="shared" si="10"/>
        <v>fiorebotta</v>
      </c>
      <c r="N498" s="176">
        <f>IFERROR(__xludf.DUMMYFUNCTION("""COMPUTED_VALUE"""),2.0)</f>
        <v>2</v>
      </c>
      <c r="O498" s="176"/>
      <c r="P498" s="176"/>
      <c r="Q498" s="176"/>
      <c r="R498" s="176"/>
      <c r="S498" s="176"/>
      <c r="T498" s="176"/>
      <c r="U498" s="176"/>
      <c r="V498" s="176"/>
      <c r="W498" s="176"/>
      <c r="X498" s="176"/>
      <c r="Y498" s="176"/>
      <c r="Z498" s="176"/>
    </row>
    <row r="499">
      <c r="A499" s="362" t="s">
        <v>62</v>
      </c>
      <c r="B499" s="240" t="s">
        <v>534</v>
      </c>
      <c r="C499" s="346" t="s">
        <v>2386</v>
      </c>
      <c r="D499" s="336"/>
      <c r="E499" s="255"/>
      <c r="F499" s="254"/>
      <c r="G499" s="222"/>
      <c r="H499" s="222"/>
      <c r="I499" s="222"/>
      <c r="J499" s="325">
        <f t="shared" si="12"/>
        <v>0</v>
      </c>
      <c r="K499" s="337"/>
      <c r="L499" s="327">
        <f t="shared" si="9"/>
        <v>2.645889452</v>
      </c>
      <c r="M499" s="321" t="str">
        <f t="shared" si="10"/>
        <v>fiorebotta</v>
      </c>
      <c r="N499" s="209">
        <f>IFERROR(__xludf.DUMMYFUNCTION("""COMPUTED_VALUE"""),3.0)</f>
        <v>3</v>
      </c>
      <c r="O499" s="176"/>
      <c r="P499" s="176"/>
      <c r="Q499" s="176"/>
      <c r="R499" s="176">
        <v>11.125055275694283</v>
      </c>
      <c r="S499" s="176"/>
      <c r="T499" s="176"/>
      <c r="U499" s="176"/>
      <c r="V499" s="176"/>
      <c r="W499" s="176"/>
      <c r="X499" s="176"/>
      <c r="Y499" s="176"/>
      <c r="Z499" s="176"/>
    </row>
    <row r="500">
      <c r="A500" s="249" t="s">
        <v>73</v>
      </c>
      <c r="B500" s="249" t="s">
        <v>10</v>
      </c>
      <c r="C500" s="219" t="s">
        <v>2738</v>
      </c>
      <c r="D500" s="268" t="s">
        <v>495</v>
      </c>
      <c r="E500" s="251">
        <v>44225.0</v>
      </c>
      <c r="F500" s="250" t="s">
        <v>496</v>
      </c>
      <c r="G500" s="171">
        <v>25000.0</v>
      </c>
      <c r="H500" s="171">
        <v>75.0</v>
      </c>
      <c r="I500" s="171">
        <v>200.0</v>
      </c>
      <c r="J500" s="325">
        <f t="shared" si="12"/>
        <v>0.005408171865</v>
      </c>
      <c r="K500" s="326">
        <f>J500*$J$1</f>
        <v>5.047627074</v>
      </c>
      <c r="L500" s="327">
        <f t="shared" si="9"/>
        <v>2.523627074</v>
      </c>
      <c r="M500" s="321" t="str">
        <f t="shared" si="10"/>
        <v>aminlatifi</v>
      </c>
      <c r="N500" s="176">
        <f>IFERROR(__xludf.DUMMYFUNCTION("""COMPUTED_VALUE"""),1.0)</f>
        <v>1</v>
      </c>
      <c r="O500" s="176"/>
      <c r="P500" s="176"/>
      <c r="Q500" s="176"/>
      <c r="R500" s="176"/>
      <c r="S500" s="176"/>
      <c r="T500" s="176"/>
      <c r="U500" s="176"/>
      <c r="V500" s="176"/>
      <c r="W500" s="176"/>
      <c r="X500" s="176"/>
      <c r="Y500" s="176"/>
      <c r="Z500" s="176"/>
    </row>
    <row r="501">
      <c r="A501" s="240" t="s">
        <v>73</v>
      </c>
      <c r="B501" s="240" t="s">
        <v>534</v>
      </c>
      <c r="C501" s="221" t="s">
        <v>839</v>
      </c>
      <c r="D501" s="336"/>
      <c r="E501" s="255"/>
      <c r="F501" s="254"/>
      <c r="G501" s="222"/>
      <c r="H501" s="222"/>
      <c r="I501" s="222"/>
      <c r="J501" s="172">
        <f t="shared" si="12"/>
        <v>0</v>
      </c>
      <c r="K501" s="345">
        <f>0.5*-5.048</f>
        <v>-2.524</v>
      </c>
      <c r="L501" s="327">
        <f t="shared" si="9"/>
        <v>2.523627074</v>
      </c>
      <c r="M501" s="321" t="str">
        <f t="shared" si="10"/>
        <v>aminlatifi</v>
      </c>
      <c r="N501" s="209">
        <f>IFERROR(__xludf.DUMMYFUNCTION("""COMPUTED_VALUE"""),2.0)</f>
        <v>2</v>
      </c>
      <c r="O501" s="209"/>
      <c r="P501" s="209"/>
      <c r="Q501" s="209"/>
      <c r="R501" s="209">
        <v>18.802169413641863</v>
      </c>
      <c r="S501" s="209"/>
      <c r="T501" s="209"/>
      <c r="U501" s="209"/>
      <c r="V501" s="209"/>
      <c r="W501" s="209"/>
      <c r="X501" s="209"/>
      <c r="Y501" s="176"/>
      <c r="Z501" s="176"/>
    </row>
    <row r="502">
      <c r="A502" s="249" t="s">
        <v>66</v>
      </c>
      <c r="B502" s="249" t="s">
        <v>10</v>
      </c>
      <c r="C502" s="219" t="s">
        <v>2750</v>
      </c>
      <c r="D502" s="268" t="s">
        <v>495</v>
      </c>
      <c r="E502" s="251">
        <v>44218.0</v>
      </c>
      <c r="F502" s="250" t="s">
        <v>496</v>
      </c>
      <c r="G502" s="171">
        <v>5000.0</v>
      </c>
      <c r="H502" s="171">
        <v>35.0</v>
      </c>
      <c r="I502" s="171">
        <v>100.0</v>
      </c>
      <c r="J502" s="325">
        <f t="shared" si="12"/>
        <v>0.002075420529</v>
      </c>
      <c r="K502" s="326">
        <f t="shared" ref="K502:K519" si="25">J502*$J$1</f>
        <v>1.93705916</v>
      </c>
      <c r="L502" s="327">
        <f t="shared" si="9"/>
        <v>2.512336199</v>
      </c>
      <c r="M502" s="321" t="str">
        <f t="shared" si="10"/>
        <v>willjgriff</v>
      </c>
      <c r="N502" s="176">
        <f>IFERROR(__xludf.DUMMYFUNCTION("""COMPUTED_VALUE"""),1.0)</f>
        <v>1</v>
      </c>
      <c r="O502" s="176"/>
      <c r="P502" s="176"/>
      <c r="Q502" s="176"/>
      <c r="R502" s="176"/>
      <c r="S502" s="176"/>
      <c r="T502" s="176"/>
      <c r="U502" s="176"/>
      <c r="V502" s="176"/>
      <c r="W502" s="176"/>
      <c r="X502" s="176"/>
      <c r="Y502" s="176"/>
      <c r="Z502" s="176"/>
    </row>
    <row r="503">
      <c r="A503" s="249" t="s">
        <v>66</v>
      </c>
      <c r="B503" s="249" t="s">
        <v>6</v>
      </c>
      <c r="C503" s="219" t="s">
        <v>2686</v>
      </c>
      <c r="D503" s="268" t="s">
        <v>495</v>
      </c>
      <c r="E503" s="251">
        <v>44215.0</v>
      </c>
      <c r="F503" s="250" t="s">
        <v>496</v>
      </c>
      <c r="G503" s="171">
        <v>1000.0</v>
      </c>
      <c r="H503" s="171">
        <v>15.0</v>
      </c>
      <c r="I503" s="171">
        <v>25.0</v>
      </c>
      <c r="J503" s="325">
        <f t="shared" si="12"/>
        <v>0.0006163682558</v>
      </c>
      <c r="K503" s="326">
        <f t="shared" si="25"/>
        <v>0.5752770387</v>
      </c>
      <c r="L503" s="327">
        <f t="shared" si="9"/>
        <v>2.512336199</v>
      </c>
      <c r="M503" s="321" t="str">
        <f t="shared" si="10"/>
        <v>willjgriff</v>
      </c>
      <c r="N503" s="176">
        <f>IFERROR(__xludf.DUMMYFUNCTION("""COMPUTED_VALUE"""),2.0)</f>
        <v>2</v>
      </c>
      <c r="O503" s="176"/>
      <c r="P503" s="176"/>
      <c r="Q503" s="176"/>
      <c r="R503" s="176"/>
      <c r="S503" s="176"/>
      <c r="T503" s="176"/>
      <c r="U503" s="176"/>
      <c r="V503" s="176"/>
      <c r="W503" s="176"/>
      <c r="X503" s="176"/>
      <c r="Y503" s="176"/>
      <c r="Z503" s="176"/>
    </row>
    <row r="504">
      <c r="A504" s="249" t="s">
        <v>134</v>
      </c>
      <c r="B504" s="249" t="s">
        <v>845</v>
      </c>
      <c r="C504" s="219" t="s">
        <v>2857</v>
      </c>
      <c r="D504" s="268" t="s">
        <v>495</v>
      </c>
      <c r="E504" s="251">
        <v>44221.0</v>
      </c>
      <c r="F504" s="250" t="s">
        <v>496</v>
      </c>
      <c r="G504" s="171">
        <v>10000.0</v>
      </c>
      <c r="H504" s="171">
        <v>25.0</v>
      </c>
      <c r="I504" s="171">
        <v>100.0</v>
      </c>
      <c r="J504" s="325">
        <f t="shared" si="12"/>
        <v>0.002276299098</v>
      </c>
      <c r="K504" s="326">
        <f t="shared" si="25"/>
        <v>2.124545825</v>
      </c>
      <c r="L504" s="327">
        <f t="shared" si="9"/>
        <v>2.124545825</v>
      </c>
      <c r="M504" s="321" t="str">
        <f t="shared" si="10"/>
        <v>katebee</v>
      </c>
      <c r="N504" s="176">
        <f>IFERROR(__xludf.DUMMYFUNCTION("""COMPUTED_VALUE"""),1.0)</f>
        <v>1</v>
      </c>
      <c r="O504" s="176"/>
      <c r="P504" s="176"/>
      <c r="Q504" s="176"/>
      <c r="R504" s="176"/>
      <c r="S504" s="176"/>
      <c r="T504" s="176"/>
      <c r="U504" s="176"/>
      <c r="V504" s="176"/>
      <c r="W504" s="176"/>
      <c r="X504" s="176"/>
      <c r="Y504" s="176"/>
      <c r="Z504" s="176"/>
    </row>
    <row r="505">
      <c r="A505" s="249" t="s">
        <v>44</v>
      </c>
      <c r="B505" s="249" t="s">
        <v>10</v>
      </c>
      <c r="C505" s="219" t="s">
        <v>2858</v>
      </c>
      <c r="D505" s="268" t="s">
        <v>495</v>
      </c>
      <c r="E505" s="251">
        <v>44219.0</v>
      </c>
      <c r="F505" s="250" t="s">
        <v>545</v>
      </c>
      <c r="G505" s="171">
        <v>500.0</v>
      </c>
      <c r="H505" s="171">
        <v>25.0</v>
      </c>
      <c r="I505" s="171">
        <v>25.0</v>
      </c>
      <c r="J505" s="325">
        <f t="shared" si="12"/>
        <v>0.0007646305672</v>
      </c>
      <c r="K505" s="326">
        <f t="shared" si="25"/>
        <v>0.7136551961</v>
      </c>
      <c r="L505" s="327">
        <f t="shared" si="9"/>
        <v>2.002587431</v>
      </c>
      <c r="M505" s="321" t="str">
        <f t="shared" si="10"/>
        <v>kristoferkristofer</v>
      </c>
      <c r="N505" s="176">
        <f>IFERROR(__xludf.DUMMYFUNCTION("""COMPUTED_VALUE"""),1.0)</f>
        <v>1</v>
      </c>
      <c r="O505" s="176"/>
      <c r="P505" s="176"/>
      <c r="Q505" s="176"/>
      <c r="R505" s="176"/>
      <c r="S505" s="176"/>
      <c r="T505" s="176"/>
      <c r="U505" s="176"/>
      <c r="V505" s="176"/>
      <c r="W505" s="176"/>
      <c r="X505" s="176"/>
      <c r="Y505" s="176"/>
      <c r="Z505" s="176"/>
    </row>
    <row r="506">
      <c r="A506" s="249" t="s">
        <v>44</v>
      </c>
      <c r="B506" s="249" t="s">
        <v>10</v>
      </c>
      <c r="C506" s="219" t="s">
        <v>2498</v>
      </c>
      <c r="D506" s="268" t="s">
        <v>495</v>
      </c>
      <c r="E506" s="251">
        <v>44225.0</v>
      </c>
      <c r="F506" s="250" t="s">
        <v>496</v>
      </c>
      <c r="G506" s="171">
        <v>500.0</v>
      </c>
      <c r="H506" s="171">
        <v>25.0</v>
      </c>
      <c r="I506" s="171">
        <v>25.0</v>
      </c>
      <c r="J506" s="325">
        <f t="shared" si="12"/>
        <v>0.0007646305672</v>
      </c>
      <c r="K506" s="326">
        <f t="shared" si="25"/>
        <v>0.7136551961</v>
      </c>
      <c r="L506" s="327">
        <f t="shared" si="9"/>
        <v>2.002587431</v>
      </c>
      <c r="M506" s="321" t="str">
        <f t="shared" si="10"/>
        <v>kristoferkristofer</v>
      </c>
      <c r="N506" s="176">
        <f>IFERROR(__xludf.DUMMYFUNCTION("""COMPUTED_VALUE"""),2.0)</f>
        <v>2</v>
      </c>
      <c r="O506" s="176"/>
      <c r="P506" s="176"/>
      <c r="Q506" s="176"/>
      <c r="R506" s="176"/>
      <c r="S506" s="176"/>
      <c r="T506" s="176"/>
      <c r="U506" s="176"/>
      <c r="V506" s="176"/>
      <c r="W506" s="176"/>
      <c r="X506" s="176"/>
      <c r="Y506" s="176"/>
      <c r="Z506" s="176"/>
    </row>
    <row r="507">
      <c r="A507" s="249" t="s">
        <v>44</v>
      </c>
      <c r="B507" s="249" t="s">
        <v>10</v>
      </c>
      <c r="C507" s="219" t="s">
        <v>2687</v>
      </c>
      <c r="D507" s="268" t="s">
        <v>495</v>
      </c>
      <c r="E507" s="251">
        <v>44218.0</v>
      </c>
      <c r="F507" s="250" t="s">
        <v>496</v>
      </c>
      <c r="G507" s="171">
        <v>1000.0</v>
      </c>
      <c r="H507" s="171">
        <v>15.0</v>
      </c>
      <c r="I507" s="171">
        <v>25.0</v>
      </c>
      <c r="J507" s="325">
        <f t="shared" si="12"/>
        <v>0.0006163682558</v>
      </c>
      <c r="K507" s="326">
        <f t="shared" si="25"/>
        <v>0.5752770387</v>
      </c>
      <c r="L507" s="327">
        <f t="shared" si="9"/>
        <v>2.002587431</v>
      </c>
      <c r="M507" s="321" t="str">
        <f t="shared" si="10"/>
        <v>kristoferkristofer</v>
      </c>
      <c r="N507" s="176">
        <f>IFERROR(__xludf.DUMMYFUNCTION("""COMPUTED_VALUE"""),3.0)</f>
        <v>3</v>
      </c>
      <c r="O507" s="176"/>
      <c r="P507" s="176"/>
      <c r="Q507" s="176"/>
      <c r="R507" s="176"/>
      <c r="S507" s="176"/>
      <c r="T507" s="176"/>
      <c r="U507" s="176"/>
      <c r="V507" s="176"/>
      <c r="W507" s="176"/>
      <c r="X507" s="176"/>
      <c r="Y507" s="176"/>
      <c r="Z507" s="176"/>
    </row>
    <row r="508">
      <c r="A508" s="249" t="s">
        <v>127</v>
      </c>
      <c r="B508" s="249" t="s">
        <v>519</v>
      </c>
      <c r="C508" s="219" t="s">
        <v>2705</v>
      </c>
      <c r="D508" s="268" t="s">
        <v>495</v>
      </c>
      <c r="E508" s="251">
        <v>44223.0</v>
      </c>
      <c r="F508" s="250" t="s">
        <v>499</v>
      </c>
      <c r="G508" s="171">
        <v>1000.0</v>
      </c>
      <c r="H508" s="171">
        <v>25.0</v>
      </c>
      <c r="I508" s="171">
        <v>50.0</v>
      </c>
      <c r="J508" s="325">
        <f t="shared" si="12"/>
        <v>0.001061621778</v>
      </c>
      <c r="K508" s="326">
        <f t="shared" si="25"/>
        <v>0.9908469927</v>
      </c>
      <c r="L508" s="327">
        <f t="shared" si="9"/>
        <v>1.981693985</v>
      </c>
      <c r="M508" s="321" t="str">
        <f t="shared" si="10"/>
        <v>crypt0dawg</v>
      </c>
      <c r="N508" s="176">
        <f>IFERROR(__xludf.DUMMYFUNCTION("""COMPUTED_VALUE"""),1.0)</f>
        <v>1</v>
      </c>
      <c r="O508" s="176"/>
      <c r="P508" s="176"/>
      <c r="Q508" s="176"/>
      <c r="R508" s="176"/>
      <c r="S508" s="176"/>
      <c r="T508" s="176"/>
      <c r="U508" s="176"/>
      <c r="V508" s="176"/>
      <c r="W508" s="176"/>
      <c r="X508" s="176"/>
      <c r="Y508" s="176"/>
      <c r="Z508" s="176"/>
    </row>
    <row r="509">
      <c r="A509" s="249" t="s">
        <v>127</v>
      </c>
      <c r="B509" s="249" t="s">
        <v>5</v>
      </c>
      <c r="C509" s="219" t="s">
        <v>2676</v>
      </c>
      <c r="D509" s="268" t="s">
        <v>495</v>
      </c>
      <c r="E509" s="251">
        <v>44224.0</v>
      </c>
      <c r="F509" s="250" t="s">
        <v>496</v>
      </c>
      <c r="G509" s="171">
        <v>1000.0</v>
      </c>
      <c r="H509" s="171">
        <v>25.0</v>
      </c>
      <c r="I509" s="171">
        <v>50.0</v>
      </c>
      <c r="J509" s="325">
        <f t="shared" si="12"/>
        <v>0.001061621778</v>
      </c>
      <c r="K509" s="326">
        <f t="shared" si="25"/>
        <v>0.9908469927</v>
      </c>
      <c r="L509" s="327">
        <f t="shared" si="9"/>
        <v>1.981693985</v>
      </c>
      <c r="M509" s="321" t="str">
        <f t="shared" si="10"/>
        <v>crypt0dawg</v>
      </c>
      <c r="N509" s="176">
        <f>IFERROR(__xludf.DUMMYFUNCTION("""COMPUTED_VALUE"""),2.0)</f>
        <v>2</v>
      </c>
      <c r="O509" s="176"/>
      <c r="P509" s="176"/>
      <c r="Q509" s="176"/>
      <c r="R509" s="176"/>
      <c r="S509" s="176"/>
      <c r="T509" s="176"/>
      <c r="U509" s="176"/>
      <c r="V509" s="176"/>
      <c r="W509" s="176"/>
      <c r="X509" s="176"/>
      <c r="Y509" s="176"/>
      <c r="Z509" s="176"/>
    </row>
    <row r="510">
      <c r="A510" s="249" t="s">
        <v>96</v>
      </c>
      <c r="B510" s="249" t="s">
        <v>519</v>
      </c>
      <c r="C510" s="219" t="s">
        <v>2705</v>
      </c>
      <c r="D510" s="268" t="s">
        <v>495</v>
      </c>
      <c r="E510" s="251">
        <v>44223.0</v>
      </c>
      <c r="F510" s="250" t="s">
        <v>499</v>
      </c>
      <c r="G510" s="171">
        <v>1000.0</v>
      </c>
      <c r="H510" s="171">
        <v>25.0</v>
      </c>
      <c r="I510" s="171">
        <v>50.0</v>
      </c>
      <c r="J510" s="325">
        <f t="shared" si="12"/>
        <v>0.001061621778</v>
      </c>
      <c r="K510" s="326">
        <f t="shared" si="25"/>
        <v>0.9908469927</v>
      </c>
      <c r="L510" s="327">
        <f t="shared" si="9"/>
        <v>1.813123796</v>
      </c>
      <c r="M510" s="321" t="str">
        <f t="shared" si="10"/>
        <v>pacobacpac</v>
      </c>
      <c r="N510" s="176">
        <f>IFERROR(__xludf.DUMMYFUNCTION("""COMPUTED_VALUE"""),1.0)</f>
        <v>1</v>
      </c>
      <c r="O510" s="176"/>
      <c r="P510" s="176"/>
      <c r="Q510" s="176"/>
      <c r="R510" s="176"/>
      <c r="S510" s="176"/>
      <c r="T510" s="176"/>
      <c r="U510" s="176"/>
      <c r="V510" s="176"/>
      <c r="W510" s="176"/>
      <c r="X510" s="176"/>
      <c r="Y510" s="176"/>
      <c r="Z510" s="176"/>
    </row>
    <row r="511">
      <c r="A511" s="249" t="s">
        <v>96</v>
      </c>
      <c r="B511" s="249" t="s">
        <v>10</v>
      </c>
      <c r="C511" s="219" t="s">
        <v>494</v>
      </c>
      <c r="D511" s="268" t="s">
        <v>495</v>
      </c>
      <c r="E511" s="251">
        <v>44218.0</v>
      </c>
      <c r="F511" s="250" t="s">
        <v>545</v>
      </c>
      <c r="G511" s="171">
        <v>2000.0</v>
      </c>
      <c r="H511" s="171">
        <v>25.0</v>
      </c>
      <c r="I511" s="171">
        <v>25.0</v>
      </c>
      <c r="J511" s="325">
        <f t="shared" si="12"/>
        <v>0.0008810108608</v>
      </c>
      <c r="K511" s="326">
        <f t="shared" si="25"/>
        <v>0.8222768034</v>
      </c>
      <c r="L511" s="327">
        <f t="shared" si="9"/>
        <v>1.813123796</v>
      </c>
      <c r="M511" s="321" t="str">
        <f t="shared" si="10"/>
        <v>pacobacpac</v>
      </c>
      <c r="N511" s="176">
        <f>IFERROR(__xludf.DUMMYFUNCTION("""COMPUTED_VALUE"""),2.0)</f>
        <v>2</v>
      </c>
      <c r="O511" s="176"/>
      <c r="P511" s="176"/>
      <c r="Q511" s="176"/>
      <c r="R511" s="176"/>
      <c r="S511" s="176"/>
      <c r="T511" s="176"/>
      <c r="U511" s="176"/>
      <c r="V511" s="176"/>
      <c r="W511" s="176"/>
      <c r="X511" s="176"/>
      <c r="Y511" s="176"/>
      <c r="Z511" s="176"/>
    </row>
    <row r="512">
      <c r="A512" s="249" t="s">
        <v>91</v>
      </c>
      <c r="B512" s="249" t="s">
        <v>845</v>
      </c>
      <c r="C512" s="219" t="s">
        <v>2859</v>
      </c>
      <c r="D512" s="268" t="s">
        <v>495</v>
      </c>
      <c r="E512" s="251">
        <v>44221.0</v>
      </c>
      <c r="F512" s="250" t="s">
        <v>496</v>
      </c>
      <c r="G512" s="171">
        <v>5000.0</v>
      </c>
      <c r="H512" s="171">
        <v>50.0</v>
      </c>
      <c r="I512" s="171">
        <v>50.0</v>
      </c>
      <c r="J512" s="325">
        <f t="shared" si="12"/>
        <v>0.001839608584</v>
      </c>
      <c r="K512" s="326">
        <f t="shared" si="25"/>
        <v>1.716968012</v>
      </c>
      <c r="L512" s="327">
        <f t="shared" si="9"/>
        <v>1.716968012</v>
      </c>
      <c r="M512" s="321" t="str">
        <f t="shared" si="10"/>
        <v>ludo_lb</v>
      </c>
      <c r="N512" s="176">
        <f>IFERROR(__xludf.DUMMYFUNCTION("""COMPUTED_VALUE"""),1.0)</f>
        <v>1</v>
      </c>
      <c r="O512" s="176"/>
      <c r="P512" s="176"/>
      <c r="Q512" s="176"/>
      <c r="R512" s="176"/>
      <c r="S512" s="176"/>
      <c r="T512" s="176"/>
      <c r="U512" s="176"/>
      <c r="V512" s="176"/>
      <c r="W512" s="176"/>
      <c r="X512" s="176"/>
      <c r="Y512" s="176"/>
      <c r="Z512" s="176"/>
    </row>
    <row r="513">
      <c r="A513" s="249" t="s">
        <v>59</v>
      </c>
      <c r="B513" s="249" t="s">
        <v>10</v>
      </c>
      <c r="C513" s="219" t="s">
        <v>2860</v>
      </c>
      <c r="D513" s="268" t="s">
        <v>495</v>
      </c>
      <c r="E513" s="251">
        <v>44225.0</v>
      </c>
      <c r="F513" s="250" t="s">
        <v>496</v>
      </c>
      <c r="G513" s="171">
        <v>50000.0</v>
      </c>
      <c r="H513" s="171">
        <v>25.0</v>
      </c>
      <c r="I513" s="171">
        <v>100.0</v>
      </c>
      <c r="J513" s="325">
        <f t="shared" si="12"/>
        <v>0.005379773593</v>
      </c>
      <c r="K513" s="326">
        <f t="shared" si="25"/>
        <v>5.02112202</v>
      </c>
      <c r="L513" s="327">
        <f t="shared" si="9"/>
        <v>1.644529072</v>
      </c>
      <c r="M513" s="321" t="str">
        <f t="shared" si="10"/>
        <v>krisjones</v>
      </c>
      <c r="N513" s="176">
        <f>IFERROR(__xludf.DUMMYFUNCTION("""COMPUTED_VALUE"""),1.0)</f>
        <v>1</v>
      </c>
      <c r="O513" s="176"/>
      <c r="P513" s="176"/>
      <c r="Q513" s="176"/>
      <c r="R513" s="176"/>
      <c r="S513" s="176"/>
      <c r="T513" s="176"/>
      <c r="U513" s="176"/>
      <c r="V513" s="176"/>
      <c r="W513" s="176"/>
      <c r="X513" s="176"/>
      <c r="Y513" s="176"/>
      <c r="Z513" s="176"/>
    </row>
    <row r="514">
      <c r="A514" s="249" t="s">
        <v>59</v>
      </c>
      <c r="B514" s="249" t="s">
        <v>845</v>
      </c>
      <c r="C514" s="219" t="s">
        <v>2861</v>
      </c>
      <c r="D514" s="268" t="s">
        <v>495</v>
      </c>
      <c r="E514" s="251">
        <v>44221.0</v>
      </c>
      <c r="F514" s="250" t="s">
        <v>496</v>
      </c>
      <c r="G514" s="171">
        <v>10000.0</v>
      </c>
      <c r="H514" s="171">
        <v>25.0</v>
      </c>
      <c r="I514" s="171">
        <v>100.0</v>
      </c>
      <c r="J514" s="325">
        <f t="shared" si="12"/>
        <v>0.002276299098</v>
      </c>
      <c r="K514" s="326">
        <f t="shared" si="25"/>
        <v>2.124545825</v>
      </c>
      <c r="L514" s="327">
        <f t="shared" si="9"/>
        <v>1.644529072</v>
      </c>
      <c r="M514" s="321" t="str">
        <f t="shared" si="10"/>
        <v>krisjones</v>
      </c>
      <c r="N514" s="176">
        <f>IFERROR(__xludf.DUMMYFUNCTION("""COMPUTED_VALUE"""),2.0)</f>
        <v>2</v>
      </c>
      <c r="O514" s="176"/>
      <c r="P514" s="176"/>
      <c r="Q514" s="176"/>
      <c r="R514" s="176"/>
      <c r="S514" s="176"/>
      <c r="T514" s="176"/>
      <c r="U514" s="176"/>
      <c r="V514" s="176"/>
      <c r="W514" s="176"/>
      <c r="X514" s="176"/>
      <c r="Y514" s="176"/>
      <c r="Z514" s="176"/>
    </row>
    <row r="515">
      <c r="A515" s="249" t="s">
        <v>59</v>
      </c>
      <c r="B515" s="249" t="s">
        <v>590</v>
      </c>
      <c r="C515" s="219" t="s">
        <v>2789</v>
      </c>
      <c r="D515" s="268" t="s">
        <v>495</v>
      </c>
      <c r="E515" s="251">
        <v>44224.0</v>
      </c>
      <c r="F515" s="250" t="s">
        <v>496</v>
      </c>
      <c r="G515" s="171">
        <v>1000.0</v>
      </c>
      <c r="H515" s="171">
        <v>25.0</v>
      </c>
      <c r="I515" s="171">
        <v>50.0</v>
      </c>
      <c r="J515" s="325">
        <f t="shared" si="12"/>
        <v>0.001061621778</v>
      </c>
      <c r="K515" s="326">
        <f t="shared" si="25"/>
        <v>0.9908469927</v>
      </c>
      <c r="L515" s="327">
        <f t="shared" si="9"/>
        <v>1.644529072</v>
      </c>
      <c r="M515" s="321" t="str">
        <f t="shared" si="10"/>
        <v>krisjones</v>
      </c>
      <c r="N515" s="176">
        <f>IFERROR(__xludf.DUMMYFUNCTION("""COMPUTED_VALUE"""),3.0)</f>
        <v>3</v>
      </c>
      <c r="O515" s="176"/>
      <c r="P515" s="176"/>
      <c r="Q515" s="176"/>
      <c r="R515" s="176"/>
      <c r="S515" s="176"/>
      <c r="T515" s="176"/>
      <c r="U515" s="176"/>
      <c r="V515" s="176"/>
      <c r="W515" s="176"/>
      <c r="X515" s="176"/>
      <c r="Y515" s="176"/>
      <c r="Z515" s="176"/>
    </row>
    <row r="516">
      <c r="A516" s="249" t="s">
        <v>59</v>
      </c>
      <c r="B516" s="249" t="s">
        <v>590</v>
      </c>
      <c r="C516" s="219" t="s">
        <v>2756</v>
      </c>
      <c r="D516" s="268" t="s">
        <v>495</v>
      </c>
      <c r="E516" s="251">
        <v>44216.0</v>
      </c>
      <c r="F516" s="250" t="s">
        <v>496</v>
      </c>
      <c r="G516" s="171">
        <v>1500.0</v>
      </c>
      <c r="H516" s="171">
        <v>35.0</v>
      </c>
      <c r="I516" s="171">
        <v>25.0</v>
      </c>
      <c r="J516" s="325">
        <f t="shared" si="12"/>
        <v>0.001029273172</v>
      </c>
      <c r="K516" s="326">
        <f t="shared" si="25"/>
        <v>0.9606549607</v>
      </c>
      <c r="L516" s="327">
        <f t="shared" si="9"/>
        <v>1.644529072</v>
      </c>
      <c r="M516" s="321" t="str">
        <f t="shared" si="10"/>
        <v>krisjones</v>
      </c>
      <c r="N516" s="176">
        <f>IFERROR(__xludf.DUMMYFUNCTION("""COMPUTED_VALUE"""),4.0)</f>
        <v>4</v>
      </c>
      <c r="O516" s="176"/>
      <c r="P516" s="176"/>
      <c r="Q516" s="176"/>
      <c r="R516" s="176"/>
      <c r="S516" s="176"/>
      <c r="T516" s="176"/>
      <c r="U516" s="176"/>
      <c r="V516" s="176"/>
      <c r="W516" s="176"/>
      <c r="X516" s="176"/>
      <c r="Y516" s="176"/>
      <c r="Z516" s="176"/>
    </row>
    <row r="517">
      <c r="A517" s="249" t="s">
        <v>59</v>
      </c>
      <c r="B517" s="249" t="s">
        <v>10</v>
      </c>
      <c r="C517" s="219" t="s">
        <v>2498</v>
      </c>
      <c r="D517" s="268" t="s">
        <v>495</v>
      </c>
      <c r="E517" s="251">
        <v>44225.0</v>
      </c>
      <c r="F517" s="250" t="s">
        <v>496</v>
      </c>
      <c r="G517" s="171">
        <v>500.0</v>
      </c>
      <c r="H517" s="171">
        <v>25.0</v>
      </c>
      <c r="I517" s="171">
        <v>25.0</v>
      </c>
      <c r="J517" s="325">
        <f t="shared" si="12"/>
        <v>0.0007646305672</v>
      </c>
      <c r="K517" s="326">
        <f t="shared" si="25"/>
        <v>0.7136551961</v>
      </c>
      <c r="L517" s="327">
        <f t="shared" si="9"/>
        <v>1.644529072</v>
      </c>
      <c r="M517" s="321" t="str">
        <f t="shared" si="10"/>
        <v>krisjones</v>
      </c>
      <c r="N517" s="176">
        <f>IFERROR(__xludf.DUMMYFUNCTION("""COMPUTED_VALUE"""),5.0)</f>
        <v>5</v>
      </c>
      <c r="O517" s="176"/>
      <c r="P517" s="176"/>
      <c r="Q517" s="176"/>
      <c r="R517" s="176"/>
      <c r="S517" s="176"/>
      <c r="T517" s="176"/>
      <c r="U517" s="176"/>
      <c r="V517" s="176"/>
      <c r="W517" s="176"/>
      <c r="X517" s="176"/>
      <c r="Y517" s="176"/>
      <c r="Z517" s="176"/>
    </row>
    <row r="518">
      <c r="A518" s="249" t="s">
        <v>59</v>
      </c>
      <c r="B518" s="249" t="s">
        <v>10</v>
      </c>
      <c r="C518" s="219" t="s">
        <v>2687</v>
      </c>
      <c r="D518" s="268" t="s">
        <v>495</v>
      </c>
      <c r="E518" s="251">
        <v>44218.0</v>
      </c>
      <c r="F518" s="250" t="s">
        <v>496</v>
      </c>
      <c r="G518" s="171">
        <v>1000.0</v>
      </c>
      <c r="H518" s="171">
        <v>15.0</v>
      </c>
      <c r="I518" s="171">
        <v>25.0</v>
      </c>
      <c r="J518" s="325">
        <f t="shared" si="12"/>
        <v>0.0006163682558</v>
      </c>
      <c r="K518" s="326">
        <f t="shared" si="25"/>
        <v>0.5752770387</v>
      </c>
      <c r="L518" s="327">
        <f t="shared" si="9"/>
        <v>1.644529072</v>
      </c>
      <c r="M518" s="321" t="str">
        <f t="shared" si="10"/>
        <v>krisjones</v>
      </c>
      <c r="N518" s="176">
        <f>IFERROR(__xludf.DUMMYFUNCTION("""COMPUTED_VALUE"""),6.0)</f>
        <v>6</v>
      </c>
      <c r="O518" s="176"/>
      <c r="P518" s="176"/>
      <c r="Q518" s="176"/>
      <c r="R518" s="176"/>
      <c r="S518" s="176"/>
      <c r="T518" s="176"/>
      <c r="U518" s="176"/>
      <c r="V518" s="176"/>
      <c r="W518" s="176"/>
      <c r="X518" s="176"/>
      <c r="Y518" s="176"/>
      <c r="Z518" s="176"/>
    </row>
    <row r="519">
      <c r="A519" s="249" t="s">
        <v>59</v>
      </c>
      <c r="B519" s="249" t="s">
        <v>10</v>
      </c>
      <c r="C519" s="219" t="s">
        <v>2690</v>
      </c>
      <c r="D519" s="268" t="s">
        <v>495</v>
      </c>
      <c r="E519" s="251">
        <v>44225.0</v>
      </c>
      <c r="F519" s="250" t="s">
        <v>496</v>
      </c>
      <c r="G519" s="171">
        <v>1000.0</v>
      </c>
      <c r="H519" s="171">
        <v>15.0</v>
      </c>
      <c r="I519" s="171">
        <v>25.0</v>
      </c>
      <c r="J519" s="325">
        <f t="shared" si="12"/>
        <v>0.0006163682558</v>
      </c>
      <c r="K519" s="326">
        <f t="shared" si="25"/>
        <v>0.5752770387</v>
      </c>
      <c r="L519" s="327">
        <f t="shared" si="9"/>
        <v>1.644529072</v>
      </c>
      <c r="M519" s="321" t="str">
        <f t="shared" si="10"/>
        <v>krisjones</v>
      </c>
      <c r="N519" s="176">
        <f>IFERROR(__xludf.DUMMYFUNCTION("""COMPUTED_VALUE"""),7.0)</f>
        <v>7</v>
      </c>
      <c r="O519" s="176"/>
      <c r="P519" s="176"/>
      <c r="Q519" s="176"/>
      <c r="R519" s="176"/>
      <c r="S519" s="176"/>
      <c r="T519" s="176"/>
      <c r="U519" s="176"/>
      <c r="V519" s="176"/>
      <c r="W519" s="176"/>
      <c r="X519" s="176"/>
      <c r="Y519" s="176"/>
      <c r="Z519" s="176"/>
    </row>
    <row r="520">
      <c r="A520" s="240" t="s">
        <v>59</v>
      </c>
      <c r="B520" s="240" t="s">
        <v>534</v>
      </c>
      <c r="C520" s="349" t="s">
        <v>810</v>
      </c>
      <c r="D520" s="336"/>
      <c r="E520" s="340"/>
      <c r="F520" s="254"/>
      <c r="G520" s="222"/>
      <c r="H520" s="222"/>
      <c r="I520" s="222"/>
      <c r="J520" s="325">
        <f t="shared" si="12"/>
        <v>0</v>
      </c>
      <c r="K520" s="337">
        <f>-0.85*10.961</f>
        <v>-9.31685</v>
      </c>
      <c r="L520" s="327">
        <f t="shared" si="9"/>
        <v>1.644529072</v>
      </c>
      <c r="M520" s="321" t="str">
        <f t="shared" si="10"/>
        <v>krisjones</v>
      </c>
      <c r="N520" s="209">
        <f>IFERROR(__xludf.DUMMYFUNCTION("""COMPUTED_VALUE"""),8.0)</f>
        <v>8</v>
      </c>
      <c r="O520" s="209"/>
      <c r="P520" s="209"/>
      <c r="Q520" s="209"/>
      <c r="R520" s="209">
        <v>14.561258630642886</v>
      </c>
      <c r="S520" s="209"/>
      <c r="T520" s="209"/>
      <c r="U520" s="209"/>
      <c r="V520" s="209"/>
      <c r="W520" s="209"/>
      <c r="X520" s="209"/>
      <c r="Y520" s="176"/>
      <c r="Z520" s="176"/>
    </row>
    <row r="521">
      <c r="A521" s="249" t="s">
        <v>86</v>
      </c>
      <c r="B521" s="249" t="s">
        <v>10</v>
      </c>
      <c r="C521" s="219" t="s">
        <v>2531</v>
      </c>
      <c r="D521" s="268" t="s">
        <v>495</v>
      </c>
      <c r="E521" s="251">
        <v>44225.0</v>
      </c>
      <c r="F521" s="250" t="s">
        <v>499</v>
      </c>
      <c r="G521" s="171">
        <v>500.0</v>
      </c>
      <c r="H521" s="171">
        <v>35.0</v>
      </c>
      <c r="I521" s="171">
        <v>25.0</v>
      </c>
      <c r="J521" s="325">
        <f t="shared" si="12"/>
        <v>0.0009516863098</v>
      </c>
      <c r="K521" s="326">
        <f t="shared" ref="K521:K541" si="26">J521*$J$1</f>
        <v>0.8882405558</v>
      </c>
      <c r="L521" s="327">
        <f t="shared" si="9"/>
        <v>1.601895752</v>
      </c>
      <c r="M521" s="321" t="str">
        <f t="shared" si="10"/>
        <v>misterboyfriend</v>
      </c>
      <c r="N521" s="176">
        <f>IFERROR(__xludf.DUMMYFUNCTION("""COMPUTED_VALUE"""),1.0)</f>
        <v>1</v>
      </c>
      <c r="O521" s="176"/>
      <c r="P521" s="176"/>
      <c r="Q521" s="176"/>
      <c r="R521" s="176"/>
      <c r="S521" s="176"/>
      <c r="T521" s="176"/>
      <c r="U521" s="176"/>
      <c r="V521" s="176"/>
      <c r="W521" s="176"/>
      <c r="X521" s="176"/>
      <c r="Y521" s="176"/>
      <c r="Z521" s="176"/>
    </row>
    <row r="522">
      <c r="A522" s="249" t="s">
        <v>86</v>
      </c>
      <c r="B522" s="249" t="s">
        <v>10</v>
      </c>
      <c r="C522" s="219" t="s">
        <v>2498</v>
      </c>
      <c r="D522" s="268" t="s">
        <v>495</v>
      </c>
      <c r="E522" s="251">
        <v>44218.0</v>
      </c>
      <c r="F522" s="250" t="s">
        <v>545</v>
      </c>
      <c r="G522" s="171">
        <v>500.0</v>
      </c>
      <c r="H522" s="171">
        <v>25.0</v>
      </c>
      <c r="I522" s="171">
        <v>25.0</v>
      </c>
      <c r="J522" s="325">
        <f t="shared" si="12"/>
        <v>0.0007646305672</v>
      </c>
      <c r="K522" s="326">
        <f t="shared" si="26"/>
        <v>0.7136551961</v>
      </c>
      <c r="L522" s="327">
        <f t="shared" si="9"/>
        <v>1.601895752</v>
      </c>
      <c r="M522" s="321" t="str">
        <f t="shared" si="10"/>
        <v>misterboyfriend</v>
      </c>
      <c r="N522" s="176">
        <f>IFERROR(__xludf.DUMMYFUNCTION("""COMPUTED_VALUE"""),2.0)</f>
        <v>2</v>
      </c>
      <c r="O522" s="176"/>
      <c r="P522" s="176"/>
      <c r="Q522" s="176"/>
      <c r="R522" s="176"/>
      <c r="S522" s="176"/>
      <c r="T522" s="176"/>
      <c r="U522" s="176"/>
      <c r="V522" s="176"/>
      <c r="W522" s="176"/>
      <c r="X522" s="176"/>
      <c r="Y522" s="176"/>
      <c r="Z522" s="176"/>
    </row>
    <row r="523">
      <c r="A523" s="249" t="s">
        <v>88</v>
      </c>
      <c r="B523" s="249" t="s">
        <v>10</v>
      </c>
      <c r="C523" s="219" t="s">
        <v>2531</v>
      </c>
      <c r="D523" s="268" t="s">
        <v>495</v>
      </c>
      <c r="E523" s="251">
        <v>44225.0</v>
      </c>
      <c r="F523" s="250" t="s">
        <v>499</v>
      </c>
      <c r="G523" s="171">
        <v>500.0</v>
      </c>
      <c r="H523" s="171">
        <v>35.0</v>
      </c>
      <c r="I523" s="171">
        <v>25.0</v>
      </c>
      <c r="J523" s="325">
        <f t="shared" si="12"/>
        <v>0.0009516863098</v>
      </c>
      <c r="K523" s="326">
        <f t="shared" si="26"/>
        <v>0.8882405558</v>
      </c>
      <c r="L523" s="327">
        <f t="shared" si="9"/>
        <v>1.601895752</v>
      </c>
      <c r="M523" s="321" t="str">
        <f t="shared" si="10"/>
        <v>phil_h</v>
      </c>
      <c r="N523" s="176">
        <f>IFERROR(__xludf.DUMMYFUNCTION("""COMPUTED_VALUE"""),1.0)</f>
        <v>1</v>
      </c>
      <c r="O523" s="176"/>
      <c r="P523" s="176"/>
      <c r="Q523" s="176"/>
      <c r="R523" s="176"/>
      <c r="S523" s="176"/>
      <c r="T523" s="176"/>
      <c r="U523" s="176"/>
      <c r="V523" s="176"/>
      <c r="W523" s="176"/>
      <c r="X523" s="176"/>
      <c r="Y523" s="176"/>
      <c r="Z523" s="176"/>
    </row>
    <row r="524">
      <c r="A524" s="249" t="s">
        <v>88</v>
      </c>
      <c r="B524" s="249" t="s">
        <v>10</v>
      </c>
      <c r="C524" s="219" t="s">
        <v>2531</v>
      </c>
      <c r="D524" s="268" t="s">
        <v>495</v>
      </c>
      <c r="E524" s="251">
        <v>44218.0</v>
      </c>
      <c r="F524" s="250" t="s">
        <v>499</v>
      </c>
      <c r="G524" s="171">
        <v>500.0</v>
      </c>
      <c r="H524" s="171">
        <v>25.0</v>
      </c>
      <c r="I524" s="171">
        <v>25.0</v>
      </c>
      <c r="J524" s="325">
        <f t="shared" si="12"/>
        <v>0.0007646305672</v>
      </c>
      <c r="K524" s="326">
        <f t="shared" si="26"/>
        <v>0.7136551961</v>
      </c>
      <c r="L524" s="327">
        <f t="shared" si="9"/>
        <v>1.601895752</v>
      </c>
      <c r="M524" s="321" t="str">
        <f t="shared" si="10"/>
        <v>phil_h</v>
      </c>
      <c r="N524" s="176">
        <f>IFERROR(__xludf.DUMMYFUNCTION("""COMPUTED_VALUE"""),2.0)</f>
        <v>2</v>
      </c>
      <c r="O524" s="176"/>
      <c r="P524" s="176"/>
      <c r="Q524" s="176"/>
      <c r="R524" s="176"/>
      <c r="S524" s="176"/>
      <c r="T524" s="176"/>
      <c r="U524" s="176"/>
      <c r="V524" s="176"/>
      <c r="W524" s="176"/>
      <c r="X524" s="176"/>
      <c r="Y524" s="176"/>
      <c r="Z524" s="176"/>
    </row>
    <row r="525">
      <c r="A525" s="249" t="s">
        <v>172</v>
      </c>
      <c r="B525" s="249" t="s">
        <v>10</v>
      </c>
      <c r="C525" s="219" t="s">
        <v>2862</v>
      </c>
      <c r="D525" s="268" t="s">
        <v>495</v>
      </c>
      <c r="E525" s="251">
        <v>44218.0</v>
      </c>
      <c r="F525" s="250" t="s">
        <v>496</v>
      </c>
      <c r="G525" s="171">
        <v>2000.0</v>
      </c>
      <c r="H525" s="171">
        <v>50.0</v>
      </c>
      <c r="I525" s="171">
        <v>50.0</v>
      </c>
      <c r="J525" s="325">
        <f t="shared" si="12"/>
        <v>0.001606847997</v>
      </c>
      <c r="K525" s="326">
        <f t="shared" si="26"/>
        <v>1.499724797</v>
      </c>
      <c r="L525" s="327">
        <f t="shared" si="9"/>
        <v>1.499724797</v>
      </c>
      <c r="M525" s="321" t="str">
        <f t="shared" si="10"/>
        <v>adriamb</v>
      </c>
      <c r="N525" s="176">
        <f>IFERROR(__xludf.DUMMYFUNCTION("""COMPUTED_VALUE"""),1.0)</f>
        <v>1</v>
      </c>
      <c r="O525" s="176"/>
      <c r="P525" s="176"/>
      <c r="Q525" s="176"/>
      <c r="R525" s="176"/>
      <c r="S525" s="176"/>
      <c r="T525" s="176"/>
      <c r="U525" s="176"/>
      <c r="V525" s="176"/>
      <c r="W525" s="176"/>
      <c r="X525" s="176"/>
      <c r="Y525" s="176"/>
      <c r="Z525" s="176"/>
    </row>
    <row r="526">
      <c r="A526" s="249" t="s">
        <v>47</v>
      </c>
      <c r="B526" s="249" t="s">
        <v>519</v>
      </c>
      <c r="C526" s="219" t="s">
        <v>2705</v>
      </c>
      <c r="D526" s="268" t="s">
        <v>495</v>
      </c>
      <c r="E526" s="251">
        <v>44223.0</v>
      </c>
      <c r="F526" s="250" t="s">
        <v>499</v>
      </c>
      <c r="G526" s="171">
        <v>1000.0</v>
      </c>
      <c r="H526" s="171">
        <v>25.0</v>
      </c>
      <c r="I526" s="171">
        <v>100.0</v>
      </c>
      <c r="J526" s="325">
        <f t="shared" si="12"/>
        <v>0.001578017337</v>
      </c>
      <c r="K526" s="326">
        <f t="shared" si="26"/>
        <v>1.472816181</v>
      </c>
      <c r="L526" s="327">
        <f t="shared" si="9"/>
        <v>1.472816181</v>
      </c>
      <c r="M526" s="321" t="str">
        <f t="shared" si="10"/>
        <v>benjaminscholtz</v>
      </c>
      <c r="N526" s="176">
        <f>IFERROR(__xludf.DUMMYFUNCTION("""COMPUTED_VALUE"""),1.0)</f>
        <v>1</v>
      </c>
      <c r="O526" s="176"/>
      <c r="P526" s="176"/>
      <c r="Q526" s="176"/>
      <c r="R526" s="176"/>
      <c r="S526" s="176"/>
      <c r="T526" s="176"/>
      <c r="U526" s="176"/>
      <c r="V526" s="176"/>
      <c r="W526" s="176"/>
      <c r="X526" s="176"/>
      <c r="Y526" s="176"/>
      <c r="Z526" s="176"/>
    </row>
    <row r="527">
      <c r="A527" s="249" t="s">
        <v>52</v>
      </c>
      <c r="B527" s="249" t="s">
        <v>519</v>
      </c>
      <c r="C527" s="219" t="s">
        <v>2705</v>
      </c>
      <c r="D527" s="268" t="s">
        <v>495</v>
      </c>
      <c r="E527" s="251">
        <v>44223.0</v>
      </c>
      <c r="F527" s="250" t="s">
        <v>499</v>
      </c>
      <c r="G527" s="171">
        <v>1000.0</v>
      </c>
      <c r="H527" s="171">
        <v>25.0</v>
      </c>
      <c r="I527" s="171">
        <v>100.0</v>
      </c>
      <c r="J527" s="325">
        <f t="shared" si="12"/>
        <v>0.001578017337</v>
      </c>
      <c r="K527" s="326">
        <f t="shared" si="26"/>
        <v>1.472816181</v>
      </c>
      <c r="L527" s="327">
        <f t="shared" si="9"/>
        <v>1.472816181</v>
      </c>
      <c r="M527" s="321" t="str">
        <f t="shared" si="10"/>
        <v>randomshinichi</v>
      </c>
      <c r="N527" s="176">
        <f>IFERROR(__xludf.DUMMYFUNCTION("""COMPUTED_VALUE"""),1.0)</f>
        <v>1</v>
      </c>
      <c r="O527" s="176"/>
      <c r="P527" s="176"/>
      <c r="Q527" s="176"/>
      <c r="R527" s="176"/>
      <c r="S527" s="176"/>
      <c r="T527" s="176"/>
      <c r="U527" s="176"/>
      <c r="V527" s="176"/>
      <c r="W527" s="176"/>
      <c r="X527" s="176"/>
      <c r="Y527" s="176"/>
      <c r="Z527" s="176"/>
    </row>
    <row r="528">
      <c r="A528" s="249" t="s">
        <v>95</v>
      </c>
      <c r="B528" s="249" t="s">
        <v>590</v>
      </c>
      <c r="C528" s="219" t="s">
        <v>2678</v>
      </c>
      <c r="D528" s="268" t="s">
        <v>495</v>
      </c>
      <c r="E528" s="251">
        <v>44216.0</v>
      </c>
      <c r="F528" s="250" t="s">
        <v>496</v>
      </c>
      <c r="G528" s="171">
        <v>1000.0</v>
      </c>
      <c r="H528" s="171">
        <v>25.0</v>
      </c>
      <c r="I528" s="171">
        <v>25.0</v>
      </c>
      <c r="J528" s="325">
        <f t="shared" si="12"/>
        <v>0.0008034239984</v>
      </c>
      <c r="K528" s="326">
        <f t="shared" si="26"/>
        <v>0.7498623985</v>
      </c>
      <c r="L528" s="327">
        <f t="shared" si="9"/>
        <v>1.463517595</v>
      </c>
      <c r="M528" s="321" t="str">
        <f t="shared" si="10"/>
        <v>aidanbrodieo</v>
      </c>
      <c r="N528" s="176">
        <f>IFERROR(__xludf.DUMMYFUNCTION("""COMPUTED_VALUE"""),1.0)</f>
        <v>1</v>
      </c>
      <c r="O528" s="176"/>
      <c r="P528" s="176"/>
      <c r="Q528" s="176"/>
      <c r="R528" s="176"/>
      <c r="S528" s="176"/>
      <c r="T528" s="176"/>
      <c r="U528" s="176"/>
      <c r="V528" s="176"/>
      <c r="W528" s="176"/>
      <c r="X528" s="176"/>
      <c r="Y528" s="176"/>
      <c r="Z528" s="176"/>
    </row>
    <row r="529">
      <c r="A529" s="249" t="s">
        <v>95</v>
      </c>
      <c r="B529" s="249" t="s">
        <v>10</v>
      </c>
      <c r="C529" s="219" t="s">
        <v>2498</v>
      </c>
      <c r="D529" s="268" t="s">
        <v>495</v>
      </c>
      <c r="E529" s="251">
        <v>44212.0</v>
      </c>
      <c r="F529" s="250" t="s">
        <v>496</v>
      </c>
      <c r="G529" s="171">
        <v>500.0</v>
      </c>
      <c r="H529" s="171">
        <v>25.0</v>
      </c>
      <c r="I529" s="171">
        <v>25.0</v>
      </c>
      <c r="J529" s="325">
        <f t="shared" si="12"/>
        <v>0.0007646305672</v>
      </c>
      <c r="K529" s="326">
        <f t="shared" si="26"/>
        <v>0.7136551961</v>
      </c>
      <c r="L529" s="327">
        <f t="shared" si="9"/>
        <v>1.463517595</v>
      </c>
      <c r="M529" s="321" t="str">
        <f t="shared" si="10"/>
        <v>aidanbrodieo</v>
      </c>
      <c r="N529" s="176">
        <f>IFERROR(__xludf.DUMMYFUNCTION("""COMPUTED_VALUE"""),2.0)</f>
        <v>2</v>
      </c>
      <c r="O529" s="176"/>
      <c r="P529" s="176"/>
      <c r="Q529" s="176"/>
      <c r="R529" s="176"/>
      <c r="S529" s="176"/>
      <c r="T529" s="176"/>
      <c r="U529" s="176"/>
      <c r="V529" s="176"/>
      <c r="W529" s="176"/>
      <c r="X529" s="176"/>
      <c r="Y529" s="176"/>
      <c r="Z529" s="176"/>
    </row>
    <row r="530">
      <c r="A530" s="249" t="s">
        <v>151</v>
      </c>
      <c r="B530" s="249" t="s">
        <v>10</v>
      </c>
      <c r="C530" s="219" t="s">
        <v>2531</v>
      </c>
      <c r="D530" s="268" t="s">
        <v>495</v>
      </c>
      <c r="E530" s="251">
        <v>44212.0</v>
      </c>
      <c r="F530" s="250" t="s">
        <v>499</v>
      </c>
      <c r="G530" s="171">
        <v>500.0</v>
      </c>
      <c r="H530" s="171">
        <v>25.0</v>
      </c>
      <c r="I530" s="171">
        <v>25.0</v>
      </c>
      <c r="J530" s="325">
        <f t="shared" si="12"/>
        <v>0.0007646305672</v>
      </c>
      <c r="K530" s="326">
        <f t="shared" si="26"/>
        <v>0.7136551961</v>
      </c>
      <c r="L530" s="327">
        <f t="shared" si="9"/>
        <v>1.427310392</v>
      </c>
      <c r="M530" s="321" t="str">
        <f t="shared" si="10"/>
        <v>antoniopaglino</v>
      </c>
      <c r="N530" s="176">
        <f>IFERROR(__xludf.DUMMYFUNCTION("""COMPUTED_VALUE"""),1.0)</f>
        <v>1</v>
      </c>
      <c r="O530" s="176"/>
      <c r="P530" s="176"/>
      <c r="Q530" s="176"/>
      <c r="R530" s="176"/>
      <c r="S530" s="176"/>
      <c r="T530" s="176"/>
      <c r="U530" s="176"/>
      <c r="V530" s="176"/>
      <c r="W530" s="176"/>
      <c r="X530" s="176"/>
      <c r="Y530" s="176"/>
      <c r="Z530" s="176"/>
    </row>
    <row r="531">
      <c r="A531" s="249" t="s">
        <v>151</v>
      </c>
      <c r="B531" s="249" t="s">
        <v>10</v>
      </c>
      <c r="C531" s="219" t="s">
        <v>2498</v>
      </c>
      <c r="D531" s="268" t="s">
        <v>495</v>
      </c>
      <c r="E531" s="251">
        <v>44212.0</v>
      </c>
      <c r="F531" s="250" t="s">
        <v>496</v>
      </c>
      <c r="G531" s="171">
        <v>500.0</v>
      </c>
      <c r="H531" s="171">
        <v>25.0</v>
      </c>
      <c r="I531" s="171">
        <v>25.0</v>
      </c>
      <c r="J531" s="325">
        <f t="shared" si="12"/>
        <v>0.0007646305672</v>
      </c>
      <c r="K531" s="326">
        <f t="shared" si="26"/>
        <v>0.7136551961</v>
      </c>
      <c r="L531" s="327">
        <f t="shared" si="9"/>
        <v>1.427310392</v>
      </c>
      <c r="M531" s="321" t="str">
        <f t="shared" si="10"/>
        <v>antoniopaglino</v>
      </c>
      <c r="N531" s="176">
        <f>IFERROR(__xludf.DUMMYFUNCTION("""COMPUTED_VALUE"""),2.0)</f>
        <v>2</v>
      </c>
      <c r="O531" s="176"/>
      <c r="P531" s="176"/>
      <c r="Q531" s="176"/>
      <c r="R531" s="176"/>
      <c r="S531" s="176"/>
      <c r="T531" s="176"/>
      <c r="U531" s="176"/>
      <c r="V531" s="176"/>
      <c r="W531" s="176"/>
      <c r="X531" s="176"/>
      <c r="Y531" s="176"/>
      <c r="Z531" s="176"/>
    </row>
    <row r="532">
      <c r="A532" s="249" t="s">
        <v>41</v>
      </c>
      <c r="B532" s="249" t="s">
        <v>10</v>
      </c>
      <c r="C532" s="219" t="s">
        <v>2498</v>
      </c>
      <c r="D532" s="268" t="s">
        <v>495</v>
      </c>
      <c r="E532" s="251">
        <v>44218.0</v>
      </c>
      <c r="F532" s="250" t="s">
        <v>545</v>
      </c>
      <c r="G532" s="171">
        <v>500.0</v>
      </c>
      <c r="H532" s="171">
        <v>25.0</v>
      </c>
      <c r="I532" s="171">
        <v>25.0</v>
      </c>
      <c r="J532" s="325">
        <f t="shared" si="12"/>
        <v>0.0007646305672</v>
      </c>
      <c r="K532" s="326">
        <f t="shared" si="26"/>
        <v>0.7136551961</v>
      </c>
      <c r="L532" s="327">
        <f t="shared" si="9"/>
        <v>1.427310392</v>
      </c>
      <c r="M532" s="321" t="str">
        <f t="shared" si="10"/>
        <v>blairv</v>
      </c>
      <c r="N532" s="176">
        <f>IFERROR(__xludf.DUMMYFUNCTION("""COMPUTED_VALUE"""),1.0)</f>
        <v>1</v>
      </c>
      <c r="O532" s="176"/>
      <c r="P532" s="176"/>
      <c r="Q532" s="176"/>
      <c r="R532" s="176"/>
      <c r="S532" s="176"/>
      <c r="T532" s="176"/>
      <c r="U532" s="176"/>
      <c r="V532" s="176"/>
      <c r="W532" s="176"/>
      <c r="X532" s="176"/>
      <c r="Y532" s="176"/>
      <c r="Z532" s="176"/>
    </row>
    <row r="533">
      <c r="A533" s="249" t="s">
        <v>41</v>
      </c>
      <c r="B533" s="249" t="s">
        <v>10</v>
      </c>
      <c r="C533" s="219" t="s">
        <v>2498</v>
      </c>
      <c r="D533" s="268" t="s">
        <v>495</v>
      </c>
      <c r="E533" s="251">
        <v>44225.0</v>
      </c>
      <c r="F533" s="250" t="s">
        <v>496</v>
      </c>
      <c r="G533" s="171">
        <v>500.0</v>
      </c>
      <c r="H533" s="171">
        <v>25.0</v>
      </c>
      <c r="I533" s="171">
        <v>25.0</v>
      </c>
      <c r="J533" s="325">
        <f t="shared" si="12"/>
        <v>0.0007646305672</v>
      </c>
      <c r="K533" s="326">
        <f t="shared" si="26"/>
        <v>0.7136551961</v>
      </c>
      <c r="L533" s="327">
        <f t="shared" si="9"/>
        <v>1.427310392</v>
      </c>
      <c r="M533" s="321" t="str">
        <f t="shared" si="10"/>
        <v>blairv</v>
      </c>
      <c r="N533" s="176">
        <f>IFERROR(__xludf.DUMMYFUNCTION("""COMPUTED_VALUE"""),2.0)</f>
        <v>2</v>
      </c>
      <c r="O533" s="176"/>
      <c r="P533" s="176"/>
      <c r="Q533" s="176"/>
      <c r="R533" s="176"/>
      <c r="S533" s="176"/>
      <c r="T533" s="176"/>
      <c r="U533" s="176"/>
      <c r="V533" s="176"/>
      <c r="W533" s="176"/>
      <c r="X533" s="176"/>
      <c r="Y533" s="176"/>
      <c r="Z533" s="176"/>
    </row>
    <row r="534">
      <c r="A534" s="249" t="s">
        <v>54</v>
      </c>
      <c r="B534" s="249" t="s">
        <v>10</v>
      </c>
      <c r="C534" s="219" t="s">
        <v>2531</v>
      </c>
      <c r="D534" s="268" t="s">
        <v>495</v>
      </c>
      <c r="E534" s="251">
        <v>44212.0</v>
      </c>
      <c r="F534" s="250" t="s">
        <v>499</v>
      </c>
      <c r="G534" s="171">
        <v>500.0</v>
      </c>
      <c r="H534" s="171">
        <v>25.0</v>
      </c>
      <c r="I534" s="171">
        <v>25.0</v>
      </c>
      <c r="J534" s="325">
        <f t="shared" si="12"/>
        <v>0.0007646305672</v>
      </c>
      <c r="K534" s="326">
        <f t="shared" si="26"/>
        <v>0.7136551961</v>
      </c>
      <c r="L534" s="327">
        <f t="shared" si="9"/>
        <v>1.427310392</v>
      </c>
      <c r="M534" s="321" t="str">
        <f t="shared" si="10"/>
        <v>hbesso31</v>
      </c>
      <c r="N534" s="176">
        <f>IFERROR(__xludf.DUMMYFUNCTION("""COMPUTED_VALUE"""),1.0)</f>
        <v>1</v>
      </c>
      <c r="O534" s="176"/>
      <c r="P534" s="176"/>
      <c r="Q534" s="176"/>
      <c r="R534" s="176"/>
      <c r="S534" s="176"/>
      <c r="T534" s="176"/>
      <c r="U534" s="176"/>
      <c r="V534" s="176"/>
      <c r="W534" s="176"/>
      <c r="X534" s="176"/>
      <c r="Y534" s="176"/>
      <c r="Z534" s="176"/>
    </row>
    <row r="535">
      <c r="A535" s="249" t="s">
        <v>54</v>
      </c>
      <c r="B535" s="249" t="s">
        <v>10</v>
      </c>
      <c r="C535" s="219" t="s">
        <v>2531</v>
      </c>
      <c r="D535" s="268" t="s">
        <v>495</v>
      </c>
      <c r="E535" s="251">
        <v>44218.0</v>
      </c>
      <c r="F535" s="250" t="s">
        <v>499</v>
      </c>
      <c r="G535" s="171">
        <v>500.0</v>
      </c>
      <c r="H535" s="171">
        <v>25.0</v>
      </c>
      <c r="I535" s="171">
        <v>25.0</v>
      </c>
      <c r="J535" s="325">
        <f t="shared" si="12"/>
        <v>0.0007646305672</v>
      </c>
      <c r="K535" s="326">
        <f t="shared" si="26"/>
        <v>0.7136551961</v>
      </c>
      <c r="L535" s="327">
        <f t="shared" si="9"/>
        <v>1.427310392</v>
      </c>
      <c r="M535" s="321" t="str">
        <f t="shared" si="10"/>
        <v>hbesso31</v>
      </c>
      <c r="N535" s="176">
        <f>IFERROR(__xludf.DUMMYFUNCTION("""COMPUTED_VALUE"""),2.0)</f>
        <v>2</v>
      </c>
      <c r="O535" s="176"/>
      <c r="P535" s="176"/>
      <c r="Q535" s="176"/>
      <c r="R535" s="176"/>
      <c r="S535" s="176"/>
      <c r="T535" s="176"/>
      <c r="U535" s="176"/>
      <c r="V535" s="176"/>
      <c r="W535" s="176"/>
      <c r="X535" s="176"/>
      <c r="Y535" s="176"/>
      <c r="Z535" s="176"/>
    </row>
    <row r="536">
      <c r="A536" s="249" t="s">
        <v>137</v>
      </c>
      <c r="B536" s="249" t="s">
        <v>10</v>
      </c>
      <c r="C536" s="219" t="s">
        <v>2498</v>
      </c>
      <c r="D536" s="268" t="s">
        <v>495</v>
      </c>
      <c r="E536" s="251">
        <v>44212.0</v>
      </c>
      <c r="F536" s="250" t="s">
        <v>496</v>
      </c>
      <c r="G536" s="171">
        <v>500.0</v>
      </c>
      <c r="H536" s="171">
        <v>25.0</v>
      </c>
      <c r="I536" s="171">
        <v>25.0</v>
      </c>
      <c r="J536" s="325">
        <f t="shared" si="12"/>
        <v>0.0007646305672</v>
      </c>
      <c r="K536" s="326">
        <f t="shared" si="26"/>
        <v>0.7136551961</v>
      </c>
      <c r="L536" s="327">
        <f t="shared" si="9"/>
        <v>1.427310392</v>
      </c>
      <c r="M536" s="321" t="str">
        <f t="shared" si="10"/>
        <v>nelsonm</v>
      </c>
      <c r="N536" s="176">
        <f>IFERROR(__xludf.DUMMYFUNCTION("""COMPUTED_VALUE"""),1.0)</f>
        <v>1</v>
      </c>
      <c r="O536" s="176"/>
      <c r="P536" s="176"/>
      <c r="Q536" s="176"/>
      <c r="R536" s="176"/>
      <c r="S536" s="176"/>
      <c r="T536" s="176"/>
      <c r="U536" s="176"/>
      <c r="V536" s="176"/>
      <c r="W536" s="176"/>
      <c r="X536" s="176"/>
      <c r="Y536" s="176"/>
      <c r="Z536" s="176"/>
    </row>
    <row r="537">
      <c r="A537" s="249" t="s">
        <v>137</v>
      </c>
      <c r="B537" s="249" t="s">
        <v>10</v>
      </c>
      <c r="C537" s="219" t="s">
        <v>2498</v>
      </c>
      <c r="D537" s="268" t="s">
        <v>495</v>
      </c>
      <c r="E537" s="251">
        <v>44225.0</v>
      </c>
      <c r="F537" s="250" t="s">
        <v>496</v>
      </c>
      <c r="G537" s="171">
        <v>500.0</v>
      </c>
      <c r="H537" s="171">
        <v>25.0</v>
      </c>
      <c r="I537" s="171">
        <v>25.0</v>
      </c>
      <c r="J537" s="325">
        <f t="shared" si="12"/>
        <v>0.0007646305672</v>
      </c>
      <c r="K537" s="326">
        <f t="shared" si="26"/>
        <v>0.7136551961</v>
      </c>
      <c r="L537" s="327">
        <f t="shared" si="9"/>
        <v>1.427310392</v>
      </c>
      <c r="M537" s="321" t="str">
        <f t="shared" si="10"/>
        <v>nelsonm</v>
      </c>
      <c r="N537" s="176">
        <f>IFERROR(__xludf.DUMMYFUNCTION("""COMPUTED_VALUE"""),2.0)</f>
        <v>2</v>
      </c>
      <c r="O537" s="176"/>
      <c r="P537" s="176"/>
      <c r="Q537" s="176"/>
      <c r="R537" s="176"/>
      <c r="S537" s="176"/>
      <c r="T537" s="176"/>
      <c r="U537" s="176"/>
      <c r="V537" s="176"/>
      <c r="W537" s="176"/>
      <c r="X537" s="176"/>
      <c r="Y537" s="176"/>
      <c r="Z537" s="176"/>
    </row>
    <row r="538">
      <c r="A538" s="249" t="s">
        <v>60</v>
      </c>
      <c r="B538" s="249" t="s">
        <v>10</v>
      </c>
      <c r="C538" s="219" t="s">
        <v>2498</v>
      </c>
      <c r="D538" s="268" t="s">
        <v>495</v>
      </c>
      <c r="E538" s="251">
        <v>44212.0</v>
      </c>
      <c r="F538" s="250" t="s">
        <v>496</v>
      </c>
      <c r="G538" s="171">
        <v>500.0</v>
      </c>
      <c r="H538" s="171">
        <v>25.0</v>
      </c>
      <c r="I538" s="171">
        <v>25.0</v>
      </c>
      <c r="J538" s="325">
        <f t="shared" si="12"/>
        <v>0.0007646305672</v>
      </c>
      <c r="K538" s="326">
        <f t="shared" si="26"/>
        <v>0.7136551961</v>
      </c>
      <c r="L538" s="327">
        <f t="shared" si="9"/>
        <v>1.427310392</v>
      </c>
      <c r="M538" s="321" t="str">
        <f t="shared" si="10"/>
        <v>niranb</v>
      </c>
      <c r="N538" s="176">
        <f>IFERROR(__xludf.DUMMYFUNCTION("""COMPUTED_VALUE"""),1.0)</f>
        <v>1</v>
      </c>
      <c r="O538" s="176"/>
      <c r="P538" s="176"/>
      <c r="Q538" s="176"/>
      <c r="R538" s="176"/>
      <c r="S538" s="176"/>
      <c r="T538" s="176"/>
      <c r="U538" s="176"/>
      <c r="V538" s="176"/>
      <c r="W538" s="176"/>
      <c r="X538" s="176"/>
      <c r="Y538" s="176"/>
      <c r="Z538" s="176"/>
    </row>
    <row r="539">
      <c r="A539" s="249" t="s">
        <v>60</v>
      </c>
      <c r="B539" s="249" t="s">
        <v>18</v>
      </c>
      <c r="C539" s="219" t="s">
        <v>2683</v>
      </c>
      <c r="D539" s="268" t="s">
        <v>495</v>
      </c>
      <c r="E539" s="251">
        <v>44215.0</v>
      </c>
      <c r="F539" s="250" t="s">
        <v>496</v>
      </c>
      <c r="G539" s="171">
        <v>500.0</v>
      </c>
      <c r="H539" s="171">
        <v>25.0</v>
      </c>
      <c r="I539" s="171">
        <v>25.0</v>
      </c>
      <c r="J539" s="325">
        <f t="shared" si="12"/>
        <v>0.0007646305672</v>
      </c>
      <c r="K539" s="326">
        <f t="shared" si="26"/>
        <v>0.7136551961</v>
      </c>
      <c r="L539" s="327">
        <f t="shared" si="9"/>
        <v>1.427310392</v>
      </c>
      <c r="M539" s="321" t="str">
        <f t="shared" si="10"/>
        <v>niranb</v>
      </c>
      <c r="N539" s="176">
        <f>IFERROR(__xludf.DUMMYFUNCTION("""COMPUTED_VALUE"""),2.0)</f>
        <v>2</v>
      </c>
      <c r="O539" s="176"/>
      <c r="P539" s="176"/>
      <c r="Q539" s="176"/>
      <c r="R539" s="176"/>
      <c r="S539" s="176"/>
      <c r="T539" s="176"/>
      <c r="U539" s="176"/>
      <c r="V539" s="176"/>
      <c r="W539" s="176"/>
      <c r="X539" s="176"/>
      <c r="Y539" s="176"/>
      <c r="Z539" s="176"/>
    </row>
    <row r="540">
      <c r="A540" s="249" t="s">
        <v>163</v>
      </c>
      <c r="B540" s="249" t="s">
        <v>590</v>
      </c>
      <c r="C540" s="219" t="s">
        <v>2863</v>
      </c>
      <c r="D540" s="268" t="s">
        <v>495</v>
      </c>
      <c r="E540" s="251">
        <v>44225.0</v>
      </c>
      <c r="F540" s="250" t="s">
        <v>499</v>
      </c>
      <c r="G540" s="171">
        <v>5000.0</v>
      </c>
      <c r="H540" s="171">
        <v>15.0</v>
      </c>
      <c r="I540" s="171">
        <v>50.0</v>
      </c>
      <c r="J540" s="325">
        <f t="shared" si="12"/>
        <v>0.001184913485</v>
      </c>
      <c r="K540" s="326">
        <f t="shared" si="26"/>
        <v>1.105919252</v>
      </c>
      <c r="L540" s="327">
        <f t="shared" si="9"/>
        <v>1.105919252</v>
      </c>
      <c r="M540" s="321" t="str">
        <f t="shared" si="10"/>
        <v>maxsong123</v>
      </c>
      <c r="N540" s="176">
        <f>IFERROR(__xludf.DUMMYFUNCTION("""COMPUTED_VALUE"""),1.0)</f>
        <v>1</v>
      </c>
      <c r="O540" s="176"/>
      <c r="P540" s="176"/>
      <c r="Q540" s="176"/>
      <c r="R540" s="176"/>
      <c r="S540" s="176"/>
      <c r="T540" s="176"/>
      <c r="U540" s="176"/>
      <c r="V540" s="176"/>
      <c r="W540" s="176"/>
      <c r="X540" s="176"/>
      <c r="Y540" s="176"/>
      <c r="Z540" s="176"/>
    </row>
    <row r="541">
      <c r="A541" s="249" t="s">
        <v>122</v>
      </c>
      <c r="B541" s="249" t="s">
        <v>10</v>
      </c>
      <c r="C541" s="219" t="s">
        <v>2802</v>
      </c>
      <c r="D541" s="268" t="s">
        <v>495</v>
      </c>
      <c r="E541" s="251">
        <v>44225.0</v>
      </c>
      <c r="F541" s="250" t="s">
        <v>496</v>
      </c>
      <c r="G541" s="171">
        <v>2000.0</v>
      </c>
      <c r="H541" s="171">
        <v>25.0</v>
      </c>
      <c r="I541" s="171">
        <v>50.0</v>
      </c>
      <c r="J541" s="325">
        <f t="shared" si="12"/>
        <v>0.00113920864</v>
      </c>
      <c r="K541" s="326">
        <f t="shared" si="26"/>
        <v>1.063261398</v>
      </c>
      <c r="L541" s="327">
        <f t="shared" si="9"/>
        <v>1.063261398</v>
      </c>
      <c r="M541" s="321" t="str">
        <f t="shared" si="10"/>
        <v>anthonyoliai</v>
      </c>
      <c r="N541" s="176">
        <f>IFERROR(__xludf.DUMMYFUNCTION("""COMPUTED_VALUE"""),1.0)</f>
        <v>1</v>
      </c>
      <c r="O541" s="176"/>
      <c r="P541" s="176"/>
      <c r="Q541" s="176"/>
      <c r="R541" s="176"/>
      <c r="S541" s="176"/>
      <c r="T541" s="176"/>
      <c r="U541" s="176"/>
      <c r="V541" s="176"/>
      <c r="W541" s="176"/>
      <c r="X541" s="176"/>
      <c r="Y541" s="176"/>
      <c r="Z541" s="176"/>
    </row>
    <row r="542">
      <c r="A542" s="362" t="s">
        <v>122</v>
      </c>
      <c r="B542" s="240" t="s">
        <v>534</v>
      </c>
      <c r="C542" s="346" t="s">
        <v>2452</v>
      </c>
      <c r="D542" s="336"/>
      <c r="E542" s="255"/>
      <c r="F542" s="254"/>
      <c r="G542" s="222"/>
      <c r="H542" s="222"/>
      <c r="I542" s="222"/>
      <c r="J542" s="325">
        <f t="shared" si="12"/>
        <v>0</v>
      </c>
      <c r="K542" s="337"/>
      <c r="L542" s="327">
        <f t="shared" si="9"/>
        <v>1.063261398</v>
      </c>
      <c r="M542" s="321" t="str">
        <f t="shared" si="10"/>
        <v>anthonyoliai</v>
      </c>
      <c r="N542" s="209">
        <f>IFERROR(__xludf.DUMMYFUNCTION("""COMPUTED_VALUE"""),2.0)</f>
        <v>2</v>
      </c>
      <c r="O542" s="176"/>
      <c r="P542" s="176"/>
      <c r="Q542" s="176"/>
      <c r="R542" s="176">
        <v>8.606119831199203</v>
      </c>
      <c r="S542" s="176"/>
      <c r="T542" s="176"/>
      <c r="U542" s="176"/>
      <c r="V542" s="176"/>
      <c r="W542" s="176"/>
      <c r="X542" s="176"/>
      <c r="Y542" s="176"/>
      <c r="Z542" s="176"/>
    </row>
    <row r="543">
      <c r="A543" s="249" t="s">
        <v>85</v>
      </c>
      <c r="B543" s="249" t="s">
        <v>10</v>
      </c>
      <c r="C543" s="219" t="s">
        <v>2802</v>
      </c>
      <c r="D543" s="268" t="s">
        <v>495</v>
      </c>
      <c r="E543" s="251">
        <v>44225.0</v>
      </c>
      <c r="F543" s="250" t="s">
        <v>496</v>
      </c>
      <c r="G543" s="171">
        <v>2000.0</v>
      </c>
      <c r="H543" s="171">
        <v>25.0</v>
      </c>
      <c r="I543" s="171">
        <v>50.0</v>
      </c>
      <c r="J543" s="325">
        <f t="shared" si="12"/>
        <v>0.00113920864</v>
      </c>
      <c r="K543" s="326">
        <f>J543*$J$1</f>
        <v>1.063261398</v>
      </c>
      <c r="L543" s="327">
        <f t="shared" si="9"/>
        <v>1.063261398</v>
      </c>
      <c r="M543" s="321" t="str">
        <f t="shared" si="10"/>
        <v>vivszaid</v>
      </c>
      <c r="N543" s="176">
        <f>IFERROR(__xludf.DUMMYFUNCTION("""COMPUTED_VALUE"""),1.0)</f>
        <v>1</v>
      </c>
      <c r="O543" s="176"/>
      <c r="P543" s="176"/>
      <c r="Q543" s="176"/>
      <c r="R543" s="176"/>
      <c r="S543" s="176"/>
      <c r="T543" s="176"/>
      <c r="U543" s="176"/>
      <c r="V543" s="176"/>
      <c r="W543" s="176"/>
      <c r="X543" s="176"/>
      <c r="Y543" s="176"/>
      <c r="Z543" s="176"/>
    </row>
    <row r="544">
      <c r="A544" s="240" t="s">
        <v>85</v>
      </c>
      <c r="B544" s="240" t="s">
        <v>534</v>
      </c>
      <c r="C544" s="346" t="s">
        <v>2386</v>
      </c>
      <c r="D544" s="336"/>
      <c r="E544" s="255"/>
      <c r="F544" s="254"/>
      <c r="G544" s="222"/>
      <c r="H544" s="222"/>
      <c r="I544" s="222"/>
      <c r="J544" s="325">
        <f t="shared" si="12"/>
        <v>0</v>
      </c>
      <c r="K544" s="337"/>
      <c r="L544" s="327">
        <f t="shared" si="9"/>
        <v>1.063261398</v>
      </c>
      <c r="M544" s="321" t="str">
        <f t="shared" si="10"/>
        <v>vivszaid</v>
      </c>
      <c r="N544" s="209">
        <f>IFERROR(__xludf.DUMMYFUNCTION("""COMPUTED_VALUE"""),2.0)</f>
        <v>2</v>
      </c>
      <c r="O544" s="176"/>
      <c r="P544" s="176"/>
      <c r="Q544" s="176"/>
      <c r="R544" s="176">
        <v>14.130370493717818</v>
      </c>
      <c r="S544" s="176"/>
      <c r="T544" s="176"/>
      <c r="U544" s="176"/>
      <c r="V544" s="176"/>
      <c r="W544" s="176"/>
      <c r="X544" s="176"/>
      <c r="Y544" s="176"/>
      <c r="Z544" s="176"/>
    </row>
    <row r="545">
      <c r="A545" s="249" t="s">
        <v>118</v>
      </c>
      <c r="B545" s="249" t="s">
        <v>1920</v>
      </c>
      <c r="C545" s="219" t="s">
        <v>2864</v>
      </c>
      <c r="D545" s="268" t="s">
        <v>495</v>
      </c>
      <c r="E545" s="251">
        <v>44219.0</v>
      </c>
      <c r="F545" s="250" t="s">
        <v>1956</v>
      </c>
      <c r="G545" s="171">
        <v>2500.0</v>
      </c>
      <c r="H545" s="171">
        <v>20.0</v>
      </c>
      <c r="I545" s="171">
        <v>50.0</v>
      </c>
      <c r="J545" s="325">
        <f t="shared" si="12"/>
        <v>0.0010844742</v>
      </c>
      <c r="K545" s="326">
        <f>J545*$J$1</f>
        <v>1.01217592</v>
      </c>
      <c r="L545" s="327">
        <f t="shared" si="9"/>
        <v>1.01217592</v>
      </c>
      <c r="M545" s="321" t="str">
        <f t="shared" si="10"/>
        <v>katalenacaban</v>
      </c>
      <c r="N545" s="176">
        <f>IFERROR(__xludf.DUMMYFUNCTION("""COMPUTED_VALUE"""),1.0)</f>
        <v>1</v>
      </c>
      <c r="O545" s="176"/>
      <c r="P545" s="176"/>
      <c r="Q545" s="176"/>
      <c r="R545" s="176"/>
      <c r="S545" s="176"/>
      <c r="T545" s="176"/>
      <c r="U545" s="176"/>
      <c r="V545" s="176"/>
      <c r="W545" s="176"/>
      <c r="X545" s="176"/>
      <c r="Y545" s="176"/>
      <c r="Z545" s="176"/>
    </row>
    <row r="546">
      <c r="A546" s="240" t="s">
        <v>118</v>
      </c>
      <c r="B546" s="240" t="s">
        <v>534</v>
      </c>
      <c r="C546" s="221" t="s">
        <v>2549</v>
      </c>
      <c r="D546" s="336"/>
      <c r="E546" s="255"/>
      <c r="F546" s="254"/>
      <c r="G546" s="222"/>
      <c r="H546" s="222"/>
      <c r="I546" s="222"/>
      <c r="J546" s="325">
        <f t="shared" si="12"/>
        <v>0</v>
      </c>
      <c r="K546" s="337"/>
      <c r="L546" s="327">
        <f t="shared" si="9"/>
        <v>1.01217592</v>
      </c>
      <c r="M546" s="321" t="str">
        <f t="shared" si="10"/>
        <v>katalenacaban</v>
      </c>
      <c r="N546" s="209">
        <f>IFERROR(__xludf.DUMMYFUNCTION("""COMPUTED_VALUE"""),2.0)</f>
        <v>2</v>
      </c>
      <c r="O546" s="209"/>
      <c r="P546" s="209"/>
      <c r="Q546" s="209"/>
      <c r="R546" s="209">
        <v>36.89669088595067</v>
      </c>
      <c r="S546" s="209"/>
      <c r="T546" s="209"/>
      <c r="U546" s="209"/>
      <c r="V546" s="209"/>
      <c r="W546" s="209"/>
      <c r="X546" s="209"/>
      <c r="Y546" s="176"/>
      <c r="Z546" s="176"/>
    </row>
    <row r="547">
      <c r="A547" s="249" t="s">
        <v>188</v>
      </c>
      <c r="B547" s="249" t="s">
        <v>519</v>
      </c>
      <c r="C547" s="219" t="s">
        <v>2705</v>
      </c>
      <c r="D547" s="268" t="s">
        <v>495</v>
      </c>
      <c r="E547" s="251">
        <v>44223.0</v>
      </c>
      <c r="F547" s="250" t="s">
        <v>499</v>
      </c>
      <c r="G547" s="171">
        <v>1000.0</v>
      </c>
      <c r="H547" s="171">
        <v>25.0</v>
      </c>
      <c r="I547" s="171">
        <v>50.0</v>
      </c>
      <c r="J547" s="325">
        <f t="shared" si="12"/>
        <v>0.001061621778</v>
      </c>
      <c r="K547" s="326">
        <f t="shared" ref="K547:K559" si="27">J547*$J$1</f>
        <v>0.9908469927</v>
      </c>
      <c r="L547" s="327">
        <f t="shared" si="9"/>
        <v>0.9908469927</v>
      </c>
      <c r="M547" s="321" t="str">
        <f t="shared" si="10"/>
        <v>codersinblack</v>
      </c>
      <c r="N547" s="176">
        <f>IFERROR(__xludf.DUMMYFUNCTION("""COMPUTED_VALUE"""),1.0)</f>
        <v>1</v>
      </c>
      <c r="O547" s="176"/>
      <c r="P547" s="176"/>
      <c r="Q547" s="176"/>
      <c r="R547" s="176"/>
      <c r="S547" s="176"/>
      <c r="T547" s="176"/>
      <c r="U547" s="176"/>
      <c r="V547" s="176"/>
      <c r="W547" s="176"/>
      <c r="X547" s="176"/>
      <c r="Y547" s="176"/>
      <c r="Z547" s="176"/>
    </row>
    <row r="548">
      <c r="A548" s="249" t="s">
        <v>57</v>
      </c>
      <c r="B548" s="249" t="s">
        <v>519</v>
      </c>
      <c r="C548" s="219" t="s">
        <v>2705</v>
      </c>
      <c r="D548" s="268" t="s">
        <v>495</v>
      </c>
      <c r="E548" s="251">
        <v>44223.0</v>
      </c>
      <c r="F548" s="250" t="s">
        <v>499</v>
      </c>
      <c r="G548" s="171">
        <v>1000.0</v>
      </c>
      <c r="H548" s="171">
        <v>25.0</v>
      </c>
      <c r="I548" s="171">
        <v>50.0</v>
      </c>
      <c r="J548" s="325">
        <f t="shared" si="12"/>
        <v>0.001061621778</v>
      </c>
      <c r="K548" s="326">
        <f t="shared" si="27"/>
        <v>0.9908469927</v>
      </c>
      <c r="L548" s="327">
        <f t="shared" si="9"/>
        <v>0.9908469927</v>
      </c>
      <c r="M548" s="321" t="str">
        <f t="shared" si="10"/>
        <v>fabiosmendes</v>
      </c>
      <c r="N548" s="176">
        <f>IFERROR(__xludf.DUMMYFUNCTION("""COMPUTED_VALUE"""),1.0)</f>
        <v>1</v>
      </c>
      <c r="O548" s="176"/>
      <c r="P548" s="176"/>
      <c r="Q548" s="176"/>
      <c r="R548" s="176"/>
      <c r="S548" s="176"/>
      <c r="T548" s="176"/>
      <c r="U548" s="176"/>
      <c r="V548" s="176"/>
      <c r="W548" s="176"/>
      <c r="X548" s="176"/>
      <c r="Y548" s="176"/>
      <c r="Z548" s="176"/>
    </row>
    <row r="549">
      <c r="A549" s="249" t="s">
        <v>199</v>
      </c>
      <c r="B549" s="249" t="s">
        <v>519</v>
      </c>
      <c r="C549" s="219" t="s">
        <v>2705</v>
      </c>
      <c r="D549" s="268" t="s">
        <v>495</v>
      </c>
      <c r="E549" s="251">
        <v>44223.0</v>
      </c>
      <c r="F549" s="250" t="s">
        <v>499</v>
      </c>
      <c r="G549" s="171">
        <v>1000.0</v>
      </c>
      <c r="H549" s="171">
        <v>25.0</v>
      </c>
      <c r="I549" s="171">
        <v>50.0</v>
      </c>
      <c r="J549" s="325">
        <f t="shared" si="12"/>
        <v>0.001061621778</v>
      </c>
      <c r="K549" s="326">
        <f t="shared" si="27"/>
        <v>0.9908469927</v>
      </c>
      <c r="L549" s="327">
        <f t="shared" si="9"/>
        <v>0.9908469927</v>
      </c>
      <c r="M549" s="321" t="str">
        <f t="shared" si="10"/>
        <v>jodisattva</v>
      </c>
      <c r="N549" s="176">
        <f>IFERROR(__xludf.DUMMYFUNCTION("""COMPUTED_VALUE"""),1.0)</f>
        <v>1</v>
      </c>
      <c r="O549" s="176"/>
      <c r="P549" s="176"/>
      <c r="Q549" s="176"/>
      <c r="R549" s="176"/>
      <c r="S549" s="176"/>
      <c r="T549" s="176"/>
      <c r="U549" s="176"/>
      <c r="V549" s="176"/>
      <c r="W549" s="176"/>
      <c r="X549" s="176"/>
      <c r="Y549" s="176"/>
      <c r="Z549" s="176"/>
    </row>
    <row r="550">
      <c r="A550" s="249" t="s">
        <v>124</v>
      </c>
      <c r="B550" s="249" t="s">
        <v>519</v>
      </c>
      <c r="C550" s="219" t="s">
        <v>2705</v>
      </c>
      <c r="D550" s="268" t="s">
        <v>495</v>
      </c>
      <c r="E550" s="251">
        <v>44223.0</v>
      </c>
      <c r="F550" s="250" t="s">
        <v>499</v>
      </c>
      <c r="G550" s="171">
        <v>1000.0</v>
      </c>
      <c r="H550" s="171">
        <v>25.0</v>
      </c>
      <c r="I550" s="171">
        <v>50.0</v>
      </c>
      <c r="J550" s="325">
        <f t="shared" si="12"/>
        <v>0.001061621778</v>
      </c>
      <c r="K550" s="326">
        <f t="shared" si="27"/>
        <v>0.9908469927</v>
      </c>
      <c r="L550" s="327">
        <f t="shared" si="9"/>
        <v>0.9908469927</v>
      </c>
      <c r="M550" s="321" t="str">
        <f t="shared" si="10"/>
        <v>juliet_myea</v>
      </c>
      <c r="N550" s="176">
        <f>IFERROR(__xludf.DUMMYFUNCTION("""COMPUTED_VALUE"""),1.0)</f>
        <v>1</v>
      </c>
      <c r="O550" s="176"/>
      <c r="P550" s="176"/>
      <c r="Q550" s="176"/>
      <c r="R550" s="176"/>
      <c r="S550" s="176"/>
      <c r="T550" s="176"/>
      <c r="U550" s="176"/>
      <c r="V550" s="176"/>
      <c r="W550" s="176"/>
      <c r="X550" s="176"/>
      <c r="Y550" s="176"/>
      <c r="Z550" s="176"/>
    </row>
    <row r="551">
      <c r="A551" s="249" t="s">
        <v>198</v>
      </c>
      <c r="B551" s="249" t="s">
        <v>519</v>
      </c>
      <c r="C551" s="219" t="s">
        <v>2705</v>
      </c>
      <c r="D551" s="268" t="s">
        <v>495</v>
      </c>
      <c r="E551" s="251">
        <v>44223.0</v>
      </c>
      <c r="F551" s="250" t="s">
        <v>499</v>
      </c>
      <c r="G551" s="171">
        <v>1000.0</v>
      </c>
      <c r="H551" s="171">
        <v>25.0</v>
      </c>
      <c r="I551" s="171">
        <v>50.0</v>
      </c>
      <c r="J551" s="325">
        <f t="shared" si="12"/>
        <v>0.001061621778</v>
      </c>
      <c r="K551" s="326">
        <f t="shared" si="27"/>
        <v>0.9908469927</v>
      </c>
      <c r="L551" s="327">
        <f t="shared" si="9"/>
        <v>0.9908469927</v>
      </c>
      <c r="M551" s="321" t="str">
        <f t="shared" si="10"/>
        <v>nyanncatt</v>
      </c>
      <c r="N551" s="176">
        <f>IFERROR(__xludf.DUMMYFUNCTION("""COMPUTED_VALUE"""),1.0)</f>
        <v>1</v>
      </c>
      <c r="O551" s="176"/>
      <c r="P551" s="176"/>
      <c r="Q551" s="176"/>
      <c r="R551" s="176"/>
      <c r="S551" s="176"/>
      <c r="T551" s="176"/>
      <c r="U551" s="176"/>
      <c r="V551" s="176"/>
      <c r="W551" s="176"/>
      <c r="X551" s="176"/>
      <c r="Y551" s="176"/>
      <c r="Z551" s="176"/>
    </row>
    <row r="552">
      <c r="A552" s="249" t="s">
        <v>143</v>
      </c>
      <c r="B552" s="249" t="s">
        <v>519</v>
      </c>
      <c r="C552" s="219" t="s">
        <v>2705</v>
      </c>
      <c r="D552" s="268" t="s">
        <v>495</v>
      </c>
      <c r="E552" s="251">
        <v>44223.0</v>
      </c>
      <c r="F552" s="250" t="s">
        <v>499</v>
      </c>
      <c r="G552" s="171">
        <v>1000.0</v>
      </c>
      <c r="H552" s="171">
        <v>25.0</v>
      </c>
      <c r="I552" s="171">
        <v>50.0</v>
      </c>
      <c r="J552" s="325">
        <f t="shared" si="12"/>
        <v>0.001061621778</v>
      </c>
      <c r="K552" s="326">
        <f t="shared" si="27"/>
        <v>0.9908469927</v>
      </c>
      <c r="L552" s="327">
        <f t="shared" si="9"/>
        <v>0.9908469927</v>
      </c>
      <c r="M552" s="321" t="str">
        <f t="shared" si="10"/>
        <v>rpp63</v>
      </c>
      <c r="N552" s="176">
        <f>IFERROR(__xludf.DUMMYFUNCTION("""COMPUTED_VALUE"""),1.0)</f>
        <v>1</v>
      </c>
      <c r="O552" s="176"/>
      <c r="P552" s="176"/>
      <c r="Q552" s="176"/>
      <c r="R552" s="176"/>
      <c r="S552" s="176"/>
      <c r="T552" s="176"/>
      <c r="U552" s="176"/>
      <c r="V552" s="176"/>
      <c r="W552" s="176"/>
      <c r="X552" s="176"/>
      <c r="Y552" s="176"/>
      <c r="Z552" s="176"/>
    </row>
    <row r="553">
      <c r="A553" s="249" t="s">
        <v>197</v>
      </c>
      <c r="B553" s="249" t="s">
        <v>519</v>
      </c>
      <c r="C553" s="219" t="s">
        <v>2705</v>
      </c>
      <c r="D553" s="268" t="s">
        <v>495</v>
      </c>
      <c r="E553" s="251">
        <v>44223.0</v>
      </c>
      <c r="F553" s="250" t="s">
        <v>499</v>
      </c>
      <c r="G553" s="171">
        <v>1000.0</v>
      </c>
      <c r="H553" s="171">
        <v>25.0</v>
      </c>
      <c r="I553" s="171">
        <v>50.0</v>
      </c>
      <c r="J553" s="325">
        <f t="shared" si="12"/>
        <v>0.001061621778</v>
      </c>
      <c r="K553" s="326">
        <f t="shared" si="27"/>
        <v>0.9908469927</v>
      </c>
      <c r="L553" s="327">
        <f t="shared" si="9"/>
        <v>0.9908469927</v>
      </c>
      <c r="M553" s="321" t="str">
        <f t="shared" si="10"/>
        <v>tawhuac</v>
      </c>
      <c r="N553" s="176">
        <f>IFERROR(__xludf.DUMMYFUNCTION("""COMPUTED_VALUE"""),1.0)</f>
        <v>1</v>
      </c>
      <c r="O553" s="176"/>
      <c r="P553" s="176"/>
      <c r="Q553" s="176"/>
      <c r="R553" s="176"/>
      <c r="S553" s="176"/>
      <c r="T553" s="176"/>
      <c r="U553" s="176"/>
      <c r="V553" s="176"/>
      <c r="W553" s="176"/>
      <c r="X553" s="176"/>
      <c r="Y553" s="176"/>
      <c r="Z553" s="176"/>
    </row>
    <row r="554">
      <c r="A554" s="249" t="s">
        <v>65</v>
      </c>
      <c r="B554" s="249" t="s">
        <v>10</v>
      </c>
      <c r="C554" s="219" t="s">
        <v>2531</v>
      </c>
      <c r="D554" s="268" t="s">
        <v>495</v>
      </c>
      <c r="E554" s="251">
        <v>44225.0</v>
      </c>
      <c r="F554" s="250" t="s">
        <v>499</v>
      </c>
      <c r="G554" s="171">
        <v>500.0</v>
      </c>
      <c r="H554" s="171">
        <v>35.0</v>
      </c>
      <c r="I554" s="171">
        <v>25.0</v>
      </c>
      <c r="J554" s="325">
        <f t="shared" si="12"/>
        <v>0.0009516863098</v>
      </c>
      <c r="K554" s="326">
        <f t="shared" si="27"/>
        <v>0.8882405558</v>
      </c>
      <c r="L554" s="327">
        <f t="shared" si="9"/>
        <v>0.8882405558</v>
      </c>
      <c r="M554" s="321" t="str">
        <f t="shared" si="10"/>
        <v>loie_giveth</v>
      </c>
      <c r="N554" s="176">
        <f>IFERROR(__xludf.DUMMYFUNCTION("""COMPUTED_VALUE"""),1.0)</f>
        <v>1</v>
      </c>
      <c r="O554" s="176"/>
      <c r="P554" s="176"/>
      <c r="Q554" s="176"/>
      <c r="R554" s="176"/>
      <c r="S554" s="176"/>
      <c r="T554" s="176"/>
      <c r="U554" s="176"/>
      <c r="V554" s="176"/>
      <c r="W554" s="176"/>
      <c r="X554" s="176"/>
      <c r="Y554" s="176"/>
      <c r="Z554" s="176"/>
    </row>
    <row r="555">
      <c r="A555" s="249" t="s">
        <v>49</v>
      </c>
      <c r="B555" s="249" t="s">
        <v>845</v>
      </c>
      <c r="C555" s="219" t="s">
        <v>2865</v>
      </c>
      <c r="D555" s="268" t="s">
        <v>495</v>
      </c>
      <c r="E555" s="251">
        <v>44221.0</v>
      </c>
      <c r="F555" s="250" t="s">
        <v>496</v>
      </c>
      <c r="G555" s="171">
        <v>10000.0</v>
      </c>
      <c r="H555" s="171">
        <v>25.0</v>
      </c>
      <c r="I555" s="171">
        <v>100.0</v>
      </c>
      <c r="J555" s="325">
        <f t="shared" si="12"/>
        <v>0.002276299098</v>
      </c>
      <c r="K555" s="326">
        <f t="shared" si="27"/>
        <v>2.124545825</v>
      </c>
      <c r="L555" s="327">
        <f t="shared" si="9"/>
        <v>0.8042503248</v>
      </c>
      <c r="M555" s="321" t="str">
        <f t="shared" si="10"/>
        <v>knobsdao</v>
      </c>
      <c r="N555" s="176">
        <f>IFERROR(__xludf.DUMMYFUNCTION("""COMPUTED_VALUE"""),1.0)</f>
        <v>1</v>
      </c>
      <c r="O555" s="176"/>
      <c r="P555" s="176"/>
      <c r="Q555" s="176"/>
      <c r="R555" s="176"/>
      <c r="S555" s="176"/>
      <c r="T555" s="176"/>
      <c r="U555" s="176"/>
      <c r="V555" s="176"/>
      <c r="W555" s="176"/>
      <c r="X555" s="176"/>
      <c r="Y555" s="176"/>
      <c r="Z555" s="176"/>
    </row>
    <row r="556">
      <c r="A556" s="249" t="s">
        <v>49</v>
      </c>
      <c r="B556" s="249" t="s">
        <v>10</v>
      </c>
      <c r="C556" s="219" t="s">
        <v>2816</v>
      </c>
      <c r="D556" s="268" t="s">
        <v>495</v>
      </c>
      <c r="E556" s="251">
        <v>44218.0</v>
      </c>
      <c r="F556" s="250" t="s">
        <v>496</v>
      </c>
      <c r="G556" s="171">
        <v>2000.0</v>
      </c>
      <c r="H556" s="171">
        <v>15.0</v>
      </c>
      <c r="I556" s="171">
        <v>100.0</v>
      </c>
      <c r="J556" s="325">
        <f t="shared" si="12"/>
        <v>0.001468548457</v>
      </c>
      <c r="K556" s="326">
        <f t="shared" si="27"/>
        <v>1.370645226</v>
      </c>
      <c r="L556" s="327">
        <f t="shared" si="9"/>
        <v>0.8042503248</v>
      </c>
      <c r="M556" s="321" t="str">
        <f t="shared" si="10"/>
        <v>knobsdao</v>
      </c>
      <c r="N556" s="176">
        <f>IFERROR(__xludf.DUMMYFUNCTION("""COMPUTED_VALUE"""),2.0)</f>
        <v>2</v>
      </c>
      <c r="O556" s="176"/>
      <c r="P556" s="176"/>
      <c r="Q556" s="176"/>
      <c r="R556" s="176"/>
      <c r="S556" s="176"/>
      <c r="T556" s="176"/>
      <c r="U556" s="176"/>
      <c r="V556" s="176"/>
      <c r="W556" s="176"/>
      <c r="X556" s="176"/>
      <c r="Y556" s="176"/>
      <c r="Z556" s="176"/>
    </row>
    <row r="557">
      <c r="A557" s="249" t="s">
        <v>49</v>
      </c>
      <c r="B557" s="249" t="s">
        <v>10</v>
      </c>
      <c r="C557" s="219" t="s">
        <v>2498</v>
      </c>
      <c r="D557" s="268" t="s">
        <v>495</v>
      </c>
      <c r="E557" s="251">
        <v>44212.0</v>
      </c>
      <c r="F557" s="250" t="s">
        <v>496</v>
      </c>
      <c r="G557" s="171">
        <v>500.0</v>
      </c>
      <c r="H557" s="171">
        <v>25.0</v>
      </c>
      <c r="I557" s="171">
        <v>25.0</v>
      </c>
      <c r="J557" s="325">
        <f t="shared" si="12"/>
        <v>0.0007646305672</v>
      </c>
      <c r="K557" s="326">
        <f t="shared" si="27"/>
        <v>0.7136551961</v>
      </c>
      <c r="L557" s="327">
        <f t="shared" si="9"/>
        <v>0.8042503248</v>
      </c>
      <c r="M557" s="321" t="str">
        <f t="shared" si="10"/>
        <v>knobsdao</v>
      </c>
      <c r="N557" s="176">
        <f>IFERROR(__xludf.DUMMYFUNCTION("""COMPUTED_VALUE"""),3.0)</f>
        <v>3</v>
      </c>
      <c r="O557" s="176"/>
      <c r="P557" s="176"/>
      <c r="Q557" s="176"/>
      <c r="R557" s="176"/>
      <c r="S557" s="176"/>
      <c r="T557" s="176"/>
      <c r="U557" s="176"/>
      <c r="V557" s="176"/>
      <c r="W557" s="176"/>
      <c r="X557" s="176"/>
      <c r="Y557" s="176"/>
      <c r="Z557" s="176"/>
    </row>
    <row r="558">
      <c r="A558" s="249" t="s">
        <v>49</v>
      </c>
      <c r="B558" s="249" t="s">
        <v>10</v>
      </c>
      <c r="C558" s="219" t="s">
        <v>2687</v>
      </c>
      <c r="D558" s="268" t="s">
        <v>495</v>
      </c>
      <c r="E558" s="251">
        <v>44218.0</v>
      </c>
      <c r="F558" s="250" t="s">
        <v>496</v>
      </c>
      <c r="G558" s="171">
        <v>1000.0</v>
      </c>
      <c r="H558" s="171">
        <v>15.0</v>
      </c>
      <c r="I558" s="171">
        <v>25.0</v>
      </c>
      <c r="J558" s="325">
        <f t="shared" si="12"/>
        <v>0.0006163682558</v>
      </c>
      <c r="K558" s="326">
        <f t="shared" si="27"/>
        <v>0.5752770387</v>
      </c>
      <c r="L558" s="327">
        <f t="shared" si="9"/>
        <v>0.8042503248</v>
      </c>
      <c r="M558" s="321" t="str">
        <f t="shared" si="10"/>
        <v>knobsdao</v>
      </c>
      <c r="N558" s="176">
        <f>IFERROR(__xludf.DUMMYFUNCTION("""COMPUTED_VALUE"""),4.0)</f>
        <v>4</v>
      </c>
      <c r="O558" s="176"/>
      <c r="P558" s="176"/>
      <c r="Q558" s="176"/>
      <c r="R558" s="176"/>
      <c r="S558" s="176"/>
      <c r="T558" s="176"/>
      <c r="U558" s="176"/>
      <c r="V558" s="176"/>
      <c r="W558" s="176"/>
      <c r="X558" s="176"/>
      <c r="Y558" s="176"/>
      <c r="Z558" s="176"/>
    </row>
    <row r="559">
      <c r="A559" s="249" t="s">
        <v>49</v>
      </c>
      <c r="B559" s="249" t="s">
        <v>10</v>
      </c>
      <c r="C559" s="219" t="s">
        <v>2690</v>
      </c>
      <c r="D559" s="268" t="s">
        <v>495</v>
      </c>
      <c r="E559" s="251">
        <v>44225.0</v>
      </c>
      <c r="F559" s="250" t="s">
        <v>496</v>
      </c>
      <c r="G559" s="171">
        <v>1000.0</v>
      </c>
      <c r="H559" s="171">
        <v>15.0</v>
      </c>
      <c r="I559" s="171">
        <v>25.0</v>
      </c>
      <c r="J559" s="325">
        <f t="shared" si="12"/>
        <v>0.0006163682558</v>
      </c>
      <c r="K559" s="326">
        <f t="shared" si="27"/>
        <v>0.5752770387</v>
      </c>
      <c r="L559" s="327">
        <f t="shared" si="9"/>
        <v>0.8042503248</v>
      </c>
      <c r="M559" s="321" t="str">
        <f t="shared" si="10"/>
        <v>knobsdao</v>
      </c>
      <c r="N559" s="176">
        <f>IFERROR(__xludf.DUMMYFUNCTION("""COMPUTED_VALUE"""),5.0)</f>
        <v>5</v>
      </c>
      <c r="O559" s="176"/>
      <c r="P559" s="176"/>
      <c r="Q559" s="176"/>
      <c r="R559" s="176"/>
      <c r="S559" s="176"/>
      <c r="T559" s="176"/>
      <c r="U559" s="176"/>
      <c r="V559" s="176"/>
      <c r="W559" s="176"/>
      <c r="X559" s="176"/>
      <c r="Y559" s="176"/>
      <c r="Z559" s="176"/>
    </row>
    <row r="560">
      <c r="A560" s="240" t="s">
        <v>49</v>
      </c>
      <c r="B560" s="240" t="s">
        <v>534</v>
      </c>
      <c r="C560" s="221" t="s">
        <v>684</v>
      </c>
      <c r="D560" s="336"/>
      <c r="E560" s="255"/>
      <c r="F560" s="254"/>
      <c r="G560" s="222"/>
      <c r="H560" s="222"/>
      <c r="I560" s="222"/>
      <c r="J560" s="325">
        <f t="shared" si="12"/>
        <v>0</v>
      </c>
      <c r="K560" s="337">
        <f>-5.359*0.85</f>
        <v>-4.55515</v>
      </c>
      <c r="L560" s="327">
        <f t="shared" si="9"/>
        <v>0.8042503248</v>
      </c>
      <c r="M560" s="321" t="str">
        <f t="shared" si="10"/>
        <v>knobsdao</v>
      </c>
      <c r="N560" s="209">
        <f>IFERROR(__xludf.DUMMYFUNCTION("""COMPUTED_VALUE"""),6.0)</f>
        <v>6</v>
      </c>
      <c r="O560" s="209"/>
      <c r="P560" s="209"/>
      <c r="Q560" s="209"/>
      <c r="R560" s="209">
        <v>15.224018051145396</v>
      </c>
      <c r="S560" s="209"/>
      <c r="T560" s="209"/>
      <c r="U560" s="209"/>
      <c r="V560" s="209"/>
      <c r="W560" s="209"/>
      <c r="X560" s="209"/>
      <c r="Y560" s="176"/>
      <c r="Z560" s="176"/>
    </row>
    <row r="561">
      <c r="A561" s="249" t="s">
        <v>320</v>
      </c>
      <c r="B561" s="249" t="s">
        <v>590</v>
      </c>
      <c r="C561" s="219" t="s">
        <v>2866</v>
      </c>
      <c r="D561" s="268" t="s">
        <v>495</v>
      </c>
      <c r="E561" s="251">
        <v>44222.0</v>
      </c>
      <c r="F561" s="250" t="s">
        <v>496</v>
      </c>
      <c r="G561" s="171">
        <v>1000.0</v>
      </c>
      <c r="H561" s="171">
        <v>25.0</v>
      </c>
      <c r="I561" s="171">
        <v>25.0</v>
      </c>
      <c r="J561" s="325">
        <f t="shared" si="12"/>
        <v>0.0008034239984</v>
      </c>
      <c r="K561" s="326">
        <f t="shared" ref="K561:K578" si="28">J561*$J$1</f>
        <v>0.7498623985</v>
      </c>
      <c r="L561" s="327">
        <f t="shared" si="9"/>
        <v>0.7498623985</v>
      </c>
      <c r="M561" s="321" t="str">
        <f t="shared" si="10"/>
        <v>charingane</v>
      </c>
      <c r="N561" s="176">
        <f>IFERROR(__xludf.DUMMYFUNCTION("""COMPUTED_VALUE"""),1.0)</f>
        <v>1</v>
      </c>
      <c r="O561" s="176"/>
      <c r="P561" s="176"/>
      <c r="Q561" s="176"/>
      <c r="R561" s="176"/>
      <c r="S561" s="176"/>
      <c r="T561" s="176"/>
      <c r="U561" s="176"/>
      <c r="V561" s="176"/>
      <c r="W561" s="176"/>
      <c r="X561" s="176"/>
      <c r="Y561" s="176"/>
      <c r="Z561" s="176"/>
    </row>
    <row r="562">
      <c r="A562" s="249" t="s">
        <v>178</v>
      </c>
      <c r="B562" s="249" t="s">
        <v>590</v>
      </c>
      <c r="C562" s="219" t="s">
        <v>2681</v>
      </c>
      <c r="D562" s="268" t="s">
        <v>495</v>
      </c>
      <c r="E562" s="251">
        <v>44222.0</v>
      </c>
      <c r="F562" s="250" t="s">
        <v>496</v>
      </c>
      <c r="G562" s="171">
        <v>1000.0</v>
      </c>
      <c r="H562" s="171">
        <v>25.0</v>
      </c>
      <c r="I562" s="171">
        <v>25.0</v>
      </c>
      <c r="J562" s="325">
        <f t="shared" si="12"/>
        <v>0.0008034239984</v>
      </c>
      <c r="K562" s="326">
        <f t="shared" si="28"/>
        <v>0.7498623985</v>
      </c>
      <c r="L562" s="327">
        <f t="shared" si="9"/>
        <v>0.7498623985</v>
      </c>
      <c r="M562" s="321" t="str">
        <f t="shared" si="10"/>
        <v>pkk777</v>
      </c>
      <c r="N562" s="176">
        <f>IFERROR(__xludf.DUMMYFUNCTION("""COMPUTED_VALUE"""),1.0)</f>
        <v>1</v>
      </c>
      <c r="O562" s="176"/>
      <c r="P562" s="176"/>
      <c r="Q562" s="176"/>
      <c r="R562" s="176"/>
      <c r="S562" s="176"/>
      <c r="T562" s="176"/>
      <c r="U562" s="176"/>
      <c r="V562" s="176"/>
      <c r="W562" s="176"/>
      <c r="X562" s="176"/>
      <c r="Y562" s="176"/>
      <c r="Z562" s="176"/>
    </row>
    <row r="563">
      <c r="A563" s="249" t="s">
        <v>149</v>
      </c>
      <c r="B563" s="249" t="s">
        <v>10</v>
      </c>
      <c r="C563" s="219" t="s">
        <v>2651</v>
      </c>
      <c r="D563" s="268" t="s">
        <v>495</v>
      </c>
      <c r="E563" s="251">
        <v>44225.0</v>
      </c>
      <c r="F563" s="250" t="s">
        <v>499</v>
      </c>
      <c r="G563" s="171">
        <v>1000.0</v>
      </c>
      <c r="H563" s="171">
        <v>25.0</v>
      </c>
      <c r="I563" s="171">
        <v>25.0</v>
      </c>
      <c r="J563" s="325">
        <f t="shared" si="12"/>
        <v>0.0008034239984</v>
      </c>
      <c r="K563" s="326">
        <f t="shared" si="28"/>
        <v>0.7498623985</v>
      </c>
      <c r="L563" s="327">
        <f t="shared" si="9"/>
        <v>0.7498623985</v>
      </c>
      <c r="M563" s="321" t="str">
        <f t="shared" si="10"/>
        <v>thebeautyway</v>
      </c>
      <c r="N563" s="176">
        <f>IFERROR(__xludf.DUMMYFUNCTION("""COMPUTED_VALUE"""),1.0)</f>
        <v>1</v>
      </c>
      <c r="O563" s="176"/>
      <c r="P563" s="176"/>
      <c r="Q563" s="176"/>
      <c r="R563" s="176"/>
      <c r="S563" s="176"/>
      <c r="T563" s="176"/>
      <c r="U563" s="176"/>
      <c r="V563" s="176"/>
      <c r="W563" s="176"/>
      <c r="X563" s="176"/>
      <c r="Y563" s="176"/>
      <c r="Z563" s="176"/>
    </row>
    <row r="564">
      <c r="A564" s="249" t="s">
        <v>175</v>
      </c>
      <c r="B564" s="249" t="s">
        <v>10</v>
      </c>
      <c r="C564" s="219" t="s">
        <v>2498</v>
      </c>
      <c r="D564" s="268" t="s">
        <v>495</v>
      </c>
      <c r="E564" s="251">
        <v>44212.0</v>
      </c>
      <c r="F564" s="250" t="s">
        <v>496</v>
      </c>
      <c r="G564" s="171">
        <v>500.0</v>
      </c>
      <c r="H564" s="171">
        <v>25.0</v>
      </c>
      <c r="I564" s="171">
        <v>25.0</v>
      </c>
      <c r="J564" s="325">
        <f t="shared" si="12"/>
        <v>0.0007646305672</v>
      </c>
      <c r="K564" s="326">
        <f t="shared" si="28"/>
        <v>0.7136551961</v>
      </c>
      <c r="L564" s="327">
        <f t="shared" si="9"/>
        <v>0.7136551961</v>
      </c>
      <c r="M564" s="321" t="str">
        <f t="shared" si="10"/>
        <v>exiledsurfer</v>
      </c>
      <c r="N564" s="176">
        <f>IFERROR(__xludf.DUMMYFUNCTION("""COMPUTED_VALUE"""),1.0)</f>
        <v>1</v>
      </c>
      <c r="O564" s="176"/>
      <c r="P564" s="176"/>
      <c r="Q564" s="176"/>
      <c r="R564" s="176"/>
      <c r="S564" s="176"/>
      <c r="T564" s="176"/>
      <c r="U564" s="176"/>
      <c r="V564" s="176"/>
      <c r="W564" s="176"/>
      <c r="X564" s="176"/>
      <c r="Y564" s="176"/>
      <c r="Z564" s="176"/>
    </row>
    <row r="565">
      <c r="A565" s="249" t="s">
        <v>114</v>
      </c>
      <c r="B565" s="249" t="s">
        <v>10</v>
      </c>
      <c r="C565" s="219" t="s">
        <v>2531</v>
      </c>
      <c r="D565" s="268" t="s">
        <v>495</v>
      </c>
      <c r="E565" s="251">
        <v>44212.0</v>
      </c>
      <c r="F565" s="250" t="s">
        <v>499</v>
      </c>
      <c r="G565" s="171">
        <v>500.0</v>
      </c>
      <c r="H565" s="171">
        <v>25.0</v>
      </c>
      <c r="I565" s="171">
        <v>25.0</v>
      </c>
      <c r="J565" s="325">
        <f t="shared" si="12"/>
        <v>0.0007646305672</v>
      </c>
      <c r="K565" s="326">
        <f t="shared" si="28"/>
        <v>0.7136551961</v>
      </c>
      <c r="L565" s="327">
        <f t="shared" si="9"/>
        <v>0.7136551961</v>
      </c>
      <c r="M565" s="321" t="str">
        <f t="shared" si="10"/>
        <v>existenialstoic</v>
      </c>
      <c r="N565" s="176">
        <f>IFERROR(__xludf.DUMMYFUNCTION("""COMPUTED_VALUE"""),1.0)</f>
        <v>1</v>
      </c>
      <c r="O565" s="176"/>
      <c r="P565" s="176"/>
      <c r="Q565" s="176"/>
      <c r="R565" s="176"/>
      <c r="S565" s="176"/>
      <c r="T565" s="176"/>
      <c r="U565" s="176"/>
      <c r="V565" s="176"/>
      <c r="W565" s="176"/>
      <c r="X565" s="176"/>
      <c r="Y565" s="176"/>
      <c r="Z565" s="176"/>
    </row>
    <row r="566">
      <c r="A566" s="249" t="s">
        <v>78</v>
      </c>
      <c r="B566" s="249" t="s">
        <v>10</v>
      </c>
      <c r="C566" s="219" t="s">
        <v>2498</v>
      </c>
      <c r="D566" s="268" t="s">
        <v>495</v>
      </c>
      <c r="E566" s="251">
        <v>44212.0</v>
      </c>
      <c r="F566" s="250" t="s">
        <v>496</v>
      </c>
      <c r="G566" s="171">
        <v>500.0</v>
      </c>
      <c r="H566" s="171">
        <v>25.0</v>
      </c>
      <c r="I566" s="171">
        <v>25.0</v>
      </c>
      <c r="J566" s="325">
        <f t="shared" si="12"/>
        <v>0.0007646305672</v>
      </c>
      <c r="K566" s="326">
        <f t="shared" si="28"/>
        <v>0.7136551961</v>
      </c>
      <c r="L566" s="327">
        <f t="shared" si="9"/>
        <v>0.7136551961</v>
      </c>
      <c r="M566" s="321" t="str">
        <f t="shared" si="10"/>
        <v>jonathanbsci</v>
      </c>
      <c r="N566" s="176">
        <f>IFERROR(__xludf.DUMMYFUNCTION("""COMPUTED_VALUE"""),1.0)</f>
        <v>1</v>
      </c>
      <c r="O566" s="176"/>
      <c r="P566" s="176"/>
      <c r="Q566" s="176"/>
      <c r="R566" s="176"/>
      <c r="S566" s="176"/>
      <c r="T566" s="176"/>
      <c r="U566" s="176"/>
      <c r="V566" s="176"/>
      <c r="W566" s="176"/>
      <c r="X566" s="176"/>
      <c r="Y566" s="176"/>
      <c r="Z566" s="176"/>
    </row>
    <row r="567">
      <c r="A567" s="249" t="s">
        <v>125</v>
      </c>
      <c r="B567" s="249" t="s">
        <v>10</v>
      </c>
      <c r="C567" s="219" t="s">
        <v>2498</v>
      </c>
      <c r="D567" s="268" t="s">
        <v>495</v>
      </c>
      <c r="E567" s="251">
        <v>44225.0</v>
      </c>
      <c r="F567" s="250" t="s">
        <v>496</v>
      </c>
      <c r="G567" s="171">
        <v>500.0</v>
      </c>
      <c r="H567" s="171">
        <v>25.0</v>
      </c>
      <c r="I567" s="171">
        <v>25.0</v>
      </c>
      <c r="J567" s="325">
        <f t="shared" si="12"/>
        <v>0.0007646305672</v>
      </c>
      <c r="K567" s="326">
        <f t="shared" si="28"/>
        <v>0.7136551961</v>
      </c>
      <c r="L567" s="327">
        <f t="shared" si="9"/>
        <v>0.7136551961</v>
      </c>
      <c r="M567" s="321" t="str">
        <f t="shared" si="10"/>
        <v>josevicente1</v>
      </c>
      <c r="N567" s="176">
        <f>IFERROR(__xludf.DUMMYFUNCTION("""COMPUTED_VALUE"""),1.0)</f>
        <v>1</v>
      </c>
      <c r="O567" s="176"/>
      <c r="P567" s="176"/>
      <c r="Q567" s="176"/>
      <c r="R567" s="176"/>
      <c r="S567" s="176"/>
      <c r="T567" s="176"/>
      <c r="U567" s="176"/>
      <c r="V567" s="176"/>
      <c r="W567" s="176"/>
      <c r="X567" s="176"/>
      <c r="Y567" s="176"/>
      <c r="Z567" s="176"/>
    </row>
    <row r="568">
      <c r="A568" s="249" t="s">
        <v>77</v>
      </c>
      <c r="B568" s="249" t="s">
        <v>10</v>
      </c>
      <c r="C568" s="219" t="s">
        <v>2531</v>
      </c>
      <c r="D568" s="268" t="s">
        <v>495</v>
      </c>
      <c r="E568" s="251">
        <v>44212.0</v>
      </c>
      <c r="F568" s="250" t="s">
        <v>499</v>
      </c>
      <c r="G568" s="171">
        <v>500.0</v>
      </c>
      <c r="H568" s="171">
        <v>25.0</v>
      </c>
      <c r="I568" s="171">
        <v>25.0</v>
      </c>
      <c r="J568" s="325">
        <f t="shared" si="12"/>
        <v>0.0007646305672</v>
      </c>
      <c r="K568" s="326">
        <f t="shared" si="28"/>
        <v>0.7136551961</v>
      </c>
      <c r="L568" s="327">
        <f t="shared" si="9"/>
        <v>0.7136551961</v>
      </c>
      <c r="M568" s="321" t="str">
        <f t="shared" si="10"/>
        <v>krrisis</v>
      </c>
      <c r="N568" s="176">
        <f>IFERROR(__xludf.DUMMYFUNCTION("""COMPUTED_VALUE"""),1.0)</f>
        <v>1</v>
      </c>
      <c r="O568" s="176"/>
      <c r="P568" s="176"/>
      <c r="Q568" s="176"/>
      <c r="R568" s="176"/>
      <c r="S568" s="176"/>
      <c r="T568" s="176"/>
      <c r="U568" s="176"/>
      <c r="V568" s="176"/>
      <c r="W568" s="176"/>
      <c r="X568" s="176"/>
      <c r="Y568" s="176"/>
      <c r="Z568" s="176"/>
    </row>
    <row r="569">
      <c r="A569" s="249" t="s">
        <v>69</v>
      </c>
      <c r="B569" s="249" t="s">
        <v>10</v>
      </c>
      <c r="C569" s="219" t="s">
        <v>2498</v>
      </c>
      <c r="D569" s="268" t="s">
        <v>495</v>
      </c>
      <c r="E569" s="251">
        <v>44218.0</v>
      </c>
      <c r="F569" s="250" t="s">
        <v>545</v>
      </c>
      <c r="G569" s="171">
        <v>500.0</v>
      </c>
      <c r="H569" s="171">
        <v>25.0</v>
      </c>
      <c r="I569" s="171">
        <v>25.0</v>
      </c>
      <c r="J569" s="325">
        <f t="shared" si="12"/>
        <v>0.0007646305672</v>
      </c>
      <c r="K569" s="326">
        <f t="shared" si="28"/>
        <v>0.7136551961</v>
      </c>
      <c r="L569" s="327">
        <f t="shared" si="9"/>
        <v>0.7136551961</v>
      </c>
      <c r="M569" s="321" t="str">
        <f t="shared" si="10"/>
        <v>owocki</v>
      </c>
      <c r="N569" s="176">
        <f>IFERROR(__xludf.DUMMYFUNCTION("""COMPUTED_VALUE"""),1.0)</f>
        <v>1</v>
      </c>
      <c r="O569" s="176"/>
      <c r="P569" s="176"/>
      <c r="Q569" s="176"/>
      <c r="R569" s="176"/>
      <c r="S569" s="176"/>
      <c r="T569" s="176"/>
      <c r="U569" s="176"/>
      <c r="V569" s="176"/>
      <c r="W569" s="176"/>
      <c r="X569" s="176"/>
      <c r="Y569" s="176"/>
      <c r="Z569" s="176"/>
    </row>
    <row r="570">
      <c r="A570" s="249" t="s">
        <v>119</v>
      </c>
      <c r="B570" s="249" t="s">
        <v>10</v>
      </c>
      <c r="C570" s="219" t="s">
        <v>2498</v>
      </c>
      <c r="D570" s="268" t="s">
        <v>495</v>
      </c>
      <c r="E570" s="251">
        <v>44218.0</v>
      </c>
      <c r="F570" s="250" t="s">
        <v>545</v>
      </c>
      <c r="G570" s="171">
        <v>500.0</v>
      </c>
      <c r="H570" s="171">
        <v>25.0</v>
      </c>
      <c r="I570" s="171">
        <v>25.0</v>
      </c>
      <c r="J570" s="325">
        <f t="shared" si="12"/>
        <v>0.0007646305672</v>
      </c>
      <c r="K570" s="326">
        <f t="shared" si="28"/>
        <v>0.7136551961</v>
      </c>
      <c r="L570" s="327">
        <f t="shared" si="9"/>
        <v>0.7136551961</v>
      </c>
      <c r="M570" s="321" t="str">
        <f t="shared" si="10"/>
        <v>sergei_tran</v>
      </c>
      <c r="N570" s="176">
        <f>IFERROR(__xludf.DUMMYFUNCTION("""COMPUTED_VALUE"""),1.0)</f>
        <v>1</v>
      </c>
      <c r="O570" s="176"/>
      <c r="P570" s="176"/>
      <c r="Q570" s="176"/>
      <c r="R570" s="176"/>
      <c r="S570" s="176"/>
      <c r="T570" s="176"/>
      <c r="U570" s="176"/>
      <c r="V570" s="176"/>
      <c r="W570" s="176"/>
      <c r="X570" s="176"/>
      <c r="Y570" s="176"/>
      <c r="Z570" s="176"/>
    </row>
    <row r="571">
      <c r="A571" s="249" t="s">
        <v>17</v>
      </c>
      <c r="B571" s="249" t="s">
        <v>10</v>
      </c>
      <c r="C571" s="219" t="s">
        <v>2498</v>
      </c>
      <c r="D571" s="268" t="s">
        <v>495</v>
      </c>
      <c r="E571" s="251">
        <v>44225.0</v>
      </c>
      <c r="F571" s="250" t="s">
        <v>496</v>
      </c>
      <c r="G571" s="171">
        <v>500.0</v>
      </c>
      <c r="H571" s="171">
        <v>25.0</v>
      </c>
      <c r="I571" s="171">
        <v>25.0</v>
      </c>
      <c r="J571" s="325">
        <f t="shared" si="12"/>
        <v>0.0007646305672</v>
      </c>
      <c r="K571" s="326">
        <f t="shared" si="28"/>
        <v>0.7136551961</v>
      </c>
      <c r="L571" s="327">
        <f t="shared" si="9"/>
        <v>0.7136551961</v>
      </c>
      <c r="M571" s="321" t="str">
        <f t="shared" si="10"/>
        <v>tonga2020</v>
      </c>
      <c r="N571" s="176">
        <f>IFERROR(__xludf.DUMMYFUNCTION("""COMPUTED_VALUE"""),1.0)</f>
        <v>1</v>
      </c>
      <c r="O571" s="176"/>
      <c r="P571" s="176"/>
      <c r="Q571" s="176"/>
      <c r="R571" s="176"/>
      <c r="S571" s="176"/>
      <c r="T571" s="176"/>
      <c r="U571" s="176"/>
      <c r="V571" s="176"/>
      <c r="W571" s="176"/>
      <c r="X571" s="176"/>
      <c r="Y571" s="176"/>
      <c r="Z571" s="176"/>
    </row>
    <row r="572">
      <c r="A572" s="249" t="s">
        <v>131</v>
      </c>
      <c r="B572" s="249" t="s">
        <v>10</v>
      </c>
      <c r="C572" s="219" t="s">
        <v>2498</v>
      </c>
      <c r="D572" s="268" t="s">
        <v>495</v>
      </c>
      <c r="E572" s="251">
        <v>44218.0</v>
      </c>
      <c r="F572" s="250" t="s">
        <v>545</v>
      </c>
      <c r="G572" s="171">
        <v>500.0</v>
      </c>
      <c r="H572" s="171">
        <v>25.0</v>
      </c>
      <c r="I572" s="171">
        <v>25.0</v>
      </c>
      <c r="J572" s="325">
        <f t="shared" si="12"/>
        <v>0.0007646305672</v>
      </c>
      <c r="K572" s="326">
        <f t="shared" si="28"/>
        <v>0.7136551961</v>
      </c>
      <c r="L572" s="327">
        <f t="shared" si="9"/>
        <v>0.7136551961</v>
      </c>
      <c r="M572" s="321" t="str">
        <f t="shared" si="10"/>
        <v>unquale</v>
      </c>
      <c r="N572" s="176">
        <f>IFERROR(__xludf.DUMMYFUNCTION("""COMPUTED_VALUE"""),1.0)</f>
        <v>1</v>
      </c>
      <c r="O572" s="176"/>
      <c r="P572" s="176"/>
      <c r="Q572" s="176"/>
      <c r="R572" s="176"/>
      <c r="S572" s="176"/>
      <c r="T572" s="176"/>
      <c r="U572" s="176"/>
      <c r="V572" s="176"/>
      <c r="W572" s="176"/>
      <c r="X572" s="176"/>
      <c r="Y572" s="176"/>
      <c r="Z572" s="176"/>
    </row>
    <row r="573">
      <c r="A573" s="249" t="s">
        <v>58</v>
      </c>
      <c r="B573" s="249" t="s">
        <v>10</v>
      </c>
      <c r="C573" s="219" t="s">
        <v>2690</v>
      </c>
      <c r="D573" s="268" t="s">
        <v>495</v>
      </c>
      <c r="E573" s="251">
        <v>44225.0</v>
      </c>
      <c r="F573" s="250" t="s">
        <v>496</v>
      </c>
      <c r="G573" s="171">
        <v>1000.0</v>
      </c>
      <c r="H573" s="171">
        <v>15.0</v>
      </c>
      <c r="I573" s="171">
        <v>25.0</v>
      </c>
      <c r="J573" s="325">
        <f t="shared" si="12"/>
        <v>0.0006163682558</v>
      </c>
      <c r="K573" s="326">
        <f t="shared" si="28"/>
        <v>0.5752770387</v>
      </c>
      <c r="L573" s="327">
        <f t="shared" si="9"/>
        <v>0.5752770387</v>
      </c>
      <c r="M573" s="321" t="str">
        <f t="shared" si="10"/>
        <v>heater03</v>
      </c>
      <c r="N573" s="176">
        <f>IFERROR(__xludf.DUMMYFUNCTION("""COMPUTED_VALUE"""),1.0)</f>
        <v>1</v>
      </c>
      <c r="O573" s="176"/>
      <c r="P573" s="176"/>
      <c r="Q573" s="176"/>
      <c r="R573" s="176"/>
      <c r="S573" s="176"/>
      <c r="T573" s="176"/>
      <c r="U573" s="176"/>
      <c r="V573" s="176"/>
      <c r="W573" s="176"/>
      <c r="X573" s="176"/>
      <c r="Y573" s="176"/>
      <c r="Z573" s="176"/>
    </row>
    <row r="574">
      <c r="A574" s="249" t="s">
        <v>99</v>
      </c>
      <c r="B574" s="249" t="s">
        <v>10</v>
      </c>
      <c r="C574" s="219" t="s">
        <v>2687</v>
      </c>
      <c r="D574" s="268" t="s">
        <v>495</v>
      </c>
      <c r="E574" s="251">
        <v>44218.0</v>
      </c>
      <c r="F574" s="250" t="s">
        <v>496</v>
      </c>
      <c r="G574" s="171">
        <v>1000.0</v>
      </c>
      <c r="H574" s="171">
        <v>15.0</v>
      </c>
      <c r="I574" s="171">
        <v>25.0</v>
      </c>
      <c r="J574" s="325">
        <f t="shared" si="12"/>
        <v>0.0006163682558</v>
      </c>
      <c r="K574" s="326">
        <f t="shared" si="28"/>
        <v>0.5752770387</v>
      </c>
      <c r="L574" s="327">
        <f t="shared" si="9"/>
        <v>0.5752770387</v>
      </c>
      <c r="M574" s="321" t="str">
        <f t="shared" si="10"/>
        <v>mehigher</v>
      </c>
      <c r="N574" s="176">
        <f>IFERROR(__xludf.DUMMYFUNCTION("""COMPUTED_VALUE"""),1.0)</f>
        <v>1</v>
      </c>
      <c r="O574" s="176"/>
      <c r="P574" s="176"/>
      <c r="Q574" s="176"/>
      <c r="R574" s="176"/>
      <c r="S574" s="176"/>
      <c r="T574" s="176"/>
      <c r="U574" s="176"/>
      <c r="V574" s="176"/>
      <c r="W574" s="176"/>
      <c r="X574" s="176"/>
      <c r="Y574" s="176"/>
      <c r="Z574" s="176"/>
    </row>
    <row r="575">
      <c r="A575" s="249" t="s">
        <v>193</v>
      </c>
      <c r="B575" s="249" t="s">
        <v>10</v>
      </c>
      <c r="C575" s="219" t="s">
        <v>2690</v>
      </c>
      <c r="D575" s="268" t="s">
        <v>495</v>
      </c>
      <c r="E575" s="251">
        <v>44225.0</v>
      </c>
      <c r="F575" s="250" t="s">
        <v>496</v>
      </c>
      <c r="G575" s="171">
        <v>1000.0</v>
      </c>
      <c r="H575" s="171">
        <v>15.0</v>
      </c>
      <c r="I575" s="171">
        <v>25.0</v>
      </c>
      <c r="J575" s="325">
        <f t="shared" si="12"/>
        <v>0.0006163682558</v>
      </c>
      <c r="K575" s="326">
        <f t="shared" si="28"/>
        <v>0.5752770387</v>
      </c>
      <c r="L575" s="327">
        <f t="shared" si="9"/>
        <v>0.5752770387</v>
      </c>
      <c r="M575" s="321" t="str">
        <f t="shared" si="10"/>
        <v>thelastjosh</v>
      </c>
      <c r="N575" s="176">
        <f>IFERROR(__xludf.DUMMYFUNCTION("""COMPUTED_VALUE"""),1.0)</f>
        <v>1</v>
      </c>
      <c r="O575" s="176"/>
      <c r="P575" s="176"/>
      <c r="Q575" s="176"/>
      <c r="R575" s="176"/>
      <c r="S575" s="176"/>
      <c r="T575" s="176"/>
      <c r="U575" s="176"/>
      <c r="V575" s="176"/>
      <c r="W575" s="176"/>
      <c r="X575" s="176"/>
      <c r="Y575" s="176"/>
      <c r="Z575" s="176"/>
    </row>
    <row r="576">
      <c r="A576" s="249" t="s">
        <v>242</v>
      </c>
      <c r="B576" s="249" t="s">
        <v>10</v>
      </c>
      <c r="C576" s="219" t="s">
        <v>2687</v>
      </c>
      <c r="D576" s="268" t="s">
        <v>495</v>
      </c>
      <c r="E576" s="251">
        <v>44218.0</v>
      </c>
      <c r="F576" s="250" t="s">
        <v>496</v>
      </c>
      <c r="G576" s="171">
        <v>1000.0</v>
      </c>
      <c r="H576" s="171">
        <v>15.0</v>
      </c>
      <c r="I576" s="171">
        <v>25.0</v>
      </c>
      <c r="J576" s="325">
        <f t="shared" si="12"/>
        <v>0.0006163682558</v>
      </c>
      <c r="K576" s="326">
        <f t="shared" si="28"/>
        <v>0.5752770387</v>
      </c>
      <c r="L576" s="327">
        <f t="shared" si="9"/>
        <v>0.5752770387</v>
      </c>
      <c r="M576" s="321" t="str">
        <f t="shared" si="10"/>
        <v>victorid</v>
      </c>
      <c r="N576" s="176">
        <f>IFERROR(__xludf.DUMMYFUNCTION("""COMPUTED_VALUE"""),1.0)</f>
        <v>1</v>
      </c>
      <c r="O576" s="176"/>
      <c r="P576" s="176"/>
      <c r="Q576" s="176"/>
      <c r="R576" s="176"/>
      <c r="S576" s="176"/>
      <c r="T576" s="176"/>
      <c r="U576" s="176"/>
      <c r="V576" s="176"/>
      <c r="W576" s="176"/>
      <c r="X576" s="176"/>
      <c r="Y576" s="176"/>
      <c r="Z576" s="176"/>
    </row>
    <row r="577">
      <c r="A577" s="249" t="s">
        <v>259</v>
      </c>
      <c r="B577" s="249" t="s">
        <v>5</v>
      </c>
      <c r="C577" s="219" t="s">
        <v>2867</v>
      </c>
      <c r="D577" s="268" t="s">
        <v>495</v>
      </c>
      <c r="E577" s="251">
        <v>44225.0</v>
      </c>
      <c r="F577" s="250" t="s">
        <v>496</v>
      </c>
      <c r="G577" s="171">
        <v>500.0</v>
      </c>
      <c r="H577" s="171">
        <v>15.0</v>
      </c>
      <c r="I577" s="171">
        <v>25.0</v>
      </c>
      <c r="J577" s="325">
        <f t="shared" si="12"/>
        <v>0.0005775748246</v>
      </c>
      <c r="K577" s="326">
        <f t="shared" si="28"/>
        <v>0.5390698363</v>
      </c>
      <c r="L577" s="327">
        <f t="shared" si="9"/>
        <v>0.5390698363</v>
      </c>
      <c r="M577" s="321" t="str">
        <f t="shared" si="10"/>
        <v>hypereum</v>
      </c>
      <c r="N577" s="176">
        <f>IFERROR(__xludf.DUMMYFUNCTION("""COMPUTED_VALUE"""),1.0)</f>
        <v>1</v>
      </c>
      <c r="O577" s="176"/>
      <c r="P577" s="176"/>
      <c r="Q577" s="176"/>
      <c r="R577" s="176"/>
      <c r="S577" s="176"/>
      <c r="T577" s="176"/>
      <c r="U577" s="176"/>
      <c r="V577" s="176"/>
      <c r="W577" s="176"/>
      <c r="X577" s="176"/>
      <c r="Y577" s="176"/>
      <c r="Z577" s="176"/>
    </row>
    <row r="578">
      <c r="A578" s="249" t="s">
        <v>211</v>
      </c>
      <c r="B578" s="249" t="s">
        <v>590</v>
      </c>
      <c r="C578" s="219" t="s">
        <v>2868</v>
      </c>
      <c r="D578" s="268" t="s">
        <v>495</v>
      </c>
      <c r="E578" s="251">
        <v>44224.0</v>
      </c>
      <c r="F578" s="250" t="s">
        <v>496</v>
      </c>
      <c r="G578" s="171">
        <v>500.0</v>
      </c>
      <c r="H578" s="171">
        <v>15.0</v>
      </c>
      <c r="I578" s="171">
        <v>25.0</v>
      </c>
      <c r="J578" s="325">
        <f t="shared" si="12"/>
        <v>0.0005775748246</v>
      </c>
      <c r="K578" s="326">
        <f t="shared" si="28"/>
        <v>0.5390698363</v>
      </c>
      <c r="L578" s="327">
        <f t="shared" si="9"/>
        <v>0.5390698363</v>
      </c>
      <c r="M578" s="321" t="str">
        <f t="shared" si="10"/>
        <v>xqtstrategy</v>
      </c>
      <c r="N578" s="176">
        <f>IFERROR(__xludf.DUMMYFUNCTION("""COMPUTED_VALUE"""),1.0)</f>
        <v>1</v>
      </c>
      <c r="O578" s="176"/>
      <c r="P578" s="176"/>
      <c r="Q578" s="176"/>
      <c r="R578" s="176"/>
      <c r="S578" s="176"/>
      <c r="T578" s="176"/>
      <c r="U578" s="176"/>
      <c r="V578" s="176"/>
      <c r="W578" s="176"/>
      <c r="X578" s="176"/>
      <c r="Y578" s="176"/>
      <c r="Z578" s="176"/>
    </row>
    <row r="579">
      <c r="A579" s="240" t="s">
        <v>55</v>
      </c>
      <c r="B579" s="240" t="s">
        <v>534</v>
      </c>
      <c r="C579" s="221" t="s">
        <v>688</v>
      </c>
      <c r="D579" s="336"/>
      <c r="E579" s="255"/>
      <c r="F579" s="254"/>
      <c r="G579" s="209"/>
      <c r="H579" s="222"/>
      <c r="I579" s="222"/>
      <c r="J579" s="325">
        <f t="shared" si="12"/>
        <v>0</v>
      </c>
      <c r="K579" s="337"/>
      <c r="L579" s="327">
        <f t="shared" si="9"/>
        <v>0</v>
      </c>
      <c r="M579" s="321" t="str">
        <f t="shared" si="10"/>
        <v>atacas</v>
      </c>
      <c r="N579" s="209">
        <f>IFERROR(__xludf.DUMMYFUNCTION("""COMPUTED_VALUE"""),1.0)</f>
        <v>1</v>
      </c>
      <c r="O579" s="176"/>
      <c r="P579" s="176"/>
      <c r="Q579" s="176"/>
      <c r="R579" s="176">
        <v>6.463920504925881</v>
      </c>
      <c r="S579" s="176"/>
      <c r="T579" s="176"/>
      <c r="U579" s="176"/>
      <c r="V579" s="176"/>
      <c r="W579" s="176"/>
      <c r="X579" s="176"/>
      <c r="Y579" s="176"/>
      <c r="Z579" s="176"/>
    </row>
  </sheetData>
  <autoFilter ref="$A$3:$Z$579">
    <sortState ref="A3:Z579">
      <sortCondition descending="1" ref="L3:L579"/>
      <sortCondition ref="A3:A579"/>
      <sortCondition descending="1" ref="K3:K579"/>
      <sortCondition ref="G3:G579"/>
      <sortCondition ref="E3:E579"/>
    </sortState>
  </autoFilter>
  <hyperlinks>
    <hyperlink r:id="rId1" ref="C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2869</v>
      </c>
      <c r="B1" s="2">
        <f>sum(B3:B901)</f>
        <v>542.961</v>
      </c>
    </row>
    <row r="2">
      <c r="A2" s="246" t="s">
        <v>388</v>
      </c>
      <c r="B2" s="247" t="s">
        <v>2</v>
      </c>
    </row>
    <row r="3">
      <c r="A3" s="5" t="s">
        <v>3</v>
      </c>
      <c r="B3" s="247">
        <v>59.966</v>
      </c>
    </row>
    <row r="4">
      <c r="A4" s="5" t="s">
        <v>4</v>
      </c>
      <c r="B4" s="247">
        <v>58.23</v>
      </c>
    </row>
    <row r="5">
      <c r="A5" s="5" t="s">
        <v>19</v>
      </c>
      <c r="B5" s="247">
        <v>40.949</v>
      </c>
    </row>
    <row r="6">
      <c r="A6" s="5" t="s">
        <v>12</v>
      </c>
      <c r="B6" s="247">
        <v>31.706</v>
      </c>
    </row>
    <row r="7">
      <c r="A7" s="5" t="s">
        <v>36</v>
      </c>
      <c r="B7" s="247">
        <v>29.66</v>
      </c>
    </row>
    <row r="8">
      <c r="A8" s="5" t="s">
        <v>10</v>
      </c>
      <c r="B8" s="247">
        <v>25.635</v>
      </c>
    </row>
    <row r="9">
      <c r="A9" s="5" t="s">
        <v>42</v>
      </c>
      <c r="B9" s="247">
        <v>21.618</v>
      </c>
    </row>
    <row r="10">
      <c r="A10" s="5" t="s">
        <v>5</v>
      </c>
      <c r="B10" s="247">
        <v>21.239</v>
      </c>
    </row>
    <row r="11">
      <c r="A11" s="5" t="s">
        <v>13</v>
      </c>
      <c r="B11" s="247">
        <v>16.54</v>
      </c>
    </row>
    <row r="12">
      <c r="A12" s="5" t="s">
        <v>16</v>
      </c>
      <c r="B12" s="247">
        <v>12.434</v>
      </c>
    </row>
    <row r="13">
      <c r="A13" s="5" t="s">
        <v>15</v>
      </c>
      <c r="B13" s="247">
        <v>10.7</v>
      </c>
    </row>
    <row r="14">
      <c r="A14" s="5" t="s">
        <v>50</v>
      </c>
      <c r="B14" s="247">
        <v>9.292</v>
      </c>
    </row>
    <row r="15">
      <c r="A15" s="5" t="s">
        <v>11</v>
      </c>
      <c r="B15" s="247">
        <v>9.115</v>
      </c>
    </row>
    <row r="16">
      <c r="A16" s="5" t="s">
        <v>7</v>
      </c>
      <c r="B16" s="247">
        <v>8.931</v>
      </c>
    </row>
    <row r="17">
      <c r="A17" s="5" t="s">
        <v>18</v>
      </c>
      <c r="B17" s="247">
        <v>8.852</v>
      </c>
    </row>
    <row r="18">
      <c r="A18" s="5" t="s">
        <v>25</v>
      </c>
      <c r="B18" s="247">
        <v>8.026</v>
      </c>
    </row>
    <row r="19">
      <c r="A19" s="5" t="s">
        <v>6</v>
      </c>
      <c r="B19" s="247">
        <v>8.005</v>
      </c>
    </row>
    <row r="20">
      <c r="A20" s="5" t="s">
        <v>34</v>
      </c>
      <c r="B20" s="247">
        <v>7.498</v>
      </c>
    </row>
    <row r="21">
      <c r="A21" s="5" t="s">
        <v>14</v>
      </c>
      <c r="B21" s="247">
        <v>6.954</v>
      </c>
    </row>
    <row r="22">
      <c r="A22" s="5" t="s">
        <v>28</v>
      </c>
      <c r="B22" s="247">
        <v>6.755</v>
      </c>
    </row>
    <row r="23">
      <c r="A23" s="5" t="s">
        <v>63</v>
      </c>
      <c r="B23" s="247">
        <v>5.872</v>
      </c>
    </row>
    <row r="24">
      <c r="A24" s="5" t="s">
        <v>22</v>
      </c>
      <c r="B24" s="247">
        <v>5.31</v>
      </c>
    </row>
    <row r="25">
      <c r="A25" s="5" t="s">
        <v>156</v>
      </c>
      <c r="B25" s="247">
        <v>5.3</v>
      </c>
    </row>
    <row r="26">
      <c r="A26" s="5" t="s">
        <v>31</v>
      </c>
      <c r="B26" s="247">
        <v>5.048</v>
      </c>
    </row>
    <row r="27">
      <c r="A27" s="5" t="s">
        <v>70</v>
      </c>
      <c r="B27" s="247">
        <v>4.588</v>
      </c>
    </row>
    <row r="28">
      <c r="A28" s="5" t="s">
        <v>26</v>
      </c>
      <c r="B28" s="247">
        <v>4.557</v>
      </c>
    </row>
    <row r="29">
      <c r="A29" s="5" t="s">
        <v>35</v>
      </c>
      <c r="B29" s="247">
        <v>4.557</v>
      </c>
    </row>
    <row r="30">
      <c r="A30" s="5" t="s">
        <v>145</v>
      </c>
      <c r="B30" s="247">
        <v>4.151</v>
      </c>
    </row>
    <row r="31">
      <c r="A31" s="5" t="s">
        <v>23</v>
      </c>
      <c r="B31" s="247">
        <v>4.12</v>
      </c>
    </row>
    <row r="32">
      <c r="A32" s="5" t="s">
        <v>153</v>
      </c>
      <c r="B32" s="247">
        <v>3.987</v>
      </c>
    </row>
    <row r="33">
      <c r="A33" s="5" t="s">
        <v>8</v>
      </c>
      <c r="B33" s="247">
        <v>3.887</v>
      </c>
    </row>
    <row r="34">
      <c r="A34" s="5" t="s">
        <v>61</v>
      </c>
      <c r="B34" s="247">
        <v>3.689</v>
      </c>
    </row>
    <row r="35">
      <c r="A35" s="5" t="s">
        <v>30</v>
      </c>
      <c r="B35" s="247">
        <v>3.669</v>
      </c>
    </row>
    <row r="36">
      <c r="A36" s="5" t="s">
        <v>9</v>
      </c>
      <c r="B36" s="247">
        <v>3.626</v>
      </c>
    </row>
    <row r="37">
      <c r="A37" s="5" t="s">
        <v>38</v>
      </c>
      <c r="B37" s="247">
        <v>3.536</v>
      </c>
    </row>
    <row r="38">
      <c r="A38" s="5" t="s">
        <v>43</v>
      </c>
      <c r="B38" s="247">
        <v>3.141</v>
      </c>
    </row>
    <row r="39">
      <c r="A39" s="5" t="s">
        <v>29</v>
      </c>
      <c r="B39" s="247">
        <v>3.073</v>
      </c>
    </row>
    <row r="40">
      <c r="A40" s="5" t="s">
        <v>27</v>
      </c>
      <c r="B40" s="247">
        <v>3.021</v>
      </c>
    </row>
    <row r="41">
      <c r="A41" s="5" t="s">
        <v>24</v>
      </c>
      <c r="B41" s="247">
        <v>2.913</v>
      </c>
    </row>
    <row r="42">
      <c r="A42" s="5" t="s">
        <v>33</v>
      </c>
      <c r="B42" s="247">
        <v>2.668</v>
      </c>
    </row>
    <row r="43">
      <c r="A43" s="5" t="s">
        <v>62</v>
      </c>
      <c r="B43" s="247">
        <v>2.646</v>
      </c>
    </row>
    <row r="44">
      <c r="A44" s="5" t="s">
        <v>73</v>
      </c>
      <c r="B44" s="247">
        <v>2.524</v>
      </c>
    </row>
    <row r="45">
      <c r="A45" s="5" t="s">
        <v>66</v>
      </c>
      <c r="B45" s="247">
        <v>2.512</v>
      </c>
    </row>
    <row r="46">
      <c r="A46" s="5" t="s">
        <v>134</v>
      </c>
      <c r="B46" s="247">
        <v>2.125</v>
      </c>
    </row>
    <row r="47">
      <c r="A47" s="5" t="s">
        <v>44</v>
      </c>
      <c r="B47" s="247">
        <v>2.003</v>
      </c>
    </row>
    <row r="48">
      <c r="A48" s="5" t="s">
        <v>127</v>
      </c>
      <c r="B48" s="247">
        <v>1.982</v>
      </c>
    </row>
    <row r="49">
      <c r="A49" s="5" t="s">
        <v>96</v>
      </c>
      <c r="B49" s="247">
        <v>1.813</v>
      </c>
    </row>
    <row r="50">
      <c r="A50" s="5" t="s">
        <v>91</v>
      </c>
      <c r="B50" s="247">
        <v>1.717</v>
      </c>
    </row>
    <row r="51">
      <c r="A51" s="5" t="s">
        <v>59</v>
      </c>
      <c r="B51" s="247">
        <v>1.645</v>
      </c>
    </row>
    <row r="52">
      <c r="A52" s="5" t="s">
        <v>86</v>
      </c>
      <c r="B52" s="247">
        <v>1.602</v>
      </c>
    </row>
    <row r="53">
      <c r="A53" s="5" t="s">
        <v>88</v>
      </c>
      <c r="B53" s="247">
        <v>1.602</v>
      </c>
    </row>
    <row r="54">
      <c r="A54" s="5" t="s">
        <v>172</v>
      </c>
      <c r="B54" s="247">
        <v>1.5</v>
      </c>
    </row>
    <row r="55">
      <c r="A55" s="5" t="s">
        <v>47</v>
      </c>
      <c r="B55" s="247">
        <v>1.473</v>
      </c>
    </row>
    <row r="56">
      <c r="A56" s="5" t="s">
        <v>52</v>
      </c>
      <c r="B56" s="247">
        <v>1.473</v>
      </c>
    </row>
    <row r="57">
      <c r="A57" s="5" t="s">
        <v>95</v>
      </c>
      <c r="B57" s="247">
        <v>1.464</v>
      </c>
    </row>
    <row r="58">
      <c r="A58" s="5" t="s">
        <v>151</v>
      </c>
      <c r="B58" s="247">
        <v>1.427</v>
      </c>
    </row>
    <row r="59">
      <c r="A59" s="5" t="s">
        <v>41</v>
      </c>
      <c r="B59" s="247">
        <v>1.427</v>
      </c>
    </row>
    <row r="60">
      <c r="A60" s="5" t="s">
        <v>54</v>
      </c>
      <c r="B60" s="247">
        <v>1.427</v>
      </c>
    </row>
    <row r="61">
      <c r="A61" s="5" t="s">
        <v>137</v>
      </c>
      <c r="B61" s="247">
        <v>1.427</v>
      </c>
    </row>
    <row r="62">
      <c r="A62" s="5" t="s">
        <v>60</v>
      </c>
      <c r="B62" s="247">
        <v>1.427</v>
      </c>
    </row>
    <row r="63">
      <c r="A63" s="5" t="s">
        <v>163</v>
      </c>
      <c r="B63" s="247">
        <v>1.106</v>
      </c>
    </row>
    <row r="64">
      <c r="A64" s="5" t="s">
        <v>122</v>
      </c>
      <c r="B64" s="247">
        <v>1.063</v>
      </c>
    </row>
    <row r="65">
      <c r="A65" s="5" t="s">
        <v>85</v>
      </c>
      <c r="B65" s="247">
        <v>1.063</v>
      </c>
    </row>
    <row r="66">
      <c r="A66" s="5" t="s">
        <v>118</v>
      </c>
      <c r="B66" s="247">
        <v>1.012</v>
      </c>
    </row>
    <row r="67">
      <c r="A67" s="5" t="s">
        <v>188</v>
      </c>
      <c r="B67" s="247">
        <v>0.991</v>
      </c>
    </row>
    <row r="68">
      <c r="A68" s="5" t="s">
        <v>57</v>
      </c>
      <c r="B68" s="247">
        <v>0.991</v>
      </c>
    </row>
    <row r="69">
      <c r="A69" s="5" t="s">
        <v>199</v>
      </c>
      <c r="B69" s="247">
        <v>0.991</v>
      </c>
    </row>
    <row r="70">
      <c r="A70" s="5" t="s">
        <v>124</v>
      </c>
      <c r="B70" s="247">
        <v>0.991</v>
      </c>
    </row>
    <row r="71">
      <c r="A71" s="5" t="s">
        <v>198</v>
      </c>
      <c r="B71" s="247">
        <v>0.991</v>
      </c>
    </row>
    <row r="72">
      <c r="A72" s="5" t="s">
        <v>143</v>
      </c>
      <c r="B72" s="247">
        <v>0.991</v>
      </c>
    </row>
    <row r="73">
      <c r="A73" s="5" t="s">
        <v>197</v>
      </c>
      <c r="B73" s="247">
        <v>0.991</v>
      </c>
    </row>
    <row r="74">
      <c r="A74" s="5" t="s">
        <v>65</v>
      </c>
      <c r="B74" s="247">
        <v>0.888</v>
      </c>
    </row>
    <row r="75">
      <c r="A75" s="5" t="s">
        <v>49</v>
      </c>
      <c r="B75" s="247">
        <v>0.804</v>
      </c>
    </row>
    <row r="76">
      <c r="A76" s="5" t="s">
        <v>320</v>
      </c>
      <c r="B76" s="247">
        <v>0.75</v>
      </c>
    </row>
    <row r="77">
      <c r="A77" s="5" t="s">
        <v>178</v>
      </c>
      <c r="B77" s="247">
        <v>0.75</v>
      </c>
    </row>
    <row r="78">
      <c r="A78" s="5" t="s">
        <v>149</v>
      </c>
      <c r="B78" s="247">
        <v>0.75</v>
      </c>
    </row>
    <row r="79">
      <c r="A79" s="5" t="s">
        <v>175</v>
      </c>
      <c r="B79" s="247">
        <v>0.714</v>
      </c>
    </row>
    <row r="80">
      <c r="A80" s="5" t="s">
        <v>114</v>
      </c>
      <c r="B80" s="247">
        <v>0.714</v>
      </c>
    </row>
    <row r="81">
      <c r="A81" s="5" t="s">
        <v>78</v>
      </c>
      <c r="B81" s="247">
        <v>0.714</v>
      </c>
    </row>
    <row r="82">
      <c r="A82" s="5" t="s">
        <v>125</v>
      </c>
      <c r="B82" s="247">
        <v>0.714</v>
      </c>
    </row>
    <row r="83">
      <c r="A83" s="5" t="s">
        <v>77</v>
      </c>
      <c r="B83" s="247">
        <v>0.714</v>
      </c>
    </row>
    <row r="84">
      <c r="A84" s="5" t="s">
        <v>69</v>
      </c>
      <c r="B84" s="247">
        <v>0.714</v>
      </c>
    </row>
    <row r="85">
      <c r="A85" s="5" t="s">
        <v>119</v>
      </c>
      <c r="B85" s="247">
        <v>0.714</v>
      </c>
    </row>
    <row r="86">
      <c r="A86" s="5" t="s">
        <v>17</v>
      </c>
      <c r="B86" s="247">
        <v>0.714</v>
      </c>
    </row>
    <row r="87">
      <c r="A87" s="5" t="s">
        <v>131</v>
      </c>
      <c r="B87" s="247">
        <v>0.714</v>
      </c>
    </row>
    <row r="88">
      <c r="A88" s="5" t="s">
        <v>58</v>
      </c>
      <c r="B88" s="247">
        <v>0.575</v>
      </c>
    </row>
    <row r="89">
      <c r="A89" s="5" t="s">
        <v>99</v>
      </c>
      <c r="B89" s="247">
        <v>0.575</v>
      </c>
    </row>
    <row r="90">
      <c r="A90" s="5" t="s">
        <v>193</v>
      </c>
      <c r="B90" s="247">
        <v>0.575</v>
      </c>
    </row>
    <row r="91">
      <c r="A91" s="5" t="s">
        <v>242</v>
      </c>
      <c r="B91" s="247">
        <v>0.575</v>
      </c>
    </row>
    <row r="92">
      <c r="A92" s="5" t="s">
        <v>259</v>
      </c>
      <c r="B92" s="247">
        <v>0.539</v>
      </c>
    </row>
    <row r="93">
      <c r="A93" s="5" t="s">
        <v>211</v>
      </c>
      <c r="B93" s="247">
        <v>0.539</v>
      </c>
    </row>
    <row r="94">
      <c r="A94" s="5"/>
      <c r="B94" s="6"/>
    </row>
    <row r="95">
      <c r="A95" s="5"/>
      <c r="B95" s="6"/>
    </row>
    <row r="96">
      <c r="A96" s="5"/>
      <c r="B96" s="6"/>
    </row>
    <row r="97">
      <c r="A97" s="5"/>
      <c r="B97" s="6"/>
    </row>
    <row r="98">
      <c r="A98" s="5"/>
      <c r="B98" s="6"/>
    </row>
    <row r="99">
      <c r="A99" s="5"/>
      <c r="B99" s="6"/>
    </row>
    <row r="100">
      <c r="A100" s="5"/>
      <c r="B100" s="6"/>
    </row>
    <row r="101">
      <c r="A101" s="5"/>
      <c r="B101" s="6"/>
    </row>
    <row r="102">
      <c r="A102" s="5"/>
      <c r="B102" s="6"/>
    </row>
    <row r="103">
      <c r="A103" s="5"/>
      <c r="B103" s="6"/>
    </row>
    <row r="104">
      <c r="A104" s="5"/>
      <c r="B104" s="6"/>
    </row>
    <row r="105">
      <c r="A105" s="5"/>
      <c r="B105" s="6"/>
    </row>
    <row r="106">
      <c r="A106" s="5"/>
      <c r="B106" s="6"/>
    </row>
    <row r="107">
      <c r="A107" s="5"/>
      <c r="B107" s="6"/>
    </row>
    <row r="108">
      <c r="A108" s="5"/>
      <c r="B108" s="6"/>
    </row>
    <row r="109">
      <c r="A109" s="5"/>
      <c r="B109" s="6"/>
    </row>
    <row r="110">
      <c r="A110" s="5"/>
      <c r="B110" s="6"/>
    </row>
    <row r="111">
      <c r="A111" s="5"/>
      <c r="B111" s="6"/>
    </row>
    <row r="112">
      <c r="A112" s="5"/>
      <c r="B112" s="6"/>
    </row>
    <row r="113">
      <c r="A113" s="5"/>
      <c r="B113" s="6"/>
    </row>
    <row r="114">
      <c r="A114" s="5"/>
      <c r="B114" s="6"/>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108">
    <sortState ref="A2:U108">
      <sortCondition descending="1" ref="B2:B108"/>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7" width="8.43"/>
    <col customWidth="1" min="8" max="8" width="9.71"/>
    <col customWidth="1" min="9" max="9" width="9.86"/>
    <col customWidth="1" min="10" max="10" width="8.86"/>
    <col customWidth="1" min="13" max="13" width="16.0"/>
  </cols>
  <sheetData>
    <row r="1">
      <c r="A1" s="133"/>
      <c r="B1" s="359"/>
      <c r="C1" s="360"/>
      <c r="D1" s="136"/>
      <c r="E1" s="323"/>
      <c r="F1" s="138" t="s">
        <v>416</v>
      </c>
      <c r="G1" s="139">
        <v>700.0</v>
      </c>
      <c r="H1" s="139">
        <v>750.0</v>
      </c>
      <c r="I1" s="139">
        <v>800.0</v>
      </c>
      <c r="J1" s="140">
        <f>AVERAGE(G1:I1)</f>
        <v>750</v>
      </c>
      <c r="K1" s="141" t="s">
        <v>417</v>
      </c>
      <c r="L1" s="142">
        <f>countif(J4:J1089, "&gt;0.000001")</f>
        <v>456</v>
      </c>
      <c r="M1" s="141" t="s">
        <v>418</v>
      </c>
      <c r="N1" s="143">
        <f>750/456</f>
        <v>1.644736842</v>
      </c>
      <c r="O1" s="144" t="s">
        <v>419</v>
      </c>
      <c r="P1" s="145"/>
      <c r="Q1" s="145"/>
      <c r="R1" s="145"/>
      <c r="S1" s="145"/>
      <c r="T1" s="145"/>
      <c r="U1" s="145"/>
    </row>
    <row r="2">
      <c r="A2" s="146"/>
      <c r="B2" s="134" t="s">
        <v>2487</v>
      </c>
      <c r="C2" s="234" t="s">
        <v>421</v>
      </c>
      <c r="D2" s="148"/>
      <c r="E2" s="323"/>
      <c r="F2" s="149" t="s">
        <v>422</v>
      </c>
      <c r="G2" s="139">
        <f t="shared" ref="G2:K2" si="1">sum(G4:G602)</f>
        <v>41103</v>
      </c>
      <c r="H2" s="139">
        <f t="shared" si="1"/>
        <v>34600</v>
      </c>
      <c r="I2" s="139">
        <f t="shared" si="1"/>
        <v>42290</v>
      </c>
      <c r="J2" s="150">
        <f t="shared" si="1"/>
        <v>1</v>
      </c>
      <c r="K2" s="151">
        <f t="shared" si="1"/>
        <v>497.4257658</v>
      </c>
      <c r="L2" s="152" t="s">
        <v>416</v>
      </c>
      <c r="M2" s="153"/>
      <c r="N2" s="153" t="s">
        <v>423</v>
      </c>
      <c r="O2" s="145"/>
      <c r="P2" s="145"/>
      <c r="Q2" s="145"/>
      <c r="R2" s="145"/>
      <c r="S2" s="145"/>
      <c r="T2" s="145"/>
      <c r="U2" s="145"/>
    </row>
    <row r="3">
      <c r="A3" s="154" t="s">
        <v>424</v>
      </c>
      <c r="B3" s="154" t="s">
        <v>425</v>
      </c>
      <c r="C3" s="235" t="s">
        <v>426</v>
      </c>
      <c r="D3" s="156"/>
      <c r="E3" s="324" t="s">
        <v>427</v>
      </c>
      <c r="F3" s="158" t="s">
        <v>428</v>
      </c>
      <c r="G3" s="159" t="s">
        <v>1926</v>
      </c>
      <c r="H3" s="159" t="s">
        <v>1580</v>
      </c>
      <c r="I3" s="159" t="s">
        <v>2870</v>
      </c>
      <c r="J3" s="160" t="s">
        <v>432</v>
      </c>
      <c r="K3" s="161" t="s">
        <v>433</v>
      </c>
      <c r="L3" s="162" t="s">
        <v>434</v>
      </c>
      <c r="M3" s="161"/>
      <c r="N3" s="163">
        <f>IFERROR(__xludf.DUMMYFUNCTION("query(iferror(sort({row(A3:A602)-row(A3)+2-match(sort(A3:A602),sort(A3:A602),0),SORT(ROW(A3:A602)+2-row(A3)+2,A3:A602,1)},2,1),),""Select Col1"")"),1.0)</f>
        <v>1</v>
      </c>
      <c r="O3" s="163"/>
      <c r="P3" s="164"/>
      <c r="Q3" s="164"/>
      <c r="R3" s="164"/>
      <c r="S3" s="164"/>
      <c r="T3" s="164"/>
      <c r="U3" s="164"/>
      <c r="V3" s="164"/>
      <c r="W3" s="164"/>
      <c r="X3" s="164"/>
      <c r="Y3" s="164"/>
      <c r="Z3" s="164"/>
    </row>
    <row r="4">
      <c r="A4" s="249" t="s">
        <v>3</v>
      </c>
      <c r="B4" s="249" t="s">
        <v>10</v>
      </c>
      <c r="C4" s="329" t="s">
        <v>2871</v>
      </c>
      <c r="D4" s="268" t="s">
        <v>495</v>
      </c>
      <c r="E4" s="361">
        <v>44198.0</v>
      </c>
      <c r="F4" s="250" t="s">
        <v>496</v>
      </c>
      <c r="G4" s="243"/>
      <c r="H4" s="243"/>
      <c r="I4" s="243"/>
      <c r="J4" s="172">
        <f t="shared" ref="J4:J251" si="2">(G4/$G$2+H4/$H$2+I4/$I$2)/3</f>
        <v>0</v>
      </c>
      <c r="K4" s="330">
        <v>1.644736842105263</v>
      </c>
      <c r="L4" s="327">
        <f t="shared" ref="L4:L592" si="3">dsum($A$3:$K602,"IH per Praise",{$A$3;A4})</f>
        <v>54.27631579</v>
      </c>
      <c r="M4" s="321" t="str">
        <f t="shared" ref="M4:M592" si="4">A4</f>
        <v>zeptimusq</v>
      </c>
      <c r="N4" s="176">
        <f>IFERROR(__xludf.DUMMYFUNCTION("""COMPUTED_VALUE"""),1.0)</f>
        <v>1</v>
      </c>
      <c r="O4" s="176"/>
      <c r="P4" s="176"/>
      <c r="Q4" s="176"/>
      <c r="R4" s="176"/>
      <c r="S4" s="176"/>
      <c r="T4" s="176"/>
      <c r="U4" s="176"/>
      <c r="V4" s="176"/>
      <c r="W4" s="176"/>
      <c r="X4" s="176"/>
      <c r="Y4" s="176"/>
      <c r="Z4" s="176"/>
    </row>
    <row r="5">
      <c r="A5" s="249" t="s">
        <v>3</v>
      </c>
      <c r="B5" s="249" t="s">
        <v>10</v>
      </c>
      <c r="C5" s="329" t="s">
        <v>2872</v>
      </c>
      <c r="D5" s="268" t="s">
        <v>495</v>
      </c>
      <c r="E5" s="361">
        <v>44198.0</v>
      </c>
      <c r="F5" s="250" t="s">
        <v>496</v>
      </c>
      <c r="G5" s="243"/>
      <c r="H5" s="243"/>
      <c r="I5" s="243"/>
      <c r="J5" s="172">
        <f t="shared" si="2"/>
        <v>0</v>
      </c>
      <c r="K5" s="330">
        <v>1.644736842105263</v>
      </c>
      <c r="L5" s="327">
        <f t="shared" si="3"/>
        <v>54.27631579</v>
      </c>
      <c r="M5" s="321" t="str">
        <f t="shared" si="4"/>
        <v>zeptimusq</v>
      </c>
      <c r="N5" s="176">
        <f>IFERROR(__xludf.DUMMYFUNCTION("""COMPUTED_VALUE"""),2.0)</f>
        <v>2</v>
      </c>
      <c r="O5" s="176"/>
      <c r="P5" s="176"/>
      <c r="Q5" s="176"/>
      <c r="R5" s="176"/>
      <c r="S5" s="176"/>
      <c r="T5" s="176"/>
      <c r="U5" s="176"/>
      <c r="V5" s="176"/>
      <c r="W5" s="176"/>
      <c r="X5" s="176"/>
      <c r="Y5" s="176"/>
      <c r="Z5" s="176"/>
    </row>
    <row r="6">
      <c r="A6" s="249" t="s">
        <v>3</v>
      </c>
      <c r="B6" s="249" t="s">
        <v>10</v>
      </c>
      <c r="C6" s="329" t="s">
        <v>2873</v>
      </c>
      <c r="D6" s="268" t="s">
        <v>495</v>
      </c>
      <c r="E6" s="361">
        <v>44198.0</v>
      </c>
      <c r="F6" s="250" t="s">
        <v>496</v>
      </c>
      <c r="G6" s="243"/>
      <c r="H6" s="243"/>
      <c r="I6" s="243"/>
      <c r="J6" s="172">
        <f t="shared" si="2"/>
        <v>0</v>
      </c>
      <c r="K6" s="330">
        <v>1.644736842105263</v>
      </c>
      <c r="L6" s="327">
        <f t="shared" si="3"/>
        <v>54.27631579</v>
      </c>
      <c r="M6" s="321" t="str">
        <f t="shared" si="4"/>
        <v>zeptimusq</v>
      </c>
      <c r="N6" s="176">
        <f>IFERROR(__xludf.DUMMYFUNCTION("""COMPUTED_VALUE"""),3.0)</f>
        <v>3</v>
      </c>
      <c r="O6" s="176"/>
      <c r="P6" s="176"/>
      <c r="Q6" s="176"/>
      <c r="R6" s="176"/>
      <c r="S6" s="176"/>
      <c r="T6" s="176"/>
      <c r="U6" s="176"/>
      <c r="V6" s="176"/>
      <c r="W6" s="176"/>
      <c r="X6" s="176"/>
      <c r="Y6" s="176"/>
      <c r="Z6" s="176"/>
    </row>
    <row r="7">
      <c r="A7" s="249" t="s">
        <v>3</v>
      </c>
      <c r="B7" s="249" t="s">
        <v>1228</v>
      </c>
      <c r="C7" s="329" t="s">
        <v>2874</v>
      </c>
      <c r="D7" s="268" t="s">
        <v>495</v>
      </c>
      <c r="E7" s="361">
        <v>44198.0</v>
      </c>
      <c r="F7" s="250" t="s">
        <v>496</v>
      </c>
      <c r="G7" s="243"/>
      <c r="H7" s="243"/>
      <c r="I7" s="243"/>
      <c r="J7" s="172">
        <f t="shared" si="2"/>
        <v>0</v>
      </c>
      <c r="K7" s="330">
        <v>1.644736842105263</v>
      </c>
      <c r="L7" s="327">
        <f t="shared" si="3"/>
        <v>54.27631579</v>
      </c>
      <c r="M7" s="321" t="str">
        <f t="shared" si="4"/>
        <v>zeptimusq</v>
      </c>
      <c r="N7" s="176">
        <f>IFERROR(__xludf.DUMMYFUNCTION("""COMPUTED_VALUE"""),4.0)</f>
        <v>4</v>
      </c>
      <c r="O7" s="176"/>
      <c r="P7" s="176"/>
      <c r="Q7" s="176"/>
      <c r="R7" s="176"/>
      <c r="S7" s="176"/>
      <c r="T7" s="176"/>
      <c r="U7" s="176"/>
      <c r="V7" s="176"/>
      <c r="W7" s="176"/>
      <c r="X7" s="176"/>
      <c r="Y7" s="176"/>
      <c r="Z7" s="176"/>
    </row>
    <row r="8">
      <c r="A8" s="249" t="s">
        <v>3</v>
      </c>
      <c r="B8" s="249" t="s">
        <v>6</v>
      </c>
      <c r="C8" s="329" t="s">
        <v>2875</v>
      </c>
      <c r="D8" s="268" t="s">
        <v>495</v>
      </c>
      <c r="E8" s="361">
        <v>44200.0</v>
      </c>
      <c r="F8" s="250" t="s">
        <v>496</v>
      </c>
      <c r="G8" s="243"/>
      <c r="H8" s="243"/>
      <c r="I8" s="243"/>
      <c r="J8" s="172">
        <f t="shared" si="2"/>
        <v>0</v>
      </c>
      <c r="K8" s="330">
        <v>1.644736842105263</v>
      </c>
      <c r="L8" s="327">
        <f t="shared" si="3"/>
        <v>54.27631579</v>
      </c>
      <c r="M8" s="321" t="str">
        <f t="shared" si="4"/>
        <v>zeptimusq</v>
      </c>
      <c r="N8" s="176">
        <f>IFERROR(__xludf.DUMMYFUNCTION("""COMPUTED_VALUE"""),5.0)</f>
        <v>5</v>
      </c>
      <c r="O8" s="176"/>
      <c r="P8" s="176"/>
      <c r="Q8" s="176"/>
      <c r="R8" s="176"/>
      <c r="S8" s="176"/>
      <c r="T8" s="176"/>
      <c r="U8" s="176"/>
      <c r="V8" s="176"/>
      <c r="W8" s="176"/>
      <c r="X8" s="176"/>
      <c r="Y8" s="176"/>
      <c r="Z8" s="176"/>
    </row>
    <row r="9">
      <c r="A9" s="249" t="s">
        <v>3</v>
      </c>
      <c r="B9" s="249" t="s">
        <v>519</v>
      </c>
      <c r="C9" s="329" t="s">
        <v>2876</v>
      </c>
      <c r="D9" s="268" t="s">
        <v>495</v>
      </c>
      <c r="E9" s="361">
        <v>44201.0</v>
      </c>
      <c r="F9" s="250" t="s">
        <v>499</v>
      </c>
      <c r="G9" s="243"/>
      <c r="H9" s="243"/>
      <c r="I9" s="243"/>
      <c r="J9" s="172">
        <f t="shared" si="2"/>
        <v>0</v>
      </c>
      <c r="K9" s="330">
        <v>1.644736842105263</v>
      </c>
      <c r="L9" s="327">
        <f t="shared" si="3"/>
        <v>54.27631579</v>
      </c>
      <c r="M9" s="321" t="str">
        <f t="shared" si="4"/>
        <v>zeptimusq</v>
      </c>
      <c r="N9" s="176">
        <f>IFERROR(__xludf.DUMMYFUNCTION("""COMPUTED_VALUE"""),6.0)</f>
        <v>6</v>
      </c>
      <c r="O9" s="176"/>
      <c r="P9" s="176"/>
      <c r="Q9" s="176"/>
      <c r="R9" s="176"/>
      <c r="S9" s="176"/>
      <c r="T9" s="176"/>
      <c r="U9" s="176"/>
      <c r="V9" s="176"/>
      <c r="W9" s="176"/>
      <c r="X9" s="176"/>
      <c r="Y9" s="176"/>
      <c r="Z9" s="176"/>
    </row>
    <row r="10">
      <c r="A10" s="249" t="s">
        <v>3</v>
      </c>
      <c r="B10" s="249" t="s">
        <v>519</v>
      </c>
      <c r="C10" s="329" t="s">
        <v>2877</v>
      </c>
      <c r="D10" s="268" t="s">
        <v>495</v>
      </c>
      <c r="E10" s="361">
        <v>44201.0</v>
      </c>
      <c r="F10" s="250" t="s">
        <v>499</v>
      </c>
      <c r="G10" s="243"/>
      <c r="H10" s="243"/>
      <c r="I10" s="243"/>
      <c r="J10" s="172">
        <f t="shared" si="2"/>
        <v>0</v>
      </c>
      <c r="K10" s="330">
        <v>1.644736842105263</v>
      </c>
      <c r="L10" s="327">
        <f t="shared" si="3"/>
        <v>54.27631579</v>
      </c>
      <c r="M10" s="321" t="str">
        <f t="shared" si="4"/>
        <v>zeptimusq</v>
      </c>
      <c r="N10" s="176">
        <f>IFERROR(__xludf.DUMMYFUNCTION("""COMPUTED_VALUE"""),7.0)</f>
        <v>7</v>
      </c>
      <c r="O10" s="176"/>
      <c r="P10" s="176"/>
      <c r="Q10" s="176"/>
      <c r="R10" s="176"/>
      <c r="S10" s="176"/>
      <c r="T10" s="176"/>
      <c r="U10" s="176"/>
      <c r="V10" s="176"/>
      <c r="W10" s="176"/>
      <c r="X10" s="176"/>
      <c r="Y10" s="176"/>
      <c r="Z10" s="176"/>
    </row>
    <row r="11">
      <c r="A11" s="249" t="s">
        <v>3</v>
      </c>
      <c r="B11" s="249" t="s">
        <v>519</v>
      </c>
      <c r="C11" s="329" t="s">
        <v>2878</v>
      </c>
      <c r="D11" s="268" t="s">
        <v>495</v>
      </c>
      <c r="E11" s="361">
        <v>44201.0</v>
      </c>
      <c r="F11" s="250" t="s">
        <v>499</v>
      </c>
      <c r="G11" s="243"/>
      <c r="H11" s="243"/>
      <c r="I11" s="243"/>
      <c r="J11" s="172">
        <f t="shared" si="2"/>
        <v>0</v>
      </c>
      <c r="K11" s="330">
        <v>1.644736842105263</v>
      </c>
      <c r="L11" s="327">
        <f t="shared" si="3"/>
        <v>54.27631579</v>
      </c>
      <c r="M11" s="321" t="str">
        <f t="shared" si="4"/>
        <v>zeptimusq</v>
      </c>
      <c r="N11" s="176">
        <f>IFERROR(__xludf.DUMMYFUNCTION("""COMPUTED_VALUE"""),8.0)</f>
        <v>8</v>
      </c>
      <c r="O11" s="176"/>
      <c r="P11" s="176"/>
      <c r="Q11" s="176"/>
      <c r="R11" s="176"/>
      <c r="S11" s="176"/>
      <c r="T11" s="176"/>
      <c r="U11" s="176"/>
      <c r="V11" s="176"/>
      <c r="W11" s="176"/>
      <c r="X11" s="176"/>
      <c r="Y11" s="176"/>
      <c r="Z11" s="176"/>
    </row>
    <row r="12">
      <c r="A12" s="249" t="s">
        <v>3</v>
      </c>
      <c r="B12" s="249" t="s">
        <v>10</v>
      </c>
      <c r="C12" s="329" t="s">
        <v>2879</v>
      </c>
      <c r="D12" s="268" t="s">
        <v>495</v>
      </c>
      <c r="E12" s="361">
        <v>44202.0</v>
      </c>
      <c r="F12" s="250" t="s">
        <v>496</v>
      </c>
      <c r="G12" s="243"/>
      <c r="H12" s="243"/>
      <c r="I12" s="243"/>
      <c r="J12" s="172">
        <f t="shared" si="2"/>
        <v>0</v>
      </c>
      <c r="K12" s="330">
        <v>1.644736842105263</v>
      </c>
      <c r="L12" s="327">
        <f t="shared" si="3"/>
        <v>54.27631579</v>
      </c>
      <c r="M12" s="321" t="str">
        <f t="shared" si="4"/>
        <v>zeptimusq</v>
      </c>
      <c r="N12" s="176">
        <f>IFERROR(__xludf.DUMMYFUNCTION("""COMPUTED_VALUE"""),9.0)</f>
        <v>9</v>
      </c>
      <c r="O12" s="176"/>
      <c r="P12" s="176"/>
      <c r="Q12" s="176"/>
      <c r="R12" s="176"/>
      <c r="S12" s="176"/>
      <c r="T12" s="176"/>
      <c r="U12" s="176"/>
      <c r="V12" s="176"/>
      <c r="W12" s="176"/>
      <c r="X12" s="176"/>
      <c r="Y12" s="176"/>
      <c r="Z12" s="176"/>
    </row>
    <row r="13">
      <c r="A13" s="249" t="s">
        <v>3</v>
      </c>
      <c r="B13" s="249" t="s">
        <v>867</v>
      </c>
      <c r="C13" s="329" t="s">
        <v>2880</v>
      </c>
      <c r="D13" s="268" t="s">
        <v>495</v>
      </c>
      <c r="E13" s="361">
        <v>44202.0</v>
      </c>
      <c r="F13" s="250" t="s">
        <v>496</v>
      </c>
      <c r="G13" s="243"/>
      <c r="H13" s="243"/>
      <c r="I13" s="243"/>
      <c r="J13" s="172">
        <f t="shared" si="2"/>
        <v>0</v>
      </c>
      <c r="K13" s="243"/>
      <c r="L13" s="327">
        <f t="shared" si="3"/>
        <v>54.27631579</v>
      </c>
      <c r="M13" s="321" t="str">
        <f t="shared" si="4"/>
        <v>zeptimusq</v>
      </c>
      <c r="N13" s="176">
        <f>IFERROR(__xludf.DUMMYFUNCTION("""COMPUTED_VALUE"""),10.0)</f>
        <v>10</v>
      </c>
      <c r="O13" s="176"/>
      <c r="P13" s="176"/>
      <c r="Q13" s="176"/>
      <c r="R13" s="176"/>
      <c r="S13" s="176"/>
      <c r="T13" s="176"/>
      <c r="U13" s="176"/>
      <c r="V13" s="176"/>
      <c r="W13" s="176"/>
      <c r="X13" s="176"/>
      <c r="Y13" s="176"/>
      <c r="Z13" s="176"/>
    </row>
    <row r="14">
      <c r="A14" s="249" t="s">
        <v>3</v>
      </c>
      <c r="B14" s="249" t="s">
        <v>10</v>
      </c>
      <c r="C14" s="329" t="s">
        <v>2881</v>
      </c>
      <c r="D14" s="268" t="s">
        <v>495</v>
      </c>
      <c r="E14" s="361">
        <v>44202.0</v>
      </c>
      <c r="F14" s="250" t="s">
        <v>496</v>
      </c>
      <c r="G14" s="243"/>
      <c r="H14" s="243"/>
      <c r="I14" s="243"/>
      <c r="J14" s="172">
        <f t="shared" si="2"/>
        <v>0</v>
      </c>
      <c r="K14" s="330">
        <v>1.644736842105263</v>
      </c>
      <c r="L14" s="327">
        <f t="shared" si="3"/>
        <v>54.27631579</v>
      </c>
      <c r="M14" s="321" t="str">
        <f t="shared" si="4"/>
        <v>zeptimusq</v>
      </c>
      <c r="N14" s="176">
        <f>IFERROR(__xludf.DUMMYFUNCTION("""COMPUTED_VALUE"""),11.0)</f>
        <v>11</v>
      </c>
      <c r="O14" s="176"/>
      <c r="P14" s="176"/>
      <c r="Q14" s="176"/>
      <c r="R14" s="176"/>
      <c r="S14" s="176"/>
      <c r="T14" s="176"/>
      <c r="U14" s="176"/>
      <c r="V14" s="176"/>
      <c r="W14" s="176"/>
      <c r="X14" s="176"/>
      <c r="Y14" s="176"/>
      <c r="Z14" s="176"/>
    </row>
    <row r="15">
      <c r="A15" s="249" t="s">
        <v>3</v>
      </c>
      <c r="B15" s="249" t="s">
        <v>18</v>
      </c>
      <c r="C15" s="329" t="s">
        <v>2882</v>
      </c>
      <c r="D15" s="268" t="s">
        <v>495</v>
      </c>
      <c r="E15" s="361">
        <v>44202.0</v>
      </c>
      <c r="F15" s="250" t="s">
        <v>496</v>
      </c>
      <c r="G15" s="243"/>
      <c r="H15" s="243"/>
      <c r="I15" s="243"/>
      <c r="J15" s="172">
        <f t="shared" si="2"/>
        <v>0</v>
      </c>
      <c r="K15" s="330">
        <v>1.644736842105263</v>
      </c>
      <c r="L15" s="327">
        <f t="shared" si="3"/>
        <v>54.27631579</v>
      </c>
      <c r="M15" s="321" t="str">
        <f t="shared" si="4"/>
        <v>zeptimusq</v>
      </c>
      <c r="N15" s="176">
        <f>IFERROR(__xludf.DUMMYFUNCTION("""COMPUTED_VALUE"""),12.0)</f>
        <v>12</v>
      </c>
      <c r="O15" s="176"/>
      <c r="P15" s="176"/>
      <c r="Q15" s="176"/>
      <c r="R15" s="176"/>
      <c r="S15" s="176"/>
      <c r="T15" s="176"/>
      <c r="U15" s="176"/>
      <c r="V15" s="176"/>
      <c r="W15" s="176"/>
      <c r="X15" s="176"/>
      <c r="Y15" s="176"/>
      <c r="Z15" s="176"/>
    </row>
    <row r="16">
      <c r="A16" s="249" t="s">
        <v>3</v>
      </c>
      <c r="B16" s="249" t="s">
        <v>18</v>
      </c>
      <c r="C16" s="329" t="s">
        <v>2883</v>
      </c>
      <c r="D16" s="268" t="s">
        <v>495</v>
      </c>
      <c r="E16" s="361">
        <v>44202.0</v>
      </c>
      <c r="F16" s="250" t="s">
        <v>496</v>
      </c>
      <c r="G16" s="243"/>
      <c r="H16" s="243"/>
      <c r="I16" s="243"/>
      <c r="J16" s="172">
        <f t="shared" si="2"/>
        <v>0</v>
      </c>
      <c r="K16" s="330">
        <v>1.644736842105263</v>
      </c>
      <c r="L16" s="327">
        <f t="shared" si="3"/>
        <v>54.27631579</v>
      </c>
      <c r="M16" s="321" t="str">
        <f t="shared" si="4"/>
        <v>zeptimusq</v>
      </c>
      <c r="N16" s="176">
        <f>IFERROR(__xludf.DUMMYFUNCTION("""COMPUTED_VALUE"""),13.0)</f>
        <v>13</v>
      </c>
      <c r="O16" s="176"/>
      <c r="P16" s="176"/>
      <c r="Q16" s="176"/>
      <c r="R16" s="176"/>
      <c r="S16" s="176"/>
      <c r="T16" s="176"/>
      <c r="U16" s="176"/>
      <c r="V16" s="176"/>
      <c r="W16" s="176"/>
      <c r="X16" s="176"/>
      <c r="Y16" s="176"/>
      <c r="Z16" s="176"/>
    </row>
    <row r="17">
      <c r="A17" s="249" t="s">
        <v>3</v>
      </c>
      <c r="B17" s="249" t="s">
        <v>590</v>
      </c>
      <c r="C17" s="329" t="s">
        <v>2884</v>
      </c>
      <c r="D17" s="268" t="s">
        <v>495</v>
      </c>
      <c r="E17" s="361">
        <v>44203.0</v>
      </c>
      <c r="F17" s="250" t="s">
        <v>496</v>
      </c>
      <c r="G17" s="243"/>
      <c r="H17" s="243"/>
      <c r="I17" s="243"/>
      <c r="J17" s="172">
        <f t="shared" si="2"/>
        <v>0</v>
      </c>
      <c r="K17" s="330">
        <v>1.644736842105263</v>
      </c>
      <c r="L17" s="327">
        <f t="shared" si="3"/>
        <v>54.27631579</v>
      </c>
      <c r="M17" s="321" t="str">
        <f t="shared" si="4"/>
        <v>zeptimusq</v>
      </c>
      <c r="N17" s="176">
        <f>IFERROR(__xludf.DUMMYFUNCTION("""COMPUTED_VALUE"""),14.0)</f>
        <v>14</v>
      </c>
      <c r="O17" s="176"/>
      <c r="P17" s="176"/>
      <c r="Q17" s="176"/>
      <c r="R17" s="176"/>
      <c r="S17" s="176"/>
      <c r="T17" s="176"/>
      <c r="U17" s="176"/>
      <c r="V17" s="176"/>
      <c r="W17" s="176"/>
      <c r="X17" s="176"/>
      <c r="Y17" s="176"/>
      <c r="Z17" s="176"/>
    </row>
    <row r="18">
      <c r="A18" s="249" t="s">
        <v>3</v>
      </c>
      <c r="B18" s="249" t="s">
        <v>25</v>
      </c>
      <c r="C18" s="329" t="s">
        <v>2885</v>
      </c>
      <c r="D18" s="268" t="s">
        <v>495</v>
      </c>
      <c r="E18" s="361">
        <v>44203.0</v>
      </c>
      <c r="F18" s="250" t="s">
        <v>496</v>
      </c>
      <c r="G18" s="243"/>
      <c r="H18" s="243"/>
      <c r="I18" s="243"/>
      <c r="J18" s="172">
        <f t="shared" si="2"/>
        <v>0</v>
      </c>
      <c r="K18" s="330">
        <v>1.644736842105263</v>
      </c>
      <c r="L18" s="327">
        <f t="shared" si="3"/>
        <v>54.27631579</v>
      </c>
      <c r="M18" s="321" t="str">
        <f t="shared" si="4"/>
        <v>zeptimusq</v>
      </c>
      <c r="N18" s="176">
        <f>IFERROR(__xludf.DUMMYFUNCTION("""COMPUTED_VALUE"""),15.0)</f>
        <v>15</v>
      </c>
      <c r="O18" s="176"/>
      <c r="P18" s="176"/>
      <c r="Q18" s="176"/>
      <c r="R18" s="176"/>
      <c r="S18" s="176"/>
      <c r="T18" s="176"/>
      <c r="U18" s="176"/>
      <c r="V18" s="176"/>
      <c r="W18" s="176"/>
      <c r="X18" s="176"/>
      <c r="Y18" s="176"/>
      <c r="Z18" s="176"/>
    </row>
    <row r="19">
      <c r="A19" s="249" t="s">
        <v>3</v>
      </c>
      <c r="B19" s="249" t="s">
        <v>10</v>
      </c>
      <c r="C19" s="329" t="s">
        <v>2886</v>
      </c>
      <c r="D19" s="268" t="s">
        <v>495</v>
      </c>
      <c r="E19" s="361">
        <v>44204.0</v>
      </c>
      <c r="F19" s="250" t="s">
        <v>496</v>
      </c>
      <c r="G19" s="243"/>
      <c r="H19" s="243"/>
      <c r="I19" s="243"/>
      <c r="J19" s="172">
        <f t="shared" si="2"/>
        <v>0</v>
      </c>
      <c r="K19" s="330">
        <v>1.644736842105263</v>
      </c>
      <c r="L19" s="327">
        <f t="shared" si="3"/>
        <v>54.27631579</v>
      </c>
      <c r="M19" s="321" t="str">
        <f t="shared" si="4"/>
        <v>zeptimusq</v>
      </c>
      <c r="N19" s="176">
        <f>IFERROR(__xludf.DUMMYFUNCTION("""COMPUTED_VALUE"""),16.0)</f>
        <v>16</v>
      </c>
      <c r="O19" s="176"/>
      <c r="P19" s="176"/>
      <c r="Q19" s="176"/>
      <c r="R19" s="176"/>
      <c r="S19" s="176"/>
      <c r="T19" s="176"/>
      <c r="U19" s="176"/>
      <c r="V19" s="176"/>
      <c r="W19" s="176"/>
      <c r="X19" s="176"/>
      <c r="Y19" s="176"/>
      <c r="Z19" s="176"/>
    </row>
    <row r="20">
      <c r="A20" s="249" t="s">
        <v>3</v>
      </c>
      <c r="B20" s="249" t="s">
        <v>10</v>
      </c>
      <c r="C20" s="329" t="s">
        <v>2887</v>
      </c>
      <c r="D20" s="268" t="s">
        <v>495</v>
      </c>
      <c r="E20" s="361">
        <v>44204.0</v>
      </c>
      <c r="F20" s="250" t="s">
        <v>496</v>
      </c>
      <c r="G20" s="243"/>
      <c r="H20" s="243"/>
      <c r="I20" s="243"/>
      <c r="J20" s="172">
        <f t="shared" si="2"/>
        <v>0</v>
      </c>
      <c r="K20" s="330">
        <v>1.644736842105263</v>
      </c>
      <c r="L20" s="327">
        <f t="shared" si="3"/>
        <v>54.27631579</v>
      </c>
      <c r="M20" s="321" t="str">
        <f t="shared" si="4"/>
        <v>zeptimusq</v>
      </c>
      <c r="N20" s="176">
        <f>IFERROR(__xludf.DUMMYFUNCTION("""COMPUTED_VALUE"""),17.0)</f>
        <v>17</v>
      </c>
      <c r="O20" s="176"/>
      <c r="P20" s="176"/>
      <c r="Q20" s="176"/>
      <c r="R20" s="176"/>
      <c r="S20" s="176"/>
      <c r="T20" s="176"/>
      <c r="U20" s="176"/>
      <c r="V20" s="176"/>
      <c r="W20" s="176"/>
      <c r="X20" s="176"/>
      <c r="Y20" s="176"/>
      <c r="Z20" s="176"/>
    </row>
    <row r="21">
      <c r="A21" s="249" t="s">
        <v>3</v>
      </c>
      <c r="B21" s="249" t="s">
        <v>10</v>
      </c>
      <c r="C21" s="329" t="s">
        <v>2888</v>
      </c>
      <c r="D21" s="268" t="s">
        <v>495</v>
      </c>
      <c r="E21" s="361">
        <v>44204.0</v>
      </c>
      <c r="F21" s="250" t="s">
        <v>496</v>
      </c>
      <c r="G21" s="243"/>
      <c r="H21" s="243"/>
      <c r="I21" s="243"/>
      <c r="J21" s="172">
        <f t="shared" si="2"/>
        <v>0</v>
      </c>
      <c r="K21" s="330">
        <v>1.644736842105263</v>
      </c>
      <c r="L21" s="327">
        <f t="shared" si="3"/>
        <v>54.27631579</v>
      </c>
      <c r="M21" s="321" t="str">
        <f t="shared" si="4"/>
        <v>zeptimusq</v>
      </c>
      <c r="N21" s="176">
        <f>IFERROR(__xludf.DUMMYFUNCTION("""COMPUTED_VALUE"""),18.0)</f>
        <v>18</v>
      </c>
      <c r="O21" s="176"/>
      <c r="P21" s="176"/>
      <c r="Q21" s="176"/>
      <c r="R21" s="176"/>
      <c r="S21" s="176"/>
      <c r="T21" s="176"/>
      <c r="U21" s="176"/>
      <c r="V21" s="176"/>
      <c r="W21" s="176"/>
      <c r="X21" s="176"/>
      <c r="Y21" s="176"/>
      <c r="Z21" s="176"/>
    </row>
    <row r="22">
      <c r="A22" s="249" t="s">
        <v>3</v>
      </c>
      <c r="B22" s="249" t="s">
        <v>29</v>
      </c>
      <c r="C22" s="329" t="s">
        <v>2889</v>
      </c>
      <c r="D22" s="268" t="s">
        <v>495</v>
      </c>
      <c r="E22" s="361">
        <v>44204.0</v>
      </c>
      <c r="F22" s="250" t="s">
        <v>592</v>
      </c>
      <c r="G22" s="243"/>
      <c r="H22" s="243"/>
      <c r="I22" s="243"/>
      <c r="J22" s="172">
        <f t="shared" si="2"/>
        <v>0</v>
      </c>
      <c r="K22" s="330">
        <v>1.644736842105263</v>
      </c>
      <c r="L22" s="327">
        <f t="shared" si="3"/>
        <v>54.27631579</v>
      </c>
      <c r="M22" s="321" t="str">
        <f t="shared" si="4"/>
        <v>zeptimusq</v>
      </c>
      <c r="N22" s="176">
        <f>IFERROR(__xludf.DUMMYFUNCTION("""COMPUTED_VALUE"""),19.0)</f>
        <v>19</v>
      </c>
      <c r="O22" s="176"/>
      <c r="P22" s="176"/>
      <c r="Q22" s="176"/>
      <c r="R22" s="176"/>
      <c r="S22" s="176"/>
      <c r="T22" s="176"/>
      <c r="U22" s="176"/>
      <c r="V22" s="176"/>
      <c r="W22" s="176"/>
      <c r="X22" s="176"/>
      <c r="Y22" s="176"/>
      <c r="Z22" s="176"/>
    </row>
    <row r="23">
      <c r="A23" s="249" t="s">
        <v>3</v>
      </c>
      <c r="B23" s="249" t="s">
        <v>10</v>
      </c>
      <c r="C23" s="329" t="s">
        <v>2890</v>
      </c>
      <c r="D23" s="268" t="s">
        <v>495</v>
      </c>
      <c r="E23" s="361">
        <v>44205.0</v>
      </c>
      <c r="F23" s="250" t="s">
        <v>496</v>
      </c>
      <c r="G23" s="243"/>
      <c r="H23" s="243"/>
      <c r="I23" s="243"/>
      <c r="J23" s="172">
        <f t="shared" si="2"/>
        <v>0</v>
      </c>
      <c r="K23" s="330">
        <v>1.644736842105263</v>
      </c>
      <c r="L23" s="327">
        <f t="shared" si="3"/>
        <v>54.27631579</v>
      </c>
      <c r="M23" s="321" t="str">
        <f t="shared" si="4"/>
        <v>zeptimusq</v>
      </c>
      <c r="N23" s="176">
        <f>IFERROR(__xludf.DUMMYFUNCTION("""COMPUTED_VALUE"""),20.0)</f>
        <v>20</v>
      </c>
      <c r="O23" s="176"/>
      <c r="P23" s="176"/>
      <c r="Q23" s="176"/>
      <c r="R23" s="176"/>
      <c r="S23" s="176"/>
      <c r="T23" s="176"/>
      <c r="U23" s="176"/>
      <c r="V23" s="176"/>
      <c r="W23" s="176"/>
      <c r="X23" s="176"/>
      <c r="Y23" s="176"/>
      <c r="Z23" s="176"/>
    </row>
    <row r="24">
      <c r="A24" s="249" t="s">
        <v>3</v>
      </c>
      <c r="B24" s="249" t="s">
        <v>868</v>
      </c>
      <c r="C24" s="329" t="s">
        <v>2891</v>
      </c>
      <c r="D24" s="268" t="s">
        <v>495</v>
      </c>
      <c r="E24" s="361">
        <v>44205.0</v>
      </c>
      <c r="F24" s="250" t="s">
        <v>496</v>
      </c>
      <c r="G24" s="243"/>
      <c r="H24" s="243"/>
      <c r="I24" s="243"/>
      <c r="J24" s="172">
        <f t="shared" si="2"/>
        <v>0</v>
      </c>
      <c r="K24" s="330">
        <v>1.644736842105263</v>
      </c>
      <c r="L24" s="327">
        <f t="shared" si="3"/>
        <v>54.27631579</v>
      </c>
      <c r="M24" s="321" t="str">
        <f t="shared" si="4"/>
        <v>zeptimusq</v>
      </c>
      <c r="N24" s="176">
        <f>IFERROR(__xludf.DUMMYFUNCTION("""COMPUTED_VALUE"""),21.0)</f>
        <v>21</v>
      </c>
      <c r="O24" s="176"/>
      <c r="P24" s="176"/>
      <c r="Q24" s="176"/>
      <c r="R24" s="176"/>
      <c r="S24" s="176"/>
      <c r="T24" s="176"/>
      <c r="U24" s="176"/>
      <c r="V24" s="176"/>
      <c r="W24" s="176"/>
      <c r="X24" s="176"/>
      <c r="Y24" s="176"/>
      <c r="Z24" s="176"/>
    </row>
    <row r="25">
      <c r="A25" s="249" t="s">
        <v>3</v>
      </c>
      <c r="B25" s="249" t="s">
        <v>1228</v>
      </c>
      <c r="C25" s="329" t="s">
        <v>2892</v>
      </c>
      <c r="D25" s="268" t="s">
        <v>495</v>
      </c>
      <c r="E25" s="251">
        <v>44206.0</v>
      </c>
      <c r="F25" s="250" t="s">
        <v>496</v>
      </c>
      <c r="G25" s="243"/>
      <c r="H25" s="243"/>
      <c r="I25" s="243"/>
      <c r="J25" s="172">
        <f t="shared" si="2"/>
        <v>0</v>
      </c>
      <c r="K25" s="330">
        <v>1.644736842105263</v>
      </c>
      <c r="L25" s="327">
        <f t="shared" si="3"/>
        <v>54.27631579</v>
      </c>
      <c r="M25" s="321" t="str">
        <f t="shared" si="4"/>
        <v>zeptimusq</v>
      </c>
      <c r="N25" s="176">
        <f>IFERROR(__xludf.DUMMYFUNCTION("""COMPUTED_VALUE"""),22.0)</f>
        <v>22</v>
      </c>
      <c r="O25" s="176"/>
      <c r="P25" s="176"/>
      <c r="Q25" s="176"/>
      <c r="R25" s="176"/>
      <c r="S25" s="176"/>
      <c r="T25" s="176"/>
      <c r="U25" s="176"/>
      <c r="V25" s="176"/>
      <c r="W25" s="176"/>
      <c r="X25" s="176"/>
      <c r="Y25" s="176"/>
      <c r="Z25" s="176"/>
    </row>
    <row r="26">
      <c r="A26" s="249" t="s">
        <v>3</v>
      </c>
      <c r="B26" s="249" t="s">
        <v>590</v>
      </c>
      <c r="C26" s="329" t="s">
        <v>2893</v>
      </c>
      <c r="D26" s="268" t="s">
        <v>495</v>
      </c>
      <c r="E26" s="251">
        <v>44208.0</v>
      </c>
      <c r="F26" s="250" t="s">
        <v>496</v>
      </c>
      <c r="G26" s="243"/>
      <c r="H26" s="243"/>
      <c r="I26" s="243"/>
      <c r="J26" s="172">
        <f t="shared" si="2"/>
        <v>0</v>
      </c>
      <c r="K26" s="330">
        <v>1.644736842105263</v>
      </c>
      <c r="L26" s="327">
        <f t="shared" si="3"/>
        <v>54.27631579</v>
      </c>
      <c r="M26" s="321" t="str">
        <f t="shared" si="4"/>
        <v>zeptimusq</v>
      </c>
      <c r="N26" s="176">
        <f>IFERROR(__xludf.DUMMYFUNCTION("""COMPUTED_VALUE"""),23.0)</f>
        <v>23</v>
      </c>
      <c r="O26" s="176"/>
      <c r="P26" s="176"/>
      <c r="Q26" s="176"/>
      <c r="R26" s="176"/>
      <c r="S26" s="176"/>
      <c r="T26" s="176"/>
      <c r="U26" s="176"/>
      <c r="V26" s="176"/>
      <c r="W26" s="176"/>
      <c r="X26" s="176"/>
      <c r="Y26" s="176"/>
      <c r="Z26" s="176"/>
    </row>
    <row r="27">
      <c r="A27" s="249" t="s">
        <v>3</v>
      </c>
      <c r="B27" s="249" t="s">
        <v>5</v>
      </c>
      <c r="C27" s="329" t="s">
        <v>2894</v>
      </c>
      <c r="D27" s="268" t="s">
        <v>495</v>
      </c>
      <c r="E27" s="251">
        <v>44210.0</v>
      </c>
      <c r="F27" s="250" t="s">
        <v>496</v>
      </c>
      <c r="G27" s="243"/>
      <c r="H27" s="243"/>
      <c r="I27" s="243"/>
      <c r="J27" s="172">
        <f t="shared" si="2"/>
        <v>0</v>
      </c>
      <c r="K27" s="330">
        <v>1.644736842105263</v>
      </c>
      <c r="L27" s="327">
        <f t="shared" si="3"/>
        <v>54.27631579</v>
      </c>
      <c r="M27" s="321" t="str">
        <f t="shared" si="4"/>
        <v>zeptimusq</v>
      </c>
      <c r="N27" s="176">
        <f>IFERROR(__xludf.DUMMYFUNCTION("""COMPUTED_VALUE"""),24.0)</f>
        <v>24</v>
      </c>
      <c r="O27" s="176"/>
      <c r="P27" s="176"/>
      <c r="Q27" s="176"/>
      <c r="R27" s="176"/>
      <c r="S27" s="176"/>
      <c r="T27" s="176"/>
      <c r="U27" s="176"/>
      <c r="V27" s="176"/>
      <c r="W27" s="176"/>
      <c r="X27" s="176"/>
      <c r="Y27" s="176"/>
      <c r="Z27" s="176"/>
    </row>
    <row r="28">
      <c r="A28" s="249" t="s">
        <v>3</v>
      </c>
      <c r="B28" s="249" t="s">
        <v>10</v>
      </c>
      <c r="C28" s="329" t="s">
        <v>494</v>
      </c>
      <c r="D28" s="268" t="s">
        <v>495</v>
      </c>
      <c r="E28" s="251">
        <v>44210.0</v>
      </c>
      <c r="F28" s="250" t="s">
        <v>545</v>
      </c>
      <c r="G28" s="243"/>
      <c r="H28" s="243"/>
      <c r="I28" s="243"/>
      <c r="J28" s="172">
        <f t="shared" si="2"/>
        <v>0</v>
      </c>
      <c r="K28" s="330">
        <v>1.644736842105263</v>
      </c>
      <c r="L28" s="327">
        <f t="shared" si="3"/>
        <v>54.27631579</v>
      </c>
      <c r="M28" s="321" t="str">
        <f t="shared" si="4"/>
        <v>zeptimusq</v>
      </c>
      <c r="N28" s="176">
        <f>IFERROR(__xludf.DUMMYFUNCTION("""COMPUTED_VALUE"""),25.0)</f>
        <v>25</v>
      </c>
      <c r="O28" s="176"/>
      <c r="P28" s="176"/>
      <c r="Q28" s="176"/>
      <c r="R28" s="176"/>
      <c r="S28" s="176"/>
      <c r="T28" s="176"/>
      <c r="U28" s="176"/>
      <c r="V28" s="176"/>
      <c r="W28" s="176"/>
      <c r="X28" s="176"/>
      <c r="Y28" s="176"/>
      <c r="Z28" s="176"/>
    </row>
    <row r="29">
      <c r="A29" s="249" t="s">
        <v>3</v>
      </c>
      <c r="B29" s="249" t="s">
        <v>519</v>
      </c>
      <c r="C29" s="329" t="s">
        <v>2895</v>
      </c>
      <c r="D29" s="268" t="s">
        <v>495</v>
      </c>
      <c r="E29" s="251">
        <v>44210.0</v>
      </c>
      <c r="F29" s="250" t="s">
        <v>496</v>
      </c>
      <c r="G29" s="243"/>
      <c r="H29" s="243"/>
      <c r="I29" s="243"/>
      <c r="J29" s="172">
        <f t="shared" si="2"/>
        <v>0</v>
      </c>
      <c r="K29" s="330">
        <v>1.644736842105263</v>
      </c>
      <c r="L29" s="327">
        <f t="shared" si="3"/>
        <v>54.27631579</v>
      </c>
      <c r="M29" s="321" t="str">
        <f t="shared" si="4"/>
        <v>zeptimusq</v>
      </c>
      <c r="N29" s="176">
        <f>IFERROR(__xludf.DUMMYFUNCTION("""COMPUTED_VALUE"""),26.0)</f>
        <v>26</v>
      </c>
      <c r="O29" s="176"/>
      <c r="P29" s="176"/>
      <c r="Q29" s="176"/>
      <c r="R29" s="176"/>
      <c r="S29" s="176"/>
      <c r="T29" s="176"/>
      <c r="U29" s="176"/>
      <c r="V29" s="176"/>
      <c r="W29" s="176"/>
      <c r="X29" s="176"/>
      <c r="Y29" s="176"/>
      <c r="Z29" s="176"/>
    </row>
    <row r="30">
      <c r="A30" s="249" t="s">
        <v>3</v>
      </c>
      <c r="B30" s="249" t="s">
        <v>10</v>
      </c>
      <c r="C30" s="329" t="s">
        <v>2896</v>
      </c>
      <c r="D30" s="268" t="s">
        <v>495</v>
      </c>
      <c r="E30" s="251">
        <v>44211.0</v>
      </c>
      <c r="F30" s="250" t="s">
        <v>496</v>
      </c>
      <c r="G30" s="243"/>
      <c r="H30" s="243"/>
      <c r="I30" s="243"/>
      <c r="J30" s="172">
        <f t="shared" si="2"/>
        <v>0</v>
      </c>
      <c r="K30" s="330">
        <v>1.644736842105263</v>
      </c>
      <c r="L30" s="327">
        <f t="shared" si="3"/>
        <v>54.27631579</v>
      </c>
      <c r="M30" s="321" t="str">
        <f t="shared" si="4"/>
        <v>zeptimusq</v>
      </c>
      <c r="N30" s="176">
        <f>IFERROR(__xludf.DUMMYFUNCTION("""COMPUTED_VALUE"""),27.0)</f>
        <v>27</v>
      </c>
      <c r="O30" s="176"/>
      <c r="P30" s="176"/>
      <c r="Q30" s="176"/>
      <c r="R30" s="176"/>
      <c r="S30" s="176"/>
      <c r="T30" s="176"/>
      <c r="U30" s="176"/>
      <c r="V30" s="176"/>
      <c r="W30" s="176"/>
      <c r="X30" s="176"/>
      <c r="Y30" s="176"/>
      <c r="Z30" s="176"/>
    </row>
    <row r="31">
      <c r="A31" s="249" t="s">
        <v>3</v>
      </c>
      <c r="B31" s="249" t="s">
        <v>18</v>
      </c>
      <c r="C31" s="329" t="s">
        <v>2897</v>
      </c>
      <c r="D31" s="268" t="s">
        <v>495</v>
      </c>
      <c r="E31" s="251">
        <v>44211.0</v>
      </c>
      <c r="F31" s="250" t="s">
        <v>496</v>
      </c>
      <c r="G31" s="243"/>
      <c r="H31" s="243"/>
      <c r="I31" s="243"/>
      <c r="J31" s="172">
        <f t="shared" si="2"/>
        <v>0</v>
      </c>
      <c r="K31" s="330">
        <v>1.644736842105263</v>
      </c>
      <c r="L31" s="327">
        <f t="shared" si="3"/>
        <v>54.27631579</v>
      </c>
      <c r="M31" s="321" t="str">
        <f t="shared" si="4"/>
        <v>zeptimusq</v>
      </c>
      <c r="N31" s="176">
        <f>IFERROR(__xludf.DUMMYFUNCTION("""COMPUTED_VALUE"""),28.0)</f>
        <v>28</v>
      </c>
      <c r="O31" s="176"/>
      <c r="P31" s="176"/>
      <c r="Q31" s="176"/>
      <c r="R31" s="176"/>
      <c r="S31" s="176"/>
      <c r="T31" s="176"/>
      <c r="U31" s="176"/>
      <c r="V31" s="176"/>
      <c r="W31" s="176"/>
      <c r="X31" s="176"/>
      <c r="Y31" s="176"/>
      <c r="Z31" s="176"/>
    </row>
    <row r="32">
      <c r="A32" s="249" t="s">
        <v>3</v>
      </c>
      <c r="B32" s="249" t="s">
        <v>18</v>
      </c>
      <c r="C32" s="329" t="s">
        <v>2898</v>
      </c>
      <c r="D32" s="268" t="s">
        <v>495</v>
      </c>
      <c r="E32" s="251">
        <v>44211.0</v>
      </c>
      <c r="F32" s="250" t="s">
        <v>496</v>
      </c>
      <c r="G32" s="243"/>
      <c r="H32" s="243"/>
      <c r="I32" s="243"/>
      <c r="J32" s="172">
        <f t="shared" si="2"/>
        <v>0</v>
      </c>
      <c r="K32" s="330">
        <v>1.644736842105263</v>
      </c>
      <c r="L32" s="327">
        <f t="shared" si="3"/>
        <v>54.27631579</v>
      </c>
      <c r="M32" s="321" t="str">
        <f t="shared" si="4"/>
        <v>zeptimusq</v>
      </c>
      <c r="N32" s="176">
        <f>IFERROR(__xludf.DUMMYFUNCTION("""COMPUTED_VALUE"""),29.0)</f>
        <v>29</v>
      </c>
      <c r="O32" s="176"/>
      <c r="P32" s="176"/>
      <c r="Q32" s="176"/>
      <c r="R32" s="176"/>
      <c r="S32" s="176"/>
      <c r="T32" s="176"/>
      <c r="U32" s="176"/>
      <c r="V32" s="176"/>
      <c r="W32" s="176"/>
      <c r="X32" s="176"/>
      <c r="Y32" s="176"/>
      <c r="Z32" s="176"/>
    </row>
    <row r="33">
      <c r="A33" s="249" t="s">
        <v>3</v>
      </c>
      <c r="B33" s="249" t="s">
        <v>18</v>
      </c>
      <c r="C33" s="329" t="s">
        <v>2899</v>
      </c>
      <c r="D33" s="268" t="s">
        <v>495</v>
      </c>
      <c r="E33" s="251">
        <v>44211.0</v>
      </c>
      <c r="F33" s="250" t="s">
        <v>496</v>
      </c>
      <c r="G33" s="243"/>
      <c r="H33" s="243"/>
      <c r="I33" s="243"/>
      <c r="J33" s="172">
        <f t="shared" si="2"/>
        <v>0</v>
      </c>
      <c r="K33" s="330">
        <v>1.644736842105263</v>
      </c>
      <c r="L33" s="327">
        <f t="shared" si="3"/>
        <v>54.27631579</v>
      </c>
      <c r="M33" s="321" t="str">
        <f t="shared" si="4"/>
        <v>zeptimusq</v>
      </c>
      <c r="N33" s="176">
        <f>IFERROR(__xludf.DUMMYFUNCTION("""COMPUTED_VALUE"""),30.0)</f>
        <v>30</v>
      </c>
      <c r="O33" s="176"/>
      <c r="P33" s="176"/>
      <c r="Q33" s="176"/>
      <c r="R33" s="176"/>
      <c r="S33" s="176"/>
      <c r="T33" s="176"/>
      <c r="U33" s="176"/>
      <c r="V33" s="176"/>
      <c r="W33" s="176"/>
      <c r="X33" s="176"/>
      <c r="Y33" s="176"/>
      <c r="Z33" s="176"/>
    </row>
    <row r="34">
      <c r="A34" s="249" t="s">
        <v>3</v>
      </c>
      <c r="B34" s="249" t="s">
        <v>18</v>
      </c>
      <c r="C34" s="329" t="s">
        <v>2900</v>
      </c>
      <c r="D34" s="268" t="s">
        <v>495</v>
      </c>
      <c r="E34" s="251">
        <v>44211.0</v>
      </c>
      <c r="F34" s="250" t="s">
        <v>496</v>
      </c>
      <c r="G34" s="243"/>
      <c r="H34" s="243"/>
      <c r="I34" s="243"/>
      <c r="J34" s="172">
        <f t="shared" si="2"/>
        <v>0</v>
      </c>
      <c r="K34" s="330">
        <v>1.644736842105263</v>
      </c>
      <c r="L34" s="327">
        <f t="shared" si="3"/>
        <v>54.27631579</v>
      </c>
      <c r="M34" s="321" t="str">
        <f t="shared" si="4"/>
        <v>zeptimusq</v>
      </c>
      <c r="N34" s="176">
        <f>IFERROR(__xludf.DUMMYFUNCTION("""COMPUTED_VALUE"""),31.0)</f>
        <v>31</v>
      </c>
      <c r="O34" s="176"/>
      <c r="P34" s="176"/>
      <c r="Q34" s="176"/>
      <c r="R34" s="176"/>
      <c r="S34" s="176"/>
      <c r="T34" s="176"/>
      <c r="U34" s="176"/>
      <c r="V34" s="176"/>
      <c r="W34" s="176"/>
      <c r="X34" s="176"/>
      <c r="Y34" s="176"/>
      <c r="Z34" s="176"/>
    </row>
    <row r="35">
      <c r="A35" s="249" t="s">
        <v>3</v>
      </c>
      <c r="B35" s="249" t="s">
        <v>1228</v>
      </c>
      <c r="C35" s="329" t="s">
        <v>2901</v>
      </c>
      <c r="D35" s="268" t="s">
        <v>495</v>
      </c>
      <c r="E35" s="251">
        <v>44211.0</v>
      </c>
      <c r="F35" s="250" t="s">
        <v>496</v>
      </c>
      <c r="G35" s="243"/>
      <c r="H35" s="243"/>
      <c r="I35" s="243"/>
      <c r="J35" s="172">
        <f t="shared" si="2"/>
        <v>0</v>
      </c>
      <c r="K35" s="330">
        <v>1.644736842105263</v>
      </c>
      <c r="L35" s="327">
        <f t="shared" si="3"/>
        <v>54.27631579</v>
      </c>
      <c r="M35" s="321" t="str">
        <f t="shared" si="4"/>
        <v>zeptimusq</v>
      </c>
      <c r="N35" s="176">
        <f>IFERROR(__xludf.DUMMYFUNCTION("""COMPUTED_VALUE"""),32.0)</f>
        <v>32</v>
      </c>
      <c r="O35" s="176"/>
      <c r="P35" s="176"/>
      <c r="Q35" s="176"/>
      <c r="R35" s="176"/>
      <c r="S35" s="176"/>
      <c r="T35" s="176"/>
      <c r="U35" s="176"/>
      <c r="V35" s="176"/>
      <c r="W35" s="176"/>
      <c r="X35" s="176"/>
      <c r="Y35" s="176"/>
      <c r="Z35" s="176"/>
    </row>
    <row r="36">
      <c r="A36" s="249" t="s">
        <v>3</v>
      </c>
      <c r="B36" s="249" t="s">
        <v>1228</v>
      </c>
      <c r="C36" s="329" t="s">
        <v>2902</v>
      </c>
      <c r="D36" s="268" t="s">
        <v>495</v>
      </c>
      <c r="E36" s="251">
        <v>44211.0</v>
      </c>
      <c r="F36" s="250" t="s">
        <v>496</v>
      </c>
      <c r="G36" s="243"/>
      <c r="H36" s="243"/>
      <c r="I36" s="243"/>
      <c r="J36" s="172">
        <f t="shared" si="2"/>
        <v>0</v>
      </c>
      <c r="K36" s="330">
        <v>1.644736842105263</v>
      </c>
      <c r="L36" s="327">
        <f t="shared" si="3"/>
        <v>54.27631579</v>
      </c>
      <c r="M36" s="321" t="str">
        <f t="shared" si="4"/>
        <v>zeptimusq</v>
      </c>
      <c r="N36" s="176">
        <f>IFERROR(__xludf.DUMMYFUNCTION("""COMPUTED_VALUE"""),33.0)</f>
        <v>33</v>
      </c>
      <c r="O36" s="176"/>
      <c r="P36" s="176"/>
      <c r="Q36" s="176"/>
      <c r="R36" s="176"/>
      <c r="S36" s="176"/>
      <c r="T36" s="176"/>
      <c r="U36" s="176"/>
      <c r="V36" s="176"/>
      <c r="W36" s="176"/>
      <c r="X36" s="176"/>
      <c r="Y36" s="176"/>
      <c r="Z36" s="176"/>
    </row>
    <row r="37">
      <c r="A37" s="249" t="s">
        <v>3</v>
      </c>
      <c r="B37" s="249" t="s">
        <v>868</v>
      </c>
      <c r="C37" s="329" t="s">
        <v>2903</v>
      </c>
      <c r="D37" s="268" t="s">
        <v>495</v>
      </c>
      <c r="E37" s="251">
        <v>44211.0</v>
      </c>
      <c r="F37" s="250" t="s">
        <v>496</v>
      </c>
      <c r="G37" s="243"/>
      <c r="H37" s="243"/>
      <c r="I37" s="243"/>
      <c r="J37" s="172">
        <f t="shared" si="2"/>
        <v>0</v>
      </c>
      <c r="K37" s="330">
        <v>1.644736842105263</v>
      </c>
      <c r="L37" s="327">
        <f t="shared" si="3"/>
        <v>54.27631579</v>
      </c>
      <c r="M37" s="321" t="str">
        <f t="shared" si="4"/>
        <v>zeptimusq</v>
      </c>
      <c r="N37" s="176">
        <f>IFERROR(__xludf.DUMMYFUNCTION("""COMPUTED_VALUE"""),34.0)</f>
        <v>34</v>
      </c>
      <c r="O37" s="176"/>
      <c r="P37" s="176"/>
      <c r="Q37" s="176"/>
      <c r="R37" s="176"/>
      <c r="S37" s="176"/>
      <c r="T37" s="176"/>
      <c r="U37" s="176"/>
      <c r="V37" s="176"/>
      <c r="W37" s="176"/>
      <c r="X37" s="176"/>
      <c r="Y37" s="176"/>
      <c r="Z37" s="176"/>
    </row>
    <row r="38">
      <c r="A38" s="249" t="s">
        <v>4</v>
      </c>
      <c r="B38" s="249" t="s">
        <v>10</v>
      </c>
      <c r="C38" s="219" t="s">
        <v>2904</v>
      </c>
      <c r="D38" s="268" t="s">
        <v>495</v>
      </c>
      <c r="E38" s="361">
        <v>44198.0</v>
      </c>
      <c r="F38" s="250" t="s">
        <v>496</v>
      </c>
      <c r="G38" s="171">
        <v>500.0</v>
      </c>
      <c r="H38" s="171">
        <v>550.0</v>
      </c>
      <c r="I38" s="171">
        <v>550.0</v>
      </c>
      <c r="J38" s="325">
        <f t="shared" si="2"/>
        <v>0.01368865153</v>
      </c>
      <c r="K38" s="326">
        <f t="shared" ref="K38:K76" si="5">J38*$J$1</f>
        <v>10.26648865</v>
      </c>
      <c r="L38" s="327">
        <f t="shared" si="3"/>
        <v>41.78200275</v>
      </c>
      <c r="M38" s="321" t="str">
        <f t="shared" si="4"/>
        <v>santigs67</v>
      </c>
      <c r="N38" s="209">
        <f>IFERROR(__xludf.DUMMYFUNCTION("""COMPUTED_VALUE"""),1.0)</f>
        <v>1</v>
      </c>
      <c r="O38" s="176"/>
      <c r="P38" s="176"/>
      <c r="Q38" s="176"/>
      <c r="R38" s="176"/>
      <c r="S38" s="176"/>
      <c r="T38" s="176"/>
      <c r="U38" s="176"/>
      <c r="V38" s="176"/>
      <c r="W38" s="176"/>
      <c r="X38" s="176"/>
      <c r="Y38" s="176"/>
      <c r="Z38" s="176"/>
    </row>
    <row r="39">
      <c r="A39" s="249" t="s">
        <v>4</v>
      </c>
      <c r="B39" s="249" t="s">
        <v>1228</v>
      </c>
      <c r="C39" s="219" t="s">
        <v>2874</v>
      </c>
      <c r="D39" s="268" t="s">
        <v>495</v>
      </c>
      <c r="E39" s="361">
        <v>44198.0</v>
      </c>
      <c r="F39" s="250" t="s">
        <v>496</v>
      </c>
      <c r="G39" s="171">
        <v>20.0</v>
      </c>
      <c r="H39" s="171">
        <v>25.0</v>
      </c>
      <c r="I39" s="171">
        <v>15.0</v>
      </c>
      <c r="J39" s="325">
        <f t="shared" si="2"/>
        <v>0.0005212732072</v>
      </c>
      <c r="K39" s="326">
        <f t="shared" si="5"/>
        <v>0.3909549054</v>
      </c>
      <c r="L39" s="327">
        <f t="shared" si="3"/>
        <v>41.78200275</v>
      </c>
      <c r="M39" s="321" t="str">
        <f t="shared" si="4"/>
        <v>santigs67</v>
      </c>
      <c r="N39" s="209">
        <f>IFERROR(__xludf.DUMMYFUNCTION("""COMPUTED_VALUE"""),2.0)</f>
        <v>2</v>
      </c>
      <c r="O39" s="176"/>
      <c r="P39" s="176"/>
      <c r="Q39" s="176"/>
      <c r="R39" s="176"/>
      <c r="S39" s="176"/>
      <c r="T39" s="176"/>
      <c r="U39" s="176"/>
      <c r="V39" s="176"/>
      <c r="W39" s="176"/>
      <c r="X39" s="176"/>
      <c r="Y39" s="176"/>
      <c r="Z39" s="176"/>
    </row>
    <row r="40">
      <c r="A40" s="249" t="s">
        <v>4</v>
      </c>
      <c r="B40" s="249" t="s">
        <v>519</v>
      </c>
      <c r="C40" s="219" t="s">
        <v>2905</v>
      </c>
      <c r="D40" s="268" t="s">
        <v>495</v>
      </c>
      <c r="E40" s="361">
        <v>44200.0</v>
      </c>
      <c r="F40" s="250" t="s">
        <v>499</v>
      </c>
      <c r="G40" s="171">
        <v>45.0</v>
      </c>
      <c r="H40" s="171">
        <v>25.0</v>
      </c>
      <c r="I40" s="171">
        <v>10.0</v>
      </c>
      <c r="J40" s="325">
        <f t="shared" si="2"/>
        <v>0.0006846054904</v>
      </c>
      <c r="K40" s="326">
        <f t="shared" si="5"/>
        <v>0.5134541178</v>
      </c>
      <c r="L40" s="327">
        <f t="shared" si="3"/>
        <v>41.78200275</v>
      </c>
      <c r="M40" s="321" t="str">
        <f t="shared" si="4"/>
        <v>santigs67</v>
      </c>
      <c r="N40" s="209">
        <f>IFERROR(__xludf.DUMMYFUNCTION("""COMPUTED_VALUE"""),3.0)</f>
        <v>3</v>
      </c>
      <c r="O40" s="176"/>
      <c r="P40" s="176"/>
      <c r="Q40" s="176"/>
      <c r="R40" s="176"/>
      <c r="S40" s="176"/>
      <c r="T40" s="176"/>
      <c r="U40" s="176"/>
      <c r="V40" s="176"/>
      <c r="W40" s="176"/>
      <c r="X40" s="176"/>
      <c r="Y40" s="176"/>
      <c r="Z40" s="176"/>
    </row>
    <row r="41">
      <c r="A41" s="249" t="s">
        <v>4</v>
      </c>
      <c r="B41" s="249" t="s">
        <v>519</v>
      </c>
      <c r="C41" s="219" t="s">
        <v>2876</v>
      </c>
      <c r="D41" s="268" t="s">
        <v>495</v>
      </c>
      <c r="E41" s="361">
        <v>44201.0</v>
      </c>
      <c r="F41" s="250" t="s">
        <v>499</v>
      </c>
      <c r="G41" s="171">
        <v>60.0</v>
      </c>
      <c r="H41" s="171">
        <v>100.0</v>
      </c>
      <c r="I41" s="171">
        <v>60.0</v>
      </c>
      <c r="J41" s="325">
        <f t="shared" si="2"/>
        <v>0.001922898666</v>
      </c>
      <c r="K41" s="326">
        <f t="shared" si="5"/>
        <v>1.442174</v>
      </c>
      <c r="L41" s="327">
        <f t="shared" si="3"/>
        <v>41.78200275</v>
      </c>
      <c r="M41" s="321" t="str">
        <f t="shared" si="4"/>
        <v>santigs67</v>
      </c>
      <c r="N41" s="209">
        <f>IFERROR(__xludf.DUMMYFUNCTION("""COMPUTED_VALUE"""),4.0)</f>
        <v>4</v>
      </c>
      <c r="O41" s="176"/>
      <c r="P41" s="176"/>
      <c r="Q41" s="176"/>
      <c r="R41" s="176"/>
      <c r="S41" s="176"/>
      <c r="T41" s="176"/>
      <c r="U41" s="176"/>
      <c r="V41" s="176"/>
      <c r="W41" s="176"/>
      <c r="X41" s="176"/>
      <c r="Y41" s="176"/>
      <c r="Z41" s="176"/>
    </row>
    <row r="42">
      <c r="A42" s="249" t="s">
        <v>4</v>
      </c>
      <c r="B42" s="249" t="s">
        <v>519</v>
      </c>
      <c r="C42" s="219" t="s">
        <v>2877</v>
      </c>
      <c r="D42" s="268" t="s">
        <v>495</v>
      </c>
      <c r="E42" s="361">
        <v>44201.0</v>
      </c>
      <c r="F42" s="250" t="s">
        <v>499</v>
      </c>
      <c r="G42" s="171">
        <v>125.0</v>
      </c>
      <c r="H42" s="171">
        <v>100.0</v>
      </c>
      <c r="I42" s="171">
        <v>130.0</v>
      </c>
      <c r="J42" s="325">
        <f t="shared" si="2"/>
        <v>0.003001775576</v>
      </c>
      <c r="K42" s="326">
        <f t="shared" si="5"/>
        <v>2.251331682</v>
      </c>
      <c r="L42" s="327">
        <f t="shared" si="3"/>
        <v>41.78200275</v>
      </c>
      <c r="M42" s="321" t="str">
        <f t="shared" si="4"/>
        <v>santigs67</v>
      </c>
      <c r="N42" s="209">
        <f>IFERROR(__xludf.DUMMYFUNCTION("""COMPUTED_VALUE"""),5.0)</f>
        <v>5</v>
      </c>
      <c r="O42" s="176"/>
      <c r="P42" s="176"/>
      <c r="Q42" s="176"/>
      <c r="R42" s="176"/>
      <c r="S42" s="176"/>
      <c r="T42" s="176"/>
      <c r="U42" s="176"/>
      <c r="V42" s="176"/>
      <c r="W42" s="176"/>
      <c r="X42" s="176"/>
      <c r="Y42" s="176"/>
      <c r="Z42" s="176"/>
    </row>
    <row r="43">
      <c r="A43" s="249" t="s">
        <v>4</v>
      </c>
      <c r="B43" s="249" t="s">
        <v>18</v>
      </c>
      <c r="C43" s="219" t="s">
        <v>2883</v>
      </c>
      <c r="D43" s="268" t="s">
        <v>495</v>
      </c>
      <c r="E43" s="361">
        <v>44202.0</v>
      </c>
      <c r="F43" s="250" t="s">
        <v>496</v>
      </c>
      <c r="G43" s="171">
        <v>45.0</v>
      </c>
      <c r="H43" s="171">
        <v>55.0</v>
      </c>
      <c r="I43" s="171">
        <v>45.0</v>
      </c>
      <c r="J43" s="325">
        <f t="shared" si="2"/>
        <v>0.001249495772</v>
      </c>
      <c r="K43" s="326">
        <f t="shared" si="5"/>
        <v>0.9371218291</v>
      </c>
      <c r="L43" s="327">
        <f t="shared" si="3"/>
        <v>41.78200275</v>
      </c>
      <c r="M43" s="321" t="str">
        <f t="shared" si="4"/>
        <v>santigs67</v>
      </c>
      <c r="N43" s="209">
        <f>IFERROR(__xludf.DUMMYFUNCTION("""COMPUTED_VALUE"""),6.0)</f>
        <v>6</v>
      </c>
      <c r="O43" s="176"/>
      <c r="P43" s="176"/>
      <c r="Q43" s="176"/>
      <c r="R43" s="176"/>
      <c r="S43" s="176"/>
      <c r="T43" s="176"/>
      <c r="U43" s="176"/>
      <c r="V43" s="176"/>
      <c r="W43" s="176"/>
      <c r="X43" s="176"/>
      <c r="Y43" s="176"/>
      <c r="Z43" s="176"/>
    </row>
    <row r="44">
      <c r="A44" s="249" t="s">
        <v>4</v>
      </c>
      <c r="B44" s="249" t="s">
        <v>25</v>
      </c>
      <c r="C44" s="219" t="s">
        <v>2906</v>
      </c>
      <c r="D44" s="268" t="s">
        <v>495</v>
      </c>
      <c r="E44" s="361">
        <v>44203.0</v>
      </c>
      <c r="F44" s="250" t="s">
        <v>496</v>
      </c>
      <c r="G44" s="171">
        <v>200.0</v>
      </c>
      <c r="H44" s="171">
        <v>300.0</v>
      </c>
      <c r="I44" s="171">
        <v>250.0</v>
      </c>
      <c r="J44" s="325">
        <f t="shared" si="2"/>
        <v>0.006482636042</v>
      </c>
      <c r="K44" s="326">
        <f t="shared" si="5"/>
        <v>4.861977032</v>
      </c>
      <c r="L44" s="327">
        <f t="shared" si="3"/>
        <v>41.78200275</v>
      </c>
      <c r="M44" s="321" t="str">
        <f t="shared" si="4"/>
        <v>santigs67</v>
      </c>
      <c r="N44" s="209">
        <f>IFERROR(__xludf.DUMMYFUNCTION("""COMPUTED_VALUE"""),7.0)</f>
        <v>7</v>
      </c>
      <c r="O44" s="176"/>
      <c r="P44" s="176"/>
      <c r="Q44" s="176"/>
      <c r="R44" s="176"/>
      <c r="S44" s="176"/>
      <c r="T44" s="176"/>
      <c r="U44" s="176"/>
      <c r="V44" s="176"/>
      <c r="W44" s="176"/>
      <c r="X44" s="176"/>
      <c r="Y44" s="176"/>
      <c r="Z44" s="176"/>
    </row>
    <row r="45">
      <c r="A45" s="249" t="s">
        <v>4</v>
      </c>
      <c r="B45" s="249" t="s">
        <v>10</v>
      </c>
      <c r="C45" s="219" t="s">
        <v>2907</v>
      </c>
      <c r="D45" s="268" t="s">
        <v>495</v>
      </c>
      <c r="E45" s="361">
        <v>44204.0</v>
      </c>
      <c r="F45" s="250" t="s">
        <v>496</v>
      </c>
      <c r="G45" s="171">
        <v>200.0</v>
      </c>
      <c r="H45" s="171">
        <v>255.0</v>
      </c>
      <c r="I45" s="171">
        <v>200.0</v>
      </c>
      <c r="J45" s="325">
        <f t="shared" si="2"/>
        <v>0.00565500583</v>
      </c>
      <c r="K45" s="326">
        <f t="shared" si="5"/>
        <v>4.241254372</v>
      </c>
      <c r="L45" s="327">
        <f t="shared" si="3"/>
        <v>41.78200275</v>
      </c>
      <c r="M45" s="321" t="str">
        <f t="shared" si="4"/>
        <v>santigs67</v>
      </c>
      <c r="N45" s="209">
        <f>IFERROR(__xludf.DUMMYFUNCTION("""COMPUTED_VALUE"""),8.0)</f>
        <v>8</v>
      </c>
      <c r="O45" s="176"/>
      <c r="P45" s="176"/>
      <c r="Q45" s="176"/>
      <c r="R45" s="176"/>
      <c r="S45" s="176"/>
      <c r="T45" s="176"/>
      <c r="U45" s="176"/>
      <c r="V45" s="176"/>
      <c r="W45" s="176"/>
      <c r="X45" s="176"/>
      <c r="Y45" s="176"/>
      <c r="Z45" s="176"/>
    </row>
    <row r="46">
      <c r="A46" s="249" t="s">
        <v>4</v>
      </c>
      <c r="B46" s="249" t="s">
        <v>10</v>
      </c>
      <c r="C46" s="219" t="s">
        <v>2887</v>
      </c>
      <c r="D46" s="268" t="s">
        <v>495</v>
      </c>
      <c r="E46" s="361">
        <v>44204.0</v>
      </c>
      <c r="F46" s="250" t="s">
        <v>496</v>
      </c>
      <c r="G46" s="171">
        <v>150.0</v>
      </c>
      <c r="H46" s="171">
        <v>155.0</v>
      </c>
      <c r="I46" s="171">
        <v>330.0</v>
      </c>
      <c r="J46" s="325">
        <f t="shared" si="2"/>
        <v>0.005310800209</v>
      </c>
      <c r="K46" s="326">
        <f t="shared" si="5"/>
        <v>3.983100157</v>
      </c>
      <c r="L46" s="327">
        <f t="shared" si="3"/>
        <v>41.78200275</v>
      </c>
      <c r="M46" s="321" t="str">
        <f t="shared" si="4"/>
        <v>santigs67</v>
      </c>
      <c r="N46" s="209">
        <f>IFERROR(__xludf.DUMMYFUNCTION("""COMPUTED_VALUE"""),9.0)</f>
        <v>9</v>
      </c>
      <c r="O46" s="176"/>
      <c r="P46" s="176"/>
      <c r="Q46" s="176"/>
      <c r="R46" s="176"/>
      <c r="S46" s="176"/>
      <c r="T46" s="176"/>
      <c r="U46" s="176"/>
      <c r="V46" s="176"/>
      <c r="W46" s="176"/>
      <c r="X46" s="176"/>
      <c r="Y46" s="176"/>
      <c r="Z46" s="176"/>
    </row>
    <row r="47">
      <c r="A47" s="249" t="s">
        <v>4</v>
      </c>
      <c r="B47" s="249" t="s">
        <v>10</v>
      </c>
      <c r="C47" s="219" t="s">
        <v>2888</v>
      </c>
      <c r="D47" s="268" t="s">
        <v>495</v>
      </c>
      <c r="E47" s="361">
        <v>44204.0</v>
      </c>
      <c r="F47" s="250" t="s">
        <v>496</v>
      </c>
      <c r="G47" s="171">
        <v>20.0</v>
      </c>
      <c r="H47" s="171">
        <v>25.0</v>
      </c>
      <c r="I47" s="171">
        <v>20.0</v>
      </c>
      <c r="J47" s="325">
        <f t="shared" si="2"/>
        <v>0.0005606836273</v>
      </c>
      <c r="K47" s="326">
        <f t="shared" si="5"/>
        <v>0.4205127205</v>
      </c>
      <c r="L47" s="327">
        <f t="shared" si="3"/>
        <v>41.78200275</v>
      </c>
      <c r="M47" s="321" t="str">
        <f t="shared" si="4"/>
        <v>santigs67</v>
      </c>
      <c r="N47" s="209">
        <f>IFERROR(__xludf.DUMMYFUNCTION("""COMPUTED_VALUE"""),10.0)</f>
        <v>10</v>
      </c>
      <c r="O47" s="176"/>
      <c r="P47" s="176"/>
      <c r="Q47" s="176"/>
      <c r="R47" s="176"/>
      <c r="S47" s="176"/>
      <c r="T47" s="176"/>
      <c r="U47" s="176"/>
      <c r="V47" s="176"/>
      <c r="W47" s="176"/>
      <c r="X47" s="176"/>
      <c r="Y47" s="176"/>
      <c r="Z47" s="176"/>
    </row>
    <row r="48">
      <c r="A48" s="249" t="s">
        <v>4</v>
      </c>
      <c r="B48" s="249" t="s">
        <v>10</v>
      </c>
      <c r="C48" s="219" t="s">
        <v>2908</v>
      </c>
      <c r="D48" s="268" t="s">
        <v>495</v>
      </c>
      <c r="E48" s="361">
        <v>44205.0</v>
      </c>
      <c r="F48" s="250" t="s">
        <v>545</v>
      </c>
      <c r="G48" s="171">
        <v>40.0</v>
      </c>
      <c r="H48" s="171">
        <v>25.0</v>
      </c>
      <c r="I48" s="171">
        <v>10.0</v>
      </c>
      <c r="J48" s="325">
        <f t="shared" si="2"/>
        <v>0.0006440569497</v>
      </c>
      <c r="K48" s="326">
        <f t="shared" si="5"/>
        <v>0.4830427123</v>
      </c>
      <c r="L48" s="327">
        <f t="shared" si="3"/>
        <v>41.78200275</v>
      </c>
      <c r="M48" s="321" t="str">
        <f t="shared" si="4"/>
        <v>santigs67</v>
      </c>
      <c r="N48" s="209">
        <f>IFERROR(__xludf.DUMMYFUNCTION("""COMPUTED_VALUE"""),11.0)</f>
        <v>11</v>
      </c>
      <c r="O48" s="176"/>
      <c r="P48" s="176"/>
      <c r="Q48" s="176"/>
      <c r="R48" s="176"/>
      <c r="S48" s="176"/>
      <c r="T48" s="176"/>
      <c r="U48" s="176"/>
      <c r="V48" s="176"/>
      <c r="W48" s="176"/>
      <c r="X48" s="176"/>
      <c r="Y48" s="176"/>
      <c r="Z48" s="176"/>
    </row>
    <row r="49">
      <c r="A49" s="249" t="s">
        <v>4</v>
      </c>
      <c r="B49" s="249" t="s">
        <v>868</v>
      </c>
      <c r="C49" s="219" t="s">
        <v>2891</v>
      </c>
      <c r="D49" s="268" t="s">
        <v>495</v>
      </c>
      <c r="E49" s="361">
        <v>44205.0</v>
      </c>
      <c r="F49" s="250" t="s">
        <v>496</v>
      </c>
      <c r="G49" s="171">
        <v>100.0</v>
      </c>
      <c r="H49" s="171">
        <v>25.0</v>
      </c>
      <c r="I49" s="171">
        <v>80.0</v>
      </c>
      <c r="J49" s="325">
        <f t="shared" si="2"/>
        <v>0.001682385319</v>
      </c>
      <c r="K49" s="326">
        <f t="shared" si="5"/>
        <v>1.261788989</v>
      </c>
      <c r="L49" s="327">
        <f t="shared" si="3"/>
        <v>41.78200275</v>
      </c>
      <c r="M49" s="321" t="str">
        <f t="shared" si="4"/>
        <v>santigs67</v>
      </c>
      <c r="N49" s="209">
        <f>IFERROR(__xludf.DUMMYFUNCTION("""COMPUTED_VALUE"""),12.0)</f>
        <v>12</v>
      </c>
      <c r="O49" s="176"/>
      <c r="P49" s="176"/>
      <c r="Q49" s="176"/>
      <c r="R49" s="176"/>
      <c r="S49" s="176"/>
      <c r="T49" s="176"/>
      <c r="U49" s="176"/>
      <c r="V49" s="176"/>
      <c r="W49" s="176"/>
      <c r="X49" s="176"/>
      <c r="Y49" s="176"/>
      <c r="Z49" s="176"/>
    </row>
    <row r="50">
      <c r="A50" s="249" t="s">
        <v>4</v>
      </c>
      <c r="B50" s="249" t="s">
        <v>925</v>
      </c>
      <c r="C50" s="219" t="s">
        <v>2909</v>
      </c>
      <c r="D50" s="268" t="s">
        <v>495</v>
      </c>
      <c r="E50" s="251">
        <v>44206.0</v>
      </c>
      <c r="F50" s="250" t="s">
        <v>496</v>
      </c>
      <c r="G50" s="171">
        <v>150.0</v>
      </c>
      <c r="H50" s="171">
        <v>50.0</v>
      </c>
      <c r="I50" s="171">
        <v>300.0</v>
      </c>
      <c r="J50" s="325">
        <f t="shared" si="2"/>
        <v>0.004062776995</v>
      </c>
      <c r="K50" s="326">
        <f t="shared" si="5"/>
        <v>3.047082746</v>
      </c>
      <c r="L50" s="327">
        <f t="shared" si="3"/>
        <v>41.78200275</v>
      </c>
      <c r="M50" s="321" t="str">
        <f t="shared" si="4"/>
        <v>santigs67</v>
      </c>
      <c r="N50" s="209">
        <f>IFERROR(__xludf.DUMMYFUNCTION("""COMPUTED_VALUE"""),13.0)</f>
        <v>13</v>
      </c>
      <c r="O50" s="176"/>
      <c r="P50" s="176"/>
      <c r="Q50" s="176"/>
      <c r="R50" s="176"/>
      <c r="S50" s="176"/>
      <c r="T50" s="176"/>
      <c r="U50" s="176"/>
      <c r="V50" s="176"/>
      <c r="W50" s="176"/>
      <c r="X50" s="176"/>
      <c r="Y50" s="176"/>
      <c r="Z50" s="176"/>
    </row>
    <row r="51">
      <c r="A51" s="249" t="s">
        <v>4</v>
      </c>
      <c r="B51" s="249" t="s">
        <v>590</v>
      </c>
      <c r="C51" s="219" t="s">
        <v>2893</v>
      </c>
      <c r="D51" s="268" t="s">
        <v>495</v>
      </c>
      <c r="E51" s="251">
        <v>44208.0</v>
      </c>
      <c r="F51" s="250" t="s">
        <v>496</v>
      </c>
      <c r="G51" s="171">
        <v>20.0</v>
      </c>
      <c r="H51" s="171">
        <v>25.0</v>
      </c>
      <c r="I51" s="171">
        <v>45.0</v>
      </c>
      <c r="J51" s="325">
        <f t="shared" si="2"/>
        <v>0.0007577357279</v>
      </c>
      <c r="K51" s="326">
        <f t="shared" si="5"/>
        <v>0.5683017959</v>
      </c>
      <c r="L51" s="327">
        <f t="shared" si="3"/>
        <v>41.78200275</v>
      </c>
      <c r="M51" s="321" t="str">
        <f t="shared" si="4"/>
        <v>santigs67</v>
      </c>
      <c r="N51" s="209">
        <f>IFERROR(__xludf.DUMMYFUNCTION("""COMPUTED_VALUE"""),14.0)</f>
        <v>14</v>
      </c>
      <c r="O51" s="176"/>
      <c r="P51" s="176"/>
      <c r="Q51" s="176"/>
      <c r="R51" s="176"/>
      <c r="S51" s="176"/>
      <c r="T51" s="176"/>
      <c r="U51" s="176"/>
      <c r="V51" s="176"/>
      <c r="W51" s="176"/>
      <c r="X51" s="176"/>
      <c r="Y51" s="176"/>
      <c r="Z51" s="176"/>
    </row>
    <row r="52">
      <c r="A52" s="249" t="s">
        <v>4</v>
      </c>
      <c r="B52" s="249" t="s">
        <v>10</v>
      </c>
      <c r="C52" s="219" t="s">
        <v>494</v>
      </c>
      <c r="D52" s="268" t="s">
        <v>495</v>
      </c>
      <c r="E52" s="251">
        <v>44210.0</v>
      </c>
      <c r="F52" s="250" t="s">
        <v>545</v>
      </c>
      <c r="G52" s="171">
        <v>100.0</v>
      </c>
      <c r="H52" s="171">
        <v>125.0</v>
      </c>
      <c r="I52" s="171">
        <v>200.0</v>
      </c>
      <c r="J52" s="325">
        <f t="shared" si="2"/>
        <v>0.003591626539</v>
      </c>
      <c r="K52" s="326">
        <f t="shared" si="5"/>
        <v>2.693719904</v>
      </c>
      <c r="L52" s="327">
        <f t="shared" si="3"/>
        <v>41.78200275</v>
      </c>
      <c r="M52" s="321" t="str">
        <f t="shared" si="4"/>
        <v>santigs67</v>
      </c>
      <c r="N52" s="209">
        <f>IFERROR(__xludf.DUMMYFUNCTION("""COMPUTED_VALUE"""),15.0)</f>
        <v>15</v>
      </c>
      <c r="O52" s="176"/>
      <c r="P52" s="176"/>
      <c r="Q52" s="176"/>
      <c r="R52" s="176"/>
      <c r="S52" s="176"/>
      <c r="T52" s="176"/>
      <c r="U52" s="176"/>
      <c r="V52" s="176"/>
      <c r="W52" s="176"/>
      <c r="X52" s="176"/>
      <c r="Y52" s="176"/>
      <c r="Z52" s="176"/>
    </row>
    <row r="53">
      <c r="A53" s="249" t="s">
        <v>4</v>
      </c>
      <c r="B53" s="249" t="s">
        <v>10</v>
      </c>
      <c r="C53" s="219" t="s">
        <v>2910</v>
      </c>
      <c r="D53" s="268" t="s">
        <v>495</v>
      </c>
      <c r="E53" s="251">
        <v>44211.0</v>
      </c>
      <c r="F53" s="250" t="s">
        <v>496</v>
      </c>
      <c r="G53" s="171">
        <v>100.0</v>
      </c>
      <c r="H53" s="171">
        <v>55.0</v>
      </c>
      <c r="I53" s="171">
        <v>100.0</v>
      </c>
      <c r="J53" s="325">
        <f t="shared" si="2"/>
        <v>0.002129044341</v>
      </c>
      <c r="K53" s="326">
        <f t="shared" si="5"/>
        <v>1.596783256</v>
      </c>
      <c r="L53" s="327">
        <f t="shared" si="3"/>
        <v>41.78200275</v>
      </c>
      <c r="M53" s="321" t="str">
        <f t="shared" si="4"/>
        <v>santigs67</v>
      </c>
      <c r="N53" s="209">
        <f>IFERROR(__xludf.DUMMYFUNCTION("""COMPUTED_VALUE"""),16.0)</f>
        <v>16</v>
      </c>
      <c r="O53" s="176"/>
      <c r="P53" s="176"/>
      <c r="Q53" s="176"/>
      <c r="R53" s="176"/>
      <c r="S53" s="176"/>
      <c r="T53" s="176"/>
      <c r="U53" s="176"/>
      <c r="V53" s="176"/>
      <c r="W53" s="176"/>
      <c r="X53" s="176"/>
      <c r="Y53" s="176"/>
      <c r="Z53" s="176"/>
    </row>
    <row r="54">
      <c r="A54" s="249" t="s">
        <v>4</v>
      </c>
      <c r="B54" s="249" t="s">
        <v>10</v>
      </c>
      <c r="C54" s="219" t="s">
        <v>2911</v>
      </c>
      <c r="D54" s="268" t="s">
        <v>495</v>
      </c>
      <c r="E54" s="251">
        <v>44211.0</v>
      </c>
      <c r="F54" s="250" t="s">
        <v>496</v>
      </c>
      <c r="G54" s="171">
        <v>100.0</v>
      </c>
      <c r="H54" s="171">
        <v>55.0</v>
      </c>
      <c r="I54" s="171">
        <v>120.0</v>
      </c>
      <c r="J54" s="325">
        <f t="shared" si="2"/>
        <v>0.002286686021</v>
      </c>
      <c r="K54" s="326">
        <f t="shared" si="5"/>
        <v>1.715014516</v>
      </c>
      <c r="L54" s="327">
        <f t="shared" si="3"/>
        <v>41.78200275</v>
      </c>
      <c r="M54" s="321" t="str">
        <f t="shared" si="4"/>
        <v>santigs67</v>
      </c>
      <c r="N54" s="209">
        <f>IFERROR(__xludf.DUMMYFUNCTION("""COMPUTED_VALUE"""),17.0)</f>
        <v>17</v>
      </c>
      <c r="O54" s="176"/>
      <c r="P54" s="176"/>
      <c r="Q54" s="176"/>
      <c r="R54" s="176"/>
      <c r="S54" s="176"/>
      <c r="T54" s="176"/>
      <c r="U54" s="176"/>
      <c r="V54" s="176"/>
      <c r="W54" s="176"/>
      <c r="X54" s="176"/>
      <c r="Y54" s="176"/>
      <c r="Z54" s="176"/>
    </row>
    <row r="55">
      <c r="A55" s="249" t="s">
        <v>4</v>
      </c>
      <c r="B55" s="249" t="s">
        <v>10</v>
      </c>
      <c r="C55" s="219" t="s">
        <v>2896</v>
      </c>
      <c r="D55" s="268" t="s">
        <v>495</v>
      </c>
      <c r="E55" s="251">
        <v>44211.0</v>
      </c>
      <c r="F55" s="250" t="s">
        <v>496</v>
      </c>
      <c r="G55" s="171">
        <v>10.0</v>
      </c>
      <c r="H55" s="171">
        <v>25.0</v>
      </c>
      <c r="I55" s="171">
        <v>40.0</v>
      </c>
      <c r="J55" s="325">
        <f t="shared" si="2"/>
        <v>0.0006372282264</v>
      </c>
      <c r="K55" s="326">
        <f t="shared" si="5"/>
        <v>0.4779211698</v>
      </c>
      <c r="L55" s="327">
        <f t="shared" si="3"/>
        <v>41.78200275</v>
      </c>
      <c r="M55" s="321" t="str">
        <f t="shared" si="4"/>
        <v>santigs67</v>
      </c>
      <c r="N55" s="209">
        <f>IFERROR(__xludf.DUMMYFUNCTION("""COMPUTED_VALUE"""),18.0)</f>
        <v>18</v>
      </c>
      <c r="O55" s="176"/>
      <c r="P55" s="176"/>
      <c r="Q55" s="176"/>
      <c r="R55" s="176"/>
      <c r="S55" s="176"/>
      <c r="T55" s="176"/>
      <c r="U55" s="176"/>
      <c r="V55" s="176"/>
      <c r="W55" s="176"/>
      <c r="X55" s="176"/>
      <c r="Y55" s="176"/>
      <c r="Z55" s="176"/>
    </row>
    <row r="56">
      <c r="A56" s="253" t="s">
        <v>4</v>
      </c>
      <c r="B56" s="253" t="s">
        <v>1228</v>
      </c>
      <c r="C56" s="256" t="s">
        <v>2901</v>
      </c>
      <c r="D56" s="336" t="s">
        <v>495</v>
      </c>
      <c r="E56" s="255">
        <v>44211.0</v>
      </c>
      <c r="F56" s="221" t="s">
        <v>2912</v>
      </c>
      <c r="G56" s="222">
        <v>0.0</v>
      </c>
      <c r="H56" s="222">
        <v>0.0</v>
      </c>
      <c r="I56" s="222">
        <v>0.0</v>
      </c>
      <c r="J56" s="339">
        <f t="shared" si="2"/>
        <v>0</v>
      </c>
      <c r="K56" s="337">
        <f t="shared" si="5"/>
        <v>0</v>
      </c>
      <c r="L56" s="341">
        <f t="shared" si="3"/>
        <v>41.78200275</v>
      </c>
      <c r="M56" s="342" t="str">
        <f t="shared" si="4"/>
        <v>santigs67</v>
      </c>
      <c r="N56" s="209">
        <f>IFERROR(__xludf.DUMMYFUNCTION("""COMPUTED_VALUE"""),19.0)</f>
        <v>19</v>
      </c>
      <c r="O56" s="209"/>
      <c r="P56" s="209"/>
      <c r="Q56" s="209"/>
      <c r="R56" s="209"/>
      <c r="S56" s="209"/>
      <c r="T56" s="209"/>
      <c r="U56" s="209"/>
      <c r="V56" s="209"/>
      <c r="W56" s="209"/>
      <c r="X56" s="209"/>
      <c r="Y56" s="209"/>
      <c r="Z56" s="209"/>
    </row>
    <row r="57">
      <c r="A57" s="249" t="s">
        <v>4</v>
      </c>
      <c r="B57" s="249" t="s">
        <v>868</v>
      </c>
      <c r="C57" s="219" t="s">
        <v>2903</v>
      </c>
      <c r="D57" s="268" t="s">
        <v>495</v>
      </c>
      <c r="E57" s="251">
        <v>44211.0</v>
      </c>
      <c r="F57" s="250" t="s">
        <v>496</v>
      </c>
      <c r="G57" s="171">
        <v>35.0</v>
      </c>
      <c r="H57" s="171">
        <v>25.0</v>
      </c>
      <c r="I57" s="171">
        <v>40.0</v>
      </c>
      <c r="J57" s="325">
        <f t="shared" si="2"/>
        <v>0.0008399709297</v>
      </c>
      <c r="K57" s="326">
        <f t="shared" si="5"/>
        <v>0.6299781973</v>
      </c>
      <c r="L57" s="327">
        <f t="shared" si="3"/>
        <v>41.78200275</v>
      </c>
      <c r="M57" s="321" t="str">
        <f t="shared" si="4"/>
        <v>santigs67</v>
      </c>
      <c r="N57" s="209">
        <f>IFERROR(__xludf.DUMMYFUNCTION("""COMPUTED_VALUE"""),20.0)</f>
        <v>20</v>
      </c>
      <c r="O57" s="176"/>
      <c r="P57" s="176"/>
      <c r="Q57" s="176"/>
      <c r="R57" s="176"/>
      <c r="S57" s="176"/>
      <c r="T57" s="176"/>
      <c r="U57" s="176"/>
      <c r="V57" s="176"/>
      <c r="W57" s="176"/>
      <c r="X57" s="176"/>
      <c r="Y57" s="176"/>
      <c r="Z57" s="176"/>
    </row>
    <row r="58">
      <c r="A58" s="249" t="s">
        <v>5</v>
      </c>
      <c r="B58" s="249" t="s">
        <v>1228</v>
      </c>
      <c r="C58" s="219" t="s">
        <v>2874</v>
      </c>
      <c r="D58" s="268" t="s">
        <v>495</v>
      </c>
      <c r="E58" s="361">
        <v>44198.0</v>
      </c>
      <c r="F58" s="250" t="s">
        <v>496</v>
      </c>
      <c r="G58" s="171">
        <v>20.0</v>
      </c>
      <c r="H58" s="171">
        <v>25.0</v>
      </c>
      <c r="I58" s="171">
        <v>15.0</v>
      </c>
      <c r="J58" s="325">
        <f t="shared" si="2"/>
        <v>0.0005212732072</v>
      </c>
      <c r="K58" s="326">
        <f t="shared" si="5"/>
        <v>0.3909549054</v>
      </c>
      <c r="L58" s="327">
        <f t="shared" si="3"/>
        <v>30.9333796</v>
      </c>
      <c r="M58" s="321" t="str">
        <f t="shared" si="4"/>
        <v>cranders71</v>
      </c>
      <c r="N58" s="209">
        <f>IFERROR(__xludf.DUMMYFUNCTION("""COMPUTED_VALUE"""),1.0)</f>
        <v>1</v>
      </c>
      <c r="O58" s="176"/>
      <c r="P58" s="176"/>
      <c r="Q58" s="176"/>
      <c r="R58" s="176"/>
      <c r="S58" s="176"/>
      <c r="T58" s="176"/>
      <c r="U58" s="176"/>
      <c r="V58" s="176"/>
      <c r="W58" s="176"/>
      <c r="X58" s="176"/>
      <c r="Y58" s="176"/>
      <c r="Z58" s="176"/>
    </row>
    <row r="59">
      <c r="A59" s="249" t="s">
        <v>5</v>
      </c>
      <c r="B59" s="249" t="s">
        <v>519</v>
      </c>
      <c r="C59" s="219" t="s">
        <v>2905</v>
      </c>
      <c r="D59" s="268" t="s">
        <v>495</v>
      </c>
      <c r="E59" s="361">
        <v>44200.0</v>
      </c>
      <c r="F59" s="250" t="s">
        <v>499</v>
      </c>
      <c r="G59" s="171">
        <v>45.0</v>
      </c>
      <c r="H59" s="171">
        <v>25.0</v>
      </c>
      <c r="I59" s="171">
        <v>10.0</v>
      </c>
      <c r="J59" s="325">
        <f t="shared" si="2"/>
        <v>0.0006846054904</v>
      </c>
      <c r="K59" s="326">
        <f t="shared" si="5"/>
        <v>0.5134541178</v>
      </c>
      <c r="L59" s="327">
        <f t="shared" si="3"/>
        <v>30.9333796</v>
      </c>
      <c r="M59" s="321" t="str">
        <f t="shared" si="4"/>
        <v>cranders71</v>
      </c>
      <c r="N59" s="209">
        <f>IFERROR(__xludf.DUMMYFUNCTION("""COMPUTED_VALUE"""),2.0)</f>
        <v>2</v>
      </c>
      <c r="O59" s="176"/>
      <c r="P59" s="176"/>
      <c r="Q59" s="176"/>
      <c r="R59" s="176"/>
      <c r="S59" s="176"/>
      <c r="T59" s="176"/>
      <c r="U59" s="176"/>
      <c r="V59" s="176"/>
      <c r="W59" s="176"/>
      <c r="X59" s="176"/>
      <c r="Y59" s="176"/>
      <c r="Z59" s="176"/>
    </row>
    <row r="60">
      <c r="A60" s="249" t="s">
        <v>5</v>
      </c>
      <c r="B60" s="249" t="s">
        <v>6</v>
      </c>
      <c r="C60" s="219" t="s">
        <v>2913</v>
      </c>
      <c r="D60" s="268" t="s">
        <v>495</v>
      </c>
      <c r="E60" s="361">
        <v>44200.0</v>
      </c>
      <c r="F60" s="250" t="s">
        <v>496</v>
      </c>
      <c r="G60" s="171">
        <v>20.0</v>
      </c>
      <c r="H60" s="171">
        <v>25.0</v>
      </c>
      <c r="I60" s="171">
        <v>40.0</v>
      </c>
      <c r="J60" s="325">
        <f t="shared" si="2"/>
        <v>0.0007183253078</v>
      </c>
      <c r="K60" s="326">
        <f t="shared" si="5"/>
        <v>0.5387439808</v>
      </c>
      <c r="L60" s="327">
        <f t="shared" si="3"/>
        <v>30.9333796</v>
      </c>
      <c r="M60" s="321" t="str">
        <f t="shared" si="4"/>
        <v>cranders71</v>
      </c>
      <c r="N60" s="209">
        <f>IFERROR(__xludf.DUMMYFUNCTION("""COMPUTED_VALUE"""),3.0)</f>
        <v>3</v>
      </c>
      <c r="O60" s="176"/>
      <c r="P60" s="176"/>
      <c r="Q60" s="176"/>
      <c r="R60" s="176"/>
      <c r="S60" s="176"/>
      <c r="T60" s="176"/>
      <c r="U60" s="176"/>
      <c r="V60" s="176"/>
      <c r="W60" s="176"/>
      <c r="X60" s="176"/>
      <c r="Y60" s="176"/>
      <c r="Z60" s="176"/>
    </row>
    <row r="61">
      <c r="A61" s="249" t="s">
        <v>5</v>
      </c>
      <c r="B61" s="249" t="s">
        <v>18</v>
      </c>
      <c r="C61" s="219" t="s">
        <v>2914</v>
      </c>
      <c r="D61" s="268" t="s">
        <v>495</v>
      </c>
      <c r="E61" s="361">
        <v>44201.0</v>
      </c>
      <c r="F61" s="250" t="s">
        <v>496</v>
      </c>
      <c r="G61" s="171">
        <v>300.0</v>
      </c>
      <c r="H61" s="171">
        <v>300.0</v>
      </c>
      <c r="I61" s="171">
        <v>400.0</v>
      </c>
      <c r="J61" s="325">
        <f t="shared" si="2"/>
        <v>0.008475919459</v>
      </c>
      <c r="K61" s="326">
        <f t="shared" si="5"/>
        <v>6.356939594</v>
      </c>
      <c r="L61" s="327">
        <f t="shared" si="3"/>
        <v>30.9333796</v>
      </c>
      <c r="M61" s="321" t="str">
        <f t="shared" si="4"/>
        <v>cranders71</v>
      </c>
      <c r="N61" s="209">
        <f>IFERROR(__xludf.DUMMYFUNCTION("""COMPUTED_VALUE"""),4.0)</f>
        <v>4</v>
      </c>
      <c r="O61" s="176"/>
      <c r="P61" s="176"/>
      <c r="Q61" s="176"/>
      <c r="R61" s="176"/>
      <c r="S61" s="176"/>
      <c r="T61" s="176"/>
      <c r="U61" s="176"/>
      <c r="V61" s="176"/>
      <c r="W61" s="176"/>
      <c r="X61" s="176"/>
      <c r="Y61" s="176"/>
      <c r="Z61" s="176"/>
    </row>
    <row r="62">
      <c r="A62" s="249" t="s">
        <v>5</v>
      </c>
      <c r="B62" s="249" t="s">
        <v>590</v>
      </c>
      <c r="C62" s="219" t="s">
        <v>2915</v>
      </c>
      <c r="D62" s="268" t="s">
        <v>495</v>
      </c>
      <c r="E62" s="361">
        <v>44201.0</v>
      </c>
      <c r="F62" s="250" t="s">
        <v>496</v>
      </c>
      <c r="G62" s="171">
        <v>200.0</v>
      </c>
      <c r="H62" s="171">
        <v>200.0</v>
      </c>
      <c r="I62" s="171">
        <v>200.0</v>
      </c>
      <c r="J62" s="325">
        <f t="shared" si="2"/>
        <v>0.005125140705</v>
      </c>
      <c r="K62" s="326">
        <f t="shared" si="5"/>
        <v>3.843855528</v>
      </c>
      <c r="L62" s="327">
        <f t="shared" si="3"/>
        <v>30.9333796</v>
      </c>
      <c r="M62" s="321" t="str">
        <f t="shared" si="4"/>
        <v>cranders71</v>
      </c>
      <c r="N62" s="209">
        <f>IFERROR(__xludf.DUMMYFUNCTION("""COMPUTED_VALUE"""),5.0)</f>
        <v>5</v>
      </c>
      <c r="O62" s="176"/>
      <c r="P62" s="176"/>
      <c r="Q62" s="176"/>
      <c r="R62" s="176"/>
      <c r="S62" s="176"/>
      <c r="T62" s="176"/>
      <c r="U62" s="176"/>
      <c r="V62" s="176"/>
      <c r="W62" s="176"/>
      <c r="X62" s="176"/>
      <c r="Y62" s="176"/>
      <c r="Z62" s="176"/>
    </row>
    <row r="63">
      <c r="A63" s="249" t="s">
        <v>5</v>
      </c>
      <c r="B63" s="249" t="s">
        <v>519</v>
      </c>
      <c r="C63" s="219" t="s">
        <v>2876</v>
      </c>
      <c r="D63" s="268" t="s">
        <v>495</v>
      </c>
      <c r="E63" s="361">
        <v>44201.0</v>
      </c>
      <c r="F63" s="250" t="s">
        <v>499</v>
      </c>
      <c r="G63" s="171">
        <v>60.0</v>
      </c>
      <c r="H63" s="171">
        <v>100.0</v>
      </c>
      <c r="I63" s="171">
        <v>60.0</v>
      </c>
      <c r="J63" s="325">
        <f t="shared" si="2"/>
        <v>0.001922898666</v>
      </c>
      <c r="K63" s="326">
        <f t="shared" si="5"/>
        <v>1.442174</v>
      </c>
      <c r="L63" s="327">
        <f t="shared" si="3"/>
        <v>30.9333796</v>
      </c>
      <c r="M63" s="321" t="str">
        <f t="shared" si="4"/>
        <v>cranders71</v>
      </c>
      <c r="N63" s="209">
        <f>IFERROR(__xludf.DUMMYFUNCTION("""COMPUTED_VALUE"""),6.0)</f>
        <v>6</v>
      </c>
      <c r="O63" s="176"/>
      <c r="P63" s="176"/>
      <c r="Q63" s="176"/>
      <c r="R63" s="176"/>
      <c r="S63" s="176"/>
      <c r="T63" s="176"/>
      <c r="U63" s="176"/>
      <c r="V63" s="176"/>
      <c r="W63" s="176"/>
      <c r="X63" s="176"/>
      <c r="Y63" s="176"/>
      <c r="Z63" s="176"/>
    </row>
    <row r="64">
      <c r="A64" s="249" t="s">
        <v>5</v>
      </c>
      <c r="B64" s="249" t="s">
        <v>519</v>
      </c>
      <c r="C64" s="219" t="s">
        <v>2877</v>
      </c>
      <c r="D64" s="268" t="s">
        <v>495</v>
      </c>
      <c r="E64" s="361">
        <v>44201.0</v>
      </c>
      <c r="F64" s="250" t="s">
        <v>499</v>
      </c>
      <c r="G64" s="171">
        <v>125.0</v>
      </c>
      <c r="H64" s="171">
        <v>100.0</v>
      </c>
      <c r="I64" s="171">
        <v>130.0</v>
      </c>
      <c r="J64" s="325">
        <f t="shared" si="2"/>
        <v>0.003001775576</v>
      </c>
      <c r="K64" s="326">
        <f t="shared" si="5"/>
        <v>2.251331682</v>
      </c>
      <c r="L64" s="327">
        <f t="shared" si="3"/>
        <v>30.9333796</v>
      </c>
      <c r="M64" s="321" t="str">
        <f t="shared" si="4"/>
        <v>cranders71</v>
      </c>
      <c r="N64" s="209">
        <f>IFERROR(__xludf.DUMMYFUNCTION("""COMPUTED_VALUE"""),7.0)</f>
        <v>7</v>
      </c>
      <c r="O64" s="176"/>
      <c r="P64" s="176"/>
      <c r="Q64" s="176"/>
      <c r="R64" s="176"/>
      <c r="S64" s="176"/>
      <c r="T64" s="176"/>
      <c r="U64" s="176"/>
      <c r="V64" s="176"/>
      <c r="W64" s="176"/>
      <c r="X64" s="176"/>
      <c r="Y64" s="176"/>
      <c r="Z64" s="176"/>
    </row>
    <row r="65">
      <c r="A65" s="249" t="s">
        <v>5</v>
      </c>
      <c r="B65" s="249" t="s">
        <v>519</v>
      </c>
      <c r="C65" s="219" t="s">
        <v>2878</v>
      </c>
      <c r="D65" s="268" t="s">
        <v>495</v>
      </c>
      <c r="E65" s="361">
        <v>44201.0</v>
      </c>
      <c r="F65" s="250" t="s">
        <v>499</v>
      </c>
      <c r="G65" s="171">
        <v>45.0</v>
      </c>
      <c r="H65" s="171">
        <v>55.0</v>
      </c>
      <c r="I65" s="171">
        <v>40.0</v>
      </c>
      <c r="J65" s="325">
        <f t="shared" si="2"/>
        <v>0.001210085352</v>
      </c>
      <c r="K65" s="326">
        <f t="shared" si="5"/>
        <v>0.9075640141</v>
      </c>
      <c r="L65" s="327">
        <f t="shared" si="3"/>
        <v>30.9333796</v>
      </c>
      <c r="M65" s="321" t="str">
        <f t="shared" si="4"/>
        <v>cranders71</v>
      </c>
      <c r="N65" s="209">
        <f>IFERROR(__xludf.DUMMYFUNCTION("""COMPUTED_VALUE"""),8.0)</f>
        <v>8</v>
      </c>
      <c r="O65" s="176"/>
      <c r="P65" s="176"/>
      <c r="Q65" s="176"/>
      <c r="R65" s="176"/>
      <c r="S65" s="176"/>
      <c r="T65" s="176"/>
      <c r="U65" s="176"/>
      <c r="V65" s="176"/>
      <c r="W65" s="176"/>
      <c r="X65" s="176"/>
      <c r="Y65" s="176"/>
      <c r="Z65" s="176"/>
    </row>
    <row r="66">
      <c r="A66" s="249" t="s">
        <v>5</v>
      </c>
      <c r="B66" s="249" t="s">
        <v>10</v>
      </c>
      <c r="C66" s="219" t="s">
        <v>2916</v>
      </c>
      <c r="D66" s="268" t="s">
        <v>495</v>
      </c>
      <c r="E66" s="361">
        <v>44204.0</v>
      </c>
      <c r="F66" s="250" t="s">
        <v>496</v>
      </c>
      <c r="G66" s="171">
        <v>100.0</v>
      </c>
      <c r="H66" s="171">
        <v>100.0</v>
      </c>
      <c r="I66" s="171">
        <v>100.0</v>
      </c>
      <c r="J66" s="325">
        <f t="shared" si="2"/>
        <v>0.002562570352</v>
      </c>
      <c r="K66" s="326">
        <f t="shared" si="5"/>
        <v>1.921927764</v>
      </c>
      <c r="L66" s="327">
        <f t="shared" si="3"/>
        <v>30.9333796</v>
      </c>
      <c r="M66" s="321" t="str">
        <f t="shared" si="4"/>
        <v>cranders71</v>
      </c>
      <c r="N66" s="209">
        <f>IFERROR(__xludf.DUMMYFUNCTION("""COMPUTED_VALUE"""),9.0)</f>
        <v>9</v>
      </c>
      <c r="O66" s="176"/>
      <c r="P66" s="176"/>
      <c r="Q66" s="176"/>
      <c r="R66" s="176"/>
      <c r="S66" s="176"/>
      <c r="T66" s="176"/>
      <c r="U66" s="176"/>
      <c r="V66" s="176"/>
      <c r="W66" s="176"/>
      <c r="X66" s="176"/>
      <c r="Y66" s="176"/>
      <c r="Z66" s="176"/>
    </row>
    <row r="67">
      <c r="A67" s="249" t="s">
        <v>5</v>
      </c>
      <c r="B67" s="249" t="s">
        <v>10</v>
      </c>
      <c r="C67" s="219" t="s">
        <v>2887</v>
      </c>
      <c r="D67" s="268" t="s">
        <v>495</v>
      </c>
      <c r="E67" s="361">
        <v>44204.0</v>
      </c>
      <c r="F67" s="250" t="s">
        <v>496</v>
      </c>
      <c r="G67" s="171">
        <v>150.0</v>
      </c>
      <c r="H67" s="171">
        <v>155.0</v>
      </c>
      <c r="I67" s="171">
        <v>230.0</v>
      </c>
      <c r="J67" s="325">
        <f t="shared" si="2"/>
        <v>0.004522591807</v>
      </c>
      <c r="K67" s="326">
        <f t="shared" si="5"/>
        <v>3.391943855</v>
      </c>
      <c r="L67" s="327">
        <f t="shared" si="3"/>
        <v>30.9333796</v>
      </c>
      <c r="M67" s="321" t="str">
        <f t="shared" si="4"/>
        <v>cranders71</v>
      </c>
      <c r="N67" s="209">
        <f>IFERROR(__xludf.DUMMYFUNCTION("""COMPUTED_VALUE"""),10.0)</f>
        <v>10</v>
      </c>
      <c r="O67" s="176"/>
      <c r="P67" s="176"/>
      <c r="Q67" s="176"/>
      <c r="R67" s="176"/>
      <c r="S67" s="176"/>
      <c r="T67" s="176"/>
      <c r="U67" s="176"/>
      <c r="V67" s="176"/>
      <c r="W67" s="176"/>
      <c r="X67" s="176"/>
      <c r="Y67" s="176"/>
      <c r="Z67" s="176"/>
    </row>
    <row r="68">
      <c r="A68" s="249" t="s">
        <v>5</v>
      </c>
      <c r="B68" s="249" t="s">
        <v>10</v>
      </c>
      <c r="C68" s="219" t="s">
        <v>2917</v>
      </c>
      <c r="D68" s="268" t="s">
        <v>495</v>
      </c>
      <c r="E68" s="361">
        <v>44204.0</v>
      </c>
      <c r="F68" s="250" t="s">
        <v>496</v>
      </c>
      <c r="G68" s="171">
        <v>25.0</v>
      </c>
      <c r="H68" s="171">
        <v>35.0</v>
      </c>
      <c r="I68" s="171">
        <v>60.0</v>
      </c>
      <c r="J68" s="325">
        <f t="shared" si="2"/>
        <v>0.001012854643</v>
      </c>
      <c r="K68" s="326">
        <f t="shared" si="5"/>
        <v>0.7596409819</v>
      </c>
      <c r="L68" s="327">
        <f t="shared" si="3"/>
        <v>30.9333796</v>
      </c>
      <c r="M68" s="321" t="str">
        <f t="shared" si="4"/>
        <v>cranders71</v>
      </c>
      <c r="N68" s="209">
        <f>IFERROR(__xludf.DUMMYFUNCTION("""COMPUTED_VALUE"""),11.0)</f>
        <v>11</v>
      </c>
      <c r="O68" s="176"/>
      <c r="P68" s="176"/>
      <c r="Q68" s="176"/>
      <c r="R68" s="176"/>
      <c r="S68" s="176"/>
      <c r="T68" s="176"/>
      <c r="U68" s="176"/>
      <c r="V68" s="176"/>
      <c r="W68" s="176"/>
      <c r="X68" s="176"/>
      <c r="Y68" s="176"/>
      <c r="Z68" s="176"/>
    </row>
    <row r="69">
      <c r="A69" s="249" t="s">
        <v>5</v>
      </c>
      <c r="B69" s="249" t="s">
        <v>10</v>
      </c>
      <c r="C69" s="219" t="s">
        <v>2888</v>
      </c>
      <c r="D69" s="268" t="s">
        <v>495</v>
      </c>
      <c r="E69" s="361">
        <v>44204.0</v>
      </c>
      <c r="F69" s="250" t="s">
        <v>496</v>
      </c>
      <c r="G69" s="171">
        <v>20.0</v>
      </c>
      <c r="H69" s="171">
        <v>25.0</v>
      </c>
      <c r="I69" s="171">
        <v>20.0</v>
      </c>
      <c r="J69" s="325">
        <f t="shared" si="2"/>
        <v>0.0005606836273</v>
      </c>
      <c r="K69" s="326">
        <f t="shared" si="5"/>
        <v>0.4205127205</v>
      </c>
      <c r="L69" s="327">
        <f t="shared" si="3"/>
        <v>30.9333796</v>
      </c>
      <c r="M69" s="321" t="str">
        <f t="shared" si="4"/>
        <v>cranders71</v>
      </c>
      <c r="N69" s="209">
        <f>IFERROR(__xludf.DUMMYFUNCTION("""COMPUTED_VALUE"""),12.0)</f>
        <v>12</v>
      </c>
      <c r="O69" s="176"/>
      <c r="P69" s="176"/>
      <c r="Q69" s="176"/>
      <c r="R69" s="176"/>
      <c r="S69" s="176"/>
      <c r="T69" s="176"/>
      <c r="U69" s="176"/>
      <c r="V69" s="176"/>
      <c r="W69" s="176"/>
      <c r="X69" s="176"/>
      <c r="Y69" s="176"/>
      <c r="Z69" s="176"/>
    </row>
    <row r="70">
      <c r="A70" s="249" t="s">
        <v>5</v>
      </c>
      <c r="B70" s="249" t="s">
        <v>10</v>
      </c>
      <c r="C70" s="219" t="s">
        <v>2908</v>
      </c>
      <c r="D70" s="268" t="s">
        <v>495</v>
      </c>
      <c r="E70" s="361">
        <v>44205.0</v>
      </c>
      <c r="F70" s="250" t="s">
        <v>545</v>
      </c>
      <c r="G70" s="171">
        <v>40.0</v>
      </c>
      <c r="H70" s="171">
        <v>25.0</v>
      </c>
      <c r="I70" s="171">
        <v>10.0</v>
      </c>
      <c r="J70" s="325">
        <f t="shared" si="2"/>
        <v>0.0006440569497</v>
      </c>
      <c r="K70" s="326">
        <f t="shared" si="5"/>
        <v>0.4830427123</v>
      </c>
      <c r="L70" s="327">
        <f t="shared" si="3"/>
        <v>30.9333796</v>
      </c>
      <c r="M70" s="321" t="str">
        <f t="shared" si="4"/>
        <v>cranders71</v>
      </c>
      <c r="N70" s="209">
        <f>IFERROR(__xludf.DUMMYFUNCTION("""COMPUTED_VALUE"""),13.0)</f>
        <v>13</v>
      </c>
      <c r="O70" s="176"/>
      <c r="P70" s="176"/>
      <c r="Q70" s="176"/>
      <c r="R70" s="176"/>
      <c r="S70" s="176"/>
      <c r="T70" s="176"/>
      <c r="U70" s="176"/>
      <c r="V70" s="176"/>
      <c r="W70" s="176"/>
      <c r="X70" s="176"/>
      <c r="Y70" s="176"/>
      <c r="Z70" s="176"/>
    </row>
    <row r="71">
      <c r="A71" s="249" t="s">
        <v>5</v>
      </c>
      <c r="B71" s="249" t="s">
        <v>868</v>
      </c>
      <c r="C71" s="219" t="s">
        <v>2891</v>
      </c>
      <c r="D71" s="268" t="s">
        <v>495</v>
      </c>
      <c r="E71" s="361">
        <v>44205.0</v>
      </c>
      <c r="F71" s="250" t="s">
        <v>496</v>
      </c>
      <c r="G71" s="171">
        <v>30.0</v>
      </c>
      <c r="H71" s="171">
        <v>25.0</v>
      </c>
      <c r="I71" s="171">
        <v>40.0</v>
      </c>
      <c r="J71" s="325">
        <f t="shared" si="2"/>
        <v>0.0007994223891</v>
      </c>
      <c r="K71" s="326">
        <f t="shared" si="5"/>
        <v>0.5995667918</v>
      </c>
      <c r="L71" s="327">
        <f t="shared" si="3"/>
        <v>30.9333796</v>
      </c>
      <c r="M71" s="321" t="str">
        <f t="shared" si="4"/>
        <v>cranders71</v>
      </c>
      <c r="N71" s="209">
        <f>IFERROR(__xludf.DUMMYFUNCTION("""COMPUTED_VALUE"""),14.0)</f>
        <v>14</v>
      </c>
      <c r="O71" s="176"/>
      <c r="P71" s="176"/>
      <c r="Q71" s="176"/>
      <c r="R71" s="176"/>
      <c r="S71" s="176"/>
      <c r="T71" s="176"/>
      <c r="U71" s="176"/>
      <c r="V71" s="176"/>
      <c r="W71" s="176"/>
      <c r="X71" s="176"/>
      <c r="Y71" s="176"/>
      <c r="Z71" s="176"/>
    </row>
    <row r="72">
      <c r="A72" s="249" t="s">
        <v>5</v>
      </c>
      <c r="B72" s="249" t="s">
        <v>5</v>
      </c>
      <c r="C72" s="219" t="s">
        <v>2894</v>
      </c>
      <c r="D72" s="268" t="s">
        <v>495</v>
      </c>
      <c r="E72" s="251">
        <v>44210.0</v>
      </c>
      <c r="F72" s="250" t="s">
        <v>496</v>
      </c>
      <c r="G72" s="171">
        <v>25.0</v>
      </c>
      <c r="H72" s="171">
        <v>25.0</v>
      </c>
      <c r="I72" s="171">
        <v>40.0</v>
      </c>
      <c r="J72" s="325">
        <f t="shared" si="2"/>
        <v>0.0007588738484</v>
      </c>
      <c r="K72" s="326">
        <f t="shared" si="5"/>
        <v>0.5691553863</v>
      </c>
      <c r="L72" s="327">
        <f t="shared" si="3"/>
        <v>30.9333796</v>
      </c>
      <c r="M72" s="321" t="str">
        <f t="shared" si="4"/>
        <v>cranders71</v>
      </c>
      <c r="N72" s="209">
        <f>IFERROR(__xludf.DUMMYFUNCTION("""COMPUTED_VALUE"""),15.0)</f>
        <v>15</v>
      </c>
      <c r="O72" s="176"/>
      <c r="P72" s="176"/>
      <c r="Q72" s="176"/>
      <c r="R72" s="176"/>
      <c r="S72" s="176"/>
      <c r="T72" s="176"/>
      <c r="U72" s="176"/>
      <c r="V72" s="176"/>
      <c r="W72" s="176"/>
      <c r="X72" s="176"/>
      <c r="Y72" s="176"/>
      <c r="Z72" s="176"/>
    </row>
    <row r="73">
      <c r="A73" s="249" t="s">
        <v>5</v>
      </c>
      <c r="B73" s="249" t="s">
        <v>10</v>
      </c>
      <c r="C73" s="219" t="s">
        <v>494</v>
      </c>
      <c r="D73" s="268" t="s">
        <v>495</v>
      </c>
      <c r="E73" s="251">
        <v>44210.0</v>
      </c>
      <c r="F73" s="250" t="s">
        <v>545</v>
      </c>
      <c r="G73" s="171">
        <v>100.0</v>
      </c>
      <c r="H73" s="171">
        <v>125.0</v>
      </c>
      <c r="I73" s="171">
        <v>120.0</v>
      </c>
      <c r="J73" s="325">
        <f t="shared" si="2"/>
        <v>0.002961059817</v>
      </c>
      <c r="K73" s="326">
        <f t="shared" si="5"/>
        <v>2.220794863</v>
      </c>
      <c r="L73" s="327">
        <f t="shared" si="3"/>
        <v>30.9333796</v>
      </c>
      <c r="M73" s="321" t="str">
        <f t="shared" si="4"/>
        <v>cranders71</v>
      </c>
      <c r="N73" s="209">
        <f>IFERROR(__xludf.DUMMYFUNCTION("""COMPUTED_VALUE"""),16.0)</f>
        <v>16</v>
      </c>
      <c r="O73" s="176"/>
      <c r="P73" s="176"/>
      <c r="Q73" s="176"/>
      <c r="R73" s="176"/>
      <c r="S73" s="176"/>
      <c r="T73" s="176"/>
      <c r="U73" s="176"/>
      <c r="V73" s="176"/>
      <c r="W73" s="176"/>
      <c r="X73" s="176"/>
      <c r="Y73" s="176"/>
      <c r="Z73" s="176"/>
    </row>
    <row r="74">
      <c r="A74" s="249" t="s">
        <v>5</v>
      </c>
      <c r="B74" s="249" t="s">
        <v>10</v>
      </c>
      <c r="C74" s="219" t="s">
        <v>2896</v>
      </c>
      <c r="D74" s="268" t="s">
        <v>495</v>
      </c>
      <c r="E74" s="251">
        <v>44211.0</v>
      </c>
      <c r="F74" s="250" t="s">
        <v>496</v>
      </c>
      <c r="G74" s="171">
        <v>10.0</v>
      </c>
      <c r="H74" s="171">
        <v>25.0</v>
      </c>
      <c r="I74" s="171">
        <v>40.0</v>
      </c>
      <c r="J74" s="325">
        <f t="shared" si="2"/>
        <v>0.0006372282264</v>
      </c>
      <c r="K74" s="326">
        <f t="shared" si="5"/>
        <v>0.4779211698</v>
      </c>
      <c r="L74" s="327">
        <f t="shared" si="3"/>
        <v>30.9333796</v>
      </c>
      <c r="M74" s="321" t="str">
        <f t="shared" si="4"/>
        <v>cranders71</v>
      </c>
      <c r="N74" s="209">
        <f>IFERROR(__xludf.DUMMYFUNCTION("""COMPUTED_VALUE"""),17.0)</f>
        <v>17</v>
      </c>
      <c r="O74" s="176"/>
      <c r="P74" s="176"/>
      <c r="Q74" s="176"/>
      <c r="R74" s="176"/>
      <c r="S74" s="176"/>
      <c r="T74" s="176"/>
      <c r="U74" s="176"/>
      <c r="V74" s="176"/>
      <c r="W74" s="176"/>
      <c r="X74" s="176"/>
      <c r="Y74" s="176"/>
      <c r="Z74" s="176"/>
    </row>
    <row r="75">
      <c r="A75" s="249" t="s">
        <v>5</v>
      </c>
      <c r="B75" s="249" t="s">
        <v>25</v>
      </c>
      <c r="C75" s="219" t="s">
        <v>2918</v>
      </c>
      <c r="D75" s="268" t="s">
        <v>495</v>
      </c>
      <c r="E75" s="251">
        <v>44211.0</v>
      </c>
      <c r="F75" s="250" t="s">
        <v>496</v>
      </c>
      <c r="G75" s="171">
        <v>200.0</v>
      </c>
      <c r="H75" s="171">
        <v>200.0</v>
      </c>
      <c r="I75" s="171">
        <v>200.0</v>
      </c>
      <c r="J75" s="325">
        <f t="shared" si="2"/>
        <v>0.005125140705</v>
      </c>
      <c r="K75" s="326">
        <f t="shared" si="5"/>
        <v>3.843855528</v>
      </c>
      <c r="L75" s="327">
        <f t="shared" si="3"/>
        <v>30.9333796</v>
      </c>
      <c r="M75" s="321" t="str">
        <f t="shared" si="4"/>
        <v>cranders71</v>
      </c>
      <c r="N75" s="209">
        <f>IFERROR(__xludf.DUMMYFUNCTION("""COMPUTED_VALUE"""),18.0)</f>
        <v>18</v>
      </c>
      <c r="O75" s="176"/>
      <c r="P75" s="176"/>
      <c r="Q75" s="176"/>
      <c r="R75" s="176"/>
      <c r="S75" s="176"/>
      <c r="T75" s="176"/>
      <c r="U75" s="176"/>
      <c r="V75" s="176"/>
      <c r="W75" s="176"/>
      <c r="X75" s="176"/>
      <c r="Y75" s="176"/>
      <c r="Z75" s="176"/>
    </row>
    <row r="76">
      <c r="A76" s="253" t="s">
        <v>5</v>
      </c>
      <c r="B76" s="253" t="s">
        <v>1228</v>
      </c>
      <c r="C76" s="256" t="s">
        <v>2901</v>
      </c>
      <c r="D76" s="336" t="s">
        <v>495</v>
      </c>
      <c r="E76" s="255">
        <v>44211.0</v>
      </c>
      <c r="F76" s="221" t="s">
        <v>2912</v>
      </c>
      <c r="G76" s="222">
        <v>0.0</v>
      </c>
      <c r="H76" s="222">
        <v>0.0</v>
      </c>
      <c r="I76" s="222">
        <v>0.0</v>
      </c>
      <c r="J76" s="339">
        <f t="shared" si="2"/>
        <v>0</v>
      </c>
      <c r="K76" s="337">
        <f t="shared" si="5"/>
        <v>0</v>
      </c>
      <c r="L76" s="341">
        <f t="shared" si="3"/>
        <v>30.9333796</v>
      </c>
      <c r="M76" s="342" t="str">
        <f t="shared" si="4"/>
        <v>cranders71</v>
      </c>
      <c r="N76" s="209">
        <f>IFERROR(__xludf.DUMMYFUNCTION("""COMPUTED_VALUE"""),19.0)</f>
        <v>19</v>
      </c>
      <c r="O76" s="209"/>
      <c r="P76" s="209"/>
      <c r="Q76" s="209"/>
      <c r="R76" s="209"/>
      <c r="S76" s="209"/>
      <c r="T76" s="209"/>
      <c r="U76" s="209"/>
      <c r="V76" s="209"/>
      <c r="W76" s="209"/>
      <c r="X76" s="209"/>
      <c r="Y76" s="209"/>
      <c r="Z76" s="209"/>
    </row>
    <row r="77">
      <c r="A77" s="240" t="s">
        <v>10</v>
      </c>
      <c r="B77" s="240" t="s">
        <v>534</v>
      </c>
      <c r="C77" s="221" t="s">
        <v>535</v>
      </c>
      <c r="D77" s="336"/>
      <c r="E77" s="255"/>
      <c r="F77" s="254"/>
      <c r="G77" s="222"/>
      <c r="H77" s="222"/>
      <c r="I77" s="222"/>
      <c r="J77" s="325">
        <f t="shared" si="2"/>
        <v>0</v>
      </c>
      <c r="K77" s="337">
        <f>-0.5*38.315</f>
        <v>-19.1575</v>
      </c>
      <c r="L77" s="327">
        <f t="shared" si="3"/>
        <v>19.15736623</v>
      </c>
      <c r="M77" s="321" t="str">
        <f t="shared" si="4"/>
        <v>iviangita</v>
      </c>
      <c r="N77" s="209">
        <f>IFERROR(__xludf.DUMMYFUNCTION("""COMPUTED_VALUE"""),1.0)</f>
        <v>1</v>
      </c>
      <c r="O77" s="209"/>
      <c r="P77" s="209"/>
      <c r="Q77" s="209"/>
      <c r="R77" s="209">
        <v>18.802169413641863</v>
      </c>
      <c r="S77" s="209"/>
      <c r="T77" s="209"/>
      <c r="U77" s="209"/>
      <c r="V77" s="209"/>
      <c r="W77" s="209"/>
      <c r="X77" s="209"/>
      <c r="Y77" s="176"/>
      <c r="Z77" s="176"/>
    </row>
    <row r="78">
      <c r="A78" s="249" t="s">
        <v>10</v>
      </c>
      <c r="B78" s="249" t="s">
        <v>1228</v>
      </c>
      <c r="C78" s="219" t="s">
        <v>2919</v>
      </c>
      <c r="D78" s="268" t="s">
        <v>495</v>
      </c>
      <c r="E78" s="361">
        <v>44198.0</v>
      </c>
      <c r="F78" s="250" t="s">
        <v>496</v>
      </c>
      <c r="G78" s="171">
        <v>300.0</v>
      </c>
      <c r="H78" s="171">
        <v>200.0</v>
      </c>
      <c r="I78" s="171">
        <v>400.0</v>
      </c>
      <c r="J78" s="325">
        <f t="shared" si="2"/>
        <v>0.007512528322</v>
      </c>
      <c r="K78" s="326">
        <f t="shared" ref="K78:K95" si="6">J78*$J$1</f>
        <v>5.634396242</v>
      </c>
      <c r="L78" s="327">
        <f t="shared" si="3"/>
        <v>19.15736623</v>
      </c>
      <c r="M78" s="321" t="str">
        <f t="shared" si="4"/>
        <v>iviangita</v>
      </c>
      <c r="N78" s="209">
        <f>IFERROR(__xludf.DUMMYFUNCTION("""COMPUTED_VALUE"""),2.0)</f>
        <v>2</v>
      </c>
      <c r="O78" s="176"/>
      <c r="P78" s="176"/>
      <c r="Q78" s="176"/>
      <c r="R78" s="176"/>
      <c r="S78" s="176"/>
      <c r="T78" s="176"/>
      <c r="U78" s="176"/>
      <c r="V78" s="176"/>
      <c r="W78" s="176"/>
      <c r="X78" s="176"/>
      <c r="Y78" s="176"/>
      <c r="Z78" s="176"/>
    </row>
    <row r="79">
      <c r="A79" s="249" t="s">
        <v>10</v>
      </c>
      <c r="B79" s="249" t="s">
        <v>1228</v>
      </c>
      <c r="C79" s="219" t="s">
        <v>2874</v>
      </c>
      <c r="D79" s="268" t="s">
        <v>495</v>
      </c>
      <c r="E79" s="361">
        <v>44198.0</v>
      </c>
      <c r="F79" s="250" t="s">
        <v>496</v>
      </c>
      <c r="G79" s="171">
        <v>20.0</v>
      </c>
      <c r="H79" s="171">
        <v>25.0</v>
      </c>
      <c r="I79" s="171">
        <v>70.0</v>
      </c>
      <c r="J79" s="325">
        <f t="shared" si="2"/>
        <v>0.0009547878284</v>
      </c>
      <c r="K79" s="326">
        <f t="shared" si="6"/>
        <v>0.7160908713</v>
      </c>
      <c r="L79" s="327">
        <f t="shared" si="3"/>
        <v>19.15736623</v>
      </c>
      <c r="M79" s="321" t="str">
        <f t="shared" si="4"/>
        <v>iviangita</v>
      </c>
      <c r="N79" s="209">
        <f>IFERROR(__xludf.DUMMYFUNCTION("""COMPUTED_VALUE"""),3.0)</f>
        <v>3</v>
      </c>
      <c r="O79" s="176"/>
      <c r="P79" s="176"/>
      <c r="Q79" s="176"/>
      <c r="R79" s="176"/>
      <c r="S79" s="176"/>
      <c r="T79" s="176"/>
      <c r="U79" s="176"/>
      <c r="V79" s="176"/>
      <c r="W79" s="176"/>
      <c r="X79" s="176"/>
      <c r="Y79" s="176"/>
      <c r="Z79" s="176"/>
    </row>
    <row r="80">
      <c r="A80" s="249" t="s">
        <v>10</v>
      </c>
      <c r="B80" s="249" t="s">
        <v>519</v>
      </c>
      <c r="C80" s="219" t="s">
        <v>2905</v>
      </c>
      <c r="D80" s="268" t="s">
        <v>495</v>
      </c>
      <c r="E80" s="361">
        <v>44200.0</v>
      </c>
      <c r="F80" s="250" t="s">
        <v>499</v>
      </c>
      <c r="G80" s="171">
        <v>45.0</v>
      </c>
      <c r="H80" s="171">
        <v>25.0</v>
      </c>
      <c r="I80" s="171">
        <v>60.0</v>
      </c>
      <c r="J80" s="325">
        <f t="shared" si="2"/>
        <v>0.001078709692</v>
      </c>
      <c r="K80" s="326">
        <f t="shared" si="6"/>
        <v>0.8090322686</v>
      </c>
      <c r="L80" s="327">
        <f t="shared" si="3"/>
        <v>19.15736623</v>
      </c>
      <c r="M80" s="321" t="str">
        <f t="shared" si="4"/>
        <v>iviangita</v>
      </c>
      <c r="N80" s="209">
        <f>IFERROR(__xludf.DUMMYFUNCTION("""COMPUTED_VALUE"""),4.0)</f>
        <v>4</v>
      </c>
      <c r="O80" s="176"/>
      <c r="P80" s="176"/>
      <c r="Q80" s="176"/>
      <c r="R80" s="176"/>
      <c r="S80" s="176"/>
      <c r="T80" s="176"/>
      <c r="U80" s="176"/>
      <c r="V80" s="176"/>
      <c r="W80" s="176"/>
      <c r="X80" s="176"/>
      <c r="Y80" s="176"/>
      <c r="Z80" s="176"/>
    </row>
    <row r="81">
      <c r="A81" s="249" t="s">
        <v>10</v>
      </c>
      <c r="B81" s="249" t="s">
        <v>18</v>
      </c>
      <c r="C81" s="219" t="s">
        <v>2920</v>
      </c>
      <c r="D81" s="268" t="s">
        <v>495</v>
      </c>
      <c r="E81" s="361">
        <v>44201.0</v>
      </c>
      <c r="F81" s="250" t="s">
        <v>496</v>
      </c>
      <c r="G81" s="171">
        <v>100.0</v>
      </c>
      <c r="H81" s="171">
        <v>100.0</v>
      </c>
      <c r="I81" s="171">
        <v>120.0</v>
      </c>
      <c r="J81" s="325">
        <f t="shared" si="2"/>
        <v>0.002720212033</v>
      </c>
      <c r="K81" s="326">
        <f t="shared" si="6"/>
        <v>2.040159025</v>
      </c>
      <c r="L81" s="327">
        <f t="shared" si="3"/>
        <v>19.15736623</v>
      </c>
      <c r="M81" s="321" t="str">
        <f t="shared" si="4"/>
        <v>iviangita</v>
      </c>
      <c r="N81" s="209">
        <f>IFERROR(__xludf.DUMMYFUNCTION("""COMPUTED_VALUE"""),5.0)</f>
        <v>5</v>
      </c>
      <c r="O81" s="176"/>
      <c r="P81" s="176"/>
      <c r="Q81" s="176"/>
      <c r="R81" s="176"/>
      <c r="S81" s="176"/>
      <c r="T81" s="176"/>
      <c r="U81" s="176"/>
      <c r="V81" s="176"/>
      <c r="W81" s="176"/>
      <c r="X81" s="176"/>
      <c r="Y81" s="176"/>
      <c r="Z81" s="176"/>
    </row>
    <row r="82">
      <c r="A82" s="249" t="s">
        <v>10</v>
      </c>
      <c r="B82" s="249" t="s">
        <v>519</v>
      </c>
      <c r="C82" s="219" t="s">
        <v>2876</v>
      </c>
      <c r="D82" s="268" t="s">
        <v>495</v>
      </c>
      <c r="E82" s="361">
        <v>44201.0</v>
      </c>
      <c r="F82" s="250" t="s">
        <v>499</v>
      </c>
      <c r="G82" s="171">
        <v>60.0</v>
      </c>
      <c r="H82" s="171">
        <v>100.0</v>
      </c>
      <c r="I82" s="171">
        <v>100.0</v>
      </c>
      <c r="J82" s="325">
        <f t="shared" si="2"/>
        <v>0.002238182027</v>
      </c>
      <c r="K82" s="326">
        <f t="shared" si="6"/>
        <v>1.67863652</v>
      </c>
      <c r="L82" s="327">
        <f t="shared" si="3"/>
        <v>19.15736623</v>
      </c>
      <c r="M82" s="321" t="str">
        <f t="shared" si="4"/>
        <v>iviangita</v>
      </c>
      <c r="N82" s="209">
        <f>IFERROR(__xludf.DUMMYFUNCTION("""COMPUTED_VALUE"""),6.0)</f>
        <v>6</v>
      </c>
      <c r="O82" s="176"/>
      <c r="P82" s="176"/>
      <c r="Q82" s="176"/>
      <c r="R82" s="176"/>
      <c r="S82" s="176"/>
      <c r="T82" s="176"/>
      <c r="U82" s="176"/>
      <c r="V82" s="176"/>
      <c r="W82" s="176"/>
      <c r="X82" s="176"/>
      <c r="Y82" s="176"/>
      <c r="Z82" s="176"/>
    </row>
    <row r="83">
      <c r="A83" s="249" t="s">
        <v>10</v>
      </c>
      <c r="B83" s="249" t="s">
        <v>519</v>
      </c>
      <c r="C83" s="219" t="s">
        <v>2877</v>
      </c>
      <c r="D83" s="268" t="s">
        <v>495</v>
      </c>
      <c r="E83" s="361">
        <v>44201.0</v>
      </c>
      <c r="F83" s="250" t="s">
        <v>499</v>
      </c>
      <c r="G83" s="171">
        <v>125.0</v>
      </c>
      <c r="H83" s="171">
        <v>100.0</v>
      </c>
      <c r="I83" s="171">
        <v>130.0</v>
      </c>
      <c r="J83" s="325">
        <f t="shared" si="2"/>
        <v>0.003001775576</v>
      </c>
      <c r="K83" s="326">
        <f t="shared" si="6"/>
        <v>2.251331682</v>
      </c>
      <c r="L83" s="327">
        <f t="shared" si="3"/>
        <v>19.15736623</v>
      </c>
      <c r="M83" s="321" t="str">
        <f t="shared" si="4"/>
        <v>iviangita</v>
      </c>
      <c r="N83" s="209">
        <f>IFERROR(__xludf.DUMMYFUNCTION("""COMPUTED_VALUE"""),7.0)</f>
        <v>7</v>
      </c>
      <c r="O83" s="176"/>
      <c r="P83" s="176"/>
      <c r="Q83" s="176"/>
      <c r="R83" s="176"/>
      <c r="S83" s="176"/>
      <c r="T83" s="176"/>
      <c r="U83" s="176"/>
      <c r="V83" s="176"/>
      <c r="W83" s="176"/>
      <c r="X83" s="176"/>
      <c r="Y83" s="176"/>
      <c r="Z83" s="176"/>
    </row>
    <row r="84">
      <c r="A84" s="249" t="s">
        <v>10</v>
      </c>
      <c r="B84" s="249" t="s">
        <v>519</v>
      </c>
      <c r="C84" s="219" t="s">
        <v>2878</v>
      </c>
      <c r="D84" s="268" t="s">
        <v>495</v>
      </c>
      <c r="E84" s="361">
        <v>44201.0</v>
      </c>
      <c r="F84" s="250" t="s">
        <v>499</v>
      </c>
      <c r="G84" s="171">
        <v>45.0</v>
      </c>
      <c r="H84" s="171">
        <v>55.0</v>
      </c>
      <c r="I84" s="171">
        <v>40.0</v>
      </c>
      <c r="J84" s="325">
        <f t="shared" si="2"/>
        <v>0.001210085352</v>
      </c>
      <c r="K84" s="326">
        <f t="shared" si="6"/>
        <v>0.9075640141</v>
      </c>
      <c r="L84" s="327">
        <f t="shared" si="3"/>
        <v>19.15736623</v>
      </c>
      <c r="M84" s="321" t="str">
        <f t="shared" si="4"/>
        <v>iviangita</v>
      </c>
      <c r="N84" s="209">
        <f>IFERROR(__xludf.DUMMYFUNCTION("""COMPUTED_VALUE"""),8.0)</f>
        <v>8</v>
      </c>
      <c r="O84" s="176"/>
      <c r="P84" s="176"/>
      <c r="Q84" s="176"/>
      <c r="R84" s="176"/>
      <c r="S84" s="176"/>
      <c r="T84" s="176"/>
      <c r="U84" s="176"/>
      <c r="V84" s="176"/>
      <c r="W84" s="176"/>
      <c r="X84" s="176"/>
      <c r="Y84" s="176"/>
      <c r="Z84" s="176"/>
    </row>
    <row r="85">
      <c r="A85" s="249" t="s">
        <v>10</v>
      </c>
      <c r="B85" s="249" t="s">
        <v>867</v>
      </c>
      <c r="C85" s="219" t="s">
        <v>2921</v>
      </c>
      <c r="D85" s="268" t="s">
        <v>495</v>
      </c>
      <c r="E85" s="361">
        <v>44202.0</v>
      </c>
      <c r="F85" s="250" t="s">
        <v>496</v>
      </c>
      <c r="G85" s="171">
        <v>100.0</v>
      </c>
      <c r="H85" s="171">
        <v>150.0</v>
      </c>
      <c r="I85" s="171">
        <v>170.0</v>
      </c>
      <c r="J85" s="325">
        <f t="shared" si="2"/>
        <v>0.003596011802</v>
      </c>
      <c r="K85" s="326">
        <f t="shared" si="6"/>
        <v>2.697008852</v>
      </c>
      <c r="L85" s="327">
        <f t="shared" si="3"/>
        <v>19.15736623</v>
      </c>
      <c r="M85" s="321" t="str">
        <f t="shared" si="4"/>
        <v>iviangita</v>
      </c>
      <c r="N85" s="209">
        <f>IFERROR(__xludf.DUMMYFUNCTION("""COMPUTED_VALUE"""),9.0)</f>
        <v>9</v>
      </c>
      <c r="O85" s="176"/>
      <c r="P85" s="176"/>
      <c r="Q85" s="176"/>
      <c r="R85" s="176"/>
      <c r="S85" s="176"/>
      <c r="T85" s="176"/>
      <c r="U85" s="176"/>
      <c r="V85" s="176"/>
      <c r="W85" s="176"/>
      <c r="X85" s="176"/>
      <c r="Y85" s="176"/>
      <c r="Z85" s="176"/>
    </row>
    <row r="86">
      <c r="A86" s="249" t="s">
        <v>10</v>
      </c>
      <c r="B86" s="249" t="s">
        <v>867</v>
      </c>
      <c r="C86" s="219" t="s">
        <v>2880</v>
      </c>
      <c r="D86" s="268" t="s">
        <v>495</v>
      </c>
      <c r="E86" s="361">
        <v>44202.0</v>
      </c>
      <c r="F86" s="250" t="s">
        <v>496</v>
      </c>
      <c r="G86" s="171">
        <v>60.0</v>
      </c>
      <c r="H86" s="171">
        <v>55.0</v>
      </c>
      <c r="I86" s="171">
        <v>60.0</v>
      </c>
      <c r="J86" s="325">
        <f t="shared" si="2"/>
        <v>0.001489372655</v>
      </c>
      <c r="K86" s="326">
        <f t="shared" si="6"/>
        <v>1.117029491</v>
      </c>
      <c r="L86" s="327">
        <f t="shared" si="3"/>
        <v>19.15736623</v>
      </c>
      <c r="M86" s="321" t="str">
        <f t="shared" si="4"/>
        <v>iviangita</v>
      </c>
      <c r="N86" s="209">
        <f>IFERROR(__xludf.DUMMYFUNCTION("""COMPUTED_VALUE"""),10.0)</f>
        <v>10</v>
      </c>
      <c r="O86" s="176"/>
      <c r="P86" s="176"/>
      <c r="Q86" s="176"/>
      <c r="R86" s="176"/>
      <c r="S86" s="176"/>
      <c r="T86" s="176"/>
      <c r="U86" s="176"/>
      <c r="V86" s="176"/>
      <c r="W86" s="176"/>
      <c r="X86" s="176"/>
      <c r="Y86" s="176"/>
      <c r="Z86" s="176"/>
    </row>
    <row r="87">
      <c r="A87" s="249" t="s">
        <v>10</v>
      </c>
      <c r="B87" s="249" t="s">
        <v>25</v>
      </c>
      <c r="C87" s="219" t="s">
        <v>2885</v>
      </c>
      <c r="D87" s="268" t="s">
        <v>495</v>
      </c>
      <c r="E87" s="361">
        <v>44203.0</v>
      </c>
      <c r="F87" s="250" t="s">
        <v>496</v>
      </c>
      <c r="G87" s="171">
        <v>100.0</v>
      </c>
      <c r="H87" s="171">
        <v>200.0</v>
      </c>
      <c r="I87" s="171">
        <v>160.0</v>
      </c>
      <c r="J87" s="325">
        <f t="shared" si="2"/>
        <v>0.00399888653</v>
      </c>
      <c r="K87" s="326">
        <f t="shared" si="6"/>
        <v>2.999164898</v>
      </c>
      <c r="L87" s="327">
        <f t="shared" si="3"/>
        <v>19.15736623</v>
      </c>
      <c r="M87" s="321" t="str">
        <f t="shared" si="4"/>
        <v>iviangita</v>
      </c>
      <c r="N87" s="209">
        <f>IFERROR(__xludf.DUMMYFUNCTION("""COMPUTED_VALUE"""),11.0)</f>
        <v>11</v>
      </c>
      <c r="O87" s="176"/>
      <c r="P87" s="176"/>
      <c r="Q87" s="176"/>
      <c r="R87" s="176"/>
      <c r="S87" s="176"/>
      <c r="T87" s="176"/>
      <c r="U87" s="176"/>
      <c r="V87" s="176"/>
      <c r="W87" s="176"/>
      <c r="X87" s="176"/>
      <c r="Y87" s="176"/>
      <c r="Z87" s="176"/>
    </row>
    <row r="88">
      <c r="A88" s="249" t="s">
        <v>10</v>
      </c>
      <c r="B88" s="249" t="s">
        <v>10</v>
      </c>
      <c r="C88" s="219" t="s">
        <v>2922</v>
      </c>
      <c r="D88" s="268" t="s">
        <v>495</v>
      </c>
      <c r="E88" s="361">
        <v>44204.0</v>
      </c>
      <c r="F88" s="250" t="s">
        <v>496</v>
      </c>
      <c r="G88" s="171">
        <v>150.0</v>
      </c>
      <c r="H88" s="171">
        <v>100.0</v>
      </c>
      <c r="I88" s="171">
        <v>120.0</v>
      </c>
      <c r="J88" s="325">
        <f t="shared" si="2"/>
        <v>0.003125697439</v>
      </c>
      <c r="K88" s="326">
        <f t="shared" si="6"/>
        <v>2.344273079</v>
      </c>
      <c r="L88" s="327">
        <f t="shared" si="3"/>
        <v>19.15736623</v>
      </c>
      <c r="M88" s="321" t="str">
        <f t="shared" si="4"/>
        <v>iviangita</v>
      </c>
      <c r="N88" s="209">
        <f>IFERROR(__xludf.DUMMYFUNCTION("""COMPUTED_VALUE"""),12.0)</f>
        <v>12</v>
      </c>
      <c r="O88" s="176"/>
      <c r="P88" s="176"/>
      <c r="Q88" s="176"/>
      <c r="R88" s="176"/>
      <c r="S88" s="176"/>
      <c r="T88" s="176"/>
      <c r="U88" s="176"/>
      <c r="V88" s="176"/>
      <c r="W88" s="176"/>
      <c r="X88" s="176"/>
      <c r="Y88" s="176"/>
      <c r="Z88" s="176"/>
    </row>
    <row r="89">
      <c r="A89" s="249" t="s">
        <v>10</v>
      </c>
      <c r="B89" s="249" t="s">
        <v>10</v>
      </c>
      <c r="C89" s="219" t="s">
        <v>2923</v>
      </c>
      <c r="D89" s="268" t="s">
        <v>495</v>
      </c>
      <c r="E89" s="361">
        <v>44204.0</v>
      </c>
      <c r="F89" s="250" t="s">
        <v>496</v>
      </c>
      <c r="G89" s="171">
        <v>100.0</v>
      </c>
      <c r="H89" s="171">
        <v>155.0</v>
      </c>
      <c r="I89" s="171">
        <v>240.0</v>
      </c>
      <c r="J89" s="325">
        <f t="shared" si="2"/>
        <v>0.004195927241</v>
      </c>
      <c r="K89" s="326">
        <f t="shared" si="6"/>
        <v>3.146945431</v>
      </c>
      <c r="L89" s="327">
        <f t="shared" si="3"/>
        <v>19.15736623</v>
      </c>
      <c r="M89" s="321" t="str">
        <f t="shared" si="4"/>
        <v>iviangita</v>
      </c>
      <c r="N89" s="209">
        <f>IFERROR(__xludf.DUMMYFUNCTION("""COMPUTED_VALUE"""),13.0)</f>
        <v>13</v>
      </c>
      <c r="O89" s="176"/>
      <c r="P89" s="176"/>
      <c r="Q89" s="176"/>
      <c r="R89" s="176"/>
      <c r="S89" s="176"/>
      <c r="T89" s="176"/>
      <c r="U89" s="176"/>
      <c r="V89" s="176"/>
      <c r="W89" s="176"/>
      <c r="X89" s="176"/>
      <c r="Y89" s="176"/>
      <c r="Z89" s="176"/>
    </row>
    <row r="90">
      <c r="A90" s="249" t="s">
        <v>10</v>
      </c>
      <c r="B90" s="249" t="s">
        <v>867</v>
      </c>
      <c r="C90" s="219" t="s">
        <v>2924</v>
      </c>
      <c r="D90" s="268" t="s">
        <v>495</v>
      </c>
      <c r="E90" s="361">
        <v>44205.0</v>
      </c>
      <c r="F90" s="250" t="s">
        <v>496</v>
      </c>
      <c r="G90" s="171">
        <v>40.0</v>
      </c>
      <c r="H90" s="171">
        <v>25.0</v>
      </c>
      <c r="I90" s="171">
        <v>10.0</v>
      </c>
      <c r="J90" s="325">
        <f t="shared" si="2"/>
        <v>0.0006440569497</v>
      </c>
      <c r="K90" s="326">
        <f t="shared" si="6"/>
        <v>0.4830427123</v>
      </c>
      <c r="L90" s="327">
        <f t="shared" si="3"/>
        <v>19.15736623</v>
      </c>
      <c r="M90" s="321" t="str">
        <f t="shared" si="4"/>
        <v>iviangita</v>
      </c>
      <c r="N90" s="209">
        <f>IFERROR(__xludf.DUMMYFUNCTION("""COMPUTED_VALUE"""),14.0)</f>
        <v>14</v>
      </c>
      <c r="O90" s="176"/>
      <c r="P90" s="176"/>
      <c r="Q90" s="176"/>
      <c r="R90" s="176"/>
      <c r="S90" s="176"/>
      <c r="T90" s="176"/>
      <c r="U90" s="176"/>
      <c r="V90" s="176"/>
      <c r="W90" s="176"/>
      <c r="X90" s="176"/>
      <c r="Y90" s="176"/>
      <c r="Z90" s="176"/>
    </row>
    <row r="91">
      <c r="A91" s="249" t="s">
        <v>10</v>
      </c>
      <c r="B91" s="249" t="s">
        <v>590</v>
      </c>
      <c r="C91" s="219" t="s">
        <v>2925</v>
      </c>
      <c r="D91" s="268" t="s">
        <v>495</v>
      </c>
      <c r="E91" s="251">
        <v>44209.0</v>
      </c>
      <c r="F91" s="250" t="s">
        <v>496</v>
      </c>
      <c r="G91" s="171">
        <v>300.0</v>
      </c>
      <c r="H91" s="171">
        <v>100.0</v>
      </c>
      <c r="I91" s="171">
        <v>390.0</v>
      </c>
      <c r="J91" s="325">
        <f t="shared" si="2"/>
        <v>0.006470316345</v>
      </c>
      <c r="K91" s="326">
        <f t="shared" si="6"/>
        <v>4.852737259</v>
      </c>
      <c r="L91" s="327">
        <f t="shared" si="3"/>
        <v>19.15736623</v>
      </c>
      <c r="M91" s="321" t="str">
        <f t="shared" si="4"/>
        <v>iviangita</v>
      </c>
      <c r="N91" s="209">
        <f>IFERROR(__xludf.DUMMYFUNCTION("""COMPUTED_VALUE"""),15.0)</f>
        <v>15</v>
      </c>
      <c r="O91" s="176"/>
      <c r="P91" s="176"/>
      <c r="Q91" s="176"/>
      <c r="R91" s="176"/>
      <c r="S91" s="176"/>
      <c r="T91" s="176"/>
      <c r="U91" s="176"/>
      <c r="V91" s="176"/>
      <c r="W91" s="176"/>
      <c r="X91" s="176"/>
      <c r="Y91" s="176"/>
      <c r="Z91" s="176"/>
    </row>
    <row r="92">
      <c r="A92" s="249" t="s">
        <v>10</v>
      </c>
      <c r="B92" s="249" t="s">
        <v>5</v>
      </c>
      <c r="C92" s="219" t="s">
        <v>2894</v>
      </c>
      <c r="D92" s="268" t="s">
        <v>495</v>
      </c>
      <c r="E92" s="251">
        <v>44210.0</v>
      </c>
      <c r="F92" s="250" t="s">
        <v>496</v>
      </c>
      <c r="G92" s="171">
        <v>25.0</v>
      </c>
      <c r="H92" s="171">
        <v>25.0</v>
      </c>
      <c r="I92" s="171">
        <v>40.0</v>
      </c>
      <c r="J92" s="325">
        <f t="shared" si="2"/>
        <v>0.0007588738484</v>
      </c>
      <c r="K92" s="326">
        <f t="shared" si="6"/>
        <v>0.5691553863</v>
      </c>
      <c r="L92" s="327">
        <f t="shared" si="3"/>
        <v>19.15736623</v>
      </c>
      <c r="M92" s="321" t="str">
        <f t="shared" si="4"/>
        <v>iviangita</v>
      </c>
      <c r="N92" s="209">
        <f>IFERROR(__xludf.DUMMYFUNCTION("""COMPUTED_VALUE"""),16.0)</f>
        <v>16</v>
      </c>
      <c r="O92" s="176"/>
      <c r="P92" s="176"/>
      <c r="Q92" s="176"/>
      <c r="R92" s="176"/>
      <c r="S92" s="176"/>
      <c r="T92" s="176"/>
      <c r="U92" s="176"/>
      <c r="V92" s="176"/>
      <c r="W92" s="176"/>
      <c r="X92" s="176"/>
      <c r="Y92" s="176"/>
      <c r="Z92" s="176"/>
    </row>
    <row r="93">
      <c r="A93" s="249" t="s">
        <v>10</v>
      </c>
      <c r="B93" s="249" t="s">
        <v>10</v>
      </c>
      <c r="C93" s="219" t="s">
        <v>494</v>
      </c>
      <c r="D93" s="268" t="s">
        <v>495</v>
      </c>
      <c r="E93" s="251">
        <v>44210.0</v>
      </c>
      <c r="F93" s="250" t="s">
        <v>545</v>
      </c>
      <c r="G93" s="171">
        <v>100.0</v>
      </c>
      <c r="H93" s="171">
        <v>125.0</v>
      </c>
      <c r="I93" s="171">
        <v>120.0</v>
      </c>
      <c r="J93" s="325">
        <f t="shared" si="2"/>
        <v>0.002961059817</v>
      </c>
      <c r="K93" s="326">
        <f t="shared" si="6"/>
        <v>2.220794863</v>
      </c>
      <c r="L93" s="327">
        <f t="shared" si="3"/>
        <v>19.15736623</v>
      </c>
      <c r="M93" s="321" t="str">
        <f t="shared" si="4"/>
        <v>iviangita</v>
      </c>
      <c r="N93" s="209">
        <f>IFERROR(__xludf.DUMMYFUNCTION("""COMPUTED_VALUE"""),17.0)</f>
        <v>17</v>
      </c>
      <c r="O93" s="176"/>
      <c r="P93" s="176"/>
      <c r="Q93" s="176"/>
      <c r="R93" s="176"/>
      <c r="S93" s="176"/>
      <c r="T93" s="176"/>
      <c r="U93" s="176"/>
      <c r="V93" s="176"/>
      <c r="W93" s="176"/>
      <c r="X93" s="176"/>
      <c r="Y93" s="176"/>
      <c r="Z93" s="176"/>
    </row>
    <row r="94">
      <c r="A94" s="249" t="s">
        <v>10</v>
      </c>
      <c r="B94" s="249" t="s">
        <v>10</v>
      </c>
      <c r="C94" s="219" t="s">
        <v>2926</v>
      </c>
      <c r="D94" s="268" t="s">
        <v>495</v>
      </c>
      <c r="E94" s="251">
        <v>44211.0</v>
      </c>
      <c r="F94" s="250" t="s">
        <v>496</v>
      </c>
      <c r="G94" s="171">
        <v>200.0</v>
      </c>
      <c r="H94" s="171">
        <v>35.0</v>
      </c>
      <c r="I94" s="171">
        <v>230.0</v>
      </c>
      <c r="J94" s="325">
        <f t="shared" si="2"/>
        <v>0.003772007849</v>
      </c>
      <c r="K94" s="326">
        <f t="shared" si="6"/>
        <v>2.829005887</v>
      </c>
      <c r="L94" s="327">
        <f t="shared" si="3"/>
        <v>19.15736623</v>
      </c>
      <c r="M94" s="321" t="str">
        <f t="shared" si="4"/>
        <v>iviangita</v>
      </c>
      <c r="N94" s="209">
        <f>IFERROR(__xludf.DUMMYFUNCTION("""COMPUTED_VALUE"""),18.0)</f>
        <v>18</v>
      </c>
      <c r="O94" s="176"/>
      <c r="P94" s="176"/>
      <c r="Q94" s="176"/>
      <c r="R94" s="176"/>
      <c r="S94" s="176"/>
      <c r="T94" s="176"/>
      <c r="U94" s="176"/>
      <c r="V94" s="176"/>
      <c r="W94" s="176"/>
      <c r="X94" s="176"/>
      <c r="Y94" s="176"/>
      <c r="Z94" s="176"/>
    </row>
    <row r="95">
      <c r="A95" s="249" t="s">
        <v>10</v>
      </c>
      <c r="B95" s="249" t="s">
        <v>6</v>
      </c>
      <c r="C95" s="219" t="s">
        <v>2927</v>
      </c>
      <c r="D95" s="268" t="s">
        <v>495</v>
      </c>
      <c r="E95" s="251">
        <v>44211.0</v>
      </c>
      <c r="F95" s="250" t="s">
        <v>496</v>
      </c>
      <c r="G95" s="171">
        <v>60.0</v>
      </c>
      <c r="H95" s="171">
        <v>25.0</v>
      </c>
      <c r="I95" s="171">
        <v>80.0</v>
      </c>
      <c r="J95" s="325">
        <f t="shared" si="2"/>
        <v>0.001357996994</v>
      </c>
      <c r="K95" s="326">
        <f t="shared" si="6"/>
        <v>1.018497745</v>
      </c>
      <c r="L95" s="327">
        <f t="shared" si="3"/>
        <v>19.15736623</v>
      </c>
      <c r="M95" s="321" t="str">
        <f t="shared" si="4"/>
        <v>iviangita</v>
      </c>
      <c r="N95" s="209">
        <f>IFERROR(__xludf.DUMMYFUNCTION("""COMPUTED_VALUE"""),19.0)</f>
        <v>19</v>
      </c>
      <c r="O95" s="176"/>
      <c r="P95" s="176"/>
      <c r="Q95" s="176"/>
      <c r="R95" s="176"/>
      <c r="S95" s="176"/>
      <c r="T95" s="176"/>
      <c r="U95" s="176"/>
      <c r="V95" s="176"/>
      <c r="W95" s="176"/>
      <c r="X95" s="176"/>
      <c r="Y95" s="176"/>
      <c r="Z95" s="176"/>
    </row>
    <row r="96">
      <c r="A96" s="343" t="s">
        <v>6</v>
      </c>
      <c r="B96" s="240" t="s">
        <v>534</v>
      </c>
      <c r="C96" s="346" t="s">
        <v>2928</v>
      </c>
      <c r="D96" s="336"/>
      <c r="E96" s="255"/>
      <c r="F96" s="254"/>
      <c r="G96" s="222"/>
      <c r="H96" s="222"/>
      <c r="I96" s="222"/>
      <c r="J96" s="325">
        <f t="shared" si="2"/>
        <v>0</v>
      </c>
      <c r="K96" s="337">
        <f>-0.5*38.011</f>
        <v>-19.0055</v>
      </c>
      <c r="L96" s="327">
        <f t="shared" si="3"/>
        <v>19.00593904</v>
      </c>
      <c r="M96" s="321" t="str">
        <f t="shared" si="4"/>
        <v>sembrestels</v>
      </c>
      <c r="N96" s="153">
        <f>IFERROR(__xludf.DUMMYFUNCTION("""COMPUTED_VALUE"""),1.0)</f>
        <v>1</v>
      </c>
      <c r="O96" s="209"/>
      <c r="P96" s="209"/>
      <c r="Q96" s="209"/>
      <c r="R96" s="209">
        <v>57.049855624848725</v>
      </c>
      <c r="S96" s="209"/>
      <c r="T96" s="209"/>
      <c r="U96" s="209"/>
      <c r="V96" s="209"/>
      <c r="W96" s="209"/>
      <c r="X96" s="209"/>
      <c r="Y96" s="176"/>
      <c r="Z96" s="176"/>
    </row>
    <row r="97">
      <c r="A97" s="249" t="s">
        <v>6</v>
      </c>
      <c r="B97" s="249" t="s">
        <v>10</v>
      </c>
      <c r="C97" s="219" t="s">
        <v>2929</v>
      </c>
      <c r="D97" s="268" t="s">
        <v>495</v>
      </c>
      <c r="E97" s="361">
        <v>44198.0</v>
      </c>
      <c r="F97" s="250" t="s">
        <v>496</v>
      </c>
      <c r="G97" s="171">
        <v>300.0</v>
      </c>
      <c r="H97" s="171">
        <v>200.0</v>
      </c>
      <c r="I97" s="171">
        <v>400.0</v>
      </c>
      <c r="J97" s="325">
        <f t="shared" si="2"/>
        <v>0.007512528322</v>
      </c>
      <c r="K97" s="326">
        <f t="shared" ref="K97:K139" si="7">J97*$J$1</f>
        <v>5.634396242</v>
      </c>
      <c r="L97" s="327">
        <f t="shared" si="3"/>
        <v>19.00593904</v>
      </c>
      <c r="M97" s="321" t="str">
        <f t="shared" si="4"/>
        <v>sembrestels</v>
      </c>
      <c r="N97" s="209">
        <f>IFERROR(__xludf.DUMMYFUNCTION("""COMPUTED_VALUE"""),2.0)</f>
        <v>2</v>
      </c>
      <c r="O97" s="176"/>
      <c r="P97" s="176"/>
      <c r="Q97" s="176"/>
      <c r="R97" s="176"/>
      <c r="S97" s="176"/>
      <c r="T97" s="176"/>
      <c r="U97" s="176"/>
      <c r="V97" s="176"/>
      <c r="W97" s="176"/>
      <c r="X97" s="176"/>
      <c r="Y97" s="176"/>
      <c r="Z97" s="176"/>
    </row>
    <row r="98">
      <c r="A98" s="249" t="s">
        <v>6</v>
      </c>
      <c r="B98" s="249" t="s">
        <v>10</v>
      </c>
      <c r="C98" s="219" t="s">
        <v>2872</v>
      </c>
      <c r="D98" s="268" t="s">
        <v>495</v>
      </c>
      <c r="E98" s="361">
        <v>44198.0</v>
      </c>
      <c r="F98" s="250" t="s">
        <v>496</v>
      </c>
      <c r="G98" s="171">
        <v>50.0</v>
      </c>
      <c r="H98" s="171">
        <v>25.0</v>
      </c>
      <c r="I98" s="171">
        <v>80.0</v>
      </c>
      <c r="J98" s="325">
        <f t="shared" si="2"/>
        <v>0.001276899913</v>
      </c>
      <c r="K98" s="326">
        <f t="shared" si="7"/>
        <v>0.9576749345</v>
      </c>
      <c r="L98" s="327">
        <f t="shared" si="3"/>
        <v>19.00593904</v>
      </c>
      <c r="M98" s="321" t="str">
        <f t="shared" si="4"/>
        <v>sembrestels</v>
      </c>
      <c r="N98" s="209">
        <f>IFERROR(__xludf.DUMMYFUNCTION("""COMPUTED_VALUE"""),3.0)</f>
        <v>3</v>
      </c>
      <c r="O98" s="176"/>
      <c r="P98" s="176"/>
      <c r="Q98" s="176"/>
      <c r="R98" s="176"/>
      <c r="S98" s="176"/>
      <c r="T98" s="176"/>
      <c r="U98" s="176"/>
      <c r="V98" s="176"/>
      <c r="W98" s="176"/>
      <c r="X98" s="176"/>
      <c r="Y98" s="176"/>
      <c r="Z98" s="176"/>
    </row>
    <row r="99">
      <c r="A99" s="249" t="s">
        <v>6</v>
      </c>
      <c r="B99" s="249" t="s">
        <v>10</v>
      </c>
      <c r="C99" s="219" t="s">
        <v>2873</v>
      </c>
      <c r="D99" s="268" t="s">
        <v>495</v>
      </c>
      <c r="E99" s="361">
        <v>44198.0</v>
      </c>
      <c r="F99" s="250" t="s">
        <v>496</v>
      </c>
      <c r="G99" s="171">
        <v>10.0</v>
      </c>
      <c r="H99" s="171">
        <v>25.0</v>
      </c>
      <c r="I99" s="171">
        <v>10.0</v>
      </c>
      <c r="J99" s="325">
        <f t="shared" si="2"/>
        <v>0.0004007657057</v>
      </c>
      <c r="K99" s="326">
        <f t="shared" si="7"/>
        <v>0.3005742793</v>
      </c>
      <c r="L99" s="327">
        <f t="shared" si="3"/>
        <v>19.00593904</v>
      </c>
      <c r="M99" s="321" t="str">
        <f t="shared" si="4"/>
        <v>sembrestels</v>
      </c>
      <c r="N99" s="209">
        <f>IFERROR(__xludf.DUMMYFUNCTION("""COMPUTED_VALUE"""),4.0)</f>
        <v>4</v>
      </c>
      <c r="O99" s="176"/>
      <c r="P99" s="176"/>
      <c r="Q99" s="176"/>
      <c r="R99" s="176"/>
      <c r="S99" s="176"/>
      <c r="T99" s="176"/>
      <c r="U99" s="176"/>
      <c r="V99" s="176"/>
      <c r="W99" s="176"/>
      <c r="X99" s="176"/>
      <c r="Y99" s="176"/>
      <c r="Z99" s="176"/>
    </row>
    <row r="100">
      <c r="A100" s="249" t="s">
        <v>6</v>
      </c>
      <c r="B100" s="249" t="s">
        <v>1228</v>
      </c>
      <c r="C100" s="219" t="s">
        <v>2874</v>
      </c>
      <c r="D100" s="268" t="s">
        <v>495</v>
      </c>
      <c r="E100" s="361">
        <v>44198.0</v>
      </c>
      <c r="F100" s="250" t="s">
        <v>496</v>
      </c>
      <c r="G100" s="171">
        <v>20.0</v>
      </c>
      <c r="H100" s="171">
        <v>25.0</v>
      </c>
      <c r="I100" s="171">
        <v>15.0</v>
      </c>
      <c r="J100" s="325">
        <f t="shared" si="2"/>
        <v>0.0005212732072</v>
      </c>
      <c r="K100" s="326">
        <f t="shared" si="7"/>
        <v>0.3909549054</v>
      </c>
      <c r="L100" s="327">
        <f t="shared" si="3"/>
        <v>19.00593904</v>
      </c>
      <c r="M100" s="321" t="str">
        <f t="shared" si="4"/>
        <v>sembrestels</v>
      </c>
      <c r="N100" s="209">
        <f>IFERROR(__xludf.DUMMYFUNCTION("""COMPUTED_VALUE"""),5.0)</f>
        <v>5</v>
      </c>
      <c r="O100" s="176"/>
      <c r="P100" s="176"/>
      <c r="Q100" s="176"/>
      <c r="R100" s="176"/>
      <c r="S100" s="176"/>
      <c r="T100" s="176"/>
      <c r="U100" s="176"/>
      <c r="V100" s="176"/>
      <c r="W100" s="176"/>
      <c r="X100" s="176"/>
      <c r="Y100" s="176"/>
      <c r="Z100" s="176"/>
    </row>
    <row r="101">
      <c r="A101" s="249" t="s">
        <v>6</v>
      </c>
      <c r="B101" s="249" t="s">
        <v>6</v>
      </c>
      <c r="C101" s="219" t="s">
        <v>2913</v>
      </c>
      <c r="D101" s="268" t="s">
        <v>495</v>
      </c>
      <c r="E101" s="361">
        <v>44200.0</v>
      </c>
      <c r="F101" s="250" t="s">
        <v>496</v>
      </c>
      <c r="G101" s="171">
        <v>20.0</v>
      </c>
      <c r="H101" s="171">
        <v>25.0</v>
      </c>
      <c r="I101" s="171">
        <v>60.0</v>
      </c>
      <c r="J101" s="325">
        <f t="shared" si="2"/>
        <v>0.0008759669882</v>
      </c>
      <c r="K101" s="326">
        <f t="shared" si="7"/>
        <v>0.6569752412</v>
      </c>
      <c r="L101" s="327">
        <f t="shared" si="3"/>
        <v>19.00593904</v>
      </c>
      <c r="M101" s="321" t="str">
        <f t="shared" si="4"/>
        <v>sembrestels</v>
      </c>
      <c r="N101" s="209">
        <f>IFERROR(__xludf.DUMMYFUNCTION("""COMPUTED_VALUE"""),6.0)</f>
        <v>6</v>
      </c>
      <c r="O101" s="176"/>
      <c r="P101" s="176"/>
      <c r="Q101" s="176"/>
      <c r="R101" s="176"/>
      <c r="S101" s="176"/>
      <c r="T101" s="176"/>
      <c r="U101" s="176"/>
      <c r="V101" s="176"/>
      <c r="W101" s="176"/>
      <c r="X101" s="176"/>
      <c r="Y101" s="176"/>
      <c r="Z101" s="176"/>
    </row>
    <row r="102">
      <c r="A102" s="249" t="s">
        <v>6</v>
      </c>
      <c r="B102" s="249" t="s">
        <v>519</v>
      </c>
      <c r="C102" s="219" t="s">
        <v>2876</v>
      </c>
      <c r="D102" s="268" t="s">
        <v>495</v>
      </c>
      <c r="E102" s="361">
        <v>44201.0</v>
      </c>
      <c r="F102" s="250" t="s">
        <v>499</v>
      </c>
      <c r="G102" s="171">
        <v>100.0</v>
      </c>
      <c r="H102" s="171">
        <v>100.0</v>
      </c>
      <c r="I102" s="171">
        <v>100.0</v>
      </c>
      <c r="J102" s="325">
        <f t="shared" si="2"/>
        <v>0.002562570352</v>
      </c>
      <c r="K102" s="326">
        <f t="shared" si="7"/>
        <v>1.921927764</v>
      </c>
      <c r="L102" s="327">
        <f t="shared" si="3"/>
        <v>19.00593904</v>
      </c>
      <c r="M102" s="321" t="str">
        <f t="shared" si="4"/>
        <v>sembrestels</v>
      </c>
      <c r="N102" s="209">
        <f>IFERROR(__xludf.DUMMYFUNCTION("""COMPUTED_VALUE"""),7.0)</f>
        <v>7</v>
      </c>
      <c r="O102" s="176"/>
      <c r="P102" s="176"/>
      <c r="Q102" s="176"/>
      <c r="R102" s="176"/>
      <c r="S102" s="176"/>
      <c r="T102" s="176"/>
      <c r="U102" s="176"/>
      <c r="V102" s="176"/>
      <c r="W102" s="176"/>
      <c r="X102" s="176"/>
      <c r="Y102" s="176"/>
      <c r="Z102" s="176"/>
    </row>
    <row r="103">
      <c r="A103" s="249" t="s">
        <v>6</v>
      </c>
      <c r="B103" s="249" t="s">
        <v>519</v>
      </c>
      <c r="C103" s="219" t="s">
        <v>2877</v>
      </c>
      <c r="D103" s="268" t="s">
        <v>495</v>
      </c>
      <c r="E103" s="361">
        <v>44201.0</v>
      </c>
      <c r="F103" s="250" t="s">
        <v>499</v>
      </c>
      <c r="G103" s="171">
        <v>125.0</v>
      </c>
      <c r="H103" s="171">
        <v>100.0</v>
      </c>
      <c r="I103" s="171">
        <v>130.0</v>
      </c>
      <c r="J103" s="325">
        <f t="shared" si="2"/>
        <v>0.003001775576</v>
      </c>
      <c r="K103" s="326">
        <f t="shared" si="7"/>
        <v>2.251331682</v>
      </c>
      <c r="L103" s="327">
        <f t="shared" si="3"/>
        <v>19.00593904</v>
      </c>
      <c r="M103" s="321" t="str">
        <f t="shared" si="4"/>
        <v>sembrestels</v>
      </c>
      <c r="N103" s="209">
        <f>IFERROR(__xludf.DUMMYFUNCTION("""COMPUTED_VALUE"""),8.0)</f>
        <v>8</v>
      </c>
      <c r="O103" s="176"/>
      <c r="P103" s="176"/>
      <c r="Q103" s="176"/>
      <c r="R103" s="176"/>
      <c r="S103" s="176"/>
      <c r="T103" s="176"/>
      <c r="U103" s="176"/>
      <c r="V103" s="176"/>
      <c r="W103" s="176"/>
      <c r="X103" s="176"/>
      <c r="Y103" s="176"/>
      <c r="Z103" s="176"/>
    </row>
    <row r="104">
      <c r="A104" s="249" t="s">
        <v>6</v>
      </c>
      <c r="B104" s="249" t="s">
        <v>519</v>
      </c>
      <c r="C104" s="219" t="s">
        <v>2878</v>
      </c>
      <c r="D104" s="268" t="s">
        <v>495</v>
      </c>
      <c r="E104" s="361">
        <v>44201.0</v>
      </c>
      <c r="F104" s="250" t="s">
        <v>499</v>
      </c>
      <c r="G104" s="171">
        <v>45.0</v>
      </c>
      <c r="H104" s="171">
        <v>55.0</v>
      </c>
      <c r="I104" s="171">
        <v>40.0</v>
      </c>
      <c r="J104" s="325">
        <f t="shared" si="2"/>
        <v>0.001210085352</v>
      </c>
      <c r="K104" s="326">
        <f t="shared" si="7"/>
        <v>0.9075640141</v>
      </c>
      <c r="L104" s="327">
        <f t="shared" si="3"/>
        <v>19.00593904</v>
      </c>
      <c r="M104" s="321" t="str">
        <f t="shared" si="4"/>
        <v>sembrestels</v>
      </c>
      <c r="N104" s="209">
        <f>IFERROR(__xludf.DUMMYFUNCTION("""COMPUTED_VALUE"""),9.0)</f>
        <v>9</v>
      </c>
      <c r="O104" s="176"/>
      <c r="P104" s="176"/>
      <c r="Q104" s="176"/>
      <c r="R104" s="176"/>
      <c r="S104" s="176"/>
      <c r="T104" s="176"/>
      <c r="U104" s="176"/>
      <c r="V104" s="176"/>
      <c r="W104" s="176"/>
      <c r="X104" s="176"/>
      <c r="Y104" s="176"/>
      <c r="Z104" s="176"/>
    </row>
    <row r="105">
      <c r="A105" s="249" t="s">
        <v>6</v>
      </c>
      <c r="B105" s="249" t="s">
        <v>25</v>
      </c>
      <c r="C105" s="219" t="s">
        <v>2930</v>
      </c>
      <c r="D105" s="268" t="s">
        <v>495</v>
      </c>
      <c r="E105" s="361">
        <v>44203.0</v>
      </c>
      <c r="F105" s="250" t="s">
        <v>496</v>
      </c>
      <c r="G105" s="171">
        <v>200.0</v>
      </c>
      <c r="H105" s="171">
        <v>300.0</v>
      </c>
      <c r="I105" s="171">
        <v>250.0</v>
      </c>
      <c r="J105" s="325">
        <f t="shared" si="2"/>
        <v>0.006482636042</v>
      </c>
      <c r="K105" s="326">
        <f t="shared" si="7"/>
        <v>4.861977032</v>
      </c>
      <c r="L105" s="327">
        <f t="shared" si="3"/>
        <v>19.00593904</v>
      </c>
      <c r="M105" s="321" t="str">
        <f t="shared" si="4"/>
        <v>sembrestels</v>
      </c>
      <c r="N105" s="209">
        <f>IFERROR(__xludf.DUMMYFUNCTION("""COMPUTED_VALUE"""),10.0)</f>
        <v>10</v>
      </c>
      <c r="O105" s="176"/>
      <c r="P105" s="176"/>
      <c r="Q105" s="176"/>
      <c r="R105" s="176"/>
      <c r="S105" s="176"/>
      <c r="T105" s="176"/>
      <c r="U105" s="176"/>
      <c r="V105" s="176"/>
      <c r="W105" s="176"/>
      <c r="X105" s="176"/>
      <c r="Y105" s="176"/>
      <c r="Z105" s="176"/>
    </row>
    <row r="106">
      <c r="A106" s="249" t="s">
        <v>6</v>
      </c>
      <c r="B106" s="249" t="s">
        <v>10</v>
      </c>
      <c r="C106" s="219" t="s">
        <v>2931</v>
      </c>
      <c r="D106" s="268" t="s">
        <v>495</v>
      </c>
      <c r="E106" s="361">
        <v>44204.0</v>
      </c>
      <c r="F106" s="250" t="s">
        <v>496</v>
      </c>
      <c r="G106" s="171">
        <v>200.0</v>
      </c>
      <c r="H106" s="171">
        <v>155.0</v>
      </c>
      <c r="I106" s="171">
        <v>180.0</v>
      </c>
      <c r="J106" s="325">
        <f t="shared" si="2"/>
        <v>0.004533973013</v>
      </c>
      <c r="K106" s="326">
        <f t="shared" si="7"/>
        <v>3.400479759</v>
      </c>
      <c r="L106" s="327">
        <f t="shared" si="3"/>
        <v>19.00593904</v>
      </c>
      <c r="M106" s="321" t="str">
        <f t="shared" si="4"/>
        <v>sembrestels</v>
      </c>
      <c r="N106" s="209">
        <f>IFERROR(__xludf.DUMMYFUNCTION("""COMPUTED_VALUE"""),11.0)</f>
        <v>11</v>
      </c>
      <c r="O106" s="176"/>
      <c r="P106" s="176"/>
      <c r="Q106" s="176"/>
      <c r="R106" s="176"/>
      <c r="S106" s="176"/>
      <c r="T106" s="176"/>
      <c r="U106" s="176"/>
      <c r="V106" s="176"/>
      <c r="W106" s="176"/>
      <c r="X106" s="176"/>
      <c r="Y106" s="176"/>
      <c r="Z106" s="176"/>
    </row>
    <row r="107">
      <c r="A107" s="249" t="s">
        <v>6</v>
      </c>
      <c r="B107" s="249" t="s">
        <v>10</v>
      </c>
      <c r="C107" s="219" t="s">
        <v>2887</v>
      </c>
      <c r="D107" s="268" t="s">
        <v>495</v>
      </c>
      <c r="E107" s="361">
        <v>44204.0</v>
      </c>
      <c r="F107" s="250" t="s">
        <v>496</v>
      </c>
      <c r="G107" s="171">
        <v>300.0</v>
      </c>
      <c r="H107" s="171">
        <v>155.0</v>
      </c>
      <c r="I107" s="171">
        <v>300.0</v>
      </c>
      <c r="J107" s="325">
        <f t="shared" si="2"/>
        <v>0.006290793908</v>
      </c>
      <c r="K107" s="326">
        <f t="shared" si="7"/>
        <v>4.718095431</v>
      </c>
      <c r="L107" s="327">
        <f t="shared" si="3"/>
        <v>19.00593904</v>
      </c>
      <c r="M107" s="321" t="str">
        <f t="shared" si="4"/>
        <v>sembrestels</v>
      </c>
      <c r="N107" s="209">
        <f>IFERROR(__xludf.DUMMYFUNCTION("""COMPUTED_VALUE"""),12.0)</f>
        <v>12</v>
      </c>
      <c r="O107" s="176"/>
      <c r="P107" s="176"/>
      <c r="Q107" s="176"/>
      <c r="R107" s="176"/>
      <c r="S107" s="176"/>
      <c r="T107" s="176"/>
      <c r="U107" s="176"/>
      <c r="V107" s="176"/>
      <c r="W107" s="176"/>
      <c r="X107" s="176"/>
      <c r="Y107" s="176"/>
      <c r="Z107" s="176"/>
    </row>
    <row r="108">
      <c r="A108" s="249" t="s">
        <v>6</v>
      </c>
      <c r="B108" s="249" t="s">
        <v>10</v>
      </c>
      <c r="C108" s="219" t="s">
        <v>2888</v>
      </c>
      <c r="D108" s="268" t="s">
        <v>495</v>
      </c>
      <c r="E108" s="361">
        <v>44204.0</v>
      </c>
      <c r="F108" s="250" t="s">
        <v>496</v>
      </c>
      <c r="G108" s="171">
        <v>20.0</v>
      </c>
      <c r="H108" s="171">
        <v>25.0</v>
      </c>
      <c r="I108" s="171">
        <v>20.0</v>
      </c>
      <c r="J108" s="325">
        <f t="shared" si="2"/>
        <v>0.0005606836273</v>
      </c>
      <c r="K108" s="326">
        <f t="shared" si="7"/>
        <v>0.4205127205</v>
      </c>
      <c r="L108" s="327">
        <f t="shared" si="3"/>
        <v>19.00593904</v>
      </c>
      <c r="M108" s="321" t="str">
        <f t="shared" si="4"/>
        <v>sembrestels</v>
      </c>
      <c r="N108" s="209">
        <f>IFERROR(__xludf.DUMMYFUNCTION("""COMPUTED_VALUE"""),13.0)</f>
        <v>13</v>
      </c>
      <c r="O108" s="176"/>
      <c r="P108" s="176"/>
      <c r="Q108" s="176"/>
      <c r="R108" s="176"/>
      <c r="S108" s="176"/>
      <c r="T108" s="176"/>
      <c r="U108" s="176"/>
      <c r="V108" s="176"/>
      <c r="W108" s="176"/>
      <c r="X108" s="176"/>
      <c r="Y108" s="176"/>
      <c r="Z108" s="176"/>
    </row>
    <row r="109">
      <c r="A109" s="249" t="s">
        <v>6</v>
      </c>
      <c r="B109" s="249" t="s">
        <v>867</v>
      </c>
      <c r="C109" s="219" t="s">
        <v>2932</v>
      </c>
      <c r="D109" s="268" t="s">
        <v>495</v>
      </c>
      <c r="E109" s="361">
        <v>44204.0</v>
      </c>
      <c r="F109" s="250" t="s">
        <v>496</v>
      </c>
      <c r="G109" s="171">
        <v>10.0</v>
      </c>
      <c r="H109" s="171">
        <v>300.0</v>
      </c>
      <c r="I109" s="171">
        <v>270.0</v>
      </c>
      <c r="J109" s="325">
        <f t="shared" si="2"/>
        <v>0.005099433178</v>
      </c>
      <c r="K109" s="326">
        <f t="shared" si="7"/>
        <v>3.824574883</v>
      </c>
      <c r="L109" s="327">
        <f t="shared" si="3"/>
        <v>19.00593904</v>
      </c>
      <c r="M109" s="321" t="str">
        <f t="shared" si="4"/>
        <v>sembrestels</v>
      </c>
      <c r="N109" s="209">
        <f>IFERROR(__xludf.DUMMYFUNCTION("""COMPUTED_VALUE"""),14.0)</f>
        <v>14</v>
      </c>
      <c r="O109" s="176"/>
      <c r="P109" s="176"/>
      <c r="Q109" s="176"/>
      <c r="R109" s="176"/>
      <c r="S109" s="176"/>
      <c r="T109" s="176"/>
      <c r="U109" s="176"/>
      <c r="V109" s="176"/>
      <c r="W109" s="176"/>
      <c r="X109" s="176"/>
      <c r="Y109" s="176"/>
      <c r="Z109" s="176"/>
    </row>
    <row r="110">
      <c r="A110" s="249" t="s">
        <v>6</v>
      </c>
      <c r="B110" s="249" t="s">
        <v>10</v>
      </c>
      <c r="C110" s="219" t="s">
        <v>2890</v>
      </c>
      <c r="D110" s="268" t="s">
        <v>495</v>
      </c>
      <c r="E110" s="361">
        <v>44205.0</v>
      </c>
      <c r="F110" s="250" t="s">
        <v>496</v>
      </c>
      <c r="G110" s="171">
        <v>40.0</v>
      </c>
      <c r="H110" s="171">
        <v>25.0</v>
      </c>
      <c r="I110" s="171">
        <v>10.0</v>
      </c>
      <c r="J110" s="325">
        <f t="shared" si="2"/>
        <v>0.0006440569497</v>
      </c>
      <c r="K110" s="326">
        <f t="shared" si="7"/>
        <v>0.4830427123</v>
      </c>
      <c r="L110" s="327">
        <f t="shared" si="3"/>
        <v>19.00593904</v>
      </c>
      <c r="M110" s="321" t="str">
        <f t="shared" si="4"/>
        <v>sembrestels</v>
      </c>
      <c r="N110" s="209">
        <f>IFERROR(__xludf.DUMMYFUNCTION("""COMPUTED_VALUE"""),15.0)</f>
        <v>15</v>
      </c>
      <c r="O110" s="176"/>
      <c r="P110" s="176"/>
      <c r="Q110" s="176"/>
      <c r="R110" s="176"/>
      <c r="S110" s="176"/>
      <c r="T110" s="176"/>
      <c r="U110" s="176"/>
      <c r="V110" s="176"/>
      <c r="W110" s="176"/>
      <c r="X110" s="176"/>
      <c r="Y110" s="176"/>
      <c r="Z110" s="176"/>
    </row>
    <row r="111">
      <c r="A111" s="249" t="s">
        <v>6</v>
      </c>
      <c r="B111" s="249" t="s">
        <v>925</v>
      </c>
      <c r="C111" s="219" t="s">
        <v>2933</v>
      </c>
      <c r="D111" s="268" t="s">
        <v>495</v>
      </c>
      <c r="E111" s="361">
        <v>44205.0</v>
      </c>
      <c r="F111" s="250" t="s">
        <v>496</v>
      </c>
      <c r="G111" s="171">
        <v>120.0</v>
      </c>
      <c r="H111" s="171">
        <v>100.0</v>
      </c>
      <c r="I111" s="171">
        <v>100.0</v>
      </c>
      <c r="J111" s="325">
        <f t="shared" si="2"/>
        <v>0.002724764515</v>
      </c>
      <c r="K111" s="326">
        <f t="shared" si="7"/>
        <v>2.043573386</v>
      </c>
      <c r="L111" s="327">
        <f t="shared" si="3"/>
        <v>19.00593904</v>
      </c>
      <c r="M111" s="321" t="str">
        <f t="shared" si="4"/>
        <v>sembrestels</v>
      </c>
      <c r="N111" s="209">
        <f>IFERROR(__xludf.DUMMYFUNCTION("""COMPUTED_VALUE"""),16.0)</f>
        <v>16</v>
      </c>
      <c r="O111" s="176"/>
      <c r="P111" s="176"/>
      <c r="Q111" s="176"/>
      <c r="R111" s="176"/>
      <c r="S111" s="176"/>
      <c r="T111" s="176"/>
      <c r="U111" s="176"/>
      <c r="V111" s="176"/>
      <c r="W111" s="176"/>
      <c r="X111" s="176"/>
      <c r="Y111" s="176"/>
      <c r="Z111" s="176"/>
    </row>
    <row r="112">
      <c r="A112" s="249" t="s">
        <v>6</v>
      </c>
      <c r="B112" s="249" t="s">
        <v>10</v>
      </c>
      <c r="C112" s="219" t="s">
        <v>494</v>
      </c>
      <c r="D112" s="268" t="s">
        <v>495</v>
      </c>
      <c r="E112" s="251">
        <v>44210.0</v>
      </c>
      <c r="F112" s="250" t="s">
        <v>545</v>
      </c>
      <c r="G112" s="171">
        <v>400.0</v>
      </c>
      <c r="H112" s="171">
        <v>125.0</v>
      </c>
      <c r="I112" s="171">
        <v>120.0</v>
      </c>
      <c r="J112" s="325">
        <f t="shared" si="2"/>
        <v>0.005393972256</v>
      </c>
      <c r="K112" s="326">
        <f t="shared" si="7"/>
        <v>4.045479192</v>
      </c>
      <c r="L112" s="327">
        <f t="shared" si="3"/>
        <v>19.00593904</v>
      </c>
      <c r="M112" s="321" t="str">
        <f t="shared" si="4"/>
        <v>sembrestels</v>
      </c>
      <c r="N112" s="209">
        <f>IFERROR(__xludf.DUMMYFUNCTION("""COMPUTED_VALUE"""),17.0)</f>
        <v>17</v>
      </c>
      <c r="O112" s="176"/>
      <c r="P112" s="176"/>
      <c r="Q112" s="176"/>
      <c r="R112" s="176"/>
      <c r="S112" s="176"/>
      <c r="T112" s="176"/>
      <c r="U112" s="176"/>
      <c r="V112" s="176"/>
      <c r="W112" s="176"/>
      <c r="X112" s="176"/>
      <c r="Y112" s="176"/>
      <c r="Z112" s="176"/>
    </row>
    <row r="113">
      <c r="A113" s="249" t="s">
        <v>6</v>
      </c>
      <c r="B113" s="249" t="s">
        <v>10</v>
      </c>
      <c r="C113" s="219" t="s">
        <v>2934</v>
      </c>
      <c r="D113" s="268" t="s">
        <v>495</v>
      </c>
      <c r="E113" s="251">
        <v>44211.0</v>
      </c>
      <c r="F113" s="250" t="s">
        <v>496</v>
      </c>
      <c r="G113" s="171">
        <v>10.0</v>
      </c>
      <c r="H113" s="171">
        <v>25.0</v>
      </c>
      <c r="I113" s="171">
        <v>80.0</v>
      </c>
      <c r="J113" s="325">
        <f t="shared" si="2"/>
        <v>0.0009525115874</v>
      </c>
      <c r="K113" s="326">
        <f t="shared" si="7"/>
        <v>0.7143836905</v>
      </c>
      <c r="L113" s="327">
        <f t="shared" si="3"/>
        <v>19.00593904</v>
      </c>
      <c r="M113" s="321" t="str">
        <f t="shared" si="4"/>
        <v>sembrestels</v>
      </c>
      <c r="N113" s="209">
        <f>IFERROR(__xludf.DUMMYFUNCTION("""COMPUTED_VALUE"""),18.0)</f>
        <v>18</v>
      </c>
      <c r="O113" s="176"/>
      <c r="P113" s="176"/>
      <c r="Q113" s="176"/>
      <c r="R113" s="176"/>
      <c r="S113" s="176"/>
      <c r="T113" s="176"/>
      <c r="U113" s="176"/>
      <c r="V113" s="176"/>
      <c r="W113" s="176"/>
      <c r="X113" s="176"/>
      <c r="Y113" s="176"/>
      <c r="Z113" s="176"/>
    </row>
    <row r="114">
      <c r="A114" s="249" t="s">
        <v>6</v>
      </c>
      <c r="B114" s="249" t="s">
        <v>10</v>
      </c>
      <c r="C114" s="219" t="s">
        <v>2896</v>
      </c>
      <c r="D114" s="268" t="s">
        <v>495</v>
      </c>
      <c r="E114" s="251">
        <v>44211.0</v>
      </c>
      <c r="F114" s="250" t="s">
        <v>496</v>
      </c>
      <c r="G114" s="171">
        <v>10.0</v>
      </c>
      <c r="H114" s="171">
        <v>25.0</v>
      </c>
      <c r="I114" s="171">
        <v>40.0</v>
      </c>
      <c r="J114" s="325">
        <f t="shared" si="2"/>
        <v>0.0006372282264</v>
      </c>
      <c r="K114" s="326">
        <f t="shared" si="7"/>
        <v>0.4779211698</v>
      </c>
      <c r="L114" s="327">
        <f t="shared" si="3"/>
        <v>19.00593904</v>
      </c>
      <c r="M114" s="321" t="str">
        <f t="shared" si="4"/>
        <v>sembrestels</v>
      </c>
      <c r="N114" s="209">
        <f>IFERROR(__xludf.DUMMYFUNCTION("""COMPUTED_VALUE"""),19.0)</f>
        <v>19</v>
      </c>
      <c r="O114" s="176"/>
      <c r="P114" s="176"/>
      <c r="Q114" s="176"/>
      <c r="R114" s="176"/>
      <c r="S114" s="176"/>
      <c r="T114" s="176"/>
      <c r="U114" s="176"/>
      <c r="V114" s="176"/>
      <c r="W114" s="176"/>
      <c r="X114" s="176"/>
      <c r="Y114" s="176"/>
      <c r="Z114" s="176"/>
    </row>
    <row r="115">
      <c r="A115" s="249" t="s">
        <v>13</v>
      </c>
      <c r="B115" s="249" t="s">
        <v>1228</v>
      </c>
      <c r="C115" s="219" t="s">
        <v>2874</v>
      </c>
      <c r="D115" s="268" t="s">
        <v>495</v>
      </c>
      <c r="E115" s="361">
        <v>44198.0</v>
      </c>
      <c r="F115" s="250" t="s">
        <v>496</v>
      </c>
      <c r="G115" s="171">
        <v>20.0</v>
      </c>
      <c r="H115" s="171">
        <v>25.0</v>
      </c>
      <c r="I115" s="171">
        <v>15.0</v>
      </c>
      <c r="J115" s="325">
        <f t="shared" si="2"/>
        <v>0.0005212732072</v>
      </c>
      <c r="K115" s="326">
        <f t="shared" si="7"/>
        <v>0.3909549054</v>
      </c>
      <c r="L115" s="327">
        <f t="shared" si="3"/>
        <v>13.340359</v>
      </c>
      <c r="M115" s="321" t="str">
        <f t="shared" si="4"/>
        <v>durgadasji</v>
      </c>
      <c r="N115" s="209">
        <f>IFERROR(__xludf.DUMMYFUNCTION("""COMPUTED_VALUE"""),1.0)</f>
        <v>1</v>
      </c>
      <c r="O115" s="176"/>
      <c r="P115" s="176"/>
      <c r="Q115" s="176"/>
      <c r="R115" s="176"/>
      <c r="S115" s="176"/>
      <c r="T115" s="176"/>
      <c r="U115" s="176"/>
      <c r="V115" s="176"/>
      <c r="W115" s="176"/>
      <c r="X115" s="176"/>
      <c r="Y115" s="176"/>
      <c r="Z115" s="176"/>
    </row>
    <row r="116">
      <c r="A116" s="249" t="s">
        <v>13</v>
      </c>
      <c r="B116" s="249" t="s">
        <v>10</v>
      </c>
      <c r="C116" s="219" t="s">
        <v>2935</v>
      </c>
      <c r="D116" s="268" t="s">
        <v>495</v>
      </c>
      <c r="E116" s="361">
        <v>44204.0</v>
      </c>
      <c r="F116" s="250" t="s">
        <v>496</v>
      </c>
      <c r="G116" s="171">
        <v>100.0</v>
      </c>
      <c r="H116" s="171">
        <v>155.0</v>
      </c>
      <c r="I116" s="171">
        <v>120.0</v>
      </c>
      <c r="J116" s="325">
        <f t="shared" si="2"/>
        <v>0.003250077158</v>
      </c>
      <c r="K116" s="326">
        <f t="shared" si="7"/>
        <v>2.437557868</v>
      </c>
      <c r="L116" s="327">
        <f t="shared" si="3"/>
        <v>13.340359</v>
      </c>
      <c r="M116" s="321" t="str">
        <f t="shared" si="4"/>
        <v>durgadasji</v>
      </c>
      <c r="N116" s="209">
        <f>IFERROR(__xludf.DUMMYFUNCTION("""COMPUTED_VALUE"""),2.0)</f>
        <v>2</v>
      </c>
      <c r="O116" s="176"/>
      <c r="P116" s="176"/>
      <c r="Q116" s="176"/>
      <c r="R116" s="176"/>
      <c r="S116" s="176"/>
      <c r="T116" s="176"/>
      <c r="U116" s="176"/>
      <c r="V116" s="176"/>
      <c r="W116" s="176"/>
      <c r="X116" s="176"/>
      <c r="Y116" s="176"/>
      <c r="Z116" s="176"/>
    </row>
    <row r="117">
      <c r="A117" s="249" t="s">
        <v>13</v>
      </c>
      <c r="B117" s="249" t="s">
        <v>10</v>
      </c>
      <c r="C117" s="219" t="s">
        <v>2888</v>
      </c>
      <c r="D117" s="268" t="s">
        <v>495</v>
      </c>
      <c r="E117" s="361">
        <v>44204.0</v>
      </c>
      <c r="F117" s="250" t="s">
        <v>496</v>
      </c>
      <c r="G117" s="171">
        <v>20.0</v>
      </c>
      <c r="H117" s="171">
        <v>25.0</v>
      </c>
      <c r="I117" s="171">
        <v>20.0</v>
      </c>
      <c r="J117" s="325">
        <f t="shared" si="2"/>
        <v>0.0005606836273</v>
      </c>
      <c r="K117" s="326">
        <f t="shared" si="7"/>
        <v>0.4205127205</v>
      </c>
      <c r="L117" s="327">
        <f t="shared" si="3"/>
        <v>13.340359</v>
      </c>
      <c r="M117" s="321" t="str">
        <f t="shared" si="4"/>
        <v>durgadasji</v>
      </c>
      <c r="N117" s="209">
        <f>IFERROR(__xludf.DUMMYFUNCTION("""COMPUTED_VALUE"""),3.0)</f>
        <v>3</v>
      </c>
      <c r="O117" s="176"/>
      <c r="P117" s="176"/>
      <c r="Q117" s="176"/>
      <c r="R117" s="176"/>
      <c r="S117" s="176"/>
      <c r="T117" s="176"/>
      <c r="U117" s="176"/>
      <c r="V117" s="176"/>
      <c r="W117" s="176"/>
      <c r="X117" s="176"/>
      <c r="Y117" s="176"/>
      <c r="Z117" s="176"/>
    </row>
    <row r="118">
      <c r="A118" s="249" t="s">
        <v>13</v>
      </c>
      <c r="B118" s="249" t="s">
        <v>1228</v>
      </c>
      <c r="C118" s="219" t="s">
        <v>2892</v>
      </c>
      <c r="D118" s="268" t="s">
        <v>495</v>
      </c>
      <c r="E118" s="251">
        <v>44206.0</v>
      </c>
      <c r="F118" s="250" t="s">
        <v>496</v>
      </c>
      <c r="G118" s="171">
        <v>35.0</v>
      </c>
      <c r="H118" s="171">
        <v>50.0</v>
      </c>
      <c r="I118" s="171">
        <v>50.0</v>
      </c>
      <c r="J118" s="325">
        <f t="shared" si="2"/>
        <v>0.001159639554</v>
      </c>
      <c r="K118" s="326">
        <f t="shared" si="7"/>
        <v>0.8697296656</v>
      </c>
      <c r="L118" s="327">
        <f t="shared" si="3"/>
        <v>13.340359</v>
      </c>
      <c r="M118" s="321" t="str">
        <f t="shared" si="4"/>
        <v>durgadasji</v>
      </c>
      <c r="N118" s="209">
        <f>IFERROR(__xludf.DUMMYFUNCTION("""COMPUTED_VALUE"""),4.0)</f>
        <v>4</v>
      </c>
      <c r="O118" s="176"/>
      <c r="P118" s="176"/>
      <c r="Q118" s="176"/>
      <c r="R118" s="176"/>
      <c r="S118" s="176"/>
      <c r="T118" s="176"/>
      <c r="U118" s="176"/>
      <c r="V118" s="176"/>
      <c r="W118" s="176"/>
      <c r="X118" s="176"/>
      <c r="Y118" s="176"/>
      <c r="Z118" s="176"/>
    </row>
    <row r="119">
      <c r="A119" s="249" t="s">
        <v>13</v>
      </c>
      <c r="B119" s="249" t="s">
        <v>1228</v>
      </c>
      <c r="C119" s="219" t="s">
        <v>2936</v>
      </c>
      <c r="D119" s="268" t="s">
        <v>495</v>
      </c>
      <c r="E119" s="251">
        <v>44206.0</v>
      </c>
      <c r="F119" s="250" t="s">
        <v>496</v>
      </c>
      <c r="G119" s="171">
        <v>100.0</v>
      </c>
      <c r="H119" s="171">
        <v>50.0</v>
      </c>
      <c r="I119" s="171">
        <v>110.0</v>
      </c>
      <c r="J119" s="325">
        <f t="shared" si="2"/>
        <v>0.002159695624</v>
      </c>
      <c r="K119" s="326">
        <f t="shared" si="7"/>
        <v>1.619771718</v>
      </c>
      <c r="L119" s="327">
        <f t="shared" si="3"/>
        <v>13.340359</v>
      </c>
      <c r="M119" s="321" t="str">
        <f t="shared" si="4"/>
        <v>durgadasji</v>
      </c>
      <c r="N119" s="209">
        <f>IFERROR(__xludf.DUMMYFUNCTION("""COMPUTED_VALUE"""),5.0)</f>
        <v>5</v>
      </c>
      <c r="O119" s="176"/>
      <c r="P119" s="176"/>
      <c r="Q119" s="176"/>
      <c r="R119" s="176"/>
      <c r="S119" s="176"/>
      <c r="T119" s="176"/>
      <c r="U119" s="176"/>
      <c r="V119" s="176"/>
      <c r="W119" s="176"/>
      <c r="X119" s="176"/>
      <c r="Y119" s="176"/>
      <c r="Z119" s="176"/>
    </row>
    <row r="120">
      <c r="A120" s="249" t="s">
        <v>13</v>
      </c>
      <c r="B120" s="249" t="s">
        <v>925</v>
      </c>
      <c r="C120" s="219" t="s">
        <v>2937</v>
      </c>
      <c r="D120" s="268" t="s">
        <v>495</v>
      </c>
      <c r="E120" s="251">
        <v>44210.0</v>
      </c>
      <c r="F120" s="250" t="s">
        <v>496</v>
      </c>
      <c r="G120" s="171">
        <v>100.0</v>
      </c>
      <c r="H120" s="171">
        <v>55.0</v>
      </c>
      <c r="I120" s="171">
        <v>120.0</v>
      </c>
      <c r="J120" s="325">
        <f t="shared" si="2"/>
        <v>0.002286686021</v>
      </c>
      <c r="K120" s="326">
        <f t="shared" si="7"/>
        <v>1.715014516</v>
      </c>
      <c r="L120" s="327">
        <f t="shared" si="3"/>
        <v>13.340359</v>
      </c>
      <c r="M120" s="321" t="str">
        <f t="shared" si="4"/>
        <v>durgadasji</v>
      </c>
      <c r="N120" s="209">
        <f>IFERROR(__xludf.DUMMYFUNCTION("""COMPUTED_VALUE"""),6.0)</f>
        <v>6</v>
      </c>
      <c r="O120" s="176"/>
      <c r="P120" s="176"/>
      <c r="Q120" s="176"/>
      <c r="R120" s="176"/>
      <c r="S120" s="176"/>
      <c r="T120" s="176"/>
      <c r="U120" s="176"/>
      <c r="V120" s="176"/>
      <c r="W120" s="176"/>
      <c r="X120" s="176"/>
      <c r="Y120" s="176"/>
      <c r="Z120" s="176"/>
    </row>
    <row r="121">
      <c r="A121" s="249" t="s">
        <v>13</v>
      </c>
      <c r="B121" s="249" t="s">
        <v>10</v>
      </c>
      <c r="C121" s="219" t="s">
        <v>2938</v>
      </c>
      <c r="D121" s="268" t="s">
        <v>495</v>
      </c>
      <c r="E121" s="251">
        <v>44211.0</v>
      </c>
      <c r="F121" s="250" t="s">
        <v>496</v>
      </c>
      <c r="G121" s="171">
        <v>200.0</v>
      </c>
      <c r="H121" s="171">
        <v>55.0</v>
      </c>
      <c r="I121" s="171">
        <v>200.0</v>
      </c>
      <c r="J121" s="325">
        <f t="shared" si="2"/>
        <v>0.003728223556</v>
      </c>
      <c r="K121" s="326">
        <f t="shared" si="7"/>
        <v>2.796167667</v>
      </c>
      <c r="L121" s="327">
        <f t="shared" si="3"/>
        <v>13.340359</v>
      </c>
      <c r="M121" s="321" t="str">
        <f t="shared" si="4"/>
        <v>durgadasji</v>
      </c>
      <c r="N121" s="209">
        <f>IFERROR(__xludf.DUMMYFUNCTION("""COMPUTED_VALUE"""),7.0)</f>
        <v>7</v>
      </c>
      <c r="O121" s="176"/>
      <c r="P121" s="176"/>
      <c r="Q121" s="176"/>
      <c r="R121" s="176"/>
      <c r="S121" s="176"/>
      <c r="T121" s="176"/>
      <c r="U121" s="176"/>
      <c r="V121" s="176"/>
      <c r="W121" s="176"/>
      <c r="X121" s="176"/>
      <c r="Y121" s="176"/>
      <c r="Z121" s="176"/>
    </row>
    <row r="122">
      <c r="A122" s="249" t="s">
        <v>13</v>
      </c>
      <c r="B122" s="249" t="s">
        <v>10</v>
      </c>
      <c r="C122" s="219" t="s">
        <v>2896</v>
      </c>
      <c r="D122" s="268" t="s">
        <v>495</v>
      </c>
      <c r="E122" s="251">
        <v>44211.0</v>
      </c>
      <c r="F122" s="250" t="s">
        <v>496</v>
      </c>
      <c r="G122" s="171">
        <v>10.0</v>
      </c>
      <c r="H122" s="171">
        <v>25.0</v>
      </c>
      <c r="I122" s="171">
        <v>40.0</v>
      </c>
      <c r="J122" s="325">
        <f t="shared" si="2"/>
        <v>0.0006372282264</v>
      </c>
      <c r="K122" s="326">
        <f t="shared" si="7"/>
        <v>0.4779211698</v>
      </c>
      <c r="L122" s="327">
        <f t="shared" si="3"/>
        <v>13.340359</v>
      </c>
      <c r="M122" s="321" t="str">
        <f t="shared" si="4"/>
        <v>durgadasji</v>
      </c>
      <c r="N122" s="209">
        <f>IFERROR(__xludf.DUMMYFUNCTION("""COMPUTED_VALUE"""),8.0)</f>
        <v>8</v>
      </c>
      <c r="O122" s="176"/>
      <c r="P122" s="176"/>
      <c r="Q122" s="176"/>
      <c r="R122" s="176"/>
      <c r="S122" s="176"/>
      <c r="T122" s="176"/>
      <c r="U122" s="176"/>
      <c r="V122" s="176"/>
      <c r="W122" s="176"/>
      <c r="X122" s="176"/>
      <c r="Y122" s="176"/>
      <c r="Z122" s="176"/>
    </row>
    <row r="123">
      <c r="A123" s="249" t="s">
        <v>13</v>
      </c>
      <c r="B123" s="249" t="s">
        <v>18</v>
      </c>
      <c r="C123" s="219" t="s">
        <v>2899</v>
      </c>
      <c r="D123" s="268" t="s">
        <v>495</v>
      </c>
      <c r="E123" s="251">
        <v>44211.0</v>
      </c>
      <c r="F123" s="250" t="s">
        <v>496</v>
      </c>
      <c r="G123" s="171">
        <v>45.0</v>
      </c>
      <c r="H123" s="171">
        <v>25.0</v>
      </c>
      <c r="I123" s="171">
        <v>40.0</v>
      </c>
      <c r="J123" s="325">
        <f t="shared" si="2"/>
        <v>0.000921068011</v>
      </c>
      <c r="K123" s="326">
        <f t="shared" si="7"/>
        <v>0.6908010083</v>
      </c>
      <c r="L123" s="327">
        <f t="shared" si="3"/>
        <v>13.340359</v>
      </c>
      <c r="M123" s="321" t="str">
        <f t="shared" si="4"/>
        <v>durgadasji</v>
      </c>
      <c r="N123" s="209">
        <f>IFERROR(__xludf.DUMMYFUNCTION("""COMPUTED_VALUE"""),9.0)</f>
        <v>9</v>
      </c>
      <c r="O123" s="176"/>
      <c r="P123" s="176"/>
      <c r="Q123" s="176"/>
      <c r="R123" s="176"/>
      <c r="S123" s="176"/>
      <c r="T123" s="176"/>
      <c r="U123" s="176"/>
      <c r="V123" s="176"/>
      <c r="W123" s="176"/>
      <c r="X123" s="176"/>
      <c r="Y123" s="176"/>
      <c r="Z123" s="176"/>
    </row>
    <row r="124">
      <c r="A124" s="253" t="s">
        <v>13</v>
      </c>
      <c r="B124" s="253" t="s">
        <v>1228</v>
      </c>
      <c r="C124" s="256" t="s">
        <v>2901</v>
      </c>
      <c r="D124" s="336" t="s">
        <v>495</v>
      </c>
      <c r="E124" s="255">
        <v>44211.0</v>
      </c>
      <c r="F124" s="221" t="s">
        <v>2912</v>
      </c>
      <c r="G124" s="222">
        <v>0.0</v>
      </c>
      <c r="H124" s="222">
        <v>0.0</v>
      </c>
      <c r="I124" s="222">
        <v>0.0</v>
      </c>
      <c r="J124" s="339">
        <f t="shared" si="2"/>
        <v>0</v>
      </c>
      <c r="K124" s="337">
        <f t="shared" si="7"/>
        <v>0</v>
      </c>
      <c r="L124" s="341">
        <f t="shared" si="3"/>
        <v>13.340359</v>
      </c>
      <c r="M124" s="342" t="str">
        <f t="shared" si="4"/>
        <v>durgadasji</v>
      </c>
      <c r="N124" s="209">
        <f>IFERROR(__xludf.DUMMYFUNCTION("""COMPUTED_VALUE"""),10.0)</f>
        <v>10</v>
      </c>
      <c r="O124" s="209"/>
      <c r="P124" s="209"/>
      <c r="Q124" s="209"/>
      <c r="R124" s="209"/>
      <c r="S124" s="209"/>
      <c r="T124" s="209"/>
      <c r="U124" s="209"/>
      <c r="V124" s="209"/>
      <c r="W124" s="209"/>
      <c r="X124" s="209"/>
      <c r="Y124" s="209"/>
      <c r="Z124" s="209"/>
    </row>
    <row r="125">
      <c r="A125" s="249" t="s">
        <v>13</v>
      </c>
      <c r="B125" s="249" t="s">
        <v>1228</v>
      </c>
      <c r="C125" s="219" t="s">
        <v>2939</v>
      </c>
      <c r="D125" s="268" t="s">
        <v>495</v>
      </c>
      <c r="E125" s="251">
        <v>44211.0</v>
      </c>
      <c r="F125" s="250" t="s">
        <v>496</v>
      </c>
      <c r="G125" s="171">
        <v>100.0</v>
      </c>
      <c r="H125" s="171">
        <v>100.0</v>
      </c>
      <c r="I125" s="171">
        <v>100.0</v>
      </c>
      <c r="J125" s="325">
        <f t="shared" si="2"/>
        <v>0.002562570352</v>
      </c>
      <c r="K125" s="326">
        <f t="shared" si="7"/>
        <v>1.921927764</v>
      </c>
      <c r="L125" s="327">
        <f t="shared" si="3"/>
        <v>13.340359</v>
      </c>
      <c r="M125" s="321" t="str">
        <f t="shared" si="4"/>
        <v>durgadasji</v>
      </c>
      <c r="N125" s="209">
        <f>IFERROR(__xludf.DUMMYFUNCTION("""COMPUTED_VALUE"""),11.0)</f>
        <v>11</v>
      </c>
      <c r="O125" s="176"/>
      <c r="P125" s="176"/>
      <c r="Q125" s="176"/>
      <c r="R125" s="176"/>
      <c r="S125" s="176"/>
      <c r="T125" s="176"/>
      <c r="U125" s="176"/>
      <c r="V125" s="176"/>
      <c r="W125" s="176"/>
      <c r="X125" s="176"/>
      <c r="Y125" s="176"/>
      <c r="Z125" s="176"/>
    </row>
    <row r="126">
      <c r="A126" s="249" t="s">
        <v>17</v>
      </c>
      <c r="B126" s="249" t="s">
        <v>10</v>
      </c>
      <c r="C126" s="219" t="s">
        <v>2873</v>
      </c>
      <c r="D126" s="268" t="s">
        <v>495</v>
      </c>
      <c r="E126" s="361">
        <v>44198.0</v>
      </c>
      <c r="F126" s="250" t="s">
        <v>496</v>
      </c>
      <c r="G126" s="171">
        <v>10.0</v>
      </c>
      <c r="H126" s="171">
        <v>25.0</v>
      </c>
      <c r="I126" s="171">
        <v>10.0</v>
      </c>
      <c r="J126" s="325">
        <f t="shared" si="2"/>
        <v>0.0004007657057</v>
      </c>
      <c r="K126" s="326">
        <f t="shared" si="7"/>
        <v>0.3005742793</v>
      </c>
      <c r="L126" s="327">
        <f t="shared" si="3"/>
        <v>11.99140286</v>
      </c>
      <c r="M126" s="321" t="str">
        <f t="shared" si="4"/>
        <v>tonga2020</v>
      </c>
      <c r="N126" s="209">
        <f>IFERROR(__xludf.DUMMYFUNCTION("""COMPUTED_VALUE"""),1.0)</f>
        <v>1</v>
      </c>
      <c r="O126" s="176"/>
      <c r="P126" s="176"/>
      <c r="Q126" s="176"/>
      <c r="R126" s="176"/>
      <c r="S126" s="176"/>
      <c r="T126" s="176"/>
      <c r="U126" s="176"/>
      <c r="V126" s="176"/>
      <c r="W126" s="176"/>
      <c r="X126" s="176"/>
      <c r="Y126" s="176"/>
      <c r="Z126" s="176"/>
    </row>
    <row r="127">
      <c r="A127" s="249" t="s">
        <v>17</v>
      </c>
      <c r="B127" s="249" t="s">
        <v>1228</v>
      </c>
      <c r="C127" s="219" t="s">
        <v>2874</v>
      </c>
      <c r="D127" s="268" t="s">
        <v>495</v>
      </c>
      <c r="E127" s="361">
        <v>44198.0</v>
      </c>
      <c r="F127" s="250" t="s">
        <v>496</v>
      </c>
      <c r="G127" s="171">
        <v>20.0</v>
      </c>
      <c r="H127" s="171">
        <v>25.0</v>
      </c>
      <c r="I127" s="171">
        <v>15.0</v>
      </c>
      <c r="J127" s="325">
        <f t="shared" si="2"/>
        <v>0.0005212732072</v>
      </c>
      <c r="K127" s="326">
        <f t="shared" si="7"/>
        <v>0.3909549054</v>
      </c>
      <c r="L127" s="327">
        <f t="shared" si="3"/>
        <v>11.99140286</v>
      </c>
      <c r="M127" s="321" t="str">
        <f t="shared" si="4"/>
        <v>tonga2020</v>
      </c>
      <c r="N127" s="209">
        <f>IFERROR(__xludf.DUMMYFUNCTION("""COMPUTED_VALUE"""),2.0)</f>
        <v>2</v>
      </c>
      <c r="O127" s="176"/>
      <c r="P127" s="176"/>
      <c r="Q127" s="176"/>
      <c r="R127" s="176"/>
      <c r="S127" s="176"/>
      <c r="T127" s="176"/>
      <c r="U127" s="176"/>
      <c r="V127" s="176"/>
      <c r="W127" s="176"/>
      <c r="X127" s="176"/>
      <c r="Y127" s="176"/>
      <c r="Z127" s="176"/>
    </row>
    <row r="128">
      <c r="A128" s="249" t="s">
        <v>17</v>
      </c>
      <c r="B128" s="249" t="s">
        <v>519</v>
      </c>
      <c r="C128" s="219" t="s">
        <v>2905</v>
      </c>
      <c r="D128" s="268" t="s">
        <v>495</v>
      </c>
      <c r="E128" s="361">
        <v>44200.0</v>
      </c>
      <c r="F128" s="250" t="s">
        <v>499</v>
      </c>
      <c r="G128" s="171">
        <v>45.0</v>
      </c>
      <c r="H128" s="171">
        <v>25.0</v>
      </c>
      <c r="I128" s="171">
        <v>10.0</v>
      </c>
      <c r="J128" s="325">
        <f t="shared" si="2"/>
        <v>0.0006846054904</v>
      </c>
      <c r="K128" s="326">
        <f t="shared" si="7"/>
        <v>0.5134541178</v>
      </c>
      <c r="L128" s="327">
        <f t="shared" si="3"/>
        <v>11.99140286</v>
      </c>
      <c r="M128" s="321" t="str">
        <f t="shared" si="4"/>
        <v>tonga2020</v>
      </c>
      <c r="N128" s="209">
        <f>IFERROR(__xludf.DUMMYFUNCTION("""COMPUTED_VALUE"""),3.0)</f>
        <v>3</v>
      </c>
      <c r="O128" s="176"/>
      <c r="P128" s="176"/>
      <c r="Q128" s="176"/>
      <c r="R128" s="176"/>
      <c r="S128" s="176"/>
      <c r="T128" s="176"/>
      <c r="U128" s="176"/>
      <c r="V128" s="176"/>
      <c r="W128" s="176"/>
      <c r="X128" s="176"/>
      <c r="Y128" s="176"/>
      <c r="Z128" s="176"/>
    </row>
    <row r="129">
      <c r="A129" s="249" t="s">
        <v>17</v>
      </c>
      <c r="B129" s="249" t="s">
        <v>18</v>
      </c>
      <c r="C129" s="219" t="s">
        <v>2882</v>
      </c>
      <c r="D129" s="268" t="s">
        <v>495</v>
      </c>
      <c r="E129" s="361">
        <v>44202.0</v>
      </c>
      <c r="F129" s="250" t="s">
        <v>496</v>
      </c>
      <c r="G129" s="171">
        <v>25.0</v>
      </c>
      <c r="H129" s="171">
        <v>25.0</v>
      </c>
      <c r="I129" s="171">
        <v>40.0</v>
      </c>
      <c r="J129" s="325">
        <f t="shared" si="2"/>
        <v>0.0007588738484</v>
      </c>
      <c r="K129" s="326">
        <f t="shared" si="7"/>
        <v>0.5691553863</v>
      </c>
      <c r="L129" s="327">
        <f t="shared" si="3"/>
        <v>11.99140286</v>
      </c>
      <c r="M129" s="321" t="str">
        <f t="shared" si="4"/>
        <v>tonga2020</v>
      </c>
      <c r="N129" s="209">
        <f>IFERROR(__xludf.DUMMYFUNCTION("""COMPUTED_VALUE"""),4.0)</f>
        <v>4</v>
      </c>
      <c r="O129" s="176"/>
      <c r="P129" s="176"/>
      <c r="Q129" s="176"/>
      <c r="R129" s="176"/>
      <c r="S129" s="176"/>
      <c r="T129" s="176"/>
      <c r="U129" s="176"/>
      <c r="V129" s="176"/>
      <c r="W129" s="176"/>
      <c r="X129" s="176"/>
      <c r="Y129" s="176"/>
      <c r="Z129" s="176"/>
    </row>
    <row r="130">
      <c r="A130" s="249" t="s">
        <v>17</v>
      </c>
      <c r="B130" s="249" t="s">
        <v>18</v>
      </c>
      <c r="C130" s="219" t="s">
        <v>2883</v>
      </c>
      <c r="D130" s="268" t="s">
        <v>495</v>
      </c>
      <c r="E130" s="361">
        <v>44202.0</v>
      </c>
      <c r="F130" s="250" t="s">
        <v>496</v>
      </c>
      <c r="G130" s="171">
        <v>45.0</v>
      </c>
      <c r="H130" s="171">
        <v>55.0</v>
      </c>
      <c r="I130" s="171">
        <v>45.0</v>
      </c>
      <c r="J130" s="325">
        <f t="shared" si="2"/>
        <v>0.001249495772</v>
      </c>
      <c r="K130" s="326">
        <f t="shared" si="7"/>
        <v>0.9371218291</v>
      </c>
      <c r="L130" s="327">
        <f t="shared" si="3"/>
        <v>11.99140286</v>
      </c>
      <c r="M130" s="321" t="str">
        <f t="shared" si="4"/>
        <v>tonga2020</v>
      </c>
      <c r="N130" s="209">
        <f>IFERROR(__xludf.DUMMYFUNCTION("""COMPUTED_VALUE"""),5.0)</f>
        <v>5</v>
      </c>
      <c r="O130" s="176"/>
      <c r="P130" s="176"/>
      <c r="Q130" s="176"/>
      <c r="R130" s="176"/>
      <c r="S130" s="176"/>
      <c r="T130" s="176"/>
      <c r="U130" s="176"/>
      <c r="V130" s="176"/>
      <c r="W130" s="176"/>
      <c r="X130" s="176"/>
      <c r="Y130" s="176"/>
      <c r="Z130" s="176"/>
    </row>
    <row r="131">
      <c r="A131" s="249" t="s">
        <v>17</v>
      </c>
      <c r="B131" s="249" t="s">
        <v>867</v>
      </c>
      <c r="C131" s="219" t="s">
        <v>2940</v>
      </c>
      <c r="D131" s="268" t="s">
        <v>495</v>
      </c>
      <c r="E131" s="361">
        <v>44203.0</v>
      </c>
      <c r="F131" s="250" t="s">
        <v>496</v>
      </c>
      <c r="G131" s="171">
        <v>35.0</v>
      </c>
      <c r="H131" s="171">
        <v>15.0</v>
      </c>
      <c r="I131" s="171">
        <v>40.0</v>
      </c>
      <c r="J131" s="325">
        <f t="shared" si="2"/>
        <v>0.000743631816</v>
      </c>
      <c r="K131" s="326">
        <f t="shared" si="7"/>
        <v>0.557723862</v>
      </c>
      <c r="L131" s="327">
        <f t="shared" si="3"/>
        <v>11.99140286</v>
      </c>
      <c r="M131" s="321" t="str">
        <f t="shared" si="4"/>
        <v>tonga2020</v>
      </c>
      <c r="N131" s="209">
        <f>IFERROR(__xludf.DUMMYFUNCTION("""COMPUTED_VALUE"""),6.0)</f>
        <v>6</v>
      </c>
      <c r="O131" s="176"/>
      <c r="P131" s="176"/>
      <c r="Q131" s="176"/>
      <c r="R131" s="176"/>
      <c r="S131" s="176"/>
      <c r="T131" s="176"/>
      <c r="U131" s="176"/>
      <c r="V131" s="176"/>
      <c r="W131" s="176"/>
      <c r="X131" s="176"/>
      <c r="Y131" s="176"/>
      <c r="Z131" s="176"/>
    </row>
    <row r="132">
      <c r="A132" s="249" t="s">
        <v>17</v>
      </c>
      <c r="B132" s="249" t="s">
        <v>10</v>
      </c>
      <c r="C132" s="219" t="s">
        <v>2941</v>
      </c>
      <c r="D132" s="268" t="s">
        <v>495</v>
      </c>
      <c r="E132" s="361">
        <v>44204.0</v>
      </c>
      <c r="F132" s="250" t="s">
        <v>496</v>
      </c>
      <c r="G132" s="171">
        <v>150.0</v>
      </c>
      <c r="H132" s="171">
        <v>155.0</v>
      </c>
      <c r="I132" s="171">
        <v>150.0</v>
      </c>
      <c r="J132" s="325">
        <f t="shared" si="2"/>
        <v>0.003892025085</v>
      </c>
      <c r="K132" s="326">
        <f t="shared" si="7"/>
        <v>2.919018814</v>
      </c>
      <c r="L132" s="327">
        <f t="shared" si="3"/>
        <v>11.99140286</v>
      </c>
      <c r="M132" s="321" t="str">
        <f t="shared" si="4"/>
        <v>tonga2020</v>
      </c>
      <c r="N132" s="209">
        <f>IFERROR(__xludf.DUMMYFUNCTION("""COMPUTED_VALUE"""),7.0)</f>
        <v>7</v>
      </c>
      <c r="O132" s="176"/>
      <c r="P132" s="176"/>
      <c r="Q132" s="176"/>
      <c r="R132" s="176"/>
      <c r="S132" s="176"/>
      <c r="T132" s="176"/>
      <c r="U132" s="176"/>
      <c r="V132" s="176"/>
      <c r="W132" s="176"/>
      <c r="X132" s="176"/>
      <c r="Y132" s="176"/>
      <c r="Z132" s="176"/>
    </row>
    <row r="133">
      <c r="A133" s="249" t="s">
        <v>17</v>
      </c>
      <c r="B133" s="249" t="s">
        <v>10</v>
      </c>
      <c r="C133" s="219" t="s">
        <v>2888</v>
      </c>
      <c r="D133" s="268" t="s">
        <v>495</v>
      </c>
      <c r="E133" s="361">
        <v>44204.0</v>
      </c>
      <c r="F133" s="250" t="s">
        <v>496</v>
      </c>
      <c r="G133" s="171">
        <v>20.0</v>
      </c>
      <c r="H133" s="171">
        <v>25.0</v>
      </c>
      <c r="I133" s="171">
        <v>20.0</v>
      </c>
      <c r="J133" s="325">
        <f t="shared" si="2"/>
        <v>0.0005606836273</v>
      </c>
      <c r="K133" s="326">
        <f t="shared" si="7"/>
        <v>0.4205127205</v>
      </c>
      <c r="L133" s="327">
        <f t="shared" si="3"/>
        <v>11.99140286</v>
      </c>
      <c r="M133" s="321" t="str">
        <f t="shared" si="4"/>
        <v>tonga2020</v>
      </c>
      <c r="N133" s="209">
        <f>IFERROR(__xludf.DUMMYFUNCTION("""COMPUTED_VALUE"""),8.0)</f>
        <v>8</v>
      </c>
      <c r="O133" s="176"/>
      <c r="P133" s="176"/>
      <c r="Q133" s="176"/>
      <c r="R133" s="176"/>
      <c r="S133" s="176"/>
      <c r="T133" s="176"/>
      <c r="U133" s="176"/>
      <c r="V133" s="176"/>
      <c r="W133" s="176"/>
      <c r="X133" s="176"/>
      <c r="Y133" s="176"/>
      <c r="Z133" s="176"/>
    </row>
    <row r="134">
      <c r="A134" s="249" t="s">
        <v>17</v>
      </c>
      <c r="B134" s="249" t="s">
        <v>10</v>
      </c>
      <c r="C134" s="219" t="s">
        <v>2908</v>
      </c>
      <c r="D134" s="268" t="s">
        <v>495</v>
      </c>
      <c r="E134" s="361">
        <v>44205.0</v>
      </c>
      <c r="F134" s="250" t="s">
        <v>545</v>
      </c>
      <c r="G134" s="171">
        <v>40.0</v>
      </c>
      <c r="H134" s="171">
        <v>25.0</v>
      </c>
      <c r="I134" s="171">
        <v>10.0</v>
      </c>
      <c r="J134" s="325">
        <f t="shared" si="2"/>
        <v>0.0006440569497</v>
      </c>
      <c r="K134" s="326">
        <f t="shared" si="7"/>
        <v>0.4830427123</v>
      </c>
      <c r="L134" s="327">
        <f t="shared" si="3"/>
        <v>11.99140286</v>
      </c>
      <c r="M134" s="321" t="str">
        <f t="shared" si="4"/>
        <v>tonga2020</v>
      </c>
      <c r="N134" s="209">
        <f>IFERROR(__xludf.DUMMYFUNCTION("""COMPUTED_VALUE"""),9.0)</f>
        <v>9</v>
      </c>
      <c r="O134" s="176"/>
      <c r="P134" s="176"/>
      <c r="Q134" s="176"/>
      <c r="R134" s="176"/>
      <c r="S134" s="176"/>
      <c r="T134" s="176"/>
      <c r="U134" s="176"/>
      <c r="V134" s="176"/>
      <c r="W134" s="176"/>
      <c r="X134" s="176"/>
      <c r="Y134" s="176"/>
      <c r="Z134" s="176"/>
    </row>
    <row r="135">
      <c r="A135" s="249" t="s">
        <v>17</v>
      </c>
      <c r="B135" s="249" t="s">
        <v>925</v>
      </c>
      <c r="C135" s="219" t="s">
        <v>2942</v>
      </c>
      <c r="D135" s="268" t="s">
        <v>495</v>
      </c>
      <c r="E135" s="251">
        <v>44206.0</v>
      </c>
      <c r="F135" s="250" t="s">
        <v>496</v>
      </c>
      <c r="G135" s="171">
        <v>100.0</v>
      </c>
      <c r="H135" s="171">
        <v>50.0</v>
      </c>
      <c r="I135" s="171">
        <v>80.0</v>
      </c>
      <c r="J135" s="325">
        <f t="shared" si="2"/>
        <v>0.001923233103</v>
      </c>
      <c r="K135" s="326">
        <f t="shared" si="7"/>
        <v>1.442424828</v>
      </c>
      <c r="L135" s="327">
        <f t="shared" si="3"/>
        <v>11.99140286</v>
      </c>
      <c r="M135" s="321" t="str">
        <f t="shared" si="4"/>
        <v>tonga2020</v>
      </c>
      <c r="N135" s="209">
        <f>IFERROR(__xludf.DUMMYFUNCTION("""COMPUTED_VALUE"""),10.0)</f>
        <v>10</v>
      </c>
      <c r="O135" s="176"/>
      <c r="P135" s="176"/>
      <c r="Q135" s="176"/>
      <c r="R135" s="176"/>
      <c r="S135" s="176"/>
      <c r="T135" s="176"/>
      <c r="U135" s="176"/>
      <c r="V135" s="176"/>
      <c r="W135" s="176"/>
      <c r="X135" s="176"/>
      <c r="Y135" s="176"/>
      <c r="Z135" s="176"/>
    </row>
    <row r="136">
      <c r="A136" s="249" t="s">
        <v>17</v>
      </c>
      <c r="B136" s="249" t="s">
        <v>1228</v>
      </c>
      <c r="C136" s="219" t="s">
        <v>2892</v>
      </c>
      <c r="D136" s="268" t="s">
        <v>495</v>
      </c>
      <c r="E136" s="251">
        <v>44206.0</v>
      </c>
      <c r="F136" s="250" t="s">
        <v>496</v>
      </c>
      <c r="G136" s="171">
        <v>35.0</v>
      </c>
      <c r="H136" s="171">
        <v>50.0</v>
      </c>
      <c r="I136" s="171">
        <v>40.0</v>
      </c>
      <c r="J136" s="325">
        <f t="shared" si="2"/>
        <v>0.001080818714</v>
      </c>
      <c r="K136" s="326">
        <f t="shared" si="7"/>
        <v>0.8106140354</v>
      </c>
      <c r="L136" s="327">
        <f t="shared" si="3"/>
        <v>11.99140286</v>
      </c>
      <c r="M136" s="321" t="str">
        <f t="shared" si="4"/>
        <v>tonga2020</v>
      </c>
      <c r="N136" s="209">
        <f>IFERROR(__xludf.DUMMYFUNCTION("""COMPUTED_VALUE"""),11.0)</f>
        <v>11</v>
      </c>
      <c r="O136" s="176"/>
      <c r="P136" s="176"/>
      <c r="Q136" s="176"/>
      <c r="R136" s="176"/>
      <c r="S136" s="176"/>
      <c r="T136" s="176"/>
      <c r="U136" s="176"/>
      <c r="V136" s="176"/>
      <c r="W136" s="176"/>
      <c r="X136" s="176"/>
      <c r="Y136" s="176"/>
      <c r="Z136" s="176"/>
    </row>
    <row r="137">
      <c r="A137" s="249" t="s">
        <v>17</v>
      </c>
      <c r="B137" s="249" t="s">
        <v>519</v>
      </c>
      <c r="C137" s="219" t="s">
        <v>2943</v>
      </c>
      <c r="D137" s="268" t="s">
        <v>495</v>
      </c>
      <c r="E137" s="251">
        <v>44207.0</v>
      </c>
      <c r="F137" s="250" t="s">
        <v>496</v>
      </c>
      <c r="G137" s="171">
        <v>100.0</v>
      </c>
      <c r="H137" s="171">
        <v>25.0</v>
      </c>
      <c r="I137" s="171">
        <v>60.0</v>
      </c>
      <c r="J137" s="325">
        <f t="shared" si="2"/>
        <v>0.001524743639</v>
      </c>
      <c r="K137" s="326">
        <f t="shared" si="7"/>
        <v>1.143557729</v>
      </c>
      <c r="L137" s="327">
        <f t="shared" si="3"/>
        <v>11.99140286</v>
      </c>
      <c r="M137" s="321" t="str">
        <f t="shared" si="4"/>
        <v>tonga2020</v>
      </c>
      <c r="N137" s="209">
        <f>IFERROR(__xludf.DUMMYFUNCTION("""COMPUTED_VALUE"""),12.0)</f>
        <v>12</v>
      </c>
      <c r="O137" s="176"/>
      <c r="P137" s="176"/>
      <c r="Q137" s="176"/>
      <c r="R137" s="176"/>
      <c r="S137" s="176"/>
      <c r="T137" s="176"/>
      <c r="U137" s="176"/>
      <c r="V137" s="176"/>
      <c r="W137" s="176"/>
      <c r="X137" s="176"/>
      <c r="Y137" s="176"/>
      <c r="Z137" s="176"/>
    </row>
    <row r="138">
      <c r="A138" s="249" t="s">
        <v>17</v>
      </c>
      <c r="B138" s="249" t="s">
        <v>519</v>
      </c>
      <c r="C138" s="219" t="s">
        <v>2944</v>
      </c>
      <c r="D138" s="268" t="s">
        <v>495</v>
      </c>
      <c r="E138" s="251">
        <v>44207.0</v>
      </c>
      <c r="F138" s="250" t="s">
        <v>496</v>
      </c>
      <c r="G138" s="171">
        <v>100.0</v>
      </c>
      <c r="H138" s="171">
        <v>25.0</v>
      </c>
      <c r="I138" s="171">
        <v>40.0</v>
      </c>
      <c r="J138" s="325">
        <f t="shared" si="2"/>
        <v>0.001367101958</v>
      </c>
      <c r="K138" s="326">
        <f t="shared" si="7"/>
        <v>1.025326469</v>
      </c>
      <c r="L138" s="327">
        <f t="shared" si="3"/>
        <v>11.99140286</v>
      </c>
      <c r="M138" s="321" t="str">
        <f t="shared" si="4"/>
        <v>tonga2020</v>
      </c>
      <c r="N138" s="209">
        <f>IFERROR(__xludf.DUMMYFUNCTION("""COMPUTED_VALUE"""),13.0)</f>
        <v>13</v>
      </c>
      <c r="O138" s="176"/>
      <c r="P138" s="176"/>
      <c r="Q138" s="176"/>
      <c r="R138" s="176"/>
      <c r="S138" s="176"/>
      <c r="T138" s="176"/>
      <c r="U138" s="176"/>
      <c r="V138" s="176"/>
      <c r="W138" s="176"/>
      <c r="X138" s="176"/>
      <c r="Y138" s="176"/>
      <c r="Z138" s="176"/>
    </row>
    <row r="139">
      <c r="A139" s="249" t="s">
        <v>17</v>
      </c>
      <c r="B139" s="249" t="s">
        <v>10</v>
      </c>
      <c r="C139" s="219" t="s">
        <v>2896</v>
      </c>
      <c r="D139" s="268" t="s">
        <v>495</v>
      </c>
      <c r="E139" s="251">
        <v>44211.0</v>
      </c>
      <c r="F139" s="250" t="s">
        <v>496</v>
      </c>
      <c r="G139" s="171">
        <v>10.0</v>
      </c>
      <c r="H139" s="171">
        <v>25.0</v>
      </c>
      <c r="I139" s="171">
        <v>40.0</v>
      </c>
      <c r="J139" s="325">
        <f t="shared" si="2"/>
        <v>0.0006372282264</v>
      </c>
      <c r="K139" s="326">
        <f t="shared" si="7"/>
        <v>0.4779211698</v>
      </c>
      <c r="L139" s="327">
        <f t="shared" si="3"/>
        <v>11.99140286</v>
      </c>
      <c r="M139" s="321" t="str">
        <f t="shared" si="4"/>
        <v>tonga2020</v>
      </c>
      <c r="N139" s="209">
        <f>IFERROR(__xludf.DUMMYFUNCTION("""COMPUTED_VALUE"""),14.0)</f>
        <v>14</v>
      </c>
      <c r="O139" s="176"/>
      <c r="P139" s="176"/>
      <c r="Q139" s="176"/>
      <c r="R139" s="176"/>
      <c r="S139" s="176"/>
      <c r="T139" s="176"/>
      <c r="U139" s="176"/>
      <c r="V139" s="176"/>
      <c r="W139" s="176"/>
      <c r="X139" s="176"/>
      <c r="Y139" s="176"/>
      <c r="Z139" s="176"/>
    </row>
    <row r="140">
      <c r="A140" s="240" t="s">
        <v>11</v>
      </c>
      <c r="B140" s="240" t="s">
        <v>534</v>
      </c>
      <c r="C140" s="221" t="s">
        <v>839</v>
      </c>
      <c r="D140" s="336"/>
      <c r="E140" s="255"/>
      <c r="F140" s="254"/>
      <c r="G140" s="222"/>
      <c r="H140" s="222"/>
      <c r="I140" s="222"/>
      <c r="J140" s="325">
        <f t="shared" si="2"/>
        <v>0</v>
      </c>
      <c r="K140" s="337">
        <f>23.714 *-0.5</f>
        <v>-11.857</v>
      </c>
      <c r="L140" s="327">
        <f t="shared" si="3"/>
        <v>11.85725869</v>
      </c>
      <c r="M140" s="321" t="str">
        <f t="shared" si="4"/>
        <v>mateodaza</v>
      </c>
      <c r="N140" s="209">
        <f>IFERROR(__xludf.DUMMYFUNCTION("""COMPUTED_VALUE"""),1.0)</f>
        <v>1</v>
      </c>
      <c r="O140" s="209"/>
      <c r="P140" s="209"/>
      <c r="Q140" s="209"/>
      <c r="R140" s="209">
        <v>18.802169413641863</v>
      </c>
      <c r="S140" s="209"/>
      <c r="T140" s="209"/>
      <c r="U140" s="209"/>
      <c r="V140" s="209"/>
      <c r="W140" s="209"/>
      <c r="X140" s="209"/>
      <c r="Y140" s="176"/>
      <c r="Z140" s="176"/>
    </row>
    <row r="141">
      <c r="A141" s="249" t="s">
        <v>11</v>
      </c>
      <c r="B141" s="249" t="s">
        <v>10</v>
      </c>
      <c r="C141" s="219" t="s">
        <v>2945</v>
      </c>
      <c r="D141" s="268" t="s">
        <v>495</v>
      </c>
      <c r="E141" s="361">
        <v>44198.0</v>
      </c>
      <c r="F141" s="250" t="s">
        <v>496</v>
      </c>
      <c r="G141" s="171">
        <v>200.0</v>
      </c>
      <c r="H141" s="171">
        <v>200.0</v>
      </c>
      <c r="I141" s="171">
        <v>200.0</v>
      </c>
      <c r="J141" s="325">
        <f t="shared" si="2"/>
        <v>0.005125140705</v>
      </c>
      <c r="K141" s="326">
        <f t="shared" ref="K141:K161" si="8">J141*$J$1</f>
        <v>3.843855528</v>
      </c>
      <c r="L141" s="327">
        <f t="shared" si="3"/>
        <v>11.85725869</v>
      </c>
      <c r="M141" s="321" t="str">
        <f t="shared" si="4"/>
        <v>mateodaza</v>
      </c>
      <c r="N141" s="209">
        <f>IFERROR(__xludf.DUMMYFUNCTION("""COMPUTED_VALUE"""),2.0)</f>
        <v>2</v>
      </c>
      <c r="O141" s="176"/>
      <c r="P141" s="176"/>
      <c r="Q141" s="176"/>
      <c r="R141" s="176"/>
      <c r="S141" s="176"/>
      <c r="T141" s="176"/>
      <c r="U141" s="176"/>
      <c r="V141" s="176"/>
      <c r="W141" s="176"/>
      <c r="X141" s="176"/>
      <c r="Y141" s="176"/>
      <c r="Z141" s="176"/>
    </row>
    <row r="142">
      <c r="A142" s="249" t="s">
        <v>11</v>
      </c>
      <c r="B142" s="249" t="s">
        <v>10</v>
      </c>
      <c r="C142" s="219" t="s">
        <v>2873</v>
      </c>
      <c r="D142" s="268" t="s">
        <v>495</v>
      </c>
      <c r="E142" s="361">
        <v>44198.0</v>
      </c>
      <c r="F142" s="250" t="s">
        <v>496</v>
      </c>
      <c r="G142" s="171">
        <v>10.0</v>
      </c>
      <c r="H142" s="171">
        <v>25.0</v>
      </c>
      <c r="I142" s="171">
        <v>10.0</v>
      </c>
      <c r="J142" s="325">
        <f t="shared" si="2"/>
        <v>0.0004007657057</v>
      </c>
      <c r="K142" s="326">
        <f t="shared" si="8"/>
        <v>0.3005742793</v>
      </c>
      <c r="L142" s="327">
        <f t="shared" si="3"/>
        <v>11.85725869</v>
      </c>
      <c r="M142" s="321" t="str">
        <f t="shared" si="4"/>
        <v>mateodaza</v>
      </c>
      <c r="N142" s="209">
        <f>IFERROR(__xludf.DUMMYFUNCTION("""COMPUTED_VALUE"""),3.0)</f>
        <v>3</v>
      </c>
      <c r="O142" s="176"/>
      <c r="P142" s="176"/>
      <c r="Q142" s="176"/>
      <c r="R142" s="176"/>
      <c r="S142" s="176"/>
      <c r="T142" s="176"/>
      <c r="U142" s="176"/>
      <c r="V142" s="176"/>
      <c r="W142" s="176"/>
      <c r="X142" s="176"/>
      <c r="Y142" s="176"/>
      <c r="Z142" s="176"/>
    </row>
    <row r="143">
      <c r="A143" s="249" t="s">
        <v>11</v>
      </c>
      <c r="B143" s="249" t="s">
        <v>1228</v>
      </c>
      <c r="C143" s="219" t="s">
        <v>2874</v>
      </c>
      <c r="D143" s="268" t="s">
        <v>495</v>
      </c>
      <c r="E143" s="361">
        <v>44198.0</v>
      </c>
      <c r="F143" s="250" t="s">
        <v>496</v>
      </c>
      <c r="G143" s="171">
        <v>20.0</v>
      </c>
      <c r="H143" s="171">
        <v>25.0</v>
      </c>
      <c r="I143" s="171">
        <v>15.0</v>
      </c>
      <c r="J143" s="325">
        <f t="shared" si="2"/>
        <v>0.0005212732072</v>
      </c>
      <c r="K143" s="326">
        <f t="shared" si="8"/>
        <v>0.3909549054</v>
      </c>
      <c r="L143" s="327">
        <f t="shared" si="3"/>
        <v>11.85725869</v>
      </c>
      <c r="M143" s="321" t="str">
        <f t="shared" si="4"/>
        <v>mateodaza</v>
      </c>
      <c r="N143" s="209">
        <f>IFERROR(__xludf.DUMMYFUNCTION("""COMPUTED_VALUE"""),4.0)</f>
        <v>4</v>
      </c>
      <c r="O143" s="176"/>
      <c r="P143" s="176"/>
      <c r="Q143" s="176"/>
      <c r="R143" s="176"/>
      <c r="S143" s="176"/>
      <c r="T143" s="176"/>
      <c r="U143" s="176"/>
      <c r="V143" s="176"/>
      <c r="W143" s="176"/>
      <c r="X143" s="176"/>
      <c r="Y143" s="176"/>
      <c r="Z143" s="176"/>
    </row>
    <row r="144">
      <c r="A144" s="249" t="s">
        <v>11</v>
      </c>
      <c r="B144" s="249" t="s">
        <v>519</v>
      </c>
      <c r="C144" s="219" t="s">
        <v>2876</v>
      </c>
      <c r="D144" s="268" t="s">
        <v>495</v>
      </c>
      <c r="E144" s="361">
        <v>44201.0</v>
      </c>
      <c r="F144" s="250" t="s">
        <v>499</v>
      </c>
      <c r="G144" s="171">
        <v>60.0</v>
      </c>
      <c r="H144" s="171">
        <v>100.0</v>
      </c>
      <c r="I144" s="171">
        <v>60.0</v>
      </c>
      <c r="J144" s="325">
        <f t="shared" si="2"/>
        <v>0.001922898666</v>
      </c>
      <c r="K144" s="326">
        <f t="shared" si="8"/>
        <v>1.442174</v>
      </c>
      <c r="L144" s="327">
        <f t="shared" si="3"/>
        <v>11.85725869</v>
      </c>
      <c r="M144" s="321" t="str">
        <f t="shared" si="4"/>
        <v>mateodaza</v>
      </c>
      <c r="N144" s="209">
        <f>IFERROR(__xludf.DUMMYFUNCTION("""COMPUTED_VALUE"""),5.0)</f>
        <v>5</v>
      </c>
      <c r="O144" s="176"/>
      <c r="P144" s="176"/>
      <c r="Q144" s="176"/>
      <c r="R144" s="176"/>
      <c r="S144" s="176"/>
      <c r="T144" s="176"/>
      <c r="U144" s="176"/>
      <c r="V144" s="176"/>
      <c r="W144" s="176"/>
      <c r="X144" s="176"/>
      <c r="Y144" s="176"/>
      <c r="Z144" s="176"/>
    </row>
    <row r="145">
      <c r="A145" s="249" t="s">
        <v>11</v>
      </c>
      <c r="B145" s="249" t="s">
        <v>519</v>
      </c>
      <c r="C145" s="219" t="s">
        <v>2877</v>
      </c>
      <c r="D145" s="268" t="s">
        <v>495</v>
      </c>
      <c r="E145" s="361">
        <v>44201.0</v>
      </c>
      <c r="F145" s="250" t="s">
        <v>499</v>
      </c>
      <c r="G145" s="171">
        <v>125.0</v>
      </c>
      <c r="H145" s="171">
        <v>100.0</v>
      </c>
      <c r="I145" s="171">
        <v>130.0</v>
      </c>
      <c r="J145" s="325">
        <f t="shared" si="2"/>
        <v>0.003001775576</v>
      </c>
      <c r="K145" s="326">
        <f t="shared" si="8"/>
        <v>2.251331682</v>
      </c>
      <c r="L145" s="327">
        <f t="shared" si="3"/>
        <v>11.85725869</v>
      </c>
      <c r="M145" s="321" t="str">
        <f t="shared" si="4"/>
        <v>mateodaza</v>
      </c>
      <c r="N145" s="209">
        <f>IFERROR(__xludf.DUMMYFUNCTION("""COMPUTED_VALUE"""),6.0)</f>
        <v>6</v>
      </c>
      <c r="O145" s="176"/>
      <c r="P145" s="176"/>
      <c r="Q145" s="176"/>
      <c r="R145" s="176"/>
      <c r="S145" s="176"/>
      <c r="T145" s="176"/>
      <c r="U145" s="176"/>
      <c r="V145" s="176"/>
      <c r="W145" s="176"/>
      <c r="X145" s="176"/>
      <c r="Y145" s="176"/>
      <c r="Z145" s="176"/>
    </row>
    <row r="146">
      <c r="A146" s="249" t="s">
        <v>11</v>
      </c>
      <c r="B146" s="249" t="s">
        <v>519</v>
      </c>
      <c r="C146" s="219" t="s">
        <v>2878</v>
      </c>
      <c r="D146" s="268" t="s">
        <v>495</v>
      </c>
      <c r="E146" s="361">
        <v>44201.0</v>
      </c>
      <c r="F146" s="250" t="s">
        <v>499</v>
      </c>
      <c r="G146" s="171">
        <v>45.0</v>
      </c>
      <c r="H146" s="171">
        <v>55.0</v>
      </c>
      <c r="I146" s="171">
        <v>40.0</v>
      </c>
      <c r="J146" s="325">
        <f t="shared" si="2"/>
        <v>0.001210085352</v>
      </c>
      <c r="K146" s="326">
        <f t="shared" si="8"/>
        <v>0.9075640141</v>
      </c>
      <c r="L146" s="327">
        <f t="shared" si="3"/>
        <v>11.85725869</v>
      </c>
      <c r="M146" s="321" t="str">
        <f t="shared" si="4"/>
        <v>mateodaza</v>
      </c>
      <c r="N146" s="209">
        <f>IFERROR(__xludf.DUMMYFUNCTION("""COMPUTED_VALUE"""),7.0)</f>
        <v>7</v>
      </c>
      <c r="O146" s="176"/>
      <c r="P146" s="176"/>
      <c r="Q146" s="176"/>
      <c r="R146" s="176"/>
      <c r="S146" s="176"/>
      <c r="T146" s="176"/>
      <c r="U146" s="176"/>
      <c r="V146" s="176"/>
      <c r="W146" s="176"/>
      <c r="X146" s="176"/>
      <c r="Y146" s="176"/>
      <c r="Z146" s="176"/>
    </row>
    <row r="147">
      <c r="A147" s="249" t="s">
        <v>11</v>
      </c>
      <c r="B147" s="249" t="s">
        <v>18</v>
      </c>
      <c r="C147" s="219" t="s">
        <v>2883</v>
      </c>
      <c r="D147" s="268" t="s">
        <v>495</v>
      </c>
      <c r="E147" s="361">
        <v>44202.0</v>
      </c>
      <c r="F147" s="250" t="s">
        <v>496</v>
      </c>
      <c r="G147" s="171">
        <v>45.0</v>
      </c>
      <c r="H147" s="171">
        <v>55.0</v>
      </c>
      <c r="I147" s="171">
        <v>45.0</v>
      </c>
      <c r="J147" s="325">
        <f t="shared" si="2"/>
        <v>0.001249495772</v>
      </c>
      <c r="K147" s="326">
        <f t="shared" si="8"/>
        <v>0.9371218291</v>
      </c>
      <c r="L147" s="327">
        <f t="shared" si="3"/>
        <v>11.85725869</v>
      </c>
      <c r="M147" s="321" t="str">
        <f t="shared" si="4"/>
        <v>mateodaza</v>
      </c>
      <c r="N147" s="209">
        <f>IFERROR(__xludf.DUMMYFUNCTION("""COMPUTED_VALUE"""),8.0)</f>
        <v>8</v>
      </c>
      <c r="O147" s="176"/>
      <c r="P147" s="176"/>
      <c r="Q147" s="176"/>
      <c r="R147" s="176"/>
      <c r="S147" s="176"/>
      <c r="T147" s="176"/>
      <c r="U147" s="176"/>
      <c r="V147" s="176"/>
      <c r="W147" s="176"/>
      <c r="X147" s="176"/>
      <c r="Y147" s="176"/>
      <c r="Z147" s="176"/>
    </row>
    <row r="148">
      <c r="A148" s="249" t="s">
        <v>11</v>
      </c>
      <c r="B148" s="249" t="s">
        <v>25</v>
      </c>
      <c r="C148" s="219" t="s">
        <v>2906</v>
      </c>
      <c r="D148" s="268" t="s">
        <v>495</v>
      </c>
      <c r="E148" s="361">
        <v>44203.0</v>
      </c>
      <c r="F148" s="250" t="s">
        <v>496</v>
      </c>
      <c r="G148" s="171">
        <v>150.0</v>
      </c>
      <c r="H148" s="171">
        <v>200.0</v>
      </c>
      <c r="I148" s="171">
        <v>200.0</v>
      </c>
      <c r="J148" s="325">
        <f t="shared" si="2"/>
        <v>0.004719655298</v>
      </c>
      <c r="K148" s="326">
        <f t="shared" si="8"/>
        <v>3.539741473</v>
      </c>
      <c r="L148" s="327">
        <f t="shared" si="3"/>
        <v>11.85725869</v>
      </c>
      <c r="M148" s="321" t="str">
        <f t="shared" si="4"/>
        <v>mateodaza</v>
      </c>
      <c r="N148" s="209">
        <f>IFERROR(__xludf.DUMMYFUNCTION("""COMPUTED_VALUE"""),9.0)</f>
        <v>9</v>
      </c>
      <c r="O148" s="176"/>
      <c r="P148" s="176"/>
      <c r="Q148" s="176"/>
      <c r="R148" s="176"/>
      <c r="S148" s="176"/>
      <c r="T148" s="176"/>
      <c r="U148" s="176"/>
      <c r="V148" s="176"/>
      <c r="W148" s="176"/>
      <c r="X148" s="176"/>
      <c r="Y148" s="176"/>
      <c r="Z148" s="176"/>
    </row>
    <row r="149">
      <c r="A149" s="249" t="s">
        <v>11</v>
      </c>
      <c r="B149" s="249" t="s">
        <v>10</v>
      </c>
      <c r="C149" s="219" t="s">
        <v>2907</v>
      </c>
      <c r="D149" s="268" t="s">
        <v>495</v>
      </c>
      <c r="E149" s="361">
        <v>44204.0</v>
      </c>
      <c r="F149" s="250" t="s">
        <v>496</v>
      </c>
      <c r="G149" s="171">
        <v>200.0</v>
      </c>
      <c r="H149" s="171">
        <v>255.0</v>
      </c>
      <c r="I149" s="171">
        <v>200.0</v>
      </c>
      <c r="J149" s="325">
        <f t="shared" si="2"/>
        <v>0.00565500583</v>
      </c>
      <c r="K149" s="326">
        <f t="shared" si="8"/>
        <v>4.241254372</v>
      </c>
      <c r="L149" s="327">
        <f t="shared" si="3"/>
        <v>11.85725869</v>
      </c>
      <c r="M149" s="321" t="str">
        <f t="shared" si="4"/>
        <v>mateodaza</v>
      </c>
      <c r="N149" s="209">
        <f>IFERROR(__xludf.DUMMYFUNCTION("""COMPUTED_VALUE"""),10.0)</f>
        <v>10</v>
      </c>
      <c r="O149" s="176"/>
      <c r="P149" s="176"/>
      <c r="Q149" s="176"/>
      <c r="R149" s="176"/>
      <c r="S149" s="176"/>
      <c r="T149" s="176"/>
      <c r="U149" s="176"/>
      <c r="V149" s="176"/>
      <c r="W149" s="176"/>
      <c r="X149" s="176"/>
      <c r="Y149" s="176"/>
      <c r="Z149" s="176"/>
    </row>
    <row r="150">
      <c r="A150" s="249" t="s">
        <v>11</v>
      </c>
      <c r="B150" s="249" t="s">
        <v>10</v>
      </c>
      <c r="C150" s="219" t="s">
        <v>2888</v>
      </c>
      <c r="D150" s="268" t="s">
        <v>495</v>
      </c>
      <c r="E150" s="361">
        <v>44204.0</v>
      </c>
      <c r="F150" s="250" t="s">
        <v>496</v>
      </c>
      <c r="G150" s="171">
        <v>20.0</v>
      </c>
      <c r="H150" s="171">
        <v>25.0</v>
      </c>
      <c r="I150" s="171">
        <v>20.0</v>
      </c>
      <c r="J150" s="325">
        <f t="shared" si="2"/>
        <v>0.0005606836273</v>
      </c>
      <c r="K150" s="326">
        <f t="shared" si="8"/>
        <v>0.4205127205</v>
      </c>
      <c r="L150" s="327">
        <f t="shared" si="3"/>
        <v>11.85725869</v>
      </c>
      <c r="M150" s="321" t="str">
        <f t="shared" si="4"/>
        <v>mateodaza</v>
      </c>
      <c r="N150" s="209">
        <f>IFERROR(__xludf.DUMMYFUNCTION("""COMPUTED_VALUE"""),11.0)</f>
        <v>11</v>
      </c>
      <c r="O150" s="176"/>
      <c r="P150" s="176"/>
      <c r="Q150" s="176"/>
      <c r="R150" s="176"/>
      <c r="S150" s="176"/>
      <c r="T150" s="176"/>
      <c r="U150" s="176"/>
      <c r="V150" s="176"/>
      <c r="W150" s="176"/>
      <c r="X150" s="176"/>
      <c r="Y150" s="176"/>
      <c r="Z150" s="176"/>
    </row>
    <row r="151">
      <c r="A151" s="249" t="s">
        <v>11</v>
      </c>
      <c r="B151" s="249" t="s">
        <v>590</v>
      </c>
      <c r="C151" s="219" t="s">
        <v>2893</v>
      </c>
      <c r="D151" s="268" t="s">
        <v>495</v>
      </c>
      <c r="E151" s="251">
        <v>44208.0</v>
      </c>
      <c r="F151" s="250" t="s">
        <v>496</v>
      </c>
      <c r="G151" s="171">
        <v>20.0</v>
      </c>
      <c r="H151" s="171">
        <v>25.0</v>
      </c>
      <c r="I151" s="171">
        <v>45.0</v>
      </c>
      <c r="J151" s="325">
        <f t="shared" si="2"/>
        <v>0.0007577357279</v>
      </c>
      <c r="K151" s="326">
        <f t="shared" si="8"/>
        <v>0.5683017959</v>
      </c>
      <c r="L151" s="327">
        <f t="shared" si="3"/>
        <v>11.85725869</v>
      </c>
      <c r="M151" s="321" t="str">
        <f t="shared" si="4"/>
        <v>mateodaza</v>
      </c>
      <c r="N151" s="209">
        <f>IFERROR(__xludf.DUMMYFUNCTION("""COMPUTED_VALUE"""),12.0)</f>
        <v>12</v>
      </c>
      <c r="O151" s="176"/>
      <c r="P151" s="176"/>
      <c r="Q151" s="176"/>
      <c r="R151" s="176"/>
      <c r="S151" s="176"/>
      <c r="T151" s="176"/>
      <c r="U151" s="176"/>
      <c r="V151" s="176"/>
      <c r="W151" s="176"/>
      <c r="X151" s="176"/>
      <c r="Y151" s="176"/>
      <c r="Z151" s="176"/>
    </row>
    <row r="152">
      <c r="A152" s="249" t="s">
        <v>11</v>
      </c>
      <c r="B152" s="249" t="s">
        <v>10</v>
      </c>
      <c r="C152" s="219" t="s">
        <v>2946</v>
      </c>
      <c r="D152" s="268" t="s">
        <v>495</v>
      </c>
      <c r="E152" s="251">
        <v>44211.0</v>
      </c>
      <c r="F152" s="250" t="s">
        <v>496</v>
      </c>
      <c r="G152" s="171">
        <v>200.0</v>
      </c>
      <c r="H152" s="171">
        <v>55.0</v>
      </c>
      <c r="I152" s="171">
        <v>200.0</v>
      </c>
      <c r="J152" s="325">
        <f t="shared" si="2"/>
        <v>0.003728223556</v>
      </c>
      <c r="K152" s="326">
        <f t="shared" si="8"/>
        <v>2.796167667</v>
      </c>
      <c r="L152" s="327">
        <f t="shared" si="3"/>
        <v>11.85725869</v>
      </c>
      <c r="M152" s="321" t="str">
        <f t="shared" si="4"/>
        <v>mateodaza</v>
      </c>
      <c r="N152" s="209">
        <f>IFERROR(__xludf.DUMMYFUNCTION("""COMPUTED_VALUE"""),13.0)</f>
        <v>13</v>
      </c>
      <c r="O152" s="176"/>
      <c r="P152" s="176"/>
      <c r="Q152" s="176"/>
      <c r="R152" s="176"/>
      <c r="S152" s="176"/>
      <c r="T152" s="176"/>
      <c r="U152" s="176"/>
      <c r="V152" s="176"/>
      <c r="W152" s="176"/>
      <c r="X152" s="176"/>
      <c r="Y152" s="176"/>
      <c r="Z152" s="176"/>
    </row>
    <row r="153">
      <c r="A153" s="249" t="s">
        <v>11</v>
      </c>
      <c r="B153" s="249" t="s">
        <v>10</v>
      </c>
      <c r="C153" s="219" t="s">
        <v>2910</v>
      </c>
      <c r="D153" s="268" t="s">
        <v>495</v>
      </c>
      <c r="E153" s="251">
        <v>44211.0</v>
      </c>
      <c r="F153" s="250" t="s">
        <v>496</v>
      </c>
      <c r="G153" s="171">
        <v>100.0</v>
      </c>
      <c r="H153" s="171">
        <v>55.0</v>
      </c>
      <c r="I153" s="171">
        <v>100.0</v>
      </c>
      <c r="J153" s="325">
        <f t="shared" si="2"/>
        <v>0.002129044341</v>
      </c>
      <c r="K153" s="326">
        <f t="shared" si="8"/>
        <v>1.596783256</v>
      </c>
      <c r="L153" s="327">
        <f t="shared" si="3"/>
        <v>11.85725869</v>
      </c>
      <c r="M153" s="321" t="str">
        <f t="shared" si="4"/>
        <v>mateodaza</v>
      </c>
      <c r="N153" s="209">
        <f>IFERROR(__xludf.DUMMYFUNCTION("""COMPUTED_VALUE"""),14.0)</f>
        <v>14</v>
      </c>
      <c r="O153" s="176"/>
      <c r="P153" s="176"/>
      <c r="Q153" s="176"/>
      <c r="R153" s="176"/>
      <c r="S153" s="176"/>
      <c r="T153" s="176"/>
      <c r="U153" s="176"/>
      <c r="V153" s="176"/>
      <c r="W153" s="176"/>
      <c r="X153" s="176"/>
      <c r="Y153" s="176"/>
      <c r="Z153" s="176"/>
    </row>
    <row r="154">
      <c r="A154" s="249" t="s">
        <v>11</v>
      </c>
      <c r="B154" s="249" t="s">
        <v>10</v>
      </c>
      <c r="C154" s="219" t="s">
        <v>2896</v>
      </c>
      <c r="D154" s="268" t="s">
        <v>495</v>
      </c>
      <c r="E154" s="251">
        <v>44211.0</v>
      </c>
      <c r="F154" s="250" t="s">
        <v>496</v>
      </c>
      <c r="G154" s="171">
        <v>10.0</v>
      </c>
      <c r="H154" s="171">
        <v>25.0</v>
      </c>
      <c r="I154" s="171">
        <v>40.0</v>
      </c>
      <c r="J154" s="325">
        <f t="shared" si="2"/>
        <v>0.0006372282264</v>
      </c>
      <c r="K154" s="326">
        <f t="shared" si="8"/>
        <v>0.4779211698</v>
      </c>
      <c r="L154" s="327">
        <f t="shared" si="3"/>
        <v>11.85725869</v>
      </c>
      <c r="M154" s="321" t="str">
        <f t="shared" si="4"/>
        <v>mateodaza</v>
      </c>
      <c r="N154" s="209">
        <f>IFERROR(__xludf.DUMMYFUNCTION("""COMPUTED_VALUE"""),15.0)</f>
        <v>15</v>
      </c>
      <c r="O154" s="176"/>
      <c r="P154" s="176"/>
      <c r="Q154" s="176"/>
      <c r="R154" s="176"/>
      <c r="S154" s="176"/>
      <c r="T154" s="176"/>
      <c r="U154" s="176"/>
      <c r="V154" s="176"/>
      <c r="W154" s="176"/>
      <c r="X154" s="176"/>
      <c r="Y154" s="176"/>
      <c r="Z154" s="176"/>
    </row>
    <row r="155">
      <c r="A155" s="249" t="s">
        <v>60</v>
      </c>
      <c r="B155" s="249" t="s">
        <v>519</v>
      </c>
      <c r="C155" s="219" t="s">
        <v>2905</v>
      </c>
      <c r="D155" s="268" t="s">
        <v>495</v>
      </c>
      <c r="E155" s="361">
        <v>44200.0</v>
      </c>
      <c r="F155" s="250" t="s">
        <v>499</v>
      </c>
      <c r="G155" s="171">
        <v>45.0</v>
      </c>
      <c r="H155" s="171">
        <v>25.0</v>
      </c>
      <c r="I155" s="171">
        <v>10.0</v>
      </c>
      <c r="J155" s="325">
        <f t="shared" si="2"/>
        <v>0.0006846054904</v>
      </c>
      <c r="K155" s="326">
        <f t="shared" si="8"/>
        <v>0.5134541178</v>
      </c>
      <c r="L155" s="327">
        <f t="shared" si="3"/>
        <v>10.30560999</v>
      </c>
      <c r="M155" s="321" t="str">
        <f t="shared" si="4"/>
        <v>niranb</v>
      </c>
      <c r="N155" s="209">
        <f>IFERROR(__xludf.DUMMYFUNCTION("""COMPUTED_VALUE"""),1.0)</f>
        <v>1</v>
      </c>
      <c r="O155" s="176"/>
      <c r="P155" s="176"/>
      <c r="Q155" s="176"/>
      <c r="R155" s="176"/>
      <c r="S155" s="176"/>
      <c r="T155" s="176"/>
      <c r="U155" s="176"/>
      <c r="V155" s="176"/>
      <c r="W155" s="176"/>
      <c r="X155" s="176"/>
      <c r="Y155" s="176"/>
      <c r="Z155" s="176"/>
    </row>
    <row r="156">
      <c r="A156" s="249" t="s">
        <v>60</v>
      </c>
      <c r="B156" s="249" t="s">
        <v>18</v>
      </c>
      <c r="C156" s="219" t="s">
        <v>2947</v>
      </c>
      <c r="D156" s="268" t="s">
        <v>495</v>
      </c>
      <c r="E156" s="251">
        <v>44207.0</v>
      </c>
      <c r="F156" s="250" t="s">
        <v>496</v>
      </c>
      <c r="G156" s="171">
        <v>400.0</v>
      </c>
      <c r="H156" s="171">
        <v>100.0</v>
      </c>
      <c r="I156" s="171">
        <v>250.0</v>
      </c>
      <c r="J156" s="325">
        <f t="shared" si="2"/>
        <v>0.006177795395</v>
      </c>
      <c r="K156" s="326">
        <f t="shared" si="8"/>
        <v>4.633346546</v>
      </c>
      <c r="L156" s="327">
        <f t="shared" si="3"/>
        <v>10.30560999</v>
      </c>
      <c r="M156" s="321" t="str">
        <f t="shared" si="4"/>
        <v>niranb</v>
      </c>
      <c r="N156" s="209">
        <f>IFERROR(__xludf.DUMMYFUNCTION("""COMPUTED_VALUE"""),2.0)</f>
        <v>2</v>
      </c>
      <c r="O156" s="176"/>
      <c r="P156" s="176"/>
      <c r="Q156" s="176"/>
      <c r="R156" s="176"/>
      <c r="S156" s="176"/>
      <c r="T156" s="176"/>
      <c r="U156" s="176"/>
      <c r="V156" s="176"/>
      <c r="W156" s="176"/>
      <c r="X156" s="176"/>
      <c r="Y156" s="176"/>
      <c r="Z156" s="176"/>
    </row>
    <row r="157">
      <c r="A157" s="249" t="s">
        <v>60</v>
      </c>
      <c r="B157" s="249" t="s">
        <v>18</v>
      </c>
      <c r="C157" s="219" t="s">
        <v>2948</v>
      </c>
      <c r="D157" s="268" t="s">
        <v>495</v>
      </c>
      <c r="E157" s="251">
        <v>44211.0</v>
      </c>
      <c r="F157" s="250" t="s">
        <v>496</v>
      </c>
      <c r="G157" s="171">
        <v>400.0</v>
      </c>
      <c r="H157" s="171">
        <v>50.0</v>
      </c>
      <c r="I157" s="171">
        <v>400.0</v>
      </c>
      <c r="J157" s="325">
        <f t="shared" si="2"/>
        <v>0.00687841243</v>
      </c>
      <c r="K157" s="326">
        <f t="shared" si="8"/>
        <v>5.158809323</v>
      </c>
      <c r="L157" s="327">
        <f t="shared" si="3"/>
        <v>10.30560999</v>
      </c>
      <c r="M157" s="321" t="str">
        <f t="shared" si="4"/>
        <v>niranb</v>
      </c>
      <c r="N157" s="209">
        <f>IFERROR(__xludf.DUMMYFUNCTION("""COMPUTED_VALUE"""),3.0)</f>
        <v>3</v>
      </c>
      <c r="O157" s="176"/>
      <c r="P157" s="176"/>
      <c r="Q157" s="176"/>
      <c r="R157" s="176"/>
      <c r="S157" s="176"/>
      <c r="T157" s="176"/>
      <c r="U157" s="176"/>
      <c r="V157" s="176"/>
      <c r="W157" s="176"/>
      <c r="X157" s="176"/>
      <c r="Y157" s="176"/>
      <c r="Z157" s="176"/>
    </row>
    <row r="158">
      <c r="A158" s="249" t="s">
        <v>40</v>
      </c>
      <c r="B158" s="249" t="s">
        <v>18</v>
      </c>
      <c r="C158" s="219" t="s">
        <v>2949</v>
      </c>
      <c r="D158" s="268" t="s">
        <v>495</v>
      </c>
      <c r="E158" s="251">
        <v>44207.0</v>
      </c>
      <c r="F158" s="250" t="s">
        <v>496</v>
      </c>
      <c r="G158" s="171">
        <v>200.0</v>
      </c>
      <c r="H158" s="171">
        <v>50.0</v>
      </c>
      <c r="I158" s="171">
        <v>230.0</v>
      </c>
      <c r="J158" s="325">
        <f t="shared" si="2"/>
        <v>0.00391651652</v>
      </c>
      <c r="K158" s="326">
        <f t="shared" si="8"/>
        <v>2.93738739</v>
      </c>
      <c r="L158" s="327">
        <f t="shared" si="3"/>
        <v>10.01035814</v>
      </c>
      <c r="M158" s="321" t="str">
        <f t="shared" si="4"/>
        <v>lkngtn</v>
      </c>
      <c r="N158" s="209">
        <f>IFERROR(__xludf.DUMMYFUNCTION("""COMPUTED_VALUE"""),1.0)</f>
        <v>1</v>
      </c>
      <c r="O158" s="176"/>
      <c r="P158" s="176"/>
      <c r="Q158" s="176"/>
      <c r="R158" s="176"/>
      <c r="S158" s="176"/>
      <c r="T158" s="176"/>
      <c r="U158" s="176"/>
      <c r="V158" s="176"/>
      <c r="W158" s="176"/>
      <c r="X158" s="176"/>
      <c r="Y158" s="176"/>
      <c r="Z158" s="176"/>
    </row>
    <row r="159">
      <c r="A159" s="249" t="s">
        <v>40</v>
      </c>
      <c r="B159" s="249" t="s">
        <v>519</v>
      </c>
      <c r="C159" s="219" t="s">
        <v>2950</v>
      </c>
      <c r="D159" s="268" t="s">
        <v>495</v>
      </c>
      <c r="E159" s="251">
        <v>44210.0</v>
      </c>
      <c r="F159" s="250" t="s">
        <v>496</v>
      </c>
      <c r="G159" s="171">
        <v>450.0</v>
      </c>
      <c r="H159" s="171">
        <v>55.0</v>
      </c>
      <c r="I159" s="171">
        <v>400.0</v>
      </c>
      <c r="J159" s="325">
        <f t="shared" si="2"/>
        <v>0.007332067394</v>
      </c>
      <c r="K159" s="326">
        <f t="shared" si="8"/>
        <v>5.499050545</v>
      </c>
      <c r="L159" s="327">
        <f t="shared" si="3"/>
        <v>10.01035814</v>
      </c>
      <c r="M159" s="321" t="str">
        <f t="shared" si="4"/>
        <v>lkngtn</v>
      </c>
      <c r="N159" s="209">
        <f>IFERROR(__xludf.DUMMYFUNCTION("""COMPUTED_VALUE"""),2.0)</f>
        <v>2</v>
      </c>
      <c r="O159" s="176"/>
      <c r="P159" s="176"/>
      <c r="Q159" s="176"/>
      <c r="R159" s="176"/>
      <c r="S159" s="176"/>
      <c r="T159" s="176"/>
      <c r="U159" s="176"/>
      <c r="V159" s="176"/>
      <c r="W159" s="176"/>
      <c r="X159" s="176"/>
      <c r="Y159" s="176"/>
      <c r="Z159" s="176"/>
    </row>
    <row r="160">
      <c r="A160" s="249" t="s">
        <v>40</v>
      </c>
      <c r="B160" s="249" t="s">
        <v>10</v>
      </c>
      <c r="C160" s="219" t="s">
        <v>2951</v>
      </c>
      <c r="D160" s="268" t="s">
        <v>495</v>
      </c>
      <c r="E160" s="251">
        <v>44211.0</v>
      </c>
      <c r="F160" s="250" t="s">
        <v>496</v>
      </c>
      <c r="G160" s="171">
        <v>120.0</v>
      </c>
      <c r="H160" s="171">
        <v>35.0</v>
      </c>
      <c r="I160" s="171">
        <v>100.0</v>
      </c>
      <c r="J160" s="325">
        <f t="shared" si="2"/>
        <v>0.002098560276</v>
      </c>
      <c r="K160" s="326">
        <f t="shared" si="8"/>
        <v>1.573920207</v>
      </c>
      <c r="L160" s="327">
        <f t="shared" si="3"/>
        <v>10.01035814</v>
      </c>
      <c r="M160" s="321" t="str">
        <f t="shared" si="4"/>
        <v>lkngtn</v>
      </c>
      <c r="N160" s="209">
        <f>IFERROR(__xludf.DUMMYFUNCTION("""COMPUTED_VALUE"""),3.0)</f>
        <v>3</v>
      </c>
      <c r="O160" s="176"/>
      <c r="P160" s="176"/>
      <c r="Q160" s="176"/>
      <c r="R160" s="176"/>
      <c r="S160" s="176"/>
      <c r="T160" s="176"/>
      <c r="U160" s="176"/>
      <c r="V160" s="176"/>
      <c r="W160" s="176"/>
      <c r="X160" s="176"/>
      <c r="Y160" s="176"/>
      <c r="Z160" s="176"/>
    </row>
    <row r="161">
      <c r="A161" s="249" t="s">
        <v>15</v>
      </c>
      <c r="B161" s="249" t="s">
        <v>10</v>
      </c>
      <c r="C161" s="219" t="s">
        <v>2952</v>
      </c>
      <c r="D161" s="268" t="s">
        <v>495</v>
      </c>
      <c r="E161" s="361">
        <v>44198.0</v>
      </c>
      <c r="F161" s="250" t="s">
        <v>496</v>
      </c>
      <c r="G161" s="171">
        <v>400.0</v>
      </c>
      <c r="H161" s="171">
        <v>400.0</v>
      </c>
      <c r="I161" s="171">
        <v>430.0</v>
      </c>
      <c r="J161" s="325">
        <f t="shared" si="2"/>
        <v>0.01048674393</v>
      </c>
      <c r="K161" s="326">
        <f t="shared" si="8"/>
        <v>7.865057947</v>
      </c>
      <c r="L161" s="327">
        <f t="shared" si="3"/>
        <v>9.575225457</v>
      </c>
      <c r="M161" s="321" t="str">
        <f t="shared" si="4"/>
        <v>juankbell</v>
      </c>
      <c r="N161" s="209">
        <f>IFERROR(__xludf.DUMMYFUNCTION("""COMPUTED_VALUE"""),1.0)</f>
        <v>1</v>
      </c>
      <c r="O161" s="176"/>
      <c r="P161" s="176"/>
      <c r="Q161" s="176"/>
      <c r="R161" s="176"/>
      <c r="S161" s="176"/>
      <c r="T161" s="176"/>
      <c r="U161" s="176"/>
      <c r="V161" s="176"/>
      <c r="W161" s="176"/>
      <c r="X161" s="176"/>
      <c r="Y161" s="176"/>
      <c r="Z161" s="176"/>
    </row>
    <row r="162">
      <c r="A162" s="240" t="s">
        <v>15</v>
      </c>
      <c r="B162" s="240" t="s">
        <v>534</v>
      </c>
      <c r="C162" s="221" t="s">
        <v>684</v>
      </c>
      <c r="D162" s="336"/>
      <c r="E162" s="255"/>
      <c r="F162" s="254"/>
      <c r="G162" s="222"/>
      <c r="H162" s="222"/>
      <c r="I162" s="222"/>
      <c r="J162" s="325">
        <f t="shared" si="2"/>
        <v>0</v>
      </c>
      <c r="K162" s="337">
        <f>-0.85*63.836</f>
        <v>-54.2606</v>
      </c>
      <c r="L162" s="327">
        <f t="shared" si="3"/>
        <v>9.575225457</v>
      </c>
      <c r="M162" s="321" t="str">
        <f t="shared" si="4"/>
        <v>juankbell</v>
      </c>
      <c r="N162" s="209">
        <f>IFERROR(__xludf.DUMMYFUNCTION("""COMPUTED_VALUE"""),2.0)</f>
        <v>2</v>
      </c>
      <c r="O162" s="209"/>
      <c r="P162" s="209"/>
      <c r="Q162" s="209"/>
      <c r="R162" s="209">
        <v>36.89669088595067</v>
      </c>
      <c r="S162" s="209"/>
      <c r="T162" s="209"/>
      <c r="U162" s="209"/>
      <c r="V162" s="209"/>
      <c r="W162" s="209"/>
      <c r="X162" s="209"/>
      <c r="Y162" s="176"/>
      <c r="Z162" s="176"/>
    </row>
    <row r="163">
      <c r="A163" s="249" t="s">
        <v>15</v>
      </c>
      <c r="B163" s="249" t="s">
        <v>10</v>
      </c>
      <c r="C163" s="219" t="s">
        <v>2873</v>
      </c>
      <c r="D163" s="268" t="s">
        <v>495</v>
      </c>
      <c r="E163" s="361">
        <v>44198.0</v>
      </c>
      <c r="F163" s="250" t="s">
        <v>496</v>
      </c>
      <c r="G163" s="171">
        <v>10.0</v>
      </c>
      <c r="H163" s="171">
        <v>25.0</v>
      </c>
      <c r="I163" s="171">
        <v>10.0</v>
      </c>
      <c r="J163" s="325">
        <f t="shared" si="2"/>
        <v>0.0004007657057</v>
      </c>
      <c r="K163" s="326">
        <f t="shared" ref="K163:K198" si="9">J163*$J$1</f>
        <v>0.3005742793</v>
      </c>
      <c r="L163" s="327">
        <f t="shared" si="3"/>
        <v>9.575225457</v>
      </c>
      <c r="M163" s="321" t="str">
        <f t="shared" si="4"/>
        <v>juankbell</v>
      </c>
      <c r="N163" s="209">
        <f>IFERROR(__xludf.DUMMYFUNCTION("""COMPUTED_VALUE"""),3.0)</f>
        <v>3</v>
      </c>
      <c r="O163" s="176"/>
      <c r="P163" s="176"/>
      <c r="Q163" s="176"/>
      <c r="R163" s="176"/>
      <c r="S163" s="176"/>
      <c r="T163" s="176"/>
      <c r="U163" s="176"/>
      <c r="V163" s="176"/>
      <c r="W163" s="176"/>
      <c r="X163" s="176"/>
      <c r="Y163" s="176"/>
      <c r="Z163" s="176"/>
    </row>
    <row r="164">
      <c r="A164" s="249" t="s">
        <v>15</v>
      </c>
      <c r="B164" s="249" t="s">
        <v>18</v>
      </c>
      <c r="C164" s="219" t="s">
        <v>2953</v>
      </c>
      <c r="D164" s="268" t="s">
        <v>495</v>
      </c>
      <c r="E164" s="361">
        <v>44198.0</v>
      </c>
      <c r="F164" s="250" t="s">
        <v>496</v>
      </c>
      <c r="G164" s="171">
        <v>150.0</v>
      </c>
      <c r="H164" s="171">
        <v>100.0</v>
      </c>
      <c r="I164" s="171">
        <v>150.0</v>
      </c>
      <c r="J164" s="325">
        <f t="shared" si="2"/>
        <v>0.00336215996</v>
      </c>
      <c r="K164" s="326">
        <f t="shared" si="9"/>
        <v>2.52161997</v>
      </c>
      <c r="L164" s="327">
        <f t="shared" si="3"/>
        <v>9.575225457</v>
      </c>
      <c r="M164" s="321" t="str">
        <f t="shared" si="4"/>
        <v>juankbell</v>
      </c>
      <c r="N164" s="209">
        <f>IFERROR(__xludf.DUMMYFUNCTION("""COMPUTED_VALUE"""),4.0)</f>
        <v>4</v>
      </c>
      <c r="O164" s="176"/>
      <c r="P164" s="176"/>
      <c r="Q164" s="176"/>
      <c r="R164" s="176"/>
      <c r="S164" s="176"/>
      <c r="T164" s="176"/>
      <c r="U164" s="176"/>
      <c r="V164" s="176"/>
      <c r="W164" s="176"/>
      <c r="X164" s="176"/>
      <c r="Y164" s="176"/>
      <c r="Z164" s="176"/>
    </row>
    <row r="165">
      <c r="A165" s="249" t="s">
        <v>15</v>
      </c>
      <c r="B165" s="249" t="s">
        <v>18</v>
      </c>
      <c r="C165" s="219" t="s">
        <v>2954</v>
      </c>
      <c r="D165" s="268" t="s">
        <v>495</v>
      </c>
      <c r="E165" s="361">
        <v>44201.0</v>
      </c>
      <c r="F165" s="250" t="s">
        <v>496</v>
      </c>
      <c r="G165" s="171">
        <v>800.0</v>
      </c>
      <c r="H165" s="171">
        <v>500.0</v>
      </c>
      <c r="I165" s="171">
        <v>750.0</v>
      </c>
      <c r="J165" s="325">
        <f t="shared" si="2"/>
        <v>0.01721628521</v>
      </c>
      <c r="K165" s="326">
        <f t="shared" si="9"/>
        <v>12.9122139</v>
      </c>
      <c r="L165" s="327">
        <f t="shared" si="3"/>
        <v>9.575225457</v>
      </c>
      <c r="M165" s="321" t="str">
        <f t="shared" si="4"/>
        <v>juankbell</v>
      </c>
      <c r="N165" s="209">
        <f>IFERROR(__xludf.DUMMYFUNCTION("""COMPUTED_VALUE"""),5.0)</f>
        <v>5</v>
      </c>
      <c r="O165" s="176"/>
      <c r="P165" s="176"/>
      <c r="Q165" s="176"/>
      <c r="R165" s="176"/>
      <c r="S165" s="176"/>
      <c r="T165" s="176"/>
      <c r="U165" s="176"/>
      <c r="V165" s="176"/>
      <c r="W165" s="176"/>
      <c r="X165" s="176"/>
      <c r="Y165" s="176"/>
      <c r="Z165" s="176"/>
    </row>
    <row r="166">
      <c r="A166" s="249" t="s">
        <v>15</v>
      </c>
      <c r="B166" s="249" t="s">
        <v>519</v>
      </c>
      <c r="C166" s="219" t="s">
        <v>2876</v>
      </c>
      <c r="D166" s="268" t="s">
        <v>495</v>
      </c>
      <c r="E166" s="361">
        <v>44201.0</v>
      </c>
      <c r="F166" s="250" t="s">
        <v>499</v>
      </c>
      <c r="G166" s="171">
        <v>60.0</v>
      </c>
      <c r="H166" s="171">
        <v>100.0</v>
      </c>
      <c r="I166" s="171">
        <v>60.0</v>
      </c>
      <c r="J166" s="325">
        <f t="shared" si="2"/>
        <v>0.001922898666</v>
      </c>
      <c r="K166" s="326">
        <f t="shared" si="9"/>
        <v>1.442174</v>
      </c>
      <c r="L166" s="327">
        <f t="shared" si="3"/>
        <v>9.575225457</v>
      </c>
      <c r="M166" s="321" t="str">
        <f t="shared" si="4"/>
        <v>juankbell</v>
      </c>
      <c r="N166" s="209">
        <f>IFERROR(__xludf.DUMMYFUNCTION("""COMPUTED_VALUE"""),6.0)</f>
        <v>6</v>
      </c>
      <c r="O166" s="176"/>
      <c r="P166" s="176"/>
      <c r="Q166" s="176"/>
      <c r="R166" s="176"/>
      <c r="S166" s="176"/>
      <c r="T166" s="176"/>
      <c r="U166" s="176"/>
      <c r="V166" s="176"/>
      <c r="W166" s="176"/>
      <c r="X166" s="176"/>
      <c r="Y166" s="176"/>
      <c r="Z166" s="176"/>
    </row>
    <row r="167">
      <c r="A167" s="249" t="s">
        <v>15</v>
      </c>
      <c r="B167" s="249" t="s">
        <v>1231</v>
      </c>
      <c r="C167" s="219" t="s">
        <v>2955</v>
      </c>
      <c r="D167" s="268" t="s">
        <v>495</v>
      </c>
      <c r="E167" s="361">
        <v>44202.0</v>
      </c>
      <c r="F167" s="250" t="s">
        <v>496</v>
      </c>
      <c r="G167" s="171">
        <v>100.0</v>
      </c>
      <c r="H167" s="171">
        <v>155.0</v>
      </c>
      <c r="I167" s="171">
        <v>200.0</v>
      </c>
      <c r="J167" s="325">
        <f t="shared" si="2"/>
        <v>0.00388064388</v>
      </c>
      <c r="K167" s="326">
        <f t="shared" si="9"/>
        <v>2.91048291</v>
      </c>
      <c r="L167" s="327">
        <f t="shared" si="3"/>
        <v>9.575225457</v>
      </c>
      <c r="M167" s="321" t="str">
        <f t="shared" si="4"/>
        <v>juankbell</v>
      </c>
      <c r="N167" s="209">
        <f>IFERROR(__xludf.DUMMYFUNCTION("""COMPUTED_VALUE"""),7.0)</f>
        <v>7</v>
      </c>
      <c r="O167" s="176"/>
      <c r="P167" s="176"/>
      <c r="Q167" s="176"/>
      <c r="R167" s="176"/>
      <c r="S167" s="176"/>
      <c r="T167" s="176"/>
      <c r="U167" s="176"/>
      <c r="V167" s="176"/>
      <c r="W167" s="176"/>
      <c r="X167" s="176"/>
      <c r="Y167" s="176"/>
      <c r="Z167" s="176"/>
    </row>
    <row r="168">
      <c r="A168" s="249" t="s">
        <v>15</v>
      </c>
      <c r="B168" s="249" t="s">
        <v>18</v>
      </c>
      <c r="C168" s="219" t="s">
        <v>2882</v>
      </c>
      <c r="D168" s="268" t="s">
        <v>495</v>
      </c>
      <c r="E168" s="361">
        <v>44202.0</v>
      </c>
      <c r="F168" s="250" t="s">
        <v>496</v>
      </c>
      <c r="G168" s="171">
        <v>25.0</v>
      </c>
      <c r="H168" s="171">
        <v>25.0</v>
      </c>
      <c r="I168" s="171">
        <v>60.0</v>
      </c>
      <c r="J168" s="325">
        <f t="shared" si="2"/>
        <v>0.0009165155289</v>
      </c>
      <c r="K168" s="326">
        <f t="shared" si="9"/>
        <v>0.6873866467</v>
      </c>
      <c r="L168" s="327">
        <f t="shared" si="3"/>
        <v>9.575225457</v>
      </c>
      <c r="M168" s="321" t="str">
        <f t="shared" si="4"/>
        <v>juankbell</v>
      </c>
      <c r="N168" s="209">
        <f>IFERROR(__xludf.DUMMYFUNCTION("""COMPUTED_VALUE"""),8.0)</f>
        <v>8</v>
      </c>
      <c r="O168" s="176"/>
      <c r="P168" s="176"/>
      <c r="Q168" s="176"/>
      <c r="R168" s="176"/>
      <c r="S168" s="176"/>
      <c r="T168" s="176"/>
      <c r="U168" s="176"/>
      <c r="V168" s="176"/>
      <c r="W168" s="176"/>
      <c r="X168" s="176"/>
      <c r="Y168" s="176"/>
      <c r="Z168" s="176"/>
    </row>
    <row r="169">
      <c r="A169" s="249" t="s">
        <v>15</v>
      </c>
      <c r="B169" s="249" t="s">
        <v>18</v>
      </c>
      <c r="C169" s="219" t="s">
        <v>2883</v>
      </c>
      <c r="D169" s="268" t="s">
        <v>495</v>
      </c>
      <c r="E169" s="361">
        <v>44202.0</v>
      </c>
      <c r="F169" s="250" t="s">
        <v>496</v>
      </c>
      <c r="G169" s="171">
        <v>45.0</v>
      </c>
      <c r="H169" s="171">
        <v>55.0</v>
      </c>
      <c r="I169" s="171">
        <v>45.0</v>
      </c>
      <c r="J169" s="325">
        <f t="shared" si="2"/>
        <v>0.001249495772</v>
      </c>
      <c r="K169" s="326">
        <f t="shared" si="9"/>
        <v>0.9371218291</v>
      </c>
      <c r="L169" s="327">
        <f t="shared" si="3"/>
        <v>9.575225457</v>
      </c>
      <c r="M169" s="321" t="str">
        <f t="shared" si="4"/>
        <v>juankbell</v>
      </c>
      <c r="N169" s="209">
        <f>IFERROR(__xludf.DUMMYFUNCTION("""COMPUTED_VALUE"""),9.0)</f>
        <v>9</v>
      </c>
      <c r="O169" s="176"/>
      <c r="P169" s="176"/>
      <c r="Q169" s="176"/>
      <c r="R169" s="176"/>
      <c r="S169" s="176"/>
      <c r="T169" s="176"/>
      <c r="U169" s="176"/>
      <c r="V169" s="176"/>
      <c r="W169" s="176"/>
      <c r="X169" s="176"/>
      <c r="Y169" s="176"/>
      <c r="Z169" s="176"/>
    </row>
    <row r="170">
      <c r="A170" s="249" t="s">
        <v>15</v>
      </c>
      <c r="B170" s="249" t="s">
        <v>25</v>
      </c>
      <c r="C170" s="219" t="s">
        <v>2956</v>
      </c>
      <c r="D170" s="268" t="s">
        <v>495</v>
      </c>
      <c r="E170" s="361">
        <v>44203.0</v>
      </c>
      <c r="F170" s="250" t="s">
        <v>496</v>
      </c>
      <c r="G170" s="171">
        <v>100.0</v>
      </c>
      <c r="H170" s="171">
        <v>200.0</v>
      </c>
      <c r="I170" s="171">
        <v>130.0</v>
      </c>
      <c r="J170" s="325">
        <f t="shared" si="2"/>
        <v>0.00376242401</v>
      </c>
      <c r="K170" s="326">
        <f t="shared" si="9"/>
        <v>2.821818007</v>
      </c>
      <c r="L170" s="327">
        <f t="shared" si="3"/>
        <v>9.575225457</v>
      </c>
      <c r="M170" s="321" t="str">
        <f t="shared" si="4"/>
        <v>juankbell</v>
      </c>
      <c r="N170" s="209">
        <f>IFERROR(__xludf.DUMMYFUNCTION("""COMPUTED_VALUE"""),10.0)</f>
        <v>10</v>
      </c>
      <c r="O170" s="176"/>
      <c r="P170" s="176"/>
      <c r="Q170" s="176"/>
      <c r="R170" s="176"/>
      <c r="S170" s="176"/>
      <c r="T170" s="176"/>
      <c r="U170" s="176"/>
      <c r="V170" s="176"/>
      <c r="W170" s="176"/>
      <c r="X170" s="176"/>
      <c r="Y170" s="176"/>
      <c r="Z170" s="176"/>
    </row>
    <row r="171">
      <c r="A171" s="249" t="s">
        <v>15</v>
      </c>
      <c r="B171" s="249" t="s">
        <v>10</v>
      </c>
      <c r="C171" s="219" t="s">
        <v>2957</v>
      </c>
      <c r="D171" s="268" t="s">
        <v>495</v>
      </c>
      <c r="E171" s="361">
        <v>44204.0</v>
      </c>
      <c r="F171" s="250" t="s">
        <v>496</v>
      </c>
      <c r="G171" s="171">
        <v>300.0</v>
      </c>
      <c r="H171" s="171">
        <v>300.0</v>
      </c>
      <c r="I171" s="171">
        <v>320.0</v>
      </c>
      <c r="J171" s="325">
        <f t="shared" si="2"/>
        <v>0.007845352737</v>
      </c>
      <c r="K171" s="326">
        <f t="shared" si="9"/>
        <v>5.884014553</v>
      </c>
      <c r="L171" s="327">
        <f t="shared" si="3"/>
        <v>9.575225457</v>
      </c>
      <c r="M171" s="321" t="str">
        <f t="shared" si="4"/>
        <v>juankbell</v>
      </c>
      <c r="N171" s="209">
        <f>IFERROR(__xludf.DUMMYFUNCTION("""COMPUTED_VALUE"""),11.0)</f>
        <v>11</v>
      </c>
      <c r="O171" s="176"/>
      <c r="P171" s="176"/>
      <c r="Q171" s="176"/>
      <c r="R171" s="176"/>
      <c r="S171" s="176"/>
      <c r="T171" s="176"/>
      <c r="U171" s="176"/>
      <c r="V171" s="176"/>
      <c r="W171" s="176"/>
      <c r="X171" s="176"/>
      <c r="Y171" s="176"/>
      <c r="Z171" s="176"/>
    </row>
    <row r="172">
      <c r="A172" s="249" t="s">
        <v>15</v>
      </c>
      <c r="B172" s="249" t="s">
        <v>10</v>
      </c>
      <c r="C172" s="219" t="s">
        <v>2941</v>
      </c>
      <c r="D172" s="268" t="s">
        <v>495</v>
      </c>
      <c r="E172" s="361">
        <v>44204.0</v>
      </c>
      <c r="F172" s="250" t="s">
        <v>496</v>
      </c>
      <c r="G172" s="171">
        <v>150.0</v>
      </c>
      <c r="H172" s="171">
        <v>155.0</v>
      </c>
      <c r="I172" s="171">
        <v>190.0</v>
      </c>
      <c r="J172" s="325">
        <f t="shared" si="2"/>
        <v>0.004207308446</v>
      </c>
      <c r="K172" s="326">
        <f t="shared" si="9"/>
        <v>3.155481335</v>
      </c>
      <c r="L172" s="327">
        <f t="shared" si="3"/>
        <v>9.575225457</v>
      </c>
      <c r="M172" s="321" t="str">
        <f t="shared" si="4"/>
        <v>juankbell</v>
      </c>
      <c r="N172" s="209">
        <f>IFERROR(__xludf.DUMMYFUNCTION("""COMPUTED_VALUE"""),12.0)</f>
        <v>12</v>
      </c>
      <c r="O172" s="176"/>
      <c r="P172" s="176"/>
      <c r="Q172" s="176"/>
      <c r="R172" s="176"/>
      <c r="S172" s="176"/>
      <c r="T172" s="176"/>
      <c r="U172" s="176"/>
      <c r="V172" s="176"/>
      <c r="W172" s="176"/>
      <c r="X172" s="176"/>
      <c r="Y172" s="176"/>
      <c r="Z172" s="176"/>
    </row>
    <row r="173">
      <c r="A173" s="249" t="s">
        <v>15</v>
      </c>
      <c r="B173" s="249" t="s">
        <v>10</v>
      </c>
      <c r="C173" s="219" t="s">
        <v>2887</v>
      </c>
      <c r="D173" s="268" t="s">
        <v>495</v>
      </c>
      <c r="E173" s="361">
        <v>44204.0</v>
      </c>
      <c r="F173" s="250" t="s">
        <v>496</v>
      </c>
      <c r="G173" s="171">
        <v>150.0</v>
      </c>
      <c r="H173" s="171">
        <v>155.0</v>
      </c>
      <c r="I173" s="171">
        <v>230.0</v>
      </c>
      <c r="J173" s="325">
        <f t="shared" si="2"/>
        <v>0.004522591807</v>
      </c>
      <c r="K173" s="326">
        <f t="shared" si="9"/>
        <v>3.391943855</v>
      </c>
      <c r="L173" s="327">
        <f t="shared" si="3"/>
        <v>9.575225457</v>
      </c>
      <c r="M173" s="321" t="str">
        <f t="shared" si="4"/>
        <v>juankbell</v>
      </c>
      <c r="N173" s="209">
        <f>IFERROR(__xludf.DUMMYFUNCTION("""COMPUTED_VALUE"""),13.0)</f>
        <v>13</v>
      </c>
      <c r="O173" s="176"/>
      <c r="P173" s="176"/>
      <c r="Q173" s="176"/>
      <c r="R173" s="176"/>
      <c r="S173" s="176"/>
      <c r="T173" s="176"/>
      <c r="U173" s="176"/>
      <c r="V173" s="176"/>
      <c r="W173" s="176"/>
      <c r="X173" s="176"/>
      <c r="Y173" s="176"/>
      <c r="Z173" s="176"/>
    </row>
    <row r="174">
      <c r="A174" s="249" t="s">
        <v>15</v>
      </c>
      <c r="B174" s="249" t="s">
        <v>10</v>
      </c>
      <c r="C174" s="219" t="s">
        <v>2888</v>
      </c>
      <c r="D174" s="268" t="s">
        <v>495</v>
      </c>
      <c r="E174" s="361">
        <v>44204.0</v>
      </c>
      <c r="F174" s="250" t="s">
        <v>496</v>
      </c>
      <c r="G174" s="171">
        <v>20.0</v>
      </c>
      <c r="H174" s="171">
        <v>25.0</v>
      </c>
      <c r="I174" s="171">
        <v>20.0</v>
      </c>
      <c r="J174" s="325">
        <f t="shared" si="2"/>
        <v>0.0005606836273</v>
      </c>
      <c r="K174" s="326">
        <f t="shared" si="9"/>
        <v>0.4205127205</v>
      </c>
      <c r="L174" s="327">
        <f t="shared" si="3"/>
        <v>9.575225457</v>
      </c>
      <c r="M174" s="321" t="str">
        <f t="shared" si="4"/>
        <v>juankbell</v>
      </c>
      <c r="N174" s="209">
        <f>IFERROR(__xludf.DUMMYFUNCTION("""COMPUTED_VALUE"""),14.0)</f>
        <v>14</v>
      </c>
      <c r="O174" s="176"/>
      <c r="P174" s="176"/>
      <c r="Q174" s="176"/>
      <c r="R174" s="176"/>
      <c r="S174" s="176"/>
      <c r="T174" s="176"/>
      <c r="U174" s="176"/>
      <c r="V174" s="176"/>
      <c r="W174" s="176"/>
      <c r="X174" s="176"/>
      <c r="Y174" s="176"/>
      <c r="Z174" s="176"/>
    </row>
    <row r="175">
      <c r="A175" s="249" t="s">
        <v>15</v>
      </c>
      <c r="B175" s="249" t="s">
        <v>10</v>
      </c>
      <c r="C175" s="219" t="s">
        <v>2908</v>
      </c>
      <c r="D175" s="268" t="s">
        <v>495</v>
      </c>
      <c r="E175" s="361">
        <v>44205.0</v>
      </c>
      <c r="F175" s="250" t="s">
        <v>545</v>
      </c>
      <c r="G175" s="171">
        <v>40.0</v>
      </c>
      <c r="H175" s="171">
        <v>25.0</v>
      </c>
      <c r="I175" s="171">
        <v>10.0</v>
      </c>
      <c r="J175" s="325">
        <f t="shared" si="2"/>
        <v>0.0006440569497</v>
      </c>
      <c r="K175" s="326">
        <f t="shared" si="9"/>
        <v>0.4830427123</v>
      </c>
      <c r="L175" s="327">
        <f t="shared" si="3"/>
        <v>9.575225457</v>
      </c>
      <c r="M175" s="321" t="str">
        <f t="shared" si="4"/>
        <v>juankbell</v>
      </c>
      <c r="N175" s="209">
        <f>IFERROR(__xludf.DUMMYFUNCTION("""COMPUTED_VALUE"""),15.0)</f>
        <v>15</v>
      </c>
      <c r="O175" s="176"/>
      <c r="P175" s="176"/>
      <c r="Q175" s="176"/>
      <c r="R175" s="176"/>
      <c r="S175" s="176"/>
      <c r="T175" s="176"/>
      <c r="U175" s="176"/>
      <c r="V175" s="176"/>
      <c r="W175" s="176"/>
      <c r="X175" s="176"/>
      <c r="Y175" s="176"/>
      <c r="Z175" s="176"/>
    </row>
    <row r="176">
      <c r="A176" s="249" t="s">
        <v>15</v>
      </c>
      <c r="B176" s="249" t="s">
        <v>1228</v>
      </c>
      <c r="C176" s="219" t="s">
        <v>2892</v>
      </c>
      <c r="D176" s="268" t="s">
        <v>495</v>
      </c>
      <c r="E176" s="251">
        <v>44206.0</v>
      </c>
      <c r="F176" s="250" t="s">
        <v>496</v>
      </c>
      <c r="G176" s="171">
        <v>35.0</v>
      </c>
      <c r="H176" s="171">
        <v>50.0</v>
      </c>
      <c r="I176" s="171">
        <v>60.0</v>
      </c>
      <c r="J176" s="325">
        <f t="shared" si="2"/>
        <v>0.001238460394</v>
      </c>
      <c r="K176" s="326">
        <f t="shared" si="9"/>
        <v>0.9288452958</v>
      </c>
      <c r="L176" s="327">
        <f t="shared" si="3"/>
        <v>9.575225457</v>
      </c>
      <c r="M176" s="321" t="str">
        <f t="shared" si="4"/>
        <v>juankbell</v>
      </c>
      <c r="N176" s="209">
        <f>IFERROR(__xludf.DUMMYFUNCTION("""COMPUTED_VALUE"""),16.0)</f>
        <v>16</v>
      </c>
      <c r="O176" s="176"/>
      <c r="P176" s="176"/>
      <c r="Q176" s="176"/>
      <c r="R176" s="176"/>
      <c r="S176" s="176"/>
      <c r="T176" s="176"/>
      <c r="U176" s="176"/>
      <c r="V176" s="176"/>
      <c r="W176" s="176"/>
      <c r="X176" s="176"/>
      <c r="Y176" s="176"/>
      <c r="Z176" s="176"/>
    </row>
    <row r="177">
      <c r="A177" s="249" t="s">
        <v>15</v>
      </c>
      <c r="B177" s="249" t="s">
        <v>590</v>
      </c>
      <c r="C177" s="219" t="s">
        <v>2893</v>
      </c>
      <c r="D177" s="268" t="s">
        <v>495</v>
      </c>
      <c r="E177" s="251">
        <v>44208.0</v>
      </c>
      <c r="F177" s="250" t="s">
        <v>496</v>
      </c>
      <c r="G177" s="171">
        <v>20.0</v>
      </c>
      <c r="H177" s="171">
        <v>25.0</v>
      </c>
      <c r="I177" s="171">
        <v>45.0</v>
      </c>
      <c r="J177" s="325">
        <f t="shared" si="2"/>
        <v>0.0007577357279</v>
      </c>
      <c r="K177" s="326">
        <f t="shared" si="9"/>
        <v>0.5683017959</v>
      </c>
      <c r="L177" s="327">
        <f t="shared" si="3"/>
        <v>9.575225457</v>
      </c>
      <c r="M177" s="321" t="str">
        <f t="shared" si="4"/>
        <v>juankbell</v>
      </c>
      <c r="N177" s="209">
        <f>IFERROR(__xludf.DUMMYFUNCTION("""COMPUTED_VALUE"""),17.0)</f>
        <v>17</v>
      </c>
      <c r="O177" s="176"/>
      <c r="P177" s="176"/>
      <c r="Q177" s="176"/>
      <c r="R177" s="176"/>
      <c r="S177" s="176"/>
      <c r="T177" s="176"/>
      <c r="U177" s="176"/>
      <c r="V177" s="176"/>
      <c r="W177" s="176"/>
      <c r="X177" s="176"/>
      <c r="Y177" s="176"/>
      <c r="Z177" s="176"/>
    </row>
    <row r="178">
      <c r="A178" s="249" t="s">
        <v>15</v>
      </c>
      <c r="B178" s="249" t="s">
        <v>18</v>
      </c>
      <c r="C178" s="219" t="s">
        <v>2958</v>
      </c>
      <c r="D178" s="268" t="s">
        <v>495</v>
      </c>
      <c r="E178" s="251">
        <v>44209.0</v>
      </c>
      <c r="F178" s="250" t="s">
        <v>496</v>
      </c>
      <c r="G178" s="171">
        <v>150.0</v>
      </c>
      <c r="H178" s="171">
        <v>25.0</v>
      </c>
      <c r="I178" s="171">
        <v>100.0</v>
      </c>
      <c r="J178" s="325">
        <f t="shared" si="2"/>
        <v>0.002245512406</v>
      </c>
      <c r="K178" s="326">
        <f t="shared" si="9"/>
        <v>1.684134305</v>
      </c>
      <c r="L178" s="327">
        <f t="shared" si="3"/>
        <v>9.575225457</v>
      </c>
      <c r="M178" s="321" t="str">
        <f t="shared" si="4"/>
        <v>juankbell</v>
      </c>
      <c r="N178" s="209">
        <f>IFERROR(__xludf.DUMMYFUNCTION("""COMPUTED_VALUE"""),18.0)</f>
        <v>18</v>
      </c>
      <c r="O178" s="176"/>
      <c r="P178" s="176"/>
      <c r="Q178" s="176"/>
      <c r="R178" s="176"/>
      <c r="S178" s="176"/>
      <c r="T178" s="176"/>
      <c r="U178" s="176"/>
      <c r="V178" s="176"/>
      <c r="W178" s="176"/>
      <c r="X178" s="176"/>
      <c r="Y178" s="176"/>
      <c r="Z178" s="176"/>
    </row>
    <row r="179">
      <c r="A179" s="249" t="s">
        <v>15</v>
      </c>
      <c r="B179" s="249" t="s">
        <v>10</v>
      </c>
      <c r="C179" s="219" t="s">
        <v>494</v>
      </c>
      <c r="D179" s="268" t="s">
        <v>495</v>
      </c>
      <c r="E179" s="251">
        <v>44210.0</v>
      </c>
      <c r="F179" s="250" t="s">
        <v>545</v>
      </c>
      <c r="G179" s="171">
        <v>100.0</v>
      </c>
      <c r="H179" s="171">
        <v>125.0</v>
      </c>
      <c r="I179" s="171">
        <v>120.0</v>
      </c>
      <c r="J179" s="325">
        <f t="shared" si="2"/>
        <v>0.002961059817</v>
      </c>
      <c r="K179" s="326">
        <f t="shared" si="9"/>
        <v>2.220794863</v>
      </c>
      <c r="L179" s="327">
        <f t="shared" si="3"/>
        <v>9.575225457</v>
      </c>
      <c r="M179" s="321" t="str">
        <f t="shared" si="4"/>
        <v>juankbell</v>
      </c>
      <c r="N179" s="209">
        <f>IFERROR(__xludf.DUMMYFUNCTION("""COMPUTED_VALUE"""),19.0)</f>
        <v>19</v>
      </c>
      <c r="O179" s="176"/>
      <c r="P179" s="176"/>
      <c r="Q179" s="176"/>
      <c r="R179" s="176"/>
      <c r="S179" s="176"/>
      <c r="T179" s="176"/>
      <c r="U179" s="176"/>
      <c r="V179" s="176"/>
      <c r="W179" s="176"/>
      <c r="X179" s="176"/>
      <c r="Y179" s="176"/>
      <c r="Z179" s="176"/>
    </row>
    <row r="180">
      <c r="A180" s="249" t="s">
        <v>15</v>
      </c>
      <c r="B180" s="249" t="s">
        <v>10</v>
      </c>
      <c r="C180" s="219" t="s">
        <v>2959</v>
      </c>
      <c r="D180" s="268" t="s">
        <v>495</v>
      </c>
      <c r="E180" s="251">
        <v>44211.0</v>
      </c>
      <c r="F180" s="250" t="s">
        <v>496</v>
      </c>
      <c r="G180" s="171">
        <v>300.0</v>
      </c>
      <c r="H180" s="171">
        <v>200.0</v>
      </c>
      <c r="I180" s="171">
        <v>340.0</v>
      </c>
      <c r="J180" s="325">
        <f t="shared" si="2"/>
        <v>0.007039603281</v>
      </c>
      <c r="K180" s="326">
        <f t="shared" si="9"/>
        <v>5.279702461</v>
      </c>
      <c r="L180" s="327">
        <f t="shared" si="3"/>
        <v>9.575225457</v>
      </c>
      <c r="M180" s="321" t="str">
        <f t="shared" si="4"/>
        <v>juankbell</v>
      </c>
      <c r="N180" s="209">
        <f>IFERROR(__xludf.DUMMYFUNCTION("""COMPUTED_VALUE"""),20.0)</f>
        <v>20</v>
      </c>
      <c r="O180" s="176"/>
      <c r="P180" s="176"/>
      <c r="Q180" s="176"/>
      <c r="R180" s="176"/>
      <c r="S180" s="176"/>
      <c r="T180" s="176"/>
      <c r="U180" s="176"/>
      <c r="V180" s="176"/>
      <c r="W180" s="176"/>
      <c r="X180" s="176"/>
      <c r="Y180" s="176"/>
      <c r="Z180" s="176"/>
    </row>
    <row r="181">
      <c r="A181" s="249" t="s">
        <v>15</v>
      </c>
      <c r="B181" s="249" t="s">
        <v>10</v>
      </c>
      <c r="C181" s="219" t="s">
        <v>2896</v>
      </c>
      <c r="D181" s="268" t="s">
        <v>495</v>
      </c>
      <c r="E181" s="251">
        <v>44211.0</v>
      </c>
      <c r="F181" s="250" t="s">
        <v>496</v>
      </c>
      <c r="G181" s="171">
        <v>10.0</v>
      </c>
      <c r="H181" s="171">
        <v>25.0</v>
      </c>
      <c r="I181" s="171">
        <v>40.0</v>
      </c>
      <c r="J181" s="325">
        <f t="shared" si="2"/>
        <v>0.0006372282264</v>
      </c>
      <c r="K181" s="326">
        <f t="shared" si="9"/>
        <v>0.4779211698</v>
      </c>
      <c r="L181" s="327">
        <f t="shared" si="3"/>
        <v>9.575225457</v>
      </c>
      <c r="M181" s="321" t="str">
        <f t="shared" si="4"/>
        <v>juankbell</v>
      </c>
      <c r="N181" s="209">
        <f>IFERROR(__xludf.DUMMYFUNCTION("""COMPUTED_VALUE"""),21.0)</f>
        <v>21</v>
      </c>
      <c r="O181" s="176"/>
      <c r="P181" s="176"/>
      <c r="Q181" s="176"/>
      <c r="R181" s="176"/>
      <c r="S181" s="176"/>
      <c r="T181" s="176"/>
      <c r="U181" s="176"/>
      <c r="V181" s="176"/>
      <c r="W181" s="176"/>
      <c r="X181" s="176"/>
      <c r="Y181" s="176"/>
      <c r="Z181" s="176"/>
    </row>
    <row r="182">
      <c r="A182" s="249" t="s">
        <v>15</v>
      </c>
      <c r="B182" s="249" t="s">
        <v>18</v>
      </c>
      <c r="C182" s="219" t="s">
        <v>2898</v>
      </c>
      <c r="D182" s="268" t="s">
        <v>495</v>
      </c>
      <c r="E182" s="251">
        <v>44211.0</v>
      </c>
      <c r="F182" s="250" t="s">
        <v>496</v>
      </c>
      <c r="G182" s="171">
        <v>35.0</v>
      </c>
      <c r="H182" s="171">
        <v>25.0</v>
      </c>
      <c r="I182" s="171">
        <v>40.0</v>
      </c>
      <c r="J182" s="325">
        <f t="shared" si="2"/>
        <v>0.0008399709297</v>
      </c>
      <c r="K182" s="326">
        <f t="shared" si="9"/>
        <v>0.6299781973</v>
      </c>
      <c r="L182" s="327">
        <f t="shared" si="3"/>
        <v>9.575225457</v>
      </c>
      <c r="M182" s="321" t="str">
        <f t="shared" si="4"/>
        <v>juankbell</v>
      </c>
      <c r="N182" s="209">
        <f>IFERROR(__xludf.DUMMYFUNCTION("""COMPUTED_VALUE"""),22.0)</f>
        <v>22</v>
      </c>
      <c r="O182" s="176"/>
      <c r="P182" s="176"/>
      <c r="Q182" s="176"/>
      <c r="R182" s="176"/>
      <c r="S182" s="176"/>
      <c r="T182" s="176"/>
      <c r="U182" s="176"/>
      <c r="V182" s="176"/>
      <c r="W182" s="176"/>
      <c r="X182" s="176"/>
      <c r="Y182" s="176"/>
      <c r="Z182" s="176"/>
    </row>
    <row r="183">
      <c r="A183" s="249" t="s">
        <v>15</v>
      </c>
      <c r="B183" s="249" t="s">
        <v>18</v>
      </c>
      <c r="C183" s="219" t="s">
        <v>2960</v>
      </c>
      <c r="D183" s="268" t="s">
        <v>495</v>
      </c>
      <c r="E183" s="251">
        <v>44211.0</v>
      </c>
      <c r="F183" s="250" t="s">
        <v>496</v>
      </c>
      <c r="G183" s="171">
        <v>200.0</v>
      </c>
      <c r="H183" s="171">
        <v>55.0</v>
      </c>
      <c r="I183" s="171">
        <v>230.0</v>
      </c>
      <c r="J183" s="325">
        <f t="shared" si="2"/>
        <v>0.003964686077</v>
      </c>
      <c r="K183" s="326">
        <f t="shared" si="9"/>
        <v>2.973514558</v>
      </c>
      <c r="L183" s="327">
        <f t="shared" si="3"/>
        <v>9.575225457</v>
      </c>
      <c r="M183" s="321" t="str">
        <f t="shared" si="4"/>
        <v>juankbell</v>
      </c>
      <c r="N183" s="209">
        <f>IFERROR(__xludf.DUMMYFUNCTION("""COMPUTED_VALUE"""),23.0)</f>
        <v>23</v>
      </c>
      <c r="O183" s="176"/>
      <c r="P183" s="176"/>
      <c r="Q183" s="176"/>
      <c r="R183" s="176"/>
      <c r="S183" s="176"/>
      <c r="T183" s="176"/>
      <c r="U183" s="176"/>
      <c r="V183" s="176"/>
      <c r="W183" s="176"/>
      <c r="X183" s="176"/>
      <c r="Y183" s="176"/>
      <c r="Z183" s="176"/>
    </row>
    <row r="184">
      <c r="A184" s="249" t="s">
        <v>15</v>
      </c>
      <c r="B184" s="249" t="s">
        <v>18</v>
      </c>
      <c r="C184" s="219" t="s">
        <v>2899</v>
      </c>
      <c r="D184" s="268" t="s">
        <v>495</v>
      </c>
      <c r="E184" s="251">
        <v>44211.0</v>
      </c>
      <c r="F184" s="250" t="s">
        <v>496</v>
      </c>
      <c r="G184" s="171">
        <v>45.0</v>
      </c>
      <c r="H184" s="171">
        <v>25.0</v>
      </c>
      <c r="I184" s="171">
        <v>40.0</v>
      </c>
      <c r="J184" s="325">
        <f t="shared" si="2"/>
        <v>0.000921068011</v>
      </c>
      <c r="K184" s="326">
        <f t="shared" si="9"/>
        <v>0.6908010083</v>
      </c>
      <c r="L184" s="327">
        <f t="shared" si="3"/>
        <v>9.575225457</v>
      </c>
      <c r="M184" s="321" t="str">
        <f t="shared" si="4"/>
        <v>juankbell</v>
      </c>
      <c r="N184" s="209">
        <f>IFERROR(__xludf.DUMMYFUNCTION("""COMPUTED_VALUE"""),24.0)</f>
        <v>24</v>
      </c>
      <c r="O184" s="176"/>
      <c r="P184" s="176"/>
      <c r="Q184" s="176"/>
      <c r="R184" s="176"/>
      <c r="S184" s="176"/>
      <c r="T184" s="176"/>
      <c r="U184" s="176"/>
      <c r="V184" s="176"/>
      <c r="W184" s="176"/>
      <c r="X184" s="176"/>
      <c r="Y184" s="176"/>
      <c r="Z184" s="176"/>
    </row>
    <row r="185">
      <c r="A185" s="249" t="s">
        <v>15</v>
      </c>
      <c r="B185" s="249" t="s">
        <v>18</v>
      </c>
      <c r="C185" s="219" t="s">
        <v>2900</v>
      </c>
      <c r="D185" s="268" t="s">
        <v>495</v>
      </c>
      <c r="E185" s="251">
        <v>44211.0</v>
      </c>
      <c r="F185" s="250" t="s">
        <v>496</v>
      </c>
      <c r="G185" s="171">
        <v>200.0</v>
      </c>
      <c r="H185" s="171">
        <v>100.0</v>
      </c>
      <c r="I185" s="171">
        <v>120.0</v>
      </c>
      <c r="J185" s="325">
        <f t="shared" si="2"/>
        <v>0.003531182846</v>
      </c>
      <c r="K185" s="326">
        <f t="shared" si="9"/>
        <v>2.648387134</v>
      </c>
      <c r="L185" s="327">
        <f t="shared" si="3"/>
        <v>9.575225457</v>
      </c>
      <c r="M185" s="321" t="str">
        <f t="shared" si="4"/>
        <v>juankbell</v>
      </c>
      <c r="N185" s="209">
        <f>IFERROR(__xludf.DUMMYFUNCTION("""COMPUTED_VALUE"""),25.0)</f>
        <v>25</v>
      </c>
      <c r="O185" s="176"/>
      <c r="P185" s="176"/>
      <c r="Q185" s="176"/>
      <c r="R185" s="176"/>
      <c r="S185" s="176"/>
      <c r="T185" s="176"/>
      <c r="U185" s="176"/>
      <c r="V185" s="176"/>
      <c r="W185" s="176"/>
      <c r="X185" s="176"/>
      <c r="Y185" s="176"/>
      <c r="Z185" s="176"/>
    </row>
    <row r="186">
      <c r="A186" s="253" t="s">
        <v>15</v>
      </c>
      <c r="B186" s="253" t="s">
        <v>1228</v>
      </c>
      <c r="C186" s="256" t="s">
        <v>2901</v>
      </c>
      <c r="D186" s="336" t="s">
        <v>495</v>
      </c>
      <c r="E186" s="255">
        <v>44211.0</v>
      </c>
      <c r="F186" s="221" t="s">
        <v>2912</v>
      </c>
      <c r="G186" s="222">
        <v>0.0</v>
      </c>
      <c r="H186" s="222">
        <v>0.0</v>
      </c>
      <c r="I186" s="222">
        <v>0.0</v>
      </c>
      <c r="J186" s="339">
        <f t="shared" si="2"/>
        <v>0</v>
      </c>
      <c r="K186" s="337">
        <f t="shared" si="9"/>
        <v>0</v>
      </c>
      <c r="L186" s="341">
        <f t="shared" si="3"/>
        <v>9.575225457</v>
      </c>
      <c r="M186" s="342" t="str">
        <f t="shared" si="4"/>
        <v>juankbell</v>
      </c>
      <c r="N186" s="209">
        <f>IFERROR(__xludf.DUMMYFUNCTION("""COMPUTED_VALUE"""),26.0)</f>
        <v>26</v>
      </c>
      <c r="O186" s="209"/>
      <c r="P186" s="209"/>
      <c r="Q186" s="209"/>
      <c r="R186" s="209"/>
      <c r="S186" s="209"/>
      <c r="T186" s="209"/>
      <c r="U186" s="209"/>
      <c r="V186" s="209"/>
      <c r="W186" s="209"/>
      <c r="X186" s="209"/>
      <c r="Y186" s="209"/>
      <c r="Z186" s="209"/>
    </row>
    <row r="187">
      <c r="A187" s="249" t="s">
        <v>34</v>
      </c>
      <c r="B187" s="249" t="s">
        <v>10</v>
      </c>
      <c r="C187" s="219" t="s">
        <v>2961</v>
      </c>
      <c r="D187" s="268" t="s">
        <v>495</v>
      </c>
      <c r="E187" s="361">
        <v>44198.0</v>
      </c>
      <c r="F187" s="250" t="s">
        <v>496</v>
      </c>
      <c r="G187" s="171">
        <v>200.0</v>
      </c>
      <c r="H187" s="171">
        <v>200.0</v>
      </c>
      <c r="I187" s="171">
        <v>230.0</v>
      </c>
      <c r="J187" s="325">
        <f t="shared" si="2"/>
        <v>0.005361603225</v>
      </c>
      <c r="K187" s="326">
        <f t="shared" si="9"/>
        <v>4.021202419</v>
      </c>
      <c r="L187" s="327">
        <f t="shared" si="3"/>
        <v>9.46038485</v>
      </c>
      <c r="M187" s="321" t="str">
        <f t="shared" si="4"/>
        <v>xgabi</v>
      </c>
      <c r="N187" s="209">
        <f>IFERROR(__xludf.DUMMYFUNCTION("""COMPUTED_VALUE"""),1.0)</f>
        <v>1</v>
      </c>
      <c r="O187" s="176"/>
      <c r="P187" s="176"/>
      <c r="Q187" s="176"/>
      <c r="R187" s="176"/>
      <c r="S187" s="176"/>
      <c r="T187" s="176"/>
      <c r="U187" s="176"/>
      <c r="V187" s="176"/>
      <c r="W187" s="176"/>
      <c r="X187" s="176"/>
      <c r="Y187" s="176"/>
      <c r="Z187" s="176"/>
    </row>
    <row r="188">
      <c r="A188" s="249" t="s">
        <v>34</v>
      </c>
      <c r="B188" s="249" t="s">
        <v>519</v>
      </c>
      <c r="C188" s="219" t="s">
        <v>2877</v>
      </c>
      <c r="D188" s="268" t="s">
        <v>495</v>
      </c>
      <c r="E188" s="361">
        <v>44201.0</v>
      </c>
      <c r="F188" s="250" t="s">
        <v>499</v>
      </c>
      <c r="G188" s="171">
        <v>125.0</v>
      </c>
      <c r="H188" s="171">
        <v>100.0</v>
      </c>
      <c r="I188" s="171">
        <v>130.0</v>
      </c>
      <c r="J188" s="325">
        <f t="shared" si="2"/>
        <v>0.003001775576</v>
      </c>
      <c r="K188" s="326">
        <f t="shared" si="9"/>
        <v>2.251331682</v>
      </c>
      <c r="L188" s="327">
        <f t="shared" si="3"/>
        <v>9.46038485</v>
      </c>
      <c r="M188" s="321" t="str">
        <f t="shared" si="4"/>
        <v>xgabi</v>
      </c>
      <c r="N188" s="209">
        <f>IFERROR(__xludf.DUMMYFUNCTION("""COMPUTED_VALUE"""),2.0)</f>
        <v>2</v>
      </c>
      <c r="O188" s="176"/>
      <c r="P188" s="176"/>
      <c r="Q188" s="176"/>
      <c r="R188" s="176"/>
      <c r="S188" s="176"/>
      <c r="T188" s="176"/>
      <c r="U188" s="176"/>
      <c r="V188" s="176"/>
      <c r="W188" s="176"/>
      <c r="X188" s="176"/>
      <c r="Y188" s="176"/>
      <c r="Z188" s="176"/>
    </row>
    <row r="189">
      <c r="A189" s="249" t="s">
        <v>34</v>
      </c>
      <c r="B189" s="249" t="s">
        <v>519</v>
      </c>
      <c r="C189" s="219" t="s">
        <v>2878</v>
      </c>
      <c r="D189" s="268" t="s">
        <v>495</v>
      </c>
      <c r="E189" s="361">
        <v>44201.0</v>
      </c>
      <c r="F189" s="250" t="s">
        <v>499</v>
      </c>
      <c r="G189" s="171">
        <v>45.0</v>
      </c>
      <c r="H189" s="171">
        <v>55.0</v>
      </c>
      <c r="I189" s="171">
        <v>40.0</v>
      </c>
      <c r="J189" s="325">
        <f t="shared" si="2"/>
        <v>0.001210085352</v>
      </c>
      <c r="K189" s="326">
        <f t="shared" si="9"/>
        <v>0.9075640141</v>
      </c>
      <c r="L189" s="327">
        <f t="shared" si="3"/>
        <v>9.46038485</v>
      </c>
      <c r="M189" s="321" t="str">
        <f t="shared" si="4"/>
        <v>xgabi</v>
      </c>
      <c r="N189" s="209">
        <f>IFERROR(__xludf.DUMMYFUNCTION("""COMPUTED_VALUE"""),3.0)</f>
        <v>3</v>
      </c>
      <c r="O189" s="176"/>
      <c r="P189" s="176"/>
      <c r="Q189" s="176"/>
      <c r="R189" s="176"/>
      <c r="S189" s="176"/>
      <c r="T189" s="176"/>
      <c r="U189" s="176"/>
      <c r="V189" s="176"/>
      <c r="W189" s="176"/>
      <c r="X189" s="176"/>
      <c r="Y189" s="176"/>
      <c r="Z189" s="176"/>
    </row>
    <row r="190">
      <c r="A190" s="249" t="s">
        <v>34</v>
      </c>
      <c r="B190" s="249" t="s">
        <v>10</v>
      </c>
      <c r="C190" s="219" t="s">
        <v>2962</v>
      </c>
      <c r="D190" s="268" t="s">
        <v>495</v>
      </c>
      <c r="E190" s="251">
        <v>44211.0</v>
      </c>
      <c r="F190" s="250" t="s">
        <v>496</v>
      </c>
      <c r="G190" s="171">
        <v>150.0</v>
      </c>
      <c r="H190" s="171">
        <v>25.0</v>
      </c>
      <c r="I190" s="171">
        <v>120.0</v>
      </c>
      <c r="J190" s="325">
        <f t="shared" si="2"/>
        <v>0.002403154087</v>
      </c>
      <c r="K190" s="326">
        <f t="shared" si="9"/>
        <v>1.802365565</v>
      </c>
      <c r="L190" s="327">
        <f t="shared" si="3"/>
        <v>9.46038485</v>
      </c>
      <c r="M190" s="321" t="str">
        <f t="shared" si="4"/>
        <v>xgabi</v>
      </c>
      <c r="N190" s="209">
        <f>IFERROR(__xludf.DUMMYFUNCTION("""COMPUTED_VALUE"""),4.0)</f>
        <v>4</v>
      </c>
      <c r="O190" s="176"/>
      <c r="P190" s="176"/>
      <c r="Q190" s="176"/>
      <c r="R190" s="176"/>
      <c r="S190" s="176"/>
      <c r="T190" s="176"/>
      <c r="U190" s="176"/>
      <c r="V190" s="176"/>
      <c r="W190" s="176"/>
      <c r="X190" s="176"/>
      <c r="Y190" s="176"/>
      <c r="Z190" s="176"/>
    </row>
    <row r="191">
      <c r="A191" s="249" t="s">
        <v>34</v>
      </c>
      <c r="B191" s="249" t="s">
        <v>10</v>
      </c>
      <c r="C191" s="219" t="s">
        <v>2896</v>
      </c>
      <c r="D191" s="268" t="s">
        <v>495</v>
      </c>
      <c r="E191" s="251">
        <v>44211.0</v>
      </c>
      <c r="F191" s="250" t="s">
        <v>496</v>
      </c>
      <c r="G191" s="171">
        <v>10.0</v>
      </c>
      <c r="H191" s="171">
        <v>25.0</v>
      </c>
      <c r="I191" s="171">
        <v>40.0</v>
      </c>
      <c r="J191" s="325">
        <f t="shared" si="2"/>
        <v>0.0006372282264</v>
      </c>
      <c r="K191" s="326">
        <f t="shared" si="9"/>
        <v>0.4779211698</v>
      </c>
      <c r="L191" s="327">
        <f t="shared" si="3"/>
        <v>9.46038485</v>
      </c>
      <c r="M191" s="321" t="str">
        <f t="shared" si="4"/>
        <v>xgabi</v>
      </c>
      <c r="N191" s="209">
        <f>IFERROR(__xludf.DUMMYFUNCTION("""COMPUTED_VALUE"""),5.0)</f>
        <v>5</v>
      </c>
      <c r="O191" s="176"/>
      <c r="P191" s="176"/>
      <c r="Q191" s="176"/>
      <c r="R191" s="176"/>
      <c r="S191" s="176"/>
      <c r="T191" s="176"/>
      <c r="U191" s="176"/>
      <c r="V191" s="176"/>
      <c r="W191" s="176"/>
      <c r="X191" s="176"/>
      <c r="Y191" s="176"/>
      <c r="Z191" s="176"/>
    </row>
    <row r="192">
      <c r="A192" s="249" t="s">
        <v>8</v>
      </c>
      <c r="B192" s="249" t="s">
        <v>1228</v>
      </c>
      <c r="C192" s="219" t="s">
        <v>2874</v>
      </c>
      <c r="D192" s="268" t="s">
        <v>495</v>
      </c>
      <c r="E192" s="361">
        <v>44198.0</v>
      </c>
      <c r="F192" s="250" t="s">
        <v>496</v>
      </c>
      <c r="G192" s="171">
        <v>20.0</v>
      </c>
      <c r="H192" s="171">
        <v>25.0</v>
      </c>
      <c r="I192" s="171">
        <v>15.0</v>
      </c>
      <c r="J192" s="325">
        <f t="shared" si="2"/>
        <v>0.0005212732072</v>
      </c>
      <c r="K192" s="326">
        <f t="shared" si="9"/>
        <v>0.3909549054</v>
      </c>
      <c r="L192" s="327">
        <f t="shared" si="3"/>
        <v>9.433990569</v>
      </c>
      <c r="M192" s="321" t="str">
        <f t="shared" si="4"/>
        <v>solsista</v>
      </c>
      <c r="N192" s="209">
        <f>IFERROR(__xludf.DUMMYFUNCTION("""COMPUTED_VALUE"""),1.0)</f>
        <v>1</v>
      </c>
      <c r="O192" s="176"/>
      <c r="P192" s="176"/>
      <c r="Q192" s="176"/>
      <c r="R192" s="176"/>
      <c r="S192" s="176"/>
      <c r="T192" s="176"/>
      <c r="U192" s="176"/>
      <c r="V192" s="176"/>
      <c r="W192" s="176"/>
      <c r="X192" s="176"/>
      <c r="Y192" s="176"/>
      <c r="Z192" s="176"/>
    </row>
    <row r="193">
      <c r="A193" s="249" t="s">
        <v>8</v>
      </c>
      <c r="B193" s="249" t="s">
        <v>519</v>
      </c>
      <c r="C193" s="219" t="s">
        <v>2877</v>
      </c>
      <c r="D193" s="268" t="s">
        <v>495</v>
      </c>
      <c r="E193" s="361">
        <v>44201.0</v>
      </c>
      <c r="F193" s="250" t="s">
        <v>499</v>
      </c>
      <c r="G193" s="171">
        <v>125.0</v>
      </c>
      <c r="H193" s="171">
        <v>100.0</v>
      </c>
      <c r="I193" s="171">
        <v>130.0</v>
      </c>
      <c r="J193" s="325">
        <f t="shared" si="2"/>
        <v>0.003001775576</v>
      </c>
      <c r="K193" s="326">
        <f t="shared" si="9"/>
        <v>2.251331682</v>
      </c>
      <c r="L193" s="327">
        <f t="shared" si="3"/>
        <v>9.433990569</v>
      </c>
      <c r="M193" s="321" t="str">
        <f t="shared" si="4"/>
        <v>solsista</v>
      </c>
      <c r="N193" s="209">
        <f>IFERROR(__xludf.DUMMYFUNCTION("""COMPUTED_VALUE"""),2.0)</f>
        <v>2</v>
      </c>
      <c r="O193" s="176"/>
      <c r="P193" s="176"/>
      <c r="Q193" s="176"/>
      <c r="R193" s="176"/>
      <c r="S193" s="176"/>
      <c r="T193" s="176"/>
      <c r="U193" s="176"/>
      <c r="V193" s="176"/>
      <c r="W193" s="176"/>
      <c r="X193" s="176"/>
      <c r="Y193" s="176"/>
      <c r="Z193" s="176"/>
    </row>
    <row r="194">
      <c r="A194" s="249" t="s">
        <v>8</v>
      </c>
      <c r="B194" s="249" t="s">
        <v>925</v>
      </c>
      <c r="C194" s="219" t="s">
        <v>2963</v>
      </c>
      <c r="D194" s="268" t="s">
        <v>495</v>
      </c>
      <c r="E194" s="361">
        <v>44202.0</v>
      </c>
      <c r="F194" s="250" t="s">
        <v>496</v>
      </c>
      <c r="G194" s="171">
        <v>100.0</v>
      </c>
      <c r="H194" s="171">
        <v>155.0</v>
      </c>
      <c r="I194" s="171">
        <v>150.0</v>
      </c>
      <c r="J194" s="325">
        <f t="shared" si="2"/>
        <v>0.003486539679</v>
      </c>
      <c r="K194" s="326">
        <f t="shared" si="9"/>
        <v>2.614904759</v>
      </c>
      <c r="L194" s="327">
        <f t="shared" si="3"/>
        <v>9.433990569</v>
      </c>
      <c r="M194" s="321" t="str">
        <f t="shared" si="4"/>
        <v>solsista</v>
      </c>
      <c r="N194" s="209">
        <f>IFERROR(__xludf.DUMMYFUNCTION("""COMPUTED_VALUE"""),3.0)</f>
        <v>3</v>
      </c>
      <c r="O194" s="176"/>
      <c r="P194" s="176"/>
      <c r="Q194" s="176"/>
      <c r="R194" s="176"/>
      <c r="S194" s="176"/>
      <c r="T194" s="176"/>
      <c r="U194" s="176"/>
      <c r="V194" s="176"/>
      <c r="W194" s="176"/>
      <c r="X194" s="176"/>
      <c r="Y194" s="176"/>
      <c r="Z194" s="176"/>
    </row>
    <row r="195">
      <c r="A195" s="249" t="s">
        <v>8</v>
      </c>
      <c r="B195" s="249" t="s">
        <v>29</v>
      </c>
      <c r="C195" s="219" t="s">
        <v>2889</v>
      </c>
      <c r="D195" s="268" t="s">
        <v>495</v>
      </c>
      <c r="E195" s="361">
        <v>44204.0</v>
      </c>
      <c r="F195" s="250" t="s">
        <v>592</v>
      </c>
      <c r="G195" s="171">
        <v>120.0</v>
      </c>
      <c r="H195" s="171">
        <v>25.0</v>
      </c>
      <c r="I195" s="171">
        <v>60.0</v>
      </c>
      <c r="J195" s="325">
        <f t="shared" si="2"/>
        <v>0.001686937801</v>
      </c>
      <c r="K195" s="326">
        <f t="shared" si="9"/>
        <v>1.265203351</v>
      </c>
      <c r="L195" s="327">
        <f t="shared" si="3"/>
        <v>9.433990569</v>
      </c>
      <c r="M195" s="321" t="str">
        <f t="shared" si="4"/>
        <v>solsista</v>
      </c>
      <c r="N195" s="209">
        <f>IFERROR(__xludf.DUMMYFUNCTION("""COMPUTED_VALUE"""),4.0)</f>
        <v>4</v>
      </c>
      <c r="O195" s="176"/>
      <c r="P195" s="176"/>
      <c r="Q195" s="176"/>
      <c r="R195" s="176"/>
      <c r="S195" s="176"/>
      <c r="T195" s="176"/>
      <c r="U195" s="176"/>
      <c r="V195" s="176"/>
      <c r="W195" s="176"/>
      <c r="X195" s="176"/>
      <c r="Y195" s="176"/>
      <c r="Z195" s="176"/>
    </row>
    <row r="196">
      <c r="A196" s="249" t="s">
        <v>8</v>
      </c>
      <c r="B196" s="249" t="s">
        <v>10</v>
      </c>
      <c r="C196" s="219" t="s">
        <v>494</v>
      </c>
      <c r="D196" s="268" t="s">
        <v>495</v>
      </c>
      <c r="E196" s="251">
        <v>44210.0</v>
      </c>
      <c r="F196" s="250" t="s">
        <v>545</v>
      </c>
      <c r="G196" s="171">
        <v>100.0</v>
      </c>
      <c r="H196" s="171">
        <v>125.0</v>
      </c>
      <c r="I196" s="171">
        <v>120.0</v>
      </c>
      <c r="J196" s="325">
        <f t="shared" si="2"/>
        <v>0.002961059817</v>
      </c>
      <c r="K196" s="326">
        <f t="shared" si="9"/>
        <v>2.220794863</v>
      </c>
      <c r="L196" s="327">
        <f t="shared" si="3"/>
        <v>9.433990569</v>
      </c>
      <c r="M196" s="321" t="str">
        <f t="shared" si="4"/>
        <v>solsista</v>
      </c>
      <c r="N196" s="209">
        <f>IFERROR(__xludf.DUMMYFUNCTION("""COMPUTED_VALUE"""),5.0)</f>
        <v>5</v>
      </c>
      <c r="O196" s="176"/>
      <c r="P196" s="176"/>
      <c r="Q196" s="176"/>
      <c r="R196" s="176"/>
      <c r="S196" s="176"/>
      <c r="T196" s="176"/>
      <c r="U196" s="176"/>
      <c r="V196" s="176"/>
      <c r="W196" s="176"/>
      <c r="X196" s="176"/>
      <c r="Y196" s="176"/>
      <c r="Z196" s="176"/>
    </row>
    <row r="197">
      <c r="A197" s="249" t="s">
        <v>8</v>
      </c>
      <c r="B197" s="249" t="s">
        <v>18</v>
      </c>
      <c r="C197" s="219" t="s">
        <v>2899</v>
      </c>
      <c r="D197" s="268" t="s">
        <v>495</v>
      </c>
      <c r="E197" s="251">
        <v>44211.0</v>
      </c>
      <c r="F197" s="250" t="s">
        <v>496</v>
      </c>
      <c r="G197" s="171">
        <v>45.0</v>
      </c>
      <c r="H197" s="171">
        <v>25.0</v>
      </c>
      <c r="I197" s="171">
        <v>40.0</v>
      </c>
      <c r="J197" s="325">
        <f t="shared" si="2"/>
        <v>0.000921068011</v>
      </c>
      <c r="K197" s="326">
        <f t="shared" si="9"/>
        <v>0.6908010083</v>
      </c>
      <c r="L197" s="327">
        <f t="shared" si="3"/>
        <v>9.433990569</v>
      </c>
      <c r="M197" s="321" t="str">
        <f t="shared" si="4"/>
        <v>solsista</v>
      </c>
      <c r="N197" s="209">
        <f>IFERROR(__xludf.DUMMYFUNCTION("""COMPUTED_VALUE"""),6.0)</f>
        <v>6</v>
      </c>
      <c r="O197" s="176"/>
      <c r="P197" s="176"/>
      <c r="Q197" s="176"/>
      <c r="R197" s="176"/>
      <c r="S197" s="176"/>
      <c r="T197" s="176"/>
      <c r="U197" s="176"/>
      <c r="V197" s="176"/>
      <c r="W197" s="176"/>
      <c r="X197" s="176"/>
      <c r="Y197" s="176"/>
      <c r="Z197" s="176"/>
    </row>
    <row r="198">
      <c r="A198" s="253" t="s">
        <v>8</v>
      </c>
      <c r="B198" s="253" t="s">
        <v>1228</v>
      </c>
      <c r="C198" s="256" t="s">
        <v>2901</v>
      </c>
      <c r="D198" s="336" t="s">
        <v>495</v>
      </c>
      <c r="E198" s="255">
        <v>44211.0</v>
      </c>
      <c r="F198" s="221" t="s">
        <v>2912</v>
      </c>
      <c r="G198" s="222">
        <v>0.0</v>
      </c>
      <c r="H198" s="222">
        <v>0.0</v>
      </c>
      <c r="I198" s="222">
        <v>0.0</v>
      </c>
      <c r="J198" s="339">
        <f t="shared" si="2"/>
        <v>0</v>
      </c>
      <c r="K198" s="337">
        <f t="shared" si="9"/>
        <v>0</v>
      </c>
      <c r="L198" s="341">
        <f t="shared" si="3"/>
        <v>9.433990569</v>
      </c>
      <c r="M198" s="342" t="str">
        <f t="shared" si="4"/>
        <v>solsista</v>
      </c>
      <c r="N198" s="209">
        <f>IFERROR(__xludf.DUMMYFUNCTION("""COMPUTED_VALUE"""),7.0)</f>
        <v>7</v>
      </c>
      <c r="O198" s="209"/>
      <c r="P198" s="209"/>
      <c r="Q198" s="209"/>
      <c r="R198" s="209"/>
      <c r="S198" s="209"/>
      <c r="T198" s="209"/>
      <c r="U198" s="209"/>
      <c r="V198" s="209"/>
      <c r="W198" s="209"/>
      <c r="X198" s="209"/>
      <c r="Y198" s="209"/>
      <c r="Z198" s="209"/>
    </row>
    <row r="199">
      <c r="A199" s="240" t="s">
        <v>49</v>
      </c>
      <c r="B199" s="240" t="s">
        <v>534</v>
      </c>
      <c r="C199" s="221" t="s">
        <v>684</v>
      </c>
      <c r="D199" s="336"/>
      <c r="E199" s="255"/>
      <c r="F199" s="254"/>
      <c r="G199" s="222"/>
      <c r="H199" s="222"/>
      <c r="I199" s="222"/>
      <c r="J199" s="325">
        <f t="shared" si="2"/>
        <v>0</v>
      </c>
      <c r="K199" s="337"/>
      <c r="L199" s="327">
        <f t="shared" si="3"/>
        <v>9.40149574</v>
      </c>
      <c r="M199" s="321" t="str">
        <f t="shared" si="4"/>
        <v>knobsdao</v>
      </c>
      <c r="N199" s="209">
        <f>IFERROR(__xludf.DUMMYFUNCTION("""COMPUTED_VALUE"""),1.0)</f>
        <v>1</v>
      </c>
      <c r="O199" s="209"/>
      <c r="P199" s="209"/>
      <c r="Q199" s="209"/>
      <c r="R199" s="209">
        <v>15.224018051145396</v>
      </c>
      <c r="S199" s="209"/>
      <c r="T199" s="209"/>
      <c r="U199" s="209"/>
      <c r="V199" s="209"/>
      <c r="W199" s="209"/>
      <c r="X199" s="209"/>
      <c r="Y199" s="176"/>
      <c r="Z199" s="176"/>
    </row>
    <row r="200">
      <c r="A200" s="249" t="s">
        <v>49</v>
      </c>
      <c r="B200" s="249" t="s">
        <v>1228</v>
      </c>
      <c r="C200" s="219" t="s">
        <v>2874</v>
      </c>
      <c r="D200" s="268" t="s">
        <v>495</v>
      </c>
      <c r="E200" s="361">
        <v>44198.0</v>
      </c>
      <c r="F200" s="250" t="s">
        <v>496</v>
      </c>
      <c r="G200" s="171">
        <v>20.0</v>
      </c>
      <c r="H200" s="171">
        <v>25.0</v>
      </c>
      <c r="I200" s="171">
        <v>15.0</v>
      </c>
      <c r="J200" s="325">
        <f t="shared" si="2"/>
        <v>0.0005212732072</v>
      </c>
      <c r="K200" s="326">
        <f t="shared" ref="K200:K213" si="10">J200*$J$1</f>
        <v>0.3909549054</v>
      </c>
      <c r="L200" s="327">
        <f t="shared" si="3"/>
        <v>9.40149574</v>
      </c>
      <c r="M200" s="321" t="str">
        <f t="shared" si="4"/>
        <v>knobsdao</v>
      </c>
      <c r="N200" s="209">
        <f>IFERROR(__xludf.DUMMYFUNCTION("""COMPUTED_VALUE"""),2.0)</f>
        <v>2</v>
      </c>
      <c r="O200" s="176"/>
      <c r="P200" s="176"/>
      <c r="Q200" s="176"/>
      <c r="R200" s="176"/>
      <c r="S200" s="176"/>
      <c r="T200" s="176"/>
      <c r="U200" s="176"/>
      <c r="V200" s="176"/>
      <c r="W200" s="176"/>
      <c r="X200" s="176"/>
      <c r="Y200" s="176"/>
      <c r="Z200" s="176"/>
    </row>
    <row r="201">
      <c r="A201" s="249" t="s">
        <v>49</v>
      </c>
      <c r="B201" s="249" t="s">
        <v>519</v>
      </c>
      <c r="C201" s="219" t="s">
        <v>2876</v>
      </c>
      <c r="D201" s="268" t="s">
        <v>495</v>
      </c>
      <c r="E201" s="361">
        <v>44201.0</v>
      </c>
      <c r="F201" s="250" t="s">
        <v>499</v>
      </c>
      <c r="G201" s="171">
        <v>60.0</v>
      </c>
      <c r="H201" s="171">
        <v>100.0</v>
      </c>
      <c r="I201" s="171">
        <v>60.0</v>
      </c>
      <c r="J201" s="325">
        <f t="shared" si="2"/>
        <v>0.001922898666</v>
      </c>
      <c r="K201" s="326">
        <f t="shared" si="10"/>
        <v>1.442174</v>
      </c>
      <c r="L201" s="327">
        <f t="shared" si="3"/>
        <v>9.40149574</v>
      </c>
      <c r="M201" s="321" t="str">
        <f t="shared" si="4"/>
        <v>knobsdao</v>
      </c>
      <c r="N201" s="209">
        <f>IFERROR(__xludf.DUMMYFUNCTION("""COMPUTED_VALUE"""),3.0)</f>
        <v>3</v>
      </c>
      <c r="O201" s="176"/>
      <c r="P201" s="176"/>
      <c r="Q201" s="176"/>
      <c r="R201" s="176"/>
      <c r="S201" s="176"/>
      <c r="T201" s="176"/>
      <c r="U201" s="176"/>
      <c r="V201" s="176"/>
      <c r="W201" s="176"/>
      <c r="X201" s="176"/>
      <c r="Y201" s="176"/>
      <c r="Z201" s="176"/>
    </row>
    <row r="202">
      <c r="A202" s="249" t="s">
        <v>49</v>
      </c>
      <c r="B202" s="249" t="s">
        <v>519</v>
      </c>
      <c r="C202" s="219" t="s">
        <v>2877</v>
      </c>
      <c r="D202" s="268" t="s">
        <v>495</v>
      </c>
      <c r="E202" s="361">
        <v>44201.0</v>
      </c>
      <c r="F202" s="250" t="s">
        <v>499</v>
      </c>
      <c r="G202" s="171">
        <v>125.0</v>
      </c>
      <c r="H202" s="171">
        <v>100.0</v>
      </c>
      <c r="I202" s="171">
        <v>130.0</v>
      </c>
      <c r="J202" s="325">
        <f t="shared" si="2"/>
        <v>0.003001775576</v>
      </c>
      <c r="K202" s="326">
        <f t="shared" si="10"/>
        <v>2.251331682</v>
      </c>
      <c r="L202" s="327">
        <f t="shared" si="3"/>
        <v>9.40149574</v>
      </c>
      <c r="M202" s="321" t="str">
        <f t="shared" si="4"/>
        <v>knobsdao</v>
      </c>
      <c r="N202" s="209">
        <f>IFERROR(__xludf.DUMMYFUNCTION("""COMPUTED_VALUE"""),4.0)</f>
        <v>4</v>
      </c>
      <c r="O202" s="176"/>
      <c r="P202" s="176"/>
      <c r="Q202" s="176"/>
      <c r="R202" s="176"/>
      <c r="S202" s="176"/>
      <c r="T202" s="176"/>
      <c r="U202" s="176"/>
      <c r="V202" s="176"/>
      <c r="W202" s="176"/>
      <c r="X202" s="176"/>
      <c r="Y202" s="176"/>
      <c r="Z202" s="176"/>
    </row>
    <row r="203">
      <c r="A203" s="249" t="s">
        <v>49</v>
      </c>
      <c r="B203" s="249" t="s">
        <v>10</v>
      </c>
      <c r="C203" s="219" t="s">
        <v>2964</v>
      </c>
      <c r="D203" s="268" t="s">
        <v>495</v>
      </c>
      <c r="E203" s="361">
        <v>44204.0</v>
      </c>
      <c r="F203" s="250" t="s">
        <v>496</v>
      </c>
      <c r="G203" s="171">
        <v>100.0</v>
      </c>
      <c r="H203" s="171">
        <v>155.0</v>
      </c>
      <c r="I203" s="171">
        <v>130.0</v>
      </c>
      <c r="J203" s="325">
        <f t="shared" si="2"/>
        <v>0.003328897998</v>
      </c>
      <c r="K203" s="326">
        <f t="shared" si="10"/>
        <v>2.496673499</v>
      </c>
      <c r="L203" s="327">
        <f t="shared" si="3"/>
        <v>9.40149574</v>
      </c>
      <c r="M203" s="321" t="str">
        <f t="shared" si="4"/>
        <v>knobsdao</v>
      </c>
      <c r="N203" s="209">
        <f>IFERROR(__xludf.DUMMYFUNCTION("""COMPUTED_VALUE"""),5.0)</f>
        <v>5</v>
      </c>
      <c r="O203" s="176"/>
      <c r="P203" s="176"/>
      <c r="Q203" s="176"/>
      <c r="R203" s="176"/>
      <c r="S203" s="176"/>
      <c r="T203" s="176"/>
      <c r="U203" s="176"/>
      <c r="V203" s="176"/>
      <c r="W203" s="176"/>
      <c r="X203" s="176"/>
      <c r="Y203" s="176"/>
      <c r="Z203" s="176"/>
    </row>
    <row r="204">
      <c r="A204" s="249" t="s">
        <v>49</v>
      </c>
      <c r="B204" s="249" t="s">
        <v>10</v>
      </c>
      <c r="C204" s="219" t="s">
        <v>2916</v>
      </c>
      <c r="D204" s="268" t="s">
        <v>495</v>
      </c>
      <c r="E204" s="361">
        <v>44204.0</v>
      </c>
      <c r="F204" s="250" t="s">
        <v>496</v>
      </c>
      <c r="G204" s="171">
        <v>100.0</v>
      </c>
      <c r="H204" s="171">
        <v>100.0</v>
      </c>
      <c r="I204" s="171">
        <v>100.0</v>
      </c>
      <c r="J204" s="325">
        <f t="shared" si="2"/>
        <v>0.002562570352</v>
      </c>
      <c r="K204" s="326">
        <f t="shared" si="10"/>
        <v>1.921927764</v>
      </c>
      <c r="L204" s="327">
        <f t="shared" si="3"/>
        <v>9.40149574</v>
      </c>
      <c r="M204" s="321" t="str">
        <f t="shared" si="4"/>
        <v>knobsdao</v>
      </c>
      <c r="N204" s="209">
        <f>IFERROR(__xludf.DUMMYFUNCTION("""COMPUTED_VALUE"""),6.0)</f>
        <v>6</v>
      </c>
      <c r="O204" s="176"/>
      <c r="P204" s="176"/>
      <c r="Q204" s="176"/>
      <c r="R204" s="176"/>
      <c r="S204" s="176"/>
      <c r="T204" s="176"/>
      <c r="U204" s="176"/>
      <c r="V204" s="176"/>
      <c r="W204" s="176"/>
      <c r="X204" s="176"/>
      <c r="Y204" s="176"/>
      <c r="Z204" s="176"/>
    </row>
    <row r="205">
      <c r="A205" s="249" t="s">
        <v>49</v>
      </c>
      <c r="B205" s="249" t="s">
        <v>10</v>
      </c>
      <c r="C205" s="219" t="s">
        <v>2888</v>
      </c>
      <c r="D205" s="268" t="s">
        <v>495</v>
      </c>
      <c r="E205" s="361">
        <v>44204.0</v>
      </c>
      <c r="F205" s="250" t="s">
        <v>496</v>
      </c>
      <c r="G205" s="171">
        <v>20.0</v>
      </c>
      <c r="H205" s="171">
        <v>25.0</v>
      </c>
      <c r="I205" s="171">
        <v>20.0</v>
      </c>
      <c r="J205" s="325">
        <f t="shared" si="2"/>
        <v>0.0005606836273</v>
      </c>
      <c r="K205" s="326">
        <f t="shared" si="10"/>
        <v>0.4205127205</v>
      </c>
      <c r="L205" s="327">
        <f t="shared" si="3"/>
        <v>9.40149574</v>
      </c>
      <c r="M205" s="321" t="str">
        <f t="shared" si="4"/>
        <v>knobsdao</v>
      </c>
      <c r="N205" s="209">
        <f>IFERROR(__xludf.DUMMYFUNCTION("""COMPUTED_VALUE"""),7.0)</f>
        <v>7</v>
      </c>
      <c r="O205" s="176"/>
      <c r="P205" s="176"/>
      <c r="Q205" s="176"/>
      <c r="R205" s="176"/>
      <c r="S205" s="176"/>
      <c r="T205" s="176"/>
      <c r="U205" s="176"/>
      <c r="V205" s="176"/>
      <c r="W205" s="176"/>
      <c r="X205" s="176"/>
      <c r="Y205" s="176"/>
      <c r="Z205" s="176"/>
    </row>
    <row r="206">
      <c r="A206" s="249" t="s">
        <v>49</v>
      </c>
      <c r="B206" s="249" t="s">
        <v>10</v>
      </c>
      <c r="C206" s="219" t="s">
        <v>2896</v>
      </c>
      <c r="D206" s="268" t="s">
        <v>495</v>
      </c>
      <c r="E206" s="251">
        <v>44211.0</v>
      </c>
      <c r="F206" s="250" t="s">
        <v>496</v>
      </c>
      <c r="G206" s="171">
        <v>10.0</v>
      </c>
      <c r="H206" s="171">
        <v>25.0</v>
      </c>
      <c r="I206" s="171">
        <v>40.0</v>
      </c>
      <c r="J206" s="325">
        <f t="shared" si="2"/>
        <v>0.0006372282264</v>
      </c>
      <c r="K206" s="326">
        <f t="shared" si="10"/>
        <v>0.4779211698</v>
      </c>
      <c r="L206" s="327">
        <f t="shared" si="3"/>
        <v>9.40149574</v>
      </c>
      <c r="M206" s="321" t="str">
        <f t="shared" si="4"/>
        <v>knobsdao</v>
      </c>
      <c r="N206" s="209">
        <f>IFERROR(__xludf.DUMMYFUNCTION("""COMPUTED_VALUE"""),8.0)</f>
        <v>8</v>
      </c>
      <c r="O206" s="176"/>
      <c r="P206" s="176"/>
      <c r="Q206" s="176"/>
      <c r="R206" s="176"/>
      <c r="S206" s="176"/>
      <c r="T206" s="176"/>
      <c r="U206" s="176"/>
      <c r="V206" s="176"/>
      <c r="W206" s="176"/>
      <c r="X206" s="176"/>
      <c r="Y206" s="176"/>
      <c r="Z206" s="176"/>
    </row>
    <row r="207">
      <c r="A207" s="249" t="s">
        <v>22</v>
      </c>
      <c r="B207" s="249" t="s">
        <v>10</v>
      </c>
      <c r="C207" s="219" t="s">
        <v>2965</v>
      </c>
      <c r="D207" s="268" t="s">
        <v>495</v>
      </c>
      <c r="E207" s="361">
        <v>44198.0</v>
      </c>
      <c r="F207" s="250" t="s">
        <v>496</v>
      </c>
      <c r="G207" s="171">
        <v>200.0</v>
      </c>
      <c r="H207" s="171">
        <v>50.0</v>
      </c>
      <c r="I207" s="171">
        <v>100.0</v>
      </c>
      <c r="J207" s="325">
        <f t="shared" si="2"/>
        <v>0.002891845597</v>
      </c>
      <c r="K207" s="326">
        <f t="shared" si="10"/>
        <v>2.168884198</v>
      </c>
      <c r="L207" s="327">
        <f t="shared" si="3"/>
        <v>9.294000678</v>
      </c>
      <c r="M207" s="321" t="str">
        <f t="shared" si="4"/>
        <v>naynaysoo</v>
      </c>
      <c r="N207" s="209">
        <f>IFERROR(__xludf.DUMMYFUNCTION("""COMPUTED_VALUE"""),1.0)</f>
        <v>1</v>
      </c>
      <c r="O207" s="176"/>
      <c r="P207" s="176"/>
      <c r="Q207" s="176"/>
      <c r="R207" s="176"/>
      <c r="S207" s="176"/>
      <c r="T207" s="176"/>
      <c r="U207" s="176"/>
      <c r="V207" s="176"/>
      <c r="W207" s="176"/>
      <c r="X207" s="176"/>
      <c r="Y207" s="176"/>
      <c r="Z207" s="176"/>
    </row>
    <row r="208">
      <c r="A208" s="249" t="s">
        <v>22</v>
      </c>
      <c r="B208" s="249" t="s">
        <v>18</v>
      </c>
      <c r="C208" s="219" t="s">
        <v>2882</v>
      </c>
      <c r="D208" s="268" t="s">
        <v>495</v>
      </c>
      <c r="E208" s="361">
        <v>44202.0</v>
      </c>
      <c r="F208" s="250" t="s">
        <v>496</v>
      </c>
      <c r="G208" s="171">
        <v>25.0</v>
      </c>
      <c r="H208" s="171">
        <v>25.0</v>
      </c>
      <c r="I208" s="171">
        <v>60.0</v>
      </c>
      <c r="J208" s="325">
        <f t="shared" si="2"/>
        <v>0.0009165155289</v>
      </c>
      <c r="K208" s="326">
        <f t="shared" si="10"/>
        <v>0.6873866467</v>
      </c>
      <c r="L208" s="327">
        <f t="shared" si="3"/>
        <v>9.294000678</v>
      </c>
      <c r="M208" s="321" t="str">
        <f t="shared" si="4"/>
        <v>naynaysoo</v>
      </c>
      <c r="N208" s="209">
        <f>IFERROR(__xludf.DUMMYFUNCTION("""COMPUTED_VALUE"""),2.0)</f>
        <v>2</v>
      </c>
      <c r="O208" s="176"/>
      <c r="P208" s="176"/>
      <c r="Q208" s="176"/>
      <c r="R208" s="176"/>
      <c r="S208" s="176"/>
      <c r="T208" s="176"/>
      <c r="U208" s="176"/>
      <c r="V208" s="176"/>
      <c r="W208" s="176"/>
      <c r="X208" s="176"/>
      <c r="Y208" s="176"/>
      <c r="Z208" s="176"/>
    </row>
    <row r="209">
      <c r="A209" s="249" t="s">
        <v>22</v>
      </c>
      <c r="B209" s="249" t="s">
        <v>18</v>
      </c>
      <c r="C209" s="219" t="s">
        <v>2883</v>
      </c>
      <c r="D209" s="268" t="s">
        <v>495</v>
      </c>
      <c r="E209" s="361">
        <v>44202.0</v>
      </c>
      <c r="F209" s="250" t="s">
        <v>496</v>
      </c>
      <c r="G209" s="171">
        <v>45.0</v>
      </c>
      <c r="H209" s="171">
        <v>55.0</v>
      </c>
      <c r="I209" s="171">
        <v>45.0</v>
      </c>
      <c r="J209" s="325">
        <f t="shared" si="2"/>
        <v>0.001249495772</v>
      </c>
      <c r="K209" s="326">
        <f t="shared" si="10"/>
        <v>0.9371218291</v>
      </c>
      <c r="L209" s="327">
        <f t="shared" si="3"/>
        <v>9.294000678</v>
      </c>
      <c r="M209" s="321" t="str">
        <f t="shared" si="4"/>
        <v>naynaysoo</v>
      </c>
      <c r="N209" s="209">
        <f>IFERROR(__xludf.DUMMYFUNCTION("""COMPUTED_VALUE"""),3.0)</f>
        <v>3</v>
      </c>
      <c r="O209" s="176"/>
      <c r="P209" s="176"/>
      <c r="Q209" s="176"/>
      <c r="R209" s="176"/>
      <c r="S209" s="176"/>
      <c r="T209" s="176"/>
      <c r="U209" s="176"/>
      <c r="V209" s="176"/>
      <c r="W209" s="176"/>
      <c r="X209" s="176"/>
      <c r="Y209" s="176"/>
      <c r="Z209" s="176"/>
    </row>
    <row r="210">
      <c r="A210" s="249" t="s">
        <v>22</v>
      </c>
      <c r="B210" s="249" t="s">
        <v>10</v>
      </c>
      <c r="C210" s="219" t="s">
        <v>2941</v>
      </c>
      <c r="D210" s="268" t="s">
        <v>495</v>
      </c>
      <c r="E210" s="361">
        <v>44204.0</v>
      </c>
      <c r="F210" s="250" t="s">
        <v>496</v>
      </c>
      <c r="G210" s="171">
        <v>150.0</v>
      </c>
      <c r="H210" s="171">
        <v>155.0</v>
      </c>
      <c r="I210" s="171">
        <v>150.0</v>
      </c>
      <c r="J210" s="325">
        <f t="shared" si="2"/>
        <v>0.003892025085</v>
      </c>
      <c r="K210" s="326">
        <f t="shared" si="10"/>
        <v>2.919018814</v>
      </c>
      <c r="L210" s="327">
        <f t="shared" si="3"/>
        <v>9.294000678</v>
      </c>
      <c r="M210" s="321" t="str">
        <f t="shared" si="4"/>
        <v>naynaysoo</v>
      </c>
      <c r="N210" s="209">
        <f>IFERROR(__xludf.DUMMYFUNCTION("""COMPUTED_VALUE"""),4.0)</f>
        <v>4</v>
      </c>
      <c r="O210" s="176"/>
      <c r="P210" s="176"/>
      <c r="Q210" s="176"/>
      <c r="R210" s="176"/>
      <c r="S210" s="176"/>
      <c r="T210" s="176"/>
      <c r="U210" s="176"/>
      <c r="V210" s="176"/>
      <c r="W210" s="176"/>
      <c r="X210" s="176"/>
      <c r="Y210" s="176"/>
      <c r="Z210" s="176"/>
    </row>
    <row r="211">
      <c r="A211" s="249" t="s">
        <v>22</v>
      </c>
      <c r="B211" s="249" t="s">
        <v>590</v>
      </c>
      <c r="C211" s="219" t="s">
        <v>2893</v>
      </c>
      <c r="D211" s="268" t="s">
        <v>495</v>
      </c>
      <c r="E211" s="251">
        <v>44208.0</v>
      </c>
      <c r="F211" s="250" t="s">
        <v>496</v>
      </c>
      <c r="G211" s="171">
        <v>20.0</v>
      </c>
      <c r="H211" s="171">
        <v>25.0</v>
      </c>
      <c r="I211" s="171">
        <v>45.0</v>
      </c>
      <c r="J211" s="325">
        <f t="shared" si="2"/>
        <v>0.0007577357279</v>
      </c>
      <c r="K211" s="326">
        <f t="shared" si="10"/>
        <v>0.5683017959</v>
      </c>
      <c r="L211" s="327">
        <f t="shared" si="3"/>
        <v>9.294000678</v>
      </c>
      <c r="M211" s="321" t="str">
        <f t="shared" si="4"/>
        <v>naynaysoo</v>
      </c>
      <c r="N211" s="209">
        <f>IFERROR(__xludf.DUMMYFUNCTION("""COMPUTED_VALUE"""),5.0)</f>
        <v>5</v>
      </c>
      <c r="O211" s="176"/>
      <c r="P211" s="176"/>
      <c r="Q211" s="176"/>
      <c r="R211" s="176"/>
      <c r="S211" s="176"/>
      <c r="T211" s="176"/>
      <c r="U211" s="176"/>
      <c r="V211" s="176"/>
      <c r="W211" s="176"/>
      <c r="X211" s="176"/>
      <c r="Y211" s="176"/>
      <c r="Z211" s="176"/>
    </row>
    <row r="212">
      <c r="A212" s="249" t="s">
        <v>22</v>
      </c>
      <c r="B212" s="249" t="s">
        <v>18</v>
      </c>
      <c r="C212" s="219" t="s">
        <v>2898</v>
      </c>
      <c r="D212" s="268" t="s">
        <v>495</v>
      </c>
      <c r="E212" s="251">
        <v>44211.0</v>
      </c>
      <c r="F212" s="250" t="s">
        <v>496</v>
      </c>
      <c r="G212" s="171">
        <v>35.0</v>
      </c>
      <c r="H212" s="171">
        <v>25.0</v>
      </c>
      <c r="I212" s="171">
        <v>40.0</v>
      </c>
      <c r="J212" s="325">
        <f t="shared" si="2"/>
        <v>0.0008399709297</v>
      </c>
      <c r="K212" s="326">
        <f t="shared" si="10"/>
        <v>0.6299781973</v>
      </c>
      <c r="L212" s="327">
        <f t="shared" si="3"/>
        <v>9.294000678</v>
      </c>
      <c r="M212" s="321" t="str">
        <f t="shared" si="4"/>
        <v>naynaysoo</v>
      </c>
      <c r="N212" s="209">
        <f>IFERROR(__xludf.DUMMYFUNCTION("""COMPUTED_VALUE"""),6.0)</f>
        <v>6</v>
      </c>
      <c r="O212" s="176"/>
      <c r="P212" s="176"/>
      <c r="Q212" s="176"/>
      <c r="R212" s="176"/>
      <c r="S212" s="176"/>
      <c r="T212" s="176"/>
      <c r="U212" s="176"/>
      <c r="V212" s="176"/>
      <c r="W212" s="176"/>
      <c r="X212" s="176"/>
      <c r="Y212" s="176"/>
      <c r="Z212" s="176"/>
    </row>
    <row r="213">
      <c r="A213" s="249" t="s">
        <v>22</v>
      </c>
      <c r="B213" s="249" t="s">
        <v>18</v>
      </c>
      <c r="C213" s="219" t="s">
        <v>2966</v>
      </c>
      <c r="D213" s="268" t="s">
        <v>495</v>
      </c>
      <c r="E213" s="251">
        <v>44211.0</v>
      </c>
      <c r="F213" s="250" t="s">
        <v>496</v>
      </c>
      <c r="G213" s="171">
        <v>100.0</v>
      </c>
      <c r="H213" s="171">
        <v>50.0</v>
      </c>
      <c r="I213" s="171">
        <v>70.0</v>
      </c>
      <c r="J213" s="325">
        <f t="shared" si="2"/>
        <v>0.001844412263</v>
      </c>
      <c r="K213" s="326">
        <f t="shared" si="10"/>
        <v>1.383309197</v>
      </c>
      <c r="L213" s="327">
        <f t="shared" si="3"/>
        <v>9.294000678</v>
      </c>
      <c r="M213" s="321" t="str">
        <f t="shared" si="4"/>
        <v>naynaysoo</v>
      </c>
      <c r="N213" s="209">
        <f>IFERROR(__xludf.DUMMYFUNCTION("""COMPUTED_VALUE"""),7.0)</f>
        <v>7</v>
      </c>
      <c r="O213" s="176"/>
      <c r="P213" s="176"/>
      <c r="Q213" s="176"/>
      <c r="R213" s="176"/>
      <c r="S213" s="176"/>
      <c r="T213" s="176"/>
      <c r="U213" s="176"/>
      <c r="V213" s="176"/>
      <c r="W213" s="176"/>
      <c r="X213" s="176"/>
      <c r="Y213" s="176"/>
      <c r="Z213" s="176"/>
    </row>
    <row r="214">
      <c r="A214" s="240" t="s">
        <v>14</v>
      </c>
      <c r="B214" s="240" t="s">
        <v>534</v>
      </c>
      <c r="C214" s="221" t="s">
        <v>741</v>
      </c>
      <c r="D214" s="336"/>
      <c r="E214" s="255"/>
      <c r="F214" s="254"/>
      <c r="G214" s="222"/>
      <c r="H214" s="222"/>
      <c r="I214" s="222"/>
      <c r="J214" s="325">
        <f t="shared" si="2"/>
        <v>0</v>
      </c>
      <c r="K214" s="337">
        <f>57.723 *-0.85</f>
        <v>-49.06455</v>
      </c>
      <c r="L214" s="327">
        <f t="shared" si="3"/>
        <v>8.658705897</v>
      </c>
      <c r="M214" s="321" t="str">
        <f t="shared" si="4"/>
        <v>jessicazartler</v>
      </c>
      <c r="N214" s="209">
        <f>IFERROR(__xludf.DUMMYFUNCTION("""COMPUTED_VALUE"""),1.0)</f>
        <v>1</v>
      </c>
      <c r="O214" s="209"/>
      <c r="P214" s="209"/>
      <c r="Q214" s="209"/>
      <c r="R214" s="209"/>
      <c r="S214" s="209"/>
      <c r="T214" s="209"/>
      <c r="U214" s="209"/>
      <c r="V214" s="209"/>
      <c r="W214" s="209"/>
      <c r="X214" s="209"/>
      <c r="Y214" s="176"/>
      <c r="Z214" s="176"/>
    </row>
    <row r="215">
      <c r="A215" s="249" t="s">
        <v>14</v>
      </c>
      <c r="B215" s="249" t="s">
        <v>10</v>
      </c>
      <c r="C215" s="219" t="s">
        <v>2967</v>
      </c>
      <c r="D215" s="268" t="s">
        <v>495</v>
      </c>
      <c r="E215" s="361">
        <v>44198.0</v>
      </c>
      <c r="F215" s="250" t="s">
        <v>496</v>
      </c>
      <c r="G215" s="171">
        <v>400.0</v>
      </c>
      <c r="H215" s="171">
        <v>200.0</v>
      </c>
      <c r="I215" s="171">
        <v>300.0</v>
      </c>
      <c r="J215" s="325">
        <f t="shared" si="2"/>
        <v>0.007535290733</v>
      </c>
      <c r="K215" s="326">
        <f t="shared" ref="K215:K251" si="11">J215*$J$1</f>
        <v>5.65146805</v>
      </c>
      <c r="L215" s="327">
        <f t="shared" si="3"/>
        <v>8.658705897</v>
      </c>
      <c r="M215" s="321" t="str">
        <f t="shared" si="4"/>
        <v>jessicazartler</v>
      </c>
      <c r="N215" s="209">
        <f>IFERROR(__xludf.DUMMYFUNCTION("""COMPUTED_VALUE"""),2.0)</f>
        <v>2</v>
      </c>
      <c r="O215" s="176"/>
      <c r="P215" s="176"/>
      <c r="Q215" s="176"/>
      <c r="R215" s="176"/>
      <c r="S215" s="176"/>
      <c r="T215" s="176"/>
      <c r="U215" s="176"/>
      <c r="V215" s="176"/>
      <c r="W215" s="176"/>
      <c r="X215" s="176"/>
      <c r="Y215" s="176"/>
      <c r="Z215" s="176"/>
    </row>
    <row r="216">
      <c r="A216" s="249" t="s">
        <v>14</v>
      </c>
      <c r="B216" s="249" t="s">
        <v>1228</v>
      </c>
      <c r="C216" s="219" t="s">
        <v>2874</v>
      </c>
      <c r="D216" s="268" t="s">
        <v>495</v>
      </c>
      <c r="E216" s="361">
        <v>44198.0</v>
      </c>
      <c r="F216" s="250" t="s">
        <v>496</v>
      </c>
      <c r="G216" s="171">
        <v>20.0</v>
      </c>
      <c r="H216" s="171">
        <v>25.0</v>
      </c>
      <c r="I216" s="171">
        <v>15.0</v>
      </c>
      <c r="J216" s="325">
        <f t="shared" si="2"/>
        <v>0.0005212732072</v>
      </c>
      <c r="K216" s="326">
        <f t="shared" si="11"/>
        <v>0.3909549054</v>
      </c>
      <c r="L216" s="327">
        <f t="shared" si="3"/>
        <v>8.658705897</v>
      </c>
      <c r="M216" s="321" t="str">
        <f t="shared" si="4"/>
        <v>jessicazartler</v>
      </c>
      <c r="N216" s="209">
        <f>IFERROR(__xludf.DUMMYFUNCTION("""COMPUTED_VALUE"""),3.0)</f>
        <v>3</v>
      </c>
      <c r="O216" s="176"/>
      <c r="P216" s="176"/>
      <c r="Q216" s="176"/>
      <c r="R216" s="176"/>
      <c r="S216" s="176"/>
      <c r="T216" s="176"/>
      <c r="U216" s="176"/>
      <c r="V216" s="176"/>
      <c r="W216" s="176"/>
      <c r="X216" s="176"/>
      <c r="Y216" s="176"/>
      <c r="Z216" s="176"/>
    </row>
    <row r="217">
      <c r="A217" s="249" t="s">
        <v>14</v>
      </c>
      <c r="B217" s="249" t="s">
        <v>519</v>
      </c>
      <c r="C217" s="219" t="s">
        <v>2968</v>
      </c>
      <c r="D217" s="268" t="s">
        <v>495</v>
      </c>
      <c r="E217" s="361">
        <v>44199.0</v>
      </c>
      <c r="F217" s="250" t="s">
        <v>496</v>
      </c>
      <c r="G217" s="171">
        <v>50.0</v>
      </c>
      <c r="H217" s="171">
        <v>50.0</v>
      </c>
      <c r="I217" s="171">
        <v>45.0</v>
      </c>
      <c r="J217" s="325">
        <f t="shared" si="2"/>
        <v>0.001241874756</v>
      </c>
      <c r="K217" s="326">
        <f t="shared" si="11"/>
        <v>0.931406067</v>
      </c>
      <c r="L217" s="327">
        <f t="shared" si="3"/>
        <v>8.658705897</v>
      </c>
      <c r="M217" s="321" t="str">
        <f t="shared" si="4"/>
        <v>jessicazartler</v>
      </c>
      <c r="N217" s="209">
        <f>IFERROR(__xludf.DUMMYFUNCTION("""COMPUTED_VALUE"""),4.0)</f>
        <v>4</v>
      </c>
      <c r="O217" s="176"/>
      <c r="P217" s="176"/>
      <c r="Q217" s="176"/>
      <c r="R217" s="176"/>
      <c r="S217" s="176"/>
      <c r="T217" s="176"/>
      <c r="U217" s="176"/>
      <c r="V217" s="176"/>
      <c r="W217" s="176"/>
      <c r="X217" s="176"/>
      <c r="Y217" s="176"/>
      <c r="Z217" s="176"/>
    </row>
    <row r="218">
      <c r="A218" s="249" t="s">
        <v>14</v>
      </c>
      <c r="B218" s="249" t="s">
        <v>18</v>
      </c>
      <c r="C218" s="219" t="s">
        <v>2969</v>
      </c>
      <c r="D218" s="268" t="s">
        <v>495</v>
      </c>
      <c r="E218" s="361">
        <v>44201.0</v>
      </c>
      <c r="F218" s="250" t="s">
        <v>496</v>
      </c>
      <c r="G218" s="171">
        <v>500.0</v>
      </c>
      <c r="H218" s="171">
        <v>200.0</v>
      </c>
      <c r="I218" s="171">
        <v>600.0</v>
      </c>
      <c r="J218" s="325">
        <f t="shared" si="2"/>
        <v>0.01071088675</v>
      </c>
      <c r="K218" s="326">
        <f t="shared" si="11"/>
        <v>8.033165065</v>
      </c>
      <c r="L218" s="327">
        <f t="shared" si="3"/>
        <v>8.658705897</v>
      </c>
      <c r="M218" s="321" t="str">
        <f t="shared" si="4"/>
        <v>jessicazartler</v>
      </c>
      <c r="N218" s="209">
        <f>IFERROR(__xludf.DUMMYFUNCTION("""COMPUTED_VALUE"""),5.0)</f>
        <v>5</v>
      </c>
      <c r="O218" s="176"/>
      <c r="P218" s="176"/>
      <c r="Q218" s="176"/>
      <c r="R218" s="176"/>
      <c r="S218" s="176"/>
      <c r="T218" s="176"/>
      <c r="U218" s="176"/>
      <c r="V218" s="176"/>
      <c r="W218" s="176"/>
      <c r="X218" s="176"/>
      <c r="Y218" s="176"/>
      <c r="Z218" s="176"/>
    </row>
    <row r="219">
      <c r="A219" s="249" t="s">
        <v>14</v>
      </c>
      <c r="B219" s="249" t="s">
        <v>519</v>
      </c>
      <c r="C219" s="219" t="s">
        <v>2876</v>
      </c>
      <c r="D219" s="268" t="s">
        <v>495</v>
      </c>
      <c r="E219" s="361">
        <v>44201.0</v>
      </c>
      <c r="F219" s="250" t="s">
        <v>499</v>
      </c>
      <c r="G219" s="171">
        <v>60.0</v>
      </c>
      <c r="H219" s="171">
        <v>100.0</v>
      </c>
      <c r="I219" s="171">
        <v>60.0</v>
      </c>
      <c r="J219" s="325">
        <f t="shared" si="2"/>
        <v>0.001922898666</v>
      </c>
      <c r="K219" s="326">
        <f t="shared" si="11"/>
        <v>1.442174</v>
      </c>
      <c r="L219" s="327">
        <f t="shared" si="3"/>
        <v>8.658705897</v>
      </c>
      <c r="M219" s="321" t="str">
        <f t="shared" si="4"/>
        <v>jessicazartler</v>
      </c>
      <c r="N219" s="209">
        <f>IFERROR(__xludf.DUMMYFUNCTION("""COMPUTED_VALUE"""),6.0)</f>
        <v>6</v>
      </c>
      <c r="O219" s="176"/>
      <c r="P219" s="176"/>
      <c r="Q219" s="176"/>
      <c r="R219" s="176"/>
      <c r="S219" s="176"/>
      <c r="T219" s="176"/>
      <c r="U219" s="176"/>
      <c r="V219" s="176"/>
      <c r="W219" s="176"/>
      <c r="X219" s="176"/>
      <c r="Y219" s="176"/>
      <c r="Z219" s="176"/>
    </row>
    <row r="220">
      <c r="A220" s="249" t="s">
        <v>14</v>
      </c>
      <c r="B220" s="249" t="s">
        <v>519</v>
      </c>
      <c r="C220" s="219" t="s">
        <v>2877</v>
      </c>
      <c r="D220" s="268" t="s">
        <v>495</v>
      </c>
      <c r="E220" s="361">
        <v>44201.0</v>
      </c>
      <c r="F220" s="250" t="s">
        <v>499</v>
      </c>
      <c r="G220" s="171">
        <v>125.0</v>
      </c>
      <c r="H220" s="171">
        <v>100.0</v>
      </c>
      <c r="I220" s="171">
        <v>130.0</v>
      </c>
      <c r="J220" s="325">
        <f t="shared" si="2"/>
        <v>0.003001775576</v>
      </c>
      <c r="K220" s="326">
        <f t="shared" si="11"/>
        <v>2.251331682</v>
      </c>
      <c r="L220" s="327">
        <f t="shared" si="3"/>
        <v>8.658705897</v>
      </c>
      <c r="M220" s="321" t="str">
        <f t="shared" si="4"/>
        <v>jessicazartler</v>
      </c>
      <c r="N220" s="209">
        <f>IFERROR(__xludf.DUMMYFUNCTION("""COMPUTED_VALUE"""),7.0)</f>
        <v>7</v>
      </c>
      <c r="O220" s="176"/>
      <c r="P220" s="176"/>
      <c r="Q220" s="176"/>
      <c r="R220" s="176"/>
      <c r="S220" s="176"/>
      <c r="T220" s="176"/>
      <c r="U220" s="176"/>
      <c r="V220" s="176"/>
      <c r="W220" s="176"/>
      <c r="X220" s="176"/>
      <c r="Y220" s="176"/>
      <c r="Z220" s="176"/>
    </row>
    <row r="221">
      <c r="A221" s="249" t="s">
        <v>14</v>
      </c>
      <c r="B221" s="249" t="s">
        <v>519</v>
      </c>
      <c r="C221" s="219" t="s">
        <v>2878</v>
      </c>
      <c r="D221" s="268" t="s">
        <v>495</v>
      </c>
      <c r="E221" s="361">
        <v>44201.0</v>
      </c>
      <c r="F221" s="250" t="s">
        <v>499</v>
      </c>
      <c r="G221" s="171">
        <v>45.0</v>
      </c>
      <c r="H221" s="171">
        <v>55.0</v>
      </c>
      <c r="I221" s="171">
        <v>40.0</v>
      </c>
      <c r="J221" s="325">
        <f t="shared" si="2"/>
        <v>0.001210085352</v>
      </c>
      <c r="K221" s="326">
        <f t="shared" si="11"/>
        <v>0.9075640141</v>
      </c>
      <c r="L221" s="327">
        <f t="shared" si="3"/>
        <v>8.658705897</v>
      </c>
      <c r="M221" s="321" t="str">
        <f t="shared" si="4"/>
        <v>jessicazartler</v>
      </c>
      <c r="N221" s="209">
        <f>IFERROR(__xludf.DUMMYFUNCTION("""COMPUTED_VALUE"""),8.0)</f>
        <v>8</v>
      </c>
      <c r="O221" s="176"/>
      <c r="P221" s="176"/>
      <c r="Q221" s="176"/>
      <c r="R221" s="176"/>
      <c r="S221" s="176"/>
      <c r="T221" s="176"/>
      <c r="U221" s="176"/>
      <c r="V221" s="176"/>
      <c r="W221" s="176"/>
      <c r="X221" s="176"/>
      <c r="Y221" s="176"/>
      <c r="Z221" s="176"/>
    </row>
    <row r="222">
      <c r="A222" s="249" t="s">
        <v>14</v>
      </c>
      <c r="B222" s="249" t="s">
        <v>25</v>
      </c>
      <c r="C222" s="219" t="s">
        <v>2970</v>
      </c>
      <c r="D222" s="268" t="s">
        <v>495</v>
      </c>
      <c r="E222" s="361">
        <v>44203.0</v>
      </c>
      <c r="F222" s="250" t="s">
        <v>496</v>
      </c>
      <c r="G222" s="171">
        <v>100.0</v>
      </c>
      <c r="H222" s="171">
        <v>200.0</v>
      </c>
      <c r="I222" s="171">
        <v>200.0</v>
      </c>
      <c r="J222" s="325">
        <f t="shared" si="2"/>
        <v>0.004314169891</v>
      </c>
      <c r="K222" s="326">
        <f t="shared" si="11"/>
        <v>3.235627419</v>
      </c>
      <c r="L222" s="327">
        <f t="shared" si="3"/>
        <v>8.658705897</v>
      </c>
      <c r="M222" s="321" t="str">
        <f t="shared" si="4"/>
        <v>jessicazartler</v>
      </c>
      <c r="N222" s="209">
        <f>IFERROR(__xludf.DUMMYFUNCTION("""COMPUTED_VALUE"""),9.0)</f>
        <v>9</v>
      </c>
      <c r="O222" s="176"/>
      <c r="P222" s="176"/>
      <c r="Q222" s="176"/>
      <c r="R222" s="176"/>
      <c r="S222" s="176"/>
      <c r="T222" s="176"/>
      <c r="U222" s="176"/>
      <c r="V222" s="176"/>
      <c r="W222" s="176"/>
      <c r="X222" s="176"/>
      <c r="Y222" s="176"/>
      <c r="Z222" s="176"/>
    </row>
    <row r="223">
      <c r="A223" s="249" t="s">
        <v>14</v>
      </c>
      <c r="B223" s="249" t="s">
        <v>10</v>
      </c>
      <c r="C223" s="219" t="s">
        <v>2971</v>
      </c>
      <c r="D223" s="268" t="s">
        <v>495</v>
      </c>
      <c r="E223" s="361">
        <v>44204.0</v>
      </c>
      <c r="F223" s="250" t="s">
        <v>496</v>
      </c>
      <c r="G223" s="171">
        <v>350.0</v>
      </c>
      <c r="H223" s="171">
        <v>300.0</v>
      </c>
      <c r="I223" s="171">
        <v>400.0</v>
      </c>
      <c r="J223" s="325">
        <f t="shared" si="2"/>
        <v>0.008881404866</v>
      </c>
      <c r="K223" s="326">
        <f t="shared" si="11"/>
        <v>6.661053649</v>
      </c>
      <c r="L223" s="327">
        <f t="shared" si="3"/>
        <v>8.658705897</v>
      </c>
      <c r="M223" s="321" t="str">
        <f t="shared" si="4"/>
        <v>jessicazartler</v>
      </c>
      <c r="N223" s="209">
        <f>IFERROR(__xludf.DUMMYFUNCTION("""COMPUTED_VALUE"""),10.0)</f>
        <v>10</v>
      </c>
      <c r="O223" s="176"/>
      <c r="P223" s="176"/>
      <c r="Q223" s="176"/>
      <c r="R223" s="176"/>
      <c r="S223" s="176"/>
      <c r="T223" s="176"/>
      <c r="U223" s="176"/>
      <c r="V223" s="176"/>
      <c r="W223" s="176"/>
      <c r="X223" s="176"/>
      <c r="Y223" s="176"/>
      <c r="Z223" s="176"/>
    </row>
    <row r="224">
      <c r="A224" s="249" t="s">
        <v>14</v>
      </c>
      <c r="B224" s="249" t="s">
        <v>10</v>
      </c>
      <c r="C224" s="219" t="s">
        <v>2922</v>
      </c>
      <c r="D224" s="268" t="s">
        <v>495</v>
      </c>
      <c r="E224" s="361">
        <v>44204.0</v>
      </c>
      <c r="F224" s="250" t="s">
        <v>496</v>
      </c>
      <c r="G224" s="171">
        <v>150.0</v>
      </c>
      <c r="H224" s="171">
        <v>100.0</v>
      </c>
      <c r="I224" s="171">
        <v>120.0</v>
      </c>
      <c r="J224" s="325">
        <f t="shared" si="2"/>
        <v>0.003125697439</v>
      </c>
      <c r="K224" s="326">
        <f t="shared" si="11"/>
        <v>2.344273079</v>
      </c>
      <c r="L224" s="327">
        <f t="shared" si="3"/>
        <v>8.658705897</v>
      </c>
      <c r="M224" s="321" t="str">
        <f t="shared" si="4"/>
        <v>jessicazartler</v>
      </c>
      <c r="N224" s="209">
        <f>IFERROR(__xludf.DUMMYFUNCTION("""COMPUTED_VALUE"""),11.0)</f>
        <v>11</v>
      </c>
      <c r="O224" s="176"/>
      <c r="P224" s="176"/>
      <c r="Q224" s="176"/>
      <c r="R224" s="176"/>
      <c r="S224" s="176"/>
      <c r="T224" s="176"/>
      <c r="U224" s="176"/>
      <c r="V224" s="176"/>
      <c r="W224" s="176"/>
      <c r="X224" s="176"/>
      <c r="Y224" s="176"/>
      <c r="Z224" s="176"/>
    </row>
    <row r="225">
      <c r="A225" s="249" t="s">
        <v>14</v>
      </c>
      <c r="B225" s="249" t="s">
        <v>10</v>
      </c>
      <c r="C225" s="219" t="s">
        <v>2935</v>
      </c>
      <c r="D225" s="268" t="s">
        <v>495</v>
      </c>
      <c r="E225" s="361">
        <v>44204.0</v>
      </c>
      <c r="F225" s="250" t="s">
        <v>496</v>
      </c>
      <c r="G225" s="171">
        <v>100.0</v>
      </c>
      <c r="H225" s="171">
        <v>155.0</v>
      </c>
      <c r="I225" s="171">
        <v>180.0</v>
      </c>
      <c r="J225" s="325">
        <f t="shared" si="2"/>
        <v>0.003723002199</v>
      </c>
      <c r="K225" s="326">
        <f t="shared" si="11"/>
        <v>2.79225165</v>
      </c>
      <c r="L225" s="327">
        <f t="shared" si="3"/>
        <v>8.658705897</v>
      </c>
      <c r="M225" s="321" t="str">
        <f t="shared" si="4"/>
        <v>jessicazartler</v>
      </c>
      <c r="N225" s="209">
        <f>IFERROR(__xludf.DUMMYFUNCTION("""COMPUTED_VALUE"""),12.0)</f>
        <v>12</v>
      </c>
      <c r="O225" s="176"/>
      <c r="P225" s="176"/>
      <c r="Q225" s="176"/>
      <c r="R225" s="176"/>
      <c r="S225" s="176"/>
      <c r="T225" s="176"/>
      <c r="U225" s="176"/>
      <c r="V225" s="176"/>
      <c r="W225" s="176"/>
      <c r="X225" s="176"/>
      <c r="Y225" s="176"/>
      <c r="Z225" s="176"/>
    </row>
    <row r="226">
      <c r="A226" s="249" t="s">
        <v>14</v>
      </c>
      <c r="B226" s="249" t="s">
        <v>10</v>
      </c>
      <c r="C226" s="219" t="s">
        <v>2964</v>
      </c>
      <c r="D226" s="268" t="s">
        <v>495</v>
      </c>
      <c r="E226" s="361">
        <v>44204.0</v>
      </c>
      <c r="F226" s="250" t="s">
        <v>496</v>
      </c>
      <c r="G226" s="171">
        <v>100.0</v>
      </c>
      <c r="H226" s="171">
        <v>155.0</v>
      </c>
      <c r="I226" s="171">
        <v>130.0</v>
      </c>
      <c r="J226" s="325">
        <f t="shared" si="2"/>
        <v>0.003328897998</v>
      </c>
      <c r="K226" s="326">
        <f t="shared" si="11"/>
        <v>2.496673499</v>
      </c>
      <c r="L226" s="327">
        <f t="shared" si="3"/>
        <v>8.658705897</v>
      </c>
      <c r="M226" s="321" t="str">
        <f t="shared" si="4"/>
        <v>jessicazartler</v>
      </c>
      <c r="N226" s="209">
        <f>IFERROR(__xludf.DUMMYFUNCTION("""COMPUTED_VALUE"""),13.0)</f>
        <v>13</v>
      </c>
      <c r="O226" s="176"/>
      <c r="P226" s="176"/>
      <c r="Q226" s="176"/>
      <c r="R226" s="176"/>
      <c r="S226" s="176"/>
      <c r="T226" s="176"/>
      <c r="U226" s="176"/>
      <c r="V226" s="176"/>
      <c r="W226" s="176"/>
      <c r="X226" s="176"/>
      <c r="Y226" s="176"/>
      <c r="Z226" s="176"/>
    </row>
    <row r="227">
      <c r="A227" s="249" t="s">
        <v>14</v>
      </c>
      <c r="B227" s="249" t="s">
        <v>10</v>
      </c>
      <c r="C227" s="219" t="s">
        <v>2972</v>
      </c>
      <c r="D227" s="268" t="s">
        <v>495</v>
      </c>
      <c r="E227" s="361">
        <v>44204.0</v>
      </c>
      <c r="F227" s="250" t="s">
        <v>496</v>
      </c>
      <c r="G227" s="171">
        <v>30.0</v>
      </c>
      <c r="H227" s="171">
        <v>25.0</v>
      </c>
      <c r="I227" s="171">
        <v>40.0</v>
      </c>
      <c r="J227" s="325">
        <f t="shared" si="2"/>
        <v>0.0007994223891</v>
      </c>
      <c r="K227" s="326">
        <f t="shared" si="11"/>
        <v>0.5995667918</v>
      </c>
      <c r="L227" s="327">
        <f t="shared" si="3"/>
        <v>8.658705897</v>
      </c>
      <c r="M227" s="321" t="str">
        <f t="shared" si="4"/>
        <v>jessicazartler</v>
      </c>
      <c r="N227" s="209">
        <f>IFERROR(__xludf.DUMMYFUNCTION("""COMPUTED_VALUE"""),14.0)</f>
        <v>14</v>
      </c>
      <c r="O227" s="176"/>
      <c r="P227" s="176"/>
      <c r="Q227" s="176"/>
      <c r="R227" s="176"/>
      <c r="S227" s="176"/>
      <c r="T227" s="176"/>
      <c r="U227" s="176"/>
      <c r="V227" s="176"/>
      <c r="W227" s="176"/>
      <c r="X227" s="176"/>
      <c r="Y227" s="176"/>
      <c r="Z227" s="176"/>
    </row>
    <row r="228">
      <c r="A228" s="249" t="s">
        <v>14</v>
      </c>
      <c r="B228" s="249" t="s">
        <v>10</v>
      </c>
      <c r="C228" s="219" t="s">
        <v>2887</v>
      </c>
      <c r="D228" s="268" t="s">
        <v>495</v>
      </c>
      <c r="E228" s="361">
        <v>44204.0</v>
      </c>
      <c r="F228" s="250" t="s">
        <v>496</v>
      </c>
      <c r="G228" s="171">
        <v>150.0</v>
      </c>
      <c r="H228" s="171">
        <v>155.0</v>
      </c>
      <c r="I228" s="171">
        <v>230.0</v>
      </c>
      <c r="J228" s="325">
        <f t="shared" si="2"/>
        <v>0.004522591807</v>
      </c>
      <c r="K228" s="326">
        <f t="shared" si="11"/>
        <v>3.391943855</v>
      </c>
      <c r="L228" s="327">
        <f t="shared" si="3"/>
        <v>8.658705897</v>
      </c>
      <c r="M228" s="321" t="str">
        <f t="shared" si="4"/>
        <v>jessicazartler</v>
      </c>
      <c r="N228" s="209">
        <f>IFERROR(__xludf.DUMMYFUNCTION("""COMPUTED_VALUE"""),15.0)</f>
        <v>15</v>
      </c>
      <c r="O228" s="176"/>
      <c r="P228" s="176"/>
      <c r="Q228" s="176"/>
      <c r="R228" s="176"/>
      <c r="S228" s="176"/>
      <c r="T228" s="176"/>
      <c r="U228" s="176"/>
      <c r="V228" s="176"/>
      <c r="W228" s="176"/>
      <c r="X228" s="176"/>
      <c r="Y228" s="176"/>
      <c r="Z228" s="176"/>
    </row>
    <row r="229">
      <c r="A229" s="249" t="s">
        <v>14</v>
      </c>
      <c r="B229" s="249" t="s">
        <v>10</v>
      </c>
      <c r="C229" s="219" t="s">
        <v>2917</v>
      </c>
      <c r="D229" s="268" t="s">
        <v>495</v>
      </c>
      <c r="E229" s="361">
        <v>44204.0</v>
      </c>
      <c r="F229" s="250" t="s">
        <v>496</v>
      </c>
      <c r="G229" s="171">
        <v>25.0</v>
      </c>
      <c r="H229" s="171">
        <v>35.0</v>
      </c>
      <c r="I229" s="171">
        <v>40.0</v>
      </c>
      <c r="J229" s="325">
        <f t="shared" si="2"/>
        <v>0.0008552129621</v>
      </c>
      <c r="K229" s="326">
        <f t="shared" si="11"/>
        <v>0.6414097216</v>
      </c>
      <c r="L229" s="327">
        <f t="shared" si="3"/>
        <v>8.658705897</v>
      </c>
      <c r="M229" s="321" t="str">
        <f t="shared" si="4"/>
        <v>jessicazartler</v>
      </c>
      <c r="N229" s="209">
        <f>IFERROR(__xludf.DUMMYFUNCTION("""COMPUTED_VALUE"""),16.0)</f>
        <v>16</v>
      </c>
      <c r="O229" s="176"/>
      <c r="P229" s="176"/>
      <c r="Q229" s="176"/>
      <c r="R229" s="176"/>
      <c r="S229" s="176"/>
      <c r="T229" s="176"/>
      <c r="U229" s="176"/>
      <c r="V229" s="176"/>
      <c r="W229" s="176"/>
      <c r="X229" s="176"/>
      <c r="Y229" s="176"/>
      <c r="Z229" s="176"/>
    </row>
    <row r="230">
      <c r="A230" s="249" t="s">
        <v>14</v>
      </c>
      <c r="B230" s="249" t="s">
        <v>10</v>
      </c>
      <c r="C230" s="219" t="s">
        <v>2888</v>
      </c>
      <c r="D230" s="268" t="s">
        <v>495</v>
      </c>
      <c r="E230" s="361">
        <v>44204.0</v>
      </c>
      <c r="F230" s="250" t="s">
        <v>496</v>
      </c>
      <c r="G230" s="171">
        <v>20.0</v>
      </c>
      <c r="H230" s="171">
        <v>25.0</v>
      </c>
      <c r="I230" s="171">
        <v>20.0</v>
      </c>
      <c r="J230" s="325">
        <f t="shared" si="2"/>
        <v>0.0005606836273</v>
      </c>
      <c r="K230" s="326">
        <f t="shared" si="11"/>
        <v>0.4205127205</v>
      </c>
      <c r="L230" s="327">
        <f t="shared" si="3"/>
        <v>8.658705897</v>
      </c>
      <c r="M230" s="321" t="str">
        <f t="shared" si="4"/>
        <v>jessicazartler</v>
      </c>
      <c r="N230" s="209">
        <f>IFERROR(__xludf.DUMMYFUNCTION("""COMPUTED_VALUE"""),17.0)</f>
        <v>17</v>
      </c>
      <c r="O230" s="176"/>
      <c r="P230" s="176"/>
      <c r="Q230" s="176"/>
      <c r="R230" s="176"/>
      <c r="S230" s="176"/>
      <c r="T230" s="176"/>
      <c r="U230" s="176"/>
      <c r="V230" s="176"/>
      <c r="W230" s="176"/>
      <c r="X230" s="176"/>
      <c r="Y230" s="176"/>
      <c r="Z230" s="176"/>
    </row>
    <row r="231">
      <c r="A231" s="249" t="s">
        <v>14</v>
      </c>
      <c r="B231" s="249" t="s">
        <v>1576</v>
      </c>
      <c r="C231" s="219" t="s">
        <v>2973</v>
      </c>
      <c r="D231" s="268" t="s">
        <v>495</v>
      </c>
      <c r="E231" s="361">
        <v>44204.0</v>
      </c>
      <c r="F231" s="250" t="s">
        <v>496</v>
      </c>
      <c r="G231" s="171">
        <v>5.0</v>
      </c>
      <c r="H231" s="171">
        <v>25.0</v>
      </c>
      <c r="I231" s="171">
        <v>10.0</v>
      </c>
      <c r="J231" s="325">
        <f t="shared" si="2"/>
        <v>0.0003602171651</v>
      </c>
      <c r="K231" s="326">
        <f t="shared" si="11"/>
        <v>0.2701628738</v>
      </c>
      <c r="L231" s="327">
        <f t="shared" si="3"/>
        <v>8.658705897</v>
      </c>
      <c r="M231" s="321" t="str">
        <f t="shared" si="4"/>
        <v>jessicazartler</v>
      </c>
      <c r="N231" s="209">
        <f>IFERROR(__xludf.DUMMYFUNCTION("""COMPUTED_VALUE"""),18.0)</f>
        <v>18</v>
      </c>
      <c r="O231" s="176"/>
      <c r="P231" s="176"/>
      <c r="Q231" s="176"/>
      <c r="R231" s="176"/>
      <c r="S231" s="176"/>
      <c r="T231" s="176"/>
      <c r="U231" s="176"/>
      <c r="V231" s="176"/>
      <c r="W231" s="176"/>
      <c r="X231" s="176"/>
      <c r="Y231" s="176"/>
      <c r="Z231" s="176"/>
    </row>
    <row r="232">
      <c r="A232" s="249" t="s">
        <v>14</v>
      </c>
      <c r="B232" s="249" t="s">
        <v>29</v>
      </c>
      <c r="C232" s="219" t="s">
        <v>2889</v>
      </c>
      <c r="D232" s="268" t="s">
        <v>495</v>
      </c>
      <c r="E232" s="361">
        <v>44204.0</v>
      </c>
      <c r="F232" s="250" t="s">
        <v>592</v>
      </c>
      <c r="G232" s="171">
        <v>120.0</v>
      </c>
      <c r="H232" s="171">
        <v>25.0</v>
      </c>
      <c r="I232" s="171">
        <v>60.0</v>
      </c>
      <c r="J232" s="325">
        <f t="shared" si="2"/>
        <v>0.001686937801</v>
      </c>
      <c r="K232" s="326">
        <f t="shared" si="11"/>
        <v>1.265203351</v>
      </c>
      <c r="L232" s="327">
        <f t="shared" si="3"/>
        <v>8.658705897</v>
      </c>
      <c r="M232" s="321" t="str">
        <f t="shared" si="4"/>
        <v>jessicazartler</v>
      </c>
      <c r="N232" s="209">
        <f>IFERROR(__xludf.DUMMYFUNCTION("""COMPUTED_VALUE"""),19.0)</f>
        <v>19</v>
      </c>
      <c r="O232" s="176"/>
      <c r="P232" s="176"/>
      <c r="Q232" s="176"/>
      <c r="R232" s="176"/>
      <c r="S232" s="176"/>
      <c r="T232" s="176"/>
      <c r="U232" s="176"/>
      <c r="V232" s="176"/>
      <c r="W232" s="176"/>
      <c r="X232" s="176"/>
      <c r="Y232" s="176"/>
      <c r="Z232" s="176"/>
    </row>
    <row r="233">
      <c r="A233" s="249" t="s">
        <v>14</v>
      </c>
      <c r="B233" s="249" t="s">
        <v>925</v>
      </c>
      <c r="C233" s="219" t="s">
        <v>2974</v>
      </c>
      <c r="D233" s="268" t="s">
        <v>495</v>
      </c>
      <c r="E233" s="251">
        <v>44206.0</v>
      </c>
      <c r="F233" s="250" t="s">
        <v>496</v>
      </c>
      <c r="G233" s="171">
        <v>200.0</v>
      </c>
      <c r="H233" s="171">
        <v>50.0</v>
      </c>
      <c r="I233" s="171">
        <v>150.0</v>
      </c>
      <c r="J233" s="325">
        <f t="shared" si="2"/>
        <v>0.003285949798</v>
      </c>
      <c r="K233" s="326">
        <f t="shared" si="11"/>
        <v>2.464462349</v>
      </c>
      <c r="L233" s="327">
        <f t="shared" si="3"/>
        <v>8.658705897</v>
      </c>
      <c r="M233" s="321" t="str">
        <f t="shared" si="4"/>
        <v>jessicazartler</v>
      </c>
      <c r="N233" s="209">
        <f>IFERROR(__xludf.DUMMYFUNCTION("""COMPUTED_VALUE"""),20.0)</f>
        <v>20</v>
      </c>
      <c r="O233" s="176"/>
      <c r="P233" s="176"/>
      <c r="Q233" s="176"/>
      <c r="R233" s="176"/>
      <c r="S233" s="176"/>
      <c r="T233" s="176"/>
      <c r="U233" s="176"/>
      <c r="V233" s="176"/>
      <c r="W233" s="176"/>
      <c r="X233" s="176"/>
      <c r="Y233" s="176"/>
      <c r="Z233" s="176"/>
    </row>
    <row r="234">
      <c r="A234" s="249" t="s">
        <v>14</v>
      </c>
      <c r="B234" s="249" t="s">
        <v>925</v>
      </c>
      <c r="C234" s="219" t="s">
        <v>2975</v>
      </c>
      <c r="D234" s="268" t="s">
        <v>495</v>
      </c>
      <c r="E234" s="251">
        <v>44206.0</v>
      </c>
      <c r="F234" s="250" t="s">
        <v>496</v>
      </c>
      <c r="G234" s="171">
        <v>150.0</v>
      </c>
      <c r="H234" s="171">
        <v>50.0</v>
      </c>
      <c r="I234" s="171">
        <v>100.0</v>
      </c>
      <c r="J234" s="325">
        <f t="shared" si="2"/>
        <v>0.00248636019</v>
      </c>
      <c r="K234" s="326">
        <f t="shared" si="11"/>
        <v>1.864770143</v>
      </c>
      <c r="L234" s="327">
        <f t="shared" si="3"/>
        <v>8.658705897</v>
      </c>
      <c r="M234" s="321" t="str">
        <f t="shared" si="4"/>
        <v>jessicazartler</v>
      </c>
      <c r="N234" s="209">
        <f>IFERROR(__xludf.DUMMYFUNCTION("""COMPUTED_VALUE"""),21.0)</f>
        <v>21</v>
      </c>
      <c r="O234" s="176"/>
      <c r="P234" s="176"/>
      <c r="Q234" s="176"/>
      <c r="R234" s="176"/>
      <c r="S234" s="176"/>
      <c r="T234" s="176"/>
      <c r="U234" s="176"/>
      <c r="V234" s="176"/>
      <c r="W234" s="176"/>
      <c r="X234" s="176"/>
      <c r="Y234" s="176"/>
      <c r="Z234" s="176"/>
    </row>
    <row r="235">
      <c r="A235" s="249" t="s">
        <v>14</v>
      </c>
      <c r="B235" s="249" t="s">
        <v>1228</v>
      </c>
      <c r="C235" s="219" t="s">
        <v>2936</v>
      </c>
      <c r="D235" s="268" t="s">
        <v>495</v>
      </c>
      <c r="E235" s="251">
        <v>44206.0</v>
      </c>
      <c r="F235" s="250" t="s">
        <v>496</v>
      </c>
      <c r="G235" s="171">
        <v>100.0</v>
      </c>
      <c r="H235" s="171">
        <v>50.0</v>
      </c>
      <c r="I235" s="171">
        <v>110.0</v>
      </c>
      <c r="J235" s="325">
        <f t="shared" si="2"/>
        <v>0.002159695624</v>
      </c>
      <c r="K235" s="326">
        <f t="shared" si="11"/>
        <v>1.619771718</v>
      </c>
      <c r="L235" s="327">
        <f t="shared" si="3"/>
        <v>8.658705897</v>
      </c>
      <c r="M235" s="321" t="str">
        <f t="shared" si="4"/>
        <v>jessicazartler</v>
      </c>
      <c r="N235" s="209">
        <f>IFERROR(__xludf.DUMMYFUNCTION("""COMPUTED_VALUE"""),22.0)</f>
        <v>22</v>
      </c>
      <c r="O235" s="176"/>
      <c r="P235" s="176"/>
      <c r="Q235" s="176"/>
      <c r="R235" s="176"/>
      <c r="S235" s="176"/>
      <c r="T235" s="176"/>
      <c r="U235" s="176"/>
      <c r="V235" s="176"/>
      <c r="W235" s="176"/>
      <c r="X235" s="176"/>
      <c r="Y235" s="176"/>
      <c r="Z235" s="176"/>
    </row>
    <row r="236">
      <c r="A236" s="249" t="s">
        <v>14</v>
      </c>
      <c r="B236" s="249" t="s">
        <v>5</v>
      </c>
      <c r="C236" s="219" t="s">
        <v>2894</v>
      </c>
      <c r="D236" s="268" t="s">
        <v>495</v>
      </c>
      <c r="E236" s="251">
        <v>44210.0</v>
      </c>
      <c r="F236" s="250" t="s">
        <v>496</v>
      </c>
      <c r="G236" s="171">
        <v>25.0</v>
      </c>
      <c r="H236" s="171">
        <v>25.0</v>
      </c>
      <c r="I236" s="171">
        <v>40.0</v>
      </c>
      <c r="J236" s="325">
        <f t="shared" si="2"/>
        <v>0.0007588738484</v>
      </c>
      <c r="K236" s="326">
        <f t="shared" si="11"/>
        <v>0.5691553863</v>
      </c>
      <c r="L236" s="327">
        <f t="shared" si="3"/>
        <v>8.658705897</v>
      </c>
      <c r="M236" s="321" t="str">
        <f t="shared" si="4"/>
        <v>jessicazartler</v>
      </c>
      <c r="N236" s="209">
        <f>IFERROR(__xludf.DUMMYFUNCTION("""COMPUTED_VALUE"""),23.0)</f>
        <v>23</v>
      </c>
      <c r="O236" s="176"/>
      <c r="P236" s="176"/>
      <c r="Q236" s="176"/>
      <c r="R236" s="176"/>
      <c r="S236" s="176"/>
      <c r="T236" s="176"/>
      <c r="U236" s="176"/>
      <c r="V236" s="176"/>
      <c r="W236" s="176"/>
      <c r="X236" s="176"/>
      <c r="Y236" s="176"/>
      <c r="Z236" s="176"/>
    </row>
    <row r="237">
      <c r="A237" s="249" t="s">
        <v>14</v>
      </c>
      <c r="B237" s="249" t="s">
        <v>10</v>
      </c>
      <c r="C237" s="219" t="s">
        <v>494</v>
      </c>
      <c r="D237" s="268" t="s">
        <v>495</v>
      </c>
      <c r="E237" s="251">
        <v>44210.0</v>
      </c>
      <c r="F237" s="250" t="s">
        <v>545</v>
      </c>
      <c r="G237" s="171">
        <v>100.0</v>
      </c>
      <c r="H237" s="171">
        <v>125.0</v>
      </c>
      <c r="I237" s="171">
        <v>120.0</v>
      </c>
      <c r="J237" s="325">
        <f t="shared" si="2"/>
        <v>0.002961059817</v>
      </c>
      <c r="K237" s="326">
        <f t="shared" si="11"/>
        <v>2.220794863</v>
      </c>
      <c r="L237" s="327">
        <f t="shared" si="3"/>
        <v>8.658705897</v>
      </c>
      <c r="M237" s="321" t="str">
        <f t="shared" si="4"/>
        <v>jessicazartler</v>
      </c>
      <c r="N237" s="209">
        <f>IFERROR(__xludf.DUMMYFUNCTION("""COMPUTED_VALUE"""),24.0)</f>
        <v>24</v>
      </c>
      <c r="O237" s="176"/>
      <c r="P237" s="176"/>
      <c r="Q237" s="176"/>
      <c r="R237" s="176"/>
      <c r="S237" s="176"/>
      <c r="T237" s="176"/>
      <c r="U237" s="176"/>
      <c r="V237" s="176"/>
      <c r="W237" s="176"/>
      <c r="X237" s="176"/>
      <c r="Y237" s="176"/>
      <c r="Z237" s="176"/>
    </row>
    <row r="238">
      <c r="A238" s="249" t="s">
        <v>14</v>
      </c>
      <c r="B238" s="249" t="s">
        <v>18</v>
      </c>
      <c r="C238" s="219" t="s">
        <v>2976</v>
      </c>
      <c r="D238" s="268" t="s">
        <v>495</v>
      </c>
      <c r="E238" s="251">
        <v>44210.0</v>
      </c>
      <c r="F238" s="250" t="s">
        <v>496</v>
      </c>
      <c r="G238" s="171">
        <v>100.0</v>
      </c>
      <c r="H238" s="171">
        <v>55.0</v>
      </c>
      <c r="I238" s="171">
        <v>120.0</v>
      </c>
      <c r="J238" s="325">
        <f t="shared" si="2"/>
        <v>0.002286686021</v>
      </c>
      <c r="K238" s="326">
        <f t="shared" si="11"/>
        <v>1.715014516</v>
      </c>
      <c r="L238" s="327">
        <f t="shared" si="3"/>
        <v>8.658705897</v>
      </c>
      <c r="M238" s="321" t="str">
        <f t="shared" si="4"/>
        <v>jessicazartler</v>
      </c>
      <c r="N238" s="209">
        <f>IFERROR(__xludf.DUMMYFUNCTION("""COMPUTED_VALUE"""),25.0)</f>
        <v>25</v>
      </c>
      <c r="O238" s="176"/>
      <c r="P238" s="176"/>
      <c r="Q238" s="176"/>
      <c r="R238" s="176"/>
      <c r="S238" s="176"/>
      <c r="T238" s="176"/>
      <c r="U238" s="176"/>
      <c r="V238" s="176"/>
      <c r="W238" s="176"/>
      <c r="X238" s="176"/>
      <c r="Y238" s="176"/>
      <c r="Z238" s="176"/>
    </row>
    <row r="239">
      <c r="A239" s="249" t="s">
        <v>14</v>
      </c>
      <c r="B239" s="249" t="s">
        <v>10</v>
      </c>
      <c r="C239" s="219" t="s">
        <v>2977</v>
      </c>
      <c r="D239" s="268" t="s">
        <v>495</v>
      </c>
      <c r="E239" s="251">
        <v>44211.0</v>
      </c>
      <c r="F239" s="250" t="s">
        <v>496</v>
      </c>
      <c r="G239" s="171">
        <v>150.0</v>
      </c>
      <c r="H239" s="171">
        <v>55.0</v>
      </c>
      <c r="I239" s="171">
        <v>180.0</v>
      </c>
      <c r="J239" s="325">
        <f t="shared" si="2"/>
        <v>0.003165096469</v>
      </c>
      <c r="K239" s="326">
        <f t="shared" si="11"/>
        <v>2.373822352</v>
      </c>
      <c r="L239" s="327">
        <f t="shared" si="3"/>
        <v>8.658705897</v>
      </c>
      <c r="M239" s="321" t="str">
        <f t="shared" si="4"/>
        <v>jessicazartler</v>
      </c>
      <c r="N239" s="209">
        <f>IFERROR(__xludf.DUMMYFUNCTION("""COMPUTED_VALUE"""),26.0)</f>
        <v>26</v>
      </c>
      <c r="O239" s="176"/>
      <c r="P239" s="176"/>
      <c r="Q239" s="176"/>
      <c r="R239" s="176"/>
      <c r="S239" s="176"/>
      <c r="T239" s="176"/>
      <c r="U239" s="176"/>
      <c r="V239" s="176"/>
      <c r="W239" s="176"/>
      <c r="X239" s="176"/>
      <c r="Y239" s="176"/>
      <c r="Z239" s="176"/>
    </row>
    <row r="240">
      <c r="A240" s="249" t="s">
        <v>14</v>
      </c>
      <c r="B240" s="249" t="s">
        <v>10</v>
      </c>
      <c r="C240" s="219" t="s">
        <v>2896</v>
      </c>
      <c r="D240" s="268" t="s">
        <v>495</v>
      </c>
      <c r="E240" s="251">
        <v>44211.0</v>
      </c>
      <c r="F240" s="250" t="s">
        <v>496</v>
      </c>
      <c r="G240" s="171">
        <v>10.0</v>
      </c>
      <c r="H240" s="171">
        <v>25.0</v>
      </c>
      <c r="I240" s="171">
        <v>40.0</v>
      </c>
      <c r="J240" s="325">
        <f t="shared" si="2"/>
        <v>0.0006372282264</v>
      </c>
      <c r="K240" s="326">
        <f t="shared" si="11"/>
        <v>0.4779211698</v>
      </c>
      <c r="L240" s="327">
        <f t="shared" si="3"/>
        <v>8.658705897</v>
      </c>
      <c r="M240" s="321" t="str">
        <f t="shared" si="4"/>
        <v>jessicazartler</v>
      </c>
      <c r="N240" s="209">
        <f>IFERROR(__xludf.DUMMYFUNCTION("""COMPUTED_VALUE"""),27.0)</f>
        <v>27</v>
      </c>
      <c r="O240" s="176"/>
      <c r="P240" s="176"/>
      <c r="Q240" s="176"/>
      <c r="R240" s="176"/>
      <c r="S240" s="176"/>
      <c r="T240" s="176"/>
      <c r="U240" s="176"/>
      <c r="V240" s="176"/>
      <c r="W240" s="176"/>
      <c r="X240" s="176"/>
      <c r="Y240" s="176"/>
      <c r="Z240" s="176"/>
    </row>
    <row r="241">
      <c r="A241" s="249" t="s">
        <v>14</v>
      </c>
      <c r="B241" s="249" t="s">
        <v>18</v>
      </c>
      <c r="C241" s="219" t="s">
        <v>2899</v>
      </c>
      <c r="D241" s="268" t="s">
        <v>495</v>
      </c>
      <c r="E241" s="251">
        <v>44211.0</v>
      </c>
      <c r="F241" s="250" t="s">
        <v>496</v>
      </c>
      <c r="G241" s="171">
        <v>45.0</v>
      </c>
      <c r="H241" s="171">
        <v>25.0</v>
      </c>
      <c r="I241" s="171">
        <v>40.0</v>
      </c>
      <c r="J241" s="325">
        <f t="shared" si="2"/>
        <v>0.000921068011</v>
      </c>
      <c r="K241" s="326">
        <f t="shared" si="11"/>
        <v>0.6908010083</v>
      </c>
      <c r="L241" s="327">
        <f t="shared" si="3"/>
        <v>8.658705897</v>
      </c>
      <c r="M241" s="321" t="str">
        <f t="shared" si="4"/>
        <v>jessicazartler</v>
      </c>
      <c r="N241" s="209">
        <f>IFERROR(__xludf.DUMMYFUNCTION("""COMPUTED_VALUE"""),28.0)</f>
        <v>28</v>
      </c>
      <c r="O241" s="176"/>
      <c r="P241" s="176"/>
      <c r="Q241" s="176"/>
      <c r="R241" s="176"/>
      <c r="S241" s="176"/>
      <c r="T241" s="176"/>
      <c r="U241" s="176"/>
      <c r="V241" s="176"/>
      <c r="W241" s="176"/>
      <c r="X241" s="176"/>
      <c r="Y241" s="176"/>
      <c r="Z241" s="176"/>
    </row>
    <row r="242">
      <c r="A242" s="253" t="s">
        <v>14</v>
      </c>
      <c r="B242" s="253" t="s">
        <v>1228</v>
      </c>
      <c r="C242" s="256" t="s">
        <v>2901</v>
      </c>
      <c r="D242" s="336" t="s">
        <v>495</v>
      </c>
      <c r="E242" s="255">
        <v>44211.0</v>
      </c>
      <c r="F242" s="221" t="s">
        <v>2912</v>
      </c>
      <c r="G242" s="222">
        <v>0.0</v>
      </c>
      <c r="H242" s="222">
        <v>0.0</v>
      </c>
      <c r="I242" s="222">
        <v>0.0</v>
      </c>
      <c r="J242" s="339">
        <f t="shared" si="2"/>
        <v>0</v>
      </c>
      <c r="K242" s="337">
        <f t="shared" si="11"/>
        <v>0</v>
      </c>
      <c r="L242" s="341">
        <f t="shared" si="3"/>
        <v>8.658705897</v>
      </c>
      <c r="M242" s="342" t="str">
        <f t="shared" si="4"/>
        <v>jessicazartler</v>
      </c>
      <c r="N242" s="209">
        <f>IFERROR(__xludf.DUMMYFUNCTION("""COMPUTED_VALUE"""),29.0)</f>
        <v>29</v>
      </c>
      <c r="O242" s="209"/>
      <c r="P242" s="209"/>
      <c r="Q242" s="209"/>
      <c r="R242" s="209"/>
      <c r="S242" s="209"/>
      <c r="T242" s="209"/>
      <c r="U242" s="209"/>
      <c r="V242" s="209"/>
      <c r="W242" s="209"/>
      <c r="X242" s="209"/>
      <c r="Y242" s="209"/>
      <c r="Z242" s="209"/>
    </row>
    <row r="243">
      <c r="A243" s="249" t="s">
        <v>83</v>
      </c>
      <c r="B243" s="249" t="s">
        <v>519</v>
      </c>
      <c r="C243" s="219" t="s">
        <v>2978</v>
      </c>
      <c r="D243" s="268" t="s">
        <v>495</v>
      </c>
      <c r="E243" s="361">
        <v>44204.0</v>
      </c>
      <c r="F243" s="250" t="s">
        <v>496</v>
      </c>
      <c r="G243" s="171">
        <v>700.0</v>
      </c>
      <c r="H243" s="171">
        <v>100.0</v>
      </c>
      <c r="I243" s="171">
        <v>300.0</v>
      </c>
      <c r="J243" s="325">
        <f t="shared" si="2"/>
        <v>0.009004812036</v>
      </c>
      <c r="K243" s="326">
        <f t="shared" si="11"/>
        <v>6.753609027</v>
      </c>
      <c r="L243" s="327">
        <f t="shared" si="3"/>
        <v>8.251860537</v>
      </c>
      <c r="M243" s="321" t="str">
        <f t="shared" si="4"/>
        <v>anjablaj</v>
      </c>
      <c r="N243" s="209">
        <f>IFERROR(__xludf.DUMMYFUNCTION("""COMPUTED_VALUE"""),1.0)</f>
        <v>1</v>
      </c>
      <c r="O243" s="176"/>
      <c r="P243" s="176"/>
      <c r="Q243" s="176"/>
      <c r="R243" s="176"/>
      <c r="S243" s="176"/>
      <c r="T243" s="176"/>
      <c r="U243" s="176"/>
      <c r="V243" s="176"/>
      <c r="W243" s="176"/>
      <c r="X243" s="176"/>
      <c r="Y243" s="176"/>
      <c r="Z243" s="176"/>
    </row>
    <row r="244">
      <c r="A244" s="249" t="s">
        <v>83</v>
      </c>
      <c r="B244" s="249" t="s">
        <v>868</v>
      </c>
      <c r="C244" s="219" t="s">
        <v>2891</v>
      </c>
      <c r="D244" s="268" t="s">
        <v>495</v>
      </c>
      <c r="E244" s="361">
        <v>44205.0</v>
      </c>
      <c r="F244" s="250" t="s">
        <v>496</v>
      </c>
      <c r="G244" s="171">
        <v>100.0</v>
      </c>
      <c r="H244" s="171">
        <v>25.0</v>
      </c>
      <c r="I244" s="171">
        <v>120.0</v>
      </c>
      <c r="J244" s="325">
        <f t="shared" si="2"/>
        <v>0.00199766868</v>
      </c>
      <c r="K244" s="326">
        <f t="shared" si="11"/>
        <v>1.49825151</v>
      </c>
      <c r="L244" s="327">
        <f t="shared" si="3"/>
        <v>8.251860537</v>
      </c>
      <c r="M244" s="321" t="str">
        <f t="shared" si="4"/>
        <v>anjablaj</v>
      </c>
      <c r="N244" s="209">
        <f>IFERROR(__xludf.DUMMYFUNCTION("""COMPUTED_VALUE"""),2.0)</f>
        <v>2</v>
      </c>
      <c r="O244" s="176"/>
      <c r="P244" s="176"/>
      <c r="Q244" s="176"/>
      <c r="R244" s="176"/>
      <c r="S244" s="176"/>
      <c r="T244" s="176"/>
      <c r="U244" s="176"/>
      <c r="V244" s="176"/>
      <c r="W244" s="176"/>
      <c r="X244" s="176"/>
      <c r="Y244" s="176"/>
      <c r="Z244" s="176"/>
    </row>
    <row r="245">
      <c r="A245" s="249" t="s">
        <v>9</v>
      </c>
      <c r="B245" s="249" t="s">
        <v>1228</v>
      </c>
      <c r="C245" s="219" t="s">
        <v>2874</v>
      </c>
      <c r="D245" s="268" t="s">
        <v>495</v>
      </c>
      <c r="E245" s="361">
        <v>44198.0</v>
      </c>
      <c r="F245" s="250" t="s">
        <v>496</v>
      </c>
      <c r="G245" s="171">
        <v>20.0</v>
      </c>
      <c r="H245" s="171">
        <v>25.0</v>
      </c>
      <c r="I245" s="171">
        <v>15.0</v>
      </c>
      <c r="J245" s="325">
        <f t="shared" si="2"/>
        <v>0.0005212732072</v>
      </c>
      <c r="K245" s="326">
        <f t="shared" si="11"/>
        <v>0.3909549054</v>
      </c>
      <c r="L245" s="327">
        <f t="shared" si="3"/>
        <v>8.078071742</v>
      </c>
      <c r="M245" s="321" t="str">
        <f t="shared" si="4"/>
        <v>akrtws</v>
      </c>
      <c r="N245" s="209">
        <f>IFERROR(__xludf.DUMMYFUNCTION("""COMPUTED_VALUE"""),1.0)</f>
        <v>1</v>
      </c>
      <c r="O245" s="176"/>
      <c r="P245" s="176"/>
      <c r="Q245" s="176"/>
      <c r="R245" s="176"/>
      <c r="S245" s="176"/>
      <c r="T245" s="176"/>
      <c r="U245" s="176"/>
      <c r="V245" s="176"/>
      <c r="W245" s="176"/>
      <c r="X245" s="176"/>
      <c r="Y245" s="176"/>
      <c r="Z245" s="176"/>
    </row>
    <row r="246">
      <c r="A246" s="249" t="s">
        <v>9</v>
      </c>
      <c r="B246" s="249" t="s">
        <v>519</v>
      </c>
      <c r="C246" s="219" t="s">
        <v>2905</v>
      </c>
      <c r="D246" s="268" t="s">
        <v>495</v>
      </c>
      <c r="E246" s="361">
        <v>44200.0</v>
      </c>
      <c r="F246" s="250" t="s">
        <v>499</v>
      </c>
      <c r="G246" s="171">
        <v>45.0</v>
      </c>
      <c r="H246" s="171">
        <v>25.0</v>
      </c>
      <c r="I246" s="171">
        <v>10.0</v>
      </c>
      <c r="J246" s="325">
        <f t="shared" si="2"/>
        <v>0.0006846054904</v>
      </c>
      <c r="K246" s="326">
        <f t="shared" si="11"/>
        <v>0.5134541178</v>
      </c>
      <c r="L246" s="327">
        <f t="shared" si="3"/>
        <v>8.078071742</v>
      </c>
      <c r="M246" s="321" t="str">
        <f t="shared" si="4"/>
        <v>akrtws</v>
      </c>
      <c r="N246" s="209">
        <f>IFERROR(__xludf.DUMMYFUNCTION("""COMPUTED_VALUE"""),2.0)</f>
        <v>2</v>
      </c>
      <c r="O246" s="176"/>
      <c r="P246" s="176"/>
      <c r="Q246" s="176"/>
      <c r="R246" s="176"/>
      <c r="S246" s="176"/>
      <c r="T246" s="176"/>
      <c r="U246" s="176"/>
      <c r="V246" s="176"/>
      <c r="W246" s="176"/>
      <c r="X246" s="176"/>
      <c r="Y246" s="176"/>
      <c r="Z246" s="176"/>
    </row>
    <row r="247">
      <c r="A247" s="249" t="s">
        <v>9</v>
      </c>
      <c r="B247" s="249" t="s">
        <v>519</v>
      </c>
      <c r="C247" s="219" t="s">
        <v>2876</v>
      </c>
      <c r="D247" s="268" t="s">
        <v>495</v>
      </c>
      <c r="E247" s="361">
        <v>44201.0</v>
      </c>
      <c r="F247" s="250" t="s">
        <v>499</v>
      </c>
      <c r="G247" s="171">
        <v>60.0</v>
      </c>
      <c r="H247" s="171">
        <v>100.0</v>
      </c>
      <c r="I247" s="171">
        <v>60.0</v>
      </c>
      <c r="J247" s="325">
        <f t="shared" si="2"/>
        <v>0.001922898666</v>
      </c>
      <c r="K247" s="326">
        <f t="shared" si="11"/>
        <v>1.442174</v>
      </c>
      <c r="L247" s="327">
        <f t="shared" si="3"/>
        <v>8.078071742</v>
      </c>
      <c r="M247" s="321" t="str">
        <f t="shared" si="4"/>
        <v>akrtws</v>
      </c>
      <c r="N247" s="209">
        <f>IFERROR(__xludf.DUMMYFUNCTION("""COMPUTED_VALUE"""),3.0)</f>
        <v>3</v>
      </c>
      <c r="O247" s="176"/>
      <c r="P247" s="176"/>
      <c r="Q247" s="176"/>
      <c r="R247" s="176"/>
      <c r="S247" s="176"/>
      <c r="T247" s="176"/>
      <c r="U247" s="176"/>
      <c r="V247" s="176"/>
      <c r="W247" s="176"/>
      <c r="X247" s="176"/>
      <c r="Y247" s="176"/>
      <c r="Z247" s="176"/>
    </row>
    <row r="248">
      <c r="A248" s="249" t="s">
        <v>9</v>
      </c>
      <c r="B248" s="249" t="s">
        <v>519</v>
      </c>
      <c r="C248" s="219" t="s">
        <v>2877</v>
      </c>
      <c r="D248" s="268" t="s">
        <v>495</v>
      </c>
      <c r="E248" s="361">
        <v>44201.0</v>
      </c>
      <c r="F248" s="250" t="s">
        <v>499</v>
      </c>
      <c r="G248" s="171">
        <v>125.0</v>
      </c>
      <c r="H248" s="171">
        <v>100.0</v>
      </c>
      <c r="I248" s="171">
        <v>130.0</v>
      </c>
      <c r="J248" s="325">
        <f t="shared" si="2"/>
        <v>0.003001775576</v>
      </c>
      <c r="K248" s="326">
        <f t="shared" si="11"/>
        <v>2.251331682</v>
      </c>
      <c r="L248" s="327">
        <f t="shared" si="3"/>
        <v>8.078071742</v>
      </c>
      <c r="M248" s="321" t="str">
        <f t="shared" si="4"/>
        <v>akrtws</v>
      </c>
      <c r="N248" s="209">
        <f>IFERROR(__xludf.DUMMYFUNCTION("""COMPUTED_VALUE"""),4.0)</f>
        <v>4</v>
      </c>
      <c r="O248" s="176"/>
      <c r="P248" s="176"/>
      <c r="Q248" s="176"/>
      <c r="R248" s="176"/>
      <c r="S248" s="176"/>
      <c r="T248" s="176"/>
      <c r="U248" s="176"/>
      <c r="V248" s="176"/>
      <c r="W248" s="176"/>
      <c r="X248" s="176"/>
      <c r="Y248" s="176"/>
      <c r="Z248" s="176"/>
    </row>
    <row r="249">
      <c r="A249" s="249" t="s">
        <v>9</v>
      </c>
      <c r="B249" s="249" t="s">
        <v>519</v>
      </c>
      <c r="C249" s="219" t="s">
        <v>2878</v>
      </c>
      <c r="D249" s="268" t="s">
        <v>495</v>
      </c>
      <c r="E249" s="361">
        <v>44201.0</v>
      </c>
      <c r="F249" s="250" t="s">
        <v>499</v>
      </c>
      <c r="G249" s="171">
        <v>45.0</v>
      </c>
      <c r="H249" s="171">
        <v>55.0</v>
      </c>
      <c r="I249" s="171">
        <v>40.0</v>
      </c>
      <c r="J249" s="325">
        <f t="shared" si="2"/>
        <v>0.001210085352</v>
      </c>
      <c r="K249" s="326">
        <f t="shared" si="11"/>
        <v>0.9075640141</v>
      </c>
      <c r="L249" s="327">
        <f t="shared" si="3"/>
        <v>8.078071742</v>
      </c>
      <c r="M249" s="321" t="str">
        <f t="shared" si="4"/>
        <v>akrtws</v>
      </c>
      <c r="N249" s="209">
        <f>IFERROR(__xludf.DUMMYFUNCTION("""COMPUTED_VALUE"""),5.0)</f>
        <v>5</v>
      </c>
      <c r="O249" s="176"/>
      <c r="P249" s="176"/>
      <c r="Q249" s="176"/>
      <c r="R249" s="176"/>
      <c r="S249" s="176"/>
      <c r="T249" s="176"/>
      <c r="U249" s="176"/>
      <c r="V249" s="176"/>
      <c r="W249" s="176"/>
      <c r="X249" s="176"/>
      <c r="Y249" s="176"/>
      <c r="Z249" s="176"/>
    </row>
    <row r="250">
      <c r="A250" s="249" t="s">
        <v>9</v>
      </c>
      <c r="B250" s="249" t="s">
        <v>10</v>
      </c>
      <c r="C250" s="219" t="s">
        <v>2887</v>
      </c>
      <c r="D250" s="268" t="s">
        <v>495</v>
      </c>
      <c r="E250" s="361">
        <v>44204.0</v>
      </c>
      <c r="F250" s="250" t="s">
        <v>496</v>
      </c>
      <c r="G250" s="171">
        <v>10.0</v>
      </c>
      <c r="H250" s="171">
        <v>15.0</v>
      </c>
      <c r="I250" s="171">
        <v>10.0</v>
      </c>
      <c r="J250" s="325">
        <f t="shared" si="2"/>
        <v>0.0003044265921</v>
      </c>
      <c r="K250" s="326">
        <f t="shared" si="11"/>
        <v>0.228319944</v>
      </c>
      <c r="L250" s="327">
        <f t="shared" si="3"/>
        <v>8.078071742</v>
      </c>
      <c r="M250" s="321" t="str">
        <f t="shared" si="4"/>
        <v>akrtws</v>
      </c>
      <c r="N250" s="209">
        <f>IFERROR(__xludf.DUMMYFUNCTION("""COMPUTED_VALUE"""),6.0)</f>
        <v>6</v>
      </c>
      <c r="O250" s="176"/>
      <c r="P250" s="176"/>
      <c r="Q250" s="176"/>
      <c r="R250" s="176"/>
      <c r="S250" s="176"/>
      <c r="T250" s="176"/>
      <c r="U250" s="176"/>
      <c r="V250" s="176"/>
      <c r="W250" s="176"/>
      <c r="X250" s="176"/>
      <c r="Y250" s="176"/>
      <c r="Z250" s="176"/>
    </row>
    <row r="251">
      <c r="A251" s="249" t="s">
        <v>9</v>
      </c>
      <c r="B251" s="249" t="s">
        <v>1576</v>
      </c>
      <c r="C251" s="219" t="s">
        <v>2979</v>
      </c>
      <c r="D251" s="268" t="s">
        <v>495</v>
      </c>
      <c r="E251" s="361">
        <v>44204.0</v>
      </c>
      <c r="F251" s="250" t="s">
        <v>496</v>
      </c>
      <c r="G251" s="171">
        <v>150.0</v>
      </c>
      <c r="H251" s="171">
        <v>100.0</v>
      </c>
      <c r="I251" s="171">
        <v>120.0</v>
      </c>
      <c r="J251" s="325">
        <f t="shared" si="2"/>
        <v>0.003125697439</v>
      </c>
      <c r="K251" s="326">
        <f t="shared" si="11"/>
        <v>2.344273079</v>
      </c>
      <c r="L251" s="327">
        <f t="shared" si="3"/>
        <v>8.078071742</v>
      </c>
      <c r="M251" s="321" t="str">
        <f t="shared" si="4"/>
        <v>akrtws</v>
      </c>
      <c r="N251" s="209">
        <f>IFERROR(__xludf.DUMMYFUNCTION("""COMPUTED_VALUE"""),7.0)</f>
        <v>7</v>
      </c>
      <c r="O251" s="176"/>
      <c r="P251" s="176"/>
      <c r="Q251" s="176"/>
      <c r="R251" s="176"/>
      <c r="S251" s="176"/>
      <c r="T251" s="176"/>
      <c r="U251" s="176"/>
      <c r="V251" s="176"/>
      <c r="W251" s="176"/>
      <c r="X251" s="176"/>
      <c r="Y251" s="176"/>
      <c r="Z251" s="176"/>
    </row>
    <row r="252">
      <c r="A252" s="240" t="s">
        <v>16</v>
      </c>
      <c r="B252" s="240" t="s">
        <v>534</v>
      </c>
      <c r="C252" s="256" t="s">
        <v>684</v>
      </c>
      <c r="D252" s="343"/>
      <c r="E252" s="344"/>
      <c r="F252" s="343"/>
      <c r="G252" s="253"/>
      <c r="H252" s="253"/>
      <c r="I252" s="253"/>
      <c r="J252" s="325"/>
      <c r="K252" s="345">
        <f>-0.85*50.987</f>
        <v>-43.33895</v>
      </c>
      <c r="L252" s="327">
        <f t="shared" si="3"/>
        <v>7.647892105</v>
      </c>
      <c r="M252" s="321" t="str">
        <f t="shared" si="4"/>
        <v>griffgreen</v>
      </c>
      <c r="N252" s="343">
        <f>IFERROR(__xludf.DUMMYFUNCTION("""COMPUTED_VALUE"""),1.0)</f>
        <v>1</v>
      </c>
      <c r="O252" s="343"/>
      <c r="P252" s="343"/>
      <c r="Q252" s="343"/>
      <c r="R252" s="343"/>
      <c r="S252" s="343"/>
      <c r="T252" s="343"/>
      <c r="U252" s="343"/>
      <c r="V252" s="343"/>
      <c r="W252" s="343"/>
      <c r="X252" s="343"/>
      <c r="Y252" s="226"/>
      <c r="Z252" s="226"/>
    </row>
    <row r="253">
      <c r="A253" s="249" t="s">
        <v>16</v>
      </c>
      <c r="B253" s="249" t="s">
        <v>10</v>
      </c>
      <c r="C253" s="329" t="s">
        <v>2980</v>
      </c>
      <c r="D253" s="268" t="s">
        <v>495</v>
      </c>
      <c r="E253" s="361">
        <v>44198.0</v>
      </c>
      <c r="F253" s="250" t="s">
        <v>496</v>
      </c>
      <c r="G253" s="243"/>
      <c r="H253" s="243"/>
      <c r="I253" s="243"/>
      <c r="J253" s="325">
        <f t="shared" ref="J253:J441" si="12">(G253/$G$2+H253/$H$2+I253/$I$2)/3</f>
        <v>0</v>
      </c>
      <c r="K253" s="330">
        <v>1.644736842105263</v>
      </c>
      <c r="L253" s="327">
        <f t="shared" si="3"/>
        <v>7.647892105</v>
      </c>
      <c r="M253" s="321" t="str">
        <f t="shared" si="4"/>
        <v>griffgreen</v>
      </c>
      <c r="N253" s="209">
        <f>IFERROR(__xludf.DUMMYFUNCTION("""COMPUTED_VALUE"""),2.0)</f>
        <v>2</v>
      </c>
      <c r="O253" s="176"/>
      <c r="P253" s="176"/>
      <c r="Q253" s="176"/>
      <c r="R253" s="176"/>
      <c r="S253" s="176"/>
      <c r="T253" s="176"/>
      <c r="U253" s="176"/>
      <c r="V253" s="176"/>
      <c r="W253" s="176"/>
      <c r="X253" s="176"/>
      <c r="Y253" s="176"/>
      <c r="Z253" s="176"/>
    </row>
    <row r="254">
      <c r="A254" s="249" t="s">
        <v>16</v>
      </c>
      <c r="B254" s="249" t="s">
        <v>10</v>
      </c>
      <c r="C254" s="329" t="s">
        <v>2873</v>
      </c>
      <c r="D254" s="268" t="s">
        <v>495</v>
      </c>
      <c r="E254" s="361">
        <v>44198.0</v>
      </c>
      <c r="F254" s="250" t="s">
        <v>496</v>
      </c>
      <c r="G254" s="243"/>
      <c r="H254" s="243"/>
      <c r="I254" s="243"/>
      <c r="J254" s="325">
        <f t="shared" si="12"/>
        <v>0</v>
      </c>
      <c r="K254" s="330">
        <v>1.644736842105263</v>
      </c>
      <c r="L254" s="327">
        <f t="shared" si="3"/>
        <v>7.647892105</v>
      </c>
      <c r="M254" s="321" t="str">
        <f t="shared" si="4"/>
        <v>griffgreen</v>
      </c>
      <c r="N254" s="209">
        <f>IFERROR(__xludf.DUMMYFUNCTION("""COMPUTED_VALUE"""),3.0)</f>
        <v>3</v>
      </c>
      <c r="O254" s="176"/>
      <c r="P254" s="176"/>
      <c r="Q254" s="176"/>
      <c r="R254" s="176"/>
      <c r="S254" s="176"/>
      <c r="T254" s="176"/>
      <c r="U254" s="176"/>
      <c r="V254" s="176"/>
      <c r="W254" s="176"/>
      <c r="X254" s="176"/>
      <c r="Y254" s="176"/>
      <c r="Z254" s="176"/>
    </row>
    <row r="255">
      <c r="A255" s="249" t="s">
        <v>16</v>
      </c>
      <c r="B255" s="249" t="s">
        <v>1228</v>
      </c>
      <c r="C255" s="329" t="s">
        <v>2874</v>
      </c>
      <c r="D255" s="268" t="s">
        <v>495</v>
      </c>
      <c r="E255" s="361">
        <v>44198.0</v>
      </c>
      <c r="F255" s="250" t="s">
        <v>496</v>
      </c>
      <c r="G255" s="243"/>
      <c r="H255" s="243"/>
      <c r="I255" s="243"/>
      <c r="J255" s="325">
        <f t="shared" si="12"/>
        <v>0</v>
      </c>
      <c r="K255" s="330">
        <v>1.644736842105263</v>
      </c>
      <c r="L255" s="327">
        <f t="shared" si="3"/>
        <v>7.647892105</v>
      </c>
      <c r="M255" s="321" t="str">
        <f t="shared" si="4"/>
        <v>griffgreen</v>
      </c>
      <c r="N255" s="209">
        <f>IFERROR(__xludf.DUMMYFUNCTION("""COMPUTED_VALUE"""),4.0)</f>
        <v>4</v>
      </c>
      <c r="O255" s="176"/>
      <c r="P255" s="176"/>
      <c r="Q255" s="176"/>
      <c r="R255" s="176"/>
      <c r="S255" s="176"/>
      <c r="T255" s="176"/>
      <c r="U255" s="176"/>
      <c r="V255" s="176"/>
      <c r="W255" s="176"/>
      <c r="X255" s="176"/>
      <c r="Y255" s="176"/>
      <c r="Z255" s="176"/>
    </row>
    <row r="256">
      <c r="A256" s="249" t="s">
        <v>16</v>
      </c>
      <c r="B256" s="249" t="s">
        <v>18</v>
      </c>
      <c r="C256" s="329" t="s">
        <v>2953</v>
      </c>
      <c r="D256" s="268" t="s">
        <v>495</v>
      </c>
      <c r="E256" s="361">
        <v>44198.0</v>
      </c>
      <c r="F256" s="250" t="s">
        <v>496</v>
      </c>
      <c r="G256" s="243"/>
      <c r="H256" s="243"/>
      <c r="I256" s="243"/>
      <c r="J256" s="325">
        <f t="shared" si="12"/>
        <v>0</v>
      </c>
      <c r="K256" s="330">
        <v>1.644736842105263</v>
      </c>
      <c r="L256" s="327">
        <f t="shared" si="3"/>
        <v>7.647892105</v>
      </c>
      <c r="M256" s="321" t="str">
        <f t="shared" si="4"/>
        <v>griffgreen</v>
      </c>
      <c r="N256" s="209">
        <f>IFERROR(__xludf.DUMMYFUNCTION("""COMPUTED_VALUE"""),5.0)</f>
        <v>5</v>
      </c>
      <c r="O256" s="176"/>
      <c r="P256" s="176"/>
      <c r="Q256" s="176"/>
      <c r="R256" s="176"/>
      <c r="S256" s="176"/>
      <c r="T256" s="176"/>
      <c r="U256" s="176"/>
      <c r="V256" s="176"/>
      <c r="W256" s="176"/>
      <c r="X256" s="176"/>
      <c r="Y256" s="176"/>
      <c r="Z256" s="176"/>
    </row>
    <row r="257">
      <c r="A257" s="249" t="s">
        <v>16</v>
      </c>
      <c r="B257" s="249" t="s">
        <v>519</v>
      </c>
      <c r="C257" s="329" t="s">
        <v>2905</v>
      </c>
      <c r="D257" s="268" t="s">
        <v>495</v>
      </c>
      <c r="E257" s="361">
        <v>44200.0</v>
      </c>
      <c r="F257" s="250" t="s">
        <v>499</v>
      </c>
      <c r="G257" s="243"/>
      <c r="H257" s="243"/>
      <c r="I257" s="243"/>
      <c r="J257" s="325">
        <f t="shared" si="12"/>
        <v>0</v>
      </c>
      <c r="K257" s="326">
        <f>J257*$J$1</f>
        <v>0</v>
      </c>
      <c r="L257" s="327">
        <f t="shared" si="3"/>
        <v>7.647892105</v>
      </c>
      <c r="M257" s="321" t="str">
        <f t="shared" si="4"/>
        <v>griffgreen</v>
      </c>
      <c r="N257" s="209">
        <f>IFERROR(__xludf.DUMMYFUNCTION("""COMPUTED_VALUE"""),6.0)</f>
        <v>6</v>
      </c>
      <c r="O257" s="176"/>
      <c r="P257" s="176"/>
      <c r="Q257" s="176"/>
      <c r="R257" s="176"/>
      <c r="S257" s="176"/>
      <c r="T257" s="176"/>
      <c r="U257" s="176"/>
      <c r="V257" s="176"/>
      <c r="W257" s="176"/>
      <c r="X257" s="176"/>
      <c r="Y257" s="176"/>
      <c r="Z257" s="176"/>
    </row>
    <row r="258">
      <c r="A258" s="249" t="s">
        <v>16</v>
      </c>
      <c r="B258" s="249" t="s">
        <v>6</v>
      </c>
      <c r="C258" s="329" t="s">
        <v>2913</v>
      </c>
      <c r="D258" s="268" t="s">
        <v>495</v>
      </c>
      <c r="E258" s="361">
        <v>44200.0</v>
      </c>
      <c r="F258" s="250" t="s">
        <v>496</v>
      </c>
      <c r="G258" s="243"/>
      <c r="H258" s="243"/>
      <c r="I258" s="243"/>
      <c r="J258" s="325">
        <f t="shared" si="12"/>
        <v>0</v>
      </c>
      <c r="K258" s="330">
        <v>1.644736842105263</v>
      </c>
      <c r="L258" s="327">
        <f t="shared" si="3"/>
        <v>7.647892105</v>
      </c>
      <c r="M258" s="321" t="str">
        <f t="shared" si="4"/>
        <v>griffgreen</v>
      </c>
      <c r="N258" s="209">
        <f>IFERROR(__xludf.DUMMYFUNCTION("""COMPUTED_VALUE"""),7.0)</f>
        <v>7</v>
      </c>
      <c r="O258" s="176"/>
      <c r="P258" s="176"/>
      <c r="Q258" s="176"/>
      <c r="R258" s="176"/>
      <c r="S258" s="176"/>
      <c r="T258" s="176"/>
      <c r="U258" s="176"/>
      <c r="V258" s="176"/>
      <c r="W258" s="176"/>
      <c r="X258" s="176"/>
      <c r="Y258" s="176"/>
      <c r="Z258" s="176"/>
    </row>
    <row r="259">
      <c r="A259" s="249" t="s">
        <v>16</v>
      </c>
      <c r="B259" s="249" t="s">
        <v>18</v>
      </c>
      <c r="C259" s="329" t="s">
        <v>2981</v>
      </c>
      <c r="D259" s="268" t="s">
        <v>495</v>
      </c>
      <c r="E259" s="361">
        <v>44201.0</v>
      </c>
      <c r="F259" s="250" t="s">
        <v>496</v>
      </c>
      <c r="G259" s="243"/>
      <c r="H259" s="243"/>
      <c r="I259" s="243"/>
      <c r="J259" s="325">
        <f t="shared" si="12"/>
        <v>0</v>
      </c>
      <c r="K259" s="330">
        <v>1.644736842105263</v>
      </c>
      <c r="L259" s="327">
        <f t="shared" si="3"/>
        <v>7.647892105</v>
      </c>
      <c r="M259" s="321" t="str">
        <f t="shared" si="4"/>
        <v>griffgreen</v>
      </c>
      <c r="N259" s="209">
        <f>IFERROR(__xludf.DUMMYFUNCTION("""COMPUTED_VALUE"""),8.0)</f>
        <v>8</v>
      </c>
      <c r="O259" s="176"/>
      <c r="P259" s="176"/>
      <c r="Q259" s="176"/>
      <c r="R259" s="176"/>
      <c r="S259" s="176"/>
      <c r="T259" s="176"/>
      <c r="U259" s="176"/>
      <c r="V259" s="176"/>
      <c r="W259" s="176"/>
      <c r="X259" s="176"/>
      <c r="Y259" s="176"/>
      <c r="Z259" s="176"/>
    </row>
    <row r="260">
      <c r="A260" s="249" t="s">
        <v>16</v>
      </c>
      <c r="B260" s="249" t="s">
        <v>519</v>
      </c>
      <c r="C260" s="329" t="s">
        <v>2876</v>
      </c>
      <c r="D260" s="268" t="s">
        <v>495</v>
      </c>
      <c r="E260" s="361">
        <v>44201.0</v>
      </c>
      <c r="F260" s="250" t="s">
        <v>499</v>
      </c>
      <c r="G260" s="243"/>
      <c r="H260" s="243"/>
      <c r="I260" s="243"/>
      <c r="J260" s="325">
        <f t="shared" si="12"/>
        <v>0</v>
      </c>
      <c r="K260" s="326">
        <f t="shared" ref="K260:K262" si="13">J260*$J$1</f>
        <v>0</v>
      </c>
      <c r="L260" s="327">
        <f t="shared" si="3"/>
        <v>7.647892105</v>
      </c>
      <c r="M260" s="321" t="str">
        <f t="shared" si="4"/>
        <v>griffgreen</v>
      </c>
      <c r="N260" s="209">
        <f>IFERROR(__xludf.DUMMYFUNCTION("""COMPUTED_VALUE"""),9.0)</f>
        <v>9</v>
      </c>
      <c r="O260" s="176"/>
      <c r="P260" s="176"/>
      <c r="Q260" s="176"/>
      <c r="R260" s="176"/>
      <c r="S260" s="176"/>
      <c r="T260" s="176"/>
      <c r="U260" s="176"/>
      <c r="V260" s="176"/>
      <c r="W260" s="176"/>
      <c r="X260" s="176"/>
      <c r="Y260" s="176"/>
      <c r="Z260" s="176"/>
    </row>
    <row r="261">
      <c r="A261" s="249" t="s">
        <v>16</v>
      </c>
      <c r="B261" s="249" t="s">
        <v>519</v>
      </c>
      <c r="C261" s="329" t="s">
        <v>2877</v>
      </c>
      <c r="D261" s="268" t="s">
        <v>495</v>
      </c>
      <c r="E261" s="361">
        <v>44201.0</v>
      </c>
      <c r="F261" s="250" t="s">
        <v>499</v>
      </c>
      <c r="G261" s="243"/>
      <c r="H261" s="243"/>
      <c r="I261" s="243"/>
      <c r="J261" s="325">
        <f t="shared" si="12"/>
        <v>0</v>
      </c>
      <c r="K261" s="326">
        <f t="shared" si="13"/>
        <v>0</v>
      </c>
      <c r="L261" s="327">
        <f t="shared" si="3"/>
        <v>7.647892105</v>
      </c>
      <c r="M261" s="321" t="str">
        <f t="shared" si="4"/>
        <v>griffgreen</v>
      </c>
      <c r="N261" s="209">
        <f>IFERROR(__xludf.DUMMYFUNCTION("""COMPUTED_VALUE"""),10.0)</f>
        <v>10</v>
      </c>
      <c r="O261" s="176"/>
      <c r="P261" s="176"/>
      <c r="Q261" s="176"/>
      <c r="R261" s="176"/>
      <c r="S261" s="176"/>
      <c r="T261" s="176"/>
      <c r="U261" s="176"/>
      <c r="V261" s="176"/>
      <c r="W261" s="176"/>
      <c r="X261" s="176"/>
      <c r="Y261" s="176"/>
      <c r="Z261" s="176"/>
    </row>
    <row r="262">
      <c r="A262" s="249" t="s">
        <v>16</v>
      </c>
      <c r="B262" s="249" t="s">
        <v>519</v>
      </c>
      <c r="C262" s="329" t="s">
        <v>2878</v>
      </c>
      <c r="D262" s="268" t="s">
        <v>495</v>
      </c>
      <c r="E262" s="361">
        <v>44201.0</v>
      </c>
      <c r="F262" s="250" t="s">
        <v>499</v>
      </c>
      <c r="G262" s="243"/>
      <c r="H262" s="243"/>
      <c r="I262" s="243"/>
      <c r="J262" s="325">
        <f t="shared" si="12"/>
        <v>0</v>
      </c>
      <c r="K262" s="326">
        <f t="shared" si="13"/>
        <v>0</v>
      </c>
      <c r="L262" s="327">
        <f t="shared" si="3"/>
        <v>7.647892105</v>
      </c>
      <c r="M262" s="321" t="str">
        <f t="shared" si="4"/>
        <v>griffgreen</v>
      </c>
      <c r="N262" s="209">
        <f>IFERROR(__xludf.DUMMYFUNCTION("""COMPUTED_VALUE"""),11.0)</f>
        <v>11</v>
      </c>
      <c r="O262" s="176"/>
      <c r="P262" s="176"/>
      <c r="Q262" s="176"/>
      <c r="R262" s="176"/>
      <c r="S262" s="176"/>
      <c r="T262" s="176"/>
      <c r="U262" s="176"/>
      <c r="V262" s="176"/>
      <c r="W262" s="176"/>
      <c r="X262" s="176"/>
      <c r="Y262" s="176"/>
      <c r="Z262" s="176"/>
    </row>
    <row r="263">
      <c r="A263" s="249" t="s">
        <v>16</v>
      </c>
      <c r="B263" s="249" t="s">
        <v>925</v>
      </c>
      <c r="C263" s="329" t="s">
        <v>2982</v>
      </c>
      <c r="D263" s="268" t="s">
        <v>495</v>
      </c>
      <c r="E263" s="361">
        <v>44202.0</v>
      </c>
      <c r="F263" s="250" t="s">
        <v>496</v>
      </c>
      <c r="G263" s="243"/>
      <c r="H263" s="243"/>
      <c r="I263" s="243"/>
      <c r="J263" s="325">
        <f t="shared" si="12"/>
        <v>0</v>
      </c>
      <c r="K263" s="330">
        <v>1.644736842105263</v>
      </c>
      <c r="L263" s="327">
        <f t="shared" si="3"/>
        <v>7.647892105</v>
      </c>
      <c r="M263" s="321" t="str">
        <f t="shared" si="4"/>
        <v>griffgreen</v>
      </c>
      <c r="N263" s="209">
        <f>IFERROR(__xludf.DUMMYFUNCTION("""COMPUTED_VALUE"""),12.0)</f>
        <v>12</v>
      </c>
      <c r="O263" s="176"/>
      <c r="P263" s="176"/>
      <c r="Q263" s="176"/>
      <c r="R263" s="176"/>
      <c r="S263" s="176"/>
      <c r="T263" s="176"/>
      <c r="U263" s="176"/>
      <c r="V263" s="176"/>
      <c r="W263" s="176"/>
      <c r="X263" s="176"/>
      <c r="Y263" s="176"/>
      <c r="Z263" s="176"/>
    </row>
    <row r="264">
      <c r="A264" s="249" t="s">
        <v>16</v>
      </c>
      <c r="B264" s="249" t="s">
        <v>867</v>
      </c>
      <c r="C264" s="329" t="s">
        <v>2880</v>
      </c>
      <c r="D264" s="268" t="s">
        <v>495</v>
      </c>
      <c r="E264" s="361">
        <v>44202.0</v>
      </c>
      <c r="F264" s="250" t="s">
        <v>496</v>
      </c>
      <c r="G264" s="243"/>
      <c r="H264" s="243"/>
      <c r="I264" s="243"/>
      <c r="J264" s="325">
        <f t="shared" si="12"/>
        <v>0</v>
      </c>
      <c r="K264" s="330">
        <v>1.644736842105263</v>
      </c>
      <c r="L264" s="327">
        <f t="shared" si="3"/>
        <v>7.647892105</v>
      </c>
      <c r="M264" s="321" t="str">
        <f t="shared" si="4"/>
        <v>griffgreen</v>
      </c>
      <c r="N264" s="209">
        <f>IFERROR(__xludf.DUMMYFUNCTION("""COMPUTED_VALUE"""),13.0)</f>
        <v>13</v>
      </c>
      <c r="O264" s="176"/>
      <c r="P264" s="176"/>
      <c r="Q264" s="176"/>
      <c r="R264" s="176"/>
      <c r="S264" s="176"/>
      <c r="T264" s="176"/>
      <c r="U264" s="176"/>
      <c r="V264" s="176"/>
      <c r="W264" s="176"/>
      <c r="X264" s="176"/>
      <c r="Y264" s="176"/>
      <c r="Z264" s="176"/>
    </row>
    <row r="265">
      <c r="A265" s="249" t="s">
        <v>16</v>
      </c>
      <c r="B265" s="249" t="s">
        <v>18</v>
      </c>
      <c r="C265" s="329" t="s">
        <v>2882</v>
      </c>
      <c r="D265" s="268" t="s">
        <v>495</v>
      </c>
      <c r="E265" s="361">
        <v>44202.0</v>
      </c>
      <c r="F265" s="250" t="s">
        <v>496</v>
      </c>
      <c r="G265" s="243"/>
      <c r="H265" s="243"/>
      <c r="I265" s="243"/>
      <c r="J265" s="325">
        <f t="shared" si="12"/>
        <v>0</v>
      </c>
      <c r="K265" s="330">
        <v>1.644736842105263</v>
      </c>
      <c r="L265" s="327">
        <f t="shared" si="3"/>
        <v>7.647892105</v>
      </c>
      <c r="M265" s="321" t="str">
        <f t="shared" si="4"/>
        <v>griffgreen</v>
      </c>
      <c r="N265" s="209">
        <f>IFERROR(__xludf.DUMMYFUNCTION("""COMPUTED_VALUE"""),14.0)</f>
        <v>14</v>
      </c>
      <c r="O265" s="176"/>
      <c r="P265" s="176"/>
      <c r="Q265" s="176"/>
      <c r="R265" s="176"/>
      <c r="S265" s="176"/>
      <c r="T265" s="176"/>
      <c r="U265" s="176"/>
      <c r="V265" s="176"/>
      <c r="W265" s="176"/>
      <c r="X265" s="176"/>
      <c r="Y265" s="176"/>
      <c r="Z265" s="176"/>
    </row>
    <row r="266">
      <c r="A266" s="249" t="s">
        <v>16</v>
      </c>
      <c r="B266" s="249" t="s">
        <v>18</v>
      </c>
      <c r="C266" s="329" t="s">
        <v>2883</v>
      </c>
      <c r="D266" s="268" t="s">
        <v>495</v>
      </c>
      <c r="E266" s="361">
        <v>44202.0</v>
      </c>
      <c r="F266" s="250" t="s">
        <v>496</v>
      </c>
      <c r="G266" s="243"/>
      <c r="H266" s="243"/>
      <c r="I266" s="243"/>
      <c r="J266" s="325">
        <f t="shared" si="12"/>
        <v>0</v>
      </c>
      <c r="K266" s="330">
        <v>1.644736842105263</v>
      </c>
      <c r="L266" s="327">
        <f t="shared" si="3"/>
        <v>7.647892105</v>
      </c>
      <c r="M266" s="321" t="str">
        <f t="shared" si="4"/>
        <v>griffgreen</v>
      </c>
      <c r="N266" s="209">
        <f>IFERROR(__xludf.DUMMYFUNCTION("""COMPUTED_VALUE"""),15.0)</f>
        <v>15</v>
      </c>
      <c r="O266" s="176"/>
      <c r="P266" s="176"/>
      <c r="Q266" s="176"/>
      <c r="R266" s="176"/>
      <c r="S266" s="176"/>
      <c r="T266" s="176"/>
      <c r="U266" s="176"/>
      <c r="V266" s="176"/>
      <c r="W266" s="176"/>
      <c r="X266" s="176"/>
      <c r="Y266" s="176"/>
      <c r="Z266" s="176"/>
    </row>
    <row r="267">
      <c r="A267" s="249" t="s">
        <v>16</v>
      </c>
      <c r="B267" s="249" t="s">
        <v>519</v>
      </c>
      <c r="C267" s="329" t="s">
        <v>2329</v>
      </c>
      <c r="D267" s="268" t="s">
        <v>495</v>
      </c>
      <c r="E267" s="361">
        <v>44204.0</v>
      </c>
      <c r="F267" s="250" t="s">
        <v>521</v>
      </c>
      <c r="G267" s="243"/>
      <c r="H267" s="243"/>
      <c r="I267" s="243"/>
      <c r="J267" s="325">
        <f t="shared" si="12"/>
        <v>0</v>
      </c>
      <c r="K267" s="326">
        <f>J267*$J$1</f>
        <v>0</v>
      </c>
      <c r="L267" s="327">
        <f t="shared" si="3"/>
        <v>7.647892105</v>
      </c>
      <c r="M267" s="321" t="str">
        <f t="shared" si="4"/>
        <v>griffgreen</v>
      </c>
      <c r="N267" s="209">
        <f>IFERROR(__xludf.DUMMYFUNCTION("""COMPUTED_VALUE"""),16.0)</f>
        <v>16</v>
      </c>
      <c r="O267" s="176"/>
      <c r="P267" s="176"/>
      <c r="Q267" s="176"/>
      <c r="R267" s="176"/>
      <c r="S267" s="176"/>
      <c r="T267" s="176"/>
      <c r="U267" s="176"/>
      <c r="V267" s="176"/>
      <c r="W267" s="176"/>
      <c r="X267" s="176"/>
      <c r="Y267" s="176"/>
      <c r="Z267" s="176"/>
    </row>
    <row r="268">
      <c r="A268" s="249" t="s">
        <v>16</v>
      </c>
      <c r="B268" s="249" t="s">
        <v>10</v>
      </c>
      <c r="C268" s="329" t="s">
        <v>2972</v>
      </c>
      <c r="D268" s="268" t="s">
        <v>495</v>
      </c>
      <c r="E268" s="361">
        <v>44204.0</v>
      </c>
      <c r="F268" s="250" t="s">
        <v>496</v>
      </c>
      <c r="G268" s="243"/>
      <c r="H268" s="243"/>
      <c r="I268" s="243"/>
      <c r="J268" s="325">
        <f t="shared" si="12"/>
        <v>0</v>
      </c>
      <c r="K268" s="330">
        <v>1.644736842105263</v>
      </c>
      <c r="L268" s="327">
        <f t="shared" si="3"/>
        <v>7.647892105</v>
      </c>
      <c r="M268" s="321" t="str">
        <f t="shared" si="4"/>
        <v>griffgreen</v>
      </c>
      <c r="N268" s="209">
        <f>IFERROR(__xludf.DUMMYFUNCTION("""COMPUTED_VALUE"""),17.0)</f>
        <v>17</v>
      </c>
      <c r="O268" s="176"/>
      <c r="P268" s="176"/>
      <c r="Q268" s="176"/>
      <c r="R268" s="176"/>
      <c r="S268" s="176"/>
      <c r="T268" s="176"/>
      <c r="U268" s="176"/>
      <c r="V268" s="176"/>
      <c r="W268" s="176"/>
      <c r="X268" s="176"/>
      <c r="Y268" s="176"/>
      <c r="Z268" s="176"/>
    </row>
    <row r="269">
      <c r="A269" s="249" t="s">
        <v>16</v>
      </c>
      <c r="B269" s="249" t="s">
        <v>10</v>
      </c>
      <c r="C269" s="329" t="s">
        <v>2887</v>
      </c>
      <c r="D269" s="268" t="s">
        <v>495</v>
      </c>
      <c r="E269" s="361">
        <v>44204.0</v>
      </c>
      <c r="F269" s="250" t="s">
        <v>496</v>
      </c>
      <c r="G269" s="243"/>
      <c r="H269" s="243"/>
      <c r="I269" s="243"/>
      <c r="J269" s="325">
        <f t="shared" si="12"/>
        <v>0</v>
      </c>
      <c r="K269" s="330">
        <v>1.644736842105263</v>
      </c>
      <c r="L269" s="327">
        <f t="shared" si="3"/>
        <v>7.647892105</v>
      </c>
      <c r="M269" s="321" t="str">
        <f t="shared" si="4"/>
        <v>griffgreen</v>
      </c>
      <c r="N269" s="209">
        <f>IFERROR(__xludf.DUMMYFUNCTION("""COMPUTED_VALUE"""),18.0)</f>
        <v>18</v>
      </c>
      <c r="O269" s="176"/>
      <c r="P269" s="176"/>
      <c r="Q269" s="176"/>
      <c r="R269" s="176"/>
      <c r="S269" s="176"/>
      <c r="T269" s="176"/>
      <c r="U269" s="176"/>
      <c r="V269" s="176"/>
      <c r="W269" s="176"/>
      <c r="X269" s="176"/>
      <c r="Y269" s="176"/>
      <c r="Z269" s="176"/>
    </row>
    <row r="270">
      <c r="A270" s="249" t="s">
        <v>16</v>
      </c>
      <c r="B270" s="249" t="s">
        <v>10</v>
      </c>
      <c r="C270" s="329" t="s">
        <v>2888</v>
      </c>
      <c r="D270" s="268" t="s">
        <v>495</v>
      </c>
      <c r="E270" s="361">
        <v>44204.0</v>
      </c>
      <c r="F270" s="250" t="s">
        <v>496</v>
      </c>
      <c r="G270" s="243"/>
      <c r="H270" s="243"/>
      <c r="I270" s="243"/>
      <c r="J270" s="325">
        <f t="shared" si="12"/>
        <v>0</v>
      </c>
      <c r="K270" s="330">
        <v>1.644736842105263</v>
      </c>
      <c r="L270" s="327">
        <f t="shared" si="3"/>
        <v>7.647892105</v>
      </c>
      <c r="M270" s="321" t="str">
        <f t="shared" si="4"/>
        <v>griffgreen</v>
      </c>
      <c r="N270" s="209">
        <f>IFERROR(__xludf.DUMMYFUNCTION("""COMPUTED_VALUE"""),19.0)</f>
        <v>19</v>
      </c>
      <c r="O270" s="176"/>
      <c r="P270" s="176"/>
      <c r="Q270" s="176"/>
      <c r="R270" s="176"/>
      <c r="S270" s="176"/>
      <c r="T270" s="176"/>
      <c r="U270" s="176"/>
      <c r="V270" s="176"/>
      <c r="W270" s="176"/>
      <c r="X270" s="176"/>
      <c r="Y270" s="176"/>
      <c r="Z270" s="176"/>
    </row>
    <row r="271">
      <c r="A271" s="249" t="s">
        <v>16</v>
      </c>
      <c r="B271" s="249" t="s">
        <v>1576</v>
      </c>
      <c r="C271" s="329" t="s">
        <v>2973</v>
      </c>
      <c r="D271" s="268" t="s">
        <v>495</v>
      </c>
      <c r="E271" s="361">
        <v>44204.0</v>
      </c>
      <c r="F271" s="250" t="s">
        <v>496</v>
      </c>
      <c r="G271" s="243"/>
      <c r="H271" s="243"/>
      <c r="I271" s="243"/>
      <c r="J271" s="325">
        <f t="shared" si="12"/>
        <v>0</v>
      </c>
      <c r="K271" s="330">
        <v>1.644736842105263</v>
      </c>
      <c r="L271" s="327">
        <f t="shared" si="3"/>
        <v>7.647892105</v>
      </c>
      <c r="M271" s="321" t="str">
        <f t="shared" si="4"/>
        <v>griffgreen</v>
      </c>
      <c r="N271" s="209">
        <f>IFERROR(__xludf.DUMMYFUNCTION("""COMPUTED_VALUE"""),20.0)</f>
        <v>20</v>
      </c>
      <c r="O271" s="176"/>
      <c r="P271" s="176"/>
      <c r="Q271" s="176"/>
      <c r="R271" s="176"/>
      <c r="S271" s="176"/>
      <c r="T271" s="176"/>
      <c r="U271" s="176"/>
      <c r="V271" s="176"/>
      <c r="W271" s="176"/>
      <c r="X271" s="176"/>
      <c r="Y271" s="176"/>
      <c r="Z271" s="176"/>
    </row>
    <row r="272">
      <c r="A272" s="249" t="s">
        <v>16</v>
      </c>
      <c r="B272" s="249" t="s">
        <v>10</v>
      </c>
      <c r="C272" s="329" t="s">
        <v>2908</v>
      </c>
      <c r="D272" s="268" t="s">
        <v>495</v>
      </c>
      <c r="E272" s="361">
        <v>44205.0</v>
      </c>
      <c r="F272" s="250" t="s">
        <v>545</v>
      </c>
      <c r="G272" s="243"/>
      <c r="H272" s="243"/>
      <c r="I272" s="243"/>
      <c r="J272" s="325">
        <f t="shared" si="12"/>
        <v>0</v>
      </c>
      <c r="K272" s="330">
        <v>1.644736842105263</v>
      </c>
      <c r="L272" s="327">
        <f t="shared" si="3"/>
        <v>7.647892105</v>
      </c>
      <c r="M272" s="321" t="str">
        <f t="shared" si="4"/>
        <v>griffgreen</v>
      </c>
      <c r="N272" s="209">
        <f>IFERROR(__xludf.DUMMYFUNCTION("""COMPUTED_VALUE"""),21.0)</f>
        <v>21</v>
      </c>
      <c r="O272" s="176"/>
      <c r="P272" s="176"/>
      <c r="Q272" s="176"/>
      <c r="R272" s="176"/>
      <c r="S272" s="176"/>
      <c r="T272" s="176"/>
      <c r="U272" s="176"/>
      <c r="V272" s="176"/>
      <c r="W272" s="176"/>
      <c r="X272" s="176"/>
      <c r="Y272" s="176"/>
      <c r="Z272" s="176"/>
    </row>
    <row r="273">
      <c r="A273" s="249" t="s">
        <v>16</v>
      </c>
      <c r="B273" s="249" t="s">
        <v>10</v>
      </c>
      <c r="C273" s="329" t="s">
        <v>2890</v>
      </c>
      <c r="D273" s="268" t="s">
        <v>495</v>
      </c>
      <c r="E273" s="361">
        <v>44205.0</v>
      </c>
      <c r="F273" s="250" t="s">
        <v>496</v>
      </c>
      <c r="G273" s="243"/>
      <c r="H273" s="243"/>
      <c r="I273" s="243"/>
      <c r="J273" s="325">
        <f t="shared" si="12"/>
        <v>0</v>
      </c>
      <c r="K273" s="330">
        <v>1.644736842105263</v>
      </c>
      <c r="L273" s="327">
        <f t="shared" si="3"/>
        <v>7.647892105</v>
      </c>
      <c r="M273" s="321" t="str">
        <f t="shared" si="4"/>
        <v>griffgreen</v>
      </c>
      <c r="N273" s="209">
        <f>IFERROR(__xludf.DUMMYFUNCTION("""COMPUTED_VALUE"""),22.0)</f>
        <v>22</v>
      </c>
      <c r="O273" s="176"/>
      <c r="P273" s="176"/>
      <c r="Q273" s="176"/>
      <c r="R273" s="176"/>
      <c r="S273" s="176"/>
      <c r="T273" s="176"/>
      <c r="U273" s="176"/>
      <c r="V273" s="176"/>
      <c r="W273" s="176"/>
      <c r="X273" s="176"/>
      <c r="Y273" s="176"/>
      <c r="Z273" s="176"/>
    </row>
    <row r="274">
      <c r="A274" s="249" t="s">
        <v>16</v>
      </c>
      <c r="B274" s="249" t="s">
        <v>925</v>
      </c>
      <c r="C274" s="329" t="s">
        <v>2933</v>
      </c>
      <c r="D274" s="268" t="s">
        <v>495</v>
      </c>
      <c r="E274" s="361">
        <v>44205.0</v>
      </c>
      <c r="F274" s="250" t="s">
        <v>496</v>
      </c>
      <c r="G274" s="243"/>
      <c r="H274" s="243"/>
      <c r="I274" s="243"/>
      <c r="J274" s="325">
        <f t="shared" si="12"/>
        <v>0</v>
      </c>
      <c r="K274" s="330">
        <v>1.644736842105263</v>
      </c>
      <c r="L274" s="327">
        <f t="shared" si="3"/>
        <v>7.647892105</v>
      </c>
      <c r="M274" s="321" t="str">
        <f t="shared" si="4"/>
        <v>griffgreen</v>
      </c>
      <c r="N274" s="209">
        <f>IFERROR(__xludf.DUMMYFUNCTION("""COMPUTED_VALUE"""),23.0)</f>
        <v>23</v>
      </c>
      <c r="O274" s="176"/>
      <c r="P274" s="176"/>
      <c r="Q274" s="176"/>
      <c r="R274" s="176"/>
      <c r="S274" s="176"/>
      <c r="T274" s="176"/>
      <c r="U274" s="176"/>
      <c r="V274" s="176"/>
      <c r="W274" s="176"/>
      <c r="X274" s="176"/>
      <c r="Y274" s="176"/>
      <c r="Z274" s="176"/>
    </row>
    <row r="275">
      <c r="A275" s="249" t="s">
        <v>16</v>
      </c>
      <c r="B275" s="249" t="s">
        <v>868</v>
      </c>
      <c r="C275" s="329" t="s">
        <v>2891</v>
      </c>
      <c r="D275" s="268" t="s">
        <v>495</v>
      </c>
      <c r="E275" s="361">
        <v>44205.0</v>
      </c>
      <c r="F275" s="250" t="s">
        <v>496</v>
      </c>
      <c r="G275" s="243"/>
      <c r="H275" s="243"/>
      <c r="I275" s="243"/>
      <c r="J275" s="325">
        <f t="shared" si="12"/>
        <v>0</v>
      </c>
      <c r="K275" s="330">
        <v>1.644736842105263</v>
      </c>
      <c r="L275" s="327">
        <f t="shared" si="3"/>
        <v>7.647892105</v>
      </c>
      <c r="M275" s="321" t="str">
        <f t="shared" si="4"/>
        <v>griffgreen</v>
      </c>
      <c r="N275" s="209">
        <f>IFERROR(__xludf.DUMMYFUNCTION("""COMPUTED_VALUE"""),24.0)</f>
        <v>24</v>
      </c>
      <c r="O275" s="176"/>
      <c r="P275" s="176"/>
      <c r="Q275" s="176"/>
      <c r="R275" s="176"/>
      <c r="S275" s="176"/>
      <c r="T275" s="176"/>
      <c r="U275" s="176"/>
      <c r="V275" s="176"/>
      <c r="W275" s="176"/>
      <c r="X275" s="176"/>
      <c r="Y275" s="176"/>
      <c r="Z275" s="176"/>
    </row>
    <row r="276">
      <c r="A276" s="249" t="s">
        <v>16</v>
      </c>
      <c r="B276" s="249" t="s">
        <v>1228</v>
      </c>
      <c r="C276" s="329" t="s">
        <v>2892</v>
      </c>
      <c r="D276" s="268" t="s">
        <v>495</v>
      </c>
      <c r="E276" s="251">
        <v>44206.0</v>
      </c>
      <c r="F276" s="250" t="s">
        <v>496</v>
      </c>
      <c r="G276" s="243"/>
      <c r="H276" s="243"/>
      <c r="I276" s="243"/>
      <c r="J276" s="325">
        <f t="shared" si="12"/>
        <v>0</v>
      </c>
      <c r="K276" s="330">
        <v>1.644736842105263</v>
      </c>
      <c r="L276" s="327">
        <f t="shared" si="3"/>
        <v>7.647892105</v>
      </c>
      <c r="M276" s="321" t="str">
        <f t="shared" si="4"/>
        <v>griffgreen</v>
      </c>
      <c r="N276" s="209">
        <f>IFERROR(__xludf.DUMMYFUNCTION("""COMPUTED_VALUE"""),25.0)</f>
        <v>25</v>
      </c>
      <c r="O276" s="176"/>
      <c r="P276" s="176"/>
      <c r="Q276" s="176"/>
      <c r="R276" s="176"/>
      <c r="S276" s="176"/>
      <c r="T276" s="176"/>
      <c r="U276" s="176"/>
      <c r="V276" s="176"/>
      <c r="W276" s="176"/>
      <c r="X276" s="176"/>
      <c r="Y276" s="176"/>
      <c r="Z276" s="176"/>
    </row>
    <row r="277">
      <c r="A277" s="249" t="s">
        <v>16</v>
      </c>
      <c r="B277" s="249" t="s">
        <v>1228</v>
      </c>
      <c r="C277" s="329" t="s">
        <v>2936</v>
      </c>
      <c r="D277" s="268" t="s">
        <v>495</v>
      </c>
      <c r="E277" s="251">
        <v>44206.0</v>
      </c>
      <c r="F277" s="250" t="s">
        <v>496</v>
      </c>
      <c r="G277" s="243"/>
      <c r="H277" s="243"/>
      <c r="I277" s="243"/>
      <c r="J277" s="325">
        <f t="shared" si="12"/>
        <v>0</v>
      </c>
      <c r="K277" s="330">
        <v>1.644736842105263</v>
      </c>
      <c r="L277" s="327">
        <f t="shared" si="3"/>
        <v>7.647892105</v>
      </c>
      <c r="M277" s="321" t="str">
        <f t="shared" si="4"/>
        <v>griffgreen</v>
      </c>
      <c r="N277" s="209">
        <f>IFERROR(__xludf.DUMMYFUNCTION("""COMPUTED_VALUE"""),26.0)</f>
        <v>26</v>
      </c>
      <c r="O277" s="176"/>
      <c r="P277" s="176"/>
      <c r="Q277" s="176"/>
      <c r="R277" s="176"/>
      <c r="S277" s="176"/>
      <c r="T277" s="176"/>
      <c r="U277" s="176"/>
      <c r="V277" s="176"/>
      <c r="W277" s="176"/>
      <c r="X277" s="176"/>
      <c r="Y277" s="176"/>
      <c r="Z277" s="176"/>
    </row>
    <row r="278">
      <c r="A278" s="249" t="s">
        <v>16</v>
      </c>
      <c r="B278" s="249" t="s">
        <v>1231</v>
      </c>
      <c r="C278" s="329" t="s">
        <v>2983</v>
      </c>
      <c r="D278" s="268" t="s">
        <v>495</v>
      </c>
      <c r="E278" s="251">
        <v>44206.0</v>
      </c>
      <c r="F278" s="250" t="s">
        <v>496</v>
      </c>
      <c r="G278" s="243"/>
      <c r="H278" s="243"/>
      <c r="I278" s="243"/>
      <c r="J278" s="325">
        <f t="shared" si="12"/>
        <v>0</v>
      </c>
      <c r="K278" s="330">
        <v>1.644736842105263</v>
      </c>
      <c r="L278" s="327">
        <f t="shared" si="3"/>
        <v>7.647892105</v>
      </c>
      <c r="M278" s="321" t="str">
        <f t="shared" si="4"/>
        <v>griffgreen</v>
      </c>
      <c r="N278" s="209">
        <f>IFERROR(__xludf.DUMMYFUNCTION("""COMPUTED_VALUE"""),27.0)</f>
        <v>27</v>
      </c>
      <c r="O278" s="176"/>
      <c r="P278" s="176"/>
      <c r="Q278" s="176"/>
      <c r="R278" s="176"/>
      <c r="S278" s="176"/>
      <c r="T278" s="176"/>
      <c r="U278" s="176"/>
      <c r="V278" s="176"/>
      <c r="W278" s="176"/>
      <c r="X278" s="176"/>
      <c r="Y278" s="176"/>
      <c r="Z278" s="176"/>
    </row>
    <row r="279">
      <c r="A279" s="249" t="s">
        <v>16</v>
      </c>
      <c r="B279" s="249" t="s">
        <v>519</v>
      </c>
      <c r="C279" s="329" t="s">
        <v>2944</v>
      </c>
      <c r="D279" s="268" t="s">
        <v>495</v>
      </c>
      <c r="E279" s="251">
        <v>44207.0</v>
      </c>
      <c r="F279" s="250" t="s">
        <v>496</v>
      </c>
      <c r="G279" s="243"/>
      <c r="H279" s="243"/>
      <c r="I279" s="243"/>
      <c r="J279" s="325">
        <f t="shared" si="12"/>
        <v>0</v>
      </c>
      <c r="K279" s="326">
        <f>J279*$J$1</f>
        <v>0</v>
      </c>
      <c r="L279" s="327">
        <f t="shared" si="3"/>
        <v>7.647892105</v>
      </c>
      <c r="M279" s="321" t="str">
        <f t="shared" si="4"/>
        <v>griffgreen</v>
      </c>
      <c r="N279" s="209">
        <f>IFERROR(__xludf.DUMMYFUNCTION("""COMPUTED_VALUE"""),28.0)</f>
        <v>28</v>
      </c>
      <c r="O279" s="176"/>
      <c r="P279" s="176"/>
      <c r="Q279" s="176"/>
      <c r="R279" s="176"/>
      <c r="S279" s="176"/>
      <c r="T279" s="176"/>
      <c r="U279" s="176"/>
      <c r="V279" s="176"/>
      <c r="W279" s="176"/>
      <c r="X279" s="176"/>
      <c r="Y279" s="176"/>
      <c r="Z279" s="176"/>
    </row>
    <row r="280">
      <c r="A280" s="249" t="s">
        <v>16</v>
      </c>
      <c r="B280" s="249" t="s">
        <v>590</v>
      </c>
      <c r="C280" s="329" t="s">
        <v>2893</v>
      </c>
      <c r="D280" s="268" t="s">
        <v>495</v>
      </c>
      <c r="E280" s="251">
        <v>44208.0</v>
      </c>
      <c r="F280" s="250" t="s">
        <v>496</v>
      </c>
      <c r="G280" s="243"/>
      <c r="H280" s="243"/>
      <c r="I280" s="243"/>
      <c r="J280" s="325">
        <f t="shared" si="12"/>
        <v>0</v>
      </c>
      <c r="K280" s="330">
        <v>1.644736842105263</v>
      </c>
      <c r="L280" s="327">
        <f t="shared" si="3"/>
        <v>7.647892105</v>
      </c>
      <c r="M280" s="321" t="str">
        <f t="shared" si="4"/>
        <v>griffgreen</v>
      </c>
      <c r="N280" s="209">
        <f>IFERROR(__xludf.DUMMYFUNCTION("""COMPUTED_VALUE"""),29.0)</f>
        <v>29</v>
      </c>
      <c r="O280" s="176"/>
      <c r="P280" s="176"/>
      <c r="Q280" s="176"/>
      <c r="R280" s="176"/>
      <c r="S280" s="176"/>
      <c r="T280" s="176"/>
      <c r="U280" s="176"/>
      <c r="V280" s="176"/>
      <c r="W280" s="176"/>
      <c r="X280" s="176"/>
      <c r="Y280" s="176"/>
      <c r="Z280" s="176"/>
    </row>
    <row r="281">
      <c r="A281" s="249" t="s">
        <v>16</v>
      </c>
      <c r="B281" s="249" t="s">
        <v>519</v>
      </c>
      <c r="C281" s="329" t="s">
        <v>2984</v>
      </c>
      <c r="D281" s="268" t="s">
        <v>495</v>
      </c>
      <c r="E281" s="251">
        <v>44209.0</v>
      </c>
      <c r="F281" s="250" t="s">
        <v>521</v>
      </c>
      <c r="G281" s="243"/>
      <c r="H281" s="243"/>
      <c r="I281" s="243"/>
      <c r="J281" s="325">
        <f t="shared" si="12"/>
        <v>0</v>
      </c>
      <c r="K281" s="326">
        <f>J281*$J$1</f>
        <v>0</v>
      </c>
      <c r="L281" s="327">
        <f t="shared" si="3"/>
        <v>7.647892105</v>
      </c>
      <c r="M281" s="321" t="str">
        <f t="shared" si="4"/>
        <v>griffgreen</v>
      </c>
      <c r="N281" s="209">
        <f>IFERROR(__xludf.DUMMYFUNCTION("""COMPUTED_VALUE"""),30.0)</f>
        <v>30</v>
      </c>
      <c r="O281" s="176"/>
      <c r="P281" s="176"/>
      <c r="Q281" s="176"/>
      <c r="R281" s="176"/>
      <c r="S281" s="176"/>
      <c r="T281" s="176"/>
      <c r="U281" s="176"/>
      <c r="V281" s="176"/>
      <c r="W281" s="176"/>
      <c r="X281" s="176"/>
      <c r="Y281" s="176"/>
      <c r="Z281" s="176"/>
    </row>
    <row r="282">
      <c r="A282" s="249" t="s">
        <v>16</v>
      </c>
      <c r="B282" s="249" t="s">
        <v>5</v>
      </c>
      <c r="C282" s="329" t="s">
        <v>2894</v>
      </c>
      <c r="D282" s="268" t="s">
        <v>495</v>
      </c>
      <c r="E282" s="251">
        <v>44210.0</v>
      </c>
      <c r="F282" s="250" t="s">
        <v>496</v>
      </c>
      <c r="G282" s="243"/>
      <c r="H282" s="243"/>
      <c r="I282" s="243"/>
      <c r="J282" s="325">
        <f t="shared" si="12"/>
        <v>0</v>
      </c>
      <c r="K282" s="330">
        <v>1.644736842105263</v>
      </c>
      <c r="L282" s="327">
        <f t="shared" si="3"/>
        <v>7.647892105</v>
      </c>
      <c r="M282" s="321" t="str">
        <f t="shared" si="4"/>
        <v>griffgreen</v>
      </c>
      <c r="N282" s="209">
        <f>IFERROR(__xludf.DUMMYFUNCTION("""COMPUTED_VALUE"""),31.0)</f>
        <v>31</v>
      </c>
      <c r="O282" s="176"/>
      <c r="P282" s="176"/>
      <c r="Q282" s="176"/>
      <c r="R282" s="176"/>
      <c r="S282" s="176"/>
      <c r="T282" s="176"/>
      <c r="U282" s="176"/>
      <c r="V282" s="176"/>
      <c r="W282" s="176"/>
      <c r="X282" s="176"/>
      <c r="Y282" s="176"/>
      <c r="Z282" s="176"/>
    </row>
    <row r="283">
      <c r="A283" s="249" t="s">
        <v>16</v>
      </c>
      <c r="B283" s="249" t="s">
        <v>10</v>
      </c>
      <c r="C283" s="329" t="s">
        <v>494</v>
      </c>
      <c r="D283" s="268" t="s">
        <v>495</v>
      </c>
      <c r="E283" s="251">
        <v>44210.0</v>
      </c>
      <c r="F283" s="250" t="s">
        <v>545</v>
      </c>
      <c r="G283" s="243"/>
      <c r="H283" s="243"/>
      <c r="I283" s="243"/>
      <c r="J283" s="325">
        <f t="shared" si="12"/>
        <v>0</v>
      </c>
      <c r="K283" s="330">
        <v>1.644736842105263</v>
      </c>
      <c r="L283" s="327">
        <f t="shared" si="3"/>
        <v>7.647892105</v>
      </c>
      <c r="M283" s="321" t="str">
        <f t="shared" si="4"/>
        <v>griffgreen</v>
      </c>
      <c r="N283" s="209">
        <f>IFERROR(__xludf.DUMMYFUNCTION("""COMPUTED_VALUE"""),32.0)</f>
        <v>32</v>
      </c>
      <c r="O283" s="176"/>
      <c r="P283" s="176"/>
      <c r="Q283" s="176"/>
      <c r="R283" s="176"/>
      <c r="S283" s="176"/>
      <c r="T283" s="176"/>
      <c r="U283" s="176"/>
      <c r="V283" s="176"/>
      <c r="W283" s="176"/>
      <c r="X283" s="176"/>
      <c r="Y283" s="176"/>
      <c r="Z283" s="176"/>
    </row>
    <row r="284">
      <c r="A284" s="249" t="s">
        <v>16</v>
      </c>
      <c r="B284" s="249" t="s">
        <v>519</v>
      </c>
      <c r="C284" s="329" t="s">
        <v>2895</v>
      </c>
      <c r="D284" s="268" t="s">
        <v>495</v>
      </c>
      <c r="E284" s="251">
        <v>44210.0</v>
      </c>
      <c r="F284" s="250" t="s">
        <v>496</v>
      </c>
      <c r="G284" s="243"/>
      <c r="H284" s="243"/>
      <c r="I284" s="243"/>
      <c r="J284" s="325">
        <f t="shared" si="12"/>
        <v>0</v>
      </c>
      <c r="K284" s="326">
        <f>J284*$J$1</f>
        <v>0</v>
      </c>
      <c r="L284" s="327">
        <f t="shared" si="3"/>
        <v>7.647892105</v>
      </c>
      <c r="M284" s="321" t="str">
        <f t="shared" si="4"/>
        <v>griffgreen</v>
      </c>
      <c r="N284" s="209">
        <f>IFERROR(__xludf.DUMMYFUNCTION("""COMPUTED_VALUE"""),33.0)</f>
        <v>33</v>
      </c>
      <c r="O284" s="176"/>
      <c r="P284" s="176"/>
      <c r="Q284" s="176"/>
      <c r="R284" s="176"/>
      <c r="S284" s="176"/>
      <c r="T284" s="176"/>
      <c r="U284" s="176"/>
      <c r="V284" s="176"/>
      <c r="W284" s="176"/>
      <c r="X284" s="176"/>
      <c r="Y284" s="176"/>
      <c r="Z284" s="176"/>
    </row>
    <row r="285">
      <c r="A285" s="249" t="s">
        <v>16</v>
      </c>
      <c r="B285" s="249" t="s">
        <v>10</v>
      </c>
      <c r="C285" s="329" t="s">
        <v>2985</v>
      </c>
      <c r="D285" s="268" t="s">
        <v>495</v>
      </c>
      <c r="E285" s="251">
        <v>44211.0</v>
      </c>
      <c r="F285" s="250" t="s">
        <v>496</v>
      </c>
      <c r="G285" s="243"/>
      <c r="H285" s="243"/>
      <c r="I285" s="243"/>
      <c r="J285" s="325">
        <f t="shared" si="12"/>
        <v>0</v>
      </c>
      <c r="K285" s="330">
        <v>1.644736842105263</v>
      </c>
      <c r="L285" s="327">
        <f t="shared" si="3"/>
        <v>7.647892105</v>
      </c>
      <c r="M285" s="321" t="str">
        <f t="shared" si="4"/>
        <v>griffgreen</v>
      </c>
      <c r="N285" s="209">
        <f>IFERROR(__xludf.DUMMYFUNCTION("""COMPUTED_VALUE"""),34.0)</f>
        <v>34</v>
      </c>
      <c r="O285" s="176"/>
      <c r="P285" s="176"/>
      <c r="Q285" s="176"/>
      <c r="R285" s="176"/>
      <c r="S285" s="176"/>
      <c r="T285" s="176"/>
      <c r="U285" s="176"/>
      <c r="V285" s="176"/>
      <c r="W285" s="176"/>
      <c r="X285" s="176"/>
      <c r="Y285" s="176"/>
      <c r="Z285" s="176"/>
    </row>
    <row r="286">
      <c r="A286" s="249" t="s">
        <v>16</v>
      </c>
      <c r="B286" s="249" t="s">
        <v>10</v>
      </c>
      <c r="C286" s="329" t="s">
        <v>2896</v>
      </c>
      <c r="D286" s="268" t="s">
        <v>495</v>
      </c>
      <c r="E286" s="251">
        <v>44211.0</v>
      </c>
      <c r="F286" s="250" t="s">
        <v>496</v>
      </c>
      <c r="G286" s="243"/>
      <c r="H286" s="243"/>
      <c r="I286" s="243"/>
      <c r="J286" s="325">
        <f t="shared" si="12"/>
        <v>0</v>
      </c>
      <c r="K286" s="330">
        <v>1.644736842105263</v>
      </c>
      <c r="L286" s="327">
        <f t="shared" si="3"/>
        <v>7.647892105</v>
      </c>
      <c r="M286" s="321" t="str">
        <f t="shared" si="4"/>
        <v>griffgreen</v>
      </c>
      <c r="N286" s="209">
        <f>IFERROR(__xludf.DUMMYFUNCTION("""COMPUTED_VALUE"""),35.0)</f>
        <v>35</v>
      </c>
      <c r="O286" s="176"/>
      <c r="P286" s="176"/>
      <c r="Q286" s="176"/>
      <c r="R286" s="176"/>
      <c r="S286" s="176"/>
      <c r="T286" s="176"/>
      <c r="U286" s="176"/>
      <c r="V286" s="176"/>
      <c r="W286" s="176"/>
      <c r="X286" s="176"/>
      <c r="Y286" s="176"/>
      <c r="Z286" s="176"/>
    </row>
    <row r="287">
      <c r="A287" s="249" t="s">
        <v>16</v>
      </c>
      <c r="B287" s="249" t="s">
        <v>18</v>
      </c>
      <c r="C287" s="329" t="s">
        <v>2898</v>
      </c>
      <c r="D287" s="268" t="s">
        <v>495</v>
      </c>
      <c r="E287" s="251">
        <v>44211.0</v>
      </c>
      <c r="F287" s="250" t="s">
        <v>496</v>
      </c>
      <c r="G287" s="243"/>
      <c r="H287" s="243"/>
      <c r="I287" s="243"/>
      <c r="J287" s="325">
        <f t="shared" si="12"/>
        <v>0</v>
      </c>
      <c r="K287" s="330">
        <v>1.644736842105263</v>
      </c>
      <c r="L287" s="327">
        <f t="shared" si="3"/>
        <v>7.647892105</v>
      </c>
      <c r="M287" s="321" t="str">
        <f t="shared" si="4"/>
        <v>griffgreen</v>
      </c>
      <c r="N287" s="209">
        <f>IFERROR(__xludf.DUMMYFUNCTION("""COMPUTED_VALUE"""),36.0)</f>
        <v>36</v>
      </c>
      <c r="O287" s="176"/>
      <c r="P287" s="176"/>
      <c r="Q287" s="176"/>
      <c r="R287" s="176"/>
      <c r="S287" s="176"/>
      <c r="T287" s="176"/>
      <c r="U287" s="176"/>
      <c r="V287" s="176"/>
      <c r="W287" s="176"/>
      <c r="X287" s="176"/>
      <c r="Y287" s="176"/>
      <c r="Z287" s="176"/>
    </row>
    <row r="288">
      <c r="A288" s="249" t="s">
        <v>16</v>
      </c>
      <c r="B288" s="249" t="s">
        <v>18</v>
      </c>
      <c r="C288" s="329" t="s">
        <v>2899</v>
      </c>
      <c r="D288" s="268" t="s">
        <v>495</v>
      </c>
      <c r="E288" s="251">
        <v>44211.0</v>
      </c>
      <c r="F288" s="250" t="s">
        <v>496</v>
      </c>
      <c r="G288" s="243"/>
      <c r="H288" s="243"/>
      <c r="I288" s="243"/>
      <c r="J288" s="325">
        <f t="shared" si="12"/>
        <v>0</v>
      </c>
      <c r="K288" s="330">
        <v>1.644736842105263</v>
      </c>
      <c r="L288" s="327">
        <f t="shared" si="3"/>
        <v>7.647892105</v>
      </c>
      <c r="M288" s="321" t="str">
        <f t="shared" si="4"/>
        <v>griffgreen</v>
      </c>
      <c r="N288" s="209">
        <f>IFERROR(__xludf.DUMMYFUNCTION("""COMPUTED_VALUE"""),37.0)</f>
        <v>37</v>
      </c>
      <c r="O288" s="176"/>
      <c r="P288" s="176"/>
      <c r="Q288" s="176"/>
      <c r="R288" s="176"/>
      <c r="S288" s="176"/>
      <c r="T288" s="176"/>
      <c r="U288" s="176"/>
      <c r="V288" s="176"/>
      <c r="W288" s="176"/>
      <c r="X288" s="176"/>
      <c r="Y288" s="176"/>
      <c r="Z288" s="176"/>
    </row>
    <row r="289">
      <c r="A289" s="249" t="s">
        <v>16</v>
      </c>
      <c r="B289" s="249" t="s">
        <v>1228</v>
      </c>
      <c r="C289" s="329" t="s">
        <v>2901</v>
      </c>
      <c r="D289" s="268" t="s">
        <v>495</v>
      </c>
      <c r="E289" s="251">
        <v>44211.0</v>
      </c>
      <c r="F289" s="250" t="s">
        <v>496</v>
      </c>
      <c r="G289" s="243"/>
      <c r="H289" s="243"/>
      <c r="I289" s="243"/>
      <c r="J289" s="325">
        <f t="shared" si="12"/>
        <v>0</v>
      </c>
      <c r="K289" s="330">
        <v>1.644736842105263</v>
      </c>
      <c r="L289" s="327">
        <f t="shared" si="3"/>
        <v>7.647892105</v>
      </c>
      <c r="M289" s="321" t="str">
        <f t="shared" si="4"/>
        <v>griffgreen</v>
      </c>
      <c r="N289" s="209">
        <f>IFERROR(__xludf.DUMMYFUNCTION("""COMPUTED_VALUE"""),38.0)</f>
        <v>38</v>
      </c>
      <c r="O289" s="176"/>
      <c r="P289" s="176"/>
      <c r="Q289" s="176"/>
      <c r="R289" s="176"/>
      <c r="S289" s="176"/>
      <c r="T289" s="176"/>
      <c r="U289" s="176"/>
      <c r="V289" s="176"/>
      <c r="W289" s="176"/>
      <c r="X289" s="176"/>
      <c r="Y289" s="176"/>
      <c r="Z289" s="176"/>
    </row>
    <row r="290">
      <c r="A290" s="249" t="s">
        <v>16</v>
      </c>
      <c r="B290" s="249" t="s">
        <v>1228</v>
      </c>
      <c r="C290" s="329" t="s">
        <v>2986</v>
      </c>
      <c r="D290" s="268" t="s">
        <v>495</v>
      </c>
      <c r="E290" s="251">
        <v>44211.0</v>
      </c>
      <c r="F290" s="250" t="s">
        <v>496</v>
      </c>
      <c r="G290" s="243"/>
      <c r="H290" s="243"/>
      <c r="I290" s="243"/>
      <c r="J290" s="325">
        <f t="shared" si="12"/>
        <v>0</v>
      </c>
      <c r="K290" s="330">
        <v>1.644736842105263</v>
      </c>
      <c r="L290" s="327">
        <f t="shared" si="3"/>
        <v>7.647892105</v>
      </c>
      <c r="M290" s="321" t="str">
        <f t="shared" si="4"/>
        <v>griffgreen</v>
      </c>
      <c r="N290" s="209">
        <f>IFERROR(__xludf.DUMMYFUNCTION("""COMPUTED_VALUE"""),39.0)</f>
        <v>39</v>
      </c>
      <c r="O290" s="176"/>
      <c r="P290" s="176"/>
      <c r="Q290" s="176"/>
      <c r="R290" s="176"/>
      <c r="S290" s="176"/>
      <c r="T290" s="176"/>
      <c r="U290" s="176"/>
      <c r="V290" s="176"/>
      <c r="W290" s="176"/>
      <c r="X290" s="176"/>
      <c r="Y290" s="176"/>
      <c r="Z290" s="176"/>
    </row>
    <row r="291">
      <c r="A291" s="249" t="s">
        <v>16</v>
      </c>
      <c r="B291" s="249" t="s">
        <v>868</v>
      </c>
      <c r="C291" s="329" t="s">
        <v>2903</v>
      </c>
      <c r="D291" s="268" t="s">
        <v>495</v>
      </c>
      <c r="E291" s="251">
        <v>44211.0</v>
      </c>
      <c r="F291" s="250" t="s">
        <v>496</v>
      </c>
      <c r="G291" s="243"/>
      <c r="H291" s="243"/>
      <c r="I291" s="243"/>
      <c r="J291" s="325">
        <f t="shared" si="12"/>
        <v>0</v>
      </c>
      <c r="K291" s="330">
        <v>1.644736842105263</v>
      </c>
      <c r="L291" s="327">
        <f t="shared" si="3"/>
        <v>7.647892105</v>
      </c>
      <c r="M291" s="321" t="str">
        <f t="shared" si="4"/>
        <v>griffgreen</v>
      </c>
      <c r="N291" s="209">
        <f>IFERROR(__xludf.DUMMYFUNCTION("""COMPUTED_VALUE"""),40.0)</f>
        <v>40</v>
      </c>
      <c r="O291" s="176"/>
      <c r="P291" s="176"/>
      <c r="Q291" s="176"/>
      <c r="R291" s="176"/>
      <c r="S291" s="176"/>
      <c r="T291" s="176"/>
      <c r="U291" s="176"/>
      <c r="V291" s="176"/>
      <c r="W291" s="176"/>
      <c r="X291" s="176"/>
      <c r="Y291" s="176"/>
      <c r="Z291" s="176"/>
    </row>
    <row r="292">
      <c r="A292" s="249" t="s">
        <v>35</v>
      </c>
      <c r="B292" s="249" t="s">
        <v>519</v>
      </c>
      <c r="C292" s="219" t="s">
        <v>2987</v>
      </c>
      <c r="D292" s="268" t="s">
        <v>495</v>
      </c>
      <c r="E292" s="361">
        <v>44200.0</v>
      </c>
      <c r="F292" s="250" t="s">
        <v>521</v>
      </c>
      <c r="G292" s="171">
        <v>200.0</v>
      </c>
      <c r="H292" s="171">
        <v>400.0</v>
      </c>
      <c r="I292" s="171">
        <v>350.0</v>
      </c>
      <c r="J292" s="325">
        <f t="shared" si="12"/>
        <v>0.008234235582</v>
      </c>
      <c r="K292" s="326">
        <f t="shared" ref="K292:K294" si="14">J292*$J$1</f>
        <v>6.175676686</v>
      </c>
      <c r="L292" s="327">
        <f t="shared" si="3"/>
        <v>6.835940875</v>
      </c>
      <c r="M292" s="321" t="str">
        <f t="shared" si="4"/>
        <v>vitormarthendal</v>
      </c>
      <c r="N292" s="209">
        <f>IFERROR(__xludf.DUMMYFUNCTION("""COMPUTED_VALUE"""),1.0)</f>
        <v>1</v>
      </c>
      <c r="O292" s="176"/>
      <c r="P292" s="176"/>
      <c r="Q292" s="176"/>
      <c r="R292" s="176"/>
      <c r="S292" s="176"/>
      <c r="T292" s="176"/>
      <c r="U292" s="176"/>
      <c r="V292" s="176"/>
      <c r="W292" s="176"/>
      <c r="X292" s="176"/>
      <c r="Y292" s="176"/>
      <c r="Z292" s="176"/>
    </row>
    <row r="293">
      <c r="A293" s="249" t="s">
        <v>35</v>
      </c>
      <c r="B293" s="249" t="s">
        <v>519</v>
      </c>
      <c r="C293" s="219" t="s">
        <v>2329</v>
      </c>
      <c r="D293" s="268" t="s">
        <v>495</v>
      </c>
      <c r="E293" s="361">
        <v>44204.0</v>
      </c>
      <c r="F293" s="250" t="s">
        <v>521</v>
      </c>
      <c r="G293" s="171">
        <v>10.0</v>
      </c>
      <c r="H293" s="171">
        <v>25.0</v>
      </c>
      <c r="I293" s="171">
        <v>20.0</v>
      </c>
      <c r="J293" s="325">
        <f t="shared" si="12"/>
        <v>0.000479586546</v>
      </c>
      <c r="K293" s="326">
        <f t="shared" si="14"/>
        <v>0.3596899095</v>
      </c>
      <c r="L293" s="327">
        <f t="shared" si="3"/>
        <v>6.835940875</v>
      </c>
      <c r="M293" s="321" t="str">
        <f t="shared" si="4"/>
        <v>vitormarthendal</v>
      </c>
      <c r="N293" s="209">
        <f>IFERROR(__xludf.DUMMYFUNCTION("""COMPUTED_VALUE"""),2.0)</f>
        <v>2</v>
      </c>
      <c r="O293" s="176"/>
      <c r="P293" s="176"/>
      <c r="Q293" s="176"/>
      <c r="R293" s="176"/>
      <c r="S293" s="176"/>
      <c r="T293" s="176"/>
      <c r="U293" s="176"/>
      <c r="V293" s="176"/>
      <c r="W293" s="176"/>
      <c r="X293" s="176"/>
      <c r="Y293" s="176"/>
      <c r="Z293" s="176"/>
    </row>
    <row r="294">
      <c r="A294" s="249" t="s">
        <v>35</v>
      </c>
      <c r="B294" s="249" t="s">
        <v>519</v>
      </c>
      <c r="C294" s="219" t="s">
        <v>2984</v>
      </c>
      <c r="D294" s="268" t="s">
        <v>495</v>
      </c>
      <c r="E294" s="251">
        <v>44209.0</v>
      </c>
      <c r="F294" s="250" t="s">
        <v>521</v>
      </c>
      <c r="G294" s="171">
        <v>10.0</v>
      </c>
      <c r="H294" s="171">
        <v>25.0</v>
      </c>
      <c r="I294" s="171">
        <v>10.0</v>
      </c>
      <c r="J294" s="325">
        <f t="shared" si="12"/>
        <v>0.0004007657057</v>
      </c>
      <c r="K294" s="326">
        <f t="shared" si="14"/>
        <v>0.3005742793</v>
      </c>
      <c r="L294" s="327">
        <f t="shared" si="3"/>
        <v>6.835940875</v>
      </c>
      <c r="M294" s="321" t="str">
        <f t="shared" si="4"/>
        <v>vitormarthendal</v>
      </c>
      <c r="N294" s="209">
        <f>IFERROR(__xludf.DUMMYFUNCTION("""COMPUTED_VALUE"""),3.0)</f>
        <v>3</v>
      </c>
      <c r="O294" s="176"/>
      <c r="P294" s="176"/>
      <c r="Q294" s="176"/>
      <c r="R294" s="176"/>
      <c r="S294" s="176"/>
      <c r="T294" s="176"/>
      <c r="U294" s="176"/>
      <c r="V294" s="176"/>
      <c r="W294" s="176"/>
      <c r="X294" s="176"/>
      <c r="Y294" s="176"/>
      <c r="Z294" s="176"/>
    </row>
    <row r="295">
      <c r="A295" s="253" t="s">
        <v>18</v>
      </c>
      <c r="B295" s="240" t="s">
        <v>534</v>
      </c>
      <c r="C295" s="221" t="s">
        <v>741</v>
      </c>
      <c r="D295" s="336"/>
      <c r="E295" s="255"/>
      <c r="F295" s="254"/>
      <c r="G295" s="222"/>
      <c r="H295" s="222"/>
      <c r="I295" s="222"/>
      <c r="J295" s="325">
        <f t="shared" si="12"/>
        <v>0</v>
      </c>
      <c r="K295" s="337">
        <f>-0.85*45.119</f>
        <v>-38.35115</v>
      </c>
      <c r="L295" s="327">
        <f t="shared" si="3"/>
        <v>6.767403323</v>
      </c>
      <c r="M295" s="321" t="str">
        <f t="shared" si="4"/>
        <v>liviade</v>
      </c>
      <c r="N295" s="209">
        <f>IFERROR(__xludf.DUMMYFUNCTION("""COMPUTED_VALUE"""),1.0)</f>
        <v>1</v>
      </c>
      <c r="O295" s="209"/>
      <c r="P295" s="209"/>
      <c r="Q295" s="209"/>
      <c r="R295" s="209"/>
      <c r="S295" s="209"/>
      <c r="T295" s="209"/>
      <c r="U295" s="209"/>
      <c r="V295" s="209"/>
      <c r="W295" s="209"/>
      <c r="X295" s="209"/>
      <c r="Y295" s="176"/>
      <c r="Z295" s="176"/>
    </row>
    <row r="296">
      <c r="A296" s="249" t="s">
        <v>18</v>
      </c>
      <c r="B296" s="249" t="s">
        <v>1228</v>
      </c>
      <c r="C296" s="219" t="s">
        <v>2874</v>
      </c>
      <c r="D296" s="268" t="s">
        <v>495</v>
      </c>
      <c r="E296" s="361">
        <v>44198.0</v>
      </c>
      <c r="F296" s="250" t="s">
        <v>496</v>
      </c>
      <c r="G296" s="171">
        <v>20.0</v>
      </c>
      <c r="H296" s="171">
        <v>25.0</v>
      </c>
      <c r="I296" s="171">
        <v>15.0</v>
      </c>
      <c r="J296" s="325">
        <f t="shared" si="12"/>
        <v>0.0005212732072</v>
      </c>
      <c r="K296" s="326">
        <f t="shared" ref="K296:K323" si="15">J296*$J$1</f>
        <v>0.3909549054</v>
      </c>
      <c r="L296" s="327">
        <f t="shared" si="3"/>
        <v>6.767403323</v>
      </c>
      <c r="M296" s="321" t="str">
        <f t="shared" si="4"/>
        <v>liviade</v>
      </c>
      <c r="N296" s="209">
        <f>IFERROR(__xludf.DUMMYFUNCTION("""COMPUTED_VALUE"""),2.0)</f>
        <v>2</v>
      </c>
      <c r="O296" s="176"/>
      <c r="P296" s="176"/>
      <c r="Q296" s="176"/>
      <c r="R296" s="176"/>
      <c r="S296" s="176"/>
      <c r="T296" s="176"/>
      <c r="U296" s="176"/>
      <c r="V296" s="176"/>
      <c r="W296" s="176"/>
      <c r="X296" s="176"/>
      <c r="Y296" s="176"/>
      <c r="Z296" s="176"/>
    </row>
    <row r="297">
      <c r="A297" s="249" t="s">
        <v>18</v>
      </c>
      <c r="B297" s="249" t="s">
        <v>1231</v>
      </c>
      <c r="C297" s="219" t="s">
        <v>2955</v>
      </c>
      <c r="D297" s="268" t="s">
        <v>495</v>
      </c>
      <c r="E297" s="361">
        <v>44202.0</v>
      </c>
      <c r="F297" s="250" t="s">
        <v>496</v>
      </c>
      <c r="G297" s="171">
        <v>100.0</v>
      </c>
      <c r="H297" s="171">
        <v>155.0</v>
      </c>
      <c r="I297" s="171">
        <v>200.0</v>
      </c>
      <c r="J297" s="325">
        <f t="shared" si="12"/>
        <v>0.00388064388</v>
      </c>
      <c r="K297" s="326">
        <f t="shared" si="15"/>
        <v>2.91048291</v>
      </c>
      <c r="L297" s="327">
        <f t="shared" si="3"/>
        <v>6.767403323</v>
      </c>
      <c r="M297" s="321" t="str">
        <f t="shared" si="4"/>
        <v>liviade</v>
      </c>
      <c r="N297" s="209">
        <f>IFERROR(__xludf.DUMMYFUNCTION("""COMPUTED_VALUE"""),3.0)</f>
        <v>3</v>
      </c>
      <c r="O297" s="176"/>
      <c r="P297" s="176"/>
      <c r="Q297" s="176"/>
      <c r="R297" s="176"/>
      <c r="S297" s="176"/>
      <c r="T297" s="176"/>
      <c r="U297" s="176"/>
      <c r="V297" s="176"/>
      <c r="W297" s="176"/>
      <c r="X297" s="176"/>
      <c r="Y297" s="176"/>
      <c r="Z297" s="176"/>
    </row>
    <row r="298">
      <c r="A298" s="249" t="s">
        <v>18</v>
      </c>
      <c r="B298" s="249" t="s">
        <v>10</v>
      </c>
      <c r="C298" s="219" t="s">
        <v>2988</v>
      </c>
      <c r="D298" s="268" t="s">
        <v>495</v>
      </c>
      <c r="E298" s="361">
        <v>44204.0</v>
      </c>
      <c r="F298" s="250" t="s">
        <v>496</v>
      </c>
      <c r="G298" s="171">
        <v>300.0</v>
      </c>
      <c r="H298" s="171">
        <v>250.0</v>
      </c>
      <c r="I298" s="171">
        <v>320.0</v>
      </c>
      <c r="J298" s="325">
        <f t="shared" si="12"/>
        <v>0.007363657169</v>
      </c>
      <c r="K298" s="326">
        <f t="shared" si="15"/>
        <v>5.522742877</v>
      </c>
      <c r="L298" s="327">
        <f t="shared" si="3"/>
        <v>6.767403323</v>
      </c>
      <c r="M298" s="321" t="str">
        <f t="shared" si="4"/>
        <v>liviade</v>
      </c>
      <c r="N298" s="209">
        <f>IFERROR(__xludf.DUMMYFUNCTION("""COMPUTED_VALUE"""),4.0)</f>
        <v>4</v>
      </c>
      <c r="O298" s="176"/>
      <c r="P298" s="176"/>
      <c r="Q298" s="176"/>
      <c r="R298" s="176"/>
      <c r="S298" s="176"/>
      <c r="T298" s="176"/>
      <c r="U298" s="176"/>
      <c r="V298" s="176"/>
      <c r="W298" s="176"/>
      <c r="X298" s="176"/>
      <c r="Y298" s="176"/>
      <c r="Z298" s="176"/>
    </row>
    <row r="299">
      <c r="A299" s="249" t="s">
        <v>18</v>
      </c>
      <c r="B299" s="249" t="s">
        <v>10</v>
      </c>
      <c r="C299" s="219" t="s">
        <v>2922</v>
      </c>
      <c r="D299" s="268" t="s">
        <v>495</v>
      </c>
      <c r="E299" s="361">
        <v>44204.0</v>
      </c>
      <c r="F299" s="250" t="s">
        <v>496</v>
      </c>
      <c r="G299" s="171">
        <v>150.0</v>
      </c>
      <c r="H299" s="171">
        <v>100.0</v>
      </c>
      <c r="I299" s="171">
        <v>120.0</v>
      </c>
      <c r="J299" s="325">
        <f t="shared" si="12"/>
        <v>0.003125697439</v>
      </c>
      <c r="K299" s="326">
        <f t="shared" si="15"/>
        <v>2.344273079</v>
      </c>
      <c r="L299" s="327">
        <f t="shared" si="3"/>
        <v>6.767403323</v>
      </c>
      <c r="M299" s="321" t="str">
        <f t="shared" si="4"/>
        <v>liviade</v>
      </c>
      <c r="N299" s="209">
        <f>IFERROR(__xludf.DUMMYFUNCTION("""COMPUTED_VALUE"""),5.0)</f>
        <v>5</v>
      </c>
      <c r="O299" s="176"/>
      <c r="P299" s="176"/>
      <c r="Q299" s="176"/>
      <c r="R299" s="176"/>
      <c r="S299" s="176"/>
      <c r="T299" s="176"/>
      <c r="U299" s="176"/>
      <c r="V299" s="176"/>
      <c r="W299" s="176"/>
      <c r="X299" s="176"/>
      <c r="Y299" s="176"/>
      <c r="Z299" s="176"/>
    </row>
    <row r="300">
      <c r="A300" s="249" t="s">
        <v>18</v>
      </c>
      <c r="B300" s="249" t="s">
        <v>10</v>
      </c>
      <c r="C300" s="219" t="s">
        <v>2941</v>
      </c>
      <c r="D300" s="268" t="s">
        <v>495</v>
      </c>
      <c r="E300" s="361">
        <v>44204.0</v>
      </c>
      <c r="F300" s="250" t="s">
        <v>496</v>
      </c>
      <c r="G300" s="171">
        <v>150.0</v>
      </c>
      <c r="H300" s="171">
        <v>155.0</v>
      </c>
      <c r="I300" s="171">
        <v>190.0</v>
      </c>
      <c r="J300" s="325">
        <f t="shared" si="12"/>
        <v>0.004207308446</v>
      </c>
      <c r="K300" s="326">
        <f t="shared" si="15"/>
        <v>3.155481335</v>
      </c>
      <c r="L300" s="327">
        <f t="shared" si="3"/>
        <v>6.767403323</v>
      </c>
      <c r="M300" s="321" t="str">
        <f t="shared" si="4"/>
        <v>liviade</v>
      </c>
      <c r="N300" s="209">
        <f>IFERROR(__xludf.DUMMYFUNCTION("""COMPUTED_VALUE"""),6.0)</f>
        <v>6</v>
      </c>
      <c r="O300" s="176"/>
      <c r="P300" s="176"/>
      <c r="Q300" s="176"/>
      <c r="R300" s="176"/>
      <c r="S300" s="176"/>
      <c r="T300" s="176"/>
      <c r="U300" s="176"/>
      <c r="V300" s="176"/>
      <c r="W300" s="176"/>
      <c r="X300" s="176"/>
      <c r="Y300" s="176"/>
      <c r="Z300" s="176"/>
    </row>
    <row r="301">
      <c r="A301" s="249" t="s">
        <v>18</v>
      </c>
      <c r="B301" s="249" t="s">
        <v>10</v>
      </c>
      <c r="C301" s="219" t="s">
        <v>2887</v>
      </c>
      <c r="D301" s="268" t="s">
        <v>495</v>
      </c>
      <c r="E301" s="361">
        <v>44204.0</v>
      </c>
      <c r="F301" s="250" t="s">
        <v>496</v>
      </c>
      <c r="G301" s="171">
        <v>150.0</v>
      </c>
      <c r="H301" s="171">
        <v>200.0</v>
      </c>
      <c r="I301" s="171">
        <v>230.0</v>
      </c>
      <c r="J301" s="325">
        <f t="shared" si="12"/>
        <v>0.004956117819</v>
      </c>
      <c r="K301" s="326">
        <f t="shared" si="15"/>
        <v>3.717088364</v>
      </c>
      <c r="L301" s="327">
        <f t="shared" si="3"/>
        <v>6.767403323</v>
      </c>
      <c r="M301" s="321" t="str">
        <f t="shared" si="4"/>
        <v>liviade</v>
      </c>
      <c r="N301" s="209">
        <f>IFERROR(__xludf.DUMMYFUNCTION("""COMPUTED_VALUE"""),7.0)</f>
        <v>7</v>
      </c>
      <c r="O301" s="176"/>
      <c r="P301" s="176"/>
      <c r="Q301" s="176"/>
      <c r="R301" s="176"/>
      <c r="S301" s="176"/>
      <c r="T301" s="176"/>
      <c r="U301" s="176"/>
      <c r="V301" s="176"/>
      <c r="W301" s="176"/>
      <c r="X301" s="176"/>
      <c r="Y301" s="176"/>
      <c r="Z301" s="176"/>
    </row>
    <row r="302">
      <c r="A302" s="249" t="s">
        <v>18</v>
      </c>
      <c r="B302" s="249" t="s">
        <v>10</v>
      </c>
      <c r="C302" s="219" t="s">
        <v>2888</v>
      </c>
      <c r="D302" s="268" t="s">
        <v>495</v>
      </c>
      <c r="E302" s="361">
        <v>44204.0</v>
      </c>
      <c r="F302" s="250" t="s">
        <v>496</v>
      </c>
      <c r="G302" s="171">
        <v>20.0</v>
      </c>
      <c r="H302" s="171">
        <v>25.0</v>
      </c>
      <c r="I302" s="171">
        <v>20.0</v>
      </c>
      <c r="J302" s="325">
        <f t="shared" si="12"/>
        <v>0.0005606836273</v>
      </c>
      <c r="K302" s="326">
        <f t="shared" si="15"/>
        <v>0.4205127205</v>
      </c>
      <c r="L302" s="327">
        <f t="shared" si="3"/>
        <v>6.767403323</v>
      </c>
      <c r="M302" s="321" t="str">
        <f t="shared" si="4"/>
        <v>liviade</v>
      </c>
      <c r="N302" s="209">
        <f>IFERROR(__xludf.DUMMYFUNCTION("""COMPUTED_VALUE"""),8.0)</f>
        <v>8</v>
      </c>
      <c r="O302" s="176"/>
      <c r="P302" s="176"/>
      <c r="Q302" s="176"/>
      <c r="R302" s="176"/>
      <c r="S302" s="176"/>
      <c r="T302" s="176"/>
      <c r="U302" s="176"/>
      <c r="V302" s="176"/>
      <c r="W302" s="176"/>
      <c r="X302" s="176"/>
      <c r="Y302" s="176"/>
      <c r="Z302" s="176"/>
    </row>
    <row r="303">
      <c r="A303" s="249" t="s">
        <v>18</v>
      </c>
      <c r="B303" s="249" t="s">
        <v>1228</v>
      </c>
      <c r="C303" s="219" t="s">
        <v>2892</v>
      </c>
      <c r="D303" s="268" t="s">
        <v>495</v>
      </c>
      <c r="E303" s="251">
        <v>44206.0</v>
      </c>
      <c r="F303" s="250" t="s">
        <v>496</v>
      </c>
      <c r="G303" s="171">
        <v>35.0</v>
      </c>
      <c r="H303" s="171">
        <v>50.0</v>
      </c>
      <c r="I303" s="171">
        <v>50.0</v>
      </c>
      <c r="J303" s="325">
        <f t="shared" si="12"/>
        <v>0.001159639554</v>
      </c>
      <c r="K303" s="326">
        <f t="shared" si="15"/>
        <v>0.8697296656</v>
      </c>
      <c r="L303" s="327">
        <f t="shared" si="3"/>
        <v>6.767403323</v>
      </c>
      <c r="M303" s="321" t="str">
        <f t="shared" si="4"/>
        <v>liviade</v>
      </c>
      <c r="N303" s="209">
        <f>IFERROR(__xludf.DUMMYFUNCTION("""COMPUTED_VALUE"""),9.0)</f>
        <v>9</v>
      </c>
      <c r="O303" s="176"/>
      <c r="P303" s="176"/>
      <c r="Q303" s="176"/>
      <c r="R303" s="176"/>
      <c r="S303" s="176"/>
      <c r="T303" s="176"/>
      <c r="U303" s="176"/>
      <c r="V303" s="176"/>
      <c r="W303" s="176"/>
      <c r="X303" s="176"/>
      <c r="Y303" s="176"/>
      <c r="Z303" s="176"/>
    </row>
    <row r="304">
      <c r="A304" s="249" t="s">
        <v>18</v>
      </c>
      <c r="B304" s="249" t="s">
        <v>1228</v>
      </c>
      <c r="C304" s="219" t="s">
        <v>2936</v>
      </c>
      <c r="D304" s="268" t="s">
        <v>495</v>
      </c>
      <c r="E304" s="251">
        <v>44206.0</v>
      </c>
      <c r="F304" s="250" t="s">
        <v>496</v>
      </c>
      <c r="G304" s="171">
        <v>100.0</v>
      </c>
      <c r="H304" s="171">
        <v>50.0</v>
      </c>
      <c r="I304" s="171">
        <v>110.0</v>
      </c>
      <c r="J304" s="325">
        <f t="shared" si="12"/>
        <v>0.002159695624</v>
      </c>
      <c r="K304" s="326">
        <f t="shared" si="15"/>
        <v>1.619771718</v>
      </c>
      <c r="L304" s="327">
        <f t="shared" si="3"/>
        <v>6.767403323</v>
      </c>
      <c r="M304" s="321" t="str">
        <f t="shared" si="4"/>
        <v>liviade</v>
      </c>
      <c r="N304" s="209">
        <f>IFERROR(__xludf.DUMMYFUNCTION("""COMPUTED_VALUE"""),10.0)</f>
        <v>10</v>
      </c>
      <c r="O304" s="176"/>
      <c r="P304" s="176"/>
      <c r="Q304" s="176"/>
      <c r="R304" s="176"/>
      <c r="S304" s="176"/>
      <c r="T304" s="176"/>
      <c r="U304" s="176"/>
      <c r="V304" s="176"/>
      <c r="W304" s="176"/>
      <c r="X304" s="176"/>
      <c r="Y304" s="176"/>
      <c r="Z304" s="176"/>
    </row>
    <row r="305">
      <c r="A305" s="249" t="s">
        <v>18</v>
      </c>
      <c r="B305" s="249" t="s">
        <v>590</v>
      </c>
      <c r="C305" s="219" t="s">
        <v>2989</v>
      </c>
      <c r="D305" s="268" t="s">
        <v>495</v>
      </c>
      <c r="E305" s="251">
        <v>44207.0</v>
      </c>
      <c r="F305" s="250" t="s">
        <v>496</v>
      </c>
      <c r="G305" s="171">
        <v>200.0</v>
      </c>
      <c r="H305" s="171">
        <v>100.0</v>
      </c>
      <c r="I305" s="171">
        <v>200.0</v>
      </c>
      <c r="J305" s="325">
        <f t="shared" si="12"/>
        <v>0.004161749568</v>
      </c>
      <c r="K305" s="326">
        <f t="shared" si="15"/>
        <v>3.121312176</v>
      </c>
      <c r="L305" s="327">
        <f t="shared" si="3"/>
        <v>6.767403323</v>
      </c>
      <c r="M305" s="321" t="str">
        <f t="shared" si="4"/>
        <v>liviade</v>
      </c>
      <c r="N305" s="209">
        <f>IFERROR(__xludf.DUMMYFUNCTION("""COMPUTED_VALUE"""),11.0)</f>
        <v>11</v>
      </c>
      <c r="O305" s="176"/>
      <c r="P305" s="176"/>
      <c r="Q305" s="176"/>
      <c r="R305" s="176"/>
      <c r="S305" s="176"/>
      <c r="T305" s="176"/>
      <c r="U305" s="176"/>
      <c r="V305" s="176"/>
      <c r="W305" s="176"/>
      <c r="X305" s="176"/>
      <c r="Y305" s="176"/>
      <c r="Z305" s="176"/>
    </row>
    <row r="306">
      <c r="A306" s="249" t="s">
        <v>18</v>
      </c>
      <c r="B306" s="249" t="s">
        <v>590</v>
      </c>
      <c r="C306" s="219" t="s">
        <v>2893</v>
      </c>
      <c r="D306" s="268" t="s">
        <v>495</v>
      </c>
      <c r="E306" s="251">
        <v>44208.0</v>
      </c>
      <c r="F306" s="250" t="s">
        <v>496</v>
      </c>
      <c r="G306" s="171">
        <v>20.0</v>
      </c>
      <c r="H306" s="171">
        <v>25.0</v>
      </c>
      <c r="I306" s="171">
        <v>45.0</v>
      </c>
      <c r="J306" s="325">
        <f t="shared" si="12"/>
        <v>0.0007577357279</v>
      </c>
      <c r="K306" s="326">
        <f t="shared" si="15"/>
        <v>0.5683017959</v>
      </c>
      <c r="L306" s="327">
        <f t="shared" si="3"/>
        <v>6.767403323</v>
      </c>
      <c r="M306" s="321" t="str">
        <f t="shared" si="4"/>
        <v>liviade</v>
      </c>
      <c r="N306" s="209">
        <f>IFERROR(__xludf.DUMMYFUNCTION("""COMPUTED_VALUE"""),12.0)</f>
        <v>12</v>
      </c>
      <c r="O306" s="176"/>
      <c r="P306" s="176"/>
      <c r="Q306" s="176"/>
      <c r="R306" s="176"/>
      <c r="S306" s="176"/>
      <c r="T306" s="176"/>
      <c r="U306" s="176"/>
      <c r="V306" s="176"/>
      <c r="W306" s="176"/>
      <c r="X306" s="176"/>
      <c r="Y306" s="176"/>
      <c r="Z306" s="176"/>
    </row>
    <row r="307">
      <c r="A307" s="249" t="s">
        <v>18</v>
      </c>
      <c r="B307" s="249" t="s">
        <v>18</v>
      </c>
      <c r="C307" s="219" t="s">
        <v>2958</v>
      </c>
      <c r="D307" s="268" t="s">
        <v>495</v>
      </c>
      <c r="E307" s="251">
        <v>44209.0</v>
      </c>
      <c r="F307" s="250" t="s">
        <v>496</v>
      </c>
      <c r="G307" s="171">
        <v>150.0</v>
      </c>
      <c r="H307" s="171">
        <v>25.0</v>
      </c>
      <c r="I307" s="171">
        <v>200.0</v>
      </c>
      <c r="J307" s="325">
        <f t="shared" si="12"/>
        <v>0.003033720809</v>
      </c>
      <c r="K307" s="326">
        <f t="shared" si="15"/>
        <v>2.275290606</v>
      </c>
      <c r="L307" s="327">
        <f t="shared" si="3"/>
        <v>6.767403323</v>
      </c>
      <c r="M307" s="321" t="str">
        <f t="shared" si="4"/>
        <v>liviade</v>
      </c>
      <c r="N307" s="209">
        <f>IFERROR(__xludf.DUMMYFUNCTION("""COMPUTED_VALUE"""),13.0)</f>
        <v>13</v>
      </c>
      <c r="O307" s="176"/>
      <c r="P307" s="176"/>
      <c r="Q307" s="176"/>
      <c r="R307" s="176"/>
      <c r="S307" s="176"/>
      <c r="T307" s="176"/>
      <c r="U307" s="176"/>
      <c r="V307" s="176"/>
      <c r="W307" s="176"/>
      <c r="X307" s="176"/>
      <c r="Y307" s="176"/>
      <c r="Z307" s="176"/>
    </row>
    <row r="308">
      <c r="A308" s="249" t="s">
        <v>18</v>
      </c>
      <c r="B308" s="249" t="s">
        <v>5</v>
      </c>
      <c r="C308" s="219" t="s">
        <v>2990</v>
      </c>
      <c r="D308" s="268" t="s">
        <v>495</v>
      </c>
      <c r="E308" s="251">
        <v>44209.0</v>
      </c>
      <c r="F308" s="250" t="s">
        <v>496</v>
      </c>
      <c r="G308" s="171">
        <v>30.0</v>
      </c>
      <c r="H308" s="171">
        <v>10.0</v>
      </c>
      <c r="I308" s="171">
        <v>40.0</v>
      </c>
      <c r="J308" s="325">
        <f t="shared" si="12"/>
        <v>0.0006549137185</v>
      </c>
      <c r="K308" s="326">
        <f t="shared" si="15"/>
        <v>0.4911852889</v>
      </c>
      <c r="L308" s="327">
        <f t="shared" si="3"/>
        <v>6.767403323</v>
      </c>
      <c r="M308" s="321" t="str">
        <f t="shared" si="4"/>
        <v>liviade</v>
      </c>
      <c r="N308" s="209">
        <f>IFERROR(__xludf.DUMMYFUNCTION("""COMPUTED_VALUE"""),14.0)</f>
        <v>14</v>
      </c>
      <c r="O308" s="176"/>
      <c r="P308" s="176"/>
      <c r="Q308" s="176"/>
      <c r="R308" s="176"/>
      <c r="S308" s="176"/>
      <c r="T308" s="176"/>
      <c r="U308" s="176"/>
      <c r="V308" s="176"/>
      <c r="W308" s="176"/>
      <c r="X308" s="176"/>
      <c r="Y308" s="176"/>
      <c r="Z308" s="176"/>
    </row>
    <row r="309">
      <c r="A309" s="249" t="s">
        <v>18</v>
      </c>
      <c r="B309" s="249" t="s">
        <v>5</v>
      </c>
      <c r="C309" s="219" t="s">
        <v>2894</v>
      </c>
      <c r="D309" s="268" t="s">
        <v>495</v>
      </c>
      <c r="E309" s="251">
        <v>44210.0</v>
      </c>
      <c r="F309" s="250" t="s">
        <v>496</v>
      </c>
      <c r="G309" s="171">
        <v>25.0</v>
      </c>
      <c r="H309" s="171">
        <v>25.0</v>
      </c>
      <c r="I309" s="171">
        <v>40.0</v>
      </c>
      <c r="J309" s="325">
        <f t="shared" si="12"/>
        <v>0.0007588738484</v>
      </c>
      <c r="K309" s="326">
        <f t="shared" si="15"/>
        <v>0.5691553863</v>
      </c>
      <c r="L309" s="327">
        <f t="shared" si="3"/>
        <v>6.767403323</v>
      </c>
      <c r="M309" s="321" t="str">
        <f t="shared" si="4"/>
        <v>liviade</v>
      </c>
      <c r="N309" s="209">
        <f>IFERROR(__xludf.DUMMYFUNCTION("""COMPUTED_VALUE"""),15.0)</f>
        <v>15</v>
      </c>
      <c r="O309" s="176"/>
      <c r="P309" s="176"/>
      <c r="Q309" s="176"/>
      <c r="R309" s="176"/>
      <c r="S309" s="176"/>
      <c r="T309" s="176"/>
      <c r="U309" s="176"/>
      <c r="V309" s="176"/>
      <c r="W309" s="176"/>
      <c r="X309" s="176"/>
      <c r="Y309" s="176"/>
      <c r="Z309" s="176"/>
    </row>
    <row r="310">
      <c r="A310" s="249" t="s">
        <v>18</v>
      </c>
      <c r="B310" s="249" t="s">
        <v>10</v>
      </c>
      <c r="C310" s="219" t="s">
        <v>494</v>
      </c>
      <c r="D310" s="268" t="s">
        <v>495</v>
      </c>
      <c r="E310" s="251">
        <v>44210.0</v>
      </c>
      <c r="F310" s="250" t="s">
        <v>545</v>
      </c>
      <c r="G310" s="171">
        <v>100.0</v>
      </c>
      <c r="H310" s="171">
        <v>125.0</v>
      </c>
      <c r="I310" s="171">
        <v>120.0</v>
      </c>
      <c r="J310" s="325">
        <f t="shared" si="12"/>
        <v>0.002961059817</v>
      </c>
      <c r="K310" s="326">
        <f t="shared" si="15"/>
        <v>2.220794863</v>
      </c>
      <c r="L310" s="327">
        <f t="shared" si="3"/>
        <v>6.767403323</v>
      </c>
      <c r="M310" s="321" t="str">
        <f t="shared" si="4"/>
        <v>liviade</v>
      </c>
      <c r="N310" s="209">
        <f>IFERROR(__xludf.DUMMYFUNCTION("""COMPUTED_VALUE"""),16.0)</f>
        <v>16</v>
      </c>
      <c r="O310" s="176"/>
      <c r="P310" s="176"/>
      <c r="Q310" s="176"/>
      <c r="R310" s="176"/>
      <c r="S310" s="176"/>
      <c r="T310" s="176"/>
      <c r="U310" s="176"/>
      <c r="V310" s="176"/>
      <c r="W310" s="176"/>
      <c r="X310" s="176"/>
      <c r="Y310" s="176"/>
      <c r="Z310" s="176"/>
    </row>
    <row r="311">
      <c r="A311" s="249" t="s">
        <v>18</v>
      </c>
      <c r="B311" s="249" t="s">
        <v>10</v>
      </c>
      <c r="C311" s="219" t="s">
        <v>2938</v>
      </c>
      <c r="D311" s="268" t="s">
        <v>495</v>
      </c>
      <c r="E311" s="251">
        <v>44211.0</v>
      </c>
      <c r="F311" s="250" t="s">
        <v>496</v>
      </c>
      <c r="G311" s="171">
        <v>200.0</v>
      </c>
      <c r="H311" s="171">
        <v>55.0</v>
      </c>
      <c r="I311" s="171">
        <v>200.0</v>
      </c>
      <c r="J311" s="325">
        <f t="shared" si="12"/>
        <v>0.003728223556</v>
      </c>
      <c r="K311" s="326">
        <f t="shared" si="15"/>
        <v>2.796167667</v>
      </c>
      <c r="L311" s="327">
        <f t="shared" si="3"/>
        <v>6.767403323</v>
      </c>
      <c r="M311" s="321" t="str">
        <f t="shared" si="4"/>
        <v>liviade</v>
      </c>
      <c r="N311" s="209">
        <f>IFERROR(__xludf.DUMMYFUNCTION("""COMPUTED_VALUE"""),17.0)</f>
        <v>17</v>
      </c>
      <c r="O311" s="176"/>
      <c r="P311" s="176"/>
      <c r="Q311" s="176"/>
      <c r="R311" s="176"/>
      <c r="S311" s="176"/>
      <c r="T311" s="176"/>
      <c r="U311" s="176"/>
      <c r="V311" s="176"/>
      <c r="W311" s="176"/>
      <c r="X311" s="176"/>
      <c r="Y311" s="176"/>
      <c r="Z311" s="176"/>
    </row>
    <row r="312">
      <c r="A312" s="249" t="s">
        <v>18</v>
      </c>
      <c r="B312" s="249" t="s">
        <v>10</v>
      </c>
      <c r="C312" s="219" t="s">
        <v>2991</v>
      </c>
      <c r="D312" s="268" t="s">
        <v>495</v>
      </c>
      <c r="E312" s="251">
        <v>44211.0</v>
      </c>
      <c r="F312" s="250" t="s">
        <v>496</v>
      </c>
      <c r="G312" s="171">
        <v>25.0</v>
      </c>
      <c r="H312" s="171">
        <v>25.0</v>
      </c>
      <c r="I312" s="171">
        <v>30.0</v>
      </c>
      <c r="J312" s="325">
        <f t="shared" si="12"/>
        <v>0.0006800530082</v>
      </c>
      <c r="K312" s="326">
        <f t="shared" si="15"/>
        <v>0.5100397561</v>
      </c>
      <c r="L312" s="327">
        <f t="shared" si="3"/>
        <v>6.767403323</v>
      </c>
      <c r="M312" s="321" t="str">
        <f t="shared" si="4"/>
        <v>liviade</v>
      </c>
      <c r="N312" s="209">
        <f>IFERROR(__xludf.DUMMYFUNCTION("""COMPUTED_VALUE"""),18.0)</f>
        <v>18</v>
      </c>
      <c r="O312" s="176"/>
      <c r="P312" s="176"/>
      <c r="Q312" s="176"/>
      <c r="R312" s="176"/>
      <c r="S312" s="176"/>
      <c r="T312" s="176"/>
      <c r="U312" s="176"/>
      <c r="V312" s="176"/>
      <c r="W312" s="176"/>
      <c r="X312" s="176"/>
      <c r="Y312" s="176"/>
      <c r="Z312" s="176"/>
    </row>
    <row r="313">
      <c r="A313" s="249" t="s">
        <v>18</v>
      </c>
      <c r="B313" s="249" t="s">
        <v>10</v>
      </c>
      <c r="C313" s="219" t="s">
        <v>2896</v>
      </c>
      <c r="D313" s="268" t="s">
        <v>495</v>
      </c>
      <c r="E313" s="251">
        <v>44211.0</v>
      </c>
      <c r="F313" s="250" t="s">
        <v>496</v>
      </c>
      <c r="G313" s="171">
        <v>10.0</v>
      </c>
      <c r="H313" s="171">
        <v>25.0</v>
      </c>
      <c r="I313" s="171">
        <v>40.0</v>
      </c>
      <c r="J313" s="325">
        <f t="shared" si="12"/>
        <v>0.0006372282264</v>
      </c>
      <c r="K313" s="326">
        <f t="shared" si="15"/>
        <v>0.4779211698</v>
      </c>
      <c r="L313" s="327">
        <f t="shared" si="3"/>
        <v>6.767403323</v>
      </c>
      <c r="M313" s="321" t="str">
        <f t="shared" si="4"/>
        <v>liviade</v>
      </c>
      <c r="N313" s="209">
        <f>IFERROR(__xludf.DUMMYFUNCTION("""COMPUTED_VALUE"""),19.0)</f>
        <v>19</v>
      </c>
      <c r="O313" s="176"/>
      <c r="P313" s="176"/>
      <c r="Q313" s="176"/>
      <c r="R313" s="176"/>
      <c r="S313" s="176"/>
      <c r="T313" s="176"/>
      <c r="U313" s="176"/>
      <c r="V313" s="176"/>
      <c r="W313" s="176"/>
      <c r="X313" s="176"/>
      <c r="Y313" s="176"/>
      <c r="Z313" s="176"/>
    </row>
    <row r="314">
      <c r="A314" s="249" t="s">
        <v>18</v>
      </c>
      <c r="B314" s="249" t="s">
        <v>18</v>
      </c>
      <c r="C314" s="219" t="s">
        <v>2898</v>
      </c>
      <c r="D314" s="268" t="s">
        <v>495</v>
      </c>
      <c r="E314" s="251">
        <v>44211.0</v>
      </c>
      <c r="F314" s="250" t="s">
        <v>496</v>
      </c>
      <c r="G314" s="171">
        <v>35.0</v>
      </c>
      <c r="H314" s="171">
        <v>25.0</v>
      </c>
      <c r="I314" s="171">
        <v>40.0</v>
      </c>
      <c r="J314" s="325">
        <f t="shared" si="12"/>
        <v>0.0008399709297</v>
      </c>
      <c r="K314" s="326">
        <f t="shared" si="15"/>
        <v>0.6299781973</v>
      </c>
      <c r="L314" s="327">
        <f t="shared" si="3"/>
        <v>6.767403323</v>
      </c>
      <c r="M314" s="321" t="str">
        <f t="shared" si="4"/>
        <v>liviade</v>
      </c>
      <c r="N314" s="209">
        <f>IFERROR(__xludf.DUMMYFUNCTION("""COMPUTED_VALUE"""),20.0)</f>
        <v>20</v>
      </c>
      <c r="O314" s="176"/>
      <c r="P314" s="176"/>
      <c r="Q314" s="176"/>
      <c r="R314" s="176"/>
      <c r="S314" s="176"/>
      <c r="T314" s="176"/>
      <c r="U314" s="176"/>
      <c r="V314" s="176"/>
      <c r="W314" s="176"/>
      <c r="X314" s="176"/>
      <c r="Y314" s="176"/>
      <c r="Z314" s="176"/>
    </row>
    <row r="315">
      <c r="A315" s="249" t="s">
        <v>18</v>
      </c>
      <c r="B315" s="249" t="s">
        <v>18</v>
      </c>
      <c r="C315" s="219" t="s">
        <v>2899</v>
      </c>
      <c r="D315" s="268" t="s">
        <v>495</v>
      </c>
      <c r="E315" s="251">
        <v>44211.0</v>
      </c>
      <c r="F315" s="250" t="s">
        <v>496</v>
      </c>
      <c r="G315" s="171">
        <v>45.0</v>
      </c>
      <c r="H315" s="171">
        <v>25.0</v>
      </c>
      <c r="I315" s="171">
        <v>40.0</v>
      </c>
      <c r="J315" s="325">
        <f t="shared" si="12"/>
        <v>0.000921068011</v>
      </c>
      <c r="K315" s="326">
        <f t="shared" si="15"/>
        <v>0.6908010083</v>
      </c>
      <c r="L315" s="327">
        <f t="shared" si="3"/>
        <v>6.767403323</v>
      </c>
      <c r="M315" s="321" t="str">
        <f t="shared" si="4"/>
        <v>liviade</v>
      </c>
      <c r="N315" s="209">
        <f>IFERROR(__xludf.DUMMYFUNCTION("""COMPUTED_VALUE"""),21.0)</f>
        <v>21</v>
      </c>
      <c r="O315" s="176"/>
      <c r="P315" s="176"/>
      <c r="Q315" s="176"/>
      <c r="R315" s="176"/>
      <c r="S315" s="176"/>
      <c r="T315" s="176"/>
      <c r="U315" s="176"/>
      <c r="V315" s="176"/>
      <c r="W315" s="176"/>
      <c r="X315" s="176"/>
      <c r="Y315" s="176"/>
      <c r="Z315" s="176"/>
    </row>
    <row r="316">
      <c r="A316" s="249" t="s">
        <v>18</v>
      </c>
      <c r="B316" s="249" t="s">
        <v>18</v>
      </c>
      <c r="C316" s="219" t="s">
        <v>2900</v>
      </c>
      <c r="D316" s="268" t="s">
        <v>495</v>
      </c>
      <c r="E316" s="251">
        <v>44211.0</v>
      </c>
      <c r="F316" s="250" t="s">
        <v>496</v>
      </c>
      <c r="G316" s="171">
        <v>200.0</v>
      </c>
      <c r="H316" s="171">
        <v>100.0</v>
      </c>
      <c r="I316" s="171">
        <v>120.0</v>
      </c>
      <c r="J316" s="325">
        <f t="shared" si="12"/>
        <v>0.003531182846</v>
      </c>
      <c r="K316" s="326">
        <f t="shared" si="15"/>
        <v>2.648387134</v>
      </c>
      <c r="L316" s="327">
        <f t="shared" si="3"/>
        <v>6.767403323</v>
      </c>
      <c r="M316" s="321" t="str">
        <f t="shared" si="4"/>
        <v>liviade</v>
      </c>
      <c r="N316" s="209">
        <f>IFERROR(__xludf.DUMMYFUNCTION("""COMPUTED_VALUE"""),22.0)</f>
        <v>22</v>
      </c>
      <c r="O316" s="176"/>
      <c r="P316" s="176"/>
      <c r="Q316" s="176"/>
      <c r="R316" s="176"/>
      <c r="S316" s="176"/>
      <c r="T316" s="176"/>
      <c r="U316" s="176"/>
      <c r="V316" s="176"/>
      <c r="W316" s="176"/>
      <c r="X316" s="176"/>
      <c r="Y316" s="176"/>
      <c r="Z316" s="176"/>
    </row>
    <row r="317">
      <c r="A317" s="253" t="s">
        <v>18</v>
      </c>
      <c r="B317" s="253" t="s">
        <v>1228</v>
      </c>
      <c r="C317" s="256" t="s">
        <v>2901</v>
      </c>
      <c r="D317" s="336" t="s">
        <v>495</v>
      </c>
      <c r="E317" s="255">
        <v>44211.0</v>
      </c>
      <c r="F317" s="221" t="s">
        <v>2912</v>
      </c>
      <c r="G317" s="222">
        <v>0.0</v>
      </c>
      <c r="H317" s="222">
        <v>0.0</v>
      </c>
      <c r="I317" s="222">
        <v>0.0</v>
      </c>
      <c r="J317" s="339">
        <f t="shared" si="12"/>
        <v>0</v>
      </c>
      <c r="K317" s="337">
        <f t="shared" si="15"/>
        <v>0</v>
      </c>
      <c r="L317" s="341">
        <f t="shared" si="3"/>
        <v>6.767403323</v>
      </c>
      <c r="M317" s="342" t="str">
        <f t="shared" si="4"/>
        <v>liviade</v>
      </c>
      <c r="N317" s="209">
        <f>IFERROR(__xludf.DUMMYFUNCTION("""COMPUTED_VALUE"""),23.0)</f>
        <v>23</v>
      </c>
      <c r="O317" s="209"/>
      <c r="P317" s="209"/>
      <c r="Q317" s="209"/>
      <c r="R317" s="209"/>
      <c r="S317" s="209"/>
      <c r="T317" s="209"/>
      <c r="U317" s="209"/>
      <c r="V317" s="209"/>
      <c r="W317" s="209"/>
      <c r="X317" s="209"/>
      <c r="Y317" s="209"/>
      <c r="Z317" s="209"/>
    </row>
    <row r="318">
      <c r="A318" s="249" t="s">
        <v>18</v>
      </c>
      <c r="B318" s="249" t="s">
        <v>1228</v>
      </c>
      <c r="C318" s="219" t="s">
        <v>2992</v>
      </c>
      <c r="D318" s="268" t="s">
        <v>495</v>
      </c>
      <c r="E318" s="251">
        <v>44211.0</v>
      </c>
      <c r="F318" s="250" t="s">
        <v>496</v>
      </c>
      <c r="G318" s="171">
        <v>200.0</v>
      </c>
      <c r="H318" s="171">
        <v>100.0</v>
      </c>
      <c r="I318" s="171">
        <v>250.0</v>
      </c>
      <c r="J318" s="325">
        <f t="shared" si="12"/>
        <v>0.004555853769</v>
      </c>
      <c r="K318" s="326">
        <f t="shared" si="15"/>
        <v>3.416890327</v>
      </c>
      <c r="L318" s="327">
        <f t="shared" si="3"/>
        <v>6.767403323</v>
      </c>
      <c r="M318" s="321" t="str">
        <f t="shared" si="4"/>
        <v>liviade</v>
      </c>
      <c r="N318" s="209">
        <f>IFERROR(__xludf.DUMMYFUNCTION("""COMPUTED_VALUE"""),24.0)</f>
        <v>24</v>
      </c>
      <c r="O318" s="176"/>
      <c r="P318" s="176"/>
      <c r="Q318" s="176"/>
      <c r="R318" s="176"/>
      <c r="S318" s="176"/>
      <c r="T318" s="176"/>
      <c r="U318" s="176"/>
      <c r="V318" s="176"/>
      <c r="W318" s="176"/>
      <c r="X318" s="176"/>
      <c r="Y318" s="176"/>
      <c r="Z318" s="176"/>
    </row>
    <row r="319">
      <c r="A319" s="249" t="s">
        <v>18</v>
      </c>
      <c r="B319" s="249" t="s">
        <v>867</v>
      </c>
      <c r="C319" s="219" t="s">
        <v>2993</v>
      </c>
      <c r="D319" s="268" t="s">
        <v>495</v>
      </c>
      <c r="E319" s="251">
        <v>44211.0</v>
      </c>
      <c r="F319" s="250" t="s">
        <v>496</v>
      </c>
      <c r="G319" s="171">
        <v>200.0</v>
      </c>
      <c r="H319" s="171">
        <v>100.0</v>
      </c>
      <c r="I319" s="171">
        <v>200.0</v>
      </c>
      <c r="J319" s="325">
        <f t="shared" si="12"/>
        <v>0.004161749568</v>
      </c>
      <c r="K319" s="326">
        <f t="shared" si="15"/>
        <v>3.121312176</v>
      </c>
      <c r="L319" s="327">
        <f t="shared" si="3"/>
        <v>6.767403323</v>
      </c>
      <c r="M319" s="321" t="str">
        <f t="shared" si="4"/>
        <v>liviade</v>
      </c>
      <c r="N319" s="209">
        <f>IFERROR(__xludf.DUMMYFUNCTION("""COMPUTED_VALUE"""),25.0)</f>
        <v>25</v>
      </c>
      <c r="O319" s="176"/>
      <c r="P319" s="176"/>
      <c r="Q319" s="176"/>
      <c r="R319" s="176"/>
      <c r="S319" s="176"/>
      <c r="T319" s="176"/>
      <c r="U319" s="176"/>
      <c r="V319" s="176"/>
      <c r="W319" s="176"/>
      <c r="X319" s="176"/>
      <c r="Y319" s="176"/>
      <c r="Z319" s="176"/>
    </row>
    <row r="320">
      <c r="A320" s="249" t="s">
        <v>18</v>
      </c>
      <c r="B320" s="249" t="s">
        <v>868</v>
      </c>
      <c r="C320" s="219" t="s">
        <v>2903</v>
      </c>
      <c r="D320" s="268" t="s">
        <v>495</v>
      </c>
      <c r="E320" s="251">
        <v>44211.0</v>
      </c>
      <c r="F320" s="250" t="s">
        <v>496</v>
      </c>
      <c r="G320" s="171">
        <v>35.0</v>
      </c>
      <c r="H320" s="171">
        <v>25.0</v>
      </c>
      <c r="I320" s="171">
        <v>40.0</v>
      </c>
      <c r="J320" s="325">
        <f t="shared" si="12"/>
        <v>0.0008399709297</v>
      </c>
      <c r="K320" s="326">
        <f t="shared" si="15"/>
        <v>0.6299781973</v>
      </c>
      <c r="L320" s="327">
        <f t="shared" si="3"/>
        <v>6.767403323</v>
      </c>
      <c r="M320" s="321" t="str">
        <f t="shared" si="4"/>
        <v>liviade</v>
      </c>
      <c r="N320" s="209">
        <f>IFERROR(__xludf.DUMMYFUNCTION("""COMPUTED_VALUE"""),26.0)</f>
        <v>26</v>
      </c>
      <c r="O320" s="176"/>
      <c r="P320" s="176"/>
      <c r="Q320" s="176"/>
      <c r="R320" s="176"/>
      <c r="S320" s="176"/>
      <c r="T320" s="176"/>
      <c r="U320" s="176"/>
      <c r="V320" s="176"/>
      <c r="W320" s="176"/>
      <c r="X320" s="176"/>
      <c r="Y320" s="176"/>
      <c r="Z320" s="176"/>
    </row>
    <row r="321">
      <c r="A321" s="249" t="s">
        <v>26</v>
      </c>
      <c r="B321" s="249" t="s">
        <v>519</v>
      </c>
      <c r="C321" s="219" t="s">
        <v>2994</v>
      </c>
      <c r="D321" s="268" t="s">
        <v>495</v>
      </c>
      <c r="E321" s="361">
        <v>44200.0</v>
      </c>
      <c r="F321" s="250" t="s">
        <v>521</v>
      </c>
      <c r="G321" s="171">
        <v>200.0</v>
      </c>
      <c r="H321" s="171">
        <v>400.0</v>
      </c>
      <c r="I321" s="171">
        <v>300.0</v>
      </c>
      <c r="J321" s="325">
        <f t="shared" si="12"/>
        <v>0.00784013138</v>
      </c>
      <c r="K321" s="326">
        <f t="shared" si="15"/>
        <v>5.880098535</v>
      </c>
      <c r="L321" s="327">
        <f t="shared" si="3"/>
        <v>6.540362724</v>
      </c>
      <c r="M321" s="321" t="str">
        <f t="shared" si="4"/>
        <v>sgonzt</v>
      </c>
      <c r="N321" s="209">
        <f>IFERROR(__xludf.DUMMYFUNCTION("""COMPUTED_VALUE"""),1.0)</f>
        <v>1</v>
      </c>
      <c r="O321" s="176"/>
      <c r="P321" s="176"/>
      <c r="Q321" s="176"/>
      <c r="R321" s="176"/>
      <c r="S321" s="176"/>
      <c r="T321" s="176"/>
      <c r="U321" s="176"/>
      <c r="V321" s="176"/>
      <c r="W321" s="176"/>
      <c r="X321" s="176"/>
      <c r="Y321" s="176"/>
      <c r="Z321" s="176"/>
    </row>
    <row r="322">
      <c r="A322" s="249" t="s">
        <v>26</v>
      </c>
      <c r="B322" s="249" t="s">
        <v>519</v>
      </c>
      <c r="C322" s="219" t="s">
        <v>2329</v>
      </c>
      <c r="D322" s="268" t="s">
        <v>495</v>
      </c>
      <c r="E322" s="361">
        <v>44204.0</v>
      </c>
      <c r="F322" s="250" t="s">
        <v>521</v>
      </c>
      <c r="G322" s="171">
        <v>10.0</v>
      </c>
      <c r="H322" s="171">
        <v>25.0</v>
      </c>
      <c r="I322" s="171">
        <v>20.0</v>
      </c>
      <c r="J322" s="325">
        <f t="shared" si="12"/>
        <v>0.000479586546</v>
      </c>
      <c r="K322" s="326">
        <f t="shared" si="15"/>
        <v>0.3596899095</v>
      </c>
      <c r="L322" s="327">
        <f t="shared" si="3"/>
        <v>6.540362724</v>
      </c>
      <c r="M322" s="321" t="str">
        <f t="shared" si="4"/>
        <v>sgonzt</v>
      </c>
      <c r="N322" s="209">
        <f>IFERROR(__xludf.DUMMYFUNCTION("""COMPUTED_VALUE"""),2.0)</f>
        <v>2</v>
      </c>
      <c r="O322" s="176"/>
      <c r="P322" s="176"/>
      <c r="Q322" s="176"/>
      <c r="R322" s="176"/>
      <c r="S322" s="176"/>
      <c r="T322" s="176"/>
      <c r="U322" s="176"/>
      <c r="V322" s="176"/>
      <c r="W322" s="176"/>
      <c r="X322" s="176"/>
      <c r="Y322" s="176"/>
      <c r="Z322" s="176"/>
    </row>
    <row r="323">
      <c r="A323" s="249" t="s">
        <v>26</v>
      </c>
      <c r="B323" s="249" t="s">
        <v>519</v>
      </c>
      <c r="C323" s="219" t="s">
        <v>2984</v>
      </c>
      <c r="D323" s="268" t="s">
        <v>495</v>
      </c>
      <c r="E323" s="251">
        <v>44209.0</v>
      </c>
      <c r="F323" s="250" t="s">
        <v>521</v>
      </c>
      <c r="G323" s="171">
        <v>10.0</v>
      </c>
      <c r="H323" s="171">
        <v>25.0</v>
      </c>
      <c r="I323" s="171">
        <v>10.0</v>
      </c>
      <c r="J323" s="325">
        <f t="shared" si="12"/>
        <v>0.0004007657057</v>
      </c>
      <c r="K323" s="326">
        <f t="shared" si="15"/>
        <v>0.3005742793</v>
      </c>
      <c r="L323" s="327">
        <f t="shared" si="3"/>
        <v>6.540362724</v>
      </c>
      <c r="M323" s="321" t="str">
        <f t="shared" si="4"/>
        <v>sgonzt</v>
      </c>
      <c r="N323" s="209">
        <f>IFERROR(__xludf.DUMMYFUNCTION("""COMPUTED_VALUE"""),3.0)</f>
        <v>3</v>
      </c>
      <c r="O323" s="176"/>
      <c r="P323" s="176"/>
      <c r="Q323" s="176"/>
      <c r="R323" s="176"/>
      <c r="S323" s="176"/>
      <c r="T323" s="176"/>
      <c r="U323" s="176"/>
      <c r="V323" s="176"/>
      <c r="W323" s="176"/>
      <c r="X323" s="176"/>
      <c r="Y323" s="176"/>
      <c r="Z323" s="176"/>
    </row>
    <row r="324">
      <c r="A324" s="240" t="s">
        <v>25</v>
      </c>
      <c r="B324" s="343" t="s">
        <v>534</v>
      </c>
      <c r="C324" s="221" t="s">
        <v>684</v>
      </c>
      <c r="D324" s="343"/>
      <c r="E324" s="344"/>
      <c r="F324" s="343"/>
      <c r="G324" s="343"/>
      <c r="H324" s="253"/>
      <c r="I324" s="253"/>
      <c r="J324" s="172">
        <f t="shared" si="12"/>
        <v>0</v>
      </c>
      <c r="K324" s="299">
        <f>42.763*-0.85</f>
        <v>-36.34855</v>
      </c>
      <c r="L324" s="327">
        <f t="shared" si="3"/>
        <v>6.414607895</v>
      </c>
      <c r="M324" s="321" t="str">
        <f t="shared" si="4"/>
        <v>freedumbs00</v>
      </c>
      <c r="N324" s="336">
        <f>IFERROR(__xludf.DUMMYFUNCTION("""COMPUTED_VALUE"""),1.0)</f>
        <v>1</v>
      </c>
      <c r="O324" s="343"/>
      <c r="P324" s="343"/>
      <c r="Q324" s="343"/>
      <c r="R324" s="336">
        <v>36.89669088595067</v>
      </c>
      <c r="S324" s="343"/>
      <c r="T324" s="343"/>
      <c r="U324" s="343"/>
      <c r="V324" s="343"/>
      <c r="W324" s="343"/>
      <c r="X324" s="343"/>
      <c r="Y324" s="226"/>
      <c r="Z324" s="226"/>
    </row>
    <row r="325">
      <c r="A325" s="249" t="s">
        <v>25</v>
      </c>
      <c r="B325" s="249" t="s">
        <v>10</v>
      </c>
      <c r="C325" s="329" t="s">
        <v>2873</v>
      </c>
      <c r="D325" s="268" t="s">
        <v>495</v>
      </c>
      <c r="E325" s="361">
        <v>44198.0</v>
      </c>
      <c r="F325" s="250" t="s">
        <v>496</v>
      </c>
      <c r="G325" s="243"/>
      <c r="H325" s="243"/>
      <c r="I325" s="243"/>
      <c r="J325" s="172">
        <f t="shared" si="12"/>
        <v>0</v>
      </c>
      <c r="K325" s="330">
        <v>1.644736842105263</v>
      </c>
      <c r="L325" s="327">
        <f t="shared" si="3"/>
        <v>6.414607895</v>
      </c>
      <c r="M325" s="321" t="str">
        <f t="shared" si="4"/>
        <v>freedumbs00</v>
      </c>
      <c r="N325" s="176">
        <f>IFERROR(__xludf.DUMMYFUNCTION("""COMPUTED_VALUE"""),2.0)</f>
        <v>2</v>
      </c>
      <c r="O325" s="176"/>
      <c r="P325" s="176"/>
      <c r="Q325" s="176"/>
      <c r="R325" s="176"/>
      <c r="S325" s="176"/>
      <c r="T325" s="176"/>
      <c r="U325" s="176"/>
      <c r="V325" s="176"/>
      <c r="W325" s="176"/>
      <c r="X325" s="176"/>
      <c r="Y325" s="176"/>
      <c r="Z325" s="176"/>
    </row>
    <row r="326">
      <c r="A326" s="249" t="s">
        <v>25</v>
      </c>
      <c r="B326" s="249" t="s">
        <v>1228</v>
      </c>
      <c r="C326" s="329" t="s">
        <v>2874</v>
      </c>
      <c r="D326" s="268" t="s">
        <v>495</v>
      </c>
      <c r="E326" s="361">
        <v>44198.0</v>
      </c>
      <c r="F326" s="250" t="s">
        <v>496</v>
      </c>
      <c r="G326" s="243"/>
      <c r="H326" s="243"/>
      <c r="I326" s="243"/>
      <c r="J326" s="172">
        <f t="shared" si="12"/>
        <v>0</v>
      </c>
      <c r="K326" s="330">
        <v>1.644736842105263</v>
      </c>
      <c r="L326" s="327">
        <f t="shared" si="3"/>
        <v>6.414607895</v>
      </c>
      <c r="M326" s="321" t="str">
        <f t="shared" si="4"/>
        <v>freedumbs00</v>
      </c>
      <c r="N326" s="176">
        <f>IFERROR(__xludf.DUMMYFUNCTION("""COMPUTED_VALUE"""),3.0)</f>
        <v>3</v>
      </c>
      <c r="O326" s="176"/>
      <c r="P326" s="176"/>
      <c r="Q326" s="176"/>
      <c r="R326" s="176"/>
      <c r="S326" s="176"/>
      <c r="T326" s="176"/>
      <c r="U326" s="176"/>
      <c r="V326" s="176"/>
      <c r="W326" s="176"/>
      <c r="X326" s="176"/>
      <c r="Y326" s="176"/>
      <c r="Z326" s="176"/>
    </row>
    <row r="327">
      <c r="A327" s="249" t="s">
        <v>25</v>
      </c>
      <c r="B327" s="249" t="s">
        <v>18</v>
      </c>
      <c r="C327" s="329" t="s">
        <v>2953</v>
      </c>
      <c r="D327" s="268" t="s">
        <v>495</v>
      </c>
      <c r="E327" s="361">
        <v>44198.0</v>
      </c>
      <c r="F327" s="250" t="s">
        <v>496</v>
      </c>
      <c r="G327" s="243"/>
      <c r="H327" s="243"/>
      <c r="I327" s="243"/>
      <c r="J327" s="172">
        <f t="shared" si="12"/>
        <v>0</v>
      </c>
      <c r="K327" s="330">
        <v>1.644736842105263</v>
      </c>
      <c r="L327" s="327">
        <f t="shared" si="3"/>
        <v>6.414607895</v>
      </c>
      <c r="M327" s="321" t="str">
        <f t="shared" si="4"/>
        <v>freedumbs00</v>
      </c>
      <c r="N327" s="176">
        <f>IFERROR(__xludf.DUMMYFUNCTION("""COMPUTED_VALUE"""),4.0)</f>
        <v>4</v>
      </c>
      <c r="O327" s="176"/>
      <c r="P327" s="176"/>
      <c r="Q327" s="176"/>
      <c r="R327" s="176"/>
      <c r="S327" s="176"/>
      <c r="T327" s="176"/>
      <c r="U327" s="176"/>
      <c r="V327" s="176"/>
      <c r="W327" s="176"/>
      <c r="X327" s="176"/>
      <c r="Y327" s="176"/>
      <c r="Z327" s="176"/>
    </row>
    <row r="328">
      <c r="A328" s="249" t="s">
        <v>25</v>
      </c>
      <c r="B328" s="249" t="s">
        <v>519</v>
      </c>
      <c r="C328" s="329" t="s">
        <v>2876</v>
      </c>
      <c r="D328" s="268" t="s">
        <v>495</v>
      </c>
      <c r="E328" s="361">
        <v>44201.0</v>
      </c>
      <c r="F328" s="250" t="s">
        <v>499</v>
      </c>
      <c r="G328" s="243"/>
      <c r="H328" s="243"/>
      <c r="I328" s="243"/>
      <c r="J328" s="172">
        <f t="shared" si="12"/>
        <v>0</v>
      </c>
      <c r="K328" s="330">
        <v>1.644736842105263</v>
      </c>
      <c r="L328" s="327">
        <f t="shared" si="3"/>
        <v>6.414607895</v>
      </c>
      <c r="M328" s="321" t="str">
        <f t="shared" si="4"/>
        <v>freedumbs00</v>
      </c>
      <c r="N328" s="176">
        <f>IFERROR(__xludf.DUMMYFUNCTION("""COMPUTED_VALUE"""),5.0)</f>
        <v>5</v>
      </c>
      <c r="O328" s="176"/>
      <c r="P328" s="176"/>
      <c r="Q328" s="176"/>
      <c r="R328" s="176"/>
      <c r="S328" s="176"/>
      <c r="T328" s="176"/>
      <c r="U328" s="176"/>
      <c r="V328" s="176"/>
      <c r="W328" s="176"/>
      <c r="X328" s="176"/>
      <c r="Y328" s="176"/>
      <c r="Z328" s="176"/>
    </row>
    <row r="329">
      <c r="A329" s="249" t="s">
        <v>25</v>
      </c>
      <c r="B329" s="249" t="s">
        <v>519</v>
      </c>
      <c r="C329" s="329" t="s">
        <v>2877</v>
      </c>
      <c r="D329" s="268" t="s">
        <v>495</v>
      </c>
      <c r="E329" s="361">
        <v>44201.0</v>
      </c>
      <c r="F329" s="250" t="s">
        <v>499</v>
      </c>
      <c r="G329" s="243"/>
      <c r="H329" s="243"/>
      <c r="I329" s="243"/>
      <c r="J329" s="172">
        <f t="shared" si="12"/>
        <v>0</v>
      </c>
      <c r="K329" s="330">
        <v>1.644736842105263</v>
      </c>
      <c r="L329" s="327">
        <f t="shared" si="3"/>
        <v>6.414607895</v>
      </c>
      <c r="M329" s="321" t="str">
        <f t="shared" si="4"/>
        <v>freedumbs00</v>
      </c>
      <c r="N329" s="176">
        <f>IFERROR(__xludf.DUMMYFUNCTION("""COMPUTED_VALUE"""),6.0)</f>
        <v>6</v>
      </c>
      <c r="O329" s="176"/>
      <c r="P329" s="176"/>
      <c r="Q329" s="176"/>
      <c r="R329" s="176"/>
      <c r="S329" s="176"/>
      <c r="T329" s="176"/>
      <c r="U329" s="176"/>
      <c r="V329" s="176"/>
      <c r="W329" s="176"/>
      <c r="X329" s="176"/>
      <c r="Y329" s="176"/>
      <c r="Z329" s="176"/>
    </row>
    <row r="330">
      <c r="A330" s="249" t="s">
        <v>25</v>
      </c>
      <c r="B330" s="249" t="s">
        <v>925</v>
      </c>
      <c r="C330" s="329" t="s">
        <v>2995</v>
      </c>
      <c r="D330" s="268" t="s">
        <v>495</v>
      </c>
      <c r="E330" s="361">
        <v>44202.0</v>
      </c>
      <c r="F330" s="250" t="s">
        <v>496</v>
      </c>
      <c r="G330" s="243"/>
      <c r="H330" s="243"/>
      <c r="I330" s="243"/>
      <c r="J330" s="172">
        <f t="shared" si="12"/>
        <v>0</v>
      </c>
      <c r="K330" s="330">
        <v>1.644736842105263</v>
      </c>
      <c r="L330" s="327">
        <f t="shared" si="3"/>
        <v>6.414607895</v>
      </c>
      <c r="M330" s="321" t="str">
        <f t="shared" si="4"/>
        <v>freedumbs00</v>
      </c>
      <c r="N330" s="176">
        <f>IFERROR(__xludf.DUMMYFUNCTION("""COMPUTED_VALUE"""),7.0)</f>
        <v>7</v>
      </c>
      <c r="O330" s="176"/>
      <c r="P330" s="176"/>
      <c r="Q330" s="176"/>
      <c r="R330" s="176"/>
      <c r="S330" s="176"/>
      <c r="T330" s="176"/>
      <c r="U330" s="176"/>
      <c r="V330" s="176"/>
      <c r="W330" s="176"/>
      <c r="X330" s="176"/>
      <c r="Y330" s="176"/>
      <c r="Z330" s="176"/>
    </row>
    <row r="331">
      <c r="A331" s="249" t="s">
        <v>25</v>
      </c>
      <c r="B331" s="249" t="s">
        <v>18</v>
      </c>
      <c r="C331" s="329" t="s">
        <v>2883</v>
      </c>
      <c r="D331" s="268" t="s">
        <v>495</v>
      </c>
      <c r="E331" s="361">
        <v>44202.0</v>
      </c>
      <c r="F331" s="250" t="s">
        <v>496</v>
      </c>
      <c r="G331" s="243"/>
      <c r="H331" s="243"/>
      <c r="I331" s="243"/>
      <c r="J331" s="172">
        <f t="shared" si="12"/>
        <v>0</v>
      </c>
      <c r="K331" s="330">
        <v>1.644736842105263</v>
      </c>
      <c r="L331" s="327">
        <f t="shared" si="3"/>
        <v>6.414607895</v>
      </c>
      <c r="M331" s="321" t="str">
        <f t="shared" si="4"/>
        <v>freedumbs00</v>
      </c>
      <c r="N331" s="176">
        <f>IFERROR(__xludf.DUMMYFUNCTION("""COMPUTED_VALUE"""),8.0)</f>
        <v>8</v>
      </c>
      <c r="O331" s="176"/>
      <c r="P331" s="176"/>
      <c r="Q331" s="176"/>
      <c r="R331" s="176"/>
      <c r="S331" s="176"/>
      <c r="T331" s="176"/>
      <c r="U331" s="176"/>
      <c r="V331" s="176"/>
      <c r="W331" s="176"/>
      <c r="X331" s="176"/>
      <c r="Y331" s="176"/>
      <c r="Z331" s="176"/>
    </row>
    <row r="332">
      <c r="A332" s="249" t="s">
        <v>25</v>
      </c>
      <c r="B332" s="249" t="s">
        <v>10</v>
      </c>
      <c r="C332" s="329" t="s">
        <v>2996</v>
      </c>
      <c r="D332" s="268" t="s">
        <v>495</v>
      </c>
      <c r="E332" s="361">
        <v>44204.0</v>
      </c>
      <c r="F332" s="250" t="s">
        <v>496</v>
      </c>
      <c r="G332" s="243"/>
      <c r="H332" s="243"/>
      <c r="I332" s="243"/>
      <c r="J332" s="172">
        <f t="shared" si="12"/>
        <v>0</v>
      </c>
      <c r="K332" s="330">
        <v>1.644736842105263</v>
      </c>
      <c r="L332" s="327">
        <f t="shared" si="3"/>
        <v>6.414607895</v>
      </c>
      <c r="M332" s="321" t="str">
        <f t="shared" si="4"/>
        <v>freedumbs00</v>
      </c>
      <c r="N332" s="176">
        <f>IFERROR(__xludf.DUMMYFUNCTION("""COMPUTED_VALUE"""),9.0)</f>
        <v>9</v>
      </c>
      <c r="O332" s="176"/>
      <c r="P332" s="176"/>
      <c r="Q332" s="176"/>
      <c r="R332" s="176"/>
      <c r="S332" s="176"/>
      <c r="T332" s="176"/>
      <c r="U332" s="176"/>
      <c r="V332" s="176"/>
      <c r="W332" s="176"/>
      <c r="X332" s="176"/>
      <c r="Y332" s="176"/>
      <c r="Z332" s="176"/>
    </row>
    <row r="333">
      <c r="A333" s="249" t="s">
        <v>25</v>
      </c>
      <c r="B333" s="249" t="s">
        <v>10</v>
      </c>
      <c r="C333" s="329" t="s">
        <v>2887</v>
      </c>
      <c r="D333" s="268" t="s">
        <v>495</v>
      </c>
      <c r="E333" s="361">
        <v>44204.0</v>
      </c>
      <c r="F333" s="250" t="s">
        <v>496</v>
      </c>
      <c r="G333" s="243"/>
      <c r="H333" s="243"/>
      <c r="I333" s="243"/>
      <c r="J333" s="172">
        <f t="shared" si="12"/>
        <v>0</v>
      </c>
      <c r="K333" s="330">
        <v>1.644736842105263</v>
      </c>
      <c r="L333" s="327">
        <f t="shared" si="3"/>
        <v>6.414607895</v>
      </c>
      <c r="M333" s="321" t="str">
        <f t="shared" si="4"/>
        <v>freedumbs00</v>
      </c>
      <c r="N333" s="176">
        <f>IFERROR(__xludf.DUMMYFUNCTION("""COMPUTED_VALUE"""),10.0)</f>
        <v>10</v>
      </c>
      <c r="O333" s="176"/>
      <c r="P333" s="176"/>
      <c r="Q333" s="176"/>
      <c r="R333" s="176"/>
      <c r="S333" s="176"/>
      <c r="T333" s="176"/>
      <c r="U333" s="176"/>
      <c r="V333" s="176"/>
      <c r="W333" s="176"/>
      <c r="X333" s="176"/>
      <c r="Y333" s="176"/>
      <c r="Z333" s="176"/>
    </row>
    <row r="334">
      <c r="A334" s="249" t="s">
        <v>25</v>
      </c>
      <c r="B334" s="249" t="s">
        <v>10</v>
      </c>
      <c r="C334" s="329" t="s">
        <v>2888</v>
      </c>
      <c r="D334" s="268" t="s">
        <v>495</v>
      </c>
      <c r="E334" s="361">
        <v>44204.0</v>
      </c>
      <c r="F334" s="250" t="s">
        <v>496</v>
      </c>
      <c r="G334" s="243"/>
      <c r="H334" s="243"/>
      <c r="I334" s="243"/>
      <c r="J334" s="172">
        <f t="shared" si="12"/>
        <v>0</v>
      </c>
      <c r="K334" s="330">
        <v>1.644736842105263</v>
      </c>
      <c r="L334" s="327">
        <f t="shared" si="3"/>
        <v>6.414607895</v>
      </c>
      <c r="M334" s="321" t="str">
        <f t="shared" si="4"/>
        <v>freedumbs00</v>
      </c>
      <c r="N334" s="176">
        <f>IFERROR(__xludf.DUMMYFUNCTION("""COMPUTED_VALUE"""),11.0)</f>
        <v>11</v>
      </c>
      <c r="O334" s="176"/>
      <c r="P334" s="176"/>
      <c r="Q334" s="176"/>
      <c r="R334" s="176"/>
      <c r="S334" s="176"/>
      <c r="T334" s="176"/>
      <c r="U334" s="176"/>
      <c r="V334" s="176"/>
      <c r="W334" s="176"/>
      <c r="X334" s="176"/>
      <c r="Y334" s="176"/>
      <c r="Z334" s="176"/>
    </row>
    <row r="335">
      <c r="A335" s="249" t="s">
        <v>25</v>
      </c>
      <c r="B335" s="249" t="s">
        <v>867</v>
      </c>
      <c r="C335" s="329" t="s">
        <v>2997</v>
      </c>
      <c r="D335" s="268" t="s">
        <v>495</v>
      </c>
      <c r="E335" s="361">
        <v>44204.0</v>
      </c>
      <c r="F335" s="250" t="s">
        <v>496</v>
      </c>
      <c r="G335" s="243"/>
      <c r="H335" s="243"/>
      <c r="I335" s="243"/>
      <c r="J335" s="172">
        <f t="shared" si="12"/>
        <v>0</v>
      </c>
      <c r="K335" s="330">
        <v>1.644736842105263</v>
      </c>
      <c r="L335" s="327">
        <f t="shared" si="3"/>
        <v>6.414607895</v>
      </c>
      <c r="M335" s="321" t="str">
        <f t="shared" si="4"/>
        <v>freedumbs00</v>
      </c>
      <c r="N335" s="176">
        <f>IFERROR(__xludf.DUMMYFUNCTION("""COMPUTED_VALUE"""),12.0)</f>
        <v>12</v>
      </c>
      <c r="O335" s="176"/>
      <c r="P335" s="176"/>
      <c r="Q335" s="176"/>
      <c r="R335" s="176"/>
      <c r="S335" s="176"/>
      <c r="T335" s="176"/>
      <c r="U335" s="176"/>
      <c r="V335" s="176"/>
      <c r="W335" s="176"/>
      <c r="X335" s="176"/>
      <c r="Y335" s="176"/>
      <c r="Z335" s="176"/>
    </row>
    <row r="336">
      <c r="A336" s="249" t="s">
        <v>25</v>
      </c>
      <c r="B336" s="249" t="s">
        <v>1231</v>
      </c>
      <c r="C336" s="329" t="s">
        <v>2983</v>
      </c>
      <c r="D336" s="268" t="s">
        <v>495</v>
      </c>
      <c r="E336" s="251">
        <v>44206.0</v>
      </c>
      <c r="F336" s="250" t="s">
        <v>496</v>
      </c>
      <c r="G336" s="243"/>
      <c r="H336" s="243"/>
      <c r="I336" s="243"/>
      <c r="J336" s="172">
        <f t="shared" si="12"/>
        <v>0</v>
      </c>
      <c r="K336" s="330">
        <v>1.644736842105263</v>
      </c>
      <c r="L336" s="327">
        <f t="shared" si="3"/>
        <v>6.414607895</v>
      </c>
      <c r="M336" s="321" t="str">
        <f t="shared" si="4"/>
        <v>freedumbs00</v>
      </c>
      <c r="N336" s="176">
        <f>IFERROR(__xludf.DUMMYFUNCTION("""COMPUTED_VALUE"""),13.0)</f>
        <v>13</v>
      </c>
      <c r="O336" s="176"/>
      <c r="P336" s="176"/>
      <c r="Q336" s="176"/>
      <c r="R336" s="176"/>
      <c r="S336" s="176"/>
      <c r="T336" s="176"/>
      <c r="U336" s="176"/>
      <c r="V336" s="176"/>
      <c r="W336" s="176"/>
      <c r="X336" s="176"/>
      <c r="Y336" s="176"/>
      <c r="Z336" s="176"/>
    </row>
    <row r="337">
      <c r="A337" s="249" t="s">
        <v>25</v>
      </c>
      <c r="B337" s="249" t="s">
        <v>519</v>
      </c>
      <c r="C337" s="329" t="s">
        <v>2944</v>
      </c>
      <c r="D337" s="268" t="s">
        <v>495</v>
      </c>
      <c r="E337" s="251">
        <v>44207.0</v>
      </c>
      <c r="F337" s="250" t="s">
        <v>496</v>
      </c>
      <c r="G337" s="243"/>
      <c r="H337" s="243"/>
      <c r="I337" s="243"/>
      <c r="J337" s="172">
        <f t="shared" si="12"/>
        <v>0</v>
      </c>
      <c r="K337" s="330">
        <v>1.644736842105263</v>
      </c>
      <c r="L337" s="327">
        <f t="shared" si="3"/>
        <v>6.414607895</v>
      </c>
      <c r="M337" s="321" t="str">
        <f t="shared" si="4"/>
        <v>freedumbs00</v>
      </c>
      <c r="N337" s="176">
        <f>IFERROR(__xludf.DUMMYFUNCTION("""COMPUTED_VALUE"""),14.0)</f>
        <v>14</v>
      </c>
      <c r="O337" s="176"/>
      <c r="P337" s="176"/>
      <c r="Q337" s="176"/>
      <c r="R337" s="176"/>
      <c r="S337" s="176"/>
      <c r="T337" s="176"/>
      <c r="U337" s="176"/>
      <c r="V337" s="176"/>
      <c r="W337" s="176"/>
      <c r="X337" s="176"/>
      <c r="Y337" s="176"/>
      <c r="Z337" s="176"/>
    </row>
    <row r="338">
      <c r="A338" s="249" t="s">
        <v>25</v>
      </c>
      <c r="B338" s="249" t="s">
        <v>18</v>
      </c>
      <c r="C338" s="329" t="s">
        <v>2998</v>
      </c>
      <c r="D338" s="268" t="s">
        <v>495</v>
      </c>
      <c r="E338" s="251">
        <v>44207.0</v>
      </c>
      <c r="F338" s="250" t="s">
        <v>496</v>
      </c>
      <c r="G338" s="243"/>
      <c r="H338" s="243"/>
      <c r="I338" s="243"/>
      <c r="J338" s="172">
        <f t="shared" si="12"/>
        <v>0</v>
      </c>
      <c r="K338" s="330">
        <v>1.644736842105263</v>
      </c>
      <c r="L338" s="327">
        <f t="shared" si="3"/>
        <v>6.414607895</v>
      </c>
      <c r="M338" s="321" t="str">
        <f t="shared" si="4"/>
        <v>freedumbs00</v>
      </c>
      <c r="N338" s="176">
        <f>IFERROR(__xludf.DUMMYFUNCTION("""COMPUTED_VALUE"""),15.0)</f>
        <v>15</v>
      </c>
      <c r="O338" s="176"/>
      <c r="P338" s="176"/>
      <c r="Q338" s="176"/>
      <c r="R338" s="176"/>
      <c r="S338" s="176"/>
      <c r="T338" s="176"/>
      <c r="U338" s="176"/>
      <c r="V338" s="176"/>
      <c r="W338" s="176"/>
      <c r="X338" s="176"/>
      <c r="Y338" s="176"/>
      <c r="Z338" s="176"/>
    </row>
    <row r="339">
      <c r="A339" s="249" t="s">
        <v>25</v>
      </c>
      <c r="B339" s="249" t="s">
        <v>590</v>
      </c>
      <c r="C339" s="329" t="s">
        <v>2893</v>
      </c>
      <c r="D339" s="268" t="s">
        <v>495</v>
      </c>
      <c r="E339" s="251">
        <v>44208.0</v>
      </c>
      <c r="F339" s="250" t="s">
        <v>496</v>
      </c>
      <c r="G339" s="243"/>
      <c r="H339" s="243"/>
      <c r="I339" s="243"/>
      <c r="J339" s="172">
        <f t="shared" si="12"/>
        <v>0</v>
      </c>
      <c r="K339" s="330">
        <v>1.644736842105263</v>
      </c>
      <c r="L339" s="327">
        <f t="shared" si="3"/>
        <v>6.414607895</v>
      </c>
      <c r="M339" s="321" t="str">
        <f t="shared" si="4"/>
        <v>freedumbs00</v>
      </c>
      <c r="N339" s="176">
        <f>IFERROR(__xludf.DUMMYFUNCTION("""COMPUTED_VALUE"""),16.0)</f>
        <v>16</v>
      </c>
      <c r="O339" s="176"/>
      <c r="P339" s="176"/>
      <c r="Q339" s="176"/>
      <c r="R339" s="176"/>
      <c r="S339" s="176"/>
      <c r="T339" s="176"/>
      <c r="U339" s="176"/>
      <c r="V339" s="176"/>
      <c r="W339" s="176"/>
      <c r="X339" s="176"/>
      <c r="Y339" s="176"/>
      <c r="Z339" s="176"/>
    </row>
    <row r="340">
      <c r="A340" s="249" t="s">
        <v>25</v>
      </c>
      <c r="B340" s="249" t="s">
        <v>18</v>
      </c>
      <c r="C340" s="329" t="s">
        <v>2958</v>
      </c>
      <c r="D340" s="268" t="s">
        <v>495</v>
      </c>
      <c r="E340" s="251">
        <v>44209.0</v>
      </c>
      <c r="F340" s="250" t="s">
        <v>496</v>
      </c>
      <c r="G340" s="243"/>
      <c r="H340" s="243"/>
      <c r="I340" s="243"/>
      <c r="J340" s="172">
        <f t="shared" si="12"/>
        <v>0</v>
      </c>
      <c r="K340" s="330">
        <v>1.644736842105263</v>
      </c>
      <c r="L340" s="327">
        <f t="shared" si="3"/>
        <v>6.414607895</v>
      </c>
      <c r="M340" s="321" t="str">
        <f t="shared" si="4"/>
        <v>freedumbs00</v>
      </c>
      <c r="N340" s="176">
        <f>IFERROR(__xludf.DUMMYFUNCTION("""COMPUTED_VALUE"""),17.0)</f>
        <v>17</v>
      </c>
      <c r="O340" s="176"/>
      <c r="P340" s="176"/>
      <c r="Q340" s="176"/>
      <c r="R340" s="176"/>
      <c r="S340" s="176"/>
      <c r="T340" s="176"/>
      <c r="U340" s="176"/>
      <c r="V340" s="176"/>
      <c r="W340" s="176"/>
      <c r="X340" s="176"/>
      <c r="Y340" s="176"/>
      <c r="Z340" s="176"/>
    </row>
    <row r="341">
      <c r="A341" s="249" t="s">
        <v>25</v>
      </c>
      <c r="B341" s="249" t="s">
        <v>18</v>
      </c>
      <c r="C341" s="329" t="s">
        <v>2999</v>
      </c>
      <c r="D341" s="268" t="s">
        <v>495</v>
      </c>
      <c r="E341" s="251">
        <v>44209.0</v>
      </c>
      <c r="F341" s="250" t="s">
        <v>496</v>
      </c>
      <c r="G341" s="243"/>
      <c r="H341" s="243"/>
      <c r="I341" s="243"/>
      <c r="J341" s="172">
        <f t="shared" si="12"/>
        <v>0</v>
      </c>
      <c r="K341" s="330">
        <v>1.644736842105263</v>
      </c>
      <c r="L341" s="327">
        <f t="shared" si="3"/>
        <v>6.414607895</v>
      </c>
      <c r="M341" s="321" t="str">
        <f t="shared" si="4"/>
        <v>freedumbs00</v>
      </c>
      <c r="N341" s="176">
        <f>IFERROR(__xludf.DUMMYFUNCTION("""COMPUTED_VALUE"""),18.0)</f>
        <v>18</v>
      </c>
      <c r="O341" s="176"/>
      <c r="P341" s="176"/>
      <c r="Q341" s="176"/>
      <c r="R341" s="176"/>
      <c r="S341" s="176"/>
      <c r="T341" s="176"/>
      <c r="U341" s="176"/>
      <c r="V341" s="176"/>
      <c r="W341" s="176"/>
      <c r="X341" s="176"/>
      <c r="Y341" s="176"/>
      <c r="Z341" s="176"/>
    </row>
    <row r="342">
      <c r="A342" s="249" t="s">
        <v>25</v>
      </c>
      <c r="B342" s="249" t="s">
        <v>1231</v>
      </c>
      <c r="C342" s="329" t="s">
        <v>3000</v>
      </c>
      <c r="D342" s="268" t="s">
        <v>495</v>
      </c>
      <c r="E342" s="251">
        <v>44209.0</v>
      </c>
      <c r="F342" s="250" t="s">
        <v>496</v>
      </c>
      <c r="G342" s="243"/>
      <c r="H342" s="243"/>
      <c r="I342" s="243"/>
      <c r="J342" s="172">
        <f t="shared" si="12"/>
        <v>0</v>
      </c>
      <c r="K342" s="330">
        <v>1.644736842105263</v>
      </c>
      <c r="L342" s="327">
        <f t="shared" si="3"/>
        <v>6.414607895</v>
      </c>
      <c r="M342" s="321" t="str">
        <f t="shared" si="4"/>
        <v>freedumbs00</v>
      </c>
      <c r="N342" s="176">
        <f>IFERROR(__xludf.DUMMYFUNCTION("""COMPUTED_VALUE"""),19.0)</f>
        <v>19</v>
      </c>
      <c r="O342" s="176"/>
      <c r="P342" s="176"/>
      <c r="Q342" s="176"/>
      <c r="R342" s="176"/>
      <c r="S342" s="176"/>
      <c r="T342" s="176"/>
      <c r="U342" s="176"/>
      <c r="V342" s="176"/>
      <c r="W342" s="176"/>
      <c r="X342" s="176"/>
      <c r="Y342" s="176"/>
      <c r="Z342" s="176"/>
    </row>
    <row r="343">
      <c r="A343" s="249" t="s">
        <v>25</v>
      </c>
      <c r="B343" s="249" t="s">
        <v>5</v>
      </c>
      <c r="C343" s="329" t="s">
        <v>2894</v>
      </c>
      <c r="D343" s="268" t="s">
        <v>495</v>
      </c>
      <c r="E343" s="251">
        <v>44210.0</v>
      </c>
      <c r="F343" s="250" t="s">
        <v>496</v>
      </c>
      <c r="G343" s="243"/>
      <c r="H343" s="243"/>
      <c r="I343" s="243"/>
      <c r="J343" s="172">
        <f t="shared" si="12"/>
        <v>0</v>
      </c>
      <c r="K343" s="330">
        <v>1.644736842105263</v>
      </c>
      <c r="L343" s="327">
        <f t="shared" si="3"/>
        <v>6.414607895</v>
      </c>
      <c r="M343" s="321" t="str">
        <f t="shared" si="4"/>
        <v>freedumbs00</v>
      </c>
      <c r="N343" s="176">
        <f>IFERROR(__xludf.DUMMYFUNCTION("""COMPUTED_VALUE"""),20.0)</f>
        <v>20</v>
      </c>
      <c r="O343" s="176"/>
      <c r="P343" s="176"/>
      <c r="Q343" s="176"/>
      <c r="R343" s="176"/>
      <c r="S343" s="176"/>
      <c r="T343" s="176"/>
      <c r="U343" s="176"/>
      <c r="V343" s="176"/>
      <c r="W343" s="176"/>
      <c r="X343" s="176"/>
      <c r="Y343" s="176"/>
      <c r="Z343" s="176"/>
    </row>
    <row r="344">
      <c r="A344" s="249" t="s">
        <v>25</v>
      </c>
      <c r="B344" s="249" t="s">
        <v>519</v>
      </c>
      <c r="C344" s="329" t="s">
        <v>2895</v>
      </c>
      <c r="D344" s="268" t="s">
        <v>495</v>
      </c>
      <c r="E344" s="251">
        <v>44210.0</v>
      </c>
      <c r="F344" s="250" t="s">
        <v>496</v>
      </c>
      <c r="G344" s="243"/>
      <c r="H344" s="243"/>
      <c r="I344" s="243"/>
      <c r="J344" s="172">
        <f t="shared" si="12"/>
        <v>0</v>
      </c>
      <c r="K344" s="330">
        <v>1.644736842105263</v>
      </c>
      <c r="L344" s="327">
        <f t="shared" si="3"/>
        <v>6.414607895</v>
      </c>
      <c r="M344" s="321" t="str">
        <f t="shared" si="4"/>
        <v>freedumbs00</v>
      </c>
      <c r="N344" s="176">
        <f>IFERROR(__xludf.DUMMYFUNCTION("""COMPUTED_VALUE"""),21.0)</f>
        <v>21</v>
      </c>
      <c r="O344" s="176"/>
      <c r="P344" s="176"/>
      <c r="Q344" s="176"/>
      <c r="R344" s="176"/>
      <c r="S344" s="176"/>
      <c r="T344" s="176"/>
      <c r="U344" s="176"/>
      <c r="V344" s="176"/>
      <c r="W344" s="176"/>
      <c r="X344" s="176"/>
      <c r="Y344" s="176"/>
      <c r="Z344" s="176"/>
    </row>
    <row r="345">
      <c r="A345" s="249" t="s">
        <v>25</v>
      </c>
      <c r="B345" s="249" t="s">
        <v>10</v>
      </c>
      <c r="C345" s="329" t="s">
        <v>3001</v>
      </c>
      <c r="D345" s="268" t="s">
        <v>495</v>
      </c>
      <c r="E345" s="251">
        <v>44211.0</v>
      </c>
      <c r="F345" s="250" t="s">
        <v>496</v>
      </c>
      <c r="G345" s="243"/>
      <c r="H345" s="243"/>
      <c r="I345" s="243"/>
      <c r="J345" s="172">
        <f t="shared" si="12"/>
        <v>0</v>
      </c>
      <c r="K345" s="330">
        <v>1.644736842105263</v>
      </c>
      <c r="L345" s="327">
        <f t="shared" si="3"/>
        <v>6.414607895</v>
      </c>
      <c r="M345" s="321" t="str">
        <f t="shared" si="4"/>
        <v>freedumbs00</v>
      </c>
      <c r="N345" s="176">
        <f>IFERROR(__xludf.DUMMYFUNCTION("""COMPUTED_VALUE"""),22.0)</f>
        <v>22</v>
      </c>
      <c r="O345" s="176"/>
      <c r="P345" s="176"/>
      <c r="Q345" s="176"/>
      <c r="R345" s="176"/>
      <c r="S345" s="176"/>
      <c r="T345" s="176"/>
      <c r="U345" s="176"/>
      <c r="V345" s="176"/>
      <c r="W345" s="176"/>
      <c r="X345" s="176"/>
      <c r="Y345" s="176"/>
      <c r="Z345" s="176"/>
    </row>
    <row r="346">
      <c r="A346" s="249" t="s">
        <v>25</v>
      </c>
      <c r="B346" s="249" t="s">
        <v>10</v>
      </c>
      <c r="C346" s="329" t="s">
        <v>2896</v>
      </c>
      <c r="D346" s="268" t="s">
        <v>495</v>
      </c>
      <c r="E346" s="251">
        <v>44211.0</v>
      </c>
      <c r="F346" s="250" t="s">
        <v>496</v>
      </c>
      <c r="G346" s="243"/>
      <c r="H346" s="243"/>
      <c r="I346" s="243"/>
      <c r="J346" s="172">
        <f t="shared" si="12"/>
        <v>0</v>
      </c>
      <c r="K346" s="330">
        <v>1.644736842105263</v>
      </c>
      <c r="L346" s="327">
        <f t="shared" si="3"/>
        <v>6.414607895</v>
      </c>
      <c r="M346" s="321" t="str">
        <f t="shared" si="4"/>
        <v>freedumbs00</v>
      </c>
      <c r="N346" s="176">
        <f>IFERROR(__xludf.DUMMYFUNCTION("""COMPUTED_VALUE"""),23.0)</f>
        <v>23</v>
      </c>
      <c r="O346" s="176"/>
      <c r="P346" s="176"/>
      <c r="Q346" s="176"/>
      <c r="R346" s="176"/>
      <c r="S346" s="176"/>
      <c r="T346" s="176"/>
      <c r="U346" s="176"/>
      <c r="V346" s="176"/>
      <c r="W346" s="176"/>
      <c r="X346" s="176"/>
      <c r="Y346" s="176"/>
      <c r="Z346" s="176"/>
    </row>
    <row r="347">
      <c r="A347" s="249" t="s">
        <v>25</v>
      </c>
      <c r="B347" s="249" t="s">
        <v>18</v>
      </c>
      <c r="C347" s="329" t="s">
        <v>2899</v>
      </c>
      <c r="D347" s="268" t="s">
        <v>495</v>
      </c>
      <c r="E347" s="251">
        <v>44211.0</v>
      </c>
      <c r="F347" s="250" t="s">
        <v>496</v>
      </c>
      <c r="G347" s="243"/>
      <c r="H347" s="243"/>
      <c r="I347" s="243"/>
      <c r="J347" s="172">
        <f t="shared" si="12"/>
        <v>0</v>
      </c>
      <c r="K347" s="330">
        <v>1.644736842105263</v>
      </c>
      <c r="L347" s="327">
        <f t="shared" si="3"/>
        <v>6.414607895</v>
      </c>
      <c r="M347" s="321" t="str">
        <f t="shared" si="4"/>
        <v>freedumbs00</v>
      </c>
      <c r="N347" s="176">
        <f>IFERROR(__xludf.DUMMYFUNCTION("""COMPUTED_VALUE"""),24.0)</f>
        <v>24</v>
      </c>
      <c r="O347" s="176"/>
      <c r="P347" s="176"/>
      <c r="Q347" s="176"/>
      <c r="R347" s="176"/>
      <c r="S347" s="176"/>
      <c r="T347" s="176"/>
      <c r="U347" s="176"/>
      <c r="V347" s="176"/>
      <c r="W347" s="176"/>
      <c r="X347" s="176"/>
      <c r="Y347" s="176"/>
      <c r="Z347" s="176"/>
    </row>
    <row r="348">
      <c r="A348" s="249" t="s">
        <v>25</v>
      </c>
      <c r="B348" s="249" t="s">
        <v>18</v>
      </c>
      <c r="C348" s="329" t="s">
        <v>2900</v>
      </c>
      <c r="D348" s="268" t="s">
        <v>495</v>
      </c>
      <c r="E348" s="251">
        <v>44211.0</v>
      </c>
      <c r="F348" s="250" t="s">
        <v>496</v>
      </c>
      <c r="G348" s="243"/>
      <c r="H348" s="243"/>
      <c r="I348" s="243"/>
      <c r="J348" s="172">
        <f t="shared" si="12"/>
        <v>0</v>
      </c>
      <c r="K348" s="330">
        <v>1.644736842105263</v>
      </c>
      <c r="L348" s="327">
        <f t="shared" si="3"/>
        <v>6.414607895</v>
      </c>
      <c r="M348" s="321" t="str">
        <f t="shared" si="4"/>
        <v>freedumbs00</v>
      </c>
      <c r="N348" s="176">
        <f>IFERROR(__xludf.DUMMYFUNCTION("""COMPUTED_VALUE"""),25.0)</f>
        <v>25</v>
      </c>
      <c r="O348" s="176"/>
      <c r="P348" s="176"/>
      <c r="Q348" s="176"/>
      <c r="R348" s="176"/>
      <c r="S348" s="176"/>
      <c r="T348" s="176"/>
      <c r="U348" s="176"/>
      <c r="V348" s="176"/>
      <c r="W348" s="176"/>
      <c r="X348" s="176"/>
      <c r="Y348" s="176"/>
      <c r="Z348" s="176"/>
    </row>
    <row r="349">
      <c r="A349" s="249" t="s">
        <v>25</v>
      </c>
      <c r="B349" s="249" t="s">
        <v>1228</v>
      </c>
      <c r="C349" s="329" t="s">
        <v>2901</v>
      </c>
      <c r="D349" s="268" t="s">
        <v>495</v>
      </c>
      <c r="E349" s="251">
        <v>44211.0</v>
      </c>
      <c r="F349" s="250" t="s">
        <v>496</v>
      </c>
      <c r="G349" s="243"/>
      <c r="H349" s="243"/>
      <c r="I349" s="243"/>
      <c r="J349" s="172">
        <f t="shared" si="12"/>
        <v>0</v>
      </c>
      <c r="K349" s="330">
        <v>1.644736842105263</v>
      </c>
      <c r="L349" s="327">
        <f t="shared" si="3"/>
        <v>6.414607895</v>
      </c>
      <c r="M349" s="321" t="str">
        <f t="shared" si="4"/>
        <v>freedumbs00</v>
      </c>
      <c r="N349" s="176">
        <f>IFERROR(__xludf.DUMMYFUNCTION("""COMPUTED_VALUE"""),26.0)</f>
        <v>26</v>
      </c>
      <c r="O349" s="176"/>
      <c r="P349" s="176"/>
      <c r="Q349" s="176"/>
      <c r="R349" s="176"/>
      <c r="S349" s="176"/>
      <c r="T349" s="176"/>
      <c r="U349" s="176"/>
      <c r="V349" s="176"/>
      <c r="W349" s="176"/>
      <c r="X349" s="176"/>
      <c r="Y349" s="176"/>
      <c r="Z349" s="176"/>
    </row>
    <row r="350">
      <c r="A350" s="249" t="s">
        <v>25</v>
      </c>
      <c r="B350" s="249" t="s">
        <v>1228</v>
      </c>
      <c r="C350" s="329" t="s">
        <v>3002</v>
      </c>
      <c r="D350" s="268" t="s">
        <v>495</v>
      </c>
      <c r="E350" s="251">
        <v>44211.0</v>
      </c>
      <c r="F350" s="250" t="s">
        <v>496</v>
      </c>
      <c r="G350" s="243"/>
      <c r="H350" s="243"/>
      <c r="I350" s="243"/>
      <c r="J350" s="172">
        <f t="shared" si="12"/>
        <v>0</v>
      </c>
      <c r="K350" s="330">
        <v>1.644736842105263</v>
      </c>
      <c r="L350" s="327">
        <f t="shared" si="3"/>
        <v>6.414607895</v>
      </c>
      <c r="M350" s="321" t="str">
        <f t="shared" si="4"/>
        <v>freedumbs00</v>
      </c>
      <c r="N350" s="176">
        <f>IFERROR(__xludf.DUMMYFUNCTION("""COMPUTED_VALUE"""),27.0)</f>
        <v>27</v>
      </c>
      <c r="O350" s="176"/>
      <c r="P350" s="176"/>
      <c r="Q350" s="176"/>
      <c r="R350" s="176"/>
      <c r="S350" s="176"/>
      <c r="T350" s="176"/>
      <c r="U350" s="176"/>
      <c r="V350" s="176"/>
      <c r="W350" s="176"/>
      <c r="X350" s="176"/>
      <c r="Y350" s="176"/>
      <c r="Z350" s="176"/>
    </row>
    <row r="351">
      <c r="A351" s="249" t="s">
        <v>100</v>
      </c>
      <c r="B351" s="249" t="s">
        <v>845</v>
      </c>
      <c r="C351" s="219" t="s">
        <v>3003</v>
      </c>
      <c r="D351" s="268" t="s">
        <v>495</v>
      </c>
      <c r="E351" s="361">
        <v>44204.0</v>
      </c>
      <c r="F351" s="250" t="s">
        <v>496</v>
      </c>
      <c r="G351" s="171">
        <v>200.0</v>
      </c>
      <c r="H351" s="171">
        <v>200.0</v>
      </c>
      <c r="I351" s="171">
        <v>130.0</v>
      </c>
      <c r="J351" s="325">
        <f t="shared" si="12"/>
        <v>0.004573394823</v>
      </c>
      <c r="K351" s="326">
        <f t="shared" ref="K351:K354" si="16">J351*$J$1</f>
        <v>3.430046117</v>
      </c>
      <c r="L351" s="327">
        <f t="shared" si="3"/>
        <v>6.226213784</v>
      </c>
      <c r="M351" s="321" t="str">
        <f t="shared" si="4"/>
        <v>nikoline_nik</v>
      </c>
      <c r="N351" s="209">
        <f>IFERROR(__xludf.DUMMYFUNCTION("""COMPUTED_VALUE"""),1.0)</f>
        <v>1</v>
      </c>
      <c r="O351" s="176"/>
      <c r="P351" s="176"/>
      <c r="Q351" s="176"/>
      <c r="R351" s="176"/>
      <c r="S351" s="176"/>
      <c r="T351" s="176"/>
      <c r="U351" s="176"/>
      <c r="V351" s="176"/>
      <c r="W351" s="176"/>
      <c r="X351" s="176"/>
      <c r="Y351" s="176"/>
      <c r="Z351" s="176"/>
    </row>
    <row r="352">
      <c r="A352" s="249" t="s">
        <v>100</v>
      </c>
      <c r="B352" s="249" t="s">
        <v>519</v>
      </c>
      <c r="C352" s="219" t="s">
        <v>3004</v>
      </c>
      <c r="D352" s="268" t="s">
        <v>495</v>
      </c>
      <c r="E352" s="251">
        <v>44208.0</v>
      </c>
      <c r="F352" s="250" t="s">
        <v>499</v>
      </c>
      <c r="G352" s="171">
        <v>200.0</v>
      </c>
      <c r="H352" s="171">
        <v>55.0</v>
      </c>
      <c r="I352" s="171">
        <v>200.0</v>
      </c>
      <c r="J352" s="325">
        <f t="shared" si="12"/>
        <v>0.003728223556</v>
      </c>
      <c r="K352" s="326">
        <f t="shared" si="16"/>
        <v>2.796167667</v>
      </c>
      <c r="L352" s="327">
        <f t="shared" si="3"/>
        <v>6.226213784</v>
      </c>
      <c r="M352" s="321" t="str">
        <f t="shared" si="4"/>
        <v>nikoline_nik</v>
      </c>
      <c r="N352" s="209">
        <f>IFERROR(__xludf.DUMMYFUNCTION("""COMPUTED_VALUE"""),2.0)</f>
        <v>2</v>
      </c>
      <c r="O352" s="176"/>
      <c r="P352" s="176"/>
      <c r="Q352" s="176"/>
      <c r="R352" s="176"/>
      <c r="S352" s="176"/>
      <c r="T352" s="176"/>
      <c r="U352" s="176"/>
      <c r="V352" s="176"/>
      <c r="W352" s="176"/>
      <c r="X352" s="176"/>
      <c r="Y352" s="176"/>
      <c r="Z352" s="176"/>
    </row>
    <row r="353">
      <c r="A353" s="249" t="s">
        <v>91</v>
      </c>
      <c r="B353" s="249" t="s">
        <v>845</v>
      </c>
      <c r="C353" s="219" t="s">
        <v>3003</v>
      </c>
      <c r="D353" s="268" t="s">
        <v>495</v>
      </c>
      <c r="E353" s="361">
        <v>44204.0</v>
      </c>
      <c r="F353" s="250" t="s">
        <v>496</v>
      </c>
      <c r="G353" s="171">
        <v>200.0</v>
      </c>
      <c r="H353" s="171">
        <v>200.0</v>
      </c>
      <c r="I353" s="171">
        <v>130.0</v>
      </c>
      <c r="J353" s="325">
        <f t="shared" si="12"/>
        <v>0.004573394823</v>
      </c>
      <c r="K353" s="326">
        <f t="shared" si="16"/>
        <v>3.430046117</v>
      </c>
      <c r="L353" s="327">
        <f t="shared" si="3"/>
        <v>6.226213784</v>
      </c>
      <c r="M353" s="321" t="str">
        <f t="shared" si="4"/>
        <v>ludo_lb</v>
      </c>
      <c r="N353" s="209">
        <f>IFERROR(__xludf.DUMMYFUNCTION("""COMPUTED_VALUE"""),1.0)</f>
        <v>1</v>
      </c>
      <c r="O353" s="176"/>
      <c r="P353" s="176"/>
      <c r="Q353" s="176"/>
      <c r="R353" s="176"/>
      <c r="S353" s="176"/>
      <c r="T353" s="176"/>
      <c r="U353" s="176"/>
      <c r="V353" s="176"/>
      <c r="W353" s="176"/>
      <c r="X353" s="176"/>
      <c r="Y353" s="176"/>
      <c r="Z353" s="176"/>
    </row>
    <row r="354">
      <c r="A354" s="249" t="s">
        <v>91</v>
      </c>
      <c r="B354" s="249" t="s">
        <v>519</v>
      </c>
      <c r="C354" s="219" t="s">
        <v>3004</v>
      </c>
      <c r="D354" s="268" t="s">
        <v>495</v>
      </c>
      <c r="E354" s="251">
        <v>44208.0</v>
      </c>
      <c r="F354" s="250" t="s">
        <v>499</v>
      </c>
      <c r="G354" s="171">
        <v>200.0</v>
      </c>
      <c r="H354" s="171">
        <v>55.0</v>
      </c>
      <c r="I354" s="171">
        <v>200.0</v>
      </c>
      <c r="J354" s="325">
        <f t="shared" si="12"/>
        <v>0.003728223556</v>
      </c>
      <c r="K354" s="326">
        <f t="shared" si="16"/>
        <v>2.796167667</v>
      </c>
      <c r="L354" s="327">
        <f t="shared" si="3"/>
        <v>6.226213784</v>
      </c>
      <c r="M354" s="321" t="str">
        <f t="shared" si="4"/>
        <v>ludo_lb</v>
      </c>
      <c r="N354" s="209">
        <f>IFERROR(__xludf.DUMMYFUNCTION("""COMPUTED_VALUE"""),2.0)</f>
        <v>2</v>
      </c>
      <c r="O354" s="176"/>
      <c r="P354" s="176"/>
      <c r="Q354" s="176"/>
      <c r="R354" s="176"/>
      <c r="S354" s="176"/>
      <c r="T354" s="176"/>
      <c r="U354" s="176"/>
      <c r="V354" s="176"/>
      <c r="W354" s="176"/>
      <c r="X354" s="176"/>
      <c r="Y354" s="176"/>
      <c r="Z354" s="176"/>
    </row>
    <row r="355">
      <c r="A355" s="240" t="s">
        <v>28</v>
      </c>
      <c r="B355" s="240" t="s">
        <v>534</v>
      </c>
      <c r="C355" s="221" t="s">
        <v>781</v>
      </c>
      <c r="D355" s="336"/>
      <c r="E355" s="340"/>
      <c r="F355" s="254"/>
      <c r="G355" s="312"/>
      <c r="H355" s="222"/>
      <c r="I355" s="222"/>
      <c r="J355" s="325">
        <f t="shared" si="12"/>
        <v>0</v>
      </c>
      <c r="K355" s="337">
        <f>-0.85*40.22</f>
        <v>-34.187</v>
      </c>
      <c r="L355" s="327">
        <f t="shared" si="3"/>
        <v>6.032774268</v>
      </c>
      <c r="M355" s="321" t="str">
        <f t="shared" si="4"/>
        <v>tam2140</v>
      </c>
      <c r="N355" s="209">
        <f>IFERROR(__xludf.DUMMYFUNCTION("""COMPUTED_VALUE"""),1.0)</f>
        <v>1</v>
      </c>
      <c r="O355" s="209"/>
      <c r="P355" s="209"/>
      <c r="Q355" s="209"/>
      <c r="R355" s="209">
        <v>27.866735844582376</v>
      </c>
      <c r="S355" s="209"/>
      <c r="T355" s="209"/>
      <c r="U355" s="209"/>
      <c r="V355" s="209"/>
      <c r="W355" s="209"/>
      <c r="X355" s="209"/>
      <c r="Y355" s="176"/>
      <c r="Z355" s="176"/>
    </row>
    <row r="356">
      <c r="A356" s="249" t="s">
        <v>28</v>
      </c>
      <c r="B356" s="249" t="s">
        <v>10</v>
      </c>
      <c r="C356" s="219" t="s">
        <v>3005</v>
      </c>
      <c r="D356" s="268" t="s">
        <v>495</v>
      </c>
      <c r="E356" s="361">
        <v>44198.0</v>
      </c>
      <c r="F356" s="250" t="s">
        <v>496</v>
      </c>
      <c r="G356" s="171">
        <v>25.0</v>
      </c>
      <c r="H356" s="171">
        <v>200.0</v>
      </c>
      <c r="I356" s="171">
        <v>120.0</v>
      </c>
      <c r="J356" s="325">
        <f t="shared" si="12"/>
        <v>0.00307537506</v>
      </c>
      <c r="K356" s="326">
        <f t="shared" ref="K356:K441" si="17">J356*$J$1</f>
        <v>2.306531295</v>
      </c>
      <c r="L356" s="327">
        <f t="shared" si="3"/>
        <v>6.032774268</v>
      </c>
      <c r="M356" s="321" t="str">
        <f t="shared" si="4"/>
        <v>tam2140</v>
      </c>
      <c r="N356" s="209">
        <f>IFERROR(__xludf.DUMMYFUNCTION("""COMPUTED_VALUE"""),2.0)</f>
        <v>2</v>
      </c>
      <c r="O356" s="176"/>
      <c r="P356" s="176"/>
      <c r="Q356" s="176"/>
      <c r="R356" s="176"/>
      <c r="S356" s="176"/>
      <c r="T356" s="176"/>
      <c r="U356" s="176"/>
      <c r="V356" s="176"/>
      <c r="W356" s="176"/>
      <c r="X356" s="176"/>
      <c r="Y356" s="176"/>
      <c r="Z356" s="176"/>
    </row>
    <row r="357">
      <c r="A357" s="249" t="s">
        <v>28</v>
      </c>
      <c r="B357" s="249" t="s">
        <v>10</v>
      </c>
      <c r="C357" s="219" t="s">
        <v>2873</v>
      </c>
      <c r="D357" s="268" t="s">
        <v>495</v>
      </c>
      <c r="E357" s="361">
        <v>44198.0</v>
      </c>
      <c r="F357" s="250" t="s">
        <v>496</v>
      </c>
      <c r="G357" s="171">
        <v>10.0</v>
      </c>
      <c r="H357" s="171">
        <v>25.0</v>
      </c>
      <c r="I357" s="171">
        <v>10.0</v>
      </c>
      <c r="J357" s="325">
        <f t="shared" si="12"/>
        <v>0.0004007657057</v>
      </c>
      <c r="K357" s="326">
        <f t="shared" si="17"/>
        <v>0.3005742793</v>
      </c>
      <c r="L357" s="327">
        <f t="shared" si="3"/>
        <v>6.032774268</v>
      </c>
      <c r="M357" s="321" t="str">
        <f t="shared" si="4"/>
        <v>tam2140</v>
      </c>
      <c r="N357" s="209">
        <f>IFERROR(__xludf.DUMMYFUNCTION("""COMPUTED_VALUE"""),3.0)</f>
        <v>3</v>
      </c>
      <c r="O357" s="176"/>
      <c r="P357" s="176"/>
      <c r="Q357" s="176"/>
      <c r="R357" s="176"/>
      <c r="S357" s="176"/>
      <c r="T357" s="176"/>
      <c r="U357" s="176"/>
      <c r="V357" s="176"/>
      <c r="W357" s="176"/>
      <c r="X357" s="176"/>
      <c r="Y357" s="176"/>
      <c r="Z357" s="176"/>
    </row>
    <row r="358">
      <c r="A358" s="249" t="s">
        <v>28</v>
      </c>
      <c r="B358" s="249" t="s">
        <v>1228</v>
      </c>
      <c r="C358" s="219" t="s">
        <v>2874</v>
      </c>
      <c r="D358" s="268" t="s">
        <v>495</v>
      </c>
      <c r="E358" s="361">
        <v>44198.0</v>
      </c>
      <c r="F358" s="250" t="s">
        <v>496</v>
      </c>
      <c r="G358" s="171">
        <v>20.0</v>
      </c>
      <c r="H358" s="171">
        <v>25.0</v>
      </c>
      <c r="I358" s="171">
        <v>15.0</v>
      </c>
      <c r="J358" s="325">
        <f t="shared" si="12"/>
        <v>0.0005212732072</v>
      </c>
      <c r="K358" s="326">
        <f t="shared" si="17"/>
        <v>0.3909549054</v>
      </c>
      <c r="L358" s="327">
        <f t="shared" si="3"/>
        <v>6.032774268</v>
      </c>
      <c r="M358" s="321" t="str">
        <f t="shared" si="4"/>
        <v>tam2140</v>
      </c>
      <c r="N358" s="209">
        <f>IFERROR(__xludf.DUMMYFUNCTION("""COMPUTED_VALUE"""),4.0)</f>
        <v>4</v>
      </c>
      <c r="O358" s="176"/>
      <c r="P358" s="176"/>
      <c r="Q358" s="176"/>
      <c r="R358" s="176"/>
      <c r="S358" s="176"/>
      <c r="T358" s="176"/>
      <c r="U358" s="176"/>
      <c r="V358" s="176"/>
      <c r="W358" s="176"/>
      <c r="X358" s="176"/>
      <c r="Y358" s="176"/>
      <c r="Z358" s="176"/>
    </row>
    <row r="359">
      <c r="A359" s="249" t="s">
        <v>28</v>
      </c>
      <c r="B359" s="249" t="s">
        <v>6</v>
      </c>
      <c r="C359" s="219" t="s">
        <v>2913</v>
      </c>
      <c r="D359" s="268" t="s">
        <v>495</v>
      </c>
      <c r="E359" s="361">
        <v>44200.0</v>
      </c>
      <c r="F359" s="250" t="s">
        <v>496</v>
      </c>
      <c r="G359" s="171">
        <v>20.0</v>
      </c>
      <c r="H359" s="171">
        <v>25.0</v>
      </c>
      <c r="I359" s="171">
        <v>40.0</v>
      </c>
      <c r="J359" s="325">
        <f t="shared" si="12"/>
        <v>0.0007183253078</v>
      </c>
      <c r="K359" s="326">
        <f t="shared" si="17"/>
        <v>0.5387439808</v>
      </c>
      <c r="L359" s="327">
        <f t="shared" si="3"/>
        <v>6.032774268</v>
      </c>
      <c r="M359" s="321" t="str">
        <f t="shared" si="4"/>
        <v>tam2140</v>
      </c>
      <c r="N359" s="209">
        <f>IFERROR(__xludf.DUMMYFUNCTION("""COMPUTED_VALUE"""),5.0)</f>
        <v>5</v>
      </c>
      <c r="O359" s="176"/>
      <c r="P359" s="176"/>
      <c r="Q359" s="176"/>
      <c r="R359" s="176"/>
      <c r="S359" s="176"/>
      <c r="T359" s="176"/>
      <c r="U359" s="176"/>
      <c r="V359" s="176"/>
      <c r="W359" s="176"/>
      <c r="X359" s="176"/>
      <c r="Y359" s="176"/>
      <c r="Z359" s="176"/>
    </row>
    <row r="360">
      <c r="A360" s="249" t="s">
        <v>28</v>
      </c>
      <c r="B360" s="249" t="s">
        <v>18</v>
      </c>
      <c r="C360" s="219" t="s">
        <v>3006</v>
      </c>
      <c r="D360" s="268" t="s">
        <v>495</v>
      </c>
      <c r="E360" s="361">
        <v>44201.0</v>
      </c>
      <c r="F360" s="250" t="s">
        <v>496</v>
      </c>
      <c r="G360" s="171">
        <v>25.0</v>
      </c>
      <c r="H360" s="171">
        <v>350.0</v>
      </c>
      <c r="I360" s="171">
        <v>300.0</v>
      </c>
      <c r="J360" s="325">
        <f t="shared" si="12"/>
        <v>0.005939236889</v>
      </c>
      <c r="K360" s="326">
        <f t="shared" si="17"/>
        <v>4.454427667</v>
      </c>
      <c r="L360" s="327">
        <f t="shared" si="3"/>
        <v>6.032774268</v>
      </c>
      <c r="M360" s="321" t="str">
        <f t="shared" si="4"/>
        <v>tam2140</v>
      </c>
      <c r="N360" s="209">
        <f>IFERROR(__xludf.DUMMYFUNCTION("""COMPUTED_VALUE"""),6.0)</f>
        <v>6</v>
      </c>
      <c r="O360" s="176"/>
      <c r="P360" s="176"/>
      <c r="Q360" s="176"/>
      <c r="R360" s="176"/>
      <c r="S360" s="176"/>
      <c r="T360" s="176"/>
      <c r="U360" s="176"/>
      <c r="V360" s="176"/>
      <c r="W360" s="176"/>
      <c r="X360" s="176"/>
      <c r="Y360" s="176"/>
      <c r="Z360" s="176"/>
    </row>
    <row r="361">
      <c r="A361" s="249" t="s">
        <v>28</v>
      </c>
      <c r="B361" s="249" t="s">
        <v>519</v>
      </c>
      <c r="C361" s="219" t="s">
        <v>2876</v>
      </c>
      <c r="D361" s="268" t="s">
        <v>495</v>
      </c>
      <c r="E361" s="361">
        <v>44201.0</v>
      </c>
      <c r="F361" s="250" t="s">
        <v>499</v>
      </c>
      <c r="G361" s="171">
        <v>60.0</v>
      </c>
      <c r="H361" s="171">
        <v>100.0</v>
      </c>
      <c r="I361" s="171">
        <v>60.0</v>
      </c>
      <c r="J361" s="325">
        <f t="shared" si="12"/>
        <v>0.001922898666</v>
      </c>
      <c r="K361" s="326">
        <f t="shared" si="17"/>
        <v>1.442174</v>
      </c>
      <c r="L361" s="327">
        <f t="shared" si="3"/>
        <v>6.032774268</v>
      </c>
      <c r="M361" s="321" t="str">
        <f t="shared" si="4"/>
        <v>tam2140</v>
      </c>
      <c r="N361" s="209">
        <f>IFERROR(__xludf.DUMMYFUNCTION("""COMPUTED_VALUE"""),7.0)</f>
        <v>7</v>
      </c>
      <c r="O361" s="176"/>
      <c r="P361" s="176"/>
      <c r="Q361" s="176"/>
      <c r="R361" s="176"/>
      <c r="S361" s="176"/>
      <c r="T361" s="176"/>
      <c r="U361" s="176"/>
      <c r="V361" s="176"/>
      <c r="W361" s="176"/>
      <c r="X361" s="176"/>
      <c r="Y361" s="176"/>
      <c r="Z361" s="176"/>
    </row>
    <row r="362">
      <c r="A362" s="249" t="s">
        <v>28</v>
      </c>
      <c r="B362" s="249" t="s">
        <v>519</v>
      </c>
      <c r="C362" s="219" t="s">
        <v>2877</v>
      </c>
      <c r="D362" s="268" t="s">
        <v>495</v>
      </c>
      <c r="E362" s="361">
        <v>44201.0</v>
      </c>
      <c r="F362" s="250" t="s">
        <v>499</v>
      </c>
      <c r="G362" s="171">
        <v>20.0</v>
      </c>
      <c r="H362" s="171">
        <v>100.0</v>
      </c>
      <c r="I362" s="171">
        <v>130.0</v>
      </c>
      <c r="J362" s="325">
        <f t="shared" si="12"/>
        <v>0.002150256222</v>
      </c>
      <c r="K362" s="326">
        <f t="shared" si="17"/>
        <v>1.612692167</v>
      </c>
      <c r="L362" s="327">
        <f t="shared" si="3"/>
        <v>6.032774268</v>
      </c>
      <c r="M362" s="321" t="str">
        <f t="shared" si="4"/>
        <v>tam2140</v>
      </c>
      <c r="N362" s="209">
        <f>IFERROR(__xludf.DUMMYFUNCTION("""COMPUTED_VALUE"""),8.0)</f>
        <v>8</v>
      </c>
      <c r="O362" s="176"/>
      <c r="P362" s="176"/>
      <c r="Q362" s="176"/>
      <c r="R362" s="176"/>
      <c r="S362" s="176"/>
      <c r="T362" s="176"/>
      <c r="U362" s="176"/>
      <c r="V362" s="176"/>
      <c r="W362" s="176"/>
      <c r="X362" s="176"/>
      <c r="Y362" s="176"/>
      <c r="Z362" s="176"/>
    </row>
    <row r="363">
      <c r="A363" s="249" t="s">
        <v>28</v>
      </c>
      <c r="B363" s="249" t="s">
        <v>519</v>
      </c>
      <c r="C363" s="219" t="s">
        <v>2878</v>
      </c>
      <c r="D363" s="268" t="s">
        <v>495</v>
      </c>
      <c r="E363" s="361">
        <v>44201.0</v>
      </c>
      <c r="F363" s="250" t="s">
        <v>499</v>
      </c>
      <c r="G363" s="171">
        <v>45.0</v>
      </c>
      <c r="H363" s="171">
        <v>55.0</v>
      </c>
      <c r="I363" s="171">
        <v>40.0</v>
      </c>
      <c r="J363" s="325">
        <f t="shared" si="12"/>
        <v>0.001210085352</v>
      </c>
      <c r="K363" s="326">
        <f t="shared" si="17"/>
        <v>0.9075640141</v>
      </c>
      <c r="L363" s="327">
        <f t="shared" si="3"/>
        <v>6.032774268</v>
      </c>
      <c r="M363" s="321" t="str">
        <f t="shared" si="4"/>
        <v>tam2140</v>
      </c>
      <c r="N363" s="209">
        <f>IFERROR(__xludf.DUMMYFUNCTION("""COMPUTED_VALUE"""),9.0)</f>
        <v>9</v>
      </c>
      <c r="O363" s="176"/>
      <c r="P363" s="176"/>
      <c r="Q363" s="176"/>
      <c r="R363" s="176"/>
      <c r="S363" s="176"/>
      <c r="T363" s="176"/>
      <c r="U363" s="176"/>
      <c r="V363" s="176"/>
      <c r="W363" s="176"/>
      <c r="X363" s="176"/>
      <c r="Y363" s="176"/>
      <c r="Z363" s="176"/>
    </row>
    <row r="364">
      <c r="A364" s="249" t="s">
        <v>28</v>
      </c>
      <c r="B364" s="249" t="s">
        <v>1231</v>
      </c>
      <c r="C364" s="219" t="s">
        <v>2955</v>
      </c>
      <c r="D364" s="268" t="s">
        <v>495</v>
      </c>
      <c r="E364" s="361">
        <v>44202.0</v>
      </c>
      <c r="F364" s="250" t="s">
        <v>496</v>
      </c>
      <c r="G364" s="171">
        <v>20.0</v>
      </c>
      <c r="H364" s="171">
        <v>155.0</v>
      </c>
      <c r="I364" s="171">
        <v>100.0</v>
      </c>
      <c r="J364" s="325">
        <f t="shared" si="12"/>
        <v>0.002443658827</v>
      </c>
      <c r="K364" s="326">
        <f t="shared" si="17"/>
        <v>1.83274412</v>
      </c>
      <c r="L364" s="327">
        <f t="shared" si="3"/>
        <v>6.032774268</v>
      </c>
      <c r="M364" s="321" t="str">
        <f t="shared" si="4"/>
        <v>tam2140</v>
      </c>
      <c r="N364" s="209">
        <f>IFERROR(__xludf.DUMMYFUNCTION("""COMPUTED_VALUE"""),10.0)</f>
        <v>10</v>
      </c>
      <c r="O364" s="176"/>
      <c r="P364" s="176"/>
      <c r="Q364" s="176"/>
      <c r="R364" s="176"/>
      <c r="S364" s="176"/>
      <c r="T364" s="176"/>
      <c r="U364" s="176"/>
      <c r="V364" s="176"/>
      <c r="W364" s="176"/>
      <c r="X364" s="176"/>
      <c r="Y364" s="176"/>
      <c r="Z364" s="176"/>
    </row>
    <row r="365">
      <c r="A365" s="249" t="s">
        <v>28</v>
      </c>
      <c r="B365" s="249" t="s">
        <v>18</v>
      </c>
      <c r="C365" s="219" t="s">
        <v>2882</v>
      </c>
      <c r="D365" s="268" t="s">
        <v>495</v>
      </c>
      <c r="E365" s="361">
        <v>44202.0</v>
      </c>
      <c r="F365" s="250" t="s">
        <v>496</v>
      </c>
      <c r="G365" s="171">
        <v>25.0</v>
      </c>
      <c r="H365" s="171">
        <v>25.0</v>
      </c>
      <c r="I365" s="171">
        <v>60.0</v>
      </c>
      <c r="J365" s="325">
        <f t="shared" si="12"/>
        <v>0.0009165155289</v>
      </c>
      <c r="K365" s="326">
        <f t="shared" si="17"/>
        <v>0.6873866467</v>
      </c>
      <c r="L365" s="327">
        <f t="shared" si="3"/>
        <v>6.032774268</v>
      </c>
      <c r="M365" s="321" t="str">
        <f t="shared" si="4"/>
        <v>tam2140</v>
      </c>
      <c r="N365" s="209">
        <f>IFERROR(__xludf.DUMMYFUNCTION("""COMPUTED_VALUE"""),11.0)</f>
        <v>11</v>
      </c>
      <c r="O365" s="176"/>
      <c r="P365" s="176"/>
      <c r="Q365" s="176"/>
      <c r="R365" s="176"/>
      <c r="S365" s="176"/>
      <c r="T365" s="176"/>
      <c r="U365" s="176"/>
      <c r="V365" s="176"/>
      <c r="W365" s="176"/>
      <c r="X365" s="176"/>
      <c r="Y365" s="176"/>
      <c r="Z365" s="176"/>
    </row>
    <row r="366">
      <c r="A366" s="249" t="s">
        <v>28</v>
      </c>
      <c r="B366" s="249" t="s">
        <v>18</v>
      </c>
      <c r="C366" s="219" t="s">
        <v>2883</v>
      </c>
      <c r="D366" s="268" t="s">
        <v>495</v>
      </c>
      <c r="E366" s="361">
        <v>44202.0</v>
      </c>
      <c r="F366" s="250" t="s">
        <v>496</v>
      </c>
      <c r="G366" s="171">
        <v>45.0</v>
      </c>
      <c r="H366" s="171">
        <v>55.0</v>
      </c>
      <c r="I366" s="171">
        <v>45.0</v>
      </c>
      <c r="J366" s="325">
        <f t="shared" si="12"/>
        <v>0.001249495772</v>
      </c>
      <c r="K366" s="326">
        <f t="shared" si="17"/>
        <v>0.9371218291</v>
      </c>
      <c r="L366" s="327">
        <f t="shared" si="3"/>
        <v>6.032774268</v>
      </c>
      <c r="M366" s="321" t="str">
        <f t="shared" si="4"/>
        <v>tam2140</v>
      </c>
      <c r="N366" s="209">
        <f>IFERROR(__xludf.DUMMYFUNCTION("""COMPUTED_VALUE"""),12.0)</f>
        <v>12</v>
      </c>
      <c r="O366" s="176"/>
      <c r="P366" s="176"/>
      <c r="Q366" s="176"/>
      <c r="R366" s="176"/>
      <c r="S366" s="176"/>
      <c r="T366" s="176"/>
      <c r="U366" s="176"/>
      <c r="V366" s="176"/>
      <c r="W366" s="176"/>
      <c r="X366" s="176"/>
      <c r="Y366" s="176"/>
      <c r="Z366" s="176"/>
    </row>
    <row r="367">
      <c r="A367" s="249" t="s">
        <v>28</v>
      </c>
      <c r="B367" s="249" t="s">
        <v>25</v>
      </c>
      <c r="C367" s="219" t="s">
        <v>3007</v>
      </c>
      <c r="D367" s="268" t="s">
        <v>495</v>
      </c>
      <c r="E367" s="361">
        <v>44203.0</v>
      </c>
      <c r="F367" s="250" t="s">
        <v>496</v>
      </c>
      <c r="G367" s="171">
        <v>100.0</v>
      </c>
      <c r="H367" s="171">
        <v>300.0</v>
      </c>
      <c r="I367" s="171">
        <v>230.0</v>
      </c>
      <c r="J367" s="325">
        <f t="shared" si="12"/>
        <v>0.005514023549</v>
      </c>
      <c r="K367" s="326">
        <f t="shared" si="17"/>
        <v>4.135517662</v>
      </c>
      <c r="L367" s="327">
        <f t="shared" si="3"/>
        <v>6.032774268</v>
      </c>
      <c r="M367" s="321" t="str">
        <f t="shared" si="4"/>
        <v>tam2140</v>
      </c>
      <c r="N367" s="209">
        <f>IFERROR(__xludf.DUMMYFUNCTION("""COMPUTED_VALUE"""),13.0)</f>
        <v>13</v>
      </c>
      <c r="O367" s="176"/>
      <c r="P367" s="176"/>
      <c r="Q367" s="176"/>
      <c r="R367" s="176"/>
      <c r="S367" s="176"/>
      <c r="T367" s="176"/>
      <c r="U367" s="176"/>
      <c r="V367" s="176"/>
      <c r="W367" s="176"/>
      <c r="X367" s="176"/>
      <c r="Y367" s="176"/>
      <c r="Z367" s="176"/>
    </row>
    <row r="368">
      <c r="A368" s="249" t="s">
        <v>28</v>
      </c>
      <c r="B368" s="249" t="s">
        <v>10</v>
      </c>
      <c r="C368" s="219" t="s">
        <v>2922</v>
      </c>
      <c r="D368" s="268" t="s">
        <v>495</v>
      </c>
      <c r="E368" s="361">
        <v>44204.0</v>
      </c>
      <c r="F368" s="250" t="s">
        <v>496</v>
      </c>
      <c r="G368" s="171">
        <v>150.0</v>
      </c>
      <c r="H368" s="171">
        <v>100.0</v>
      </c>
      <c r="I368" s="171">
        <v>102.0</v>
      </c>
      <c r="J368" s="325">
        <f t="shared" si="12"/>
        <v>0.002983819927</v>
      </c>
      <c r="K368" s="326">
        <f t="shared" si="17"/>
        <v>2.237864945</v>
      </c>
      <c r="L368" s="327">
        <f t="shared" si="3"/>
        <v>6.032774268</v>
      </c>
      <c r="M368" s="321" t="str">
        <f t="shared" si="4"/>
        <v>tam2140</v>
      </c>
      <c r="N368" s="209">
        <f>IFERROR(__xludf.DUMMYFUNCTION("""COMPUTED_VALUE"""),14.0)</f>
        <v>14</v>
      </c>
      <c r="O368" s="176"/>
      <c r="P368" s="176"/>
      <c r="Q368" s="176"/>
      <c r="R368" s="176"/>
      <c r="S368" s="176"/>
      <c r="T368" s="176"/>
      <c r="U368" s="176"/>
      <c r="V368" s="176"/>
      <c r="W368" s="176"/>
      <c r="X368" s="176"/>
      <c r="Y368" s="176"/>
      <c r="Z368" s="176"/>
    </row>
    <row r="369">
      <c r="A369" s="249" t="s">
        <v>28</v>
      </c>
      <c r="B369" s="249" t="s">
        <v>10</v>
      </c>
      <c r="C369" s="219" t="s">
        <v>2923</v>
      </c>
      <c r="D369" s="268" t="s">
        <v>495</v>
      </c>
      <c r="E369" s="361">
        <v>44204.0</v>
      </c>
      <c r="F369" s="250" t="s">
        <v>496</v>
      </c>
      <c r="G369" s="171">
        <v>100.0</v>
      </c>
      <c r="H369" s="171">
        <v>155.0</v>
      </c>
      <c r="I369" s="171">
        <v>170.0</v>
      </c>
      <c r="J369" s="325">
        <f t="shared" si="12"/>
        <v>0.003644181359</v>
      </c>
      <c r="K369" s="326">
        <f t="shared" si="17"/>
        <v>2.733136019</v>
      </c>
      <c r="L369" s="327">
        <f t="shared" si="3"/>
        <v>6.032774268</v>
      </c>
      <c r="M369" s="321" t="str">
        <f t="shared" si="4"/>
        <v>tam2140</v>
      </c>
      <c r="N369" s="209">
        <f>IFERROR(__xludf.DUMMYFUNCTION("""COMPUTED_VALUE"""),15.0)</f>
        <v>15</v>
      </c>
      <c r="O369" s="176"/>
      <c r="P369" s="176"/>
      <c r="Q369" s="176"/>
      <c r="R369" s="176"/>
      <c r="S369" s="176"/>
      <c r="T369" s="176"/>
      <c r="U369" s="176"/>
      <c r="V369" s="176"/>
      <c r="W369" s="176"/>
      <c r="X369" s="176"/>
      <c r="Y369" s="176"/>
      <c r="Z369" s="176"/>
    </row>
    <row r="370">
      <c r="A370" s="249" t="s">
        <v>28</v>
      </c>
      <c r="B370" s="249" t="s">
        <v>10</v>
      </c>
      <c r="C370" s="219" t="s">
        <v>3008</v>
      </c>
      <c r="D370" s="268" t="s">
        <v>495</v>
      </c>
      <c r="E370" s="361">
        <v>44204.0</v>
      </c>
      <c r="F370" s="250" t="s">
        <v>496</v>
      </c>
      <c r="G370" s="171">
        <v>100.0</v>
      </c>
      <c r="H370" s="171">
        <v>100.0</v>
      </c>
      <c r="I370" s="171">
        <v>110.0</v>
      </c>
      <c r="J370" s="325">
        <f t="shared" si="12"/>
        <v>0.002641391192</v>
      </c>
      <c r="K370" s="326">
        <f t="shared" si="17"/>
        <v>1.981043394</v>
      </c>
      <c r="L370" s="327">
        <f t="shared" si="3"/>
        <v>6.032774268</v>
      </c>
      <c r="M370" s="321" t="str">
        <f t="shared" si="4"/>
        <v>tam2140</v>
      </c>
      <c r="N370" s="209">
        <f>IFERROR(__xludf.DUMMYFUNCTION("""COMPUTED_VALUE"""),16.0)</f>
        <v>16</v>
      </c>
      <c r="O370" s="176"/>
      <c r="P370" s="176"/>
      <c r="Q370" s="176"/>
      <c r="R370" s="176"/>
      <c r="S370" s="176"/>
      <c r="T370" s="176"/>
      <c r="U370" s="176"/>
      <c r="V370" s="176"/>
      <c r="W370" s="176"/>
      <c r="X370" s="176"/>
      <c r="Y370" s="176"/>
      <c r="Z370" s="176"/>
    </row>
    <row r="371">
      <c r="A371" s="249" t="s">
        <v>28</v>
      </c>
      <c r="B371" s="249" t="s">
        <v>10</v>
      </c>
      <c r="C371" s="219" t="s">
        <v>2887</v>
      </c>
      <c r="D371" s="268" t="s">
        <v>495</v>
      </c>
      <c r="E371" s="361">
        <v>44204.0</v>
      </c>
      <c r="F371" s="250" t="s">
        <v>496</v>
      </c>
      <c r="G371" s="171">
        <v>100.0</v>
      </c>
      <c r="H371" s="171">
        <v>155.0</v>
      </c>
      <c r="I371" s="171">
        <v>230.0</v>
      </c>
      <c r="J371" s="325">
        <f t="shared" si="12"/>
        <v>0.0041171064</v>
      </c>
      <c r="K371" s="326">
        <f t="shared" si="17"/>
        <v>3.0878298</v>
      </c>
      <c r="L371" s="327">
        <f t="shared" si="3"/>
        <v>6.032774268</v>
      </c>
      <c r="M371" s="321" t="str">
        <f t="shared" si="4"/>
        <v>tam2140</v>
      </c>
      <c r="N371" s="209">
        <f>IFERROR(__xludf.DUMMYFUNCTION("""COMPUTED_VALUE"""),17.0)</f>
        <v>17</v>
      </c>
      <c r="O371" s="176"/>
      <c r="P371" s="176"/>
      <c r="Q371" s="176"/>
      <c r="R371" s="176"/>
      <c r="S371" s="176"/>
      <c r="T371" s="176"/>
      <c r="U371" s="176"/>
      <c r="V371" s="176"/>
      <c r="W371" s="176"/>
      <c r="X371" s="176"/>
      <c r="Y371" s="176"/>
      <c r="Z371" s="176"/>
    </row>
    <row r="372">
      <c r="A372" s="249" t="s">
        <v>28</v>
      </c>
      <c r="B372" s="249" t="s">
        <v>10</v>
      </c>
      <c r="C372" s="219" t="s">
        <v>2888</v>
      </c>
      <c r="D372" s="268" t="s">
        <v>495</v>
      </c>
      <c r="E372" s="361">
        <v>44204.0</v>
      </c>
      <c r="F372" s="250" t="s">
        <v>496</v>
      </c>
      <c r="G372" s="171">
        <v>20.0</v>
      </c>
      <c r="H372" s="171">
        <v>25.0</v>
      </c>
      <c r="I372" s="171">
        <v>20.0</v>
      </c>
      <c r="J372" s="325">
        <f t="shared" si="12"/>
        <v>0.0005606836273</v>
      </c>
      <c r="K372" s="326">
        <f t="shared" si="17"/>
        <v>0.4205127205</v>
      </c>
      <c r="L372" s="327">
        <f t="shared" si="3"/>
        <v>6.032774268</v>
      </c>
      <c r="M372" s="321" t="str">
        <f t="shared" si="4"/>
        <v>tam2140</v>
      </c>
      <c r="N372" s="209">
        <f>IFERROR(__xludf.DUMMYFUNCTION("""COMPUTED_VALUE"""),18.0)</f>
        <v>18</v>
      </c>
      <c r="O372" s="176"/>
      <c r="P372" s="176"/>
      <c r="Q372" s="176"/>
      <c r="R372" s="176"/>
      <c r="S372" s="176"/>
      <c r="T372" s="176"/>
      <c r="U372" s="176"/>
      <c r="V372" s="176"/>
      <c r="W372" s="176"/>
      <c r="X372" s="176"/>
      <c r="Y372" s="176"/>
      <c r="Z372" s="176"/>
    </row>
    <row r="373">
      <c r="A373" s="249" t="s">
        <v>28</v>
      </c>
      <c r="B373" s="249" t="s">
        <v>519</v>
      </c>
      <c r="C373" s="219" t="s">
        <v>3004</v>
      </c>
      <c r="D373" s="268" t="s">
        <v>495</v>
      </c>
      <c r="E373" s="251">
        <v>44208.0</v>
      </c>
      <c r="F373" s="250" t="s">
        <v>499</v>
      </c>
      <c r="G373" s="171">
        <v>150.0</v>
      </c>
      <c r="H373" s="171">
        <v>55.0</v>
      </c>
      <c r="I373" s="171">
        <v>100.0</v>
      </c>
      <c r="J373" s="325">
        <f t="shared" si="12"/>
        <v>0.002534529747</v>
      </c>
      <c r="K373" s="326">
        <f t="shared" si="17"/>
        <v>1.90089731</v>
      </c>
      <c r="L373" s="327">
        <f t="shared" si="3"/>
        <v>6.032774268</v>
      </c>
      <c r="M373" s="321" t="str">
        <f t="shared" si="4"/>
        <v>tam2140</v>
      </c>
      <c r="N373" s="209">
        <f>IFERROR(__xludf.DUMMYFUNCTION("""COMPUTED_VALUE"""),19.0)</f>
        <v>19</v>
      </c>
      <c r="O373" s="176"/>
      <c r="P373" s="176"/>
      <c r="Q373" s="176"/>
      <c r="R373" s="176"/>
      <c r="S373" s="176"/>
      <c r="T373" s="176"/>
      <c r="U373" s="176"/>
      <c r="V373" s="176"/>
      <c r="W373" s="176"/>
      <c r="X373" s="176"/>
      <c r="Y373" s="176"/>
      <c r="Z373" s="176"/>
    </row>
    <row r="374">
      <c r="A374" s="249" t="s">
        <v>28</v>
      </c>
      <c r="B374" s="249" t="s">
        <v>590</v>
      </c>
      <c r="C374" s="219" t="s">
        <v>2893</v>
      </c>
      <c r="D374" s="268" t="s">
        <v>495</v>
      </c>
      <c r="E374" s="251">
        <v>44208.0</v>
      </c>
      <c r="F374" s="250" t="s">
        <v>496</v>
      </c>
      <c r="G374" s="171">
        <v>20.0</v>
      </c>
      <c r="H374" s="171">
        <v>25.0</v>
      </c>
      <c r="I374" s="171">
        <v>45.0</v>
      </c>
      <c r="J374" s="325">
        <f t="shared" si="12"/>
        <v>0.0007577357279</v>
      </c>
      <c r="K374" s="326">
        <f t="shared" si="17"/>
        <v>0.5683017959</v>
      </c>
      <c r="L374" s="327">
        <f t="shared" si="3"/>
        <v>6.032774268</v>
      </c>
      <c r="M374" s="321" t="str">
        <f t="shared" si="4"/>
        <v>tam2140</v>
      </c>
      <c r="N374" s="209">
        <f>IFERROR(__xludf.DUMMYFUNCTION("""COMPUTED_VALUE"""),20.0)</f>
        <v>20</v>
      </c>
      <c r="O374" s="176"/>
      <c r="P374" s="176"/>
      <c r="Q374" s="176"/>
      <c r="R374" s="176"/>
      <c r="S374" s="176"/>
      <c r="T374" s="176"/>
      <c r="U374" s="176"/>
      <c r="V374" s="176"/>
      <c r="W374" s="176"/>
      <c r="X374" s="176"/>
      <c r="Y374" s="176"/>
      <c r="Z374" s="176"/>
    </row>
    <row r="375">
      <c r="A375" s="249" t="s">
        <v>28</v>
      </c>
      <c r="B375" s="249" t="s">
        <v>25</v>
      </c>
      <c r="C375" s="219" t="s">
        <v>3009</v>
      </c>
      <c r="D375" s="268" t="s">
        <v>495</v>
      </c>
      <c r="E375" s="251">
        <v>44209.0</v>
      </c>
      <c r="F375" s="250" t="s">
        <v>496</v>
      </c>
      <c r="G375" s="171">
        <v>100.0</v>
      </c>
      <c r="H375" s="171">
        <v>300.0</v>
      </c>
      <c r="I375" s="171">
        <v>200.0</v>
      </c>
      <c r="J375" s="325">
        <f t="shared" si="12"/>
        <v>0.005277561028</v>
      </c>
      <c r="K375" s="326">
        <f t="shared" si="17"/>
        <v>3.958170771</v>
      </c>
      <c r="L375" s="327">
        <f t="shared" si="3"/>
        <v>6.032774268</v>
      </c>
      <c r="M375" s="321" t="str">
        <f t="shared" si="4"/>
        <v>tam2140</v>
      </c>
      <c r="N375" s="209">
        <f>IFERROR(__xludf.DUMMYFUNCTION("""COMPUTED_VALUE"""),21.0)</f>
        <v>21</v>
      </c>
      <c r="O375" s="176"/>
      <c r="P375" s="176"/>
      <c r="Q375" s="176"/>
      <c r="R375" s="176"/>
      <c r="S375" s="176"/>
      <c r="T375" s="176"/>
      <c r="U375" s="176"/>
      <c r="V375" s="176"/>
      <c r="W375" s="176"/>
      <c r="X375" s="176"/>
      <c r="Y375" s="176"/>
      <c r="Z375" s="176"/>
    </row>
    <row r="376">
      <c r="A376" s="249" t="s">
        <v>28</v>
      </c>
      <c r="B376" s="249" t="s">
        <v>5</v>
      </c>
      <c r="C376" s="219" t="s">
        <v>2894</v>
      </c>
      <c r="D376" s="268" t="s">
        <v>495</v>
      </c>
      <c r="E376" s="251">
        <v>44210.0</v>
      </c>
      <c r="F376" s="250" t="s">
        <v>496</v>
      </c>
      <c r="G376" s="171">
        <v>25.0</v>
      </c>
      <c r="H376" s="171">
        <v>25.0</v>
      </c>
      <c r="I376" s="171">
        <v>40.0</v>
      </c>
      <c r="J376" s="325">
        <f t="shared" si="12"/>
        <v>0.0007588738484</v>
      </c>
      <c r="K376" s="326">
        <f t="shared" si="17"/>
        <v>0.5691553863</v>
      </c>
      <c r="L376" s="327">
        <f t="shared" si="3"/>
        <v>6.032774268</v>
      </c>
      <c r="M376" s="321" t="str">
        <f t="shared" si="4"/>
        <v>tam2140</v>
      </c>
      <c r="N376" s="209">
        <f>IFERROR(__xludf.DUMMYFUNCTION("""COMPUTED_VALUE"""),22.0)</f>
        <v>22</v>
      </c>
      <c r="O376" s="176"/>
      <c r="P376" s="176"/>
      <c r="Q376" s="176"/>
      <c r="R376" s="176"/>
      <c r="S376" s="176"/>
      <c r="T376" s="176"/>
      <c r="U376" s="176"/>
      <c r="V376" s="176"/>
      <c r="W376" s="176"/>
      <c r="X376" s="176"/>
      <c r="Y376" s="176"/>
      <c r="Z376" s="176"/>
    </row>
    <row r="377">
      <c r="A377" s="249" t="s">
        <v>28</v>
      </c>
      <c r="B377" s="249" t="s">
        <v>10</v>
      </c>
      <c r="C377" s="219" t="s">
        <v>3010</v>
      </c>
      <c r="D377" s="268" t="s">
        <v>495</v>
      </c>
      <c r="E377" s="251">
        <v>44211.0</v>
      </c>
      <c r="F377" s="250" t="s">
        <v>496</v>
      </c>
      <c r="G377" s="171">
        <v>75.0</v>
      </c>
      <c r="H377" s="171">
        <v>55.0</v>
      </c>
      <c r="I377" s="171">
        <v>40.0</v>
      </c>
      <c r="J377" s="325">
        <f t="shared" si="12"/>
        <v>0.001453376596</v>
      </c>
      <c r="K377" s="326">
        <f t="shared" si="17"/>
        <v>1.090032447</v>
      </c>
      <c r="L377" s="327">
        <f t="shared" si="3"/>
        <v>6.032774268</v>
      </c>
      <c r="M377" s="321" t="str">
        <f t="shared" si="4"/>
        <v>tam2140</v>
      </c>
      <c r="N377" s="209">
        <f>IFERROR(__xludf.DUMMYFUNCTION("""COMPUTED_VALUE"""),23.0)</f>
        <v>23</v>
      </c>
      <c r="O377" s="176"/>
      <c r="P377" s="176"/>
      <c r="Q377" s="176"/>
      <c r="R377" s="176"/>
      <c r="S377" s="176"/>
      <c r="T377" s="176"/>
      <c r="U377" s="176"/>
      <c r="V377" s="176"/>
      <c r="W377" s="176"/>
      <c r="X377" s="176"/>
      <c r="Y377" s="176"/>
      <c r="Z377" s="176"/>
    </row>
    <row r="378">
      <c r="A378" s="249" t="s">
        <v>28</v>
      </c>
      <c r="B378" s="249" t="s">
        <v>10</v>
      </c>
      <c r="C378" s="219" t="s">
        <v>2896</v>
      </c>
      <c r="D378" s="268" t="s">
        <v>495</v>
      </c>
      <c r="E378" s="251">
        <v>44211.0</v>
      </c>
      <c r="F378" s="250" t="s">
        <v>496</v>
      </c>
      <c r="G378" s="171">
        <v>10.0</v>
      </c>
      <c r="H378" s="171">
        <v>25.0</v>
      </c>
      <c r="I378" s="171">
        <v>40.0</v>
      </c>
      <c r="J378" s="325">
        <f t="shared" si="12"/>
        <v>0.0006372282264</v>
      </c>
      <c r="K378" s="326">
        <f t="shared" si="17"/>
        <v>0.4779211698</v>
      </c>
      <c r="L378" s="327">
        <f t="shared" si="3"/>
        <v>6.032774268</v>
      </c>
      <c r="M378" s="321" t="str">
        <f t="shared" si="4"/>
        <v>tam2140</v>
      </c>
      <c r="N378" s="209">
        <f>IFERROR(__xludf.DUMMYFUNCTION("""COMPUTED_VALUE"""),24.0)</f>
        <v>24</v>
      </c>
      <c r="O378" s="176"/>
      <c r="P378" s="176"/>
      <c r="Q378" s="176"/>
      <c r="R378" s="176"/>
      <c r="S378" s="176"/>
      <c r="T378" s="176"/>
      <c r="U378" s="176"/>
      <c r="V378" s="176"/>
      <c r="W378" s="176"/>
      <c r="X378" s="176"/>
      <c r="Y378" s="176"/>
      <c r="Z378" s="176"/>
    </row>
    <row r="379">
      <c r="A379" s="249" t="s">
        <v>28</v>
      </c>
      <c r="B379" s="249" t="s">
        <v>6</v>
      </c>
      <c r="C379" s="219" t="s">
        <v>2927</v>
      </c>
      <c r="D379" s="268" t="s">
        <v>495</v>
      </c>
      <c r="E379" s="251">
        <v>44211.0</v>
      </c>
      <c r="F379" s="250" t="s">
        <v>496</v>
      </c>
      <c r="G379" s="171">
        <v>60.0</v>
      </c>
      <c r="H379" s="171">
        <v>25.0</v>
      </c>
      <c r="I379" s="171">
        <v>80.0</v>
      </c>
      <c r="J379" s="325">
        <f t="shared" si="12"/>
        <v>0.001357996994</v>
      </c>
      <c r="K379" s="326">
        <f t="shared" si="17"/>
        <v>1.018497745</v>
      </c>
      <c r="L379" s="327">
        <f t="shared" si="3"/>
        <v>6.032774268</v>
      </c>
      <c r="M379" s="321" t="str">
        <f t="shared" si="4"/>
        <v>tam2140</v>
      </c>
      <c r="N379" s="209">
        <f>IFERROR(__xludf.DUMMYFUNCTION("""COMPUTED_VALUE"""),25.0)</f>
        <v>25</v>
      </c>
      <c r="O379" s="176"/>
      <c r="P379" s="176"/>
      <c r="Q379" s="176"/>
      <c r="R379" s="176"/>
      <c r="S379" s="176"/>
      <c r="T379" s="176"/>
      <c r="U379" s="176"/>
      <c r="V379" s="176"/>
      <c r="W379" s="176"/>
      <c r="X379" s="176"/>
      <c r="Y379" s="176"/>
      <c r="Z379" s="176"/>
    </row>
    <row r="380">
      <c r="A380" s="249" t="s">
        <v>28</v>
      </c>
      <c r="B380" s="249" t="s">
        <v>18</v>
      </c>
      <c r="C380" s="219" t="s">
        <v>2898</v>
      </c>
      <c r="D380" s="268" t="s">
        <v>495</v>
      </c>
      <c r="E380" s="251">
        <v>44211.0</v>
      </c>
      <c r="F380" s="250" t="s">
        <v>496</v>
      </c>
      <c r="G380" s="171">
        <v>35.0</v>
      </c>
      <c r="H380" s="171">
        <v>25.0</v>
      </c>
      <c r="I380" s="171">
        <v>40.0</v>
      </c>
      <c r="J380" s="325">
        <f t="shared" si="12"/>
        <v>0.0008399709297</v>
      </c>
      <c r="K380" s="326">
        <f t="shared" si="17"/>
        <v>0.6299781973</v>
      </c>
      <c r="L380" s="327">
        <f t="shared" si="3"/>
        <v>6.032774268</v>
      </c>
      <c r="M380" s="321" t="str">
        <f t="shared" si="4"/>
        <v>tam2140</v>
      </c>
      <c r="N380" s="209">
        <f>IFERROR(__xludf.DUMMYFUNCTION("""COMPUTED_VALUE"""),26.0)</f>
        <v>26</v>
      </c>
      <c r="O380" s="176"/>
      <c r="P380" s="176"/>
      <c r="Q380" s="176"/>
      <c r="R380" s="176"/>
      <c r="S380" s="176"/>
      <c r="T380" s="176"/>
      <c r="U380" s="176"/>
      <c r="V380" s="176"/>
      <c r="W380" s="176"/>
      <c r="X380" s="176"/>
      <c r="Y380" s="176"/>
      <c r="Z380" s="176"/>
    </row>
    <row r="381">
      <c r="A381" s="249" t="s">
        <v>77</v>
      </c>
      <c r="B381" s="249" t="s">
        <v>519</v>
      </c>
      <c r="C381" s="219" t="s">
        <v>2905</v>
      </c>
      <c r="D381" s="268" t="s">
        <v>495</v>
      </c>
      <c r="E381" s="361">
        <v>44200.0</v>
      </c>
      <c r="F381" s="250" t="s">
        <v>499</v>
      </c>
      <c r="G381" s="171">
        <v>45.0</v>
      </c>
      <c r="H381" s="171">
        <v>25.0</v>
      </c>
      <c r="I381" s="171">
        <v>10.0</v>
      </c>
      <c r="J381" s="325">
        <f t="shared" si="12"/>
        <v>0.0006846054904</v>
      </c>
      <c r="K381" s="326">
        <f t="shared" si="17"/>
        <v>0.5134541178</v>
      </c>
      <c r="L381" s="327">
        <f t="shared" si="3"/>
        <v>5.475920904</v>
      </c>
      <c r="M381" s="321" t="str">
        <f t="shared" si="4"/>
        <v>krrisis</v>
      </c>
      <c r="N381" s="209">
        <f>IFERROR(__xludf.DUMMYFUNCTION("""COMPUTED_VALUE"""),1.0)</f>
        <v>1</v>
      </c>
      <c r="O381" s="176"/>
      <c r="P381" s="176"/>
      <c r="Q381" s="176"/>
      <c r="R381" s="176"/>
      <c r="S381" s="176"/>
      <c r="T381" s="176"/>
      <c r="U381" s="176"/>
      <c r="V381" s="176"/>
      <c r="W381" s="176"/>
      <c r="X381" s="176"/>
      <c r="Y381" s="176"/>
      <c r="Z381" s="176"/>
    </row>
    <row r="382">
      <c r="A382" s="249" t="s">
        <v>77</v>
      </c>
      <c r="B382" s="249" t="s">
        <v>519</v>
      </c>
      <c r="C382" s="219" t="s">
        <v>2876</v>
      </c>
      <c r="D382" s="268" t="s">
        <v>495</v>
      </c>
      <c r="E382" s="361">
        <v>44201.0</v>
      </c>
      <c r="F382" s="250" t="s">
        <v>499</v>
      </c>
      <c r="G382" s="171">
        <v>60.0</v>
      </c>
      <c r="H382" s="171">
        <v>100.0</v>
      </c>
      <c r="I382" s="171">
        <v>60.0</v>
      </c>
      <c r="J382" s="325">
        <f t="shared" si="12"/>
        <v>0.001922898666</v>
      </c>
      <c r="K382" s="326">
        <f t="shared" si="17"/>
        <v>1.442174</v>
      </c>
      <c r="L382" s="327">
        <f t="shared" si="3"/>
        <v>5.475920904</v>
      </c>
      <c r="M382" s="321" t="str">
        <f t="shared" si="4"/>
        <v>krrisis</v>
      </c>
      <c r="N382" s="209">
        <f>IFERROR(__xludf.DUMMYFUNCTION("""COMPUTED_VALUE"""),2.0)</f>
        <v>2</v>
      </c>
      <c r="O382" s="176"/>
      <c r="P382" s="176"/>
      <c r="Q382" s="176"/>
      <c r="R382" s="176"/>
      <c r="S382" s="176"/>
      <c r="T382" s="176"/>
      <c r="U382" s="176"/>
      <c r="V382" s="176"/>
      <c r="W382" s="176"/>
      <c r="X382" s="176"/>
      <c r="Y382" s="176"/>
      <c r="Z382" s="176"/>
    </row>
    <row r="383">
      <c r="A383" s="249" t="s">
        <v>77</v>
      </c>
      <c r="B383" s="249" t="s">
        <v>519</v>
      </c>
      <c r="C383" s="219" t="s">
        <v>2877</v>
      </c>
      <c r="D383" s="268" t="s">
        <v>495</v>
      </c>
      <c r="E383" s="361">
        <v>44201.0</v>
      </c>
      <c r="F383" s="250" t="s">
        <v>499</v>
      </c>
      <c r="G383" s="171">
        <v>125.0</v>
      </c>
      <c r="H383" s="171">
        <v>100.0</v>
      </c>
      <c r="I383" s="171">
        <v>130.0</v>
      </c>
      <c r="J383" s="325">
        <f t="shared" si="12"/>
        <v>0.003001775576</v>
      </c>
      <c r="K383" s="326">
        <f t="shared" si="17"/>
        <v>2.251331682</v>
      </c>
      <c r="L383" s="327">
        <f t="shared" si="3"/>
        <v>5.475920904</v>
      </c>
      <c r="M383" s="321" t="str">
        <f t="shared" si="4"/>
        <v>krrisis</v>
      </c>
      <c r="N383" s="209">
        <f>IFERROR(__xludf.DUMMYFUNCTION("""COMPUTED_VALUE"""),3.0)</f>
        <v>3</v>
      </c>
      <c r="O383" s="176"/>
      <c r="P383" s="176"/>
      <c r="Q383" s="176"/>
      <c r="R383" s="176"/>
      <c r="S383" s="176"/>
      <c r="T383" s="176"/>
      <c r="U383" s="176"/>
      <c r="V383" s="176"/>
      <c r="W383" s="176"/>
      <c r="X383" s="176"/>
      <c r="Y383" s="176"/>
      <c r="Z383" s="176"/>
    </row>
    <row r="384">
      <c r="A384" s="249" t="s">
        <v>77</v>
      </c>
      <c r="B384" s="249" t="s">
        <v>519</v>
      </c>
      <c r="C384" s="219" t="s">
        <v>2878</v>
      </c>
      <c r="D384" s="268" t="s">
        <v>495</v>
      </c>
      <c r="E384" s="361">
        <v>44201.0</v>
      </c>
      <c r="F384" s="250" t="s">
        <v>499</v>
      </c>
      <c r="G384" s="171">
        <v>45.0</v>
      </c>
      <c r="H384" s="171">
        <v>55.0</v>
      </c>
      <c r="I384" s="171">
        <v>40.0</v>
      </c>
      <c r="J384" s="325">
        <f t="shared" si="12"/>
        <v>0.001210085352</v>
      </c>
      <c r="K384" s="326">
        <f t="shared" si="17"/>
        <v>0.9075640141</v>
      </c>
      <c r="L384" s="327">
        <f t="shared" si="3"/>
        <v>5.475920904</v>
      </c>
      <c r="M384" s="321" t="str">
        <f t="shared" si="4"/>
        <v>krrisis</v>
      </c>
      <c r="N384" s="209">
        <f>IFERROR(__xludf.DUMMYFUNCTION("""COMPUTED_VALUE"""),4.0)</f>
        <v>4</v>
      </c>
      <c r="O384" s="176"/>
      <c r="P384" s="176"/>
      <c r="Q384" s="176"/>
      <c r="R384" s="176"/>
      <c r="S384" s="176"/>
      <c r="T384" s="176"/>
      <c r="U384" s="176"/>
      <c r="V384" s="176"/>
      <c r="W384" s="176"/>
      <c r="X384" s="176"/>
      <c r="Y384" s="176"/>
      <c r="Z384" s="176"/>
    </row>
    <row r="385">
      <c r="A385" s="249" t="s">
        <v>77</v>
      </c>
      <c r="B385" s="249" t="s">
        <v>10</v>
      </c>
      <c r="C385" s="219" t="s">
        <v>2531</v>
      </c>
      <c r="D385" s="268" t="s">
        <v>495</v>
      </c>
      <c r="E385" s="361">
        <v>44205.0</v>
      </c>
      <c r="F385" s="250" t="s">
        <v>499</v>
      </c>
      <c r="G385" s="171">
        <v>20.0</v>
      </c>
      <c r="H385" s="171">
        <v>25.0</v>
      </c>
      <c r="I385" s="171">
        <v>10.0</v>
      </c>
      <c r="J385" s="325">
        <f t="shared" si="12"/>
        <v>0.0004818627871</v>
      </c>
      <c r="K385" s="326">
        <f t="shared" si="17"/>
        <v>0.3613970903</v>
      </c>
      <c r="L385" s="327">
        <f t="shared" si="3"/>
        <v>5.475920904</v>
      </c>
      <c r="M385" s="321" t="str">
        <f t="shared" si="4"/>
        <v>krrisis</v>
      </c>
      <c r="N385" s="209">
        <f>IFERROR(__xludf.DUMMYFUNCTION("""COMPUTED_VALUE"""),5.0)</f>
        <v>5</v>
      </c>
      <c r="O385" s="176"/>
      <c r="P385" s="176"/>
      <c r="Q385" s="176"/>
      <c r="R385" s="176"/>
      <c r="S385" s="176"/>
      <c r="T385" s="176"/>
      <c r="U385" s="176"/>
      <c r="V385" s="176"/>
      <c r="W385" s="176"/>
      <c r="X385" s="176"/>
      <c r="Y385" s="176"/>
      <c r="Z385" s="176"/>
    </row>
    <row r="386">
      <c r="A386" s="249" t="s">
        <v>114</v>
      </c>
      <c r="B386" s="249" t="s">
        <v>519</v>
      </c>
      <c r="C386" s="219" t="s">
        <v>2905</v>
      </c>
      <c r="D386" s="268" t="s">
        <v>495</v>
      </c>
      <c r="E386" s="361">
        <v>44200.0</v>
      </c>
      <c r="F386" s="250" t="s">
        <v>499</v>
      </c>
      <c r="G386" s="171">
        <v>45.0</v>
      </c>
      <c r="H386" s="171">
        <v>25.0</v>
      </c>
      <c r="I386" s="171">
        <v>10.0</v>
      </c>
      <c r="J386" s="325">
        <f t="shared" si="12"/>
        <v>0.0006846054904</v>
      </c>
      <c r="K386" s="326">
        <f t="shared" si="17"/>
        <v>0.5134541178</v>
      </c>
      <c r="L386" s="327">
        <f t="shared" si="3"/>
        <v>5.475920904</v>
      </c>
      <c r="M386" s="321" t="str">
        <f t="shared" si="4"/>
        <v>existenialstoic</v>
      </c>
      <c r="N386" s="209">
        <f>IFERROR(__xludf.DUMMYFUNCTION("""COMPUTED_VALUE"""),1.0)</f>
        <v>1</v>
      </c>
      <c r="O386" s="176"/>
      <c r="P386" s="176"/>
      <c r="Q386" s="176"/>
      <c r="R386" s="176"/>
      <c r="S386" s="176"/>
      <c r="T386" s="176"/>
      <c r="U386" s="176"/>
      <c r="V386" s="176"/>
      <c r="W386" s="176"/>
      <c r="X386" s="176"/>
      <c r="Y386" s="176"/>
      <c r="Z386" s="176"/>
    </row>
    <row r="387">
      <c r="A387" s="249" t="s">
        <v>114</v>
      </c>
      <c r="B387" s="249" t="s">
        <v>519</v>
      </c>
      <c r="C387" s="219" t="s">
        <v>2876</v>
      </c>
      <c r="D387" s="268" t="s">
        <v>495</v>
      </c>
      <c r="E387" s="361">
        <v>44201.0</v>
      </c>
      <c r="F387" s="250" t="s">
        <v>499</v>
      </c>
      <c r="G387" s="171">
        <v>60.0</v>
      </c>
      <c r="H387" s="171">
        <v>100.0</v>
      </c>
      <c r="I387" s="171">
        <v>60.0</v>
      </c>
      <c r="J387" s="325">
        <f t="shared" si="12"/>
        <v>0.001922898666</v>
      </c>
      <c r="K387" s="326">
        <f t="shared" si="17"/>
        <v>1.442174</v>
      </c>
      <c r="L387" s="327">
        <f t="shared" si="3"/>
        <v>5.475920904</v>
      </c>
      <c r="M387" s="321" t="str">
        <f t="shared" si="4"/>
        <v>existenialstoic</v>
      </c>
      <c r="N387" s="209">
        <f>IFERROR(__xludf.DUMMYFUNCTION("""COMPUTED_VALUE"""),2.0)</f>
        <v>2</v>
      </c>
      <c r="O387" s="176"/>
      <c r="P387" s="176"/>
      <c r="Q387" s="176"/>
      <c r="R387" s="176"/>
      <c r="S387" s="176"/>
      <c r="T387" s="176"/>
      <c r="U387" s="176"/>
      <c r="V387" s="176"/>
      <c r="W387" s="176"/>
      <c r="X387" s="176"/>
      <c r="Y387" s="176"/>
      <c r="Z387" s="176"/>
    </row>
    <row r="388">
      <c r="A388" s="249" t="s">
        <v>114</v>
      </c>
      <c r="B388" s="249" t="s">
        <v>519</v>
      </c>
      <c r="C388" s="219" t="s">
        <v>2877</v>
      </c>
      <c r="D388" s="268" t="s">
        <v>495</v>
      </c>
      <c r="E388" s="361">
        <v>44201.0</v>
      </c>
      <c r="F388" s="250" t="s">
        <v>499</v>
      </c>
      <c r="G388" s="171">
        <v>125.0</v>
      </c>
      <c r="H388" s="171">
        <v>100.0</v>
      </c>
      <c r="I388" s="171">
        <v>130.0</v>
      </c>
      <c r="J388" s="325">
        <f t="shared" si="12"/>
        <v>0.003001775576</v>
      </c>
      <c r="K388" s="326">
        <f t="shared" si="17"/>
        <v>2.251331682</v>
      </c>
      <c r="L388" s="327">
        <f t="shared" si="3"/>
        <v>5.475920904</v>
      </c>
      <c r="M388" s="321" t="str">
        <f t="shared" si="4"/>
        <v>existenialstoic</v>
      </c>
      <c r="N388" s="209">
        <f>IFERROR(__xludf.DUMMYFUNCTION("""COMPUTED_VALUE"""),3.0)</f>
        <v>3</v>
      </c>
      <c r="O388" s="176"/>
      <c r="P388" s="176"/>
      <c r="Q388" s="176"/>
      <c r="R388" s="176"/>
      <c r="S388" s="176"/>
      <c r="T388" s="176"/>
      <c r="U388" s="176"/>
      <c r="V388" s="176"/>
      <c r="W388" s="176"/>
      <c r="X388" s="176"/>
      <c r="Y388" s="176"/>
      <c r="Z388" s="176"/>
    </row>
    <row r="389">
      <c r="A389" s="249" t="s">
        <v>114</v>
      </c>
      <c r="B389" s="249" t="s">
        <v>519</v>
      </c>
      <c r="C389" s="219" t="s">
        <v>2878</v>
      </c>
      <c r="D389" s="268" t="s">
        <v>495</v>
      </c>
      <c r="E389" s="361">
        <v>44201.0</v>
      </c>
      <c r="F389" s="250" t="s">
        <v>499</v>
      </c>
      <c r="G389" s="171">
        <v>45.0</v>
      </c>
      <c r="H389" s="171">
        <v>55.0</v>
      </c>
      <c r="I389" s="171">
        <v>40.0</v>
      </c>
      <c r="J389" s="325">
        <f t="shared" si="12"/>
        <v>0.001210085352</v>
      </c>
      <c r="K389" s="326">
        <f t="shared" si="17"/>
        <v>0.9075640141</v>
      </c>
      <c r="L389" s="327">
        <f t="shared" si="3"/>
        <v>5.475920904</v>
      </c>
      <c r="M389" s="321" t="str">
        <f t="shared" si="4"/>
        <v>existenialstoic</v>
      </c>
      <c r="N389" s="209">
        <f>IFERROR(__xludf.DUMMYFUNCTION("""COMPUTED_VALUE"""),4.0)</f>
        <v>4</v>
      </c>
      <c r="O389" s="176"/>
      <c r="P389" s="176"/>
      <c r="Q389" s="176"/>
      <c r="R389" s="176"/>
      <c r="S389" s="176"/>
      <c r="T389" s="176"/>
      <c r="U389" s="176"/>
      <c r="V389" s="176"/>
      <c r="W389" s="176"/>
      <c r="X389" s="176"/>
      <c r="Y389" s="176"/>
      <c r="Z389" s="176"/>
    </row>
    <row r="390">
      <c r="A390" s="249" t="s">
        <v>114</v>
      </c>
      <c r="B390" s="249" t="s">
        <v>10</v>
      </c>
      <c r="C390" s="219" t="s">
        <v>2531</v>
      </c>
      <c r="D390" s="268" t="s">
        <v>495</v>
      </c>
      <c r="E390" s="361">
        <v>44205.0</v>
      </c>
      <c r="F390" s="250" t="s">
        <v>499</v>
      </c>
      <c r="G390" s="171">
        <v>20.0</v>
      </c>
      <c r="H390" s="171">
        <v>25.0</v>
      </c>
      <c r="I390" s="171">
        <v>10.0</v>
      </c>
      <c r="J390" s="325">
        <f t="shared" si="12"/>
        <v>0.0004818627871</v>
      </c>
      <c r="K390" s="326">
        <f t="shared" si="17"/>
        <v>0.3613970903</v>
      </c>
      <c r="L390" s="327">
        <f t="shared" si="3"/>
        <v>5.475920904</v>
      </c>
      <c r="M390" s="321" t="str">
        <f t="shared" si="4"/>
        <v>existenialstoic</v>
      </c>
      <c r="N390" s="209">
        <f>IFERROR(__xludf.DUMMYFUNCTION("""COMPUTED_VALUE"""),5.0)</f>
        <v>5</v>
      </c>
      <c r="O390" s="176"/>
      <c r="P390" s="176"/>
      <c r="Q390" s="176"/>
      <c r="R390" s="176"/>
      <c r="S390" s="176"/>
      <c r="T390" s="176"/>
      <c r="U390" s="176"/>
      <c r="V390" s="176"/>
      <c r="W390" s="176"/>
      <c r="X390" s="176"/>
      <c r="Y390" s="176"/>
      <c r="Z390" s="176"/>
    </row>
    <row r="391">
      <c r="A391" s="249" t="s">
        <v>82</v>
      </c>
      <c r="B391" s="249" t="s">
        <v>18</v>
      </c>
      <c r="C391" s="219" t="s">
        <v>3011</v>
      </c>
      <c r="D391" s="268" t="s">
        <v>495</v>
      </c>
      <c r="E391" s="361">
        <v>44201.0</v>
      </c>
      <c r="F391" s="250" t="s">
        <v>496</v>
      </c>
      <c r="G391" s="171">
        <v>70.0</v>
      </c>
      <c r="H391" s="171">
        <v>100.0</v>
      </c>
      <c r="I391" s="171">
        <v>100.0</v>
      </c>
      <c r="J391" s="325">
        <f t="shared" si="12"/>
        <v>0.002319279108</v>
      </c>
      <c r="K391" s="326">
        <f t="shared" si="17"/>
        <v>1.739459331</v>
      </c>
      <c r="L391" s="327">
        <f t="shared" si="3"/>
        <v>5.432965013</v>
      </c>
      <c r="M391" s="321" t="str">
        <f t="shared" si="4"/>
        <v>elihanover</v>
      </c>
      <c r="N391" s="209">
        <f>IFERROR(__xludf.DUMMYFUNCTION("""COMPUTED_VALUE"""),1.0)</f>
        <v>1</v>
      </c>
      <c r="O391" s="176"/>
      <c r="P391" s="176"/>
      <c r="Q391" s="176"/>
      <c r="R391" s="176"/>
      <c r="S391" s="176"/>
      <c r="T391" s="176"/>
      <c r="U391" s="176"/>
      <c r="V391" s="176"/>
      <c r="W391" s="176"/>
      <c r="X391" s="176"/>
      <c r="Y391" s="176"/>
      <c r="Z391" s="176"/>
    </row>
    <row r="392">
      <c r="A392" s="249" t="s">
        <v>82</v>
      </c>
      <c r="B392" s="249" t="s">
        <v>519</v>
      </c>
      <c r="C392" s="219" t="s">
        <v>2876</v>
      </c>
      <c r="D392" s="268" t="s">
        <v>495</v>
      </c>
      <c r="E392" s="361">
        <v>44201.0</v>
      </c>
      <c r="F392" s="250" t="s">
        <v>499</v>
      </c>
      <c r="G392" s="171">
        <v>60.0</v>
      </c>
      <c r="H392" s="171">
        <v>100.0</v>
      </c>
      <c r="I392" s="171">
        <v>60.0</v>
      </c>
      <c r="J392" s="325">
        <f t="shared" si="12"/>
        <v>0.001922898666</v>
      </c>
      <c r="K392" s="326">
        <f t="shared" si="17"/>
        <v>1.442174</v>
      </c>
      <c r="L392" s="327">
        <f t="shared" si="3"/>
        <v>5.432965013</v>
      </c>
      <c r="M392" s="321" t="str">
        <f t="shared" si="4"/>
        <v>elihanover</v>
      </c>
      <c r="N392" s="209">
        <f>IFERROR(__xludf.DUMMYFUNCTION("""COMPUTED_VALUE"""),2.0)</f>
        <v>2</v>
      </c>
      <c r="O392" s="176"/>
      <c r="P392" s="176"/>
      <c r="Q392" s="176"/>
      <c r="R392" s="176"/>
      <c r="S392" s="176"/>
      <c r="T392" s="176"/>
      <c r="U392" s="176"/>
      <c r="V392" s="176"/>
      <c r="W392" s="176"/>
      <c r="X392" s="176"/>
      <c r="Y392" s="176"/>
      <c r="Z392" s="176"/>
    </row>
    <row r="393">
      <c r="A393" s="249" t="s">
        <v>82</v>
      </c>
      <c r="B393" s="249" t="s">
        <v>519</v>
      </c>
      <c r="C393" s="219" t="s">
        <v>2877</v>
      </c>
      <c r="D393" s="268" t="s">
        <v>495</v>
      </c>
      <c r="E393" s="361">
        <v>44201.0</v>
      </c>
      <c r="F393" s="250" t="s">
        <v>499</v>
      </c>
      <c r="G393" s="171">
        <v>125.0</v>
      </c>
      <c r="H393" s="171">
        <v>100.0</v>
      </c>
      <c r="I393" s="171">
        <v>130.0</v>
      </c>
      <c r="J393" s="325">
        <f t="shared" si="12"/>
        <v>0.003001775576</v>
      </c>
      <c r="K393" s="326">
        <f t="shared" si="17"/>
        <v>2.251331682</v>
      </c>
      <c r="L393" s="327">
        <f t="shared" si="3"/>
        <v>5.432965013</v>
      </c>
      <c r="M393" s="321" t="str">
        <f t="shared" si="4"/>
        <v>elihanover</v>
      </c>
      <c r="N393" s="209">
        <f>IFERROR(__xludf.DUMMYFUNCTION("""COMPUTED_VALUE"""),3.0)</f>
        <v>3</v>
      </c>
      <c r="O393" s="176"/>
      <c r="P393" s="176"/>
      <c r="Q393" s="176"/>
      <c r="R393" s="176"/>
      <c r="S393" s="176"/>
      <c r="T393" s="176"/>
      <c r="U393" s="176"/>
      <c r="V393" s="176"/>
      <c r="W393" s="176"/>
      <c r="X393" s="176"/>
      <c r="Y393" s="176"/>
      <c r="Z393" s="176"/>
    </row>
    <row r="394">
      <c r="A394" s="249" t="s">
        <v>79</v>
      </c>
      <c r="B394" s="249" t="s">
        <v>1228</v>
      </c>
      <c r="C394" s="219" t="s">
        <v>2874</v>
      </c>
      <c r="D394" s="268" t="s">
        <v>495</v>
      </c>
      <c r="E394" s="361">
        <v>44198.0</v>
      </c>
      <c r="F394" s="250" t="s">
        <v>496</v>
      </c>
      <c r="G394" s="171">
        <v>20.0</v>
      </c>
      <c r="H394" s="171">
        <v>25.0</v>
      </c>
      <c r="I394" s="171">
        <v>15.0</v>
      </c>
      <c r="J394" s="325">
        <f t="shared" si="12"/>
        <v>0.0005212732072</v>
      </c>
      <c r="K394" s="326">
        <f t="shared" si="17"/>
        <v>0.3909549054</v>
      </c>
      <c r="L394" s="327">
        <f t="shared" si="3"/>
        <v>4.992024601</v>
      </c>
      <c r="M394" s="321" t="str">
        <f t="shared" si="4"/>
        <v>burrrata</v>
      </c>
      <c r="N394" s="209">
        <f>IFERROR(__xludf.DUMMYFUNCTION("""COMPUTED_VALUE"""),1.0)</f>
        <v>1</v>
      </c>
      <c r="O394" s="176"/>
      <c r="P394" s="176"/>
      <c r="Q394" s="176"/>
      <c r="R394" s="176"/>
      <c r="S394" s="176"/>
      <c r="T394" s="176"/>
      <c r="U394" s="176"/>
      <c r="V394" s="176"/>
      <c r="W394" s="176"/>
      <c r="X394" s="176"/>
      <c r="Y394" s="176"/>
      <c r="Z394" s="176"/>
    </row>
    <row r="395">
      <c r="A395" s="249" t="s">
        <v>79</v>
      </c>
      <c r="B395" s="249" t="s">
        <v>519</v>
      </c>
      <c r="C395" s="219" t="s">
        <v>2876</v>
      </c>
      <c r="D395" s="268" t="s">
        <v>495</v>
      </c>
      <c r="E395" s="361">
        <v>44201.0</v>
      </c>
      <c r="F395" s="250" t="s">
        <v>499</v>
      </c>
      <c r="G395" s="171">
        <v>60.0</v>
      </c>
      <c r="H395" s="171">
        <v>100.0</v>
      </c>
      <c r="I395" s="171">
        <v>60.0</v>
      </c>
      <c r="J395" s="325">
        <f t="shared" si="12"/>
        <v>0.001922898666</v>
      </c>
      <c r="K395" s="326">
        <f t="shared" si="17"/>
        <v>1.442174</v>
      </c>
      <c r="L395" s="327">
        <f t="shared" si="3"/>
        <v>4.992024601</v>
      </c>
      <c r="M395" s="321" t="str">
        <f t="shared" si="4"/>
        <v>burrrata</v>
      </c>
      <c r="N395" s="209">
        <f>IFERROR(__xludf.DUMMYFUNCTION("""COMPUTED_VALUE"""),2.0)</f>
        <v>2</v>
      </c>
      <c r="O395" s="176"/>
      <c r="P395" s="176"/>
      <c r="Q395" s="176"/>
      <c r="R395" s="176"/>
      <c r="S395" s="176"/>
      <c r="T395" s="176"/>
      <c r="U395" s="176"/>
      <c r="V395" s="176"/>
      <c r="W395" s="176"/>
      <c r="X395" s="176"/>
      <c r="Y395" s="176"/>
      <c r="Z395" s="176"/>
    </row>
    <row r="396">
      <c r="A396" s="249" t="s">
        <v>79</v>
      </c>
      <c r="B396" s="249" t="s">
        <v>519</v>
      </c>
      <c r="C396" s="219" t="s">
        <v>2877</v>
      </c>
      <c r="D396" s="268" t="s">
        <v>495</v>
      </c>
      <c r="E396" s="361">
        <v>44201.0</v>
      </c>
      <c r="F396" s="250" t="s">
        <v>499</v>
      </c>
      <c r="G396" s="171">
        <v>125.0</v>
      </c>
      <c r="H396" s="171">
        <v>100.0</v>
      </c>
      <c r="I396" s="171">
        <v>130.0</v>
      </c>
      <c r="J396" s="325">
        <f t="shared" si="12"/>
        <v>0.003001775576</v>
      </c>
      <c r="K396" s="326">
        <f t="shared" si="17"/>
        <v>2.251331682</v>
      </c>
      <c r="L396" s="327">
        <f t="shared" si="3"/>
        <v>4.992024601</v>
      </c>
      <c r="M396" s="321" t="str">
        <f t="shared" si="4"/>
        <v>burrrata</v>
      </c>
      <c r="N396" s="209">
        <f>IFERROR(__xludf.DUMMYFUNCTION("""COMPUTED_VALUE"""),3.0)</f>
        <v>3</v>
      </c>
      <c r="O396" s="176"/>
      <c r="P396" s="176"/>
      <c r="Q396" s="176"/>
      <c r="R396" s="176"/>
      <c r="S396" s="176"/>
      <c r="T396" s="176"/>
      <c r="U396" s="176"/>
      <c r="V396" s="176"/>
      <c r="W396" s="176"/>
      <c r="X396" s="176"/>
      <c r="Y396" s="176"/>
      <c r="Z396" s="176"/>
    </row>
    <row r="397">
      <c r="A397" s="249" t="s">
        <v>79</v>
      </c>
      <c r="B397" s="249" t="s">
        <v>519</v>
      </c>
      <c r="C397" s="219" t="s">
        <v>2878</v>
      </c>
      <c r="D397" s="268" t="s">
        <v>495</v>
      </c>
      <c r="E397" s="361">
        <v>44201.0</v>
      </c>
      <c r="F397" s="250" t="s">
        <v>499</v>
      </c>
      <c r="G397" s="171">
        <v>45.0</v>
      </c>
      <c r="H397" s="171">
        <v>55.0</v>
      </c>
      <c r="I397" s="171">
        <v>40.0</v>
      </c>
      <c r="J397" s="325">
        <f t="shared" si="12"/>
        <v>0.001210085352</v>
      </c>
      <c r="K397" s="326">
        <f t="shared" si="17"/>
        <v>0.9075640141</v>
      </c>
      <c r="L397" s="327">
        <f t="shared" si="3"/>
        <v>4.992024601</v>
      </c>
      <c r="M397" s="321" t="str">
        <f t="shared" si="4"/>
        <v>burrrata</v>
      </c>
      <c r="N397" s="209">
        <f>IFERROR(__xludf.DUMMYFUNCTION("""COMPUTED_VALUE"""),4.0)</f>
        <v>4</v>
      </c>
      <c r="O397" s="176"/>
      <c r="P397" s="176"/>
      <c r="Q397" s="176"/>
      <c r="R397" s="176"/>
      <c r="S397" s="176"/>
      <c r="T397" s="176"/>
      <c r="U397" s="176"/>
      <c r="V397" s="176"/>
      <c r="W397" s="176"/>
      <c r="X397" s="176"/>
      <c r="Y397" s="176"/>
      <c r="Z397" s="176"/>
    </row>
    <row r="398">
      <c r="A398" s="249" t="s">
        <v>27</v>
      </c>
      <c r="B398" s="249" t="s">
        <v>519</v>
      </c>
      <c r="C398" s="219" t="s">
        <v>2877</v>
      </c>
      <c r="D398" s="268" t="s">
        <v>495</v>
      </c>
      <c r="E398" s="361">
        <v>44201.0</v>
      </c>
      <c r="F398" s="250" t="s">
        <v>499</v>
      </c>
      <c r="G398" s="171">
        <v>125.0</v>
      </c>
      <c r="H398" s="171">
        <v>100.0</v>
      </c>
      <c r="I398" s="171">
        <v>130.0</v>
      </c>
      <c r="J398" s="325">
        <f t="shared" si="12"/>
        <v>0.003001775576</v>
      </c>
      <c r="K398" s="326">
        <f t="shared" si="17"/>
        <v>2.251331682</v>
      </c>
      <c r="L398" s="327">
        <f t="shared" si="3"/>
        <v>4.833523635</v>
      </c>
      <c r="M398" s="321" t="str">
        <f t="shared" si="4"/>
        <v>merlinegalite</v>
      </c>
      <c r="N398" s="209">
        <f>IFERROR(__xludf.DUMMYFUNCTION("""COMPUTED_VALUE"""),1.0)</f>
        <v>1</v>
      </c>
      <c r="O398" s="176"/>
      <c r="P398" s="176"/>
      <c r="Q398" s="176"/>
      <c r="R398" s="176"/>
      <c r="S398" s="176"/>
      <c r="T398" s="176"/>
      <c r="U398" s="176"/>
      <c r="V398" s="176"/>
      <c r="W398" s="176"/>
      <c r="X398" s="176"/>
      <c r="Y398" s="176"/>
      <c r="Z398" s="176"/>
    </row>
    <row r="399">
      <c r="A399" s="249" t="s">
        <v>27</v>
      </c>
      <c r="B399" s="249" t="s">
        <v>519</v>
      </c>
      <c r="C399" s="219" t="s">
        <v>2329</v>
      </c>
      <c r="D399" s="268" t="s">
        <v>495</v>
      </c>
      <c r="E399" s="361">
        <v>44204.0</v>
      </c>
      <c r="F399" s="250" t="s">
        <v>521</v>
      </c>
      <c r="G399" s="171">
        <v>10.0</v>
      </c>
      <c r="H399" s="171">
        <v>25.0</v>
      </c>
      <c r="I399" s="171">
        <v>20.0</v>
      </c>
      <c r="J399" s="325">
        <f t="shared" si="12"/>
        <v>0.000479586546</v>
      </c>
      <c r="K399" s="326">
        <f t="shared" si="17"/>
        <v>0.3596899095</v>
      </c>
      <c r="L399" s="327">
        <f t="shared" si="3"/>
        <v>4.833523635</v>
      </c>
      <c r="M399" s="321" t="str">
        <f t="shared" si="4"/>
        <v>merlinegalite</v>
      </c>
      <c r="N399" s="209">
        <f>IFERROR(__xludf.DUMMYFUNCTION("""COMPUTED_VALUE"""),2.0)</f>
        <v>2</v>
      </c>
      <c r="O399" s="176"/>
      <c r="P399" s="176"/>
      <c r="Q399" s="176"/>
      <c r="R399" s="176"/>
      <c r="S399" s="176"/>
      <c r="T399" s="176"/>
      <c r="U399" s="176"/>
      <c r="V399" s="176"/>
      <c r="W399" s="176"/>
      <c r="X399" s="176"/>
      <c r="Y399" s="176"/>
      <c r="Z399" s="176"/>
    </row>
    <row r="400">
      <c r="A400" s="249" t="s">
        <v>27</v>
      </c>
      <c r="B400" s="249" t="s">
        <v>1920</v>
      </c>
      <c r="C400" s="219" t="s">
        <v>3012</v>
      </c>
      <c r="D400" s="268" t="s">
        <v>495</v>
      </c>
      <c r="E400" s="361">
        <v>44205.0</v>
      </c>
      <c r="F400" s="250" t="s">
        <v>1956</v>
      </c>
      <c r="G400" s="171">
        <v>100.0</v>
      </c>
      <c r="H400" s="171">
        <v>100.0</v>
      </c>
      <c r="I400" s="171">
        <v>100.0</v>
      </c>
      <c r="J400" s="325">
        <f t="shared" si="12"/>
        <v>0.002562570352</v>
      </c>
      <c r="K400" s="326">
        <f t="shared" si="17"/>
        <v>1.921927764</v>
      </c>
      <c r="L400" s="327">
        <f t="shared" si="3"/>
        <v>4.833523635</v>
      </c>
      <c r="M400" s="321" t="str">
        <f t="shared" si="4"/>
        <v>merlinegalite</v>
      </c>
      <c r="N400" s="209">
        <f>IFERROR(__xludf.DUMMYFUNCTION("""COMPUTED_VALUE"""),3.0)</f>
        <v>3</v>
      </c>
      <c r="O400" s="176"/>
      <c r="P400" s="176"/>
      <c r="Q400" s="176"/>
      <c r="R400" s="176"/>
      <c r="S400" s="176"/>
      <c r="T400" s="176"/>
      <c r="U400" s="176"/>
      <c r="V400" s="176"/>
      <c r="W400" s="176"/>
      <c r="X400" s="176"/>
      <c r="Y400" s="176"/>
      <c r="Z400" s="176"/>
    </row>
    <row r="401">
      <c r="A401" s="249" t="s">
        <v>27</v>
      </c>
      <c r="B401" s="249" t="s">
        <v>519</v>
      </c>
      <c r="C401" s="219" t="s">
        <v>2984</v>
      </c>
      <c r="D401" s="268" t="s">
        <v>495</v>
      </c>
      <c r="E401" s="251">
        <v>44209.0</v>
      </c>
      <c r="F401" s="250" t="s">
        <v>521</v>
      </c>
      <c r="G401" s="171">
        <v>10.0</v>
      </c>
      <c r="H401" s="171">
        <v>25.0</v>
      </c>
      <c r="I401" s="171">
        <v>10.0</v>
      </c>
      <c r="J401" s="325">
        <f t="shared" si="12"/>
        <v>0.0004007657057</v>
      </c>
      <c r="K401" s="326">
        <f t="shared" si="17"/>
        <v>0.3005742793</v>
      </c>
      <c r="L401" s="327">
        <f t="shared" si="3"/>
        <v>4.833523635</v>
      </c>
      <c r="M401" s="321" t="str">
        <f t="shared" si="4"/>
        <v>merlinegalite</v>
      </c>
      <c r="N401" s="209">
        <f>IFERROR(__xludf.DUMMYFUNCTION("""COMPUTED_VALUE"""),4.0)</f>
        <v>4</v>
      </c>
      <c r="O401" s="176"/>
      <c r="P401" s="176"/>
      <c r="Q401" s="176"/>
      <c r="R401" s="176"/>
      <c r="S401" s="176"/>
      <c r="T401" s="176"/>
      <c r="U401" s="176"/>
      <c r="V401" s="176"/>
      <c r="W401" s="176"/>
      <c r="X401" s="176"/>
      <c r="Y401" s="176"/>
      <c r="Z401" s="176"/>
    </row>
    <row r="402">
      <c r="A402" s="249" t="s">
        <v>12</v>
      </c>
      <c r="B402" s="249" t="s">
        <v>10</v>
      </c>
      <c r="C402" s="219" t="s">
        <v>2531</v>
      </c>
      <c r="D402" s="268" t="s">
        <v>495</v>
      </c>
      <c r="E402" s="361">
        <v>44205.0</v>
      </c>
      <c r="F402" s="250" t="s">
        <v>499</v>
      </c>
      <c r="G402" s="171">
        <v>20.0</v>
      </c>
      <c r="H402" s="171">
        <v>25.0</v>
      </c>
      <c r="I402" s="171">
        <v>10.0</v>
      </c>
      <c r="J402" s="325">
        <f t="shared" si="12"/>
        <v>0.0004818627871</v>
      </c>
      <c r="K402" s="326">
        <f t="shared" si="17"/>
        <v>0.3613970903</v>
      </c>
      <c r="L402" s="327">
        <f t="shared" si="3"/>
        <v>4.689140379</v>
      </c>
      <c r="M402" s="321" t="str">
        <f t="shared" si="4"/>
        <v>metaverde</v>
      </c>
      <c r="N402" s="209">
        <f>IFERROR(__xludf.DUMMYFUNCTION("""COMPUTED_VALUE"""),1.0)</f>
        <v>1</v>
      </c>
      <c r="O402" s="176"/>
      <c r="P402" s="176"/>
      <c r="Q402" s="176"/>
      <c r="R402" s="176"/>
      <c r="S402" s="176"/>
      <c r="T402" s="176"/>
      <c r="U402" s="176"/>
      <c r="V402" s="176"/>
      <c r="W402" s="176"/>
      <c r="X402" s="176"/>
      <c r="Y402" s="176"/>
      <c r="Z402" s="176"/>
    </row>
    <row r="403">
      <c r="A403" s="249" t="s">
        <v>12</v>
      </c>
      <c r="B403" s="249" t="s">
        <v>25</v>
      </c>
      <c r="C403" s="219" t="s">
        <v>3013</v>
      </c>
      <c r="D403" s="268" t="s">
        <v>495</v>
      </c>
      <c r="E403" s="251">
        <v>44209.0</v>
      </c>
      <c r="F403" s="250" t="s">
        <v>496</v>
      </c>
      <c r="G403" s="171">
        <v>30.0</v>
      </c>
      <c r="H403" s="171">
        <v>55.0</v>
      </c>
      <c r="I403" s="171">
        <v>30.0</v>
      </c>
      <c r="J403" s="325">
        <f t="shared" si="12"/>
        <v>0.00100961889</v>
      </c>
      <c r="K403" s="326">
        <f t="shared" si="17"/>
        <v>0.7572141674</v>
      </c>
      <c r="L403" s="327">
        <f t="shared" si="3"/>
        <v>4.689140379</v>
      </c>
      <c r="M403" s="321" t="str">
        <f t="shared" si="4"/>
        <v>metaverde</v>
      </c>
      <c r="N403" s="209">
        <f>IFERROR(__xludf.DUMMYFUNCTION("""COMPUTED_VALUE"""),2.0)</f>
        <v>2</v>
      </c>
      <c r="O403" s="176"/>
      <c r="P403" s="176"/>
      <c r="Q403" s="176"/>
      <c r="R403" s="176"/>
      <c r="S403" s="176"/>
      <c r="T403" s="176"/>
      <c r="U403" s="176"/>
      <c r="V403" s="176"/>
      <c r="W403" s="176"/>
      <c r="X403" s="176"/>
      <c r="Y403" s="176"/>
      <c r="Z403" s="176"/>
    </row>
    <row r="404">
      <c r="A404" s="249" t="s">
        <v>12</v>
      </c>
      <c r="B404" s="249" t="s">
        <v>5</v>
      </c>
      <c r="C404" s="219" t="s">
        <v>2894</v>
      </c>
      <c r="D404" s="268" t="s">
        <v>495</v>
      </c>
      <c r="E404" s="251">
        <v>44210.0</v>
      </c>
      <c r="F404" s="250" t="s">
        <v>496</v>
      </c>
      <c r="G404" s="171">
        <v>25.0</v>
      </c>
      <c r="H404" s="171">
        <v>25.0</v>
      </c>
      <c r="I404" s="171">
        <v>40.0</v>
      </c>
      <c r="J404" s="325">
        <f t="shared" si="12"/>
        <v>0.0007588738484</v>
      </c>
      <c r="K404" s="326">
        <f t="shared" si="17"/>
        <v>0.5691553863</v>
      </c>
      <c r="L404" s="327">
        <f t="shared" si="3"/>
        <v>4.689140379</v>
      </c>
      <c r="M404" s="321" t="str">
        <f t="shared" si="4"/>
        <v>metaverde</v>
      </c>
      <c r="N404" s="209">
        <f>IFERROR(__xludf.DUMMYFUNCTION("""COMPUTED_VALUE"""),3.0)</f>
        <v>3</v>
      </c>
      <c r="O404" s="176"/>
      <c r="P404" s="176"/>
      <c r="Q404" s="176"/>
      <c r="R404" s="176"/>
      <c r="S404" s="176"/>
      <c r="T404" s="176"/>
      <c r="U404" s="176"/>
      <c r="V404" s="176"/>
      <c r="W404" s="176"/>
      <c r="X404" s="176"/>
      <c r="Y404" s="176"/>
      <c r="Z404" s="176"/>
    </row>
    <row r="405">
      <c r="A405" s="249" t="s">
        <v>12</v>
      </c>
      <c r="B405" s="249" t="s">
        <v>519</v>
      </c>
      <c r="C405" s="219" t="s">
        <v>3014</v>
      </c>
      <c r="D405" s="268" t="s">
        <v>495</v>
      </c>
      <c r="E405" s="251">
        <v>44210.0</v>
      </c>
      <c r="F405" s="250" t="s">
        <v>496</v>
      </c>
      <c r="G405" s="171">
        <v>35.0</v>
      </c>
      <c r="H405" s="171">
        <v>25.0</v>
      </c>
      <c r="I405" s="171">
        <v>10.0</v>
      </c>
      <c r="J405" s="325">
        <f t="shared" si="12"/>
        <v>0.000603508409</v>
      </c>
      <c r="K405" s="326">
        <f t="shared" si="17"/>
        <v>0.4526313068</v>
      </c>
      <c r="L405" s="327">
        <f t="shared" si="3"/>
        <v>4.689140379</v>
      </c>
      <c r="M405" s="321" t="str">
        <f t="shared" si="4"/>
        <v>metaverde</v>
      </c>
      <c r="N405" s="209">
        <f>IFERROR(__xludf.DUMMYFUNCTION("""COMPUTED_VALUE"""),4.0)</f>
        <v>4</v>
      </c>
      <c r="O405" s="176"/>
      <c r="P405" s="176"/>
      <c r="Q405" s="176"/>
      <c r="R405" s="176"/>
      <c r="S405" s="176"/>
      <c r="T405" s="176"/>
      <c r="U405" s="176"/>
      <c r="V405" s="176"/>
      <c r="W405" s="176"/>
      <c r="X405" s="176"/>
      <c r="Y405" s="176"/>
      <c r="Z405" s="176"/>
    </row>
    <row r="406">
      <c r="A406" s="249" t="s">
        <v>12</v>
      </c>
      <c r="B406" s="249" t="s">
        <v>10</v>
      </c>
      <c r="C406" s="219" t="s">
        <v>3015</v>
      </c>
      <c r="D406" s="268" t="s">
        <v>495</v>
      </c>
      <c r="E406" s="251">
        <v>44211.0</v>
      </c>
      <c r="F406" s="250" t="s">
        <v>496</v>
      </c>
      <c r="G406" s="171">
        <v>100.0</v>
      </c>
      <c r="H406" s="171">
        <v>25.0</v>
      </c>
      <c r="I406" s="171">
        <v>100.0</v>
      </c>
      <c r="J406" s="325">
        <f t="shared" si="12"/>
        <v>0.001840027</v>
      </c>
      <c r="K406" s="326">
        <f t="shared" si="17"/>
        <v>1.38002025</v>
      </c>
      <c r="L406" s="327">
        <f t="shared" si="3"/>
        <v>4.689140379</v>
      </c>
      <c r="M406" s="321" t="str">
        <f t="shared" si="4"/>
        <v>metaverde</v>
      </c>
      <c r="N406" s="209">
        <f>IFERROR(__xludf.DUMMYFUNCTION("""COMPUTED_VALUE"""),5.0)</f>
        <v>5</v>
      </c>
      <c r="O406" s="176"/>
      <c r="P406" s="176"/>
      <c r="Q406" s="176"/>
      <c r="R406" s="176"/>
      <c r="S406" s="176"/>
      <c r="T406" s="176"/>
      <c r="U406" s="176"/>
      <c r="V406" s="176"/>
      <c r="W406" s="176"/>
      <c r="X406" s="176"/>
      <c r="Y406" s="176"/>
      <c r="Z406" s="176"/>
    </row>
    <row r="407">
      <c r="A407" s="249" t="s">
        <v>12</v>
      </c>
      <c r="B407" s="249" t="s">
        <v>10</v>
      </c>
      <c r="C407" s="219" t="s">
        <v>2896</v>
      </c>
      <c r="D407" s="268" t="s">
        <v>495</v>
      </c>
      <c r="E407" s="251">
        <v>44211.0</v>
      </c>
      <c r="F407" s="250" t="s">
        <v>496</v>
      </c>
      <c r="G407" s="171">
        <v>10.0</v>
      </c>
      <c r="H407" s="171">
        <v>25.0</v>
      </c>
      <c r="I407" s="171">
        <v>40.0</v>
      </c>
      <c r="J407" s="325">
        <f t="shared" si="12"/>
        <v>0.0006372282264</v>
      </c>
      <c r="K407" s="326">
        <f t="shared" si="17"/>
        <v>0.4779211698</v>
      </c>
      <c r="L407" s="327">
        <f t="shared" si="3"/>
        <v>4.689140379</v>
      </c>
      <c r="M407" s="321" t="str">
        <f t="shared" si="4"/>
        <v>metaverde</v>
      </c>
      <c r="N407" s="209">
        <f>IFERROR(__xludf.DUMMYFUNCTION("""COMPUTED_VALUE"""),6.0)</f>
        <v>6</v>
      </c>
      <c r="O407" s="176"/>
      <c r="P407" s="176"/>
      <c r="Q407" s="176"/>
      <c r="R407" s="176"/>
      <c r="S407" s="176"/>
      <c r="T407" s="176"/>
      <c r="U407" s="176"/>
      <c r="V407" s="176"/>
      <c r="W407" s="176"/>
      <c r="X407" s="176"/>
      <c r="Y407" s="176"/>
      <c r="Z407" s="176"/>
    </row>
    <row r="408">
      <c r="A408" s="249" t="s">
        <v>12</v>
      </c>
      <c r="B408" s="249" t="s">
        <v>18</v>
      </c>
      <c r="C408" s="219" t="s">
        <v>2899</v>
      </c>
      <c r="D408" s="268" t="s">
        <v>495</v>
      </c>
      <c r="E408" s="251">
        <v>44211.0</v>
      </c>
      <c r="F408" s="250" t="s">
        <v>496</v>
      </c>
      <c r="G408" s="171">
        <v>45.0</v>
      </c>
      <c r="H408" s="171">
        <v>25.0</v>
      </c>
      <c r="I408" s="171">
        <v>40.0</v>
      </c>
      <c r="J408" s="325">
        <f t="shared" si="12"/>
        <v>0.000921068011</v>
      </c>
      <c r="K408" s="326">
        <f t="shared" si="17"/>
        <v>0.6908010083</v>
      </c>
      <c r="L408" s="327">
        <f t="shared" si="3"/>
        <v>4.689140379</v>
      </c>
      <c r="M408" s="321" t="str">
        <f t="shared" si="4"/>
        <v>metaverde</v>
      </c>
      <c r="N408" s="209">
        <f>IFERROR(__xludf.DUMMYFUNCTION("""COMPUTED_VALUE"""),7.0)</f>
        <v>7</v>
      </c>
      <c r="O408" s="176"/>
      <c r="P408" s="176"/>
      <c r="Q408" s="176"/>
      <c r="R408" s="176"/>
      <c r="S408" s="176"/>
      <c r="T408" s="176"/>
      <c r="U408" s="176"/>
      <c r="V408" s="176"/>
      <c r="W408" s="176"/>
      <c r="X408" s="176"/>
      <c r="Y408" s="176"/>
      <c r="Z408" s="176"/>
    </row>
    <row r="409">
      <c r="A409" s="253" t="s">
        <v>12</v>
      </c>
      <c r="B409" s="253" t="s">
        <v>1228</v>
      </c>
      <c r="C409" s="256" t="s">
        <v>2901</v>
      </c>
      <c r="D409" s="336" t="s">
        <v>495</v>
      </c>
      <c r="E409" s="255">
        <v>44211.0</v>
      </c>
      <c r="F409" s="221" t="s">
        <v>2912</v>
      </c>
      <c r="G409" s="222">
        <v>0.0</v>
      </c>
      <c r="H409" s="222">
        <v>0.0</v>
      </c>
      <c r="I409" s="222">
        <v>0.0</v>
      </c>
      <c r="J409" s="339">
        <f t="shared" si="12"/>
        <v>0</v>
      </c>
      <c r="K409" s="337">
        <f t="shared" si="17"/>
        <v>0</v>
      </c>
      <c r="L409" s="341">
        <f t="shared" si="3"/>
        <v>4.689140379</v>
      </c>
      <c r="M409" s="342" t="str">
        <f t="shared" si="4"/>
        <v>metaverde</v>
      </c>
      <c r="N409" s="209">
        <f>IFERROR(__xludf.DUMMYFUNCTION("""COMPUTED_VALUE"""),8.0)</f>
        <v>8</v>
      </c>
      <c r="O409" s="209"/>
      <c r="P409" s="209"/>
      <c r="Q409" s="209"/>
      <c r="R409" s="209"/>
      <c r="S409" s="209"/>
      <c r="T409" s="209"/>
      <c r="U409" s="209"/>
      <c r="V409" s="209"/>
      <c r="W409" s="209"/>
      <c r="X409" s="209"/>
      <c r="Y409" s="209"/>
      <c r="Z409" s="209"/>
    </row>
    <row r="410">
      <c r="A410" s="249" t="s">
        <v>64</v>
      </c>
      <c r="B410" s="249" t="s">
        <v>519</v>
      </c>
      <c r="C410" s="219" t="s">
        <v>2876</v>
      </c>
      <c r="D410" s="268" t="s">
        <v>495</v>
      </c>
      <c r="E410" s="361">
        <v>44201.0</v>
      </c>
      <c r="F410" s="250" t="s">
        <v>499</v>
      </c>
      <c r="G410" s="171">
        <v>60.0</v>
      </c>
      <c r="H410" s="171">
        <v>100.0</v>
      </c>
      <c r="I410" s="171">
        <v>60.0</v>
      </c>
      <c r="J410" s="325">
        <f t="shared" si="12"/>
        <v>0.001922898666</v>
      </c>
      <c r="K410" s="326">
        <f t="shared" si="17"/>
        <v>1.442174</v>
      </c>
      <c r="L410" s="327">
        <f t="shared" si="3"/>
        <v>4.601069696</v>
      </c>
      <c r="M410" s="321" t="str">
        <f t="shared" si="4"/>
        <v>trentmc0</v>
      </c>
      <c r="N410" s="209">
        <f>IFERROR(__xludf.DUMMYFUNCTION("""COMPUTED_VALUE"""),1.0)</f>
        <v>1</v>
      </c>
      <c r="O410" s="176"/>
      <c r="P410" s="176"/>
      <c r="Q410" s="176"/>
      <c r="R410" s="176"/>
      <c r="S410" s="176"/>
      <c r="T410" s="176"/>
      <c r="U410" s="176"/>
      <c r="V410" s="176"/>
      <c r="W410" s="176"/>
      <c r="X410" s="176"/>
      <c r="Y410" s="176"/>
      <c r="Z410" s="176"/>
    </row>
    <row r="411">
      <c r="A411" s="249" t="s">
        <v>64</v>
      </c>
      <c r="B411" s="249" t="s">
        <v>519</v>
      </c>
      <c r="C411" s="219" t="s">
        <v>2877</v>
      </c>
      <c r="D411" s="268" t="s">
        <v>495</v>
      </c>
      <c r="E411" s="361">
        <v>44201.0</v>
      </c>
      <c r="F411" s="250" t="s">
        <v>499</v>
      </c>
      <c r="G411" s="171">
        <v>125.0</v>
      </c>
      <c r="H411" s="171">
        <v>100.0</v>
      </c>
      <c r="I411" s="171">
        <v>130.0</v>
      </c>
      <c r="J411" s="325">
        <f t="shared" si="12"/>
        <v>0.003001775576</v>
      </c>
      <c r="K411" s="326">
        <f t="shared" si="17"/>
        <v>2.251331682</v>
      </c>
      <c r="L411" s="327">
        <f t="shared" si="3"/>
        <v>4.601069696</v>
      </c>
      <c r="M411" s="321" t="str">
        <f t="shared" si="4"/>
        <v>trentmc0</v>
      </c>
      <c r="N411" s="209">
        <f>IFERROR(__xludf.DUMMYFUNCTION("""COMPUTED_VALUE"""),2.0)</f>
        <v>2</v>
      </c>
      <c r="O411" s="176"/>
      <c r="P411" s="176"/>
      <c r="Q411" s="176"/>
      <c r="R411" s="176"/>
      <c r="S411" s="176"/>
      <c r="T411" s="176"/>
      <c r="U411" s="176"/>
      <c r="V411" s="176"/>
      <c r="W411" s="176"/>
      <c r="X411" s="176"/>
      <c r="Y411" s="176"/>
      <c r="Z411" s="176"/>
    </row>
    <row r="412">
      <c r="A412" s="249" t="s">
        <v>64</v>
      </c>
      <c r="B412" s="249" t="s">
        <v>519</v>
      </c>
      <c r="C412" s="219" t="s">
        <v>2878</v>
      </c>
      <c r="D412" s="268" t="s">
        <v>495</v>
      </c>
      <c r="E412" s="361">
        <v>44201.0</v>
      </c>
      <c r="F412" s="250" t="s">
        <v>499</v>
      </c>
      <c r="G412" s="171">
        <v>45.0</v>
      </c>
      <c r="H412" s="171">
        <v>55.0</v>
      </c>
      <c r="I412" s="171">
        <v>40.0</v>
      </c>
      <c r="J412" s="325">
        <f t="shared" si="12"/>
        <v>0.001210085352</v>
      </c>
      <c r="K412" s="326">
        <f t="shared" si="17"/>
        <v>0.9075640141</v>
      </c>
      <c r="L412" s="327">
        <f t="shared" si="3"/>
        <v>4.601069696</v>
      </c>
      <c r="M412" s="321" t="str">
        <f t="shared" si="4"/>
        <v>trentmc0</v>
      </c>
      <c r="N412" s="209">
        <f>IFERROR(__xludf.DUMMYFUNCTION("""COMPUTED_VALUE"""),3.0)</f>
        <v>3</v>
      </c>
      <c r="O412" s="176"/>
      <c r="P412" s="176"/>
      <c r="Q412" s="176"/>
      <c r="R412" s="176"/>
      <c r="S412" s="176"/>
      <c r="T412" s="176"/>
      <c r="U412" s="176"/>
      <c r="V412" s="176"/>
      <c r="W412" s="176"/>
      <c r="X412" s="176"/>
      <c r="Y412" s="176"/>
      <c r="Z412" s="176"/>
    </row>
    <row r="413">
      <c r="A413" s="249" t="s">
        <v>160</v>
      </c>
      <c r="B413" s="249" t="s">
        <v>519</v>
      </c>
      <c r="C413" s="219" t="s">
        <v>2876</v>
      </c>
      <c r="D413" s="268" t="s">
        <v>495</v>
      </c>
      <c r="E413" s="361">
        <v>44201.0</v>
      </c>
      <c r="F413" s="250" t="s">
        <v>499</v>
      </c>
      <c r="G413" s="171">
        <v>60.0</v>
      </c>
      <c r="H413" s="171">
        <v>100.0</v>
      </c>
      <c r="I413" s="171">
        <v>60.0</v>
      </c>
      <c r="J413" s="325">
        <f t="shared" si="12"/>
        <v>0.001922898666</v>
      </c>
      <c r="K413" s="326">
        <f t="shared" si="17"/>
        <v>1.442174</v>
      </c>
      <c r="L413" s="327">
        <f t="shared" si="3"/>
        <v>4.601069696</v>
      </c>
      <c r="M413" s="321" t="str">
        <f t="shared" si="4"/>
        <v>tokenbrice</v>
      </c>
      <c r="N413" s="209">
        <f>IFERROR(__xludf.DUMMYFUNCTION("""COMPUTED_VALUE"""),1.0)</f>
        <v>1</v>
      </c>
      <c r="O413" s="176"/>
      <c r="P413" s="176"/>
      <c r="Q413" s="176"/>
      <c r="R413" s="176"/>
      <c r="S413" s="176"/>
      <c r="T413" s="176"/>
      <c r="U413" s="176"/>
      <c r="V413" s="176"/>
      <c r="W413" s="176"/>
      <c r="X413" s="176"/>
      <c r="Y413" s="176"/>
      <c r="Z413" s="176"/>
    </row>
    <row r="414">
      <c r="A414" s="249" t="s">
        <v>160</v>
      </c>
      <c r="B414" s="249" t="s">
        <v>519</v>
      </c>
      <c r="C414" s="219" t="s">
        <v>2877</v>
      </c>
      <c r="D414" s="268" t="s">
        <v>495</v>
      </c>
      <c r="E414" s="361">
        <v>44201.0</v>
      </c>
      <c r="F414" s="250" t="s">
        <v>499</v>
      </c>
      <c r="G414" s="171">
        <v>125.0</v>
      </c>
      <c r="H414" s="171">
        <v>100.0</v>
      </c>
      <c r="I414" s="171">
        <v>130.0</v>
      </c>
      <c r="J414" s="325">
        <f t="shared" si="12"/>
        <v>0.003001775576</v>
      </c>
      <c r="K414" s="326">
        <f t="shared" si="17"/>
        <v>2.251331682</v>
      </c>
      <c r="L414" s="327">
        <f t="shared" si="3"/>
        <v>4.601069696</v>
      </c>
      <c r="M414" s="321" t="str">
        <f t="shared" si="4"/>
        <v>tokenbrice</v>
      </c>
      <c r="N414" s="209">
        <f>IFERROR(__xludf.DUMMYFUNCTION("""COMPUTED_VALUE"""),2.0)</f>
        <v>2</v>
      </c>
      <c r="O414" s="176"/>
      <c r="P414" s="176"/>
      <c r="Q414" s="176"/>
      <c r="R414" s="176"/>
      <c r="S414" s="176"/>
      <c r="T414" s="176"/>
      <c r="U414" s="176"/>
      <c r="V414" s="176"/>
      <c r="W414" s="176"/>
      <c r="X414" s="176"/>
      <c r="Y414" s="176"/>
      <c r="Z414" s="176"/>
    </row>
    <row r="415">
      <c r="A415" s="249" t="s">
        <v>160</v>
      </c>
      <c r="B415" s="249" t="s">
        <v>519</v>
      </c>
      <c r="C415" s="219" t="s">
        <v>2878</v>
      </c>
      <c r="D415" s="268" t="s">
        <v>495</v>
      </c>
      <c r="E415" s="361">
        <v>44201.0</v>
      </c>
      <c r="F415" s="250" t="s">
        <v>499</v>
      </c>
      <c r="G415" s="171">
        <v>45.0</v>
      </c>
      <c r="H415" s="171">
        <v>55.0</v>
      </c>
      <c r="I415" s="171">
        <v>40.0</v>
      </c>
      <c r="J415" s="325">
        <f t="shared" si="12"/>
        <v>0.001210085352</v>
      </c>
      <c r="K415" s="326">
        <f t="shared" si="17"/>
        <v>0.9075640141</v>
      </c>
      <c r="L415" s="327">
        <f t="shared" si="3"/>
        <v>4.601069696</v>
      </c>
      <c r="M415" s="321" t="str">
        <f t="shared" si="4"/>
        <v>tokenbrice</v>
      </c>
      <c r="N415" s="209">
        <f>IFERROR(__xludf.DUMMYFUNCTION("""COMPUTED_VALUE"""),3.0)</f>
        <v>3</v>
      </c>
      <c r="O415" s="176"/>
      <c r="P415" s="176"/>
      <c r="Q415" s="176"/>
      <c r="R415" s="176"/>
      <c r="S415" s="176"/>
      <c r="T415" s="176"/>
      <c r="U415" s="176"/>
      <c r="V415" s="176"/>
      <c r="W415" s="176"/>
      <c r="X415" s="176"/>
      <c r="Y415" s="176"/>
      <c r="Z415" s="176"/>
    </row>
    <row r="416">
      <c r="A416" s="249" t="s">
        <v>96</v>
      </c>
      <c r="B416" s="249" t="s">
        <v>519</v>
      </c>
      <c r="C416" s="219" t="s">
        <v>2876</v>
      </c>
      <c r="D416" s="268" t="s">
        <v>495</v>
      </c>
      <c r="E416" s="361">
        <v>44201.0</v>
      </c>
      <c r="F416" s="250" t="s">
        <v>499</v>
      </c>
      <c r="G416" s="171">
        <v>60.0</v>
      </c>
      <c r="H416" s="171">
        <v>100.0</v>
      </c>
      <c r="I416" s="171">
        <v>60.0</v>
      </c>
      <c r="J416" s="325">
        <f t="shared" si="12"/>
        <v>0.001922898666</v>
      </c>
      <c r="K416" s="326">
        <f t="shared" si="17"/>
        <v>1.442174</v>
      </c>
      <c r="L416" s="327">
        <f t="shared" si="3"/>
        <v>4.601069696</v>
      </c>
      <c r="M416" s="321" t="str">
        <f t="shared" si="4"/>
        <v>pacobacpac</v>
      </c>
      <c r="N416" s="209">
        <f>IFERROR(__xludf.DUMMYFUNCTION("""COMPUTED_VALUE"""),1.0)</f>
        <v>1</v>
      </c>
      <c r="O416" s="176"/>
      <c r="P416" s="176"/>
      <c r="Q416" s="176"/>
      <c r="R416" s="176"/>
      <c r="S416" s="176"/>
      <c r="T416" s="176"/>
      <c r="U416" s="176"/>
      <c r="V416" s="176"/>
      <c r="W416" s="176"/>
      <c r="X416" s="176"/>
      <c r="Y416" s="176"/>
      <c r="Z416" s="176"/>
    </row>
    <row r="417">
      <c r="A417" s="249" t="s">
        <v>96</v>
      </c>
      <c r="B417" s="249" t="s">
        <v>519</v>
      </c>
      <c r="C417" s="219" t="s">
        <v>2877</v>
      </c>
      <c r="D417" s="268" t="s">
        <v>495</v>
      </c>
      <c r="E417" s="361">
        <v>44201.0</v>
      </c>
      <c r="F417" s="250" t="s">
        <v>499</v>
      </c>
      <c r="G417" s="171">
        <v>125.0</v>
      </c>
      <c r="H417" s="171">
        <v>100.0</v>
      </c>
      <c r="I417" s="171">
        <v>130.0</v>
      </c>
      <c r="J417" s="325">
        <f t="shared" si="12"/>
        <v>0.003001775576</v>
      </c>
      <c r="K417" s="326">
        <f t="shared" si="17"/>
        <v>2.251331682</v>
      </c>
      <c r="L417" s="327">
        <f t="shared" si="3"/>
        <v>4.601069696</v>
      </c>
      <c r="M417" s="321" t="str">
        <f t="shared" si="4"/>
        <v>pacobacpac</v>
      </c>
      <c r="N417" s="209">
        <f>IFERROR(__xludf.DUMMYFUNCTION("""COMPUTED_VALUE"""),2.0)</f>
        <v>2</v>
      </c>
      <c r="O417" s="176"/>
      <c r="P417" s="176"/>
      <c r="Q417" s="176"/>
      <c r="R417" s="176"/>
      <c r="S417" s="176"/>
      <c r="T417" s="176"/>
      <c r="U417" s="176"/>
      <c r="V417" s="176"/>
      <c r="W417" s="176"/>
      <c r="X417" s="176"/>
      <c r="Y417" s="176"/>
      <c r="Z417" s="176"/>
    </row>
    <row r="418">
      <c r="A418" s="249" t="s">
        <v>96</v>
      </c>
      <c r="B418" s="249" t="s">
        <v>519</v>
      </c>
      <c r="C418" s="219" t="s">
        <v>2878</v>
      </c>
      <c r="D418" s="268" t="s">
        <v>495</v>
      </c>
      <c r="E418" s="361">
        <v>44201.0</v>
      </c>
      <c r="F418" s="250" t="s">
        <v>499</v>
      </c>
      <c r="G418" s="171">
        <v>45.0</v>
      </c>
      <c r="H418" s="171">
        <v>55.0</v>
      </c>
      <c r="I418" s="171">
        <v>40.0</v>
      </c>
      <c r="J418" s="325">
        <f t="shared" si="12"/>
        <v>0.001210085352</v>
      </c>
      <c r="K418" s="326">
        <f t="shared" si="17"/>
        <v>0.9075640141</v>
      </c>
      <c r="L418" s="327">
        <f t="shared" si="3"/>
        <v>4.601069696</v>
      </c>
      <c r="M418" s="321" t="str">
        <f t="shared" si="4"/>
        <v>pacobacpac</v>
      </c>
      <c r="N418" s="209">
        <f>IFERROR(__xludf.DUMMYFUNCTION("""COMPUTED_VALUE"""),3.0)</f>
        <v>3</v>
      </c>
      <c r="O418" s="176"/>
      <c r="P418" s="176"/>
      <c r="Q418" s="176"/>
      <c r="R418" s="176"/>
      <c r="S418" s="176"/>
      <c r="T418" s="176"/>
      <c r="U418" s="176"/>
      <c r="V418" s="176"/>
      <c r="W418" s="176"/>
      <c r="X418" s="176"/>
      <c r="Y418" s="176"/>
      <c r="Z418" s="176"/>
    </row>
    <row r="419">
      <c r="A419" s="249" t="s">
        <v>124</v>
      </c>
      <c r="B419" s="249" t="s">
        <v>519</v>
      </c>
      <c r="C419" s="219" t="s">
        <v>2876</v>
      </c>
      <c r="D419" s="268" t="s">
        <v>495</v>
      </c>
      <c r="E419" s="361">
        <v>44201.0</v>
      </c>
      <c r="F419" s="250" t="s">
        <v>499</v>
      </c>
      <c r="G419" s="171">
        <v>60.0</v>
      </c>
      <c r="H419" s="171">
        <v>100.0</v>
      </c>
      <c r="I419" s="171">
        <v>60.0</v>
      </c>
      <c r="J419" s="325">
        <f t="shared" si="12"/>
        <v>0.001922898666</v>
      </c>
      <c r="K419" s="326">
        <f t="shared" si="17"/>
        <v>1.442174</v>
      </c>
      <c r="L419" s="327">
        <f t="shared" si="3"/>
        <v>4.601069696</v>
      </c>
      <c r="M419" s="321" t="str">
        <f t="shared" si="4"/>
        <v>juliet_myea</v>
      </c>
      <c r="N419" s="209">
        <f>IFERROR(__xludf.DUMMYFUNCTION("""COMPUTED_VALUE"""),1.0)</f>
        <v>1</v>
      </c>
      <c r="O419" s="176"/>
      <c r="P419" s="176"/>
      <c r="Q419" s="176"/>
      <c r="R419" s="176"/>
      <c r="S419" s="176"/>
      <c r="T419" s="176"/>
      <c r="U419" s="176"/>
      <c r="V419" s="176"/>
      <c r="W419" s="176"/>
      <c r="X419" s="176"/>
      <c r="Y419" s="176"/>
      <c r="Z419" s="176"/>
    </row>
    <row r="420">
      <c r="A420" s="249" t="s">
        <v>124</v>
      </c>
      <c r="B420" s="249" t="s">
        <v>519</v>
      </c>
      <c r="C420" s="219" t="s">
        <v>2877</v>
      </c>
      <c r="D420" s="268" t="s">
        <v>495</v>
      </c>
      <c r="E420" s="361">
        <v>44201.0</v>
      </c>
      <c r="F420" s="250" t="s">
        <v>499</v>
      </c>
      <c r="G420" s="171">
        <v>125.0</v>
      </c>
      <c r="H420" s="171">
        <v>100.0</v>
      </c>
      <c r="I420" s="171">
        <v>130.0</v>
      </c>
      <c r="J420" s="325">
        <f t="shared" si="12"/>
        <v>0.003001775576</v>
      </c>
      <c r="K420" s="326">
        <f t="shared" si="17"/>
        <v>2.251331682</v>
      </c>
      <c r="L420" s="327">
        <f t="shared" si="3"/>
        <v>4.601069696</v>
      </c>
      <c r="M420" s="321" t="str">
        <f t="shared" si="4"/>
        <v>juliet_myea</v>
      </c>
      <c r="N420" s="209">
        <f>IFERROR(__xludf.DUMMYFUNCTION("""COMPUTED_VALUE"""),2.0)</f>
        <v>2</v>
      </c>
      <c r="O420" s="176"/>
      <c r="P420" s="176"/>
      <c r="Q420" s="176"/>
      <c r="R420" s="176"/>
      <c r="S420" s="176"/>
      <c r="T420" s="176"/>
      <c r="U420" s="176"/>
      <c r="V420" s="176"/>
      <c r="W420" s="176"/>
      <c r="X420" s="176"/>
      <c r="Y420" s="176"/>
      <c r="Z420" s="176"/>
    </row>
    <row r="421">
      <c r="A421" s="249" t="s">
        <v>124</v>
      </c>
      <c r="B421" s="249" t="s">
        <v>519</v>
      </c>
      <c r="C421" s="219" t="s">
        <v>2878</v>
      </c>
      <c r="D421" s="268" t="s">
        <v>495</v>
      </c>
      <c r="E421" s="361">
        <v>44201.0</v>
      </c>
      <c r="F421" s="250" t="s">
        <v>499</v>
      </c>
      <c r="G421" s="171">
        <v>45.0</v>
      </c>
      <c r="H421" s="171">
        <v>55.0</v>
      </c>
      <c r="I421" s="171">
        <v>40.0</v>
      </c>
      <c r="J421" s="325">
        <f t="shared" si="12"/>
        <v>0.001210085352</v>
      </c>
      <c r="K421" s="326">
        <f t="shared" si="17"/>
        <v>0.9075640141</v>
      </c>
      <c r="L421" s="327">
        <f t="shared" si="3"/>
        <v>4.601069696</v>
      </c>
      <c r="M421" s="321" t="str">
        <f t="shared" si="4"/>
        <v>juliet_myea</v>
      </c>
      <c r="N421" s="209">
        <f>IFERROR(__xludf.DUMMYFUNCTION("""COMPUTED_VALUE"""),3.0)</f>
        <v>3</v>
      </c>
      <c r="O421" s="176"/>
      <c r="P421" s="176"/>
      <c r="Q421" s="176"/>
      <c r="R421" s="176"/>
      <c r="S421" s="176"/>
      <c r="T421" s="176"/>
      <c r="U421" s="176"/>
      <c r="V421" s="176"/>
      <c r="W421" s="176"/>
      <c r="X421" s="176"/>
      <c r="Y421" s="176"/>
      <c r="Z421" s="176"/>
    </row>
    <row r="422">
      <c r="A422" s="249" t="s">
        <v>24</v>
      </c>
      <c r="B422" s="249" t="s">
        <v>519</v>
      </c>
      <c r="C422" s="219" t="s">
        <v>2876</v>
      </c>
      <c r="D422" s="268" t="s">
        <v>495</v>
      </c>
      <c r="E422" s="361">
        <v>44201.0</v>
      </c>
      <c r="F422" s="250" t="s">
        <v>499</v>
      </c>
      <c r="G422" s="171">
        <v>60.0</v>
      </c>
      <c r="H422" s="171">
        <v>100.0</v>
      </c>
      <c r="I422" s="171">
        <v>60.0</v>
      </c>
      <c r="J422" s="325">
        <f t="shared" si="12"/>
        <v>0.001922898666</v>
      </c>
      <c r="K422" s="326">
        <f t="shared" si="17"/>
        <v>1.442174</v>
      </c>
      <c r="L422" s="327">
        <f t="shared" si="3"/>
        <v>4.601069696</v>
      </c>
      <c r="M422" s="321" t="str">
        <f t="shared" si="4"/>
        <v>danlessa</v>
      </c>
      <c r="N422" s="209">
        <f>IFERROR(__xludf.DUMMYFUNCTION("""COMPUTED_VALUE"""),1.0)</f>
        <v>1</v>
      </c>
      <c r="O422" s="176"/>
      <c r="P422" s="176"/>
      <c r="Q422" s="176"/>
      <c r="R422" s="176"/>
      <c r="S422" s="176"/>
      <c r="T422" s="176"/>
      <c r="U422" s="176"/>
      <c r="V422" s="176"/>
      <c r="W422" s="176"/>
      <c r="X422" s="176"/>
      <c r="Y422" s="176"/>
      <c r="Z422" s="176"/>
    </row>
    <row r="423">
      <c r="A423" s="249" t="s">
        <v>24</v>
      </c>
      <c r="B423" s="249" t="s">
        <v>519</v>
      </c>
      <c r="C423" s="219" t="s">
        <v>2877</v>
      </c>
      <c r="D423" s="268" t="s">
        <v>495</v>
      </c>
      <c r="E423" s="361">
        <v>44201.0</v>
      </c>
      <c r="F423" s="250" t="s">
        <v>499</v>
      </c>
      <c r="G423" s="171">
        <v>125.0</v>
      </c>
      <c r="H423" s="171">
        <v>100.0</v>
      </c>
      <c r="I423" s="171">
        <v>130.0</v>
      </c>
      <c r="J423" s="325">
        <f t="shared" si="12"/>
        <v>0.003001775576</v>
      </c>
      <c r="K423" s="326">
        <f t="shared" si="17"/>
        <v>2.251331682</v>
      </c>
      <c r="L423" s="327">
        <f t="shared" si="3"/>
        <v>4.601069696</v>
      </c>
      <c r="M423" s="321" t="str">
        <f t="shared" si="4"/>
        <v>danlessa</v>
      </c>
      <c r="N423" s="209">
        <f>IFERROR(__xludf.DUMMYFUNCTION("""COMPUTED_VALUE"""),2.0)</f>
        <v>2</v>
      </c>
      <c r="O423" s="176"/>
      <c r="P423" s="176"/>
      <c r="Q423" s="176"/>
      <c r="R423" s="176"/>
      <c r="S423" s="176"/>
      <c r="T423" s="176"/>
      <c r="U423" s="176"/>
      <c r="V423" s="176"/>
      <c r="W423" s="176"/>
      <c r="X423" s="176"/>
      <c r="Y423" s="176"/>
      <c r="Z423" s="176"/>
    </row>
    <row r="424">
      <c r="A424" s="249" t="s">
        <v>24</v>
      </c>
      <c r="B424" s="249" t="s">
        <v>519</v>
      </c>
      <c r="C424" s="219" t="s">
        <v>2878</v>
      </c>
      <c r="D424" s="268" t="s">
        <v>495</v>
      </c>
      <c r="E424" s="361">
        <v>44201.0</v>
      </c>
      <c r="F424" s="250" t="s">
        <v>499</v>
      </c>
      <c r="G424" s="171">
        <v>45.0</v>
      </c>
      <c r="H424" s="171">
        <v>55.0</v>
      </c>
      <c r="I424" s="171">
        <v>40.0</v>
      </c>
      <c r="J424" s="325">
        <f t="shared" si="12"/>
        <v>0.001210085352</v>
      </c>
      <c r="K424" s="326">
        <f t="shared" si="17"/>
        <v>0.9075640141</v>
      </c>
      <c r="L424" s="327">
        <f t="shared" si="3"/>
        <v>4.601069696</v>
      </c>
      <c r="M424" s="321" t="str">
        <f t="shared" si="4"/>
        <v>danlessa</v>
      </c>
      <c r="N424" s="209">
        <f>IFERROR(__xludf.DUMMYFUNCTION("""COMPUTED_VALUE"""),3.0)</f>
        <v>3</v>
      </c>
      <c r="O424" s="176"/>
      <c r="P424" s="176"/>
      <c r="Q424" s="176"/>
      <c r="R424" s="176"/>
      <c r="S424" s="176"/>
      <c r="T424" s="176"/>
      <c r="U424" s="176"/>
      <c r="V424" s="176"/>
      <c r="W424" s="176"/>
      <c r="X424" s="176"/>
      <c r="Y424" s="176"/>
      <c r="Z424" s="176"/>
    </row>
    <row r="425">
      <c r="A425" s="249" t="s">
        <v>54</v>
      </c>
      <c r="B425" s="249" t="s">
        <v>1228</v>
      </c>
      <c r="C425" s="219" t="s">
        <v>2874</v>
      </c>
      <c r="D425" s="268" t="s">
        <v>495</v>
      </c>
      <c r="E425" s="361">
        <v>44198.0</v>
      </c>
      <c r="F425" s="250" t="s">
        <v>496</v>
      </c>
      <c r="G425" s="171">
        <v>20.0</v>
      </c>
      <c r="H425" s="171">
        <v>25.0</v>
      </c>
      <c r="I425" s="171">
        <v>15.0</v>
      </c>
      <c r="J425" s="325">
        <f t="shared" si="12"/>
        <v>0.0005212732072</v>
      </c>
      <c r="K425" s="326">
        <f t="shared" si="17"/>
        <v>0.3909549054</v>
      </c>
      <c r="L425" s="327">
        <f t="shared" si="3"/>
        <v>4.597914705</v>
      </c>
      <c r="M425" s="321" t="str">
        <f t="shared" si="4"/>
        <v>hbesso31</v>
      </c>
      <c r="N425" s="209">
        <f>IFERROR(__xludf.DUMMYFUNCTION("""COMPUTED_VALUE"""),1.0)</f>
        <v>1</v>
      </c>
      <c r="O425" s="176"/>
      <c r="P425" s="176"/>
      <c r="Q425" s="176"/>
      <c r="R425" s="176"/>
      <c r="S425" s="176"/>
      <c r="T425" s="176"/>
      <c r="U425" s="176"/>
      <c r="V425" s="176"/>
      <c r="W425" s="176"/>
      <c r="X425" s="176"/>
      <c r="Y425" s="176"/>
      <c r="Z425" s="176"/>
    </row>
    <row r="426">
      <c r="A426" s="249" t="s">
        <v>54</v>
      </c>
      <c r="B426" s="249" t="s">
        <v>519</v>
      </c>
      <c r="C426" s="219" t="s">
        <v>2905</v>
      </c>
      <c r="D426" s="268" t="s">
        <v>495</v>
      </c>
      <c r="E426" s="361">
        <v>44200.0</v>
      </c>
      <c r="F426" s="250" t="s">
        <v>499</v>
      </c>
      <c r="G426" s="171">
        <v>45.0</v>
      </c>
      <c r="H426" s="171">
        <v>25.0</v>
      </c>
      <c r="I426" s="171">
        <v>10.0</v>
      </c>
      <c r="J426" s="325">
        <f t="shared" si="12"/>
        <v>0.0006846054904</v>
      </c>
      <c r="K426" s="326">
        <f t="shared" si="17"/>
        <v>0.5134541178</v>
      </c>
      <c r="L426" s="327">
        <f t="shared" si="3"/>
        <v>4.597914705</v>
      </c>
      <c r="M426" s="321" t="str">
        <f t="shared" si="4"/>
        <v>hbesso31</v>
      </c>
      <c r="N426" s="209">
        <f>IFERROR(__xludf.DUMMYFUNCTION("""COMPUTED_VALUE"""),2.0)</f>
        <v>2</v>
      </c>
      <c r="O426" s="176"/>
      <c r="P426" s="176"/>
      <c r="Q426" s="176"/>
      <c r="R426" s="176"/>
      <c r="S426" s="176"/>
      <c r="T426" s="176"/>
      <c r="U426" s="176"/>
      <c r="V426" s="176"/>
      <c r="W426" s="176"/>
      <c r="X426" s="176"/>
      <c r="Y426" s="176"/>
      <c r="Z426" s="176"/>
    </row>
    <row r="427">
      <c r="A427" s="249" t="s">
        <v>54</v>
      </c>
      <c r="B427" s="249" t="s">
        <v>519</v>
      </c>
      <c r="C427" s="219" t="s">
        <v>2876</v>
      </c>
      <c r="D427" s="268" t="s">
        <v>495</v>
      </c>
      <c r="E427" s="361">
        <v>44201.0</v>
      </c>
      <c r="F427" s="250" t="s">
        <v>499</v>
      </c>
      <c r="G427" s="171">
        <v>60.0</v>
      </c>
      <c r="H427" s="171">
        <v>100.0</v>
      </c>
      <c r="I427" s="171">
        <v>60.0</v>
      </c>
      <c r="J427" s="325">
        <f t="shared" si="12"/>
        <v>0.001922898666</v>
      </c>
      <c r="K427" s="326">
        <f t="shared" si="17"/>
        <v>1.442174</v>
      </c>
      <c r="L427" s="327">
        <f t="shared" si="3"/>
        <v>4.597914705</v>
      </c>
      <c r="M427" s="321" t="str">
        <f t="shared" si="4"/>
        <v>hbesso31</v>
      </c>
      <c r="N427" s="209">
        <f>IFERROR(__xludf.DUMMYFUNCTION("""COMPUTED_VALUE"""),3.0)</f>
        <v>3</v>
      </c>
      <c r="O427" s="176"/>
      <c r="P427" s="176"/>
      <c r="Q427" s="176"/>
      <c r="R427" s="176"/>
      <c r="S427" s="176"/>
      <c r="T427" s="176"/>
      <c r="U427" s="176"/>
      <c r="V427" s="176"/>
      <c r="W427" s="176"/>
      <c r="X427" s="176"/>
      <c r="Y427" s="176"/>
      <c r="Z427" s="176"/>
    </row>
    <row r="428">
      <c r="A428" s="249" t="s">
        <v>54</v>
      </c>
      <c r="B428" s="249" t="s">
        <v>519</v>
      </c>
      <c r="C428" s="219" t="s">
        <v>2877</v>
      </c>
      <c r="D428" s="268" t="s">
        <v>495</v>
      </c>
      <c r="E428" s="361">
        <v>44201.0</v>
      </c>
      <c r="F428" s="250" t="s">
        <v>499</v>
      </c>
      <c r="G428" s="171">
        <v>125.0</v>
      </c>
      <c r="H428" s="171">
        <v>100.0</v>
      </c>
      <c r="I428" s="171">
        <v>130.0</v>
      </c>
      <c r="J428" s="325">
        <f t="shared" si="12"/>
        <v>0.003001775576</v>
      </c>
      <c r="K428" s="326">
        <f t="shared" si="17"/>
        <v>2.251331682</v>
      </c>
      <c r="L428" s="327">
        <f t="shared" si="3"/>
        <v>4.597914705</v>
      </c>
      <c r="M428" s="321" t="str">
        <f t="shared" si="4"/>
        <v>hbesso31</v>
      </c>
      <c r="N428" s="209">
        <f>IFERROR(__xludf.DUMMYFUNCTION("""COMPUTED_VALUE"""),4.0)</f>
        <v>4</v>
      </c>
      <c r="O428" s="176"/>
      <c r="P428" s="176"/>
      <c r="Q428" s="176"/>
      <c r="R428" s="176"/>
      <c r="S428" s="176"/>
      <c r="T428" s="176"/>
      <c r="U428" s="176"/>
      <c r="V428" s="176"/>
      <c r="W428" s="176"/>
      <c r="X428" s="176"/>
      <c r="Y428" s="176"/>
      <c r="Z428" s="176"/>
    </row>
    <row r="429">
      <c r="A429" s="249" t="s">
        <v>135</v>
      </c>
      <c r="B429" s="249" t="s">
        <v>519</v>
      </c>
      <c r="C429" s="219" t="s">
        <v>3016</v>
      </c>
      <c r="D429" s="268" t="s">
        <v>495</v>
      </c>
      <c r="E429" s="251">
        <v>44210.0</v>
      </c>
      <c r="F429" s="250" t="s">
        <v>496</v>
      </c>
      <c r="G429" s="171">
        <v>100.0</v>
      </c>
      <c r="H429" s="171">
        <v>100.0</v>
      </c>
      <c r="I429" s="171">
        <v>110.0</v>
      </c>
      <c r="J429" s="325">
        <f t="shared" si="12"/>
        <v>0.002641391192</v>
      </c>
      <c r="K429" s="326">
        <f t="shared" si="17"/>
        <v>1.981043394</v>
      </c>
      <c r="L429" s="327">
        <f t="shared" si="3"/>
        <v>4.276050601</v>
      </c>
      <c r="M429" s="321" t="str">
        <f t="shared" si="4"/>
        <v>boring877</v>
      </c>
      <c r="N429" s="209">
        <f>IFERROR(__xludf.DUMMYFUNCTION("""COMPUTED_VALUE"""),1.0)</f>
        <v>1</v>
      </c>
      <c r="O429" s="176"/>
      <c r="P429" s="176"/>
      <c r="Q429" s="176"/>
      <c r="R429" s="176"/>
      <c r="S429" s="176"/>
      <c r="T429" s="176"/>
      <c r="U429" s="176"/>
      <c r="V429" s="176"/>
      <c r="W429" s="176"/>
      <c r="X429" s="176"/>
      <c r="Y429" s="176"/>
      <c r="Z429" s="176"/>
    </row>
    <row r="430">
      <c r="A430" s="249" t="s">
        <v>135</v>
      </c>
      <c r="B430" s="249" t="s">
        <v>519</v>
      </c>
      <c r="C430" s="219" t="s">
        <v>3017</v>
      </c>
      <c r="D430" s="268" t="s">
        <v>495</v>
      </c>
      <c r="E430" s="251">
        <v>44210.0</v>
      </c>
      <c r="F430" s="250" t="s">
        <v>496</v>
      </c>
      <c r="G430" s="171">
        <v>30.0</v>
      </c>
      <c r="H430" s="171">
        <v>50.0</v>
      </c>
      <c r="I430" s="171">
        <v>30.0</v>
      </c>
      <c r="J430" s="325">
        <f t="shared" si="12"/>
        <v>0.000961449333</v>
      </c>
      <c r="K430" s="326">
        <f t="shared" si="17"/>
        <v>0.7210869998</v>
      </c>
      <c r="L430" s="327">
        <f t="shared" si="3"/>
        <v>4.276050601</v>
      </c>
      <c r="M430" s="321" t="str">
        <f t="shared" si="4"/>
        <v>boring877</v>
      </c>
      <c r="N430" s="209">
        <f>IFERROR(__xludf.DUMMYFUNCTION("""COMPUTED_VALUE"""),2.0)</f>
        <v>2</v>
      </c>
      <c r="O430" s="176"/>
      <c r="P430" s="176"/>
      <c r="Q430" s="176"/>
      <c r="R430" s="176"/>
      <c r="S430" s="176"/>
      <c r="T430" s="176"/>
      <c r="U430" s="176"/>
      <c r="V430" s="176"/>
      <c r="W430" s="176"/>
      <c r="X430" s="176"/>
      <c r="Y430" s="176"/>
      <c r="Z430" s="176"/>
    </row>
    <row r="431">
      <c r="A431" s="249" t="s">
        <v>135</v>
      </c>
      <c r="B431" s="249" t="s">
        <v>10</v>
      </c>
      <c r="C431" s="219" t="s">
        <v>2951</v>
      </c>
      <c r="D431" s="268" t="s">
        <v>495</v>
      </c>
      <c r="E431" s="251">
        <v>44211.0</v>
      </c>
      <c r="F431" s="250" t="s">
        <v>496</v>
      </c>
      <c r="G431" s="171">
        <v>120.0</v>
      </c>
      <c r="H431" s="171">
        <v>35.0</v>
      </c>
      <c r="I431" s="171">
        <v>100.0</v>
      </c>
      <c r="J431" s="325">
        <f t="shared" si="12"/>
        <v>0.002098560276</v>
      </c>
      <c r="K431" s="326">
        <f t="shared" si="17"/>
        <v>1.573920207</v>
      </c>
      <c r="L431" s="327">
        <f t="shared" si="3"/>
        <v>4.276050601</v>
      </c>
      <c r="M431" s="321" t="str">
        <f t="shared" si="4"/>
        <v>boring877</v>
      </c>
      <c r="N431" s="209">
        <f>IFERROR(__xludf.DUMMYFUNCTION("""COMPUTED_VALUE"""),3.0)</f>
        <v>3</v>
      </c>
      <c r="O431" s="176"/>
      <c r="P431" s="176"/>
      <c r="Q431" s="176"/>
      <c r="R431" s="176"/>
      <c r="S431" s="176"/>
      <c r="T431" s="176"/>
      <c r="U431" s="176"/>
      <c r="V431" s="176"/>
      <c r="W431" s="176"/>
      <c r="X431" s="176"/>
      <c r="Y431" s="176"/>
      <c r="Z431" s="176"/>
    </row>
    <row r="432">
      <c r="A432" s="249" t="s">
        <v>7</v>
      </c>
      <c r="B432" s="249" t="s">
        <v>1228</v>
      </c>
      <c r="C432" s="219" t="s">
        <v>2874</v>
      </c>
      <c r="D432" s="268" t="s">
        <v>495</v>
      </c>
      <c r="E432" s="361">
        <v>44198.0</v>
      </c>
      <c r="F432" s="250" t="s">
        <v>496</v>
      </c>
      <c r="G432" s="171">
        <v>20.0</v>
      </c>
      <c r="H432" s="171">
        <v>25.0</v>
      </c>
      <c r="I432" s="171">
        <v>15.0</v>
      </c>
      <c r="J432" s="325">
        <f t="shared" si="12"/>
        <v>0.0005212732072</v>
      </c>
      <c r="K432" s="326">
        <f t="shared" si="17"/>
        <v>0.3909549054</v>
      </c>
      <c r="L432" s="327">
        <f t="shared" si="3"/>
        <v>4.232451467</v>
      </c>
      <c r="M432" s="321" t="str">
        <f t="shared" si="4"/>
        <v>ygganderson</v>
      </c>
      <c r="N432" s="209">
        <f>IFERROR(__xludf.DUMMYFUNCTION("""COMPUTED_VALUE"""),1.0)</f>
        <v>1</v>
      </c>
      <c r="O432" s="176"/>
      <c r="P432" s="176"/>
      <c r="Q432" s="176"/>
      <c r="R432" s="176"/>
      <c r="S432" s="176"/>
      <c r="T432" s="176"/>
      <c r="U432" s="176"/>
      <c r="V432" s="176"/>
      <c r="W432" s="176"/>
      <c r="X432" s="176"/>
      <c r="Y432" s="176"/>
      <c r="Z432" s="176"/>
    </row>
    <row r="433">
      <c r="A433" s="249" t="s">
        <v>7</v>
      </c>
      <c r="B433" s="249" t="s">
        <v>519</v>
      </c>
      <c r="C433" s="219" t="s">
        <v>2905</v>
      </c>
      <c r="D433" s="268" t="s">
        <v>495</v>
      </c>
      <c r="E433" s="361">
        <v>44200.0</v>
      </c>
      <c r="F433" s="250" t="s">
        <v>499</v>
      </c>
      <c r="G433" s="171">
        <v>45.0</v>
      </c>
      <c r="H433" s="171">
        <v>25.0</v>
      </c>
      <c r="I433" s="171">
        <v>10.0</v>
      </c>
      <c r="J433" s="325">
        <f t="shared" si="12"/>
        <v>0.0006846054904</v>
      </c>
      <c r="K433" s="326">
        <f t="shared" si="17"/>
        <v>0.5134541178</v>
      </c>
      <c r="L433" s="327">
        <f t="shared" si="3"/>
        <v>4.232451467</v>
      </c>
      <c r="M433" s="321" t="str">
        <f t="shared" si="4"/>
        <v>ygganderson</v>
      </c>
      <c r="N433" s="209">
        <f>IFERROR(__xludf.DUMMYFUNCTION("""COMPUTED_VALUE"""),2.0)</f>
        <v>2</v>
      </c>
      <c r="O433" s="176"/>
      <c r="P433" s="176"/>
      <c r="Q433" s="176"/>
      <c r="R433" s="176"/>
      <c r="S433" s="176"/>
      <c r="T433" s="176"/>
      <c r="U433" s="176"/>
      <c r="V433" s="176"/>
      <c r="W433" s="176"/>
      <c r="X433" s="176"/>
      <c r="Y433" s="176"/>
      <c r="Z433" s="176"/>
    </row>
    <row r="434">
      <c r="A434" s="249" t="s">
        <v>7</v>
      </c>
      <c r="B434" s="249" t="s">
        <v>519</v>
      </c>
      <c r="C434" s="219" t="s">
        <v>2876</v>
      </c>
      <c r="D434" s="268" t="s">
        <v>495</v>
      </c>
      <c r="E434" s="361">
        <v>44201.0</v>
      </c>
      <c r="F434" s="250" t="s">
        <v>499</v>
      </c>
      <c r="G434" s="171">
        <v>60.0</v>
      </c>
      <c r="H434" s="171">
        <v>100.0</v>
      </c>
      <c r="I434" s="171">
        <v>60.0</v>
      </c>
      <c r="J434" s="325">
        <f t="shared" si="12"/>
        <v>0.001922898666</v>
      </c>
      <c r="K434" s="326">
        <f t="shared" si="17"/>
        <v>1.442174</v>
      </c>
      <c r="L434" s="327">
        <f t="shared" si="3"/>
        <v>4.232451467</v>
      </c>
      <c r="M434" s="321" t="str">
        <f t="shared" si="4"/>
        <v>ygganderson</v>
      </c>
      <c r="N434" s="209">
        <f>IFERROR(__xludf.DUMMYFUNCTION("""COMPUTED_VALUE"""),3.0)</f>
        <v>3</v>
      </c>
      <c r="O434" s="176"/>
      <c r="P434" s="176"/>
      <c r="Q434" s="176"/>
      <c r="R434" s="176"/>
      <c r="S434" s="176"/>
      <c r="T434" s="176"/>
      <c r="U434" s="176"/>
      <c r="V434" s="176"/>
      <c r="W434" s="176"/>
      <c r="X434" s="176"/>
      <c r="Y434" s="176"/>
      <c r="Z434" s="176"/>
    </row>
    <row r="435">
      <c r="A435" s="249" t="s">
        <v>7</v>
      </c>
      <c r="B435" s="249" t="s">
        <v>519</v>
      </c>
      <c r="C435" s="219" t="s">
        <v>2877</v>
      </c>
      <c r="D435" s="268" t="s">
        <v>495</v>
      </c>
      <c r="E435" s="361">
        <v>44201.0</v>
      </c>
      <c r="F435" s="250" t="s">
        <v>499</v>
      </c>
      <c r="G435" s="171">
        <v>125.0</v>
      </c>
      <c r="H435" s="171">
        <v>100.0</v>
      </c>
      <c r="I435" s="171">
        <v>130.0</v>
      </c>
      <c r="J435" s="325">
        <f t="shared" si="12"/>
        <v>0.003001775576</v>
      </c>
      <c r="K435" s="326">
        <f t="shared" si="17"/>
        <v>2.251331682</v>
      </c>
      <c r="L435" s="327">
        <f t="shared" si="3"/>
        <v>4.232451467</v>
      </c>
      <c r="M435" s="321" t="str">
        <f t="shared" si="4"/>
        <v>ygganderson</v>
      </c>
      <c r="N435" s="209">
        <f>IFERROR(__xludf.DUMMYFUNCTION("""COMPUTED_VALUE"""),4.0)</f>
        <v>4</v>
      </c>
      <c r="O435" s="176"/>
      <c r="P435" s="176"/>
      <c r="Q435" s="176"/>
      <c r="R435" s="176"/>
      <c r="S435" s="176"/>
      <c r="T435" s="176"/>
      <c r="U435" s="176"/>
      <c r="V435" s="176"/>
      <c r="W435" s="176"/>
      <c r="X435" s="176"/>
      <c r="Y435" s="176"/>
      <c r="Z435" s="176"/>
    </row>
    <row r="436">
      <c r="A436" s="249" t="s">
        <v>7</v>
      </c>
      <c r="B436" s="249" t="s">
        <v>519</v>
      </c>
      <c r="C436" s="219" t="s">
        <v>2878</v>
      </c>
      <c r="D436" s="268" t="s">
        <v>495</v>
      </c>
      <c r="E436" s="361">
        <v>44201.0</v>
      </c>
      <c r="F436" s="250" t="s">
        <v>499</v>
      </c>
      <c r="G436" s="171">
        <v>45.0</v>
      </c>
      <c r="H436" s="171">
        <v>55.0</v>
      </c>
      <c r="I436" s="171">
        <v>40.0</v>
      </c>
      <c r="J436" s="325">
        <f t="shared" si="12"/>
        <v>0.001210085352</v>
      </c>
      <c r="K436" s="326">
        <f t="shared" si="17"/>
        <v>0.9075640141</v>
      </c>
      <c r="L436" s="327">
        <f t="shared" si="3"/>
        <v>4.232451467</v>
      </c>
      <c r="M436" s="321" t="str">
        <f t="shared" si="4"/>
        <v>ygganderson</v>
      </c>
      <c r="N436" s="209">
        <f>IFERROR(__xludf.DUMMYFUNCTION("""COMPUTED_VALUE"""),5.0)</f>
        <v>5</v>
      </c>
      <c r="O436" s="176"/>
      <c r="P436" s="176"/>
      <c r="Q436" s="176"/>
      <c r="R436" s="176"/>
      <c r="S436" s="176"/>
      <c r="T436" s="176"/>
      <c r="U436" s="176"/>
      <c r="V436" s="176"/>
      <c r="W436" s="176"/>
      <c r="X436" s="176"/>
      <c r="Y436" s="176"/>
      <c r="Z436" s="176"/>
    </row>
    <row r="437">
      <c r="A437" s="249" t="s">
        <v>7</v>
      </c>
      <c r="B437" s="249" t="s">
        <v>25</v>
      </c>
      <c r="C437" s="219" t="s">
        <v>3018</v>
      </c>
      <c r="D437" s="268" t="s">
        <v>495</v>
      </c>
      <c r="E437" s="361">
        <v>44203.0</v>
      </c>
      <c r="F437" s="250" t="s">
        <v>496</v>
      </c>
      <c r="G437" s="171">
        <v>200.0</v>
      </c>
      <c r="H437" s="171">
        <v>300.0</v>
      </c>
      <c r="I437" s="171">
        <v>230.0</v>
      </c>
      <c r="J437" s="325">
        <f t="shared" si="12"/>
        <v>0.006324994362</v>
      </c>
      <c r="K437" s="326">
        <f t="shared" si="17"/>
        <v>4.743745772</v>
      </c>
      <c r="L437" s="327">
        <f t="shared" si="3"/>
        <v>4.232451467</v>
      </c>
      <c r="M437" s="321" t="str">
        <f t="shared" si="4"/>
        <v>ygganderson</v>
      </c>
      <c r="N437" s="209">
        <f>IFERROR(__xludf.DUMMYFUNCTION("""COMPUTED_VALUE"""),6.0)</f>
        <v>6</v>
      </c>
      <c r="O437" s="176"/>
      <c r="P437" s="176"/>
      <c r="Q437" s="176"/>
      <c r="R437" s="176"/>
      <c r="S437" s="176"/>
      <c r="T437" s="176"/>
      <c r="U437" s="176"/>
      <c r="V437" s="176"/>
      <c r="W437" s="176"/>
      <c r="X437" s="176"/>
      <c r="Y437" s="176"/>
      <c r="Z437" s="176"/>
    </row>
    <row r="438">
      <c r="A438" s="249" t="s">
        <v>7</v>
      </c>
      <c r="B438" s="249" t="s">
        <v>10</v>
      </c>
      <c r="C438" s="219" t="s">
        <v>3019</v>
      </c>
      <c r="D438" s="268" t="s">
        <v>495</v>
      </c>
      <c r="E438" s="361">
        <v>44204.0</v>
      </c>
      <c r="F438" s="250" t="s">
        <v>496</v>
      </c>
      <c r="G438" s="171">
        <v>50.0</v>
      </c>
      <c r="H438" s="171">
        <v>55.0</v>
      </c>
      <c r="I438" s="171">
        <v>50.0</v>
      </c>
      <c r="J438" s="325">
        <f t="shared" si="12"/>
        <v>0.001329454733</v>
      </c>
      <c r="K438" s="326">
        <f t="shared" si="17"/>
        <v>0.9970910497</v>
      </c>
      <c r="L438" s="327">
        <f t="shared" si="3"/>
        <v>4.232451467</v>
      </c>
      <c r="M438" s="321" t="str">
        <f t="shared" si="4"/>
        <v>ygganderson</v>
      </c>
      <c r="N438" s="209">
        <f>IFERROR(__xludf.DUMMYFUNCTION("""COMPUTED_VALUE"""),7.0)</f>
        <v>7</v>
      </c>
      <c r="O438" s="176"/>
      <c r="P438" s="176"/>
      <c r="Q438" s="176"/>
      <c r="R438" s="176"/>
      <c r="S438" s="176"/>
      <c r="T438" s="176"/>
      <c r="U438" s="176"/>
      <c r="V438" s="176"/>
      <c r="W438" s="176"/>
      <c r="X438" s="176"/>
      <c r="Y438" s="176"/>
      <c r="Z438" s="176"/>
    </row>
    <row r="439">
      <c r="A439" s="249" t="s">
        <v>7</v>
      </c>
      <c r="B439" s="249" t="s">
        <v>10</v>
      </c>
      <c r="C439" s="219" t="s">
        <v>2888</v>
      </c>
      <c r="D439" s="268" t="s">
        <v>495</v>
      </c>
      <c r="E439" s="361">
        <v>44204.0</v>
      </c>
      <c r="F439" s="250" t="s">
        <v>496</v>
      </c>
      <c r="G439" s="171">
        <v>20.0</v>
      </c>
      <c r="H439" s="171">
        <v>25.0</v>
      </c>
      <c r="I439" s="171">
        <v>20.0</v>
      </c>
      <c r="J439" s="325">
        <f t="shared" si="12"/>
        <v>0.0005606836273</v>
      </c>
      <c r="K439" s="326">
        <f t="shared" si="17"/>
        <v>0.4205127205</v>
      </c>
      <c r="L439" s="327">
        <f t="shared" si="3"/>
        <v>4.232451467</v>
      </c>
      <c r="M439" s="321" t="str">
        <f t="shared" si="4"/>
        <v>ygganderson</v>
      </c>
      <c r="N439" s="209">
        <f>IFERROR(__xludf.DUMMYFUNCTION("""COMPUTED_VALUE"""),8.0)</f>
        <v>8</v>
      </c>
      <c r="O439" s="176"/>
      <c r="P439" s="176"/>
      <c r="Q439" s="176"/>
      <c r="R439" s="176"/>
      <c r="S439" s="176"/>
      <c r="T439" s="176"/>
      <c r="U439" s="176"/>
      <c r="V439" s="176"/>
      <c r="W439" s="176"/>
      <c r="X439" s="176"/>
      <c r="Y439" s="176"/>
      <c r="Z439" s="176"/>
    </row>
    <row r="440">
      <c r="A440" s="249" t="s">
        <v>7</v>
      </c>
      <c r="B440" s="249" t="s">
        <v>867</v>
      </c>
      <c r="C440" s="219" t="s">
        <v>3020</v>
      </c>
      <c r="D440" s="268" t="s">
        <v>495</v>
      </c>
      <c r="E440" s="361">
        <v>44204.0</v>
      </c>
      <c r="F440" s="250" t="s">
        <v>496</v>
      </c>
      <c r="G440" s="171">
        <v>300.0</v>
      </c>
      <c r="H440" s="171">
        <v>100.0</v>
      </c>
      <c r="I440" s="171">
        <v>100.0</v>
      </c>
      <c r="J440" s="325">
        <f t="shared" si="12"/>
        <v>0.004184511979</v>
      </c>
      <c r="K440" s="326">
        <f t="shared" si="17"/>
        <v>3.138383984</v>
      </c>
      <c r="L440" s="327">
        <f t="shared" si="3"/>
        <v>4.232451467</v>
      </c>
      <c r="M440" s="321" t="str">
        <f t="shared" si="4"/>
        <v>ygganderson</v>
      </c>
      <c r="N440" s="209">
        <f>IFERROR(__xludf.DUMMYFUNCTION("""COMPUTED_VALUE"""),9.0)</f>
        <v>9</v>
      </c>
      <c r="O440" s="176"/>
      <c r="P440" s="176"/>
      <c r="Q440" s="176"/>
      <c r="R440" s="176"/>
      <c r="S440" s="176"/>
      <c r="T440" s="176"/>
      <c r="U440" s="176"/>
      <c r="V440" s="176"/>
      <c r="W440" s="176"/>
      <c r="X440" s="176"/>
      <c r="Y440" s="176"/>
      <c r="Z440" s="176"/>
    </row>
    <row r="441">
      <c r="A441" s="249" t="s">
        <v>7</v>
      </c>
      <c r="B441" s="249" t="s">
        <v>519</v>
      </c>
      <c r="C441" s="219" t="s">
        <v>3021</v>
      </c>
      <c r="D441" s="268" t="s">
        <v>495</v>
      </c>
      <c r="E441" s="361">
        <v>44204.0</v>
      </c>
      <c r="F441" s="250" t="s">
        <v>592</v>
      </c>
      <c r="G441" s="171">
        <v>300.0</v>
      </c>
      <c r="H441" s="171">
        <v>100.0</v>
      </c>
      <c r="I441" s="171">
        <v>200.0</v>
      </c>
      <c r="J441" s="325">
        <f t="shared" si="12"/>
        <v>0.004972720381</v>
      </c>
      <c r="K441" s="326">
        <f t="shared" si="17"/>
        <v>3.729540286</v>
      </c>
      <c r="L441" s="327">
        <f t="shared" si="3"/>
        <v>4.232451467</v>
      </c>
      <c r="M441" s="321" t="str">
        <f t="shared" si="4"/>
        <v>ygganderson</v>
      </c>
      <c r="N441" s="209">
        <f>IFERROR(__xludf.DUMMYFUNCTION("""COMPUTED_VALUE"""),10.0)</f>
        <v>10</v>
      </c>
      <c r="O441" s="176"/>
      <c r="P441" s="176"/>
      <c r="Q441" s="176"/>
      <c r="R441" s="176"/>
      <c r="S441" s="176"/>
      <c r="T441" s="176"/>
      <c r="U441" s="176"/>
      <c r="V441" s="176"/>
      <c r="W441" s="176"/>
      <c r="X441" s="176"/>
      <c r="Y441" s="176"/>
      <c r="Z441" s="176"/>
    </row>
    <row r="442">
      <c r="A442" s="253" t="s">
        <v>7</v>
      </c>
      <c r="B442" s="240" t="s">
        <v>534</v>
      </c>
      <c r="C442" s="221" t="s">
        <v>781</v>
      </c>
      <c r="D442" s="336"/>
      <c r="E442" s="340"/>
      <c r="F442" s="221"/>
      <c r="G442" s="222"/>
      <c r="H442" s="222"/>
      <c r="I442" s="222"/>
      <c r="J442" s="339"/>
      <c r="K442" s="337">
        <f>28.216 *-0.85</f>
        <v>-23.9836</v>
      </c>
      <c r="L442" s="341">
        <f t="shared" si="3"/>
        <v>4.232451467</v>
      </c>
      <c r="M442" s="342" t="str">
        <f t="shared" si="4"/>
        <v>ygganderson</v>
      </c>
      <c r="N442" s="209">
        <f>IFERROR(__xludf.DUMMYFUNCTION("""COMPUTED_VALUE"""),11.0)</f>
        <v>11</v>
      </c>
      <c r="O442" s="209"/>
      <c r="P442" s="209"/>
      <c r="Q442" s="209"/>
      <c r="R442" s="209"/>
      <c r="S442" s="209"/>
      <c r="T442" s="209"/>
      <c r="U442" s="209"/>
      <c r="V442" s="209"/>
      <c r="W442" s="209"/>
      <c r="X442" s="209"/>
      <c r="Y442" s="209"/>
      <c r="Z442" s="209"/>
    </row>
    <row r="443">
      <c r="A443" s="253" t="s">
        <v>7</v>
      </c>
      <c r="B443" s="253" t="s">
        <v>1576</v>
      </c>
      <c r="C443" s="256" t="s">
        <v>3022</v>
      </c>
      <c r="D443" s="336" t="s">
        <v>495</v>
      </c>
      <c r="E443" s="340">
        <v>44204.0</v>
      </c>
      <c r="F443" s="221" t="s">
        <v>3023</v>
      </c>
      <c r="G443" s="222">
        <v>0.0</v>
      </c>
      <c r="H443" s="222">
        <v>0.0</v>
      </c>
      <c r="I443" s="222">
        <v>0.0</v>
      </c>
      <c r="J443" s="339">
        <f t="shared" ref="J443:J592" si="18">(G443/$G$2+H443/$H$2+I443/$I$2)/3</f>
        <v>0</v>
      </c>
      <c r="K443" s="326">
        <f t="shared" ref="K443:K456" si="19">J443*$J$1</f>
        <v>0</v>
      </c>
      <c r="L443" s="341">
        <f t="shared" si="3"/>
        <v>4.232451467</v>
      </c>
      <c r="M443" s="342" t="str">
        <f t="shared" si="4"/>
        <v>ygganderson</v>
      </c>
      <c r="N443" s="209">
        <f>IFERROR(__xludf.DUMMYFUNCTION("""COMPUTED_VALUE"""),12.0)</f>
        <v>12</v>
      </c>
      <c r="O443" s="209"/>
      <c r="P443" s="209"/>
      <c r="Q443" s="209"/>
      <c r="R443" s="209"/>
      <c r="S443" s="209"/>
      <c r="T443" s="209"/>
      <c r="U443" s="209"/>
      <c r="V443" s="209"/>
      <c r="W443" s="209"/>
      <c r="X443" s="209"/>
      <c r="Y443" s="209"/>
      <c r="Z443" s="209"/>
    </row>
    <row r="444">
      <c r="A444" s="249" t="s">
        <v>7</v>
      </c>
      <c r="B444" s="249" t="s">
        <v>10</v>
      </c>
      <c r="C444" s="219" t="s">
        <v>2908</v>
      </c>
      <c r="D444" s="268" t="s">
        <v>495</v>
      </c>
      <c r="E444" s="361">
        <v>44205.0</v>
      </c>
      <c r="F444" s="250" t="s">
        <v>545</v>
      </c>
      <c r="G444" s="171">
        <v>40.0</v>
      </c>
      <c r="H444" s="171">
        <v>25.0</v>
      </c>
      <c r="I444" s="171">
        <v>10.0</v>
      </c>
      <c r="J444" s="325">
        <f t="shared" si="18"/>
        <v>0.0006440569497</v>
      </c>
      <c r="K444" s="326">
        <f t="shared" si="19"/>
        <v>0.4830427123</v>
      </c>
      <c r="L444" s="327">
        <f t="shared" si="3"/>
        <v>4.232451467</v>
      </c>
      <c r="M444" s="321" t="str">
        <f t="shared" si="4"/>
        <v>ygganderson</v>
      </c>
      <c r="N444" s="209">
        <f>IFERROR(__xludf.DUMMYFUNCTION("""COMPUTED_VALUE"""),13.0)</f>
        <v>13</v>
      </c>
      <c r="O444" s="176"/>
      <c r="P444" s="176"/>
      <c r="Q444" s="176"/>
      <c r="R444" s="176"/>
      <c r="S444" s="176"/>
      <c r="T444" s="176"/>
      <c r="U444" s="176"/>
      <c r="V444" s="176"/>
      <c r="W444" s="176"/>
      <c r="X444" s="176"/>
      <c r="Y444" s="176"/>
      <c r="Z444" s="176"/>
    </row>
    <row r="445">
      <c r="A445" s="249" t="s">
        <v>7</v>
      </c>
      <c r="B445" s="249" t="s">
        <v>1231</v>
      </c>
      <c r="C445" s="219" t="s">
        <v>2983</v>
      </c>
      <c r="D445" s="268" t="s">
        <v>495</v>
      </c>
      <c r="E445" s="251">
        <v>44206.0</v>
      </c>
      <c r="F445" s="250" t="s">
        <v>496</v>
      </c>
      <c r="G445" s="171">
        <v>150.0</v>
      </c>
      <c r="H445" s="171">
        <v>50.0</v>
      </c>
      <c r="I445" s="171">
        <v>80.0</v>
      </c>
      <c r="J445" s="325">
        <f t="shared" si="18"/>
        <v>0.00232871851</v>
      </c>
      <c r="K445" s="326">
        <f t="shared" si="19"/>
        <v>1.746538882</v>
      </c>
      <c r="L445" s="327">
        <f t="shared" si="3"/>
        <v>4.232451467</v>
      </c>
      <c r="M445" s="321" t="str">
        <f t="shared" si="4"/>
        <v>ygganderson</v>
      </c>
      <c r="N445" s="209">
        <f>IFERROR(__xludf.DUMMYFUNCTION("""COMPUTED_VALUE"""),14.0)</f>
        <v>14</v>
      </c>
      <c r="O445" s="176"/>
      <c r="P445" s="176"/>
      <c r="Q445" s="176"/>
      <c r="R445" s="176"/>
      <c r="S445" s="176"/>
      <c r="T445" s="176"/>
      <c r="U445" s="176"/>
      <c r="V445" s="176"/>
      <c r="W445" s="176"/>
      <c r="X445" s="176"/>
      <c r="Y445" s="176"/>
      <c r="Z445" s="176"/>
    </row>
    <row r="446">
      <c r="A446" s="253" t="s">
        <v>7</v>
      </c>
      <c r="B446" s="253" t="s">
        <v>519</v>
      </c>
      <c r="C446" s="256" t="s">
        <v>2944</v>
      </c>
      <c r="D446" s="336" t="s">
        <v>495</v>
      </c>
      <c r="E446" s="255">
        <v>44207.0</v>
      </c>
      <c r="F446" s="221" t="s">
        <v>3024</v>
      </c>
      <c r="G446" s="222">
        <v>0.0</v>
      </c>
      <c r="H446" s="222">
        <v>0.0</v>
      </c>
      <c r="I446" s="222">
        <v>0.0</v>
      </c>
      <c r="J446" s="339">
        <f t="shared" si="18"/>
        <v>0</v>
      </c>
      <c r="K446" s="337">
        <f t="shared" si="19"/>
        <v>0</v>
      </c>
      <c r="L446" s="341">
        <f t="shared" si="3"/>
        <v>4.232451467</v>
      </c>
      <c r="M446" s="342" t="str">
        <f t="shared" si="4"/>
        <v>ygganderson</v>
      </c>
      <c r="N446" s="209">
        <f>IFERROR(__xludf.DUMMYFUNCTION("""COMPUTED_VALUE"""),15.0)</f>
        <v>15</v>
      </c>
      <c r="O446" s="209"/>
      <c r="P446" s="209"/>
      <c r="Q446" s="209"/>
      <c r="R446" s="209"/>
      <c r="S446" s="209"/>
      <c r="T446" s="209"/>
      <c r="U446" s="209"/>
      <c r="V446" s="209"/>
      <c r="W446" s="209"/>
      <c r="X446" s="209"/>
      <c r="Y446" s="209"/>
      <c r="Z446" s="209"/>
    </row>
    <row r="447">
      <c r="A447" s="249" t="s">
        <v>7</v>
      </c>
      <c r="B447" s="249" t="s">
        <v>519</v>
      </c>
      <c r="C447" s="219" t="s">
        <v>2984</v>
      </c>
      <c r="D447" s="268" t="s">
        <v>495</v>
      </c>
      <c r="E447" s="251">
        <v>44209.0</v>
      </c>
      <c r="F447" s="250" t="s">
        <v>521</v>
      </c>
      <c r="G447" s="171">
        <v>10.0</v>
      </c>
      <c r="H447" s="171">
        <v>25.0</v>
      </c>
      <c r="I447" s="171">
        <v>10.0</v>
      </c>
      <c r="J447" s="325">
        <f t="shared" si="18"/>
        <v>0.0004007657057</v>
      </c>
      <c r="K447" s="326">
        <f t="shared" si="19"/>
        <v>0.3005742793</v>
      </c>
      <c r="L447" s="327">
        <f t="shared" si="3"/>
        <v>4.232451467</v>
      </c>
      <c r="M447" s="321" t="str">
        <f t="shared" si="4"/>
        <v>ygganderson</v>
      </c>
      <c r="N447" s="209">
        <f>IFERROR(__xludf.DUMMYFUNCTION("""COMPUTED_VALUE"""),16.0)</f>
        <v>16</v>
      </c>
      <c r="O447" s="176"/>
      <c r="P447" s="176"/>
      <c r="Q447" s="176"/>
      <c r="R447" s="176"/>
      <c r="S447" s="176"/>
      <c r="T447" s="176"/>
      <c r="U447" s="176"/>
      <c r="V447" s="176"/>
      <c r="W447" s="176"/>
      <c r="X447" s="176"/>
      <c r="Y447" s="176"/>
      <c r="Z447" s="176"/>
    </row>
    <row r="448">
      <c r="A448" s="249" t="s">
        <v>7</v>
      </c>
      <c r="B448" s="249" t="s">
        <v>25</v>
      </c>
      <c r="C448" s="219" t="s">
        <v>3025</v>
      </c>
      <c r="D448" s="268" t="s">
        <v>495</v>
      </c>
      <c r="E448" s="251">
        <v>44209.0</v>
      </c>
      <c r="F448" s="250" t="s">
        <v>496</v>
      </c>
      <c r="G448" s="171">
        <v>25.0</v>
      </c>
      <c r="H448" s="171">
        <v>200.0</v>
      </c>
      <c r="I448" s="171">
        <v>90.0</v>
      </c>
      <c r="J448" s="325">
        <f t="shared" si="18"/>
        <v>0.002838912539</v>
      </c>
      <c r="K448" s="326">
        <f t="shared" si="19"/>
        <v>2.129184404</v>
      </c>
      <c r="L448" s="327">
        <f t="shared" si="3"/>
        <v>4.232451467</v>
      </c>
      <c r="M448" s="321" t="str">
        <f t="shared" si="4"/>
        <v>ygganderson</v>
      </c>
      <c r="N448" s="209">
        <f>IFERROR(__xludf.DUMMYFUNCTION("""COMPUTED_VALUE"""),17.0)</f>
        <v>17</v>
      </c>
      <c r="O448" s="176"/>
      <c r="P448" s="176"/>
      <c r="Q448" s="176"/>
      <c r="R448" s="176"/>
      <c r="S448" s="176"/>
      <c r="T448" s="176"/>
      <c r="U448" s="176"/>
      <c r="V448" s="176"/>
      <c r="W448" s="176"/>
      <c r="X448" s="176"/>
      <c r="Y448" s="176"/>
      <c r="Z448" s="176"/>
    </row>
    <row r="449">
      <c r="A449" s="249" t="s">
        <v>7</v>
      </c>
      <c r="B449" s="249" t="s">
        <v>10</v>
      </c>
      <c r="C449" s="219" t="s">
        <v>494</v>
      </c>
      <c r="D449" s="268" t="s">
        <v>495</v>
      </c>
      <c r="E449" s="251">
        <v>44210.0</v>
      </c>
      <c r="F449" s="250" t="s">
        <v>545</v>
      </c>
      <c r="G449" s="171">
        <v>100.0</v>
      </c>
      <c r="H449" s="171">
        <v>125.0</v>
      </c>
      <c r="I449" s="171">
        <v>120.0</v>
      </c>
      <c r="J449" s="325">
        <f t="shared" si="18"/>
        <v>0.002961059817</v>
      </c>
      <c r="K449" s="326">
        <f t="shared" si="19"/>
        <v>2.220794863</v>
      </c>
      <c r="L449" s="327">
        <f t="shared" si="3"/>
        <v>4.232451467</v>
      </c>
      <c r="M449" s="321" t="str">
        <f t="shared" si="4"/>
        <v>ygganderson</v>
      </c>
      <c r="N449" s="209">
        <f>IFERROR(__xludf.DUMMYFUNCTION("""COMPUTED_VALUE"""),18.0)</f>
        <v>18</v>
      </c>
      <c r="O449" s="176"/>
      <c r="P449" s="176"/>
      <c r="Q449" s="176"/>
      <c r="R449" s="176"/>
      <c r="S449" s="176"/>
      <c r="T449" s="176"/>
      <c r="U449" s="176"/>
      <c r="V449" s="176"/>
      <c r="W449" s="176"/>
      <c r="X449" s="176"/>
      <c r="Y449" s="176"/>
      <c r="Z449" s="176"/>
    </row>
    <row r="450">
      <c r="A450" s="249" t="s">
        <v>7</v>
      </c>
      <c r="B450" s="249" t="s">
        <v>867</v>
      </c>
      <c r="C450" s="219" t="s">
        <v>3026</v>
      </c>
      <c r="D450" s="268" t="s">
        <v>495</v>
      </c>
      <c r="E450" s="251">
        <v>44210.0</v>
      </c>
      <c r="F450" s="250" t="s">
        <v>496</v>
      </c>
      <c r="G450" s="171">
        <v>200.0</v>
      </c>
      <c r="H450" s="171">
        <v>55.0</v>
      </c>
      <c r="I450" s="171">
        <v>120.0</v>
      </c>
      <c r="J450" s="325">
        <f t="shared" si="18"/>
        <v>0.003097656834</v>
      </c>
      <c r="K450" s="326">
        <f t="shared" si="19"/>
        <v>2.323242626</v>
      </c>
      <c r="L450" s="327">
        <f t="shared" si="3"/>
        <v>4.232451467</v>
      </c>
      <c r="M450" s="321" t="str">
        <f t="shared" si="4"/>
        <v>ygganderson</v>
      </c>
      <c r="N450" s="209">
        <f>IFERROR(__xludf.DUMMYFUNCTION("""COMPUTED_VALUE"""),19.0)</f>
        <v>19</v>
      </c>
      <c r="O450" s="176"/>
      <c r="P450" s="176"/>
      <c r="Q450" s="176"/>
      <c r="R450" s="176"/>
      <c r="S450" s="176"/>
      <c r="T450" s="176"/>
      <c r="U450" s="176"/>
      <c r="V450" s="176"/>
      <c r="W450" s="176"/>
      <c r="X450" s="176"/>
      <c r="Y450" s="176"/>
      <c r="Z450" s="176"/>
    </row>
    <row r="451">
      <c r="A451" s="249" t="s">
        <v>7</v>
      </c>
      <c r="B451" s="249" t="s">
        <v>10</v>
      </c>
      <c r="C451" s="219" t="s">
        <v>2896</v>
      </c>
      <c r="D451" s="268" t="s">
        <v>495</v>
      </c>
      <c r="E451" s="251">
        <v>44211.0</v>
      </c>
      <c r="F451" s="250" t="s">
        <v>496</v>
      </c>
      <c r="G451" s="171">
        <v>10.0</v>
      </c>
      <c r="H451" s="171">
        <v>25.0</v>
      </c>
      <c r="I451" s="171">
        <v>40.0</v>
      </c>
      <c r="J451" s="325">
        <f t="shared" si="18"/>
        <v>0.0006372282264</v>
      </c>
      <c r="K451" s="326">
        <f t="shared" si="19"/>
        <v>0.4779211698</v>
      </c>
      <c r="L451" s="327">
        <f t="shared" si="3"/>
        <v>4.232451467</v>
      </c>
      <c r="M451" s="321" t="str">
        <f t="shared" si="4"/>
        <v>ygganderson</v>
      </c>
      <c r="N451" s="209">
        <f>IFERROR(__xludf.DUMMYFUNCTION("""COMPUTED_VALUE"""),20.0)</f>
        <v>20</v>
      </c>
      <c r="O451" s="176"/>
      <c r="P451" s="176"/>
      <c r="Q451" s="176"/>
      <c r="R451" s="176"/>
      <c r="S451" s="176"/>
      <c r="T451" s="176"/>
      <c r="U451" s="176"/>
      <c r="V451" s="176"/>
      <c r="W451" s="176"/>
      <c r="X451" s="176"/>
      <c r="Y451" s="176"/>
      <c r="Z451" s="176"/>
    </row>
    <row r="452">
      <c r="A452" s="249" t="s">
        <v>88</v>
      </c>
      <c r="B452" s="249" t="s">
        <v>519</v>
      </c>
      <c r="C452" s="219" t="s">
        <v>2905</v>
      </c>
      <c r="D452" s="268" t="s">
        <v>495</v>
      </c>
      <c r="E452" s="361">
        <v>44200.0</v>
      </c>
      <c r="F452" s="250" t="s">
        <v>499</v>
      </c>
      <c r="G452" s="171">
        <v>45.0</v>
      </c>
      <c r="H452" s="171">
        <v>25.0</v>
      </c>
      <c r="I452" s="171">
        <v>10.0</v>
      </c>
      <c r="J452" s="325">
        <f t="shared" si="18"/>
        <v>0.0006846054904</v>
      </c>
      <c r="K452" s="326">
        <f t="shared" si="19"/>
        <v>0.5134541178</v>
      </c>
      <c r="L452" s="327">
        <f t="shared" si="3"/>
        <v>4.2069598</v>
      </c>
      <c r="M452" s="321" t="str">
        <f t="shared" si="4"/>
        <v>phil_h</v>
      </c>
      <c r="N452" s="209">
        <f>IFERROR(__xludf.DUMMYFUNCTION("""COMPUTED_VALUE"""),1.0)</f>
        <v>1</v>
      </c>
      <c r="O452" s="176"/>
      <c r="P452" s="176"/>
      <c r="Q452" s="176"/>
      <c r="R452" s="176"/>
      <c r="S452" s="176"/>
      <c r="T452" s="176"/>
      <c r="U452" s="176"/>
      <c r="V452" s="176"/>
      <c r="W452" s="176"/>
      <c r="X452" s="176"/>
      <c r="Y452" s="176"/>
      <c r="Z452" s="176"/>
    </row>
    <row r="453">
      <c r="A453" s="249" t="s">
        <v>88</v>
      </c>
      <c r="B453" s="249" t="s">
        <v>519</v>
      </c>
      <c r="C453" s="219" t="s">
        <v>2876</v>
      </c>
      <c r="D453" s="268" t="s">
        <v>495</v>
      </c>
      <c r="E453" s="361">
        <v>44201.0</v>
      </c>
      <c r="F453" s="250" t="s">
        <v>499</v>
      </c>
      <c r="G453" s="171">
        <v>60.0</v>
      </c>
      <c r="H453" s="171">
        <v>100.0</v>
      </c>
      <c r="I453" s="171">
        <v>60.0</v>
      </c>
      <c r="J453" s="325">
        <f t="shared" si="18"/>
        <v>0.001922898666</v>
      </c>
      <c r="K453" s="326">
        <f t="shared" si="19"/>
        <v>1.442174</v>
      </c>
      <c r="L453" s="327">
        <f t="shared" si="3"/>
        <v>4.2069598</v>
      </c>
      <c r="M453" s="321" t="str">
        <f t="shared" si="4"/>
        <v>phil_h</v>
      </c>
      <c r="N453" s="209">
        <f>IFERROR(__xludf.DUMMYFUNCTION("""COMPUTED_VALUE"""),2.0)</f>
        <v>2</v>
      </c>
      <c r="O453" s="176"/>
      <c r="P453" s="176"/>
      <c r="Q453" s="176"/>
      <c r="R453" s="176"/>
      <c r="S453" s="176"/>
      <c r="T453" s="176"/>
      <c r="U453" s="176"/>
      <c r="V453" s="176"/>
      <c r="W453" s="176"/>
      <c r="X453" s="176"/>
      <c r="Y453" s="176"/>
      <c r="Z453" s="176"/>
    </row>
    <row r="454">
      <c r="A454" s="249" t="s">
        <v>88</v>
      </c>
      <c r="B454" s="249" t="s">
        <v>519</v>
      </c>
      <c r="C454" s="219" t="s">
        <v>2877</v>
      </c>
      <c r="D454" s="268" t="s">
        <v>495</v>
      </c>
      <c r="E454" s="361">
        <v>44201.0</v>
      </c>
      <c r="F454" s="250" t="s">
        <v>499</v>
      </c>
      <c r="G454" s="171">
        <v>125.0</v>
      </c>
      <c r="H454" s="171">
        <v>100.0</v>
      </c>
      <c r="I454" s="171">
        <v>130.0</v>
      </c>
      <c r="J454" s="325">
        <f t="shared" si="18"/>
        <v>0.003001775576</v>
      </c>
      <c r="K454" s="326">
        <f t="shared" si="19"/>
        <v>2.251331682</v>
      </c>
      <c r="L454" s="327">
        <f t="shared" si="3"/>
        <v>4.2069598</v>
      </c>
      <c r="M454" s="321" t="str">
        <f t="shared" si="4"/>
        <v>phil_h</v>
      </c>
      <c r="N454" s="209">
        <f>IFERROR(__xludf.DUMMYFUNCTION("""COMPUTED_VALUE"""),3.0)</f>
        <v>3</v>
      </c>
      <c r="O454" s="176"/>
      <c r="P454" s="176"/>
      <c r="Q454" s="176"/>
      <c r="R454" s="176"/>
      <c r="S454" s="176"/>
      <c r="T454" s="176"/>
      <c r="U454" s="176"/>
      <c r="V454" s="176"/>
      <c r="W454" s="176"/>
      <c r="X454" s="176"/>
      <c r="Y454" s="176"/>
      <c r="Z454" s="176"/>
    </row>
    <row r="455">
      <c r="A455" s="249" t="s">
        <v>66</v>
      </c>
      <c r="B455" s="249" t="s">
        <v>519</v>
      </c>
      <c r="C455" s="219" t="s">
        <v>3027</v>
      </c>
      <c r="D455" s="268" t="s">
        <v>495</v>
      </c>
      <c r="E455" s="251">
        <v>44208.0</v>
      </c>
      <c r="F455" s="250" t="s">
        <v>496</v>
      </c>
      <c r="G455" s="171">
        <v>200.0</v>
      </c>
      <c r="H455" s="171">
        <v>25.0</v>
      </c>
      <c r="I455" s="171">
        <v>150.0</v>
      </c>
      <c r="J455" s="325">
        <f t="shared" si="18"/>
        <v>0.003045102014</v>
      </c>
      <c r="K455" s="326">
        <f t="shared" si="19"/>
        <v>2.28382651</v>
      </c>
      <c r="L455" s="327">
        <f t="shared" si="3"/>
        <v>3.857746717</v>
      </c>
      <c r="M455" s="321" t="str">
        <f t="shared" si="4"/>
        <v>willjgriff</v>
      </c>
      <c r="N455" s="209">
        <f>IFERROR(__xludf.DUMMYFUNCTION("""COMPUTED_VALUE"""),1.0)</f>
        <v>1</v>
      </c>
      <c r="O455" s="176"/>
      <c r="P455" s="176"/>
      <c r="Q455" s="176"/>
      <c r="R455" s="176"/>
      <c r="S455" s="176"/>
      <c r="T455" s="176"/>
      <c r="U455" s="176"/>
      <c r="V455" s="176"/>
      <c r="W455" s="176"/>
      <c r="X455" s="176"/>
      <c r="Y455" s="176"/>
      <c r="Z455" s="176"/>
    </row>
    <row r="456">
      <c r="A456" s="249" t="s">
        <v>66</v>
      </c>
      <c r="B456" s="249" t="s">
        <v>10</v>
      </c>
      <c r="C456" s="219" t="s">
        <v>2951</v>
      </c>
      <c r="D456" s="268" t="s">
        <v>495</v>
      </c>
      <c r="E456" s="251">
        <v>44211.0</v>
      </c>
      <c r="F456" s="250" t="s">
        <v>496</v>
      </c>
      <c r="G456" s="171">
        <v>120.0</v>
      </c>
      <c r="H456" s="171">
        <v>35.0</v>
      </c>
      <c r="I456" s="171">
        <v>100.0</v>
      </c>
      <c r="J456" s="325">
        <f t="shared" si="18"/>
        <v>0.002098560276</v>
      </c>
      <c r="K456" s="326">
        <f t="shared" si="19"/>
        <v>1.573920207</v>
      </c>
      <c r="L456" s="327">
        <f t="shared" si="3"/>
        <v>3.857746717</v>
      </c>
      <c r="M456" s="321" t="str">
        <f t="shared" si="4"/>
        <v>willjgriff</v>
      </c>
      <c r="N456" s="209">
        <f>IFERROR(__xludf.DUMMYFUNCTION("""COMPUTED_VALUE"""),2.0)</f>
        <v>2</v>
      </c>
      <c r="O456" s="176"/>
      <c r="P456" s="176"/>
      <c r="Q456" s="176"/>
      <c r="R456" s="176"/>
      <c r="S456" s="176"/>
      <c r="T456" s="176"/>
      <c r="U456" s="176"/>
      <c r="V456" s="176"/>
      <c r="W456" s="176"/>
      <c r="X456" s="176"/>
      <c r="Y456" s="176"/>
      <c r="Z456" s="176"/>
    </row>
    <row r="457">
      <c r="A457" s="343" t="s">
        <v>43</v>
      </c>
      <c r="B457" s="240" t="s">
        <v>534</v>
      </c>
      <c r="C457" s="221" t="s">
        <v>794</v>
      </c>
      <c r="D457" s="336"/>
      <c r="E457" s="255"/>
      <c r="F457" s="254"/>
      <c r="G457" s="222"/>
      <c r="H457" s="222"/>
      <c r="I457" s="222"/>
      <c r="J457" s="325">
        <f t="shared" si="18"/>
        <v>0</v>
      </c>
      <c r="K457" s="345">
        <f>25.507 *-0.85</f>
        <v>-21.68095</v>
      </c>
      <c r="L457" s="327">
        <f t="shared" si="3"/>
        <v>3.826099636</v>
      </c>
      <c r="M457" s="321" t="str">
        <f t="shared" si="4"/>
        <v>markop</v>
      </c>
      <c r="N457" s="209">
        <f>IFERROR(__xludf.DUMMYFUNCTION("""COMPUTED_VALUE"""),1.0)</f>
        <v>1</v>
      </c>
      <c r="O457" s="209"/>
      <c r="P457" s="209"/>
      <c r="Q457" s="209"/>
      <c r="R457" s="209">
        <v>18.848124090566696</v>
      </c>
      <c r="S457" s="209"/>
      <c r="T457" s="209"/>
      <c r="U457" s="209"/>
      <c r="V457" s="209"/>
      <c r="W457" s="209"/>
      <c r="X457" s="209"/>
      <c r="Y457" s="176"/>
      <c r="Z457" s="176"/>
    </row>
    <row r="458">
      <c r="A458" s="249" t="s">
        <v>43</v>
      </c>
      <c r="B458" s="249" t="s">
        <v>10</v>
      </c>
      <c r="C458" s="219" t="s">
        <v>3028</v>
      </c>
      <c r="D458" s="268" t="s">
        <v>495</v>
      </c>
      <c r="E458" s="361">
        <v>44198.0</v>
      </c>
      <c r="F458" s="250" t="s">
        <v>496</v>
      </c>
      <c r="G458" s="171">
        <v>400.0</v>
      </c>
      <c r="H458" s="171">
        <v>300.0</v>
      </c>
      <c r="I458" s="171">
        <v>350.0</v>
      </c>
      <c r="J458" s="325">
        <f t="shared" si="18"/>
        <v>0.008892786071</v>
      </c>
      <c r="K458" s="326">
        <f t="shared" ref="K458:K469" si="20">J458*$J$1</f>
        <v>6.669589553</v>
      </c>
      <c r="L458" s="327">
        <f t="shared" si="3"/>
        <v>3.826099636</v>
      </c>
      <c r="M458" s="321" t="str">
        <f t="shared" si="4"/>
        <v>markop</v>
      </c>
      <c r="N458" s="209">
        <f>IFERROR(__xludf.DUMMYFUNCTION("""COMPUTED_VALUE"""),2.0)</f>
        <v>2</v>
      </c>
      <c r="O458" s="176"/>
      <c r="P458" s="176"/>
      <c r="Q458" s="176"/>
      <c r="R458" s="176"/>
      <c r="S458" s="176"/>
      <c r="T458" s="176"/>
      <c r="U458" s="176"/>
      <c r="V458" s="176"/>
      <c r="W458" s="176"/>
      <c r="X458" s="176"/>
      <c r="Y458" s="176"/>
      <c r="Z458" s="176"/>
    </row>
    <row r="459">
      <c r="A459" s="249" t="s">
        <v>43</v>
      </c>
      <c r="B459" s="249" t="s">
        <v>1228</v>
      </c>
      <c r="C459" s="219" t="s">
        <v>2874</v>
      </c>
      <c r="D459" s="268" t="s">
        <v>495</v>
      </c>
      <c r="E459" s="361">
        <v>44198.0</v>
      </c>
      <c r="F459" s="250" t="s">
        <v>496</v>
      </c>
      <c r="G459" s="171">
        <v>20.0</v>
      </c>
      <c r="H459" s="171">
        <v>25.0</v>
      </c>
      <c r="I459" s="171">
        <v>15.0</v>
      </c>
      <c r="J459" s="325">
        <f t="shared" si="18"/>
        <v>0.0005212732072</v>
      </c>
      <c r="K459" s="326">
        <f t="shared" si="20"/>
        <v>0.3909549054</v>
      </c>
      <c r="L459" s="327">
        <f t="shared" si="3"/>
        <v>3.826099636</v>
      </c>
      <c r="M459" s="321" t="str">
        <f t="shared" si="4"/>
        <v>markop</v>
      </c>
      <c r="N459" s="209">
        <f>IFERROR(__xludf.DUMMYFUNCTION("""COMPUTED_VALUE"""),3.0)</f>
        <v>3</v>
      </c>
      <c r="O459" s="176"/>
      <c r="P459" s="176"/>
      <c r="Q459" s="176"/>
      <c r="R459" s="176"/>
      <c r="S459" s="176"/>
      <c r="T459" s="176"/>
      <c r="U459" s="176"/>
      <c r="V459" s="176"/>
      <c r="W459" s="176"/>
      <c r="X459" s="176"/>
      <c r="Y459" s="176"/>
      <c r="Z459" s="176"/>
    </row>
    <row r="460">
      <c r="A460" s="249" t="s">
        <v>43</v>
      </c>
      <c r="B460" s="249" t="s">
        <v>519</v>
      </c>
      <c r="C460" s="219" t="s">
        <v>2876</v>
      </c>
      <c r="D460" s="268" t="s">
        <v>495</v>
      </c>
      <c r="E460" s="361">
        <v>44201.0</v>
      </c>
      <c r="F460" s="250" t="s">
        <v>499</v>
      </c>
      <c r="G460" s="171">
        <v>60.0</v>
      </c>
      <c r="H460" s="171">
        <v>100.0</v>
      </c>
      <c r="I460" s="171">
        <v>60.0</v>
      </c>
      <c r="J460" s="325">
        <f t="shared" si="18"/>
        <v>0.001922898666</v>
      </c>
      <c r="K460" s="326">
        <f t="shared" si="20"/>
        <v>1.442174</v>
      </c>
      <c r="L460" s="327">
        <f t="shared" si="3"/>
        <v>3.826099636</v>
      </c>
      <c r="M460" s="321" t="str">
        <f t="shared" si="4"/>
        <v>markop</v>
      </c>
      <c r="N460" s="209">
        <f>IFERROR(__xludf.DUMMYFUNCTION("""COMPUTED_VALUE"""),4.0)</f>
        <v>4</v>
      </c>
      <c r="O460" s="176"/>
      <c r="P460" s="176"/>
      <c r="Q460" s="176"/>
      <c r="R460" s="176"/>
      <c r="S460" s="176"/>
      <c r="T460" s="176"/>
      <c r="U460" s="176"/>
      <c r="V460" s="176"/>
      <c r="W460" s="176"/>
      <c r="X460" s="176"/>
      <c r="Y460" s="176"/>
      <c r="Z460" s="176"/>
    </row>
    <row r="461">
      <c r="A461" s="249" t="s">
        <v>43</v>
      </c>
      <c r="B461" s="249" t="s">
        <v>519</v>
      </c>
      <c r="C461" s="219" t="s">
        <v>2877</v>
      </c>
      <c r="D461" s="268" t="s">
        <v>495</v>
      </c>
      <c r="E461" s="361">
        <v>44201.0</v>
      </c>
      <c r="F461" s="250" t="s">
        <v>499</v>
      </c>
      <c r="G461" s="171">
        <v>125.0</v>
      </c>
      <c r="H461" s="171">
        <v>100.0</v>
      </c>
      <c r="I461" s="171">
        <v>130.0</v>
      </c>
      <c r="J461" s="325">
        <f t="shared" si="18"/>
        <v>0.003001775576</v>
      </c>
      <c r="K461" s="326">
        <f t="shared" si="20"/>
        <v>2.251331682</v>
      </c>
      <c r="L461" s="327">
        <f t="shared" si="3"/>
        <v>3.826099636</v>
      </c>
      <c r="M461" s="321" t="str">
        <f t="shared" si="4"/>
        <v>markop</v>
      </c>
      <c r="N461" s="209">
        <f>IFERROR(__xludf.DUMMYFUNCTION("""COMPUTED_VALUE"""),5.0)</f>
        <v>5</v>
      </c>
      <c r="O461" s="176"/>
      <c r="P461" s="176"/>
      <c r="Q461" s="176"/>
      <c r="R461" s="176"/>
      <c r="S461" s="176"/>
      <c r="T461" s="176"/>
      <c r="U461" s="176"/>
      <c r="V461" s="176"/>
      <c r="W461" s="176"/>
      <c r="X461" s="176"/>
      <c r="Y461" s="176"/>
      <c r="Z461" s="176"/>
    </row>
    <row r="462">
      <c r="A462" s="249" t="s">
        <v>43</v>
      </c>
      <c r="B462" s="249" t="s">
        <v>519</v>
      </c>
      <c r="C462" s="219" t="s">
        <v>2878</v>
      </c>
      <c r="D462" s="268" t="s">
        <v>495</v>
      </c>
      <c r="E462" s="361">
        <v>44201.0</v>
      </c>
      <c r="F462" s="250" t="s">
        <v>499</v>
      </c>
      <c r="G462" s="171">
        <v>45.0</v>
      </c>
      <c r="H462" s="171">
        <v>55.0</v>
      </c>
      <c r="I462" s="171">
        <v>40.0</v>
      </c>
      <c r="J462" s="325">
        <f t="shared" si="18"/>
        <v>0.001210085352</v>
      </c>
      <c r="K462" s="326">
        <f t="shared" si="20"/>
        <v>0.9075640141</v>
      </c>
      <c r="L462" s="327">
        <f t="shared" si="3"/>
        <v>3.826099636</v>
      </c>
      <c r="M462" s="321" t="str">
        <f t="shared" si="4"/>
        <v>markop</v>
      </c>
      <c r="N462" s="209">
        <f>IFERROR(__xludf.DUMMYFUNCTION("""COMPUTED_VALUE"""),6.0)</f>
        <v>6</v>
      </c>
      <c r="O462" s="176"/>
      <c r="P462" s="176"/>
      <c r="Q462" s="176"/>
      <c r="R462" s="176"/>
      <c r="S462" s="176"/>
      <c r="T462" s="176"/>
      <c r="U462" s="176"/>
      <c r="V462" s="176"/>
      <c r="W462" s="176"/>
      <c r="X462" s="176"/>
      <c r="Y462" s="176"/>
      <c r="Z462" s="176"/>
    </row>
    <row r="463">
      <c r="A463" s="249" t="s">
        <v>43</v>
      </c>
      <c r="B463" s="249" t="s">
        <v>10</v>
      </c>
      <c r="C463" s="219" t="s">
        <v>2931</v>
      </c>
      <c r="D463" s="268" t="s">
        <v>495</v>
      </c>
      <c r="E463" s="361">
        <v>44204.0</v>
      </c>
      <c r="F463" s="250" t="s">
        <v>496</v>
      </c>
      <c r="G463" s="171">
        <v>200.0</v>
      </c>
      <c r="H463" s="171">
        <v>155.0</v>
      </c>
      <c r="I463" s="171">
        <v>180.0</v>
      </c>
      <c r="J463" s="325">
        <f t="shared" si="18"/>
        <v>0.004533973013</v>
      </c>
      <c r="K463" s="326">
        <f t="shared" si="20"/>
        <v>3.400479759</v>
      </c>
      <c r="L463" s="327">
        <f t="shared" si="3"/>
        <v>3.826099636</v>
      </c>
      <c r="M463" s="321" t="str">
        <f t="shared" si="4"/>
        <v>markop</v>
      </c>
      <c r="N463" s="209">
        <f>IFERROR(__xludf.DUMMYFUNCTION("""COMPUTED_VALUE"""),7.0)</f>
        <v>7</v>
      </c>
      <c r="O463" s="176"/>
      <c r="P463" s="176"/>
      <c r="Q463" s="176"/>
      <c r="R463" s="176"/>
      <c r="S463" s="176"/>
      <c r="T463" s="176"/>
      <c r="U463" s="176"/>
      <c r="V463" s="176"/>
      <c r="W463" s="176"/>
      <c r="X463" s="176"/>
      <c r="Y463" s="176"/>
      <c r="Z463" s="176"/>
    </row>
    <row r="464">
      <c r="A464" s="249" t="s">
        <v>43</v>
      </c>
      <c r="B464" s="249" t="s">
        <v>925</v>
      </c>
      <c r="C464" s="219" t="s">
        <v>3029</v>
      </c>
      <c r="D464" s="268" t="s">
        <v>495</v>
      </c>
      <c r="E464" s="251">
        <v>44206.0</v>
      </c>
      <c r="F464" s="250" t="s">
        <v>496</v>
      </c>
      <c r="G464" s="171">
        <v>150.0</v>
      </c>
      <c r="H464" s="171">
        <v>50.0</v>
      </c>
      <c r="I464" s="171">
        <v>100.0</v>
      </c>
      <c r="J464" s="325">
        <f t="shared" si="18"/>
        <v>0.00248636019</v>
      </c>
      <c r="K464" s="326">
        <f t="shared" si="20"/>
        <v>1.864770143</v>
      </c>
      <c r="L464" s="327">
        <f t="shared" si="3"/>
        <v>3.826099636</v>
      </c>
      <c r="M464" s="321" t="str">
        <f t="shared" si="4"/>
        <v>markop</v>
      </c>
      <c r="N464" s="209">
        <f>IFERROR(__xludf.DUMMYFUNCTION("""COMPUTED_VALUE"""),8.0)</f>
        <v>8</v>
      </c>
      <c r="O464" s="176"/>
      <c r="P464" s="176"/>
      <c r="Q464" s="176"/>
      <c r="R464" s="176"/>
      <c r="S464" s="176"/>
      <c r="T464" s="176"/>
      <c r="U464" s="176"/>
      <c r="V464" s="176"/>
      <c r="W464" s="176"/>
      <c r="X464" s="176"/>
      <c r="Y464" s="176"/>
      <c r="Z464" s="176"/>
    </row>
    <row r="465">
      <c r="A465" s="249" t="s">
        <v>43</v>
      </c>
      <c r="B465" s="249" t="s">
        <v>519</v>
      </c>
      <c r="C465" s="219" t="s">
        <v>3004</v>
      </c>
      <c r="D465" s="268" t="s">
        <v>495</v>
      </c>
      <c r="E465" s="251">
        <v>44208.0</v>
      </c>
      <c r="F465" s="250" t="s">
        <v>499</v>
      </c>
      <c r="G465" s="171">
        <v>100.0</v>
      </c>
      <c r="H465" s="171">
        <v>55.0</v>
      </c>
      <c r="I465" s="171">
        <v>130.0</v>
      </c>
      <c r="J465" s="325">
        <f t="shared" si="18"/>
        <v>0.002365506861</v>
      </c>
      <c r="K465" s="326">
        <f t="shared" si="20"/>
        <v>1.774130146</v>
      </c>
      <c r="L465" s="327">
        <f t="shared" si="3"/>
        <v>3.826099636</v>
      </c>
      <c r="M465" s="321" t="str">
        <f t="shared" si="4"/>
        <v>markop</v>
      </c>
      <c r="N465" s="209">
        <f>IFERROR(__xludf.DUMMYFUNCTION("""COMPUTED_VALUE"""),9.0)</f>
        <v>9</v>
      </c>
      <c r="O465" s="176"/>
      <c r="P465" s="176"/>
      <c r="Q465" s="176"/>
      <c r="R465" s="176"/>
      <c r="S465" s="176"/>
      <c r="T465" s="176"/>
      <c r="U465" s="176"/>
      <c r="V465" s="176"/>
      <c r="W465" s="176"/>
      <c r="X465" s="176"/>
      <c r="Y465" s="176"/>
      <c r="Z465" s="176"/>
    </row>
    <row r="466">
      <c r="A466" s="249" t="s">
        <v>43</v>
      </c>
      <c r="B466" s="249" t="s">
        <v>590</v>
      </c>
      <c r="C466" s="219" t="s">
        <v>2893</v>
      </c>
      <c r="D466" s="268" t="s">
        <v>495</v>
      </c>
      <c r="E466" s="251">
        <v>44208.0</v>
      </c>
      <c r="F466" s="250" t="s">
        <v>496</v>
      </c>
      <c r="G466" s="171">
        <v>20.0</v>
      </c>
      <c r="H466" s="171">
        <v>25.0</v>
      </c>
      <c r="I466" s="171">
        <v>45.0</v>
      </c>
      <c r="J466" s="325">
        <f t="shared" si="18"/>
        <v>0.0007577357279</v>
      </c>
      <c r="K466" s="326">
        <f t="shared" si="20"/>
        <v>0.5683017959</v>
      </c>
      <c r="L466" s="327">
        <f t="shared" si="3"/>
        <v>3.826099636</v>
      </c>
      <c r="M466" s="321" t="str">
        <f t="shared" si="4"/>
        <v>markop</v>
      </c>
      <c r="N466" s="209">
        <f>IFERROR(__xludf.DUMMYFUNCTION("""COMPUTED_VALUE"""),10.0)</f>
        <v>10</v>
      </c>
      <c r="O466" s="176"/>
      <c r="P466" s="176"/>
      <c r="Q466" s="176"/>
      <c r="R466" s="176"/>
      <c r="S466" s="176"/>
      <c r="T466" s="176"/>
      <c r="U466" s="176"/>
      <c r="V466" s="176"/>
      <c r="W466" s="176"/>
      <c r="X466" s="176"/>
      <c r="Y466" s="176"/>
      <c r="Z466" s="176"/>
    </row>
    <row r="467">
      <c r="A467" s="249" t="s">
        <v>43</v>
      </c>
      <c r="B467" s="249" t="s">
        <v>519</v>
      </c>
      <c r="C467" s="219" t="s">
        <v>2984</v>
      </c>
      <c r="D467" s="268" t="s">
        <v>495</v>
      </c>
      <c r="E467" s="251">
        <v>44209.0</v>
      </c>
      <c r="F467" s="250" t="s">
        <v>521</v>
      </c>
      <c r="G467" s="171">
        <v>10.0</v>
      </c>
      <c r="H467" s="171">
        <v>25.0</v>
      </c>
      <c r="I467" s="171">
        <v>10.0</v>
      </c>
      <c r="J467" s="325">
        <f t="shared" si="18"/>
        <v>0.0004007657057</v>
      </c>
      <c r="K467" s="326">
        <f t="shared" si="20"/>
        <v>0.3005742793</v>
      </c>
      <c r="L467" s="327">
        <f t="shared" si="3"/>
        <v>3.826099636</v>
      </c>
      <c r="M467" s="321" t="str">
        <f t="shared" si="4"/>
        <v>markop</v>
      </c>
      <c r="N467" s="209">
        <f>IFERROR(__xludf.DUMMYFUNCTION("""COMPUTED_VALUE"""),11.0)</f>
        <v>11</v>
      </c>
      <c r="O467" s="176"/>
      <c r="P467" s="176"/>
      <c r="Q467" s="176"/>
      <c r="R467" s="176"/>
      <c r="S467" s="176"/>
      <c r="T467" s="176"/>
      <c r="U467" s="176"/>
      <c r="V467" s="176"/>
      <c r="W467" s="176"/>
      <c r="X467" s="176"/>
      <c r="Y467" s="176"/>
      <c r="Z467" s="176"/>
    </row>
    <row r="468">
      <c r="A468" s="249" t="s">
        <v>43</v>
      </c>
      <c r="B468" s="249" t="s">
        <v>25</v>
      </c>
      <c r="C468" s="219" t="s">
        <v>3030</v>
      </c>
      <c r="D468" s="268" t="s">
        <v>495</v>
      </c>
      <c r="E468" s="251">
        <v>44209.0</v>
      </c>
      <c r="F468" s="250" t="s">
        <v>496</v>
      </c>
      <c r="G468" s="171">
        <v>100.0</v>
      </c>
      <c r="H468" s="171">
        <v>100.0</v>
      </c>
      <c r="I468" s="171">
        <v>100.0</v>
      </c>
      <c r="J468" s="325">
        <f t="shared" si="18"/>
        <v>0.002562570352</v>
      </c>
      <c r="K468" s="326">
        <f t="shared" si="20"/>
        <v>1.921927764</v>
      </c>
      <c r="L468" s="327">
        <f t="shared" si="3"/>
        <v>3.826099636</v>
      </c>
      <c r="M468" s="321" t="str">
        <f t="shared" si="4"/>
        <v>markop</v>
      </c>
      <c r="N468" s="209">
        <f>IFERROR(__xludf.DUMMYFUNCTION("""COMPUTED_VALUE"""),12.0)</f>
        <v>12</v>
      </c>
      <c r="O468" s="176"/>
      <c r="P468" s="176"/>
      <c r="Q468" s="176"/>
      <c r="R468" s="176"/>
      <c r="S468" s="176"/>
      <c r="T468" s="176"/>
      <c r="U468" s="176"/>
      <c r="V468" s="176"/>
      <c r="W468" s="176"/>
      <c r="X468" s="176"/>
      <c r="Y468" s="176"/>
      <c r="Z468" s="176"/>
    </row>
    <row r="469">
      <c r="A469" s="249" t="s">
        <v>43</v>
      </c>
      <c r="B469" s="249" t="s">
        <v>10</v>
      </c>
      <c r="C469" s="219" t="s">
        <v>3031</v>
      </c>
      <c r="D469" s="268" t="s">
        <v>495</v>
      </c>
      <c r="E469" s="251">
        <v>44211.0</v>
      </c>
      <c r="F469" s="250" t="s">
        <v>496</v>
      </c>
      <c r="G469" s="171">
        <v>300.0</v>
      </c>
      <c r="H469" s="171">
        <v>25.0</v>
      </c>
      <c r="I469" s="171">
        <v>340.0</v>
      </c>
      <c r="J469" s="325">
        <f t="shared" si="18"/>
        <v>0.005353668792</v>
      </c>
      <c r="K469" s="326">
        <f t="shared" si="20"/>
        <v>4.015251594</v>
      </c>
      <c r="L469" s="327">
        <f t="shared" si="3"/>
        <v>3.826099636</v>
      </c>
      <c r="M469" s="321" t="str">
        <f t="shared" si="4"/>
        <v>markop</v>
      </c>
      <c r="N469" s="209">
        <f>IFERROR(__xludf.DUMMYFUNCTION("""COMPUTED_VALUE"""),13.0)</f>
        <v>13</v>
      </c>
      <c r="O469" s="176"/>
      <c r="P469" s="176"/>
      <c r="Q469" s="176"/>
      <c r="R469" s="176"/>
      <c r="S469" s="176"/>
      <c r="T469" s="176"/>
      <c r="U469" s="176"/>
      <c r="V469" s="176"/>
      <c r="W469" s="176"/>
      <c r="X469" s="176"/>
      <c r="Y469" s="176"/>
      <c r="Z469" s="176"/>
    </row>
    <row r="470">
      <c r="A470" s="240" t="s">
        <v>55</v>
      </c>
      <c r="B470" s="240" t="s">
        <v>534</v>
      </c>
      <c r="C470" s="221" t="s">
        <v>688</v>
      </c>
      <c r="D470" s="336"/>
      <c r="E470" s="255"/>
      <c r="F470" s="254"/>
      <c r="G470" s="209"/>
      <c r="H470" s="222"/>
      <c r="I470" s="222"/>
      <c r="J470" s="325">
        <f t="shared" si="18"/>
        <v>0</v>
      </c>
      <c r="K470" s="337">
        <f>7.442*-0.5</f>
        <v>-3.721</v>
      </c>
      <c r="L470" s="327">
        <f t="shared" si="3"/>
        <v>3.721008763</v>
      </c>
      <c r="M470" s="321" t="str">
        <f t="shared" si="4"/>
        <v>atacas</v>
      </c>
      <c r="N470" s="209">
        <f>IFERROR(__xludf.DUMMYFUNCTION("""COMPUTED_VALUE"""),1.0)</f>
        <v>1</v>
      </c>
      <c r="O470" s="176"/>
      <c r="P470" s="176"/>
      <c r="Q470" s="176"/>
      <c r="R470" s="176">
        <v>6.463920504925881</v>
      </c>
      <c r="S470" s="176"/>
      <c r="T470" s="176"/>
      <c r="U470" s="176"/>
      <c r="V470" s="176"/>
      <c r="W470" s="176"/>
      <c r="X470" s="176"/>
      <c r="Y470" s="176"/>
      <c r="Z470" s="176"/>
    </row>
    <row r="471">
      <c r="A471" s="249" t="s">
        <v>55</v>
      </c>
      <c r="B471" s="249" t="s">
        <v>18</v>
      </c>
      <c r="C471" s="219" t="s">
        <v>3032</v>
      </c>
      <c r="D471" s="268" t="s">
        <v>495</v>
      </c>
      <c r="E471" s="361">
        <v>44201.0</v>
      </c>
      <c r="F471" s="250" t="s">
        <v>496</v>
      </c>
      <c r="G471" s="171">
        <v>500.0</v>
      </c>
      <c r="H471" s="171">
        <v>200.0</v>
      </c>
      <c r="I471" s="171">
        <v>500.0</v>
      </c>
      <c r="J471" s="325">
        <f t="shared" si="18"/>
        <v>0.009922678351</v>
      </c>
      <c r="K471" s="326">
        <f t="shared" ref="K471:K494" si="21">J471*$J$1</f>
        <v>7.442008763</v>
      </c>
      <c r="L471" s="327">
        <f t="shared" si="3"/>
        <v>3.721008763</v>
      </c>
      <c r="M471" s="321" t="str">
        <f t="shared" si="4"/>
        <v>atacas</v>
      </c>
      <c r="N471" s="209">
        <f>IFERROR(__xludf.DUMMYFUNCTION("""COMPUTED_VALUE"""),2.0)</f>
        <v>2</v>
      </c>
      <c r="O471" s="176"/>
      <c r="P471" s="176"/>
      <c r="Q471" s="176"/>
      <c r="R471" s="176"/>
      <c r="S471" s="176"/>
      <c r="T471" s="176"/>
      <c r="U471" s="176"/>
      <c r="V471" s="176"/>
      <c r="W471" s="176"/>
      <c r="X471" s="176"/>
      <c r="Y471" s="176"/>
      <c r="Z471" s="176"/>
    </row>
    <row r="472">
      <c r="A472" s="249" t="s">
        <v>39</v>
      </c>
      <c r="B472" s="249" t="s">
        <v>1228</v>
      </c>
      <c r="C472" s="219" t="s">
        <v>2874</v>
      </c>
      <c r="D472" s="268" t="s">
        <v>495</v>
      </c>
      <c r="E472" s="361">
        <v>44198.0</v>
      </c>
      <c r="F472" s="250" t="s">
        <v>496</v>
      </c>
      <c r="G472" s="171">
        <v>20.0</v>
      </c>
      <c r="H472" s="171">
        <v>25.0</v>
      </c>
      <c r="I472" s="171">
        <v>15.0</v>
      </c>
      <c r="J472" s="325">
        <f t="shared" si="18"/>
        <v>0.0005212732072</v>
      </c>
      <c r="K472" s="326">
        <f t="shared" si="21"/>
        <v>0.3909549054</v>
      </c>
      <c r="L472" s="327">
        <f t="shared" si="3"/>
        <v>3.638783418</v>
      </c>
      <c r="M472" s="321" t="str">
        <f t="shared" si="4"/>
        <v>manualzuru</v>
      </c>
      <c r="N472" s="209">
        <f>IFERROR(__xludf.DUMMYFUNCTION("""COMPUTED_VALUE"""),1.0)</f>
        <v>1</v>
      </c>
      <c r="O472" s="176"/>
      <c r="P472" s="176"/>
      <c r="Q472" s="176"/>
      <c r="R472" s="176"/>
      <c r="S472" s="176"/>
      <c r="T472" s="176"/>
      <c r="U472" s="176"/>
      <c r="V472" s="176"/>
      <c r="W472" s="176"/>
      <c r="X472" s="176"/>
      <c r="Y472" s="176"/>
      <c r="Z472" s="176"/>
    </row>
    <row r="473">
      <c r="A473" s="249" t="s">
        <v>39</v>
      </c>
      <c r="B473" s="249" t="s">
        <v>10</v>
      </c>
      <c r="C473" s="219" t="s">
        <v>2905</v>
      </c>
      <c r="D473" s="268" t="s">
        <v>495</v>
      </c>
      <c r="E473" s="361">
        <v>44201.0</v>
      </c>
      <c r="F473" s="250" t="s">
        <v>499</v>
      </c>
      <c r="G473" s="171">
        <v>45.0</v>
      </c>
      <c r="H473" s="171">
        <v>25.0</v>
      </c>
      <c r="I473" s="171">
        <v>10.0</v>
      </c>
      <c r="J473" s="325">
        <f t="shared" si="18"/>
        <v>0.0006846054904</v>
      </c>
      <c r="K473" s="326">
        <f t="shared" si="21"/>
        <v>0.5134541178</v>
      </c>
      <c r="L473" s="327">
        <f t="shared" si="3"/>
        <v>3.638783418</v>
      </c>
      <c r="M473" s="321" t="str">
        <f t="shared" si="4"/>
        <v>manualzuru</v>
      </c>
      <c r="N473" s="209">
        <f>IFERROR(__xludf.DUMMYFUNCTION("""COMPUTED_VALUE"""),2.0)</f>
        <v>2</v>
      </c>
      <c r="O473" s="176"/>
      <c r="P473" s="176"/>
      <c r="Q473" s="176"/>
      <c r="R473" s="176"/>
      <c r="S473" s="176"/>
      <c r="T473" s="176"/>
      <c r="U473" s="176"/>
      <c r="V473" s="176"/>
      <c r="W473" s="176"/>
      <c r="X473" s="176"/>
      <c r="Y473" s="176"/>
      <c r="Z473" s="176"/>
    </row>
    <row r="474">
      <c r="A474" s="249" t="s">
        <v>39</v>
      </c>
      <c r="B474" s="249" t="s">
        <v>519</v>
      </c>
      <c r="C474" s="219" t="s">
        <v>2877</v>
      </c>
      <c r="D474" s="268" t="s">
        <v>495</v>
      </c>
      <c r="E474" s="361">
        <v>44201.0</v>
      </c>
      <c r="F474" s="250" t="s">
        <v>499</v>
      </c>
      <c r="G474" s="171">
        <v>125.0</v>
      </c>
      <c r="H474" s="171">
        <v>100.0</v>
      </c>
      <c r="I474" s="171">
        <v>130.0</v>
      </c>
      <c r="J474" s="325">
        <f t="shared" si="18"/>
        <v>0.003001775576</v>
      </c>
      <c r="K474" s="326">
        <f t="shared" si="21"/>
        <v>2.251331682</v>
      </c>
      <c r="L474" s="327">
        <f t="shared" si="3"/>
        <v>3.638783418</v>
      </c>
      <c r="M474" s="321" t="str">
        <f t="shared" si="4"/>
        <v>manualzuru</v>
      </c>
      <c r="N474" s="209">
        <f>IFERROR(__xludf.DUMMYFUNCTION("""COMPUTED_VALUE"""),3.0)</f>
        <v>3</v>
      </c>
      <c r="O474" s="176"/>
      <c r="P474" s="176"/>
      <c r="Q474" s="176"/>
      <c r="R474" s="176"/>
      <c r="S474" s="176"/>
      <c r="T474" s="176"/>
      <c r="U474" s="176"/>
      <c r="V474" s="176"/>
      <c r="W474" s="176"/>
      <c r="X474" s="176"/>
      <c r="Y474" s="176"/>
      <c r="Z474" s="176"/>
    </row>
    <row r="475">
      <c r="A475" s="249" t="s">
        <v>39</v>
      </c>
      <c r="B475" s="249" t="s">
        <v>10</v>
      </c>
      <c r="C475" s="219" t="s">
        <v>2908</v>
      </c>
      <c r="D475" s="268" t="s">
        <v>495</v>
      </c>
      <c r="E475" s="361">
        <v>44205.0</v>
      </c>
      <c r="F475" s="250" t="s">
        <v>545</v>
      </c>
      <c r="G475" s="171">
        <v>40.0</v>
      </c>
      <c r="H475" s="171">
        <v>25.0</v>
      </c>
      <c r="I475" s="171">
        <v>10.0</v>
      </c>
      <c r="J475" s="325">
        <f t="shared" si="18"/>
        <v>0.0006440569497</v>
      </c>
      <c r="K475" s="326">
        <f t="shared" si="21"/>
        <v>0.4830427123</v>
      </c>
      <c r="L475" s="327">
        <f t="shared" si="3"/>
        <v>3.638783418</v>
      </c>
      <c r="M475" s="321" t="str">
        <f t="shared" si="4"/>
        <v>manualzuru</v>
      </c>
      <c r="N475" s="209">
        <f>IFERROR(__xludf.DUMMYFUNCTION("""COMPUTED_VALUE"""),4.0)</f>
        <v>4</v>
      </c>
      <c r="O475" s="176"/>
      <c r="P475" s="176"/>
      <c r="Q475" s="176"/>
      <c r="R475" s="176"/>
      <c r="S475" s="176"/>
      <c r="T475" s="176"/>
      <c r="U475" s="176"/>
      <c r="V475" s="176"/>
      <c r="W475" s="176"/>
      <c r="X475" s="176"/>
      <c r="Y475" s="176"/>
      <c r="Z475" s="176"/>
    </row>
    <row r="476">
      <c r="A476" s="249" t="s">
        <v>129</v>
      </c>
      <c r="B476" s="249" t="s">
        <v>29</v>
      </c>
      <c r="C476" s="219" t="s">
        <v>3033</v>
      </c>
      <c r="D476" s="268" t="s">
        <v>495</v>
      </c>
      <c r="E476" s="361">
        <v>44199.0</v>
      </c>
      <c r="F476" s="250" t="s">
        <v>592</v>
      </c>
      <c r="G476" s="171">
        <v>100.0</v>
      </c>
      <c r="H476" s="171">
        <v>30.0</v>
      </c>
      <c r="I476" s="171">
        <v>60.0</v>
      </c>
      <c r="J476" s="325">
        <f t="shared" si="18"/>
        <v>0.001572913196</v>
      </c>
      <c r="K476" s="326">
        <f t="shared" si="21"/>
        <v>1.179684897</v>
      </c>
      <c r="L476" s="327">
        <f t="shared" si="3"/>
        <v>3.463135165</v>
      </c>
      <c r="M476" s="321" t="str">
        <f t="shared" si="4"/>
        <v>rogervs</v>
      </c>
      <c r="N476" s="209">
        <f>IFERROR(__xludf.DUMMYFUNCTION("""COMPUTED_VALUE"""),1.0)</f>
        <v>1</v>
      </c>
      <c r="O476" s="176"/>
      <c r="P476" s="176"/>
      <c r="Q476" s="176"/>
      <c r="R476" s="176"/>
      <c r="S476" s="176"/>
      <c r="T476" s="176"/>
      <c r="U476" s="176"/>
      <c r="V476" s="176"/>
      <c r="W476" s="176"/>
      <c r="X476" s="176"/>
      <c r="Y476" s="176"/>
      <c r="Z476" s="176"/>
    </row>
    <row r="477">
      <c r="A477" s="249" t="s">
        <v>129</v>
      </c>
      <c r="B477" s="249" t="s">
        <v>519</v>
      </c>
      <c r="C477" s="219" t="s">
        <v>3034</v>
      </c>
      <c r="D477" s="268" t="s">
        <v>495</v>
      </c>
      <c r="E477" s="361">
        <v>44204.0</v>
      </c>
      <c r="F477" s="250" t="s">
        <v>592</v>
      </c>
      <c r="G477" s="171">
        <v>100.0</v>
      </c>
      <c r="H477" s="171">
        <v>50.0</v>
      </c>
      <c r="I477" s="171">
        <v>60.0</v>
      </c>
      <c r="J477" s="325">
        <f t="shared" si="18"/>
        <v>0.001765591423</v>
      </c>
      <c r="K477" s="326">
        <f t="shared" si="21"/>
        <v>1.324193567</v>
      </c>
      <c r="L477" s="327">
        <f t="shared" si="3"/>
        <v>3.463135165</v>
      </c>
      <c r="M477" s="321" t="str">
        <f t="shared" si="4"/>
        <v>rogervs</v>
      </c>
      <c r="N477" s="209">
        <f>IFERROR(__xludf.DUMMYFUNCTION("""COMPUTED_VALUE"""),2.0)</f>
        <v>2</v>
      </c>
      <c r="O477" s="176"/>
      <c r="P477" s="176"/>
      <c r="Q477" s="176"/>
      <c r="R477" s="176"/>
      <c r="S477" s="176"/>
      <c r="T477" s="176"/>
      <c r="U477" s="176"/>
      <c r="V477" s="176"/>
      <c r="W477" s="176"/>
      <c r="X477" s="176"/>
      <c r="Y477" s="176"/>
      <c r="Z477" s="176"/>
    </row>
    <row r="478">
      <c r="A478" s="249" t="s">
        <v>129</v>
      </c>
      <c r="B478" s="249" t="s">
        <v>519</v>
      </c>
      <c r="C478" s="219" t="s">
        <v>3035</v>
      </c>
      <c r="D478" s="268" t="s">
        <v>495</v>
      </c>
      <c r="E478" s="361">
        <v>44204.0</v>
      </c>
      <c r="F478" s="250" t="s">
        <v>592</v>
      </c>
      <c r="G478" s="171">
        <v>20.0</v>
      </c>
      <c r="H478" s="171">
        <v>25.0</v>
      </c>
      <c r="I478" s="171">
        <v>40.0</v>
      </c>
      <c r="J478" s="325">
        <f t="shared" si="18"/>
        <v>0.0007183253078</v>
      </c>
      <c r="K478" s="326">
        <f t="shared" si="21"/>
        <v>0.5387439808</v>
      </c>
      <c r="L478" s="327">
        <f t="shared" si="3"/>
        <v>3.463135165</v>
      </c>
      <c r="M478" s="321" t="str">
        <f t="shared" si="4"/>
        <v>rogervs</v>
      </c>
      <c r="N478" s="209">
        <f>IFERROR(__xludf.DUMMYFUNCTION("""COMPUTED_VALUE"""),3.0)</f>
        <v>3</v>
      </c>
      <c r="O478" s="176"/>
      <c r="P478" s="176"/>
      <c r="Q478" s="176"/>
      <c r="R478" s="176"/>
      <c r="S478" s="176"/>
      <c r="T478" s="176"/>
      <c r="U478" s="176"/>
      <c r="V478" s="176"/>
      <c r="W478" s="176"/>
      <c r="X478" s="176"/>
      <c r="Y478" s="176"/>
      <c r="Z478" s="176"/>
    </row>
    <row r="479">
      <c r="A479" s="249" t="s">
        <v>129</v>
      </c>
      <c r="B479" s="249" t="s">
        <v>519</v>
      </c>
      <c r="C479" s="219" t="s">
        <v>3036</v>
      </c>
      <c r="D479" s="268" t="s">
        <v>495</v>
      </c>
      <c r="E479" s="361">
        <v>44204.0</v>
      </c>
      <c r="F479" s="250" t="s">
        <v>592</v>
      </c>
      <c r="G479" s="171">
        <v>20.0</v>
      </c>
      <c r="H479" s="171">
        <v>25.0</v>
      </c>
      <c r="I479" s="171">
        <v>20.0</v>
      </c>
      <c r="J479" s="325">
        <f t="shared" si="18"/>
        <v>0.0005606836273</v>
      </c>
      <c r="K479" s="326">
        <f t="shared" si="21"/>
        <v>0.4205127205</v>
      </c>
      <c r="L479" s="327">
        <f t="shared" si="3"/>
        <v>3.463135165</v>
      </c>
      <c r="M479" s="321" t="str">
        <f t="shared" si="4"/>
        <v>rogervs</v>
      </c>
      <c r="N479" s="209">
        <f>IFERROR(__xludf.DUMMYFUNCTION("""COMPUTED_VALUE"""),4.0)</f>
        <v>4</v>
      </c>
      <c r="O479" s="176"/>
      <c r="P479" s="176"/>
      <c r="Q479" s="176"/>
      <c r="R479" s="176"/>
      <c r="S479" s="176"/>
      <c r="T479" s="176"/>
      <c r="U479" s="176"/>
      <c r="V479" s="176"/>
      <c r="W479" s="176"/>
      <c r="X479" s="176"/>
      <c r="Y479" s="176"/>
      <c r="Z479" s="176"/>
    </row>
    <row r="480">
      <c r="A480" s="249" t="s">
        <v>155</v>
      </c>
      <c r="B480" s="249" t="s">
        <v>519</v>
      </c>
      <c r="C480" s="219" t="s">
        <v>2877</v>
      </c>
      <c r="D480" s="268" t="s">
        <v>495</v>
      </c>
      <c r="E480" s="361">
        <v>44201.0</v>
      </c>
      <c r="F480" s="250" t="s">
        <v>499</v>
      </c>
      <c r="G480" s="171">
        <v>125.0</v>
      </c>
      <c r="H480" s="171">
        <v>100.0</v>
      </c>
      <c r="I480" s="171">
        <v>130.0</v>
      </c>
      <c r="J480" s="325">
        <f t="shared" si="18"/>
        <v>0.003001775576</v>
      </c>
      <c r="K480" s="326">
        <f t="shared" si="21"/>
        <v>2.251331682</v>
      </c>
      <c r="L480" s="327">
        <f t="shared" si="3"/>
        <v>3.158895696</v>
      </c>
      <c r="M480" s="321" t="str">
        <f t="shared" si="4"/>
        <v>nukemandan</v>
      </c>
      <c r="N480" s="209">
        <f>IFERROR(__xludf.DUMMYFUNCTION("""COMPUTED_VALUE"""),1.0)</f>
        <v>1</v>
      </c>
      <c r="O480" s="176"/>
      <c r="P480" s="176"/>
      <c r="Q480" s="176"/>
      <c r="R480" s="176"/>
      <c r="S480" s="176"/>
      <c r="T480" s="176"/>
      <c r="U480" s="176"/>
      <c r="V480" s="176"/>
      <c r="W480" s="176"/>
      <c r="X480" s="176"/>
      <c r="Y480" s="176"/>
      <c r="Z480" s="176"/>
    </row>
    <row r="481">
      <c r="A481" s="249" t="s">
        <v>155</v>
      </c>
      <c r="B481" s="249" t="s">
        <v>519</v>
      </c>
      <c r="C481" s="219" t="s">
        <v>2878</v>
      </c>
      <c r="D481" s="268" t="s">
        <v>495</v>
      </c>
      <c r="E481" s="361">
        <v>44201.0</v>
      </c>
      <c r="F481" s="250" t="s">
        <v>499</v>
      </c>
      <c r="G481" s="171">
        <v>45.0</v>
      </c>
      <c r="H481" s="171">
        <v>55.0</v>
      </c>
      <c r="I481" s="171">
        <v>40.0</v>
      </c>
      <c r="J481" s="325">
        <f t="shared" si="18"/>
        <v>0.001210085352</v>
      </c>
      <c r="K481" s="326">
        <f t="shared" si="21"/>
        <v>0.9075640141</v>
      </c>
      <c r="L481" s="327">
        <f t="shared" si="3"/>
        <v>3.158895696</v>
      </c>
      <c r="M481" s="321" t="str">
        <f t="shared" si="4"/>
        <v>nukemandan</v>
      </c>
      <c r="N481" s="209">
        <f>IFERROR(__xludf.DUMMYFUNCTION("""COMPUTED_VALUE"""),2.0)</f>
        <v>2</v>
      </c>
      <c r="O481" s="176"/>
      <c r="P481" s="176"/>
      <c r="Q481" s="176"/>
      <c r="R481" s="176"/>
      <c r="S481" s="176"/>
      <c r="T481" s="176"/>
      <c r="U481" s="176"/>
      <c r="V481" s="176"/>
      <c r="W481" s="176"/>
      <c r="X481" s="176"/>
      <c r="Y481" s="176"/>
      <c r="Z481" s="176"/>
    </row>
    <row r="482">
      <c r="A482" s="249" t="s">
        <v>120</v>
      </c>
      <c r="B482" s="249" t="s">
        <v>1228</v>
      </c>
      <c r="C482" s="219" t="s">
        <v>2874</v>
      </c>
      <c r="D482" s="268" t="s">
        <v>495</v>
      </c>
      <c r="E482" s="361">
        <v>44198.0</v>
      </c>
      <c r="F482" s="250" t="s">
        <v>496</v>
      </c>
      <c r="G482" s="171">
        <v>20.0</v>
      </c>
      <c r="H482" s="171">
        <v>25.0</v>
      </c>
      <c r="I482" s="171">
        <v>15.0</v>
      </c>
      <c r="J482" s="325">
        <f t="shared" si="18"/>
        <v>0.0005212732072</v>
      </c>
      <c r="K482" s="326">
        <f t="shared" si="21"/>
        <v>0.3909549054</v>
      </c>
      <c r="L482" s="327">
        <f t="shared" si="3"/>
        <v>3.155740705</v>
      </c>
      <c r="M482" s="321" t="str">
        <f t="shared" si="4"/>
        <v>sepu85</v>
      </c>
      <c r="N482" s="209">
        <f>IFERROR(__xludf.DUMMYFUNCTION("""COMPUTED_VALUE"""),1.0)</f>
        <v>1</v>
      </c>
      <c r="O482" s="176"/>
      <c r="P482" s="176"/>
      <c r="Q482" s="176"/>
      <c r="R482" s="176"/>
      <c r="S482" s="176"/>
      <c r="T482" s="176"/>
      <c r="U482" s="176"/>
      <c r="V482" s="176"/>
      <c r="W482" s="176"/>
      <c r="X482" s="176"/>
      <c r="Y482" s="176"/>
      <c r="Z482" s="176"/>
    </row>
    <row r="483">
      <c r="A483" s="249" t="s">
        <v>120</v>
      </c>
      <c r="B483" s="249" t="s">
        <v>519</v>
      </c>
      <c r="C483" s="219" t="s">
        <v>2905</v>
      </c>
      <c r="D483" s="268" t="s">
        <v>495</v>
      </c>
      <c r="E483" s="361">
        <v>44200.0</v>
      </c>
      <c r="F483" s="250" t="s">
        <v>499</v>
      </c>
      <c r="G483" s="171">
        <v>45.0</v>
      </c>
      <c r="H483" s="171">
        <v>25.0</v>
      </c>
      <c r="I483" s="171">
        <v>10.0</v>
      </c>
      <c r="J483" s="325">
        <f t="shared" si="18"/>
        <v>0.0006846054904</v>
      </c>
      <c r="K483" s="326">
        <f t="shared" si="21"/>
        <v>0.5134541178</v>
      </c>
      <c r="L483" s="327">
        <f t="shared" si="3"/>
        <v>3.155740705</v>
      </c>
      <c r="M483" s="321" t="str">
        <f t="shared" si="4"/>
        <v>sepu85</v>
      </c>
      <c r="N483" s="209">
        <f>IFERROR(__xludf.DUMMYFUNCTION("""COMPUTED_VALUE"""),2.0)</f>
        <v>2</v>
      </c>
      <c r="O483" s="176"/>
      <c r="P483" s="176"/>
      <c r="Q483" s="176"/>
      <c r="R483" s="176"/>
      <c r="S483" s="176"/>
      <c r="T483" s="176"/>
      <c r="U483" s="176"/>
      <c r="V483" s="176"/>
      <c r="W483" s="176"/>
      <c r="X483" s="176"/>
      <c r="Y483" s="176"/>
      <c r="Z483" s="176"/>
    </row>
    <row r="484">
      <c r="A484" s="249" t="s">
        <v>120</v>
      </c>
      <c r="B484" s="249" t="s">
        <v>519</v>
      </c>
      <c r="C484" s="219" t="s">
        <v>2877</v>
      </c>
      <c r="D484" s="268" t="s">
        <v>495</v>
      </c>
      <c r="E484" s="361">
        <v>44201.0</v>
      </c>
      <c r="F484" s="250" t="s">
        <v>499</v>
      </c>
      <c r="G484" s="171">
        <v>125.0</v>
      </c>
      <c r="H484" s="171">
        <v>100.0</v>
      </c>
      <c r="I484" s="171">
        <v>130.0</v>
      </c>
      <c r="J484" s="325">
        <f t="shared" si="18"/>
        <v>0.003001775576</v>
      </c>
      <c r="K484" s="326">
        <f t="shared" si="21"/>
        <v>2.251331682</v>
      </c>
      <c r="L484" s="327">
        <f t="shared" si="3"/>
        <v>3.155740705</v>
      </c>
      <c r="M484" s="321" t="str">
        <f t="shared" si="4"/>
        <v>sepu85</v>
      </c>
      <c r="N484" s="209">
        <f>IFERROR(__xludf.DUMMYFUNCTION("""COMPUTED_VALUE"""),3.0)</f>
        <v>3</v>
      </c>
      <c r="O484" s="176"/>
      <c r="P484" s="176"/>
      <c r="Q484" s="176"/>
      <c r="R484" s="176"/>
      <c r="S484" s="176"/>
      <c r="T484" s="176"/>
      <c r="U484" s="176"/>
      <c r="V484" s="176"/>
      <c r="W484" s="176"/>
      <c r="X484" s="176"/>
      <c r="Y484" s="176"/>
      <c r="Z484" s="176"/>
    </row>
    <row r="485">
      <c r="A485" s="249" t="s">
        <v>112</v>
      </c>
      <c r="B485" s="249" t="s">
        <v>519</v>
      </c>
      <c r="C485" s="219" t="s">
        <v>2905</v>
      </c>
      <c r="D485" s="268" t="s">
        <v>495</v>
      </c>
      <c r="E485" s="361">
        <v>44200.0</v>
      </c>
      <c r="F485" s="250" t="s">
        <v>499</v>
      </c>
      <c r="G485" s="171">
        <v>45.0</v>
      </c>
      <c r="H485" s="171">
        <v>25.0</v>
      </c>
      <c r="I485" s="171">
        <v>10.0</v>
      </c>
      <c r="J485" s="325">
        <f t="shared" si="18"/>
        <v>0.0006846054904</v>
      </c>
      <c r="K485" s="326">
        <f t="shared" si="21"/>
        <v>0.5134541178</v>
      </c>
      <c r="L485" s="327">
        <f t="shared" si="3"/>
        <v>2.7647858</v>
      </c>
      <c r="M485" s="321" t="str">
        <f t="shared" si="4"/>
        <v>paxthemax</v>
      </c>
      <c r="N485" s="209">
        <f>IFERROR(__xludf.DUMMYFUNCTION("""COMPUTED_VALUE"""),1.0)</f>
        <v>1</v>
      </c>
      <c r="O485" s="176"/>
      <c r="P485" s="176"/>
      <c r="Q485" s="176"/>
      <c r="R485" s="176"/>
      <c r="S485" s="176"/>
      <c r="T485" s="176"/>
      <c r="U485" s="176"/>
      <c r="V485" s="176"/>
      <c r="W485" s="176"/>
      <c r="X485" s="176"/>
      <c r="Y485" s="176"/>
      <c r="Z485" s="176"/>
    </row>
    <row r="486">
      <c r="A486" s="249" t="s">
        <v>112</v>
      </c>
      <c r="B486" s="249" t="s">
        <v>519</v>
      </c>
      <c r="C486" s="219" t="s">
        <v>2877</v>
      </c>
      <c r="D486" s="268" t="s">
        <v>495</v>
      </c>
      <c r="E486" s="361">
        <v>44201.0</v>
      </c>
      <c r="F486" s="250" t="s">
        <v>499</v>
      </c>
      <c r="G486" s="171">
        <v>125.0</v>
      </c>
      <c r="H486" s="171">
        <v>100.0</v>
      </c>
      <c r="I486" s="171">
        <v>130.0</v>
      </c>
      <c r="J486" s="325">
        <f t="shared" si="18"/>
        <v>0.003001775576</v>
      </c>
      <c r="K486" s="326">
        <f t="shared" si="21"/>
        <v>2.251331682</v>
      </c>
      <c r="L486" s="327">
        <f t="shared" si="3"/>
        <v>2.7647858</v>
      </c>
      <c r="M486" s="321" t="str">
        <f t="shared" si="4"/>
        <v>paxthemax</v>
      </c>
      <c r="N486" s="209">
        <f>IFERROR(__xludf.DUMMYFUNCTION("""COMPUTED_VALUE"""),2.0)</f>
        <v>2</v>
      </c>
      <c r="O486" s="176"/>
      <c r="P486" s="176"/>
      <c r="Q486" s="176"/>
      <c r="R486" s="176"/>
      <c r="S486" s="176"/>
      <c r="T486" s="176"/>
      <c r="U486" s="176"/>
      <c r="V486" s="176"/>
      <c r="W486" s="176"/>
      <c r="X486" s="176"/>
      <c r="Y486" s="176"/>
      <c r="Z486" s="176"/>
    </row>
    <row r="487">
      <c r="A487" s="249" t="s">
        <v>57</v>
      </c>
      <c r="B487" s="249" t="s">
        <v>519</v>
      </c>
      <c r="C487" s="219" t="s">
        <v>2329</v>
      </c>
      <c r="D487" s="268" t="s">
        <v>495</v>
      </c>
      <c r="E487" s="361">
        <v>44204.0</v>
      </c>
      <c r="F487" s="250" t="s">
        <v>521</v>
      </c>
      <c r="G487" s="171">
        <v>10.0</v>
      </c>
      <c r="H487" s="171">
        <v>25.0</v>
      </c>
      <c r="I487" s="171">
        <v>20.0</v>
      </c>
      <c r="J487" s="325">
        <f t="shared" si="18"/>
        <v>0.000479586546</v>
      </c>
      <c r="K487" s="326">
        <f t="shared" si="21"/>
        <v>0.3596899095</v>
      </c>
      <c r="L487" s="327">
        <f t="shared" si="3"/>
        <v>2.582191953</v>
      </c>
      <c r="M487" s="321" t="str">
        <f t="shared" si="4"/>
        <v>fabiosmendes</v>
      </c>
      <c r="N487" s="209">
        <f>IFERROR(__xludf.DUMMYFUNCTION("""COMPUTED_VALUE"""),1.0)</f>
        <v>1</v>
      </c>
      <c r="O487" s="176"/>
      <c r="P487" s="176"/>
      <c r="Q487" s="176"/>
      <c r="R487" s="176"/>
      <c r="S487" s="176"/>
      <c r="T487" s="176"/>
      <c r="U487" s="176"/>
      <c r="V487" s="176"/>
      <c r="W487" s="176"/>
      <c r="X487" s="176"/>
      <c r="Y487" s="176"/>
      <c r="Z487" s="176"/>
    </row>
    <row r="488">
      <c r="A488" s="249" t="s">
        <v>57</v>
      </c>
      <c r="B488" s="249" t="s">
        <v>1920</v>
      </c>
      <c r="C488" s="219" t="s">
        <v>3012</v>
      </c>
      <c r="D488" s="268" t="s">
        <v>495</v>
      </c>
      <c r="E488" s="361">
        <v>44205.0</v>
      </c>
      <c r="F488" s="250" t="s">
        <v>1956</v>
      </c>
      <c r="G488" s="171">
        <v>100.0</v>
      </c>
      <c r="H488" s="171">
        <v>100.0</v>
      </c>
      <c r="I488" s="171">
        <v>100.0</v>
      </c>
      <c r="J488" s="325">
        <f t="shared" si="18"/>
        <v>0.002562570352</v>
      </c>
      <c r="K488" s="326">
        <f t="shared" si="21"/>
        <v>1.921927764</v>
      </c>
      <c r="L488" s="327">
        <f t="shared" si="3"/>
        <v>2.582191953</v>
      </c>
      <c r="M488" s="321" t="str">
        <f t="shared" si="4"/>
        <v>fabiosmendes</v>
      </c>
      <c r="N488" s="209">
        <f>IFERROR(__xludf.DUMMYFUNCTION("""COMPUTED_VALUE"""),2.0)</f>
        <v>2</v>
      </c>
      <c r="O488" s="176"/>
      <c r="P488" s="176"/>
      <c r="Q488" s="176"/>
      <c r="R488" s="176"/>
      <c r="S488" s="176"/>
      <c r="T488" s="176"/>
      <c r="U488" s="176"/>
      <c r="V488" s="176"/>
      <c r="W488" s="176"/>
      <c r="X488" s="176"/>
      <c r="Y488" s="176"/>
      <c r="Z488" s="176"/>
    </row>
    <row r="489">
      <c r="A489" s="249" t="s">
        <v>57</v>
      </c>
      <c r="B489" s="249" t="s">
        <v>519</v>
      </c>
      <c r="C489" s="219" t="s">
        <v>2984</v>
      </c>
      <c r="D489" s="268" t="s">
        <v>495</v>
      </c>
      <c r="E489" s="251">
        <v>44209.0</v>
      </c>
      <c r="F489" s="250" t="s">
        <v>521</v>
      </c>
      <c r="G489" s="171">
        <v>10.0</v>
      </c>
      <c r="H489" s="171">
        <v>25.0</v>
      </c>
      <c r="I489" s="171">
        <v>10.0</v>
      </c>
      <c r="J489" s="325">
        <f t="shared" si="18"/>
        <v>0.0004007657057</v>
      </c>
      <c r="K489" s="326">
        <f t="shared" si="21"/>
        <v>0.3005742793</v>
      </c>
      <c r="L489" s="327">
        <f t="shared" si="3"/>
        <v>2.582191953</v>
      </c>
      <c r="M489" s="321" t="str">
        <f t="shared" si="4"/>
        <v>fabiosmendes</v>
      </c>
      <c r="N489" s="209">
        <f>IFERROR(__xludf.DUMMYFUNCTION("""COMPUTED_VALUE"""),3.0)</f>
        <v>3</v>
      </c>
      <c r="O489" s="176"/>
      <c r="P489" s="176"/>
      <c r="Q489" s="176"/>
      <c r="R489" s="176"/>
      <c r="S489" s="176"/>
      <c r="T489" s="176"/>
      <c r="U489" s="176"/>
      <c r="V489" s="176"/>
      <c r="W489" s="176"/>
      <c r="X489" s="176"/>
      <c r="Y489" s="176"/>
      <c r="Z489" s="176"/>
    </row>
    <row r="490">
      <c r="A490" s="249" t="s">
        <v>178</v>
      </c>
      <c r="B490" s="249" t="s">
        <v>5</v>
      </c>
      <c r="C490" s="219" t="s">
        <v>3037</v>
      </c>
      <c r="D490" s="268" t="s">
        <v>495</v>
      </c>
      <c r="E490" s="361">
        <v>44199.0</v>
      </c>
      <c r="F490" s="250" t="s">
        <v>496</v>
      </c>
      <c r="G490" s="171">
        <v>1.0</v>
      </c>
      <c r="H490" s="171">
        <v>25.0</v>
      </c>
      <c r="I490" s="171">
        <v>1.0</v>
      </c>
      <c r="J490" s="325">
        <f t="shared" si="18"/>
        <v>0.0002568395764</v>
      </c>
      <c r="K490" s="326">
        <f t="shared" si="21"/>
        <v>0.1926296823</v>
      </c>
      <c r="L490" s="327">
        <f t="shared" si="3"/>
        <v>2.413424545</v>
      </c>
      <c r="M490" s="321" t="str">
        <f t="shared" si="4"/>
        <v>pkk777</v>
      </c>
      <c r="N490" s="209">
        <f>IFERROR(__xludf.DUMMYFUNCTION("""COMPUTED_VALUE"""),1.0)</f>
        <v>1</v>
      </c>
      <c r="O490" s="176"/>
      <c r="P490" s="176"/>
      <c r="Q490" s="176"/>
      <c r="R490" s="176"/>
      <c r="S490" s="176"/>
      <c r="T490" s="176"/>
      <c r="U490" s="176"/>
      <c r="V490" s="176"/>
      <c r="W490" s="176"/>
      <c r="X490" s="176"/>
      <c r="Y490" s="176"/>
      <c r="Z490" s="176"/>
    </row>
    <row r="491">
      <c r="A491" s="249" t="s">
        <v>178</v>
      </c>
      <c r="B491" s="249" t="s">
        <v>10</v>
      </c>
      <c r="C491" s="219" t="s">
        <v>494</v>
      </c>
      <c r="D491" s="268" t="s">
        <v>495</v>
      </c>
      <c r="E491" s="251">
        <v>44210.0</v>
      </c>
      <c r="F491" s="250" t="s">
        <v>545</v>
      </c>
      <c r="G491" s="171">
        <v>100.0</v>
      </c>
      <c r="H491" s="171">
        <v>125.0</v>
      </c>
      <c r="I491" s="171">
        <v>120.0</v>
      </c>
      <c r="J491" s="325">
        <f t="shared" si="18"/>
        <v>0.002961059817</v>
      </c>
      <c r="K491" s="326">
        <f t="shared" si="21"/>
        <v>2.220794863</v>
      </c>
      <c r="L491" s="327">
        <f t="shared" si="3"/>
        <v>2.413424545</v>
      </c>
      <c r="M491" s="321" t="str">
        <f t="shared" si="4"/>
        <v>pkk777</v>
      </c>
      <c r="N491" s="209">
        <f>IFERROR(__xludf.DUMMYFUNCTION("""COMPUTED_VALUE"""),2.0)</f>
        <v>2</v>
      </c>
      <c r="O491" s="176"/>
      <c r="P491" s="176"/>
      <c r="Q491" s="176"/>
      <c r="R491" s="176"/>
      <c r="S491" s="176"/>
      <c r="T491" s="176"/>
      <c r="U491" s="176"/>
      <c r="V491" s="176"/>
      <c r="W491" s="176"/>
      <c r="X491" s="176"/>
      <c r="Y491" s="176"/>
      <c r="Z491" s="176"/>
    </row>
    <row r="492">
      <c r="A492" s="249" t="s">
        <v>38</v>
      </c>
      <c r="B492" s="249" t="s">
        <v>1228</v>
      </c>
      <c r="C492" s="219" t="s">
        <v>2874</v>
      </c>
      <c r="D492" s="268" t="s">
        <v>495</v>
      </c>
      <c r="E492" s="361">
        <v>44198.0</v>
      </c>
      <c r="F492" s="250" t="s">
        <v>496</v>
      </c>
      <c r="G492" s="171">
        <v>20.0</v>
      </c>
      <c r="H492" s="171">
        <v>25.0</v>
      </c>
      <c r="I492" s="171">
        <v>15.0</v>
      </c>
      <c r="J492" s="325">
        <f t="shared" si="18"/>
        <v>0.0005212732072</v>
      </c>
      <c r="K492" s="326">
        <f t="shared" si="21"/>
        <v>0.3909549054</v>
      </c>
      <c r="L492" s="327">
        <f t="shared" si="3"/>
        <v>2.192818814</v>
      </c>
      <c r="M492" s="321" t="str">
        <f t="shared" si="4"/>
        <v>danibelle</v>
      </c>
      <c r="N492" s="209">
        <f>IFERROR(__xludf.DUMMYFUNCTION("""COMPUTED_VALUE"""),1.0)</f>
        <v>1</v>
      </c>
      <c r="O492" s="176"/>
      <c r="P492" s="176"/>
      <c r="Q492" s="176"/>
      <c r="R492" s="176"/>
      <c r="S492" s="176"/>
      <c r="T492" s="176"/>
      <c r="U492" s="176"/>
      <c r="V492" s="176"/>
      <c r="W492" s="176"/>
      <c r="X492" s="176"/>
      <c r="Y492" s="176"/>
      <c r="Z492" s="176"/>
    </row>
    <row r="493">
      <c r="A493" s="249" t="s">
        <v>38</v>
      </c>
      <c r="B493" s="249" t="s">
        <v>519</v>
      </c>
      <c r="C493" s="219" t="s">
        <v>2876</v>
      </c>
      <c r="D493" s="268" t="s">
        <v>495</v>
      </c>
      <c r="E493" s="361">
        <v>44201.0</v>
      </c>
      <c r="F493" s="250" t="s">
        <v>499</v>
      </c>
      <c r="G493" s="171">
        <v>60.0</v>
      </c>
      <c r="H493" s="171">
        <v>100.0</v>
      </c>
      <c r="I493" s="171">
        <v>60.0</v>
      </c>
      <c r="J493" s="325">
        <f t="shared" si="18"/>
        <v>0.001922898666</v>
      </c>
      <c r="K493" s="326">
        <f t="shared" si="21"/>
        <v>1.442174</v>
      </c>
      <c r="L493" s="327">
        <f t="shared" si="3"/>
        <v>2.192818814</v>
      </c>
      <c r="M493" s="321" t="str">
        <f t="shared" si="4"/>
        <v>danibelle</v>
      </c>
      <c r="N493" s="209">
        <f>IFERROR(__xludf.DUMMYFUNCTION("""COMPUTED_VALUE"""),2.0)</f>
        <v>2</v>
      </c>
      <c r="O493" s="176"/>
      <c r="P493" s="176"/>
      <c r="Q493" s="176"/>
      <c r="R493" s="176"/>
      <c r="S493" s="176"/>
      <c r="T493" s="176"/>
      <c r="U493" s="176"/>
      <c r="V493" s="176"/>
      <c r="W493" s="176"/>
      <c r="X493" s="176"/>
      <c r="Y493" s="176"/>
      <c r="Z493" s="176"/>
    </row>
    <row r="494">
      <c r="A494" s="249" t="s">
        <v>38</v>
      </c>
      <c r="B494" s="249" t="s">
        <v>519</v>
      </c>
      <c r="C494" s="219" t="s">
        <v>2329</v>
      </c>
      <c r="D494" s="268" t="s">
        <v>495</v>
      </c>
      <c r="E494" s="361">
        <v>44204.0</v>
      </c>
      <c r="F494" s="250" t="s">
        <v>521</v>
      </c>
      <c r="G494" s="171">
        <v>10.0</v>
      </c>
      <c r="H494" s="171">
        <v>25.0</v>
      </c>
      <c r="I494" s="171">
        <v>20.0</v>
      </c>
      <c r="J494" s="325">
        <f t="shared" si="18"/>
        <v>0.000479586546</v>
      </c>
      <c r="K494" s="326">
        <f t="shared" si="21"/>
        <v>0.3596899095</v>
      </c>
      <c r="L494" s="327">
        <f t="shared" si="3"/>
        <v>2.192818814</v>
      </c>
      <c r="M494" s="321" t="str">
        <f t="shared" si="4"/>
        <v>danibelle</v>
      </c>
      <c r="N494" s="209">
        <f>IFERROR(__xludf.DUMMYFUNCTION("""COMPUTED_VALUE"""),3.0)</f>
        <v>3</v>
      </c>
      <c r="O494" s="176"/>
      <c r="P494" s="176"/>
      <c r="Q494" s="176"/>
      <c r="R494" s="176"/>
      <c r="S494" s="176"/>
      <c r="T494" s="176"/>
      <c r="U494" s="176"/>
      <c r="V494" s="176"/>
      <c r="W494" s="176"/>
      <c r="X494" s="176"/>
      <c r="Y494" s="176"/>
      <c r="Z494" s="176"/>
    </row>
    <row r="495">
      <c r="A495" s="362" t="s">
        <v>62</v>
      </c>
      <c r="B495" s="240" t="s">
        <v>534</v>
      </c>
      <c r="C495" s="346" t="s">
        <v>2386</v>
      </c>
      <c r="D495" s="336"/>
      <c r="E495" s="255"/>
      <c r="F495" s="254"/>
      <c r="G495" s="222"/>
      <c r="H495" s="222"/>
      <c r="I495" s="222"/>
      <c r="J495" s="325">
        <f t="shared" si="18"/>
        <v>0</v>
      </c>
      <c r="K495" s="337">
        <f>10.491*-0.85</f>
        <v>-8.91735</v>
      </c>
      <c r="L495" s="327">
        <f t="shared" si="3"/>
        <v>1.573232033</v>
      </c>
      <c r="M495" s="321" t="str">
        <f t="shared" si="4"/>
        <v>fiorebotta</v>
      </c>
      <c r="N495" s="209">
        <f>IFERROR(__xludf.DUMMYFUNCTION("""COMPUTED_VALUE"""),1.0)</f>
        <v>1</v>
      </c>
      <c r="O495" s="176"/>
      <c r="P495" s="176"/>
      <c r="Q495" s="176"/>
      <c r="R495" s="176">
        <v>11.125055275694283</v>
      </c>
      <c r="S495" s="176"/>
      <c r="T495" s="176"/>
      <c r="U495" s="176"/>
      <c r="V495" s="176"/>
      <c r="W495" s="176"/>
      <c r="X495" s="176"/>
      <c r="Y495" s="176"/>
      <c r="Z495" s="176"/>
    </row>
    <row r="496">
      <c r="A496" s="249" t="s">
        <v>62</v>
      </c>
      <c r="B496" s="249" t="s">
        <v>62</v>
      </c>
      <c r="C496" s="219" t="s">
        <v>3038</v>
      </c>
      <c r="D496" s="268" t="s">
        <v>495</v>
      </c>
      <c r="E496" s="361">
        <v>44200.0</v>
      </c>
      <c r="F496" s="250" t="s">
        <v>2586</v>
      </c>
      <c r="G496" s="171">
        <v>300.0</v>
      </c>
      <c r="H496" s="171">
        <v>200.0</v>
      </c>
      <c r="I496" s="171">
        <v>230.0</v>
      </c>
      <c r="J496" s="325">
        <f t="shared" si="18"/>
        <v>0.006172574038</v>
      </c>
      <c r="K496" s="326">
        <f t="shared" ref="K496:K499" si="22">J496*$J$1</f>
        <v>4.629430529</v>
      </c>
      <c r="L496" s="327">
        <f t="shared" si="3"/>
        <v>1.573232033</v>
      </c>
      <c r="M496" s="321" t="str">
        <f t="shared" si="4"/>
        <v>fiorebotta</v>
      </c>
      <c r="N496" s="209">
        <f>IFERROR(__xludf.DUMMYFUNCTION("""COMPUTED_VALUE"""),2.0)</f>
        <v>2</v>
      </c>
      <c r="O496" s="176"/>
      <c r="P496" s="176"/>
      <c r="Q496" s="176"/>
      <c r="R496" s="176"/>
      <c r="S496" s="176"/>
      <c r="T496" s="176"/>
      <c r="U496" s="176"/>
      <c r="V496" s="176"/>
      <c r="W496" s="176"/>
      <c r="X496" s="176"/>
      <c r="Y496" s="176"/>
      <c r="Z496" s="176"/>
    </row>
    <row r="497">
      <c r="A497" s="249" t="s">
        <v>62</v>
      </c>
      <c r="B497" s="249" t="s">
        <v>6</v>
      </c>
      <c r="C497" s="219" t="s">
        <v>2913</v>
      </c>
      <c r="D497" s="268" t="s">
        <v>495</v>
      </c>
      <c r="E497" s="361">
        <v>44200.0</v>
      </c>
      <c r="F497" s="250" t="s">
        <v>496</v>
      </c>
      <c r="G497" s="171">
        <v>20.0</v>
      </c>
      <c r="H497" s="171">
        <v>25.0</v>
      </c>
      <c r="I497" s="171">
        <v>40.0</v>
      </c>
      <c r="J497" s="325">
        <f t="shared" si="18"/>
        <v>0.0007183253078</v>
      </c>
      <c r="K497" s="326">
        <f t="shared" si="22"/>
        <v>0.5387439808</v>
      </c>
      <c r="L497" s="327">
        <f t="shared" si="3"/>
        <v>1.573232033</v>
      </c>
      <c r="M497" s="321" t="str">
        <f t="shared" si="4"/>
        <v>fiorebotta</v>
      </c>
      <c r="N497" s="209">
        <f>IFERROR(__xludf.DUMMYFUNCTION("""COMPUTED_VALUE"""),3.0)</f>
        <v>3</v>
      </c>
      <c r="O497" s="176"/>
      <c r="P497" s="176"/>
      <c r="Q497" s="176"/>
      <c r="R497" s="176"/>
      <c r="S497" s="176"/>
      <c r="T497" s="176"/>
      <c r="U497" s="176"/>
      <c r="V497" s="176"/>
      <c r="W497" s="176"/>
      <c r="X497" s="176"/>
      <c r="Y497" s="176"/>
      <c r="Z497" s="176"/>
    </row>
    <row r="498">
      <c r="A498" s="249" t="s">
        <v>62</v>
      </c>
      <c r="B498" s="249" t="s">
        <v>10</v>
      </c>
      <c r="C498" s="219" t="s">
        <v>2931</v>
      </c>
      <c r="D498" s="268" t="s">
        <v>495</v>
      </c>
      <c r="E498" s="361">
        <v>44204.0</v>
      </c>
      <c r="F498" s="250" t="s">
        <v>496</v>
      </c>
      <c r="G498" s="171">
        <v>200.0</v>
      </c>
      <c r="H498" s="171">
        <v>155.0</v>
      </c>
      <c r="I498" s="171">
        <v>180.0</v>
      </c>
      <c r="J498" s="325">
        <f t="shared" si="18"/>
        <v>0.004533973013</v>
      </c>
      <c r="K498" s="326">
        <f t="shared" si="22"/>
        <v>3.400479759</v>
      </c>
      <c r="L498" s="327">
        <f t="shared" si="3"/>
        <v>1.573232033</v>
      </c>
      <c r="M498" s="321" t="str">
        <f t="shared" si="4"/>
        <v>fiorebotta</v>
      </c>
      <c r="N498" s="209">
        <f>IFERROR(__xludf.DUMMYFUNCTION("""COMPUTED_VALUE"""),4.0)</f>
        <v>4</v>
      </c>
      <c r="O498" s="176"/>
      <c r="P498" s="176"/>
      <c r="Q498" s="176"/>
      <c r="R498" s="176"/>
      <c r="S498" s="176"/>
      <c r="T498" s="176"/>
      <c r="U498" s="176"/>
      <c r="V498" s="176"/>
      <c r="W498" s="176"/>
      <c r="X498" s="176"/>
      <c r="Y498" s="176"/>
      <c r="Z498" s="176"/>
    </row>
    <row r="499">
      <c r="A499" s="249" t="s">
        <v>62</v>
      </c>
      <c r="B499" s="249" t="s">
        <v>10</v>
      </c>
      <c r="C499" s="219" t="s">
        <v>3039</v>
      </c>
      <c r="D499" s="268" t="s">
        <v>495</v>
      </c>
      <c r="E499" s="361">
        <v>44204.0</v>
      </c>
      <c r="F499" s="250" t="s">
        <v>496</v>
      </c>
      <c r="G499" s="171">
        <v>100.0</v>
      </c>
      <c r="H499" s="171">
        <v>100.0</v>
      </c>
      <c r="I499" s="171">
        <v>100.0</v>
      </c>
      <c r="J499" s="325">
        <f t="shared" si="18"/>
        <v>0.002562570352</v>
      </c>
      <c r="K499" s="326">
        <f t="shared" si="22"/>
        <v>1.921927764</v>
      </c>
      <c r="L499" s="327">
        <f t="shared" si="3"/>
        <v>1.573232033</v>
      </c>
      <c r="M499" s="321" t="str">
        <f t="shared" si="4"/>
        <v>fiorebotta</v>
      </c>
      <c r="N499" s="209">
        <f>IFERROR(__xludf.DUMMYFUNCTION("""COMPUTED_VALUE"""),5.0)</f>
        <v>5</v>
      </c>
      <c r="O499" s="176"/>
      <c r="P499" s="176"/>
      <c r="Q499" s="176"/>
      <c r="R499" s="176"/>
      <c r="S499" s="176"/>
      <c r="T499" s="176"/>
      <c r="U499" s="176"/>
      <c r="V499" s="176"/>
      <c r="W499" s="176"/>
      <c r="X499" s="176"/>
      <c r="Y499" s="176"/>
      <c r="Z499" s="176"/>
    </row>
    <row r="500">
      <c r="A500" s="240" t="s">
        <v>33</v>
      </c>
      <c r="B500" s="240" t="s">
        <v>534</v>
      </c>
      <c r="C500" s="221" t="s">
        <v>810</v>
      </c>
      <c r="D500" s="336"/>
      <c r="E500" s="255"/>
      <c r="F500" s="254"/>
      <c r="G500" s="222"/>
      <c r="H500" s="222"/>
      <c r="I500" s="222"/>
      <c r="J500" s="325">
        <f t="shared" si="18"/>
        <v>0</v>
      </c>
      <c r="K500" s="337">
        <f>10.077*-0.85</f>
        <v>-8.56545</v>
      </c>
      <c r="L500" s="327">
        <f t="shared" si="3"/>
        <v>1.511564907</v>
      </c>
      <c r="M500" s="321" t="str">
        <f t="shared" si="4"/>
        <v>vegayp</v>
      </c>
      <c r="N500" s="209">
        <f>IFERROR(__xludf.DUMMYFUNCTION("""COMPUTED_VALUE"""),1.0)</f>
        <v>1</v>
      </c>
      <c r="O500" s="209"/>
      <c r="P500" s="209"/>
      <c r="Q500" s="209"/>
      <c r="R500" s="209">
        <v>18.802169413641863</v>
      </c>
      <c r="S500" s="209"/>
      <c r="T500" s="209"/>
      <c r="U500" s="209"/>
      <c r="V500" s="209"/>
      <c r="W500" s="209"/>
      <c r="X500" s="209"/>
      <c r="Y500" s="176"/>
      <c r="Z500" s="176"/>
    </row>
    <row r="501">
      <c r="A501" s="249" t="s">
        <v>33</v>
      </c>
      <c r="B501" s="249" t="s">
        <v>1228</v>
      </c>
      <c r="C501" s="219" t="s">
        <v>2874</v>
      </c>
      <c r="D501" s="268" t="s">
        <v>495</v>
      </c>
      <c r="E501" s="361">
        <v>44198.0</v>
      </c>
      <c r="F501" s="250" t="s">
        <v>496</v>
      </c>
      <c r="G501" s="171">
        <v>20.0</v>
      </c>
      <c r="H501" s="171">
        <v>25.0</v>
      </c>
      <c r="I501" s="171">
        <v>15.0</v>
      </c>
      <c r="J501" s="325">
        <f t="shared" si="18"/>
        <v>0.0005212732072</v>
      </c>
      <c r="K501" s="326">
        <f t="shared" ref="K501:K520" si="23">J501*$J$1</f>
        <v>0.3909549054</v>
      </c>
      <c r="L501" s="327">
        <f t="shared" si="3"/>
        <v>1.511564907</v>
      </c>
      <c r="M501" s="321" t="str">
        <f t="shared" si="4"/>
        <v>vegayp</v>
      </c>
      <c r="N501" s="209">
        <f>IFERROR(__xludf.DUMMYFUNCTION("""COMPUTED_VALUE"""),2.0)</f>
        <v>2</v>
      </c>
      <c r="O501" s="176"/>
      <c r="P501" s="176"/>
      <c r="Q501" s="176"/>
      <c r="R501" s="176"/>
      <c r="S501" s="176"/>
      <c r="T501" s="176"/>
      <c r="U501" s="176"/>
      <c r="V501" s="176"/>
      <c r="W501" s="176"/>
      <c r="X501" s="176"/>
      <c r="Y501" s="176"/>
      <c r="Z501" s="176"/>
    </row>
    <row r="502">
      <c r="A502" s="249" t="s">
        <v>33</v>
      </c>
      <c r="B502" s="249" t="s">
        <v>10</v>
      </c>
      <c r="C502" s="219" t="s">
        <v>2887</v>
      </c>
      <c r="D502" s="268" t="s">
        <v>495</v>
      </c>
      <c r="E502" s="361">
        <v>44204.0</v>
      </c>
      <c r="F502" s="250" t="s">
        <v>496</v>
      </c>
      <c r="G502" s="171">
        <v>150.0</v>
      </c>
      <c r="H502" s="171">
        <v>155.0</v>
      </c>
      <c r="I502" s="171">
        <v>230.0</v>
      </c>
      <c r="J502" s="325">
        <f t="shared" si="18"/>
        <v>0.004522591807</v>
      </c>
      <c r="K502" s="326">
        <f t="shared" si="23"/>
        <v>3.391943855</v>
      </c>
      <c r="L502" s="327">
        <f t="shared" si="3"/>
        <v>1.511564907</v>
      </c>
      <c r="M502" s="321" t="str">
        <f t="shared" si="4"/>
        <v>vegayp</v>
      </c>
      <c r="N502" s="209">
        <f>IFERROR(__xludf.DUMMYFUNCTION("""COMPUTED_VALUE"""),3.0)</f>
        <v>3</v>
      </c>
      <c r="O502" s="176"/>
      <c r="P502" s="176"/>
      <c r="Q502" s="176"/>
      <c r="R502" s="176"/>
      <c r="S502" s="176"/>
      <c r="T502" s="176"/>
      <c r="U502" s="176"/>
      <c r="V502" s="176"/>
      <c r="W502" s="176"/>
      <c r="X502" s="176"/>
      <c r="Y502" s="176"/>
      <c r="Z502" s="176"/>
    </row>
    <row r="503">
      <c r="A503" s="249" t="s">
        <v>33</v>
      </c>
      <c r="B503" s="249" t="s">
        <v>10</v>
      </c>
      <c r="C503" s="219" t="s">
        <v>2888</v>
      </c>
      <c r="D503" s="268" t="s">
        <v>495</v>
      </c>
      <c r="E503" s="361">
        <v>44204.0</v>
      </c>
      <c r="F503" s="250" t="s">
        <v>496</v>
      </c>
      <c r="G503" s="171">
        <v>20.0</v>
      </c>
      <c r="H503" s="171">
        <v>25.0</v>
      </c>
      <c r="I503" s="171">
        <v>20.0</v>
      </c>
      <c r="J503" s="325">
        <f t="shared" si="18"/>
        <v>0.0005606836273</v>
      </c>
      <c r="K503" s="326">
        <f t="shared" si="23"/>
        <v>0.4205127205</v>
      </c>
      <c r="L503" s="327">
        <f t="shared" si="3"/>
        <v>1.511564907</v>
      </c>
      <c r="M503" s="321" t="str">
        <f t="shared" si="4"/>
        <v>vegayp</v>
      </c>
      <c r="N503" s="209">
        <f>IFERROR(__xludf.DUMMYFUNCTION("""COMPUTED_VALUE"""),4.0)</f>
        <v>4</v>
      </c>
      <c r="O503" s="176"/>
      <c r="P503" s="176"/>
      <c r="Q503" s="176"/>
      <c r="R503" s="176"/>
      <c r="S503" s="176"/>
      <c r="T503" s="176"/>
      <c r="U503" s="176"/>
      <c r="V503" s="176"/>
      <c r="W503" s="176"/>
      <c r="X503" s="176"/>
      <c r="Y503" s="176"/>
      <c r="Z503" s="176"/>
    </row>
    <row r="504">
      <c r="A504" s="249" t="s">
        <v>33</v>
      </c>
      <c r="B504" s="249" t="s">
        <v>5</v>
      </c>
      <c r="C504" s="219" t="s">
        <v>2894</v>
      </c>
      <c r="D504" s="268" t="s">
        <v>495</v>
      </c>
      <c r="E504" s="251">
        <v>44210.0</v>
      </c>
      <c r="F504" s="250" t="s">
        <v>496</v>
      </c>
      <c r="G504" s="171">
        <v>150.0</v>
      </c>
      <c r="H504" s="171">
        <v>25.0</v>
      </c>
      <c r="I504" s="171">
        <v>70.0</v>
      </c>
      <c r="J504" s="325">
        <f t="shared" si="18"/>
        <v>0.002009049886</v>
      </c>
      <c r="K504" s="326">
        <f t="shared" si="23"/>
        <v>1.506787414</v>
      </c>
      <c r="L504" s="327">
        <f t="shared" si="3"/>
        <v>1.511564907</v>
      </c>
      <c r="M504" s="321" t="str">
        <f t="shared" si="4"/>
        <v>vegayp</v>
      </c>
      <c r="N504" s="209">
        <f>IFERROR(__xludf.DUMMYFUNCTION("""COMPUTED_VALUE"""),5.0)</f>
        <v>5</v>
      </c>
      <c r="O504" s="176"/>
      <c r="P504" s="176"/>
      <c r="Q504" s="176"/>
      <c r="R504" s="176"/>
      <c r="S504" s="176"/>
      <c r="T504" s="176"/>
      <c r="U504" s="176"/>
      <c r="V504" s="176"/>
      <c r="W504" s="176"/>
      <c r="X504" s="176"/>
      <c r="Y504" s="176"/>
      <c r="Z504" s="176"/>
    </row>
    <row r="505">
      <c r="A505" s="249" t="s">
        <v>33</v>
      </c>
      <c r="B505" s="249" t="s">
        <v>10</v>
      </c>
      <c r="C505" s="219" t="s">
        <v>3040</v>
      </c>
      <c r="D505" s="268" t="s">
        <v>495</v>
      </c>
      <c r="E505" s="251">
        <v>44211.0</v>
      </c>
      <c r="F505" s="250" t="s">
        <v>496</v>
      </c>
      <c r="G505" s="171">
        <v>120.0</v>
      </c>
      <c r="H505" s="171">
        <v>55.0</v>
      </c>
      <c r="I505" s="171">
        <v>100.0</v>
      </c>
      <c r="J505" s="325">
        <f t="shared" si="18"/>
        <v>0.002291238503</v>
      </c>
      <c r="K505" s="326">
        <f t="shared" si="23"/>
        <v>1.718428878</v>
      </c>
      <c r="L505" s="327">
        <f t="shared" si="3"/>
        <v>1.511564907</v>
      </c>
      <c r="M505" s="321" t="str">
        <f t="shared" si="4"/>
        <v>vegayp</v>
      </c>
      <c r="N505" s="209">
        <f>IFERROR(__xludf.DUMMYFUNCTION("""COMPUTED_VALUE"""),6.0)</f>
        <v>6</v>
      </c>
      <c r="O505" s="176"/>
      <c r="P505" s="176"/>
      <c r="Q505" s="176"/>
      <c r="R505" s="176"/>
      <c r="S505" s="176"/>
      <c r="T505" s="176"/>
      <c r="U505" s="176"/>
      <c r="V505" s="176"/>
      <c r="W505" s="176"/>
      <c r="X505" s="176"/>
      <c r="Y505" s="176"/>
      <c r="Z505" s="176"/>
    </row>
    <row r="506">
      <c r="A506" s="249" t="s">
        <v>33</v>
      </c>
      <c r="B506" s="249" t="s">
        <v>18</v>
      </c>
      <c r="C506" s="219" t="s">
        <v>2900</v>
      </c>
      <c r="D506" s="268" t="s">
        <v>495</v>
      </c>
      <c r="E506" s="251">
        <v>44211.0</v>
      </c>
      <c r="F506" s="250" t="s">
        <v>496</v>
      </c>
      <c r="G506" s="171">
        <v>200.0</v>
      </c>
      <c r="H506" s="171">
        <v>100.0</v>
      </c>
      <c r="I506" s="171">
        <v>120.0</v>
      </c>
      <c r="J506" s="325">
        <f t="shared" si="18"/>
        <v>0.003531182846</v>
      </c>
      <c r="K506" s="326">
        <f t="shared" si="23"/>
        <v>2.648387134</v>
      </c>
      <c r="L506" s="327">
        <f t="shared" si="3"/>
        <v>1.511564907</v>
      </c>
      <c r="M506" s="321" t="str">
        <f t="shared" si="4"/>
        <v>vegayp</v>
      </c>
      <c r="N506" s="209">
        <f>IFERROR(__xludf.DUMMYFUNCTION("""COMPUTED_VALUE"""),7.0)</f>
        <v>7</v>
      </c>
      <c r="O506" s="176"/>
      <c r="P506" s="176"/>
      <c r="Q506" s="176"/>
      <c r="R506" s="176"/>
      <c r="S506" s="176"/>
      <c r="T506" s="176"/>
      <c r="U506" s="176"/>
      <c r="V506" s="176"/>
      <c r="W506" s="176"/>
      <c r="X506" s="176"/>
      <c r="Y506" s="176"/>
      <c r="Z506" s="176"/>
    </row>
    <row r="507">
      <c r="A507" s="249" t="s">
        <v>231</v>
      </c>
      <c r="B507" s="249" t="s">
        <v>519</v>
      </c>
      <c r="C507" s="219" t="s">
        <v>2876</v>
      </c>
      <c r="D507" s="268" t="s">
        <v>495</v>
      </c>
      <c r="E507" s="361">
        <v>44201.0</v>
      </c>
      <c r="F507" s="250" t="s">
        <v>499</v>
      </c>
      <c r="G507" s="171">
        <v>60.0</v>
      </c>
      <c r="H507" s="171">
        <v>100.0</v>
      </c>
      <c r="I507" s="171">
        <v>60.0</v>
      </c>
      <c r="J507" s="325">
        <f t="shared" si="18"/>
        <v>0.001922898666</v>
      </c>
      <c r="K507" s="326">
        <f t="shared" si="23"/>
        <v>1.442174</v>
      </c>
      <c r="L507" s="327">
        <f t="shared" si="3"/>
        <v>1.442174</v>
      </c>
      <c r="M507" s="321" t="str">
        <f t="shared" si="4"/>
        <v>ubipromoter</v>
      </c>
      <c r="N507" s="209">
        <f>IFERROR(__xludf.DUMMYFUNCTION("""COMPUTED_VALUE"""),1.0)</f>
        <v>1</v>
      </c>
      <c r="O507" s="176"/>
      <c r="P507" s="176"/>
      <c r="Q507" s="176"/>
      <c r="R507" s="176"/>
      <c r="S507" s="176"/>
      <c r="T507" s="176"/>
      <c r="U507" s="176"/>
      <c r="V507" s="176"/>
      <c r="W507" s="176"/>
      <c r="X507" s="176"/>
      <c r="Y507" s="176"/>
      <c r="Z507" s="176"/>
    </row>
    <row r="508">
      <c r="A508" s="249" t="s">
        <v>200</v>
      </c>
      <c r="B508" s="249" t="s">
        <v>519</v>
      </c>
      <c r="C508" s="219" t="s">
        <v>2876</v>
      </c>
      <c r="D508" s="268" t="s">
        <v>495</v>
      </c>
      <c r="E508" s="361">
        <v>44201.0</v>
      </c>
      <c r="F508" s="250" t="s">
        <v>499</v>
      </c>
      <c r="G508" s="171">
        <v>60.0</v>
      </c>
      <c r="H508" s="171">
        <v>100.0</v>
      </c>
      <c r="I508" s="171">
        <v>60.0</v>
      </c>
      <c r="J508" s="325">
        <f t="shared" si="18"/>
        <v>0.001922898666</v>
      </c>
      <c r="K508" s="326">
        <f t="shared" si="23"/>
        <v>1.442174</v>
      </c>
      <c r="L508" s="327">
        <f t="shared" si="3"/>
        <v>1.442174</v>
      </c>
      <c r="M508" s="321" t="str">
        <f t="shared" si="4"/>
        <v>tze42</v>
      </c>
      <c r="N508" s="209">
        <f>IFERROR(__xludf.DUMMYFUNCTION("""COMPUTED_VALUE"""),1.0)</f>
        <v>1</v>
      </c>
      <c r="O508" s="176"/>
      <c r="P508" s="176"/>
      <c r="Q508" s="176"/>
      <c r="R508" s="176"/>
      <c r="S508" s="176"/>
      <c r="T508" s="176"/>
      <c r="U508" s="176"/>
      <c r="V508" s="176"/>
      <c r="W508" s="176"/>
      <c r="X508" s="176"/>
      <c r="Y508" s="176"/>
      <c r="Z508" s="176"/>
    </row>
    <row r="509">
      <c r="A509" s="249" t="s">
        <v>194</v>
      </c>
      <c r="B509" s="249" t="s">
        <v>519</v>
      </c>
      <c r="C509" s="219" t="s">
        <v>2876</v>
      </c>
      <c r="D509" s="268" t="s">
        <v>495</v>
      </c>
      <c r="E509" s="361">
        <v>44201.0</v>
      </c>
      <c r="F509" s="250" t="s">
        <v>499</v>
      </c>
      <c r="G509" s="171">
        <v>60.0</v>
      </c>
      <c r="H509" s="171">
        <v>100.0</v>
      </c>
      <c r="I509" s="171">
        <v>60.0</v>
      </c>
      <c r="J509" s="325">
        <f t="shared" si="18"/>
        <v>0.001922898666</v>
      </c>
      <c r="K509" s="326">
        <f t="shared" si="23"/>
        <v>1.442174</v>
      </c>
      <c r="L509" s="327">
        <f t="shared" si="3"/>
        <v>1.442174</v>
      </c>
      <c r="M509" s="321" t="str">
        <f t="shared" si="4"/>
        <v>lanski13</v>
      </c>
      <c r="N509" s="209">
        <f>IFERROR(__xludf.DUMMYFUNCTION("""COMPUTED_VALUE"""),1.0)</f>
        <v>1</v>
      </c>
      <c r="O509" s="176"/>
      <c r="P509" s="176"/>
      <c r="Q509" s="176"/>
      <c r="R509" s="176"/>
      <c r="S509" s="176"/>
      <c r="T509" s="176"/>
      <c r="U509" s="176"/>
      <c r="V509" s="176"/>
      <c r="W509" s="176"/>
      <c r="X509" s="176"/>
      <c r="Y509" s="176"/>
      <c r="Z509" s="176"/>
    </row>
    <row r="510">
      <c r="A510" s="249" t="s">
        <v>232</v>
      </c>
      <c r="B510" s="249" t="s">
        <v>519</v>
      </c>
      <c r="C510" s="219" t="s">
        <v>2876</v>
      </c>
      <c r="D510" s="268" t="s">
        <v>495</v>
      </c>
      <c r="E510" s="361">
        <v>44201.0</v>
      </c>
      <c r="F510" s="250" t="s">
        <v>499</v>
      </c>
      <c r="G510" s="171">
        <v>60.0</v>
      </c>
      <c r="H510" s="171">
        <v>100.0</v>
      </c>
      <c r="I510" s="171">
        <v>60.0</v>
      </c>
      <c r="J510" s="325">
        <f t="shared" si="18"/>
        <v>0.001922898666</v>
      </c>
      <c r="K510" s="326">
        <f t="shared" si="23"/>
        <v>1.442174</v>
      </c>
      <c r="L510" s="327">
        <f t="shared" si="3"/>
        <v>1.442174</v>
      </c>
      <c r="M510" s="321" t="str">
        <f t="shared" si="4"/>
        <v>ferdinandrg</v>
      </c>
      <c r="N510" s="209">
        <f>IFERROR(__xludf.DUMMYFUNCTION("""COMPUTED_VALUE"""),1.0)</f>
        <v>1</v>
      </c>
      <c r="O510" s="176"/>
      <c r="P510" s="176"/>
      <c r="Q510" s="176"/>
      <c r="R510" s="176"/>
      <c r="S510" s="176"/>
      <c r="T510" s="176"/>
      <c r="U510" s="176"/>
      <c r="V510" s="176"/>
      <c r="W510" s="176"/>
      <c r="X510" s="176"/>
      <c r="Y510" s="176"/>
      <c r="Z510" s="176"/>
    </row>
    <row r="511">
      <c r="A511" s="249" t="s">
        <v>19</v>
      </c>
      <c r="B511" s="249" t="s">
        <v>519</v>
      </c>
      <c r="C511" s="219" t="s">
        <v>2905</v>
      </c>
      <c r="D511" s="268" t="s">
        <v>495</v>
      </c>
      <c r="E511" s="361">
        <v>44200.0</v>
      </c>
      <c r="F511" s="250" t="s">
        <v>499</v>
      </c>
      <c r="G511" s="171">
        <v>45.0</v>
      </c>
      <c r="H511" s="171">
        <v>25.0</v>
      </c>
      <c r="I511" s="171">
        <v>10.0</v>
      </c>
      <c r="J511" s="325">
        <f t="shared" si="18"/>
        <v>0.0006846054904</v>
      </c>
      <c r="K511" s="326">
        <f t="shared" si="23"/>
        <v>0.5134541178</v>
      </c>
      <c r="L511" s="327">
        <f t="shared" si="3"/>
        <v>1.421018132</v>
      </c>
      <c r="M511" s="321" t="str">
        <f t="shared" si="4"/>
        <v>mzargham</v>
      </c>
      <c r="N511" s="209">
        <f>IFERROR(__xludf.DUMMYFUNCTION("""COMPUTED_VALUE"""),1.0)</f>
        <v>1</v>
      </c>
      <c r="O511" s="176"/>
      <c r="P511" s="176"/>
      <c r="Q511" s="176"/>
      <c r="R511" s="176"/>
      <c r="S511" s="176"/>
      <c r="T511" s="176"/>
      <c r="U511" s="176"/>
      <c r="V511" s="176"/>
      <c r="W511" s="176"/>
      <c r="X511" s="176"/>
      <c r="Y511" s="176"/>
      <c r="Z511" s="176"/>
    </row>
    <row r="512">
      <c r="A512" s="249" t="s">
        <v>19</v>
      </c>
      <c r="B512" s="249" t="s">
        <v>519</v>
      </c>
      <c r="C512" s="219" t="s">
        <v>2878</v>
      </c>
      <c r="D512" s="268" t="s">
        <v>495</v>
      </c>
      <c r="E512" s="361">
        <v>44201.0</v>
      </c>
      <c r="F512" s="250" t="s">
        <v>499</v>
      </c>
      <c r="G512" s="171">
        <v>45.0</v>
      </c>
      <c r="H512" s="171">
        <v>55.0</v>
      </c>
      <c r="I512" s="171">
        <v>40.0</v>
      </c>
      <c r="J512" s="325">
        <f t="shared" si="18"/>
        <v>0.001210085352</v>
      </c>
      <c r="K512" s="326">
        <f t="shared" si="23"/>
        <v>0.9075640141</v>
      </c>
      <c r="L512" s="327">
        <f t="shared" si="3"/>
        <v>1.421018132</v>
      </c>
      <c r="M512" s="321" t="str">
        <f t="shared" si="4"/>
        <v>mzargham</v>
      </c>
      <c r="N512" s="209">
        <f>IFERROR(__xludf.DUMMYFUNCTION("""COMPUTED_VALUE"""),2.0)</f>
        <v>2</v>
      </c>
      <c r="O512" s="176"/>
      <c r="P512" s="176"/>
      <c r="Q512" s="176"/>
      <c r="R512" s="176"/>
      <c r="S512" s="176"/>
      <c r="T512" s="176"/>
      <c r="U512" s="176"/>
      <c r="V512" s="176"/>
      <c r="W512" s="176"/>
      <c r="X512" s="176"/>
      <c r="Y512" s="176"/>
      <c r="Z512" s="176"/>
    </row>
    <row r="513">
      <c r="A513" s="249" t="s">
        <v>132</v>
      </c>
      <c r="B513" s="249" t="s">
        <v>18</v>
      </c>
      <c r="C513" s="219" t="s">
        <v>2966</v>
      </c>
      <c r="D513" s="268" t="s">
        <v>495</v>
      </c>
      <c r="E513" s="251">
        <v>44211.0</v>
      </c>
      <c r="F513" s="250" t="s">
        <v>496</v>
      </c>
      <c r="G513" s="171">
        <v>100.0</v>
      </c>
      <c r="H513" s="171">
        <v>50.0</v>
      </c>
      <c r="I513" s="171">
        <v>70.0</v>
      </c>
      <c r="J513" s="325">
        <f t="shared" si="18"/>
        <v>0.001844412263</v>
      </c>
      <c r="K513" s="326">
        <f t="shared" si="23"/>
        <v>1.383309197</v>
      </c>
      <c r="L513" s="327">
        <f t="shared" si="3"/>
        <v>1.383309197</v>
      </c>
      <c r="M513" s="321" t="str">
        <f t="shared" si="4"/>
        <v>aaron_soskin</v>
      </c>
      <c r="N513" s="209">
        <f>IFERROR(__xludf.DUMMYFUNCTION("""COMPUTED_VALUE"""),1.0)</f>
        <v>1</v>
      </c>
      <c r="O513" s="176"/>
      <c r="P513" s="176"/>
      <c r="Q513" s="176"/>
      <c r="R513" s="176"/>
      <c r="S513" s="176"/>
      <c r="T513" s="176"/>
      <c r="U513" s="176"/>
      <c r="V513" s="176"/>
      <c r="W513" s="176"/>
      <c r="X513" s="176"/>
      <c r="Y513" s="176"/>
      <c r="Z513" s="176"/>
    </row>
    <row r="514">
      <c r="A514" s="249" t="s">
        <v>50</v>
      </c>
      <c r="B514" s="249" t="s">
        <v>1228</v>
      </c>
      <c r="C514" s="219" t="s">
        <v>2874</v>
      </c>
      <c r="D514" s="268" t="s">
        <v>495</v>
      </c>
      <c r="E514" s="361">
        <v>44198.0</v>
      </c>
      <c r="F514" s="250" t="s">
        <v>496</v>
      </c>
      <c r="G514" s="171">
        <v>20.0</v>
      </c>
      <c r="H514" s="171">
        <v>25.0</v>
      </c>
      <c r="I514" s="171">
        <v>15.0</v>
      </c>
      <c r="J514" s="325">
        <f t="shared" si="18"/>
        <v>0.0005212732072</v>
      </c>
      <c r="K514" s="326">
        <f t="shared" si="23"/>
        <v>0.3909549054</v>
      </c>
      <c r="L514" s="327">
        <f t="shared" si="3"/>
        <v>1.298518919</v>
      </c>
      <c r="M514" s="321" t="str">
        <f t="shared" si="4"/>
        <v>geleeroyale</v>
      </c>
      <c r="N514" s="209">
        <f>IFERROR(__xludf.DUMMYFUNCTION("""COMPUTED_VALUE"""),1.0)</f>
        <v>1</v>
      </c>
      <c r="O514" s="176"/>
      <c r="P514" s="176"/>
      <c r="Q514" s="176"/>
      <c r="R514" s="176"/>
      <c r="S514" s="176"/>
      <c r="T514" s="176"/>
      <c r="U514" s="176"/>
      <c r="V514" s="176"/>
      <c r="W514" s="176"/>
      <c r="X514" s="176"/>
      <c r="Y514" s="176"/>
      <c r="Z514" s="176"/>
    </row>
    <row r="515">
      <c r="A515" s="249" t="s">
        <v>50</v>
      </c>
      <c r="B515" s="249" t="s">
        <v>519</v>
      </c>
      <c r="C515" s="219" t="s">
        <v>2878</v>
      </c>
      <c r="D515" s="268" t="s">
        <v>495</v>
      </c>
      <c r="E515" s="361">
        <v>44201.0</v>
      </c>
      <c r="F515" s="250" t="s">
        <v>499</v>
      </c>
      <c r="G515" s="171">
        <v>45.0</v>
      </c>
      <c r="H515" s="171">
        <v>55.0</v>
      </c>
      <c r="I515" s="171">
        <v>40.0</v>
      </c>
      <c r="J515" s="325">
        <f t="shared" si="18"/>
        <v>0.001210085352</v>
      </c>
      <c r="K515" s="326">
        <f t="shared" si="23"/>
        <v>0.9075640141</v>
      </c>
      <c r="L515" s="327">
        <f t="shared" si="3"/>
        <v>1.298518919</v>
      </c>
      <c r="M515" s="321" t="str">
        <f t="shared" si="4"/>
        <v>geleeroyale</v>
      </c>
      <c r="N515" s="209">
        <f>IFERROR(__xludf.DUMMYFUNCTION("""COMPUTED_VALUE"""),2.0)</f>
        <v>2</v>
      </c>
      <c r="O515" s="176"/>
      <c r="P515" s="176"/>
      <c r="Q515" s="176"/>
      <c r="R515" s="176"/>
      <c r="S515" s="176"/>
      <c r="T515" s="176"/>
      <c r="U515" s="176"/>
      <c r="V515" s="176"/>
      <c r="W515" s="176"/>
      <c r="X515" s="176"/>
      <c r="Y515" s="176"/>
      <c r="Z515" s="176"/>
    </row>
    <row r="516">
      <c r="A516" s="249" t="s">
        <v>92</v>
      </c>
      <c r="B516" s="249" t="s">
        <v>29</v>
      </c>
      <c r="C516" s="219" t="s">
        <v>2889</v>
      </c>
      <c r="D516" s="268" t="s">
        <v>495</v>
      </c>
      <c r="E516" s="361">
        <v>44204.0</v>
      </c>
      <c r="F516" s="250" t="s">
        <v>592</v>
      </c>
      <c r="G516" s="171">
        <v>120.0</v>
      </c>
      <c r="H516" s="171">
        <v>25.0</v>
      </c>
      <c r="I516" s="171">
        <v>60.0</v>
      </c>
      <c r="J516" s="325">
        <f t="shared" si="18"/>
        <v>0.001686937801</v>
      </c>
      <c r="K516" s="326">
        <f t="shared" si="23"/>
        <v>1.265203351</v>
      </c>
      <c r="L516" s="327">
        <f t="shared" si="3"/>
        <v>1.265203351</v>
      </c>
      <c r="M516" s="321" t="str">
        <f t="shared" si="4"/>
        <v>jameszaki</v>
      </c>
      <c r="N516" s="209">
        <f>IFERROR(__xludf.DUMMYFUNCTION("""COMPUTED_VALUE"""),1.0)</f>
        <v>1</v>
      </c>
      <c r="O516" s="176"/>
      <c r="P516" s="176"/>
      <c r="Q516" s="176"/>
      <c r="R516" s="176"/>
      <c r="S516" s="176"/>
      <c r="T516" s="176"/>
      <c r="U516" s="176"/>
      <c r="V516" s="176"/>
      <c r="W516" s="176"/>
      <c r="X516" s="176"/>
      <c r="Y516" s="176"/>
      <c r="Z516" s="176"/>
    </row>
    <row r="517">
      <c r="A517" s="249" t="s">
        <v>106</v>
      </c>
      <c r="B517" s="249" t="s">
        <v>29</v>
      </c>
      <c r="C517" s="219" t="s">
        <v>2889</v>
      </c>
      <c r="D517" s="268" t="s">
        <v>495</v>
      </c>
      <c r="E517" s="361">
        <v>44204.0</v>
      </c>
      <c r="F517" s="250" t="s">
        <v>592</v>
      </c>
      <c r="G517" s="171">
        <v>120.0</v>
      </c>
      <c r="H517" s="171">
        <v>25.0</v>
      </c>
      <c r="I517" s="171">
        <v>60.0</v>
      </c>
      <c r="J517" s="325">
        <f t="shared" si="18"/>
        <v>0.001686937801</v>
      </c>
      <c r="K517" s="326">
        <f t="shared" si="23"/>
        <v>1.265203351</v>
      </c>
      <c r="L517" s="327">
        <f t="shared" si="3"/>
        <v>1.265203351</v>
      </c>
      <c r="M517" s="321" t="str">
        <f t="shared" si="4"/>
        <v>jamessimbouras</v>
      </c>
      <c r="N517" s="209">
        <f>IFERROR(__xludf.DUMMYFUNCTION("""COMPUTED_VALUE"""),1.0)</f>
        <v>1</v>
      </c>
      <c r="O517" s="176"/>
      <c r="P517" s="176"/>
      <c r="Q517" s="176"/>
      <c r="R517" s="176"/>
      <c r="S517" s="176"/>
      <c r="T517" s="176"/>
      <c r="U517" s="176"/>
      <c r="V517" s="176"/>
      <c r="W517" s="176"/>
      <c r="X517" s="176"/>
      <c r="Y517" s="176"/>
      <c r="Z517" s="176"/>
    </row>
    <row r="518">
      <c r="A518" s="249" t="s">
        <v>72</v>
      </c>
      <c r="B518" s="249" t="s">
        <v>10</v>
      </c>
      <c r="C518" s="219" t="s">
        <v>2896</v>
      </c>
      <c r="D518" s="268" t="s">
        <v>495</v>
      </c>
      <c r="E518" s="251">
        <v>44211.0</v>
      </c>
      <c r="F518" s="250" t="s">
        <v>496</v>
      </c>
      <c r="G518" s="171">
        <v>10.0</v>
      </c>
      <c r="H518" s="171">
        <v>25.0</v>
      </c>
      <c r="I518" s="171">
        <v>40.0</v>
      </c>
      <c r="J518" s="325">
        <f t="shared" si="18"/>
        <v>0.0006372282264</v>
      </c>
      <c r="K518" s="326">
        <f t="shared" si="23"/>
        <v>0.4779211698</v>
      </c>
      <c r="L518" s="327">
        <f t="shared" si="3"/>
        <v>1.168722178</v>
      </c>
      <c r="M518" s="321" t="str">
        <f t="shared" si="4"/>
        <v>daithic</v>
      </c>
      <c r="N518" s="209">
        <f>IFERROR(__xludf.DUMMYFUNCTION("""COMPUTED_VALUE"""),1.0)</f>
        <v>1</v>
      </c>
      <c r="O518" s="176"/>
      <c r="P518" s="176"/>
      <c r="Q518" s="176"/>
      <c r="R518" s="176"/>
      <c r="S518" s="176"/>
      <c r="T518" s="176"/>
      <c r="U518" s="176"/>
      <c r="V518" s="176"/>
      <c r="W518" s="176"/>
      <c r="X518" s="176"/>
      <c r="Y518" s="176"/>
      <c r="Z518" s="176"/>
    </row>
    <row r="519">
      <c r="A519" s="249" t="s">
        <v>72</v>
      </c>
      <c r="B519" s="249" t="s">
        <v>18</v>
      </c>
      <c r="C519" s="219" t="s">
        <v>2899</v>
      </c>
      <c r="D519" s="268" t="s">
        <v>495</v>
      </c>
      <c r="E519" s="251">
        <v>44211.0</v>
      </c>
      <c r="F519" s="250" t="s">
        <v>496</v>
      </c>
      <c r="G519" s="171">
        <v>45.0</v>
      </c>
      <c r="H519" s="171">
        <v>25.0</v>
      </c>
      <c r="I519" s="171">
        <v>40.0</v>
      </c>
      <c r="J519" s="325">
        <f t="shared" si="18"/>
        <v>0.000921068011</v>
      </c>
      <c r="K519" s="326">
        <f t="shared" si="23"/>
        <v>0.6908010083</v>
      </c>
      <c r="L519" s="327">
        <f t="shared" si="3"/>
        <v>1.168722178</v>
      </c>
      <c r="M519" s="321" t="str">
        <f t="shared" si="4"/>
        <v>daithic</v>
      </c>
      <c r="N519" s="209">
        <f>IFERROR(__xludf.DUMMYFUNCTION("""COMPUTED_VALUE"""),2.0)</f>
        <v>2</v>
      </c>
      <c r="O519" s="176"/>
      <c r="P519" s="176"/>
      <c r="Q519" s="176"/>
      <c r="R519" s="176"/>
      <c r="S519" s="176"/>
      <c r="T519" s="176"/>
      <c r="U519" s="176"/>
      <c r="V519" s="176"/>
      <c r="W519" s="176"/>
      <c r="X519" s="176"/>
      <c r="Y519" s="176"/>
      <c r="Z519" s="176"/>
    </row>
    <row r="520">
      <c r="A520" s="253" t="s">
        <v>72</v>
      </c>
      <c r="B520" s="253" t="s">
        <v>1228</v>
      </c>
      <c r="C520" s="256" t="s">
        <v>2901</v>
      </c>
      <c r="D520" s="336" t="s">
        <v>495</v>
      </c>
      <c r="E520" s="255">
        <v>44211.0</v>
      </c>
      <c r="F520" s="221" t="s">
        <v>2912</v>
      </c>
      <c r="G520" s="222">
        <v>0.0</v>
      </c>
      <c r="H520" s="222">
        <v>0.0</v>
      </c>
      <c r="I520" s="222">
        <v>0.0</v>
      </c>
      <c r="J520" s="339">
        <f t="shared" si="18"/>
        <v>0</v>
      </c>
      <c r="K520" s="337">
        <f t="shared" si="23"/>
        <v>0</v>
      </c>
      <c r="L520" s="341">
        <f t="shared" si="3"/>
        <v>1.168722178</v>
      </c>
      <c r="M520" s="342" t="str">
        <f t="shared" si="4"/>
        <v>daithic</v>
      </c>
      <c r="N520" s="209">
        <f>IFERROR(__xludf.DUMMYFUNCTION("""COMPUTED_VALUE"""),3.0)</f>
        <v>3</v>
      </c>
      <c r="O520" s="209"/>
      <c r="P520" s="209"/>
      <c r="Q520" s="209"/>
      <c r="R520" s="209"/>
      <c r="S520" s="209"/>
      <c r="T520" s="209"/>
      <c r="U520" s="209"/>
      <c r="V520" s="209"/>
      <c r="W520" s="209"/>
      <c r="X520" s="209"/>
      <c r="Y520" s="209"/>
      <c r="Z520" s="209"/>
    </row>
    <row r="521">
      <c r="A521" s="362" t="s">
        <v>61</v>
      </c>
      <c r="B521" s="240" t="s">
        <v>534</v>
      </c>
      <c r="C521" s="346" t="s">
        <v>2452</v>
      </c>
      <c r="D521" s="336"/>
      <c r="E521" s="255"/>
      <c r="F521" s="254"/>
      <c r="G521" s="222"/>
      <c r="H521" s="222"/>
      <c r="I521" s="222"/>
      <c r="J521" s="325">
        <f t="shared" si="18"/>
        <v>0</v>
      </c>
      <c r="K521" s="337">
        <f>-0.85*7.429</f>
        <v>-6.31465</v>
      </c>
      <c r="L521" s="327">
        <f t="shared" si="3"/>
        <v>1.114455121</v>
      </c>
      <c r="M521" s="321" t="str">
        <f t="shared" si="4"/>
        <v>fabimol</v>
      </c>
      <c r="N521" s="209">
        <f>IFERROR(__xludf.DUMMYFUNCTION("""COMPUTED_VALUE"""),1.0)</f>
        <v>1</v>
      </c>
      <c r="O521" s="176"/>
      <c r="P521" s="176"/>
      <c r="Q521" s="176"/>
      <c r="R521" s="176">
        <v>15.387070331364484</v>
      </c>
      <c r="S521" s="176"/>
      <c r="T521" s="176"/>
      <c r="U521" s="176"/>
      <c r="V521" s="176"/>
      <c r="W521" s="176"/>
      <c r="X521" s="176"/>
      <c r="Y521" s="176"/>
      <c r="Z521" s="176"/>
    </row>
    <row r="522">
      <c r="A522" s="249" t="s">
        <v>61</v>
      </c>
      <c r="B522" s="249" t="s">
        <v>6</v>
      </c>
      <c r="C522" s="219" t="s">
        <v>2913</v>
      </c>
      <c r="D522" s="268" t="s">
        <v>495</v>
      </c>
      <c r="E522" s="361">
        <v>44200.0</v>
      </c>
      <c r="F522" s="250" t="s">
        <v>496</v>
      </c>
      <c r="G522" s="171">
        <v>20.0</v>
      </c>
      <c r="H522" s="171">
        <v>25.0</v>
      </c>
      <c r="I522" s="171">
        <v>40.0</v>
      </c>
      <c r="J522" s="325">
        <f t="shared" si="18"/>
        <v>0.0007183253078</v>
      </c>
      <c r="K522" s="326">
        <f t="shared" ref="K522:K527" si="24">J522*$J$1</f>
        <v>0.5387439808</v>
      </c>
      <c r="L522" s="327">
        <f t="shared" si="3"/>
        <v>1.114455121</v>
      </c>
      <c r="M522" s="321" t="str">
        <f t="shared" si="4"/>
        <v>fabimol</v>
      </c>
      <c r="N522" s="209">
        <f>IFERROR(__xludf.DUMMYFUNCTION("""COMPUTED_VALUE"""),2.0)</f>
        <v>2</v>
      </c>
      <c r="O522" s="176"/>
      <c r="P522" s="176"/>
      <c r="Q522" s="176"/>
      <c r="R522" s="176"/>
      <c r="S522" s="176"/>
      <c r="T522" s="176"/>
      <c r="U522" s="176"/>
      <c r="V522" s="176"/>
      <c r="W522" s="176"/>
      <c r="X522" s="176"/>
      <c r="Y522" s="176"/>
      <c r="Z522" s="176"/>
    </row>
    <row r="523">
      <c r="A523" s="249" t="s">
        <v>61</v>
      </c>
      <c r="B523" s="249" t="s">
        <v>1175</v>
      </c>
      <c r="C523" s="219" t="s">
        <v>3041</v>
      </c>
      <c r="D523" s="268" t="s">
        <v>495</v>
      </c>
      <c r="E523" s="361">
        <v>44202.0</v>
      </c>
      <c r="F523" s="250" t="s">
        <v>2586</v>
      </c>
      <c r="G523" s="171">
        <v>65.0</v>
      </c>
      <c r="H523" s="171">
        <v>55.0</v>
      </c>
      <c r="I523" s="171">
        <v>60.0</v>
      </c>
      <c r="J523" s="325">
        <f t="shared" si="18"/>
        <v>0.001529921195</v>
      </c>
      <c r="K523" s="326">
        <f t="shared" si="24"/>
        <v>1.147440896</v>
      </c>
      <c r="L523" s="327">
        <f t="shared" si="3"/>
        <v>1.114455121</v>
      </c>
      <c r="M523" s="321" t="str">
        <f t="shared" si="4"/>
        <v>fabimol</v>
      </c>
      <c r="N523" s="209">
        <f>IFERROR(__xludf.DUMMYFUNCTION("""COMPUTED_VALUE"""),3.0)</f>
        <v>3</v>
      </c>
      <c r="O523" s="176"/>
      <c r="P523" s="176"/>
      <c r="Q523" s="176"/>
      <c r="R523" s="176"/>
      <c r="S523" s="176"/>
      <c r="T523" s="176"/>
      <c r="U523" s="176"/>
      <c r="V523" s="176"/>
      <c r="W523" s="176"/>
      <c r="X523" s="176"/>
      <c r="Y523" s="176"/>
      <c r="Z523" s="176"/>
    </row>
    <row r="524">
      <c r="A524" s="249" t="s">
        <v>61</v>
      </c>
      <c r="B524" s="249" t="s">
        <v>10</v>
      </c>
      <c r="C524" s="219" t="s">
        <v>2931</v>
      </c>
      <c r="D524" s="268" t="s">
        <v>495</v>
      </c>
      <c r="E524" s="361">
        <v>44204.0</v>
      </c>
      <c r="F524" s="250" t="s">
        <v>496</v>
      </c>
      <c r="G524" s="171">
        <v>200.0</v>
      </c>
      <c r="H524" s="171">
        <v>155.0</v>
      </c>
      <c r="I524" s="171">
        <v>180.0</v>
      </c>
      <c r="J524" s="325">
        <f t="shared" si="18"/>
        <v>0.004533973013</v>
      </c>
      <c r="K524" s="326">
        <f t="shared" si="24"/>
        <v>3.400479759</v>
      </c>
      <c r="L524" s="327">
        <f t="shared" si="3"/>
        <v>1.114455121</v>
      </c>
      <c r="M524" s="321" t="str">
        <f t="shared" si="4"/>
        <v>fabimol</v>
      </c>
      <c r="N524" s="209">
        <f>IFERROR(__xludf.DUMMYFUNCTION("""COMPUTED_VALUE"""),4.0)</f>
        <v>4</v>
      </c>
      <c r="O524" s="176"/>
      <c r="P524" s="176"/>
      <c r="Q524" s="176"/>
      <c r="R524" s="176"/>
      <c r="S524" s="176"/>
      <c r="T524" s="176"/>
      <c r="U524" s="176"/>
      <c r="V524" s="176"/>
      <c r="W524" s="176"/>
      <c r="X524" s="176"/>
      <c r="Y524" s="176"/>
      <c r="Z524" s="176"/>
    </row>
    <row r="525">
      <c r="A525" s="249" t="s">
        <v>61</v>
      </c>
      <c r="B525" s="249" t="s">
        <v>10</v>
      </c>
      <c r="C525" s="219" t="s">
        <v>3042</v>
      </c>
      <c r="D525" s="268" t="s">
        <v>495</v>
      </c>
      <c r="E525" s="361">
        <v>44204.0</v>
      </c>
      <c r="F525" s="250" t="s">
        <v>496</v>
      </c>
      <c r="G525" s="171">
        <v>100.0</v>
      </c>
      <c r="H525" s="171">
        <v>100.0</v>
      </c>
      <c r="I525" s="171">
        <v>100.0</v>
      </c>
      <c r="J525" s="325">
        <f t="shared" si="18"/>
        <v>0.002562570352</v>
      </c>
      <c r="K525" s="326">
        <f t="shared" si="24"/>
        <v>1.921927764</v>
      </c>
      <c r="L525" s="327">
        <f t="shared" si="3"/>
        <v>1.114455121</v>
      </c>
      <c r="M525" s="321" t="str">
        <f t="shared" si="4"/>
        <v>fabimol</v>
      </c>
      <c r="N525" s="209">
        <f>IFERROR(__xludf.DUMMYFUNCTION("""COMPUTED_VALUE"""),5.0)</f>
        <v>5</v>
      </c>
      <c r="O525" s="176"/>
      <c r="P525" s="176"/>
      <c r="Q525" s="176"/>
      <c r="R525" s="176"/>
      <c r="S525" s="176"/>
      <c r="T525" s="176"/>
      <c r="U525" s="176"/>
      <c r="V525" s="176"/>
      <c r="W525" s="176"/>
      <c r="X525" s="176"/>
      <c r="Y525" s="176"/>
      <c r="Z525" s="176"/>
    </row>
    <row r="526">
      <c r="A526" s="249" t="s">
        <v>61</v>
      </c>
      <c r="B526" s="249" t="s">
        <v>10</v>
      </c>
      <c r="C526" s="219" t="s">
        <v>2888</v>
      </c>
      <c r="D526" s="268" t="s">
        <v>495</v>
      </c>
      <c r="E526" s="361">
        <v>44204.0</v>
      </c>
      <c r="F526" s="250" t="s">
        <v>496</v>
      </c>
      <c r="G526" s="171">
        <v>20.0</v>
      </c>
      <c r="H526" s="171">
        <v>25.0</v>
      </c>
      <c r="I526" s="171">
        <v>20.0</v>
      </c>
      <c r="J526" s="325">
        <f t="shared" si="18"/>
        <v>0.0005606836273</v>
      </c>
      <c r="K526" s="326">
        <f t="shared" si="24"/>
        <v>0.4205127205</v>
      </c>
      <c r="L526" s="327">
        <f t="shared" si="3"/>
        <v>1.114455121</v>
      </c>
      <c r="M526" s="321" t="str">
        <f t="shared" si="4"/>
        <v>fabimol</v>
      </c>
      <c r="N526" s="209">
        <f>IFERROR(__xludf.DUMMYFUNCTION("""COMPUTED_VALUE"""),6.0)</f>
        <v>6</v>
      </c>
      <c r="O526" s="176"/>
      <c r="P526" s="176"/>
      <c r="Q526" s="176"/>
      <c r="R526" s="176"/>
      <c r="S526" s="176"/>
      <c r="T526" s="176"/>
      <c r="U526" s="176"/>
      <c r="V526" s="176"/>
      <c r="W526" s="176"/>
      <c r="X526" s="176"/>
      <c r="Y526" s="176"/>
      <c r="Z526" s="176"/>
    </row>
    <row r="527">
      <c r="A527" s="249" t="s">
        <v>190</v>
      </c>
      <c r="B527" s="249" t="s">
        <v>18</v>
      </c>
      <c r="C527" s="219" t="s">
        <v>3043</v>
      </c>
      <c r="D527" s="268" t="s">
        <v>495</v>
      </c>
      <c r="E527" s="361">
        <v>44202.0</v>
      </c>
      <c r="F527" s="250" t="s">
        <v>496</v>
      </c>
      <c r="G527" s="171">
        <v>60.0</v>
      </c>
      <c r="H527" s="171">
        <v>55.0</v>
      </c>
      <c r="I527" s="171">
        <v>45.0</v>
      </c>
      <c r="J527" s="325">
        <f t="shared" si="18"/>
        <v>0.001371141394</v>
      </c>
      <c r="K527" s="326">
        <f t="shared" si="24"/>
        <v>1.028356046</v>
      </c>
      <c r="L527" s="327">
        <f t="shared" si="3"/>
        <v>1.028356046</v>
      </c>
      <c r="M527" s="321" t="str">
        <f t="shared" si="4"/>
        <v>alexholman</v>
      </c>
      <c r="N527" s="209">
        <f>IFERROR(__xludf.DUMMYFUNCTION("""COMPUTED_VALUE"""),1.0)</f>
        <v>1</v>
      </c>
      <c r="O527" s="176"/>
      <c r="P527" s="176"/>
      <c r="Q527" s="176"/>
      <c r="R527" s="176"/>
      <c r="S527" s="176"/>
      <c r="T527" s="176"/>
      <c r="U527" s="176"/>
      <c r="V527" s="176"/>
      <c r="W527" s="176"/>
      <c r="X527" s="176"/>
      <c r="Y527" s="176"/>
      <c r="Z527" s="176"/>
    </row>
    <row r="528">
      <c r="A528" s="240" t="s">
        <v>118</v>
      </c>
      <c r="B528" s="240" t="s">
        <v>534</v>
      </c>
      <c r="C528" s="221" t="s">
        <v>2549</v>
      </c>
      <c r="D528" s="336"/>
      <c r="E528" s="255"/>
      <c r="F528" s="254"/>
      <c r="G528" s="222"/>
      <c r="H528" s="222"/>
      <c r="I528" s="222"/>
      <c r="J528" s="325">
        <f t="shared" si="18"/>
        <v>0</v>
      </c>
      <c r="K528" s="337">
        <f>-0.5*1.865</f>
        <v>-0.9325</v>
      </c>
      <c r="L528" s="327">
        <f t="shared" si="3"/>
        <v>0.9322701428</v>
      </c>
      <c r="M528" s="321" t="str">
        <f t="shared" si="4"/>
        <v>katalenacaban</v>
      </c>
      <c r="N528" s="209">
        <f>IFERROR(__xludf.DUMMYFUNCTION("""COMPUTED_VALUE"""),1.0)</f>
        <v>1</v>
      </c>
      <c r="O528" s="209"/>
      <c r="P528" s="209"/>
      <c r="Q528" s="209"/>
      <c r="R528" s="209">
        <v>36.89669088595067</v>
      </c>
      <c r="S528" s="209"/>
      <c r="T528" s="209"/>
      <c r="U528" s="209"/>
      <c r="V528" s="209"/>
      <c r="W528" s="209"/>
      <c r="X528" s="209"/>
      <c r="Y528" s="176"/>
      <c r="Z528" s="176"/>
    </row>
    <row r="529">
      <c r="A529" s="249" t="s">
        <v>118</v>
      </c>
      <c r="B529" s="249" t="s">
        <v>1920</v>
      </c>
      <c r="C529" s="219" t="s">
        <v>3044</v>
      </c>
      <c r="D529" s="268" t="s">
        <v>495</v>
      </c>
      <c r="E529" s="361">
        <v>44205.0</v>
      </c>
      <c r="F529" s="250" t="s">
        <v>1956</v>
      </c>
      <c r="G529" s="171">
        <v>150.0</v>
      </c>
      <c r="H529" s="171">
        <v>50.0</v>
      </c>
      <c r="I529" s="171">
        <v>100.0</v>
      </c>
      <c r="J529" s="325">
        <f t="shared" si="18"/>
        <v>0.00248636019</v>
      </c>
      <c r="K529" s="326">
        <f t="shared" ref="K529:K539" si="25">J529*$J$1</f>
        <v>1.864770143</v>
      </c>
      <c r="L529" s="327">
        <f t="shared" si="3"/>
        <v>0.9322701428</v>
      </c>
      <c r="M529" s="321" t="str">
        <f t="shared" si="4"/>
        <v>katalenacaban</v>
      </c>
      <c r="N529" s="209">
        <f>IFERROR(__xludf.DUMMYFUNCTION("""COMPUTED_VALUE"""),2.0)</f>
        <v>2</v>
      </c>
      <c r="O529" s="176"/>
      <c r="P529" s="176"/>
      <c r="Q529" s="176"/>
      <c r="R529" s="176"/>
      <c r="S529" s="176"/>
      <c r="T529" s="176"/>
      <c r="U529" s="176"/>
      <c r="V529" s="176"/>
      <c r="W529" s="176"/>
      <c r="X529" s="176"/>
      <c r="Y529" s="176"/>
      <c r="Z529" s="176"/>
    </row>
    <row r="530">
      <c r="A530" s="249" t="s">
        <v>260</v>
      </c>
      <c r="B530" s="249" t="s">
        <v>519</v>
      </c>
      <c r="C530" s="219" t="s">
        <v>2878</v>
      </c>
      <c r="D530" s="268" t="s">
        <v>495</v>
      </c>
      <c r="E530" s="361">
        <v>44201.0</v>
      </c>
      <c r="F530" s="250" t="s">
        <v>499</v>
      </c>
      <c r="G530" s="171">
        <v>45.0</v>
      </c>
      <c r="H530" s="171">
        <v>55.0</v>
      </c>
      <c r="I530" s="171">
        <v>40.0</v>
      </c>
      <c r="J530" s="325">
        <f t="shared" si="18"/>
        <v>0.001210085352</v>
      </c>
      <c r="K530" s="326">
        <f t="shared" si="25"/>
        <v>0.9075640141</v>
      </c>
      <c r="L530" s="327">
        <f t="shared" si="3"/>
        <v>0.9075640141</v>
      </c>
      <c r="M530" s="321" t="str">
        <f t="shared" si="4"/>
        <v>wipabramson</v>
      </c>
      <c r="N530" s="209">
        <f>IFERROR(__xludf.DUMMYFUNCTION("""COMPUTED_VALUE"""),1.0)</f>
        <v>1</v>
      </c>
      <c r="O530" s="176"/>
      <c r="P530" s="176"/>
      <c r="Q530" s="176"/>
      <c r="R530" s="176"/>
      <c r="S530" s="176"/>
      <c r="T530" s="176"/>
      <c r="U530" s="176"/>
      <c r="V530" s="176"/>
      <c r="W530" s="176"/>
      <c r="X530" s="176"/>
      <c r="Y530" s="176"/>
      <c r="Z530" s="176"/>
    </row>
    <row r="531">
      <c r="A531" s="249" t="s">
        <v>139</v>
      </c>
      <c r="B531" s="249" t="s">
        <v>519</v>
      </c>
      <c r="C531" s="219" t="s">
        <v>2878</v>
      </c>
      <c r="D531" s="268" t="s">
        <v>495</v>
      </c>
      <c r="E531" s="361">
        <v>44201.0</v>
      </c>
      <c r="F531" s="250" t="s">
        <v>499</v>
      </c>
      <c r="G531" s="171">
        <v>45.0</v>
      </c>
      <c r="H531" s="171">
        <v>55.0</v>
      </c>
      <c r="I531" s="171">
        <v>40.0</v>
      </c>
      <c r="J531" s="325">
        <f t="shared" si="18"/>
        <v>0.001210085352</v>
      </c>
      <c r="K531" s="326">
        <f t="shared" si="25"/>
        <v>0.9075640141</v>
      </c>
      <c r="L531" s="327">
        <f t="shared" si="3"/>
        <v>0.9075640141</v>
      </c>
      <c r="M531" s="321" t="str">
        <f t="shared" si="4"/>
        <v>tjayrush</v>
      </c>
      <c r="N531" s="209">
        <f>IFERROR(__xludf.DUMMYFUNCTION("""COMPUTED_VALUE"""),1.0)</f>
        <v>1</v>
      </c>
      <c r="O531" s="176"/>
      <c r="P531" s="176"/>
      <c r="Q531" s="176"/>
      <c r="R531" s="176"/>
      <c r="S531" s="176"/>
      <c r="T531" s="176"/>
      <c r="U531" s="176"/>
      <c r="V531" s="176"/>
      <c r="W531" s="176"/>
      <c r="X531" s="176"/>
      <c r="Y531" s="176"/>
      <c r="Z531" s="176"/>
    </row>
    <row r="532">
      <c r="A532" s="249" t="s">
        <v>201</v>
      </c>
      <c r="B532" s="249" t="s">
        <v>519</v>
      </c>
      <c r="C532" s="219" t="s">
        <v>2878</v>
      </c>
      <c r="D532" s="268" t="s">
        <v>495</v>
      </c>
      <c r="E532" s="361">
        <v>44201.0</v>
      </c>
      <c r="F532" s="250" t="s">
        <v>499</v>
      </c>
      <c r="G532" s="171">
        <v>45.0</v>
      </c>
      <c r="H532" s="171">
        <v>55.0</v>
      </c>
      <c r="I532" s="171">
        <v>40.0</v>
      </c>
      <c r="J532" s="325">
        <f t="shared" si="18"/>
        <v>0.001210085352</v>
      </c>
      <c r="K532" s="326">
        <f t="shared" si="25"/>
        <v>0.9075640141</v>
      </c>
      <c r="L532" s="327">
        <f t="shared" si="3"/>
        <v>0.9075640141</v>
      </c>
      <c r="M532" s="321" t="str">
        <f t="shared" si="4"/>
        <v>orishim</v>
      </c>
      <c r="N532" s="209">
        <f>IFERROR(__xludf.DUMMYFUNCTION("""COMPUTED_VALUE"""),1.0)</f>
        <v>1</v>
      </c>
      <c r="O532" s="176"/>
      <c r="P532" s="176"/>
      <c r="Q532" s="176"/>
      <c r="R532" s="176"/>
      <c r="S532" s="176"/>
      <c r="T532" s="176"/>
      <c r="U532" s="176"/>
      <c r="V532" s="176"/>
      <c r="W532" s="176"/>
      <c r="X532" s="176"/>
      <c r="Y532" s="176"/>
      <c r="Z532" s="176"/>
    </row>
    <row r="533">
      <c r="A533" s="249" t="s">
        <v>261</v>
      </c>
      <c r="B533" s="249" t="s">
        <v>519</v>
      </c>
      <c r="C533" s="219" t="s">
        <v>2878</v>
      </c>
      <c r="D533" s="268" t="s">
        <v>495</v>
      </c>
      <c r="E533" s="361">
        <v>44201.0</v>
      </c>
      <c r="F533" s="250" t="s">
        <v>499</v>
      </c>
      <c r="G533" s="171">
        <v>45.0</v>
      </c>
      <c r="H533" s="171">
        <v>55.0</v>
      </c>
      <c r="I533" s="171">
        <v>40.0</v>
      </c>
      <c r="J533" s="325">
        <f t="shared" si="18"/>
        <v>0.001210085352</v>
      </c>
      <c r="K533" s="326">
        <f t="shared" si="25"/>
        <v>0.9075640141</v>
      </c>
      <c r="L533" s="327">
        <f t="shared" si="3"/>
        <v>0.9075640141</v>
      </c>
      <c r="M533" s="321" t="str">
        <f t="shared" si="4"/>
        <v>jasselnorm</v>
      </c>
      <c r="N533" s="209">
        <f>IFERROR(__xludf.DUMMYFUNCTION("""COMPUTED_VALUE"""),1.0)</f>
        <v>1</v>
      </c>
      <c r="O533" s="176"/>
      <c r="P533" s="176"/>
      <c r="Q533" s="176"/>
      <c r="R533" s="176"/>
      <c r="S533" s="176"/>
      <c r="T533" s="176"/>
      <c r="U533" s="176"/>
      <c r="V533" s="176"/>
      <c r="W533" s="176"/>
      <c r="X533" s="176"/>
      <c r="Y533" s="176"/>
      <c r="Z533" s="176"/>
    </row>
    <row r="534">
      <c r="A534" s="249" t="s">
        <v>298</v>
      </c>
      <c r="B534" s="249" t="s">
        <v>519</v>
      </c>
      <c r="C534" s="219" t="s">
        <v>2878</v>
      </c>
      <c r="D534" s="268" t="s">
        <v>495</v>
      </c>
      <c r="E534" s="361">
        <v>44201.0</v>
      </c>
      <c r="F534" s="250" t="s">
        <v>499</v>
      </c>
      <c r="G534" s="171">
        <v>45.0</v>
      </c>
      <c r="H534" s="171">
        <v>55.0</v>
      </c>
      <c r="I534" s="171">
        <v>40.0</v>
      </c>
      <c r="J534" s="325">
        <f t="shared" si="18"/>
        <v>0.001210085352</v>
      </c>
      <c r="K534" s="326">
        <f t="shared" si="25"/>
        <v>0.9075640141</v>
      </c>
      <c r="L534" s="327">
        <f t="shared" si="3"/>
        <v>0.9075640141</v>
      </c>
      <c r="M534" s="321" t="str">
        <f t="shared" si="4"/>
        <v>igorline</v>
      </c>
      <c r="N534" s="209">
        <f>IFERROR(__xludf.DUMMYFUNCTION("""COMPUTED_VALUE"""),1.0)</f>
        <v>1</v>
      </c>
      <c r="O534" s="176"/>
      <c r="P534" s="176"/>
      <c r="Q534" s="176"/>
      <c r="R534" s="176"/>
      <c r="S534" s="176"/>
      <c r="T534" s="176"/>
      <c r="U534" s="176"/>
      <c r="V534" s="176"/>
      <c r="W534" s="176"/>
      <c r="X534" s="176"/>
      <c r="Y534" s="176"/>
      <c r="Z534" s="176"/>
    </row>
    <row r="535">
      <c r="A535" s="249" t="s">
        <v>147</v>
      </c>
      <c r="B535" s="249" t="s">
        <v>519</v>
      </c>
      <c r="C535" s="219" t="s">
        <v>2878</v>
      </c>
      <c r="D535" s="268" t="s">
        <v>495</v>
      </c>
      <c r="E535" s="361">
        <v>44201.0</v>
      </c>
      <c r="F535" s="250" t="s">
        <v>499</v>
      </c>
      <c r="G535" s="171">
        <v>45.0</v>
      </c>
      <c r="H535" s="171">
        <v>55.0</v>
      </c>
      <c r="I535" s="171">
        <v>40.0</v>
      </c>
      <c r="J535" s="325">
        <f t="shared" si="18"/>
        <v>0.001210085352</v>
      </c>
      <c r="K535" s="326">
        <f t="shared" si="25"/>
        <v>0.9075640141</v>
      </c>
      <c r="L535" s="327">
        <f t="shared" si="3"/>
        <v>0.9075640141</v>
      </c>
      <c r="M535" s="321" t="str">
        <f t="shared" si="4"/>
        <v>castall</v>
      </c>
      <c r="N535" s="209">
        <f>IFERROR(__xludf.DUMMYFUNCTION("""COMPUTED_VALUE"""),1.0)</f>
        <v>1</v>
      </c>
      <c r="O535" s="176"/>
      <c r="P535" s="176"/>
      <c r="Q535" s="176"/>
      <c r="R535" s="176"/>
      <c r="S535" s="176"/>
      <c r="T535" s="176"/>
      <c r="U535" s="176"/>
      <c r="V535" s="176"/>
      <c r="W535" s="176"/>
      <c r="X535" s="176"/>
      <c r="Y535" s="176"/>
      <c r="Z535" s="176"/>
    </row>
    <row r="536">
      <c r="A536" s="249" t="s">
        <v>42</v>
      </c>
      <c r="B536" s="249" t="s">
        <v>1228</v>
      </c>
      <c r="C536" s="219" t="s">
        <v>2874</v>
      </c>
      <c r="D536" s="268" t="s">
        <v>495</v>
      </c>
      <c r="E536" s="361">
        <v>44198.0</v>
      </c>
      <c r="F536" s="250" t="s">
        <v>496</v>
      </c>
      <c r="G536" s="171">
        <v>20.0</v>
      </c>
      <c r="H536" s="171">
        <v>25.0</v>
      </c>
      <c r="I536" s="171">
        <v>15.0</v>
      </c>
      <c r="J536" s="325">
        <f t="shared" si="18"/>
        <v>0.0005212732072</v>
      </c>
      <c r="K536" s="326">
        <f t="shared" si="25"/>
        <v>0.3909549054</v>
      </c>
      <c r="L536" s="327">
        <f t="shared" si="3"/>
        <v>0.9044090231</v>
      </c>
      <c r="M536" s="321" t="str">
        <f t="shared" si="4"/>
        <v>tannra</v>
      </c>
      <c r="N536" s="209">
        <f>IFERROR(__xludf.DUMMYFUNCTION("""COMPUTED_VALUE"""),1.0)</f>
        <v>1</v>
      </c>
      <c r="O536" s="176"/>
      <c r="P536" s="176"/>
      <c r="Q536" s="176"/>
      <c r="R536" s="176"/>
      <c r="S536" s="176"/>
      <c r="T536" s="176"/>
      <c r="U536" s="176"/>
      <c r="V536" s="176"/>
      <c r="W536" s="176"/>
      <c r="X536" s="176"/>
      <c r="Y536" s="176"/>
      <c r="Z536" s="176"/>
    </row>
    <row r="537">
      <c r="A537" s="249" t="s">
        <v>42</v>
      </c>
      <c r="B537" s="249" t="s">
        <v>519</v>
      </c>
      <c r="C537" s="219" t="s">
        <v>2905</v>
      </c>
      <c r="D537" s="268" t="s">
        <v>495</v>
      </c>
      <c r="E537" s="361">
        <v>44200.0</v>
      </c>
      <c r="F537" s="250" t="s">
        <v>499</v>
      </c>
      <c r="G537" s="171">
        <v>45.0</v>
      </c>
      <c r="H537" s="171">
        <v>25.0</v>
      </c>
      <c r="I537" s="171">
        <v>10.0</v>
      </c>
      <c r="J537" s="325">
        <f t="shared" si="18"/>
        <v>0.0006846054904</v>
      </c>
      <c r="K537" s="326">
        <f t="shared" si="25"/>
        <v>0.5134541178</v>
      </c>
      <c r="L537" s="327">
        <f t="shared" si="3"/>
        <v>0.9044090231</v>
      </c>
      <c r="M537" s="321" t="str">
        <f t="shared" si="4"/>
        <v>tannra</v>
      </c>
      <c r="N537" s="209">
        <f>IFERROR(__xludf.DUMMYFUNCTION("""COMPUTED_VALUE"""),2.0)</f>
        <v>2</v>
      </c>
      <c r="O537" s="176"/>
      <c r="P537" s="176"/>
      <c r="Q537" s="176"/>
      <c r="R537" s="176"/>
      <c r="S537" s="176"/>
      <c r="T537" s="176"/>
      <c r="U537" s="176"/>
      <c r="V537" s="176"/>
      <c r="W537" s="176"/>
      <c r="X537" s="176"/>
      <c r="Y537" s="176"/>
      <c r="Z537" s="176"/>
    </row>
    <row r="538">
      <c r="A538" s="249" t="s">
        <v>84</v>
      </c>
      <c r="B538" s="249" t="s">
        <v>1228</v>
      </c>
      <c r="C538" s="219" t="s">
        <v>2874</v>
      </c>
      <c r="D538" s="268" t="s">
        <v>495</v>
      </c>
      <c r="E538" s="361">
        <v>44198.0</v>
      </c>
      <c r="F538" s="250" t="s">
        <v>496</v>
      </c>
      <c r="G538" s="171">
        <v>20.0</v>
      </c>
      <c r="H538" s="171">
        <v>25.0</v>
      </c>
      <c r="I538" s="171">
        <v>15.0</v>
      </c>
      <c r="J538" s="325">
        <f t="shared" si="18"/>
        <v>0.0005212732072</v>
      </c>
      <c r="K538" s="326">
        <f t="shared" si="25"/>
        <v>0.3909549054</v>
      </c>
      <c r="L538" s="327">
        <f t="shared" si="3"/>
        <v>0.9044090231</v>
      </c>
      <c r="M538" s="321" t="str">
        <f t="shared" si="4"/>
        <v>gracerachmany</v>
      </c>
      <c r="N538" s="209">
        <f>IFERROR(__xludf.DUMMYFUNCTION("""COMPUTED_VALUE"""),1.0)</f>
        <v>1</v>
      </c>
      <c r="O538" s="176"/>
      <c r="P538" s="176"/>
      <c r="Q538" s="176"/>
      <c r="R538" s="176"/>
      <c r="S538" s="176"/>
      <c r="T538" s="176"/>
      <c r="U538" s="176"/>
      <c r="V538" s="176"/>
      <c r="W538" s="176"/>
      <c r="X538" s="176"/>
      <c r="Y538" s="176"/>
      <c r="Z538" s="176"/>
    </row>
    <row r="539">
      <c r="A539" s="249" t="s">
        <v>84</v>
      </c>
      <c r="B539" s="249" t="s">
        <v>519</v>
      </c>
      <c r="C539" s="219" t="s">
        <v>2905</v>
      </c>
      <c r="D539" s="268" t="s">
        <v>495</v>
      </c>
      <c r="E539" s="361">
        <v>44200.0</v>
      </c>
      <c r="F539" s="250" t="s">
        <v>499</v>
      </c>
      <c r="G539" s="171">
        <v>45.0</v>
      </c>
      <c r="H539" s="171">
        <v>25.0</v>
      </c>
      <c r="I539" s="171">
        <v>10.0</v>
      </c>
      <c r="J539" s="325">
        <f t="shared" si="18"/>
        <v>0.0006846054904</v>
      </c>
      <c r="K539" s="326">
        <f t="shared" si="25"/>
        <v>0.5134541178</v>
      </c>
      <c r="L539" s="327">
        <f t="shared" si="3"/>
        <v>0.9044090231</v>
      </c>
      <c r="M539" s="321" t="str">
        <f t="shared" si="4"/>
        <v>gracerachmany</v>
      </c>
      <c r="N539" s="209">
        <f>IFERROR(__xludf.DUMMYFUNCTION("""COMPUTED_VALUE"""),2.0)</f>
        <v>2</v>
      </c>
      <c r="O539" s="176"/>
      <c r="P539" s="176"/>
      <c r="Q539" s="176"/>
      <c r="R539" s="176"/>
      <c r="S539" s="176"/>
      <c r="T539" s="176"/>
      <c r="U539" s="176"/>
      <c r="V539" s="176"/>
      <c r="W539" s="176"/>
      <c r="X539" s="176"/>
      <c r="Y539" s="176"/>
      <c r="Z539" s="176"/>
    </row>
    <row r="540">
      <c r="A540" s="240" t="s">
        <v>85</v>
      </c>
      <c r="B540" s="240" t="s">
        <v>534</v>
      </c>
      <c r="C540" s="346" t="s">
        <v>2386</v>
      </c>
      <c r="D540" s="336"/>
      <c r="E540" s="255"/>
      <c r="F540" s="254"/>
      <c r="G540" s="222"/>
      <c r="H540" s="222"/>
      <c r="I540" s="222"/>
      <c r="J540" s="325">
        <f t="shared" si="18"/>
        <v>0</v>
      </c>
      <c r="K540" s="337">
        <f>-0.85*5.946</f>
        <v>-5.0541</v>
      </c>
      <c r="L540" s="327">
        <f t="shared" si="3"/>
        <v>0.8923191307</v>
      </c>
      <c r="M540" s="321" t="str">
        <f t="shared" si="4"/>
        <v>vivszaid</v>
      </c>
      <c r="N540" s="209">
        <f>IFERROR(__xludf.DUMMYFUNCTION("""COMPUTED_VALUE"""),1.0)</f>
        <v>1</v>
      </c>
      <c r="O540" s="176"/>
      <c r="P540" s="176"/>
      <c r="Q540" s="176"/>
      <c r="R540" s="176">
        <v>14.130370493717818</v>
      </c>
      <c r="S540" s="176"/>
      <c r="T540" s="176"/>
      <c r="U540" s="176"/>
      <c r="V540" s="176"/>
      <c r="W540" s="176"/>
      <c r="X540" s="176"/>
      <c r="Y540" s="176"/>
      <c r="Z540" s="176"/>
    </row>
    <row r="541">
      <c r="A541" s="249" t="s">
        <v>85</v>
      </c>
      <c r="B541" s="249" t="s">
        <v>85</v>
      </c>
      <c r="C541" s="219" t="s">
        <v>3045</v>
      </c>
      <c r="D541" s="268" t="s">
        <v>495</v>
      </c>
      <c r="E541" s="361">
        <v>44202.0</v>
      </c>
      <c r="F541" s="250" t="s">
        <v>2586</v>
      </c>
      <c r="G541" s="171">
        <v>30.0</v>
      </c>
      <c r="H541" s="171">
        <v>25.0</v>
      </c>
      <c r="I541" s="171">
        <v>30.0</v>
      </c>
      <c r="J541" s="325">
        <f t="shared" si="18"/>
        <v>0.0007206015488</v>
      </c>
      <c r="K541" s="326">
        <f t="shared" ref="K541:K546" si="26">J541*$J$1</f>
        <v>0.5404511616</v>
      </c>
      <c r="L541" s="327">
        <f t="shared" si="3"/>
        <v>0.8923191307</v>
      </c>
      <c r="M541" s="321" t="str">
        <f t="shared" si="4"/>
        <v>vivszaid</v>
      </c>
      <c r="N541" s="209">
        <f>IFERROR(__xludf.DUMMYFUNCTION("""COMPUTED_VALUE"""),2.0)</f>
        <v>2</v>
      </c>
      <c r="O541" s="176"/>
      <c r="P541" s="176"/>
      <c r="Q541" s="176"/>
      <c r="R541" s="176"/>
      <c r="S541" s="176"/>
      <c r="T541" s="176"/>
      <c r="U541" s="176"/>
      <c r="V541" s="176"/>
      <c r="W541" s="176"/>
      <c r="X541" s="176"/>
      <c r="Y541" s="176"/>
      <c r="Z541" s="176"/>
    </row>
    <row r="542">
      <c r="A542" s="249" t="s">
        <v>85</v>
      </c>
      <c r="B542" s="249" t="s">
        <v>85</v>
      </c>
      <c r="C542" s="219" t="s">
        <v>3046</v>
      </c>
      <c r="D542" s="268" t="s">
        <v>495</v>
      </c>
      <c r="E542" s="361">
        <v>44202.0</v>
      </c>
      <c r="F542" s="250" t="s">
        <v>2586</v>
      </c>
      <c r="G542" s="171">
        <v>30.0</v>
      </c>
      <c r="H542" s="171">
        <v>45.0</v>
      </c>
      <c r="I542" s="171">
        <v>40.0</v>
      </c>
      <c r="J542" s="325">
        <f t="shared" si="18"/>
        <v>0.0009921006164</v>
      </c>
      <c r="K542" s="326">
        <f t="shared" si="26"/>
        <v>0.7440754623</v>
      </c>
      <c r="L542" s="327">
        <f t="shared" si="3"/>
        <v>0.8923191307</v>
      </c>
      <c r="M542" s="321" t="str">
        <f t="shared" si="4"/>
        <v>vivszaid</v>
      </c>
      <c r="N542" s="209">
        <f>IFERROR(__xludf.DUMMYFUNCTION("""COMPUTED_VALUE"""),3.0)</f>
        <v>3</v>
      </c>
      <c r="O542" s="176"/>
      <c r="P542" s="176"/>
      <c r="Q542" s="176"/>
      <c r="R542" s="176"/>
      <c r="S542" s="176"/>
      <c r="T542" s="176"/>
      <c r="U542" s="176"/>
      <c r="V542" s="176"/>
      <c r="W542" s="176"/>
      <c r="X542" s="176"/>
      <c r="Y542" s="176"/>
      <c r="Z542" s="176"/>
    </row>
    <row r="543">
      <c r="A543" s="249" t="s">
        <v>85</v>
      </c>
      <c r="B543" s="249" t="s">
        <v>10</v>
      </c>
      <c r="C543" s="219" t="s">
        <v>2931</v>
      </c>
      <c r="D543" s="268" t="s">
        <v>495</v>
      </c>
      <c r="E543" s="361">
        <v>44204.0</v>
      </c>
      <c r="F543" s="250" t="s">
        <v>496</v>
      </c>
      <c r="G543" s="171">
        <v>200.0</v>
      </c>
      <c r="H543" s="171">
        <v>155.0</v>
      </c>
      <c r="I543" s="171">
        <v>180.0</v>
      </c>
      <c r="J543" s="325">
        <f t="shared" si="18"/>
        <v>0.004533973013</v>
      </c>
      <c r="K543" s="326">
        <f t="shared" si="26"/>
        <v>3.400479759</v>
      </c>
      <c r="L543" s="327">
        <f t="shared" si="3"/>
        <v>0.8923191307</v>
      </c>
      <c r="M543" s="321" t="str">
        <f t="shared" si="4"/>
        <v>vivszaid</v>
      </c>
      <c r="N543" s="209">
        <f>IFERROR(__xludf.DUMMYFUNCTION("""COMPUTED_VALUE"""),4.0)</f>
        <v>4</v>
      </c>
      <c r="O543" s="176"/>
      <c r="P543" s="176"/>
      <c r="Q543" s="176"/>
      <c r="R543" s="176"/>
      <c r="S543" s="176"/>
      <c r="T543" s="176"/>
      <c r="U543" s="176"/>
      <c r="V543" s="176"/>
      <c r="W543" s="176"/>
      <c r="X543" s="176"/>
      <c r="Y543" s="176"/>
      <c r="Z543" s="176"/>
    </row>
    <row r="544">
      <c r="A544" s="249" t="s">
        <v>85</v>
      </c>
      <c r="B544" s="249" t="s">
        <v>85</v>
      </c>
      <c r="C544" s="219" t="s">
        <v>3047</v>
      </c>
      <c r="D544" s="268" t="s">
        <v>495</v>
      </c>
      <c r="E544" s="361">
        <v>44205.0</v>
      </c>
      <c r="F544" s="250" t="s">
        <v>2586</v>
      </c>
      <c r="G544" s="171">
        <v>40.0</v>
      </c>
      <c r="H544" s="171">
        <v>100.0</v>
      </c>
      <c r="I544" s="171">
        <v>50.0</v>
      </c>
      <c r="J544" s="325">
        <f t="shared" si="18"/>
        <v>0.001681883663</v>
      </c>
      <c r="K544" s="326">
        <f t="shared" si="26"/>
        <v>1.261412747</v>
      </c>
      <c r="L544" s="327">
        <f t="shared" si="3"/>
        <v>0.8923191307</v>
      </c>
      <c r="M544" s="321" t="str">
        <f t="shared" si="4"/>
        <v>vivszaid</v>
      </c>
      <c r="N544" s="209">
        <f>IFERROR(__xludf.DUMMYFUNCTION("""COMPUTED_VALUE"""),5.0)</f>
        <v>5</v>
      </c>
      <c r="O544" s="176"/>
      <c r="P544" s="176"/>
      <c r="Q544" s="176"/>
      <c r="R544" s="176"/>
      <c r="S544" s="176"/>
      <c r="T544" s="176"/>
      <c r="U544" s="176"/>
      <c r="V544" s="176"/>
      <c r="W544" s="176"/>
      <c r="X544" s="176"/>
      <c r="Y544" s="176"/>
      <c r="Z544" s="176"/>
    </row>
    <row r="545">
      <c r="A545" s="249" t="s">
        <v>58</v>
      </c>
      <c r="B545" s="249" t="s">
        <v>5</v>
      </c>
      <c r="C545" s="219" t="s">
        <v>3048</v>
      </c>
      <c r="D545" s="268" t="s">
        <v>495</v>
      </c>
      <c r="E545" s="251">
        <v>44209.0</v>
      </c>
      <c r="F545" s="250" t="s">
        <v>496</v>
      </c>
      <c r="G545" s="171">
        <v>1.0</v>
      </c>
      <c r="H545" s="171">
        <v>10.0</v>
      </c>
      <c r="I545" s="171">
        <v>1.0</v>
      </c>
      <c r="J545" s="325">
        <f t="shared" si="18"/>
        <v>0.0001123309058</v>
      </c>
      <c r="K545" s="326">
        <f t="shared" si="26"/>
        <v>0.08424817938</v>
      </c>
      <c r="L545" s="327">
        <f t="shared" si="3"/>
        <v>0.8414623468</v>
      </c>
      <c r="M545" s="321" t="str">
        <f t="shared" si="4"/>
        <v>heater03</v>
      </c>
      <c r="N545" s="209">
        <f>IFERROR(__xludf.DUMMYFUNCTION("""COMPUTED_VALUE"""),1.0)</f>
        <v>1</v>
      </c>
      <c r="O545" s="176"/>
      <c r="P545" s="176"/>
      <c r="Q545" s="176"/>
      <c r="R545" s="176"/>
      <c r="S545" s="176"/>
      <c r="T545" s="176"/>
      <c r="U545" s="176"/>
      <c r="V545" s="176"/>
      <c r="W545" s="176"/>
      <c r="X545" s="176"/>
      <c r="Y545" s="176"/>
      <c r="Z545" s="176"/>
    </row>
    <row r="546">
      <c r="A546" s="249" t="s">
        <v>58</v>
      </c>
      <c r="B546" s="249" t="s">
        <v>25</v>
      </c>
      <c r="C546" s="219" t="s">
        <v>3013</v>
      </c>
      <c r="D546" s="268" t="s">
        <v>495</v>
      </c>
      <c r="E546" s="251">
        <v>44209.0</v>
      </c>
      <c r="F546" s="250" t="s">
        <v>496</v>
      </c>
      <c r="G546" s="171">
        <v>30.0</v>
      </c>
      <c r="H546" s="171">
        <v>55.0</v>
      </c>
      <c r="I546" s="171">
        <v>30.0</v>
      </c>
      <c r="J546" s="325">
        <f t="shared" si="18"/>
        <v>0.00100961889</v>
      </c>
      <c r="K546" s="326">
        <f t="shared" si="26"/>
        <v>0.7572141674</v>
      </c>
      <c r="L546" s="327">
        <f t="shared" si="3"/>
        <v>0.8414623468</v>
      </c>
      <c r="M546" s="321" t="str">
        <f t="shared" si="4"/>
        <v>heater03</v>
      </c>
      <c r="N546" s="209">
        <f>IFERROR(__xludf.DUMMYFUNCTION("""COMPUTED_VALUE"""),2.0)</f>
        <v>2</v>
      </c>
      <c r="O546" s="176"/>
      <c r="P546" s="176"/>
      <c r="Q546" s="176"/>
      <c r="R546" s="176"/>
      <c r="S546" s="176"/>
      <c r="T546" s="176"/>
      <c r="U546" s="176"/>
      <c r="V546" s="176"/>
      <c r="W546" s="176"/>
      <c r="X546" s="176"/>
      <c r="Y546" s="176"/>
      <c r="Z546" s="176"/>
    </row>
    <row r="547">
      <c r="A547" s="240" t="s">
        <v>30</v>
      </c>
      <c r="B547" s="240" t="s">
        <v>534</v>
      </c>
      <c r="C547" s="346" t="s">
        <v>2452</v>
      </c>
      <c r="D547" s="336"/>
      <c r="E547" s="255"/>
      <c r="F547" s="254"/>
      <c r="G547" s="222"/>
      <c r="H547" s="222"/>
      <c r="I547" s="222"/>
      <c r="J547" s="325">
        <f t="shared" si="18"/>
        <v>0</v>
      </c>
      <c r="K547" s="337">
        <f>-0.85*5.536</f>
        <v>-4.7056</v>
      </c>
      <c r="L547" s="327">
        <f t="shared" si="3"/>
        <v>0.8304069957</v>
      </c>
      <c r="M547" s="321" t="str">
        <f t="shared" si="4"/>
        <v>paulo_c2d</v>
      </c>
      <c r="N547" s="209">
        <f>IFERROR(__xludf.DUMMYFUNCTION("""COMPUTED_VALUE"""),1.0)</f>
        <v>1</v>
      </c>
      <c r="O547" s="209"/>
      <c r="P547" s="209"/>
      <c r="Q547" s="209"/>
      <c r="R547" s="209">
        <v>51.99833903635589</v>
      </c>
      <c r="S547" s="209"/>
      <c r="T547" s="209"/>
      <c r="U547" s="209"/>
      <c r="V547" s="209"/>
      <c r="W547" s="209"/>
      <c r="X547" s="209"/>
      <c r="Y547" s="176"/>
      <c r="Z547" s="176"/>
    </row>
    <row r="548">
      <c r="A548" s="249" t="s">
        <v>30</v>
      </c>
      <c r="B548" s="249" t="s">
        <v>10</v>
      </c>
      <c r="C548" s="219" t="s">
        <v>2931</v>
      </c>
      <c r="D548" s="268" t="s">
        <v>495</v>
      </c>
      <c r="E548" s="361">
        <v>44204.0</v>
      </c>
      <c r="F548" s="250" t="s">
        <v>496</v>
      </c>
      <c r="G548" s="171">
        <v>200.0</v>
      </c>
      <c r="H548" s="171">
        <v>155.0</v>
      </c>
      <c r="I548" s="171">
        <v>180.0</v>
      </c>
      <c r="J548" s="325">
        <f t="shared" si="18"/>
        <v>0.004533973013</v>
      </c>
      <c r="K548" s="326">
        <f t="shared" ref="K548:K550" si="27">J548*$J$1</f>
        <v>3.400479759</v>
      </c>
      <c r="L548" s="327">
        <f t="shared" si="3"/>
        <v>0.8304069957</v>
      </c>
      <c r="M548" s="321" t="str">
        <f t="shared" si="4"/>
        <v>paulo_c2d</v>
      </c>
      <c r="N548" s="209">
        <f>IFERROR(__xludf.DUMMYFUNCTION("""COMPUTED_VALUE"""),2.0)</f>
        <v>2</v>
      </c>
      <c r="O548" s="176"/>
      <c r="P548" s="176"/>
      <c r="Q548" s="176"/>
      <c r="R548" s="176"/>
      <c r="S548" s="176"/>
      <c r="T548" s="176"/>
      <c r="U548" s="176"/>
      <c r="V548" s="176"/>
      <c r="W548" s="176"/>
      <c r="X548" s="176"/>
      <c r="Y548" s="176"/>
      <c r="Z548" s="176"/>
    </row>
    <row r="549">
      <c r="A549" s="249" t="s">
        <v>30</v>
      </c>
      <c r="B549" s="249" t="s">
        <v>10</v>
      </c>
      <c r="C549" s="219" t="s">
        <v>2888</v>
      </c>
      <c r="D549" s="268" t="s">
        <v>495</v>
      </c>
      <c r="E549" s="361">
        <v>44204.0</v>
      </c>
      <c r="F549" s="250" t="s">
        <v>496</v>
      </c>
      <c r="G549" s="171">
        <v>20.0</v>
      </c>
      <c r="H549" s="171">
        <v>25.0</v>
      </c>
      <c r="I549" s="171">
        <v>20.0</v>
      </c>
      <c r="J549" s="325">
        <f t="shared" si="18"/>
        <v>0.0005606836273</v>
      </c>
      <c r="K549" s="326">
        <f t="shared" si="27"/>
        <v>0.4205127205</v>
      </c>
      <c r="L549" s="327">
        <f t="shared" si="3"/>
        <v>0.8304069957</v>
      </c>
      <c r="M549" s="321" t="str">
        <f t="shared" si="4"/>
        <v>paulo_c2d</v>
      </c>
      <c r="N549" s="209">
        <f>IFERROR(__xludf.DUMMYFUNCTION("""COMPUTED_VALUE"""),3.0)</f>
        <v>3</v>
      </c>
      <c r="O549" s="176"/>
      <c r="P549" s="176"/>
      <c r="Q549" s="176"/>
      <c r="R549" s="176"/>
      <c r="S549" s="176"/>
      <c r="T549" s="176"/>
      <c r="U549" s="176"/>
      <c r="V549" s="176"/>
      <c r="W549" s="176"/>
      <c r="X549" s="176"/>
      <c r="Y549" s="176"/>
      <c r="Z549" s="176"/>
    </row>
    <row r="550">
      <c r="A550" s="249" t="s">
        <v>30</v>
      </c>
      <c r="B550" s="249" t="s">
        <v>10</v>
      </c>
      <c r="C550" s="219" t="s">
        <v>3049</v>
      </c>
      <c r="D550" s="268" t="s">
        <v>495</v>
      </c>
      <c r="E550" s="251">
        <v>44211.0</v>
      </c>
      <c r="F550" s="250" t="s">
        <v>496</v>
      </c>
      <c r="G550" s="171">
        <v>100.0</v>
      </c>
      <c r="H550" s="171">
        <v>55.0</v>
      </c>
      <c r="I550" s="171">
        <v>120.0</v>
      </c>
      <c r="J550" s="325">
        <f t="shared" si="18"/>
        <v>0.002286686021</v>
      </c>
      <c r="K550" s="326">
        <f t="shared" si="27"/>
        <v>1.715014516</v>
      </c>
      <c r="L550" s="327">
        <f t="shared" si="3"/>
        <v>0.8304069957</v>
      </c>
      <c r="M550" s="321" t="str">
        <f t="shared" si="4"/>
        <v>paulo_c2d</v>
      </c>
      <c r="N550" s="209">
        <f>IFERROR(__xludf.DUMMYFUNCTION("""COMPUTED_VALUE"""),4.0)</f>
        <v>4</v>
      </c>
      <c r="O550" s="176"/>
      <c r="P550" s="176"/>
      <c r="Q550" s="176"/>
      <c r="R550" s="176"/>
      <c r="S550" s="176"/>
      <c r="T550" s="176"/>
      <c r="U550" s="176"/>
      <c r="V550" s="176"/>
      <c r="W550" s="176"/>
      <c r="X550" s="176"/>
      <c r="Y550" s="176"/>
      <c r="Z550" s="176"/>
    </row>
    <row r="551">
      <c r="A551" s="362" t="s">
        <v>122</v>
      </c>
      <c r="B551" s="240" t="s">
        <v>534</v>
      </c>
      <c r="C551" s="346" t="s">
        <v>2452</v>
      </c>
      <c r="D551" s="336"/>
      <c r="E551" s="255"/>
      <c r="F551" s="254"/>
      <c r="G551" s="222"/>
      <c r="H551" s="222"/>
      <c r="I551" s="222"/>
      <c r="J551" s="325">
        <f t="shared" si="18"/>
        <v>0</v>
      </c>
      <c r="K551" s="337">
        <f>-5.3*0.85</f>
        <v>-4.505</v>
      </c>
      <c r="L551" s="327">
        <f t="shared" si="3"/>
        <v>0.794544475</v>
      </c>
      <c r="M551" s="321" t="str">
        <f t="shared" si="4"/>
        <v>anthonyoliai</v>
      </c>
      <c r="N551" s="209">
        <f>IFERROR(__xludf.DUMMYFUNCTION("""COMPUTED_VALUE"""),1.0)</f>
        <v>1</v>
      </c>
      <c r="O551" s="176"/>
      <c r="P551" s="176"/>
      <c r="Q551" s="176"/>
      <c r="R551" s="176">
        <v>8.606119831199203</v>
      </c>
      <c r="S551" s="176"/>
      <c r="T551" s="176"/>
      <c r="U551" s="176"/>
      <c r="V551" s="176"/>
      <c r="W551" s="176"/>
      <c r="X551" s="176"/>
      <c r="Y551" s="176"/>
      <c r="Z551" s="176"/>
    </row>
    <row r="552">
      <c r="A552" s="249" t="s">
        <v>122</v>
      </c>
      <c r="B552" s="249" t="s">
        <v>6</v>
      </c>
      <c r="C552" s="219" t="s">
        <v>2913</v>
      </c>
      <c r="D552" s="268" t="s">
        <v>495</v>
      </c>
      <c r="E552" s="361">
        <v>44200.0</v>
      </c>
      <c r="F552" s="250" t="s">
        <v>496</v>
      </c>
      <c r="G552" s="171">
        <v>20.0</v>
      </c>
      <c r="H552" s="171">
        <v>25.0</v>
      </c>
      <c r="I552" s="171">
        <v>40.0</v>
      </c>
      <c r="J552" s="325">
        <f t="shared" si="18"/>
        <v>0.0007183253078</v>
      </c>
      <c r="K552" s="326">
        <f t="shared" ref="K552:K556" si="28">J552*$J$1</f>
        <v>0.5387439808</v>
      </c>
      <c r="L552" s="327">
        <f t="shared" si="3"/>
        <v>0.794544475</v>
      </c>
      <c r="M552" s="321" t="str">
        <f t="shared" si="4"/>
        <v>anthonyoliai</v>
      </c>
      <c r="N552" s="209">
        <f>IFERROR(__xludf.DUMMYFUNCTION("""COMPUTED_VALUE"""),2.0)</f>
        <v>2</v>
      </c>
      <c r="O552" s="176"/>
      <c r="P552" s="176"/>
      <c r="Q552" s="176"/>
      <c r="R552" s="176"/>
      <c r="S552" s="176"/>
      <c r="T552" s="176"/>
      <c r="U552" s="176"/>
      <c r="V552" s="176"/>
      <c r="W552" s="176"/>
      <c r="X552" s="176"/>
      <c r="Y552" s="176"/>
      <c r="Z552" s="176"/>
    </row>
    <row r="553">
      <c r="A553" s="249" t="s">
        <v>122</v>
      </c>
      <c r="B553" s="249" t="s">
        <v>3050</v>
      </c>
      <c r="C553" s="219" t="s">
        <v>3051</v>
      </c>
      <c r="D553" s="268" t="s">
        <v>495</v>
      </c>
      <c r="E553" s="361">
        <v>44202.0</v>
      </c>
      <c r="F553" s="250" t="s">
        <v>2586</v>
      </c>
      <c r="G553" s="171">
        <v>100.0</v>
      </c>
      <c r="H553" s="171">
        <v>55.0</v>
      </c>
      <c r="I553" s="171">
        <v>60.0</v>
      </c>
      <c r="J553" s="325">
        <f t="shared" si="18"/>
        <v>0.00181376098</v>
      </c>
      <c r="K553" s="326">
        <f t="shared" si="28"/>
        <v>1.360320735</v>
      </c>
      <c r="L553" s="327">
        <f t="shared" si="3"/>
        <v>0.794544475</v>
      </c>
      <c r="M553" s="321" t="str">
        <f t="shared" si="4"/>
        <v>anthonyoliai</v>
      </c>
      <c r="N553" s="209">
        <f>IFERROR(__xludf.DUMMYFUNCTION("""COMPUTED_VALUE"""),3.0)</f>
        <v>3</v>
      </c>
      <c r="O553" s="176"/>
      <c r="P553" s="176"/>
      <c r="Q553" s="176"/>
      <c r="R553" s="176"/>
      <c r="S553" s="176"/>
      <c r="T553" s="176"/>
      <c r="U553" s="176"/>
      <c r="V553" s="176"/>
      <c r="W553" s="176"/>
      <c r="X553" s="176"/>
      <c r="Y553" s="176"/>
      <c r="Z553" s="176"/>
    </row>
    <row r="554">
      <c r="A554" s="249" t="s">
        <v>122</v>
      </c>
      <c r="B554" s="249" t="s">
        <v>10</v>
      </c>
      <c r="C554" s="219" t="s">
        <v>2931</v>
      </c>
      <c r="D554" s="268" t="s">
        <v>495</v>
      </c>
      <c r="E554" s="361">
        <v>44204.0</v>
      </c>
      <c r="F554" s="250" t="s">
        <v>496</v>
      </c>
      <c r="G554" s="171">
        <v>200.0</v>
      </c>
      <c r="H554" s="171">
        <v>155.0</v>
      </c>
      <c r="I554" s="171">
        <v>180.0</v>
      </c>
      <c r="J554" s="325">
        <f t="shared" si="18"/>
        <v>0.004533973013</v>
      </c>
      <c r="K554" s="326">
        <f t="shared" si="28"/>
        <v>3.400479759</v>
      </c>
      <c r="L554" s="327">
        <f t="shared" si="3"/>
        <v>0.794544475</v>
      </c>
      <c r="M554" s="321" t="str">
        <f t="shared" si="4"/>
        <v>anthonyoliai</v>
      </c>
      <c r="N554" s="209">
        <f>IFERROR(__xludf.DUMMYFUNCTION("""COMPUTED_VALUE"""),4.0)</f>
        <v>4</v>
      </c>
      <c r="O554" s="176"/>
      <c r="P554" s="176"/>
      <c r="Q554" s="176"/>
      <c r="R554" s="176"/>
      <c r="S554" s="176"/>
      <c r="T554" s="176"/>
      <c r="U554" s="176"/>
      <c r="V554" s="176"/>
      <c r="W554" s="176"/>
      <c r="X554" s="176"/>
      <c r="Y554" s="176"/>
      <c r="Z554" s="176"/>
    </row>
    <row r="555">
      <c r="A555" s="249" t="s">
        <v>41</v>
      </c>
      <c r="B555" s="249" t="s">
        <v>10</v>
      </c>
      <c r="C555" s="219" t="s">
        <v>2873</v>
      </c>
      <c r="D555" s="268" t="s">
        <v>495</v>
      </c>
      <c r="E555" s="361">
        <v>44198.0</v>
      </c>
      <c r="F555" s="250" t="s">
        <v>496</v>
      </c>
      <c r="G555" s="171">
        <v>10.0</v>
      </c>
      <c r="H555" s="171">
        <v>25.0</v>
      </c>
      <c r="I555" s="171">
        <v>10.0</v>
      </c>
      <c r="J555" s="325">
        <f t="shared" si="18"/>
        <v>0.0004007657057</v>
      </c>
      <c r="K555" s="326">
        <f t="shared" si="28"/>
        <v>0.3005742793</v>
      </c>
      <c r="L555" s="327">
        <f t="shared" si="3"/>
        <v>0.7836169916</v>
      </c>
      <c r="M555" s="321" t="str">
        <f t="shared" si="4"/>
        <v>blairv</v>
      </c>
      <c r="N555" s="209">
        <f>IFERROR(__xludf.DUMMYFUNCTION("""COMPUTED_VALUE"""),1.0)</f>
        <v>1</v>
      </c>
      <c r="O555" s="176"/>
      <c r="P555" s="176"/>
      <c r="Q555" s="176"/>
      <c r="R555" s="176"/>
      <c r="S555" s="176"/>
      <c r="T555" s="176"/>
      <c r="U555" s="176"/>
      <c r="V555" s="176"/>
      <c r="W555" s="176"/>
      <c r="X555" s="176"/>
      <c r="Y555" s="176"/>
      <c r="Z555" s="176"/>
    </row>
    <row r="556">
      <c r="A556" s="249" t="s">
        <v>41</v>
      </c>
      <c r="B556" s="249" t="s">
        <v>10</v>
      </c>
      <c r="C556" s="219" t="s">
        <v>2908</v>
      </c>
      <c r="D556" s="268" t="s">
        <v>495</v>
      </c>
      <c r="E556" s="361">
        <v>44205.0</v>
      </c>
      <c r="F556" s="250" t="s">
        <v>545</v>
      </c>
      <c r="G556" s="171">
        <v>40.0</v>
      </c>
      <c r="H556" s="171">
        <v>25.0</v>
      </c>
      <c r="I556" s="171">
        <v>10.0</v>
      </c>
      <c r="J556" s="325">
        <f t="shared" si="18"/>
        <v>0.0006440569497</v>
      </c>
      <c r="K556" s="326">
        <f t="shared" si="28"/>
        <v>0.4830427123</v>
      </c>
      <c r="L556" s="327">
        <f t="shared" si="3"/>
        <v>0.7836169916</v>
      </c>
      <c r="M556" s="321" t="str">
        <f t="shared" si="4"/>
        <v>blairv</v>
      </c>
      <c r="N556" s="209">
        <f>IFERROR(__xludf.DUMMYFUNCTION("""COMPUTED_VALUE"""),2.0)</f>
        <v>2</v>
      </c>
      <c r="O556" s="176"/>
      <c r="P556" s="176"/>
      <c r="Q556" s="176"/>
      <c r="R556" s="176"/>
      <c r="S556" s="176"/>
      <c r="T556" s="176"/>
      <c r="U556" s="176"/>
      <c r="V556" s="176"/>
      <c r="W556" s="176"/>
      <c r="X556" s="176"/>
      <c r="Y556" s="176"/>
      <c r="Z556" s="176"/>
    </row>
    <row r="557">
      <c r="A557" s="240" t="s">
        <v>59</v>
      </c>
      <c r="B557" s="240" t="s">
        <v>534</v>
      </c>
      <c r="C557" s="349" t="s">
        <v>810</v>
      </c>
      <c r="D557" s="336"/>
      <c r="E557" s="340"/>
      <c r="F557" s="254"/>
      <c r="G557" s="222"/>
      <c r="H557" s="222"/>
      <c r="I557" s="222"/>
      <c r="J557" s="325">
        <f t="shared" si="18"/>
        <v>0</v>
      </c>
      <c r="K557" s="337">
        <f>-0.85*5.204</f>
        <v>-4.4234</v>
      </c>
      <c r="L557" s="327">
        <f t="shared" si="3"/>
        <v>0.7805582855</v>
      </c>
      <c r="M557" s="321" t="str">
        <f t="shared" si="4"/>
        <v>krisjones</v>
      </c>
      <c r="N557" s="209">
        <f>IFERROR(__xludf.DUMMYFUNCTION("""COMPUTED_VALUE"""),1.0)</f>
        <v>1</v>
      </c>
      <c r="O557" s="209"/>
      <c r="P557" s="209"/>
      <c r="Q557" s="209"/>
      <c r="R557" s="209">
        <v>14.561258630642886</v>
      </c>
      <c r="S557" s="209"/>
      <c r="T557" s="209"/>
      <c r="U557" s="209"/>
      <c r="V557" s="209"/>
      <c r="W557" s="209"/>
      <c r="X557" s="209"/>
      <c r="Y557" s="176"/>
      <c r="Z557" s="176"/>
    </row>
    <row r="558">
      <c r="A558" s="249" t="s">
        <v>59</v>
      </c>
      <c r="B558" s="249" t="s">
        <v>519</v>
      </c>
      <c r="C558" s="219" t="s">
        <v>2905</v>
      </c>
      <c r="D558" s="268" t="s">
        <v>495</v>
      </c>
      <c r="E558" s="361">
        <v>44200.0</v>
      </c>
      <c r="F558" s="250" t="s">
        <v>499</v>
      </c>
      <c r="G558" s="171">
        <v>45.0</v>
      </c>
      <c r="H558" s="171">
        <v>25.0</v>
      </c>
      <c r="I558" s="171">
        <v>10.0</v>
      </c>
      <c r="J558" s="325">
        <f t="shared" si="18"/>
        <v>0.0006846054904</v>
      </c>
      <c r="K558" s="326">
        <f t="shared" ref="K558:K581" si="29">J558*$J$1</f>
        <v>0.5134541178</v>
      </c>
      <c r="L558" s="327">
        <f t="shared" si="3"/>
        <v>0.7805582855</v>
      </c>
      <c r="M558" s="321" t="str">
        <f t="shared" si="4"/>
        <v>krisjones</v>
      </c>
      <c r="N558" s="209">
        <f>IFERROR(__xludf.DUMMYFUNCTION("""COMPUTED_VALUE"""),2.0)</f>
        <v>2</v>
      </c>
      <c r="O558" s="176"/>
      <c r="P558" s="176"/>
      <c r="Q558" s="176"/>
      <c r="R558" s="176"/>
      <c r="S558" s="176"/>
      <c r="T558" s="176"/>
      <c r="U558" s="176"/>
      <c r="V558" s="176"/>
      <c r="W558" s="176"/>
      <c r="X558" s="176"/>
      <c r="Y558" s="176"/>
      <c r="Z558" s="176"/>
    </row>
    <row r="559">
      <c r="A559" s="249" t="s">
        <v>59</v>
      </c>
      <c r="B559" s="249" t="s">
        <v>10</v>
      </c>
      <c r="C559" s="219" t="s">
        <v>2908</v>
      </c>
      <c r="D559" s="268" t="s">
        <v>495</v>
      </c>
      <c r="E559" s="361">
        <v>44205.0</v>
      </c>
      <c r="F559" s="250" t="s">
        <v>545</v>
      </c>
      <c r="G559" s="171">
        <v>40.0</v>
      </c>
      <c r="H559" s="171">
        <v>25.0</v>
      </c>
      <c r="I559" s="171">
        <v>10.0</v>
      </c>
      <c r="J559" s="325">
        <f t="shared" si="18"/>
        <v>0.0006440569497</v>
      </c>
      <c r="K559" s="326">
        <f t="shared" si="29"/>
        <v>0.4830427123</v>
      </c>
      <c r="L559" s="327">
        <f t="shared" si="3"/>
        <v>0.7805582855</v>
      </c>
      <c r="M559" s="321" t="str">
        <f t="shared" si="4"/>
        <v>krisjones</v>
      </c>
      <c r="N559" s="209">
        <f>IFERROR(__xludf.DUMMYFUNCTION("""COMPUTED_VALUE"""),3.0)</f>
        <v>3</v>
      </c>
      <c r="O559" s="176"/>
      <c r="P559" s="176"/>
      <c r="Q559" s="176"/>
      <c r="R559" s="176"/>
      <c r="S559" s="176"/>
      <c r="T559" s="176"/>
      <c r="U559" s="176"/>
      <c r="V559" s="176"/>
      <c r="W559" s="176"/>
      <c r="X559" s="176"/>
      <c r="Y559" s="176"/>
      <c r="Z559" s="176"/>
    </row>
    <row r="560">
      <c r="A560" s="249" t="s">
        <v>59</v>
      </c>
      <c r="B560" s="249" t="s">
        <v>10</v>
      </c>
      <c r="C560" s="219" t="s">
        <v>3052</v>
      </c>
      <c r="D560" s="268" t="s">
        <v>495</v>
      </c>
      <c r="E560" s="251">
        <v>44211.0</v>
      </c>
      <c r="F560" s="250" t="s">
        <v>496</v>
      </c>
      <c r="G560" s="171">
        <v>300.0</v>
      </c>
      <c r="H560" s="171">
        <v>100.0</v>
      </c>
      <c r="I560" s="171">
        <v>200.0</v>
      </c>
      <c r="J560" s="325">
        <f t="shared" si="18"/>
        <v>0.004972720381</v>
      </c>
      <c r="K560" s="326">
        <f t="shared" si="29"/>
        <v>3.729540286</v>
      </c>
      <c r="L560" s="327">
        <f t="shared" si="3"/>
        <v>0.7805582855</v>
      </c>
      <c r="M560" s="321" t="str">
        <f t="shared" si="4"/>
        <v>krisjones</v>
      </c>
      <c r="N560" s="209">
        <f>IFERROR(__xludf.DUMMYFUNCTION("""COMPUTED_VALUE"""),4.0)</f>
        <v>4</v>
      </c>
      <c r="O560" s="176"/>
      <c r="P560" s="176"/>
      <c r="Q560" s="176"/>
      <c r="R560" s="176"/>
      <c r="S560" s="176"/>
      <c r="T560" s="176"/>
      <c r="U560" s="176"/>
      <c r="V560" s="176"/>
      <c r="W560" s="176"/>
      <c r="X560" s="176"/>
      <c r="Y560" s="176"/>
      <c r="Z560" s="176"/>
    </row>
    <row r="561">
      <c r="A561" s="249" t="s">
        <v>59</v>
      </c>
      <c r="B561" s="249" t="s">
        <v>10</v>
      </c>
      <c r="C561" s="219" t="s">
        <v>2896</v>
      </c>
      <c r="D561" s="268" t="s">
        <v>495</v>
      </c>
      <c r="E561" s="251">
        <v>44211.0</v>
      </c>
      <c r="F561" s="250" t="s">
        <v>496</v>
      </c>
      <c r="G561" s="171">
        <v>10.0</v>
      </c>
      <c r="H561" s="171">
        <v>25.0</v>
      </c>
      <c r="I561" s="171">
        <v>40.0</v>
      </c>
      <c r="J561" s="325">
        <f t="shared" si="18"/>
        <v>0.0006372282264</v>
      </c>
      <c r="K561" s="326">
        <f t="shared" si="29"/>
        <v>0.4779211698</v>
      </c>
      <c r="L561" s="327">
        <f t="shared" si="3"/>
        <v>0.7805582855</v>
      </c>
      <c r="M561" s="321" t="str">
        <f t="shared" si="4"/>
        <v>krisjones</v>
      </c>
      <c r="N561" s="209">
        <f>IFERROR(__xludf.DUMMYFUNCTION("""COMPUTED_VALUE"""),5.0)</f>
        <v>5</v>
      </c>
      <c r="O561" s="176"/>
      <c r="P561" s="176"/>
      <c r="Q561" s="176"/>
      <c r="R561" s="176"/>
      <c r="S561" s="176"/>
      <c r="T561" s="176"/>
      <c r="U561" s="176"/>
      <c r="V561" s="176"/>
      <c r="W561" s="176"/>
      <c r="X561" s="176"/>
      <c r="Y561" s="176"/>
      <c r="Z561" s="176"/>
    </row>
    <row r="562">
      <c r="A562" s="249" t="s">
        <v>23</v>
      </c>
      <c r="B562" s="249" t="s">
        <v>519</v>
      </c>
      <c r="C562" s="219" t="s">
        <v>2329</v>
      </c>
      <c r="D562" s="268" t="s">
        <v>495</v>
      </c>
      <c r="E562" s="361">
        <v>44204.0</v>
      </c>
      <c r="F562" s="250" t="s">
        <v>521</v>
      </c>
      <c r="G562" s="171">
        <v>10.0</v>
      </c>
      <c r="H562" s="171">
        <v>25.0</v>
      </c>
      <c r="I562" s="171">
        <v>20.0</v>
      </c>
      <c r="J562" s="325">
        <f t="shared" si="18"/>
        <v>0.000479586546</v>
      </c>
      <c r="K562" s="326">
        <f t="shared" si="29"/>
        <v>0.3596899095</v>
      </c>
      <c r="L562" s="327">
        <f t="shared" si="3"/>
        <v>0.6602641888</v>
      </c>
      <c r="M562" s="321" t="str">
        <f t="shared" si="4"/>
        <v>laurenluz</v>
      </c>
      <c r="N562" s="209">
        <f>IFERROR(__xludf.DUMMYFUNCTION("""COMPUTED_VALUE"""),1.0)</f>
        <v>1</v>
      </c>
      <c r="O562" s="176"/>
      <c r="P562" s="176"/>
      <c r="Q562" s="176"/>
      <c r="R562" s="176"/>
      <c r="S562" s="176"/>
      <c r="T562" s="176"/>
      <c r="U562" s="176"/>
      <c r="V562" s="176"/>
      <c r="W562" s="176"/>
      <c r="X562" s="176"/>
      <c r="Y562" s="176"/>
      <c r="Z562" s="176"/>
    </row>
    <row r="563">
      <c r="A563" s="249" t="s">
        <v>23</v>
      </c>
      <c r="B563" s="249" t="s">
        <v>519</v>
      </c>
      <c r="C563" s="219" t="s">
        <v>2984</v>
      </c>
      <c r="D563" s="268" t="s">
        <v>495</v>
      </c>
      <c r="E563" s="251">
        <v>44209.0</v>
      </c>
      <c r="F563" s="250" t="s">
        <v>521</v>
      </c>
      <c r="G563" s="171">
        <v>10.0</v>
      </c>
      <c r="H563" s="171">
        <v>25.0</v>
      </c>
      <c r="I563" s="171">
        <v>10.0</v>
      </c>
      <c r="J563" s="325">
        <f t="shared" si="18"/>
        <v>0.0004007657057</v>
      </c>
      <c r="K563" s="326">
        <f t="shared" si="29"/>
        <v>0.3005742793</v>
      </c>
      <c r="L563" s="327">
        <f t="shared" si="3"/>
        <v>0.6602641888</v>
      </c>
      <c r="M563" s="321" t="str">
        <f t="shared" si="4"/>
        <v>laurenluz</v>
      </c>
      <c r="N563" s="209">
        <f>IFERROR(__xludf.DUMMYFUNCTION("""COMPUTED_VALUE"""),2.0)</f>
        <v>2</v>
      </c>
      <c r="O563" s="176"/>
      <c r="P563" s="176"/>
      <c r="Q563" s="176"/>
      <c r="R563" s="176"/>
      <c r="S563" s="176"/>
      <c r="T563" s="176"/>
      <c r="U563" s="176"/>
      <c r="V563" s="176"/>
      <c r="W563" s="176"/>
      <c r="X563" s="176"/>
      <c r="Y563" s="176"/>
      <c r="Z563" s="176"/>
    </row>
    <row r="564">
      <c r="A564" s="249" t="s">
        <v>356</v>
      </c>
      <c r="B564" s="249" t="s">
        <v>18</v>
      </c>
      <c r="C564" s="219" t="s">
        <v>2882</v>
      </c>
      <c r="D564" s="268" t="s">
        <v>495</v>
      </c>
      <c r="E564" s="361">
        <v>44202.0</v>
      </c>
      <c r="F564" s="250" t="s">
        <v>496</v>
      </c>
      <c r="G564" s="171">
        <v>25.0</v>
      </c>
      <c r="H564" s="171">
        <v>25.0</v>
      </c>
      <c r="I564" s="171">
        <v>40.0</v>
      </c>
      <c r="J564" s="325">
        <f t="shared" si="18"/>
        <v>0.0007588738484</v>
      </c>
      <c r="K564" s="326">
        <f t="shared" si="29"/>
        <v>0.5691553863</v>
      </c>
      <c r="L564" s="327">
        <f t="shared" si="3"/>
        <v>0.5691553863</v>
      </c>
      <c r="M564" s="321" t="str">
        <f t="shared" si="4"/>
        <v>sethfork</v>
      </c>
      <c r="N564" s="209">
        <f>IFERROR(__xludf.DUMMYFUNCTION("""COMPUTED_VALUE"""),1.0)</f>
        <v>1</v>
      </c>
      <c r="O564" s="176"/>
      <c r="P564" s="176"/>
      <c r="Q564" s="176"/>
      <c r="R564" s="176"/>
      <c r="S564" s="176"/>
      <c r="T564" s="176"/>
      <c r="U564" s="176"/>
      <c r="V564" s="176"/>
      <c r="W564" s="176"/>
      <c r="X564" s="176"/>
      <c r="Y564" s="176"/>
      <c r="Z564" s="176"/>
    </row>
    <row r="565">
      <c r="A565" s="249" t="s">
        <v>97</v>
      </c>
      <c r="B565" s="249" t="s">
        <v>18</v>
      </c>
      <c r="C565" s="219" t="s">
        <v>2882</v>
      </c>
      <c r="D565" s="268" t="s">
        <v>495</v>
      </c>
      <c r="E565" s="361">
        <v>44202.0</v>
      </c>
      <c r="F565" s="250" t="s">
        <v>496</v>
      </c>
      <c r="G565" s="171">
        <v>25.0</v>
      </c>
      <c r="H565" s="171">
        <v>25.0</v>
      </c>
      <c r="I565" s="171">
        <v>40.0</v>
      </c>
      <c r="J565" s="325">
        <f t="shared" si="18"/>
        <v>0.0007588738484</v>
      </c>
      <c r="K565" s="326">
        <f t="shared" si="29"/>
        <v>0.5691553863</v>
      </c>
      <c r="L565" s="327">
        <f t="shared" si="3"/>
        <v>0.5691553863</v>
      </c>
      <c r="M565" s="321" t="str">
        <f t="shared" si="4"/>
        <v>jwaup</v>
      </c>
      <c r="N565" s="209">
        <f>IFERROR(__xludf.DUMMYFUNCTION("""COMPUTED_VALUE"""),1.0)</f>
        <v>1</v>
      </c>
      <c r="O565" s="176"/>
      <c r="P565" s="176"/>
      <c r="Q565" s="176"/>
      <c r="R565" s="176"/>
      <c r="S565" s="176"/>
      <c r="T565" s="176"/>
      <c r="U565" s="176"/>
      <c r="V565" s="176"/>
      <c r="W565" s="176"/>
      <c r="X565" s="176"/>
      <c r="Y565" s="176"/>
      <c r="Z565" s="176"/>
    </row>
    <row r="566">
      <c r="A566" s="249" t="s">
        <v>171</v>
      </c>
      <c r="B566" s="249" t="s">
        <v>590</v>
      </c>
      <c r="C566" s="219" t="s">
        <v>3053</v>
      </c>
      <c r="D566" s="268" t="s">
        <v>495</v>
      </c>
      <c r="E566" s="361">
        <v>44203.0</v>
      </c>
      <c r="F566" s="250" t="s">
        <v>496</v>
      </c>
      <c r="G566" s="171">
        <v>1.0</v>
      </c>
      <c r="H566" s="171">
        <v>15.0</v>
      </c>
      <c r="I566" s="171">
        <v>1.0</v>
      </c>
      <c r="J566" s="325">
        <f t="shared" si="18"/>
        <v>0.0001605004627</v>
      </c>
      <c r="K566" s="326">
        <f t="shared" si="29"/>
        <v>0.120375347</v>
      </c>
      <c r="L566" s="327">
        <f t="shared" si="3"/>
        <v>0.5408880675</v>
      </c>
      <c r="M566" s="321" t="str">
        <f t="shared" si="4"/>
        <v>mercedesrodsim</v>
      </c>
      <c r="N566" s="209">
        <f>IFERROR(__xludf.DUMMYFUNCTION("""COMPUTED_VALUE"""),1.0)</f>
        <v>1</v>
      </c>
      <c r="O566" s="176"/>
      <c r="P566" s="176"/>
      <c r="Q566" s="176"/>
      <c r="R566" s="176"/>
      <c r="S566" s="176"/>
      <c r="T566" s="176"/>
      <c r="U566" s="176"/>
      <c r="V566" s="176"/>
      <c r="W566" s="176"/>
      <c r="X566" s="176"/>
      <c r="Y566" s="176"/>
      <c r="Z566" s="176"/>
    </row>
    <row r="567">
      <c r="A567" s="249" t="s">
        <v>171</v>
      </c>
      <c r="B567" s="249" t="s">
        <v>10</v>
      </c>
      <c r="C567" s="219" t="s">
        <v>2888</v>
      </c>
      <c r="D567" s="268" t="s">
        <v>495</v>
      </c>
      <c r="E567" s="361">
        <v>44204.0</v>
      </c>
      <c r="F567" s="250" t="s">
        <v>496</v>
      </c>
      <c r="G567" s="171">
        <v>20.0</v>
      </c>
      <c r="H567" s="171">
        <v>25.0</v>
      </c>
      <c r="I567" s="171">
        <v>20.0</v>
      </c>
      <c r="J567" s="325">
        <f t="shared" si="18"/>
        <v>0.0005606836273</v>
      </c>
      <c r="K567" s="326">
        <f t="shared" si="29"/>
        <v>0.4205127205</v>
      </c>
      <c r="L567" s="327">
        <f t="shared" si="3"/>
        <v>0.5408880675</v>
      </c>
      <c r="M567" s="321" t="str">
        <f t="shared" si="4"/>
        <v>mercedesrodsim</v>
      </c>
      <c r="N567" s="209">
        <f>IFERROR(__xludf.DUMMYFUNCTION("""COMPUTED_VALUE"""),2.0)</f>
        <v>2</v>
      </c>
      <c r="O567" s="176"/>
      <c r="P567" s="176"/>
      <c r="Q567" s="176"/>
      <c r="R567" s="176"/>
      <c r="S567" s="176"/>
      <c r="T567" s="176"/>
      <c r="U567" s="176"/>
      <c r="V567" s="176"/>
      <c r="W567" s="176"/>
      <c r="X567" s="176"/>
      <c r="Y567" s="176"/>
      <c r="Z567" s="176"/>
    </row>
    <row r="568">
      <c r="A568" s="249" t="s">
        <v>362</v>
      </c>
      <c r="B568" s="249" t="s">
        <v>519</v>
      </c>
      <c r="C568" s="219" t="s">
        <v>2905</v>
      </c>
      <c r="D568" s="268" t="s">
        <v>495</v>
      </c>
      <c r="E568" s="361">
        <v>44200.0</v>
      </c>
      <c r="F568" s="250" t="s">
        <v>499</v>
      </c>
      <c r="G568" s="171">
        <v>45.0</v>
      </c>
      <c r="H568" s="171">
        <v>25.0</v>
      </c>
      <c r="I568" s="171">
        <v>10.0</v>
      </c>
      <c r="J568" s="325">
        <f t="shared" si="18"/>
        <v>0.0006846054904</v>
      </c>
      <c r="K568" s="326">
        <f t="shared" si="29"/>
        <v>0.5134541178</v>
      </c>
      <c r="L568" s="327">
        <f t="shared" si="3"/>
        <v>0.5134541178</v>
      </c>
      <c r="M568" s="321" t="str">
        <f t="shared" si="4"/>
        <v>yangwao</v>
      </c>
      <c r="N568" s="209">
        <f>IFERROR(__xludf.DUMMYFUNCTION("""COMPUTED_VALUE"""),1.0)</f>
        <v>1</v>
      </c>
      <c r="O568" s="176"/>
      <c r="P568" s="176"/>
      <c r="Q568" s="176"/>
      <c r="R568" s="176"/>
      <c r="S568" s="176"/>
      <c r="T568" s="176"/>
      <c r="U568" s="176"/>
      <c r="V568" s="176"/>
      <c r="W568" s="176"/>
      <c r="X568" s="176"/>
      <c r="Y568" s="176"/>
      <c r="Z568" s="176"/>
    </row>
    <row r="569">
      <c r="A569" s="249" t="s">
        <v>36</v>
      </c>
      <c r="B569" s="249" t="s">
        <v>519</v>
      </c>
      <c r="C569" s="219" t="s">
        <v>2905</v>
      </c>
      <c r="D569" s="268" t="s">
        <v>495</v>
      </c>
      <c r="E569" s="361">
        <v>44200.0</v>
      </c>
      <c r="F569" s="250" t="s">
        <v>499</v>
      </c>
      <c r="G569" s="171">
        <v>45.0</v>
      </c>
      <c r="H569" s="171">
        <v>25.0</v>
      </c>
      <c r="I569" s="171">
        <v>10.0</v>
      </c>
      <c r="J569" s="325">
        <f t="shared" si="18"/>
        <v>0.0006846054904</v>
      </c>
      <c r="K569" s="326">
        <f t="shared" si="29"/>
        <v>0.5134541178</v>
      </c>
      <c r="L569" s="327">
        <f t="shared" si="3"/>
        <v>0.5134541178</v>
      </c>
      <c r="M569" s="321" t="str">
        <f t="shared" si="4"/>
        <v>wslyvh</v>
      </c>
      <c r="N569" s="209">
        <f>IFERROR(__xludf.DUMMYFUNCTION("""COMPUTED_VALUE"""),1.0)</f>
        <v>1</v>
      </c>
      <c r="O569" s="176"/>
      <c r="P569" s="176"/>
      <c r="Q569" s="176"/>
      <c r="R569" s="176"/>
      <c r="S569" s="176"/>
      <c r="T569" s="176"/>
      <c r="U569" s="176"/>
      <c r="V569" s="176"/>
      <c r="W569" s="176"/>
      <c r="X569" s="176"/>
      <c r="Y569" s="176"/>
      <c r="Z569" s="176"/>
    </row>
    <row r="570">
      <c r="A570" s="249" t="s">
        <v>131</v>
      </c>
      <c r="B570" s="249" t="s">
        <v>519</v>
      </c>
      <c r="C570" s="219" t="s">
        <v>2905</v>
      </c>
      <c r="D570" s="268" t="s">
        <v>495</v>
      </c>
      <c r="E570" s="361">
        <v>44200.0</v>
      </c>
      <c r="F570" s="250" t="s">
        <v>499</v>
      </c>
      <c r="G570" s="171">
        <v>45.0</v>
      </c>
      <c r="H570" s="171">
        <v>25.0</v>
      </c>
      <c r="I570" s="171">
        <v>10.0</v>
      </c>
      <c r="J570" s="325">
        <f t="shared" si="18"/>
        <v>0.0006846054904</v>
      </c>
      <c r="K570" s="326">
        <f t="shared" si="29"/>
        <v>0.5134541178</v>
      </c>
      <c r="L570" s="327">
        <f t="shared" si="3"/>
        <v>0.5134541178</v>
      </c>
      <c r="M570" s="321" t="str">
        <f t="shared" si="4"/>
        <v>unquale</v>
      </c>
      <c r="N570" s="209">
        <f>IFERROR(__xludf.DUMMYFUNCTION("""COMPUTED_VALUE"""),1.0)</f>
        <v>1</v>
      </c>
      <c r="O570" s="176"/>
      <c r="P570" s="176"/>
      <c r="Q570" s="176"/>
      <c r="R570" s="176"/>
      <c r="S570" s="176"/>
      <c r="T570" s="176"/>
      <c r="U570" s="176"/>
      <c r="V570" s="176"/>
      <c r="W570" s="176"/>
      <c r="X570" s="176"/>
      <c r="Y570" s="176"/>
      <c r="Z570" s="176"/>
    </row>
    <row r="571">
      <c r="A571" s="249" t="s">
        <v>196</v>
      </c>
      <c r="B571" s="249" t="s">
        <v>519</v>
      </c>
      <c r="C571" s="219" t="s">
        <v>2905</v>
      </c>
      <c r="D571" s="268" t="s">
        <v>495</v>
      </c>
      <c r="E571" s="361">
        <v>44200.0</v>
      </c>
      <c r="F571" s="250" t="s">
        <v>499</v>
      </c>
      <c r="G571" s="171">
        <v>45.0</v>
      </c>
      <c r="H571" s="171">
        <v>25.0</v>
      </c>
      <c r="I571" s="171">
        <v>10.0</v>
      </c>
      <c r="J571" s="325">
        <f t="shared" si="18"/>
        <v>0.0006846054904</v>
      </c>
      <c r="K571" s="326">
        <f t="shared" si="29"/>
        <v>0.5134541178</v>
      </c>
      <c r="L571" s="327">
        <f t="shared" si="3"/>
        <v>0.5134541178</v>
      </c>
      <c r="M571" s="321" t="str">
        <f t="shared" si="4"/>
        <v>staccop2p</v>
      </c>
      <c r="N571" s="209">
        <f>IFERROR(__xludf.DUMMYFUNCTION("""COMPUTED_VALUE"""),1.0)</f>
        <v>1</v>
      </c>
      <c r="O571" s="176"/>
      <c r="P571" s="176"/>
      <c r="Q571" s="176"/>
      <c r="R571" s="176"/>
      <c r="S571" s="176"/>
      <c r="T571" s="176"/>
      <c r="U571" s="176"/>
      <c r="V571" s="176"/>
      <c r="W571" s="176"/>
      <c r="X571" s="176"/>
      <c r="Y571" s="176"/>
      <c r="Z571" s="176"/>
    </row>
    <row r="572">
      <c r="A572" s="249" t="s">
        <v>37</v>
      </c>
      <c r="B572" s="249" t="s">
        <v>519</v>
      </c>
      <c r="C572" s="219" t="s">
        <v>2905</v>
      </c>
      <c r="D572" s="268" t="s">
        <v>495</v>
      </c>
      <c r="E572" s="361">
        <v>44200.0</v>
      </c>
      <c r="F572" s="250" t="s">
        <v>499</v>
      </c>
      <c r="G572" s="171">
        <v>45.0</v>
      </c>
      <c r="H572" s="171">
        <v>25.0</v>
      </c>
      <c r="I572" s="171">
        <v>10.0</v>
      </c>
      <c r="J572" s="325">
        <f t="shared" si="18"/>
        <v>0.0006846054904</v>
      </c>
      <c r="K572" s="326">
        <f t="shared" si="29"/>
        <v>0.5134541178</v>
      </c>
      <c r="L572" s="327">
        <f t="shared" si="3"/>
        <v>0.5134541178</v>
      </c>
      <c r="M572" s="321" t="str">
        <f t="shared" si="4"/>
        <v>simondlr</v>
      </c>
      <c r="N572" s="209">
        <f>IFERROR(__xludf.DUMMYFUNCTION("""COMPUTED_VALUE"""),1.0)</f>
        <v>1</v>
      </c>
      <c r="O572" s="176"/>
      <c r="P572" s="176"/>
      <c r="Q572" s="176"/>
      <c r="R572" s="176"/>
      <c r="S572" s="176"/>
      <c r="T572" s="176"/>
      <c r="U572" s="176"/>
      <c r="V572" s="176"/>
      <c r="W572" s="176"/>
      <c r="X572" s="176"/>
      <c r="Y572" s="176"/>
      <c r="Z572" s="176"/>
    </row>
    <row r="573">
      <c r="A573" s="249" t="s">
        <v>69</v>
      </c>
      <c r="B573" s="249" t="s">
        <v>519</v>
      </c>
      <c r="C573" s="219" t="s">
        <v>2905</v>
      </c>
      <c r="D573" s="268" t="s">
        <v>495</v>
      </c>
      <c r="E573" s="361">
        <v>44200.0</v>
      </c>
      <c r="F573" s="250" t="s">
        <v>499</v>
      </c>
      <c r="G573" s="171">
        <v>45.0</v>
      </c>
      <c r="H573" s="171">
        <v>25.0</v>
      </c>
      <c r="I573" s="171">
        <v>10.0</v>
      </c>
      <c r="J573" s="325">
        <f t="shared" si="18"/>
        <v>0.0006846054904</v>
      </c>
      <c r="K573" s="326">
        <f t="shared" si="29"/>
        <v>0.5134541178</v>
      </c>
      <c r="L573" s="327">
        <f t="shared" si="3"/>
        <v>0.5134541178</v>
      </c>
      <c r="M573" s="321" t="str">
        <f t="shared" si="4"/>
        <v>owocki</v>
      </c>
      <c r="N573" s="209">
        <f>IFERROR(__xludf.DUMMYFUNCTION("""COMPUTED_VALUE"""),1.0)</f>
        <v>1</v>
      </c>
      <c r="O573" s="176"/>
      <c r="P573" s="176"/>
      <c r="Q573" s="176"/>
      <c r="R573" s="176"/>
      <c r="S573" s="176"/>
      <c r="T573" s="176"/>
      <c r="U573" s="176"/>
      <c r="V573" s="176"/>
      <c r="W573" s="176"/>
      <c r="X573" s="176"/>
      <c r="Y573" s="176"/>
      <c r="Z573" s="176"/>
    </row>
    <row r="574">
      <c r="A574" s="249" t="s">
        <v>154</v>
      </c>
      <c r="B574" s="249" t="s">
        <v>519</v>
      </c>
      <c r="C574" s="219" t="s">
        <v>2905</v>
      </c>
      <c r="D574" s="268" t="s">
        <v>495</v>
      </c>
      <c r="E574" s="361">
        <v>44200.0</v>
      </c>
      <c r="F574" s="250" t="s">
        <v>499</v>
      </c>
      <c r="G574" s="171">
        <v>45.0</v>
      </c>
      <c r="H574" s="171">
        <v>25.0</v>
      </c>
      <c r="I574" s="171">
        <v>10.0</v>
      </c>
      <c r="J574" s="325">
        <f t="shared" si="18"/>
        <v>0.0006846054904</v>
      </c>
      <c r="K574" s="326">
        <f t="shared" si="29"/>
        <v>0.5134541178</v>
      </c>
      <c r="L574" s="327">
        <f t="shared" si="3"/>
        <v>0.5134541178</v>
      </c>
      <c r="M574" s="321" t="str">
        <f t="shared" si="4"/>
        <v>morgangr</v>
      </c>
      <c r="N574" s="209">
        <f>IFERROR(__xludf.DUMMYFUNCTION("""COMPUTED_VALUE"""),1.0)</f>
        <v>1</v>
      </c>
      <c r="O574" s="176"/>
      <c r="P574" s="176"/>
      <c r="Q574" s="176"/>
      <c r="R574" s="176"/>
      <c r="S574" s="176"/>
      <c r="T574" s="176"/>
      <c r="U574" s="176"/>
      <c r="V574" s="176"/>
      <c r="W574" s="176"/>
      <c r="X574" s="176"/>
      <c r="Y574" s="176"/>
      <c r="Z574" s="176"/>
    </row>
    <row r="575">
      <c r="A575" s="249" t="s">
        <v>44</v>
      </c>
      <c r="B575" s="249" t="s">
        <v>519</v>
      </c>
      <c r="C575" s="219" t="s">
        <v>2905</v>
      </c>
      <c r="D575" s="268" t="s">
        <v>495</v>
      </c>
      <c r="E575" s="361">
        <v>44200.0</v>
      </c>
      <c r="F575" s="250" t="s">
        <v>499</v>
      </c>
      <c r="G575" s="171">
        <v>45.0</v>
      </c>
      <c r="H575" s="171">
        <v>25.0</v>
      </c>
      <c r="I575" s="171">
        <v>10.0</v>
      </c>
      <c r="J575" s="325">
        <f t="shared" si="18"/>
        <v>0.0006846054904</v>
      </c>
      <c r="K575" s="326">
        <f t="shared" si="29"/>
        <v>0.5134541178</v>
      </c>
      <c r="L575" s="327">
        <f t="shared" si="3"/>
        <v>0.5134541178</v>
      </c>
      <c r="M575" s="321" t="str">
        <f t="shared" si="4"/>
        <v>kristoferkristofer</v>
      </c>
      <c r="N575" s="209">
        <f>IFERROR(__xludf.DUMMYFUNCTION("""COMPUTED_VALUE"""),1.0)</f>
        <v>1</v>
      </c>
      <c r="O575" s="176"/>
      <c r="P575" s="176"/>
      <c r="Q575" s="176"/>
      <c r="R575" s="176"/>
      <c r="S575" s="176"/>
      <c r="T575" s="176"/>
      <c r="U575" s="176"/>
      <c r="V575" s="176"/>
      <c r="W575" s="176"/>
      <c r="X575" s="176"/>
      <c r="Y575" s="176"/>
      <c r="Z575" s="176"/>
    </row>
    <row r="576">
      <c r="A576" s="249" t="s">
        <v>78</v>
      </c>
      <c r="B576" s="249" t="s">
        <v>519</v>
      </c>
      <c r="C576" s="219" t="s">
        <v>2905</v>
      </c>
      <c r="D576" s="268" t="s">
        <v>495</v>
      </c>
      <c r="E576" s="361">
        <v>44200.0</v>
      </c>
      <c r="F576" s="250" t="s">
        <v>499</v>
      </c>
      <c r="G576" s="171">
        <v>45.0</v>
      </c>
      <c r="H576" s="171">
        <v>25.0</v>
      </c>
      <c r="I576" s="171">
        <v>10.0</v>
      </c>
      <c r="J576" s="325">
        <f t="shared" si="18"/>
        <v>0.0006846054904</v>
      </c>
      <c r="K576" s="326">
        <f t="shared" si="29"/>
        <v>0.5134541178</v>
      </c>
      <c r="L576" s="327">
        <f t="shared" si="3"/>
        <v>0.5134541178</v>
      </c>
      <c r="M576" s="321" t="str">
        <f t="shared" si="4"/>
        <v>jonathanbsci</v>
      </c>
      <c r="N576" s="209">
        <f>IFERROR(__xludf.DUMMYFUNCTION("""COMPUTED_VALUE"""),1.0)</f>
        <v>1</v>
      </c>
      <c r="O576" s="176"/>
      <c r="P576" s="176"/>
      <c r="Q576" s="176"/>
      <c r="R576" s="176"/>
      <c r="S576" s="176"/>
      <c r="T576" s="176"/>
      <c r="U576" s="176"/>
      <c r="V576" s="176"/>
      <c r="W576" s="176"/>
      <c r="X576" s="176"/>
      <c r="Y576" s="176"/>
      <c r="Z576" s="176"/>
    </row>
    <row r="577">
      <c r="A577" s="249" t="s">
        <v>1531</v>
      </c>
      <c r="B577" s="249" t="s">
        <v>519</v>
      </c>
      <c r="C577" s="219" t="s">
        <v>2905</v>
      </c>
      <c r="D577" s="268" t="s">
        <v>495</v>
      </c>
      <c r="E577" s="361">
        <v>44200.0</v>
      </c>
      <c r="F577" s="250" t="s">
        <v>499</v>
      </c>
      <c r="G577" s="171">
        <v>45.0</v>
      </c>
      <c r="H577" s="171">
        <v>25.0</v>
      </c>
      <c r="I577" s="171">
        <v>10.0</v>
      </c>
      <c r="J577" s="325">
        <f t="shared" si="18"/>
        <v>0.0006846054904</v>
      </c>
      <c r="K577" s="326">
        <f t="shared" si="29"/>
        <v>0.5134541178</v>
      </c>
      <c r="L577" s="327">
        <f t="shared" si="3"/>
        <v>0.5134541178</v>
      </c>
      <c r="M577" s="321" t="str">
        <f t="shared" si="4"/>
        <v>felixfritsch</v>
      </c>
      <c r="N577" s="209">
        <f>IFERROR(__xludf.DUMMYFUNCTION("""COMPUTED_VALUE"""),1.0)</f>
        <v>1</v>
      </c>
      <c r="O577" s="176"/>
      <c r="P577" s="176"/>
      <c r="Q577" s="176"/>
      <c r="R577" s="176"/>
      <c r="S577" s="176"/>
      <c r="T577" s="176"/>
      <c r="U577" s="176"/>
      <c r="V577" s="176"/>
      <c r="W577" s="176"/>
      <c r="X577" s="176"/>
      <c r="Y577" s="176"/>
      <c r="Z577" s="176"/>
    </row>
    <row r="578">
      <c r="A578" s="249" t="s">
        <v>175</v>
      </c>
      <c r="B578" s="249" t="s">
        <v>519</v>
      </c>
      <c r="C578" s="219" t="s">
        <v>2905</v>
      </c>
      <c r="D578" s="268" t="s">
        <v>495</v>
      </c>
      <c r="E578" s="361">
        <v>44200.0</v>
      </c>
      <c r="F578" s="250" t="s">
        <v>499</v>
      </c>
      <c r="G578" s="171">
        <v>45.0</v>
      </c>
      <c r="H578" s="171">
        <v>25.0</v>
      </c>
      <c r="I578" s="171">
        <v>10.0</v>
      </c>
      <c r="J578" s="325">
        <f t="shared" si="18"/>
        <v>0.0006846054904</v>
      </c>
      <c r="K578" s="326">
        <f t="shared" si="29"/>
        <v>0.5134541178</v>
      </c>
      <c r="L578" s="327">
        <f t="shared" si="3"/>
        <v>0.5134541178</v>
      </c>
      <c r="M578" s="321" t="str">
        <f t="shared" si="4"/>
        <v>exiledsurfer</v>
      </c>
      <c r="N578" s="209">
        <f>IFERROR(__xludf.DUMMYFUNCTION("""COMPUTED_VALUE"""),1.0)</f>
        <v>1</v>
      </c>
      <c r="O578" s="176"/>
      <c r="P578" s="176"/>
      <c r="Q578" s="176"/>
      <c r="R578" s="176"/>
      <c r="S578" s="176"/>
      <c r="T578" s="176"/>
      <c r="U578" s="176"/>
      <c r="V578" s="176"/>
      <c r="W578" s="176"/>
      <c r="X578" s="176"/>
      <c r="Y578" s="176"/>
      <c r="Z578" s="176"/>
    </row>
    <row r="579">
      <c r="A579" s="249" t="s">
        <v>299</v>
      </c>
      <c r="B579" s="249" t="s">
        <v>519</v>
      </c>
      <c r="C579" s="219" t="s">
        <v>2905</v>
      </c>
      <c r="D579" s="268" t="s">
        <v>495</v>
      </c>
      <c r="E579" s="361">
        <v>44200.0</v>
      </c>
      <c r="F579" s="250" t="s">
        <v>499</v>
      </c>
      <c r="G579" s="171">
        <v>45.0</v>
      </c>
      <c r="H579" s="171">
        <v>25.0</v>
      </c>
      <c r="I579" s="171">
        <v>10.0</v>
      </c>
      <c r="J579" s="325">
        <f t="shared" si="18"/>
        <v>0.0006846054904</v>
      </c>
      <c r="K579" s="326">
        <f t="shared" si="29"/>
        <v>0.5134541178</v>
      </c>
      <c r="L579" s="327">
        <f t="shared" si="3"/>
        <v>0.5134541178</v>
      </c>
      <c r="M579" s="321" t="str">
        <f t="shared" si="4"/>
        <v>edapt</v>
      </c>
      <c r="N579" s="209">
        <f>IFERROR(__xludf.DUMMYFUNCTION("""COMPUTED_VALUE"""),1.0)</f>
        <v>1</v>
      </c>
      <c r="O579" s="176"/>
      <c r="P579" s="176"/>
      <c r="Q579" s="176"/>
      <c r="R579" s="176"/>
      <c r="S579" s="176"/>
      <c r="T579" s="176"/>
      <c r="U579" s="176"/>
      <c r="V579" s="176"/>
      <c r="W579" s="176"/>
      <c r="X579" s="176"/>
      <c r="Y579" s="176"/>
      <c r="Z579" s="176"/>
    </row>
    <row r="580">
      <c r="A580" s="249" t="s">
        <v>144</v>
      </c>
      <c r="B580" s="249" t="s">
        <v>519</v>
      </c>
      <c r="C580" s="219" t="s">
        <v>2905</v>
      </c>
      <c r="D580" s="268" t="s">
        <v>495</v>
      </c>
      <c r="E580" s="361">
        <v>44200.0</v>
      </c>
      <c r="F580" s="250" t="s">
        <v>499</v>
      </c>
      <c r="G580" s="171">
        <v>45.0</v>
      </c>
      <c r="H580" s="171">
        <v>25.0</v>
      </c>
      <c r="I580" s="171">
        <v>10.0</v>
      </c>
      <c r="J580" s="325">
        <f t="shared" si="18"/>
        <v>0.0006846054904</v>
      </c>
      <c r="K580" s="326">
        <f t="shared" si="29"/>
        <v>0.5134541178</v>
      </c>
      <c r="L580" s="327">
        <f t="shared" si="3"/>
        <v>0.5134541178</v>
      </c>
      <c r="M580" s="321" t="str">
        <f t="shared" si="4"/>
        <v>cpt_grog</v>
      </c>
      <c r="N580" s="209">
        <f>IFERROR(__xludf.DUMMYFUNCTION("""COMPUTED_VALUE"""),1.0)</f>
        <v>1</v>
      </c>
      <c r="O580" s="176"/>
      <c r="P580" s="176"/>
      <c r="Q580" s="176"/>
      <c r="R580" s="176"/>
      <c r="S580" s="176"/>
      <c r="T580" s="176"/>
      <c r="U580" s="176"/>
      <c r="V580" s="176"/>
      <c r="W580" s="176"/>
      <c r="X580" s="176"/>
      <c r="Y580" s="176"/>
      <c r="Z580" s="176"/>
    </row>
    <row r="581">
      <c r="A581" s="249" t="s">
        <v>137</v>
      </c>
      <c r="B581" s="249" t="s">
        <v>10</v>
      </c>
      <c r="C581" s="219" t="s">
        <v>2896</v>
      </c>
      <c r="D581" s="268" t="s">
        <v>495</v>
      </c>
      <c r="E581" s="251">
        <v>44211.0</v>
      </c>
      <c r="F581" s="250" t="s">
        <v>496</v>
      </c>
      <c r="G581" s="171">
        <v>10.0</v>
      </c>
      <c r="H581" s="171">
        <v>25.0</v>
      </c>
      <c r="I581" s="171">
        <v>40.0</v>
      </c>
      <c r="J581" s="325">
        <f t="shared" si="18"/>
        <v>0.0006372282264</v>
      </c>
      <c r="K581" s="326">
        <f t="shared" si="29"/>
        <v>0.4779211698</v>
      </c>
      <c r="L581" s="327">
        <f t="shared" si="3"/>
        <v>0.4779211698</v>
      </c>
      <c r="M581" s="321" t="str">
        <f t="shared" si="4"/>
        <v>nelsonm</v>
      </c>
      <c r="N581" s="209">
        <f>IFERROR(__xludf.DUMMYFUNCTION("""COMPUTED_VALUE"""),1.0)</f>
        <v>1</v>
      </c>
      <c r="O581" s="176"/>
      <c r="P581" s="176"/>
      <c r="Q581" s="176"/>
      <c r="R581" s="176"/>
      <c r="S581" s="176"/>
      <c r="T581" s="176"/>
      <c r="U581" s="176"/>
      <c r="V581" s="176"/>
      <c r="W581" s="176"/>
      <c r="X581" s="176"/>
      <c r="Y581" s="176"/>
      <c r="Z581" s="176"/>
    </row>
    <row r="582">
      <c r="A582" s="343" t="s">
        <v>29</v>
      </c>
      <c r="B582" s="253" t="s">
        <v>534</v>
      </c>
      <c r="C582" s="256" t="s">
        <v>684</v>
      </c>
      <c r="D582" s="343"/>
      <c r="E582" s="344"/>
      <c r="F582" s="343"/>
      <c r="G582" s="253"/>
      <c r="H582" s="253"/>
      <c r="I582" s="253"/>
      <c r="J582" s="325">
        <f t="shared" si="18"/>
        <v>0</v>
      </c>
      <c r="K582" s="337">
        <f>-2.619*0.85</f>
        <v>-2.22615</v>
      </c>
      <c r="L582" s="327">
        <f t="shared" si="3"/>
        <v>0.393273539</v>
      </c>
      <c r="M582" s="321" t="str">
        <f t="shared" si="4"/>
        <v>jeffemmett</v>
      </c>
      <c r="N582" s="343">
        <f>IFERROR(__xludf.DUMMYFUNCTION("""COMPUTED_VALUE"""),1.0)</f>
        <v>1</v>
      </c>
      <c r="O582" s="343"/>
      <c r="P582" s="343"/>
      <c r="Q582" s="343"/>
      <c r="R582" s="343">
        <v>18.15686701513158</v>
      </c>
      <c r="S582" s="343"/>
      <c r="T582" s="343"/>
      <c r="U582" s="343"/>
      <c r="V582" s="343"/>
      <c r="W582" s="343"/>
      <c r="X582" s="343"/>
      <c r="Y582" s="226"/>
      <c r="Z582" s="226"/>
    </row>
    <row r="583">
      <c r="A583" s="249" t="s">
        <v>29</v>
      </c>
      <c r="B583" s="249" t="s">
        <v>1228</v>
      </c>
      <c r="C583" s="219" t="s">
        <v>2874</v>
      </c>
      <c r="D583" s="268" t="s">
        <v>495</v>
      </c>
      <c r="E583" s="361">
        <v>44198.0</v>
      </c>
      <c r="F583" s="250" t="s">
        <v>496</v>
      </c>
      <c r="G583" s="171">
        <v>20.0</v>
      </c>
      <c r="H583" s="171">
        <v>25.0</v>
      </c>
      <c r="I583" s="171">
        <v>15.0</v>
      </c>
      <c r="J583" s="325">
        <f t="shared" si="18"/>
        <v>0.0005212732072</v>
      </c>
      <c r="K583" s="326">
        <f t="shared" ref="K583:K591" si="30">J583*$J$1</f>
        <v>0.3909549054</v>
      </c>
      <c r="L583" s="327">
        <f t="shared" si="3"/>
        <v>0.393273539</v>
      </c>
      <c r="M583" s="321" t="str">
        <f t="shared" si="4"/>
        <v>jeffemmett</v>
      </c>
      <c r="N583" s="209">
        <f>IFERROR(__xludf.DUMMYFUNCTION("""COMPUTED_VALUE"""),2.0)</f>
        <v>2</v>
      </c>
      <c r="O583" s="176"/>
      <c r="P583" s="176"/>
      <c r="Q583" s="176"/>
      <c r="R583" s="176"/>
      <c r="S583" s="176"/>
      <c r="T583" s="176"/>
      <c r="U583" s="176"/>
      <c r="V583" s="176"/>
      <c r="W583" s="176"/>
      <c r="X583" s="176"/>
      <c r="Y583" s="176"/>
      <c r="Z583" s="176"/>
    </row>
    <row r="584">
      <c r="A584" s="249" t="s">
        <v>29</v>
      </c>
      <c r="B584" s="249" t="s">
        <v>519</v>
      </c>
      <c r="C584" s="219" t="s">
        <v>2905</v>
      </c>
      <c r="D584" s="268" t="s">
        <v>495</v>
      </c>
      <c r="E584" s="361">
        <v>44200.0</v>
      </c>
      <c r="F584" s="250" t="s">
        <v>499</v>
      </c>
      <c r="G584" s="171">
        <v>45.0</v>
      </c>
      <c r="H584" s="171">
        <v>25.0</v>
      </c>
      <c r="I584" s="171">
        <v>10.0</v>
      </c>
      <c r="J584" s="325">
        <f t="shared" si="18"/>
        <v>0.0006846054904</v>
      </c>
      <c r="K584" s="326">
        <f t="shared" si="30"/>
        <v>0.5134541178</v>
      </c>
      <c r="L584" s="327">
        <f t="shared" si="3"/>
        <v>0.393273539</v>
      </c>
      <c r="M584" s="321" t="str">
        <f t="shared" si="4"/>
        <v>jeffemmett</v>
      </c>
      <c r="N584" s="209">
        <f>IFERROR(__xludf.DUMMYFUNCTION("""COMPUTED_VALUE"""),3.0)</f>
        <v>3</v>
      </c>
      <c r="O584" s="176"/>
      <c r="P584" s="176"/>
      <c r="Q584" s="176"/>
      <c r="R584" s="176"/>
      <c r="S584" s="176"/>
      <c r="T584" s="176"/>
      <c r="U584" s="176"/>
      <c r="V584" s="176"/>
      <c r="W584" s="176"/>
      <c r="X584" s="176"/>
      <c r="Y584" s="176"/>
      <c r="Z584" s="176"/>
    </row>
    <row r="585">
      <c r="A585" s="249" t="s">
        <v>29</v>
      </c>
      <c r="B585" s="249" t="s">
        <v>18</v>
      </c>
      <c r="C585" s="219" t="s">
        <v>2976</v>
      </c>
      <c r="D585" s="268" t="s">
        <v>495</v>
      </c>
      <c r="E585" s="251">
        <v>44210.0</v>
      </c>
      <c r="F585" s="250" t="s">
        <v>496</v>
      </c>
      <c r="G585" s="171">
        <v>100.0</v>
      </c>
      <c r="H585" s="171">
        <v>55.0</v>
      </c>
      <c r="I585" s="171">
        <v>120.0</v>
      </c>
      <c r="J585" s="325">
        <f t="shared" si="18"/>
        <v>0.002286686021</v>
      </c>
      <c r="K585" s="326">
        <f t="shared" si="30"/>
        <v>1.715014516</v>
      </c>
      <c r="L585" s="327">
        <f t="shared" si="3"/>
        <v>0.393273539</v>
      </c>
      <c r="M585" s="321" t="str">
        <f t="shared" si="4"/>
        <v>jeffemmett</v>
      </c>
      <c r="N585" s="209">
        <f>IFERROR(__xludf.DUMMYFUNCTION("""COMPUTED_VALUE"""),4.0)</f>
        <v>4</v>
      </c>
      <c r="O585" s="176"/>
      <c r="P585" s="176"/>
      <c r="Q585" s="176"/>
      <c r="R585" s="176"/>
      <c r="S585" s="176"/>
      <c r="T585" s="176"/>
      <c r="U585" s="176"/>
      <c r="V585" s="176"/>
      <c r="W585" s="176"/>
      <c r="X585" s="176"/>
      <c r="Y585" s="176"/>
      <c r="Z585" s="176"/>
    </row>
    <row r="586">
      <c r="A586" s="249" t="s">
        <v>70</v>
      </c>
      <c r="B586" s="249" t="s">
        <v>1228</v>
      </c>
      <c r="C586" s="219" t="s">
        <v>2874</v>
      </c>
      <c r="D586" s="268" t="s">
        <v>495</v>
      </c>
      <c r="E586" s="361">
        <v>44198.0</v>
      </c>
      <c r="F586" s="250" t="s">
        <v>496</v>
      </c>
      <c r="G586" s="171">
        <v>20.0</v>
      </c>
      <c r="H586" s="171">
        <v>25.0</v>
      </c>
      <c r="I586" s="171">
        <v>15.0</v>
      </c>
      <c r="J586" s="325">
        <f t="shared" si="18"/>
        <v>0.0005212732072</v>
      </c>
      <c r="K586" s="326">
        <f t="shared" si="30"/>
        <v>0.3909549054</v>
      </c>
      <c r="L586" s="327">
        <f t="shared" si="3"/>
        <v>0.3909549054</v>
      </c>
      <c r="M586" s="321" t="str">
        <f t="shared" si="4"/>
        <v>rubenrussel7</v>
      </c>
      <c r="N586" s="209">
        <f>IFERROR(__xludf.DUMMYFUNCTION("""COMPUTED_VALUE"""),1.0)</f>
        <v>1</v>
      </c>
      <c r="O586" s="176"/>
      <c r="P586" s="176"/>
      <c r="Q586" s="176"/>
      <c r="R586" s="176"/>
      <c r="S586" s="176"/>
      <c r="T586" s="176"/>
      <c r="U586" s="176"/>
      <c r="V586" s="176"/>
      <c r="W586" s="176"/>
      <c r="X586" s="176"/>
      <c r="Y586" s="176"/>
      <c r="Z586" s="176"/>
    </row>
    <row r="587">
      <c r="A587" s="249" t="s">
        <v>71</v>
      </c>
      <c r="B587" s="249" t="s">
        <v>1228</v>
      </c>
      <c r="C587" s="219" t="s">
        <v>2874</v>
      </c>
      <c r="D587" s="268" t="s">
        <v>495</v>
      </c>
      <c r="E587" s="361">
        <v>44198.0</v>
      </c>
      <c r="F587" s="250" t="s">
        <v>496</v>
      </c>
      <c r="G587" s="171">
        <v>20.0</v>
      </c>
      <c r="H587" s="171">
        <v>25.0</v>
      </c>
      <c r="I587" s="171">
        <v>15.0</v>
      </c>
      <c r="J587" s="325">
        <f t="shared" si="18"/>
        <v>0.0005212732072</v>
      </c>
      <c r="K587" s="326">
        <f t="shared" si="30"/>
        <v>0.3909549054</v>
      </c>
      <c r="L587" s="327">
        <f t="shared" si="3"/>
        <v>0.3909549054</v>
      </c>
      <c r="M587" s="321" t="str">
        <f t="shared" si="4"/>
        <v>quartagiulio</v>
      </c>
      <c r="N587" s="209">
        <f>IFERROR(__xludf.DUMMYFUNCTION("""COMPUTED_VALUE"""),1.0)</f>
        <v>1</v>
      </c>
      <c r="O587" s="176"/>
      <c r="P587" s="176"/>
      <c r="Q587" s="176"/>
      <c r="R587" s="176"/>
      <c r="S587" s="176"/>
      <c r="T587" s="176"/>
      <c r="U587" s="176"/>
      <c r="V587" s="176"/>
      <c r="W587" s="176"/>
      <c r="X587" s="176"/>
      <c r="Y587" s="176"/>
      <c r="Z587" s="176"/>
    </row>
    <row r="588">
      <c r="A588" s="249" t="s">
        <v>76</v>
      </c>
      <c r="B588" s="249" t="s">
        <v>1228</v>
      </c>
      <c r="C588" s="219" t="s">
        <v>2874</v>
      </c>
      <c r="D588" s="268" t="s">
        <v>495</v>
      </c>
      <c r="E588" s="361">
        <v>44198.0</v>
      </c>
      <c r="F588" s="250" t="s">
        <v>496</v>
      </c>
      <c r="G588" s="171">
        <v>20.0</v>
      </c>
      <c r="H588" s="171">
        <v>25.0</v>
      </c>
      <c r="I588" s="171">
        <v>15.0</v>
      </c>
      <c r="J588" s="325">
        <f t="shared" si="18"/>
        <v>0.0005212732072</v>
      </c>
      <c r="K588" s="326">
        <f t="shared" si="30"/>
        <v>0.3909549054</v>
      </c>
      <c r="L588" s="327">
        <f t="shared" si="3"/>
        <v>0.3909549054</v>
      </c>
      <c r="M588" s="321" t="str">
        <f t="shared" si="4"/>
        <v>fabianvb</v>
      </c>
      <c r="N588" s="209">
        <f>IFERROR(__xludf.DUMMYFUNCTION("""COMPUTED_VALUE"""),1.0)</f>
        <v>1</v>
      </c>
      <c r="O588" s="176"/>
      <c r="P588" s="176"/>
      <c r="Q588" s="176"/>
      <c r="R588" s="176"/>
      <c r="S588" s="176"/>
      <c r="T588" s="176"/>
      <c r="U588" s="176"/>
      <c r="V588" s="176"/>
      <c r="W588" s="176"/>
      <c r="X588" s="176"/>
      <c r="Y588" s="176"/>
      <c r="Z588" s="176"/>
    </row>
    <row r="589">
      <c r="A589" s="249" t="s">
        <v>103</v>
      </c>
      <c r="B589" s="249" t="s">
        <v>1228</v>
      </c>
      <c r="C589" s="219" t="s">
        <v>2874</v>
      </c>
      <c r="D589" s="268" t="s">
        <v>495</v>
      </c>
      <c r="E589" s="361">
        <v>44198.0</v>
      </c>
      <c r="F589" s="250" t="s">
        <v>496</v>
      </c>
      <c r="G589" s="171">
        <v>20.0</v>
      </c>
      <c r="H589" s="171">
        <v>25.0</v>
      </c>
      <c r="I589" s="171">
        <v>15.0</v>
      </c>
      <c r="J589" s="325">
        <f t="shared" si="18"/>
        <v>0.0005212732072</v>
      </c>
      <c r="K589" s="326">
        <f t="shared" si="30"/>
        <v>0.3909549054</v>
      </c>
      <c r="L589" s="327">
        <f t="shared" si="3"/>
        <v>0.3909549054</v>
      </c>
      <c r="M589" s="321" t="str">
        <f t="shared" si="4"/>
        <v>dulcedu</v>
      </c>
      <c r="N589" s="209">
        <f>IFERROR(__xludf.DUMMYFUNCTION("""COMPUTED_VALUE"""),1.0)</f>
        <v>1</v>
      </c>
      <c r="O589" s="176"/>
      <c r="P589" s="176"/>
      <c r="Q589" s="176"/>
      <c r="R589" s="176"/>
      <c r="S589" s="176"/>
      <c r="T589" s="176"/>
      <c r="U589" s="176"/>
      <c r="V589" s="176"/>
      <c r="W589" s="176"/>
      <c r="X589" s="176"/>
      <c r="Y589" s="176"/>
      <c r="Z589" s="176"/>
    </row>
    <row r="590">
      <c r="A590" s="249" t="s">
        <v>52</v>
      </c>
      <c r="B590" s="249" t="s">
        <v>519</v>
      </c>
      <c r="C590" s="219" t="s">
        <v>2984</v>
      </c>
      <c r="D590" s="268" t="s">
        <v>495</v>
      </c>
      <c r="E590" s="251">
        <v>44209.0</v>
      </c>
      <c r="F590" s="250" t="s">
        <v>521</v>
      </c>
      <c r="G590" s="171">
        <v>10.0</v>
      </c>
      <c r="H590" s="171">
        <v>25.0</v>
      </c>
      <c r="I590" s="171">
        <v>10.0</v>
      </c>
      <c r="J590" s="325">
        <f t="shared" si="18"/>
        <v>0.0004007657057</v>
      </c>
      <c r="K590" s="326">
        <f t="shared" si="30"/>
        <v>0.3005742793</v>
      </c>
      <c r="L590" s="327">
        <f t="shared" si="3"/>
        <v>0.3005742793</v>
      </c>
      <c r="M590" s="321" t="str">
        <f t="shared" si="4"/>
        <v>randomshinichi</v>
      </c>
      <c r="N590" s="209">
        <f>IFERROR(__xludf.DUMMYFUNCTION("""COMPUTED_VALUE"""),1.0)</f>
        <v>1</v>
      </c>
      <c r="O590" s="176"/>
      <c r="P590" s="176"/>
      <c r="Q590" s="176"/>
      <c r="R590" s="176"/>
      <c r="S590" s="176"/>
      <c r="T590" s="176"/>
      <c r="U590" s="176"/>
      <c r="V590" s="176"/>
      <c r="W590" s="176"/>
      <c r="X590" s="176"/>
      <c r="Y590" s="176"/>
      <c r="Z590" s="176"/>
    </row>
    <row r="591">
      <c r="A591" s="249" t="s">
        <v>370</v>
      </c>
      <c r="B591" s="249" t="s">
        <v>18</v>
      </c>
      <c r="C591" s="219" t="s">
        <v>3054</v>
      </c>
      <c r="D591" s="268" t="s">
        <v>495</v>
      </c>
      <c r="E591" s="251">
        <v>44207.0</v>
      </c>
      <c r="F591" s="250" t="s">
        <v>499</v>
      </c>
      <c r="G591" s="171">
        <v>5.0</v>
      </c>
      <c r="H591" s="171">
        <v>25.0</v>
      </c>
      <c r="I591" s="171">
        <v>10.0</v>
      </c>
      <c r="J591" s="325">
        <f t="shared" si="18"/>
        <v>0.0003602171651</v>
      </c>
      <c r="K591" s="326">
        <f t="shared" si="30"/>
        <v>0.2701628738</v>
      </c>
      <c r="L591" s="327">
        <f t="shared" si="3"/>
        <v>0.2701628738</v>
      </c>
      <c r="M591" s="321" t="str">
        <f t="shared" si="4"/>
        <v>youngkidwarrior</v>
      </c>
      <c r="N591" s="209">
        <f>IFERROR(__xludf.DUMMYFUNCTION("""COMPUTED_VALUE"""),1.0)</f>
        <v>1</v>
      </c>
      <c r="O591" s="176"/>
      <c r="P591" s="176"/>
      <c r="Q591" s="176"/>
      <c r="R591" s="176"/>
      <c r="S591" s="176"/>
      <c r="T591" s="176"/>
      <c r="U591" s="176"/>
      <c r="V591" s="176"/>
      <c r="W591" s="176"/>
      <c r="X591" s="176"/>
      <c r="Y591" s="176"/>
      <c r="Z591" s="176"/>
    </row>
    <row r="592">
      <c r="A592" s="240" t="s">
        <v>73</v>
      </c>
      <c r="B592" s="240" t="s">
        <v>534</v>
      </c>
      <c r="C592" s="221" t="s">
        <v>839</v>
      </c>
      <c r="D592" s="336"/>
      <c r="E592" s="255"/>
      <c r="F592" s="254"/>
      <c r="G592" s="222"/>
      <c r="H592" s="222"/>
      <c r="I592" s="222"/>
      <c r="J592" s="172">
        <f t="shared" si="18"/>
        <v>0</v>
      </c>
      <c r="K592" s="345">
        <v>0.0</v>
      </c>
      <c r="L592" s="327">
        <f t="shared" si="3"/>
        <v>0</v>
      </c>
      <c r="M592" s="321" t="str">
        <f t="shared" si="4"/>
        <v>aminlatifi</v>
      </c>
      <c r="N592" s="209">
        <f>IFERROR(__xludf.DUMMYFUNCTION("""COMPUTED_VALUE"""),1.0)</f>
        <v>1</v>
      </c>
      <c r="O592" s="209"/>
      <c r="P592" s="209"/>
      <c r="Q592" s="209"/>
      <c r="R592" s="209">
        <v>18.802169413641863</v>
      </c>
      <c r="S592" s="209"/>
      <c r="T592" s="209"/>
      <c r="U592" s="209"/>
      <c r="V592" s="209"/>
      <c r="W592" s="209"/>
      <c r="X592" s="209"/>
      <c r="Y592" s="176"/>
      <c r="Z592" s="176"/>
    </row>
    <row r="593">
      <c r="A593" s="249"/>
      <c r="B593" s="249"/>
      <c r="C593" s="329"/>
      <c r="D593" s="268"/>
      <c r="E593" s="251"/>
      <c r="F593" s="250"/>
      <c r="G593" s="243"/>
      <c r="H593" s="243"/>
      <c r="I593" s="243"/>
      <c r="J593" s="265"/>
      <c r="K593" s="243"/>
      <c r="L593" s="266"/>
      <c r="M593" s="176"/>
      <c r="N593" s="176"/>
      <c r="O593" s="176"/>
      <c r="P593" s="176"/>
      <c r="Q593" s="176"/>
      <c r="R593" s="176"/>
      <c r="S593" s="176"/>
      <c r="T593" s="176"/>
      <c r="U593" s="176"/>
      <c r="V593" s="176"/>
      <c r="W593" s="176"/>
      <c r="X593" s="176"/>
      <c r="Y593" s="176"/>
      <c r="Z593" s="176"/>
    </row>
    <row r="594">
      <c r="A594" s="249"/>
      <c r="B594" s="249"/>
      <c r="C594" s="329"/>
      <c r="D594" s="268"/>
      <c r="E594" s="251"/>
      <c r="F594" s="250"/>
      <c r="G594" s="243"/>
      <c r="H594" s="243"/>
      <c r="I594" s="243"/>
      <c r="J594" s="265"/>
      <c r="K594" s="243"/>
      <c r="L594" s="266"/>
      <c r="M594" s="176"/>
      <c r="N594" s="176"/>
      <c r="O594" s="176"/>
      <c r="P594" s="176"/>
      <c r="Q594" s="176"/>
      <c r="R594" s="176"/>
      <c r="S594" s="176"/>
      <c r="T594" s="176"/>
      <c r="U594" s="176"/>
      <c r="V594" s="176"/>
      <c r="W594" s="176"/>
      <c r="X594" s="176"/>
      <c r="Y594" s="176"/>
      <c r="Z594" s="176"/>
    </row>
    <row r="595">
      <c r="A595" s="249"/>
      <c r="B595" s="249"/>
      <c r="C595" s="329"/>
      <c r="D595" s="268"/>
      <c r="E595" s="251"/>
      <c r="F595" s="250"/>
      <c r="G595" s="243"/>
      <c r="H595" s="243"/>
      <c r="I595" s="243"/>
      <c r="J595" s="265"/>
      <c r="K595" s="243"/>
      <c r="L595" s="266"/>
      <c r="M595" s="176"/>
      <c r="N595" s="176"/>
      <c r="O595" s="176"/>
      <c r="P595" s="176"/>
      <c r="Q595" s="176"/>
      <c r="R595" s="176"/>
      <c r="S595" s="176"/>
      <c r="T595" s="176"/>
      <c r="U595" s="176"/>
      <c r="V595" s="176"/>
      <c r="W595" s="176"/>
      <c r="X595" s="176"/>
      <c r="Y595" s="176"/>
      <c r="Z595" s="176"/>
    </row>
    <row r="596">
      <c r="A596" s="249"/>
      <c r="B596" s="249"/>
      <c r="C596" s="329"/>
      <c r="D596" s="268"/>
      <c r="E596" s="251"/>
      <c r="F596" s="250"/>
      <c r="G596" s="243"/>
      <c r="H596" s="243"/>
      <c r="I596" s="243"/>
      <c r="J596" s="265"/>
      <c r="K596" s="243"/>
      <c r="L596" s="266"/>
      <c r="M596" s="176"/>
      <c r="N596" s="176"/>
      <c r="O596" s="176"/>
      <c r="P596" s="176"/>
      <c r="Q596" s="176"/>
      <c r="R596" s="176"/>
      <c r="S596" s="176"/>
      <c r="T596" s="176"/>
      <c r="U596" s="176"/>
      <c r="V596" s="176"/>
      <c r="W596" s="176"/>
      <c r="X596" s="176"/>
      <c r="Y596" s="176"/>
      <c r="Z596" s="176"/>
    </row>
    <row r="597">
      <c r="A597" s="249"/>
      <c r="B597" s="249"/>
      <c r="C597" s="329"/>
      <c r="D597" s="268"/>
      <c r="E597" s="251"/>
      <c r="F597" s="250"/>
      <c r="G597" s="243"/>
      <c r="H597" s="243"/>
      <c r="I597" s="243"/>
      <c r="J597" s="265"/>
      <c r="K597" s="243"/>
      <c r="L597" s="266"/>
      <c r="M597" s="176"/>
      <c r="N597" s="176"/>
      <c r="O597" s="176"/>
      <c r="P597" s="176"/>
      <c r="Q597" s="176"/>
      <c r="R597" s="176"/>
      <c r="S597" s="176"/>
      <c r="T597" s="176"/>
      <c r="U597" s="176"/>
      <c r="V597" s="176"/>
      <c r="W597" s="176"/>
      <c r="X597" s="176"/>
      <c r="Y597" s="176"/>
      <c r="Z597" s="176"/>
    </row>
    <row r="598">
      <c r="A598" s="249"/>
      <c r="B598" s="249"/>
      <c r="C598" s="329"/>
      <c r="D598" s="268"/>
      <c r="E598" s="251"/>
      <c r="F598" s="250"/>
      <c r="G598" s="243"/>
      <c r="H598" s="243"/>
      <c r="I598" s="243"/>
      <c r="J598" s="265"/>
      <c r="K598" s="243"/>
      <c r="L598" s="266"/>
      <c r="M598" s="176"/>
      <c r="N598" s="176"/>
      <c r="O598" s="176"/>
      <c r="P598" s="176"/>
      <c r="Q598" s="176"/>
      <c r="R598" s="176"/>
      <c r="S598" s="176"/>
      <c r="T598" s="176"/>
      <c r="U598" s="176"/>
      <c r="V598" s="176"/>
      <c r="W598" s="176"/>
      <c r="X598" s="176"/>
      <c r="Y598" s="176"/>
      <c r="Z598" s="176"/>
    </row>
    <row r="599">
      <c r="A599" s="249"/>
      <c r="B599" s="249"/>
      <c r="C599" s="329"/>
      <c r="D599" s="268"/>
      <c r="E599" s="251"/>
      <c r="F599" s="250"/>
      <c r="G599" s="243"/>
      <c r="H599" s="243"/>
      <c r="I599" s="243"/>
      <c r="J599" s="265"/>
      <c r="K599" s="243"/>
      <c r="L599" s="266"/>
      <c r="M599" s="176"/>
      <c r="N599" s="176"/>
      <c r="O599" s="176"/>
      <c r="P599" s="176"/>
      <c r="Q599" s="176"/>
      <c r="R599" s="176"/>
      <c r="S599" s="176"/>
      <c r="T599" s="176"/>
      <c r="U599" s="176"/>
      <c r="V599" s="176"/>
      <c r="W599" s="176"/>
      <c r="X599" s="176"/>
      <c r="Y599" s="176"/>
      <c r="Z599" s="176"/>
    </row>
    <row r="600">
      <c r="A600" s="249"/>
      <c r="B600" s="249"/>
      <c r="C600" s="329"/>
      <c r="D600" s="268"/>
      <c r="E600" s="251"/>
      <c r="F600" s="250"/>
      <c r="G600" s="243"/>
      <c r="H600" s="243"/>
      <c r="I600" s="243"/>
      <c r="J600" s="265"/>
      <c r="K600" s="243"/>
      <c r="L600" s="266"/>
      <c r="M600" s="176"/>
      <c r="N600" s="176"/>
      <c r="O600" s="176"/>
      <c r="P600" s="176"/>
      <c r="Q600" s="176"/>
      <c r="R600" s="176"/>
      <c r="S600" s="176"/>
      <c r="T600" s="176"/>
      <c r="U600" s="176"/>
      <c r="V600" s="176"/>
      <c r="W600" s="176"/>
      <c r="X600" s="176"/>
      <c r="Y600" s="176"/>
      <c r="Z600" s="176"/>
    </row>
    <row r="601">
      <c r="A601" s="249"/>
      <c r="B601" s="249"/>
      <c r="C601" s="329"/>
      <c r="D601" s="268"/>
      <c r="E601" s="251"/>
      <c r="F601" s="250"/>
      <c r="G601" s="243"/>
      <c r="H601" s="243"/>
      <c r="I601" s="243"/>
      <c r="J601" s="265"/>
      <c r="K601" s="243"/>
      <c r="L601" s="266"/>
      <c r="M601" s="176"/>
      <c r="N601" s="176"/>
      <c r="O601" s="176"/>
      <c r="P601" s="176"/>
      <c r="Q601" s="176"/>
      <c r="R601" s="176"/>
      <c r="S601" s="176"/>
      <c r="T601" s="176"/>
      <c r="U601" s="176"/>
      <c r="V601" s="176"/>
      <c r="W601" s="176"/>
      <c r="X601" s="176"/>
      <c r="Y601" s="176"/>
      <c r="Z601" s="176"/>
    </row>
    <row r="602">
      <c r="A602" s="249"/>
      <c r="B602" s="249"/>
      <c r="C602" s="329"/>
      <c r="D602" s="268"/>
      <c r="E602" s="251"/>
      <c r="F602" s="250"/>
      <c r="G602" s="243"/>
      <c r="H602" s="243"/>
      <c r="I602" s="243"/>
      <c r="J602" s="265"/>
      <c r="K602" s="243"/>
      <c r="L602" s="266"/>
      <c r="M602" s="176"/>
      <c r="N602" s="176"/>
      <c r="O602" s="176"/>
      <c r="P602" s="176"/>
      <c r="Q602" s="176"/>
      <c r="R602" s="176"/>
      <c r="S602" s="176"/>
      <c r="T602" s="176"/>
      <c r="U602" s="176"/>
      <c r="V602" s="176"/>
      <c r="W602" s="176"/>
      <c r="X602" s="176"/>
      <c r="Y602" s="176"/>
      <c r="Z602" s="176"/>
    </row>
  </sheetData>
  <autoFilter ref="$A$3:$Z$592">
    <sortState ref="A3:Z592">
      <sortCondition descending="1" ref="L3:L592"/>
      <sortCondition descending="1" ref="A3:A592"/>
      <sortCondition ref="G3:G592"/>
      <sortCondition descending="1" ref="K3:K592"/>
      <sortCondition ref="E3:E592"/>
    </sortState>
  </autoFilter>
  <hyperlinks>
    <hyperlink r:id="rId1" ref="C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3055</v>
      </c>
      <c r="B1" s="2">
        <f>sum(B3:B901)</f>
        <v>497.4257658</v>
      </c>
    </row>
    <row r="2">
      <c r="A2" s="246" t="s">
        <v>388</v>
      </c>
      <c r="B2" s="247" t="s">
        <v>2</v>
      </c>
    </row>
    <row r="3">
      <c r="A3" s="5" t="s">
        <v>3</v>
      </c>
      <c r="B3" s="6">
        <v>54.27631578947365</v>
      </c>
    </row>
    <row r="4">
      <c r="A4" s="5" t="s">
        <v>4</v>
      </c>
      <c r="B4" s="6">
        <v>41.78200275033489</v>
      </c>
    </row>
    <row r="5">
      <c r="A5" s="5" t="s">
        <v>5</v>
      </c>
      <c r="B5" s="6">
        <v>30.93337959566798</v>
      </c>
    </row>
    <row r="6">
      <c r="A6" s="5" t="s">
        <v>10</v>
      </c>
      <c r="B6" s="6">
        <v>19.157366225960665</v>
      </c>
    </row>
    <row r="7">
      <c r="A7" s="5" t="s">
        <v>6</v>
      </c>
      <c r="B7" s="6">
        <v>19.005939040055328</v>
      </c>
    </row>
    <row r="8">
      <c r="A8" s="5" t="s">
        <v>13</v>
      </c>
      <c r="B8" s="6">
        <v>13.340359003318248</v>
      </c>
    </row>
    <row r="9">
      <c r="A9" s="5" t="s">
        <v>17</v>
      </c>
      <c r="B9" s="6">
        <v>11.99140285721031</v>
      </c>
    </row>
    <row r="10">
      <c r="A10" s="5" t="s">
        <v>11</v>
      </c>
      <c r="B10" s="6">
        <v>11.857258692677899</v>
      </c>
    </row>
    <row r="11">
      <c r="A11" s="5" t="s">
        <v>60</v>
      </c>
      <c r="B11" s="6">
        <v>10.30560998684904</v>
      </c>
    </row>
    <row r="12">
      <c r="A12" s="5" t="s">
        <v>40</v>
      </c>
      <c r="B12" s="6">
        <v>10.010358142244215</v>
      </c>
    </row>
    <row r="13">
      <c r="A13" s="5" t="s">
        <v>15</v>
      </c>
      <c r="B13" s="6">
        <v>9.575225456874966</v>
      </c>
    </row>
    <row r="14">
      <c r="A14" s="5" t="s">
        <v>34</v>
      </c>
      <c r="B14" s="6">
        <v>9.460384850013998</v>
      </c>
    </row>
    <row r="15">
      <c r="A15" s="5" t="s">
        <v>8</v>
      </c>
      <c r="B15" s="6">
        <v>9.433990568563729</v>
      </c>
    </row>
    <row r="16">
      <c r="A16" s="5" t="s">
        <v>49</v>
      </c>
      <c r="B16" s="6">
        <v>9.40149574026662</v>
      </c>
    </row>
    <row r="17">
      <c r="A17" s="5" t="s">
        <v>22</v>
      </c>
      <c r="B17" s="6">
        <v>9.294000678072322</v>
      </c>
    </row>
    <row r="18">
      <c r="A18" s="5" t="s">
        <v>14</v>
      </c>
      <c r="B18" s="6">
        <v>8.658705896740573</v>
      </c>
    </row>
    <row r="19">
      <c r="A19" s="5" t="s">
        <v>83</v>
      </c>
      <c r="B19" s="6">
        <v>8.251860536963992</v>
      </c>
    </row>
    <row r="20">
      <c r="A20" s="5" t="s">
        <v>9</v>
      </c>
      <c r="B20" s="6">
        <v>8.078071742480617</v>
      </c>
    </row>
    <row r="21">
      <c r="A21" s="5" t="s">
        <v>16</v>
      </c>
      <c r="B21" s="6">
        <v>7.647892105263149</v>
      </c>
    </row>
    <row r="22">
      <c r="A22" s="5" t="s">
        <v>35</v>
      </c>
      <c r="B22" s="6">
        <v>6.835940874979389</v>
      </c>
    </row>
    <row r="23">
      <c r="A23" s="5" t="s">
        <v>18</v>
      </c>
      <c r="B23" s="6">
        <v>6.767403322947604</v>
      </c>
    </row>
    <row r="24">
      <c r="A24" s="5" t="s">
        <v>26</v>
      </c>
      <c r="B24" s="6">
        <v>6.540362724116301</v>
      </c>
    </row>
    <row r="25">
      <c r="A25" s="5" t="s">
        <v>25</v>
      </c>
      <c r="B25" s="6">
        <v>6.414607894736847</v>
      </c>
    </row>
    <row r="26">
      <c r="A26" s="5" t="s">
        <v>100</v>
      </c>
      <c r="B26" s="6">
        <v>6.226213784310633</v>
      </c>
    </row>
    <row r="27">
      <c r="A27" s="5" t="s">
        <v>91</v>
      </c>
      <c r="B27" s="6">
        <v>6.226213784310633</v>
      </c>
    </row>
    <row r="28">
      <c r="A28" s="5" t="s">
        <v>28</v>
      </c>
      <c r="B28" s="6">
        <v>6.032774268233754</v>
      </c>
    </row>
    <row r="29">
      <c r="A29" s="5" t="s">
        <v>77</v>
      </c>
      <c r="B29" s="6">
        <v>5.475920903866427</v>
      </c>
    </row>
    <row r="30">
      <c r="A30" s="5" t="s">
        <v>114</v>
      </c>
      <c r="B30" s="6">
        <v>5.475920903866427</v>
      </c>
    </row>
    <row r="31">
      <c r="A31" s="5" t="s">
        <v>82</v>
      </c>
      <c r="B31" s="6">
        <v>5.432965012978711</v>
      </c>
    </row>
    <row r="32">
      <c r="A32" s="5" t="s">
        <v>79</v>
      </c>
      <c r="B32" s="6">
        <v>4.992024601188184</v>
      </c>
    </row>
    <row r="33">
      <c r="A33" s="5" t="s">
        <v>27</v>
      </c>
      <c r="B33" s="6">
        <v>4.833523635173246</v>
      </c>
    </row>
    <row r="34">
      <c r="A34" s="5" t="s">
        <v>12</v>
      </c>
      <c r="B34" s="6">
        <v>4.68914037864941</v>
      </c>
    </row>
    <row r="35">
      <c r="A35" s="5" t="s">
        <v>64</v>
      </c>
      <c r="B35" s="6">
        <v>4.601069695804902</v>
      </c>
    </row>
    <row r="36">
      <c r="A36" s="5" t="s">
        <v>160</v>
      </c>
      <c r="B36" s="6">
        <v>4.601069695804902</v>
      </c>
    </row>
    <row r="37">
      <c r="A37" s="5" t="s">
        <v>96</v>
      </c>
      <c r="B37" s="6">
        <v>4.601069695804902</v>
      </c>
    </row>
    <row r="38">
      <c r="A38" s="5" t="s">
        <v>124</v>
      </c>
      <c r="B38" s="6">
        <v>4.601069695804902</v>
      </c>
    </row>
    <row r="39">
      <c r="A39" s="5" t="s">
        <v>24</v>
      </c>
      <c r="B39" s="6">
        <v>4.601069695804902</v>
      </c>
    </row>
    <row r="40">
      <c r="A40" s="5" t="s">
        <v>54</v>
      </c>
      <c r="B40" s="6">
        <v>4.597914704889984</v>
      </c>
    </row>
    <row r="41">
      <c r="A41" s="5" t="s">
        <v>135</v>
      </c>
      <c r="B41" s="6">
        <v>4.276050601130777</v>
      </c>
    </row>
    <row r="42">
      <c r="A42" s="5" t="s">
        <v>7</v>
      </c>
      <c r="B42" s="6">
        <v>4.232451466823446</v>
      </c>
    </row>
    <row r="43">
      <c r="A43" s="5" t="s">
        <v>88</v>
      </c>
      <c r="B43" s="6">
        <v>4.206959799506703</v>
      </c>
    </row>
    <row r="44">
      <c r="A44" s="5" t="s">
        <v>66</v>
      </c>
      <c r="B44" s="6">
        <v>3.8577467174611773</v>
      </c>
    </row>
    <row r="45">
      <c r="A45" s="5" t="s">
        <v>43</v>
      </c>
      <c r="B45" s="6">
        <v>3.8260996358103663</v>
      </c>
    </row>
    <row r="46">
      <c r="A46" s="5" t="s">
        <v>55</v>
      </c>
      <c r="B46" s="6">
        <v>3.7210087631848223</v>
      </c>
    </row>
    <row r="47">
      <c r="A47" s="5" t="s">
        <v>39</v>
      </c>
      <c r="B47" s="6">
        <v>3.6387834176019633</v>
      </c>
    </row>
    <row r="48">
      <c r="A48" s="5" t="s">
        <v>129</v>
      </c>
      <c r="B48" s="6">
        <v>3.4631351651774023</v>
      </c>
    </row>
    <row r="49">
      <c r="A49" s="5" t="s">
        <v>155</v>
      </c>
      <c r="B49" s="6">
        <v>3.1588956962458457</v>
      </c>
    </row>
    <row r="50">
      <c r="A50" s="5" t="s">
        <v>120</v>
      </c>
      <c r="B50" s="6">
        <v>3.1557407053309263</v>
      </c>
    </row>
    <row r="51">
      <c r="A51" s="5" t="s">
        <v>112</v>
      </c>
      <c r="B51" s="6">
        <v>2.7647857999476457</v>
      </c>
    </row>
    <row r="52">
      <c r="A52" s="5" t="s">
        <v>57</v>
      </c>
      <c r="B52" s="6">
        <v>2.5821919529901542</v>
      </c>
    </row>
    <row r="53">
      <c r="A53" s="5" t="s">
        <v>178</v>
      </c>
      <c r="B53" s="6">
        <v>2.4134245449594363</v>
      </c>
    </row>
    <row r="54">
      <c r="A54" s="5" t="s">
        <v>38</v>
      </c>
      <c r="B54" s="6">
        <v>2.1928188144248946</v>
      </c>
    </row>
    <row r="55">
      <c r="A55" s="5" t="s">
        <v>62</v>
      </c>
      <c r="B55" s="6">
        <v>1.5732320331755396</v>
      </c>
    </row>
    <row r="56">
      <c r="A56" s="5" t="s">
        <v>33</v>
      </c>
      <c r="B56" s="6">
        <v>1.5115649072388797</v>
      </c>
    </row>
    <row r="57">
      <c r="A57" s="5" t="s">
        <v>231</v>
      </c>
      <c r="B57" s="6">
        <v>1.4421739995590572</v>
      </c>
    </row>
    <row r="58">
      <c r="A58" s="5" t="s">
        <v>200</v>
      </c>
      <c r="B58" s="6">
        <v>1.4421739995590572</v>
      </c>
    </row>
    <row r="59">
      <c r="A59" s="5" t="s">
        <v>194</v>
      </c>
      <c r="B59" s="6">
        <v>1.4421739995590572</v>
      </c>
    </row>
    <row r="60">
      <c r="A60" s="5" t="s">
        <v>232</v>
      </c>
      <c r="B60" s="6">
        <v>1.4421739995590572</v>
      </c>
    </row>
    <row r="61">
      <c r="A61" s="5" t="s">
        <v>19</v>
      </c>
      <c r="B61" s="6">
        <v>1.421018131827306</v>
      </c>
    </row>
    <row r="62">
      <c r="A62" s="5" t="s">
        <v>132</v>
      </c>
      <c r="B62" s="6">
        <v>1.383309197379227</v>
      </c>
    </row>
    <row r="63">
      <c r="A63" s="5" t="s">
        <v>50</v>
      </c>
      <c r="B63" s="6">
        <v>1.2985189194460336</v>
      </c>
    </row>
    <row r="64">
      <c r="A64" s="5" t="s">
        <v>92</v>
      </c>
      <c r="B64" s="6">
        <v>1.2652033510303857</v>
      </c>
    </row>
    <row r="65">
      <c r="A65" s="5" t="s">
        <v>106</v>
      </c>
      <c r="B65" s="6">
        <v>1.2652033510303857</v>
      </c>
    </row>
    <row r="66">
      <c r="A66" s="5" t="s">
        <v>72</v>
      </c>
      <c r="B66" s="6">
        <v>1.1687221781101982</v>
      </c>
    </row>
    <row r="67">
      <c r="A67" s="5" t="s">
        <v>61</v>
      </c>
      <c r="B67" s="6">
        <v>1.114455121243687</v>
      </c>
    </row>
    <row r="68">
      <c r="A68" s="5" t="s">
        <v>190</v>
      </c>
      <c r="B68" s="6">
        <v>1.0283560456296106</v>
      </c>
    </row>
    <row r="69">
      <c r="A69" s="5" t="s">
        <v>118</v>
      </c>
      <c r="B69" s="6">
        <v>0.9322701428322432</v>
      </c>
    </row>
    <row r="70">
      <c r="A70" s="5" t="s">
        <v>260</v>
      </c>
      <c r="B70" s="6">
        <v>0.907564014062753</v>
      </c>
    </row>
    <row r="71">
      <c r="A71" s="5" t="s">
        <v>139</v>
      </c>
      <c r="B71" s="6">
        <v>0.907564014062753</v>
      </c>
    </row>
    <row r="72">
      <c r="A72" s="5" t="s">
        <v>201</v>
      </c>
      <c r="B72" s="6">
        <v>0.907564014062753</v>
      </c>
    </row>
    <row r="73">
      <c r="A73" s="5" t="s">
        <v>261</v>
      </c>
      <c r="B73" s="6">
        <v>0.907564014062753</v>
      </c>
    </row>
    <row r="74">
      <c r="A74" s="5" t="s">
        <v>298</v>
      </c>
      <c r="B74" s="6">
        <v>0.907564014062753</v>
      </c>
    </row>
    <row r="75">
      <c r="A75" s="5" t="s">
        <v>147</v>
      </c>
      <c r="B75" s="6">
        <v>0.907564014062753</v>
      </c>
    </row>
    <row r="76">
      <c r="A76" s="5" t="s">
        <v>42</v>
      </c>
      <c r="B76" s="6">
        <v>0.9044090231478338</v>
      </c>
    </row>
    <row r="77">
      <c r="A77" s="5" t="s">
        <v>84</v>
      </c>
      <c r="B77" s="6">
        <v>0.9044090231478338</v>
      </c>
    </row>
    <row r="78">
      <c r="A78" s="5" t="s">
        <v>85</v>
      </c>
      <c r="B78" s="6">
        <v>0.8923191307432643</v>
      </c>
    </row>
    <row r="79">
      <c r="A79" s="5" t="s">
        <v>58</v>
      </c>
      <c r="B79" s="6">
        <v>0.8414623467856671</v>
      </c>
    </row>
    <row r="80">
      <c r="A80" s="5" t="s">
        <v>30</v>
      </c>
      <c r="B80" s="6">
        <v>0.8304069957215244</v>
      </c>
    </row>
    <row r="81">
      <c r="A81" s="5" t="s">
        <v>122</v>
      </c>
      <c r="B81" s="6">
        <v>0.7945444750310533</v>
      </c>
    </row>
    <row r="82">
      <c r="A82" s="5" t="s">
        <v>41</v>
      </c>
      <c r="B82" s="6">
        <v>0.7836169915809762</v>
      </c>
    </row>
    <row r="83">
      <c r="A83" s="5" t="s">
        <v>59</v>
      </c>
      <c r="B83" s="6">
        <v>0.7805582855278685</v>
      </c>
    </row>
    <row r="84">
      <c r="A84" s="5" t="s">
        <v>23</v>
      </c>
      <c r="B84" s="6">
        <v>0.660264188792496</v>
      </c>
    </row>
    <row r="85">
      <c r="A85" s="5" t="s">
        <v>356</v>
      </c>
      <c r="B85" s="6">
        <v>0.5691553863083411</v>
      </c>
    </row>
    <row r="86">
      <c r="A86" s="5" t="s">
        <v>97</v>
      </c>
      <c r="B86" s="6">
        <v>0.5691553863083411</v>
      </c>
    </row>
    <row r="87">
      <c r="A87" s="5" t="s">
        <v>171</v>
      </c>
      <c r="B87" s="6">
        <v>0.5408880674757279</v>
      </c>
    </row>
    <row r="88">
      <c r="A88" s="5" t="s">
        <v>362</v>
      </c>
      <c r="B88" s="6">
        <v>0.5134541177645532</v>
      </c>
    </row>
    <row r="89">
      <c r="A89" s="5" t="s">
        <v>36</v>
      </c>
      <c r="B89" s="6">
        <v>0.5134541177645532</v>
      </c>
    </row>
    <row r="90">
      <c r="A90" s="5" t="s">
        <v>131</v>
      </c>
      <c r="B90" s="6">
        <v>0.5134541177645532</v>
      </c>
    </row>
    <row r="91">
      <c r="A91" s="5" t="s">
        <v>196</v>
      </c>
      <c r="B91" s="6">
        <v>0.5134541177645532</v>
      </c>
    </row>
    <row r="92">
      <c r="A92" s="5" t="s">
        <v>37</v>
      </c>
      <c r="B92" s="6">
        <v>0.5134541177645532</v>
      </c>
    </row>
    <row r="93">
      <c r="A93" s="5" t="s">
        <v>69</v>
      </c>
      <c r="B93" s="6">
        <v>0.5134541177645532</v>
      </c>
    </row>
    <row r="94">
      <c r="A94" s="5" t="s">
        <v>154</v>
      </c>
      <c r="B94" s="6">
        <v>0.5134541177645532</v>
      </c>
    </row>
    <row r="95">
      <c r="A95" s="5" t="s">
        <v>44</v>
      </c>
      <c r="B95" s="6">
        <v>0.5134541177645532</v>
      </c>
    </row>
    <row r="96">
      <c r="A96" s="5" t="s">
        <v>78</v>
      </c>
      <c r="B96" s="6">
        <v>0.5134541177645532</v>
      </c>
    </row>
    <row r="97">
      <c r="A97" s="320" t="s">
        <v>81</v>
      </c>
      <c r="B97" s="6">
        <v>0.5134541177645532</v>
      </c>
    </row>
    <row r="98">
      <c r="A98" s="5" t="s">
        <v>175</v>
      </c>
      <c r="B98" s="6">
        <v>0.5134541177645532</v>
      </c>
    </row>
    <row r="99">
      <c r="A99" s="5" t="s">
        <v>299</v>
      </c>
      <c r="B99" s="6">
        <v>0.5134541177645532</v>
      </c>
    </row>
    <row r="100">
      <c r="A100" s="5" t="s">
        <v>144</v>
      </c>
      <c r="B100" s="6">
        <v>0.5134541177645532</v>
      </c>
    </row>
    <row r="101">
      <c r="A101" s="5" t="s">
        <v>137</v>
      </c>
      <c r="B101" s="6">
        <v>0.47792116982779215</v>
      </c>
    </row>
    <row r="102">
      <c r="A102" s="5" t="s">
        <v>29</v>
      </c>
      <c r="B102" s="6">
        <v>0.3932735390202069</v>
      </c>
    </row>
    <row r="103">
      <c r="A103" s="5" t="s">
        <v>70</v>
      </c>
      <c r="B103" s="6">
        <v>0.3909549053832806</v>
      </c>
    </row>
    <row r="104">
      <c r="A104" s="5" t="s">
        <v>71</v>
      </c>
      <c r="B104" s="6">
        <v>0.3909549053832806</v>
      </c>
    </row>
    <row r="105">
      <c r="A105" s="5" t="s">
        <v>76</v>
      </c>
      <c r="B105" s="6">
        <v>0.3909549053832806</v>
      </c>
    </row>
    <row r="106">
      <c r="A106" s="5" t="s">
        <v>103</v>
      </c>
      <c r="B106" s="6">
        <v>0.3909549053832806</v>
      </c>
    </row>
    <row r="107">
      <c r="A107" s="5" t="s">
        <v>52</v>
      </c>
      <c r="B107" s="6">
        <v>0.30057427930993924</v>
      </c>
    </row>
    <row r="108">
      <c r="A108" s="5" t="s">
        <v>370</v>
      </c>
      <c r="B108" s="6">
        <v>0.2701628738164229</v>
      </c>
    </row>
    <row r="109">
      <c r="A109" s="5"/>
      <c r="B109" s="6"/>
    </row>
    <row r="110">
      <c r="A110" s="5"/>
      <c r="B110" s="6"/>
    </row>
    <row r="111">
      <c r="A111" s="5"/>
      <c r="B111" s="6"/>
    </row>
    <row r="112">
      <c r="A112" s="5"/>
      <c r="B112" s="6"/>
    </row>
    <row r="113">
      <c r="A113" s="5"/>
      <c r="B113" s="6"/>
    </row>
    <row r="114">
      <c r="A114" s="5"/>
      <c r="B114" s="6"/>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108">
    <sortState ref="A2:U108">
      <sortCondition descending="1" ref="B2:B108"/>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7" width="8.43"/>
    <col customWidth="1" min="8" max="8" width="7.43"/>
    <col customWidth="1" min="9" max="9" width="9.86"/>
    <col customWidth="1" min="10" max="10" width="8.86"/>
    <col customWidth="1" min="13" max="13" width="16.0"/>
  </cols>
  <sheetData>
    <row r="1">
      <c r="A1" s="133"/>
      <c r="B1" s="359"/>
      <c r="C1" s="360"/>
      <c r="D1" s="136"/>
      <c r="E1" s="323"/>
      <c r="F1" s="138" t="s">
        <v>416</v>
      </c>
      <c r="G1" s="139">
        <v>400.0</v>
      </c>
      <c r="H1" s="139">
        <v>450.0</v>
      </c>
      <c r="I1" s="139">
        <v>450.0</v>
      </c>
      <c r="J1" s="140">
        <f>AVERAGE(G1:I1)</f>
        <v>433.3333333</v>
      </c>
      <c r="K1" s="141" t="s">
        <v>417</v>
      </c>
      <c r="L1" s="142">
        <f>countif(J4:J857, "&gt;0.000001")</f>
        <v>242</v>
      </c>
      <c r="M1" s="141" t="s">
        <v>418</v>
      </c>
      <c r="N1" s="143">
        <v>1.7906336088154269</v>
      </c>
      <c r="O1" s="144" t="s">
        <v>419</v>
      </c>
      <c r="P1" s="145"/>
      <c r="Q1" s="145"/>
      <c r="R1" s="145"/>
      <c r="S1" s="145"/>
      <c r="T1" s="145"/>
      <c r="U1" s="145"/>
    </row>
    <row r="2">
      <c r="A2" s="146"/>
      <c r="B2" s="134" t="s">
        <v>2487</v>
      </c>
      <c r="C2" s="234" t="s">
        <v>421</v>
      </c>
      <c r="D2" s="148"/>
      <c r="E2" s="323"/>
      <c r="F2" s="149" t="s">
        <v>422</v>
      </c>
      <c r="G2" s="139">
        <f t="shared" ref="G2:K2" si="1">sum(G4:G370)</f>
        <v>15055</v>
      </c>
      <c r="H2" s="139">
        <f t="shared" si="1"/>
        <v>16620</v>
      </c>
      <c r="I2" s="139">
        <f t="shared" si="1"/>
        <v>17400</v>
      </c>
      <c r="J2" s="150">
        <f t="shared" si="1"/>
        <v>1</v>
      </c>
      <c r="K2" s="151">
        <f t="shared" si="1"/>
        <v>269.1187605</v>
      </c>
      <c r="L2" s="152" t="s">
        <v>416</v>
      </c>
      <c r="M2" s="153"/>
      <c r="N2" s="153" t="s">
        <v>423</v>
      </c>
      <c r="O2" s="145"/>
      <c r="P2" s="145"/>
      <c r="Q2" s="145"/>
      <c r="R2" s="145"/>
      <c r="S2" s="145"/>
      <c r="T2" s="145"/>
      <c r="U2" s="145"/>
    </row>
    <row r="3">
      <c r="A3" s="154" t="s">
        <v>424</v>
      </c>
      <c r="B3" s="154" t="s">
        <v>425</v>
      </c>
      <c r="C3" s="235" t="s">
        <v>426</v>
      </c>
      <c r="D3" s="156"/>
      <c r="E3" s="324" t="s">
        <v>427</v>
      </c>
      <c r="F3" s="158" t="s">
        <v>428</v>
      </c>
      <c r="G3" s="159" t="s">
        <v>1926</v>
      </c>
      <c r="H3" s="159" t="s">
        <v>1580</v>
      </c>
      <c r="I3" s="159" t="s">
        <v>2180</v>
      </c>
      <c r="J3" s="160" t="s">
        <v>432</v>
      </c>
      <c r="K3" s="161" t="s">
        <v>433</v>
      </c>
      <c r="L3" s="162" t="s">
        <v>434</v>
      </c>
      <c r="M3" s="161"/>
      <c r="N3" s="163">
        <f>IFERROR(__xludf.DUMMYFUNCTION("query(iferror(sort({row(A3:A370)-row(A3)+2-match(sort(A3:A370),sort(A3:A370),0),SORT(ROW(A3:A370)+2-row(A3)+2,A3:A370,1)},2,1),),""Select Col1"")"),1.0)</f>
        <v>1</v>
      </c>
      <c r="O3" s="164"/>
      <c r="P3" s="164"/>
      <c r="Q3" s="164"/>
      <c r="R3" s="164"/>
      <c r="S3" s="164"/>
      <c r="T3" s="164"/>
      <c r="U3" s="164"/>
      <c r="V3" s="164"/>
      <c r="W3" s="164"/>
      <c r="X3" s="164"/>
      <c r="Y3" s="164"/>
      <c r="Z3" s="164"/>
    </row>
    <row r="4">
      <c r="A4" s="249" t="s">
        <v>6</v>
      </c>
      <c r="B4" s="249" t="s">
        <v>6</v>
      </c>
      <c r="C4" s="219" t="s">
        <v>3056</v>
      </c>
      <c r="D4" s="268" t="s">
        <v>495</v>
      </c>
      <c r="E4" s="251">
        <v>44186.0</v>
      </c>
      <c r="F4" s="250" t="s">
        <v>2586</v>
      </c>
      <c r="G4" s="171">
        <v>500.0</v>
      </c>
      <c r="H4" s="171">
        <v>550.0</v>
      </c>
      <c r="I4" s="171">
        <v>400.0</v>
      </c>
      <c r="J4" s="325">
        <f t="shared" ref="J4:J165" si="2">(G4/$G$2+H4/$H$2+I4/$I$2)/3</f>
        <v>0.02976424094</v>
      </c>
      <c r="K4" s="326">
        <f t="shared" ref="K4:K19" si="3">J4*$J$1</f>
        <v>12.89783774</v>
      </c>
      <c r="L4" s="327">
        <f t="shared" ref="L4:L361" si="4">dsum($A$3:$K370,"IH per Praise",{$A$3;A4})</f>
        <v>36.30541675</v>
      </c>
      <c r="M4" s="321" t="str">
        <f t="shared" ref="M4:M361" si="5">A4</f>
        <v>sembrestels</v>
      </c>
      <c r="N4" s="209">
        <f>IFERROR(__xludf.DUMMYFUNCTION("""COMPUTED_VALUE"""),1.0)</f>
        <v>1</v>
      </c>
      <c r="O4" s="176"/>
      <c r="P4" s="176"/>
      <c r="Q4" s="176"/>
      <c r="R4" s="176"/>
      <c r="S4" s="176"/>
      <c r="T4" s="176"/>
      <c r="U4" s="176"/>
      <c r="V4" s="176"/>
      <c r="W4" s="176"/>
      <c r="X4" s="176"/>
      <c r="Y4" s="176"/>
      <c r="Z4" s="176"/>
    </row>
    <row r="5">
      <c r="A5" s="249" t="s">
        <v>6</v>
      </c>
      <c r="B5" s="249" t="s">
        <v>6</v>
      </c>
      <c r="C5" s="219" t="s">
        <v>3057</v>
      </c>
      <c r="D5" s="268" t="s">
        <v>495</v>
      </c>
      <c r="E5" s="251">
        <v>44185.0</v>
      </c>
      <c r="F5" s="250" t="s">
        <v>2586</v>
      </c>
      <c r="G5" s="171">
        <v>200.0</v>
      </c>
      <c r="H5" s="171">
        <v>500.0</v>
      </c>
      <c r="I5" s="171">
        <v>300.0</v>
      </c>
      <c r="J5" s="325">
        <f t="shared" si="2"/>
        <v>0.02020341274</v>
      </c>
      <c r="K5" s="326">
        <f t="shared" si="3"/>
        <v>8.754812187</v>
      </c>
      <c r="L5" s="327">
        <f t="shared" si="4"/>
        <v>36.30541675</v>
      </c>
      <c r="M5" s="321" t="str">
        <f t="shared" si="5"/>
        <v>sembrestels</v>
      </c>
      <c r="N5" s="209">
        <f>IFERROR(__xludf.DUMMYFUNCTION("""COMPUTED_VALUE"""),2.0)</f>
        <v>2</v>
      </c>
      <c r="O5" s="176"/>
      <c r="P5" s="176"/>
      <c r="Q5" s="176"/>
      <c r="R5" s="176"/>
      <c r="S5" s="176"/>
      <c r="T5" s="176"/>
      <c r="U5" s="176"/>
      <c r="V5" s="176"/>
      <c r="W5" s="176"/>
      <c r="X5" s="176"/>
      <c r="Y5" s="176"/>
      <c r="Z5" s="176"/>
    </row>
    <row r="6">
      <c r="A6" s="249" t="s">
        <v>6</v>
      </c>
      <c r="B6" s="249" t="s">
        <v>6</v>
      </c>
      <c r="C6" s="219" t="s">
        <v>3058</v>
      </c>
      <c r="D6" s="268" t="s">
        <v>495</v>
      </c>
      <c r="E6" s="251">
        <v>44188.0</v>
      </c>
      <c r="F6" s="250" t="s">
        <v>2586</v>
      </c>
      <c r="G6" s="171">
        <v>200.0</v>
      </c>
      <c r="H6" s="171">
        <v>500.0</v>
      </c>
      <c r="I6" s="171">
        <v>350.0</v>
      </c>
      <c r="J6" s="325">
        <f t="shared" si="2"/>
        <v>0.02116126715</v>
      </c>
      <c r="K6" s="326">
        <f t="shared" si="3"/>
        <v>9.16988243</v>
      </c>
      <c r="L6" s="327">
        <f t="shared" si="4"/>
        <v>36.30541675</v>
      </c>
      <c r="M6" s="321" t="str">
        <f t="shared" si="5"/>
        <v>sembrestels</v>
      </c>
      <c r="N6" s="209">
        <f>IFERROR(__xludf.DUMMYFUNCTION("""COMPUTED_VALUE"""),3.0)</f>
        <v>3</v>
      </c>
      <c r="O6" s="176"/>
      <c r="P6" s="176"/>
      <c r="Q6" s="176"/>
      <c r="R6" s="176"/>
      <c r="S6" s="176"/>
      <c r="T6" s="176"/>
      <c r="U6" s="176"/>
      <c r="V6" s="176"/>
      <c r="W6" s="176"/>
      <c r="X6" s="176"/>
      <c r="Y6" s="176"/>
      <c r="Z6" s="176"/>
    </row>
    <row r="7">
      <c r="A7" s="249" t="s">
        <v>6</v>
      </c>
      <c r="B7" s="249" t="s">
        <v>6</v>
      </c>
      <c r="C7" s="219" t="s">
        <v>3059</v>
      </c>
      <c r="D7" s="268" t="s">
        <v>495</v>
      </c>
      <c r="E7" s="251">
        <v>44193.0</v>
      </c>
      <c r="F7" s="250" t="s">
        <v>2586</v>
      </c>
      <c r="G7" s="171">
        <v>150.0</v>
      </c>
      <c r="H7" s="171">
        <v>400.0</v>
      </c>
      <c r="I7" s="171">
        <v>250.0</v>
      </c>
      <c r="J7" s="325">
        <f t="shared" si="2"/>
        <v>0.01613289069</v>
      </c>
      <c r="K7" s="326">
        <f t="shared" si="3"/>
        <v>6.990919299</v>
      </c>
      <c r="L7" s="327">
        <f t="shared" si="4"/>
        <v>36.30541675</v>
      </c>
      <c r="M7" s="321" t="str">
        <f t="shared" si="5"/>
        <v>sembrestels</v>
      </c>
      <c r="N7" s="209">
        <f>IFERROR(__xludf.DUMMYFUNCTION("""COMPUTED_VALUE"""),4.0)</f>
        <v>4</v>
      </c>
      <c r="O7" s="176"/>
      <c r="P7" s="176"/>
      <c r="Q7" s="176"/>
      <c r="R7" s="176"/>
      <c r="S7" s="176"/>
      <c r="T7" s="176"/>
      <c r="U7" s="176"/>
      <c r="V7" s="176"/>
      <c r="W7" s="176"/>
      <c r="X7" s="176"/>
      <c r="Y7" s="176"/>
      <c r="Z7" s="176"/>
    </row>
    <row r="8">
      <c r="A8" s="249" t="s">
        <v>6</v>
      </c>
      <c r="B8" s="249" t="s">
        <v>1231</v>
      </c>
      <c r="C8" s="219" t="s">
        <v>3060</v>
      </c>
      <c r="D8" s="268" t="s">
        <v>495</v>
      </c>
      <c r="E8" s="251">
        <v>44184.0</v>
      </c>
      <c r="F8" s="250" t="s">
        <v>496</v>
      </c>
      <c r="G8" s="171">
        <v>30.0</v>
      </c>
      <c r="H8" s="171">
        <v>100.0</v>
      </c>
      <c r="I8" s="171">
        <v>150.0</v>
      </c>
      <c r="J8" s="325">
        <f t="shared" si="2"/>
        <v>0.005543410095</v>
      </c>
      <c r="K8" s="326">
        <f t="shared" si="3"/>
        <v>2.402144374</v>
      </c>
      <c r="L8" s="327">
        <f t="shared" si="4"/>
        <v>36.30541675</v>
      </c>
      <c r="M8" s="321" t="str">
        <f t="shared" si="5"/>
        <v>sembrestels</v>
      </c>
      <c r="N8" s="209">
        <f>IFERROR(__xludf.DUMMYFUNCTION("""COMPUTED_VALUE"""),5.0)</f>
        <v>5</v>
      </c>
      <c r="O8" s="176"/>
      <c r="P8" s="176"/>
      <c r="Q8" s="176"/>
      <c r="R8" s="176"/>
      <c r="S8" s="176"/>
      <c r="T8" s="176"/>
      <c r="U8" s="176"/>
      <c r="V8" s="176"/>
      <c r="W8" s="176"/>
      <c r="X8" s="176"/>
      <c r="Y8" s="176"/>
      <c r="Z8" s="176"/>
    </row>
    <row r="9">
      <c r="A9" s="249" t="s">
        <v>6</v>
      </c>
      <c r="B9" s="249" t="s">
        <v>10</v>
      </c>
      <c r="C9" s="219" t="s">
        <v>3061</v>
      </c>
      <c r="D9" s="268" t="s">
        <v>495</v>
      </c>
      <c r="E9" s="251">
        <v>44192.0</v>
      </c>
      <c r="F9" s="250" t="s">
        <v>496</v>
      </c>
      <c r="G9" s="171">
        <v>45.0</v>
      </c>
      <c r="H9" s="171">
        <v>25.0</v>
      </c>
      <c r="I9" s="171">
        <v>150.0</v>
      </c>
      <c r="J9" s="325">
        <f t="shared" si="2"/>
        <v>0.004371313878</v>
      </c>
      <c r="K9" s="326">
        <f t="shared" si="3"/>
        <v>1.894236014</v>
      </c>
      <c r="L9" s="327">
        <f t="shared" si="4"/>
        <v>36.30541675</v>
      </c>
      <c r="M9" s="321" t="str">
        <f t="shared" si="5"/>
        <v>sembrestels</v>
      </c>
      <c r="N9" s="209">
        <f>IFERROR(__xludf.DUMMYFUNCTION("""COMPUTED_VALUE"""),6.0)</f>
        <v>6</v>
      </c>
      <c r="O9" s="176"/>
      <c r="P9" s="176"/>
      <c r="Q9" s="176"/>
      <c r="R9" s="176"/>
      <c r="S9" s="176"/>
      <c r="T9" s="176"/>
      <c r="U9" s="176"/>
      <c r="V9" s="176"/>
      <c r="W9" s="176"/>
      <c r="X9" s="176"/>
      <c r="Y9" s="176"/>
      <c r="Z9" s="176"/>
    </row>
    <row r="10">
      <c r="A10" s="249" t="s">
        <v>6</v>
      </c>
      <c r="B10" s="249" t="s">
        <v>6</v>
      </c>
      <c r="C10" s="219" t="s">
        <v>3062</v>
      </c>
      <c r="D10" s="268" t="s">
        <v>495</v>
      </c>
      <c r="E10" s="251">
        <v>44186.0</v>
      </c>
      <c r="F10" s="250" t="s">
        <v>496</v>
      </c>
      <c r="G10" s="171">
        <v>20.0</v>
      </c>
      <c r="H10" s="171">
        <v>25.0</v>
      </c>
      <c r="I10" s="171">
        <v>50.0</v>
      </c>
      <c r="J10" s="325">
        <f t="shared" si="2"/>
        <v>0.001902079105</v>
      </c>
      <c r="K10" s="326">
        <f t="shared" si="3"/>
        <v>0.824234279</v>
      </c>
      <c r="L10" s="327">
        <f t="shared" si="4"/>
        <v>36.30541675</v>
      </c>
      <c r="M10" s="321" t="str">
        <f t="shared" si="5"/>
        <v>sembrestels</v>
      </c>
      <c r="N10" s="209">
        <f>IFERROR(__xludf.DUMMYFUNCTION("""COMPUTED_VALUE"""),7.0)</f>
        <v>7</v>
      </c>
      <c r="O10" s="176"/>
      <c r="P10" s="176"/>
      <c r="Q10" s="176"/>
      <c r="R10" s="176"/>
      <c r="S10" s="176"/>
      <c r="T10" s="176"/>
      <c r="U10" s="176"/>
      <c r="V10" s="176"/>
      <c r="W10" s="176"/>
      <c r="X10" s="176"/>
      <c r="Y10" s="176"/>
      <c r="Z10" s="176"/>
    </row>
    <row r="11">
      <c r="A11" s="249" t="s">
        <v>6</v>
      </c>
      <c r="B11" s="249" t="s">
        <v>10</v>
      </c>
      <c r="C11" s="219" t="s">
        <v>3063</v>
      </c>
      <c r="D11" s="268" t="s">
        <v>495</v>
      </c>
      <c r="E11" s="251">
        <v>44192.0</v>
      </c>
      <c r="F11" s="250" t="s">
        <v>496</v>
      </c>
      <c r="G11" s="171">
        <v>30.0</v>
      </c>
      <c r="H11" s="171">
        <v>25.0</v>
      </c>
      <c r="I11" s="171">
        <v>100.0</v>
      </c>
      <c r="J11" s="325">
        <f t="shared" si="2"/>
        <v>0.003081343896</v>
      </c>
      <c r="K11" s="326">
        <f t="shared" si="3"/>
        <v>1.335249021</v>
      </c>
      <c r="L11" s="327">
        <f t="shared" si="4"/>
        <v>36.30541675</v>
      </c>
      <c r="M11" s="321" t="str">
        <f t="shared" si="5"/>
        <v>sembrestels</v>
      </c>
      <c r="N11" s="209">
        <f>IFERROR(__xludf.DUMMYFUNCTION("""COMPUTED_VALUE"""),8.0)</f>
        <v>8</v>
      </c>
      <c r="O11" s="176"/>
      <c r="P11" s="176"/>
      <c r="Q11" s="176"/>
      <c r="R11" s="176"/>
      <c r="S11" s="176"/>
      <c r="T11" s="176"/>
      <c r="U11" s="176"/>
      <c r="V11" s="176"/>
      <c r="W11" s="176"/>
      <c r="X11" s="176"/>
      <c r="Y11" s="176"/>
      <c r="Z11" s="176"/>
    </row>
    <row r="12">
      <c r="A12" s="249" t="s">
        <v>6</v>
      </c>
      <c r="B12" s="249" t="s">
        <v>10</v>
      </c>
      <c r="C12" s="219" t="s">
        <v>3064</v>
      </c>
      <c r="D12" s="268" t="s">
        <v>495</v>
      </c>
      <c r="E12" s="251">
        <v>44192.0</v>
      </c>
      <c r="F12" s="250" t="s">
        <v>496</v>
      </c>
      <c r="G12" s="171">
        <v>45.0</v>
      </c>
      <c r="H12" s="171">
        <v>25.0</v>
      </c>
      <c r="I12" s="171">
        <v>50.0</v>
      </c>
      <c r="J12" s="325">
        <f t="shared" si="2"/>
        <v>0.002455605066</v>
      </c>
      <c r="K12" s="326">
        <f t="shared" si="3"/>
        <v>1.064095529</v>
      </c>
      <c r="L12" s="327">
        <f t="shared" si="4"/>
        <v>36.30541675</v>
      </c>
      <c r="M12" s="321" t="str">
        <f t="shared" si="5"/>
        <v>sembrestels</v>
      </c>
      <c r="N12" s="209">
        <f>IFERROR(__xludf.DUMMYFUNCTION("""COMPUTED_VALUE"""),9.0)</f>
        <v>9</v>
      </c>
      <c r="O12" s="176"/>
      <c r="P12" s="176"/>
      <c r="Q12" s="176"/>
      <c r="R12" s="176"/>
      <c r="S12" s="176"/>
      <c r="T12" s="176"/>
      <c r="U12" s="176"/>
      <c r="V12" s="176"/>
      <c r="W12" s="176"/>
      <c r="X12" s="176"/>
      <c r="Y12" s="176"/>
      <c r="Z12" s="176"/>
    </row>
    <row r="13">
      <c r="A13" s="249" t="s">
        <v>6</v>
      </c>
      <c r="B13" s="249" t="s">
        <v>10</v>
      </c>
      <c r="C13" s="219" t="s">
        <v>3065</v>
      </c>
      <c r="D13" s="268" t="s">
        <v>495</v>
      </c>
      <c r="E13" s="251">
        <v>44192.0</v>
      </c>
      <c r="F13" s="250" t="s">
        <v>496</v>
      </c>
      <c r="G13" s="171">
        <v>30.0</v>
      </c>
      <c r="H13" s="171">
        <v>25.0</v>
      </c>
      <c r="I13" s="171">
        <v>50.0</v>
      </c>
      <c r="J13" s="325">
        <f t="shared" si="2"/>
        <v>0.00212348949</v>
      </c>
      <c r="K13" s="326">
        <f t="shared" si="3"/>
        <v>0.9201787788</v>
      </c>
      <c r="L13" s="327">
        <f t="shared" si="4"/>
        <v>36.30541675</v>
      </c>
      <c r="M13" s="321" t="str">
        <f t="shared" si="5"/>
        <v>sembrestels</v>
      </c>
      <c r="N13" s="209">
        <f>IFERROR(__xludf.DUMMYFUNCTION("""COMPUTED_VALUE"""),10.0)</f>
        <v>10</v>
      </c>
      <c r="O13" s="176"/>
      <c r="P13" s="176"/>
      <c r="Q13" s="176"/>
      <c r="R13" s="176"/>
      <c r="S13" s="176"/>
      <c r="T13" s="176"/>
      <c r="U13" s="176"/>
      <c r="V13" s="176"/>
      <c r="W13" s="176"/>
      <c r="X13" s="176"/>
      <c r="Y13" s="176"/>
      <c r="Z13" s="176"/>
    </row>
    <row r="14">
      <c r="A14" s="249" t="s">
        <v>6</v>
      </c>
      <c r="B14" s="249" t="s">
        <v>519</v>
      </c>
      <c r="C14" s="219" t="s">
        <v>2329</v>
      </c>
      <c r="D14" s="268" t="s">
        <v>495</v>
      </c>
      <c r="E14" s="251">
        <v>44188.0</v>
      </c>
      <c r="F14" s="250" t="s">
        <v>521</v>
      </c>
      <c r="G14" s="171">
        <v>20.0</v>
      </c>
      <c r="H14" s="171">
        <v>25.0</v>
      </c>
      <c r="I14" s="171">
        <v>50.0</v>
      </c>
      <c r="J14" s="325">
        <f t="shared" si="2"/>
        <v>0.001902079105</v>
      </c>
      <c r="K14" s="326">
        <f t="shared" si="3"/>
        <v>0.824234279</v>
      </c>
      <c r="L14" s="327">
        <f t="shared" si="4"/>
        <v>36.30541675</v>
      </c>
      <c r="M14" s="321" t="str">
        <f t="shared" si="5"/>
        <v>sembrestels</v>
      </c>
      <c r="N14" s="209">
        <f>IFERROR(__xludf.DUMMYFUNCTION("""COMPUTED_VALUE"""),11.0)</f>
        <v>11</v>
      </c>
      <c r="O14" s="176"/>
      <c r="P14" s="176"/>
      <c r="Q14" s="176"/>
      <c r="R14" s="176"/>
      <c r="S14" s="176"/>
      <c r="T14" s="176"/>
      <c r="U14" s="176"/>
      <c r="V14" s="176"/>
      <c r="W14" s="176"/>
      <c r="X14" s="176"/>
      <c r="Y14" s="176"/>
      <c r="Z14" s="176"/>
    </row>
    <row r="15">
      <c r="A15" s="249" t="s">
        <v>6</v>
      </c>
      <c r="B15" s="249" t="s">
        <v>10</v>
      </c>
      <c r="C15" s="219" t="s">
        <v>3066</v>
      </c>
      <c r="D15" s="268" t="s">
        <v>495</v>
      </c>
      <c r="E15" s="251">
        <v>44192.0</v>
      </c>
      <c r="F15" s="250" t="s">
        <v>496</v>
      </c>
      <c r="G15" s="171">
        <v>30.0</v>
      </c>
      <c r="H15" s="171">
        <v>25.0</v>
      </c>
      <c r="I15" s="171">
        <v>25.0</v>
      </c>
      <c r="J15" s="325">
        <f t="shared" si="2"/>
        <v>0.001644562287</v>
      </c>
      <c r="K15" s="326">
        <f t="shared" si="3"/>
        <v>0.7126436575</v>
      </c>
      <c r="L15" s="327">
        <f t="shared" si="4"/>
        <v>36.30541675</v>
      </c>
      <c r="M15" s="321" t="str">
        <f t="shared" si="5"/>
        <v>sembrestels</v>
      </c>
      <c r="N15" s="209">
        <f>IFERROR(__xludf.DUMMYFUNCTION("""COMPUTED_VALUE"""),12.0)</f>
        <v>12</v>
      </c>
      <c r="O15" s="176"/>
      <c r="P15" s="176"/>
      <c r="Q15" s="176"/>
      <c r="R15" s="176"/>
      <c r="S15" s="176"/>
      <c r="T15" s="176"/>
      <c r="U15" s="176"/>
      <c r="V15" s="176"/>
      <c r="W15" s="176"/>
      <c r="X15" s="176"/>
      <c r="Y15" s="176"/>
      <c r="Z15" s="176"/>
    </row>
    <row r="16">
      <c r="A16" s="249" t="s">
        <v>6</v>
      </c>
      <c r="B16" s="249" t="s">
        <v>519</v>
      </c>
      <c r="C16" s="219" t="s">
        <v>3067</v>
      </c>
      <c r="D16" s="268" t="s">
        <v>495</v>
      </c>
      <c r="E16" s="251">
        <v>44188.0</v>
      </c>
      <c r="F16" s="250" t="s">
        <v>499</v>
      </c>
      <c r="G16" s="171">
        <v>20.0</v>
      </c>
      <c r="H16" s="171">
        <v>25.0</v>
      </c>
      <c r="I16" s="171">
        <v>25.0</v>
      </c>
      <c r="J16" s="325">
        <f t="shared" si="2"/>
        <v>0.001423151902</v>
      </c>
      <c r="K16" s="326">
        <f t="shared" si="3"/>
        <v>0.6166991577</v>
      </c>
      <c r="L16" s="327">
        <f t="shared" si="4"/>
        <v>36.30541675</v>
      </c>
      <c r="M16" s="321" t="str">
        <f t="shared" si="5"/>
        <v>sembrestels</v>
      </c>
      <c r="N16" s="209">
        <f>IFERROR(__xludf.DUMMYFUNCTION("""COMPUTED_VALUE"""),13.0)</f>
        <v>13</v>
      </c>
      <c r="O16" s="176"/>
      <c r="P16" s="176"/>
      <c r="Q16" s="176"/>
      <c r="R16" s="176"/>
      <c r="S16" s="176"/>
      <c r="T16" s="176"/>
      <c r="U16" s="176"/>
      <c r="V16" s="176"/>
      <c r="W16" s="176"/>
      <c r="X16" s="176"/>
      <c r="Y16" s="176"/>
      <c r="Z16" s="176"/>
    </row>
    <row r="17">
      <c r="A17" s="249" t="s">
        <v>6</v>
      </c>
      <c r="B17" s="249" t="s">
        <v>1231</v>
      </c>
      <c r="C17" s="219" t="s">
        <v>3060</v>
      </c>
      <c r="D17" s="268" t="s">
        <v>495</v>
      </c>
      <c r="E17" s="251">
        <v>44184.0</v>
      </c>
      <c r="F17" s="256" t="s">
        <v>2912</v>
      </c>
      <c r="G17" s="363">
        <v>0.0</v>
      </c>
      <c r="H17" s="363">
        <v>0.0</v>
      </c>
      <c r="I17" s="363">
        <v>0.0</v>
      </c>
      <c r="J17" s="325">
        <f t="shared" si="2"/>
        <v>0</v>
      </c>
      <c r="K17" s="326">
        <f t="shared" si="3"/>
        <v>0</v>
      </c>
      <c r="L17" s="327">
        <f t="shared" si="4"/>
        <v>36.30541675</v>
      </c>
      <c r="M17" s="321" t="str">
        <f t="shared" si="5"/>
        <v>sembrestels</v>
      </c>
      <c r="N17" s="209">
        <f>IFERROR(__xludf.DUMMYFUNCTION("""COMPUTED_VALUE"""),14.0)</f>
        <v>14</v>
      </c>
      <c r="O17" s="176"/>
      <c r="P17" s="176"/>
      <c r="Q17" s="176"/>
      <c r="R17" s="176"/>
      <c r="S17" s="176"/>
      <c r="T17" s="176"/>
      <c r="U17" s="176"/>
      <c r="V17" s="176"/>
      <c r="W17" s="176"/>
      <c r="X17" s="176"/>
      <c r="Y17" s="176"/>
      <c r="Z17" s="176"/>
    </row>
    <row r="18">
      <c r="A18" s="249" t="s">
        <v>6</v>
      </c>
      <c r="B18" s="249" t="s">
        <v>1231</v>
      </c>
      <c r="C18" s="219" t="s">
        <v>3060</v>
      </c>
      <c r="D18" s="268" t="s">
        <v>495</v>
      </c>
      <c r="E18" s="251">
        <v>44184.0</v>
      </c>
      <c r="F18" s="254" t="s">
        <v>2912</v>
      </c>
      <c r="G18" s="363">
        <v>0.0</v>
      </c>
      <c r="H18" s="363">
        <v>0.0</v>
      </c>
      <c r="I18" s="363">
        <v>0.0</v>
      </c>
      <c r="J18" s="325">
        <f t="shared" si="2"/>
        <v>0</v>
      </c>
      <c r="K18" s="326">
        <f t="shared" si="3"/>
        <v>0</v>
      </c>
      <c r="L18" s="327">
        <f t="shared" si="4"/>
        <v>36.30541675</v>
      </c>
      <c r="M18" s="321" t="str">
        <f t="shared" si="5"/>
        <v>sembrestels</v>
      </c>
      <c r="N18" s="209">
        <f>IFERROR(__xludf.DUMMYFUNCTION("""COMPUTED_VALUE"""),15.0)</f>
        <v>15</v>
      </c>
      <c r="O18" s="176"/>
      <c r="P18" s="176"/>
      <c r="Q18" s="176"/>
      <c r="R18" s="176"/>
      <c r="S18" s="176"/>
      <c r="T18" s="176"/>
      <c r="U18" s="176"/>
      <c r="V18" s="176"/>
      <c r="W18" s="176"/>
      <c r="X18" s="176"/>
      <c r="Y18" s="176"/>
      <c r="Z18" s="176"/>
    </row>
    <row r="19">
      <c r="A19" s="249" t="s">
        <v>6</v>
      </c>
      <c r="B19" s="249" t="s">
        <v>1231</v>
      </c>
      <c r="C19" s="219" t="s">
        <v>3060</v>
      </c>
      <c r="D19" s="268" t="s">
        <v>495</v>
      </c>
      <c r="E19" s="251">
        <v>44184.0</v>
      </c>
      <c r="F19" s="221" t="s">
        <v>2912</v>
      </c>
      <c r="G19" s="222">
        <v>0.0</v>
      </c>
      <c r="H19" s="222">
        <v>0.0</v>
      </c>
      <c r="I19" s="222">
        <v>0.0</v>
      </c>
      <c r="J19" s="325">
        <f t="shared" si="2"/>
        <v>0</v>
      </c>
      <c r="K19" s="326">
        <f t="shared" si="3"/>
        <v>0</v>
      </c>
      <c r="L19" s="327">
        <f t="shared" si="4"/>
        <v>36.30541675</v>
      </c>
      <c r="M19" s="321" t="str">
        <f t="shared" si="5"/>
        <v>sembrestels</v>
      </c>
      <c r="N19" s="209">
        <f>IFERROR(__xludf.DUMMYFUNCTION("""COMPUTED_VALUE"""),16.0)</f>
        <v>16</v>
      </c>
      <c r="O19" s="176"/>
      <c r="P19" s="176"/>
      <c r="Q19" s="176"/>
      <c r="R19" s="176"/>
      <c r="S19" s="176"/>
      <c r="T19" s="176"/>
      <c r="U19" s="176"/>
      <c r="V19" s="176"/>
      <c r="W19" s="176"/>
      <c r="X19" s="176"/>
      <c r="Y19" s="176"/>
      <c r="Z19" s="176"/>
    </row>
    <row r="20">
      <c r="A20" s="343" t="s">
        <v>6</v>
      </c>
      <c r="B20" s="240" t="s">
        <v>534</v>
      </c>
      <c r="C20" s="346" t="s">
        <v>3068</v>
      </c>
      <c r="D20" s="336"/>
      <c r="E20" s="255"/>
      <c r="F20" s="254"/>
      <c r="G20" s="222"/>
      <c r="H20" s="222"/>
      <c r="I20" s="222"/>
      <c r="J20" s="325">
        <f t="shared" si="2"/>
        <v>0</v>
      </c>
      <c r="K20" s="337">
        <f>48.407*-0.25</f>
        <v>-12.10175</v>
      </c>
      <c r="L20" s="327">
        <f t="shared" si="4"/>
        <v>36.30541675</v>
      </c>
      <c r="M20" s="321" t="str">
        <f t="shared" si="5"/>
        <v>sembrestels</v>
      </c>
      <c r="N20" s="153">
        <f>IFERROR(__xludf.DUMMYFUNCTION("""COMPUTED_VALUE"""),17.0)</f>
        <v>17</v>
      </c>
      <c r="O20" s="209"/>
      <c r="P20" s="209"/>
      <c r="Q20" s="209"/>
      <c r="R20" s="209">
        <v>57.049855624848725</v>
      </c>
      <c r="S20" s="209"/>
      <c r="T20" s="209"/>
      <c r="U20" s="209"/>
      <c r="V20" s="209"/>
      <c r="W20" s="209"/>
      <c r="X20" s="209"/>
      <c r="Y20" s="176"/>
      <c r="Z20" s="176"/>
    </row>
    <row r="21">
      <c r="A21" s="249" t="s">
        <v>4</v>
      </c>
      <c r="B21" s="249" t="s">
        <v>1231</v>
      </c>
      <c r="C21" s="219" t="s">
        <v>3069</v>
      </c>
      <c r="D21" s="268" t="s">
        <v>495</v>
      </c>
      <c r="E21" s="251">
        <v>44184.0</v>
      </c>
      <c r="F21" s="250" t="s">
        <v>496</v>
      </c>
      <c r="G21" s="171">
        <v>150.0</v>
      </c>
      <c r="H21" s="171">
        <v>200.0</v>
      </c>
      <c r="I21" s="171">
        <v>200.0</v>
      </c>
      <c r="J21" s="325">
        <f t="shared" si="2"/>
        <v>0.01116380483</v>
      </c>
      <c r="K21" s="326">
        <f t="shared" ref="K21:K78" si="6">J21*$J$1</f>
        <v>4.837648762</v>
      </c>
      <c r="L21" s="327">
        <f t="shared" si="4"/>
        <v>21.60361373</v>
      </c>
      <c r="M21" s="321" t="str">
        <f t="shared" si="5"/>
        <v>santigs67</v>
      </c>
      <c r="N21" s="209">
        <f>IFERROR(__xludf.DUMMYFUNCTION("""COMPUTED_VALUE"""),1.0)</f>
        <v>1</v>
      </c>
      <c r="O21" s="176"/>
      <c r="P21" s="176"/>
      <c r="Q21" s="176"/>
      <c r="R21" s="176"/>
      <c r="S21" s="176"/>
      <c r="T21" s="176"/>
      <c r="U21" s="176"/>
      <c r="V21" s="176"/>
      <c r="W21" s="176"/>
      <c r="X21" s="176"/>
      <c r="Y21" s="176"/>
      <c r="Z21" s="176"/>
    </row>
    <row r="22">
      <c r="A22" s="249" t="s">
        <v>4</v>
      </c>
      <c r="B22" s="249" t="s">
        <v>590</v>
      </c>
      <c r="C22" s="219" t="s">
        <v>3070</v>
      </c>
      <c r="D22" s="268" t="s">
        <v>495</v>
      </c>
      <c r="E22" s="251">
        <v>44188.0</v>
      </c>
      <c r="F22" s="250" t="s">
        <v>496</v>
      </c>
      <c r="G22" s="171">
        <v>200.0</v>
      </c>
      <c r="H22" s="171">
        <v>100.0</v>
      </c>
      <c r="I22" s="171">
        <v>150.0</v>
      </c>
      <c r="J22" s="325">
        <f t="shared" si="2"/>
        <v>0.009307386625</v>
      </c>
      <c r="K22" s="326">
        <f t="shared" si="6"/>
        <v>4.033200871</v>
      </c>
      <c r="L22" s="327">
        <f t="shared" si="4"/>
        <v>21.60361373</v>
      </c>
      <c r="M22" s="321" t="str">
        <f t="shared" si="5"/>
        <v>santigs67</v>
      </c>
      <c r="N22" s="209">
        <f>IFERROR(__xludf.DUMMYFUNCTION("""COMPUTED_VALUE"""),2.0)</f>
        <v>2</v>
      </c>
      <c r="O22" s="176"/>
      <c r="P22" s="176"/>
      <c r="Q22" s="176"/>
      <c r="R22" s="176"/>
      <c r="S22" s="176"/>
      <c r="T22" s="176"/>
      <c r="U22" s="176"/>
      <c r="V22" s="176"/>
      <c r="W22" s="176"/>
      <c r="X22" s="176"/>
      <c r="Y22" s="176"/>
      <c r="Z22" s="176"/>
    </row>
    <row r="23">
      <c r="A23" s="249" t="s">
        <v>4</v>
      </c>
      <c r="B23" s="249" t="s">
        <v>590</v>
      </c>
      <c r="C23" s="219" t="s">
        <v>3071</v>
      </c>
      <c r="D23" s="268" t="s">
        <v>495</v>
      </c>
      <c r="E23" s="251">
        <v>44195.0</v>
      </c>
      <c r="F23" s="250" t="s">
        <v>496</v>
      </c>
      <c r="G23" s="171">
        <v>100.0</v>
      </c>
      <c r="H23" s="171">
        <v>150.0</v>
      </c>
      <c r="I23" s="171">
        <v>100.0</v>
      </c>
      <c r="J23" s="325">
        <f t="shared" si="2"/>
        <v>0.00713823624</v>
      </c>
      <c r="K23" s="326">
        <f t="shared" si="6"/>
        <v>3.093235704</v>
      </c>
      <c r="L23" s="327">
        <f t="shared" si="4"/>
        <v>21.60361373</v>
      </c>
      <c r="M23" s="321" t="str">
        <f t="shared" si="5"/>
        <v>santigs67</v>
      </c>
      <c r="N23" s="209">
        <f>IFERROR(__xludf.DUMMYFUNCTION("""COMPUTED_VALUE"""),3.0)</f>
        <v>3</v>
      </c>
      <c r="O23" s="176"/>
      <c r="P23" s="176"/>
      <c r="Q23" s="176"/>
      <c r="R23" s="176"/>
      <c r="S23" s="176"/>
      <c r="T23" s="176"/>
      <c r="U23" s="176"/>
      <c r="V23" s="176"/>
      <c r="W23" s="176"/>
      <c r="X23" s="176"/>
      <c r="Y23" s="176"/>
      <c r="Z23" s="176"/>
    </row>
    <row r="24">
      <c r="A24" s="249" t="s">
        <v>4</v>
      </c>
      <c r="B24" s="249" t="s">
        <v>10</v>
      </c>
      <c r="C24" s="219" t="s">
        <v>3061</v>
      </c>
      <c r="D24" s="268" t="s">
        <v>495</v>
      </c>
      <c r="E24" s="251">
        <v>44192.0</v>
      </c>
      <c r="F24" s="250" t="s">
        <v>496</v>
      </c>
      <c r="G24" s="171">
        <v>45.0</v>
      </c>
      <c r="H24" s="171">
        <v>25.0</v>
      </c>
      <c r="I24" s="171">
        <v>150.0</v>
      </c>
      <c r="J24" s="325">
        <f t="shared" si="2"/>
        <v>0.004371313878</v>
      </c>
      <c r="K24" s="326">
        <f t="shared" si="6"/>
        <v>1.894236014</v>
      </c>
      <c r="L24" s="327">
        <f t="shared" si="4"/>
        <v>21.60361373</v>
      </c>
      <c r="M24" s="321" t="str">
        <f t="shared" si="5"/>
        <v>santigs67</v>
      </c>
      <c r="N24" s="209">
        <f>IFERROR(__xludf.DUMMYFUNCTION("""COMPUTED_VALUE"""),4.0)</f>
        <v>4</v>
      </c>
      <c r="O24" s="176"/>
      <c r="P24" s="176"/>
      <c r="Q24" s="176"/>
      <c r="R24" s="176"/>
      <c r="S24" s="176"/>
      <c r="T24" s="176"/>
      <c r="U24" s="176"/>
      <c r="V24" s="176"/>
      <c r="W24" s="176"/>
      <c r="X24" s="176"/>
      <c r="Y24" s="176"/>
      <c r="Z24" s="176"/>
    </row>
    <row r="25">
      <c r="A25" s="249" t="s">
        <v>4</v>
      </c>
      <c r="B25" s="249" t="s">
        <v>10</v>
      </c>
      <c r="C25" s="219" t="s">
        <v>3072</v>
      </c>
      <c r="D25" s="268" t="s">
        <v>495</v>
      </c>
      <c r="E25" s="251">
        <v>44192.0</v>
      </c>
      <c r="F25" s="250" t="s">
        <v>496</v>
      </c>
      <c r="G25" s="171">
        <v>50.0</v>
      </c>
      <c r="H25" s="171">
        <v>25.0</v>
      </c>
      <c r="I25" s="171">
        <v>100.0</v>
      </c>
      <c r="J25" s="325">
        <f t="shared" si="2"/>
        <v>0.003524164664</v>
      </c>
      <c r="K25" s="326">
        <f t="shared" si="6"/>
        <v>1.527138021</v>
      </c>
      <c r="L25" s="327">
        <f t="shared" si="4"/>
        <v>21.60361373</v>
      </c>
      <c r="M25" s="321" t="str">
        <f t="shared" si="5"/>
        <v>santigs67</v>
      </c>
      <c r="N25" s="209">
        <f>IFERROR(__xludf.DUMMYFUNCTION("""COMPUTED_VALUE"""),5.0)</f>
        <v>5</v>
      </c>
      <c r="O25" s="176"/>
      <c r="P25" s="176"/>
      <c r="Q25" s="176"/>
      <c r="R25" s="176"/>
      <c r="S25" s="176"/>
      <c r="T25" s="176"/>
      <c r="U25" s="176"/>
      <c r="V25" s="176"/>
      <c r="W25" s="176"/>
      <c r="X25" s="176"/>
      <c r="Y25" s="176"/>
      <c r="Z25" s="176"/>
    </row>
    <row r="26">
      <c r="A26" s="249" t="s">
        <v>4</v>
      </c>
      <c r="B26" s="249" t="s">
        <v>5</v>
      </c>
      <c r="C26" s="219" t="s">
        <v>3073</v>
      </c>
      <c r="D26" s="268" t="s">
        <v>495</v>
      </c>
      <c r="E26" s="251">
        <v>44191.0</v>
      </c>
      <c r="F26" s="250" t="s">
        <v>496</v>
      </c>
      <c r="G26" s="171">
        <v>20.0</v>
      </c>
      <c r="H26" s="171">
        <v>50.0</v>
      </c>
      <c r="I26" s="171">
        <v>50.0</v>
      </c>
      <c r="J26" s="325">
        <f t="shared" si="2"/>
        <v>0.002403483036</v>
      </c>
      <c r="K26" s="326">
        <f t="shared" si="6"/>
        <v>1.041509316</v>
      </c>
      <c r="L26" s="327">
        <f t="shared" si="4"/>
        <v>21.60361373</v>
      </c>
      <c r="M26" s="321" t="str">
        <f t="shared" si="5"/>
        <v>santigs67</v>
      </c>
      <c r="N26" s="209">
        <f>IFERROR(__xludf.DUMMYFUNCTION("""COMPUTED_VALUE"""),6.0)</f>
        <v>6</v>
      </c>
      <c r="O26" s="176"/>
      <c r="P26" s="176"/>
      <c r="Q26" s="176"/>
      <c r="R26" s="176"/>
      <c r="S26" s="176"/>
      <c r="T26" s="176"/>
      <c r="U26" s="176"/>
      <c r="V26" s="176"/>
      <c r="W26" s="176"/>
      <c r="X26" s="176"/>
      <c r="Y26" s="176"/>
      <c r="Z26" s="176"/>
    </row>
    <row r="27">
      <c r="A27" s="249" t="s">
        <v>4</v>
      </c>
      <c r="B27" s="249" t="s">
        <v>10</v>
      </c>
      <c r="C27" s="219" t="s">
        <v>3065</v>
      </c>
      <c r="D27" s="268" t="s">
        <v>495</v>
      </c>
      <c r="E27" s="251">
        <v>44192.0</v>
      </c>
      <c r="F27" s="250" t="s">
        <v>496</v>
      </c>
      <c r="G27" s="171">
        <v>30.0</v>
      </c>
      <c r="H27" s="171">
        <v>25.0</v>
      </c>
      <c r="I27" s="171">
        <v>50.0</v>
      </c>
      <c r="J27" s="325">
        <f t="shared" si="2"/>
        <v>0.00212348949</v>
      </c>
      <c r="K27" s="326">
        <f t="shared" si="6"/>
        <v>0.9201787788</v>
      </c>
      <c r="L27" s="327">
        <f t="shared" si="4"/>
        <v>21.60361373</v>
      </c>
      <c r="M27" s="321" t="str">
        <f t="shared" si="5"/>
        <v>santigs67</v>
      </c>
      <c r="N27" s="209">
        <f>IFERROR(__xludf.DUMMYFUNCTION("""COMPUTED_VALUE"""),7.0)</f>
        <v>7</v>
      </c>
      <c r="O27" s="176"/>
      <c r="P27" s="176"/>
      <c r="Q27" s="176"/>
      <c r="R27" s="176"/>
      <c r="S27" s="176"/>
      <c r="T27" s="176"/>
      <c r="U27" s="176"/>
      <c r="V27" s="176"/>
      <c r="W27" s="176"/>
      <c r="X27" s="176"/>
      <c r="Y27" s="176"/>
      <c r="Z27" s="176"/>
    </row>
    <row r="28">
      <c r="A28" s="249" t="s">
        <v>4</v>
      </c>
      <c r="B28" s="249" t="s">
        <v>18</v>
      </c>
      <c r="C28" s="219" t="s">
        <v>3074</v>
      </c>
      <c r="D28" s="268" t="s">
        <v>495</v>
      </c>
      <c r="E28" s="251">
        <v>44193.0</v>
      </c>
      <c r="F28" s="250" t="s">
        <v>496</v>
      </c>
      <c r="G28" s="171">
        <v>50.0</v>
      </c>
      <c r="H28" s="171">
        <v>25.0</v>
      </c>
      <c r="I28" s="171">
        <v>25.0</v>
      </c>
      <c r="J28" s="325">
        <f t="shared" si="2"/>
        <v>0.002087383055</v>
      </c>
      <c r="K28" s="326">
        <f t="shared" si="6"/>
        <v>0.9045326571</v>
      </c>
      <c r="L28" s="327">
        <f t="shared" si="4"/>
        <v>21.60361373</v>
      </c>
      <c r="M28" s="321" t="str">
        <f t="shared" si="5"/>
        <v>santigs67</v>
      </c>
      <c r="N28" s="209">
        <f>IFERROR(__xludf.DUMMYFUNCTION("""COMPUTED_VALUE"""),8.0)</f>
        <v>8</v>
      </c>
      <c r="O28" s="176"/>
      <c r="P28" s="176"/>
      <c r="Q28" s="176"/>
      <c r="R28" s="176"/>
      <c r="S28" s="176"/>
      <c r="T28" s="176"/>
      <c r="U28" s="176"/>
      <c r="V28" s="176"/>
      <c r="W28" s="176"/>
      <c r="X28" s="176"/>
      <c r="Y28" s="176"/>
      <c r="Z28" s="176"/>
    </row>
    <row r="29">
      <c r="A29" s="249" t="s">
        <v>4</v>
      </c>
      <c r="B29" s="249" t="s">
        <v>10</v>
      </c>
      <c r="C29" s="219" t="s">
        <v>3075</v>
      </c>
      <c r="D29" s="268" t="s">
        <v>495</v>
      </c>
      <c r="E29" s="251">
        <v>44192.0</v>
      </c>
      <c r="F29" s="250" t="s">
        <v>496</v>
      </c>
      <c r="G29" s="171">
        <v>45.0</v>
      </c>
      <c r="H29" s="171">
        <v>25.0</v>
      </c>
      <c r="I29" s="171">
        <v>30.0</v>
      </c>
      <c r="J29" s="325">
        <f t="shared" si="2"/>
        <v>0.002072463303</v>
      </c>
      <c r="K29" s="326">
        <f t="shared" si="6"/>
        <v>0.8980674315</v>
      </c>
      <c r="L29" s="327">
        <f t="shared" si="4"/>
        <v>21.60361373</v>
      </c>
      <c r="M29" s="321" t="str">
        <f t="shared" si="5"/>
        <v>santigs67</v>
      </c>
      <c r="N29" s="209">
        <f>IFERROR(__xludf.DUMMYFUNCTION("""COMPUTED_VALUE"""),9.0)</f>
        <v>9</v>
      </c>
      <c r="O29" s="176"/>
      <c r="P29" s="176"/>
      <c r="Q29" s="176"/>
      <c r="R29" s="176"/>
      <c r="S29" s="176"/>
      <c r="T29" s="176"/>
      <c r="U29" s="176"/>
      <c r="V29" s="176"/>
      <c r="W29" s="176"/>
      <c r="X29" s="176"/>
      <c r="Y29" s="176"/>
      <c r="Z29" s="176"/>
    </row>
    <row r="30">
      <c r="A30" s="249" t="s">
        <v>4</v>
      </c>
      <c r="B30" s="249" t="s">
        <v>25</v>
      </c>
      <c r="C30" s="219" t="s">
        <v>3076</v>
      </c>
      <c r="D30" s="268" t="s">
        <v>495</v>
      </c>
      <c r="E30" s="251">
        <v>44188.0</v>
      </c>
      <c r="F30" s="250" t="s">
        <v>496</v>
      </c>
      <c r="G30" s="171">
        <v>20.0</v>
      </c>
      <c r="H30" s="171">
        <v>25.0</v>
      </c>
      <c r="I30" s="171">
        <v>30.0</v>
      </c>
      <c r="J30" s="325">
        <f t="shared" si="2"/>
        <v>0.001518937343</v>
      </c>
      <c r="K30" s="326">
        <f t="shared" si="6"/>
        <v>0.658206182</v>
      </c>
      <c r="L30" s="327">
        <f t="shared" si="4"/>
        <v>21.60361373</v>
      </c>
      <c r="M30" s="321" t="str">
        <f t="shared" si="5"/>
        <v>santigs67</v>
      </c>
      <c r="N30" s="209">
        <f>IFERROR(__xludf.DUMMYFUNCTION("""COMPUTED_VALUE"""),10.0)</f>
        <v>10</v>
      </c>
      <c r="O30" s="176"/>
      <c r="P30" s="176"/>
      <c r="Q30" s="176"/>
      <c r="R30" s="176"/>
      <c r="S30" s="176"/>
      <c r="T30" s="176"/>
      <c r="U30" s="176"/>
      <c r="V30" s="176"/>
      <c r="W30" s="176"/>
      <c r="X30" s="176"/>
      <c r="Y30" s="176"/>
      <c r="Z30" s="176"/>
    </row>
    <row r="31">
      <c r="A31" s="249" t="s">
        <v>4</v>
      </c>
      <c r="B31" s="249" t="s">
        <v>519</v>
      </c>
      <c r="C31" s="219" t="s">
        <v>3067</v>
      </c>
      <c r="D31" s="268" t="s">
        <v>495</v>
      </c>
      <c r="E31" s="251">
        <v>44188.0</v>
      </c>
      <c r="F31" s="250" t="s">
        <v>499</v>
      </c>
      <c r="G31" s="171">
        <v>20.0</v>
      </c>
      <c r="H31" s="171">
        <v>25.0</v>
      </c>
      <c r="I31" s="171">
        <v>25.0</v>
      </c>
      <c r="J31" s="325">
        <f t="shared" si="2"/>
        <v>0.001423151902</v>
      </c>
      <c r="K31" s="326">
        <f t="shared" si="6"/>
        <v>0.6166991577</v>
      </c>
      <c r="L31" s="327">
        <f t="shared" si="4"/>
        <v>21.60361373</v>
      </c>
      <c r="M31" s="321" t="str">
        <f t="shared" si="5"/>
        <v>santigs67</v>
      </c>
      <c r="N31" s="209">
        <f>IFERROR(__xludf.DUMMYFUNCTION("""COMPUTED_VALUE"""),11.0)</f>
        <v>11</v>
      </c>
      <c r="O31" s="176"/>
      <c r="P31" s="176"/>
      <c r="Q31" s="176"/>
      <c r="R31" s="176"/>
      <c r="S31" s="176"/>
      <c r="T31" s="176"/>
      <c r="U31" s="176"/>
      <c r="V31" s="176"/>
      <c r="W31" s="176"/>
      <c r="X31" s="176"/>
      <c r="Y31" s="176"/>
      <c r="Z31" s="176"/>
    </row>
    <row r="32">
      <c r="A32" s="249" t="s">
        <v>4</v>
      </c>
      <c r="B32" s="249" t="s">
        <v>18</v>
      </c>
      <c r="C32" s="219" t="s">
        <v>3077</v>
      </c>
      <c r="D32" s="268" t="s">
        <v>495</v>
      </c>
      <c r="E32" s="251">
        <v>44193.0</v>
      </c>
      <c r="F32" s="250" t="s">
        <v>496</v>
      </c>
      <c r="G32" s="171">
        <v>20.0</v>
      </c>
      <c r="H32" s="171">
        <v>25.0</v>
      </c>
      <c r="I32" s="171">
        <v>25.0</v>
      </c>
      <c r="J32" s="325">
        <f t="shared" si="2"/>
        <v>0.001423151902</v>
      </c>
      <c r="K32" s="326">
        <f t="shared" si="6"/>
        <v>0.6166991577</v>
      </c>
      <c r="L32" s="327">
        <f t="shared" si="4"/>
        <v>21.60361373</v>
      </c>
      <c r="M32" s="321" t="str">
        <f t="shared" si="5"/>
        <v>santigs67</v>
      </c>
      <c r="N32" s="209">
        <f>IFERROR(__xludf.DUMMYFUNCTION("""COMPUTED_VALUE"""),12.0)</f>
        <v>12</v>
      </c>
      <c r="O32" s="176"/>
      <c r="P32" s="176"/>
      <c r="Q32" s="176"/>
      <c r="R32" s="176"/>
      <c r="S32" s="176"/>
      <c r="T32" s="176"/>
      <c r="U32" s="176"/>
      <c r="V32" s="176"/>
      <c r="W32" s="176"/>
      <c r="X32" s="176"/>
      <c r="Y32" s="176"/>
      <c r="Z32" s="176"/>
    </row>
    <row r="33">
      <c r="A33" s="249" t="s">
        <v>4</v>
      </c>
      <c r="B33" s="249" t="s">
        <v>590</v>
      </c>
      <c r="C33" s="219" t="s">
        <v>3078</v>
      </c>
      <c r="D33" s="268" t="s">
        <v>495</v>
      </c>
      <c r="E33" s="251">
        <v>44187.0</v>
      </c>
      <c r="F33" s="250" t="s">
        <v>496</v>
      </c>
      <c r="G33" s="171">
        <v>10.0</v>
      </c>
      <c r="H33" s="171">
        <v>25.0</v>
      </c>
      <c r="I33" s="171">
        <v>30.0</v>
      </c>
      <c r="J33" s="325">
        <f t="shared" si="2"/>
        <v>0.001297526959</v>
      </c>
      <c r="K33" s="326">
        <f t="shared" si="6"/>
        <v>0.5622616822</v>
      </c>
      <c r="L33" s="327">
        <f t="shared" si="4"/>
        <v>21.60361373</v>
      </c>
      <c r="M33" s="321" t="str">
        <f t="shared" si="5"/>
        <v>santigs67</v>
      </c>
      <c r="N33" s="209">
        <f>IFERROR(__xludf.DUMMYFUNCTION("""COMPUTED_VALUE"""),13.0)</f>
        <v>13</v>
      </c>
      <c r="O33" s="176"/>
      <c r="P33" s="176"/>
      <c r="Q33" s="176"/>
      <c r="R33" s="176"/>
      <c r="S33" s="176"/>
      <c r="T33" s="176"/>
      <c r="U33" s="176"/>
      <c r="V33" s="176"/>
      <c r="W33" s="176"/>
      <c r="X33" s="176"/>
      <c r="Y33" s="176"/>
      <c r="Z33" s="176"/>
    </row>
    <row r="34">
      <c r="A34" s="249" t="s">
        <v>4</v>
      </c>
      <c r="B34" s="249" t="s">
        <v>1231</v>
      </c>
      <c r="C34" s="219" t="s">
        <v>3069</v>
      </c>
      <c r="D34" s="268" t="s">
        <v>495</v>
      </c>
      <c r="E34" s="251">
        <v>44184.0</v>
      </c>
      <c r="F34" s="256" t="s">
        <v>2912</v>
      </c>
      <c r="G34" s="363">
        <v>0.0</v>
      </c>
      <c r="H34" s="363">
        <v>0.0</v>
      </c>
      <c r="I34" s="363">
        <v>0.0</v>
      </c>
      <c r="J34" s="325">
        <f t="shared" si="2"/>
        <v>0</v>
      </c>
      <c r="K34" s="326">
        <f t="shared" si="6"/>
        <v>0</v>
      </c>
      <c r="L34" s="327">
        <f t="shared" si="4"/>
        <v>21.60361373</v>
      </c>
      <c r="M34" s="321" t="str">
        <f t="shared" si="5"/>
        <v>santigs67</v>
      </c>
      <c r="N34" s="209">
        <f>IFERROR(__xludf.DUMMYFUNCTION("""COMPUTED_VALUE"""),14.0)</f>
        <v>14</v>
      </c>
      <c r="O34" s="176"/>
      <c r="P34" s="176"/>
      <c r="Q34" s="176"/>
      <c r="R34" s="176"/>
      <c r="S34" s="176"/>
      <c r="T34" s="176"/>
      <c r="U34" s="176"/>
      <c r="V34" s="176"/>
      <c r="W34" s="176"/>
      <c r="X34" s="176"/>
      <c r="Y34" s="176"/>
      <c r="Z34" s="176"/>
    </row>
    <row r="35">
      <c r="A35" s="249" t="s">
        <v>4</v>
      </c>
      <c r="B35" s="249" t="s">
        <v>1231</v>
      </c>
      <c r="C35" s="219" t="s">
        <v>3069</v>
      </c>
      <c r="D35" s="268" t="s">
        <v>495</v>
      </c>
      <c r="E35" s="251">
        <v>44184.0</v>
      </c>
      <c r="F35" s="256" t="s">
        <v>2912</v>
      </c>
      <c r="G35" s="363">
        <v>0.0</v>
      </c>
      <c r="H35" s="363">
        <v>0.0</v>
      </c>
      <c r="I35" s="363">
        <v>0.0</v>
      </c>
      <c r="J35" s="325">
        <f t="shared" si="2"/>
        <v>0</v>
      </c>
      <c r="K35" s="326">
        <f t="shared" si="6"/>
        <v>0</v>
      </c>
      <c r="L35" s="327">
        <f t="shared" si="4"/>
        <v>21.60361373</v>
      </c>
      <c r="M35" s="321" t="str">
        <f t="shared" si="5"/>
        <v>santigs67</v>
      </c>
      <c r="N35" s="209">
        <f>IFERROR(__xludf.DUMMYFUNCTION("""COMPUTED_VALUE"""),15.0)</f>
        <v>15</v>
      </c>
      <c r="O35" s="176"/>
      <c r="P35" s="176"/>
      <c r="Q35" s="176"/>
      <c r="R35" s="176"/>
      <c r="S35" s="176"/>
      <c r="T35" s="176"/>
      <c r="U35" s="176"/>
      <c r="V35" s="176"/>
      <c r="W35" s="176"/>
      <c r="X35" s="176"/>
      <c r="Y35" s="176"/>
      <c r="Z35" s="176"/>
    </row>
    <row r="36">
      <c r="A36" s="249" t="s">
        <v>4</v>
      </c>
      <c r="B36" s="249" t="s">
        <v>1231</v>
      </c>
      <c r="C36" s="219" t="s">
        <v>3069</v>
      </c>
      <c r="D36" s="268" t="s">
        <v>495</v>
      </c>
      <c r="E36" s="251">
        <v>44184.0</v>
      </c>
      <c r="F36" s="221" t="s">
        <v>2912</v>
      </c>
      <c r="G36" s="222">
        <v>0.0</v>
      </c>
      <c r="H36" s="222">
        <v>0.0</v>
      </c>
      <c r="I36" s="222">
        <v>0.0</v>
      </c>
      <c r="J36" s="325">
        <f t="shared" si="2"/>
        <v>0</v>
      </c>
      <c r="K36" s="326">
        <f t="shared" si="6"/>
        <v>0</v>
      </c>
      <c r="L36" s="327">
        <f t="shared" si="4"/>
        <v>21.60361373</v>
      </c>
      <c r="M36" s="321" t="str">
        <f t="shared" si="5"/>
        <v>santigs67</v>
      </c>
      <c r="N36" s="209">
        <f>IFERROR(__xludf.DUMMYFUNCTION("""COMPUTED_VALUE"""),16.0)</f>
        <v>16</v>
      </c>
      <c r="O36" s="176"/>
      <c r="P36" s="176"/>
      <c r="Q36" s="176"/>
      <c r="R36" s="176"/>
      <c r="S36" s="176"/>
      <c r="T36" s="176"/>
      <c r="U36" s="176"/>
      <c r="V36" s="176"/>
      <c r="W36" s="176"/>
      <c r="X36" s="176"/>
      <c r="Y36" s="176"/>
      <c r="Z36" s="176"/>
    </row>
    <row r="37">
      <c r="A37" s="249" t="s">
        <v>4</v>
      </c>
      <c r="B37" s="249" t="s">
        <v>1231</v>
      </c>
      <c r="C37" s="219" t="s">
        <v>3069</v>
      </c>
      <c r="D37" s="268" t="s">
        <v>495</v>
      </c>
      <c r="E37" s="251">
        <v>44184.0</v>
      </c>
      <c r="F37" s="221" t="s">
        <v>2912</v>
      </c>
      <c r="G37" s="222">
        <v>0.0</v>
      </c>
      <c r="H37" s="222">
        <v>0.0</v>
      </c>
      <c r="I37" s="222">
        <v>0.0</v>
      </c>
      <c r="J37" s="325">
        <f t="shared" si="2"/>
        <v>0</v>
      </c>
      <c r="K37" s="326">
        <f t="shared" si="6"/>
        <v>0</v>
      </c>
      <c r="L37" s="327">
        <f t="shared" si="4"/>
        <v>21.60361373</v>
      </c>
      <c r="M37" s="321" t="str">
        <f t="shared" si="5"/>
        <v>santigs67</v>
      </c>
      <c r="N37" s="209">
        <f>IFERROR(__xludf.DUMMYFUNCTION("""COMPUTED_VALUE"""),17.0)</f>
        <v>17</v>
      </c>
      <c r="O37" s="176"/>
      <c r="P37" s="176"/>
      <c r="Q37" s="176"/>
      <c r="R37" s="176"/>
      <c r="S37" s="176"/>
      <c r="T37" s="176"/>
      <c r="U37" s="176"/>
      <c r="V37" s="176"/>
      <c r="W37" s="176"/>
      <c r="X37" s="176"/>
      <c r="Y37" s="176"/>
      <c r="Z37" s="176"/>
    </row>
    <row r="38">
      <c r="A38" s="249" t="s">
        <v>4</v>
      </c>
      <c r="B38" s="249" t="s">
        <v>1231</v>
      </c>
      <c r="C38" s="219" t="s">
        <v>3069</v>
      </c>
      <c r="D38" s="268" t="s">
        <v>495</v>
      </c>
      <c r="E38" s="251">
        <v>44184.0</v>
      </c>
      <c r="F38" s="221" t="s">
        <v>2912</v>
      </c>
      <c r="G38" s="222">
        <v>0.0</v>
      </c>
      <c r="H38" s="222">
        <v>0.0</v>
      </c>
      <c r="I38" s="222">
        <v>0.0</v>
      </c>
      <c r="J38" s="325">
        <f t="shared" si="2"/>
        <v>0</v>
      </c>
      <c r="K38" s="326">
        <f t="shared" si="6"/>
        <v>0</v>
      </c>
      <c r="L38" s="327">
        <f t="shared" si="4"/>
        <v>21.60361373</v>
      </c>
      <c r="M38" s="321" t="str">
        <f t="shared" si="5"/>
        <v>santigs67</v>
      </c>
      <c r="N38" s="209">
        <f>IFERROR(__xludf.DUMMYFUNCTION("""COMPUTED_VALUE"""),18.0)</f>
        <v>18</v>
      </c>
      <c r="O38" s="176"/>
      <c r="P38" s="176"/>
      <c r="Q38" s="176"/>
      <c r="R38" s="176"/>
      <c r="S38" s="176"/>
      <c r="T38" s="176"/>
      <c r="U38" s="176"/>
      <c r="V38" s="176"/>
      <c r="W38" s="176"/>
      <c r="X38" s="176"/>
      <c r="Y38" s="176"/>
      <c r="Z38" s="176"/>
    </row>
    <row r="39">
      <c r="A39" s="249" t="s">
        <v>5</v>
      </c>
      <c r="B39" s="249" t="s">
        <v>519</v>
      </c>
      <c r="C39" s="219" t="s">
        <v>3079</v>
      </c>
      <c r="D39" s="268" t="s">
        <v>495</v>
      </c>
      <c r="E39" s="361">
        <v>44197.0</v>
      </c>
      <c r="F39" s="250" t="s">
        <v>496</v>
      </c>
      <c r="G39" s="171">
        <v>120.0</v>
      </c>
      <c r="H39" s="171">
        <v>150.0</v>
      </c>
      <c r="I39" s="171">
        <v>150.0</v>
      </c>
      <c r="J39" s="325">
        <f t="shared" si="2"/>
        <v>0.008538911414</v>
      </c>
      <c r="K39" s="326">
        <f t="shared" si="6"/>
        <v>3.700194946</v>
      </c>
      <c r="L39" s="327">
        <f t="shared" si="4"/>
        <v>20.92601188</v>
      </c>
      <c r="M39" s="321" t="str">
        <f t="shared" si="5"/>
        <v>cranders71</v>
      </c>
      <c r="N39" s="209">
        <f>IFERROR(__xludf.DUMMYFUNCTION("""COMPUTED_VALUE"""),1.0)</f>
        <v>1</v>
      </c>
      <c r="O39" s="176"/>
      <c r="P39" s="176"/>
      <c r="Q39" s="176"/>
      <c r="R39" s="176"/>
      <c r="S39" s="176"/>
      <c r="T39" s="176"/>
      <c r="U39" s="176"/>
      <c r="V39" s="176"/>
      <c r="W39" s="176"/>
      <c r="X39" s="176"/>
      <c r="Y39" s="176"/>
      <c r="Z39" s="176"/>
    </row>
    <row r="40">
      <c r="A40" s="249" t="s">
        <v>5</v>
      </c>
      <c r="B40" s="249" t="s">
        <v>10</v>
      </c>
      <c r="C40" s="219" t="s">
        <v>3080</v>
      </c>
      <c r="D40" s="268" t="s">
        <v>495</v>
      </c>
      <c r="E40" s="251">
        <v>44192.0</v>
      </c>
      <c r="F40" s="250" t="s">
        <v>496</v>
      </c>
      <c r="G40" s="171">
        <v>150.0</v>
      </c>
      <c r="H40" s="171">
        <v>100.0</v>
      </c>
      <c r="I40" s="171">
        <v>150.0</v>
      </c>
      <c r="J40" s="325">
        <f t="shared" si="2"/>
        <v>0.008200334705</v>
      </c>
      <c r="K40" s="326">
        <f t="shared" si="6"/>
        <v>3.553478372</v>
      </c>
      <c r="L40" s="327">
        <f t="shared" si="4"/>
        <v>20.92601188</v>
      </c>
      <c r="M40" s="321" t="str">
        <f t="shared" si="5"/>
        <v>cranders71</v>
      </c>
      <c r="N40" s="209">
        <f>IFERROR(__xludf.DUMMYFUNCTION("""COMPUTED_VALUE"""),2.0)</f>
        <v>2</v>
      </c>
      <c r="O40" s="176"/>
      <c r="P40" s="176"/>
      <c r="Q40" s="176"/>
      <c r="R40" s="176"/>
      <c r="S40" s="176"/>
      <c r="T40" s="176"/>
      <c r="U40" s="176"/>
      <c r="V40" s="176"/>
      <c r="W40" s="176"/>
      <c r="X40" s="176"/>
      <c r="Y40" s="176"/>
      <c r="Z40" s="176"/>
    </row>
    <row r="41">
      <c r="A41" s="249" t="s">
        <v>5</v>
      </c>
      <c r="B41" s="249" t="s">
        <v>18</v>
      </c>
      <c r="C41" s="219" t="s">
        <v>3081</v>
      </c>
      <c r="D41" s="268" t="s">
        <v>495</v>
      </c>
      <c r="E41" s="251">
        <v>44186.0</v>
      </c>
      <c r="F41" s="250" t="s">
        <v>496</v>
      </c>
      <c r="G41" s="171">
        <v>120.0</v>
      </c>
      <c r="H41" s="171">
        <v>150.0</v>
      </c>
      <c r="I41" s="171">
        <v>100.0</v>
      </c>
      <c r="J41" s="325">
        <f t="shared" si="2"/>
        <v>0.007581057008</v>
      </c>
      <c r="K41" s="326">
        <f t="shared" si="6"/>
        <v>3.285124703</v>
      </c>
      <c r="L41" s="327">
        <f t="shared" si="4"/>
        <v>20.92601188</v>
      </c>
      <c r="M41" s="321" t="str">
        <f t="shared" si="5"/>
        <v>cranders71</v>
      </c>
      <c r="N41" s="209">
        <f>IFERROR(__xludf.DUMMYFUNCTION("""COMPUTED_VALUE"""),3.0)</f>
        <v>3</v>
      </c>
      <c r="O41" s="176"/>
      <c r="P41" s="176"/>
      <c r="Q41" s="176"/>
      <c r="R41" s="176"/>
      <c r="S41" s="176"/>
      <c r="T41" s="176"/>
      <c r="U41" s="176"/>
      <c r="V41" s="176"/>
      <c r="W41" s="176"/>
      <c r="X41" s="176"/>
      <c r="Y41" s="176"/>
      <c r="Z41" s="176"/>
    </row>
    <row r="42">
      <c r="A42" s="249" t="s">
        <v>5</v>
      </c>
      <c r="B42" s="249" t="s">
        <v>590</v>
      </c>
      <c r="C42" s="219" t="s">
        <v>3082</v>
      </c>
      <c r="D42" s="268" t="s">
        <v>495</v>
      </c>
      <c r="E42" s="251">
        <v>44188.0</v>
      </c>
      <c r="F42" s="250" t="s">
        <v>496</v>
      </c>
      <c r="G42" s="171">
        <v>130.0</v>
      </c>
      <c r="H42" s="171">
        <v>100.0</v>
      </c>
      <c r="I42" s="171">
        <v>120.0</v>
      </c>
      <c r="J42" s="325">
        <f t="shared" si="2"/>
        <v>0.007182801293</v>
      </c>
      <c r="K42" s="326">
        <f t="shared" si="6"/>
        <v>3.112547227</v>
      </c>
      <c r="L42" s="327">
        <f t="shared" si="4"/>
        <v>20.92601188</v>
      </c>
      <c r="M42" s="321" t="str">
        <f t="shared" si="5"/>
        <v>cranders71</v>
      </c>
      <c r="N42" s="209">
        <f>IFERROR(__xludf.DUMMYFUNCTION("""COMPUTED_VALUE"""),4.0)</f>
        <v>4</v>
      </c>
      <c r="O42" s="176"/>
      <c r="P42" s="176"/>
      <c r="Q42" s="176"/>
      <c r="R42" s="176"/>
      <c r="S42" s="176"/>
      <c r="T42" s="176"/>
      <c r="U42" s="176"/>
      <c r="V42" s="176"/>
      <c r="W42" s="176"/>
      <c r="X42" s="176"/>
      <c r="Y42" s="176"/>
      <c r="Z42" s="176"/>
    </row>
    <row r="43">
      <c r="A43" s="249" t="s">
        <v>5</v>
      </c>
      <c r="B43" s="249" t="s">
        <v>10</v>
      </c>
      <c r="C43" s="219" t="s">
        <v>3061</v>
      </c>
      <c r="D43" s="268" t="s">
        <v>495</v>
      </c>
      <c r="E43" s="251">
        <v>44192.0</v>
      </c>
      <c r="F43" s="250" t="s">
        <v>496</v>
      </c>
      <c r="G43" s="171">
        <v>45.0</v>
      </c>
      <c r="H43" s="171">
        <v>25.0</v>
      </c>
      <c r="I43" s="171">
        <v>150.0</v>
      </c>
      <c r="J43" s="325">
        <f t="shared" si="2"/>
        <v>0.004371313878</v>
      </c>
      <c r="K43" s="326">
        <f t="shared" si="6"/>
        <v>1.894236014</v>
      </c>
      <c r="L43" s="327">
        <f t="shared" si="4"/>
        <v>20.92601188</v>
      </c>
      <c r="M43" s="321" t="str">
        <f t="shared" si="5"/>
        <v>cranders71</v>
      </c>
      <c r="N43" s="209">
        <f>IFERROR(__xludf.DUMMYFUNCTION("""COMPUTED_VALUE"""),5.0)</f>
        <v>5</v>
      </c>
      <c r="O43" s="176"/>
      <c r="P43" s="176"/>
      <c r="Q43" s="176"/>
      <c r="R43" s="176"/>
      <c r="S43" s="176"/>
      <c r="T43" s="176"/>
      <c r="U43" s="176"/>
      <c r="V43" s="176"/>
      <c r="W43" s="176"/>
      <c r="X43" s="176"/>
      <c r="Y43" s="176"/>
      <c r="Z43" s="176"/>
    </row>
    <row r="44">
      <c r="A44" s="249" t="s">
        <v>5</v>
      </c>
      <c r="B44" s="249" t="s">
        <v>10</v>
      </c>
      <c r="C44" s="219" t="s">
        <v>3083</v>
      </c>
      <c r="D44" s="268" t="s">
        <v>495</v>
      </c>
      <c r="E44" s="251">
        <v>44192.0</v>
      </c>
      <c r="F44" s="250" t="s">
        <v>496</v>
      </c>
      <c r="G44" s="171">
        <v>60.0</v>
      </c>
      <c r="H44" s="171">
        <v>25.0</v>
      </c>
      <c r="I44" s="171">
        <v>100.0</v>
      </c>
      <c r="J44" s="325">
        <f t="shared" si="2"/>
        <v>0.003745575048</v>
      </c>
      <c r="K44" s="326">
        <f t="shared" si="6"/>
        <v>1.623082521</v>
      </c>
      <c r="L44" s="327">
        <f t="shared" si="4"/>
        <v>20.92601188</v>
      </c>
      <c r="M44" s="321" t="str">
        <f t="shared" si="5"/>
        <v>cranders71</v>
      </c>
      <c r="N44" s="209">
        <f>IFERROR(__xludf.DUMMYFUNCTION("""COMPUTED_VALUE"""),6.0)</f>
        <v>6</v>
      </c>
      <c r="O44" s="176"/>
      <c r="P44" s="176"/>
      <c r="Q44" s="176"/>
      <c r="R44" s="176"/>
      <c r="S44" s="176"/>
      <c r="T44" s="176"/>
      <c r="U44" s="176"/>
      <c r="V44" s="176"/>
      <c r="W44" s="176"/>
      <c r="X44" s="176"/>
      <c r="Y44" s="176"/>
      <c r="Z44" s="176"/>
    </row>
    <row r="45">
      <c r="A45" s="249" t="s">
        <v>5</v>
      </c>
      <c r="B45" s="249" t="s">
        <v>5</v>
      </c>
      <c r="C45" s="219" t="s">
        <v>3073</v>
      </c>
      <c r="D45" s="268" t="s">
        <v>495</v>
      </c>
      <c r="E45" s="251">
        <v>44191.0</v>
      </c>
      <c r="F45" s="250" t="s">
        <v>496</v>
      </c>
      <c r="G45" s="171">
        <v>20.0</v>
      </c>
      <c r="H45" s="171">
        <v>50.0</v>
      </c>
      <c r="I45" s="171">
        <v>50.0</v>
      </c>
      <c r="J45" s="325">
        <f t="shared" si="2"/>
        <v>0.002403483036</v>
      </c>
      <c r="K45" s="326">
        <f t="shared" si="6"/>
        <v>1.041509316</v>
      </c>
      <c r="L45" s="327">
        <f t="shared" si="4"/>
        <v>20.92601188</v>
      </c>
      <c r="M45" s="321" t="str">
        <f t="shared" si="5"/>
        <v>cranders71</v>
      </c>
      <c r="N45" s="209">
        <f>IFERROR(__xludf.DUMMYFUNCTION("""COMPUTED_VALUE"""),7.0)</f>
        <v>7</v>
      </c>
      <c r="O45" s="176"/>
      <c r="P45" s="176"/>
      <c r="Q45" s="176"/>
      <c r="R45" s="176"/>
      <c r="S45" s="176"/>
      <c r="T45" s="176"/>
      <c r="U45" s="176"/>
      <c r="V45" s="176"/>
      <c r="W45" s="176"/>
      <c r="X45" s="176"/>
      <c r="Y45" s="176"/>
      <c r="Z45" s="176"/>
    </row>
    <row r="46">
      <c r="A46" s="249" t="s">
        <v>5</v>
      </c>
      <c r="B46" s="249" t="s">
        <v>10</v>
      </c>
      <c r="C46" s="219" t="s">
        <v>3065</v>
      </c>
      <c r="D46" s="268" t="s">
        <v>495</v>
      </c>
      <c r="E46" s="251">
        <v>44192.0</v>
      </c>
      <c r="F46" s="250" t="s">
        <v>496</v>
      </c>
      <c r="G46" s="171">
        <v>30.0</v>
      </c>
      <c r="H46" s="171">
        <v>25.0</v>
      </c>
      <c r="I46" s="171">
        <v>50.0</v>
      </c>
      <c r="J46" s="325">
        <f t="shared" si="2"/>
        <v>0.00212348949</v>
      </c>
      <c r="K46" s="326">
        <f t="shared" si="6"/>
        <v>0.9201787788</v>
      </c>
      <c r="L46" s="327">
        <f t="shared" si="4"/>
        <v>20.92601188</v>
      </c>
      <c r="M46" s="321" t="str">
        <f t="shared" si="5"/>
        <v>cranders71</v>
      </c>
      <c r="N46" s="209">
        <f>IFERROR(__xludf.DUMMYFUNCTION("""COMPUTED_VALUE"""),8.0)</f>
        <v>8</v>
      </c>
      <c r="O46" s="176"/>
      <c r="P46" s="176"/>
      <c r="Q46" s="176"/>
      <c r="R46" s="176"/>
      <c r="S46" s="176"/>
      <c r="T46" s="176"/>
      <c r="U46" s="176"/>
      <c r="V46" s="176"/>
      <c r="W46" s="176"/>
      <c r="X46" s="176"/>
      <c r="Y46" s="176"/>
      <c r="Z46" s="176"/>
    </row>
    <row r="47">
      <c r="A47" s="249" t="s">
        <v>5</v>
      </c>
      <c r="B47" s="249" t="s">
        <v>25</v>
      </c>
      <c r="C47" s="219" t="s">
        <v>3076</v>
      </c>
      <c r="D47" s="268" t="s">
        <v>495</v>
      </c>
      <c r="E47" s="251">
        <v>44188.0</v>
      </c>
      <c r="F47" s="250" t="s">
        <v>496</v>
      </c>
      <c r="G47" s="171">
        <v>20.0</v>
      </c>
      <c r="H47" s="171">
        <v>25.0</v>
      </c>
      <c r="I47" s="171">
        <v>30.0</v>
      </c>
      <c r="J47" s="325">
        <f t="shared" si="2"/>
        <v>0.001518937343</v>
      </c>
      <c r="K47" s="326">
        <f t="shared" si="6"/>
        <v>0.658206182</v>
      </c>
      <c r="L47" s="327">
        <f t="shared" si="4"/>
        <v>20.92601188</v>
      </c>
      <c r="M47" s="321" t="str">
        <f t="shared" si="5"/>
        <v>cranders71</v>
      </c>
      <c r="N47" s="209">
        <f>IFERROR(__xludf.DUMMYFUNCTION("""COMPUTED_VALUE"""),9.0)</f>
        <v>9</v>
      </c>
      <c r="O47" s="176"/>
      <c r="P47" s="176"/>
      <c r="Q47" s="176"/>
      <c r="R47" s="176"/>
      <c r="S47" s="176"/>
      <c r="T47" s="176"/>
      <c r="U47" s="176"/>
      <c r="V47" s="176"/>
      <c r="W47" s="176"/>
      <c r="X47" s="176"/>
      <c r="Y47" s="176"/>
      <c r="Z47" s="176"/>
    </row>
    <row r="48">
      <c r="A48" s="249" t="s">
        <v>5</v>
      </c>
      <c r="B48" s="249" t="s">
        <v>519</v>
      </c>
      <c r="C48" s="219" t="s">
        <v>3067</v>
      </c>
      <c r="D48" s="268" t="s">
        <v>495</v>
      </c>
      <c r="E48" s="251">
        <v>44188.0</v>
      </c>
      <c r="F48" s="250" t="s">
        <v>499</v>
      </c>
      <c r="G48" s="171">
        <v>20.0</v>
      </c>
      <c r="H48" s="171">
        <v>25.0</v>
      </c>
      <c r="I48" s="171">
        <v>25.0</v>
      </c>
      <c r="J48" s="325">
        <f t="shared" si="2"/>
        <v>0.001423151902</v>
      </c>
      <c r="K48" s="326">
        <f t="shared" si="6"/>
        <v>0.6166991577</v>
      </c>
      <c r="L48" s="327">
        <f t="shared" si="4"/>
        <v>20.92601188</v>
      </c>
      <c r="M48" s="321" t="str">
        <f t="shared" si="5"/>
        <v>cranders71</v>
      </c>
      <c r="N48" s="209">
        <f>IFERROR(__xludf.DUMMYFUNCTION("""COMPUTED_VALUE"""),10.0)</f>
        <v>10</v>
      </c>
      <c r="O48" s="176"/>
      <c r="P48" s="176"/>
      <c r="Q48" s="176"/>
      <c r="R48" s="176"/>
      <c r="S48" s="176"/>
      <c r="T48" s="176"/>
      <c r="U48" s="176"/>
      <c r="V48" s="176"/>
      <c r="W48" s="176"/>
      <c r="X48" s="176"/>
      <c r="Y48" s="176"/>
      <c r="Z48" s="176"/>
    </row>
    <row r="49">
      <c r="A49" s="249" t="s">
        <v>5</v>
      </c>
      <c r="B49" s="249" t="s">
        <v>590</v>
      </c>
      <c r="C49" s="219" t="s">
        <v>3078</v>
      </c>
      <c r="D49" s="268" t="s">
        <v>495</v>
      </c>
      <c r="E49" s="251">
        <v>44187.0</v>
      </c>
      <c r="F49" s="250" t="s">
        <v>496</v>
      </c>
      <c r="G49" s="171">
        <v>10.0</v>
      </c>
      <c r="H49" s="171">
        <v>25.0</v>
      </c>
      <c r="I49" s="171">
        <v>25.0</v>
      </c>
      <c r="J49" s="325">
        <f t="shared" si="2"/>
        <v>0.001201741518</v>
      </c>
      <c r="K49" s="326">
        <f t="shared" si="6"/>
        <v>0.5207546579</v>
      </c>
      <c r="L49" s="327">
        <f t="shared" si="4"/>
        <v>20.92601188</v>
      </c>
      <c r="M49" s="321" t="str">
        <f t="shared" si="5"/>
        <v>cranders71</v>
      </c>
      <c r="N49" s="209">
        <f>IFERROR(__xludf.DUMMYFUNCTION("""COMPUTED_VALUE"""),11.0)</f>
        <v>11</v>
      </c>
      <c r="O49" s="176"/>
      <c r="P49" s="176"/>
      <c r="Q49" s="176"/>
      <c r="R49" s="176"/>
      <c r="S49" s="176"/>
      <c r="T49" s="176"/>
      <c r="U49" s="176"/>
      <c r="V49" s="176"/>
      <c r="W49" s="176"/>
      <c r="X49" s="176"/>
      <c r="Y49" s="176"/>
      <c r="Z49" s="176"/>
    </row>
    <row r="50">
      <c r="A50" s="249" t="s">
        <v>5</v>
      </c>
      <c r="B50" s="249" t="s">
        <v>590</v>
      </c>
      <c r="C50" s="219" t="s">
        <v>3084</v>
      </c>
      <c r="D50" s="268" t="s">
        <v>495</v>
      </c>
      <c r="E50" s="251">
        <v>44188.0</v>
      </c>
      <c r="F50" s="221" t="s">
        <v>2912</v>
      </c>
      <c r="G50" s="222">
        <v>0.0</v>
      </c>
      <c r="H50" s="222">
        <v>0.0</v>
      </c>
      <c r="I50" s="222">
        <v>0.0</v>
      </c>
      <c r="J50" s="325">
        <f t="shared" si="2"/>
        <v>0</v>
      </c>
      <c r="K50" s="326">
        <f t="shared" si="6"/>
        <v>0</v>
      </c>
      <c r="L50" s="327">
        <f t="shared" si="4"/>
        <v>20.92601188</v>
      </c>
      <c r="M50" s="321" t="str">
        <f t="shared" si="5"/>
        <v>cranders71</v>
      </c>
      <c r="N50" s="209">
        <f>IFERROR(__xludf.DUMMYFUNCTION("""COMPUTED_VALUE"""),12.0)</f>
        <v>12</v>
      </c>
      <c r="O50" s="176"/>
      <c r="P50" s="176"/>
      <c r="Q50" s="176"/>
      <c r="R50" s="176"/>
      <c r="S50" s="176"/>
      <c r="T50" s="176"/>
      <c r="U50" s="176"/>
      <c r="V50" s="176"/>
      <c r="W50" s="176"/>
      <c r="X50" s="176"/>
      <c r="Y50" s="176"/>
      <c r="Z50" s="176"/>
    </row>
    <row r="51">
      <c r="A51" s="249" t="s">
        <v>31</v>
      </c>
      <c r="B51" s="249" t="s">
        <v>10</v>
      </c>
      <c r="C51" s="219" t="s">
        <v>3064</v>
      </c>
      <c r="D51" s="268" t="s">
        <v>495</v>
      </c>
      <c r="E51" s="251">
        <v>44192.0</v>
      </c>
      <c r="F51" s="250" t="s">
        <v>496</v>
      </c>
      <c r="G51" s="171">
        <v>500.0</v>
      </c>
      <c r="H51" s="171">
        <v>750.0</v>
      </c>
      <c r="I51" s="171">
        <v>400.0</v>
      </c>
      <c r="J51" s="325">
        <f t="shared" si="2"/>
        <v>0.03377547239</v>
      </c>
      <c r="K51" s="326">
        <f t="shared" si="6"/>
        <v>14.63603803</v>
      </c>
      <c r="L51" s="327">
        <f t="shared" si="4"/>
        <v>16.22782831</v>
      </c>
      <c r="M51" s="321" t="str">
        <f t="shared" si="5"/>
        <v>sponnet2</v>
      </c>
      <c r="N51" s="209">
        <f>IFERROR(__xludf.DUMMYFUNCTION("""COMPUTED_VALUE"""),1.0)</f>
        <v>1</v>
      </c>
      <c r="O51" s="176"/>
      <c r="P51" s="176"/>
      <c r="Q51" s="176"/>
      <c r="R51" s="176"/>
      <c r="S51" s="176"/>
      <c r="T51" s="176"/>
      <c r="U51" s="176"/>
      <c r="V51" s="176"/>
      <c r="W51" s="176"/>
      <c r="X51" s="176"/>
      <c r="Y51" s="176"/>
      <c r="Z51" s="176"/>
    </row>
    <row r="52">
      <c r="A52" s="249" t="s">
        <v>31</v>
      </c>
      <c r="B52" s="249" t="s">
        <v>519</v>
      </c>
      <c r="C52" s="219" t="s">
        <v>3085</v>
      </c>
      <c r="D52" s="268" t="s">
        <v>495</v>
      </c>
      <c r="E52" s="251">
        <v>44184.0</v>
      </c>
      <c r="F52" s="250" t="s">
        <v>3086</v>
      </c>
      <c r="G52" s="171">
        <v>100.0</v>
      </c>
      <c r="H52" s="171">
        <v>25.0</v>
      </c>
      <c r="I52" s="171">
        <v>50.0</v>
      </c>
      <c r="J52" s="325">
        <f t="shared" si="2"/>
        <v>0.003673362179</v>
      </c>
      <c r="K52" s="326">
        <f t="shared" si="6"/>
        <v>1.591790277</v>
      </c>
      <c r="L52" s="327">
        <f t="shared" si="4"/>
        <v>16.22782831</v>
      </c>
      <c r="M52" s="321" t="str">
        <f t="shared" si="5"/>
        <v>sponnet2</v>
      </c>
      <c r="N52" s="209">
        <f>IFERROR(__xludf.DUMMYFUNCTION("""COMPUTED_VALUE"""),2.0)</f>
        <v>2</v>
      </c>
      <c r="O52" s="176"/>
      <c r="P52" s="176"/>
      <c r="Q52" s="176"/>
      <c r="R52" s="176"/>
      <c r="S52" s="176"/>
      <c r="T52" s="176"/>
      <c r="U52" s="176"/>
      <c r="V52" s="176"/>
      <c r="W52" s="176"/>
      <c r="X52" s="176"/>
      <c r="Y52" s="176"/>
      <c r="Z52" s="176"/>
    </row>
    <row r="53">
      <c r="A53" s="249" t="s">
        <v>17</v>
      </c>
      <c r="B53" s="249" t="s">
        <v>845</v>
      </c>
      <c r="C53" s="219" t="s">
        <v>3087</v>
      </c>
      <c r="D53" s="268" t="s">
        <v>495</v>
      </c>
      <c r="E53" s="251">
        <v>44188.0</v>
      </c>
      <c r="F53" s="250" t="s">
        <v>496</v>
      </c>
      <c r="G53" s="171">
        <v>100.0</v>
      </c>
      <c r="H53" s="171">
        <v>50.0</v>
      </c>
      <c r="I53" s="171">
        <v>100.0</v>
      </c>
      <c r="J53" s="325">
        <f t="shared" si="2"/>
        <v>0.005132620516</v>
      </c>
      <c r="K53" s="326">
        <f t="shared" si="6"/>
        <v>2.224135557</v>
      </c>
      <c r="L53" s="327">
        <f t="shared" si="4"/>
        <v>14.34013824</v>
      </c>
      <c r="M53" s="321" t="str">
        <f t="shared" si="5"/>
        <v>tonga2020</v>
      </c>
      <c r="N53" s="209">
        <f>IFERROR(__xludf.DUMMYFUNCTION("""COMPUTED_VALUE"""),1.0)</f>
        <v>1</v>
      </c>
      <c r="O53" s="176"/>
      <c r="P53" s="176"/>
      <c r="Q53" s="176"/>
      <c r="R53" s="176"/>
      <c r="S53" s="176"/>
      <c r="T53" s="176"/>
      <c r="U53" s="176"/>
      <c r="V53" s="176"/>
      <c r="W53" s="176"/>
      <c r="X53" s="176"/>
      <c r="Y53" s="176"/>
      <c r="Z53" s="176"/>
    </row>
    <row r="54">
      <c r="A54" s="249" t="s">
        <v>17</v>
      </c>
      <c r="B54" s="249" t="s">
        <v>10</v>
      </c>
      <c r="C54" s="219" t="s">
        <v>3088</v>
      </c>
      <c r="D54" s="268" t="s">
        <v>495</v>
      </c>
      <c r="E54" s="251">
        <v>44192.0</v>
      </c>
      <c r="F54" s="250" t="s">
        <v>496</v>
      </c>
      <c r="G54" s="171">
        <v>100.0</v>
      </c>
      <c r="H54" s="171">
        <v>50.0</v>
      </c>
      <c r="I54" s="171">
        <v>100.0</v>
      </c>
      <c r="J54" s="325">
        <f t="shared" si="2"/>
        <v>0.005132620516</v>
      </c>
      <c r="K54" s="326">
        <f t="shared" si="6"/>
        <v>2.224135557</v>
      </c>
      <c r="L54" s="327">
        <f t="shared" si="4"/>
        <v>14.34013824</v>
      </c>
      <c r="M54" s="321" t="str">
        <f t="shared" si="5"/>
        <v>tonga2020</v>
      </c>
      <c r="N54" s="209">
        <f>IFERROR(__xludf.DUMMYFUNCTION("""COMPUTED_VALUE"""),2.0)</f>
        <v>2</v>
      </c>
      <c r="O54" s="176"/>
      <c r="P54" s="176"/>
      <c r="Q54" s="176"/>
      <c r="R54" s="176"/>
      <c r="S54" s="176"/>
      <c r="T54" s="176"/>
      <c r="U54" s="176"/>
      <c r="V54" s="176"/>
      <c r="W54" s="176"/>
      <c r="X54" s="176"/>
      <c r="Y54" s="176"/>
      <c r="Z54" s="176"/>
    </row>
    <row r="55">
      <c r="A55" s="249" t="s">
        <v>17</v>
      </c>
      <c r="B55" s="249" t="s">
        <v>43</v>
      </c>
      <c r="C55" s="219" t="s">
        <v>3089</v>
      </c>
      <c r="D55" s="268" t="s">
        <v>495</v>
      </c>
      <c r="E55" s="251">
        <v>44186.0</v>
      </c>
      <c r="F55" s="250" t="s">
        <v>545</v>
      </c>
      <c r="G55" s="171">
        <v>50.0</v>
      </c>
      <c r="H55" s="171">
        <v>100.0</v>
      </c>
      <c r="I55" s="171">
        <v>50.0</v>
      </c>
      <c r="J55" s="325">
        <f t="shared" si="2"/>
        <v>0.004070522051</v>
      </c>
      <c r="K55" s="326">
        <f t="shared" si="6"/>
        <v>1.763892889</v>
      </c>
      <c r="L55" s="327">
        <f t="shared" si="4"/>
        <v>14.34013824</v>
      </c>
      <c r="M55" s="321" t="str">
        <f t="shared" si="5"/>
        <v>tonga2020</v>
      </c>
      <c r="N55" s="209">
        <f>IFERROR(__xludf.DUMMYFUNCTION("""COMPUTED_VALUE"""),3.0)</f>
        <v>3</v>
      </c>
      <c r="O55" s="176"/>
      <c r="P55" s="176"/>
      <c r="Q55" s="176"/>
      <c r="R55" s="176"/>
      <c r="S55" s="176"/>
      <c r="T55" s="176"/>
      <c r="U55" s="176"/>
      <c r="V55" s="176"/>
      <c r="W55" s="176"/>
      <c r="X55" s="176"/>
      <c r="Y55" s="176"/>
      <c r="Z55" s="176"/>
    </row>
    <row r="56">
      <c r="A56" s="249" t="s">
        <v>17</v>
      </c>
      <c r="B56" s="249" t="s">
        <v>867</v>
      </c>
      <c r="C56" s="219" t="s">
        <v>3090</v>
      </c>
      <c r="D56" s="268" t="s">
        <v>495</v>
      </c>
      <c r="E56" s="251">
        <v>44189.0</v>
      </c>
      <c r="F56" s="250" t="s">
        <v>496</v>
      </c>
      <c r="G56" s="171">
        <v>60.0</v>
      </c>
      <c r="H56" s="171">
        <v>45.0</v>
      </c>
      <c r="I56" s="171">
        <v>50.0</v>
      </c>
      <c r="J56" s="325">
        <f t="shared" si="2"/>
        <v>0.003188843787</v>
      </c>
      <c r="K56" s="326">
        <f t="shared" si="6"/>
        <v>1.381832308</v>
      </c>
      <c r="L56" s="327">
        <f t="shared" si="4"/>
        <v>14.34013824</v>
      </c>
      <c r="M56" s="321" t="str">
        <f t="shared" si="5"/>
        <v>tonga2020</v>
      </c>
      <c r="N56" s="209">
        <f>IFERROR(__xludf.DUMMYFUNCTION("""COMPUTED_VALUE"""),4.0)</f>
        <v>4</v>
      </c>
      <c r="O56" s="176"/>
      <c r="P56" s="176"/>
      <c r="Q56" s="176"/>
      <c r="R56" s="176"/>
      <c r="S56" s="176"/>
      <c r="T56" s="176"/>
      <c r="U56" s="176"/>
      <c r="V56" s="176"/>
      <c r="W56" s="176"/>
      <c r="X56" s="176"/>
      <c r="Y56" s="176"/>
      <c r="Z56" s="176"/>
    </row>
    <row r="57">
      <c r="A57" s="249" t="s">
        <v>17</v>
      </c>
      <c r="B57" s="249" t="s">
        <v>519</v>
      </c>
      <c r="C57" s="219" t="s">
        <v>3091</v>
      </c>
      <c r="D57" s="268" t="s">
        <v>495</v>
      </c>
      <c r="E57" s="251">
        <v>44189.0</v>
      </c>
      <c r="F57" s="250" t="s">
        <v>545</v>
      </c>
      <c r="G57" s="171">
        <v>30.0</v>
      </c>
      <c r="H57" s="171">
        <v>45.0</v>
      </c>
      <c r="I57" s="171">
        <v>50.0</v>
      </c>
      <c r="J57" s="325">
        <f t="shared" si="2"/>
        <v>0.002524612634</v>
      </c>
      <c r="K57" s="326">
        <f t="shared" si="6"/>
        <v>1.093998808</v>
      </c>
      <c r="L57" s="327">
        <f t="shared" si="4"/>
        <v>14.34013824</v>
      </c>
      <c r="M57" s="321" t="str">
        <f t="shared" si="5"/>
        <v>tonga2020</v>
      </c>
      <c r="N57" s="209">
        <f>IFERROR(__xludf.DUMMYFUNCTION("""COMPUTED_VALUE"""),5.0)</f>
        <v>5</v>
      </c>
      <c r="O57" s="176"/>
      <c r="P57" s="176"/>
      <c r="Q57" s="176"/>
      <c r="R57" s="176"/>
      <c r="S57" s="176"/>
      <c r="T57" s="176"/>
      <c r="U57" s="176"/>
      <c r="V57" s="176"/>
      <c r="W57" s="176"/>
      <c r="X57" s="176"/>
      <c r="Y57" s="176"/>
      <c r="Z57" s="176"/>
    </row>
    <row r="58">
      <c r="A58" s="249" t="s">
        <v>17</v>
      </c>
      <c r="B58" s="249" t="s">
        <v>10</v>
      </c>
      <c r="C58" s="219" t="s">
        <v>3092</v>
      </c>
      <c r="D58" s="268" t="s">
        <v>495</v>
      </c>
      <c r="E58" s="251">
        <v>44192.0</v>
      </c>
      <c r="F58" s="250" t="s">
        <v>496</v>
      </c>
      <c r="G58" s="171">
        <v>20.0</v>
      </c>
      <c r="H58" s="171">
        <v>25.0</v>
      </c>
      <c r="I58" s="171">
        <v>50.0</v>
      </c>
      <c r="J58" s="325">
        <f t="shared" si="2"/>
        <v>0.001902079105</v>
      </c>
      <c r="K58" s="326">
        <f t="shared" si="6"/>
        <v>0.824234279</v>
      </c>
      <c r="L58" s="327">
        <f t="shared" si="4"/>
        <v>14.34013824</v>
      </c>
      <c r="M58" s="321" t="str">
        <f t="shared" si="5"/>
        <v>tonga2020</v>
      </c>
      <c r="N58" s="209">
        <f>IFERROR(__xludf.DUMMYFUNCTION("""COMPUTED_VALUE"""),6.0)</f>
        <v>6</v>
      </c>
      <c r="O58" s="176"/>
      <c r="P58" s="176"/>
      <c r="Q58" s="176"/>
      <c r="R58" s="176"/>
      <c r="S58" s="176"/>
      <c r="T58" s="176"/>
      <c r="U58" s="176"/>
      <c r="V58" s="176"/>
      <c r="W58" s="176"/>
      <c r="X58" s="176"/>
      <c r="Y58" s="176"/>
      <c r="Z58" s="176"/>
    </row>
    <row r="59">
      <c r="A59" s="249" t="s">
        <v>17</v>
      </c>
      <c r="B59" s="249" t="s">
        <v>10</v>
      </c>
      <c r="C59" s="219" t="s">
        <v>3065</v>
      </c>
      <c r="D59" s="268" t="s">
        <v>495</v>
      </c>
      <c r="E59" s="251">
        <v>44192.0</v>
      </c>
      <c r="F59" s="250" t="s">
        <v>496</v>
      </c>
      <c r="G59" s="171">
        <v>30.0</v>
      </c>
      <c r="H59" s="171">
        <v>25.0</v>
      </c>
      <c r="I59" s="171">
        <v>50.0</v>
      </c>
      <c r="J59" s="325">
        <f t="shared" si="2"/>
        <v>0.00212348949</v>
      </c>
      <c r="K59" s="326">
        <f t="shared" si="6"/>
        <v>0.9201787788</v>
      </c>
      <c r="L59" s="327">
        <f t="shared" si="4"/>
        <v>14.34013824</v>
      </c>
      <c r="M59" s="321" t="str">
        <f t="shared" si="5"/>
        <v>tonga2020</v>
      </c>
      <c r="N59" s="209">
        <f>IFERROR(__xludf.DUMMYFUNCTION("""COMPUTED_VALUE"""),7.0)</f>
        <v>7</v>
      </c>
      <c r="O59" s="176"/>
      <c r="P59" s="176"/>
      <c r="Q59" s="176"/>
      <c r="R59" s="176"/>
      <c r="S59" s="176"/>
      <c r="T59" s="176"/>
      <c r="U59" s="176"/>
      <c r="V59" s="176"/>
      <c r="W59" s="176"/>
      <c r="X59" s="176"/>
      <c r="Y59" s="176"/>
      <c r="Z59" s="176"/>
    </row>
    <row r="60">
      <c r="A60" s="249" t="s">
        <v>17</v>
      </c>
      <c r="B60" s="249" t="s">
        <v>18</v>
      </c>
      <c r="C60" s="219" t="s">
        <v>3074</v>
      </c>
      <c r="D60" s="268" t="s">
        <v>495</v>
      </c>
      <c r="E60" s="251">
        <v>44193.0</v>
      </c>
      <c r="F60" s="250" t="s">
        <v>496</v>
      </c>
      <c r="G60" s="171">
        <v>50.0</v>
      </c>
      <c r="H60" s="171">
        <v>25.0</v>
      </c>
      <c r="I60" s="171">
        <v>25.0</v>
      </c>
      <c r="J60" s="325">
        <f t="shared" si="2"/>
        <v>0.002087383055</v>
      </c>
      <c r="K60" s="326">
        <f t="shared" si="6"/>
        <v>0.9045326571</v>
      </c>
      <c r="L60" s="327">
        <f t="shared" si="4"/>
        <v>14.34013824</v>
      </c>
      <c r="M60" s="321" t="str">
        <f t="shared" si="5"/>
        <v>tonga2020</v>
      </c>
      <c r="N60" s="209">
        <f>IFERROR(__xludf.DUMMYFUNCTION("""COMPUTED_VALUE"""),8.0)</f>
        <v>8</v>
      </c>
      <c r="O60" s="176"/>
      <c r="P60" s="176"/>
      <c r="Q60" s="176"/>
      <c r="R60" s="176"/>
      <c r="S60" s="176"/>
      <c r="T60" s="176"/>
      <c r="U60" s="176"/>
      <c r="V60" s="176"/>
      <c r="W60" s="176"/>
      <c r="X60" s="176"/>
      <c r="Y60" s="176"/>
      <c r="Z60" s="176"/>
    </row>
    <row r="61">
      <c r="A61" s="249" t="s">
        <v>17</v>
      </c>
      <c r="B61" s="249" t="s">
        <v>5</v>
      </c>
      <c r="C61" s="219" t="s">
        <v>3073</v>
      </c>
      <c r="D61" s="268" t="s">
        <v>495</v>
      </c>
      <c r="E61" s="251">
        <v>44191.0</v>
      </c>
      <c r="F61" s="250" t="s">
        <v>496</v>
      </c>
      <c r="G61" s="171">
        <v>20.0</v>
      </c>
      <c r="H61" s="171">
        <v>50.0</v>
      </c>
      <c r="I61" s="171">
        <v>30.0</v>
      </c>
      <c r="J61" s="325">
        <f t="shared" si="2"/>
        <v>0.002020341274</v>
      </c>
      <c r="K61" s="326">
        <f t="shared" si="6"/>
        <v>0.8754812187</v>
      </c>
      <c r="L61" s="327">
        <f t="shared" si="4"/>
        <v>14.34013824</v>
      </c>
      <c r="M61" s="321" t="str">
        <f t="shared" si="5"/>
        <v>tonga2020</v>
      </c>
      <c r="N61" s="209">
        <f>IFERROR(__xludf.DUMMYFUNCTION("""COMPUTED_VALUE"""),9.0)</f>
        <v>9</v>
      </c>
      <c r="O61" s="176"/>
      <c r="P61" s="176"/>
      <c r="Q61" s="176"/>
      <c r="R61" s="176"/>
      <c r="S61" s="176"/>
      <c r="T61" s="176"/>
      <c r="U61" s="176"/>
      <c r="V61" s="176"/>
      <c r="W61" s="176"/>
      <c r="X61" s="176"/>
      <c r="Y61" s="176"/>
      <c r="Z61" s="176"/>
    </row>
    <row r="62">
      <c r="A62" s="249" t="s">
        <v>17</v>
      </c>
      <c r="B62" s="249" t="s">
        <v>25</v>
      </c>
      <c r="C62" s="219" t="s">
        <v>3076</v>
      </c>
      <c r="D62" s="268" t="s">
        <v>495</v>
      </c>
      <c r="E62" s="251">
        <v>44188.0</v>
      </c>
      <c r="F62" s="250" t="s">
        <v>496</v>
      </c>
      <c r="G62" s="171">
        <v>20.0</v>
      </c>
      <c r="H62" s="171">
        <v>25.0</v>
      </c>
      <c r="I62" s="171">
        <v>40.0</v>
      </c>
      <c r="J62" s="325">
        <f t="shared" si="2"/>
        <v>0.001710508224</v>
      </c>
      <c r="K62" s="326">
        <f t="shared" si="6"/>
        <v>0.7412202305</v>
      </c>
      <c r="L62" s="327">
        <f t="shared" si="4"/>
        <v>14.34013824</v>
      </c>
      <c r="M62" s="321" t="str">
        <f t="shared" si="5"/>
        <v>tonga2020</v>
      </c>
      <c r="N62" s="209">
        <f>IFERROR(__xludf.DUMMYFUNCTION("""COMPUTED_VALUE"""),10.0)</f>
        <v>10</v>
      </c>
      <c r="O62" s="176"/>
      <c r="P62" s="176"/>
      <c r="Q62" s="176"/>
      <c r="R62" s="176"/>
      <c r="S62" s="176"/>
      <c r="T62" s="176"/>
      <c r="U62" s="176"/>
      <c r="V62" s="176"/>
      <c r="W62" s="176"/>
      <c r="X62" s="176"/>
      <c r="Y62" s="176"/>
      <c r="Z62" s="176"/>
    </row>
    <row r="63">
      <c r="A63" s="249" t="s">
        <v>17</v>
      </c>
      <c r="B63" s="249" t="s">
        <v>18</v>
      </c>
      <c r="C63" s="219" t="s">
        <v>3077</v>
      </c>
      <c r="D63" s="268" t="s">
        <v>495</v>
      </c>
      <c r="E63" s="251">
        <v>44193.0</v>
      </c>
      <c r="F63" s="250" t="s">
        <v>496</v>
      </c>
      <c r="G63" s="171">
        <v>20.0</v>
      </c>
      <c r="H63" s="171">
        <v>25.0</v>
      </c>
      <c r="I63" s="171">
        <v>40.0</v>
      </c>
      <c r="J63" s="325">
        <f t="shared" si="2"/>
        <v>0.001710508224</v>
      </c>
      <c r="K63" s="326">
        <f t="shared" si="6"/>
        <v>0.7412202305</v>
      </c>
      <c r="L63" s="327">
        <f t="shared" si="4"/>
        <v>14.34013824</v>
      </c>
      <c r="M63" s="321" t="str">
        <f t="shared" si="5"/>
        <v>tonga2020</v>
      </c>
      <c r="N63" s="209">
        <f>IFERROR(__xludf.DUMMYFUNCTION("""COMPUTED_VALUE"""),11.0)</f>
        <v>11</v>
      </c>
      <c r="O63" s="176"/>
      <c r="P63" s="176"/>
      <c r="Q63" s="176"/>
      <c r="R63" s="176"/>
      <c r="S63" s="176"/>
      <c r="T63" s="176"/>
      <c r="U63" s="176"/>
      <c r="V63" s="176"/>
      <c r="W63" s="176"/>
      <c r="X63" s="176"/>
      <c r="Y63" s="176"/>
      <c r="Z63" s="176"/>
    </row>
    <row r="64">
      <c r="A64" s="249" t="s">
        <v>17</v>
      </c>
      <c r="B64" s="249" t="s">
        <v>590</v>
      </c>
      <c r="C64" s="219" t="s">
        <v>3078</v>
      </c>
      <c r="D64" s="268" t="s">
        <v>495</v>
      </c>
      <c r="E64" s="251">
        <v>44187.0</v>
      </c>
      <c r="F64" s="250" t="s">
        <v>496</v>
      </c>
      <c r="G64" s="171">
        <v>10.0</v>
      </c>
      <c r="H64" s="171">
        <v>25.0</v>
      </c>
      <c r="I64" s="171">
        <v>40.0</v>
      </c>
      <c r="J64" s="325">
        <f t="shared" si="2"/>
        <v>0.00148909784</v>
      </c>
      <c r="K64" s="326">
        <f t="shared" si="6"/>
        <v>0.6452757307</v>
      </c>
      <c r="L64" s="327">
        <f t="shared" si="4"/>
        <v>14.34013824</v>
      </c>
      <c r="M64" s="321" t="str">
        <f t="shared" si="5"/>
        <v>tonga2020</v>
      </c>
      <c r="N64" s="209">
        <f>IFERROR(__xludf.DUMMYFUNCTION("""COMPUTED_VALUE"""),12.0)</f>
        <v>12</v>
      </c>
      <c r="O64" s="176"/>
      <c r="P64" s="176"/>
      <c r="Q64" s="176"/>
      <c r="R64" s="176"/>
      <c r="S64" s="176"/>
      <c r="T64" s="176"/>
      <c r="U64" s="176"/>
      <c r="V64" s="176"/>
      <c r="W64" s="176"/>
      <c r="X64" s="176"/>
      <c r="Y64" s="176"/>
      <c r="Z64" s="176"/>
    </row>
    <row r="65">
      <c r="A65" s="249" t="s">
        <v>3</v>
      </c>
      <c r="B65" s="249" t="s">
        <v>1231</v>
      </c>
      <c r="C65" s="219" t="s">
        <v>3093</v>
      </c>
      <c r="D65" s="268" t="s">
        <v>495</v>
      </c>
      <c r="E65" s="251">
        <v>44184.0</v>
      </c>
      <c r="F65" s="250" t="s">
        <v>496</v>
      </c>
      <c r="G65" s="171">
        <v>300.0</v>
      </c>
      <c r="H65" s="171">
        <v>25.0</v>
      </c>
      <c r="I65" s="171">
        <v>150.0</v>
      </c>
      <c r="J65" s="325">
        <f t="shared" si="2"/>
        <v>0.01001727867</v>
      </c>
      <c r="K65" s="326">
        <f t="shared" si="6"/>
        <v>4.340820759</v>
      </c>
      <c r="L65" s="327">
        <f t="shared" si="4"/>
        <v>11.37618516</v>
      </c>
      <c r="M65" s="321" t="str">
        <f t="shared" si="5"/>
        <v>zeptimusq</v>
      </c>
      <c r="N65" s="209">
        <f>IFERROR(__xludf.DUMMYFUNCTION("""COMPUTED_VALUE"""),1.0)</f>
        <v>1</v>
      </c>
      <c r="O65" s="176"/>
      <c r="P65" s="176"/>
      <c r="Q65" s="176"/>
      <c r="R65" s="176"/>
      <c r="S65" s="176"/>
      <c r="T65" s="176"/>
      <c r="U65" s="176"/>
      <c r="V65" s="176"/>
      <c r="W65" s="176"/>
      <c r="X65" s="176"/>
      <c r="Y65" s="176"/>
      <c r="Z65" s="176"/>
    </row>
    <row r="66">
      <c r="A66" s="249" t="s">
        <v>3</v>
      </c>
      <c r="B66" s="249" t="s">
        <v>10</v>
      </c>
      <c r="C66" s="219" t="s">
        <v>3061</v>
      </c>
      <c r="D66" s="268" t="s">
        <v>495</v>
      </c>
      <c r="E66" s="251">
        <v>44192.0</v>
      </c>
      <c r="F66" s="250" t="s">
        <v>496</v>
      </c>
      <c r="G66" s="171">
        <v>45.0</v>
      </c>
      <c r="H66" s="171">
        <v>25.0</v>
      </c>
      <c r="I66" s="171">
        <v>150.0</v>
      </c>
      <c r="J66" s="325">
        <f t="shared" si="2"/>
        <v>0.004371313878</v>
      </c>
      <c r="K66" s="326">
        <f t="shared" si="6"/>
        <v>1.894236014</v>
      </c>
      <c r="L66" s="327">
        <f t="shared" si="4"/>
        <v>11.37618516</v>
      </c>
      <c r="M66" s="321" t="str">
        <f t="shared" si="5"/>
        <v>zeptimusq</v>
      </c>
      <c r="N66" s="209">
        <f>IFERROR(__xludf.DUMMYFUNCTION("""COMPUTED_VALUE"""),2.0)</f>
        <v>2</v>
      </c>
      <c r="O66" s="176"/>
      <c r="P66" s="176"/>
      <c r="Q66" s="176"/>
      <c r="R66" s="176"/>
      <c r="S66" s="176"/>
      <c r="T66" s="176"/>
      <c r="U66" s="176"/>
      <c r="V66" s="176"/>
      <c r="W66" s="176"/>
      <c r="X66" s="176"/>
      <c r="Y66" s="176"/>
      <c r="Z66" s="176"/>
    </row>
    <row r="67">
      <c r="A67" s="249" t="s">
        <v>3</v>
      </c>
      <c r="B67" s="249" t="s">
        <v>5</v>
      </c>
      <c r="C67" s="219" t="s">
        <v>3073</v>
      </c>
      <c r="D67" s="268" t="s">
        <v>495</v>
      </c>
      <c r="E67" s="251">
        <v>44191.0</v>
      </c>
      <c r="F67" s="250" t="s">
        <v>496</v>
      </c>
      <c r="G67" s="171">
        <v>20.0</v>
      </c>
      <c r="H67" s="171">
        <v>50.0</v>
      </c>
      <c r="I67" s="171">
        <v>50.0</v>
      </c>
      <c r="J67" s="325">
        <f t="shared" si="2"/>
        <v>0.002403483036</v>
      </c>
      <c r="K67" s="326">
        <f t="shared" si="6"/>
        <v>1.041509316</v>
      </c>
      <c r="L67" s="327">
        <f t="shared" si="4"/>
        <v>11.37618516</v>
      </c>
      <c r="M67" s="321" t="str">
        <f t="shared" si="5"/>
        <v>zeptimusq</v>
      </c>
      <c r="N67" s="209">
        <f>IFERROR(__xludf.DUMMYFUNCTION("""COMPUTED_VALUE"""),3.0)</f>
        <v>3</v>
      </c>
      <c r="O67" s="176"/>
      <c r="P67" s="176"/>
      <c r="Q67" s="176"/>
      <c r="R67" s="176"/>
      <c r="S67" s="176"/>
      <c r="T67" s="176"/>
      <c r="U67" s="176"/>
      <c r="V67" s="176"/>
      <c r="W67" s="176"/>
      <c r="X67" s="176"/>
      <c r="Y67" s="176"/>
      <c r="Z67" s="176"/>
    </row>
    <row r="68">
      <c r="A68" s="249" t="s">
        <v>3</v>
      </c>
      <c r="B68" s="249" t="s">
        <v>18</v>
      </c>
      <c r="C68" s="219" t="s">
        <v>3074</v>
      </c>
      <c r="D68" s="268" t="s">
        <v>495</v>
      </c>
      <c r="E68" s="251">
        <v>44193.0</v>
      </c>
      <c r="F68" s="250" t="s">
        <v>496</v>
      </c>
      <c r="G68" s="171">
        <v>50.0</v>
      </c>
      <c r="H68" s="171">
        <v>25.0</v>
      </c>
      <c r="I68" s="171">
        <v>25.0</v>
      </c>
      <c r="J68" s="325">
        <f t="shared" si="2"/>
        <v>0.002087383055</v>
      </c>
      <c r="K68" s="326">
        <f t="shared" si="6"/>
        <v>0.9045326571</v>
      </c>
      <c r="L68" s="327">
        <f t="shared" si="4"/>
        <v>11.37618516</v>
      </c>
      <c r="M68" s="321" t="str">
        <f t="shared" si="5"/>
        <v>zeptimusq</v>
      </c>
      <c r="N68" s="209">
        <f>IFERROR(__xludf.DUMMYFUNCTION("""COMPUTED_VALUE"""),4.0)</f>
        <v>4</v>
      </c>
      <c r="O68" s="176"/>
      <c r="P68" s="176"/>
      <c r="Q68" s="176"/>
      <c r="R68" s="176"/>
      <c r="S68" s="176"/>
      <c r="T68" s="176"/>
      <c r="U68" s="176"/>
      <c r="V68" s="176"/>
      <c r="W68" s="176"/>
      <c r="X68" s="176"/>
      <c r="Y68" s="176"/>
      <c r="Z68" s="176"/>
    </row>
    <row r="69">
      <c r="A69" s="249" t="s">
        <v>3</v>
      </c>
      <c r="B69" s="249" t="s">
        <v>25</v>
      </c>
      <c r="C69" s="219" t="s">
        <v>3076</v>
      </c>
      <c r="D69" s="268" t="s">
        <v>495</v>
      </c>
      <c r="E69" s="251">
        <v>44188.0</v>
      </c>
      <c r="F69" s="250" t="s">
        <v>496</v>
      </c>
      <c r="G69" s="171">
        <v>20.0</v>
      </c>
      <c r="H69" s="171">
        <v>25.0</v>
      </c>
      <c r="I69" s="171">
        <v>40.0</v>
      </c>
      <c r="J69" s="325">
        <f t="shared" si="2"/>
        <v>0.001710508224</v>
      </c>
      <c r="K69" s="326">
        <f t="shared" si="6"/>
        <v>0.7412202305</v>
      </c>
      <c r="L69" s="327">
        <f t="shared" si="4"/>
        <v>11.37618516</v>
      </c>
      <c r="M69" s="321" t="str">
        <f t="shared" si="5"/>
        <v>zeptimusq</v>
      </c>
      <c r="N69" s="209">
        <f>IFERROR(__xludf.DUMMYFUNCTION("""COMPUTED_VALUE"""),5.0)</f>
        <v>5</v>
      </c>
      <c r="O69" s="176"/>
      <c r="P69" s="176"/>
      <c r="Q69" s="176"/>
      <c r="R69" s="176"/>
      <c r="S69" s="176"/>
      <c r="T69" s="176"/>
      <c r="U69" s="176"/>
      <c r="V69" s="176"/>
      <c r="W69" s="176"/>
      <c r="X69" s="176"/>
      <c r="Y69" s="176"/>
      <c r="Z69" s="176"/>
    </row>
    <row r="70">
      <c r="A70" s="249" t="s">
        <v>3</v>
      </c>
      <c r="B70" s="249" t="s">
        <v>590</v>
      </c>
      <c r="C70" s="219" t="s">
        <v>3078</v>
      </c>
      <c r="D70" s="268" t="s">
        <v>495</v>
      </c>
      <c r="E70" s="251">
        <v>44187.0</v>
      </c>
      <c r="F70" s="250" t="s">
        <v>496</v>
      </c>
      <c r="G70" s="171">
        <v>10.0</v>
      </c>
      <c r="H70" s="171">
        <v>25.0</v>
      </c>
      <c r="I70" s="171">
        <v>40.0</v>
      </c>
      <c r="J70" s="325">
        <f t="shared" si="2"/>
        <v>0.00148909784</v>
      </c>
      <c r="K70" s="326">
        <f t="shared" si="6"/>
        <v>0.6452757307</v>
      </c>
      <c r="L70" s="327">
        <f t="shared" si="4"/>
        <v>11.37618516</v>
      </c>
      <c r="M70" s="321" t="str">
        <f t="shared" si="5"/>
        <v>zeptimusq</v>
      </c>
      <c r="N70" s="209">
        <f>IFERROR(__xludf.DUMMYFUNCTION("""COMPUTED_VALUE"""),6.0)</f>
        <v>6</v>
      </c>
      <c r="O70" s="176"/>
      <c r="P70" s="176"/>
      <c r="Q70" s="176"/>
      <c r="R70" s="176"/>
      <c r="S70" s="176"/>
      <c r="T70" s="176"/>
      <c r="U70" s="176"/>
      <c r="V70" s="176"/>
      <c r="W70" s="176"/>
      <c r="X70" s="176"/>
      <c r="Y70" s="176"/>
      <c r="Z70" s="176"/>
    </row>
    <row r="71">
      <c r="A71" s="249" t="s">
        <v>3</v>
      </c>
      <c r="B71" s="249" t="s">
        <v>519</v>
      </c>
      <c r="C71" s="219" t="s">
        <v>3067</v>
      </c>
      <c r="D71" s="268" t="s">
        <v>495</v>
      </c>
      <c r="E71" s="251">
        <v>44188.0</v>
      </c>
      <c r="F71" s="250" t="s">
        <v>499</v>
      </c>
      <c r="G71" s="171">
        <v>20.0</v>
      </c>
      <c r="H71" s="171">
        <v>25.0</v>
      </c>
      <c r="I71" s="171">
        <v>25.0</v>
      </c>
      <c r="J71" s="325">
        <f t="shared" si="2"/>
        <v>0.001423151902</v>
      </c>
      <c r="K71" s="326">
        <f t="shared" si="6"/>
        <v>0.6166991577</v>
      </c>
      <c r="L71" s="327">
        <f t="shared" si="4"/>
        <v>11.37618516</v>
      </c>
      <c r="M71" s="321" t="str">
        <f t="shared" si="5"/>
        <v>zeptimusq</v>
      </c>
      <c r="N71" s="209">
        <f>IFERROR(__xludf.DUMMYFUNCTION("""COMPUTED_VALUE"""),7.0)</f>
        <v>7</v>
      </c>
      <c r="O71" s="176"/>
      <c r="P71" s="176"/>
      <c r="Q71" s="176"/>
      <c r="R71" s="176"/>
      <c r="S71" s="176"/>
      <c r="T71" s="176"/>
      <c r="U71" s="176"/>
      <c r="V71" s="176"/>
      <c r="W71" s="176"/>
      <c r="X71" s="176"/>
      <c r="Y71" s="176"/>
      <c r="Z71" s="176"/>
    </row>
    <row r="72">
      <c r="A72" s="249" t="s">
        <v>3</v>
      </c>
      <c r="B72" s="249" t="s">
        <v>18</v>
      </c>
      <c r="C72" s="219" t="s">
        <v>3077</v>
      </c>
      <c r="D72" s="268" t="s">
        <v>495</v>
      </c>
      <c r="E72" s="251">
        <v>44193.0</v>
      </c>
      <c r="F72" s="250" t="s">
        <v>496</v>
      </c>
      <c r="G72" s="171">
        <v>20.0</v>
      </c>
      <c r="H72" s="171">
        <v>25.0</v>
      </c>
      <c r="I72" s="171">
        <v>25.0</v>
      </c>
      <c r="J72" s="325">
        <f t="shared" si="2"/>
        <v>0.001423151902</v>
      </c>
      <c r="K72" s="326">
        <f t="shared" si="6"/>
        <v>0.6166991577</v>
      </c>
      <c r="L72" s="327">
        <f t="shared" si="4"/>
        <v>11.37618516</v>
      </c>
      <c r="M72" s="321" t="str">
        <f t="shared" si="5"/>
        <v>zeptimusq</v>
      </c>
      <c r="N72" s="209">
        <f>IFERROR(__xludf.DUMMYFUNCTION("""COMPUTED_VALUE"""),8.0)</f>
        <v>8</v>
      </c>
      <c r="O72" s="176"/>
      <c r="P72" s="176"/>
      <c r="Q72" s="176"/>
      <c r="R72" s="176"/>
      <c r="S72" s="176"/>
      <c r="T72" s="176"/>
      <c r="U72" s="176"/>
      <c r="V72" s="176"/>
      <c r="W72" s="176"/>
      <c r="X72" s="176"/>
      <c r="Y72" s="176"/>
      <c r="Z72" s="176"/>
    </row>
    <row r="73">
      <c r="A73" s="249" t="s">
        <v>3</v>
      </c>
      <c r="B73" s="249" t="s">
        <v>6</v>
      </c>
      <c r="C73" s="219" t="s">
        <v>3062</v>
      </c>
      <c r="D73" s="268" t="s">
        <v>495</v>
      </c>
      <c r="E73" s="251">
        <v>44186.0</v>
      </c>
      <c r="F73" s="250" t="s">
        <v>496</v>
      </c>
      <c r="G73" s="171">
        <v>20.0</v>
      </c>
      <c r="H73" s="171">
        <v>25.0</v>
      </c>
      <c r="I73" s="171">
        <v>20.0</v>
      </c>
      <c r="J73" s="325">
        <f t="shared" si="2"/>
        <v>0.001327366462</v>
      </c>
      <c r="K73" s="326">
        <f t="shared" si="6"/>
        <v>0.5751921334</v>
      </c>
      <c r="L73" s="327">
        <f t="shared" si="4"/>
        <v>11.37618516</v>
      </c>
      <c r="M73" s="321" t="str">
        <f t="shared" si="5"/>
        <v>zeptimusq</v>
      </c>
      <c r="N73" s="209">
        <f>IFERROR(__xludf.DUMMYFUNCTION("""COMPUTED_VALUE"""),9.0)</f>
        <v>9</v>
      </c>
      <c r="O73" s="176"/>
      <c r="P73" s="176"/>
      <c r="Q73" s="176"/>
      <c r="R73" s="176"/>
      <c r="S73" s="176"/>
      <c r="T73" s="176"/>
      <c r="U73" s="176"/>
      <c r="V73" s="176"/>
      <c r="W73" s="176"/>
      <c r="X73" s="176"/>
      <c r="Y73" s="176"/>
      <c r="Z73" s="176"/>
    </row>
    <row r="74">
      <c r="A74" s="253" t="s">
        <v>3</v>
      </c>
      <c r="B74" s="253" t="s">
        <v>1231</v>
      </c>
      <c r="C74" s="256" t="s">
        <v>3093</v>
      </c>
      <c r="D74" s="336" t="s">
        <v>495</v>
      </c>
      <c r="E74" s="255">
        <v>44184.0</v>
      </c>
      <c r="F74" s="221" t="s">
        <v>2912</v>
      </c>
      <c r="G74" s="222">
        <v>0.0</v>
      </c>
      <c r="H74" s="222">
        <v>0.0</v>
      </c>
      <c r="I74" s="222">
        <v>0.0</v>
      </c>
      <c r="J74" s="339">
        <f t="shared" si="2"/>
        <v>0</v>
      </c>
      <c r="K74" s="337">
        <f t="shared" si="6"/>
        <v>0</v>
      </c>
      <c r="L74" s="341">
        <f t="shared" si="4"/>
        <v>11.37618516</v>
      </c>
      <c r="M74" s="321" t="str">
        <f t="shared" si="5"/>
        <v>zeptimusq</v>
      </c>
      <c r="N74" s="209">
        <f>IFERROR(__xludf.DUMMYFUNCTION("""COMPUTED_VALUE"""),10.0)</f>
        <v>10</v>
      </c>
      <c r="O74" s="209"/>
      <c r="P74" s="209"/>
      <c r="Q74" s="209"/>
      <c r="R74" s="209"/>
      <c r="S74" s="209"/>
      <c r="T74" s="209"/>
      <c r="U74" s="209"/>
      <c r="V74" s="209"/>
      <c r="W74" s="209"/>
      <c r="X74" s="209"/>
      <c r="Y74" s="209"/>
      <c r="Z74" s="209"/>
    </row>
    <row r="75">
      <c r="A75" s="249" t="s">
        <v>3</v>
      </c>
      <c r="B75" s="249" t="s">
        <v>1231</v>
      </c>
      <c r="C75" s="219" t="s">
        <v>3093</v>
      </c>
      <c r="D75" s="268" t="s">
        <v>495</v>
      </c>
      <c r="E75" s="251">
        <v>44184.0</v>
      </c>
      <c r="F75" s="221" t="s">
        <v>2912</v>
      </c>
      <c r="G75" s="222">
        <v>0.0</v>
      </c>
      <c r="H75" s="222">
        <v>0.0</v>
      </c>
      <c r="I75" s="222">
        <v>0.0</v>
      </c>
      <c r="J75" s="325">
        <f t="shared" si="2"/>
        <v>0</v>
      </c>
      <c r="K75" s="326">
        <f t="shared" si="6"/>
        <v>0</v>
      </c>
      <c r="L75" s="327">
        <f t="shared" si="4"/>
        <v>11.37618516</v>
      </c>
      <c r="M75" s="321" t="str">
        <f t="shared" si="5"/>
        <v>zeptimusq</v>
      </c>
      <c r="N75" s="209">
        <f>IFERROR(__xludf.DUMMYFUNCTION("""COMPUTED_VALUE"""),11.0)</f>
        <v>11</v>
      </c>
      <c r="O75" s="176"/>
      <c r="P75" s="176"/>
      <c r="Q75" s="176"/>
      <c r="R75" s="176"/>
      <c r="S75" s="176"/>
      <c r="T75" s="176"/>
      <c r="U75" s="176"/>
      <c r="V75" s="176"/>
      <c r="W75" s="176"/>
      <c r="X75" s="176"/>
      <c r="Y75" s="176"/>
      <c r="Z75" s="176"/>
    </row>
    <row r="76">
      <c r="A76" s="249" t="s">
        <v>3</v>
      </c>
      <c r="B76" s="249" t="s">
        <v>1231</v>
      </c>
      <c r="C76" s="219" t="s">
        <v>3093</v>
      </c>
      <c r="D76" s="268" t="s">
        <v>495</v>
      </c>
      <c r="E76" s="251">
        <v>44184.0</v>
      </c>
      <c r="F76" s="221" t="s">
        <v>2912</v>
      </c>
      <c r="G76" s="222">
        <v>0.0</v>
      </c>
      <c r="H76" s="222">
        <v>0.0</v>
      </c>
      <c r="I76" s="222">
        <v>0.0</v>
      </c>
      <c r="J76" s="325">
        <f t="shared" si="2"/>
        <v>0</v>
      </c>
      <c r="K76" s="326">
        <f t="shared" si="6"/>
        <v>0</v>
      </c>
      <c r="L76" s="327">
        <f t="shared" si="4"/>
        <v>11.37618516</v>
      </c>
      <c r="M76" s="321" t="str">
        <f t="shared" si="5"/>
        <v>zeptimusq</v>
      </c>
      <c r="N76" s="209">
        <f>IFERROR(__xludf.DUMMYFUNCTION("""COMPUTED_VALUE"""),12.0)</f>
        <v>12</v>
      </c>
      <c r="O76" s="176"/>
      <c r="P76" s="176"/>
      <c r="Q76" s="176"/>
      <c r="R76" s="176"/>
      <c r="S76" s="176"/>
      <c r="T76" s="176"/>
      <c r="U76" s="176"/>
      <c r="V76" s="176"/>
      <c r="W76" s="176"/>
      <c r="X76" s="176"/>
      <c r="Y76" s="176"/>
      <c r="Z76" s="176"/>
    </row>
    <row r="77">
      <c r="A77" s="249" t="s">
        <v>73</v>
      </c>
      <c r="B77" s="249" t="s">
        <v>10</v>
      </c>
      <c r="C77" s="219" t="s">
        <v>3064</v>
      </c>
      <c r="D77" s="268" t="s">
        <v>495</v>
      </c>
      <c r="E77" s="251">
        <v>44192.0</v>
      </c>
      <c r="F77" s="250" t="s">
        <v>496</v>
      </c>
      <c r="G77" s="171">
        <v>200.0</v>
      </c>
      <c r="H77" s="171">
        <v>750.0</v>
      </c>
      <c r="I77" s="171">
        <v>400.0</v>
      </c>
      <c r="J77" s="325">
        <f t="shared" si="2"/>
        <v>0.02713316086</v>
      </c>
      <c r="K77" s="326">
        <f t="shared" si="6"/>
        <v>11.75770304</v>
      </c>
      <c r="L77" s="327">
        <f t="shared" si="4"/>
        <v>8.972174448</v>
      </c>
      <c r="M77" s="321" t="str">
        <f t="shared" si="5"/>
        <v>aminlatifi</v>
      </c>
      <c r="N77" s="209">
        <f>IFERROR(__xludf.DUMMYFUNCTION("""COMPUTED_VALUE"""),1.0)</f>
        <v>1</v>
      </c>
      <c r="O77" s="176"/>
      <c r="P77" s="176"/>
      <c r="Q77" s="176"/>
      <c r="R77" s="176"/>
      <c r="S77" s="176"/>
      <c r="T77" s="176"/>
      <c r="U77" s="176"/>
      <c r="V77" s="176"/>
      <c r="W77" s="176"/>
      <c r="X77" s="176"/>
      <c r="Y77" s="176"/>
      <c r="Z77" s="176"/>
    </row>
    <row r="78">
      <c r="A78" s="249" t="s">
        <v>73</v>
      </c>
      <c r="B78" s="249" t="s">
        <v>25</v>
      </c>
      <c r="C78" s="219" t="s">
        <v>3094</v>
      </c>
      <c r="D78" s="268" t="s">
        <v>495</v>
      </c>
      <c r="E78" s="251">
        <v>44187.0</v>
      </c>
      <c r="F78" s="250" t="s">
        <v>1956</v>
      </c>
      <c r="G78" s="171">
        <v>200.0</v>
      </c>
      <c r="H78" s="171">
        <v>300.0</v>
      </c>
      <c r="I78" s="171">
        <v>200.0</v>
      </c>
      <c r="J78" s="325">
        <f t="shared" si="2"/>
        <v>0.01427647248</v>
      </c>
      <c r="K78" s="326">
        <f t="shared" si="6"/>
        <v>6.186471408</v>
      </c>
      <c r="L78" s="327">
        <f t="shared" si="4"/>
        <v>8.972174448</v>
      </c>
      <c r="M78" s="321" t="str">
        <f t="shared" si="5"/>
        <v>aminlatifi</v>
      </c>
      <c r="N78" s="209">
        <f>IFERROR(__xludf.DUMMYFUNCTION("""COMPUTED_VALUE"""),2.0)</f>
        <v>2</v>
      </c>
      <c r="O78" s="176"/>
      <c r="P78" s="176"/>
      <c r="Q78" s="176"/>
      <c r="R78" s="176"/>
      <c r="S78" s="176"/>
      <c r="T78" s="176"/>
      <c r="U78" s="176"/>
      <c r="V78" s="176"/>
      <c r="W78" s="176"/>
      <c r="X78" s="176"/>
      <c r="Y78" s="176"/>
      <c r="Z78" s="176"/>
    </row>
    <row r="79">
      <c r="A79" s="240" t="s">
        <v>73</v>
      </c>
      <c r="B79" s="240" t="s">
        <v>534</v>
      </c>
      <c r="C79" s="221" t="s">
        <v>839</v>
      </c>
      <c r="D79" s="336"/>
      <c r="E79" s="255"/>
      <c r="F79" s="254"/>
      <c r="G79" s="222"/>
      <c r="H79" s="222"/>
      <c r="I79" s="222"/>
      <c r="J79" s="325">
        <f t="shared" si="2"/>
        <v>0</v>
      </c>
      <c r="K79" s="345">
        <f>17.944*-0.5</f>
        <v>-8.972</v>
      </c>
      <c r="L79" s="327">
        <f t="shared" si="4"/>
        <v>8.972174448</v>
      </c>
      <c r="M79" s="321" t="str">
        <f t="shared" si="5"/>
        <v>aminlatifi</v>
      </c>
      <c r="N79" s="209">
        <f>IFERROR(__xludf.DUMMYFUNCTION("""COMPUTED_VALUE"""),3.0)</f>
        <v>3</v>
      </c>
      <c r="O79" s="209"/>
      <c r="P79" s="209"/>
      <c r="Q79" s="209"/>
      <c r="R79" s="209">
        <v>18.802169413641863</v>
      </c>
      <c r="S79" s="209"/>
      <c r="T79" s="209"/>
      <c r="U79" s="209"/>
      <c r="V79" s="209"/>
      <c r="W79" s="209"/>
      <c r="X79" s="209"/>
      <c r="Y79" s="176"/>
      <c r="Z79" s="176"/>
    </row>
    <row r="80">
      <c r="A80" s="249" t="s">
        <v>7</v>
      </c>
      <c r="B80" s="249" t="s">
        <v>867</v>
      </c>
      <c r="C80" s="219" t="s">
        <v>3095</v>
      </c>
      <c r="D80" s="268" t="s">
        <v>495</v>
      </c>
      <c r="E80" s="251">
        <v>44184.0</v>
      </c>
      <c r="F80" s="250" t="s">
        <v>496</v>
      </c>
      <c r="G80" s="171">
        <v>200.0</v>
      </c>
      <c r="H80" s="171">
        <v>300.0</v>
      </c>
      <c r="I80" s="171">
        <v>200.0</v>
      </c>
      <c r="J80" s="325">
        <f t="shared" si="2"/>
        <v>0.01427647248</v>
      </c>
      <c r="K80" s="326">
        <f t="shared" ref="K80:K116" si="7">J80*$J$1</f>
        <v>6.186471408</v>
      </c>
      <c r="L80" s="327">
        <f t="shared" si="4"/>
        <v>7.461376747</v>
      </c>
      <c r="M80" s="321" t="str">
        <f t="shared" si="5"/>
        <v>ygganderson</v>
      </c>
      <c r="N80" s="209">
        <f>IFERROR(__xludf.DUMMYFUNCTION("""COMPUTED_VALUE"""),1.0)</f>
        <v>1</v>
      </c>
      <c r="O80" s="176"/>
      <c r="P80" s="176"/>
      <c r="Q80" s="176"/>
      <c r="R80" s="176"/>
      <c r="S80" s="176"/>
      <c r="T80" s="176"/>
      <c r="U80" s="176"/>
      <c r="V80" s="176"/>
      <c r="W80" s="176"/>
      <c r="X80" s="176"/>
      <c r="Y80" s="176"/>
      <c r="Z80" s="176"/>
    </row>
    <row r="81">
      <c r="A81" s="249" t="s">
        <v>7</v>
      </c>
      <c r="B81" s="249" t="s">
        <v>6</v>
      </c>
      <c r="C81" s="219" t="s">
        <v>3062</v>
      </c>
      <c r="D81" s="268" t="s">
        <v>495</v>
      </c>
      <c r="E81" s="251">
        <v>44186.0</v>
      </c>
      <c r="F81" s="250" t="s">
        <v>496</v>
      </c>
      <c r="G81" s="171">
        <v>20.0</v>
      </c>
      <c r="H81" s="171">
        <v>25.0</v>
      </c>
      <c r="I81" s="171">
        <v>30.0</v>
      </c>
      <c r="J81" s="325">
        <f t="shared" si="2"/>
        <v>0.001518937343</v>
      </c>
      <c r="K81" s="326">
        <f t="shared" si="7"/>
        <v>0.658206182</v>
      </c>
      <c r="L81" s="327">
        <f t="shared" si="4"/>
        <v>7.461376747</v>
      </c>
      <c r="M81" s="321" t="str">
        <f t="shared" si="5"/>
        <v>ygganderson</v>
      </c>
      <c r="N81" s="209">
        <f>IFERROR(__xludf.DUMMYFUNCTION("""COMPUTED_VALUE"""),2.0)</f>
        <v>2</v>
      </c>
      <c r="O81" s="176"/>
      <c r="P81" s="176"/>
      <c r="Q81" s="176"/>
      <c r="R81" s="176"/>
      <c r="S81" s="176"/>
      <c r="T81" s="176"/>
      <c r="U81" s="176"/>
      <c r="V81" s="176"/>
      <c r="W81" s="176"/>
      <c r="X81" s="176"/>
      <c r="Y81" s="176"/>
      <c r="Z81" s="176"/>
    </row>
    <row r="82">
      <c r="A82" s="249" t="s">
        <v>7</v>
      </c>
      <c r="B82" s="249" t="s">
        <v>519</v>
      </c>
      <c r="C82" s="219" t="s">
        <v>3067</v>
      </c>
      <c r="D82" s="268" t="s">
        <v>495</v>
      </c>
      <c r="E82" s="251">
        <v>44188.0</v>
      </c>
      <c r="F82" s="250" t="s">
        <v>499</v>
      </c>
      <c r="G82" s="171">
        <v>20.0</v>
      </c>
      <c r="H82" s="171">
        <v>25.0</v>
      </c>
      <c r="I82" s="171">
        <v>25.0</v>
      </c>
      <c r="J82" s="325">
        <f t="shared" si="2"/>
        <v>0.001423151902</v>
      </c>
      <c r="K82" s="326">
        <f t="shared" si="7"/>
        <v>0.6166991577</v>
      </c>
      <c r="L82" s="327">
        <f t="shared" si="4"/>
        <v>7.461376747</v>
      </c>
      <c r="M82" s="321" t="str">
        <f t="shared" si="5"/>
        <v>ygganderson</v>
      </c>
      <c r="N82" s="209">
        <f>IFERROR(__xludf.DUMMYFUNCTION("""COMPUTED_VALUE"""),3.0)</f>
        <v>3</v>
      </c>
      <c r="O82" s="176"/>
      <c r="P82" s="176"/>
      <c r="Q82" s="176"/>
      <c r="R82" s="176"/>
      <c r="S82" s="176"/>
      <c r="T82" s="176"/>
      <c r="U82" s="176"/>
      <c r="V82" s="176"/>
      <c r="W82" s="176"/>
      <c r="X82" s="176"/>
      <c r="Y82" s="176"/>
      <c r="Z82" s="176"/>
    </row>
    <row r="83">
      <c r="A83" s="249" t="s">
        <v>7</v>
      </c>
      <c r="B83" s="249" t="s">
        <v>1231</v>
      </c>
      <c r="C83" s="219" t="s">
        <v>3096</v>
      </c>
      <c r="D83" s="268" t="s">
        <v>495</v>
      </c>
      <c r="E83" s="251">
        <v>44184.0</v>
      </c>
      <c r="F83" s="256" t="s">
        <v>2912</v>
      </c>
      <c r="G83" s="363">
        <v>0.0</v>
      </c>
      <c r="H83" s="363">
        <v>0.0</v>
      </c>
      <c r="I83" s="363">
        <v>0.0</v>
      </c>
      <c r="J83" s="325">
        <f t="shared" si="2"/>
        <v>0</v>
      </c>
      <c r="K83" s="326">
        <f t="shared" si="7"/>
        <v>0</v>
      </c>
      <c r="L83" s="327">
        <f t="shared" si="4"/>
        <v>7.461376747</v>
      </c>
      <c r="M83" s="321" t="str">
        <f t="shared" si="5"/>
        <v>ygganderson</v>
      </c>
      <c r="N83" s="209">
        <f>IFERROR(__xludf.DUMMYFUNCTION("""COMPUTED_VALUE"""),4.0)</f>
        <v>4</v>
      </c>
      <c r="O83" s="176"/>
      <c r="P83" s="176"/>
      <c r="Q83" s="176"/>
      <c r="R83" s="176"/>
      <c r="S83" s="176"/>
      <c r="T83" s="176"/>
      <c r="U83" s="176"/>
      <c r="V83" s="176"/>
      <c r="W83" s="176"/>
      <c r="X83" s="176"/>
      <c r="Y83" s="176"/>
      <c r="Z83" s="176"/>
    </row>
    <row r="84">
      <c r="A84" s="249" t="s">
        <v>7</v>
      </c>
      <c r="B84" s="249" t="s">
        <v>1231</v>
      </c>
      <c r="C84" s="219" t="s">
        <v>3096</v>
      </c>
      <c r="D84" s="268" t="s">
        <v>495</v>
      </c>
      <c r="E84" s="251">
        <v>44184.0</v>
      </c>
      <c r="F84" s="256" t="s">
        <v>2912</v>
      </c>
      <c r="G84" s="363">
        <v>0.0</v>
      </c>
      <c r="H84" s="363">
        <v>0.0</v>
      </c>
      <c r="I84" s="363">
        <v>0.0</v>
      </c>
      <c r="J84" s="325">
        <f t="shared" si="2"/>
        <v>0</v>
      </c>
      <c r="K84" s="326">
        <f t="shared" si="7"/>
        <v>0</v>
      </c>
      <c r="L84" s="327">
        <f t="shared" si="4"/>
        <v>7.461376747</v>
      </c>
      <c r="M84" s="321" t="str">
        <f t="shared" si="5"/>
        <v>ygganderson</v>
      </c>
      <c r="N84" s="209">
        <f>IFERROR(__xludf.DUMMYFUNCTION("""COMPUTED_VALUE"""),5.0)</f>
        <v>5</v>
      </c>
      <c r="O84" s="176"/>
      <c r="P84" s="176"/>
      <c r="Q84" s="176"/>
      <c r="R84" s="176"/>
      <c r="S84" s="176"/>
      <c r="T84" s="176"/>
      <c r="U84" s="176"/>
      <c r="V84" s="176"/>
      <c r="W84" s="176"/>
      <c r="X84" s="176"/>
      <c r="Y84" s="176"/>
      <c r="Z84" s="176"/>
    </row>
    <row r="85">
      <c r="A85" s="249" t="s">
        <v>7</v>
      </c>
      <c r="B85" s="249" t="s">
        <v>1231</v>
      </c>
      <c r="C85" s="219" t="s">
        <v>3096</v>
      </c>
      <c r="D85" s="268" t="s">
        <v>495</v>
      </c>
      <c r="E85" s="251">
        <v>44184.0</v>
      </c>
      <c r="F85" s="221" t="s">
        <v>2912</v>
      </c>
      <c r="G85" s="222">
        <v>0.0</v>
      </c>
      <c r="H85" s="222">
        <v>0.0</v>
      </c>
      <c r="I85" s="222">
        <v>0.0</v>
      </c>
      <c r="J85" s="325">
        <f t="shared" si="2"/>
        <v>0</v>
      </c>
      <c r="K85" s="326">
        <f t="shared" si="7"/>
        <v>0</v>
      </c>
      <c r="L85" s="327">
        <f t="shared" si="4"/>
        <v>7.461376747</v>
      </c>
      <c r="M85" s="321" t="str">
        <f t="shared" si="5"/>
        <v>ygganderson</v>
      </c>
      <c r="N85" s="209">
        <f>IFERROR(__xludf.DUMMYFUNCTION("""COMPUTED_VALUE"""),6.0)</f>
        <v>6</v>
      </c>
      <c r="O85" s="176"/>
      <c r="P85" s="176"/>
      <c r="Q85" s="176"/>
      <c r="R85" s="176"/>
      <c r="S85" s="176"/>
      <c r="T85" s="176"/>
      <c r="U85" s="176"/>
      <c r="V85" s="176"/>
      <c r="W85" s="176"/>
      <c r="X85" s="176"/>
      <c r="Y85" s="176"/>
      <c r="Z85" s="176"/>
    </row>
    <row r="86">
      <c r="A86" s="249" t="s">
        <v>7</v>
      </c>
      <c r="B86" s="249" t="s">
        <v>1231</v>
      </c>
      <c r="C86" s="219" t="s">
        <v>3096</v>
      </c>
      <c r="D86" s="268" t="s">
        <v>495</v>
      </c>
      <c r="E86" s="251">
        <v>44184.0</v>
      </c>
      <c r="F86" s="221" t="s">
        <v>2912</v>
      </c>
      <c r="G86" s="222">
        <v>0.0</v>
      </c>
      <c r="H86" s="222">
        <v>0.0</v>
      </c>
      <c r="I86" s="222">
        <v>0.0</v>
      </c>
      <c r="J86" s="325">
        <f t="shared" si="2"/>
        <v>0</v>
      </c>
      <c r="K86" s="326">
        <f t="shared" si="7"/>
        <v>0</v>
      </c>
      <c r="L86" s="327">
        <f t="shared" si="4"/>
        <v>7.461376747</v>
      </c>
      <c r="M86" s="321" t="str">
        <f t="shared" si="5"/>
        <v>ygganderson</v>
      </c>
      <c r="N86" s="209">
        <f>IFERROR(__xludf.DUMMYFUNCTION("""COMPUTED_VALUE"""),7.0)</f>
        <v>7</v>
      </c>
      <c r="O86" s="176"/>
      <c r="P86" s="176"/>
      <c r="Q86" s="176"/>
      <c r="R86" s="176"/>
      <c r="S86" s="176"/>
      <c r="T86" s="176"/>
      <c r="U86" s="176"/>
      <c r="V86" s="176"/>
      <c r="W86" s="176"/>
      <c r="X86" s="176"/>
      <c r="Y86" s="176"/>
      <c r="Z86" s="176"/>
    </row>
    <row r="87">
      <c r="A87" s="249" t="s">
        <v>57</v>
      </c>
      <c r="B87" s="249" t="s">
        <v>43</v>
      </c>
      <c r="C87" s="219" t="s">
        <v>3097</v>
      </c>
      <c r="D87" s="268" t="s">
        <v>495</v>
      </c>
      <c r="E87" s="251">
        <v>44188.0</v>
      </c>
      <c r="F87" s="250" t="s">
        <v>521</v>
      </c>
      <c r="G87" s="171">
        <v>100.0</v>
      </c>
      <c r="H87" s="171">
        <v>100.0</v>
      </c>
      <c r="I87" s="171">
        <v>100.0</v>
      </c>
      <c r="J87" s="325">
        <f t="shared" si="2"/>
        <v>0.006135428378</v>
      </c>
      <c r="K87" s="326">
        <f t="shared" si="7"/>
        <v>2.65868563</v>
      </c>
      <c r="L87" s="327">
        <f t="shared" si="4"/>
        <v>6.503418603</v>
      </c>
      <c r="M87" s="321" t="str">
        <f t="shared" si="5"/>
        <v>fabiosmendes</v>
      </c>
      <c r="N87" s="209">
        <f>IFERROR(__xludf.DUMMYFUNCTION("""COMPUTED_VALUE"""),1.0)</f>
        <v>1</v>
      </c>
      <c r="O87" s="176"/>
      <c r="P87" s="176"/>
      <c r="Q87" s="176"/>
      <c r="R87" s="176"/>
      <c r="S87" s="176"/>
      <c r="T87" s="176"/>
      <c r="U87" s="176"/>
      <c r="V87" s="176"/>
      <c r="W87" s="176"/>
      <c r="X87" s="176"/>
      <c r="Y87" s="176"/>
      <c r="Z87" s="176"/>
    </row>
    <row r="88">
      <c r="A88" s="249" t="s">
        <v>57</v>
      </c>
      <c r="B88" s="249" t="s">
        <v>519</v>
      </c>
      <c r="C88" s="219" t="s">
        <v>3098</v>
      </c>
      <c r="D88" s="268" t="s">
        <v>495</v>
      </c>
      <c r="E88" s="251">
        <v>44188.0</v>
      </c>
      <c r="F88" s="250" t="s">
        <v>521</v>
      </c>
      <c r="G88" s="171">
        <v>40.0</v>
      </c>
      <c r="H88" s="171">
        <v>35.0</v>
      </c>
      <c r="I88" s="171">
        <v>50.0</v>
      </c>
      <c r="J88" s="325">
        <f t="shared" si="2"/>
        <v>0.002545461446</v>
      </c>
      <c r="K88" s="326">
        <f t="shared" si="7"/>
        <v>1.103033293</v>
      </c>
      <c r="L88" s="327">
        <f t="shared" si="4"/>
        <v>6.503418603</v>
      </c>
      <c r="M88" s="321" t="str">
        <f t="shared" si="5"/>
        <v>fabiosmendes</v>
      </c>
      <c r="N88" s="209">
        <f>IFERROR(__xludf.DUMMYFUNCTION("""COMPUTED_VALUE"""),2.0)</f>
        <v>2</v>
      </c>
      <c r="O88" s="176"/>
      <c r="P88" s="176"/>
      <c r="Q88" s="176"/>
      <c r="R88" s="176"/>
      <c r="S88" s="176"/>
      <c r="T88" s="176"/>
      <c r="U88" s="176"/>
      <c r="V88" s="176"/>
      <c r="W88" s="176"/>
      <c r="X88" s="176"/>
      <c r="Y88" s="176"/>
      <c r="Z88" s="176"/>
    </row>
    <row r="89">
      <c r="A89" s="249" t="s">
        <v>57</v>
      </c>
      <c r="B89" s="249" t="s">
        <v>519</v>
      </c>
      <c r="C89" s="219" t="s">
        <v>3099</v>
      </c>
      <c r="D89" s="268" t="s">
        <v>495</v>
      </c>
      <c r="E89" s="251">
        <v>44188.0</v>
      </c>
      <c r="F89" s="250" t="s">
        <v>521</v>
      </c>
      <c r="G89" s="171">
        <v>30.0</v>
      </c>
      <c r="H89" s="171">
        <v>25.0</v>
      </c>
      <c r="I89" s="171">
        <v>35.0</v>
      </c>
      <c r="J89" s="325">
        <f t="shared" si="2"/>
        <v>0.001836133168</v>
      </c>
      <c r="K89" s="326">
        <f t="shared" si="7"/>
        <v>0.795657706</v>
      </c>
      <c r="L89" s="327">
        <f t="shared" si="4"/>
        <v>6.503418603</v>
      </c>
      <c r="M89" s="321" t="str">
        <f t="shared" si="5"/>
        <v>fabiosmendes</v>
      </c>
      <c r="N89" s="209">
        <f>IFERROR(__xludf.DUMMYFUNCTION("""COMPUTED_VALUE"""),3.0)</f>
        <v>3</v>
      </c>
      <c r="O89" s="176"/>
      <c r="P89" s="176"/>
      <c r="Q89" s="176"/>
      <c r="R89" s="176"/>
      <c r="S89" s="176"/>
      <c r="T89" s="176"/>
      <c r="U89" s="176"/>
      <c r="V89" s="176"/>
      <c r="W89" s="176"/>
      <c r="X89" s="176"/>
      <c r="Y89" s="176"/>
      <c r="Z89" s="176"/>
    </row>
    <row r="90">
      <c r="A90" s="249" t="s">
        <v>57</v>
      </c>
      <c r="B90" s="249" t="s">
        <v>10</v>
      </c>
      <c r="C90" s="219" t="s">
        <v>3066</v>
      </c>
      <c r="D90" s="268" t="s">
        <v>495</v>
      </c>
      <c r="E90" s="251">
        <v>44192.0</v>
      </c>
      <c r="F90" s="250" t="s">
        <v>496</v>
      </c>
      <c r="G90" s="171">
        <v>30.0</v>
      </c>
      <c r="H90" s="171">
        <v>25.0</v>
      </c>
      <c r="I90" s="171">
        <v>25.0</v>
      </c>
      <c r="J90" s="325">
        <f t="shared" si="2"/>
        <v>0.001644562287</v>
      </c>
      <c r="K90" s="326">
        <f t="shared" si="7"/>
        <v>0.7126436575</v>
      </c>
      <c r="L90" s="327">
        <f t="shared" si="4"/>
        <v>6.503418603</v>
      </c>
      <c r="M90" s="321" t="str">
        <f t="shared" si="5"/>
        <v>fabiosmendes</v>
      </c>
      <c r="N90" s="209">
        <f>IFERROR(__xludf.DUMMYFUNCTION("""COMPUTED_VALUE"""),4.0)</f>
        <v>4</v>
      </c>
      <c r="O90" s="176"/>
      <c r="P90" s="176"/>
      <c r="Q90" s="176"/>
      <c r="R90" s="176"/>
      <c r="S90" s="176"/>
      <c r="T90" s="176"/>
      <c r="U90" s="176"/>
      <c r="V90" s="176"/>
      <c r="W90" s="176"/>
      <c r="X90" s="176"/>
      <c r="Y90" s="176"/>
      <c r="Z90" s="176"/>
    </row>
    <row r="91">
      <c r="A91" s="249" t="s">
        <v>57</v>
      </c>
      <c r="B91" s="249" t="s">
        <v>519</v>
      </c>
      <c r="C91" s="219" t="s">
        <v>2329</v>
      </c>
      <c r="D91" s="268" t="s">
        <v>495</v>
      </c>
      <c r="E91" s="251">
        <v>44188.0</v>
      </c>
      <c r="F91" s="250" t="s">
        <v>521</v>
      </c>
      <c r="G91" s="171">
        <v>20.0</v>
      </c>
      <c r="H91" s="171">
        <v>25.0</v>
      </c>
      <c r="I91" s="171">
        <v>25.0</v>
      </c>
      <c r="J91" s="325">
        <f t="shared" si="2"/>
        <v>0.001423151902</v>
      </c>
      <c r="K91" s="326">
        <f t="shared" si="7"/>
        <v>0.6166991577</v>
      </c>
      <c r="L91" s="327">
        <f t="shared" si="4"/>
        <v>6.503418603</v>
      </c>
      <c r="M91" s="321" t="str">
        <f t="shared" si="5"/>
        <v>fabiosmendes</v>
      </c>
      <c r="N91" s="209">
        <f>IFERROR(__xludf.DUMMYFUNCTION("""COMPUTED_VALUE"""),5.0)</f>
        <v>5</v>
      </c>
      <c r="O91" s="176"/>
      <c r="P91" s="176"/>
      <c r="Q91" s="176"/>
      <c r="R91" s="176"/>
      <c r="S91" s="176"/>
      <c r="T91" s="176"/>
      <c r="U91" s="176"/>
      <c r="V91" s="176"/>
      <c r="W91" s="176"/>
      <c r="X91" s="176"/>
      <c r="Y91" s="176"/>
      <c r="Z91" s="176"/>
    </row>
    <row r="92">
      <c r="A92" s="249" t="s">
        <v>57</v>
      </c>
      <c r="B92" s="249" t="s">
        <v>519</v>
      </c>
      <c r="C92" s="219" t="s">
        <v>3100</v>
      </c>
      <c r="D92" s="268" t="s">
        <v>495</v>
      </c>
      <c r="E92" s="251">
        <v>44188.0</v>
      </c>
      <c r="F92" s="250" t="s">
        <v>521</v>
      </c>
      <c r="G92" s="171">
        <v>20.0</v>
      </c>
      <c r="H92" s="171">
        <v>25.0</v>
      </c>
      <c r="I92" s="171">
        <v>25.0</v>
      </c>
      <c r="J92" s="325">
        <f t="shared" si="2"/>
        <v>0.001423151902</v>
      </c>
      <c r="K92" s="326">
        <f t="shared" si="7"/>
        <v>0.6166991577</v>
      </c>
      <c r="L92" s="327">
        <f t="shared" si="4"/>
        <v>6.503418603</v>
      </c>
      <c r="M92" s="321" t="str">
        <f t="shared" si="5"/>
        <v>fabiosmendes</v>
      </c>
      <c r="N92" s="209">
        <f>IFERROR(__xludf.DUMMYFUNCTION("""COMPUTED_VALUE"""),6.0)</f>
        <v>6</v>
      </c>
      <c r="O92" s="176"/>
      <c r="P92" s="176"/>
      <c r="Q92" s="176"/>
      <c r="R92" s="176"/>
      <c r="S92" s="176"/>
      <c r="T92" s="176"/>
      <c r="U92" s="176"/>
      <c r="V92" s="176"/>
      <c r="W92" s="176"/>
      <c r="X92" s="176"/>
      <c r="Y92" s="176"/>
      <c r="Z92" s="176"/>
    </row>
    <row r="93">
      <c r="A93" s="249" t="s">
        <v>27</v>
      </c>
      <c r="B93" s="249" t="s">
        <v>43</v>
      </c>
      <c r="C93" s="219" t="s">
        <v>3101</v>
      </c>
      <c r="D93" s="268" t="s">
        <v>495</v>
      </c>
      <c r="E93" s="251">
        <v>44188.0</v>
      </c>
      <c r="F93" s="250" t="s">
        <v>521</v>
      </c>
      <c r="G93" s="171">
        <v>50.0</v>
      </c>
      <c r="H93" s="171">
        <v>50.0</v>
      </c>
      <c r="I93" s="171">
        <v>50.0</v>
      </c>
      <c r="J93" s="325">
        <f t="shared" si="2"/>
        <v>0.003067714189</v>
      </c>
      <c r="K93" s="326">
        <f t="shared" si="7"/>
        <v>1.329342815</v>
      </c>
      <c r="L93" s="327">
        <f t="shared" si="4"/>
        <v>6.407474103</v>
      </c>
      <c r="M93" s="321" t="str">
        <f t="shared" si="5"/>
        <v>merlinegalite</v>
      </c>
      <c r="N93" s="209">
        <f>IFERROR(__xludf.DUMMYFUNCTION("""COMPUTED_VALUE"""),1.0)</f>
        <v>1</v>
      </c>
      <c r="O93" s="176"/>
      <c r="P93" s="176"/>
      <c r="Q93" s="176"/>
      <c r="R93" s="176"/>
      <c r="S93" s="176"/>
      <c r="T93" s="176"/>
      <c r="U93" s="176"/>
      <c r="V93" s="176"/>
      <c r="W93" s="176"/>
      <c r="X93" s="176"/>
      <c r="Y93" s="176"/>
      <c r="Z93" s="176"/>
    </row>
    <row r="94">
      <c r="A94" s="249" t="s">
        <v>27</v>
      </c>
      <c r="B94" s="249" t="s">
        <v>519</v>
      </c>
      <c r="C94" s="219" t="s">
        <v>3098</v>
      </c>
      <c r="D94" s="268" t="s">
        <v>495</v>
      </c>
      <c r="E94" s="251">
        <v>44188.0</v>
      </c>
      <c r="F94" s="250" t="s">
        <v>521</v>
      </c>
      <c r="G94" s="171">
        <v>40.0</v>
      </c>
      <c r="H94" s="171">
        <v>35.0</v>
      </c>
      <c r="I94" s="171">
        <v>50.0</v>
      </c>
      <c r="J94" s="325">
        <f t="shared" si="2"/>
        <v>0.002545461446</v>
      </c>
      <c r="K94" s="326">
        <f t="shared" si="7"/>
        <v>1.103033293</v>
      </c>
      <c r="L94" s="327">
        <f t="shared" si="4"/>
        <v>6.407474103</v>
      </c>
      <c r="M94" s="321" t="str">
        <f t="shared" si="5"/>
        <v>merlinegalite</v>
      </c>
      <c r="N94" s="209">
        <f>IFERROR(__xludf.DUMMYFUNCTION("""COMPUTED_VALUE"""),2.0)</f>
        <v>2</v>
      </c>
      <c r="O94" s="176"/>
      <c r="P94" s="176"/>
      <c r="Q94" s="176"/>
      <c r="R94" s="176"/>
      <c r="S94" s="176"/>
      <c r="T94" s="176"/>
      <c r="U94" s="176"/>
      <c r="V94" s="176"/>
      <c r="W94" s="176"/>
      <c r="X94" s="176"/>
      <c r="Y94" s="176"/>
      <c r="Z94" s="176"/>
    </row>
    <row r="95">
      <c r="A95" s="249" t="s">
        <v>27</v>
      </c>
      <c r="B95" s="249" t="s">
        <v>519</v>
      </c>
      <c r="C95" s="219" t="s">
        <v>3099</v>
      </c>
      <c r="D95" s="268" t="s">
        <v>495</v>
      </c>
      <c r="E95" s="251">
        <v>44188.0</v>
      </c>
      <c r="F95" s="250" t="s">
        <v>521</v>
      </c>
      <c r="G95" s="171">
        <v>30.0</v>
      </c>
      <c r="H95" s="171">
        <v>25.0</v>
      </c>
      <c r="I95" s="171">
        <v>35.0</v>
      </c>
      <c r="J95" s="325">
        <f t="shared" si="2"/>
        <v>0.001836133168</v>
      </c>
      <c r="K95" s="326">
        <f t="shared" si="7"/>
        <v>0.795657706</v>
      </c>
      <c r="L95" s="327">
        <f t="shared" si="4"/>
        <v>6.407474103</v>
      </c>
      <c r="M95" s="321" t="str">
        <f t="shared" si="5"/>
        <v>merlinegalite</v>
      </c>
      <c r="N95" s="209">
        <f>IFERROR(__xludf.DUMMYFUNCTION("""COMPUTED_VALUE"""),3.0)</f>
        <v>3</v>
      </c>
      <c r="O95" s="176"/>
      <c r="P95" s="176"/>
      <c r="Q95" s="176"/>
      <c r="R95" s="176"/>
      <c r="S95" s="176"/>
      <c r="T95" s="176"/>
      <c r="U95" s="176"/>
      <c r="V95" s="176"/>
      <c r="W95" s="176"/>
      <c r="X95" s="176"/>
      <c r="Y95" s="176"/>
      <c r="Z95" s="176"/>
    </row>
    <row r="96">
      <c r="A96" s="249" t="s">
        <v>27</v>
      </c>
      <c r="B96" s="249" t="s">
        <v>10</v>
      </c>
      <c r="C96" s="219" t="s">
        <v>3066</v>
      </c>
      <c r="D96" s="268" t="s">
        <v>495</v>
      </c>
      <c r="E96" s="251">
        <v>44192.0</v>
      </c>
      <c r="F96" s="250" t="s">
        <v>496</v>
      </c>
      <c r="G96" s="171">
        <v>30.0</v>
      </c>
      <c r="H96" s="171">
        <v>25.0</v>
      </c>
      <c r="I96" s="171">
        <v>25.0</v>
      </c>
      <c r="J96" s="325">
        <f t="shared" si="2"/>
        <v>0.001644562287</v>
      </c>
      <c r="K96" s="326">
        <f t="shared" si="7"/>
        <v>0.7126436575</v>
      </c>
      <c r="L96" s="327">
        <f t="shared" si="4"/>
        <v>6.407474103</v>
      </c>
      <c r="M96" s="321" t="str">
        <f t="shared" si="5"/>
        <v>merlinegalite</v>
      </c>
      <c r="N96" s="209">
        <f>IFERROR(__xludf.DUMMYFUNCTION("""COMPUTED_VALUE"""),4.0)</f>
        <v>4</v>
      </c>
      <c r="O96" s="176"/>
      <c r="P96" s="176"/>
      <c r="Q96" s="176"/>
      <c r="R96" s="176"/>
      <c r="S96" s="176"/>
      <c r="T96" s="176"/>
      <c r="U96" s="176"/>
      <c r="V96" s="176"/>
      <c r="W96" s="176"/>
      <c r="X96" s="176"/>
      <c r="Y96" s="176"/>
      <c r="Z96" s="176"/>
    </row>
    <row r="97">
      <c r="A97" s="249" t="s">
        <v>27</v>
      </c>
      <c r="B97" s="249" t="s">
        <v>519</v>
      </c>
      <c r="C97" s="219" t="s">
        <v>2329</v>
      </c>
      <c r="D97" s="268" t="s">
        <v>495</v>
      </c>
      <c r="E97" s="251">
        <v>44188.0</v>
      </c>
      <c r="F97" s="250" t="s">
        <v>521</v>
      </c>
      <c r="G97" s="171">
        <v>20.0</v>
      </c>
      <c r="H97" s="171">
        <v>25.0</v>
      </c>
      <c r="I97" s="171">
        <v>25.0</v>
      </c>
      <c r="J97" s="325">
        <f t="shared" si="2"/>
        <v>0.001423151902</v>
      </c>
      <c r="K97" s="326">
        <f t="shared" si="7"/>
        <v>0.6166991577</v>
      </c>
      <c r="L97" s="327">
        <f t="shared" si="4"/>
        <v>6.407474103</v>
      </c>
      <c r="M97" s="321" t="str">
        <f t="shared" si="5"/>
        <v>merlinegalite</v>
      </c>
      <c r="N97" s="209">
        <f>IFERROR(__xludf.DUMMYFUNCTION("""COMPUTED_VALUE"""),5.0)</f>
        <v>5</v>
      </c>
      <c r="O97" s="176"/>
      <c r="P97" s="176"/>
      <c r="Q97" s="176"/>
      <c r="R97" s="176"/>
      <c r="S97" s="176"/>
      <c r="T97" s="176"/>
      <c r="U97" s="176"/>
      <c r="V97" s="176"/>
      <c r="W97" s="176"/>
      <c r="X97" s="176"/>
      <c r="Y97" s="176"/>
      <c r="Z97" s="176"/>
    </row>
    <row r="98">
      <c r="A98" s="249" t="s">
        <v>27</v>
      </c>
      <c r="B98" s="249" t="s">
        <v>519</v>
      </c>
      <c r="C98" s="219" t="s">
        <v>3067</v>
      </c>
      <c r="D98" s="268" t="s">
        <v>495</v>
      </c>
      <c r="E98" s="251">
        <v>44188.0</v>
      </c>
      <c r="F98" s="250" t="s">
        <v>499</v>
      </c>
      <c r="G98" s="171">
        <v>20.0</v>
      </c>
      <c r="H98" s="171">
        <v>25.0</v>
      </c>
      <c r="I98" s="171">
        <v>25.0</v>
      </c>
      <c r="J98" s="325">
        <f t="shared" si="2"/>
        <v>0.001423151902</v>
      </c>
      <c r="K98" s="326">
        <f t="shared" si="7"/>
        <v>0.6166991577</v>
      </c>
      <c r="L98" s="327">
        <f t="shared" si="4"/>
        <v>6.407474103</v>
      </c>
      <c r="M98" s="321" t="str">
        <f t="shared" si="5"/>
        <v>merlinegalite</v>
      </c>
      <c r="N98" s="209">
        <f>IFERROR(__xludf.DUMMYFUNCTION("""COMPUTED_VALUE"""),6.0)</f>
        <v>6</v>
      </c>
      <c r="O98" s="176"/>
      <c r="P98" s="176"/>
      <c r="Q98" s="176"/>
      <c r="R98" s="176"/>
      <c r="S98" s="176"/>
      <c r="T98" s="176"/>
      <c r="U98" s="176"/>
      <c r="V98" s="176"/>
      <c r="W98" s="176"/>
      <c r="X98" s="176"/>
      <c r="Y98" s="176"/>
      <c r="Z98" s="176"/>
    </row>
    <row r="99">
      <c r="A99" s="249" t="s">
        <v>27</v>
      </c>
      <c r="B99" s="249" t="s">
        <v>519</v>
      </c>
      <c r="C99" s="219" t="s">
        <v>3100</v>
      </c>
      <c r="D99" s="268" t="s">
        <v>495</v>
      </c>
      <c r="E99" s="251">
        <v>44188.0</v>
      </c>
      <c r="F99" s="250" t="s">
        <v>521</v>
      </c>
      <c r="G99" s="171">
        <v>20.0</v>
      </c>
      <c r="H99" s="171">
        <v>25.0</v>
      </c>
      <c r="I99" s="171">
        <v>25.0</v>
      </c>
      <c r="J99" s="325">
        <f t="shared" si="2"/>
        <v>0.001423151902</v>
      </c>
      <c r="K99" s="326">
        <f t="shared" si="7"/>
        <v>0.6166991577</v>
      </c>
      <c r="L99" s="327">
        <f t="shared" si="4"/>
        <v>6.407474103</v>
      </c>
      <c r="M99" s="321" t="str">
        <f t="shared" si="5"/>
        <v>merlinegalite</v>
      </c>
      <c r="N99" s="209">
        <f>IFERROR(__xludf.DUMMYFUNCTION("""COMPUTED_VALUE"""),7.0)</f>
        <v>7</v>
      </c>
      <c r="O99" s="176"/>
      <c r="P99" s="176"/>
      <c r="Q99" s="176"/>
      <c r="R99" s="176"/>
      <c r="S99" s="176"/>
      <c r="T99" s="176"/>
      <c r="U99" s="176"/>
      <c r="V99" s="176"/>
      <c r="W99" s="176"/>
      <c r="X99" s="176"/>
      <c r="Y99" s="176"/>
      <c r="Z99" s="176"/>
    </row>
    <row r="100">
      <c r="A100" s="249" t="s">
        <v>27</v>
      </c>
      <c r="B100" s="249" t="s">
        <v>519</v>
      </c>
      <c r="C100" s="219" t="s">
        <v>3102</v>
      </c>
      <c r="D100" s="268" t="s">
        <v>495</v>
      </c>
      <c r="E100" s="251">
        <v>44195.0</v>
      </c>
      <c r="F100" s="250" t="s">
        <v>521</v>
      </c>
      <c r="G100" s="171">
        <v>20.0</v>
      </c>
      <c r="H100" s="171">
        <v>25.0</v>
      </c>
      <c r="I100" s="171">
        <v>25.0</v>
      </c>
      <c r="J100" s="325">
        <f t="shared" si="2"/>
        <v>0.001423151902</v>
      </c>
      <c r="K100" s="326">
        <f t="shared" si="7"/>
        <v>0.6166991577</v>
      </c>
      <c r="L100" s="327">
        <f t="shared" si="4"/>
        <v>6.407474103</v>
      </c>
      <c r="M100" s="321" t="str">
        <f t="shared" si="5"/>
        <v>merlinegalite</v>
      </c>
      <c r="N100" s="209">
        <f>IFERROR(__xludf.DUMMYFUNCTION("""COMPUTED_VALUE"""),8.0)</f>
        <v>8</v>
      </c>
      <c r="O100" s="176"/>
      <c r="P100" s="176"/>
      <c r="Q100" s="176"/>
      <c r="R100" s="176"/>
      <c r="S100" s="176"/>
      <c r="T100" s="176"/>
      <c r="U100" s="176"/>
      <c r="V100" s="176"/>
      <c r="W100" s="176"/>
      <c r="X100" s="176"/>
      <c r="Y100" s="176"/>
      <c r="Z100" s="176"/>
    </row>
    <row r="101">
      <c r="A101" s="249" t="s">
        <v>26</v>
      </c>
      <c r="B101" s="249" t="s">
        <v>519</v>
      </c>
      <c r="C101" s="219" t="s">
        <v>3103</v>
      </c>
      <c r="D101" s="268" t="s">
        <v>495</v>
      </c>
      <c r="E101" s="251">
        <v>44188.0</v>
      </c>
      <c r="F101" s="250" t="s">
        <v>521</v>
      </c>
      <c r="G101" s="171">
        <v>100.0</v>
      </c>
      <c r="H101" s="171">
        <v>150.0</v>
      </c>
      <c r="I101" s="171">
        <v>100.0</v>
      </c>
      <c r="J101" s="325">
        <f t="shared" si="2"/>
        <v>0.00713823624</v>
      </c>
      <c r="K101" s="326">
        <f t="shared" si="7"/>
        <v>3.093235704</v>
      </c>
      <c r="L101" s="327">
        <f t="shared" si="4"/>
        <v>6.23825547</v>
      </c>
      <c r="M101" s="321" t="str">
        <f t="shared" si="5"/>
        <v>sgonzt</v>
      </c>
      <c r="N101" s="209">
        <f>IFERROR(__xludf.DUMMYFUNCTION("""COMPUTED_VALUE"""),1.0)</f>
        <v>1</v>
      </c>
      <c r="O101" s="176"/>
      <c r="P101" s="176"/>
      <c r="Q101" s="176"/>
      <c r="R101" s="176"/>
      <c r="S101" s="176"/>
      <c r="T101" s="176"/>
      <c r="U101" s="176"/>
      <c r="V101" s="176"/>
      <c r="W101" s="176"/>
      <c r="X101" s="176"/>
      <c r="Y101" s="176"/>
      <c r="Z101" s="176"/>
    </row>
    <row r="102">
      <c r="A102" s="249" t="s">
        <v>26</v>
      </c>
      <c r="B102" s="249" t="s">
        <v>519</v>
      </c>
      <c r="C102" s="219" t="s">
        <v>3098</v>
      </c>
      <c r="D102" s="268" t="s">
        <v>495</v>
      </c>
      <c r="E102" s="251">
        <v>44188.0</v>
      </c>
      <c r="F102" s="250" t="s">
        <v>521</v>
      </c>
      <c r="G102" s="171">
        <v>40.0</v>
      </c>
      <c r="H102" s="171">
        <v>35.0</v>
      </c>
      <c r="I102" s="171">
        <v>40.0</v>
      </c>
      <c r="J102" s="325">
        <f t="shared" si="2"/>
        <v>0.002353890565</v>
      </c>
      <c r="K102" s="326">
        <f t="shared" si="7"/>
        <v>1.020019245</v>
      </c>
      <c r="L102" s="327">
        <f t="shared" si="4"/>
        <v>6.23825547</v>
      </c>
      <c r="M102" s="321" t="str">
        <f t="shared" si="5"/>
        <v>sgonzt</v>
      </c>
      <c r="N102" s="209">
        <f>IFERROR(__xludf.DUMMYFUNCTION("""COMPUTED_VALUE"""),2.0)</f>
        <v>2</v>
      </c>
      <c r="O102" s="176"/>
      <c r="P102" s="176"/>
      <c r="Q102" s="176"/>
      <c r="R102" s="176"/>
      <c r="S102" s="176"/>
      <c r="T102" s="176"/>
      <c r="U102" s="176"/>
      <c r="V102" s="176"/>
      <c r="W102" s="176"/>
      <c r="X102" s="176"/>
      <c r="Y102" s="176"/>
      <c r="Z102" s="176"/>
    </row>
    <row r="103">
      <c r="A103" s="249" t="s">
        <v>26</v>
      </c>
      <c r="B103" s="249" t="s">
        <v>519</v>
      </c>
      <c r="C103" s="219" t="s">
        <v>3099</v>
      </c>
      <c r="D103" s="268" t="s">
        <v>495</v>
      </c>
      <c r="E103" s="251">
        <v>44188.0</v>
      </c>
      <c r="F103" s="250" t="s">
        <v>521</v>
      </c>
      <c r="G103" s="171">
        <v>30.0</v>
      </c>
      <c r="H103" s="171">
        <v>25.0</v>
      </c>
      <c r="I103" s="171">
        <v>35.0</v>
      </c>
      <c r="J103" s="325">
        <f t="shared" si="2"/>
        <v>0.001836133168</v>
      </c>
      <c r="K103" s="326">
        <f t="shared" si="7"/>
        <v>0.795657706</v>
      </c>
      <c r="L103" s="327">
        <f t="shared" si="4"/>
        <v>6.23825547</v>
      </c>
      <c r="M103" s="321" t="str">
        <f t="shared" si="5"/>
        <v>sgonzt</v>
      </c>
      <c r="N103" s="209">
        <f>IFERROR(__xludf.DUMMYFUNCTION("""COMPUTED_VALUE"""),3.0)</f>
        <v>3</v>
      </c>
      <c r="O103" s="176"/>
      <c r="P103" s="176"/>
      <c r="Q103" s="176"/>
      <c r="R103" s="176"/>
      <c r="S103" s="176"/>
      <c r="T103" s="176"/>
      <c r="U103" s="176"/>
      <c r="V103" s="176"/>
      <c r="W103" s="176"/>
      <c r="X103" s="176"/>
      <c r="Y103" s="176"/>
      <c r="Z103" s="176"/>
    </row>
    <row r="104">
      <c r="A104" s="249" t="s">
        <v>26</v>
      </c>
      <c r="B104" s="249" t="s">
        <v>10</v>
      </c>
      <c r="C104" s="219" t="s">
        <v>3066</v>
      </c>
      <c r="D104" s="268" t="s">
        <v>495</v>
      </c>
      <c r="E104" s="251">
        <v>44192.0</v>
      </c>
      <c r="F104" s="250" t="s">
        <v>496</v>
      </c>
      <c r="G104" s="171">
        <v>30.0</v>
      </c>
      <c r="H104" s="171">
        <v>25.0</v>
      </c>
      <c r="I104" s="171">
        <v>25.0</v>
      </c>
      <c r="J104" s="325">
        <f t="shared" si="2"/>
        <v>0.001644562287</v>
      </c>
      <c r="K104" s="326">
        <f t="shared" si="7"/>
        <v>0.7126436575</v>
      </c>
      <c r="L104" s="327">
        <f t="shared" si="4"/>
        <v>6.23825547</v>
      </c>
      <c r="M104" s="321" t="str">
        <f t="shared" si="5"/>
        <v>sgonzt</v>
      </c>
      <c r="N104" s="209">
        <f>IFERROR(__xludf.DUMMYFUNCTION("""COMPUTED_VALUE"""),4.0)</f>
        <v>4</v>
      </c>
      <c r="O104" s="176"/>
      <c r="P104" s="176"/>
      <c r="Q104" s="176"/>
      <c r="R104" s="176"/>
      <c r="S104" s="176"/>
      <c r="T104" s="176"/>
      <c r="U104" s="176"/>
      <c r="V104" s="176"/>
      <c r="W104" s="176"/>
      <c r="X104" s="176"/>
      <c r="Y104" s="176"/>
      <c r="Z104" s="176"/>
    </row>
    <row r="105">
      <c r="A105" s="249" t="s">
        <v>26</v>
      </c>
      <c r="B105" s="249" t="s">
        <v>519</v>
      </c>
      <c r="C105" s="219" t="s">
        <v>3100</v>
      </c>
      <c r="D105" s="268" t="s">
        <v>495</v>
      </c>
      <c r="E105" s="251">
        <v>44188.0</v>
      </c>
      <c r="F105" s="250" t="s">
        <v>521</v>
      </c>
      <c r="G105" s="171">
        <v>20.0</v>
      </c>
      <c r="H105" s="171">
        <v>25.0</v>
      </c>
      <c r="I105" s="171">
        <v>25.0</v>
      </c>
      <c r="J105" s="325">
        <f t="shared" si="2"/>
        <v>0.001423151902</v>
      </c>
      <c r="K105" s="326">
        <f t="shared" si="7"/>
        <v>0.6166991577</v>
      </c>
      <c r="L105" s="327">
        <f t="shared" si="4"/>
        <v>6.23825547</v>
      </c>
      <c r="M105" s="321" t="str">
        <f t="shared" si="5"/>
        <v>sgonzt</v>
      </c>
      <c r="N105" s="209">
        <f>IFERROR(__xludf.DUMMYFUNCTION("""COMPUTED_VALUE"""),5.0)</f>
        <v>5</v>
      </c>
      <c r="O105" s="176"/>
      <c r="P105" s="176"/>
      <c r="Q105" s="176"/>
      <c r="R105" s="176"/>
      <c r="S105" s="176"/>
      <c r="T105" s="176"/>
      <c r="U105" s="176"/>
      <c r="V105" s="176"/>
      <c r="W105" s="176"/>
      <c r="X105" s="176"/>
      <c r="Y105" s="176"/>
      <c r="Z105" s="176"/>
    </row>
    <row r="106">
      <c r="A106" s="249" t="s">
        <v>26</v>
      </c>
      <c r="B106" s="249" t="s">
        <v>50</v>
      </c>
      <c r="C106" s="219" t="s">
        <v>3104</v>
      </c>
      <c r="D106" s="268" t="s">
        <v>495</v>
      </c>
      <c r="E106" s="251">
        <v>44188.0</v>
      </c>
      <c r="F106" s="221" t="s">
        <v>2912</v>
      </c>
      <c r="G106" s="222">
        <v>0.0</v>
      </c>
      <c r="H106" s="222">
        <v>0.0</v>
      </c>
      <c r="I106" s="222">
        <v>0.0</v>
      </c>
      <c r="J106" s="325">
        <f t="shared" si="2"/>
        <v>0</v>
      </c>
      <c r="K106" s="326">
        <f t="shared" si="7"/>
        <v>0</v>
      </c>
      <c r="L106" s="327">
        <f t="shared" si="4"/>
        <v>6.23825547</v>
      </c>
      <c r="M106" s="321" t="str">
        <f t="shared" si="5"/>
        <v>sgonzt</v>
      </c>
      <c r="N106" s="209">
        <f>IFERROR(__xludf.DUMMYFUNCTION("""COMPUTED_VALUE"""),6.0)</f>
        <v>6</v>
      </c>
      <c r="O106" s="176"/>
      <c r="P106" s="176"/>
      <c r="Q106" s="176"/>
      <c r="R106" s="176"/>
      <c r="S106" s="176"/>
      <c r="T106" s="176"/>
      <c r="U106" s="176"/>
      <c r="V106" s="176"/>
      <c r="W106" s="176"/>
      <c r="X106" s="176"/>
      <c r="Y106" s="176"/>
      <c r="Z106" s="176"/>
    </row>
    <row r="107">
      <c r="A107" s="249" t="s">
        <v>11</v>
      </c>
      <c r="B107" s="249" t="s">
        <v>10</v>
      </c>
      <c r="C107" s="219" t="s">
        <v>3105</v>
      </c>
      <c r="D107" s="268" t="s">
        <v>495</v>
      </c>
      <c r="E107" s="251">
        <v>44192.0</v>
      </c>
      <c r="F107" s="250" t="s">
        <v>496</v>
      </c>
      <c r="G107" s="171">
        <v>150.0</v>
      </c>
      <c r="H107" s="171">
        <v>200.0</v>
      </c>
      <c r="I107" s="171">
        <v>200.0</v>
      </c>
      <c r="J107" s="325">
        <f t="shared" si="2"/>
        <v>0.01116380483</v>
      </c>
      <c r="K107" s="326">
        <f t="shared" si="7"/>
        <v>4.837648762</v>
      </c>
      <c r="L107" s="327">
        <f t="shared" si="4"/>
        <v>6.021290811</v>
      </c>
      <c r="M107" s="321" t="str">
        <f t="shared" si="5"/>
        <v>mateodaza</v>
      </c>
      <c r="N107" s="209">
        <f>IFERROR(__xludf.DUMMYFUNCTION("""COMPUTED_VALUE"""),1.0)</f>
        <v>1</v>
      </c>
      <c r="O107" s="176"/>
      <c r="P107" s="176"/>
      <c r="Q107" s="176"/>
      <c r="R107" s="176"/>
      <c r="S107" s="176"/>
      <c r="T107" s="176"/>
      <c r="U107" s="176"/>
      <c r="V107" s="176"/>
      <c r="W107" s="176"/>
      <c r="X107" s="176"/>
      <c r="Y107" s="176"/>
      <c r="Z107" s="176"/>
    </row>
    <row r="108">
      <c r="A108" s="249" t="s">
        <v>11</v>
      </c>
      <c r="B108" s="249" t="s">
        <v>1231</v>
      </c>
      <c r="C108" s="219" t="s">
        <v>3106</v>
      </c>
      <c r="D108" s="268" t="s">
        <v>495</v>
      </c>
      <c r="E108" s="251">
        <v>44184.0</v>
      </c>
      <c r="F108" s="250" t="s">
        <v>496</v>
      </c>
      <c r="G108" s="171">
        <v>140.0</v>
      </c>
      <c r="H108" s="171">
        <v>100.0</v>
      </c>
      <c r="I108" s="171">
        <v>150.0</v>
      </c>
      <c r="J108" s="325">
        <f t="shared" si="2"/>
        <v>0.00797892432</v>
      </c>
      <c r="K108" s="326">
        <f t="shared" si="7"/>
        <v>3.457533872</v>
      </c>
      <c r="L108" s="327">
        <f t="shared" si="4"/>
        <v>6.021290811</v>
      </c>
      <c r="M108" s="321" t="str">
        <f t="shared" si="5"/>
        <v>mateodaza</v>
      </c>
      <c r="N108" s="209">
        <f>IFERROR(__xludf.DUMMYFUNCTION("""COMPUTED_VALUE"""),2.0)</f>
        <v>2</v>
      </c>
      <c r="O108" s="176"/>
      <c r="P108" s="176"/>
      <c r="Q108" s="176"/>
      <c r="R108" s="176"/>
      <c r="S108" s="176"/>
      <c r="T108" s="176"/>
      <c r="U108" s="176"/>
      <c r="V108" s="176"/>
      <c r="W108" s="176"/>
      <c r="X108" s="176"/>
      <c r="Y108" s="176"/>
      <c r="Z108" s="176"/>
    </row>
    <row r="109">
      <c r="A109" s="249" t="s">
        <v>11</v>
      </c>
      <c r="B109" s="249" t="s">
        <v>10</v>
      </c>
      <c r="C109" s="219" t="s">
        <v>3065</v>
      </c>
      <c r="D109" s="268" t="s">
        <v>495</v>
      </c>
      <c r="E109" s="251">
        <v>44192.0</v>
      </c>
      <c r="F109" s="250" t="s">
        <v>496</v>
      </c>
      <c r="G109" s="171">
        <v>30.0</v>
      </c>
      <c r="H109" s="171">
        <v>25.0</v>
      </c>
      <c r="I109" s="171">
        <v>50.0</v>
      </c>
      <c r="J109" s="325">
        <f t="shared" si="2"/>
        <v>0.00212348949</v>
      </c>
      <c r="K109" s="326">
        <f t="shared" si="7"/>
        <v>0.9201787788</v>
      </c>
      <c r="L109" s="327">
        <f t="shared" si="4"/>
        <v>6.021290811</v>
      </c>
      <c r="M109" s="321" t="str">
        <f t="shared" si="5"/>
        <v>mateodaza</v>
      </c>
      <c r="N109" s="209">
        <f>IFERROR(__xludf.DUMMYFUNCTION("""COMPUTED_VALUE"""),3.0)</f>
        <v>3</v>
      </c>
      <c r="O109" s="176"/>
      <c r="P109" s="176"/>
      <c r="Q109" s="176"/>
      <c r="R109" s="176"/>
      <c r="S109" s="176"/>
      <c r="T109" s="176"/>
      <c r="U109" s="176"/>
      <c r="V109" s="176"/>
      <c r="W109" s="176"/>
      <c r="X109" s="176"/>
      <c r="Y109" s="176"/>
      <c r="Z109" s="176"/>
    </row>
    <row r="110">
      <c r="A110" s="249" t="s">
        <v>11</v>
      </c>
      <c r="B110" s="249" t="s">
        <v>25</v>
      </c>
      <c r="C110" s="219" t="s">
        <v>3076</v>
      </c>
      <c r="D110" s="268" t="s">
        <v>495</v>
      </c>
      <c r="E110" s="251">
        <v>44188.0</v>
      </c>
      <c r="F110" s="250" t="s">
        <v>496</v>
      </c>
      <c r="G110" s="171">
        <v>20.0</v>
      </c>
      <c r="H110" s="171">
        <v>25.0</v>
      </c>
      <c r="I110" s="171">
        <v>40.0</v>
      </c>
      <c r="J110" s="325">
        <f t="shared" si="2"/>
        <v>0.001710508224</v>
      </c>
      <c r="K110" s="326">
        <f t="shared" si="7"/>
        <v>0.7412202305</v>
      </c>
      <c r="L110" s="327">
        <f t="shared" si="4"/>
        <v>6.021290811</v>
      </c>
      <c r="M110" s="321" t="str">
        <f t="shared" si="5"/>
        <v>mateodaza</v>
      </c>
      <c r="N110" s="209">
        <f>IFERROR(__xludf.DUMMYFUNCTION("""COMPUTED_VALUE"""),4.0)</f>
        <v>4</v>
      </c>
      <c r="O110" s="176"/>
      <c r="P110" s="176"/>
      <c r="Q110" s="176"/>
      <c r="R110" s="176"/>
      <c r="S110" s="176"/>
      <c r="T110" s="176"/>
      <c r="U110" s="176"/>
      <c r="V110" s="176"/>
      <c r="W110" s="176"/>
      <c r="X110" s="176"/>
      <c r="Y110" s="176"/>
      <c r="Z110" s="176"/>
    </row>
    <row r="111">
      <c r="A111" s="249" t="s">
        <v>11</v>
      </c>
      <c r="B111" s="249" t="s">
        <v>519</v>
      </c>
      <c r="C111" s="219" t="s">
        <v>3067</v>
      </c>
      <c r="D111" s="268" t="s">
        <v>495</v>
      </c>
      <c r="E111" s="251">
        <v>44188.0</v>
      </c>
      <c r="F111" s="250" t="s">
        <v>499</v>
      </c>
      <c r="G111" s="171">
        <v>20.0</v>
      </c>
      <c r="H111" s="171">
        <v>25.0</v>
      </c>
      <c r="I111" s="171">
        <v>25.0</v>
      </c>
      <c r="J111" s="325">
        <f t="shared" si="2"/>
        <v>0.001423151902</v>
      </c>
      <c r="K111" s="326">
        <f t="shared" si="7"/>
        <v>0.6166991577</v>
      </c>
      <c r="L111" s="327">
        <f t="shared" si="4"/>
        <v>6.021290811</v>
      </c>
      <c r="M111" s="321" t="str">
        <f t="shared" si="5"/>
        <v>mateodaza</v>
      </c>
      <c r="N111" s="209">
        <f>IFERROR(__xludf.DUMMYFUNCTION("""COMPUTED_VALUE"""),5.0)</f>
        <v>5</v>
      </c>
      <c r="O111" s="176"/>
      <c r="P111" s="176"/>
      <c r="Q111" s="176"/>
      <c r="R111" s="176"/>
      <c r="S111" s="176"/>
      <c r="T111" s="176"/>
      <c r="U111" s="176"/>
      <c r="V111" s="176"/>
      <c r="W111" s="176"/>
      <c r="X111" s="176"/>
      <c r="Y111" s="176"/>
      <c r="Z111" s="176"/>
    </row>
    <row r="112">
      <c r="A112" s="249" t="s">
        <v>11</v>
      </c>
      <c r="B112" s="249" t="s">
        <v>18</v>
      </c>
      <c r="C112" s="219" t="s">
        <v>3077</v>
      </c>
      <c r="D112" s="268" t="s">
        <v>495</v>
      </c>
      <c r="E112" s="251">
        <v>44193.0</v>
      </c>
      <c r="F112" s="250" t="s">
        <v>496</v>
      </c>
      <c r="G112" s="171">
        <v>20.0</v>
      </c>
      <c r="H112" s="171">
        <v>25.0</v>
      </c>
      <c r="I112" s="171">
        <v>50.0</v>
      </c>
      <c r="J112" s="325">
        <f t="shared" si="2"/>
        <v>0.001902079105</v>
      </c>
      <c r="K112" s="326">
        <f t="shared" si="7"/>
        <v>0.824234279</v>
      </c>
      <c r="L112" s="327">
        <f t="shared" si="4"/>
        <v>6.021290811</v>
      </c>
      <c r="M112" s="321" t="str">
        <f t="shared" si="5"/>
        <v>mateodaza</v>
      </c>
      <c r="N112" s="209">
        <f>IFERROR(__xludf.DUMMYFUNCTION("""COMPUTED_VALUE"""),6.0)</f>
        <v>6</v>
      </c>
      <c r="O112" s="176"/>
      <c r="P112" s="176"/>
      <c r="Q112" s="176"/>
      <c r="R112" s="176"/>
      <c r="S112" s="176"/>
      <c r="T112" s="176"/>
      <c r="U112" s="176"/>
      <c r="V112" s="176"/>
      <c r="W112" s="176"/>
      <c r="X112" s="176"/>
      <c r="Y112" s="176"/>
      <c r="Z112" s="176"/>
    </row>
    <row r="113">
      <c r="A113" s="249" t="s">
        <v>11</v>
      </c>
      <c r="B113" s="249" t="s">
        <v>590</v>
      </c>
      <c r="C113" s="219" t="s">
        <v>3078</v>
      </c>
      <c r="D113" s="268" t="s">
        <v>495</v>
      </c>
      <c r="E113" s="251">
        <v>44187.0</v>
      </c>
      <c r="F113" s="250" t="s">
        <v>496</v>
      </c>
      <c r="G113" s="171">
        <v>10.0</v>
      </c>
      <c r="H113" s="171">
        <v>25.0</v>
      </c>
      <c r="I113" s="171">
        <v>40.0</v>
      </c>
      <c r="J113" s="325">
        <f t="shared" si="2"/>
        <v>0.00148909784</v>
      </c>
      <c r="K113" s="326">
        <f t="shared" si="7"/>
        <v>0.6452757307</v>
      </c>
      <c r="L113" s="327">
        <f t="shared" si="4"/>
        <v>6.021290811</v>
      </c>
      <c r="M113" s="321" t="str">
        <f t="shared" si="5"/>
        <v>mateodaza</v>
      </c>
      <c r="N113" s="209">
        <f>IFERROR(__xludf.DUMMYFUNCTION("""COMPUTED_VALUE"""),7.0)</f>
        <v>7</v>
      </c>
      <c r="O113" s="176"/>
      <c r="P113" s="176"/>
      <c r="Q113" s="176"/>
      <c r="R113" s="176"/>
      <c r="S113" s="176"/>
      <c r="T113" s="176"/>
      <c r="U113" s="176"/>
      <c r="V113" s="176"/>
      <c r="W113" s="176"/>
      <c r="X113" s="176"/>
      <c r="Y113" s="176"/>
      <c r="Z113" s="176"/>
    </row>
    <row r="114">
      <c r="A114" s="249" t="s">
        <v>11</v>
      </c>
      <c r="B114" s="249" t="s">
        <v>1231</v>
      </c>
      <c r="C114" s="219" t="s">
        <v>3106</v>
      </c>
      <c r="D114" s="268" t="s">
        <v>495</v>
      </c>
      <c r="E114" s="251">
        <v>44184.0</v>
      </c>
      <c r="F114" s="256" t="s">
        <v>2912</v>
      </c>
      <c r="G114" s="363">
        <v>0.0</v>
      </c>
      <c r="H114" s="363">
        <v>0.0</v>
      </c>
      <c r="I114" s="363">
        <v>0.0</v>
      </c>
      <c r="J114" s="325">
        <f t="shared" si="2"/>
        <v>0</v>
      </c>
      <c r="K114" s="326">
        <f t="shared" si="7"/>
        <v>0</v>
      </c>
      <c r="L114" s="327">
        <f t="shared" si="4"/>
        <v>6.021290811</v>
      </c>
      <c r="M114" s="321" t="str">
        <f t="shared" si="5"/>
        <v>mateodaza</v>
      </c>
      <c r="N114" s="209">
        <f>IFERROR(__xludf.DUMMYFUNCTION("""COMPUTED_VALUE"""),8.0)</f>
        <v>8</v>
      </c>
      <c r="O114" s="176"/>
      <c r="P114" s="176"/>
      <c r="Q114" s="176"/>
      <c r="R114" s="176"/>
      <c r="S114" s="176"/>
      <c r="T114" s="176"/>
      <c r="U114" s="176"/>
      <c r="V114" s="176"/>
      <c r="W114" s="176"/>
      <c r="X114" s="176"/>
      <c r="Y114" s="176"/>
      <c r="Z114" s="176"/>
    </row>
    <row r="115">
      <c r="A115" s="249" t="s">
        <v>11</v>
      </c>
      <c r="B115" s="249" t="s">
        <v>1231</v>
      </c>
      <c r="C115" s="219" t="s">
        <v>3106</v>
      </c>
      <c r="D115" s="268" t="s">
        <v>495</v>
      </c>
      <c r="E115" s="251">
        <v>44184.0</v>
      </c>
      <c r="F115" s="254" t="s">
        <v>2912</v>
      </c>
      <c r="G115" s="363">
        <v>0.0</v>
      </c>
      <c r="H115" s="363">
        <v>0.0</v>
      </c>
      <c r="I115" s="363">
        <v>0.0</v>
      </c>
      <c r="J115" s="325">
        <f t="shared" si="2"/>
        <v>0</v>
      </c>
      <c r="K115" s="326">
        <f t="shared" si="7"/>
        <v>0</v>
      </c>
      <c r="L115" s="327">
        <f t="shared" si="4"/>
        <v>6.021290811</v>
      </c>
      <c r="M115" s="321" t="str">
        <f t="shared" si="5"/>
        <v>mateodaza</v>
      </c>
      <c r="N115" s="209">
        <f>IFERROR(__xludf.DUMMYFUNCTION("""COMPUTED_VALUE"""),9.0)</f>
        <v>9</v>
      </c>
      <c r="O115" s="176"/>
      <c r="P115" s="176"/>
      <c r="Q115" s="176"/>
      <c r="R115" s="176"/>
      <c r="S115" s="176"/>
      <c r="T115" s="176"/>
      <c r="U115" s="176"/>
      <c r="V115" s="176"/>
      <c r="W115" s="176"/>
      <c r="X115" s="176"/>
      <c r="Y115" s="176"/>
      <c r="Z115" s="176"/>
    </row>
    <row r="116">
      <c r="A116" s="249" t="s">
        <v>11</v>
      </c>
      <c r="B116" s="249" t="s">
        <v>1231</v>
      </c>
      <c r="C116" s="219" t="s">
        <v>3106</v>
      </c>
      <c r="D116" s="268" t="s">
        <v>495</v>
      </c>
      <c r="E116" s="251">
        <v>44184.0</v>
      </c>
      <c r="F116" s="254" t="s">
        <v>2912</v>
      </c>
      <c r="G116" s="363">
        <v>0.0</v>
      </c>
      <c r="H116" s="363">
        <v>0.0</v>
      </c>
      <c r="I116" s="363">
        <v>0.0</v>
      </c>
      <c r="J116" s="325">
        <f t="shared" si="2"/>
        <v>0</v>
      </c>
      <c r="K116" s="326">
        <f t="shared" si="7"/>
        <v>0</v>
      </c>
      <c r="L116" s="327">
        <f t="shared" si="4"/>
        <v>6.021290811</v>
      </c>
      <c r="M116" s="321" t="str">
        <f t="shared" si="5"/>
        <v>mateodaza</v>
      </c>
      <c r="N116" s="209">
        <f>IFERROR(__xludf.DUMMYFUNCTION("""COMPUTED_VALUE"""),10.0)</f>
        <v>10</v>
      </c>
      <c r="O116" s="176"/>
      <c r="P116" s="176"/>
      <c r="Q116" s="176"/>
      <c r="R116" s="176"/>
      <c r="S116" s="176"/>
      <c r="T116" s="176"/>
      <c r="U116" s="176"/>
      <c r="V116" s="176"/>
      <c r="W116" s="176"/>
      <c r="X116" s="176"/>
      <c r="Y116" s="176"/>
      <c r="Z116" s="176"/>
    </row>
    <row r="117">
      <c r="A117" s="240" t="s">
        <v>11</v>
      </c>
      <c r="B117" s="240" t="s">
        <v>534</v>
      </c>
      <c r="C117" s="221" t="s">
        <v>839</v>
      </c>
      <c r="D117" s="336"/>
      <c r="E117" s="255"/>
      <c r="F117" s="254"/>
      <c r="G117" s="222"/>
      <c r="H117" s="222"/>
      <c r="I117" s="222"/>
      <c r="J117" s="325">
        <f t="shared" si="2"/>
        <v>0</v>
      </c>
      <c r="K117" s="337">
        <f>12.043*-0.5</f>
        <v>-6.0215</v>
      </c>
      <c r="L117" s="327">
        <f t="shared" si="4"/>
        <v>6.021290811</v>
      </c>
      <c r="M117" s="321" t="str">
        <f t="shared" si="5"/>
        <v>mateodaza</v>
      </c>
      <c r="N117" s="209">
        <f>IFERROR(__xludf.DUMMYFUNCTION("""COMPUTED_VALUE"""),11.0)</f>
        <v>11</v>
      </c>
      <c r="O117" s="209"/>
      <c r="P117" s="209"/>
      <c r="Q117" s="209"/>
      <c r="R117" s="209">
        <v>18.802169413641863</v>
      </c>
      <c r="S117" s="209"/>
      <c r="T117" s="209"/>
      <c r="U117" s="209"/>
      <c r="V117" s="209"/>
      <c r="W117" s="209"/>
      <c r="X117" s="209"/>
      <c r="Y117" s="176"/>
      <c r="Z117" s="176"/>
    </row>
    <row r="118">
      <c r="A118" s="249" t="s">
        <v>8</v>
      </c>
      <c r="B118" s="249" t="s">
        <v>1231</v>
      </c>
      <c r="C118" s="219" t="s">
        <v>3107</v>
      </c>
      <c r="D118" s="268" t="s">
        <v>495</v>
      </c>
      <c r="E118" s="251">
        <v>44184.0</v>
      </c>
      <c r="F118" s="250" t="s">
        <v>496</v>
      </c>
      <c r="G118" s="171">
        <v>200.0</v>
      </c>
      <c r="H118" s="171">
        <v>100.0</v>
      </c>
      <c r="I118" s="171">
        <v>150.0</v>
      </c>
      <c r="J118" s="325">
        <f t="shared" si="2"/>
        <v>0.009307386625</v>
      </c>
      <c r="K118" s="326">
        <f t="shared" ref="K118:K133" si="8">J118*$J$1</f>
        <v>4.033200871</v>
      </c>
      <c r="L118" s="327">
        <f t="shared" si="4"/>
        <v>5.630981509</v>
      </c>
      <c r="M118" s="321" t="str">
        <f t="shared" si="5"/>
        <v>solsista</v>
      </c>
      <c r="N118" s="209">
        <f>IFERROR(__xludf.DUMMYFUNCTION("""COMPUTED_VALUE"""),1.0)</f>
        <v>1</v>
      </c>
      <c r="O118" s="176"/>
      <c r="P118" s="176"/>
      <c r="Q118" s="176"/>
      <c r="R118" s="176"/>
      <c r="S118" s="176"/>
      <c r="T118" s="176"/>
      <c r="U118" s="176"/>
      <c r="V118" s="176"/>
      <c r="W118" s="176"/>
      <c r="X118" s="176"/>
      <c r="Y118" s="176"/>
      <c r="Z118" s="176"/>
    </row>
    <row r="119">
      <c r="A119" s="249" t="s">
        <v>8</v>
      </c>
      <c r="B119" s="249" t="s">
        <v>590</v>
      </c>
      <c r="C119" s="219" t="s">
        <v>3108</v>
      </c>
      <c r="D119" s="268" t="s">
        <v>495</v>
      </c>
      <c r="E119" s="251">
        <v>44195.0</v>
      </c>
      <c r="F119" s="250" t="s">
        <v>496</v>
      </c>
      <c r="G119" s="171">
        <v>45.0</v>
      </c>
      <c r="H119" s="171">
        <v>25.0</v>
      </c>
      <c r="I119" s="171">
        <v>40.0</v>
      </c>
      <c r="J119" s="325">
        <f t="shared" si="2"/>
        <v>0.002264034185</v>
      </c>
      <c r="K119" s="326">
        <f t="shared" si="8"/>
        <v>0.98108148</v>
      </c>
      <c r="L119" s="327">
        <f t="shared" si="4"/>
        <v>5.630981509</v>
      </c>
      <c r="M119" s="321" t="str">
        <f t="shared" si="5"/>
        <v>solsista</v>
      </c>
      <c r="N119" s="209">
        <f>IFERROR(__xludf.DUMMYFUNCTION("""COMPUTED_VALUE"""),2.0)</f>
        <v>2</v>
      </c>
      <c r="O119" s="176"/>
      <c r="P119" s="176"/>
      <c r="Q119" s="176"/>
      <c r="R119" s="176"/>
      <c r="S119" s="176"/>
      <c r="T119" s="176"/>
      <c r="U119" s="176"/>
      <c r="V119" s="176"/>
      <c r="W119" s="176"/>
      <c r="X119" s="176"/>
      <c r="Y119" s="176"/>
      <c r="Z119" s="176"/>
    </row>
    <row r="120">
      <c r="A120" s="249" t="s">
        <v>8</v>
      </c>
      <c r="B120" s="249" t="s">
        <v>519</v>
      </c>
      <c r="C120" s="219" t="s">
        <v>3067</v>
      </c>
      <c r="D120" s="268" t="s">
        <v>495</v>
      </c>
      <c r="E120" s="251">
        <v>44188.0</v>
      </c>
      <c r="F120" s="250" t="s">
        <v>499</v>
      </c>
      <c r="G120" s="171">
        <v>20.0</v>
      </c>
      <c r="H120" s="171">
        <v>25.0</v>
      </c>
      <c r="I120" s="171">
        <v>25.0</v>
      </c>
      <c r="J120" s="325">
        <f t="shared" si="2"/>
        <v>0.001423151902</v>
      </c>
      <c r="K120" s="326">
        <f t="shared" si="8"/>
        <v>0.6166991577</v>
      </c>
      <c r="L120" s="327">
        <f t="shared" si="4"/>
        <v>5.630981509</v>
      </c>
      <c r="M120" s="321" t="str">
        <f t="shared" si="5"/>
        <v>solsista</v>
      </c>
      <c r="N120" s="209">
        <f>IFERROR(__xludf.DUMMYFUNCTION("""COMPUTED_VALUE"""),3.0)</f>
        <v>3</v>
      </c>
      <c r="O120" s="176"/>
      <c r="P120" s="176"/>
      <c r="Q120" s="176"/>
      <c r="R120" s="176"/>
      <c r="S120" s="176"/>
      <c r="T120" s="176"/>
      <c r="U120" s="176"/>
      <c r="V120" s="176"/>
      <c r="W120" s="176"/>
      <c r="X120" s="176"/>
      <c r="Y120" s="176"/>
      <c r="Z120" s="176"/>
    </row>
    <row r="121">
      <c r="A121" s="249" t="s">
        <v>8</v>
      </c>
      <c r="B121" s="249" t="s">
        <v>1231</v>
      </c>
      <c r="C121" s="219" t="s">
        <v>3107</v>
      </c>
      <c r="D121" s="268" t="s">
        <v>495</v>
      </c>
      <c r="E121" s="251">
        <v>44184.0</v>
      </c>
      <c r="F121" s="254" t="s">
        <v>2912</v>
      </c>
      <c r="G121" s="363">
        <v>0.0</v>
      </c>
      <c r="H121" s="363">
        <v>0.0</v>
      </c>
      <c r="I121" s="363">
        <v>0.0</v>
      </c>
      <c r="J121" s="325">
        <f t="shared" si="2"/>
        <v>0</v>
      </c>
      <c r="K121" s="326">
        <f t="shared" si="8"/>
        <v>0</v>
      </c>
      <c r="L121" s="327">
        <f t="shared" si="4"/>
        <v>5.630981509</v>
      </c>
      <c r="M121" s="321" t="str">
        <f t="shared" si="5"/>
        <v>solsista</v>
      </c>
      <c r="N121" s="209">
        <f>IFERROR(__xludf.DUMMYFUNCTION("""COMPUTED_VALUE"""),4.0)</f>
        <v>4</v>
      </c>
      <c r="O121" s="176"/>
      <c r="P121" s="176"/>
      <c r="Q121" s="176"/>
      <c r="R121" s="176"/>
      <c r="S121" s="176"/>
      <c r="T121" s="176"/>
      <c r="U121" s="176"/>
      <c r="V121" s="176"/>
      <c r="W121" s="176"/>
      <c r="X121" s="176"/>
      <c r="Y121" s="176"/>
      <c r="Z121" s="176"/>
    </row>
    <row r="122">
      <c r="A122" s="249" t="s">
        <v>22</v>
      </c>
      <c r="B122" s="249" t="s">
        <v>845</v>
      </c>
      <c r="C122" s="219" t="s">
        <v>3109</v>
      </c>
      <c r="D122" s="268" t="s">
        <v>495</v>
      </c>
      <c r="E122" s="251">
        <v>44186.0</v>
      </c>
      <c r="F122" s="250" t="s">
        <v>496</v>
      </c>
      <c r="G122" s="171">
        <v>120.0</v>
      </c>
      <c r="H122" s="171">
        <v>100.0</v>
      </c>
      <c r="I122" s="171">
        <v>150.0</v>
      </c>
      <c r="J122" s="325">
        <f t="shared" si="2"/>
        <v>0.007536103552</v>
      </c>
      <c r="K122" s="326">
        <f t="shared" si="8"/>
        <v>3.265644873</v>
      </c>
      <c r="L122" s="327">
        <f t="shared" si="4"/>
        <v>5.554432686</v>
      </c>
      <c r="M122" s="321" t="str">
        <f t="shared" si="5"/>
        <v>naynaysoo</v>
      </c>
      <c r="N122" s="209">
        <f>IFERROR(__xludf.DUMMYFUNCTION("""COMPUTED_VALUE"""),1.0)</f>
        <v>1</v>
      </c>
      <c r="O122" s="176"/>
      <c r="P122" s="176"/>
      <c r="Q122" s="176"/>
      <c r="R122" s="176"/>
      <c r="S122" s="176"/>
      <c r="T122" s="176"/>
      <c r="U122" s="176"/>
      <c r="V122" s="176"/>
      <c r="W122" s="176"/>
      <c r="X122" s="176"/>
      <c r="Y122" s="176"/>
      <c r="Z122" s="176"/>
    </row>
    <row r="123">
      <c r="A123" s="249" t="s">
        <v>22</v>
      </c>
      <c r="B123" s="249" t="s">
        <v>18</v>
      </c>
      <c r="C123" s="219" t="s">
        <v>3074</v>
      </c>
      <c r="D123" s="268" t="s">
        <v>495</v>
      </c>
      <c r="E123" s="251">
        <v>44193.0</v>
      </c>
      <c r="F123" s="250" t="s">
        <v>496</v>
      </c>
      <c r="G123" s="171">
        <v>50.0</v>
      </c>
      <c r="H123" s="171">
        <v>25.0</v>
      </c>
      <c r="I123" s="171">
        <v>25.0</v>
      </c>
      <c r="J123" s="325">
        <f t="shared" si="2"/>
        <v>0.002087383055</v>
      </c>
      <c r="K123" s="326">
        <f t="shared" si="8"/>
        <v>0.9045326571</v>
      </c>
      <c r="L123" s="327">
        <f t="shared" si="4"/>
        <v>5.554432686</v>
      </c>
      <c r="M123" s="321" t="str">
        <f t="shared" si="5"/>
        <v>naynaysoo</v>
      </c>
      <c r="N123" s="209">
        <f>IFERROR(__xludf.DUMMYFUNCTION("""COMPUTED_VALUE"""),2.0)</f>
        <v>2</v>
      </c>
      <c r="O123" s="176"/>
      <c r="P123" s="176"/>
      <c r="Q123" s="176"/>
      <c r="R123" s="176"/>
      <c r="S123" s="176"/>
      <c r="T123" s="176"/>
      <c r="U123" s="176"/>
      <c r="V123" s="176"/>
      <c r="W123" s="176"/>
      <c r="X123" s="176"/>
      <c r="Y123" s="176"/>
      <c r="Z123" s="176"/>
    </row>
    <row r="124">
      <c r="A124" s="249" t="s">
        <v>22</v>
      </c>
      <c r="B124" s="249" t="s">
        <v>18</v>
      </c>
      <c r="C124" s="219" t="s">
        <v>3077</v>
      </c>
      <c r="D124" s="268" t="s">
        <v>495</v>
      </c>
      <c r="E124" s="251">
        <v>44193.0</v>
      </c>
      <c r="F124" s="250" t="s">
        <v>496</v>
      </c>
      <c r="G124" s="171">
        <v>100.0</v>
      </c>
      <c r="H124" s="171">
        <v>25.0</v>
      </c>
      <c r="I124" s="171">
        <v>25.0</v>
      </c>
      <c r="J124" s="325">
        <f t="shared" si="2"/>
        <v>0.003194434976</v>
      </c>
      <c r="K124" s="326">
        <f t="shared" si="8"/>
        <v>1.384255156</v>
      </c>
      <c r="L124" s="327">
        <f t="shared" si="4"/>
        <v>5.554432686</v>
      </c>
      <c r="M124" s="321" t="str">
        <f t="shared" si="5"/>
        <v>naynaysoo</v>
      </c>
      <c r="N124" s="209">
        <f>IFERROR(__xludf.DUMMYFUNCTION("""COMPUTED_VALUE"""),3.0)</f>
        <v>3</v>
      </c>
      <c r="O124" s="176"/>
      <c r="P124" s="176"/>
      <c r="Q124" s="176"/>
      <c r="R124" s="176"/>
      <c r="S124" s="176"/>
      <c r="T124" s="176"/>
      <c r="U124" s="176"/>
      <c r="V124" s="176"/>
      <c r="W124" s="176"/>
      <c r="X124" s="176"/>
      <c r="Y124" s="176"/>
      <c r="Z124" s="176"/>
    </row>
    <row r="125">
      <c r="A125" s="249" t="s">
        <v>22</v>
      </c>
      <c r="B125" s="249" t="s">
        <v>10</v>
      </c>
      <c r="C125" s="219" t="s">
        <v>3110</v>
      </c>
      <c r="D125" s="268" t="s">
        <v>495</v>
      </c>
      <c r="E125" s="251">
        <v>44192.0</v>
      </c>
      <c r="F125" s="221" t="s">
        <v>2912</v>
      </c>
      <c r="G125" s="222">
        <v>0.0</v>
      </c>
      <c r="H125" s="222">
        <v>0.0</v>
      </c>
      <c r="I125" s="222">
        <v>0.0</v>
      </c>
      <c r="J125" s="325">
        <f t="shared" si="2"/>
        <v>0</v>
      </c>
      <c r="K125" s="326">
        <f t="shared" si="8"/>
        <v>0</v>
      </c>
      <c r="L125" s="327">
        <f t="shared" si="4"/>
        <v>5.554432686</v>
      </c>
      <c r="M125" s="321" t="str">
        <f t="shared" si="5"/>
        <v>naynaysoo</v>
      </c>
      <c r="N125" s="209">
        <f>IFERROR(__xludf.DUMMYFUNCTION("""COMPUTED_VALUE"""),4.0)</f>
        <v>4</v>
      </c>
      <c r="O125" s="176"/>
      <c r="P125" s="176"/>
      <c r="Q125" s="176"/>
      <c r="R125" s="176"/>
      <c r="S125" s="176"/>
      <c r="T125" s="176"/>
      <c r="U125" s="176"/>
      <c r="V125" s="176"/>
      <c r="W125" s="176"/>
      <c r="X125" s="176"/>
      <c r="Y125" s="176"/>
      <c r="Z125" s="176"/>
    </row>
    <row r="126">
      <c r="A126" s="249" t="s">
        <v>30</v>
      </c>
      <c r="B126" s="249" t="s">
        <v>30</v>
      </c>
      <c r="C126" s="219" t="s">
        <v>3111</v>
      </c>
      <c r="D126" s="268" t="s">
        <v>495</v>
      </c>
      <c r="E126" s="251">
        <v>44191.0</v>
      </c>
      <c r="F126" s="250" t="s">
        <v>2586</v>
      </c>
      <c r="G126" s="171">
        <v>900.0</v>
      </c>
      <c r="H126" s="171">
        <v>1200.0</v>
      </c>
      <c r="I126" s="171">
        <v>650.0</v>
      </c>
      <c r="J126" s="325">
        <f t="shared" si="2"/>
        <v>0.05644643054</v>
      </c>
      <c r="K126" s="326">
        <f t="shared" si="8"/>
        <v>24.4601199</v>
      </c>
      <c r="L126" s="327">
        <f t="shared" si="4"/>
        <v>5.202598386</v>
      </c>
      <c r="M126" s="321" t="str">
        <f t="shared" si="5"/>
        <v>paulo_c2d</v>
      </c>
      <c r="N126" s="209">
        <f>IFERROR(__xludf.DUMMYFUNCTION("""COMPUTED_VALUE"""),1.0)</f>
        <v>1</v>
      </c>
      <c r="O126" s="176"/>
      <c r="P126" s="176"/>
      <c r="Q126" s="176"/>
      <c r="R126" s="176"/>
      <c r="S126" s="176"/>
      <c r="T126" s="176"/>
      <c r="U126" s="176"/>
      <c r="V126" s="176"/>
      <c r="W126" s="176"/>
      <c r="X126" s="176"/>
      <c r="Y126" s="176"/>
      <c r="Z126" s="176"/>
    </row>
    <row r="127">
      <c r="A127" s="249" t="s">
        <v>30</v>
      </c>
      <c r="B127" s="249" t="s">
        <v>6</v>
      </c>
      <c r="C127" s="219" t="s">
        <v>3112</v>
      </c>
      <c r="D127" s="268" t="s">
        <v>495</v>
      </c>
      <c r="E127" s="251">
        <v>44188.0</v>
      </c>
      <c r="F127" s="250" t="s">
        <v>496</v>
      </c>
      <c r="G127" s="171">
        <v>200.0</v>
      </c>
      <c r="H127" s="171">
        <v>300.0</v>
      </c>
      <c r="I127" s="171">
        <v>200.0</v>
      </c>
      <c r="J127" s="325">
        <f t="shared" si="2"/>
        <v>0.01427647248</v>
      </c>
      <c r="K127" s="326">
        <f t="shared" si="8"/>
        <v>6.186471408</v>
      </c>
      <c r="L127" s="327">
        <f t="shared" si="4"/>
        <v>5.202598386</v>
      </c>
      <c r="M127" s="321" t="str">
        <f t="shared" si="5"/>
        <v>paulo_c2d</v>
      </c>
      <c r="N127" s="209">
        <f>IFERROR(__xludf.DUMMYFUNCTION("""COMPUTED_VALUE"""),2.0)</f>
        <v>2</v>
      </c>
      <c r="O127" s="176"/>
      <c r="P127" s="176"/>
      <c r="Q127" s="176"/>
      <c r="R127" s="176"/>
      <c r="S127" s="176"/>
      <c r="T127" s="176"/>
      <c r="U127" s="176"/>
      <c r="V127" s="176"/>
      <c r="W127" s="176"/>
      <c r="X127" s="176"/>
      <c r="Y127" s="176"/>
      <c r="Z127" s="176"/>
    </row>
    <row r="128">
      <c r="A128" s="249" t="s">
        <v>30</v>
      </c>
      <c r="B128" s="249" t="s">
        <v>1231</v>
      </c>
      <c r="C128" s="219" t="s">
        <v>3060</v>
      </c>
      <c r="D128" s="268" t="s">
        <v>495</v>
      </c>
      <c r="E128" s="251">
        <v>44184.0</v>
      </c>
      <c r="F128" s="250" t="s">
        <v>496</v>
      </c>
      <c r="G128" s="171">
        <v>120.0</v>
      </c>
      <c r="H128" s="171"/>
      <c r="I128" s="171">
        <v>120.0</v>
      </c>
      <c r="J128" s="325">
        <f t="shared" si="2"/>
        <v>0.004955775184</v>
      </c>
      <c r="K128" s="326">
        <f t="shared" si="8"/>
        <v>2.14750258</v>
      </c>
      <c r="L128" s="327">
        <f t="shared" si="4"/>
        <v>5.202598386</v>
      </c>
      <c r="M128" s="321" t="str">
        <f t="shared" si="5"/>
        <v>paulo_c2d</v>
      </c>
      <c r="N128" s="209">
        <f>IFERROR(__xludf.DUMMYFUNCTION("""COMPUTED_VALUE"""),3.0)</f>
        <v>3</v>
      </c>
      <c r="O128" s="176"/>
      <c r="P128" s="176"/>
      <c r="Q128" s="176"/>
      <c r="R128" s="176"/>
      <c r="S128" s="176"/>
      <c r="T128" s="176"/>
      <c r="U128" s="176"/>
      <c r="V128" s="176"/>
      <c r="W128" s="176"/>
      <c r="X128" s="176"/>
      <c r="Y128" s="176"/>
      <c r="Z128" s="176"/>
    </row>
    <row r="129">
      <c r="A129" s="249" t="s">
        <v>30</v>
      </c>
      <c r="B129" s="249" t="s">
        <v>5</v>
      </c>
      <c r="C129" s="219" t="s">
        <v>3073</v>
      </c>
      <c r="D129" s="268" t="s">
        <v>495</v>
      </c>
      <c r="E129" s="251">
        <v>44191.0</v>
      </c>
      <c r="F129" s="250" t="s">
        <v>496</v>
      </c>
      <c r="G129" s="171">
        <v>20.0</v>
      </c>
      <c r="H129" s="171">
        <v>50.0</v>
      </c>
      <c r="I129" s="171">
        <v>50.0</v>
      </c>
      <c r="J129" s="325">
        <f t="shared" si="2"/>
        <v>0.002403483036</v>
      </c>
      <c r="K129" s="326">
        <f t="shared" si="8"/>
        <v>1.041509316</v>
      </c>
      <c r="L129" s="327">
        <f t="shared" si="4"/>
        <v>5.202598386</v>
      </c>
      <c r="M129" s="321" t="str">
        <f t="shared" si="5"/>
        <v>paulo_c2d</v>
      </c>
      <c r="N129" s="209">
        <f>IFERROR(__xludf.DUMMYFUNCTION("""COMPUTED_VALUE"""),4.0)</f>
        <v>4</v>
      </c>
      <c r="O129" s="176"/>
      <c r="P129" s="176"/>
      <c r="Q129" s="176"/>
      <c r="R129" s="176"/>
      <c r="S129" s="176"/>
      <c r="T129" s="176"/>
      <c r="U129" s="176"/>
      <c r="V129" s="176"/>
      <c r="W129" s="176"/>
      <c r="X129" s="176"/>
      <c r="Y129" s="176"/>
      <c r="Z129" s="176"/>
    </row>
    <row r="130">
      <c r="A130" s="249" t="s">
        <v>30</v>
      </c>
      <c r="B130" s="249" t="s">
        <v>6</v>
      </c>
      <c r="C130" s="219" t="s">
        <v>3062</v>
      </c>
      <c r="D130" s="268" t="s">
        <v>495</v>
      </c>
      <c r="E130" s="251">
        <v>44186.0</v>
      </c>
      <c r="F130" s="250" t="s">
        <v>496</v>
      </c>
      <c r="G130" s="171">
        <v>40.0</v>
      </c>
      <c r="H130" s="171">
        <v>25.0</v>
      </c>
      <c r="I130" s="171">
        <v>30.0</v>
      </c>
      <c r="J130" s="325">
        <f t="shared" si="2"/>
        <v>0.001961758111</v>
      </c>
      <c r="K130" s="326">
        <f t="shared" si="8"/>
        <v>0.8500951816</v>
      </c>
      <c r="L130" s="327">
        <f t="shared" si="4"/>
        <v>5.202598386</v>
      </c>
      <c r="M130" s="321" t="str">
        <f t="shared" si="5"/>
        <v>paulo_c2d</v>
      </c>
      <c r="N130" s="209">
        <f>IFERROR(__xludf.DUMMYFUNCTION("""COMPUTED_VALUE"""),5.0)</f>
        <v>5</v>
      </c>
      <c r="O130" s="176"/>
      <c r="P130" s="176"/>
      <c r="Q130" s="176"/>
      <c r="R130" s="176"/>
      <c r="S130" s="176"/>
      <c r="T130" s="176"/>
      <c r="U130" s="176"/>
      <c r="V130" s="176"/>
      <c r="W130" s="176"/>
      <c r="X130" s="176"/>
      <c r="Y130" s="176"/>
      <c r="Z130" s="176"/>
    </row>
    <row r="131">
      <c r="A131" s="249" t="s">
        <v>30</v>
      </c>
      <c r="B131" s="249" t="s">
        <v>1231</v>
      </c>
      <c r="C131" s="219" t="s">
        <v>3060</v>
      </c>
      <c r="D131" s="268" t="s">
        <v>495</v>
      </c>
      <c r="E131" s="251">
        <v>44184.0</v>
      </c>
      <c r="F131" s="256" t="s">
        <v>2912</v>
      </c>
      <c r="G131" s="363">
        <v>0.0</v>
      </c>
      <c r="H131" s="363">
        <v>0.0</v>
      </c>
      <c r="I131" s="363">
        <v>0.0</v>
      </c>
      <c r="J131" s="325">
        <f t="shared" si="2"/>
        <v>0</v>
      </c>
      <c r="K131" s="326">
        <f t="shared" si="8"/>
        <v>0</v>
      </c>
      <c r="L131" s="327">
        <f t="shared" si="4"/>
        <v>5.202598386</v>
      </c>
      <c r="M131" s="321" t="str">
        <f t="shared" si="5"/>
        <v>paulo_c2d</v>
      </c>
      <c r="N131" s="209">
        <f>IFERROR(__xludf.DUMMYFUNCTION("""COMPUTED_VALUE"""),6.0)</f>
        <v>6</v>
      </c>
      <c r="O131" s="176"/>
      <c r="P131" s="176"/>
      <c r="Q131" s="176"/>
      <c r="R131" s="176"/>
      <c r="S131" s="176"/>
      <c r="T131" s="176"/>
      <c r="U131" s="176"/>
      <c r="V131" s="176"/>
      <c r="W131" s="176"/>
      <c r="X131" s="176"/>
      <c r="Y131" s="176"/>
      <c r="Z131" s="176"/>
    </row>
    <row r="132">
      <c r="A132" s="249" t="s">
        <v>30</v>
      </c>
      <c r="B132" s="249" t="s">
        <v>1231</v>
      </c>
      <c r="C132" s="219" t="s">
        <v>3060</v>
      </c>
      <c r="D132" s="268" t="s">
        <v>495</v>
      </c>
      <c r="E132" s="251">
        <v>44184.0</v>
      </c>
      <c r="F132" s="221" t="s">
        <v>2912</v>
      </c>
      <c r="G132" s="222">
        <v>0.0</v>
      </c>
      <c r="H132" s="222">
        <v>0.0</v>
      </c>
      <c r="I132" s="222">
        <v>0.0</v>
      </c>
      <c r="J132" s="325">
        <f t="shared" si="2"/>
        <v>0</v>
      </c>
      <c r="K132" s="326">
        <f t="shared" si="8"/>
        <v>0</v>
      </c>
      <c r="L132" s="327">
        <f t="shared" si="4"/>
        <v>5.202598386</v>
      </c>
      <c r="M132" s="321" t="str">
        <f t="shared" si="5"/>
        <v>paulo_c2d</v>
      </c>
      <c r="N132" s="209">
        <f>IFERROR(__xludf.DUMMYFUNCTION("""COMPUTED_VALUE"""),7.0)</f>
        <v>7</v>
      </c>
      <c r="O132" s="176"/>
      <c r="P132" s="176"/>
      <c r="Q132" s="176"/>
      <c r="R132" s="176"/>
      <c r="S132" s="176"/>
      <c r="T132" s="176"/>
      <c r="U132" s="176"/>
      <c r="V132" s="176"/>
      <c r="W132" s="176"/>
      <c r="X132" s="176"/>
      <c r="Y132" s="176"/>
      <c r="Z132" s="176"/>
    </row>
    <row r="133">
      <c r="A133" s="249" t="s">
        <v>30</v>
      </c>
      <c r="B133" s="249" t="s">
        <v>1231</v>
      </c>
      <c r="C133" s="219" t="s">
        <v>3060</v>
      </c>
      <c r="D133" s="268" t="s">
        <v>495</v>
      </c>
      <c r="E133" s="251">
        <v>44184.0</v>
      </c>
      <c r="F133" s="221" t="s">
        <v>2912</v>
      </c>
      <c r="G133" s="222">
        <v>0.0</v>
      </c>
      <c r="H133" s="222">
        <v>0.0</v>
      </c>
      <c r="I133" s="222">
        <v>0.0</v>
      </c>
      <c r="J133" s="325">
        <f t="shared" si="2"/>
        <v>0</v>
      </c>
      <c r="K133" s="326">
        <f t="shared" si="8"/>
        <v>0</v>
      </c>
      <c r="L133" s="327">
        <f t="shared" si="4"/>
        <v>5.202598386</v>
      </c>
      <c r="M133" s="321" t="str">
        <f t="shared" si="5"/>
        <v>paulo_c2d</v>
      </c>
      <c r="N133" s="209">
        <f>IFERROR(__xludf.DUMMYFUNCTION("""COMPUTED_VALUE"""),8.0)</f>
        <v>8</v>
      </c>
      <c r="O133" s="176"/>
      <c r="P133" s="176"/>
      <c r="Q133" s="176"/>
      <c r="R133" s="176"/>
      <c r="S133" s="176"/>
      <c r="T133" s="176"/>
      <c r="U133" s="176"/>
      <c r="V133" s="176"/>
      <c r="W133" s="176"/>
      <c r="X133" s="176"/>
      <c r="Y133" s="176"/>
      <c r="Z133" s="176"/>
    </row>
    <row r="134">
      <c r="A134" s="240" t="s">
        <v>30</v>
      </c>
      <c r="B134" s="240" t="s">
        <v>534</v>
      </c>
      <c r="C134" s="346" t="s">
        <v>2452</v>
      </c>
      <c r="D134" s="336"/>
      <c r="E134" s="255"/>
      <c r="F134" s="254"/>
      <c r="G134" s="222"/>
      <c r="H134" s="222"/>
      <c r="I134" s="222"/>
      <c r="J134" s="325">
        <f t="shared" si="2"/>
        <v>0</v>
      </c>
      <c r="K134" s="337">
        <f>34.686*-0.85</f>
        <v>-29.4831</v>
      </c>
      <c r="L134" s="327">
        <f t="shared" si="4"/>
        <v>5.202598386</v>
      </c>
      <c r="M134" s="321" t="str">
        <f t="shared" si="5"/>
        <v>paulo_c2d</v>
      </c>
      <c r="N134" s="209">
        <f>IFERROR(__xludf.DUMMYFUNCTION("""COMPUTED_VALUE"""),9.0)</f>
        <v>9</v>
      </c>
      <c r="O134" s="209"/>
      <c r="P134" s="209"/>
      <c r="Q134" s="209"/>
      <c r="R134" s="209">
        <v>51.99833903635589</v>
      </c>
      <c r="S134" s="209"/>
      <c r="T134" s="209"/>
      <c r="U134" s="209"/>
      <c r="V134" s="209"/>
      <c r="W134" s="209"/>
      <c r="X134" s="209"/>
      <c r="Y134" s="176"/>
      <c r="Z134" s="176"/>
    </row>
    <row r="135">
      <c r="A135" s="249" t="s">
        <v>16</v>
      </c>
      <c r="B135" s="249" t="s">
        <v>1231</v>
      </c>
      <c r="C135" s="329" t="s">
        <v>3113</v>
      </c>
      <c r="D135" s="268" t="s">
        <v>495</v>
      </c>
      <c r="E135" s="251">
        <v>44184.0</v>
      </c>
      <c r="F135" s="221" t="s">
        <v>2912</v>
      </c>
      <c r="G135" s="222">
        <v>0.0</v>
      </c>
      <c r="H135" s="222">
        <v>0.0</v>
      </c>
      <c r="I135" s="222">
        <v>0.0</v>
      </c>
      <c r="J135" s="325">
        <f t="shared" si="2"/>
        <v>0</v>
      </c>
      <c r="K135" s="326">
        <f t="shared" ref="K135:K139" si="9">J135*$J$1</f>
        <v>0</v>
      </c>
      <c r="L135" s="327">
        <f t="shared" si="4"/>
        <v>5.103338567</v>
      </c>
      <c r="M135" s="321" t="str">
        <f t="shared" si="5"/>
        <v>griffgreen</v>
      </c>
      <c r="N135" s="209">
        <f>IFERROR(__xludf.DUMMYFUNCTION("""COMPUTED_VALUE"""),1.0)</f>
        <v>1</v>
      </c>
      <c r="O135" s="176"/>
      <c r="P135" s="176"/>
      <c r="Q135" s="176"/>
      <c r="R135" s="176"/>
      <c r="S135" s="176"/>
      <c r="T135" s="176"/>
      <c r="U135" s="176"/>
      <c r="V135" s="176"/>
      <c r="W135" s="176"/>
      <c r="X135" s="176"/>
      <c r="Y135" s="176"/>
      <c r="Z135" s="176"/>
    </row>
    <row r="136">
      <c r="A136" s="249" t="s">
        <v>16</v>
      </c>
      <c r="B136" s="249" t="s">
        <v>1231</v>
      </c>
      <c r="C136" s="329" t="s">
        <v>3113</v>
      </c>
      <c r="D136" s="268" t="s">
        <v>495</v>
      </c>
      <c r="E136" s="251">
        <v>44184.0</v>
      </c>
      <c r="F136" s="221" t="s">
        <v>2912</v>
      </c>
      <c r="G136" s="222">
        <v>0.0</v>
      </c>
      <c r="H136" s="222">
        <v>0.0</v>
      </c>
      <c r="I136" s="222">
        <v>0.0</v>
      </c>
      <c r="J136" s="325">
        <f t="shared" si="2"/>
        <v>0</v>
      </c>
      <c r="K136" s="326">
        <f t="shared" si="9"/>
        <v>0</v>
      </c>
      <c r="L136" s="327">
        <f t="shared" si="4"/>
        <v>5.103338567</v>
      </c>
      <c r="M136" s="321" t="str">
        <f t="shared" si="5"/>
        <v>griffgreen</v>
      </c>
      <c r="N136" s="209">
        <f>IFERROR(__xludf.DUMMYFUNCTION("""COMPUTED_VALUE"""),2.0)</f>
        <v>2</v>
      </c>
      <c r="O136" s="176"/>
      <c r="P136" s="176"/>
      <c r="Q136" s="176"/>
      <c r="R136" s="176"/>
      <c r="S136" s="176"/>
      <c r="T136" s="176"/>
      <c r="U136" s="176"/>
      <c r="V136" s="176"/>
      <c r="W136" s="176"/>
      <c r="X136" s="176"/>
      <c r="Y136" s="176"/>
      <c r="Z136" s="176"/>
    </row>
    <row r="137">
      <c r="A137" s="249" t="s">
        <v>16</v>
      </c>
      <c r="B137" s="249" t="s">
        <v>1231</v>
      </c>
      <c r="C137" s="329" t="s">
        <v>3113</v>
      </c>
      <c r="D137" s="268" t="s">
        <v>495</v>
      </c>
      <c r="E137" s="251">
        <v>44184.0</v>
      </c>
      <c r="F137" s="221" t="s">
        <v>2912</v>
      </c>
      <c r="G137" s="222">
        <v>0.0</v>
      </c>
      <c r="H137" s="222">
        <v>0.0</v>
      </c>
      <c r="I137" s="222">
        <v>0.0</v>
      </c>
      <c r="J137" s="325">
        <f t="shared" si="2"/>
        <v>0</v>
      </c>
      <c r="K137" s="326">
        <f t="shared" si="9"/>
        <v>0</v>
      </c>
      <c r="L137" s="327">
        <f t="shared" si="4"/>
        <v>5.103338567</v>
      </c>
      <c r="M137" s="321" t="str">
        <f t="shared" si="5"/>
        <v>griffgreen</v>
      </c>
      <c r="N137" s="209">
        <f>IFERROR(__xludf.DUMMYFUNCTION("""COMPUTED_VALUE"""),3.0)</f>
        <v>3</v>
      </c>
      <c r="O137" s="176"/>
      <c r="P137" s="176"/>
      <c r="Q137" s="176"/>
      <c r="R137" s="176"/>
      <c r="S137" s="176"/>
      <c r="T137" s="176"/>
      <c r="U137" s="176"/>
      <c r="V137" s="176"/>
      <c r="W137" s="176"/>
      <c r="X137" s="176"/>
      <c r="Y137" s="176"/>
      <c r="Z137" s="176"/>
    </row>
    <row r="138">
      <c r="A138" s="249" t="s">
        <v>16</v>
      </c>
      <c r="B138" s="249" t="s">
        <v>1231</v>
      </c>
      <c r="C138" s="329" t="s">
        <v>3113</v>
      </c>
      <c r="D138" s="268" t="s">
        <v>495</v>
      </c>
      <c r="E138" s="251">
        <v>44184.0</v>
      </c>
      <c r="F138" s="221" t="s">
        <v>2912</v>
      </c>
      <c r="G138" s="222">
        <v>0.0</v>
      </c>
      <c r="H138" s="222">
        <v>0.0</v>
      </c>
      <c r="I138" s="222">
        <v>0.0</v>
      </c>
      <c r="J138" s="325">
        <f t="shared" si="2"/>
        <v>0</v>
      </c>
      <c r="K138" s="326">
        <f t="shared" si="9"/>
        <v>0</v>
      </c>
      <c r="L138" s="327">
        <f t="shared" si="4"/>
        <v>5.103338567</v>
      </c>
      <c r="M138" s="321" t="str">
        <f t="shared" si="5"/>
        <v>griffgreen</v>
      </c>
      <c r="N138" s="209">
        <f>IFERROR(__xludf.DUMMYFUNCTION("""COMPUTED_VALUE"""),4.0)</f>
        <v>4</v>
      </c>
      <c r="O138" s="176"/>
      <c r="P138" s="176"/>
      <c r="Q138" s="176"/>
      <c r="R138" s="176"/>
      <c r="S138" s="176"/>
      <c r="T138" s="176"/>
      <c r="U138" s="176"/>
      <c r="V138" s="176"/>
      <c r="W138" s="176"/>
      <c r="X138" s="176"/>
      <c r="Y138" s="176"/>
      <c r="Z138" s="176"/>
    </row>
    <row r="139">
      <c r="A139" s="249" t="s">
        <v>16</v>
      </c>
      <c r="B139" s="249" t="s">
        <v>1231</v>
      </c>
      <c r="C139" s="329" t="s">
        <v>3113</v>
      </c>
      <c r="D139" s="268" t="s">
        <v>495</v>
      </c>
      <c r="E139" s="251">
        <v>44184.0</v>
      </c>
      <c r="F139" s="221" t="s">
        <v>2912</v>
      </c>
      <c r="G139" s="222">
        <v>0.0</v>
      </c>
      <c r="H139" s="222">
        <v>0.0</v>
      </c>
      <c r="I139" s="222">
        <v>0.0</v>
      </c>
      <c r="J139" s="325">
        <f t="shared" si="2"/>
        <v>0</v>
      </c>
      <c r="K139" s="326">
        <f t="shared" si="9"/>
        <v>0</v>
      </c>
      <c r="L139" s="327">
        <f t="shared" si="4"/>
        <v>5.103338567</v>
      </c>
      <c r="M139" s="321" t="str">
        <f t="shared" si="5"/>
        <v>griffgreen</v>
      </c>
      <c r="N139" s="209">
        <f>IFERROR(__xludf.DUMMYFUNCTION("""COMPUTED_VALUE"""),5.0)</f>
        <v>5</v>
      </c>
      <c r="O139" s="176"/>
      <c r="P139" s="176"/>
      <c r="Q139" s="176"/>
      <c r="R139" s="176"/>
      <c r="S139" s="176"/>
      <c r="T139" s="176"/>
      <c r="U139" s="176"/>
      <c r="V139" s="176"/>
      <c r="W139" s="176"/>
      <c r="X139" s="176"/>
      <c r="Y139" s="176"/>
      <c r="Z139" s="176"/>
    </row>
    <row r="140">
      <c r="A140" s="249" t="s">
        <v>16</v>
      </c>
      <c r="B140" s="249" t="s">
        <v>1231</v>
      </c>
      <c r="C140" s="329" t="s">
        <v>3114</v>
      </c>
      <c r="D140" s="268" t="s">
        <v>495</v>
      </c>
      <c r="E140" s="251">
        <v>44184.0</v>
      </c>
      <c r="F140" s="250" t="s">
        <v>496</v>
      </c>
      <c r="G140" s="171"/>
      <c r="H140" s="171"/>
      <c r="I140" s="171"/>
      <c r="J140" s="325">
        <f t="shared" si="2"/>
        <v>0</v>
      </c>
      <c r="K140" s="326">
        <f t="shared" ref="K140:K141" si="10">$N$1</f>
        <v>1.790633609</v>
      </c>
      <c r="L140" s="327">
        <f t="shared" si="4"/>
        <v>5.103338567</v>
      </c>
      <c r="M140" s="321" t="str">
        <f t="shared" si="5"/>
        <v>griffgreen</v>
      </c>
      <c r="N140" s="209">
        <f>IFERROR(__xludf.DUMMYFUNCTION("""COMPUTED_VALUE"""),6.0)</f>
        <v>6</v>
      </c>
      <c r="O140" s="176"/>
      <c r="P140" s="176"/>
      <c r="Q140" s="176"/>
      <c r="R140" s="176"/>
      <c r="S140" s="176"/>
      <c r="T140" s="176"/>
      <c r="U140" s="176"/>
      <c r="V140" s="176"/>
      <c r="W140" s="176"/>
      <c r="X140" s="176"/>
      <c r="Y140" s="176"/>
      <c r="Z140" s="176"/>
    </row>
    <row r="141">
      <c r="A141" s="249" t="s">
        <v>16</v>
      </c>
      <c r="B141" s="249" t="s">
        <v>1231</v>
      </c>
      <c r="C141" s="329" t="s">
        <v>3115</v>
      </c>
      <c r="D141" s="268" t="s">
        <v>495</v>
      </c>
      <c r="E141" s="251">
        <v>44184.0</v>
      </c>
      <c r="F141" s="250" t="s">
        <v>496</v>
      </c>
      <c r="G141" s="171"/>
      <c r="H141" s="171"/>
      <c r="I141" s="171"/>
      <c r="J141" s="325">
        <f t="shared" si="2"/>
        <v>0</v>
      </c>
      <c r="K141" s="326">
        <f t="shared" si="10"/>
        <v>1.790633609</v>
      </c>
      <c r="L141" s="327">
        <f t="shared" si="4"/>
        <v>5.103338567</v>
      </c>
      <c r="M141" s="321" t="str">
        <f t="shared" si="5"/>
        <v>griffgreen</v>
      </c>
      <c r="N141" s="209">
        <f>IFERROR(__xludf.DUMMYFUNCTION("""COMPUTED_VALUE"""),7.0)</f>
        <v>7</v>
      </c>
      <c r="O141" s="176"/>
      <c r="P141" s="176"/>
      <c r="Q141" s="176"/>
      <c r="R141" s="176"/>
      <c r="S141" s="176"/>
      <c r="T141" s="176"/>
      <c r="U141" s="176"/>
      <c r="V141" s="176"/>
      <c r="W141" s="176"/>
      <c r="X141" s="176"/>
      <c r="Y141" s="176"/>
      <c r="Z141" s="176"/>
    </row>
    <row r="142">
      <c r="A142" s="249" t="s">
        <v>16</v>
      </c>
      <c r="B142" s="249" t="s">
        <v>1231</v>
      </c>
      <c r="C142" s="329" t="s">
        <v>3113</v>
      </c>
      <c r="D142" s="268" t="s">
        <v>495</v>
      </c>
      <c r="E142" s="251">
        <v>44184.0</v>
      </c>
      <c r="F142" s="221" t="s">
        <v>2912</v>
      </c>
      <c r="G142" s="222">
        <v>0.0</v>
      </c>
      <c r="H142" s="222">
        <v>0.0</v>
      </c>
      <c r="I142" s="222">
        <v>0.0</v>
      </c>
      <c r="J142" s="325">
        <f t="shared" si="2"/>
        <v>0</v>
      </c>
      <c r="K142" s="326">
        <f t="shared" ref="K142:K145" si="11">J142*$J$1</f>
        <v>0</v>
      </c>
      <c r="L142" s="327">
        <f t="shared" si="4"/>
        <v>5.103338567</v>
      </c>
      <c r="M142" s="321" t="str">
        <f t="shared" si="5"/>
        <v>griffgreen</v>
      </c>
      <c r="N142" s="209">
        <f>IFERROR(__xludf.DUMMYFUNCTION("""COMPUTED_VALUE"""),8.0)</f>
        <v>8</v>
      </c>
      <c r="O142" s="176"/>
      <c r="P142" s="176"/>
      <c r="Q142" s="176"/>
      <c r="R142" s="176"/>
      <c r="S142" s="176"/>
      <c r="T142" s="176"/>
      <c r="U142" s="176"/>
      <c r="V142" s="176"/>
      <c r="W142" s="176"/>
      <c r="X142" s="176"/>
      <c r="Y142" s="176"/>
      <c r="Z142" s="176"/>
    </row>
    <row r="143">
      <c r="A143" s="249" t="s">
        <v>16</v>
      </c>
      <c r="B143" s="249" t="s">
        <v>1231</v>
      </c>
      <c r="C143" s="329" t="s">
        <v>3113</v>
      </c>
      <c r="D143" s="268" t="s">
        <v>495</v>
      </c>
      <c r="E143" s="251">
        <v>44184.0</v>
      </c>
      <c r="F143" s="221" t="s">
        <v>2912</v>
      </c>
      <c r="G143" s="222">
        <v>0.0</v>
      </c>
      <c r="H143" s="222">
        <v>0.0</v>
      </c>
      <c r="I143" s="222">
        <v>0.0</v>
      </c>
      <c r="J143" s="325">
        <f t="shared" si="2"/>
        <v>0</v>
      </c>
      <c r="K143" s="326">
        <f t="shared" si="11"/>
        <v>0</v>
      </c>
      <c r="L143" s="327">
        <f t="shared" si="4"/>
        <v>5.103338567</v>
      </c>
      <c r="M143" s="321" t="str">
        <f t="shared" si="5"/>
        <v>griffgreen</v>
      </c>
      <c r="N143" s="209">
        <f>IFERROR(__xludf.DUMMYFUNCTION("""COMPUTED_VALUE"""),9.0)</f>
        <v>9</v>
      </c>
      <c r="O143" s="176"/>
      <c r="P143" s="176"/>
      <c r="Q143" s="176"/>
      <c r="R143" s="176"/>
      <c r="S143" s="176"/>
      <c r="T143" s="176"/>
      <c r="U143" s="176"/>
      <c r="V143" s="176"/>
      <c r="W143" s="176"/>
      <c r="X143" s="176"/>
      <c r="Y143" s="176"/>
      <c r="Z143" s="176"/>
    </row>
    <row r="144">
      <c r="A144" s="249" t="s">
        <v>16</v>
      </c>
      <c r="B144" s="249" t="s">
        <v>1231</v>
      </c>
      <c r="C144" s="329" t="s">
        <v>3113</v>
      </c>
      <c r="D144" s="268" t="s">
        <v>495</v>
      </c>
      <c r="E144" s="251">
        <v>44184.0</v>
      </c>
      <c r="F144" s="221" t="s">
        <v>2912</v>
      </c>
      <c r="G144" s="222">
        <v>0.0</v>
      </c>
      <c r="H144" s="222">
        <v>0.0</v>
      </c>
      <c r="I144" s="222">
        <v>0.0</v>
      </c>
      <c r="J144" s="325">
        <f t="shared" si="2"/>
        <v>0</v>
      </c>
      <c r="K144" s="326">
        <f t="shared" si="11"/>
        <v>0</v>
      </c>
      <c r="L144" s="327">
        <f t="shared" si="4"/>
        <v>5.103338567</v>
      </c>
      <c r="M144" s="321" t="str">
        <f t="shared" si="5"/>
        <v>griffgreen</v>
      </c>
      <c r="N144" s="209">
        <f>IFERROR(__xludf.DUMMYFUNCTION("""COMPUTED_VALUE"""),10.0)</f>
        <v>10</v>
      </c>
      <c r="O144" s="176"/>
      <c r="P144" s="176"/>
      <c r="Q144" s="176"/>
      <c r="R144" s="176"/>
      <c r="S144" s="176"/>
      <c r="T144" s="176"/>
      <c r="U144" s="176"/>
      <c r="V144" s="176"/>
      <c r="W144" s="176"/>
      <c r="X144" s="176"/>
      <c r="Y144" s="176"/>
      <c r="Z144" s="176"/>
    </row>
    <row r="145">
      <c r="A145" s="249" t="s">
        <v>16</v>
      </c>
      <c r="B145" s="249" t="s">
        <v>1231</v>
      </c>
      <c r="C145" s="329" t="s">
        <v>3113</v>
      </c>
      <c r="D145" s="268" t="s">
        <v>495</v>
      </c>
      <c r="E145" s="251">
        <v>44184.0</v>
      </c>
      <c r="F145" s="221" t="s">
        <v>2912</v>
      </c>
      <c r="G145" s="222">
        <v>0.0</v>
      </c>
      <c r="H145" s="222">
        <v>0.0</v>
      </c>
      <c r="I145" s="222">
        <v>0.0</v>
      </c>
      <c r="J145" s="325">
        <f t="shared" si="2"/>
        <v>0</v>
      </c>
      <c r="K145" s="326">
        <f t="shared" si="11"/>
        <v>0</v>
      </c>
      <c r="L145" s="327">
        <f t="shared" si="4"/>
        <v>5.103338567</v>
      </c>
      <c r="M145" s="321" t="str">
        <f t="shared" si="5"/>
        <v>griffgreen</v>
      </c>
      <c r="N145" s="209">
        <f>IFERROR(__xludf.DUMMYFUNCTION("""COMPUTED_VALUE"""),11.0)</f>
        <v>11</v>
      </c>
      <c r="O145" s="176"/>
      <c r="P145" s="176"/>
      <c r="Q145" s="176"/>
      <c r="R145" s="176"/>
      <c r="S145" s="176"/>
      <c r="T145" s="176"/>
      <c r="U145" s="176"/>
      <c r="V145" s="176"/>
      <c r="W145" s="176"/>
      <c r="X145" s="176"/>
      <c r="Y145" s="176"/>
      <c r="Z145" s="176"/>
    </row>
    <row r="146">
      <c r="A146" s="249" t="s">
        <v>16</v>
      </c>
      <c r="B146" s="249" t="s">
        <v>1231</v>
      </c>
      <c r="C146" s="329" t="s">
        <v>3113</v>
      </c>
      <c r="D146" s="268" t="s">
        <v>495</v>
      </c>
      <c r="E146" s="251">
        <v>44184.0</v>
      </c>
      <c r="F146" s="250" t="s">
        <v>496</v>
      </c>
      <c r="G146" s="171"/>
      <c r="H146" s="171"/>
      <c r="I146" s="171"/>
      <c r="J146" s="325">
        <f t="shared" si="2"/>
        <v>0</v>
      </c>
      <c r="K146" s="326">
        <f t="shared" ref="K146:K152" si="12">$N$1</f>
        <v>1.790633609</v>
      </c>
      <c r="L146" s="327">
        <f t="shared" si="4"/>
        <v>5.103338567</v>
      </c>
      <c r="M146" s="321" t="str">
        <f t="shared" si="5"/>
        <v>griffgreen</v>
      </c>
      <c r="N146" s="209">
        <f>IFERROR(__xludf.DUMMYFUNCTION("""COMPUTED_VALUE"""),12.0)</f>
        <v>12</v>
      </c>
      <c r="O146" s="176"/>
      <c r="P146" s="176"/>
      <c r="Q146" s="176"/>
      <c r="R146" s="176"/>
      <c r="S146" s="176"/>
      <c r="T146" s="176"/>
      <c r="U146" s="176"/>
      <c r="V146" s="176"/>
      <c r="W146" s="176"/>
      <c r="X146" s="176"/>
      <c r="Y146" s="176"/>
      <c r="Z146" s="176"/>
    </row>
    <row r="147">
      <c r="A147" s="249" t="s">
        <v>16</v>
      </c>
      <c r="B147" s="249" t="s">
        <v>1231</v>
      </c>
      <c r="C147" s="329" t="s">
        <v>3114</v>
      </c>
      <c r="D147" s="268" t="s">
        <v>495</v>
      </c>
      <c r="E147" s="251">
        <v>44184.0</v>
      </c>
      <c r="F147" s="250" t="s">
        <v>496</v>
      </c>
      <c r="G147" s="171"/>
      <c r="H147" s="171"/>
      <c r="I147" s="171"/>
      <c r="J147" s="325">
        <f t="shared" si="2"/>
        <v>0</v>
      </c>
      <c r="K147" s="326">
        <f t="shared" si="12"/>
        <v>1.790633609</v>
      </c>
      <c r="L147" s="327">
        <f t="shared" si="4"/>
        <v>5.103338567</v>
      </c>
      <c r="M147" s="321" t="str">
        <f t="shared" si="5"/>
        <v>griffgreen</v>
      </c>
      <c r="N147" s="209">
        <f>IFERROR(__xludf.DUMMYFUNCTION("""COMPUTED_VALUE"""),13.0)</f>
        <v>13</v>
      </c>
      <c r="O147" s="176"/>
      <c r="P147" s="176"/>
      <c r="Q147" s="176"/>
      <c r="R147" s="176"/>
      <c r="S147" s="176"/>
      <c r="T147" s="176"/>
      <c r="U147" s="176"/>
      <c r="V147" s="176"/>
      <c r="W147" s="176"/>
      <c r="X147" s="176"/>
      <c r="Y147" s="176"/>
      <c r="Z147" s="176"/>
    </row>
    <row r="148">
      <c r="A148" s="249" t="s">
        <v>16</v>
      </c>
      <c r="B148" s="249" t="s">
        <v>1920</v>
      </c>
      <c r="C148" s="329" t="s">
        <v>3116</v>
      </c>
      <c r="D148" s="268" t="s">
        <v>495</v>
      </c>
      <c r="E148" s="251">
        <v>44185.0</v>
      </c>
      <c r="F148" s="250" t="s">
        <v>1956</v>
      </c>
      <c r="G148" s="171"/>
      <c r="H148" s="171"/>
      <c r="I148" s="171"/>
      <c r="J148" s="325">
        <f t="shared" si="2"/>
        <v>0</v>
      </c>
      <c r="K148" s="326">
        <f t="shared" si="12"/>
        <v>1.790633609</v>
      </c>
      <c r="L148" s="327">
        <f t="shared" si="4"/>
        <v>5.103338567</v>
      </c>
      <c r="M148" s="321" t="str">
        <f t="shared" si="5"/>
        <v>griffgreen</v>
      </c>
      <c r="N148" s="209">
        <f>IFERROR(__xludf.DUMMYFUNCTION("""COMPUTED_VALUE"""),14.0)</f>
        <v>14</v>
      </c>
      <c r="O148" s="176"/>
      <c r="P148" s="176"/>
      <c r="Q148" s="176"/>
      <c r="R148" s="176"/>
      <c r="S148" s="176"/>
      <c r="T148" s="176"/>
      <c r="U148" s="176"/>
      <c r="V148" s="176"/>
      <c r="W148" s="176"/>
      <c r="X148" s="176"/>
      <c r="Y148" s="176"/>
      <c r="Z148" s="176"/>
    </row>
    <row r="149">
      <c r="A149" s="249" t="s">
        <v>16</v>
      </c>
      <c r="B149" s="249" t="s">
        <v>6</v>
      </c>
      <c r="C149" s="329" t="s">
        <v>3062</v>
      </c>
      <c r="D149" s="268" t="s">
        <v>495</v>
      </c>
      <c r="E149" s="251">
        <v>44186.0</v>
      </c>
      <c r="F149" s="250" t="s">
        <v>496</v>
      </c>
      <c r="G149" s="171"/>
      <c r="H149" s="171"/>
      <c r="I149" s="171"/>
      <c r="J149" s="325">
        <f t="shared" si="2"/>
        <v>0</v>
      </c>
      <c r="K149" s="326">
        <f t="shared" si="12"/>
        <v>1.790633609</v>
      </c>
      <c r="L149" s="327">
        <f t="shared" si="4"/>
        <v>5.103338567</v>
      </c>
      <c r="M149" s="321" t="str">
        <f t="shared" si="5"/>
        <v>griffgreen</v>
      </c>
      <c r="N149" s="209">
        <f>IFERROR(__xludf.DUMMYFUNCTION("""COMPUTED_VALUE"""),15.0)</f>
        <v>15</v>
      </c>
      <c r="O149" s="176"/>
      <c r="P149" s="176"/>
      <c r="Q149" s="176"/>
      <c r="R149" s="176"/>
      <c r="S149" s="176"/>
      <c r="T149" s="176"/>
      <c r="U149" s="176"/>
      <c r="V149" s="176"/>
      <c r="W149" s="176"/>
      <c r="X149" s="176"/>
      <c r="Y149" s="176"/>
      <c r="Z149" s="176"/>
    </row>
    <row r="150">
      <c r="A150" s="249" t="s">
        <v>16</v>
      </c>
      <c r="B150" s="249" t="s">
        <v>590</v>
      </c>
      <c r="C150" s="329" t="s">
        <v>3117</v>
      </c>
      <c r="D150" s="268" t="s">
        <v>495</v>
      </c>
      <c r="E150" s="251">
        <v>44186.0</v>
      </c>
      <c r="F150" s="250" t="s">
        <v>496</v>
      </c>
      <c r="G150" s="171"/>
      <c r="H150" s="171"/>
      <c r="I150" s="171"/>
      <c r="J150" s="325">
        <f t="shared" si="2"/>
        <v>0</v>
      </c>
      <c r="K150" s="326">
        <f t="shared" si="12"/>
        <v>1.790633609</v>
      </c>
      <c r="L150" s="327">
        <f t="shared" si="4"/>
        <v>5.103338567</v>
      </c>
      <c r="M150" s="321" t="str">
        <f t="shared" si="5"/>
        <v>griffgreen</v>
      </c>
      <c r="N150" s="209">
        <f>IFERROR(__xludf.DUMMYFUNCTION("""COMPUTED_VALUE"""),16.0)</f>
        <v>16</v>
      </c>
      <c r="O150" s="176"/>
      <c r="P150" s="176"/>
      <c r="Q150" s="176"/>
      <c r="R150" s="176"/>
      <c r="S150" s="176"/>
      <c r="T150" s="176"/>
      <c r="U150" s="176"/>
      <c r="V150" s="176"/>
      <c r="W150" s="176"/>
      <c r="X150" s="176"/>
      <c r="Y150" s="176"/>
      <c r="Z150" s="176"/>
    </row>
    <row r="151">
      <c r="A151" s="249" t="s">
        <v>16</v>
      </c>
      <c r="B151" s="249" t="s">
        <v>590</v>
      </c>
      <c r="C151" s="329" t="s">
        <v>3078</v>
      </c>
      <c r="D151" s="268" t="s">
        <v>495</v>
      </c>
      <c r="E151" s="251">
        <v>44187.0</v>
      </c>
      <c r="F151" s="250" t="s">
        <v>496</v>
      </c>
      <c r="G151" s="171"/>
      <c r="H151" s="171"/>
      <c r="I151" s="171"/>
      <c r="J151" s="325">
        <f t="shared" si="2"/>
        <v>0</v>
      </c>
      <c r="K151" s="326">
        <f t="shared" si="12"/>
        <v>1.790633609</v>
      </c>
      <c r="L151" s="327">
        <f t="shared" si="4"/>
        <v>5.103338567</v>
      </c>
      <c r="M151" s="321" t="str">
        <f t="shared" si="5"/>
        <v>griffgreen</v>
      </c>
      <c r="N151" s="209">
        <f>IFERROR(__xludf.DUMMYFUNCTION("""COMPUTED_VALUE"""),17.0)</f>
        <v>17</v>
      </c>
      <c r="O151" s="176"/>
      <c r="P151" s="176"/>
      <c r="Q151" s="176"/>
      <c r="R151" s="176"/>
      <c r="S151" s="176"/>
      <c r="T151" s="176"/>
      <c r="U151" s="176"/>
      <c r="V151" s="176"/>
      <c r="W151" s="176"/>
      <c r="X151" s="176"/>
      <c r="Y151" s="176"/>
      <c r="Z151" s="176"/>
    </row>
    <row r="152">
      <c r="A152" s="249" t="s">
        <v>16</v>
      </c>
      <c r="B152" s="249" t="s">
        <v>25</v>
      </c>
      <c r="C152" s="329" t="s">
        <v>3076</v>
      </c>
      <c r="D152" s="268" t="s">
        <v>495</v>
      </c>
      <c r="E152" s="251">
        <v>44188.0</v>
      </c>
      <c r="F152" s="250" t="s">
        <v>496</v>
      </c>
      <c r="G152" s="171"/>
      <c r="H152" s="171"/>
      <c r="I152" s="171"/>
      <c r="J152" s="325">
        <f t="shared" si="2"/>
        <v>0</v>
      </c>
      <c r="K152" s="326">
        <f t="shared" si="12"/>
        <v>1.790633609</v>
      </c>
      <c r="L152" s="327">
        <f t="shared" si="4"/>
        <v>5.103338567</v>
      </c>
      <c r="M152" s="321" t="str">
        <f t="shared" si="5"/>
        <v>griffgreen</v>
      </c>
      <c r="N152" s="209">
        <f>IFERROR(__xludf.DUMMYFUNCTION("""COMPUTED_VALUE"""),18.0)</f>
        <v>18</v>
      </c>
      <c r="O152" s="176"/>
      <c r="P152" s="176"/>
      <c r="Q152" s="176"/>
      <c r="R152" s="176"/>
      <c r="S152" s="176"/>
      <c r="T152" s="176"/>
      <c r="U152" s="176"/>
      <c r="V152" s="176"/>
      <c r="W152" s="176"/>
      <c r="X152" s="176"/>
      <c r="Y152" s="176"/>
      <c r="Z152" s="176"/>
    </row>
    <row r="153">
      <c r="A153" s="253" t="s">
        <v>16</v>
      </c>
      <c r="B153" s="253" t="s">
        <v>519</v>
      </c>
      <c r="C153" s="364" t="s">
        <v>3067</v>
      </c>
      <c r="D153" s="336" t="s">
        <v>495</v>
      </c>
      <c r="E153" s="255">
        <v>44188.0</v>
      </c>
      <c r="F153" s="254" t="s">
        <v>499</v>
      </c>
      <c r="G153" s="222"/>
      <c r="H153" s="222"/>
      <c r="I153" s="222"/>
      <c r="J153" s="339">
        <f t="shared" si="2"/>
        <v>0</v>
      </c>
      <c r="K153" s="337">
        <f>J153*$J$1</f>
        <v>0</v>
      </c>
      <c r="L153" s="341">
        <f t="shared" si="4"/>
        <v>5.103338567</v>
      </c>
      <c r="M153" s="321" t="str">
        <f t="shared" si="5"/>
        <v>griffgreen</v>
      </c>
      <c r="N153" s="209">
        <f>IFERROR(__xludf.DUMMYFUNCTION("""COMPUTED_VALUE"""),19.0)</f>
        <v>19</v>
      </c>
      <c r="O153" s="209"/>
      <c r="P153" s="209"/>
      <c r="Q153" s="209"/>
      <c r="R153" s="209"/>
      <c r="S153" s="209"/>
      <c r="T153" s="209"/>
      <c r="U153" s="209"/>
      <c r="V153" s="209"/>
      <c r="W153" s="209"/>
      <c r="X153" s="209"/>
      <c r="Y153" s="209"/>
      <c r="Z153" s="209"/>
    </row>
    <row r="154">
      <c r="A154" s="249" t="s">
        <v>16</v>
      </c>
      <c r="B154" s="249" t="s">
        <v>5</v>
      </c>
      <c r="C154" s="329" t="s">
        <v>3073</v>
      </c>
      <c r="D154" s="268" t="s">
        <v>495</v>
      </c>
      <c r="E154" s="251">
        <v>44191.0</v>
      </c>
      <c r="F154" s="250" t="s">
        <v>496</v>
      </c>
      <c r="G154" s="171"/>
      <c r="H154" s="171"/>
      <c r="I154" s="171"/>
      <c r="J154" s="325">
        <f t="shared" si="2"/>
        <v>0</v>
      </c>
      <c r="K154" s="326">
        <f t="shared" ref="K154:K162" si="13">$N$1</f>
        <v>1.790633609</v>
      </c>
      <c r="L154" s="327">
        <f t="shared" si="4"/>
        <v>5.103338567</v>
      </c>
      <c r="M154" s="321" t="str">
        <f t="shared" si="5"/>
        <v>griffgreen</v>
      </c>
      <c r="N154" s="209">
        <f>IFERROR(__xludf.DUMMYFUNCTION("""COMPUTED_VALUE"""),20.0)</f>
        <v>20</v>
      </c>
      <c r="O154" s="176"/>
      <c r="P154" s="176"/>
      <c r="Q154" s="176"/>
      <c r="R154" s="176"/>
      <c r="S154" s="176"/>
      <c r="T154" s="176"/>
      <c r="U154" s="176"/>
      <c r="V154" s="176"/>
      <c r="W154" s="176"/>
      <c r="X154" s="176"/>
      <c r="Y154" s="176"/>
      <c r="Z154" s="176"/>
    </row>
    <row r="155">
      <c r="A155" s="249" t="s">
        <v>16</v>
      </c>
      <c r="B155" s="249" t="s">
        <v>10</v>
      </c>
      <c r="C155" s="329" t="s">
        <v>3066</v>
      </c>
      <c r="D155" s="268" t="s">
        <v>495</v>
      </c>
      <c r="E155" s="251">
        <v>44192.0</v>
      </c>
      <c r="F155" s="250" t="s">
        <v>496</v>
      </c>
      <c r="G155" s="171"/>
      <c r="H155" s="171"/>
      <c r="I155" s="171"/>
      <c r="J155" s="325">
        <f t="shared" si="2"/>
        <v>0</v>
      </c>
      <c r="K155" s="326">
        <f t="shared" si="13"/>
        <v>1.790633609</v>
      </c>
      <c r="L155" s="327">
        <f t="shared" si="4"/>
        <v>5.103338567</v>
      </c>
      <c r="M155" s="321" t="str">
        <f t="shared" si="5"/>
        <v>griffgreen</v>
      </c>
      <c r="N155" s="209">
        <f>IFERROR(__xludf.DUMMYFUNCTION("""COMPUTED_VALUE"""),21.0)</f>
        <v>21</v>
      </c>
      <c r="O155" s="176"/>
      <c r="P155" s="176"/>
      <c r="Q155" s="176"/>
      <c r="R155" s="176"/>
      <c r="S155" s="176"/>
      <c r="T155" s="176"/>
      <c r="U155" s="176"/>
      <c r="V155" s="176"/>
      <c r="W155" s="176"/>
      <c r="X155" s="176"/>
      <c r="Y155" s="176"/>
      <c r="Z155" s="176"/>
    </row>
    <row r="156">
      <c r="A156" s="249" t="s">
        <v>16</v>
      </c>
      <c r="B156" s="249" t="s">
        <v>10</v>
      </c>
      <c r="C156" s="329" t="s">
        <v>3118</v>
      </c>
      <c r="D156" s="268" t="s">
        <v>495</v>
      </c>
      <c r="E156" s="251">
        <v>44192.0</v>
      </c>
      <c r="F156" s="250" t="s">
        <v>496</v>
      </c>
      <c r="G156" s="171"/>
      <c r="H156" s="171"/>
      <c r="I156" s="171"/>
      <c r="J156" s="325">
        <f t="shared" si="2"/>
        <v>0</v>
      </c>
      <c r="K156" s="326">
        <f t="shared" si="13"/>
        <v>1.790633609</v>
      </c>
      <c r="L156" s="327">
        <f t="shared" si="4"/>
        <v>5.103338567</v>
      </c>
      <c r="M156" s="321" t="str">
        <f t="shared" si="5"/>
        <v>griffgreen</v>
      </c>
      <c r="N156" s="209">
        <f>IFERROR(__xludf.DUMMYFUNCTION("""COMPUTED_VALUE"""),22.0)</f>
        <v>22</v>
      </c>
      <c r="O156" s="176"/>
      <c r="P156" s="176"/>
      <c r="Q156" s="176"/>
      <c r="R156" s="176"/>
      <c r="S156" s="176"/>
      <c r="T156" s="176"/>
      <c r="U156" s="176"/>
      <c r="V156" s="176"/>
      <c r="W156" s="176"/>
      <c r="X156" s="176"/>
      <c r="Y156" s="176"/>
      <c r="Z156" s="176"/>
    </row>
    <row r="157">
      <c r="A157" s="249" t="s">
        <v>16</v>
      </c>
      <c r="B157" s="249" t="s">
        <v>10</v>
      </c>
      <c r="C157" s="329" t="s">
        <v>3119</v>
      </c>
      <c r="D157" s="268" t="s">
        <v>495</v>
      </c>
      <c r="E157" s="251">
        <v>44192.0</v>
      </c>
      <c r="F157" s="250" t="s">
        <v>496</v>
      </c>
      <c r="G157" s="171"/>
      <c r="H157" s="171"/>
      <c r="I157" s="171"/>
      <c r="J157" s="325">
        <f t="shared" si="2"/>
        <v>0</v>
      </c>
      <c r="K157" s="326">
        <f t="shared" si="13"/>
        <v>1.790633609</v>
      </c>
      <c r="L157" s="327">
        <f t="shared" si="4"/>
        <v>5.103338567</v>
      </c>
      <c r="M157" s="321" t="str">
        <f t="shared" si="5"/>
        <v>griffgreen</v>
      </c>
      <c r="N157" s="209">
        <f>IFERROR(__xludf.DUMMYFUNCTION("""COMPUTED_VALUE"""),23.0)</f>
        <v>23</v>
      </c>
      <c r="O157" s="176"/>
      <c r="P157" s="176"/>
      <c r="Q157" s="176"/>
      <c r="R157" s="176"/>
      <c r="S157" s="176"/>
      <c r="T157" s="176"/>
      <c r="U157" s="176"/>
      <c r="V157" s="176"/>
      <c r="W157" s="176"/>
      <c r="X157" s="176"/>
      <c r="Y157" s="176"/>
      <c r="Z157" s="176"/>
    </row>
    <row r="158">
      <c r="A158" s="249" t="s">
        <v>16</v>
      </c>
      <c r="B158" s="249" t="s">
        <v>10</v>
      </c>
      <c r="C158" s="329" t="s">
        <v>3061</v>
      </c>
      <c r="D158" s="268" t="s">
        <v>495</v>
      </c>
      <c r="E158" s="251">
        <v>44192.0</v>
      </c>
      <c r="F158" s="250" t="s">
        <v>496</v>
      </c>
      <c r="G158" s="171"/>
      <c r="H158" s="171"/>
      <c r="I158" s="171"/>
      <c r="J158" s="325">
        <f t="shared" si="2"/>
        <v>0</v>
      </c>
      <c r="K158" s="326">
        <f t="shared" si="13"/>
        <v>1.790633609</v>
      </c>
      <c r="L158" s="327">
        <f t="shared" si="4"/>
        <v>5.103338567</v>
      </c>
      <c r="M158" s="321" t="str">
        <f t="shared" si="5"/>
        <v>griffgreen</v>
      </c>
      <c r="N158" s="209">
        <f>IFERROR(__xludf.DUMMYFUNCTION("""COMPUTED_VALUE"""),24.0)</f>
        <v>24</v>
      </c>
      <c r="O158" s="176"/>
      <c r="P158" s="176"/>
      <c r="Q158" s="176"/>
      <c r="R158" s="176"/>
      <c r="S158" s="176"/>
      <c r="T158" s="176"/>
      <c r="U158" s="176"/>
      <c r="V158" s="176"/>
      <c r="W158" s="176"/>
      <c r="X158" s="176"/>
      <c r="Y158" s="176"/>
      <c r="Z158" s="176"/>
    </row>
    <row r="159">
      <c r="A159" s="249" t="s">
        <v>16</v>
      </c>
      <c r="B159" s="249" t="s">
        <v>10</v>
      </c>
      <c r="C159" s="329" t="s">
        <v>3065</v>
      </c>
      <c r="D159" s="268" t="s">
        <v>495</v>
      </c>
      <c r="E159" s="251">
        <v>44192.0</v>
      </c>
      <c r="F159" s="250" t="s">
        <v>496</v>
      </c>
      <c r="G159" s="171"/>
      <c r="H159" s="171"/>
      <c r="I159" s="171"/>
      <c r="J159" s="325">
        <f t="shared" si="2"/>
        <v>0</v>
      </c>
      <c r="K159" s="326">
        <f t="shared" si="13"/>
        <v>1.790633609</v>
      </c>
      <c r="L159" s="327">
        <f t="shared" si="4"/>
        <v>5.103338567</v>
      </c>
      <c r="M159" s="321" t="str">
        <f t="shared" si="5"/>
        <v>griffgreen</v>
      </c>
      <c r="N159" s="209">
        <f>IFERROR(__xludf.DUMMYFUNCTION("""COMPUTED_VALUE"""),25.0)</f>
        <v>25</v>
      </c>
      <c r="O159" s="176"/>
      <c r="P159" s="176"/>
      <c r="Q159" s="176"/>
      <c r="R159" s="176"/>
      <c r="S159" s="176"/>
      <c r="T159" s="176"/>
      <c r="U159" s="176"/>
      <c r="V159" s="176"/>
      <c r="W159" s="176"/>
      <c r="X159" s="176"/>
      <c r="Y159" s="176"/>
      <c r="Z159" s="176"/>
    </row>
    <row r="160">
      <c r="A160" s="249" t="s">
        <v>16</v>
      </c>
      <c r="B160" s="249" t="s">
        <v>18</v>
      </c>
      <c r="C160" s="329" t="s">
        <v>3074</v>
      </c>
      <c r="D160" s="268" t="s">
        <v>495</v>
      </c>
      <c r="E160" s="251">
        <v>44193.0</v>
      </c>
      <c r="F160" s="250" t="s">
        <v>496</v>
      </c>
      <c r="G160" s="171"/>
      <c r="H160" s="171"/>
      <c r="I160" s="171"/>
      <c r="J160" s="325">
        <f t="shared" si="2"/>
        <v>0</v>
      </c>
      <c r="K160" s="326">
        <f t="shared" si="13"/>
        <v>1.790633609</v>
      </c>
      <c r="L160" s="327">
        <f t="shared" si="4"/>
        <v>5.103338567</v>
      </c>
      <c r="M160" s="321" t="str">
        <f t="shared" si="5"/>
        <v>griffgreen</v>
      </c>
      <c r="N160" s="209">
        <f>IFERROR(__xludf.DUMMYFUNCTION("""COMPUTED_VALUE"""),26.0)</f>
        <v>26</v>
      </c>
      <c r="O160" s="176"/>
      <c r="P160" s="176"/>
      <c r="Q160" s="176"/>
      <c r="R160" s="176"/>
      <c r="S160" s="176"/>
      <c r="T160" s="176"/>
      <c r="U160" s="176"/>
      <c r="V160" s="176"/>
      <c r="W160" s="176"/>
      <c r="X160" s="176"/>
      <c r="Y160" s="176"/>
      <c r="Z160" s="176"/>
    </row>
    <row r="161">
      <c r="A161" s="249" t="s">
        <v>16</v>
      </c>
      <c r="B161" s="249" t="s">
        <v>18</v>
      </c>
      <c r="C161" s="329" t="s">
        <v>3077</v>
      </c>
      <c r="D161" s="268" t="s">
        <v>495</v>
      </c>
      <c r="E161" s="251">
        <v>44193.0</v>
      </c>
      <c r="F161" s="250" t="s">
        <v>496</v>
      </c>
      <c r="G161" s="171"/>
      <c r="H161" s="171"/>
      <c r="I161" s="171"/>
      <c r="J161" s="325">
        <f t="shared" si="2"/>
        <v>0</v>
      </c>
      <c r="K161" s="326">
        <f t="shared" si="13"/>
        <v>1.790633609</v>
      </c>
      <c r="L161" s="327">
        <f t="shared" si="4"/>
        <v>5.103338567</v>
      </c>
      <c r="M161" s="321" t="str">
        <f t="shared" si="5"/>
        <v>griffgreen</v>
      </c>
      <c r="N161" s="209">
        <f>IFERROR(__xludf.DUMMYFUNCTION("""COMPUTED_VALUE"""),27.0)</f>
        <v>27</v>
      </c>
      <c r="O161" s="176"/>
      <c r="P161" s="176"/>
      <c r="Q161" s="176"/>
      <c r="R161" s="176"/>
      <c r="S161" s="176"/>
      <c r="T161" s="176"/>
      <c r="U161" s="176"/>
      <c r="V161" s="176"/>
      <c r="W161" s="176"/>
      <c r="X161" s="176"/>
      <c r="Y161" s="176"/>
      <c r="Z161" s="176"/>
    </row>
    <row r="162">
      <c r="A162" s="249" t="s">
        <v>16</v>
      </c>
      <c r="B162" s="249" t="s">
        <v>3120</v>
      </c>
      <c r="C162" s="329" t="s">
        <v>3121</v>
      </c>
      <c r="D162" s="268" t="s">
        <v>495</v>
      </c>
      <c r="E162" s="251">
        <v>44194.0</v>
      </c>
      <c r="F162" s="250" t="s">
        <v>496</v>
      </c>
      <c r="G162" s="171"/>
      <c r="H162" s="171"/>
      <c r="I162" s="171"/>
      <c r="J162" s="325">
        <f t="shared" si="2"/>
        <v>0</v>
      </c>
      <c r="K162" s="326">
        <f t="shared" si="13"/>
        <v>1.790633609</v>
      </c>
      <c r="L162" s="327">
        <f t="shared" si="4"/>
        <v>5.103338567</v>
      </c>
      <c r="M162" s="321" t="str">
        <f t="shared" si="5"/>
        <v>griffgreen</v>
      </c>
      <c r="N162" s="209">
        <f>IFERROR(__xludf.DUMMYFUNCTION("""COMPUTED_VALUE"""),28.0)</f>
        <v>28</v>
      </c>
      <c r="O162" s="176"/>
      <c r="P162" s="176"/>
      <c r="Q162" s="176"/>
      <c r="R162" s="176"/>
      <c r="S162" s="176"/>
      <c r="T162" s="176"/>
      <c r="U162" s="176"/>
      <c r="V162" s="176"/>
      <c r="W162" s="176"/>
      <c r="X162" s="176"/>
      <c r="Y162" s="176"/>
      <c r="Z162" s="176"/>
    </row>
    <row r="163">
      <c r="A163" s="253" t="s">
        <v>16</v>
      </c>
      <c r="B163" s="253" t="s">
        <v>519</v>
      </c>
      <c r="C163" s="256" t="s">
        <v>3102</v>
      </c>
      <c r="D163" s="336" t="s">
        <v>495</v>
      </c>
      <c r="E163" s="255">
        <v>44195.0</v>
      </c>
      <c r="F163" s="254" t="s">
        <v>521</v>
      </c>
      <c r="G163" s="222"/>
      <c r="H163" s="222"/>
      <c r="I163" s="222"/>
      <c r="J163" s="339">
        <f t="shared" si="2"/>
        <v>0</v>
      </c>
      <c r="K163" s="337">
        <f>J163*$J$1</f>
        <v>0</v>
      </c>
      <c r="L163" s="341">
        <f t="shared" si="4"/>
        <v>5.103338567</v>
      </c>
      <c r="M163" s="321" t="str">
        <f t="shared" si="5"/>
        <v>griffgreen</v>
      </c>
      <c r="N163" s="209">
        <f>IFERROR(__xludf.DUMMYFUNCTION("""COMPUTED_VALUE"""),29.0)</f>
        <v>29</v>
      </c>
      <c r="O163" s="209"/>
      <c r="P163" s="209"/>
      <c r="Q163" s="209"/>
      <c r="R163" s="209"/>
      <c r="S163" s="209"/>
      <c r="T163" s="209"/>
      <c r="U163" s="209"/>
      <c r="V163" s="209"/>
      <c r="W163" s="209"/>
      <c r="X163" s="209"/>
      <c r="Y163" s="209"/>
      <c r="Z163" s="209"/>
    </row>
    <row r="164">
      <c r="A164" s="249" t="s">
        <v>16</v>
      </c>
      <c r="B164" s="249" t="s">
        <v>590</v>
      </c>
      <c r="C164" s="329" t="s">
        <v>3071</v>
      </c>
      <c r="D164" s="268" t="s">
        <v>495</v>
      </c>
      <c r="E164" s="251">
        <v>44195.0</v>
      </c>
      <c r="F164" s="250" t="s">
        <v>496</v>
      </c>
      <c r="G164" s="171"/>
      <c r="H164" s="171"/>
      <c r="I164" s="171"/>
      <c r="J164" s="325">
        <f t="shared" si="2"/>
        <v>0</v>
      </c>
      <c r="K164" s="326">
        <f>$N$1</f>
        <v>1.790633609</v>
      </c>
      <c r="L164" s="327">
        <f t="shared" si="4"/>
        <v>5.103338567</v>
      </c>
      <c r="M164" s="321" t="str">
        <f t="shared" si="5"/>
        <v>griffgreen</v>
      </c>
      <c r="N164" s="209">
        <f>IFERROR(__xludf.DUMMYFUNCTION("""COMPUTED_VALUE"""),30.0)</f>
        <v>30</v>
      </c>
      <c r="O164" s="176"/>
      <c r="P164" s="176"/>
      <c r="Q164" s="176"/>
      <c r="R164" s="176"/>
      <c r="S164" s="176"/>
      <c r="T164" s="176"/>
      <c r="U164" s="176"/>
      <c r="V164" s="176"/>
      <c r="W164" s="176"/>
      <c r="X164" s="176"/>
      <c r="Y164" s="176"/>
      <c r="Z164" s="176"/>
    </row>
    <row r="165">
      <c r="A165" s="253" t="s">
        <v>16</v>
      </c>
      <c r="B165" s="253" t="s">
        <v>519</v>
      </c>
      <c r="C165" s="364" t="s">
        <v>3079</v>
      </c>
      <c r="D165" s="336" t="s">
        <v>495</v>
      </c>
      <c r="E165" s="340">
        <v>44197.0</v>
      </c>
      <c r="F165" s="254" t="s">
        <v>496</v>
      </c>
      <c r="G165" s="222"/>
      <c r="H165" s="222"/>
      <c r="I165" s="222"/>
      <c r="J165" s="339">
        <f t="shared" si="2"/>
        <v>0</v>
      </c>
      <c r="K165" s="337">
        <f>J165*$J$1</f>
        <v>0</v>
      </c>
      <c r="L165" s="341">
        <f t="shared" si="4"/>
        <v>5.103338567</v>
      </c>
      <c r="M165" s="321" t="str">
        <f t="shared" si="5"/>
        <v>griffgreen</v>
      </c>
      <c r="N165" s="209">
        <f>IFERROR(__xludf.DUMMYFUNCTION("""COMPUTED_VALUE"""),31.0)</f>
        <v>31</v>
      </c>
      <c r="O165" s="209"/>
      <c r="P165" s="209"/>
      <c r="Q165" s="209"/>
      <c r="R165" s="209"/>
      <c r="S165" s="209"/>
      <c r="T165" s="209"/>
      <c r="U165" s="209"/>
      <c r="V165" s="209"/>
      <c r="W165" s="209"/>
      <c r="X165" s="209"/>
      <c r="Y165" s="209"/>
      <c r="Z165" s="209"/>
    </row>
    <row r="166">
      <c r="A166" s="240" t="s">
        <v>16</v>
      </c>
      <c r="B166" s="240" t="s">
        <v>534</v>
      </c>
      <c r="C166" s="256" t="s">
        <v>684</v>
      </c>
      <c r="D166" s="343"/>
      <c r="E166" s="344"/>
      <c r="F166" s="343"/>
      <c r="G166" s="253"/>
      <c r="H166" s="253"/>
      <c r="I166" s="253"/>
      <c r="J166" s="325"/>
      <c r="K166" s="337">
        <f>34.022*-0.85</f>
        <v>-28.9187</v>
      </c>
      <c r="L166" s="327">
        <f t="shared" si="4"/>
        <v>5.103338567</v>
      </c>
      <c r="M166" s="321" t="str">
        <f t="shared" si="5"/>
        <v>griffgreen</v>
      </c>
      <c r="N166" s="343">
        <f>IFERROR(__xludf.DUMMYFUNCTION("""COMPUTED_VALUE"""),32.0)</f>
        <v>32</v>
      </c>
      <c r="O166" s="343"/>
      <c r="P166" s="343"/>
      <c r="Q166" s="343"/>
      <c r="R166" s="343"/>
      <c r="S166" s="343"/>
      <c r="T166" s="343"/>
      <c r="U166" s="343"/>
      <c r="V166" s="343"/>
      <c r="W166" s="343"/>
      <c r="X166" s="343"/>
      <c r="Y166" s="226"/>
      <c r="Z166" s="226"/>
    </row>
    <row r="167">
      <c r="A167" s="249" t="s">
        <v>16</v>
      </c>
      <c r="B167" s="249" t="s">
        <v>1231</v>
      </c>
      <c r="C167" s="329" t="s">
        <v>3115</v>
      </c>
      <c r="D167" s="268" t="s">
        <v>495</v>
      </c>
      <c r="E167" s="251">
        <v>44184.0</v>
      </c>
      <c r="F167" s="221" t="s">
        <v>2912</v>
      </c>
      <c r="G167" s="222">
        <v>0.0</v>
      </c>
      <c r="H167" s="222">
        <v>0.0</v>
      </c>
      <c r="I167" s="222">
        <v>0.0</v>
      </c>
      <c r="J167" s="325">
        <f t="shared" ref="J167:J361" si="14">(G167/$G$2+H167/$H$2+I167/$I$2)/3</f>
        <v>0</v>
      </c>
      <c r="K167" s="326">
        <f t="shared" ref="K167:K187" si="15">J167*$J$1</f>
        <v>0</v>
      </c>
      <c r="L167" s="327">
        <f t="shared" si="4"/>
        <v>5.103338567</v>
      </c>
      <c r="M167" s="321" t="str">
        <f t="shared" si="5"/>
        <v>griffgreen</v>
      </c>
      <c r="N167" s="209">
        <f>IFERROR(__xludf.DUMMYFUNCTION("""COMPUTED_VALUE"""),33.0)</f>
        <v>33</v>
      </c>
      <c r="O167" s="176"/>
      <c r="P167" s="176"/>
      <c r="Q167" s="176"/>
      <c r="R167" s="176"/>
      <c r="S167" s="176"/>
      <c r="T167" s="176"/>
      <c r="U167" s="176"/>
      <c r="V167" s="176"/>
      <c r="W167" s="176"/>
      <c r="X167" s="176"/>
      <c r="Y167" s="176"/>
      <c r="Z167" s="176"/>
    </row>
    <row r="168">
      <c r="A168" s="249" t="s">
        <v>79</v>
      </c>
      <c r="B168" s="249" t="s">
        <v>1231</v>
      </c>
      <c r="C168" s="219" t="s">
        <v>3122</v>
      </c>
      <c r="D168" s="268" t="s">
        <v>495</v>
      </c>
      <c r="E168" s="251">
        <v>44184.0</v>
      </c>
      <c r="F168" s="250" t="s">
        <v>496</v>
      </c>
      <c r="G168" s="171">
        <v>200.0</v>
      </c>
      <c r="H168" s="171">
        <v>100.0</v>
      </c>
      <c r="I168" s="171">
        <v>150.0</v>
      </c>
      <c r="J168" s="325">
        <f t="shared" si="14"/>
        <v>0.009307386625</v>
      </c>
      <c r="K168" s="326">
        <f t="shared" si="15"/>
        <v>4.033200871</v>
      </c>
      <c r="L168" s="327">
        <f t="shared" si="4"/>
        <v>4.649900029</v>
      </c>
      <c r="M168" s="321" t="str">
        <f t="shared" si="5"/>
        <v>burrrata</v>
      </c>
      <c r="N168" s="209">
        <f>IFERROR(__xludf.DUMMYFUNCTION("""COMPUTED_VALUE"""),1.0)</f>
        <v>1</v>
      </c>
      <c r="O168" s="176"/>
      <c r="P168" s="176"/>
      <c r="Q168" s="176"/>
      <c r="R168" s="176"/>
      <c r="S168" s="176"/>
      <c r="T168" s="176"/>
      <c r="U168" s="176"/>
      <c r="V168" s="176"/>
      <c r="W168" s="176"/>
      <c r="X168" s="176"/>
      <c r="Y168" s="176"/>
      <c r="Z168" s="176"/>
    </row>
    <row r="169">
      <c r="A169" s="249" t="s">
        <v>79</v>
      </c>
      <c r="B169" s="249" t="s">
        <v>519</v>
      </c>
      <c r="C169" s="219" t="s">
        <v>3067</v>
      </c>
      <c r="D169" s="268" t="s">
        <v>495</v>
      </c>
      <c r="E169" s="251">
        <v>44188.0</v>
      </c>
      <c r="F169" s="250" t="s">
        <v>499</v>
      </c>
      <c r="G169" s="171">
        <v>20.0</v>
      </c>
      <c r="H169" s="171">
        <v>25.0</v>
      </c>
      <c r="I169" s="171">
        <v>25.0</v>
      </c>
      <c r="J169" s="325">
        <f t="shared" si="14"/>
        <v>0.001423151902</v>
      </c>
      <c r="K169" s="326">
        <f t="shared" si="15"/>
        <v>0.6166991577</v>
      </c>
      <c r="L169" s="327">
        <f t="shared" si="4"/>
        <v>4.649900029</v>
      </c>
      <c r="M169" s="321" t="str">
        <f t="shared" si="5"/>
        <v>burrrata</v>
      </c>
      <c r="N169" s="209">
        <f>IFERROR(__xludf.DUMMYFUNCTION("""COMPUTED_VALUE"""),2.0)</f>
        <v>2</v>
      </c>
      <c r="O169" s="176"/>
      <c r="P169" s="176"/>
      <c r="Q169" s="176"/>
      <c r="R169" s="176"/>
      <c r="S169" s="176"/>
      <c r="T169" s="176"/>
      <c r="U169" s="176"/>
      <c r="V169" s="176"/>
      <c r="W169" s="176"/>
      <c r="X169" s="176"/>
      <c r="Y169" s="176"/>
      <c r="Z169" s="176"/>
    </row>
    <row r="170">
      <c r="A170" s="249" t="s">
        <v>79</v>
      </c>
      <c r="B170" s="249" t="s">
        <v>1231</v>
      </c>
      <c r="C170" s="219" t="s">
        <v>3122</v>
      </c>
      <c r="D170" s="268" t="s">
        <v>495</v>
      </c>
      <c r="E170" s="251">
        <v>44184.0</v>
      </c>
      <c r="F170" s="254" t="s">
        <v>2912</v>
      </c>
      <c r="G170" s="363">
        <v>0.0</v>
      </c>
      <c r="H170" s="363">
        <v>0.0</v>
      </c>
      <c r="I170" s="363">
        <v>0.0</v>
      </c>
      <c r="J170" s="325">
        <f t="shared" si="14"/>
        <v>0</v>
      </c>
      <c r="K170" s="326">
        <f t="shared" si="15"/>
        <v>0</v>
      </c>
      <c r="L170" s="327">
        <f t="shared" si="4"/>
        <v>4.649900029</v>
      </c>
      <c r="M170" s="321" t="str">
        <f t="shared" si="5"/>
        <v>burrrata</v>
      </c>
      <c r="N170" s="209">
        <f>IFERROR(__xludf.DUMMYFUNCTION("""COMPUTED_VALUE"""),3.0)</f>
        <v>3</v>
      </c>
      <c r="O170" s="176"/>
      <c r="P170" s="176"/>
      <c r="Q170" s="176"/>
      <c r="R170" s="176"/>
      <c r="S170" s="176"/>
      <c r="T170" s="176"/>
      <c r="U170" s="176"/>
      <c r="V170" s="176"/>
      <c r="W170" s="176"/>
      <c r="X170" s="176"/>
      <c r="Y170" s="176"/>
      <c r="Z170" s="176"/>
    </row>
    <row r="171">
      <c r="A171" s="249" t="s">
        <v>35</v>
      </c>
      <c r="B171" s="249" t="s">
        <v>519</v>
      </c>
      <c r="C171" s="219" t="s">
        <v>3098</v>
      </c>
      <c r="D171" s="268" t="s">
        <v>495</v>
      </c>
      <c r="E171" s="251">
        <v>44188.0</v>
      </c>
      <c r="F171" s="250" t="s">
        <v>521</v>
      </c>
      <c r="G171" s="171">
        <v>40.0</v>
      </c>
      <c r="H171" s="171">
        <v>35.0</v>
      </c>
      <c r="I171" s="171">
        <v>50.0</v>
      </c>
      <c r="J171" s="325">
        <f t="shared" si="14"/>
        <v>0.002545461446</v>
      </c>
      <c r="K171" s="326">
        <f t="shared" si="15"/>
        <v>1.103033293</v>
      </c>
      <c r="L171" s="327">
        <f t="shared" si="4"/>
        <v>4.46143213</v>
      </c>
      <c r="M171" s="321" t="str">
        <f t="shared" si="5"/>
        <v>vitormarthendal</v>
      </c>
      <c r="N171" s="209">
        <f>IFERROR(__xludf.DUMMYFUNCTION("""COMPUTED_VALUE"""),1.0)</f>
        <v>1</v>
      </c>
      <c r="O171" s="176"/>
      <c r="P171" s="176"/>
      <c r="Q171" s="176"/>
      <c r="R171" s="176"/>
      <c r="S171" s="176"/>
      <c r="T171" s="176"/>
      <c r="U171" s="176"/>
      <c r="V171" s="176"/>
      <c r="W171" s="176"/>
      <c r="X171" s="176"/>
      <c r="Y171" s="176"/>
      <c r="Z171" s="176"/>
    </row>
    <row r="172">
      <c r="A172" s="249" t="s">
        <v>35</v>
      </c>
      <c r="B172" s="249" t="s">
        <v>519</v>
      </c>
      <c r="C172" s="219" t="s">
        <v>3099</v>
      </c>
      <c r="D172" s="268" t="s">
        <v>495</v>
      </c>
      <c r="E172" s="251">
        <v>44188.0</v>
      </c>
      <c r="F172" s="250" t="s">
        <v>521</v>
      </c>
      <c r="G172" s="171">
        <v>30.0</v>
      </c>
      <c r="H172" s="171">
        <v>25.0</v>
      </c>
      <c r="I172" s="171">
        <v>35.0</v>
      </c>
      <c r="J172" s="325">
        <f t="shared" si="14"/>
        <v>0.001836133168</v>
      </c>
      <c r="K172" s="326">
        <f t="shared" si="15"/>
        <v>0.795657706</v>
      </c>
      <c r="L172" s="327">
        <f t="shared" si="4"/>
        <v>4.46143213</v>
      </c>
      <c r="M172" s="321" t="str">
        <f t="shared" si="5"/>
        <v>vitormarthendal</v>
      </c>
      <c r="N172" s="209">
        <f>IFERROR(__xludf.DUMMYFUNCTION("""COMPUTED_VALUE"""),2.0)</f>
        <v>2</v>
      </c>
      <c r="O172" s="176"/>
      <c r="P172" s="176"/>
      <c r="Q172" s="176"/>
      <c r="R172" s="176"/>
      <c r="S172" s="176"/>
      <c r="T172" s="176"/>
      <c r="U172" s="176"/>
      <c r="V172" s="176"/>
      <c r="W172" s="176"/>
      <c r="X172" s="176"/>
      <c r="Y172" s="176"/>
      <c r="Z172" s="176"/>
    </row>
    <row r="173">
      <c r="A173" s="249" t="s">
        <v>35</v>
      </c>
      <c r="B173" s="249" t="s">
        <v>10</v>
      </c>
      <c r="C173" s="219" t="s">
        <v>3066</v>
      </c>
      <c r="D173" s="268" t="s">
        <v>495</v>
      </c>
      <c r="E173" s="251">
        <v>44192.0</v>
      </c>
      <c r="F173" s="250" t="s">
        <v>496</v>
      </c>
      <c r="G173" s="171">
        <v>30.0</v>
      </c>
      <c r="H173" s="171">
        <v>25.0</v>
      </c>
      <c r="I173" s="171">
        <v>25.0</v>
      </c>
      <c r="J173" s="325">
        <f t="shared" si="14"/>
        <v>0.001644562287</v>
      </c>
      <c r="K173" s="326">
        <f t="shared" si="15"/>
        <v>0.7126436575</v>
      </c>
      <c r="L173" s="327">
        <f t="shared" si="4"/>
        <v>4.46143213</v>
      </c>
      <c r="M173" s="321" t="str">
        <f t="shared" si="5"/>
        <v>vitormarthendal</v>
      </c>
      <c r="N173" s="209">
        <f>IFERROR(__xludf.DUMMYFUNCTION("""COMPUTED_VALUE"""),3.0)</f>
        <v>3</v>
      </c>
      <c r="O173" s="176"/>
      <c r="P173" s="176"/>
      <c r="Q173" s="176"/>
      <c r="R173" s="176"/>
      <c r="S173" s="176"/>
      <c r="T173" s="176"/>
      <c r="U173" s="176"/>
      <c r="V173" s="176"/>
      <c r="W173" s="176"/>
      <c r="X173" s="176"/>
      <c r="Y173" s="176"/>
      <c r="Z173" s="176"/>
    </row>
    <row r="174">
      <c r="A174" s="249" t="s">
        <v>35</v>
      </c>
      <c r="B174" s="249" t="s">
        <v>519</v>
      </c>
      <c r="C174" s="219" t="s">
        <v>2329</v>
      </c>
      <c r="D174" s="268" t="s">
        <v>495</v>
      </c>
      <c r="E174" s="251">
        <v>44188.0</v>
      </c>
      <c r="F174" s="250" t="s">
        <v>521</v>
      </c>
      <c r="G174" s="171">
        <v>20.0</v>
      </c>
      <c r="H174" s="171">
        <v>25.0</v>
      </c>
      <c r="I174" s="171">
        <v>25.0</v>
      </c>
      <c r="J174" s="325">
        <f t="shared" si="14"/>
        <v>0.001423151902</v>
      </c>
      <c r="K174" s="326">
        <f t="shared" si="15"/>
        <v>0.6166991577</v>
      </c>
      <c r="L174" s="327">
        <f t="shared" si="4"/>
        <v>4.46143213</v>
      </c>
      <c r="M174" s="321" t="str">
        <f t="shared" si="5"/>
        <v>vitormarthendal</v>
      </c>
      <c r="N174" s="209">
        <f>IFERROR(__xludf.DUMMYFUNCTION("""COMPUTED_VALUE"""),4.0)</f>
        <v>4</v>
      </c>
      <c r="O174" s="176"/>
      <c r="P174" s="176"/>
      <c r="Q174" s="176"/>
      <c r="R174" s="176"/>
      <c r="S174" s="176"/>
      <c r="T174" s="176"/>
      <c r="U174" s="176"/>
      <c r="V174" s="176"/>
      <c r="W174" s="176"/>
      <c r="X174" s="176"/>
      <c r="Y174" s="176"/>
      <c r="Z174" s="176"/>
    </row>
    <row r="175">
      <c r="A175" s="249" t="s">
        <v>35</v>
      </c>
      <c r="B175" s="249" t="s">
        <v>519</v>
      </c>
      <c r="C175" s="219" t="s">
        <v>3100</v>
      </c>
      <c r="D175" s="268" t="s">
        <v>495</v>
      </c>
      <c r="E175" s="251">
        <v>44188.0</v>
      </c>
      <c r="F175" s="250" t="s">
        <v>521</v>
      </c>
      <c r="G175" s="171">
        <v>20.0</v>
      </c>
      <c r="H175" s="171">
        <v>25.0</v>
      </c>
      <c r="I175" s="171">
        <v>25.0</v>
      </c>
      <c r="J175" s="325">
        <f t="shared" si="14"/>
        <v>0.001423151902</v>
      </c>
      <c r="K175" s="326">
        <f t="shared" si="15"/>
        <v>0.6166991577</v>
      </c>
      <c r="L175" s="327">
        <f t="shared" si="4"/>
        <v>4.46143213</v>
      </c>
      <c r="M175" s="321" t="str">
        <f t="shared" si="5"/>
        <v>vitormarthendal</v>
      </c>
      <c r="N175" s="209">
        <f>IFERROR(__xludf.DUMMYFUNCTION("""COMPUTED_VALUE"""),5.0)</f>
        <v>5</v>
      </c>
      <c r="O175" s="176"/>
      <c r="P175" s="176"/>
      <c r="Q175" s="176"/>
      <c r="R175" s="176"/>
      <c r="S175" s="176"/>
      <c r="T175" s="176"/>
      <c r="U175" s="176"/>
      <c r="V175" s="176"/>
      <c r="W175" s="176"/>
      <c r="X175" s="176"/>
      <c r="Y175" s="176"/>
      <c r="Z175" s="176"/>
    </row>
    <row r="176">
      <c r="A176" s="249" t="s">
        <v>35</v>
      </c>
      <c r="B176" s="249" t="s">
        <v>519</v>
      </c>
      <c r="C176" s="219" t="s">
        <v>3102</v>
      </c>
      <c r="D176" s="268" t="s">
        <v>495</v>
      </c>
      <c r="E176" s="251">
        <v>44195.0</v>
      </c>
      <c r="F176" s="250" t="s">
        <v>521</v>
      </c>
      <c r="G176" s="171">
        <v>20.0</v>
      </c>
      <c r="H176" s="171">
        <v>25.0</v>
      </c>
      <c r="I176" s="171">
        <v>25.0</v>
      </c>
      <c r="J176" s="325">
        <f t="shared" si="14"/>
        <v>0.001423151902</v>
      </c>
      <c r="K176" s="326">
        <f t="shared" si="15"/>
        <v>0.6166991577</v>
      </c>
      <c r="L176" s="327">
        <f t="shared" si="4"/>
        <v>4.46143213</v>
      </c>
      <c r="M176" s="321" t="str">
        <f t="shared" si="5"/>
        <v>vitormarthendal</v>
      </c>
      <c r="N176" s="209">
        <f>IFERROR(__xludf.DUMMYFUNCTION("""COMPUTED_VALUE"""),6.0)</f>
        <v>6</v>
      </c>
      <c r="O176" s="176"/>
      <c r="P176" s="176"/>
      <c r="Q176" s="176"/>
      <c r="R176" s="176"/>
      <c r="S176" s="176"/>
      <c r="T176" s="176"/>
      <c r="U176" s="176"/>
      <c r="V176" s="176"/>
      <c r="W176" s="176"/>
      <c r="X176" s="176"/>
      <c r="Y176" s="176"/>
      <c r="Z176" s="176"/>
    </row>
    <row r="177">
      <c r="A177" s="249" t="s">
        <v>84</v>
      </c>
      <c r="B177" s="249" t="s">
        <v>77</v>
      </c>
      <c r="C177" s="219" t="s">
        <v>3123</v>
      </c>
      <c r="D177" s="268" t="s">
        <v>495</v>
      </c>
      <c r="E177" s="251">
        <v>44185.0</v>
      </c>
      <c r="F177" s="250" t="s">
        <v>499</v>
      </c>
      <c r="G177" s="171">
        <v>150.0</v>
      </c>
      <c r="H177" s="171">
        <v>200.0</v>
      </c>
      <c r="I177" s="171">
        <v>150.0</v>
      </c>
      <c r="J177" s="325">
        <f t="shared" si="14"/>
        <v>0.01020595043</v>
      </c>
      <c r="K177" s="326">
        <f t="shared" si="15"/>
        <v>4.422578519</v>
      </c>
      <c r="L177" s="327">
        <f t="shared" si="4"/>
        <v>4.422578519</v>
      </c>
      <c r="M177" s="321" t="str">
        <f t="shared" si="5"/>
        <v>gracerachmany</v>
      </c>
      <c r="N177" s="209">
        <f>IFERROR(__xludf.DUMMYFUNCTION("""COMPUTED_VALUE"""),1.0)</f>
        <v>1</v>
      </c>
      <c r="O177" s="176"/>
      <c r="P177" s="176"/>
      <c r="Q177" s="176"/>
      <c r="R177" s="176"/>
      <c r="S177" s="176"/>
      <c r="T177" s="176"/>
      <c r="U177" s="176"/>
      <c r="V177" s="176"/>
      <c r="W177" s="176"/>
      <c r="X177" s="176"/>
      <c r="Y177" s="176"/>
      <c r="Z177" s="176"/>
    </row>
    <row r="178">
      <c r="A178" s="249" t="s">
        <v>43</v>
      </c>
      <c r="B178" s="249" t="s">
        <v>25</v>
      </c>
      <c r="C178" s="219" t="s">
        <v>3124</v>
      </c>
      <c r="D178" s="268" t="s">
        <v>495</v>
      </c>
      <c r="E178" s="251">
        <v>44187.0</v>
      </c>
      <c r="F178" s="250" t="s">
        <v>496</v>
      </c>
      <c r="G178" s="171">
        <v>230.0</v>
      </c>
      <c r="H178" s="171">
        <v>400.0</v>
      </c>
      <c r="I178" s="171">
        <v>200.0</v>
      </c>
      <c r="J178" s="325">
        <f t="shared" si="14"/>
        <v>0.01694631936</v>
      </c>
      <c r="K178" s="326">
        <f t="shared" si="15"/>
        <v>7.343405054</v>
      </c>
      <c r="L178" s="327">
        <f t="shared" si="4"/>
        <v>4.248996007</v>
      </c>
      <c r="M178" s="321" t="str">
        <f t="shared" si="5"/>
        <v>markop</v>
      </c>
      <c r="N178" s="209">
        <f>IFERROR(__xludf.DUMMYFUNCTION("""COMPUTED_VALUE"""),1.0)</f>
        <v>1</v>
      </c>
      <c r="O178" s="176"/>
      <c r="P178" s="176"/>
      <c r="Q178" s="176"/>
      <c r="R178" s="176"/>
      <c r="S178" s="176"/>
      <c r="T178" s="176"/>
      <c r="U178" s="176"/>
      <c r="V178" s="176"/>
      <c r="W178" s="176"/>
      <c r="X178" s="176"/>
      <c r="Y178" s="176"/>
      <c r="Z178" s="176"/>
    </row>
    <row r="179">
      <c r="A179" s="249" t="s">
        <v>43</v>
      </c>
      <c r="B179" s="249" t="s">
        <v>10</v>
      </c>
      <c r="C179" s="219" t="s">
        <v>3125</v>
      </c>
      <c r="D179" s="268" t="s">
        <v>495</v>
      </c>
      <c r="E179" s="251">
        <v>44192.0</v>
      </c>
      <c r="F179" s="250" t="s">
        <v>496</v>
      </c>
      <c r="G179" s="171">
        <v>200.0</v>
      </c>
      <c r="H179" s="171">
        <v>300.0</v>
      </c>
      <c r="I179" s="171">
        <v>200.0</v>
      </c>
      <c r="J179" s="325">
        <f t="shared" si="14"/>
        <v>0.01427647248</v>
      </c>
      <c r="K179" s="326">
        <f t="shared" si="15"/>
        <v>6.186471408</v>
      </c>
      <c r="L179" s="327">
        <f t="shared" si="4"/>
        <v>4.248996007</v>
      </c>
      <c r="M179" s="321" t="str">
        <f t="shared" si="5"/>
        <v>markop</v>
      </c>
      <c r="N179" s="209">
        <f>IFERROR(__xludf.DUMMYFUNCTION("""COMPUTED_VALUE"""),2.0)</f>
        <v>2</v>
      </c>
      <c r="O179" s="176"/>
      <c r="P179" s="176"/>
      <c r="Q179" s="176"/>
      <c r="R179" s="176"/>
      <c r="S179" s="176"/>
      <c r="T179" s="176"/>
      <c r="U179" s="176"/>
      <c r="V179" s="176"/>
      <c r="W179" s="176"/>
      <c r="X179" s="176"/>
      <c r="Y179" s="176"/>
      <c r="Z179" s="176"/>
    </row>
    <row r="180">
      <c r="A180" s="249" t="s">
        <v>43</v>
      </c>
      <c r="B180" s="249" t="s">
        <v>1231</v>
      </c>
      <c r="C180" s="219" t="s">
        <v>3126</v>
      </c>
      <c r="D180" s="268" t="s">
        <v>495</v>
      </c>
      <c r="E180" s="251">
        <v>44184.0</v>
      </c>
      <c r="F180" s="250" t="s">
        <v>496</v>
      </c>
      <c r="G180" s="171">
        <v>150.0</v>
      </c>
      <c r="H180" s="171">
        <v>200.0</v>
      </c>
      <c r="I180" s="171">
        <v>150.0</v>
      </c>
      <c r="J180" s="325">
        <f t="shared" si="14"/>
        <v>0.01020595043</v>
      </c>
      <c r="K180" s="326">
        <f t="shared" si="15"/>
        <v>4.422578519</v>
      </c>
      <c r="L180" s="327">
        <f t="shared" si="4"/>
        <v>4.248996007</v>
      </c>
      <c r="M180" s="321" t="str">
        <f t="shared" si="5"/>
        <v>markop</v>
      </c>
      <c r="N180" s="209">
        <f>IFERROR(__xludf.DUMMYFUNCTION("""COMPUTED_VALUE"""),3.0)</f>
        <v>3</v>
      </c>
      <c r="O180" s="176"/>
      <c r="P180" s="176"/>
      <c r="Q180" s="176"/>
      <c r="R180" s="176"/>
      <c r="S180" s="176"/>
      <c r="T180" s="176"/>
      <c r="U180" s="176"/>
      <c r="V180" s="176"/>
      <c r="W180" s="176"/>
      <c r="X180" s="176"/>
      <c r="Y180" s="176"/>
      <c r="Z180" s="176"/>
    </row>
    <row r="181">
      <c r="A181" s="249" t="s">
        <v>43</v>
      </c>
      <c r="B181" s="249" t="s">
        <v>590</v>
      </c>
      <c r="C181" s="219" t="s">
        <v>3127</v>
      </c>
      <c r="D181" s="268" t="s">
        <v>495</v>
      </c>
      <c r="E181" s="251">
        <v>44188.0</v>
      </c>
      <c r="F181" s="250" t="s">
        <v>496</v>
      </c>
      <c r="G181" s="171">
        <v>120.0</v>
      </c>
      <c r="H181" s="171">
        <v>200.0</v>
      </c>
      <c r="I181" s="171">
        <v>120.0</v>
      </c>
      <c r="J181" s="325">
        <f t="shared" si="14"/>
        <v>0.008967006633</v>
      </c>
      <c r="K181" s="326">
        <f t="shared" si="15"/>
        <v>3.885702874</v>
      </c>
      <c r="L181" s="327">
        <f t="shared" si="4"/>
        <v>4.248996007</v>
      </c>
      <c r="M181" s="321" t="str">
        <f t="shared" si="5"/>
        <v>markop</v>
      </c>
      <c r="N181" s="209">
        <f>IFERROR(__xludf.DUMMYFUNCTION("""COMPUTED_VALUE"""),4.0)</f>
        <v>4</v>
      </c>
      <c r="O181" s="176"/>
      <c r="P181" s="176"/>
      <c r="Q181" s="176"/>
      <c r="R181" s="176"/>
      <c r="S181" s="176"/>
      <c r="T181" s="176"/>
      <c r="U181" s="176"/>
      <c r="V181" s="176"/>
      <c r="W181" s="176"/>
      <c r="X181" s="176"/>
      <c r="Y181" s="176"/>
      <c r="Z181" s="176"/>
    </row>
    <row r="182">
      <c r="A182" s="249" t="s">
        <v>43</v>
      </c>
      <c r="B182" s="249" t="s">
        <v>867</v>
      </c>
      <c r="C182" s="219" t="s">
        <v>3128</v>
      </c>
      <c r="D182" s="268" t="s">
        <v>495</v>
      </c>
      <c r="E182" s="251">
        <v>44188.0</v>
      </c>
      <c r="F182" s="250" t="s">
        <v>496</v>
      </c>
      <c r="G182" s="171">
        <v>100.0</v>
      </c>
      <c r="H182" s="171">
        <v>100.0</v>
      </c>
      <c r="I182" s="171">
        <v>100.0</v>
      </c>
      <c r="J182" s="325">
        <f t="shared" si="14"/>
        <v>0.006135428378</v>
      </c>
      <c r="K182" s="326">
        <f t="shared" si="15"/>
        <v>2.65868563</v>
      </c>
      <c r="L182" s="327">
        <f t="shared" si="4"/>
        <v>4.248996007</v>
      </c>
      <c r="M182" s="321" t="str">
        <f t="shared" si="5"/>
        <v>markop</v>
      </c>
      <c r="N182" s="209">
        <f>IFERROR(__xludf.DUMMYFUNCTION("""COMPUTED_VALUE"""),5.0)</f>
        <v>5</v>
      </c>
      <c r="O182" s="176"/>
      <c r="P182" s="176"/>
      <c r="Q182" s="176"/>
      <c r="R182" s="176"/>
      <c r="S182" s="176"/>
      <c r="T182" s="176"/>
      <c r="U182" s="176"/>
      <c r="V182" s="176"/>
      <c r="W182" s="176"/>
      <c r="X182" s="176"/>
      <c r="Y182" s="176"/>
      <c r="Z182" s="176"/>
    </row>
    <row r="183">
      <c r="A183" s="249" t="s">
        <v>43</v>
      </c>
      <c r="B183" s="249" t="s">
        <v>519</v>
      </c>
      <c r="C183" s="219" t="s">
        <v>3098</v>
      </c>
      <c r="D183" s="268" t="s">
        <v>495</v>
      </c>
      <c r="E183" s="251">
        <v>44188.0</v>
      </c>
      <c r="F183" s="250" t="s">
        <v>521</v>
      </c>
      <c r="G183" s="171">
        <v>40.0</v>
      </c>
      <c r="H183" s="171">
        <v>35.0</v>
      </c>
      <c r="I183" s="171">
        <v>50.0</v>
      </c>
      <c r="J183" s="325">
        <f t="shared" si="14"/>
        <v>0.002545461446</v>
      </c>
      <c r="K183" s="326">
        <f t="shared" si="15"/>
        <v>1.103033293</v>
      </c>
      <c r="L183" s="327">
        <f t="shared" si="4"/>
        <v>4.248996007</v>
      </c>
      <c r="M183" s="321" t="str">
        <f t="shared" si="5"/>
        <v>markop</v>
      </c>
      <c r="N183" s="209">
        <f>IFERROR(__xludf.DUMMYFUNCTION("""COMPUTED_VALUE"""),6.0)</f>
        <v>6</v>
      </c>
      <c r="O183" s="176"/>
      <c r="P183" s="176"/>
      <c r="Q183" s="176"/>
      <c r="R183" s="176"/>
      <c r="S183" s="176"/>
      <c r="T183" s="176"/>
      <c r="U183" s="176"/>
      <c r="V183" s="176"/>
      <c r="W183" s="176"/>
      <c r="X183" s="176"/>
      <c r="Y183" s="176"/>
      <c r="Z183" s="176"/>
    </row>
    <row r="184">
      <c r="A184" s="249" t="s">
        <v>43</v>
      </c>
      <c r="B184" s="249" t="s">
        <v>519</v>
      </c>
      <c r="C184" s="219" t="s">
        <v>2329</v>
      </c>
      <c r="D184" s="268" t="s">
        <v>495</v>
      </c>
      <c r="E184" s="251">
        <v>44188.0</v>
      </c>
      <c r="F184" s="250" t="s">
        <v>521</v>
      </c>
      <c r="G184" s="171">
        <v>20.0</v>
      </c>
      <c r="H184" s="171">
        <v>25.0</v>
      </c>
      <c r="I184" s="171">
        <v>40.0</v>
      </c>
      <c r="J184" s="325">
        <f t="shared" si="14"/>
        <v>0.001710508224</v>
      </c>
      <c r="K184" s="326">
        <f t="shared" si="15"/>
        <v>0.7412202305</v>
      </c>
      <c r="L184" s="327">
        <f t="shared" si="4"/>
        <v>4.248996007</v>
      </c>
      <c r="M184" s="321" t="str">
        <f t="shared" si="5"/>
        <v>markop</v>
      </c>
      <c r="N184" s="209">
        <f>IFERROR(__xludf.DUMMYFUNCTION("""COMPUTED_VALUE"""),7.0)</f>
        <v>7</v>
      </c>
      <c r="O184" s="176"/>
      <c r="P184" s="176"/>
      <c r="Q184" s="176"/>
      <c r="R184" s="176"/>
      <c r="S184" s="176"/>
      <c r="T184" s="176"/>
      <c r="U184" s="176"/>
      <c r="V184" s="176"/>
      <c r="W184" s="176"/>
      <c r="X184" s="176"/>
      <c r="Y184" s="176"/>
      <c r="Z184" s="176"/>
    </row>
    <row r="185">
      <c r="A185" s="249" t="s">
        <v>43</v>
      </c>
      <c r="B185" s="249" t="s">
        <v>10</v>
      </c>
      <c r="C185" s="219" t="s">
        <v>3066</v>
      </c>
      <c r="D185" s="268" t="s">
        <v>495</v>
      </c>
      <c r="E185" s="251">
        <v>44192.0</v>
      </c>
      <c r="F185" s="250" t="s">
        <v>496</v>
      </c>
      <c r="G185" s="171">
        <v>30.0</v>
      </c>
      <c r="H185" s="171">
        <v>25.0</v>
      </c>
      <c r="I185" s="171">
        <v>25.0</v>
      </c>
      <c r="J185" s="325">
        <f t="shared" si="14"/>
        <v>0.001644562287</v>
      </c>
      <c r="K185" s="326">
        <f t="shared" si="15"/>
        <v>0.7126436575</v>
      </c>
      <c r="L185" s="327">
        <f t="shared" si="4"/>
        <v>4.248996007</v>
      </c>
      <c r="M185" s="321" t="str">
        <f t="shared" si="5"/>
        <v>markop</v>
      </c>
      <c r="N185" s="209">
        <f>IFERROR(__xludf.DUMMYFUNCTION("""COMPUTED_VALUE"""),8.0)</f>
        <v>8</v>
      </c>
      <c r="O185" s="176"/>
      <c r="P185" s="176"/>
      <c r="Q185" s="176"/>
      <c r="R185" s="176"/>
      <c r="S185" s="176"/>
      <c r="T185" s="176"/>
      <c r="U185" s="176"/>
      <c r="V185" s="176"/>
      <c r="W185" s="176"/>
      <c r="X185" s="176"/>
      <c r="Y185" s="176"/>
      <c r="Z185" s="176"/>
    </row>
    <row r="186">
      <c r="A186" s="249" t="s">
        <v>43</v>
      </c>
      <c r="B186" s="249" t="s">
        <v>519</v>
      </c>
      <c r="C186" s="219" t="s">
        <v>3100</v>
      </c>
      <c r="D186" s="268" t="s">
        <v>495</v>
      </c>
      <c r="E186" s="251">
        <v>44188.0</v>
      </c>
      <c r="F186" s="250" t="s">
        <v>521</v>
      </c>
      <c r="G186" s="171">
        <v>20.0</v>
      </c>
      <c r="H186" s="171">
        <v>25.0</v>
      </c>
      <c r="I186" s="171">
        <v>30.0</v>
      </c>
      <c r="J186" s="325">
        <f t="shared" si="14"/>
        <v>0.001518937343</v>
      </c>
      <c r="K186" s="326">
        <f t="shared" si="15"/>
        <v>0.658206182</v>
      </c>
      <c r="L186" s="327">
        <f t="shared" si="4"/>
        <v>4.248996007</v>
      </c>
      <c r="M186" s="321" t="str">
        <f t="shared" si="5"/>
        <v>markop</v>
      </c>
      <c r="N186" s="209">
        <f>IFERROR(__xludf.DUMMYFUNCTION("""COMPUTED_VALUE"""),9.0)</f>
        <v>9</v>
      </c>
      <c r="O186" s="176"/>
      <c r="P186" s="176"/>
      <c r="Q186" s="176"/>
      <c r="R186" s="176"/>
      <c r="S186" s="176"/>
      <c r="T186" s="176"/>
      <c r="U186" s="176"/>
      <c r="V186" s="176"/>
      <c r="W186" s="176"/>
      <c r="X186" s="176"/>
      <c r="Y186" s="176"/>
      <c r="Z186" s="176"/>
    </row>
    <row r="187">
      <c r="A187" s="249" t="s">
        <v>43</v>
      </c>
      <c r="B187" s="249" t="s">
        <v>519</v>
      </c>
      <c r="C187" s="219" t="s">
        <v>3067</v>
      </c>
      <c r="D187" s="268" t="s">
        <v>495</v>
      </c>
      <c r="E187" s="251">
        <v>44188.0</v>
      </c>
      <c r="F187" s="250" t="s">
        <v>499</v>
      </c>
      <c r="G187" s="171">
        <v>20.0</v>
      </c>
      <c r="H187" s="171">
        <v>25.0</v>
      </c>
      <c r="I187" s="171">
        <v>25.0</v>
      </c>
      <c r="J187" s="325">
        <f t="shared" si="14"/>
        <v>0.001423151902</v>
      </c>
      <c r="K187" s="326">
        <f t="shared" si="15"/>
        <v>0.6166991577</v>
      </c>
      <c r="L187" s="327">
        <f t="shared" si="4"/>
        <v>4.248996007</v>
      </c>
      <c r="M187" s="321" t="str">
        <f t="shared" si="5"/>
        <v>markop</v>
      </c>
      <c r="N187" s="209">
        <f>IFERROR(__xludf.DUMMYFUNCTION("""COMPUTED_VALUE"""),10.0)</f>
        <v>10</v>
      </c>
      <c r="O187" s="176"/>
      <c r="P187" s="176"/>
      <c r="Q187" s="176"/>
      <c r="R187" s="176"/>
      <c r="S187" s="176"/>
      <c r="T187" s="176"/>
      <c r="U187" s="176"/>
      <c r="V187" s="176"/>
      <c r="W187" s="176"/>
      <c r="X187" s="176"/>
      <c r="Y187" s="176"/>
      <c r="Z187" s="176"/>
    </row>
    <row r="188">
      <c r="A188" s="343" t="s">
        <v>43</v>
      </c>
      <c r="B188" s="240" t="s">
        <v>534</v>
      </c>
      <c r="C188" s="221" t="s">
        <v>794</v>
      </c>
      <c r="D188" s="336"/>
      <c r="E188" s="255"/>
      <c r="F188" s="254"/>
      <c r="G188" s="222"/>
      <c r="H188" s="222"/>
      <c r="I188" s="222"/>
      <c r="J188" s="325">
        <f t="shared" si="14"/>
        <v>0</v>
      </c>
      <c r="K188" s="345">
        <f>28.329*-0.85</f>
        <v>-24.07965</v>
      </c>
      <c r="L188" s="327">
        <f t="shared" si="4"/>
        <v>4.248996007</v>
      </c>
      <c r="M188" s="321" t="str">
        <f t="shared" si="5"/>
        <v>markop</v>
      </c>
      <c r="N188" s="209">
        <f>IFERROR(__xludf.DUMMYFUNCTION("""COMPUTED_VALUE"""),11.0)</f>
        <v>11</v>
      </c>
      <c r="O188" s="209"/>
      <c r="P188" s="209"/>
      <c r="Q188" s="209"/>
      <c r="R188" s="209">
        <v>18.848124090566696</v>
      </c>
      <c r="S188" s="209"/>
      <c r="T188" s="209"/>
      <c r="U188" s="209"/>
      <c r="V188" s="209"/>
      <c r="W188" s="209"/>
      <c r="X188" s="209"/>
      <c r="Y188" s="176"/>
      <c r="Z188" s="176"/>
    </row>
    <row r="189">
      <c r="A189" s="249" t="s">
        <v>14</v>
      </c>
      <c r="B189" s="249" t="s">
        <v>1231</v>
      </c>
      <c r="C189" s="219" t="s">
        <v>3126</v>
      </c>
      <c r="D189" s="268" t="s">
        <v>495</v>
      </c>
      <c r="E189" s="251">
        <v>44184.0</v>
      </c>
      <c r="F189" s="250" t="s">
        <v>496</v>
      </c>
      <c r="G189" s="171">
        <v>150.0</v>
      </c>
      <c r="H189" s="171">
        <v>150.0</v>
      </c>
      <c r="I189" s="171">
        <v>150.0</v>
      </c>
      <c r="J189" s="325">
        <f t="shared" si="14"/>
        <v>0.009203142567</v>
      </c>
      <c r="K189" s="326">
        <f t="shared" ref="K189:K205" si="16">J189*$J$1</f>
        <v>3.988028446</v>
      </c>
      <c r="L189" s="327">
        <f t="shared" si="4"/>
        <v>3.38736106</v>
      </c>
      <c r="M189" s="321" t="str">
        <f t="shared" si="5"/>
        <v>jessicazartler</v>
      </c>
      <c r="N189" s="209">
        <f>IFERROR(__xludf.DUMMYFUNCTION("""COMPUTED_VALUE"""),1.0)</f>
        <v>1</v>
      </c>
      <c r="O189" s="176"/>
      <c r="P189" s="176"/>
      <c r="Q189" s="176"/>
      <c r="R189" s="176"/>
      <c r="S189" s="176"/>
      <c r="T189" s="176"/>
      <c r="U189" s="176"/>
      <c r="V189" s="176"/>
      <c r="W189" s="176"/>
      <c r="X189" s="176"/>
      <c r="Y189" s="176"/>
      <c r="Z189" s="176"/>
    </row>
    <row r="190">
      <c r="A190" s="249" t="s">
        <v>14</v>
      </c>
      <c r="B190" s="249" t="s">
        <v>519</v>
      </c>
      <c r="C190" s="219" t="s">
        <v>3079</v>
      </c>
      <c r="D190" s="268" t="s">
        <v>495</v>
      </c>
      <c r="E190" s="361">
        <v>44197.0</v>
      </c>
      <c r="F190" s="250" t="s">
        <v>496</v>
      </c>
      <c r="G190" s="171">
        <v>120.0</v>
      </c>
      <c r="H190" s="171">
        <v>150.0</v>
      </c>
      <c r="I190" s="171">
        <v>150.0</v>
      </c>
      <c r="J190" s="325">
        <f t="shared" si="14"/>
        <v>0.008538911414</v>
      </c>
      <c r="K190" s="326">
        <f t="shared" si="16"/>
        <v>3.700194946</v>
      </c>
      <c r="L190" s="327">
        <f t="shared" si="4"/>
        <v>3.38736106</v>
      </c>
      <c r="M190" s="321" t="str">
        <f t="shared" si="5"/>
        <v>jessicazartler</v>
      </c>
      <c r="N190" s="209">
        <f>IFERROR(__xludf.DUMMYFUNCTION("""COMPUTED_VALUE"""),2.0)</f>
        <v>2</v>
      </c>
      <c r="O190" s="176"/>
      <c r="P190" s="176"/>
      <c r="Q190" s="176"/>
      <c r="R190" s="176"/>
      <c r="S190" s="176"/>
      <c r="T190" s="176"/>
      <c r="U190" s="176"/>
      <c r="V190" s="176"/>
      <c r="W190" s="176"/>
      <c r="X190" s="176"/>
      <c r="Y190" s="176"/>
      <c r="Z190" s="176"/>
    </row>
    <row r="191">
      <c r="A191" s="249" t="s">
        <v>14</v>
      </c>
      <c r="B191" s="249" t="s">
        <v>590</v>
      </c>
      <c r="C191" s="219" t="s">
        <v>3129</v>
      </c>
      <c r="D191" s="268" t="s">
        <v>495</v>
      </c>
      <c r="E191" s="251">
        <v>44186.0</v>
      </c>
      <c r="F191" s="250" t="s">
        <v>496</v>
      </c>
      <c r="G191" s="171">
        <v>100.0</v>
      </c>
      <c r="H191" s="171">
        <v>100.0</v>
      </c>
      <c r="I191" s="171">
        <v>100.0</v>
      </c>
      <c r="J191" s="325">
        <f t="shared" si="14"/>
        <v>0.006135428378</v>
      </c>
      <c r="K191" s="326">
        <f t="shared" si="16"/>
        <v>2.65868563</v>
      </c>
      <c r="L191" s="327">
        <f t="shared" si="4"/>
        <v>3.38736106</v>
      </c>
      <c r="M191" s="321" t="str">
        <f t="shared" si="5"/>
        <v>jessicazartler</v>
      </c>
      <c r="N191" s="209">
        <f>IFERROR(__xludf.DUMMYFUNCTION("""COMPUTED_VALUE"""),3.0)</f>
        <v>3</v>
      </c>
      <c r="O191" s="176"/>
      <c r="P191" s="176"/>
      <c r="Q191" s="176"/>
      <c r="R191" s="176"/>
      <c r="S191" s="176"/>
      <c r="T191" s="176"/>
      <c r="U191" s="176"/>
      <c r="V191" s="176"/>
      <c r="W191" s="176"/>
      <c r="X191" s="176"/>
      <c r="Y191" s="176"/>
      <c r="Z191" s="176"/>
    </row>
    <row r="192">
      <c r="A192" s="249" t="s">
        <v>14</v>
      </c>
      <c r="B192" s="249" t="s">
        <v>10</v>
      </c>
      <c r="C192" s="219" t="s">
        <v>3061</v>
      </c>
      <c r="D192" s="268" t="s">
        <v>495</v>
      </c>
      <c r="E192" s="251">
        <v>44192.0</v>
      </c>
      <c r="F192" s="250" t="s">
        <v>496</v>
      </c>
      <c r="G192" s="171">
        <v>45.0</v>
      </c>
      <c r="H192" s="171">
        <v>25.0</v>
      </c>
      <c r="I192" s="171">
        <v>150.0</v>
      </c>
      <c r="J192" s="325">
        <f t="shared" si="14"/>
        <v>0.004371313878</v>
      </c>
      <c r="K192" s="326">
        <f t="shared" si="16"/>
        <v>1.894236014</v>
      </c>
      <c r="L192" s="327">
        <f t="shared" si="4"/>
        <v>3.38736106</v>
      </c>
      <c r="M192" s="321" t="str">
        <f t="shared" si="5"/>
        <v>jessicazartler</v>
      </c>
      <c r="N192" s="209">
        <f>IFERROR(__xludf.DUMMYFUNCTION("""COMPUTED_VALUE"""),4.0)</f>
        <v>4</v>
      </c>
      <c r="O192" s="176"/>
      <c r="P192" s="176"/>
      <c r="Q192" s="176"/>
      <c r="R192" s="176"/>
      <c r="S192" s="176"/>
      <c r="T192" s="176"/>
      <c r="U192" s="176"/>
      <c r="V192" s="176"/>
      <c r="W192" s="176"/>
      <c r="X192" s="176"/>
      <c r="Y192" s="176"/>
      <c r="Z192" s="176"/>
    </row>
    <row r="193">
      <c r="A193" s="249" t="s">
        <v>14</v>
      </c>
      <c r="B193" s="249" t="s">
        <v>1231</v>
      </c>
      <c r="C193" s="219" t="s">
        <v>3130</v>
      </c>
      <c r="D193" s="268" t="s">
        <v>495</v>
      </c>
      <c r="E193" s="251">
        <v>44184.0</v>
      </c>
      <c r="F193" s="250" t="s">
        <v>496</v>
      </c>
      <c r="G193" s="171">
        <v>50.0</v>
      </c>
      <c r="H193" s="171">
        <v>25.0</v>
      </c>
      <c r="I193" s="171">
        <v>100.0</v>
      </c>
      <c r="J193" s="325">
        <f t="shared" si="14"/>
        <v>0.003524164664</v>
      </c>
      <c r="K193" s="326">
        <f t="shared" si="16"/>
        <v>1.527138021</v>
      </c>
      <c r="L193" s="327">
        <f t="shared" si="4"/>
        <v>3.38736106</v>
      </c>
      <c r="M193" s="321" t="str">
        <f t="shared" si="5"/>
        <v>jessicazartler</v>
      </c>
      <c r="N193" s="209">
        <f>IFERROR(__xludf.DUMMYFUNCTION("""COMPUTED_VALUE"""),5.0)</f>
        <v>5</v>
      </c>
      <c r="O193" s="176"/>
      <c r="P193" s="176"/>
      <c r="Q193" s="176"/>
      <c r="R193" s="176"/>
      <c r="S193" s="176"/>
      <c r="T193" s="176"/>
      <c r="U193" s="176"/>
      <c r="V193" s="176"/>
      <c r="W193" s="176"/>
      <c r="X193" s="176"/>
      <c r="Y193" s="176"/>
      <c r="Z193" s="176"/>
    </row>
    <row r="194">
      <c r="A194" s="249" t="s">
        <v>14</v>
      </c>
      <c r="B194" s="249" t="s">
        <v>10</v>
      </c>
      <c r="C194" s="219" t="s">
        <v>3131</v>
      </c>
      <c r="D194" s="268" t="s">
        <v>495</v>
      </c>
      <c r="E194" s="251">
        <v>44192.0</v>
      </c>
      <c r="F194" s="250" t="s">
        <v>496</v>
      </c>
      <c r="G194" s="171">
        <v>50.0</v>
      </c>
      <c r="H194" s="171">
        <v>25.0</v>
      </c>
      <c r="I194" s="171">
        <v>100.0</v>
      </c>
      <c r="J194" s="325">
        <f t="shared" si="14"/>
        <v>0.003524164664</v>
      </c>
      <c r="K194" s="326">
        <f t="shared" si="16"/>
        <v>1.527138021</v>
      </c>
      <c r="L194" s="327">
        <f t="shared" si="4"/>
        <v>3.38736106</v>
      </c>
      <c r="M194" s="321" t="str">
        <f t="shared" si="5"/>
        <v>jessicazartler</v>
      </c>
      <c r="N194" s="209">
        <f>IFERROR(__xludf.DUMMYFUNCTION("""COMPUTED_VALUE"""),6.0)</f>
        <v>6</v>
      </c>
      <c r="O194" s="176"/>
      <c r="P194" s="176"/>
      <c r="Q194" s="176"/>
      <c r="R194" s="176"/>
      <c r="S194" s="176"/>
      <c r="T194" s="176"/>
      <c r="U194" s="176"/>
      <c r="V194" s="176"/>
      <c r="W194" s="176"/>
      <c r="X194" s="176"/>
      <c r="Y194" s="176"/>
      <c r="Z194" s="176"/>
    </row>
    <row r="195">
      <c r="A195" s="249" t="s">
        <v>14</v>
      </c>
      <c r="B195" s="249" t="s">
        <v>5</v>
      </c>
      <c r="C195" s="219" t="s">
        <v>3073</v>
      </c>
      <c r="D195" s="268" t="s">
        <v>495</v>
      </c>
      <c r="E195" s="251">
        <v>44191.0</v>
      </c>
      <c r="F195" s="250" t="s">
        <v>496</v>
      </c>
      <c r="G195" s="171">
        <v>60.0</v>
      </c>
      <c r="H195" s="171">
        <v>50.0</v>
      </c>
      <c r="I195" s="171">
        <v>50.0</v>
      </c>
      <c r="J195" s="325">
        <f t="shared" si="14"/>
        <v>0.003289124573</v>
      </c>
      <c r="K195" s="326">
        <f t="shared" si="16"/>
        <v>1.425287315</v>
      </c>
      <c r="L195" s="327">
        <f t="shared" si="4"/>
        <v>3.38736106</v>
      </c>
      <c r="M195" s="321" t="str">
        <f t="shared" si="5"/>
        <v>jessicazartler</v>
      </c>
      <c r="N195" s="209">
        <f>IFERROR(__xludf.DUMMYFUNCTION("""COMPUTED_VALUE"""),7.0)</f>
        <v>7</v>
      </c>
      <c r="O195" s="176"/>
      <c r="P195" s="176"/>
      <c r="Q195" s="176"/>
      <c r="R195" s="176"/>
      <c r="S195" s="176"/>
      <c r="T195" s="176"/>
      <c r="U195" s="176"/>
      <c r="V195" s="176"/>
      <c r="W195" s="176"/>
      <c r="X195" s="176"/>
      <c r="Y195" s="176"/>
      <c r="Z195" s="176"/>
    </row>
    <row r="196">
      <c r="A196" s="249" t="s">
        <v>14</v>
      </c>
      <c r="B196" s="249" t="s">
        <v>590</v>
      </c>
      <c r="C196" s="219" t="s">
        <v>3078</v>
      </c>
      <c r="D196" s="268" t="s">
        <v>495</v>
      </c>
      <c r="E196" s="251">
        <v>44187.0</v>
      </c>
      <c r="F196" s="250" t="s">
        <v>496</v>
      </c>
      <c r="G196" s="171">
        <v>70.0</v>
      </c>
      <c r="H196" s="171">
        <v>25.0</v>
      </c>
      <c r="I196" s="171">
        <v>30.0</v>
      </c>
      <c r="J196" s="325">
        <f t="shared" si="14"/>
        <v>0.002625989264</v>
      </c>
      <c r="K196" s="326">
        <f t="shared" si="16"/>
        <v>1.137928681</v>
      </c>
      <c r="L196" s="327">
        <f t="shared" si="4"/>
        <v>3.38736106</v>
      </c>
      <c r="M196" s="321" t="str">
        <f t="shared" si="5"/>
        <v>jessicazartler</v>
      </c>
      <c r="N196" s="209">
        <f>IFERROR(__xludf.DUMMYFUNCTION("""COMPUTED_VALUE"""),8.0)</f>
        <v>8</v>
      </c>
      <c r="O196" s="176"/>
      <c r="P196" s="176"/>
      <c r="Q196" s="176"/>
      <c r="R196" s="176"/>
      <c r="S196" s="176"/>
      <c r="T196" s="176"/>
      <c r="U196" s="176"/>
      <c r="V196" s="176"/>
      <c r="W196" s="176"/>
      <c r="X196" s="176"/>
      <c r="Y196" s="176"/>
      <c r="Z196" s="176"/>
    </row>
    <row r="197">
      <c r="A197" s="249" t="s">
        <v>14</v>
      </c>
      <c r="B197" s="249" t="s">
        <v>10</v>
      </c>
      <c r="C197" s="219" t="s">
        <v>3132</v>
      </c>
      <c r="D197" s="268" t="s">
        <v>495</v>
      </c>
      <c r="E197" s="251">
        <v>44192.0</v>
      </c>
      <c r="F197" s="250" t="s">
        <v>496</v>
      </c>
      <c r="G197" s="171">
        <v>30.0</v>
      </c>
      <c r="H197" s="171">
        <v>25.0</v>
      </c>
      <c r="I197" s="171">
        <v>50.0</v>
      </c>
      <c r="J197" s="325">
        <f t="shared" si="14"/>
        <v>0.00212348949</v>
      </c>
      <c r="K197" s="326">
        <f t="shared" si="16"/>
        <v>0.9201787788</v>
      </c>
      <c r="L197" s="327">
        <f t="shared" si="4"/>
        <v>3.38736106</v>
      </c>
      <c r="M197" s="321" t="str">
        <f t="shared" si="5"/>
        <v>jessicazartler</v>
      </c>
      <c r="N197" s="209">
        <f>IFERROR(__xludf.DUMMYFUNCTION("""COMPUTED_VALUE"""),9.0)</f>
        <v>9</v>
      </c>
      <c r="O197" s="176"/>
      <c r="P197" s="176"/>
      <c r="Q197" s="176"/>
      <c r="R197" s="176"/>
      <c r="S197" s="176"/>
      <c r="T197" s="176"/>
      <c r="U197" s="176"/>
      <c r="V197" s="176"/>
      <c r="W197" s="176"/>
      <c r="X197" s="176"/>
      <c r="Y197" s="176"/>
      <c r="Z197" s="176"/>
    </row>
    <row r="198">
      <c r="A198" s="249" t="s">
        <v>14</v>
      </c>
      <c r="B198" s="249" t="s">
        <v>10</v>
      </c>
      <c r="C198" s="219" t="s">
        <v>3065</v>
      </c>
      <c r="D198" s="268" t="s">
        <v>495</v>
      </c>
      <c r="E198" s="251">
        <v>44192.0</v>
      </c>
      <c r="F198" s="250" t="s">
        <v>496</v>
      </c>
      <c r="G198" s="171">
        <v>30.0</v>
      </c>
      <c r="H198" s="171">
        <v>25.0</v>
      </c>
      <c r="I198" s="171">
        <v>50.0</v>
      </c>
      <c r="J198" s="325">
        <f t="shared" si="14"/>
        <v>0.00212348949</v>
      </c>
      <c r="K198" s="326">
        <f t="shared" si="16"/>
        <v>0.9201787788</v>
      </c>
      <c r="L198" s="327">
        <f t="shared" si="4"/>
        <v>3.38736106</v>
      </c>
      <c r="M198" s="321" t="str">
        <f t="shared" si="5"/>
        <v>jessicazartler</v>
      </c>
      <c r="N198" s="209">
        <f>IFERROR(__xludf.DUMMYFUNCTION("""COMPUTED_VALUE"""),10.0)</f>
        <v>10</v>
      </c>
      <c r="O198" s="176"/>
      <c r="P198" s="176"/>
      <c r="Q198" s="176"/>
      <c r="R198" s="176"/>
      <c r="S198" s="176"/>
      <c r="T198" s="176"/>
      <c r="U198" s="176"/>
      <c r="V198" s="176"/>
      <c r="W198" s="176"/>
      <c r="X198" s="176"/>
      <c r="Y198" s="176"/>
      <c r="Z198" s="176"/>
    </row>
    <row r="199">
      <c r="A199" s="249" t="s">
        <v>14</v>
      </c>
      <c r="B199" s="249" t="s">
        <v>10</v>
      </c>
      <c r="C199" s="219" t="s">
        <v>3075</v>
      </c>
      <c r="D199" s="268" t="s">
        <v>495</v>
      </c>
      <c r="E199" s="251">
        <v>44192.0</v>
      </c>
      <c r="F199" s="250" t="s">
        <v>496</v>
      </c>
      <c r="G199" s="171">
        <v>45.0</v>
      </c>
      <c r="H199" s="171">
        <v>25.0</v>
      </c>
      <c r="I199" s="171">
        <v>30.0</v>
      </c>
      <c r="J199" s="325">
        <f t="shared" si="14"/>
        <v>0.002072463303</v>
      </c>
      <c r="K199" s="326">
        <f t="shared" si="16"/>
        <v>0.8980674315</v>
      </c>
      <c r="L199" s="327">
        <f t="shared" si="4"/>
        <v>3.38736106</v>
      </c>
      <c r="M199" s="321" t="str">
        <f t="shared" si="5"/>
        <v>jessicazartler</v>
      </c>
      <c r="N199" s="209">
        <f>IFERROR(__xludf.DUMMYFUNCTION("""COMPUTED_VALUE"""),11.0)</f>
        <v>11</v>
      </c>
      <c r="O199" s="176"/>
      <c r="P199" s="176"/>
      <c r="Q199" s="176"/>
      <c r="R199" s="176"/>
      <c r="S199" s="176"/>
      <c r="T199" s="176"/>
      <c r="U199" s="176"/>
      <c r="V199" s="176"/>
      <c r="W199" s="176"/>
      <c r="X199" s="176"/>
      <c r="Y199" s="176"/>
      <c r="Z199" s="176"/>
    </row>
    <row r="200">
      <c r="A200" s="249" t="s">
        <v>14</v>
      </c>
      <c r="B200" s="249" t="s">
        <v>867</v>
      </c>
      <c r="C200" s="219" t="s">
        <v>3133</v>
      </c>
      <c r="D200" s="268" t="s">
        <v>495</v>
      </c>
      <c r="E200" s="251">
        <v>44192.0</v>
      </c>
      <c r="F200" s="250" t="s">
        <v>496</v>
      </c>
      <c r="G200" s="171">
        <v>30.0</v>
      </c>
      <c r="H200" s="171">
        <v>25.0</v>
      </c>
      <c r="I200" s="171">
        <v>30.0</v>
      </c>
      <c r="J200" s="325">
        <f t="shared" si="14"/>
        <v>0.001740347727</v>
      </c>
      <c r="K200" s="326">
        <f t="shared" si="16"/>
        <v>0.7541506818</v>
      </c>
      <c r="L200" s="327">
        <f t="shared" si="4"/>
        <v>3.38736106</v>
      </c>
      <c r="M200" s="321" t="str">
        <f t="shared" si="5"/>
        <v>jessicazartler</v>
      </c>
      <c r="N200" s="209">
        <f>IFERROR(__xludf.DUMMYFUNCTION("""COMPUTED_VALUE"""),12.0)</f>
        <v>12</v>
      </c>
      <c r="O200" s="176"/>
      <c r="P200" s="176"/>
      <c r="Q200" s="176"/>
      <c r="R200" s="176"/>
      <c r="S200" s="176"/>
      <c r="T200" s="176"/>
      <c r="U200" s="176"/>
      <c r="V200" s="176"/>
      <c r="W200" s="176"/>
      <c r="X200" s="176"/>
      <c r="Y200" s="176"/>
      <c r="Z200" s="176"/>
    </row>
    <row r="201">
      <c r="A201" s="249" t="s">
        <v>14</v>
      </c>
      <c r="B201" s="249" t="s">
        <v>519</v>
      </c>
      <c r="C201" s="219" t="s">
        <v>3067</v>
      </c>
      <c r="D201" s="268" t="s">
        <v>495</v>
      </c>
      <c r="E201" s="251">
        <v>44188.0</v>
      </c>
      <c r="F201" s="250" t="s">
        <v>499</v>
      </c>
      <c r="G201" s="171">
        <v>20.0</v>
      </c>
      <c r="H201" s="171">
        <v>25.0</v>
      </c>
      <c r="I201" s="171">
        <v>25.0</v>
      </c>
      <c r="J201" s="325">
        <f t="shared" si="14"/>
        <v>0.001423151902</v>
      </c>
      <c r="K201" s="326">
        <f t="shared" si="16"/>
        <v>0.6166991577</v>
      </c>
      <c r="L201" s="327">
        <f t="shared" si="4"/>
        <v>3.38736106</v>
      </c>
      <c r="M201" s="321" t="str">
        <f t="shared" si="5"/>
        <v>jessicazartler</v>
      </c>
      <c r="N201" s="209">
        <f>IFERROR(__xludf.DUMMYFUNCTION("""COMPUTED_VALUE"""),13.0)</f>
        <v>13</v>
      </c>
      <c r="O201" s="176"/>
      <c r="P201" s="176"/>
      <c r="Q201" s="176"/>
      <c r="R201" s="176"/>
      <c r="S201" s="176"/>
      <c r="T201" s="176"/>
      <c r="U201" s="176"/>
      <c r="V201" s="176"/>
      <c r="W201" s="176"/>
      <c r="X201" s="176"/>
      <c r="Y201" s="176"/>
      <c r="Z201" s="176"/>
    </row>
    <row r="202">
      <c r="A202" s="249" t="s">
        <v>14</v>
      </c>
      <c r="B202" s="249" t="s">
        <v>18</v>
      </c>
      <c r="C202" s="219" t="s">
        <v>3077</v>
      </c>
      <c r="D202" s="268" t="s">
        <v>495</v>
      </c>
      <c r="E202" s="251">
        <v>44193.0</v>
      </c>
      <c r="F202" s="250" t="s">
        <v>496</v>
      </c>
      <c r="G202" s="171">
        <v>20.0</v>
      </c>
      <c r="H202" s="171">
        <v>25.0</v>
      </c>
      <c r="I202" s="171">
        <v>25.0</v>
      </c>
      <c r="J202" s="325">
        <f t="shared" si="14"/>
        <v>0.001423151902</v>
      </c>
      <c r="K202" s="326">
        <f t="shared" si="16"/>
        <v>0.6166991577</v>
      </c>
      <c r="L202" s="327">
        <f t="shared" si="4"/>
        <v>3.38736106</v>
      </c>
      <c r="M202" s="321" t="str">
        <f t="shared" si="5"/>
        <v>jessicazartler</v>
      </c>
      <c r="N202" s="209">
        <f>IFERROR(__xludf.DUMMYFUNCTION("""COMPUTED_VALUE"""),14.0)</f>
        <v>14</v>
      </c>
      <c r="O202" s="176"/>
      <c r="P202" s="176"/>
      <c r="Q202" s="176"/>
      <c r="R202" s="176"/>
      <c r="S202" s="176"/>
      <c r="T202" s="176"/>
      <c r="U202" s="176"/>
      <c r="V202" s="176"/>
      <c r="W202" s="176"/>
      <c r="X202" s="176"/>
      <c r="Y202" s="176"/>
      <c r="Z202" s="176"/>
    </row>
    <row r="203">
      <c r="A203" s="249" t="s">
        <v>14</v>
      </c>
      <c r="B203" s="249" t="s">
        <v>1231</v>
      </c>
      <c r="C203" s="219" t="s">
        <v>3130</v>
      </c>
      <c r="D203" s="268" t="s">
        <v>495</v>
      </c>
      <c r="E203" s="251">
        <v>44184.0</v>
      </c>
      <c r="F203" s="256" t="s">
        <v>2912</v>
      </c>
      <c r="G203" s="363">
        <v>0.0</v>
      </c>
      <c r="H203" s="363">
        <v>0.0</v>
      </c>
      <c r="I203" s="363">
        <v>0.0</v>
      </c>
      <c r="J203" s="325">
        <f t="shared" si="14"/>
        <v>0</v>
      </c>
      <c r="K203" s="326">
        <f t="shared" si="16"/>
        <v>0</v>
      </c>
      <c r="L203" s="327">
        <f t="shared" si="4"/>
        <v>3.38736106</v>
      </c>
      <c r="M203" s="321" t="str">
        <f t="shared" si="5"/>
        <v>jessicazartler</v>
      </c>
      <c r="N203" s="209">
        <f>IFERROR(__xludf.DUMMYFUNCTION("""COMPUTED_VALUE"""),15.0)</f>
        <v>15</v>
      </c>
      <c r="O203" s="176"/>
      <c r="P203" s="176"/>
      <c r="Q203" s="176"/>
      <c r="R203" s="176"/>
      <c r="S203" s="176"/>
      <c r="T203" s="176"/>
      <c r="U203" s="176"/>
      <c r="V203" s="176"/>
      <c r="W203" s="176"/>
      <c r="X203" s="176"/>
      <c r="Y203" s="176"/>
      <c r="Z203" s="176"/>
    </row>
    <row r="204">
      <c r="A204" s="249" t="s">
        <v>14</v>
      </c>
      <c r="B204" s="249" t="s">
        <v>1231</v>
      </c>
      <c r="C204" s="219" t="s">
        <v>3130</v>
      </c>
      <c r="D204" s="268" t="s">
        <v>495</v>
      </c>
      <c r="E204" s="251">
        <v>44184.0</v>
      </c>
      <c r="F204" s="254" t="s">
        <v>2912</v>
      </c>
      <c r="G204" s="363">
        <v>0.0</v>
      </c>
      <c r="H204" s="363">
        <v>0.0</v>
      </c>
      <c r="I204" s="363">
        <v>0.0</v>
      </c>
      <c r="J204" s="325">
        <f t="shared" si="14"/>
        <v>0</v>
      </c>
      <c r="K204" s="326">
        <f t="shared" si="16"/>
        <v>0</v>
      </c>
      <c r="L204" s="327">
        <f t="shared" si="4"/>
        <v>3.38736106</v>
      </c>
      <c r="M204" s="321" t="str">
        <f t="shared" si="5"/>
        <v>jessicazartler</v>
      </c>
      <c r="N204" s="209">
        <f>IFERROR(__xludf.DUMMYFUNCTION("""COMPUTED_VALUE"""),16.0)</f>
        <v>16</v>
      </c>
      <c r="O204" s="176"/>
      <c r="P204" s="176"/>
      <c r="Q204" s="176"/>
      <c r="R204" s="176"/>
      <c r="S204" s="176"/>
      <c r="T204" s="176"/>
      <c r="U204" s="176"/>
      <c r="V204" s="176"/>
      <c r="W204" s="176"/>
      <c r="X204" s="176"/>
      <c r="Y204" s="176"/>
      <c r="Z204" s="176"/>
    </row>
    <row r="205">
      <c r="A205" s="249" t="s">
        <v>14</v>
      </c>
      <c r="B205" s="249" t="s">
        <v>1231</v>
      </c>
      <c r="C205" s="219" t="s">
        <v>3130</v>
      </c>
      <c r="D205" s="268" t="s">
        <v>495</v>
      </c>
      <c r="E205" s="251">
        <v>44184.0</v>
      </c>
      <c r="F205" s="221" t="s">
        <v>2912</v>
      </c>
      <c r="G205" s="222">
        <v>0.0</v>
      </c>
      <c r="H205" s="222">
        <v>0.0</v>
      </c>
      <c r="I205" s="222">
        <v>0.0</v>
      </c>
      <c r="J205" s="325">
        <f t="shared" si="14"/>
        <v>0</v>
      </c>
      <c r="K205" s="326">
        <f t="shared" si="16"/>
        <v>0</v>
      </c>
      <c r="L205" s="327">
        <f t="shared" si="4"/>
        <v>3.38736106</v>
      </c>
      <c r="M205" s="321" t="str">
        <f t="shared" si="5"/>
        <v>jessicazartler</v>
      </c>
      <c r="N205" s="209">
        <f>IFERROR(__xludf.DUMMYFUNCTION("""COMPUTED_VALUE"""),17.0)</f>
        <v>17</v>
      </c>
      <c r="O205" s="176"/>
      <c r="P205" s="176"/>
      <c r="Q205" s="176"/>
      <c r="R205" s="176"/>
      <c r="S205" s="176"/>
      <c r="T205" s="176"/>
      <c r="U205" s="176"/>
      <c r="V205" s="176"/>
      <c r="W205" s="176"/>
      <c r="X205" s="176"/>
      <c r="Y205" s="176"/>
      <c r="Z205" s="176"/>
    </row>
    <row r="206">
      <c r="A206" s="240" t="s">
        <v>14</v>
      </c>
      <c r="B206" s="240" t="s">
        <v>534</v>
      </c>
      <c r="C206" s="221" t="s">
        <v>741</v>
      </c>
      <c r="D206" s="336"/>
      <c r="E206" s="255"/>
      <c r="F206" s="254"/>
      <c r="G206" s="222"/>
      <c r="H206" s="222"/>
      <c r="I206" s="222"/>
      <c r="J206" s="325">
        <f t="shared" si="14"/>
        <v>0</v>
      </c>
      <c r="K206" s="337">
        <f>22.585*-0.85</f>
        <v>-19.19725</v>
      </c>
      <c r="L206" s="327">
        <f t="shared" si="4"/>
        <v>3.38736106</v>
      </c>
      <c r="M206" s="321" t="str">
        <f t="shared" si="5"/>
        <v>jessicazartler</v>
      </c>
      <c r="N206" s="209">
        <f>IFERROR(__xludf.DUMMYFUNCTION("""COMPUTED_VALUE"""),18.0)</f>
        <v>18</v>
      </c>
      <c r="O206" s="209"/>
      <c r="P206" s="209"/>
      <c r="Q206" s="209"/>
      <c r="R206" s="209"/>
      <c r="S206" s="209"/>
      <c r="T206" s="209"/>
      <c r="U206" s="209"/>
      <c r="V206" s="209"/>
      <c r="W206" s="209"/>
      <c r="X206" s="209"/>
      <c r="Y206" s="176"/>
      <c r="Z206" s="176"/>
    </row>
    <row r="207">
      <c r="A207" s="249" t="s">
        <v>18</v>
      </c>
      <c r="B207" s="249" t="s">
        <v>1231</v>
      </c>
      <c r="C207" s="219" t="s">
        <v>3134</v>
      </c>
      <c r="D207" s="268" t="s">
        <v>495</v>
      </c>
      <c r="E207" s="251">
        <v>44184.0</v>
      </c>
      <c r="F207" s="250" t="s">
        <v>496</v>
      </c>
      <c r="G207" s="171">
        <v>200.0</v>
      </c>
      <c r="H207" s="171">
        <v>150.0</v>
      </c>
      <c r="I207" s="171">
        <v>350.0</v>
      </c>
      <c r="J207" s="325">
        <f t="shared" si="14"/>
        <v>0.01414161211</v>
      </c>
      <c r="K207" s="326">
        <f t="shared" ref="K207:K220" si="17">J207*$J$1</f>
        <v>6.128031915</v>
      </c>
      <c r="L207" s="327">
        <f t="shared" si="4"/>
        <v>3.112948052</v>
      </c>
      <c r="M207" s="321" t="str">
        <f t="shared" si="5"/>
        <v>liviade</v>
      </c>
      <c r="N207" s="209">
        <f>IFERROR(__xludf.DUMMYFUNCTION("""COMPUTED_VALUE"""),1.0)</f>
        <v>1</v>
      </c>
      <c r="O207" s="176"/>
      <c r="P207" s="176"/>
      <c r="Q207" s="176"/>
      <c r="R207" s="176"/>
      <c r="S207" s="176"/>
      <c r="T207" s="176"/>
      <c r="U207" s="176"/>
      <c r="V207" s="176"/>
      <c r="W207" s="176"/>
      <c r="X207" s="176"/>
      <c r="Y207" s="176"/>
      <c r="Z207" s="176"/>
    </row>
    <row r="208">
      <c r="A208" s="249" t="s">
        <v>18</v>
      </c>
      <c r="B208" s="249" t="s">
        <v>5</v>
      </c>
      <c r="C208" s="219" t="s">
        <v>3135</v>
      </c>
      <c r="D208" s="268" t="s">
        <v>495</v>
      </c>
      <c r="E208" s="251">
        <v>44185.0</v>
      </c>
      <c r="F208" s="250" t="s">
        <v>496</v>
      </c>
      <c r="G208" s="171">
        <v>200.0</v>
      </c>
      <c r="H208" s="171">
        <v>100.0</v>
      </c>
      <c r="I208" s="171">
        <v>150.0</v>
      </c>
      <c r="J208" s="325">
        <f t="shared" si="14"/>
        <v>0.009307386625</v>
      </c>
      <c r="K208" s="326">
        <f t="shared" si="17"/>
        <v>4.033200871</v>
      </c>
      <c r="L208" s="327">
        <f t="shared" si="4"/>
        <v>3.112948052</v>
      </c>
      <c r="M208" s="321" t="str">
        <f t="shared" si="5"/>
        <v>liviade</v>
      </c>
      <c r="N208" s="209">
        <f>IFERROR(__xludf.DUMMYFUNCTION("""COMPUTED_VALUE"""),2.0)</f>
        <v>2</v>
      </c>
      <c r="O208" s="176"/>
      <c r="P208" s="176"/>
      <c r="Q208" s="176"/>
      <c r="R208" s="176"/>
      <c r="S208" s="176"/>
      <c r="T208" s="176"/>
      <c r="U208" s="176"/>
      <c r="V208" s="176"/>
      <c r="W208" s="176"/>
      <c r="X208" s="176"/>
      <c r="Y208" s="176"/>
      <c r="Z208" s="176"/>
    </row>
    <row r="209">
      <c r="A209" s="249" t="s">
        <v>18</v>
      </c>
      <c r="B209" s="249" t="s">
        <v>10</v>
      </c>
      <c r="C209" s="219" t="s">
        <v>3061</v>
      </c>
      <c r="D209" s="268" t="s">
        <v>495</v>
      </c>
      <c r="E209" s="251">
        <v>44192.0</v>
      </c>
      <c r="F209" s="250" t="s">
        <v>496</v>
      </c>
      <c r="G209" s="171">
        <v>45.0</v>
      </c>
      <c r="H209" s="171">
        <v>25.0</v>
      </c>
      <c r="I209" s="171">
        <v>150.0</v>
      </c>
      <c r="J209" s="325">
        <f t="shared" si="14"/>
        <v>0.004371313878</v>
      </c>
      <c r="K209" s="326">
        <f t="shared" si="17"/>
        <v>1.894236014</v>
      </c>
      <c r="L209" s="327">
        <f t="shared" si="4"/>
        <v>3.112948052</v>
      </c>
      <c r="M209" s="321" t="str">
        <f t="shared" si="5"/>
        <v>liviade</v>
      </c>
      <c r="N209" s="209">
        <f>IFERROR(__xludf.DUMMYFUNCTION("""COMPUTED_VALUE"""),3.0)</f>
        <v>3</v>
      </c>
      <c r="O209" s="176"/>
      <c r="P209" s="176"/>
      <c r="Q209" s="176"/>
      <c r="R209" s="176"/>
      <c r="S209" s="176"/>
      <c r="T209" s="176"/>
      <c r="U209" s="176"/>
      <c r="V209" s="176"/>
      <c r="W209" s="176"/>
      <c r="X209" s="176"/>
      <c r="Y209" s="176"/>
      <c r="Z209" s="176"/>
    </row>
    <row r="210">
      <c r="A210" s="249" t="s">
        <v>18</v>
      </c>
      <c r="B210" s="249" t="s">
        <v>10</v>
      </c>
      <c r="C210" s="219" t="s">
        <v>3136</v>
      </c>
      <c r="D210" s="268" t="s">
        <v>495</v>
      </c>
      <c r="E210" s="251">
        <v>44192.0</v>
      </c>
      <c r="F210" s="250" t="s">
        <v>496</v>
      </c>
      <c r="G210" s="171">
        <v>40.0</v>
      </c>
      <c r="H210" s="171">
        <v>25.0</v>
      </c>
      <c r="I210" s="171">
        <v>150.0</v>
      </c>
      <c r="J210" s="325">
        <f t="shared" si="14"/>
        <v>0.004260608686</v>
      </c>
      <c r="K210" s="326">
        <f t="shared" si="17"/>
        <v>1.846263764</v>
      </c>
      <c r="L210" s="327">
        <f t="shared" si="4"/>
        <v>3.112948052</v>
      </c>
      <c r="M210" s="321" t="str">
        <f t="shared" si="5"/>
        <v>liviade</v>
      </c>
      <c r="N210" s="209">
        <f>IFERROR(__xludf.DUMMYFUNCTION("""COMPUTED_VALUE"""),4.0)</f>
        <v>4</v>
      </c>
      <c r="O210" s="176"/>
      <c r="P210" s="176"/>
      <c r="Q210" s="176"/>
      <c r="R210" s="176"/>
      <c r="S210" s="176"/>
      <c r="T210" s="176"/>
      <c r="U210" s="176"/>
      <c r="V210" s="176"/>
      <c r="W210" s="176"/>
      <c r="X210" s="176"/>
      <c r="Y210" s="176"/>
      <c r="Z210" s="176"/>
    </row>
    <row r="211">
      <c r="A211" s="249" t="s">
        <v>18</v>
      </c>
      <c r="B211" s="249" t="s">
        <v>10</v>
      </c>
      <c r="C211" s="219" t="s">
        <v>3092</v>
      </c>
      <c r="D211" s="268" t="s">
        <v>495</v>
      </c>
      <c r="E211" s="251">
        <v>44192.0</v>
      </c>
      <c r="F211" s="250" t="s">
        <v>496</v>
      </c>
      <c r="G211" s="171">
        <v>20.0</v>
      </c>
      <c r="H211" s="171">
        <v>25.0</v>
      </c>
      <c r="I211" s="171">
        <v>100.0</v>
      </c>
      <c r="J211" s="325">
        <f t="shared" si="14"/>
        <v>0.002859933512</v>
      </c>
      <c r="K211" s="326">
        <f t="shared" si="17"/>
        <v>1.239304522</v>
      </c>
      <c r="L211" s="327">
        <f t="shared" si="4"/>
        <v>3.112948052</v>
      </c>
      <c r="M211" s="321" t="str">
        <f t="shared" si="5"/>
        <v>liviade</v>
      </c>
      <c r="N211" s="209">
        <f>IFERROR(__xludf.DUMMYFUNCTION("""COMPUTED_VALUE"""),5.0)</f>
        <v>5</v>
      </c>
      <c r="O211" s="176"/>
      <c r="P211" s="176"/>
      <c r="Q211" s="176"/>
      <c r="R211" s="176"/>
      <c r="S211" s="176"/>
      <c r="T211" s="176"/>
      <c r="U211" s="176"/>
      <c r="V211" s="176"/>
      <c r="W211" s="176"/>
      <c r="X211" s="176"/>
      <c r="Y211" s="176"/>
      <c r="Z211" s="176"/>
    </row>
    <row r="212">
      <c r="A212" s="249" t="s">
        <v>18</v>
      </c>
      <c r="B212" s="249" t="s">
        <v>5</v>
      </c>
      <c r="C212" s="219" t="s">
        <v>3073</v>
      </c>
      <c r="D212" s="268" t="s">
        <v>495</v>
      </c>
      <c r="E212" s="251">
        <v>44191.0</v>
      </c>
      <c r="F212" s="250" t="s">
        <v>496</v>
      </c>
      <c r="G212" s="171">
        <v>20.0</v>
      </c>
      <c r="H212" s="171">
        <v>50.0</v>
      </c>
      <c r="I212" s="171">
        <v>50.0</v>
      </c>
      <c r="J212" s="325">
        <f t="shared" si="14"/>
        <v>0.002403483036</v>
      </c>
      <c r="K212" s="326">
        <f t="shared" si="17"/>
        <v>1.041509316</v>
      </c>
      <c r="L212" s="327">
        <f t="shared" si="4"/>
        <v>3.112948052</v>
      </c>
      <c r="M212" s="321" t="str">
        <f t="shared" si="5"/>
        <v>liviade</v>
      </c>
      <c r="N212" s="209">
        <f>IFERROR(__xludf.DUMMYFUNCTION("""COMPUTED_VALUE"""),6.0)</f>
        <v>6</v>
      </c>
      <c r="O212" s="176"/>
      <c r="P212" s="176"/>
      <c r="Q212" s="176"/>
      <c r="R212" s="176"/>
      <c r="S212" s="176"/>
      <c r="T212" s="176"/>
      <c r="U212" s="176"/>
      <c r="V212" s="176"/>
      <c r="W212" s="176"/>
      <c r="X212" s="176"/>
      <c r="Y212" s="176"/>
      <c r="Z212" s="176"/>
    </row>
    <row r="213">
      <c r="A213" s="249" t="s">
        <v>18</v>
      </c>
      <c r="B213" s="249" t="s">
        <v>590</v>
      </c>
      <c r="C213" s="219" t="s">
        <v>3108</v>
      </c>
      <c r="D213" s="268" t="s">
        <v>495</v>
      </c>
      <c r="E213" s="251">
        <v>44195.0</v>
      </c>
      <c r="F213" s="250" t="s">
        <v>496</v>
      </c>
      <c r="G213" s="171">
        <v>45.0</v>
      </c>
      <c r="H213" s="171">
        <v>25.0</v>
      </c>
      <c r="I213" s="171">
        <v>40.0</v>
      </c>
      <c r="J213" s="325">
        <f t="shared" si="14"/>
        <v>0.002264034185</v>
      </c>
      <c r="K213" s="326">
        <f t="shared" si="17"/>
        <v>0.98108148</v>
      </c>
      <c r="L213" s="327">
        <f t="shared" si="4"/>
        <v>3.112948052</v>
      </c>
      <c r="M213" s="321" t="str">
        <f t="shared" si="5"/>
        <v>liviade</v>
      </c>
      <c r="N213" s="209">
        <f>IFERROR(__xludf.DUMMYFUNCTION("""COMPUTED_VALUE"""),7.0)</f>
        <v>7</v>
      </c>
      <c r="O213" s="176"/>
      <c r="P213" s="176"/>
      <c r="Q213" s="176"/>
      <c r="R213" s="176"/>
      <c r="S213" s="176"/>
      <c r="T213" s="176"/>
      <c r="U213" s="176"/>
      <c r="V213" s="176"/>
      <c r="W213" s="176"/>
      <c r="X213" s="176"/>
      <c r="Y213" s="176"/>
      <c r="Z213" s="176"/>
    </row>
    <row r="214">
      <c r="A214" s="249" t="s">
        <v>18</v>
      </c>
      <c r="B214" s="249" t="s">
        <v>10</v>
      </c>
      <c r="C214" s="219" t="s">
        <v>3132</v>
      </c>
      <c r="D214" s="268" t="s">
        <v>495</v>
      </c>
      <c r="E214" s="251">
        <v>44192.0</v>
      </c>
      <c r="F214" s="250" t="s">
        <v>496</v>
      </c>
      <c r="G214" s="171">
        <v>30.0</v>
      </c>
      <c r="H214" s="171">
        <v>25.0</v>
      </c>
      <c r="I214" s="171">
        <v>50.0</v>
      </c>
      <c r="J214" s="325">
        <f t="shared" si="14"/>
        <v>0.00212348949</v>
      </c>
      <c r="K214" s="326">
        <f t="shared" si="17"/>
        <v>0.9201787788</v>
      </c>
      <c r="L214" s="327">
        <f t="shared" si="4"/>
        <v>3.112948052</v>
      </c>
      <c r="M214" s="321" t="str">
        <f t="shared" si="5"/>
        <v>liviade</v>
      </c>
      <c r="N214" s="209">
        <f>IFERROR(__xludf.DUMMYFUNCTION("""COMPUTED_VALUE"""),8.0)</f>
        <v>8</v>
      </c>
      <c r="O214" s="176"/>
      <c r="P214" s="176"/>
      <c r="Q214" s="176"/>
      <c r="R214" s="176"/>
      <c r="S214" s="176"/>
      <c r="T214" s="176"/>
      <c r="U214" s="176"/>
      <c r="V214" s="176"/>
      <c r="W214" s="176"/>
      <c r="X214" s="176"/>
      <c r="Y214" s="176"/>
      <c r="Z214" s="176"/>
    </row>
    <row r="215">
      <c r="A215" s="249" t="s">
        <v>18</v>
      </c>
      <c r="B215" s="249" t="s">
        <v>18</v>
      </c>
      <c r="C215" s="219" t="s">
        <v>3074</v>
      </c>
      <c r="D215" s="268" t="s">
        <v>495</v>
      </c>
      <c r="E215" s="251">
        <v>44193.0</v>
      </c>
      <c r="F215" s="250" t="s">
        <v>496</v>
      </c>
      <c r="G215" s="171">
        <v>50.0</v>
      </c>
      <c r="H215" s="171">
        <v>25.0</v>
      </c>
      <c r="I215" s="171">
        <v>50.0</v>
      </c>
      <c r="J215" s="325">
        <f t="shared" si="14"/>
        <v>0.002566310258</v>
      </c>
      <c r="K215" s="326">
        <f t="shared" si="17"/>
        <v>1.112067778</v>
      </c>
      <c r="L215" s="327">
        <f t="shared" si="4"/>
        <v>3.112948052</v>
      </c>
      <c r="M215" s="321" t="str">
        <f t="shared" si="5"/>
        <v>liviade</v>
      </c>
      <c r="N215" s="209">
        <f>IFERROR(__xludf.DUMMYFUNCTION("""COMPUTED_VALUE"""),9.0)</f>
        <v>9</v>
      </c>
      <c r="O215" s="176"/>
      <c r="P215" s="176"/>
      <c r="Q215" s="176"/>
      <c r="R215" s="176"/>
      <c r="S215" s="176"/>
      <c r="T215" s="176"/>
      <c r="U215" s="176"/>
      <c r="V215" s="176"/>
      <c r="W215" s="176"/>
      <c r="X215" s="176"/>
      <c r="Y215" s="176"/>
      <c r="Z215" s="176"/>
    </row>
    <row r="216">
      <c r="A216" s="249" t="s">
        <v>18</v>
      </c>
      <c r="B216" s="249" t="s">
        <v>10</v>
      </c>
      <c r="C216" s="219" t="s">
        <v>3075</v>
      </c>
      <c r="D216" s="268" t="s">
        <v>495</v>
      </c>
      <c r="E216" s="251">
        <v>44192.0</v>
      </c>
      <c r="F216" s="250" t="s">
        <v>496</v>
      </c>
      <c r="G216" s="171">
        <v>45.0</v>
      </c>
      <c r="H216" s="171">
        <v>25.0</v>
      </c>
      <c r="I216" s="171">
        <v>30.0</v>
      </c>
      <c r="J216" s="325">
        <f t="shared" si="14"/>
        <v>0.002072463303</v>
      </c>
      <c r="K216" s="326">
        <f t="shared" si="17"/>
        <v>0.8980674315</v>
      </c>
      <c r="L216" s="327">
        <f t="shared" si="4"/>
        <v>3.112948052</v>
      </c>
      <c r="M216" s="321" t="str">
        <f t="shared" si="5"/>
        <v>liviade</v>
      </c>
      <c r="N216" s="209">
        <f>IFERROR(__xludf.DUMMYFUNCTION("""COMPUTED_VALUE"""),10.0)</f>
        <v>10</v>
      </c>
      <c r="O216" s="176"/>
      <c r="P216" s="176"/>
      <c r="Q216" s="176"/>
      <c r="R216" s="176"/>
      <c r="S216" s="176"/>
      <c r="T216" s="176"/>
      <c r="U216" s="176"/>
      <c r="V216" s="176"/>
      <c r="W216" s="176"/>
      <c r="X216" s="176"/>
      <c r="Y216" s="176"/>
      <c r="Z216" s="176"/>
    </row>
    <row r="217">
      <c r="A217" s="249" t="s">
        <v>18</v>
      </c>
      <c r="B217" s="249" t="s">
        <v>25</v>
      </c>
      <c r="C217" s="219" t="s">
        <v>3076</v>
      </c>
      <c r="D217" s="268" t="s">
        <v>495</v>
      </c>
      <c r="E217" s="251">
        <v>44188.0</v>
      </c>
      <c r="F217" s="250" t="s">
        <v>496</v>
      </c>
      <c r="G217" s="171">
        <v>20.0</v>
      </c>
      <c r="H217" s="171">
        <v>25.0</v>
      </c>
      <c r="I217" s="171">
        <v>30.0</v>
      </c>
      <c r="J217" s="325">
        <f t="shared" si="14"/>
        <v>0.001518937343</v>
      </c>
      <c r="K217" s="326">
        <f t="shared" si="17"/>
        <v>0.658206182</v>
      </c>
      <c r="L217" s="327">
        <f t="shared" si="4"/>
        <v>3.112948052</v>
      </c>
      <c r="M217" s="321" t="str">
        <f t="shared" si="5"/>
        <v>liviade</v>
      </c>
      <c r="N217" s="209">
        <f>IFERROR(__xludf.DUMMYFUNCTION("""COMPUTED_VALUE"""),11.0)</f>
        <v>11</v>
      </c>
      <c r="O217" s="176"/>
      <c r="P217" s="176"/>
      <c r="Q217" s="176"/>
      <c r="R217" s="176"/>
      <c r="S217" s="176"/>
      <c r="T217" s="176"/>
      <c r="U217" s="176"/>
      <c r="V217" s="176"/>
      <c r="W217" s="176"/>
      <c r="X217" s="176"/>
      <c r="Y217" s="176"/>
      <c r="Z217" s="176"/>
    </row>
    <row r="218">
      <c r="A218" s="249" t="s">
        <v>18</v>
      </c>
      <c r="B218" s="249" t="s">
        <v>1231</v>
      </c>
      <c r="C218" s="219" t="s">
        <v>3134</v>
      </c>
      <c r="D218" s="268" t="s">
        <v>495</v>
      </c>
      <c r="E218" s="251">
        <v>44184.0</v>
      </c>
      <c r="F218" s="256" t="s">
        <v>2912</v>
      </c>
      <c r="G218" s="363">
        <v>0.0</v>
      </c>
      <c r="H218" s="363">
        <v>0.0</v>
      </c>
      <c r="I218" s="363">
        <v>0.0</v>
      </c>
      <c r="J218" s="325">
        <f t="shared" si="14"/>
        <v>0</v>
      </c>
      <c r="K218" s="326">
        <f t="shared" si="17"/>
        <v>0</v>
      </c>
      <c r="L218" s="327">
        <f t="shared" si="4"/>
        <v>3.112948052</v>
      </c>
      <c r="M218" s="321" t="str">
        <f t="shared" si="5"/>
        <v>liviade</v>
      </c>
      <c r="N218" s="209">
        <f>IFERROR(__xludf.DUMMYFUNCTION("""COMPUTED_VALUE"""),12.0)</f>
        <v>12</v>
      </c>
      <c r="O218" s="176"/>
      <c r="P218" s="176"/>
      <c r="Q218" s="176"/>
      <c r="R218" s="176"/>
      <c r="S218" s="176"/>
      <c r="T218" s="176"/>
      <c r="U218" s="176"/>
      <c r="V218" s="176"/>
      <c r="W218" s="176"/>
      <c r="X218" s="176"/>
      <c r="Y218" s="176"/>
      <c r="Z218" s="176"/>
    </row>
    <row r="219">
      <c r="A219" s="249" t="s">
        <v>18</v>
      </c>
      <c r="B219" s="249" t="s">
        <v>1231</v>
      </c>
      <c r="C219" s="219" t="s">
        <v>3134</v>
      </c>
      <c r="D219" s="268" t="s">
        <v>495</v>
      </c>
      <c r="E219" s="251">
        <v>44184.0</v>
      </c>
      <c r="F219" s="221" t="s">
        <v>2912</v>
      </c>
      <c r="G219" s="222">
        <v>0.0</v>
      </c>
      <c r="H219" s="222">
        <v>0.0</v>
      </c>
      <c r="I219" s="222">
        <v>0.0</v>
      </c>
      <c r="J219" s="325">
        <f t="shared" si="14"/>
        <v>0</v>
      </c>
      <c r="K219" s="326">
        <f t="shared" si="17"/>
        <v>0</v>
      </c>
      <c r="L219" s="327">
        <f t="shared" si="4"/>
        <v>3.112948052</v>
      </c>
      <c r="M219" s="321" t="str">
        <f t="shared" si="5"/>
        <v>liviade</v>
      </c>
      <c r="N219" s="209">
        <f>IFERROR(__xludf.DUMMYFUNCTION("""COMPUTED_VALUE"""),13.0)</f>
        <v>13</v>
      </c>
      <c r="O219" s="176"/>
      <c r="P219" s="176"/>
      <c r="Q219" s="176"/>
      <c r="R219" s="176"/>
      <c r="S219" s="176"/>
      <c r="T219" s="176"/>
      <c r="U219" s="176"/>
      <c r="V219" s="176"/>
      <c r="W219" s="176"/>
      <c r="X219" s="176"/>
      <c r="Y219" s="176"/>
      <c r="Z219" s="176"/>
    </row>
    <row r="220">
      <c r="A220" s="249" t="s">
        <v>18</v>
      </c>
      <c r="B220" s="249" t="s">
        <v>1231</v>
      </c>
      <c r="C220" s="219" t="s">
        <v>3134</v>
      </c>
      <c r="D220" s="268" t="s">
        <v>495</v>
      </c>
      <c r="E220" s="251">
        <v>44184.0</v>
      </c>
      <c r="F220" s="254" t="s">
        <v>2912</v>
      </c>
      <c r="G220" s="363">
        <v>0.0</v>
      </c>
      <c r="H220" s="363">
        <v>0.0</v>
      </c>
      <c r="I220" s="363">
        <v>0.0</v>
      </c>
      <c r="J220" s="325">
        <f t="shared" si="14"/>
        <v>0</v>
      </c>
      <c r="K220" s="326">
        <f t="shared" si="17"/>
        <v>0</v>
      </c>
      <c r="L220" s="327">
        <f t="shared" si="4"/>
        <v>3.112948052</v>
      </c>
      <c r="M220" s="321" t="str">
        <f t="shared" si="5"/>
        <v>liviade</v>
      </c>
      <c r="N220" s="209">
        <f>IFERROR(__xludf.DUMMYFUNCTION("""COMPUTED_VALUE"""),14.0)</f>
        <v>14</v>
      </c>
      <c r="O220" s="176"/>
      <c r="P220" s="176"/>
      <c r="Q220" s="176"/>
      <c r="R220" s="176"/>
      <c r="S220" s="176"/>
      <c r="T220" s="176"/>
      <c r="U220" s="176"/>
      <c r="V220" s="176"/>
      <c r="W220" s="176"/>
      <c r="X220" s="176"/>
      <c r="Y220" s="176"/>
      <c r="Z220" s="176"/>
    </row>
    <row r="221">
      <c r="A221" s="253" t="s">
        <v>18</v>
      </c>
      <c r="B221" s="240" t="s">
        <v>534</v>
      </c>
      <c r="C221" s="221" t="s">
        <v>741</v>
      </c>
      <c r="D221" s="336"/>
      <c r="E221" s="255"/>
      <c r="F221" s="254"/>
      <c r="G221" s="222"/>
      <c r="H221" s="222"/>
      <c r="I221" s="222"/>
      <c r="J221" s="325">
        <f t="shared" si="14"/>
        <v>0</v>
      </c>
      <c r="K221" s="337">
        <f>20.752*-0.85</f>
        <v>-17.6392</v>
      </c>
      <c r="L221" s="327">
        <f t="shared" si="4"/>
        <v>3.112948052</v>
      </c>
      <c r="M221" s="321" t="str">
        <f t="shared" si="5"/>
        <v>liviade</v>
      </c>
      <c r="N221" s="209">
        <f>IFERROR(__xludf.DUMMYFUNCTION("""COMPUTED_VALUE"""),15.0)</f>
        <v>15</v>
      </c>
      <c r="O221" s="209"/>
      <c r="P221" s="209"/>
      <c r="Q221" s="209"/>
      <c r="R221" s="209"/>
      <c r="S221" s="209"/>
      <c r="T221" s="209"/>
      <c r="U221" s="209"/>
      <c r="V221" s="209"/>
      <c r="W221" s="209"/>
      <c r="X221" s="209"/>
      <c r="Y221" s="176"/>
      <c r="Z221" s="176"/>
    </row>
    <row r="222">
      <c r="A222" s="249" t="s">
        <v>38</v>
      </c>
      <c r="B222" s="249" t="s">
        <v>519</v>
      </c>
      <c r="C222" s="219" t="s">
        <v>3098</v>
      </c>
      <c r="D222" s="268" t="s">
        <v>495</v>
      </c>
      <c r="E222" s="251">
        <v>44188.0</v>
      </c>
      <c r="F222" s="250" t="s">
        <v>521</v>
      </c>
      <c r="G222" s="171">
        <v>40.0</v>
      </c>
      <c r="H222" s="171">
        <v>35.0</v>
      </c>
      <c r="I222" s="171">
        <v>50.0</v>
      </c>
      <c r="J222" s="325">
        <f t="shared" si="14"/>
        <v>0.002545461446</v>
      </c>
      <c r="K222" s="326">
        <f t="shared" ref="K222:K225" si="18">J222*$J$1</f>
        <v>1.103033293</v>
      </c>
      <c r="L222" s="327">
        <f t="shared" si="4"/>
        <v>3.036144815</v>
      </c>
      <c r="M222" s="321" t="str">
        <f t="shared" si="5"/>
        <v>danibelle</v>
      </c>
      <c r="N222" s="209">
        <f>IFERROR(__xludf.DUMMYFUNCTION("""COMPUTED_VALUE"""),1.0)</f>
        <v>1</v>
      </c>
      <c r="O222" s="176"/>
      <c r="P222" s="176"/>
      <c r="Q222" s="176"/>
      <c r="R222" s="176"/>
      <c r="S222" s="176"/>
      <c r="T222" s="176"/>
      <c r="U222" s="176"/>
      <c r="V222" s="176"/>
      <c r="W222" s="176"/>
      <c r="X222" s="176"/>
      <c r="Y222" s="176"/>
      <c r="Z222" s="176"/>
    </row>
    <row r="223">
      <c r="A223" s="249" t="s">
        <v>38</v>
      </c>
      <c r="B223" s="249" t="s">
        <v>519</v>
      </c>
      <c r="C223" s="219" t="s">
        <v>2329</v>
      </c>
      <c r="D223" s="268" t="s">
        <v>495</v>
      </c>
      <c r="E223" s="251">
        <v>44188.0</v>
      </c>
      <c r="F223" s="250" t="s">
        <v>521</v>
      </c>
      <c r="G223" s="171">
        <v>20.0</v>
      </c>
      <c r="H223" s="171">
        <v>25.0</v>
      </c>
      <c r="I223" s="171">
        <v>30.0</v>
      </c>
      <c r="J223" s="325">
        <f t="shared" si="14"/>
        <v>0.001518937343</v>
      </c>
      <c r="K223" s="326">
        <f t="shared" si="18"/>
        <v>0.658206182</v>
      </c>
      <c r="L223" s="327">
        <f t="shared" si="4"/>
        <v>3.036144815</v>
      </c>
      <c r="M223" s="321" t="str">
        <f t="shared" si="5"/>
        <v>danibelle</v>
      </c>
      <c r="N223" s="209">
        <f>IFERROR(__xludf.DUMMYFUNCTION("""COMPUTED_VALUE"""),2.0)</f>
        <v>2</v>
      </c>
      <c r="O223" s="176"/>
      <c r="P223" s="176"/>
      <c r="Q223" s="176"/>
      <c r="R223" s="176"/>
      <c r="S223" s="176"/>
      <c r="T223" s="176"/>
      <c r="U223" s="176"/>
      <c r="V223" s="176"/>
      <c r="W223" s="176"/>
      <c r="X223" s="176"/>
      <c r="Y223" s="176"/>
      <c r="Z223" s="176"/>
    </row>
    <row r="224">
      <c r="A224" s="249" t="s">
        <v>38</v>
      </c>
      <c r="B224" s="249" t="s">
        <v>519</v>
      </c>
      <c r="C224" s="219" t="s">
        <v>3100</v>
      </c>
      <c r="D224" s="268" t="s">
        <v>495</v>
      </c>
      <c r="E224" s="251">
        <v>44188.0</v>
      </c>
      <c r="F224" s="250" t="s">
        <v>521</v>
      </c>
      <c r="G224" s="171">
        <v>20.0</v>
      </c>
      <c r="H224" s="171">
        <v>25.0</v>
      </c>
      <c r="I224" s="171">
        <v>30.0</v>
      </c>
      <c r="J224" s="325">
        <f t="shared" si="14"/>
        <v>0.001518937343</v>
      </c>
      <c r="K224" s="326">
        <f t="shared" si="18"/>
        <v>0.658206182</v>
      </c>
      <c r="L224" s="327">
        <f t="shared" si="4"/>
        <v>3.036144815</v>
      </c>
      <c r="M224" s="321" t="str">
        <f t="shared" si="5"/>
        <v>danibelle</v>
      </c>
      <c r="N224" s="209">
        <f>IFERROR(__xludf.DUMMYFUNCTION("""COMPUTED_VALUE"""),3.0)</f>
        <v>3</v>
      </c>
      <c r="O224" s="176"/>
      <c r="P224" s="176"/>
      <c r="Q224" s="176"/>
      <c r="R224" s="176"/>
      <c r="S224" s="176"/>
      <c r="T224" s="176"/>
      <c r="U224" s="176"/>
      <c r="V224" s="176"/>
      <c r="W224" s="176"/>
      <c r="X224" s="176"/>
      <c r="Y224" s="176"/>
      <c r="Z224" s="176"/>
    </row>
    <row r="225">
      <c r="A225" s="249" t="s">
        <v>38</v>
      </c>
      <c r="B225" s="249" t="s">
        <v>519</v>
      </c>
      <c r="C225" s="219" t="s">
        <v>3102</v>
      </c>
      <c r="D225" s="268" t="s">
        <v>495</v>
      </c>
      <c r="E225" s="251">
        <v>44195.0</v>
      </c>
      <c r="F225" s="250" t="s">
        <v>521</v>
      </c>
      <c r="G225" s="171">
        <v>20.0</v>
      </c>
      <c r="H225" s="171">
        <v>25.0</v>
      </c>
      <c r="I225" s="171">
        <v>25.0</v>
      </c>
      <c r="J225" s="325">
        <f t="shared" si="14"/>
        <v>0.001423151902</v>
      </c>
      <c r="K225" s="326">
        <f t="shared" si="18"/>
        <v>0.6166991577</v>
      </c>
      <c r="L225" s="327">
        <f t="shared" si="4"/>
        <v>3.036144815</v>
      </c>
      <c r="M225" s="321" t="str">
        <f t="shared" si="5"/>
        <v>danibelle</v>
      </c>
      <c r="N225" s="209">
        <f>IFERROR(__xludf.DUMMYFUNCTION("""COMPUTED_VALUE"""),4.0)</f>
        <v>4</v>
      </c>
      <c r="O225" s="176"/>
      <c r="P225" s="176"/>
      <c r="Q225" s="176"/>
      <c r="R225" s="176"/>
      <c r="S225" s="176"/>
      <c r="T225" s="176"/>
      <c r="U225" s="176"/>
      <c r="V225" s="176"/>
      <c r="W225" s="176"/>
      <c r="X225" s="176"/>
      <c r="Y225" s="176"/>
      <c r="Z225" s="176"/>
    </row>
    <row r="226">
      <c r="A226" s="249" t="s">
        <v>25</v>
      </c>
      <c r="B226" s="249" t="s">
        <v>1231</v>
      </c>
      <c r="C226" s="329" t="s">
        <v>3137</v>
      </c>
      <c r="D226" s="268" t="s">
        <v>495</v>
      </c>
      <c r="E226" s="251">
        <v>44184.0</v>
      </c>
      <c r="F226" s="250" t="s">
        <v>496</v>
      </c>
      <c r="G226" s="171"/>
      <c r="H226" s="171"/>
      <c r="I226" s="171"/>
      <c r="J226" s="325">
        <f t="shared" si="14"/>
        <v>0</v>
      </c>
      <c r="K226" s="326">
        <f t="shared" ref="K226:K232" si="19">$N$1</f>
        <v>1.790633609</v>
      </c>
      <c r="L226" s="327">
        <f t="shared" si="4"/>
        <v>2.686236088</v>
      </c>
      <c r="M226" s="321" t="str">
        <f t="shared" si="5"/>
        <v>freedumbs00</v>
      </c>
      <c r="N226" s="209">
        <f>IFERROR(__xludf.DUMMYFUNCTION("""COMPUTED_VALUE"""),1.0)</f>
        <v>1</v>
      </c>
      <c r="O226" s="176"/>
      <c r="P226" s="176"/>
      <c r="Q226" s="176"/>
      <c r="R226" s="176"/>
      <c r="S226" s="176"/>
      <c r="T226" s="176"/>
      <c r="U226" s="176"/>
      <c r="V226" s="176"/>
      <c r="W226" s="176"/>
      <c r="X226" s="176"/>
      <c r="Y226" s="176"/>
      <c r="Z226" s="176"/>
    </row>
    <row r="227">
      <c r="A227" s="249" t="s">
        <v>25</v>
      </c>
      <c r="B227" s="249" t="s">
        <v>1231</v>
      </c>
      <c r="C227" s="329" t="s">
        <v>3137</v>
      </c>
      <c r="D227" s="268" t="s">
        <v>495</v>
      </c>
      <c r="E227" s="251">
        <v>44184.0</v>
      </c>
      <c r="F227" s="250" t="s">
        <v>496</v>
      </c>
      <c r="G227" s="171"/>
      <c r="H227" s="171"/>
      <c r="I227" s="171"/>
      <c r="J227" s="325">
        <f t="shared" si="14"/>
        <v>0</v>
      </c>
      <c r="K227" s="326">
        <f t="shared" si="19"/>
        <v>1.790633609</v>
      </c>
      <c r="L227" s="327">
        <f t="shared" si="4"/>
        <v>2.686236088</v>
      </c>
      <c r="M227" s="321" t="str">
        <f t="shared" si="5"/>
        <v>freedumbs00</v>
      </c>
      <c r="N227" s="209">
        <f>IFERROR(__xludf.DUMMYFUNCTION("""COMPUTED_VALUE"""),2.0)</f>
        <v>2</v>
      </c>
      <c r="O227" s="176"/>
      <c r="P227" s="176"/>
      <c r="Q227" s="176"/>
      <c r="R227" s="176"/>
      <c r="S227" s="176"/>
      <c r="T227" s="176"/>
      <c r="U227" s="176"/>
      <c r="V227" s="176"/>
      <c r="W227" s="176"/>
      <c r="X227" s="176"/>
      <c r="Y227" s="176"/>
      <c r="Z227" s="176"/>
    </row>
    <row r="228">
      <c r="A228" s="249" t="s">
        <v>25</v>
      </c>
      <c r="B228" s="249" t="s">
        <v>590</v>
      </c>
      <c r="C228" s="329" t="s">
        <v>3138</v>
      </c>
      <c r="D228" s="268" t="s">
        <v>495</v>
      </c>
      <c r="E228" s="251">
        <v>44184.0</v>
      </c>
      <c r="F228" s="250" t="s">
        <v>496</v>
      </c>
      <c r="G228" s="171"/>
      <c r="H228" s="171"/>
      <c r="I228" s="171"/>
      <c r="J228" s="325">
        <f t="shared" si="14"/>
        <v>0</v>
      </c>
      <c r="K228" s="326">
        <f t="shared" si="19"/>
        <v>1.790633609</v>
      </c>
      <c r="L228" s="327">
        <f t="shared" si="4"/>
        <v>2.686236088</v>
      </c>
      <c r="M228" s="321" t="str">
        <f t="shared" si="5"/>
        <v>freedumbs00</v>
      </c>
      <c r="N228" s="209">
        <f>IFERROR(__xludf.DUMMYFUNCTION("""COMPUTED_VALUE"""),3.0)</f>
        <v>3</v>
      </c>
      <c r="O228" s="176"/>
      <c r="P228" s="176"/>
      <c r="Q228" s="176"/>
      <c r="R228" s="176"/>
      <c r="S228" s="176"/>
      <c r="T228" s="176"/>
      <c r="U228" s="176"/>
      <c r="V228" s="176"/>
      <c r="W228" s="176"/>
      <c r="X228" s="176"/>
      <c r="Y228" s="176"/>
      <c r="Z228" s="176"/>
    </row>
    <row r="229">
      <c r="A229" s="249" t="s">
        <v>25</v>
      </c>
      <c r="B229" s="249" t="s">
        <v>6</v>
      </c>
      <c r="C229" s="329" t="s">
        <v>3062</v>
      </c>
      <c r="D229" s="268" t="s">
        <v>495</v>
      </c>
      <c r="E229" s="251">
        <v>44186.0</v>
      </c>
      <c r="F229" s="250" t="s">
        <v>496</v>
      </c>
      <c r="G229" s="171"/>
      <c r="H229" s="171"/>
      <c r="I229" s="171"/>
      <c r="J229" s="325">
        <f t="shared" si="14"/>
        <v>0</v>
      </c>
      <c r="K229" s="326">
        <f t="shared" si="19"/>
        <v>1.790633609</v>
      </c>
      <c r="L229" s="327">
        <f t="shared" si="4"/>
        <v>2.686236088</v>
      </c>
      <c r="M229" s="321" t="str">
        <f t="shared" si="5"/>
        <v>freedumbs00</v>
      </c>
      <c r="N229" s="209">
        <f>IFERROR(__xludf.DUMMYFUNCTION("""COMPUTED_VALUE"""),4.0)</f>
        <v>4</v>
      </c>
      <c r="O229" s="176"/>
      <c r="P229" s="176"/>
      <c r="Q229" s="176"/>
      <c r="R229" s="176"/>
      <c r="S229" s="176"/>
      <c r="T229" s="176"/>
      <c r="U229" s="176"/>
      <c r="V229" s="176"/>
      <c r="W229" s="176"/>
      <c r="X229" s="176"/>
      <c r="Y229" s="176"/>
      <c r="Z229" s="176"/>
    </row>
    <row r="230">
      <c r="A230" s="249" t="s">
        <v>25</v>
      </c>
      <c r="B230" s="249" t="s">
        <v>590</v>
      </c>
      <c r="C230" s="329" t="s">
        <v>3139</v>
      </c>
      <c r="D230" s="268" t="s">
        <v>495</v>
      </c>
      <c r="E230" s="251">
        <v>44186.0</v>
      </c>
      <c r="F230" s="250" t="s">
        <v>496</v>
      </c>
      <c r="G230" s="171"/>
      <c r="H230" s="171"/>
      <c r="I230" s="171"/>
      <c r="J230" s="325">
        <f t="shared" si="14"/>
        <v>0</v>
      </c>
      <c r="K230" s="326">
        <f t="shared" si="19"/>
        <v>1.790633609</v>
      </c>
      <c r="L230" s="327">
        <f t="shared" si="4"/>
        <v>2.686236088</v>
      </c>
      <c r="M230" s="321" t="str">
        <f t="shared" si="5"/>
        <v>freedumbs00</v>
      </c>
      <c r="N230" s="209">
        <f>IFERROR(__xludf.DUMMYFUNCTION("""COMPUTED_VALUE"""),5.0)</f>
        <v>5</v>
      </c>
      <c r="O230" s="176"/>
      <c r="P230" s="176"/>
      <c r="Q230" s="176"/>
      <c r="R230" s="176"/>
      <c r="S230" s="176"/>
      <c r="T230" s="176"/>
      <c r="U230" s="176"/>
      <c r="V230" s="176"/>
      <c r="W230" s="176"/>
      <c r="X230" s="176"/>
      <c r="Y230" s="176"/>
      <c r="Z230" s="176"/>
    </row>
    <row r="231">
      <c r="A231" s="249" t="s">
        <v>25</v>
      </c>
      <c r="B231" s="249" t="s">
        <v>590</v>
      </c>
      <c r="C231" s="329" t="s">
        <v>3078</v>
      </c>
      <c r="D231" s="268" t="s">
        <v>495</v>
      </c>
      <c r="E231" s="251">
        <v>44187.0</v>
      </c>
      <c r="F231" s="250" t="s">
        <v>496</v>
      </c>
      <c r="G231" s="171"/>
      <c r="H231" s="171"/>
      <c r="I231" s="171"/>
      <c r="J231" s="325">
        <f t="shared" si="14"/>
        <v>0</v>
      </c>
      <c r="K231" s="326">
        <f t="shared" si="19"/>
        <v>1.790633609</v>
      </c>
      <c r="L231" s="327">
        <f t="shared" si="4"/>
        <v>2.686236088</v>
      </c>
      <c r="M231" s="321" t="str">
        <f t="shared" si="5"/>
        <v>freedumbs00</v>
      </c>
      <c r="N231" s="209">
        <f>IFERROR(__xludf.DUMMYFUNCTION("""COMPUTED_VALUE"""),6.0)</f>
        <v>6</v>
      </c>
      <c r="O231" s="176"/>
      <c r="P231" s="176"/>
      <c r="Q231" s="176"/>
      <c r="R231" s="176"/>
      <c r="S231" s="176"/>
      <c r="T231" s="176"/>
      <c r="U231" s="176"/>
      <c r="V231" s="176"/>
      <c r="W231" s="176"/>
      <c r="X231" s="176"/>
      <c r="Y231" s="176"/>
      <c r="Z231" s="176"/>
    </row>
    <row r="232">
      <c r="A232" s="249" t="s">
        <v>25</v>
      </c>
      <c r="B232" s="249" t="s">
        <v>867</v>
      </c>
      <c r="C232" s="329" t="s">
        <v>3140</v>
      </c>
      <c r="D232" s="268" t="s">
        <v>495</v>
      </c>
      <c r="E232" s="251">
        <v>44187.0</v>
      </c>
      <c r="F232" s="250" t="s">
        <v>496</v>
      </c>
      <c r="G232" s="171"/>
      <c r="H232" s="171"/>
      <c r="I232" s="171"/>
      <c r="J232" s="325">
        <f t="shared" si="14"/>
        <v>0</v>
      </c>
      <c r="K232" s="326">
        <f t="shared" si="19"/>
        <v>1.790633609</v>
      </c>
      <c r="L232" s="327">
        <f t="shared" si="4"/>
        <v>2.686236088</v>
      </c>
      <c r="M232" s="321" t="str">
        <f t="shared" si="5"/>
        <v>freedumbs00</v>
      </c>
      <c r="N232" s="209">
        <f>IFERROR(__xludf.DUMMYFUNCTION("""COMPUTED_VALUE"""),7.0)</f>
        <v>7</v>
      </c>
      <c r="O232" s="176"/>
      <c r="P232" s="176"/>
      <c r="Q232" s="176"/>
      <c r="R232" s="176"/>
      <c r="S232" s="176"/>
      <c r="T232" s="176"/>
      <c r="U232" s="176"/>
      <c r="V232" s="176"/>
      <c r="W232" s="176"/>
      <c r="X232" s="176"/>
      <c r="Y232" s="176"/>
      <c r="Z232" s="176"/>
    </row>
    <row r="233">
      <c r="A233" s="253" t="s">
        <v>25</v>
      </c>
      <c r="B233" s="253" t="s">
        <v>25</v>
      </c>
      <c r="C233" s="364" t="s">
        <v>3141</v>
      </c>
      <c r="D233" s="336" t="s">
        <v>495</v>
      </c>
      <c r="E233" s="255">
        <v>44188.0</v>
      </c>
      <c r="F233" s="254" t="s">
        <v>496</v>
      </c>
      <c r="G233" s="222"/>
      <c r="H233" s="222"/>
      <c r="I233" s="222"/>
      <c r="J233" s="339">
        <f t="shared" si="14"/>
        <v>0</v>
      </c>
      <c r="K233" s="337">
        <f>J233*$J$1</f>
        <v>0</v>
      </c>
      <c r="L233" s="341">
        <f t="shared" si="4"/>
        <v>2.686236088</v>
      </c>
      <c r="M233" s="321" t="str">
        <f t="shared" si="5"/>
        <v>freedumbs00</v>
      </c>
      <c r="N233" s="209">
        <f>IFERROR(__xludf.DUMMYFUNCTION("""COMPUTED_VALUE"""),8.0)</f>
        <v>8</v>
      </c>
      <c r="O233" s="209"/>
      <c r="P233" s="209"/>
      <c r="Q233" s="209"/>
      <c r="R233" s="209"/>
      <c r="S233" s="209"/>
      <c r="T233" s="209"/>
      <c r="U233" s="209"/>
      <c r="V233" s="209"/>
      <c r="W233" s="209"/>
      <c r="X233" s="209"/>
      <c r="Y233" s="209"/>
      <c r="Z233" s="209"/>
    </row>
    <row r="234">
      <c r="A234" s="249" t="s">
        <v>25</v>
      </c>
      <c r="B234" s="249" t="s">
        <v>5</v>
      </c>
      <c r="C234" s="329" t="s">
        <v>3073</v>
      </c>
      <c r="D234" s="268" t="s">
        <v>495</v>
      </c>
      <c r="E234" s="251">
        <v>44191.0</v>
      </c>
      <c r="F234" s="250" t="s">
        <v>496</v>
      </c>
      <c r="G234" s="171"/>
      <c r="H234" s="171"/>
      <c r="I234" s="171"/>
      <c r="J234" s="325">
        <f t="shared" si="14"/>
        <v>0</v>
      </c>
      <c r="K234" s="326">
        <f t="shared" ref="K234:K236" si="20">$N$1</f>
        <v>1.790633609</v>
      </c>
      <c r="L234" s="327">
        <f t="shared" si="4"/>
        <v>2.686236088</v>
      </c>
      <c r="M234" s="321" t="str">
        <f t="shared" si="5"/>
        <v>freedumbs00</v>
      </c>
      <c r="N234" s="209">
        <f>IFERROR(__xludf.DUMMYFUNCTION("""COMPUTED_VALUE"""),9.0)</f>
        <v>9</v>
      </c>
      <c r="O234" s="176"/>
      <c r="P234" s="176"/>
      <c r="Q234" s="176"/>
      <c r="R234" s="176"/>
      <c r="S234" s="176"/>
      <c r="T234" s="176"/>
      <c r="U234" s="176"/>
      <c r="V234" s="176"/>
      <c r="W234" s="176"/>
      <c r="X234" s="176"/>
      <c r="Y234" s="176"/>
      <c r="Z234" s="176"/>
    </row>
    <row r="235">
      <c r="A235" s="249" t="s">
        <v>25</v>
      </c>
      <c r="B235" s="249" t="s">
        <v>10</v>
      </c>
      <c r="C235" s="329" t="s">
        <v>3061</v>
      </c>
      <c r="D235" s="268" t="s">
        <v>495</v>
      </c>
      <c r="E235" s="251">
        <v>44192.0</v>
      </c>
      <c r="F235" s="250" t="s">
        <v>496</v>
      </c>
      <c r="G235" s="171"/>
      <c r="H235" s="171"/>
      <c r="I235" s="171"/>
      <c r="J235" s="325">
        <f t="shared" si="14"/>
        <v>0</v>
      </c>
      <c r="K235" s="326">
        <f t="shared" si="20"/>
        <v>1.790633609</v>
      </c>
      <c r="L235" s="327">
        <f t="shared" si="4"/>
        <v>2.686236088</v>
      </c>
      <c r="M235" s="321" t="str">
        <f t="shared" si="5"/>
        <v>freedumbs00</v>
      </c>
      <c r="N235" s="209">
        <f>IFERROR(__xludf.DUMMYFUNCTION("""COMPUTED_VALUE"""),10.0)</f>
        <v>10</v>
      </c>
      <c r="O235" s="176"/>
      <c r="P235" s="176"/>
      <c r="Q235" s="176"/>
      <c r="R235" s="176"/>
      <c r="S235" s="176"/>
      <c r="T235" s="176"/>
      <c r="U235" s="176"/>
      <c r="V235" s="176"/>
      <c r="W235" s="176"/>
      <c r="X235" s="176"/>
      <c r="Y235" s="176"/>
      <c r="Z235" s="176"/>
    </row>
    <row r="236">
      <c r="A236" s="249" t="s">
        <v>25</v>
      </c>
      <c r="B236" s="249" t="s">
        <v>18</v>
      </c>
      <c r="C236" s="329" t="s">
        <v>3077</v>
      </c>
      <c r="D236" s="268" t="s">
        <v>495</v>
      </c>
      <c r="E236" s="251">
        <v>44193.0</v>
      </c>
      <c r="F236" s="250" t="s">
        <v>496</v>
      </c>
      <c r="G236" s="171"/>
      <c r="H236" s="171"/>
      <c r="I236" s="171"/>
      <c r="J236" s="325">
        <f t="shared" si="14"/>
        <v>0</v>
      </c>
      <c r="K236" s="326">
        <f t="shared" si="20"/>
        <v>1.790633609</v>
      </c>
      <c r="L236" s="327">
        <f t="shared" si="4"/>
        <v>2.686236088</v>
      </c>
      <c r="M236" s="321" t="str">
        <f t="shared" si="5"/>
        <v>freedumbs00</v>
      </c>
      <c r="N236" s="209">
        <f>IFERROR(__xludf.DUMMYFUNCTION("""COMPUTED_VALUE"""),11.0)</f>
        <v>11</v>
      </c>
      <c r="O236" s="176"/>
      <c r="P236" s="176"/>
      <c r="Q236" s="176"/>
      <c r="R236" s="176"/>
      <c r="S236" s="176"/>
      <c r="T236" s="176"/>
      <c r="U236" s="176"/>
      <c r="V236" s="176"/>
      <c r="W236" s="176"/>
      <c r="X236" s="176"/>
      <c r="Y236" s="176"/>
      <c r="Z236" s="176"/>
    </row>
    <row r="237">
      <c r="A237" s="240" t="s">
        <v>25</v>
      </c>
      <c r="B237" s="343" t="s">
        <v>534</v>
      </c>
      <c r="C237" s="221" t="s">
        <v>684</v>
      </c>
      <c r="D237" s="343"/>
      <c r="E237" s="344"/>
      <c r="F237" s="343"/>
      <c r="G237" s="343"/>
      <c r="H237" s="253"/>
      <c r="I237" s="253"/>
      <c r="J237" s="172">
        <f t="shared" si="14"/>
        <v>0</v>
      </c>
      <c r="K237" s="299">
        <f>17.906*-0.85</f>
        <v>-15.2201</v>
      </c>
      <c r="L237" s="327">
        <f t="shared" si="4"/>
        <v>2.686236088</v>
      </c>
      <c r="M237" s="321" t="str">
        <f t="shared" si="5"/>
        <v>freedumbs00</v>
      </c>
      <c r="N237" s="336">
        <f>IFERROR(__xludf.DUMMYFUNCTION("""COMPUTED_VALUE"""),12.0)</f>
        <v>12</v>
      </c>
      <c r="O237" s="343"/>
      <c r="P237" s="343"/>
      <c r="Q237" s="343"/>
      <c r="R237" s="336">
        <v>36.89669088595067</v>
      </c>
      <c r="S237" s="343"/>
      <c r="T237" s="343"/>
      <c r="U237" s="343"/>
      <c r="V237" s="343"/>
      <c r="W237" s="343"/>
      <c r="X237" s="343"/>
      <c r="Y237" s="226"/>
      <c r="Z237" s="226"/>
    </row>
    <row r="238">
      <c r="A238" s="249" t="s">
        <v>25</v>
      </c>
      <c r="B238" s="249" t="s">
        <v>1231</v>
      </c>
      <c r="C238" s="329" t="s">
        <v>3137</v>
      </c>
      <c r="D238" s="268" t="s">
        <v>495</v>
      </c>
      <c r="E238" s="251">
        <v>44184.0</v>
      </c>
      <c r="F238" s="221" t="s">
        <v>2912</v>
      </c>
      <c r="G238" s="222">
        <v>0.0</v>
      </c>
      <c r="H238" s="222">
        <v>0.0</v>
      </c>
      <c r="I238" s="222">
        <v>0.0</v>
      </c>
      <c r="J238" s="325">
        <f t="shared" si="14"/>
        <v>0</v>
      </c>
      <c r="K238" s="326">
        <f t="shared" ref="K238:K243" si="21">J238*$J$1</f>
        <v>0</v>
      </c>
      <c r="L238" s="327">
        <f t="shared" si="4"/>
        <v>2.686236088</v>
      </c>
      <c r="M238" s="321" t="str">
        <f t="shared" si="5"/>
        <v>freedumbs00</v>
      </c>
      <c r="N238" s="209">
        <f>IFERROR(__xludf.DUMMYFUNCTION("""COMPUTED_VALUE"""),13.0)</f>
        <v>13</v>
      </c>
      <c r="O238" s="176"/>
      <c r="P238" s="176"/>
      <c r="Q238" s="176"/>
      <c r="R238" s="176"/>
      <c r="S238" s="176"/>
      <c r="T238" s="176"/>
      <c r="U238" s="176"/>
      <c r="V238" s="176"/>
      <c r="W238" s="176"/>
      <c r="X238" s="176"/>
      <c r="Y238" s="176"/>
      <c r="Z238" s="176"/>
    </row>
    <row r="239">
      <c r="A239" s="249" t="s">
        <v>72</v>
      </c>
      <c r="B239" s="249" t="s">
        <v>1231</v>
      </c>
      <c r="C239" s="219" t="s">
        <v>3142</v>
      </c>
      <c r="D239" s="268" t="s">
        <v>495</v>
      </c>
      <c r="E239" s="251">
        <v>44184.0</v>
      </c>
      <c r="F239" s="250" t="s">
        <v>496</v>
      </c>
      <c r="G239" s="171">
        <v>100.0</v>
      </c>
      <c r="H239" s="171">
        <v>100.0</v>
      </c>
      <c r="I239" s="171">
        <v>100.0</v>
      </c>
      <c r="J239" s="325">
        <f t="shared" si="14"/>
        <v>0.006135428378</v>
      </c>
      <c r="K239" s="326">
        <f t="shared" si="21"/>
        <v>2.65868563</v>
      </c>
      <c r="L239" s="327">
        <f t="shared" si="4"/>
        <v>2.65868563</v>
      </c>
      <c r="M239" s="321" t="str">
        <f t="shared" si="5"/>
        <v>daithic</v>
      </c>
      <c r="N239" s="209">
        <f>IFERROR(__xludf.DUMMYFUNCTION("""COMPUTED_VALUE"""),1.0)</f>
        <v>1</v>
      </c>
      <c r="O239" s="176"/>
      <c r="P239" s="176"/>
      <c r="Q239" s="176"/>
      <c r="R239" s="176"/>
      <c r="S239" s="176"/>
      <c r="T239" s="176"/>
      <c r="U239" s="176"/>
      <c r="V239" s="176"/>
      <c r="W239" s="176"/>
      <c r="X239" s="176"/>
      <c r="Y239" s="176"/>
      <c r="Z239" s="176"/>
    </row>
    <row r="240">
      <c r="A240" s="249" t="s">
        <v>72</v>
      </c>
      <c r="B240" s="249" t="s">
        <v>1231</v>
      </c>
      <c r="C240" s="219" t="s">
        <v>3142</v>
      </c>
      <c r="D240" s="268" t="s">
        <v>495</v>
      </c>
      <c r="E240" s="251">
        <v>44184.0</v>
      </c>
      <c r="F240" s="254" t="s">
        <v>2912</v>
      </c>
      <c r="G240" s="363">
        <v>0.0</v>
      </c>
      <c r="H240" s="363">
        <v>0.0</v>
      </c>
      <c r="I240" s="363">
        <v>0.0</v>
      </c>
      <c r="J240" s="325">
        <f t="shared" si="14"/>
        <v>0</v>
      </c>
      <c r="K240" s="326">
        <f t="shared" si="21"/>
        <v>0</v>
      </c>
      <c r="L240" s="327">
        <f t="shared" si="4"/>
        <v>2.65868563</v>
      </c>
      <c r="M240" s="321" t="str">
        <f t="shared" si="5"/>
        <v>daithic</v>
      </c>
      <c r="N240" s="209">
        <f>IFERROR(__xludf.DUMMYFUNCTION("""COMPUTED_VALUE"""),2.0)</f>
        <v>2</v>
      </c>
      <c r="O240" s="176"/>
      <c r="P240" s="176"/>
      <c r="Q240" s="176"/>
      <c r="R240" s="176"/>
      <c r="S240" s="176"/>
      <c r="T240" s="176"/>
      <c r="U240" s="176"/>
      <c r="V240" s="176"/>
      <c r="W240" s="176"/>
      <c r="X240" s="176"/>
      <c r="Y240" s="176"/>
      <c r="Z240" s="176"/>
    </row>
    <row r="241">
      <c r="A241" s="249" t="s">
        <v>61</v>
      </c>
      <c r="B241" s="249" t="s">
        <v>519</v>
      </c>
      <c r="C241" s="219" t="s">
        <v>3143</v>
      </c>
      <c r="D241" s="268" t="s">
        <v>495</v>
      </c>
      <c r="E241" s="251">
        <v>44187.0</v>
      </c>
      <c r="F241" s="250" t="s">
        <v>2586</v>
      </c>
      <c r="G241" s="171">
        <v>400.0</v>
      </c>
      <c r="H241" s="171">
        <v>500.0</v>
      </c>
      <c r="I241" s="171">
        <v>250.0</v>
      </c>
      <c r="J241" s="325">
        <f t="shared" si="14"/>
        <v>0.02367376602</v>
      </c>
      <c r="K241" s="326">
        <f t="shared" si="21"/>
        <v>10.25863194</v>
      </c>
      <c r="L241" s="327">
        <f t="shared" si="4"/>
        <v>2.525471263</v>
      </c>
      <c r="M241" s="321" t="str">
        <f t="shared" si="5"/>
        <v>fabimol</v>
      </c>
      <c r="N241" s="209">
        <f>IFERROR(__xludf.DUMMYFUNCTION("""COMPUTED_VALUE"""),1.0)</f>
        <v>1</v>
      </c>
      <c r="O241" s="176"/>
      <c r="P241" s="176"/>
      <c r="Q241" s="176"/>
      <c r="R241" s="176"/>
      <c r="S241" s="176"/>
      <c r="T241" s="176"/>
      <c r="U241" s="176"/>
      <c r="V241" s="176"/>
      <c r="W241" s="176"/>
      <c r="X241" s="176"/>
      <c r="Y241" s="176"/>
      <c r="Z241" s="176"/>
    </row>
    <row r="242">
      <c r="A242" s="249" t="s">
        <v>61</v>
      </c>
      <c r="B242" s="249" t="s">
        <v>1175</v>
      </c>
      <c r="C242" s="219" t="s">
        <v>3144</v>
      </c>
      <c r="D242" s="268" t="s">
        <v>495</v>
      </c>
      <c r="E242" s="251">
        <v>44189.0</v>
      </c>
      <c r="F242" s="250" t="s">
        <v>2586</v>
      </c>
      <c r="G242" s="171">
        <v>200.0</v>
      </c>
      <c r="H242" s="171">
        <v>300.0</v>
      </c>
      <c r="I242" s="171">
        <v>150.0</v>
      </c>
      <c r="J242" s="325">
        <f t="shared" si="14"/>
        <v>0.01331861807</v>
      </c>
      <c r="K242" s="326">
        <f t="shared" si="21"/>
        <v>5.771401165</v>
      </c>
      <c r="L242" s="327">
        <f t="shared" si="4"/>
        <v>2.525471263</v>
      </c>
      <c r="M242" s="321" t="str">
        <f t="shared" si="5"/>
        <v>fabimol</v>
      </c>
      <c r="N242" s="209">
        <f>IFERROR(__xludf.DUMMYFUNCTION("""COMPUTED_VALUE"""),2.0)</f>
        <v>2</v>
      </c>
      <c r="O242" s="176"/>
      <c r="P242" s="176"/>
      <c r="Q242" s="176"/>
      <c r="R242" s="176"/>
      <c r="S242" s="176"/>
      <c r="T242" s="176"/>
      <c r="U242" s="176"/>
      <c r="V242" s="176"/>
      <c r="W242" s="176"/>
      <c r="X242" s="176"/>
      <c r="Y242" s="176"/>
      <c r="Z242" s="176"/>
    </row>
    <row r="243">
      <c r="A243" s="249" t="s">
        <v>61</v>
      </c>
      <c r="B243" s="249" t="s">
        <v>6</v>
      </c>
      <c r="C243" s="219" t="s">
        <v>3062</v>
      </c>
      <c r="D243" s="268" t="s">
        <v>495</v>
      </c>
      <c r="E243" s="251">
        <v>44186.0</v>
      </c>
      <c r="F243" s="250" t="s">
        <v>496</v>
      </c>
      <c r="G243" s="171">
        <v>40.0</v>
      </c>
      <c r="H243" s="171">
        <v>25.0</v>
      </c>
      <c r="I243" s="171">
        <v>25.0</v>
      </c>
      <c r="J243" s="325">
        <f t="shared" si="14"/>
        <v>0.001865972671</v>
      </c>
      <c r="K243" s="326">
        <f t="shared" si="21"/>
        <v>0.8085881573</v>
      </c>
      <c r="L243" s="327">
        <f t="shared" si="4"/>
        <v>2.525471263</v>
      </c>
      <c r="M243" s="321" t="str">
        <f t="shared" si="5"/>
        <v>fabimol</v>
      </c>
      <c r="N243" s="209">
        <f>IFERROR(__xludf.DUMMYFUNCTION("""COMPUTED_VALUE"""),3.0)</f>
        <v>3</v>
      </c>
      <c r="O243" s="176"/>
      <c r="P243" s="176"/>
      <c r="Q243" s="176"/>
      <c r="R243" s="176"/>
      <c r="S243" s="176"/>
      <c r="T243" s="176"/>
      <c r="U243" s="176"/>
      <c r="V243" s="176"/>
      <c r="W243" s="176"/>
      <c r="X243" s="176"/>
      <c r="Y243" s="176"/>
      <c r="Z243" s="176"/>
    </row>
    <row r="244">
      <c r="A244" s="362" t="s">
        <v>61</v>
      </c>
      <c r="B244" s="240" t="s">
        <v>534</v>
      </c>
      <c r="C244" s="346" t="s">
        <v>2452</v>
      </c>
      <c r="D244" s="336"/>
      <c r="E244" s="255"/>
      <c r="F244" s="254"/>
      <c r="G244" s="222"/>
      <c r="H244" s="222"/>
      <c r="I244" s="222"/>
      <c r="J244" s="325">
        <f t="shared" si="14"/>
        <v>0</v>
      </c>
      <c r="K244" s="337">
        <f>16.839*-0.85</f>
        <v>-14.31315</v>
      </c>
      <c r="L244" s="327">
        <f t="shared" si="4"/>
        <v>2.525471263</v>
      </c>
      <c r="M244" s="321" t="str">
        <f t="shared" si="5"/>
        <v>fabimol</v>
      </c>
      <c r="N244" s="209">
        <f>IFERROR(__xludf.DUMMYFUNCTION("""COMPUTED_VALUE"""),4.0)</f>
        <v>4</v>
      </c>
      <c r="O244" s="176"/>
      <c r="P244" s="176"/>
      <c r="Q244" s="176"/>
      <c r="R244" s="176">
        <v>15.387070331364484</v>
      </c>
      <c r="S244" s="176"/>
      <c r="T244" s="176"/>
      <c r="U244" s="176"/>
      <c r="V244" s="176"/>
      <c r="W244" s="176"/>
      <c r="X244" s="176"/>
      <c r="Y244" s="176"/>
      <c r="Z244" s="176"/>
    </row>
    <row r="245">
      <c r="A245" s="249" t="s">
        <v>9</v>
      </c>
      <c r="B245" s="249" t="s">
        <v>10</v>
      </c>
      <c r="C245" s="219" t="s">
        <v>3061</v>
      </c>
      <c r="D245" s="268" t="s">
        <v>495</v>
      </c>
      <c r="E245" s="251">
        <v>44192.0</v>
      </c>
      <c r="F245" s="250" t="s">
        <v>496</v>
      </c>
      <c r="G245" s="171">
        <v>45.0</v>
      </c>
      <c r="H245" s="171">
        <v>25.0</v>
      </c>
      <c r="I245" s="171">
        <v>150.0</v>
      </c>
      <c r="J245" s="325">
        <f t="shared" si="14"/>
        <v>0.004371313878</v>
      </c>
      <c r="K245" s="326">
        <f t="shared" ref="K245:K260" si="22">J245*$J$1</f>
        <v>1.894236014</v>
      </c>
      <c r="L245" s="327">
        <f t="shared" si="4"/>
        <v>2.510935172</v>
      </c>
      <c r="M245" s="321" t="str">
        <f t="shared" si="5"/>
        <v>akrtws</v>
      </c>
      <c r="N245" s="209">
        <f>IFERROR(__xludf.DUMMYFUNCTION("""COMPUTED_VALUE"""),1.0)</f>
        <v>1</v>
      </c>
      <c r="O245" s="176"/>
      <c r="P245" s="176"/>
      <c r="Q245" s="176"/>
      <c r="R245" s="176"/>
      <c r="S245" s="176"/>
      <c r="T245" s="176"/>
      <c r="U245" s="176"/>
      <c r="V245" s="176"/>
      <c r="W245" s="176"/>
      <c r="X245" s="176"/>
      <c r="Y245" s="176"/>
      <c r="Z245" s="176"/>
    </row>
    <row r="246">
      <c r="A246" s="249" t="s">
        <v>9</v>
      </c>
      <c r="B246" s="249" t="s">
        <v>519</v>
      </c>
      <c r="C246" s="219" t="s">
        <v>3067</v>
      </c>
      <c r="D246" s="268" t="s">
        <v>495</v>
      </c>
      <c r="E246" s="251">
        <v>44188.0</v>
      </c>
      <c r="F246" s="250" t="s">
        <v>499</v>
      </c>
      <c r="G246" s="171">
        <v>20.0</v>
      </c>
      <c r="H246" s="171">
        <v>25.0</v>
      </c>
      <c r="I246" s="171">
        <v>25.0</v>
      </c>
      <c r="J246" s="325">
        <f t="shared" si="14"/>
        <v>0.001423151902</v>
      </c>
      <c r="K246" s="326">
        <f t="shared" si="22"/>
        <v>0.6166991577</v>
      </c>
      <c r="L246" s="327">
        <f t="shared" si="4"/>
        <v>2.510935172</v>
      </c>
      <c r="M246" s="321" t="str">
        <f t="shared" si="5"/>
        <v>akrtws</v>
      </c>
      <c r="N246" s="209">
        <f>IFERROR(__xludf.DUMMYFUNCTION("""COMPUTED_VALUE"""),2.0)</f>
        <v>2</v>
      </c>
      <c r="O246" s="176"/>
      <c r="P246" s="176"/>
      <c r="Q246" s="176"/>
      <c r="R246" s="176"/>
      <c r="S246" s="176"/>
      <c r="T246" s="176"/>
      <c r="U246" s="176"/>
      <c r="V246" s="176"/>
      <c r="W246" s="176"/>
      <c r="X246" s="176"/>
      <c r="Y246" s="176"/>
      <c r="Z246" s="176"/>
    </row>
    <row r="247">
      <c r="A247" s="249" t="s">
        <v>28</v>
      </c>
      <c r="B247" s="249" t="s">
        <v>1231</v>
      </c>
      <c r="C247" s="219" t="s">
        <v>3145</v>
      </c>
      <c r="D247" s="268" t="s">
        <v>495</v>
      </c>
      <c r="E247" s="251">
        <v>44184.0</v>
      </c>
      <c r="F247" s="250" t="s">
        <v>496</v>
      </c>
      <c r="G247" s="171">
        <v>200.0</v>
      </c>
      <c r="H247" s="171">
        <v>100.0</v>
      </c>
      <c r="I247" s="171">
        <v>200.0</v>
      </c>
      <c r="J247" s="325">
        <f t="shared" si="14"/>
        <v>0.01026524103</v>
      </c>
      <c r="K247" s="326">
        <f t="shared" si="22"/>
        <v>4.448271114</v>
      </c>
      <c r="L247" s="327">
        <f t="shared" si="4"/>
        <v>2.506925035</v>
      </c>
      <c r="M247" s="321" t="str">
        <f t="shared" si="5"/>
        <v>tam2140</v>
      </c>
      <c r="N247" s="209">
        <f>IFERROR(__xludf.DUMMYFUNCTION("""COMPUTED_VALUE"""),1.0)</f>
        <v>1</v>
      </c>
      <c r="O247" s="176"/>
      <c r="P247" s="176"/>
      <c r="Q247" s="176"/>
      <c r="R247" s="176"/>
      <c r="S247" s="176"/>
      <c r="T247" s="176"/>
      <c r="U247" s="176"/>
      <c r="V247" s="176"/>
      <c r="W247" s="176"/>
      <c r="X247" s="176"/>
      <c r="Y247" s="176"/>
      <c r="Z247" s="176"/>
    </row>
    <row r="248">
      <c r="A248" s="249" t="s">
        <v>28</v>
      </c>
      <c r="B248" s="249" t="s">
        <v>10</v>
      </c>
      <c r="C248" s="219" t="s">
        <v>3061</v>
      </c>
      <c r="D248" s="268" t="s">
        <v>495</v>
      </c>
      <c r="E248" s="251">
        <v>44192.0</v>
      </c>
      <c r="F248" s="250" t="s">
        <v>496</v>
      </c>
      <c r="G248" s="171">
        <v>45.0</v>
      </c>
      <c r="H248" s="171">
        <v>25.0</v>
      </c>
      <c r="I248" s="171">
        <v>150.0</v>
      </c>
      <c r="J248" s="325">
        <f t="shared" si="14"/>
        <v>0.004371313878</v>
      </c>
      <c r="K248" s="326">
        <f t="shared" si="22"/>
        <v>1.894236014</v>
      </c>
      <c r="L248" s="327">
        <f t="shared" si="4"/>
        <v>2.506925035</v>
      </c>
      <c r="M248" s="321" t="str">
        <f t="shared" si="5"/>
        <v>tam2140</v>
      </c>
      <c r="N248" s="209">
        <f>IFERROR(__xludf.DUMMYFUNCTION("""COMPUTED_VALUE"""),2.0)</f>
        <v>2</v>
      </c>
      <c r="O248" s="176"/>
      <c r="P248" s="176"/>
      <c r="Q248" s="176"/>
      <c r="R248" s="176"/>
      <c r="S248" s="176"/>
      <c r="T248" s="176"/>
      <c r="U248" s="176"/>
      <c r="V248" s="176"/>
      <c r="W248" s="176"/>
      <c r="X248" s="176"/>
      <c r="Y248" s="176"/>
      <c r="Z248" s="176"/>
    </row>
    <row r="249">
      <c r="A249" s="249" t="s">
        <v>28</v>
      </c>
      <c r="B249" s="249" t="s">
        <v>10</v>
      </c>
      <c r="C249" s="219" t="s">
        <v>3146</v>
      </c>
      <c r="D249" s="268" t="s">
        <v>495</v>
      </c>
      <c r="E249" s="251">
        <v>44192.0</v>
      </c>
      <c r="F249" s="250" t="s">
        <v>496</v>
      </c>
      <c r="G249" s="171">
        <v>60.0</v>
      </c>
      <c r="H249" s="171">
        <v>25.0</v>
      </c>
      <c r="I249" s="171">
        <v>100.0</v>
      </c>
      <c r="J249" s="325">
        <f t="shared" si="14"/>
        <v>0.003745575048</v>
      </c>
      <c r="K249" s="326">
        <f t="shared" si="22"/>
        <v>1.623082521</v>
      </c>
      <c r="L249" s="327">
        <f t="shared" si="4"/>
        <v>2.506925035</v>
      </c>
      <c r="M249" s="321" t="str">
        <f t="shared" si="5"/>
        <v>tam2140</v>
      </c>
      <c r="N249" s="209">
        <f>IFERROR(__xludf.DUMMYFUNCTION("""COMPUTED_VALUE"""),3.0)</f>
        <v>3</v>
      </c>
      <c r="O249" s="176"/>
      <c r="P249" s="176"/>
      <c r="Q249" s="176"/>
      <c r="R249" s="176"/>
      <c r="S249" s="176"/>
      <c r="T249" s="176"/>
      <c r="U249" s="176"/>
      <c r="V249" s="176"/>
      <c r="W249" s="176"/>
      <c r="X249" s="176"/>
      <c r="Y249" s="176"/>
      <c r="Z249" s="176"/>
    </row>
    <row r="250">
      <c r="A250" s="249" t="s">
        <v>28</v>
      </c>
      <c r="B250" s="249" t="s">
        <v>5</v>
      </c>
      <c r="C250" s="219" t="s">
        <v>3073</v>
      </c>
      <c r="D250" s="268" t="s">
        <v>495</v>
      </c>
      <c r="E250" s="251">
        <v>44191.0</v>
      </c>
      <c r="F250" s="250" t="s">
        <v>496</v>
      </c>
      <c r="G250" s="171">
        <v>60.0</v>
      </c>
      <c r="H250" s="171">
        <v>50.0</v>
      </c>
      <c r="I250" s="171">
        <v>50.0</v>
      </c>
      <c r="J250" s="325">
        <f t="shared" si="14"/>
        <v>0.003289124573</v>
      </c>
      <c r="K250" s="326">
        <f t="shared" si="22"/>
        <v>1.425287315</v>
      </c>
      <c r="L250" s="327">
        <f t="shared" si="4"/>
        <v>2.506925035</v>
      </c>
      <c r="M250" s="321" t="str">
        <f t="shared" si="5"/>
        <v>tam2140</v>
      </c>
      <c r="N250" s="209">
        <f>IFERROR(__xludf.DUMMYFUNCTION("""COMPUTED_VALUE"""),4.0)</f>
        <v>4</v>
      </c>
      <c r="O250" s="176"/>
      <c r="P250" s="176"/>
      <c r="Q250" s="176"/>
      <c r="R250" s="176"/>
      <c r="S250" s="176"/>
      <c r="T250" s="176"/>
      <c r="U250" s="176"/>
      <c r="V250" s="176"/>
      <c r="W250" s="176"/>
      <c r="X250" s="176"/>
      <c r="Y250" s="176"/>
      <c r="Z250" s="176"/>
    </row>
    <row r="251">
      <c r="A251" s="249" t="s">
        <v>28</v>
      </c>
      <c r="B251" s="249" t="s">
        <v>10</v>
      </c>
      <c r="C251" s="219" t="s">
        <v>3092</v>
      </c>
      <c r="D251" s="268" t="s">
        <v>495</v>
      </c>
      <c r="E251" s="251">
        <v>44192.0</v>
      </c>
      <c r="F251" s="250" t="s">
        <v>496</v>
      </c>
      <c r="G251" s="171">
        <v>20.0</v>
      </c>
      <c r="H251" s="171">
        <v>25.0</v>
      </c>
      <c r="I251" s="171">
        <v>100.0</v>
      </c>
      <c r="J251" s="325">
        <f t="shared" si="14"/>
        <v>0.002859933512</v>
      </c>
      <c r="K251" s="326">
        <f t="shared" si="22"/>
        <v>1.239304522</v>
      </c>
      <c r="L251" s="327">
        <f t="shared" si="4"/>
        <v>2.506925035</v>
      </c>
      <c r="M251" s="321" t="str">
        <f t="shared" si="5"/>
        <v>tam2140</v>
      </c>
      <c r="N251" s="209">
        <f>IFERROR(__xludf.DUMMYFUNCTION("""COMPUTED_VALUE"""),5.0)</f>
        <v>5</v>
      </c>
      <c r="O251" s="176"/>
      <c r="P251" s="176"/>
      <c r="Q251" s="176"/>
      <c r="R251" s="176"/>
      <c r="S251" s="176"/>
      <c r="T251" s="176"/>
      <c r="U251" s="176"/>
      <c r="V251" s="176"/>
      <c r="W251" s="176"/>
      <c r="X251" s="176"/>
      <c r="Y251" s="176"/>
      <c r="Z251" s="176"/>
    </row>
    <row r="252">
      <c r="A252" s="249" t="s">
        <v>28</v>
      </c>
      <c r="B252" s="249" t="s">
        <v>590</v>
      </c>
      <c r="C252" s="219" t="s">
        <v>3108</v>
      </c>
      <c r="D252" s="268" t="s">
        <v>495</v>
      </c>
      <c r="E252" s="251">
        <v>44195.0</v>
      </c>
      <c r="F252" s="250" t="s">
        <v>496</v>
      </c>
      <c r="G252" s="171">
        <v>100.0</v>
      </c>
      <c r="H252" s="171">
        <v>25.0</v>
      </c>
      <c r="I252" s="171">
        <v>50.0</v>
      </c>
      <c r="J252" s="325">
        <f t="shared" si="14"/>
        <v>0.003673362179</v>
      </c>
      <c r="K252" s="326">
        <f t="shared" si="22"/>
        <v>1.591790277</v>
      </c>
      <c r="L252" s="327">
        <f t="shared" si="4"/>
        <v>2.506925035</v>
      </c>
      <c r="M252" s="321" t="str">
        <f t="shared" si="5"/>
        <v>tam2140</v>
      </c>
      <c r="N252" s="209">
        <f>IFERROR(__xludf.DUMMYFUNCTION("""COMPUTED_VALUE"""),6.0)</f>
        <v>6</v>
      </c>
      <c r="O252" s="176"/>
      <c r="P252" s="176"/>
      <c r="Q252" s="176"/>
      <c r="R252" s="176"/>
      <c r="S252" s="176"/>
      <c r="T252" s="176"/>
      <c r="U252" s="176"/>
      <c r="V252" s="176"/>
      <c r="W252" s="176"/>
      <c r="X252" s="176"/>
      <c r="Y252" s="176"/>
      <c r="Z252" s="176"/>
    </row>
    <row r="253">
      <c r="A253" s="249" t="s">
        <v>28</v>
      </c>
      <c r="B253" s="249" t="s">
        <v>10</v>
      </c>
      <c r="C253" s="219" t="s">
        <v>3065</v>
      </c>
      <c r="D253" s="268" t="s">
        <v>495</v>
      </c>
      <c r="E253" s="251">
        <v>44192.0</v>
      </c>
      <c r="F253" s="250" t="s">
        <v>496</v>
      </c>
      <c r="G253" s="171">
        <v>30.0</v>
      </c>
      <c r="H253" s="171">
        <v>25.0</v>
      </c>
      <c r="I253" s="171">
        <v>50.0</v>
      </c>
      <c r="J253" s="325">
        <f t="shared" si="14"/>
        <v>0.00212348949</v>
      </c>
      <c r="K253" s="326">
        <f t="shared" si="22"/>
        <v>0.9201787788</v>
      </c>
      <c r="L253" s="327">
        <f t="shared" si="4"/>
        <v>2.506925035</v>
      </c>
      <c r="M253" s="321" t="str">
        <f t="shared" si="5"/>
        <v>tam2140</v>
      </c>
      <c r="N253" s="209">
        <f>IFERROR(__xludf.DUMMYFUNCTION("""COMPUTED_VALUE"""),7.0)</f>
        <v>7</v>
      </c>
      <c r="O253" s="176"/>
      <c r="P253" s="176"/>
      <c r="Q253" s="176"/>
      <c r="R253" s="176"/>
      <c r="S253" s="176"/>
      <c r="T253" s="176"/>
      <c r="U253" s="176"/>
      <c r="V253" s="176"/>
      <c r="W253" s="176"/>
      <c r="X253" s="176"/>
      <c r="Y253" s="176"/>
      <c r="Z253" s="176"/>
    </row>
    <row r="254">
      <c r="A254" s="249" t="s">
        <v>28</v>
      </c>
      <c r="B254" s="249" t="s">
        <v>18</v>
      </c>
      <c r="C254" s="219" t="s">
        <v>3074</v>
      </c>
      <c r="D254" s="268" t="s">
        <v>495</v>
      </c>
      <c r="E254" s="251">
        <v>44193.0</v>
      </c>
      <c r="F254" s="250" t="s">
        <v>496</v>
      </c>
      <c r="G254" s="171">
        <v>50.0</v>
      </c>
      <c r="H254" s="171">
        <v>25.0</v>
      </c>
      <c r="I254" s="171">
        <v>50.0</v>
      </c>
      <c r="J254" s="325">
        <f t="shared" si="14"/>
        <v>0.002566310258</v>
      </c>
      <c r="K254" s="326">
        <f t="shared" si="22"/>
        <v>1.112067778</v>
      </c>
      <c r="L254" s="327">
        <f t="shared" si="4"/>
        <v>2.506925035</v>
      </c>
      <c r="M254" s="321" t="str">
        <f t="shared" si="5"/>
        <v>tam2140</v>
      </c>
      <c r="N254" s="209">
        <f>IFERROR(__xludf.DUMMYFUNCTION("""COMPUTED_VALUE"""),8.0)</f>
        <v>8</v>
      </c>
      <c r="O254" s="176"/>
      <c r="P254" s="176"/>
      <c r="Q254" s="176"/>
      <c r="R254" s="176"/>
      <c r="S254" s="176"/>
      <c r="T254" s="176"/>
      <c r="U254" s="176"/>
      <c r="V254" s="176"/>
      <c r="W254" s="176"/>
      <c r="X254" s="176"/>
      <c r="Y254" s="176"/>
      <c r="Z254" s="176"/>
    </row>
    <row r="255">
      <c r="A255" s="249" t="s">
        <v>28</v>
      </c>
      <c r="B255" s="249" t="s">
        <v>6</v>
      </c>
      <c r="C255" s="219" t="s">
        <v>3062</v>
      </c>
      <c r="D255" s="268" t="s">
        <v>495</v>
      </c>
      <c r="E255" s="251">
        <v>44186.0</v>
      </c>
      <c r="F255" s="250" t="s">
        <v>496</v>
      </c>
      <c r="G255" s="171">
        <v>50.0</v>
      </c>
      <c r="H255" s="171">
        <v>25.0</v>
      </c>
      <c r="I255" s="171">
        <v>50.0</v>
      </c>
      <c r="J255" s="325">
        <f t="shared" si="14"/>
        <v>0.002566310258</v>
      </c>
      <c r="K255" s="326">
        <f t="shared" si="22"/>
        <v>1.112067778</v>
      </c>
      <c r="L255" s="327">
        <f t="shared" si="4"/>
        <v>2.506925035</v>
      </c>
      <c r="M255" s="321" t="str">
        <f t="shared" si="5"/>
        <v>tam2140</v>
      </c>
      <c r="N255" s="209">
        <f>IFERROR(__xludf.DUMMYFUNCTION("""COMPUTED_VALUE"""),9.0)</f>
        <v>9</v>
      </c>
      <c r="O255" s="176"/>
      <c r="P255" s="176"/>
      <c r="Q255" s="176"/>
      <c r="R255" s="176"/>
      <c r="S255" s="176"/>
      <c r="T255" s="176"/>
      <c r="U255" s="176"/>
      <c r="V255" s="176"/>
      <c r="W255" s="176"/>
      <c r="X255" s="176"/>
      <c r="Y255" s="176"/>
      <c r="Z255" s="176"/>
    </row>
    <row r="256">
      <c r="A256" s="249" t="s">
        <v>28</v>
      </c>
      <c r="B256" s="249" t="s">
        <v>590</v>
      </c>
      <c r="C256" s="219" t="s">
        <v>3078</v>
      </c>
      <c r="D256" s="268" t="s">
        <v>495</v>
      </c>
      <c r="E256" s="251">
        <v>44187.0</v>
      </c>
      <c r="F256" s="250" t="s">
        <v>496</v>
      </c>
      <c r="G256" s="171">
        <v>10.0</v>
      </c>
      <c r="H256" s="171">
        <v>25.0</v>
      </c>
      <c r="I256" s="171">
        <v>50.0</v>
      </c>
      <c r="J256" s="325">
        <f t="shared" si="14"/>
        <v>0.001680668721</v>
      </c>
      <c r="K256" s="326">
        <f t="shared" si="22"/>
        <v>0.7282897792</v>
      </c>
      <c r="L256" s="327">
        <f t="shared" si="4"/>
        <v>2.506925035</v>
      </c>
      <c r="M256" s="321" t="str">
        <f t="shared" si="5"/>
        <v>tam2140</v>
      </c>
      <c r="N256" s="209">
        <f>IFERROR(__xludf.DUMMYFUNCTION("""COMPUTED_VALUE"""),10.0)</f>
        <v>10</v>
      </c>
      <c r="O256" s="176"/>
      <c r="P256" s="176"/>
      <c r="Q256" s="176"/>
      <c r="R256" s="176"/>
      <c r="S256" s="176"/>
      <c r="T256" s="176"/>
      <c r="U256" s="176"/>
      <c r="V256" s="176"/>
      <c r="W256" s="176"/>
      <c r="X256" s="176"/>
      <c r="Y256" s="176"/>
      <c r="Z256" s="176"/>
    </row>
    <row r="257">
      <c r="A257" s="249" t="s">
        <v>28</v>
      </c>
      <c r="B257" s="249" t="s">
        <v>519</v>
      </c>
      <c r="C257" s="219" t="s">
        <v>3067</v>
      </c>
      <c r="D257" s="268" t="s">
        <v>495</v>
      </c>
      <c r="E257" s="251">
        <v>44188.0</v>
      </c>
      <c r="F257" s="250" t="s">
        <v>499</v>
      </c>
      <c r="G257" s="171">
        <v>20.0</v>
      </c>
      <c r="H257" s="171">
        <v>25.0</v>
      </c>
      <c r="I257" s="171">
        <v>25.0</v>
      </c>
      <c r="J257" s="325">
        <f t="shared" si="14"/>
        <v>0.001423151902</v>
      </c>
      <c r="K257" s="326">
        <f t="shared" si="22"/>
        <v>0.6166991577</v>
      </c>
      <c r="L257" s="327">
        <f t="shared" si="4"/>
        <v>2.506925035</v>
      </c>
      <c r="M257" s="321" t="str">
        <f t="shared" si="5"/>
        <v>tam2140</v>
      </c>
      <c r="N257" s="209">
        <f>IFERROR(__xludf.DUMMYFUNCTION("""COMPUTED_VALUE"""),11.0)</f>
        <v>11</v>
      </c>
      <c r="O257" s="176"/>
      <c r="P257" s="176"/>
      <c r="Q257" s="176"/>
      <c r="R257" s="176"/>
      <c r="S257" s="176"/>
      <c r="T257" s="176"/>
      <c r="U257" s="176"/>
      <c r="V257" s="176"/>
      <c r="W257" s="176"/>
      <c r="X257" s="176"/>
      <c r="Y257" s="176"/>
      <c r="Z257" s="176"/>
    </row>
    <row r="258">
      <c r="A258" s="249" t="s">
        <v>28</v>
      </c>
      <c r="B258" s="249" t="s">
        <v>1231</v>
      </c>
      <c r="C258" s="219" t="s">
        <v>3145</v>
      </c>
      <c r="D258" s="268" t="s">
        <v>495</v>
      </c>
      <c r="E258" s="251">
        <v>44184.0</v>
      </c>
      <c r="F258" s="256" t="s">
        <v>2912</v>
      </c>
      <c r="G258" s="363">
        <v>0.0</v>
      </c>
      <c r="H258" s="363">
        <v>0.0</v>
      </c>
      <c r="I258" s="363">
        <v>0.0</v>
      </c>
      <c r="J258" s="325">
        <f t="shared" si="14"/>
        <v>0</v>
      </c>
      <c r="K258" s="326">
        <f t="shared" si="22"/>
        <v>0</v>
      </c>
      <c r="L258" s="327">
        <f t="shared" si="4"/>
        <v>2.506925035</v>
      </c>
      <c r="M258" s="321" t="str">
        <f t="shared" si="5"/>
        <v>tam2140</v>
      </c>
      <c r="N258" s="209">
        <f>IFERROR(__xludf.DUMMYFUNCTION("""COMPUTED_VALUE"""),12.0)</f>
        <v>12</v>
      </c>
      <c r="O258" s="176"/>
      <c r="P258" s="176"/>
      <c r="Q258" s="176"/>
      <c r="R258" s="176"/>
      <c r="S258" s="176"/>
      <c r="T258" s="176"/>
      <c r="U258" s="176"/>
      <c r="V258" s="176"/>
      <c r="W258" s="176"/>
      <c r="X258" s="176"/>
      <c r="Y258" s="176"/>
      <c r="Z258" s="176"/>
    </row>
    <row r="259">
      <c r="A259" s="249" t="s">
        <v>28</v>
      </c>
      <c r="B259" s="249" t="s">
        <v>1231</v>
      </c>
      <c r="C259" s="219" t="s">
        <v>3145</v>
      </c>
      <c r="D259" s="268" t="s">
        <v>495</v>
      </c>
      <c r="E259" s="251">
        <v>44184.0</v>
      </c>
      <c r="F259" s="254" t="s">
        <v>2912</v>
      </c>
      <c r="G259" s="363">
        <v>0.0</v>
      </c>
      <c r="H259" s="363">
        <v>0.0</v>
      </c>
      <c r="I259" s="363">
        <v>0.0</v>
      </c>
      <c r="J259" s="325">
        <f t="shared" si="14"/>
        <v>0</v>
      </c>
      <c r="K259" s="326">
        <f t="shared" si="22"/>
        <v>0</v>
      </c>
      <c r="L259" s="327">
        <f t="shared" si="4"/>
        <v>2.506925035</v>
      </c>
      <c r="M259" s="321" t="str">
        <f t="shared" si="5"/>
        <v>tam2140</v>
      </c>
      <c r="N259" s="209">
        <f>IFERROR(__xludf.DUMMYFUNCTION("""COMPUTED_VALUE"""),13.0)</f>
        <v>13</v>
      </c>
      <c r="O259" s="176"/>
      <c r="P259" s="176"/>
      <c r="Q259" s="176"/>
      <c r="R259" s="176"/>
      <c r="S259" s="176"/>
      <c r="T259" s="176"/>
      <c r="U259" s="176"/>
      <c r="V259" s="176"/>
      <c r="W259" s="176"/>
      <c r="X259" s="176"/>
      <c r="Y259" s="176"/>
      <c r="Z259" s="176"/>
    </row>
    <row r="260">
      <c r="A260" s="249" t="s">
        <v>28</v>
      </c>
      <c r="B260" s="249" t="s">
        <v>1231</v>
      </c>
      <c r="C260" s="219" t="s">
        <v>3145</v>
      </c>
      <c r="D260" s="268" t="s">
        <v>495</v>
      </c>
      <c r="E260" s="251">
        <v>44184.0</v>
      </c>
      <c r="F260" s="254" t="s">
        <v>2912</v>
      </c>
      <c r="G260" s="363">
        <v>0.0</v>
      </c>
      <c r="H260" s="363">
        <v>0.0</v>
      </c>
      <c r="I260" s="363">
        <v>0.0</v>
      </c>
      <c r="J260" s="325">
        <f t="shared" si="14"/>
        <v>0</v>
      </c>
      <c r="K260" s="326">
        <f t="shared" si="22"/>
        <v>0</v>
      </c>
      <c r="L260" s="327">
        <f t="shared" si="4"/>
        <v>2.506925035</v>
      </c>
      <c r="M260" s="321" t="str">
        <f t="shared" si="5"/>
        <v>tam2140</v>
      </c>
      <c r="N260" s="209">
        <f>IFERROR(__xludf.DUMMYFUNCTION("""COMPUTED_VALUE"""),14.0)</f>
        <v>14</v>
      </c>
      <c r="O260" s="176"/>
      <c r="P260" s="176"/>
      <c r="Q260" s="176"/>
      <c r="R260" s="176"/>
      <c r="S260" s="176"/>
      <c r="T260" s="176"/>
      <c r="U260" s="176"/>
      <c r="V260" s="176"/>
      <c r="W260" s="176"/>
      <c r="X260" s="176"/>
      <c r="Y260" s="176"/>
      <c r="Z260" s="176"/>
    </row>
    <row r="261">
      <c r="A261" s="240" t="s">
        <v>28</v>
      </c>
      <c r="B261" s="240" t="s">
        <v>534</v>
      </c>
      <c r="C261" s="221" t="s">
        <v>781</v>
      </c>
      <c r="D261" s="336"/>
      <c r="E261" s="340"/>
      <c r="F261" s="254"/>
      <c r="G261" s="312"/>
      <c r="H261" s="222"/>
      <c r="I261" s="222"/>
      <c r="J261" s="325">
        <f t="shared" si="14"/>
        <v>0</v>
      </c>
      <c r="K261" s="337">
        <f>16.711*-0.85</f>
        <v>-14.20435</v>
      </c>
      <c r="L261" s="327">
        <f t="shared" si="4"/>
        <v>2.506925035</v>
      </c>
      <c r="M261" s="321" t="str">
        <f t="shared" si="5"/>
        <v>tam2140</v>
      </c>
      <c r="N261" s="209">
        <f>IFERROR(__xludf.DUMMYFUNCTION("""COMPUTED_VALUE"""),15.0)</f>
        <v>15</v>
      </c>
      <c r="O261" s="209"/>
      <c r="P261" s="209"/>
      <c r="Q261" s="209"/>
      <c r="R261" s="209">
        <v>27.866735844582376</v>
      </c>
      <c r="S261" s="209"/>
      <c r="T261" s="209"/>
      <c r="U261" s="209"/>
      <c r="V261" s="209"/>
      <c r="W261" s="209"/>
      <c r="X261" s="209"/>
      <c r="Y261" s="176"/>
      <c r="Z261" s="176"/>
    </row>
    <row r="262">
      <c r="A262" s="249" t="s">
        <v>15</v>
      </c>
      <c r="B262" s="249" t="s">
        <v>1231</v>
      </c>
      <c r="C262" s="329" t="s">
        <v>3106</v>
      </c>
      <c r="D262" s="268" t="s">
        <v>495</v>
      </c>
      <c r="E262" s="251">
        <v>44184.0</v>
      </c>
      <c r="F262" s="221" t="s">
        <v>2912</v>
      </c>
      <c r="G262" s="222">
        <v>0.0</v>
      </c>
      <c r="H262" s="222">
        <v>0.0</v>
      </c>
      <c r="I262" s="222">
        <v>0.0</v>
      </c>
      <c r="J262" s="325">
        <f t="shared" si="14"/>
        <v>0</v>
      </c>
      <c r="K262" s="326">
        <f>J262*$J$1</f>
        <v>0</v>
      </c>
      <c r="L262" s="327">
        <f t="shared" si="4"/>
        <v>2.417102479</v>
      </c>
      <c r="M262" s="321" t="str">
        <f t="shared" si="5"/>
        <v>juankbell</v>
      </c>
      <c r="N262" s="209">
        <f>IFERROR(__xludf.DUMMYFUNCTION("""COMPUTED_VALUE"""),1.0)</f>
        <v>1</v>
      </c>
      <c r="O262" s="176"/>
      <c r="P262" s="176"/>
      <c r="Q262" s="176"/>
      <c r="R262" s="176"/>
      <c r="S262" s="176"/>
      <c r="T262" s="176"/>
      <c r="U262" s="176"/>
      <c r="V262" s="176"/>
      <c r="W262" s="176"/>
      <c r="X262" s="176"/>
      <c r="Y262" s="176"/>
      <c r="Z262" s="176"/>
    </row>
    <row r="263">
      <c r="A263" s="249" t="s">
        <v>15</v>
      </c>
      <c r="B263" s="249" t="s">
        <v>1231</v>
      </c>
      <c r="C263" s="329" t="s">
        <v>3106</v>
      </c>
      <c r="D263" s="268" t="s">
        <v>495</v>
      </c>
      <c r="E263" s="251">
        <v>44184.0</v>
      </c>
      <c r="F263" s="250" t="s">
        <v>496</v>
      </c>
      <c r="G263" s="171"/>
      <c r="H263" s="171"/>
      <c r="I263" s="171"/>
      <c r="J263" s="325">
        <f t="shared" si="14"/>
        <v>0</v>
      </c>
      <c r="K263" s="326">
        <f>$N$1</f>
        <v>1.790633609</v>
      </c>
      <c r="L263" s="327">
        <f t="shared" si="4"/>
        <v>2.417102479</v>
      </c>
      <c r="M263" s="321" t="str">
        <f t="shared" si="5"/>
        <v>juankbell</v>
      </c>
      <c r="N263" s="209">
        <f>IFERROR(__xludf.DUMMYFUNCTION("""COMPUTED_VALUE"""),2.0)</f>
        <v>2</v>
      </c>
      <c r="O263" s="176"/>
      <c r="P263" s="176"/>
      <c r="Q263" s="176"/>
      <c r="R263" s="176"/>
      <c r="S263" s="176"/>
      <c r="T263" s="176"/>
      <c r="U263" s="176"/>
      <c r="V263" s="176"/>
      <c r="W263" s="176"/>
      <c r="X263" s="176"/>
      <c r="Y263" s="176"/>
      <c r="Z263" s="176"/>
    </row>
    <row r="264">
      <c r="A264" s="249" t="s">
        <v>15</v>
      </c>
      <c r="B264" s="249" t="s">
        <v>1231</v>
      </c>
      <c r="C264" s="329" t="s">
        <v>3106</v>
      </c>
      <c r="D264" s="268" t="s">
        <v>495</v>
      </c>
      <c r="E264" s="251">
        <v>44184.0</v>
      </c>
      <c r="F264" s="221" t="s">
        <v>2912</v>
      </c>
      <c r="G264" s="222">
        <v>0.0</v>
      </c>
      <c r="H264" s="222">
        <v>0.0</v>
      </c>
      <c r="I264" s="222">
        <v>0.0</v>
      </c>
      <c r="J264" s="325">
        <f t="shared" si="14"/>
        <v>0</v>
      </c>
      <c r="K264" s="326">
        <f>J264*$J$1</f>
        <v>0</v>
      </c>
      <c r="L264" s="327">
        <f t="shared" si="4"/>
        <v>2.417102479</v>
      </c>
      <c r="M264" s="321" t="str">
        <f t="shared" si="5"/>
        <v>juankbell</v>
      </c>
      <c r="N264" s="209">
        <f>IFERROR(__xludf.DUMMYFUNCTION("""COMPUTED_VALUE"""),3.0)</f>
        <v>3</v>
      </c>
      <c r="O264" s="176"/>
      <c r="P264" s="176"/>
      <c r="Q264" s="176"/>
      <c r="R264" s="176"/>
      <c r="S264" s="176"/>
      <c r="T264" s="176"/>
      <c r="U264" s="176"/>
      <c r="V264" s="176"/>
      <c r="W264" s="176"/>
      <c r="X264" s="176"/>
      <c r="Y264" s="176"/>
      <c r="Z264" s="176"/>
    </row>
    <row r="265">
      <c r="A265" s="249" t="s">
        <v>15</v>
      </c>
      <c r="B265" s="249" t="s">
        <v>25</v>
      </c>
      <c r="C265" s="329" t="s">
        <v>3076</v>
      </c>
      <c r="D265" s="268" t="s">
        <v>495</v>
      </c>
      <c r="E265" s="251">
        <v>44188.0</v>
      </c>
      <c r="F265" s="250" t="s">
        <v>496</v>
      </c>
      <c r="G265" s="171"/>
      <c r="H265" s="171"/>
      <c r="I265" s="171"/>
      <c r="J265" s="325">
        <f t="shared" si="14"/>
        <v>0</v>
      </c>
      <c r="K265" s="326">
        <f t="shared" ref="K265:K272" si="23">$N$1</f>
        <v>1.790633609</v>
      </c>
      <c r="L265" s="327">
        <f t="shared" si="4"/>
        <v>2.417102479</v>
      </c>
      <c r="M265" s="321" t="str">
        <f t="shared" si="5"/>
        <v>juankbell</v>
      </c>
      <c r="N265" s="209">
        <f>IFERROR(__xludf.DUMMYFUNCTION("""COMPUTED_VALUE"""),4.0)</f>
        <v>4</v>
      </c>
      <c r="O265" s="176"/>
      <c r="P265" s="176"/>
      <c r="Q265" s="176"/>
      <c r="R265" s="176"/>
      <c r="S265" s="176"/>
      <c r="T265" s="176"/>
      <c r="U265" s="176"/>
      <c r="V265" s="176"/>
      <c r="W265" s="176"/>
      <c r="X265" s="176"/>
      <c r="Y265" s="176"/>
      <c r="Z265" s="176"/>
    </row>
    <row r="266">
      <c r="A266" s="249" t="s">
        <v>15</v>
      </c>
      <c r="B266" s="249" t="s">
        <v>519</v>
      </c>
      <c r="C266" s="329" t="s">
        <v>3067</v>
      </c>
      <c r="D266" s="268" t="s">
        <v>495</v>
      </c>
      <c r="E266" s="251">
        <v>44188.0</v>
      </c>
      <c r="F266" s="250" t="s">
        <v>499</v>
      </c>
      <c r="G266" s="171"/>
      <c r="H266" s="171"/>
      <c r="I266" s="171"/>
      <c r="J266" s="325">
        <f t="shared" si="14"/>
        <v>0</v>
      </c>
      <c r="K266" s="326">
        <f t="shared" si="23"/>
        <v>1.790633609</v>
      </c>
      <c r="L266" s="327">
        <f t="shared" si="4"/>
        <v>2.417102479</v>
      </c>
      <c r="M266" s="321" t="str">
        <f t="shared" si="5"/>
        <v>juankbell</v>
      </c>
      <c r="N266" s="209">
        <f>IFERROR(__xludf.DUMMYFUNCTION("""COMPUTED_VALUE"""),5.0)</f>
        <v>5</v>
      </c>
      <c r="O266" s="176"/>
      <c r="P266" s="176"/>
      <c r="Q266" s="176"/>
      <c r="R266" s="176"/>
      <c r="S266" s="176"/>
      <c r="T266" s="176"/>
      <c r="U266" s="176"/>
      <c r="V266" s="176"/>
      <c r="W266" s="176"/>
      <c r="X266" s="176"/>
      <c r="Y266" s="176"/>
      <c r="Z266" s="176"/>
    </row>
    <row r="267">
      <c r="A267" s="249" t="s">
        <v>15</v>
      </c>
      <c r="B267" s="249" t="s">
        <v>10</v>
      </c>
      <c r="C267" s="329" t="s">
        <v>3118</v>
      </c>
      <c r="D267" s="268" t="s">
        <v>495</v>
      </c>
      <c r="E267" s="251">
        <v>44192.0</v>
      </c>
      <c r="F267" s="250" t="s">
        <v>496</v>
      </c>
      <c r="G267" s="171"/>
      <c r="H267" s="171"/>
      <c r="I267" s="171"/>
      <c r="J267" s="325">
        <f t="shared" si="14"/>
        <v>0</v>
      </c>
      <c r="K267" s="326">
        <f t="shared" si="23"/>
        <v>1.790633609</v>
      </c>
      <c r="L267" s="327">
        <f t="shared" si="4"/>
        <v>2.417102479</v>
      </c>
      <c r="M267" s="321" t="str">
        <f t="shared" si="5"/>
        <v>juankbell</v>
      </c>
      <c r="N267" s="209">
        <f>IFERROR(__xludf.DUMMYFUNCTION("""COMPUTED_VALUE"""),6.0)</f>
        <v>6</v>
      </c>
      <c r="O267" s="176"/>
      <c r="P267" s="176"/>
      <c r="Q267" s="176"/>
      <c r="R267" s="176"/>
      <c r="S267" s="176"/>
      <c r="T267" s="176"/>
      <c r="U267" s="176"/>
      <c r="V267" s="176"/>
      <c r="W267" s="176"/>
      <c r="X267" s="176"/>
      <c r="Y267" s="176"/>
      <c r="Z267" s="176"/>
    </row>
    <row r="268">
      <c r="A268" s="249" t="s">
        <v>15</v>
      </c>
      <c r="B268" s="249" t="s">
        <v>10</v>
      </c>
      <c r="C268" s="329" t="s">
        <v>3147</v>
      </c>
      <c r="D268" s="268" t="s">
        <v>495</v>
      </c>
      <c r="E268" s="251">
        <v>44192.0</v>
      </c>
      <c r="F268" s="250" t="s">
        <v>496</v>
      </c>
      <c r="G268" s="171"/>
      <c r="H268" s="171"/>
      <c r="I268" s="171"/>
      <c r="J268" s="325">
        <f t="shared" si="14"/>
        <v>0</v>
      </c>
      <c r="K268" s="326">
        <f t="shared" si="23"/>
        <v>1.790633609</v>
      </c>
      <c r="L268" s="327">
        <f t="shared" si="4"/>
        <v>2.417102479</v>
      </c>
      <c r="M268" s="321" t="str">
        <f t="shared" si="5"/>
        <v>juankbell</v>
      </c>
      <c r="N268" s="209">
        <f>IFERROR(__xludf.DUMMYFUNCTION("""COMPUTED_VALUE"""),7.0)</f>
        <v>7</v>
      </c>
      <c r="O268" s="176"/>
      <c r="P268" s="176"/>
      <c r="Q268" s="176"/>
      <c r="R268" s="176"/>
      <c r="S268" s="176"/>
      <c r="T268" s="176"/>
      <c r="U268" s="176"/>
      <c r="V268" s="176"/>
      <c r="W268" s="176"/>
      <c r="X268" s="176"/>
      <c r="Y268" s="176"/>
      <c r="Z268" s="176"/>
    </row>
    <row r="269">
      <c r="A269" s="249" t="s">
        <v>15</v>
      </c>
      <c r="B269" s="249" t="s">
        <v>10</v>
      </c>
      <c r="C269" s="329" t="s">
        <v>3061</v>
      </c>
      <c r="D269" s="268" t="s">
        <v>495</v>
      </c>
      <c r="E269" s="251">
        <v>44192.0</v>
      </c>
      <c r="F269" s="250" t="s">
        <v>496</v>
      </c>
      <c r="G269" s="171"/>
      <c r="H269" s="171"/>
      <c r="I269" s="171"/>
      <c r="J269" s="325">
        <f t="shared" si="14"/>
        <v>0</v>
      </c>
      <c r="K269" s="326">
        <f t="shared" si="23"/>
        <v>1.790633609</v>
      </c>
      <c r="L269" s="327">
        <f t="shared" si="4"/>
        <v>2.417102479</v>
      </c>
      <c r="M269" s="321" t="str">
        <f t="shared" si="5"/>
        <v>juankbell</v>
      </c>
      <c r="N269" s="209">
        <f>IFERROR(__xludf.DUMMYFUNCTION("""COMPUTED_VALUE"""),8.0)</f>
        <v>8</v>
      </c>
      <c r="O269" s="176"/>
      <c r="P269" s="176"/>
      <c r="Q269" s="176"/>
      <c r="R269" s="176"/>
      <c r="S269" s="176"/>
      <c r="T269" s="176"/>
      <c r="U269" s="176"/>
      <c r="V269" s="176"/>
      <c r="W269" s="176"/>
      <c r="X269" s="176"/>
      <c r="Y269" s="176"/>
      <c r="Z269" s="176"/>
    </row>
    <row r="270">
      <c r="A270" s="249" t="s">
        <v>15</v>
      </c>
      <c r="B270" s="249" t="s">
        <v>10</v>
      </c>
      <c r="C270" s="329" t="s">
        <v>3065</v>
      </c>
      <c r="D270" s="268" t="s">
        <v>495</v>
      </c>
      <c r="E270" s="251">
        <v>44192.0</v>
      </c>
      <c r="F270" s="250" t="s">
        <v>496</v>
      </c>
      <c r="G270" s="171"/>
      <c r="H270" s="171"/>
      <c r="I270" s="171"/>
      <c r="J270" s="325">
        <f t="shared" si="14"/>
        <v>0</v>
      </c>
      <c r="K270" s="326">
        <f t="shared" si="23"/>
        <v>1.790633609</v>
      </c>
      <c r="L270" s="327">
        <f t="shared" si="4"/>
        <v>2.417102479</v>
      </c>
      <c r="M270" s="321" t="str">
        <f t="shared" si="5"/>
        <v>juankbell</v>
      </c>
      <c r="N270" s="209">
        <f>IFERROR(__xludf.DUMMYFUNCTION("""COMPUTED_VALUE"""),9.0)</f>
        <v>9</v>
      </c>
      <c r="O270" s="176"/>
      <c r="P270" s="176"/>
      <c r="Q270" s="176"/>
      <c r="R270" s="176"/>
      <c r="S270" s="176"/>
      <c r="T270" s="176"/>
      <c r="U270" s="176"/>
      <c r="V270" s="176"/>
      <c r="W270" s="176"/>
      <c r="X270" s="176"/>
      <c r="Y270" s="176"/>
      <c r="Z270" s="176"/>
    </row>
    <row r="271">
      <c r="A271" s="249" t="s">
        <v>15</v>
      </c>
      <c r="B271" s="249" t="s">
        <v>18</v>
      </c>
      <c r="C271" s="329" t="s">
        <v>3074</v>
      </c>
      <c r="D271" s="268" t="s">
        <v>495</v>
      </c>
      <c r="E271" s="251">
        <v>44193.0</v>
      </c>
      <c r="F271" s="250" t="s">
        <v>496</v>
      </c>
      <c r="G271" s="171"/>
      <c r="H271" s="171"/>
      <c r="I271" s="171"/>
      <c r="J271" s="325">
        <f t="shared" si="14"/>
        <v>0</v>
      </c>
      <c r="K271" s="326">
        <f t="shared" si="23"/>
        <v>1.790633609</v>
      </c>
      <c r="L271" s="327">
        <f t="shared" si="4"/>
        <v>2.417102479</v>
      </c>
      <c r="M271" s="321" t="str">
        <f t="shared" si="5"/>
        <v>juankbell</v>
      </c>
      <c r="N271" s="209">
        <f>IFERROR(__xludf.DUMMYFUNCTION("""COMPUTED_VALUE"""),10.0)</f>
        <v>10</v>
      </c>
      <c r="O271" s="176"/>
      <c r="P271" s="176"/>
      <c r="Q271" s="176"/>
      <c r="R271" s="176"/>
      <c r="S271" s="176"/>
      <c r="T271" s="176"/>
      <c r="U271" s="176"/>
      <c r="V271" s="176"/>
      <c r="W271" s="176"/>
      <c r="X271" s="176"/>
      <c r="Y271" s="176"/>
      <c r="Z271" s="176"/>
    </row>
    <row r="272">
      <c r="A272" s="249" t="s">
        <v>15</v>
      </c>
      <c r="B272" s="249" t="s">
        <v>18</v>
      </c>
      <c r="C272" s="329" t="s">
        <v>3077</v>
      </c>
      <c r="D272" s="268" t="s">
        <v>495</v>
      </c>
      <c r="E272" s="251">
        <v>44193.0</v>
      </c>
      <c r="F272" s="250" t="s">
        <v>496</v>
      </c>
      <c r="G272" s="171"/>
      <c r="H272" s="171"/>
      <c r="I272" s="171"/>
      <c r="J272" s="325">
        <f t="shared" si="14"/>
        <v>0</v>
      </c>
      <c r="K272" s="326">
        <f t="shared" si="23"/>
        <v>1.790633609</v>
      </c>
      <c r="L272" s="327">
        <f t="shared" si="4"/>
        <v>2.417102479</v>
      </c>
      <c r="M272" s="321" t="str">
        <f t="shared" si="5"/>
        <v>juankbell</v>
      </c>
      <c r="N272" s="209">
        <f>IFERROR(__xludf.DUMMYFUNCTION("""COMPUTED_VALUE"""),11.0)</f>
        <v>11</v>
      </c>
      <c r="O272" s="176"/>
      <c r="P272" s="176"/>
      <c r="Q272" s="176"/>
      <c r="R272" s="176"/>
      <c r="S272" s="176"/>
      <c r="T272" s="176"/>
      <c r="U272" s="176"/>
      <c r="V272" s="176"/>
      <c r="W272" s="176"/>
      <c r="X272" s="176"/>
      <c r="Y272" s="176"/>
      <c r="Z272" s="176"/>
    </row>
    <row r="273">
      <c r="A273" s="240" t="s">
        <v>15</v>
      </c>
      <c r="B273" s="240" t="s">
        <v>534</v>
      </c>
      <c r="C273" s="221" t="s">
        <v>684</v>
      </c>
      <c r="D273" s="336"/>
      <c r="E273" s="255"/>
      <c r="F273" s="254"/>
      <c r="G273" s="222"/>
      <c r="H273" s="222"/>
      <c r="I273" s="222"/>
      <c r="J273" s="325">
        <f t="shared" si="14"/>
        <v>0</v>
      </c>
      <c r="K273" s="337">
        <f>16.116*-0.85</f>
        <v>-13.6986</v>
      </c>
      <c r="L273" s="327">
        <f t="shared" si="4"/>
        <v>2.417102479</v>
      </c>
      <c r="M273" s="321" t="str">
        <f t="shared" si="5"/>
        <v>juankbell</v>
      </c>
      <c r="N273" s="209">
        <f>IFERROR(__xludf.DUMMYFUNCTION("""COMPUTED_VALUE"""),12.0)</f>
        <v>12</v>
      </c>
      <c r="O273" s="209"/>
      <c r="P273" s="209"/>
      <c r="Q273" s="209"/>
      <c r="R273" s="209">
        <v>36.89669088595067</v>
      </c>
      <c r="S273" s="209"/>
      <c r="T273" s="209"/>
      <c r="U273" s="209"/>
      <c r="V273" s="209"/>
      <c r="W273" s="209"/>
      <c r="X273" s="209"/>
      <c r="Y273" s="176"/>
      <c r="Z273" s="176"/>
    </row>
    <row r="274">
      <c r="A274" s="249" t="s">
        <v>15</v>
      </c>
      <c r="B274" s="249" t="s">
        <v>1231</v>
      </c>
      <c r="C274" s="329" t="s">
        <v>3106</v>
      </c>
      <c r="D274" s="268" t="s">
        <v>495</v>
      </c>
      <c r="E274" s="251">
        <v>44184.0</v>
      </c>
      <c r="F274" s="221" t="s">
        <v>2912</v>
      </c>
      <c r="G274" s="222">
        <v>0.0</v>
      </c>
      <c r="H274" s="222">
        <v>0.0</v>
      </c>
      <c r="I274" s="222">
        <v>0.0</v>
      </c>
      <c r="J274" s="325">
        <f t="shared" si="14"/>
        <v>0</v>
      </c>
      <c r="K274" s="326">
        <f t="shared" ref="K274:K291" si="24">J274*$J$1</f>
        <v>0</v>
      </c>
      <c r="L274" s="327">
        <f t="shared" si="4"/>
        <v>2.417102479</v>
      </c>
      <c r="M274" s="321" t="str">
        <f t="shared" si="5"/>
        <v>juankbell</v>
      </c>
      <c r="N274" s="209">
        <f>IFERROR(__xludf.DUMMYFUNCTION("""COMPUTED_VALUE"""),13.0)</f>
        <v>13</v>
      </c>
      <c r="O274" s="176"/>
      <c r="P274" s="176"/>
      <c r="Q274" s="176"/>
      <c r="R274" s="176"/>
      <c r="S274" s="176"/>
      <c r="T274" s="176"/>
      <c r="U274" s="176"/>
      <c r="V274" s="176"/>
      <c r="W274" s="176"/>
      <c r="X274" s="176"/>
      <c r="Y274" s="176"/>
      <c r="Z274" s="176"/>
    </row>
    <row r="275">
      <c r="A275" s="249" t="s">
        <v>111</v>
      </c>
      <c r="B275" s="249" t="s">
        <v>519</v>
      </c>
      <c r="C275" s="219" t="s">
        <v>3098</v>
      </c>
      <c r="D275" s="268" t="s">
        <v>495</v>
      </c>
      <c r="E275" s="251">
        <v>44188.0</v>
      </c>
      <c r="F275" s="250" t="s">
        <v>521</v>
      </c>
      <c r="G275" s="171">
        <v>40.0</v>
      </c>
      <c r="H275" s="171">
        <v>35.0</v>
      </c>
      <c r="I275" s="171">
        <v>40.0</v>
      </c>
      <c r="J275" s="325">
        <f t="shared" si="14"/>
        <v>0.002353890565</v>
      </c>
      <c r="K275" s="326">
        <f t="shared" si="24"/>
        <v>1.020019245</v>
      </c>
      <c r="L275" s="327">
        <f t="shared" si="4"/>
        <v>2.34936206</v>
      </c>
      <c r="M275" s="321" t="str">
        <f t="shared" si="5"/>
        <v>simunstrukan</v>
      </c>
      <c r="N275" s="209">
        <f>IFERROR(__xludf.DUMMYFUNCTION("""COMPUTED_VALUE"""),1.0)</f>
        <v>1</v>
      </c>
      <c r="O275" s="176"/>
      <c r="P275" s="176"/>
      <c r="Q275" s="176"/>
      <c r="R275" s="176"/>
      <c r="S275" s="176"/>
      <c r="T275" s="176"/>
      <c r="U275" s="176"/>
      <c r="V275" s="176"/>
      <c r="W275" s="176"/>
      <c r="X275" s="176"/>
      <c r="Y275" s="176"/>
      <c r="Z275" s="176"/>
    </row>
    <row r="276">
      <c r="A276" s="249" t="s">
        <v>111</v>
      </c>
      <c r="B276" s="249" t="s">
        <v>10</v>
      </c>
      <c r="C276" s="219" t="s">
        <v>3066</v>
      </c>
      <c r="D276" s="268" t="s">
        <v>495</v>
      </c>
      <c r="E276" s="251">
        <v>44192.0</v>
      </c>
      <c r="F276" s="250" t="s">
        <v>496</v>
      </c>
      <c r="G276" s="171">
        <v>30.0</v>
      </c>
      <c r="H276" s="171">
        <v>25.0</v>
      </c>
      <c r="I276" s="171">
        <v>25.0</v>
      </c>
      <c r="J276" s="325">
        <f t="shared" si="14"/>
        <v>0.001644562287</v>
      </c>
      <c r="K276" s="326">
        <f t="shared" si="24"/>
        <v>0.7126436575</v>
      </c>
      <c r="L276" s="327">
        <f t="shared" si="4"/>
        <v>2.34936206</v>
      </c>
      <c r="M276" s="321" t="str">
        <f t="shared" si="5"/>
        <v>simunstrukan</v>
      </c>
      <c r="N276" s="209">
        <f>IFERROR(__xludf.DUMMYFUNCTION("""COMPUTED_VALUE"""),2.0)</f>
        <v>2</v>
      </c>
      <c r="O276" s="176"/>
      <c r="P276" s="176"/>
      <c r="Q276" s="176"/>
      <c r="R276" s="176"/>
      <c r="S276" s="176"/>
      <c r="T276" s="176"/>
      <c r="U276" s="176"/>
      <c r="V276" s="176"/>
      <c r="W276" s="176"/>
      <c r="X276" s="176"/>
      <c r="Y276" s="176"/>
      <c r="Z276" s="176"/>
    </row>
    <row r="277">
      <c r="A277" s="249" t="s">
        <v>111</v>
      </c>
      <c r="B277" s="249" t="s">
        <v>519</v>
      </c>
      <c r="C277" s="219" t="s">
        <v>2329</v>
      </c>
      <c r="D277" s="268" t="s">
        <v>495</v>
      </c>
      <c r="E277" s="251">
        <v>44188.0</v>
      </c>
      <c r="F277" s="250" t="s">
        <v>521</v>
      </c>
      <c r="G277" s="171">
        <v>20.0</v>
      </c>
      <c r="H277" s="171">
        <v>25.0</v>
      </c>
      <c r="I277" s="171">
        <v>25.0</v>
      </c>
      <c r="J277" s="325">
        <f t="shared" si="14"/>
        <v>0.001423151902</v>
      </c>
      <c r="K277" s="326">
        <f t="shared" si="24"/>
        <v>0.6166991577</v>
      </c>
      <c r="L277" s="327">
        <f t="shared" si="4"/>
        <v>2.34936206</v>
      </c>
      <c r="M277" s="321" t="str">
        <f t="shared" si="5"/>
        <v>simunstrukan</v>
      </c>
      <c r="N277" s="209">
        <f>IFERROR(__xludf.DUMMYFUNCTION("""COMPUTED_VALUE"""),3.0)</f>
        <v>3</v>
      </c>
      <c r="O277" s="176"/>
      <c r="P277" s="176"/>
      <c r="Q277" s="176"/>
      <c r="R277" s="176"/>
      <c r="S277" s="176"/>
      <c r="T277" s="176"/>
      <c r="U277" s="176"/>
      <c r="V277" s="176"/>
      <c r="W277" s="176"/>
      <c r="X277" s="176"/>
      <c r="Y277" s="176"/>
      <c r="Z277" s="176"/>
    </row>
    <row r="278">
      <c r="A278" s="249" t="s">
        <v>23</v>
      </c>
      <c r="B278" s="249" t="s">
        <v>519</v>
      </c>
      <c r="C278" s="219" t="s">
        <v>3098</v>
      </c>
      <c r="D278" s="268" t="s">
        <v>495</v>
      </c>
      <c r="E278" s="251">
        <v>44188.0</v>
      </c>
      <c r="F278" s="250" t="s">
        <v>521</v>
      </c>
      <c r="G278" s="171">
        <v>40.0</v>
      </c>
      <c r="H278" s="171">
        <v>35.0</v>
      </c>
      <c r="I278" s="171">
        <v>40.0</v>
      </c>
      <c r="J278" s="325">
        <f t="shared" si="14"/>
        <v>0.002353890565</v>
      </c>
      <c r="K278" s="326">
        <f t="shared" si="24"/>
        <v>1.020019245</v>
      </c>
      <c r="L278" s="327">
        <f t="shared" si="4"/>
        <v>2.25341756</v>
      </c>
      <c r="M278" s="321" t="str">
        <f t="shared" si="5"/>
        <v>laurenluz</v>
      </c>
      <c r="N278" s="209">
        <f>IFERROR(__xludf.DUMMYFUNCTION("""COMPUTED_VALUE"""),1.0)</f>
        <v>1</v>
      </c>
      <c r="O278" s="176"/>
      <c r="P278" s="176"/>
      <c r="Q278" s="176"/>
      <c r="R278" s="176"/>
      <c r="S278" s="176"/>
      <c r="T278" s="176"/>
      <c r="U278" s="176"/>
      <c r="V278" s="176"/>
      <c r="W278" s="176"/>
      <c r="X278" s="176"/>
      <c r="Y278" s="176"/>
      <c r="Z278" s="176"/>
    </row>
    <row r="279">
      <c r="A279" s="249" t="s">
        <v>23</v>
      </c>
      <c r="B279" s="249" t="s">
        <v>519</v>
      </c>
      <c r="C279" s="219" t="s">
        <v>3100</v>
      </c>
      <c r="D279" s="268" t="s">
        <v>495</v>
      </c>
      <c r="E279" s="251">
        <v>44188.0</v>
      </c>
      <c r="F279" s="250" t="s">
        <v>521</v>
      </c>
      <c r="G279" s="171">
        <v>20.0</v>
      </c>
      <c r="H279" s="171">
        <v>25.0</v>
      </c>
      <c r="I279" s="171">
        <v>25.0</v>
      </c>
      <c r="J279" s="325">
        <f t="shared" si="14"/>
        <v>0.001423151902</v>
      </c>
      <c r="K279" s="326">
        <f t="shared" si="24"/>
        <v>0.6166991577</v>
      </c>
      <c r="L279" s="327">
        <f t="shared" si="4"/>
        <v>2.25341756</v>
      </c>
      <c r="M279" s="321" t="str">
        <f t="shared" si="5"/>
        <v>laurenluz</v>
      </c>
      <c r="N279" s="209">
        <f>IFERROR(__xludf.DUMMYFUNCTION("""COMPUTED_VALUE"""),2.0)</f>
        <v>2</v>
      </c>
      <c r="O279" s="176"/>
      <c r="P279" s="176"/>
      <c r="Q279" s="176"/>
      <c r="R279" s="176"/>
      <c r="S279" s="176"/>
      <c r="T279" s="176"/>
      <c r="U279" s="176"/>
      <c r="V279" s="176"/>
      <c r="W279" s="176"/>
      <c r="X279" s="176"/>
      <c r="Y279" s="176"/>
      <c r="Z279" s="176"/>
    </row>
    <row r="280">
      <c r="A280" s="249" t="s">
        <v>23</v>
      </c>
      <c r="B280" s="249" t="s">
        <v>519</v>
      </c>
      <c r="C280" s="219" t="s">
        <v>3102</v>
      </c>
      <c r="D280" s="268" t="s">
        <v>495</v>
      </c>
      <c r="E280" s="251">
        <v>44195.0</v>
      </c>
      <c r="F280" s="250" t="s">
        <v>521</v>
      </c>
      <c r="G280" s="171">
        <v>20.0</v>
      </c>
      <c r="H280" s="171">
        <v>25.0</v>
      </c>
      <c r="I280" s="171">
        <v>25.0</v>
      </c>
      <c r="J280" s="325">
        <f t="shared" si="14"/>
        <v>0.001423151902</v>
      </c>
      <c r="K280" s="326">
        <f t="shared" si="24"/>
        <v>0.6166991577</v>
      </c>
      <c r="L280" s="327">
        <f t="shared" si="4"/>
        <v>2.25341756</v>
      </c>
      <c r="M280" s="321" t="str">
        <f t="shared" si="5"/>
        <v>laurenluz</v>
      </c>
      <c r="N280" s="209">
        <f>IFERROR(__xludf.DUMMYFUNCTION("""COMPUTED_VALUE"""),3.0)</f>
        <v>3</v>
      </c>
      <c r="O280" s="176"/>
      <c r="P280" s="176"/>
      <c r="Q280" s="176"/>
      <c r="R280" s="176"/>
      <c r="S280" s="176"/>
      <c r="T280" s="176"/>
      <c r="U280" s="176"/>
      <c r="V280" s="176"/>
      <c r="W280" s="176"/>
      <c r="X280" s="176"/>
      <c r="Y280" s="176"/>
      <c r="Z280" s="176"/>
    </row>
    <row r="281">
      <c r="A281" s="249" t="s">
        <v>12</v>
      </c>
      <c r="B281" s="249" t="s">
        <v>10</v>
      </c>
      <c r="C281" s="219" t="s">
        <v>3065</v>
      </c>
      <c r="D281" s="268" t="s">
        <v>495</v>
      </c>
      <c r="E281" s="251">
        <v>44192.0</v>
      </c>
      <c r="F281" s="250" t="s">
        <v>496</v>
      </c>
      <c r="G281" s="171">
        <v>30.0</v>
      </c>
      <c r="H281" s="171">
        <v>25.0</v>
      </c>
      <c r="I281" s="171">
        <v>50.0</v>
      </c>
      <c r="J281" s="325">
        <f t="shared" si="14"/>
        <v>0.00212348949</v>
      </c>
      <c r="K281" s="326">
        <f t="shared" si="24"/>
        <v>0.9201787788</v>
      </c>
      <c r="L281" s="327">
        <f t="shared" si="4"/>
        <v>2.217195466</v>
      </c>
      <c r="M281" s="321" t="str">
        <f t="shared" si="5"/>
        <v>metaverde</v>
      </c>
      <c r="N281" s="209">
        <f>IFERROR(__xludf.DUMMYFUNCTION("""COMPUTED_VALUE"""),1.0)</f>
        <v>1</v>
      </c>
      <c r="O281" s="176"/>
      <c r="P281" s="176"/>
      <c r="Q281" s="176"/>
      <c r="R281" s="176"/>
      <c r="S281" s="176"/>
      <c r="T281" s="176"/>
      <c r="U281" s="176"/>
      <c r="V281" s="176"/>
      <c r="W281" s="176"/>
      <c r="X281" s="176"/>
      <c r="Y281" s="176"/>
      <c r="Z281" s="176"/>
    </row>
    <row r="282">
      <c r="A282" s="249" t="s">
        <v>12</v>
      </c>
      <c r="B282" s="249" t="s">
        <v>10</v>
      </c>
      <c r="C282" s="219" t="s">
        <v>3148</v>
      </c>
      <c r="D282" s="268" t="s">
        <v>495</v>
      </c>
      <c r="E282" s="251">
        <v>44192.0</v>
      </c>
      <c r="F282" s="250" t="s">
        <v>496</v>
      </c>
      <c r="G282" s="171">
        <v>5.0</v>
      </c>
      <c r="H282" s="171">
        <v>25.0</v>
      </c>
      <c r="I282" s="171">
        <v>50.0</v>
      </c>
      <c r="J282" s="325">
        <f t="shared" si="14"/>
        <v>0.001569963529</v>
      </c>
      <c r="K282" s="326">
        <f t="shared" si="24"/>
        <v>0.6803175293</v>
      </c>
      <c r="L282" s="327">
        <f t="shared" si="4"/>
        <v>2.217195466</v>
      </c>
      <c r="M282" s="321" t="str">
        <f t="shared" si="5"/>
        <v>metaverde</v>
      </c>
      <c r="N282" s="209">
        <f>IFERROR(__xludf.DUMMYFUNCTION("""COMPUTED_VALUE"""),2.0)</f>
        <v>2</v>
      </c>
      <c r="O282" s="176"/>
      <c r="P282" s="176"/>
      <c r="Q282" s="176"/>
      <c r="R282" s="176"/>
      <c r="S282" s="176"/>
      <c r="T282" s="176"/>
      <c r="U282" s="176"/>
      <c r="V282" s="176"/>
      <c r="W282" s="176"/>
      <c r="X282" s="176"/>
      <c r="Y282" s="176"/>
      <c r="Z282" s="176"/>
    </row>
    <row r="283">
      <c r="A283" s="249" t="s">
        <v>12</v>
      </c>
      <c r="B283" s="249" t="s">
        <v>6</v>
      </c>
      <c r="C283" s="219" t="s">
        <v>3062</v>
      </c>
      <c r="D283" s="268" t="s">
        <v>495</v>
      </c>
      <c r="E283" s="251">
        <v>44186.0</v>
      </c>
      <c r="F283" s="250" t="s">
        <v>496</v>
      </c>
      <c r="G283" s="171">
        <v>20.0</v>
      </c>
      <c r="H283" s="171">
        <v>25.0</v>
      </c>
      <c r="I283" s="171">
        <v>25.0</v>
      </c>
      <c r="J283" s="325">
        <f t="shared" si="14"/>
        <v>0.001423151902</v>
      </c>
      <c r="K283" s="326">
        <f t="shared" si="24"/>
        <v>0.6166991577</v>
      </c>
      <c r="L283" s="327">
        <f t="shared" si="4"/>
        <v>2.217195466</v>
      </c>
      <c r="M283" s="321" t="str">
        <f t="shared" si="5"/>
        <v>metaverde</v>
      </c>
      <c r="N283" s="209">
        <f>IFERROR(__xludf.DUMMYFUNCTION("""COMPUTED_VALUE"""),3.0)</f>
        <v>3</v>
      </c>
      <c r="O283" s="176"/>
      <c r="P283" s="176"/>
      <c r="Q283" s="176"/>
      <c r="R283" s="176"/>
      <c r="S283" s="176"/>
      <c r="T283" s="176"/>
      <c r="U283" s="176"/>
      <c r="V283" s="176"/>
      <c r="W283" s="176"/>
      <c r="X283" s="176"/>
      <c r="Y283" s="176"/>
      <c r="Z283" s="176"/>
    </row>
    <row r="284">
      <c r="A284" s="249" t="s">
        <v>52</v>
      </c>
      <c r="B284" s="249" t="s">
        <v>519</v>
      </c>
      <c r="C284" s="219" t="s">
        <v>3098</v>
      </c>
      <c r="D284" s="268" t="s">
        <v>495</v>
      </c>
      <c r="E284" s="251">
        <v>44188.0</v>
      </c>
      <c r="F284" s="250" t="s">
        <v>521</v>
      </c>
      <c r="G284" s="171">
        <v>40.0</v>
      </c>
      <c r="H284" s="171">
        <v>35.0</v>
      </c>
      <c r="I284" s="171">
        <v>40.0</v>
      </c>
      <c r="J284" s="325">
        <f t="shared" si="14"/>
        <v>0.002353890565</v>
      </c>
      <c r="K284" s="326">
        <f t="shared" si="24"/>
        <v>1.020019245</v>
      </c>
      <c r="L284" s="327">
        <f t="shared" si="4"/>
        <v>1.732662902</v>
      </c>
      <c r="M284" s="321" t="str">
        <f t="shared" si="5"/>
        <v>randomshinichi</v>
      </c>
      <c r="N284" s="209">
        <f>IFERROR(__xludf.DUMMYFUNCTION("""COMPUTED_VALUE"""),1.0)</f>
        <v>1</v>
      </c>
      <c r="O284" s="176"/>
      <c r="P284" s="176"/>
      <c r="Q284" s="176"/>
      <c r="R284" s="176"/>
      <c r="S284" s="176"/>
      <c r="T284" s="176"/>
      <c r="U284" s="176"/>
      <c r="V284" s="176"/>
      <c r="W284" s="176"/>
      <c r="X284" s="176"/>
      <c r="Y284" s="176"/>
      <c r="Z284" s="176"/>
    </row>
    <row r="285">
      <c r="A285" s="249" t="s">
        <v>52</v>
      </c>
      <c r="B285" s="249" t="s">
        <v>10</v>
      </c>
      <c r="C285" s="219" t="s">
        <v>3066</v>
      </c>
      <c r="D285" s="268" t="s">
        <v>495</v>
      </c>
      <c r="E285" s="251">
        <v>44192.0</v>
      </c>
      <c r="F285" s="250" t="s">
        <v>496</v>
      </c>
      <c r="G285" s="171">
        <v>30.0</v>
      </c>
      <c r="H285" s="171">
        <v>25.0</v>
      </c>
      <c r="I285" s="171">
        <v>25.0</v>
      </c>
      <c r="J285" s="325">
        <f t="shared" si="14"/>
        <v>0.001644562287</v>
      </c>
      <c r="K285" s="326">
        <f t="shared" si="24"/>
        <v>0.7126436575</v>
      </c>
      <c r="L285" s="327">
        <f t="shared" si="4"/>
        <v>1.732662902</v>
      </c>
      <c r="M285" s="321" t="str">
        <f t="shared" si="5"/>
        <v>randomshinichi</v>
      </c>
      <c r="N285" s="209">
        <f>IFERROR(__xludf.DUMMYFUNCTION("""COMPUTED_VALUE"""),2.0)</f>
        <v>2</v>
      </c>
      <c r="O285" s="176"/>
      <c r="P285" s="176"/>
      <c r="Q285" s="176"/>
      <c r="R285" s="176"/>
      <c r="S285" s="176"/>
      <c r="T285" s="176"/>
      <c r="U285" s="176"/>
      <c r="V285" s="176"/>
      <c r="W285" s="176"/>
      <c r="X285" s="176"/>
      <c r="Y285" s="176"/>
      <c r="Z285" s="176"/>
    </row>
    <row r="286">
      <c r="A286" s="249" t="s">
        <v>10</v>
      </c>
      <c r="B286" s="249" t="s">
        <v>10</v>
      </c>
      <c r="C286" s="219" t="s">
        <v>3080</v>
      </c>
      <c r="D286" s="268" t="s">
        <v>495</v>
      </c>
      <c r="E286" s="251">
        <v>44192.0</v>
      </c>
      <c r="F286" s="250" t="s">
        <v>496</v>
      </c>
      <c r="G286" s="171">
        <v>150.0</v>
      </c>
      <c r="H286" s="171">
        <v>100.0</v>
      </c>
      <c r="I286" s="171">
        <v>150.0</v>
      </c>
      <c r="J286" s="325">
        <f t="shared" si="14"/>
        <v>0.008200334705</v>
      </c>
      <c r="K286" s="326">
        <f t="shared" si="24"/>
        <v>3.553478372</v>
      </c>
      <c r="L286" s="327">
        <f t="shared" si="4"/>
        <v>1.72909752</v>
      </c>
      <c r="M286" s="321" t="str">
        <f t="shared" si="5"/>
        <v>iviangita</v>
      </c>
      <c r="N286" s="209">
        <f>IFERROR(__xludf.DUMMYFUNCTION("""COMPUTED_VALUE"""),1.0)</f>
        <v>1</v>
      </c>
      <c r="O286" s="176"/>
      <c r="P286" s="176"/>
      <c r="Q286" s="176"/>
      <c r="R286" s="176"/>
      <c r="S286" s="176"/>
      <c r="T286" s="176"/>
      <c r="U286" s="176"/>
      <c r="V286" s="176"/>
      <c r="W286" s="176"/>
      <c r="X286" s="176"/>
      <c r="Y286" s="176"/>
      <c r="Z286" s="176"/>
    </row>
    <row r="287">
      <c r="A287" s="249" t="s">
        <v>10</v>
      </c>
      <c r="B287" s="249" t="s">
        <v>1231</v>
      </c>
      <c r="C287" s="219" t="s">
        <v>3149</v>
      </c>
      <c r="D287" s="268" t="s">
        <v>495</v>
      </c>
      <c r="E287" s="251">
        <v>44184.0</v>
      </c>
      <c r="F287" s="250" t="s">
        <v>496</v>
      </c>
      <c r="G287" s="171">
        <v>120.0</v>
      </c>
      <c r="H287" s="171">
        <v>100.0</v>
      </c>
      <c r="I287" s="171">
        <v>150.0</v>
      </c>
      <c r="J287" s="325">
        <f t="shared" si="14"/>
        <v>0.007536103552</v>
      </c>
      <c r="K287" s="326">
        <f t="shared" si="24"/>
        <v>3.265644873</v>
      </c>
      <c r="L287" s="327">
        <f t="shared" si="4"/>
        <v>1.72909752</v>
      </c>
      <c r="M287" s="321" t="str">
        <f t="shared" si="5"/>
        <v>iviangita</v>
      </c>
      <c r="N287" s="209">
        <f>IFERROR(__xludf.DUMMYFUNCTION("""COMPUTED_VALUE"""),2.0)</f>
        <v>2</v>
      </c>
      <c r="O287" s="176"/>
      <c r="P287" s="176"/>
      <c r="Q287" s="176"/>
      <c r="R287" s="176"/>
      <c r="S287" s="176"/>
      <c r="T287" s="176"/>
      <c r="U287" s="176"/>
      <c r="V287" s="176"/>
      <c r="W287" s="176"/>
      <c r="X287" s="176"/>
      <c r="Y287" s="176"/>
      <c r="Z287" s="176"/>
    </row>
    <row r="288">
      <c r="A288" s="249" t="s">
        <v>10</v>
      </c>
      <c r="B288" s="249" t="s">
        <v>6</v>
      </c>
      <c r="C288" s="219" t="s">
        <v>3150</v>
      </c>
      <c r="D288" s="268" t="s">
        <v>495</v>
      </c>
      <c r="E288" s="251">
        <v>44184.0</v>
      </c>
      <c r="F288" s="250" t="s">
        <v>2586</v>
      </c>
      <c r="G288" s="171">
        <v>100.0</v>
      </c>
      <c r="H288" s="171">
        <v>100.0</v>
      </c>
      <c r="I288" s="171">
        <v>150.0</v>
      </c>
      <c r="J288" s="325">
        <f t="shared" si="14"/>
        <v>0.007093282784</v>
      </c>
      <c r="K288" s="326">
        <f t="shared" si="24"/>
        <v>3.073755873</v>
      </c>
      <c r="L288" s="327">
        <f t="shared" si="4"/>
        <v>1.72909752</v>
      </c>
      <c r="M288" s="321" t="str">
        <f t="shared" si="5"/>
        <v>iviangita</v>
      </c>
      <c r="N288" s="209">
        <f>IFERROR(__xludf.DUMMYFUNCTION("""COMPUTED_VALUE"""),3.0)</f>
        <v>3</v>
      </c>
      <c r="O288" s="176"/>
      <c r="P288" s="176"/>
      <c r="Q288" s="176"/>
      <c r="R288" s="176"/>
      <c r="S288" s="176"/>
      <c r="T288" s="176"/>
      <c r="U288" s="176"/>
      <c r="V288" s="176"/>
      <c r="W288" s="176"/>
      <c r="X288" s="176"/>
      <c r="Y288" s="176"/>
      <c r="Z288" s="176"/>
    </row>
    <row r="289">
      <c r="A289" s="249" t="s">
        <v>10</v>
      </c>
      <c r="B289" s="249" t="s">
        <v>519</v>
      </c>
      <c r="C289" s="219" t="s">
        <v>3098</v>
      </c>
      <c r="D289" s="268" t="s">
        <v>495</v>
      </c>
      <c r="E289" s="251">
        <v>44188.0</v>
      </c>
      <c r="F289" s="250" t="s">
        <v>521</v>
      </c>
      <c r="G289" s="171">
        <v>40.0</v>
      </c>
      <c r="H289" s="171">
        <v>35.0</v>
      </c>
      <c r="I289" s="171">
        <v>40.0</v>
      </c>
      <c r="J289" s="325">
        <f t="shared" si="14"/>
        <v>0.002353890565</v>
      </c>
      <c r="K289" s="326">
        <f t="shared" si="24"/>
        <v>1.020019245</v>
      </c>
      <c r="L289" s="327">
        <f t="shared" si="4"/>
        <v>1.72909752</v>
      </c>
      <c r="M289" s="321" t="str">
        <f t="shared" si="5"/>
        <v>iviangita</v>
      </c>
      <c r="N289" s="209">
        <f>IFERROR(__xludf.DUMMYFUNCTION("""COMPUTED_VALUE"""),4.0)</f>
        <v>4</v>
      </c>
      <c r="O289" s="176"/>
      <c r="P289" s="176"/>
      <c r="Q289" s="176"/>
      <c r="R289" s="176"/>
      <c r="S289" s="176"/>
      <c r="T289" s="176"/>
      <c r="U289" s="176"/>
      <c r="V289" s="176"/>
      <c r="W289" s="176"/>
      <c r="X289" s="176"/>
      <c r="Y289" s="176"/>
      <c r="Z289" s="176"/>
    </row>
    <row r="290">
      <c r="A290" s="249" t="s">
        <v>10</v>
      </c>
      <c r="B290" s="249" t="s">
        <v>519</v>
      </c>
      <c r="C290" s="219" t="s">
        <v>3067</v>
      </c>
      <c r="D290" s="268" t="s">
        <v>495</v>
      </c>
      <c r="E290" s="251">
        <v>44188.0</v>
      </c>
      <c r="F290" s="250" t="s">
        <v>499</v>
      </c>
      <c r="G290" s="171">
        <v>20.0</v>
      </c>
      <c r="H290" s="171">
        <v>25.0</v>
      </c>
      <c r="I290" s="171">
        <v>25.0</v>
      </c>
      <c r="J290" s="325">
        <f t="shared" si="14"/>
        <v>0.001423151902</v>
      </c>
      <c r="K290" s="326">
        <f t="shared" si="24"/>
        <v>0.6166991577</v>
      </c>
      <c r="L290" s="327">
        <f t="shared" si="4"/>
        <v>1.72909752</v>
      </c>
      <c r="M290" s="321" t="str">
        <f t="shared" si="5"/>
        <v>iviangita</v>
      </c>
      <c r="N290" s="209">
        <f>IFERROR(__xludf.DUMMYFUNCTION("""COMPUTED_VALUE"""),5.0)</f>
        <v>5</v>
      </c>
      <c r="O290" s="176"/>
      <c r="P290" s="176"/>
      <c r="Q290" s="176"/>
      <c r="R290" s="176"/>
      <c r="S290" s="176"/>
      <c r="T290" s="176"/>
      <c r="U290" s="176"/>
      <c r="V290" s="176"/>
      <c r="W290" s="176"/>
      <c r="X290" s="176"/>
      <c r="Y290" s="176"/>
      <c r="Z290" s="176"/>
    </row>
    <row r="291">
      <c r="A291" s="249" t="s">
        <v>10</v>
      </c>
      <c r="B291" s="249" t="s">
        <v>1231</v>
      </c>
      <c r="C291" s="219" t="s">
        <v>3149</v>
      </c>
      <c r="D291" s="268" t="s">
        <v>495</v>
      </c>
      <c r="E291" s="251">
        <v>44184.0</v>
      </c>
      <c r="F291" s="221" t="s">
        <v>2912</v>
      </c>
      <c r="G291" s="222">
        <v>0.0</v>
      </c>
      <c r="H291" s="222">
        <v>0.0</v>
      </c>
      <c r="I291" s="222">
        <v>0.0</v>
      </c>
      <c r="J291" s="325">
        <f t="shared" si="14"/>
        <v>0</v>
      </c>
      <c r="K291" s="326">
        <f t="shared" si="24"/>
        <v>0</v>
      </c>
      <c r="L291" s="327">
        <f t="shared" si="4"/>
        <v>1.72909752</v>
      </c>
      <c r="M291" s="321" t="str">
        <f t="shared" si="5"/>
        <v>iviangita</v>
      </c>
      <c r="N291" s="209">
        <f>IFERROR(__xludf.DUMMYFUNCTION("""COMPUTED_VALUE"""),6.0)</f>
        <v>6</v>
      </c>
      <c r="O291" s="176"/>
      <c r="P291" s="176"/>
      <c r="Q291" s="176"/>
      <c r="R291" s="176"/>
      <c r="S291" s="176"/>
      <c r="T291" s="176"/>
      <c r="U291" s="176"/>
      <c r="V291" s="176"/>
      <c r="W291" s="176"/>
      <c r="X291" s="176"/>
      <c r="Y291" s="176"/>
      <c r="Z291" s="176"/>
    </row>
    <row r="292">
      <c r="A292" s="240" t="s">
        <v>10</v>
      </c>
      <c r="B292" s="240" t="s">
        <v>534</v>
      </c>
      <c r="C292" s="221" t="s">
        <v>741</v>
      </c>
      <c r="D292" s="336"/>
      <c r="E292" s="255"/>
      <c r="F292" s="254"/>
      <c r="G292" s="222"/>
      <c r="H292" s="222"/>
      <c r="I292" s="222"/>
      <c r="J292" s="325">
        <f t="shared" si="14"/>
        <v>0</v>
      </c>
      <c r="K292" s="337">
        <f>11.53*-0.85</f>
        <v>-9.8005</v>
      </c>
      <c r="L292" s="327">
        <f t="shared" si="4"/>
        <v>1.72909752</v>
      </c>
      <c r="M292" s="321" t="str">
        <f t="shared" si="5"/>
        <v>iviangita</v>
      </c>
      <c r="N292" s="209">
        <f>IFERROR(__xludf.DUMMYFUNCTION("""COMPUTED_VALUE"""),7.0)</f>
        <v>7</v>
      </c>
      <c r="O292" s="209"/>
      <c r="P292" s="209"/>
      <c r="Q292" s="209"/>
      <c r="R292" s="209">
        <v>18.802169413641863</v>
      </c>
      <c r="S292" s="209"/>
      <c r="T292" s="209"/>
      <c r="U292" s="209"/>
      <c r="V292" s="209"/>
      <c r="W292" s="209"/>
      <c r="X292" s="209"/>
      <c r="Y292" s="176"/>
      <c r="Z292" s="176"/>
    </row>
    <row r="293">
      <c r="A293" s="249" t="s">
        <v>123</v>
      </c>
      <c r="B293" s="249" t="s">
        <v>519</v>
      </c>
      <c r="C293" s="219" t="s">
        <v>3098</v>
      </c>
      <c r="D293" s="268" t="s">
        <v>495</v>
      </c>
      <c r="E293" s="251">
        <v>44188.0</v>
      </c>
      <c r="F293" s="250" t="s">
        <v>521</v>
      </c>
      <c r="G293" s="171">
        <v>40.0</v>
      </c>
      <c r="H293" s="171">
        <v>35.0</v>
      </c>
      <c r="I293" s="171">
        <v>35.0</v>
      </c>
      <c r="J293" s="325">
        <f t="shared" si="14"/>
        <v>0.002258105124</v>
      </c>
      <c r="K293" s="326">
        <f t="shared" ref="K293:K303" si="25">J293*$J$1</f>
        <v>0.9785122205</v>
      </c>
      <c r="L293" s="327">
        <f t="shared" si="4"/>
        <v>1.691155878</v>
      </c>
      <c r="M293" s="321" t="str">
        <f t="shared" si="5"/>
        <v>lbagic</v>
      </c>
      <c r="N293" s="209">
        <f>IFERROR(__xludf.DUMMYFUNCTION("""COMPUTED_VALUE"""),1.0)</f>
        <v>1</v>
      </c>
      <c r="O293" s="176"/>
      <c r="P293" s="176"/>
      <c r="Q293" s="176"/>
      <c r="R293" s="176"/>
      <c r="S293" s="176"/>
      <c r="T293" s="176"/>
      <c r="U293" s="176"/>
      <c r="V293" s="176"/>
      <c r="W293" s="176"/>
      <c r="X293" s="176"/>
      <c r="Y293" s="176"/>
      <c r="Z293" s="176"/>
    </row>
    <row r="294">
      <c r="A294" s="249" t="s">
        <v>123</v>
      </c>
      <c r="B294" s="249" t="s">
        <v>10</v>
      </c>
      <c r="C294" s="219" t="s">
        <v>3066</v>
      </c>
      <c r="D294" s="268" t="s">
        <v>495</v>
      </c>
      <c r="E294" s="251">
        <v>44192.0</v>
      </c>
      <c r="F294" s="250" t="s">
        <v>496</v>
      </c>
      <c r="G294" s="171">
        <v>30.0</v>
      </c>
      <c r="H294" s="171">
        <v>25.0</v>
      </c>
      <c r="I294" s="171">
        <v>25.0</v>
      </c>
      <c r="J294" s="325">
        <f t="shared" si="14"/>
        <v>0.001644562287</v>
      </c>
      <c r="K294" s="326">
        <f t="shared" si="25"/>
        <v>0.7126436575</v>
      </c>
      <c r="L294" s="327">
        <f t="shared" si="4"/>
        <v>1.691155878</v>
      </c>
      <c r="M294" s="321" t="str">
        <f t="shared" si="5"/>
        <v>lbagic</v>
      </c>
      <c r="N294" s="209">
        <f>IFERROR(__xludf.DUMMYFUNCTION("""COMPUTED_VALUE"""),2.0)</f>
        <v>2</v>
      </c>
      <c r="O294" s="176"/>
      <c r="P294" s="176"/>
      <c r="Q294" s="176"/>
      <c r="R294" s="176"/>
      <c r="S294" s="176"/>
      <c r="T294" s="176"/>
      <c r="U294" s="176"/>
      <c r="V294" s="176"/>
      <c r="W294" s="176"/>
      <c r="X294" s="176"/>
      <c r="Y294" s="176"/>
      <c r="Z294" s="176"/>
    </row>
    <row r="295">
      <c r="A295" s="249" t="s">
        <v>127</v>
      </c>
      <c r="B295" s="249" t="s">
        <v>519</v>
      </c>
      <c r="C295" s="219" t="s">
        <v>3091</v>
      </c>
      <c r="D295" s="268" t="s">
        <v>495</v>
      </c>
      <c r="E295" s="251">
        <v>44189.0</v>
      </c>
      <c r="F295" s="250" t="s">
        <v>545</v>
      </c>
      <c r="G295" s="171">
        <v>80.0</v>
      </c>
      <c r="H295" s="171">
        <v>45.0</v>
      </c>
      <c r="I295" s="171">
        <v>60.0</v>
      </c>
      <c r="J295" s="325">
        <f t="shared" si="14"/>
        <v>0.003823235436</v>
      </c>
      <c r="K295" s="326">
        <f t="shared" si="25"/>
        <v>1.656735356</v>
      </c>
      <c r="L295" s="327">
        <f t="shared" si="4"/>
        <v>1.656735356</v>
      </c>
      <c r="M295" s="321" t="str">
        <f t="shared" si="5"/>
        <v>crypt0dawg</v>
      </c>
      <c r="N295" s="209">
        <f>IFERROR(__xludf.DUMMYFUNCTION("""COMPUTED_VALUE"""),1.0)</f>
        <v>1</v>
      </c>
      <c r="O295" s="176"/>
      <c r="P295" s="176"/>
      <c r="Q295" s="176"/>
      <c r="R295" s="176"/>
      <c r="S295" s="176"/>
      <c r="T295" s="176"/>
      <c r="U295" s="176"/>
      <c r="V295" s="176"/>
      <c r="W295" s="176"/>
      <c r="X295" s="176"/>
      <c r="Y295" s="176"/>
      <c r="Z295" s="176"/>
    </row>
    <row r="296">
      <c r="A296" s="249" t="s">
        <v>127</v>
      </c>
      <c r="B296" s="249" t="s">
        <v>867</v>
      </c>
      <c r="C296" s="219" t="s">
        <v>3151</v>
      </c>
      <c r="D296" s="268" t="s">
        <v>495</v>
      </c>
      <c r="E296" s="251">
        <v>44193.0</v>
      </c>
      <c r="F296" s="365" t="s">
        <v>3152</v>
      </c>
      <c r="G296" s="222">
        <v>0.0</v>
      </c>
      <c r="H296" s="222">
        <v>0.0</v>
      </c>
      <c r="I296" s="222">
        <v>0.0</v>
      </c>
      <c r="J296" s="325">
        <f t="shared" si="14"/>
        <v>0</v>
      </c>
      <c r="K296" s="326">
        <f t="shared" si="25"/>
        <v>0</v>
      </c>
      <c r="L296" s="327">
        <f t="shared" si="4"/>
        <v>1.656735356</v>
      </c>
      <c r="M296" s="321" t="str">
        <f t="shared" si="5"/>
        <v>crypt0dawg</v>
      </c>
      <c r="N296" s="209">
        <f>IFERROR(__xludf.DUMMYFUNCTION("""COMPUTED_VALUE"""),2.0)</f>
        <v>2</v>
      </c>
      <c r="O296" s="176"/>
      <c r="P296" s="176"/>
      <c r="Q296" s="176"/>
      <c r="R296" s="176"/>
      <c r="S296" s="176"/>
      <c r="T296" s="176"/>
      <c r="U296" s="176"/>
      <c r="V296" s="176"/>
      <c r="W296" s="176"/>
      <c r="X296" s="176"/>
      <c r="Y296" s="176"/>
      <c r="Z296" s="176"/>
    </row>
    <row r="297">
      <c r="A297" s="249" t="s">
        <v>124</v>
      </c>
      <c r="B297" s="249" t="s">
        <v>519</v>
      </c>
      <c r="C297" s="219" t="s">
        <v>3098</v>
      </c>
      <c r="D297" s="268" t="s">
        <v>495</v>
      </c>
      <c r="E297" s="251">
        <v>44188.0</v>
      </c>
      <c r="F297" s="250" t="s">
        <v>521</v>
      </c>
      <c r="G297" s="171">
        <v>40.0</v>
      </c>
      <c r="H297" s="171">
        <v>35.0</v>
      </c>
      <c r="I297" s="171">
        <v>40.0</v>
      </c>
      <c r="J297" s="325">
        <f t="shared" si="14"/>
        <v>0.002353890565</v>
      </c>
      <c r="K297" s="326">
        <f t="shared" si="25"/>
        <v>1.020019245</v>
      </c>
      <c r="L297" s="327">
        <f t="shared" si="4"/>
        <v>1.636718402</v>
      </c>
      <c r="M297" s="321" t="str">
        <f t="shared" si="5"/>
        <v>juliet_myea</v>
      </c>
      <c r="N297" s="209">
        <f>IFERROR(__xludf.DUMMYFUNCTION("""COMPUTED_VALUE"""),1.0)</f>
        <v>1</v>
      </c>
      <c r="O297" s="176"/>
      <c r="P297" s="176"/>
      <c r="Q297" s="176"/>
      <c r="R297" s="176"/>
      <c r="S297" s="176"/>
      <c r="T297" s="176"/>
      <c r="U297" s="176"/>
      <c r="V297" s="176"/>
      <c r="W297" s="176"/>
      <c r="X297" s="176"/>
      <c r="Y297" s="176"/>
      <c r="Z297" s="176"/>
    </row>
    <row r="298">
      <c r="A298" s="249" t="s">
        <v>124</v>
      </c>
      <c r="B298" s="249" t="s">
        <v>519</v>
      </c>
      <c r="C298" s="219" t="s">
        <v>3067</v>
      </c>
      <c r="D298" s="268" t="s">
        <v>495</v>
      </c>
      <c r="E298" s="251">
        <v>44188.0</v>
      </c>
      <c r="F298" s="250" t="s">
        <v>499</v>
      </c>
      <c r="G298" s="171">
        <v>20.0</v>
      </c>
      <c r="H298" s="171">
        <v>25.0</v>
      </c>
      <c r="I298" s="171">
        <v>25.0</v>
      </c>
      <c r="J298" s="325">
        <f t="shared" si="14"/>
        <v>0.001423151902</v>
      </c>
      <c r="K298" s="326">
        <f t="shared" si="25"/>
        <v>0.6166991577</v>
      </c>
      <c r="L298" s="327">
        <f t="shared" si="4"/>
        <v>1.636718402</v>
      </c>
      <c r="M298" s="321" t="str">
        <f t="shared" si="5"/>
        <v>juliet_myea</v>
      </c>
      <c r="N298" s="209">
        <f>IFERROR(__xludf.DUMMYFUNCTION("""COMPUTED_VALUE"""),2.0)</f>
        <v>2</v>
      </c>
      <c r="O298" s="176"/>
      <c r="P298" s="176"/>
      <c r="Q298" s="176"/>
      <c r="R298" s="176"/>
      <c r="S298" s="176"/>
      <c r="T298" s="176"/>
      <c r="U298" s="176"/>
      <c r="V298" s="176"/>
      <c r="W298" s="176"/>
      <c r="X298" s="176"/>
      <c r="Y298" s="176"/>
      <c r="Z298" s="176"/>
    </row>
    <row r="299">
      <c r="A299" s="249" t="s">
        <v>191</v>
      </c>
      <c r="B299" s="249" t="s">
        <v>10</v>
      </c>
      <c r="C299" s="219" t="s">
        <v>3065</v>
      </c>
      <c r="D299" s="268" t="s">
        <v>495</v>
      </c>
      <c r="E299" s="251">
        <v>44192.0</v>
      </c>
      <c r="F299" s="250" t="s">
        <v>496</v>
      </c>
      <c r="G299" s="171">
        <v>30.0</v>
      </c>
      <c r="H299" s="171">
        <v>25.0</v>
      </c>
      <c r="I299" s="171">
        <v>50.0</v>
      </c>
      <c r="J299" s="325">
        <f t="shared" si="14"/>
        <v>0.00212348949</v>
      </c>
      <c r="K299" s="326">
        <f t="shared" si="25"/>
        <v>0.9201787788</v>
      </c>
      <c r="L299" s="327">
        <f t="shared" si="4"/>
        <v>1.600496308</v>
      </c>
      <c r="M299" s="321" t="str">
        <f t="shared" si="5"/>
        <v>monstros1ty</v>
      </c>
      <c r="N299" s="209">
        <f>IFERROR(__xludf.DUMMYFUNCTION("""COMPUTED_VALUE"""),1.0)</f>
        <v>1</v>
      </c>
      <c r="O299" s="176"/>
      <c r="P299" s="176"/>
      <c r="Q299" s="176"/>
      <c r="R299" s="176"/>
      <c r="S299" s="176"/>
      <c r="T299" s="176"/>
      <c r="U299" s="176"/>
      <c r="V299" s="176"/>
      <c r="W299" s="176"/>
      <c r="X299" s="176"/>
      <c r="Y299" s="176"/>
      <c r="Z299" s="176"/>
    </row>
    <row r="300">
      <c r="A300" s="249" t="s">
        <v>191</v>
      </c>
      <c r="B300" s="249" t="s">
        <v>10</v>
      </c>
      <c r="C300" s="219" t="s">
        <v>3148</v>
      </c>
      <c r="D300" s="268" t="s">
        <v>495</v>
      </c>
      <c r="E300" s="251">
        <v>44192.0</v>
      </c>
      <c r="F300" s="250" t="s">
        <v>496</v>
      </c>
      <c r="G300" s="171">
        <v>5.0</v>
      </c>
      <c r="H300" s="171">
        <v>25.0</v>
      </c>
      <c r="I300" s="171">
        <v>50.0</v>
      </c>
      <c r="J300" s="325">
        <f t="shared" si="14"/>
        <v>0.001569963529</v>
      </c>
      <c r="K300" s="326">
        <f t="shared" si="25"/>
        <v>0.6803175293</v>
      </c>
      <c r="L300" s="327">
        <f t="shared" si="4"/>
        <v>1.600496308</v>
      </c>
      <c r="M300" s="321" t="str">
        <f t="shared" si="5"/>
        <v>monstros1ty</v>
      </c>
      <c r="N300" s="209">
        <f>IFERROR(__xludf.DUMMYFUNCTION("""COMPUTED_VALUE"""),2.0)</f>
        <v>2</v>
      </c>
      <c r="O300" s="176"/>
      <c r="P300" s="176"/>
      <c r="Q300" s="176"/>
      <c r="R300" s="176"/>
      <c r="S300" s="176"/>
      <c r="T300" s="176"/>
      <c r="U300" s="176"/>
      <c r="V300" s="176"/>
      <c r="W300" s="176"/>
      <c r="X300" s="176"/>
      <c r="Y300" s="176"/>
      <c r="Z300" s="176"/>
    </row>
    <row r="301">
      <c r="A301" s="249" t="s">
        <v>62</v>
      </c>
      <c r="B301" s="249" t="s">
        <v>62</v>
      </c>
      <c r="C301" s="219" t="s">
        <v>3153</v>
      </c>
      <c r="D301" s="268" t="s">
        <v>495</v>
      </c>
      <c r="E301" s="251">
        <v>44188.0</v>
      </c>
      <c r="F301" s="250" t="s">
        <v>2586</v>
      </c>
      <c r="G301" s="171">
        <v>200.0</v>
      </c>
      <c r="H301" s="171">
        <v>300.0</v>
      </c>
      <c r="I301" s="171">
        <v>150.0</v>
      </c>
      <c r="J301" s="325">
        <f t="shared" si="14"/>
        <v>0.01331861807</v>
      </c>
      <c r="K301" s="326">
        <f t="shared" si="25"/>
        <v>5.771401165</v>
      </c>
      <c r="L301" s="327">
        <f t="shared" si="4"/>
        <v>1.320724879</v>
      </c>
      <c r="M301" s="321" t="str">
        <f t="shared" si="5"/>
        <v>fiorebotta</v>
      </c>
      <c r="N301" s="209">
        <f>IFERROR(__xludf.DUMMYFUNCTION("""COMPUTED_VALUE"""),1.0)</f>
        <v>1</v>
      </c>
      <c r="O301" s="176"/>
      <c r="P301" s="176"/>
      <c r="Q301" s="176"/>
      <c r="R301" s="176"/>
      <c r="S301" s="176"/>
      <c r="T301" s="176"/>
      <c r="U301" s="176"/>
      <c r="V301" s="176"/>
      <c r="W301" s="176"/>
      <c r="X301" s="176"/>
      <c r="Y301" s="176"/>
      <c r="Z301" s="176"/>
    </row>
    <row r="302">
      <c r="A302" s="249" t="s">
        <v>62</v>
      </c>
      <c r="B302" s="249" t="s">
        <v>6</v>
      </c>
      <c r="C302" s="219" t="s">
        <v>3154</v>
      </c>
      <c r="D302" s="268" t="s">
        <v>495</v>
      </c>
      <c r="E302" s="251">
        <v>44193.0</v>
      </c>
      <c r="F302" s="250" t="s">
        <v>496</v>
      </c>
      <c r="G302" s="171">
        <v>100.0</v>
      </c>
      <c r="H302" s="171">
        <v>50.0</v>
      </c>
      <c r="I302" s="171">
        <v>100.0</v>
      </c>
      <c r="J302" s="325">
        <f t="shared" si="14"/>
        <v>0.005132620516</v>
      </c>
      <c r="K302" s="326">
        <f t="shared" si="25"/>
        <v>2.224135557</v>
      </c>
      <c r="L302" s="327">
        <f t="shared" si="4"/>
        <v>1.320724879</v>
      </c>
      <c r="M302" s="321" t="str">
        <f t="shared" si="5"/>
        <v>fiorebotta</v>
      </c>
      <c r="N302" s="209">
        <f>IFERROR(__xludf.DUMMYFUNCTION("""COMPUTED_VALUE"""),2.0)</f>
        <v>2</v>
      </c>
      <c r="O302" s="176"/>
      <c r="P302" s="176"/>
      <c r="Q302" s="176"/>
      <c r="R302" s="176"/>
      <c r="S302" s="176"/>
      <c r="T302" s="176"/>
      <c r="U302" s="176"/>
      <c r="V302" s="176"/>
      <c r="W302" s="176"/>
      <c r="X302" s="176"/>
      <c r="Y302" s="176"/>
      <c r="Z302" s="176"/>
    </row>
    <row r="303">
      <c r="A303" s="249" t="s">
        <v>62</v>
      </c>
      <c r="B303" s="249" t="s">
        <v>6</v>
      </c>
      <c r="C303" s="219" t="s">
        <v>3062</v>
      </c>
      <c r="D303" s="268" t="s">
        <v>495</v>
      </c>
      <c r="E303" s="251">
        <v>44186.0</v>
      </c>
      <c r="F303" s="250" t="s">
        <v>496</v>
      </c>
      <c r="G303" s="171">
        <v>40.0</v>
      </c>
      <c r="H303" s="171">
        <v>25.0</v>
      </c>
      <c r="I303" s="171">
        <v>25.0</v>
      </c>
      <c r="J303" s="325">
        <f t="shared" si="14"/>
        <v>0.001865972671</v>
      </c>
      <c r="K303" s="326">
        <f t="shared" si="25"/>
        <v>0.8085881573</v>
      </c>
      <c r="L303" s="327">
        <f t="shared" si="4"/>
        <v>1.320724879</v>
      </c>
      <c r="M303" s="321" t="str">
        <f t="shared" si="5"/>
        <v>fiorebotta</v>
      </c>
      <c r="N303" s="209">
        <f>IFERROR(__xludf.DUMMYFUNCTION("""COMPUTED_VALUE"""),3.0)</f>
        <v>3</v>
      </c>
      <c r="O303" s="176"/>
      <c r="P303" s="176"/>
      <c r="Q303" s="176"/>
      <c r="R303" s="176"/>
      <c r="S303" s="176"/>
      <c r="T303" s="176"/>
      <c r="U303" s="176"/>
      <c r="V303" s="176"/>
      <c r="W303" s="176"/>
      <c r="X303" s="176"/>
      <c r="Y303" s="176"/>
      <c r="Z303" s="176"/>
    </row>
    <row r="304">
      <c r="A304" s="362" t="s">
        <v>62</v>
      </c>
      <c r="B304" s="240" t="s">
        <v>534</v>
      </c>
      <c r="C304" s="346" t="s">
        <v>2386</v>
      </c>
      <c r="D304" s="336"/>
      <c r="E304" s="255"/>
      <c r="F304" s="254"/>
      <c r="G304" s="222"/>
      <c r="H304" s="222"/>
      <c r="I304" s="222"/>
      <c r="J304" s="325">
        <f t="shared" si="14"/>
        <v>0</v>
      </c>
      <c r="K304" s="337">
        <f>8.804*-0.85</f>
        <v>-7.4834</v>
      </c>
      <c r="L304" s="327">
        <f t="shared" si="4"/>
        <v>1.320724879</v>
      </c>
      <c r="M304" s="321" t="str">
        <f t="shared" si="5"/>
        <v>fiorebotta</v>
      </c>
      <c r="N304" s="209">
        <f>IFERROR(__xludf.DUMMYFUNCTION("""COMPUTED_VALUE"""),4.0)</f>
        <v>4</v>
      </c>
      <c r="O304" s="176"/>
      <c r="P304" s="176"/>
      <c r="Q304" s="176"/>
      <c r="R304" s="176">
        <v>11.125055275694283</v>
      </c>
      <c r="S304" s="176"/>
      <c r="T304" s="176"/>
      <c r="U304" s="176"/>
      <c r="V304" s="176"/>
      <c r="W304" s="176"/>
      <c r="X304" s="176"/>
      <c r="Y304" s="176"/>
      <c r="Z304" s="176"/>
    </row>
    <row r="305">
      <c r="A305" s="249" t="s">
        <v>50</v>
      </c>
      <c r="B305" s="249" t="s">
        <v>519</v>
      </c>
      <c r="C305" s="219" t="s">
        <v>3098</v>
      </c>
      <c r="D305" s="268" t="s">
        <v>495</v>
      </c>
      <c r="E305" s="251">
        <v>44188.0</v>
      </c>
      <c r="F305" s="250" t="s">
        <v>521</v>
      </c>
      <c r="G305" s="171">
        <v>40.0</v>
      </c>
      <c r="H305" s="171">
        <v>35.0</v>
      </c>
      <c r="I305" s="171">
        <v>40.0</v>
      </c>
      <c r="J305" s="325">
        <f t="shared" si="14"/>
        <v>0.002353890565</v>
      </c>
      <c r="K305" s="326">
        <f t="shared" ref="K305:K307" si="26">J305*$J$1</f>
        <v>1.020019245</v>
      </c>
      <c r="L305" s="327">
        <f t="shared" si="4"/>
        <v>1.020019245</v>
      </c>
      <c r="M305" s="321" t="str">
        <f t="shared" si="5"/>
        <v>geleeroyale</v>
      </c>
      <c r="N305" s="209">
        <f>IFERROR(__xludf.DUMMYFUNCTION("""COMPUTED_VALUE"""),1.0)</f>
        <v>1</v>
      </c>
      <c r="O305" s="176"/>
      <c r="P305" s="176"/>
      <c r="Q305" s="176"/>
      <c r="R305" s="176"/>
      <c r="S305" s="176"/>
      <c r="T305" s="176"/>
      <c r="U305" s="176"/>
      <c r="V305" s="176"/>
      <c r="W305" s="176"/>
      <c r="X305" s="176"/>
      <c r="Y305" s="176"/>
      <c r="Z305" s="176"/>
    </row>
    <row r="306">
      <c r="A306" s="249" t="s">
        <v>55</v>
      </c>
      <c r="B306" s="249" t="s">
        <v>18</v>
      </c>
      <c r="C306" s="219" t="s">
        <v>3074</v>
      </c>
      <c r="D306" s="268" t="s">
        <v>495</v>
      </c>
      <c r="E306" s="251">
        <v>44193.0</v>
      </c>
      <c r="F306" s="250" t="s">
        <v>496</v>
      </c>
      <c r="G306" s="171">
        <v>50.0</v>
      </c>
      <c r="H306" s="171">
        <v>25.0</v>
      </c>
      <c r="I306" s="171">
        <v>25.0</v>
      </c>
      <c r="J306" s="325">
        <f t="shared" si="14"/>
        <v>0.002087383055</v>
      </c>
      <c r="K306" s="326">
        <f t="shared" si="26"/>
        <v>0.9045326571</v>
      </c>
      <c r="L306" s="327">
        <f t="shared" si="4"/>
        <v>0.7607318148</v>
      </c>
      <c r="M306" s="321" t="str">
        <f t="shared" si="5"/>
        <v>atacas</v>
      </c>
      <c r="N306" s="209">
        <f>IFERROR(__xludf.DUMMYFUNCTION("""COMPUTED_VALUE"""),1.0)</f>
        <v>1</v>
      </c>
      <c r="O306" s="176"/>
      <c r="P306" s="176"/>
      <c r="Q306" s="176"/>
      <c r="R306" s="176"/>
      <c r="S306" s="176"/>
      <c r="T306" s="176"/>
      <c r="U306" s="176"/>
      <c r="V306" s="176"/>
      <c r="W306" s="176"/>
      <c r="X306" s="176"/>
      <c r="Y306" s="176"/>
      <c r="Z306" s="176"/>
    </row>
    <row r="307">
      <c r="A307" s="249" t="s">
        <v>55</v>
      </c>
      <c r="B307" s="249" t="s">
        <v>18</v>
      </c>
      <c r="C307" s="219" t="s">
        <v>3077</v>
      </c>
      <c r="D307" s="268" t="s">
        <v>495</v>
      </c>
      <c r="E307" s="251">
        <v>44193.0</v>
      </c>
      <c r="F307" s="250" t="s">
        <v>496</v>
      </c>
      <c r="G307" s="171">
        <v>20.0</v>
      </c>
      <c r="H307" s="171">
        <v>25.0</v>
      </c>
      <c r="I307" s="171">
        <v>25.0</v>
      </c>
      <c r="J307" s="325">
        <f t="shared" si="14"/>
        <v>0.001423151902</v>
      </c>
      <c r="K307" s="326">
        <f t="shared" si="26"/>
        <v>0.6166991577</v>
      </c>
      <c r="L307" s="327">
        <f t="shared" si="4"/>
        <v>0.7607318148</v>
      </c>
      <c r="M307" s="321" t="str">
        <f t="shared" si="5"/>
        <v>atacas</v>
      </c>
      <c r="N307" s="209">
        <f>IFERROR(__xludf.DUMMYFUNCTION("""COMPUTED_VALUE"""),2.0)</f>
        <v>2</v>
      </c>
      <c r="O307" s="176"/>
      <c r="P307" s="176"/>
      <c r="Q307" s="176"/>
      <c r="R307" s="176"/>
      <c r="S307" s="176"/>
      <c r="T307" s="176"/>
      <c r="U307" s="176"/>
      <c r="V307" s="176"/>
      <c r="W307" s="176"/>
      <c r="X307" s="176"/>
      <c r="Y307" s="176"/>
      <c r="Z307" s="176"/>
    </row>
    <row r="308">
      <c r="A308" s="240" t="s">
        <v>55</v>
      </c>
      <c r="B308" s="240" t="s">
        <v>534</v>
      </c>
      <c r="C308" s="221" t="s">
        <v>688</v>
      </c>
      <c r="D308" s="336"/>
      <c r="E308" s="255"/>
      <c r="F308" s="254"/>
      <c r="G308" s="209"/>
      <c r="H308" s="222"/>
      <c r="I308" s="222"/>
      <c r="J308" s="325">
        <f t="shared" si="14"/>
        <v>0</v>
      </c>
      <c r="K308" s="337">
        <f>1.521*-0.5</f>
        <v>-0.7605</v>
      </c>
      <c r="L308" s="327">
        <f t="shared" si="4"/>
        <v>0.7607318148</v>
      </c>
      <c r="M308" s="321" t="str">
        <f t="shared" si="5"/>
        <v>atacas</v>
      </c>
      <c r="N308" s="209">
        <f>IFERROR(__xludf.DUMMYFUNCTION("""COMPUTED_VALUE"""),3.0)</f>
        <v>3</v>
      </c>
      <c r="O308" s="176"/>
      <c r="P308" s="176"/>
      <c r="Q308" s="176"/>
      <c r="R308" s="176">
        <v>6.463920504925881</v>
      </c>
      <c r="S308" s="176"/>
      <c r="T308" s="176"/>
      <c r="U308" s="176"/>
      <c r="V308" s="176"/>
      <c r="W308" s="176"/>
      <c r="X308" s="176"/>
      <c r="Y308" s="176"/>
      <c r="Z308" s="176"/>
    </row>
    <row r="309">
      <c r="A309" s="249" t="s">
        <v>227</v>
      </c>
      <c r="B309" s="249" t="s">
        <v>519</v>
      </c>
      <c r="C309" s="219" t="s">
        <v>3155</v>
      </c>
      <c r="D309" s="268" t="s">
        <v>495</v>
      </c>
      <c r="E309" s="251">
        <v>44188.0</v>
      </c>
      <c r="F309" s="250" t="s">
        <v>499</v>
      </c>
      <c r="G309" s="171">
        <v>20.0</v>
      </c>
      <c r="H309" s="171">
        <v>25.0</v>
      </c>
      <c r="I309" s="171">
        <v>35.0</v>
      </c>
      <c r="J309" s="325">
        <f t="shared" si="14"/>
        <v>0.001614722784</v>
      </c>
      <c r="K309" s="326">
        <f t="shared" ref="K309:K312" si="27">J309*$J$1</f>
        <v>0.6997132062</v>
      </c>
      <c r="L309" s="327">
        <f t="shared" si="4"/>
        <v>0.6997132062</v>
      </c>
      <c r="M309" s="321" t="str">
        <f t="shared" si="5"/>
        <v>yalormewn</v>
      </c>
      <c r="N309" s="209">
        <f>IFERROR(__xludf.DUMMYFUNCTION("""COMPUTED_VALUE"""),1.0)</f>
        <v>1</v>
      </c>
      <c r="O309" s="176"/>
      <c r="P309" s="176"/>
      <c r="Q309" s="176"/>
      <c r="R309" s="176"/>
      <c r="S309" s="176"/>
      <c r="T309" s="176"/>
      <c r="U309" s="176"/>
      <c r="V309" s="176"/>
      <c r="W309" s="176"/>
      <c r="X309" s="176"/>
      <c r="Y309" s="176"/>
      <c r="Z309" s="176"/>
    </row>
    <row r="310">
      <c r="A310" s="249" t="s">
        <v>212</v>
      </c>
      <c r="B310" s="249" t="s">
        <v>519</v>
      </c>
      <c r="C310" s="219" t="s">
        <v>3156</v>
      </c>
      <c r="D310" s="268" t="s">
        <v>495</v>
      </c>
      <c r="E310" s="251">
        <v>44188.0</v>
      </c>
      <c r="F310" s="250" t="s">
        <v>499</v>
      </c>
      <c r="G310" s="171">
        <v>20.0</v>
      </c>
      <c r="H310" s="171">
        <v>25.0</v>
      </c>
      <c r="I310" s="171">
        <v>30.0</v>
      </c>
      <c r="J310" s="325">
        <f t="shared" si="14"/>
        <v>0.001518937343</v>
      </c>
      <c r="K310" s="326">
        <f t="shared" si="27"/>
        <v>0.658206182</v>
      </c>
      <c r="L310" s="327">
        <f t="shared" si="4"/>
        <v>0.658206182</v>
      </c>
      <c r="M310" s="321" t="str">
        <f t="shared" si="5"/>
        <v>ivanthinking</v>
      </c>
      <c r="N310" s="209">
        <f>IFERROR(__xludf.DUMMYFUNCTION("""COMPUTED_VALUE"""),1.0)</f>
        <v>1</v>
      </c>
      <c r="O310" s="176"/>
      <c r="P310" s="176"/>
      <c r="Q310" s="176"/>
      <c r="R310" s="176"/>
      <c r="S310" s="176"/>
      <c r="T310" s="176"/>
      <c r="U310" s="176"/>
      <c r="V310" s="176"/>
      <c r="W310" s="176"/>
      <c r="X310" s="176"/>
      <c r="Y310" s="176"/>
      <c r="Z310" s="176"/>
    </row>
    <row r="311">
      <c r="A311" s="249" t="s">
        <v>33</v>
      </c>
      <c r="B311" s="249" t="s">
        <v>10</v>
      </c>
      <c r="C311" s="219" t="s">
        <v>3061</v>
      </c>
      <c r="D311" s="268" t="s">
        <v>495</v>
      </c>
      <c r="E311" s="251">
        <v>44192.0</v>
      </c>
      <c r="F311" s="250" t="s">
        <v>496</v>
      </c>
      <c r="G311" s="171">
        <v>120.0</v>
      </c>
      <c r="H311" s="171">
        <v>25.0</v>
      </c>
      <c r="I311" s="171">
        <v>100.0</v>
      </c>
      <c r="J311" s="325">
        <f t="shared" si="14"/>
        <v>0.005074037353</v>
      </c>
      <c r="K311" s="326">
        <f t="shared" si="27"/>
        <v>2.19874952</v>
      </c>
      <c r="L311" s="327">
        <f t="shared" si="4"/>
        <v>0.6297038334</v>
      </c>
      <c r="M311" s="321" t="str">
        <f t="shared" si="5"/>
        <v>vegayp</v>
      </c>
      <c r="N311" s="209">
        <f>IFERROR(__xludf.DUMMYFUNCTION("""COMPUTED_VALUE"""),1.0)</f>
        <v>1</v>
      </c>
      <c r="O311" s="176"/>
      <c r="P311" s="176"/>
      <c r="Q311" s="176"/>
      <c r="R311" s="176"/>
      <c r="S311" s="176"/>
      <c r="T311" s="176"/>
      <c r="U311" s="176"/>
      <c r="V311" s="176"/>
      <c r="W311" s="176"/>
      <c r="X311" s="176"/>
      <c r="Y311" s="176"/>
      <c r="Z311" s="176"/>
    </row>
    <row r="312">
      <c r="A312" s="249" t="s">
        <v>33</v>
      </c>
      <c r="B312" s="249" t="s">
        <v>5</v>
      </c>
      <c r="C312" s="219" t="s">
        <v>3073</v>
      </c>
      <c r="D312" s="268" t="s">
        <v>495</v>
      </c>
      <c r="E312" s="251">
        <v>44191.0</v>
      </c>
      <c r="F312" s="250" t="s">
        <v>496</v>
      </c>
      <c r="G312" s="171">
        <v>120.0</v>
      </c>
      <c r="H312" s="171">
        <v>50.0</v>
      </c>
      <c r="I312" s="171">
        <v>50.0</v>
      </c>
      <c r="J312" s="325">
        <f t="shared" si="14"/>
        <v>0.004617586878</v>
      </c>
      <c r="K312" s="326">
        <f t="shared" si="27"/>
        <v>2.000954314</v>
      </c>
      <c r="L312" s="327">
        <f t="shared" si="4"/>
        <v>0.6297038334</v>
      </c>
      <c r="M312" s="321" t="str">
        <f t="shared" si="5"/>
        <v>vegayp</v>
      </c>
      <c r="N312" s="209">
        <f>IFERROR(__xludf.DUMMYFUNCTION("""COMPUTED_VALUE"""),2.0)</f>
        <v>2</v>
      </c>
      <c r="O312" s="176"/>
      <c r="P312" s="176"/>
      <c r="Q312" s="176"/>
      <c r="R312" s="176"/>
      <c r="S312" s="176"/>
      <c r="T312" s="176"/>
      <c r="U312" s="176"/>
      <c r="V312" s="176"/>
      <c r="W312" s="176"/>
      <c r="X312" s="176"/>
      <c r="Y312" s="176"/>
      <c r="Z312" s="176"/>
    </row>
    <row r="313">
      <c r="A313" s="240" t="s">
        <v>33</v>
      </c>
      <c r="B313" s="240" t="s">
        <v>534</v>
      </c>
      <c r="C313" s="221" t="s">
        <v>810</v>
      </c>
      <c r="D313" s="336"/>
      <c r="E313" s="255"/>
      <c r="F313" s="254"/>
      <c r="G313" s="222"/>
      <c r="H313" s="222"/>
      <c r="I313" s="222"/>
      <c r="J313" s="325">
        <f t="shared" si="14"/>
        <v>0</v>
      </c>
      <c r="K313" s="337">
        <f>4.2*-0.85</f>
        <v>-3.57</v>
      </c>
      <c r="L313" s="327">
        <f t="shared" si="4"/>
        <v>0.6297038334</v>
      </c>
      <c r="M313" s="321" t="str">
        <f t="shared" si="5"/>
        <v>vegayp</v>
      </c>
      <c r="N313" s="209">
        <f>IFERROR(__xludf.DUMMYFUNCTION("""COMPUTED_VALUE"""),3.0)</f>
        <v>3</v>
      </c>
      <c r="O313" s="209"/>
      <c r="P313" s="209"/>
      <c r="Q313" s="209"/>
      <c r="R313" s="209">
        <v>18.802169413641863</v>
      </c>
      <c r="S313" s="209"/>
      <c r="T313" s="209"/>
      <c r="U313" s="209"/>
      <c r="V313" s="209"/>
      <c r="W313" s="209"/>
      <c r="X313" s="209"/>
      <c r="Y313" s="176"/>
      <c r="Z313" s="176"/>
    </row>
    <row r="314">
      <c r="A314" s="249" t="s">
        <v>49</v>
      </c>
      <c r="B314" s="249" t="s">
        <v>10</v>
      </c>
      <c r="C314" s="219" t="s">
        <v>3157</v>
      </c>
      <c r="D314" s="268" t="s">
        <v>495</v>
      </c>
      <c r="E314" s="251">
        <v>44192.0</v>
      </c>
      <c r="F314" s="250" t="s">
        <v>496</v>
      </c>
      <c r="G314" s="171">
        <v>20.0</v>
      </c>
      <c r="H314" s="171">
        <v>25.0</v>
      </c>
      <c r="I314" s="171">
        <v>100.0</v>
      </c>
      <c r="J314" s="325">
        <f t="shared" si="14"/>
        <v>0.002859933512</v>
      </c>
      <c r="K314" s="326">
        <f t="shared" ref="K314:K318" si="28">J314*$J$1</f>
        <v>1.239304522</v>
      </c>
      <c r="L314" s="327">
        <f t="shared" si="4"/>
        <v>0.6262183348</v>
      </c>
      <c r="M314" s="321" t="str">
        <f t="shared" si="5"/>
        <v>knobsdao</v>
      </c>
      <c r="N314" s="209">
        <f>IFERROR(__xludf.DUMMYFUNCTION("""COMPUTED_VALUE"""),1.0)</f>
        <v>1</v>
      </c>
      <c r="O314" s="176"/>
      <c r="P314" s="176"/>
      <c r="Q314" s="176"/>
      <c r="R314" s="176"/>
      <c r="S314" s="176"/>
      <c r="T314" s="176"/>
      <c r="U314" s="176"/>
      <c r="V314" s="176"/>
      <c r="W314" s="176"/>
      <c r="X314" s="176"/>
      <c r="Y314" s="176"/>
      <c r="Z314" s="176"/>
    </row>
    <row r="315">
      <c r="A315" s="249" t="s">
        <v>49</v>
      </c>
      <c r="B315" s="249" t="s">
        <v>10</v>
      </c>
      <c r="C315" s="219" t="s">
        <v>3065</v>
      </c>
      <c r="D315" s="268" t="s">
        <v>495</v>
      </c>
      <c r="E315" s="251">
        <v>44192.0</v>
      </c>
      <c r="F315" s="250" t="s">
        <v>496</v>
      </c>
      <c r="G315" s="171">
        <v>30.0</v>
      </c>
      <c r="H315" s="171">
        <v>25.0</v>
      </c>
      <c r="I315" s="171">
        <v>50.0</v>
      </c>
      <c r="J315" s="325">
        <f t="shared" si="14"/>
        <v>0.00212348949</v>
      </c>
      <c r="K315" s="326">
        <f t="shared" si="28"/>
        <v>0.9201787788</v>
      </c>
      <c r="L315" s="327">
        <f t="shared" si="4"/>
        <v>0.6262183348</v>
      </c>
      <c r="M315" s="321" t="str">
        <f t="shared" si="5"/>
        <v>knobsdao</v>
      </c>
      <c r="N315" s="209">
        <f>IFERROR(__xludf.DUMMYFUNCTION("""COMPUTED_VALUE"""),2.0)</f>
        <v>2</v>
      </c>
      <c r="O315" s="176"/>
      <c r="P315" s="176"/>
      <c r="Q315" s="176"/>
      <c r="R315" s="176"/>
      <c r="S315" s="176"/>
      <c r="T315" s="176"/>
      <c r="U315" s="176"/>
      <c r="V315" s="176"/>
      <c r="W315" s="176"/>
      <c r="X315" s="176"/>
      <c r="Y315" s="176"/>
      <c r="Z315" s="176"/>
    </row>
    <row r="316">
      <c r="A316" s="249" t="s">
        <v>49</v>
      </c>
      <c r="B316" s="249" t="s">
        <v>5</v>
      </c>
      <c r="C316" s="219" t="s">
        <v>3073</v>
      </c>
      <c r="D316" s="268" t="s">
        <v>495</v>
      </c>
      <c r="E316" s="251">
        <v>44191.0</v>
      </c>
      <c r="F316" s="250" t="s">
        <v>496</v>
      </c>
      <c r="G316" s="171">
        <v>20.0</v>
      </c>
      <c r="H316" s="171">
        <v>50.0</v>
      </c>
      <c r="I316" s="171">
        <v>30.0</v>
      </c>
      <c r="J316" s="325">
        <f t="shared" si="14"/>
        <v>0.002020341274</v>
      </c>
      <c r="K316" s="326">
        <f t="shared" si="28"/>
        <v>0.8754812187</v>
      </c>
      <c r="L316" s="327">
        <f t="shared" si="4"/>
        <v>0.6262183348</v>
      </c>
      <c r="M316" s="321" t="str">
        <f t="shared" si="5"/>
        <v>knobsdao</v>
      </c>
      <c r="N316" s="209">
        <f>IFERROR(__xludf.DUMMYFUNCTION("""COMPUTED_VALUE"""),3.0)</f>
        <v>3</v>
      </c>
      <c r="O316" s="176"/>
      <c r="P316" s="176"/>
      <c r="Q316" s="176"/>
      <c r="R316" s="176"/>
      <c r="S316" s="176"/>
      <c r="T316" s="176"/>
      <c r="U316" s="176"/>
      <c r="V316" s="176"/>
      <c r="W316" s="176"/>
      <c r="X316" s="176"/>
      <c r="Y316" s="176"/>
      <c r="Z316" s="176"/>
    </row>
    <row r="317">
      <c r="A317" s="249" t="s">
        <v>49</v>
      </c>
      <c r="B317" s="249" t="s">
        <v>18</v>
      </c>
      <c r="C317" s="219" t="s">
        <v>3077</v>
      </c>
      <c r="D317" s="268" t="s">
        <v>495</v>
      </c>
      <c r="E317" s="251">
        <v>44193.0</v>
      </c>
      <c r="F317" s="250" t="s">
        <v>496</v>
      </c>
      <c r="G317" s="171">
        <v>20.0</v>
      </c>
      <c r="H317" s="171">
        <v>25.0</v>
      </c>
      <c r="I317" s="171">
        <v>25.0</v>
      </c>
      <c r="J317" s="325">
        <f t="shared" si="14"/>
        <v>0.001423151902</v>
      </c>
      <c r="K317" s="326">
        <f t="shared" si="28"/>
        <v>0.6166991577</v>
      </c>
      <c r="L317" s="327">
        <f t="shared" si="4"/>
        <v>0.6262183348</v>
      </c>
      <c r="M317" s="321" t="str">
        <f t="shared" si="5"/>
        <v>knobsdao</v>
      </c>
      <c r="N317" s="209">
        <f>IFERROR(__xludf.DUMMYFUNCTION("""COMPUTED_VALUE"""),4.0)</f>
        <v>4</v>
      </c>
      <c r="O317" s="176"/>
      <c r="P317" s="176"/>
      <c r="Q317" s="176"/>
      <c r="R317" s="176"/>
      <c r="S317" s="176"/>
      <c r="T317" s="176"/>
      <c r="U317" s="176"/>
      <c r="V317" s="176"/>
      <c r="W317" s="176"/>
      <c r="X317" s="176"/>
      <c r="Y317" s="176"/>
      <c r="Z317" s="176"/>
    </row>
    <row r="318">
      <c r="A318" s="249" t="s">
        <v>49</v>
      </c>
      <c r="B318" s="249" t="s">
        <v>590</v>
      </c>
      <c r="C318" s="219" t="s">
        <v>3078</v>
      </c>
      <c r="D318" s="268" t="s">
        <v>495</v>
      </c>
      <c r="E318" s="251">
        <v>44187.0</v>
      </c>
      <c r="F318" s="250" t="s">
        <v>496</v>
      </c>
      <c r="G318" s="171">
        <v>10.0</v>
      </c>
      <c r="H318" s="171">
        <v>25.0</v>
      </c>
      <c r="I318" s="171">
        <v>25.0</v>
      </c>
      <c r="J318" s="325">
        <f t="shared" si="14"/>
        <v>0.001201741518</v>
      </c>
      <c r="K318" s="326">
        <f t="shared" si="28"/>
        <v>0.5207546579</v>
      </c>
      <c r="L318" s="327">
        <f t="shared" si="4"/>
        <v>0.6262183348</v>
      </c>
      <c r="M318" s="321" t="str">
        <f t="shared" si="5"/>
        <v>knobsdao</v>
      </c>
      <c r="N318" s="209">
        <f>IFERROR(__xludf.DUMMYFUNCTION("""COMPUTED_VALUE"""),5.0)</f>
        <v>5</v>
      </c>
      <c r="O318" s="176"/>
      <c r="P318" s="176"/>
      <c r="Q318" s="176"/>
      <c r="R318" s="176"/>
      <c r="S318" s="176"/>
      <c r="T318" s="176"/>
      <c r="U318" s="176"/>
      <c r="V318" s="176"/>
      <c r="W318" s="176"/>
      <c r="X318" s="176"/>
      <c r="Y318" s="176"/>
      <c r="Z318" s="176"/>
    </row>
    <row r="319">
      <c r="A319" s="240" t="s">
        <v>49</v>
      </c>
      <c r="B319" s="240" t="s">
        <v>534</v>
      </c>
      <c r="C319" s="221" t="s">
        <v>684</v>
      </c>
      <c r="D319" s="336"/>
      <c r="E319" s="255"/>
      <c r="F319" s="254"/>
      <c r="G319" s="222"/>
      <c r="H319" s="222"/>
      <c r="I319" s="222"/>
      <c r="J319" s="325">
        <f t="shared" si="14"/>
        <v>0</v>
      </c>
      <c r="K319" s="337">
        <f>4.172*-0.85</f>
        <v>-3.5462</v>
      </c>
      <c r="L319" s="327">
        <f t="shared" si="4"/>
        <v>0.6262183348</v>
      </c>
      <c r="M319" s="321" t="str">
        <f t="shared" si="5"/>
        <v>knobsdao</v>
      </c>
      <c r="N319" s="209">
        <f>IFERROR(__xludf.DUMMYFUNCTION("""COMPUTED_VALUE"""),6.0)</f>
        <v>6</v>
      </c>
      <c r="O319" s="209"/>
      <c r="P319" s="209"/>
      <c r="Q319" s="209"/>
      <c r="R319" s="209">
        <v>15.224018051145396</v>
      </c>
      <c r="S319" s="209"/>
      <c r="T319" s="209"/>
      <c r="U319" s="209"/>
      <c r="V319" s="209"/>
      <c r="W319" s="209"/>
      <c r="X319" s="209"/>
      <c r="Y319" s="176"/>
      <c r="Z319" s="176"/>
    </row>
    <row r="320">
      <c r="A320" s="249" t="s">
        <v>34</v>
      </c>
      <c r="B320" s="249" t="s">
        <v>519</v>
      </c>
      <c r="C320" s="219" t="s">
        <v>3067</v>
      </c>
      <c r="D320" s="268" t="s">
        <v>495</v>
      </c>
      <c r="E320" s="251">
        <v>44188.0</v>
      </c>
      <c r="F320" s="250" t="s">
        <v>499</v>
      </c>
      <c r="G320" s="171">
        <v>20.0</v>
      </c>
      <c r="H320" s="171">
        <v>25.0</v>
      </c>
      <c r="I320" s="171">
        <v>25.0</v>
      </c>
      <c r="J320" s="325">
        <f t="shared" si="14"/>
        <v>0.001423151902</v>
      </c>
      <c r="K320" s="326">
        <f t="shared" ref="K320:K354" si="29">J320*$J$1</f>
        <v>0.6166991577</v>
      </c>
      <c r="L320" s="327">
        <f t="shared" si="4"/>
        <v>0.6166991577</v>
      </c>
      <c r="M320" s="321" t="str">
        <f t="shared" si="5"/>
        <v>xgabi</v>
      </c>
      <c r="N320" s="209">
        <f>IFERROR(__xludf.DUMMYFUNCTION("""COMPUTED_VALUE"""),1.0)</f>
        <v>1</v>
      </c>
      <c r="O320" s="176"/>
      <c r="P320" s="176"/>
      <c r="Q320" s="176"/>
      <c r="R320" s="176"/>
      <c r="S320" s="176"/>
      <c r="T320" s="176"/>
      <c r="U320" s="176"/>
      <c r="V320" s="176"/>
      <c r="W320" s="176"/>
      <c r="X320" s="176"/>
      <c r="Y320" s="176"/>
      <c r="Z320" s="176"/>
    </row>
    <row r="321">
      <c r="A321" s="249" t="s">
        <v>114</v>
      </c>
      <c r="B321" s="249" t="s">
        <v>519</v>
      </c>
      <c r="C321" s="219" t="s">
        <v>3067</v>
      </c>
      <c r="D321" s="268" t="s">
        <v>495</v>
      </c>
      <c r="E321" s="251">
        <v>44188.0</v>
      </c>
      <c r="F321" s="250" t="s">
        <v>499</v>
      </c>
      <c r="G321" s="171">
        <v>20.0</v>
      </c>
      <c r="H321" s="171">
        <v>25.0</v>
      </c>
      <c r="I321" s="171">
        <v>25.0</v>
      </c>
      <c r="J321" s="325">
        <f t="shared" si="14"/>
        <v>0.001423151902</v>
      </c>
      <c r="K321" s="326">
        <f t="shared" si="29"/>
        <v>0.6166991577</v>
      </c>
      <c r="L321" s="327">
        <f t="shared" si="4"/>
        <v>0.6166991577</v>
      </c>
      <c r="M321" s="321" t="str">
        <f t="shared" si="5"/>
        <v>existenialstoic</v>
      </c>
      <c r="N321" s="209">
        <f>IFERROR(__xludf.DUMMYFUNCTION("""COMPUTED_VALUE"""),1.0)</f>
        <v>1</v>
      </c>
      <c r="O321" s="176"/>
      <c r="P321" s="176"/>
      <c r="Q321" s="176"/>
      <c r="R321" s="176"/>
      <c r="S321" s="176"/>
      <c r="T321" s="176"/>
      <c r="U321" s="176"/>
      <c r="V321" s="176"/>
      <c r="W321" s="176"/>
      <c r="X321" s="176"/>
      <c r="Y321" s="176"/>
      <c r="Z321" s="176"/>
    </row>
    <row r="322">
      <c r="A322" s="249" t="s">
        <v>147</v>
      </c>
      <c r="B322" s="249" t="s">
        <v>519</v>
      </c>
      <c r="C322" s="219" t="s">
        <v>3067</v>
      </c>
      <c r="D322" s="268" t="s">
        <v>495</v>
      </c>
      <c r="E322" s="251">
        <v>44188.0</v>
      </c>
      <c r="F322" s="250" t="s">
        <v>499</v>
      </c>
      <c r="G322" s="171">
        <v>20.0</v>
      </c>
      <c r="H322" s="171">
        <v>25.0</v>
      </c>
      <c r="I322" s="171">
        <v>25.0</v>
      </c>
      <c r="J322" s="325">
        <f t="shared" si="14"/>
        <v>0.001423151902</v>
      </c>
      <c r="K322" s="326">
        <f t="shared" si="29"/>
        <v>0.6166991577</v>
      </c>
      <c r="L322" s="327">
        <f t="shared" si="4"/>
        <v>0.6166991577</v>
      </c>
      <c r="M322" s="321" t="str">
        <f t="shared" si="5"/>
        <v>castall</v>
      </c>
      <c r="N322" s="209">
        <f>IFERROR(__xludf.DUMMYFUNCTION("""COMPUTED_VALUE"""),1.0)</f>
        <v>1</v>
      </c>
      <c r="O322" s="176"/>
      <c r="P322" s="176"/>
      <c r="Q322" s="176"/>
      <c r="R322" s="176"/>
      <c r="S322" s="176"/>
      <c r="T322" s="176"/>
      <c r="U322" s="176"/>
      <c r="V322" s="176"/>
      <c r="W322" s="176"/>
      <c r="X322" s="176"/>
      <c r="Y322" s="176"/>
      <c r="Z322" s="176"/>
    </row>
    <row r="323">
      <c r="A323" s="249" t="s">
        <v>348</v>
      </c>
      <c r="B323" s="249" t="s">
        <v>519</v>
      </c>
      <c r="C323" s="219" t="s">
        <v>3067</v>
      </c>
      <c r="D323" s="268" t="s">
        <v>495</v>
      </c>
      <c r="E323" s="251">
        <v>44188.0</v>
      </c>
      <c r="F323" s="250" t="s">
        <v>499</v>
      </c>
      <c r="G323" s="171">
        <v>20.0</v>
      </c>
      <c r="H323" s="171">
        <v>25.0</v>
      </c>
      <c r="I323" s="171">
        <v>25.0</v>
      </c>
      <c r="J323" s="325">
        <f t="shared" si="14"/>
        <v>0.001423151902</v>
      </c>
      <c r="K323" s="326">
        <f t="shared" si="29"/>
        <v>0.6166991577</v>
      </c>
      <c r="L323" s="327">
        <f t="shared" si="4"/>
        <v>0.6166991577</v>
      </c>
      <c r="M323" s="321" t="str">
        <f t="shared" si="5"/>
        <v>benjaminaaron</v>
      </c>
      <c r="N323" s="209">
        <f>IFERROR(__xludf.DUMMYFUNCTION("""COMPUTED_VALUE"""),1.0)</f>
        <v>1</v>
      </c>
      <c r="O323" s="176"/>
      <c r="P323" s="176"/>
      <c r="Q323" s="176"/>
      <c r="R323" s="176"/>
      <c r="S323" s="176"/>
      <c r="T323" s="176"/>
      <c r="U323" s="176"/>
      <c r="V323" s="176"/>
      <c r="W323" s="176"/>
      <c r="X323" s="176"/>
      <c r="Y323" s="176"/>
      <c r="Z323" s="176"/>
    </row>
    <row r="324">
      <c r="A324" s="249" t="s">
        <v>86</v>
      </c>
      <c r="B324" s="249" t="s">
        <v>519</v>
      </c>
      <c r="C324" s="219" t="s">
        <v>3067</v>
      </c>
      <c r="D324" s="268" t="s">
        <v>495</v>
      </c>
      <c r="E324" s="251">
        <v>44188.0</v>
      </c>
      <c r="F324" s="250" t="s">
        <v>499</v>
      </c>
      <c r="G324" s="171">
        <v>20.0</v>
      </c>
      <c r="H324" s="171">
        <v>25.0</v>
      </c>
      <c r="I324" s="171">
        <v>25.0</v>
      </c>
      <c r="J324" s="325">
        <f t="shared" si="14"/>
        <v>0.001423151902</v>
      </c>
      <c r="K324" s="326">
        <f t="shared" si="29"/>
        <v>0.6166991577</v>
      </c>
      <c r="L324" s="327">
        <f t="shared" si="4"/>
        <v>0.6166991577</v>
      </c>
      <c r="M324" s="321" t="str">
        <f t="shared" si="5"/>
        <v>misterboyfriend</v>
      </c>
      <c r="N324" s="209">
        <f>IFERROR(__xludf.DUMMYFUNCTION("""COMPUTED_VALUE"""),1.0)</f>
        <v>1</v>
      </c>
      <c r="O324" s="176"/>
      <c r="P324" s="176"/>
      <c r="Q324" s="176"/>
      <c r="R324" s="176"/>
      <c r="S324" s="176"/>
      <c r="T324" s="176"/>
      <c r="U324" s="176"/>
      <c r="V324" s="176"/>
      <c r="W324" s="176"/>
      <c r="X324" s="176"/>
      <c r="Y324" s="176"/>
      <c r="Z324" s="176"/>
    </row>
    <row r="325">
      <c r="A325" s="249" t="s">
        <v>347</v>
      </c>
      <c r="B325" s="249" t="s">
        <v>519</v>
      </c>
      <c r="C325" s="219" t="s">
        <v>3067</v>
      </c>
      <c r="D325" s="268" t="s">
        <v>495</v>
      </c>
      <c r="E325" s="251">
        <v>44188.0</v>
      </c>
      <c r="F325" s="250" t="s">
        <v>499</v>
      </c>
      <c r="G325" s="171">
        <v>20.0</v>
      </c>
      <c r="H325" s="171">
        <v>25.0</v>
      </c>
      <c r="I325" s="171">
        <v>25.0</v>
      </c>
      <c r="J325" s="325">
        <f t="shared" si="14"/>
        <v>0.001423151902</v>
      </c>
      <c r="K325" s="326">
        <f t="shared" si="29"/>
        <v>0.6166991577</v>
      </c>
      <c r="L325" s="327">
        <f t="shared" si="4"/>
        <v>0.6166991577</v>
      </c>
      <c r="M325" s="321" t="str">
        <f t="shared" si="5"/>
        <v>bradym</v>
      </c>
      <c r="N325" s="209">
        <f>IFERROR(__xludf.DUMMYFUNCTION("""COMPUTED_VALUE"""),1.0)</f>
        <v>1</v>
      </c>
      <c r="O325" s="176"/>
      <c r="P325" s="176"/>
      <c r="Q325" s="176"/>
      <c r="R325" s="176"/>
      <c r="S325" s="176"/>
      <c r="T325" s="176"/>
      <c r="U325" s="176"/>
      <c r="V325" s="176"/>
      <c r="W325" s="176"/>
      <c r="X325" s="176"/>
      <c r="Y325" s="176"/>
      <c r="Z325" s="176"/>
    </row>
    <row r="326">
      <c r="A326" s="249" t="s">
        <v>24</v>
      </c>
      <c r="B326" s="249" t="s">
        <v>519</v>
      </c>
      <c r="C326" s="219" t="s">
        <v>3067</v>
      </c>
      <c r="D326" s="268" t="s">
        <v>495</v>
      </c>
      <c r="E326" s="251">
        <v>44188.0</v>
      </c>
      <c r="F326" s="250" t="s">
        <v>499</v>
      </c>
      <c r="G326" s="171">
        <v>20.0</v>
      </c>
      <c r="H326" s="171">
        <v>25.0</v>
      </c>
      <c r="I326" s="171">
        <v>25.0</v>
      </c>
      <c r="J326" s="325">
        <f t="shared" si="14"/>
        <v>0.001423151902</v>
      </c>
      <c r="K326" s="326">
        <f t="shared" si="29"/>
        <v>0.6166991577</v>
      </c>
      <c r="L326" s="327">
        <f t="shared" si="4"/>
        <v>0.6166991577</v>
      </c>
      <c r="M326" s="321" t="str">
        <f t="shared" si="5"/>
        <v>danlessa</v>
      </c>
      <c r="N326" s="209">
        <f>IFERROR(__xludf.DUMMYFUNCTION("""COMPUTED_VALUE"""),1.0)</f>
        <v>1</v>
      </c>
      <c r="O326" s="176"/>
      <c r="P326" s="176"/>
      <c r="Q326" s="176"/>
      <c r="R326" s="176"/>
      <c r="S326" s="176"/>
      <c r="T326" s="176"/>
      <c r="U326" s="176"/>
      <c r="V326" s="176"/>
      <c r="W326" s="176"/>
      <c r="X326" s="176"/>
      <c r="Y326" s="176"/>
      <c r="Z326" s="176"/>
    </row>
    <row r="327">
      <c r="A327" s="249" t="s">
        <v>346</v>
      </c>
      <c r="B327" s="249" t="s">
        <v>519</v>
      </c>
      <c r="C327" s="219" t="s">
        <v>3067</v>
      </c>
      <c r="D327" s="268" t="s">
        <v>495</v>
      </c>
      <c r="E327" s="251">
        <v>44188.0</v>
      </c>
      <c r="F327" s="250" t="s">
        <v>499</v>
      </c>
      <c r="G327" s="171">
        <v>20.0</v>
      </c>
      <c r="H327" s="171">
        <v>25.0</v>
      </c>
      <c r="I327" s="171">
        <v>25.0</v>
      </c>
      <c r="J327" s="325">
        <f t="shared" si="14"/>
        <v>0.001423151902</v>
      </c>
      <c r="K327" s="326">
        <f t="shared" si="29"/>
        <v>0.6166991577</v>
      </c>
      <c r="L327" s="327">
        <f t="shared" si="4"/>
        <v>0.6166991577</v>
      </c>
      <c r="M327" s="321" t="str">
        <f t="shared" si="5"/>
        <v>dazuck</v>
      </c>
      <c r="N327" s="209">
        <f>IFERROR(__xludf.DUMMYFUNCTION("""COMPUTED_VALUE"""),1.0)</f>
        <v>1</v>
      </c>
      <c r="O327" s="176"/>
      <c r="P327" s="176"/>
      <c r="Q327" s="176"/>
      <c r="R327" s="176"/>
      <c r="S327" s="176"/>
      <c r="T327" s="176"/>
      <c r="U327" s="176"/>
      <c r="V327" s="176"/>
      <c r="W327" s="176"/>
      <c r="X327" s="176"/>
      <c r="Y327" s="176"/>
      <c r="Z327" s="176"/>
    </row>
    <row r="328">
      <c r="A328" s="249" t="s">
        <v>345</v>
      </c>
      <c r="B328" s="249" t="s">
        <v>519</v>
      </c>
      <c r="C328" s="219" t="s">
        <v>3067</v>
      </c>
      <c r="D328" s="268" t="s">
        <v>495</v>
      </c>
      <c r="E328" s="251">
        <v>44188.0</v>
      </c>
      <c r="F328" s="250" t="s">
        <v>499</v>
      </c>
      <c r="G328" s="171">
        <v>20.0</v>
      </c>
      <c r="H328" s="171">
        <v>25.0</v>
      </c>
      <c r="I328" s="171">
        <v>25.0</v>
      </c>
      <c r="J328" s="325">
        <f t="shared" si="14"/>
        <v>0.001423151902</v>
      </c>
      <c r="K328" s="326">
        <f t="shared" si="29"/>
        <v>0.6166991577</v>
      </c>
      <c r="L328" s="327">
        <f t="shared" si="4"/>
        <v>0.6166991577</v>
      </c>
      <c r="M328" s="321" t="str">
        <f t="shared" si="5"/>
        <v>eduadiez</v>
      </c>
      <c r="N328" s="209">
        <f>IFERROR(__xludf.DUMMYFUNCTION("""COMPUTED_VALUE"""),1.0)</f>
        <v>1</v>
      </c>
      <c r="O328" s="176"/>
      <c r="P328" s="176"/>
      <c r="Q328" s="176"/>
      <c r="R328" s="176"/>
      <c r="S328" s="176"/>
      <c r="T328" s="176"/>
      <c r="U328" s="176"/>
      <c r="V328" s="176"/>
      <c r="W328" s="176"/>
      <c r="X328" s="176"/>
      <c r="Y328" s="176"/>
      <c r="Z328" s="176"/>
    </row>
    <row r="329">
      <c r="A329" s="249" t="s">
        <v>82</v>
      </c>
      <c r="B329" s="249" t="s">
        <v>519</v>
      </c>
      <c r="C329" s="219" t="s">
        <v>3067</v>
      </c>
      <c r="D329" s="268" t="s">
        <v>495</v>
      </c>
      <c r="E329" s="251">
        <v>44188.0</v>
      </c>
      <c r="F329" s="250" t="s">
        <v>499</v>
      </c>
      <c r="G329" s="171">
        <v>20.0</v>
      </c>
      <c r="H329" s="171">
        <v>25.0</v>
      </c>
      <c r="I329" s="171">
        <v>25.0</v>
      </c>
      <c r="J329" s="325">
        <f t="shared" si="14"/>
        <v>0.001423151902</v>
      </c>
      <c r="K329" s="326">
        <f t="shared" si="29"/>
        <v>0.6166991577</v>
      </c>
      <c r="L329" s="327">
        <f t="shared" si="4"/>
        <v>0.6166991577</v>
      </c>
      <c r="M329" s="321" t="str">
        <f t="shared" si="5"/>
        <v>elihanover</v>
      </c>
      <c r="N329" s="209">
        <f>IFERROR(__xludf.DUMMYFUNCTION("""COMPUTED_VALUE"""),1.0)</f>
        <v>1</v>
      </c>
      <c r="O329" s="176"/>
      <c r="P329" s="176"/>
      <c r="Q329" s="176"/>
      <c r="R329" s="176"/>
      <c r="S329" s="176"/>
      <c r="T329" s="176"/>
      <c r="U329" s="176"/>
      <c r="V329" s="176"/>
      <c r="W329" s="176"/>
      <c r="X329" s="176"/>
      <c r="Y329" s="176"/>
      <c r="Z329" s="176"/>
    </row>
    <row r="330">
      <c r="A330" s="249" t="s">
        <v>344</v>
      </c>
      <c r="B330" s="249" t="s">
        <v>519</v>
      </c>
      <c r="C330" s="219" t="s">
        <v>3067</v>
      </c>
      <c r="D330" s="268" t="s">
        <v>495</v>
      </c>
      <c r="E330" s="251">
        <v>44188.0</v>
      </c>
      <c r="F330" s="250" t="s">
        <v>499</v>
      </c>
      <c r="G330" s="171">
        <v>20.0</v>
      </c>
      <c r="H330" s="171">
        <v>25.0</v>
      </c>
      <c r="I330" s="171">
        <v>25.0</v>
      </c>
      <c r="J330" s="325">
        <f t="shared" si="14"/>
        <v>0.001423151902</v>
      </c>
      <c r="K330" s="326">
        <f t="shared" si="29"/>
        <v>0.6166991577</v>
      </c>
      <c r="L330" s="327">
        <f t="shared" si="4"/>
        <v>0.6166991577</v>
      </c>
      <c r="M330" s="321" t="str">
        <f t="shared" si="5"/>
        <v>erikbjare</v>
      </c>
      <c r="N330" s="209">
        <f>IFERROR(__xludf.DUMMYFUNCTION("""COMPUTED_VALUE"""),1.0)</f>
        <v>1</v>
      </c>
      <c r="O330" s="176"/>
      <c r="P330" s="176"/>
      <c r="Q330" s="176"/>
      <c r="R330" s="176"/>
      <c r="S330" s="176"/>
      <c r="T330" s="176"/>
      <c r="U330" s="176"/>
      <c r="V330" s="176"/>
      <c r="W330" s="176"/>
      <c r="X330" s="176"/>
      <c r="Y330" s="176"/>
      <c r="Z330" s="176"/>
    </row>
    <row r="331">
      <c r="A331" s="249" t="s">
        <v>232</v>
      </c>
      <c r="B331" s="249" t="s">
        <v>519</v>
      </c>
      <c r="C331" s="219" t="s">
        <v>3067</v>
      </c>
      <c r="D331" s="268" t="s">
        <v>495</v>
      </c>
      <c r="E331" s="251">
        <v>44188.0</v>
      </c>
      <c r="F331" s="250" t="s">
        <v>499</v>
      </c>
      <c r="G331" s="171">
        <v>20.0</v>
      </c>
      <c r="H331" s="171">
        <v>25.0</v>
      </c>
      <c r="I331" s="171">
        <v>25.0</v>
      </c>
      <c r="J331" s="325">
        <f t="shared" si="14"/>
        <v>0.001423151902</v>
      </c>
      <c r="K331" s="326">
        <f t="shared" si="29"/>
        <v>0.6166991577</v>
      </c>
      <c r="L331" s="327">
        <f t="shared" si="4"/>
        <v>0.6166991577</v>
      </c>
      <c r="M331" s="321" t="str">
        <f t="shared" si="5"/>
        <v>ferdinandrg</v>
      </c>
      <c r="N331" s="209">
        <f>IFERROR(__xludf.DUMMYFUNCTION("""COMPUTED_VALUE"""),1.0)</f>
        <v>1</v>
      </c>
      <c r="O331" s="176"/>
      <c r="P331" s="176"/>
      <c r="Q331" s="176"/>
      <c r="R331" s="176"/>
      <c r="S331" s="176"/>
      <c r="T331" s="176"/>
      <c r="U331" s="176"/>
      <c r="V331" s="176"/>
      <c r="W331" s="176"/>
      <c r="X331" s="176"/>
      <c r="Y331" s="176"/>
      <c r="Z331" s="176"/>
    </row>
    <row r="332">
      <c r="A332" s="249" t="s">
        <v>54</v>
      </c>
      <c r="B332" s="249" t="s">
        <v>519</v>
      </c>
      <c r="C332" s="219" t="s">
        <v>3067</v>
      </c>
      <c r="D332" s="268" t="s">
        <v>495</v>
      </c>
      <c r="E332" s="251">
        <v>44188.0</v>
      </c>
      <c r="F332" s="250" t="s">
        <v>499</v>
      </c>
      <c r="G332" s="171">
        <v>20.0</v>
      </c>
      <c r="H332" s="171">
        <v>25.0</v>
      </c>
      <c r="I332" s="171">
        <v>25.0</v>
      </c>
      <c r="J332" s="325">
        <f t="shared" si="14"/>
        <v>0.001423151902</v>
      </c>
      <c r="K332" s="326">
        <f t="shared" si="29"/>
        <v>0.6166991577</v>
      </c>
      <c r="L332" s="327">
        <f t="shared" si="4"/>
        <v>0.6166991577</v>
      </c>
      <c r="M332" s="321" t="str">
        <f t="shared" si="5"/>
        <v>hbesso31</v>
      </c>
      <c r="N332" s="209">
        <f>IFERROR(__xludf.DUMMYFUNCTION("""COMPUTED_VALUE"""),1.0)</f>
        <v>1</v>
      </c>
      <c r="O332" s="176"/>
      <c r="P332" s="176"/>
      <c r="Q332" s="176"/>
      <c r="R332" s="176"/>
      <c r="S332" s="176"/>
      <c r="T332" s="176"/>
      <c r="U332" s="176"/>
      <c r="V332" s="176"/>
      <c r="W332" s="176"/>
      <c r="X332" s="176"/>
      <c r="Y332" s="176"/>
      <c r="Z332" s="176"/>
    </row>
    <row r="333">
      <c r="A333" s="249" t="s">
        <v>342</v>
      </c>
      <c r="B333" s="249" t="s">
        <v>519</v>
      </c>
      <c r="C333" s="219" t="s">
        <v>3067</v>
      </c>
      <c r="D333" s="268" t="s">
        <v>495</v>
      </c>
      <c r="E333" s="251">
        <v>44188.0</v>
      </c>
      <c r="F333" s="250" t="s">
        <v>499</v>
      </c>
      <c r="G333" s="171">
        <v>20.0</v>
      </c>
      <c r="H333" s="171">
        <v>25.0</v>
      </c>
      <c r="I333" s="171">
        <v>25.0</v>
      </c>
      <c r="J333" s="325">
        <f t="shared" si="14"/>
        <v>0.001423151902</v>
      </c>
      <c r="K333" s="326">
        <f t="shared" si="29"/>
        <v>0.6166991577</v>
      </c>
      <c r="L333" s="327">
        <f t="shared" si="4"/>
        <v>0.6166991577</v>
      </c>
      <c r="M333" s="321" t="str">
        <f t="shared" si="5"/>
        <v>jimbobbins</v>
      </c>
      <c r="N333" s="209">
        <f>IFERROR(__xludf.DUMMYFUNCTION("""COMPUTED_VALUE"""),1.0)</f>
        <v>1</v>
      </c>
      <c r="O333" s="176"/>
      <c r="P333" s="176"/>
      <c r="Q333" s="176"/>
      <c r="R333" s="176"/>
      <c r="S333" s="176"/>
      <c r="T333" s="176"/>
      <c r="U333" s="176"/>
      <c r="V333" s="176"/>
      <c r="W333" s="176"/>
      <c r="X333" s="176"/>
      <c r="Y333" s="176"/>
      <c r="Z333" s="176"/>
    </row>
    <row r="334">
      <c r="A334" s="249" t="s">
        <v>261</v>
      </c>
      <c r="B334" s="249" t="s">
        <v>519</v>
      </c>
      <c r="C334" s="219" t="s">
        <v>3067</v>
      </c>
      <c r="D334" s="268" t="s">
        <v>495</v>
      </c>
      <c r="E334" s="251">
        <v>44188.0</v>
      </c>
      <c r="F334" s="250" t="s">
        <v>499</v>
      </c>
      <c r="G334" s="171">
        <v>20.0</v>
      </c>
      <c r="H334" s="171">
        <v>25.0</v>
      </c>
      <c r="I334" s="171">
        <v>25.0</v>
      </c>
      <c r="J334" s="325">
        <f t="shared" si="14"/>
        <v>0.001423151902</v>
      </c>
      <c r="K334" s="326">
        <f t="shared" si="29"/>
        <v>0.6166991577</v>
      </c>
      <c r="L334" s="327">
        <f t="shared" si="4"/>
        <v>0.6166991577</v>
      </c>
      <c r="M334" s="321" t="str">
        <f t="shared" si="5"/>
        <v>jasselnorm</v>
      </c>
      <c r="N334" s="209">
        <f>IFERROR(__xludf.DUMMYFUNCTION("""COMPUTED_VALUE"""),1.0)</f>
        <v>1</v>
      </c>
      <c r="O334" s="176"/>
      <c r="P334" s="176"/>
      <c r="Q334" s="176"/>
      <c r="R334" s="176"/>
      <c r="S334" s="176"/>
      <c r="T334" s="176"/>
      <c r="U334" s="176"/>
      <c r="V334" s="176"/>
      <c r="W334" s="176"/>
      <c r="X334" s="176"/>
      <c r="Y334" s="176"/>
      <c r="Z334" s="176"/>
    </row>
    <row r="335">
      <c r="A335" s="249" t="s">
        <v>343</v>
      </c>
      <c r="B335" s="249" t="s">
        <v>519</v>
      </c>
      <c r="C335" s="219" t="s">
        <v>3067</v>
      </c>
      <c r="D335" s="268" t="s">
        <v>495</v>
      </c>
      <c r="E335" s="251">
        <v>44188.0</v>
      </c>
      <c r="F335" s="250" t="s">
        <v>499</v>
      </c>
      <c r="G335" s="171">
        <v>20.0</v>
      </c>
      <c r="H335" s="171">
        <v>25.0</v>
      </c>
      <c r="I335" s="171">
        <v>25.0</v>
      </c>
      <c r="J335" s="325">
        <f t="shared" si="14"/>
        <v>0.001423151902</v>
      </c>
      <c r="K335" s="326">
        <f t="shared" si="29"/>
        <v>0.6166991577</v>
      </c>
      <c r="L335" s="327">
        <f t="shared" si="4"/>
        <v>0.6166991577</v>
      </c>
      <c r="M335" s="321" t="str">
        <f t="shared" si="5"/>
        <v>jamiepitts</v>
      </c>
      <c r="N335" s="209">
        <f>IFERROR(__xludf.DUMMYFUNCTION("""COMPUTED_VALUE"""),1.0)</f>
        <v>1</v>
      </c>
      <c r="O335" s="176"/>
      <c r="P335" s="176"/>
      <c r="Q335" s="176"/>
      <c r="R335" s="176"/>
      <c r="S335" s="176"/>
      <c r="T335" s="176"/>
      <c r="U335" s="176"/>
      <c r="V335" s="176"/>
      <c r="W335" s="176"/>
      <c r="X335" s="176"/>
      <c r="Y335" s="176"/>
      <c r="Z335" s="176"/>
    </row>
    <row r="336">
      <c r="A336" s="249" t="s">
        <v>77</v>
      </c>
      <c r="B336" s="249" t="s">
        <v>519</v>
      </c>
      <c r="C336" s="219" t="s">
        <v>3067</v>
      </c>
      <c r="D336" s="268" t="s">
        <v>495</v>
      </c>
      <c r="E336" s="251">
        <v>44188.0</v>
      </c>
      <c r="F336" s="250" t="s">
        <v>499</v>
      </c>
      <c r="G336" s="171">
        <v>20.0</v>
      </c>
      <c r="H336" s="171">
        <v>25.0</v>
      </c>
      <c r="I336" s="171">
        <v>25.0</v>
      </c>
      <c r="J336" s="325">
        <f t="shared" si="14"/>
        <v>0.001423151902</v>
      </c>
      <c r="K336" s="326">
        <f t="shared" si="29"/>
        <v>0.6166991577</v>
      </c>
      <c r="L336" s="327">
        <f t="shared" si="4"/>
        <v>0.6166991577</v>
      </c>
      <c r="M336" s="321" t="str">
        <f t="shared" si="5"/>
        <v>krrisis</v>
      </c>
      <c r="N336" s="209">
        <f>IFERROR(__xludf.DUMMYFUNCTION("""COMPUTED_VALUE"""),1.0)</f>
        <v>1</v>
      </c>
      <c r="O336" s="176"/>
      <c r="P336" s="176"/>
      <c r="Q336" s="176"/>
      <c r="R336" s="176"/>
      <c r="S336" s="176"/>
      <c r="T336" s="176"/>
      <c r="U336" s="176"/>
      <c r="V336" s="176"/>
      <c r="W336" s="176"/>
      <c r="X336" s="176"/>
      <c r="Y336" s="176"/>
      <c r="Z336" s="176"/>
    </row>
    <row r="337">
      <c r="A337" s="249" t="s">
        <v>272</v>
      </c>
      <c r="B337" s="249" t="s">
        <v>519</v>
      </c>
      <c r="C337" s="219" t="s">
        <v>3067</v>
      </c>
      <c r="D337" s="268" t="s">
        <v>495</v>
      </c>
      <c r="E337" s="251">
        <v>44188.0</v>
      </c>
      <c r="F337" s="250" t="s">
        <v>499</v>
      </c>
      <c r="G337" s="171">
        <v>20.0</v>
      </c>
      <c r="H337" s="171">
        <v>25.0</v>
      </c>
      <c r="I337" s="171">
        <v>25.0</v>
      </c>
      <c r="J337" s="325">
        <f t="shared" si="14"/>
        <v>0.001423151902</v>
      </c>
      <c r="K337" s="326">
        <f t="shared" si="29"/>
        <v>0.6166991577</v>
      </c>
      <c r="L337" s="327">
        <f t="shared" si="4"/>
        <v>0.6166991577</v>
      </c>
      <c r="M337" s="321" t="str">
        <f t="shared" si="5"/>
        <v>lalogarza</v>
      </c>
      <c r="N337" s="209">
        <f>IFERROR(__xludf.DUMMYFUNCTION("""COMPUTED_VALUE"""),1.0)</f>
        <v>1</v>
      </c>
      <c r="O337" s="176"/>
      <c r="P337" s="176"/>
      <c r="Q337" s="176"/>
      <c r="R337" s="176"/>
      <c r="S337" s="176"/>
      <c r="T337" s="176"/>
      <c r="U337" s="176"/>
      <c r="V337" s="176"/>
      <c r="W337" s="176"/>
      <c r="X337" s="176"/>
      <c r="Y337" s="176"/>
      <c r="Z337" s="176"/>
    </row>
    <row r="338">
      <c r="A338" s="249" t="s">
        <v>19</v>
      </c>
      <c r="B338" s="249" t="s">
        <v>519</v>
      </c>
      <c r="C338" s="219" t="s">
        <v>3067</v>
      </c>
      <c r="D338" s="268" t="s">
        <v>495</v>
      </c>
      <c r="E338" s="251">
        <v>44188.0</v>
      </c>
      <c r="F338" s="250" t="s">
        <v>499</v>
      </c>
      <c r="G338" s="171">
        <v>20.0</v>
      </c>
      <c r="H338" s="171">
        <v>25.0</v>
      </c>
      <c r="I338" s="171">
        <v>25.0</v>
      </c>
      <c r="J338" s="325">
        <f t="shared" si="14"/>
        <v>0.001423151902</v>
      </c>
      <c r="K338" s="326">
        <f t="shared" si="29"/>
        <v>0.6166991577</v>
      </c>
      <c r="L338" s="327">
        <f t="shared" si="4"/>
        <v>0.6166991577</v>
      </c>
      <c r="M338" s="321" t="str">
        <f t="shared" si="5"/>
        <v>mzargham</v>
      </c>
      <c r="N338" s="209">
        <f>IFERROR(__xludf.DUMMYFUNCTION("""COMPUTED_VALUE"""),1.0)</f>
        <v>1</v>
      </c>
      <c r="O338" s="176"/>
      <c r="P338" s="176"/>
      <c r="Q338" s="176"/>
      <c r="R338" s="176"/>
      <c r="S338" s="176"/>
      <c r="T338" s="176"/>
      <c r="U338" s="176"/>
      <c r="V338" s="176"/>
      <c r="W338" s="176"/>
      <c r="X338" s="176"/>
      <c r="Y338" s="176"/>
      <c r="Z338" s="176"/>
    </row>
    <row r="339">
      <c r="A339" s="249" t="s">
        <v>155</v>
      </c>
      <c r="B339" s="249" t="s">
        <v>519</v>
      </c>
      <c r="C339" s="219" t="s">
        <v>3067</v>
      </c>
      <c r="D339" s="268" t="s">
        <v>495</v>
      </c>
      <c r="E339" s="251">
        <v>44188.0</v>
      </c>
      <c r="F339" s="250" t="s">
        <v>499</v>
      </c>
      <c r="G339" s="171">
        <v>20.0</v>
      </c>
      <c r="H339" s="171">
        <v>25.0</v>
      </c>
      <c r="I339" s="171">
        <v>25.0</v>
      </c>
      <c r="J339" s="325">
        <f t="shared" si="14"/>
        <v>0.001423151902</v>
      </c>
      <c r="K339" s="326">
        <f t="shared" si="29"/>
        <v>0.6166991577</v>
      </c>
      <c r="L339" s="327">
        <f t="shared" si="4"/>
        <v>0.6166991577</v>
      </c>
      <c r="M339" s="321" t="str">
        <f t="shared" si="5"/>
        <v>nukemandan</v>
      </c>
      <c r="N339" s="209">
        <f>IFERROR(__xludf.DUMMYFUNCTION("""COMPUTED_VALUE"""),1.0)</f>
        <v>1</v>
      </c>
      <c r="O339" s="176"/>
      <c r="P339" s="176"/>
      <c r="Q339" s="176"/>
      <c r="R339" s="176"/>
      <c r="S339" s="176"/>
      <c r="T339" s="176"/>
      <c r="U339" s="176"/>
      <c r="V339" s="176"/>
      <c r="W339" s="176"/>
      <c r="X339" s="176"/>
      <c r="Y339" s="176"/>
      <c r="Z339" s="176"/>
    </row>
    <row r="340">
      <c r="A340" s="249" t="s">
        <v>201</v>
      </c>
      <c r="B340" s="249" t="s">
        <v>519</v>
      </c>
      <c r="C340" s="219" t="s">
        <v>3067</v>
      </c>
      <c r="D340" s="268" t="s">
        <v>495</v>
      </c>
      <c r="E340" s="251">
        <v>44188.0</v>
      </c>
      <c r="F340" s="250" t="s">
        <v>499</v>
      </c>
      <c r="G340" s="171">
        <v>20.0</v>
      </c>
      <c r="H340" s="171">
        <v>25.0</v>
      </c>
      <c r="I340" s="171">
        <v>25.0</v>
      </c>
      <c r="J340" s="325">
        <f t="shared" si="14"/>
        <v>0.001423151902</v>
      </c>
      <c r="K340" s="326">
        <f t="shared" si="29"/>
        <v>0.6166991577</v>
      </c>
      <c r="L340" s="327">
        <f t="shared" si="4"/>
        <v>0.6166991577</v>
      </c>
      <c r="M340" s="321" t="str">
        <f t="shared" si="5"/>
        <v>orishim</v>
      </c>
      <c r="N340" s="209">
        <f>IFERROR(__xludf.DUMMYFUNCTION("""COMPUTED_VALUE"""),1.0)</f>
        <v>1</v>
      </c>
      <c r="O340" s="176"/>
      <c r="P340" s="176"/>
      <c r="Q340" s="176"/>
      <c r="R340" s="176"/>
      <c r="S340" s="176"/>
      <c r="T340" s="176"/>
      <c r="U340" s="176"/>
      <c r="V340" s="176"/>
      <c r="W340" s="176"/>
      <c r="X340" s="176"/>
      <c r="Y340" s="176"/>
      <c r="Z340" s="176"/>
    </row>
    <row r="341">
      <c r="A341" s="249" t="s">
        <v>69</v>
      </c>
      <c r="B341" s="249" t="s">
        <v>519</v>
      </c>
      <c r="C341" s="219" t="s">
        <v>3067</v>
      </c>
      <c r="D341" s="268" t="s">
        <v>495</v>
      </c>
      <c r="E341" s="251">
        <v>44188.0</v>
      </c>
      <c r="F341" s="250" t="s">
        <v>499</v>
      </c>
      <c r="G341" s="171">
        <v>20.0</v>
      </c>
      <c r="H341" s="171">
        <v>25.0</v>
      </c>
      <c r="I341" s="171">
        <v>25.0</v>
      </c>
      <c r="J341" s="325">
        <f t="shared" si="14"/>
        <v>0.001423151902</v>
      </c>
      <c r="K341" s="326">
        <f t="shared" si="29"/>
        <v>0.6166991577</v>
      </c>
      <c r="L341" s="327">
        <f t="shared" si="4"/>
        <v>0.6166991577</v>
      </c>
      <c r="M341" s="321" t="str">
        <f t="shared" si="5"/>
        <v>owocki</v>
      </c>
      <c r="N341" s="209">
        <f>IFERROR(__xludf.DUMMYFUNCTION("""COMPUTED_VALUE"""),1.0)</f>
        <v>1</v>
      </c>
      <c r="O341" s="176"/>
      <c r="P341" s="176"/>
      <c r="Q341" s="176"/>
      <c r="R341" s="176"/>
      <c r="S341" s="176"/>
      <c r="T341" s="176"/>
      <c r="U341" s="176"/>
      <c r="V341" s="176"/>
      <c r="W341" s="176"/>
      <c r="X341" s="176"/>
      <c r="Y341" s="176"/>
      <c r="Z341" s="176"/>
    </row>
    <row r="342">
      <c r="A342" s="249" t="s">
        <v>341</v>
      </c>
      <c r="B342" s="249" t="s">
        <v>519</v>
      </c>
      <c r="C342" s="219" t="s">
        <v>3067</v>
      </c>
      <c r="D342" s="268" t="s">
        <v>495</v>
      </c>
      <c r="E342" s="251">
        <v>44188.0</v>
      </c>
      <c r="F342" s="250" t="s">
        <v>499</v>
      </c>
      <c r="G342" s="171">
        <v>20.0</v>
      </c>
      <c r="H342" s="171">
        <v>25.0</v>
      </c>
      <c r="I342" s="171">
        <v>25.0</v>
      </c>
      <c r="J342" s="325">
        <f t="shared" si="14"/>
        <v>0.001423151902</v>
      </c>
      <c r="K342" s="326">
        <f t="shared" si="29"/>
        <v>0.6166991577</v>
      </c>
      <c r="L342" s="327">
        <f t="shared" si="4"/>
        <v>0.6166991577</v>
      </c>
      <c r="M342" s="321" t="str">
        <f t="shared" si="5"/>
        <v>wildpau</v>
      </c>
      <c r="N342" s="209">
        <f>IFERROR(__xludf.DUMMYFUNCTION("""COMPUTED_VALUE"""),1.0)</f>
        <v>1</v>
      </c>
      <c r="O342" s="176"/>
      <c r="P342" s="176"/>
      <c r="Q342" s="176"/>
      <c r="R342" s="176"/>
      <c r="S342" s="176"/>
      <c r="T342" s="176"/>
      <c r="U342" s="176"/>
      <c r="V342" s="176"/>
      <c r="W342" s="176"/>
      <c r="X342" s="176"/>
      <c r="Y342" s="176"/>
      <c r="Z342" s="176"/>
    </row>
    <row r="343">
      <c r="A343" s="249" t="s">
        <v>96</v>
      </c>
      <c r="B343" s="249" t="s">
        <v>519</v>
      </c>
      <c r="C343" s="219" t="s">
        <v>3067</v>
      </c>
      <c r="D343" s="268" t="s">
        <v>495</v>
      </c>
      <c r="E343" s="251">
        <v>44188.0</v>
      </c>
      <c r="F343" s="250" t="s">
        <v>499</v>
      </c>
      <c r="G343" s="171">
        <v>20.0</v>
      </c>
      <c r="H343" s="171">
        <v>25.0</v>
      </c>
      <c r="I343" s="171">
        <v>25.0</v>
      </c>
      <c r="J343" s="325">
        <f t="shared" si="14"/>
        <v>0.001423151902</v>
      </c>
      <c r="K343" s="326">
        <f t="shared" si="29"/>
        <v>0.6166991577</v>
      </c>
      <c r="L343" s="327">
        <f t="shared" si="4"/>
        <v>0.6166991577</v>
      </c>
      <c r="M343" s="321" t="str">
        <f t="shared" si="5"/>
        <v>pacobacpac</v>
      </c>
      <c r="N343" s="209">
        <f>IFERROR(__xludf.DUMMYFUNCTION("""COMPUTED_VALUE"""),1.0)</f>
        <v>1</v>
      </c>
      <c r="O343" s="176"/>
      <c r="P343" s="176"/>
      <c r="Q343" s="176"/>
      <c r="R343" s="176"/>
      <c r="S343" s="176"/>
      <c r="T343" s="176"/>
      <c r="U343" s="176"/>
      <c r="V343" s="176"/>
      <c r="W343" s="176"/>
      <c r="X343" s="176"/>
      <c r="Y343" s="176"/>
      <c r="Z343" s="176"/>
    </row>
    <row r="344">
      <c r="A344" s="249" t="s">
        <v>112</v>
      </c>
      <c r="B344" s="249" t="s">
        <v>519</v>
      </c>
      <c r="C344" s="219" t="s">
        <v>3067</v>
      </c>
      <c r="D344" s="268" t="s">
        <v>495</v>
      </c>
      <c r="E344" s="251">
        <v>44188.0</v>
      </c>
      <c r="F344" s="250" t="s">
        <v>499</v>
      </c>
      <c r="G344" s="171">
        <v>20.0</v>
      </c>
      <c r="H344" s="171">
        <v>25.0</v>
      </c>
      <c r="I344" s="171">
        <v>25.0</v>
      </c>
      <c r="J344" s="325">
        <f t="shared" si="14"/>
        <v>0.001423151902</v>
      </c>
      <c r="K344" s="326">
        <f t="shared" si="29"/>
        <v>0.6166991577</v>
      </c>
      <c r="L344" s="327">
        <f t="shared" si="4"/>
        <v>0.6166991577</v>
      </c>
      <c r="M344" s="321" t="str">
        <f t="shared" si="5"/>
        <v>paxthemax</v>
      </c>
      <c r="N344" s="209">
        <f>IFERROR(__xludf.DUMMYFUNCTION("""COMPUTED_VALUE"""),1.0)</f>
        <v>1</v>
      </c>
      <c r="O344" s="176"/>
      <c r="P344" s="176"/>
      <c r="Q344" s="176"/>
      <c r="R344" s="176"/>
      <c r="S344" s="176"/>
      <c r="T344" s="176"/>
      <c r="U344" s="176"/>
      <c r="V344" s="176"/>
      <c r="W344" s="176"/>
      <c r="X344" s="176"/>
      <c r="Y344" s="176"/>
      <c r="Z344" s="176"/>
    </row>
    <row r="345">
      <c r="A345" s="249" t="s">
        <v>88</v>
      </c>
      <c r="B345" s="249" t="s">
        <v>519</v>
      </c>
      <c r="C345" s="219" t="s">
        <v>3067</v>
      </c>
      <c r="D345" s="268" t="s">
        <v>495</v>
      </c>
      <c r="E345" s="251">
        <v>44188.0</v>
      </c>
      <c r="F345" s="250" t="s">
        <v>499</v>
      </c>
      <c r="G345" s="171">
        <v>20.0</v>
      </c>
      <c r="H345" s="171">
        <v>25.0</v>
      </c>
      <c r="I345" s="171">
        <v>25.0</v>
      </c>
      <c r="J345" s="325">
        <f t="shared" si="14"/>
        <v>0.001423151902</v>
      </c>
      <c r="K345" s="326">
        <f t="shared" si="29"/>
        <v>0.6166991577</v>
      </c>
      <c r="L345" s="327">
        <f t="shared" si="4"/>
        <v>0.6166991577</v>
      </c>
      <c r="M345" s="321" t="str">
        <f t="shared" si="5"/>
        <v>phil_h</v>
      </c>
      <c r="N345" s="209">
        <f>IFERROR(__xludf.DUMMYFUNCTION("""COMPUTED_VALUE"""),1.0)</f>
        <v>1</v>
      </c>
      <c r="O345" s="176"/>
      <c r="P345" s="176"/>
      <c r="Q345" s="176"/>
      <c r="R345" s="176"/>
      <c r="S345" s="176"/>
      <c r="T345" s="176"/>
      <c r="U345" s="176"/>
      <c r="V345" s="176"/>
      <c r="W345" s="176"/>
      <c r="X345" s="176"/>
      <c r="Y345" s="176"/>
      <c r="Z345" s="176"/>
    </row>
    <row r="346">
      <c r="A346" s="249" t="s">
        <v>120</v>
      </c>
      <c r="B346" s="249" t="s">
        <v>519</v>
      </c>
      <c r="C346" s="219" t="s">
        <v>3067</v>
      </c>
      <c r="D346" s="268" t="s">
        <v>495</v>
      </c>
      <c r="E346" s="251">
        <v>44188.0</v>
      </c>
      <c r="F346" s="250" t="s">
        <v>499</v>
      </c>
      <c r="G346" s="171">
        <v>20.0</v>
      </c>
      <c r="H346" s="171">
        <v>25.0</v>
      </c>
      <c r="I346" s="171">
        <v>25.0</v>
      </c>
      <c r="J346" s="325">
        <f t="shared" si="14"/>
        <v>0.001423151902</v>
      </c>
      <c r="K346" s="326">
        <f t="shared" si="29"/>
        <v>0.6166991577</v>
      </c>
      <c r="L346" s="327">
        <f t="shared" si="4"/>
        <v>0.6166991577</v>
      </c>
      <c r="M346" s="321" t="str">
        <f t="shared" si="5"/>
        <v>sepu85</v>
      </c>
      <c r="N346" s="209">
        <f>IFERROR(__xludf.DUMMYFUNCTION("""COMPUTED_VALUE"""),1.0)</f>
        <v>1</v>
      </c>
      <c r="O346" s="176"/>
      <c r="P346" s="176"/>
      <c r="Q346" s="176"/>
      <c r="R346" s="176"/>
      <c r="S346" s="176"/>
      <c r="T346" s="176"/>
      <c r="U346" s="176"/>
      <c r="V346" s="176"/>
      <c r="W346" s="176"/>
      <c r="X346" s="176"/>
      <c r="Y346" s="176"/>
      <c r="Z346" s="176"/>
    </row>
    <row r="347">
      <c r="A347" s="249" t="s">
        <v>160</v>
      </c>
      <c r="B347" s="249" t="s">
        <v>519</v>
      </c>
      <c r="C347" s="219" t="s">
        <v>3067</v>
      </c>
      <c r="D347" s="268" t="s">
        <v>495</v>
      </c>
      <c r="E347" s="251">
        <v>44188.0</v>
      </c>
      <c r="F347" s="250" t="s">
        <v>499</v>
      </c>
      <c r="G347" s="171">
        <v>20.0</v>
      </c>
      <c r="H347" s="171">
        <v>25.0</v>
      </c>
      <c r="I347" s="171">
        <v>25.0</v>
      </c>
      <c r="J347" s="325">
        <f t="shared" si="14"/>
        <v>0.001423151902</v>
      </c>
      <c r="K347" s="326">
        <f t="shared" si="29"/>
        <v>0.6166991577</v>
      </c>
      <c r="L347" s="327">
        <f t="shared" si="4"/>
        <v>0.6166991577</v>
      </c>
      <c r="M347" s="321" t="str">
        <f t="shared" si="5"/>
        <v>tokenbrice</v>
      </c>
      <c r="N347" s="209">
        <f>IFERROR(__xludf.DUMMYFUNCTION("""COMPUTED_VALUE"""),1.0)</f>
        <v>1</v>
      </c>
      <c r="O347" s="176"/>
      <c r="P347" s="176"/>
      <c r="Q347" s="176"/>
      <c r="R347" s="176"/>
      <c r="S347" s="176"/>
      <c r="T347" s="176"/>
      <c r="U347" s="176"/>
      <c r="V347" s="176"/>
      <c r="W347" s="176"/>
      <c r="X347" s="176"/>
      <c r="Y347" s="176"/>
      <c r="Z347" s="176"/>
    </row>
    <row r="348">
      <c r="A348" s="249" t="s">
        <v>64</v>
      </c>
      <c r="B348" s="249" t="s">
        <v>519</v>
      </c>
      <c r="C348" s="219" t="s">
        <v>3067</v>
      </c>
      <c r="D348" s="268" t="s">
        <v>495</v>
      </c>
      <c r="E348" s="251">
        <v>44188.0</v>
      </c>
      <c r="F348" s="250" t="s">
        <v>499</v>
      </c>
      <c r="G348" s="171">
        <v>20.0</v>
      </c>
      <c r="H348" s="171">
        <v>25.0</v>
      </c>
      <c r="I348" s="171">
        <v>25.0</v>
      </c>
      <c r="J348" s="325">
        <f t="shared" si="14"/>
        <v>0.001423151902</v>
      </c>
      <c r="K348" s="326">
        <f t="shared" si="29"/>
        <v>0.6166991577</v>
      </c>
      <c r="L348" s="327">
        <f t="shared" si="4"/>
        <v>0.6166991577</v>
      </c>
      <c r="M348" s="321" t="str">
        <f t="shared" si="5"/>
        <v>trentmc0</v>
      </c>
      <c r="N348" s="209">
        <f>IFERROR(__xludf.DUMMYFUNCTION("""COMPUTED_VALUE"""),1.0)</f>
        <v>1</v>
      </c>
      <c r="O348" s="176"/>
      <c r="P348" s="176"/>
      <c r="Q348" s="176"/>
      <c r="R348" s="176"/>
      <c r="S348" s="176"/>
      <c r="T348" s="176"/>
      <c r="U348" s="176"/>
      <c r="V348" s="176"/>
      <c r="W348" s="176"/>
      <c r="X348" s="176"/>
      <c r="Y348" s="176"/>
      <c r="Z348" s="176"/>
    </row>
    <row r="349">
      <c r="A349" s="249" t="s">
        <v>231</v>
      </c>
      <c r="B349" s="249" t="s">
        <v>519</v>
      </c>
      <c r="C349" s="219" t="s">
        <v>3067</v>
      </c>
      <c r="D349" s="268" t="s">
        <v>495</v>
      </c>
      <c r="E349" s="251">
        <v>44188.0</v>
      </c>
      <c r="F349" s="250" t="s">
        <v>499</v>
      </c>
      <c r="G349" s="171">
        <v>20.0</v>
      </c>
      <c r="H349" s="171">
        <v>25.0</v>
      </c>
      <c r="I349" s="171">
        <v>25.0</v>
      </c>
      <c r="J349" s="325">
        <f t="shared" si="14"/>
        <v>0.001423151902</v>
      </c>
      <c r="K349" s="326">
        <f t="shared" si="29"/>
        <v>0.6166991577</v>
      </c>
      <c r="L349" s="327">
        <f t="shared" si="4"/>
        <v>0.6166991577</v>
      </c>
      <c r="M349" s="321" t="str">
        <f t="shared" si="5"/>
        <v>ubipromoter</v>
      </c>
      <c r="N349" s="209">
        <f>IFERROR(__xludf.DUMMYFUNCTION("""COMPUTED_VALUE"""),1.0)</f>
        <v>1</v>
      </c>
      <c r="O349" s="176"/>
      <c r="P349" s="176"/>
      <c r="Q349" s="176"/>
      <c r="R349" s="176"/>
      <c r="S349" s="176"/>
      <c r="T349" s="176"/>
      <c r="U349" s="176"/>
      <c r="V349" s="176"/>
      <c r="W349" s="176"/>
      <c r="X349" s="176"/>
      <c r="Y349" s="176"/>
      <c r="Z349" s="176"/>
    </row>
    <row r="350">
      <c r="A350" s="249" t="s">
        <v>260</v>
      </c>
      <c r="B350" s="249" t="s">
        <v>519</v>
      </c>
      <c r="C350" s="219" t="s">
        <v>3067</v>
      </c>
      <c r="D350" s="268" t="s">
        <v>495</v>
      </c>
      <c r="E350" s="251">
        <v>44188.0</v>
      </c>
      <c r="F350" s="250" t="s">
        <v>499</v>
      </c>
      <c r="G350" s="171">
        <v>20.0</v>
      </c>
      <c r="H350" s="171">
        <v>25.0</v>
      </c>
      <c r="I350" s="171">
        <v>25.0</v>
      </c>
      <c r="J350" s="325">
        <f t="shared" si="14"/>
        <v>0.001423151902</v>
      </c>
      <c r="K350" s="326">
        <f t="shared" si="29"/>
        <v>0.6166991577</v>
      </c>
      <c r="L350" s="327">
        <f t="shared" si="4"/>
        <v>0.6166991577</v>
      </c>
      <c r="M350" s="321" t="str">
        <f t="shared" si="5"/>
        <v>wipabramson</v>
      </c>
      <c r="N350" s="209">
        <f>IFERROR(__xludf.DUMMYFUNCTION("""COMPUTED_VALUE"""),1.0)</f>
        <v>1</v>
      </c>
      <c r="O350" s="176"/>
      <c r="P350" s="176"/>
      <c r="Q350" s="176"/>
      <c r="R350" s="176"/>
      <c r="S350" s="176"/>
      <c r="T350" s="176"/>
      <c r="U350" s="176"/>
      <c r="V350" s="176"/>
      <c r="W350" s="176"/>
      <c r="X350" s="176"/>
      <c r="Y350" s="176"/>
      <c r="Z350" s="176"/>
    </row>
    <row r="351">
      <c r="A351" s="249" t="s">
        <v>29</v>
      </c>
      <c r="B351" s="249" t="s">
        <v>10</v>
      </c>
      <c r="C351" s="219" t="s">
        <v>3132</v>
      </c>
      <c r="D351" s="268" t="s">
        <v>495</v>
      </c>
      <c r="E351" s="251">
        <v>44192.0</v>
      </c>
      <c r="F351" s="250" t="s">
        <v>496</v>
      </c>
      <c r="G351" s="171">
        <v>30.0</v>
      </c>
      <c r="H351" s="171">
        <v>25.0</v>
      </c>
      <c r="I351" s="171">
        <v>50.0</v>
      </c>
      <c r="J351" s="325">
        <f t="shared" si="14"/>
        <v>0.00212348949</v>
      </c>
      <c r="K351" s="326">
        <f t="shared" si="29"/>
        <v>0.9201787788</v>
      </c>
      <c r="L351" s="327">
        <f t="shared" si="4"/>
        <v>0.4948366712</v>
      </c>
      <c r="M351" s="321" t="str">
        <f t="shared" si="5"/>
        <v>jeffemmett</v>
      </c>
      <c r="N351" s="209">
        <f>IFERROR(__xludf.DUMMYFUNCTION("""COMPUTED_VALUE"""),1.0)</f>
        <v>1</v>
      </c>
      <c r="O351" s="176"/>
      <c r="P351" s="176"/>
      <c r="Q351" s="176"/>
      <c r="R351" s="176"/>
      <c r="S351" s="176"/>
      <c r="T351" s="176"/>
      <c r="U351" s="176"/>
      <c r="V351" s="176"/>
      <c r="W351" s="176"/>
      <c r="X351" s="176"/>
      <c r="Y351" s="176"/>
      <c r="Z351" s="176"/>
    </row>
    <row r="352">
      <c r="A352" s="249" t="s">
        <v>29</v>
      </c>
      <c r="B352" s="249" t="s">
        <v>10</v>
      </c>
      <c r="C352" s="219" t="s">
        <v>3065</v>
      </c>
      <c r="D352" s="268" t="s">
        <v>495</v>
      </c>
      <c r="E352" s="251">
        <v>44192.0</v>
      </c>
      <c r="F352" s="250" t="s">
        <v>496</v>
      </c>
      <c r="G352" s="171">
        <v>30.0</v>
      </c>
      <c r="H352" s="171">
        <v>25.0</v>
      </c>
      <c r="I352" s="171">
        <v>50.0</v>
      </c>
      <c r="J352" s="325">
        <f t="shared" si="14"/>
        <v>0.00212348949</v>
      </c>
      <c r="K352" s="326">
        <f t="shared" si="29"/>
        <v>0.9201787788</v>
      </c>
      <c r="L352" s="327">
        <f t="shared" si="4"/>
        <v>0.4948366712</v>
      </c>
      <c r="M352" s="321" t="str">
        <f t="shared" si="5"/>
        <v>jeffemmett</v>
      </c>
      <c r="N352" s="209">
        <f>IFERROR(__xludf.DUMMYFUNCTION("""COMPUTED_VALUE"""),2.0)</f>
        <v>2</v>
      </c>
      <c r="O352" s="176"/>
      <c r="P352" s="176"/>
      <c r="Q352" s="176"/>
      <c r="R352" s="176"/>
      <c r="S352" s="176"/>
      <c r="T352" s="176"/>
      <c r="U352" s="176"/>
      <c r="V352" s="176"/>
      <c r="W352" s="176"/>
      <c r="X352" s="176"/>
      <c r="Y352" s="176"/>
      <c r="Z352" s="176"/>
    </row>
    <row r="353">
      <c r="A353" s="249" t="s">
        <v>29</v>
      </c>
      <c r="B353" s="249" t="s">
        <v>1231</v>
      </c>
      <c r="C353" s="219" t="s">
        <v>3158</v>
      </c>
      <c r="D353" s="268" t="s">
        <v>495</v>
      </c>
      <c r="E353" s="251">
        <v>44189.0</v>
      </c>
      <c r="F353" s="250" t="s">
        <v>496</v>
      </c>
      <c r="G353" s="171">
        <v>45.0</v>
      </c>
      <c r="H353" s="171">
        <v>25.0</v>
      </c>
      <c r="I353" s="171">
        <v>30.0</v>
      </c>
      <c r="J353" s="325">
        <f t="shared" si="14"/>
        <v>0.002072463303</v>
      </c>
      <c r="K353" s="326">
        <f t="shared" si="29"/>
        <v>0.8980674315</v>
      </c>
      <c r="L353" s="327">
        <f t="shared" si="4"/>
        <v>0.4948366712</v>
      </c>
      <c r="M353" s="321" t="str">
        <f t="shared" si="5"/>
        <v>jeffemmett</v>
      </c>
      <c r="N353" s="209">
        <f>IFERROR(__xludf.DUMMYFUNCTION("""COMPUTED_VALUE"""),3.0)</f>
        <v>3</v>
      </c>
      <c r="O353" s="176"/>
      <c r="P353" s="176"/>
      <c r="Q353" s="176"/>
      <c r="R353" s="176"/>
      <c r="S353" s="176"/>
      <c r="T353" s="176"/>
      <c r="U353" s="176"/>
      <c r="V353" s="176"/>
      <c r="W353" s="176"/>
      <c r="X353" s="176"/>
      <c r="Y353" s="176"/>
      <c r="Z353" s="176"/>
    </row>
    <row r="354">
      <c r="A354" s="249" t="s">
        <v>29</v>
      </c>
      <c r="B354" s="249" t="s">
        <v>590</v>
      </c>
      <c r="C354" s="219" t="s">
        <v>3078</v>
      </c>
      <c r="D354" s="268" t="s">
        <v>495</v>
      </c>
      <c r="E354" s="251">
        <v>44187.0</v>
      </c>
      <c r="F354" s="250" t="s">
        <v>496</v>
      </c>
      <c r="G354" s="171">
        <v>10.0</v>
      </c>
      <c r="H354" s="171">
        <v>25.0</v>
      </c>
      <c r="I354" s="171">
        <v>30.0</v>
      </c>
      <c r="J354" s="325">
        <f t="shared" si="14"/>
        <v>0.001297526959</v>
      </c>
      <c r="K354" s="326">
        <f t="shared" si="29"/>
        <v>0.5622616822</v>
      </c>
      <c r="L354" s="327">
        <f t="shared" si="4"/>
        <v>0.4948366712</v>
      </c>
      <c r="M354" s="321" t="str">
        <f t="shared" si="5"/>
        <v>jeffemmett</v>
      </c>
      <c r="N354" s="209">
        <f>IFERROR(__xludf.DUMMYFUNCTION("""COMPUTED_VALUE"""),4.0)</f>
        <v>4</v>
      </c>
      <c r="O354" s="176"/>
      <c r="P354" s="176"/>
      <c r="Q354" s="176"/>
      <c r="R354" s="176"/>
      <c r="S354" s="176"/>
      <c r="T354" s="176"/>
      <c r="U354" s="176"/>
      <c r="V354" s="176"/>
      <c r="W354" s="176"/>
      <c r="X354" s="176"/>
      <c r="Y354" s="176"/>
      <c r="Z354" s="176"/>
    </row>
    <row r="355">
      <c r="A355" s="343" t="s">
        <v>29</v>
      </c>
      <c r="B355" s="253" t="s">
        <v>534</v>
      </c>
      <c r="C355" s="256" t="s">
        <v>684</v>
      </c>
      <c r="D355" s="343"/>
      <c r="E355" s="344"/>
      <c r="F355" s="343"/>
      <c r="G355" s="253"/>
      <c r="H355" s="253"/>
      <c r="I355" s="253"/>
      <c r="J355" s="325">
        <f t="shared" si="14"/>
        <v>0</v>
      </c>
      <c r="K355" s="337">
        <f>3.301*-0.85</f>
        <v>-2.80585</v>
      </c>
      <c r="L355" s="327">
        <f t="shared" si="4"/>
        <v>0.4948366712</v>
      </c>
      <c r="M355" s="321" t="str">
        <f t="shared" si="5"/>
        <v>jeffemmett</v>
      </c>
      <c r="N355" s="343">
        <f>IFERROR(__xludf.DUMMYFUNCTION("""COMPUTED_VALUE"""),5.0)</f>
        <v>5</v>
      </c>
      <c r="O355" s="343"/>
      <c r="P355" s="343"/>
      <c r="Q355" s="343"/>
      <c r="R355" s="343">
        <v>18.15686701513158</v>
      </c>
      <c r="S355" s="343"/>
      <c r="T355" s="343"/>
      <c r="U355" s="343"/>
      <c r="V355" s="343"/>
      <c r="W355" s="343"/>
      <c r="X355" s="343"/>
      <c r="Y355" s="226"/>
      <c r="Z355" s="226"/>
    </row>
    <row r="356">
      <c r="A356" s="249" t="s">
        <v>172</v>
      </c>
      <c r="B356" s="249" t="s">
        <v>590</v>
      </c>
      <c r="C356" s="219" t="s">
        <v>3159</v>
      </c>
      <c r="D356" s="268" t="s">
        <v>495</v>
      </c>
      <c r="E356" s="251">
        <v>44193.0</v>
      </c>
      <c r="F356" s="250" t="s">
        <v>496</v>
      </c>
      <c r="G356" s="171">
        <v>10.0</v>
      </c>
      <c r="H356" s="171">
        <v>5.0</v>
      </c>
      <c r="I356" s="171">
        <v>25.0</v>
      </c>
      <c r="J356" s="325">
        <f t="shared" si="14"/>
        <v>0.0008006183734</v>
      </c>
      <c r="K356" s="326">
        <f t="shared" ref="K356:K357" si="30">J356*$J$1</f>
        <v>0.3469346285</v>
      </c>
      <c r="L356" s="327">
        <f t="shared" si="4"/>
        <v>0.3469346285</v>
      </c>
      <c r="M356" s="321" t="str">
        <f t="shared" si="5"/>
        <v>adriamb</v>
      </c>
      <c r="N356" s="209">
        <f>IFERROR(__xludf.DUMMYFUNCTION("""COMPUTED_VALUE"""),1.0)</f>
        <v>1</v>
      </c>
      <c r="O356" s="176"/>
      <c r="P356" s="176"/>
      <c r="Q356" s="176"/>
      <c r="R356" s="176"/>
      <c r="S356" s="176"/>
      <c r="T356" s="176"/>
      <c r="U356" s="176"/>
      <c r="V356" s="176"/>
      <c r="W356" s="176"/>
      <c r="X356" s="176"/>
      <c r="Y356" s="176"/>
      <c r="Z356" s="176"/>
    </row>
    <row r="357">
      <c r="A357" s="249" t="s">
        <v>59</v>
      </c>
      <c r="B357" s="249" t="s">
        <v>590</v>
      </c>
      <c r="C357" s="219" t="s">
        <v>3078</v>
      </c>
      <c r="D357" s="268" t="s">
        <v>495</v>
      </c>
      <c r="E357" s="251">
        <v>44187.0</v>
      </c>
      <c r="F357" s="250" t="s">
        <v>496</v>
      </c>
      <c r="G357" s="171">
        <v>10.0</v>
      </c>
      <c r="H357" s="171">
        <v>25.0</v>
      </c>
      <c r="I357" s="171">
        <v>25.0</v>
      </c>
      <c r="J357" s="325">
        <f t="shared" si="14"/>
        <v>0.001201741518</v>
      </c>
      <c r="K357" s="326">
        <f t="shared" si="30"/>
        <v>0.5207546579</v>
      </c>
      <c r="L357" s="327">
        <f t="shared" si="4"/>
        <v>0.07790465789</v>
      </c>
      <c r="M357" s="321" t="str">
        <f t="shared" si="5"/>
        <v>krisjones</v>
      </c>
      <c r="N357" s="209">
        <f>IFERROR(__xludf.DUMMYFUNCTION("""COMPUTED_VALUE"""),1.0)</f>
        <v>1</v>
      </c>
      <c r="O357" s="176"/>
      <c r="P357" s="176"/>
      <c r="Q357" s="176"/>
      <c r="R357" s="176"/>
      <c r="S357" s="176"/>
      <c r="T357" s="176"/>
      <c r="U357" s="176"/>
      <c r="V357" s="176"/>
      <c r="W357" s="176"/>
      <c r="X357" s="176"/>
      <c r="Y357" s="176"/>
      <c r="Z357" s="176"/>
    </row>
    <row r="358">
      <c r="A358" s="240" t="s">
        <v>59</v>
      </c>
      <c r="B358" s="240" t="s">
        <v>534</v>
      </c>
      <c r="C358" s="349" t="s">
        <v>810</v>
      </c>
      <c r="D358" s="336"/>
      <c r="E358" s="340"/>
      <c r="F358" s="254"/>
      <c r="G358" s="222"/>
      <c r="H358" s="222"/>
      <c r="I358" s="222"/>
      <c r="J358" s="325">
        <f t="shared" si="14"/>
        <v>0</v>
      </c>
      <c r="K358" s="337">
        <f>0.521*-0.85</f>
        <v>-0.44285</v>
      </c>
      <c r="L358" s="327">
        <f t="shared" si="4"/>
        <v>0.07790465789</v>
      </c>
      <c r="M358" s="321" t="str">
        <f t="shared" si="5"/>
        <v>krisjones</v>
      </c>
      <c r="N358" s="209">
        <f>IFERROR(__xludf.DUMMYFUNCTION("""COMPUTED_VALUE"""),2.0)</f>
        <v>2</v>
      </c>
      <c r="O358" s="209"/>
      <c r="P358" s="209"/>
      <c r="Q358" s="209"/>
      <c r="R358" s="209">
        <v>14.561258630642886</v>
      </c>
      <c r="S358" s="209"/>
      <c r="T358" s="209"/>
      <c r="U358" s="209"/>
      <c r="V358" s="209"/>
      <c r="W358" s="209"/>
      <c r="X358" s="209"/>
      <c r="Y358" s="176"/>
      <c r="Z358" s="176"/>
    </row>
    <row r="359">
      <c r="A359" s="240" t="s">
        <v>85</v>
      </c>
      <c r="B359" s="240" t="s">
        <v>534</v>
      </c>
      <c r="C359" s="346" t="s">
        <v>2386</v>
      </c>
      <c r="D359" s="336"/>
      <c r="E359" s="255"/>
      <c r="F359" s="254"/>
      <c r="G359" s="222"/>
      <c r="H359" s="222"/>
      <c r="I359" s="222"/>
      <c r="J359" s="325">
        <f t="shared" si="14"/>
        <v>0</v>
      </c>
      <c r="K359" s="337"/>
      <c r="L359" s="327">
        <f t="shared" si="4"/>
        <v>0</v>
      </c>
      <c r="M359" s="321" t="str">
        <f t="shared" si="5"/>
        <v>vivszaid</v>
      </c>
      <c r="N359" s="209">
        <f>IFERROR(__xludf.DUMMYFUNCTION("""COMPUTED_VALUE"""),1.0)</f>
        <v>1</v>
      </c>
      <c r="O359" s="176"/>
      <c r="P359" s="176"/>
      <c r="Q359" s="176"/>
      <c r="R359" s="176">
        <v>14.130370493717818</v>
      </c>
      <c r="S359" s="176"/>
      <c r="T359" s="176"/>
      <c r="U359" s="176"/>
      <c r="V359" s="176"/>
      <c r="W359" s="176"/>
      <c r="X359" s="176"/>
      <c r="Y359" s="176"/>
      <c r="Z359" s="176"/>
    </row>
    <row r="360">
      <c r="A360" s="240" t="s">
        <v>118</v>
      </c>
      <c r="B360" s="240" t="s">
        <v>534</v>
      </c>
      <c r="C360" s="221" t="s">
        <v>2549</v>
      </c>
      <c r="D360" s="336"/>
      <c r="E360" s="255"/>
      <c r="F360" s="254"/>
      <c r="G360" s="222"/>
      <c r="H360" s="222"/>
      <c r="I360" s="222"/>
      <c r="J360" s="325">
        <f t="shared" si="14"/>
        <v>0</v>
      </c>
      <c r="K360" s="337"/>
      <c r="L360" s="327">
        <f t="shared" si="4"/>
        <v>0</v>
      </c>
      <c r="M360" s="321" t="str">
        <f t="shared" si="5"/>
        <v>katalenacaban</v>
      </c>
      <c r="N360" s="209">
        <f>IFERROR(__xludf.DUMMYFUNCTION("""COMPUTED_VALUE"""),1.0)</f>
        <v>1</v>
      </c>
      <c r="O360" s="209"/>
      <c r="P360" s="209"/>
      <c r="Q360" s="209"/>
      <c r="R360" s="209">
        <v>36.89669088595067</v>
      </c>
      <c r="S360" s="209"/>
      <c r="T360" s="209"/>
      <c r="U360" s="209"/>
      <c r="V360" s="209"/>
      <c r="W360" s="209"/>
      <c r="X360" s="209"/>
      <c r="Y360" s="176"/>
      <c r="Z360" s="176"/>
    </row>
    <row r="361">
      <c r="A361" s="362" t="s">
        <v>122</v>
      </c>
      <c r="B361" s="240" t="s">
        <v>534</v>
      </c>
      <c r="C361" s="346" t="s">
        <v>2452</v>
      </c>
      <c r="D361" s="336"/>
      <c r="E361" s="255"/>
      <c r="F361" s="254"/>
      <c r="G361" s="222"/>
      <c r="H361" s="222"/>
      <c r="I361" s="222"/>
      <c r="J361" s="325">
        <f t="shared" si="14"/>
        <v>0</v>
      </c>
      <c r="K361" s="337"/>
      <c r="L361" s="327">
        <f t="shared" si="4"/>
        <v>0</v>
      </c>
      <c r="M361" s="321" t="str">
        <f t="shared" si="5"/>
        <v>anthonyoliai</v>
      </c>
      <c r="N361" s="209">
        <f>IFERROR(__xludf.DUMMYFUNCTION("""COMPUTED_VALUE"""),1.0)</f>
        <v>1</v>
      </c>
      <c r="O361" s="176"/>
      <c r="P361" s="176"/>
      <c r="Q361" s="176"/>
      <c r="R361" s="176">
        <v>8.606119831199203</v>
      </c>
      <c r="S361" s="176"/>
      <c r="T361" s="176"/>
      <c r="U361" s="176"/>
      <c r="V361" s="176"/>
      <c r="W361" s="176"/>
      <c r="X361" s="176"/>
      <c r="Y361" s="176"/>
      <c r="Z361" s="176"/>
    </row>
    <row r="362">
      <c r="A362" s="362"/>
      <c r="B362" s="240"/>
      <c r="C362" s="346"/>
      <c r="D362" s="336"/>
      <c r="E362" s="255"/>
      <c r="F362" s="254"/>
      <c r="G362" s="222"/>
      <c r="H362" s="222"/>
      <c r="I362" s="222"/>
      <c r="J362" s="325"/>
      <c r="K362" s="337"/>
      <c r="L362" s="327"/>
      <c r="M362" s="321"/>
      <c r="N362" s="209"/>
      <c r="O362" s="176"/>
      <c r="P362" s="176"/>
      <c r="Q362" s="176"/>
      <c r="R362" s="176"/>
      <c r="S362" s="176"/>
      <c r="T362" s="176"/>
      <c r="U362" s="176"/>
      <c r="V362" s="176"/>
      <c r="W362" s="176"/>
      <c r="X362" s="176"/>
      <c r="Y362" s="176"/>
      <c r="Z362" s="176"/>
    </row>
    <row r="363">
      <c r="A363" s="362"/>
      <c r="B363" s="240"/>
      <c r="C363" s="346"/>
      <c r="D363" s="336"/>
      <c r="E363" s="255"/>
      <c r="F363" s="254"/>
      <c r="G363" s="222"/>
      <c r="H363" s="222"/>
      <c r="I363" s="222"/>
      <c r="J363" s="325"/>
      <c r="K363" s="337"/>
      <c r="L363" s="327"/>
      <c r="M363" s="321"/>
      <c r="N363" s="209"/>
      <c r="O363" s="176"/>
      <c r="P363" s="176"/>
      <c r="Q363" s="176"/>
      <c r="R363" s="176"/>
      <c r="S363" s="176"/>
      <c r="T363" s="176"/>
      <c r="U363" s="176"/>
      <c r="V363" s="176"/>
      <c r="W363" s="176"/>
      <c r="X363" s="176"/>
      <c r="Y363" s="176"/>
      <c r="Z363" s="176"/>
    </row>
    <row r="364">
      <c r="A364" s="362"/>
      <c r="B364" s="240"/>
      <c r="C364" s="346"/>
      <c r="D364" s="336"/>
      <c r="E364" s="255"/>
      <c r="F364" s="254"/>
      <c r="G364" s="222"/>
      <c r="H364" s="222"/>
      <c r="I364" s="222"/>
      <c r="J364" s="325"/>
      <c r="K364" s="337"/>
      <c r="L364" s="327"/>
      <c r="M364" s="321"/>
      <c r="N364" s="209"/>
      <c r="O364" s="176"/>
      <c r="P364" s="176"/>
      <c r="Q364" s="176"/>
      <c r="R364" s="176"/>
      <c r="S364" s="176"/>
      <c r="T364" s="176"/>
      <c r="U364" s="176"/>
      <c r="V364" s="176"/>
      <c r="W364" s="176"/>
      <c r="X364" s="176"/>
      <c r="Y364" s="176"/>
      <c r="Z364" s="176"/>
    </row>
    <row r="365">
      <c r="A365" s="362"/>
      <c r="B365" s="240"/>
      <c r="C365" s="346"/>
      <c r="D365" s="336"/>
      <c r="E365" s="255"/>
      <c r="F365" s="254"/>
      <c r="G365" s="222"/>
      <c r="H365" s="222"/>
      <c r="I365" s="222"/>
      <c r="J365" s="325"/>
      <c r="K365" s="337"/>
      <c r="L365" s="327"/>
      <c r="M365" s="321"/>
      <c r="N365" s="209"/>
      <c r="O365" s="176"/>
      <c r="P365" s="176"/>
      <c r="Q365" s="176"/>
      <c r="R365" s="176"/>
      <c r="S365" s="176"/>
      <c r="T365" s="176"/>
      <c r="U365" s="176"/>
      <c r="V365" s="176"/>
      <c r="W365" s="176"/>
      <c r="X365" s="176"/>
      <c r="Y365" s="176"/>
      <c r="Z365" s="176"/>
    </row>
    <row r="366">
      <c r="A366" s="362"/>
      <c r="B366" s="240"/>
      <c r="C366" s="346"/>
      <c r="D366" s="336"/>
      <c r="E366" s="255"/>
      <c r="F366" s="254"/>
      <c r="G366" s="222"/>
      <c r="H366" s="222"/>
      <c r="I366" s="222"/>
      <c r="J366" s="325"/>
      <c r="K366" s="337"/>
      <c r="L366" s="327"/>
      <c r="M366" s="321"/>
      <c r="N366" s="209"/>
      <c r="O366" s="176"/>
      <c r="P366" s="176"/>
      <c r="Q366" s="176"/>
      <c r="R366" s="176"/>
      <c r="S366" s="176"/>
      <c r="T366" s="176"/>
      <c r="U366" s="176"/>
      <c r="V366" s="176"/>
      <c r="W366" s="176"/>
      <c r="X366" s="176"/>
      <c r="Y366" s="176"/>
      <c r="Z366" s="176"/>
    </row>
    <row r="367">
      <c r="A367" s="362"/>
      <c r="B367" s="240"/>
      <c r="C367" s="346"/>
      <c r="D367" s="336"/>
      <c r="E367" s="255"/>
      <c r="F367" s="254"/>
      <c r="G367" s="222"/>
      <c r="H367" s="222"/>
      <c r="I367" s="222"/>
      <c r="J367" s="325"/>
      <c r="K367" s="337"/>
      <c r="L367" s="327"/>
      <c r="M367" s="321"/>
      <c r="N367" s="209"/>
      <c r="O367" s="176"/>
      <c r="P367" s="176"/>
      <c r="Q367" s="176"/>
      <c r="R367" s="176"/>
      <c r="S367" s="176"/>
      <c r="T367" s="176"/>
      <c r="U367" s="176"/>
      <c r="V367" s="176"/>
      <c r="W367" s="176"/>
      <c r="X367" s="176"/>
      <c r="Y367" s="176"/>
      <c r="Z367" s="176"/>
    </row>
    <row r="368">
      <c r="A368" s="362"/>
      <c r="B368" s="240"/>
      <c r="C368" s="346"/>
      <c r="D368" s="336"/>
      <c r="E368" s="255"/>
      <c r="F368" s="254"/>
      <c r="G368" s="222"/>
      <c r="H368" s="222"/>
      <c r="I368" s="222"/>
      <c r="J368" s="325"/>
      <c r="K368" s="337"/>
      <c r="L368" s="327"/>
      <c r="M368" s="321"/>
      <c r="N368" s="209"/>
      <c r="O368" s="176"/>
      <c r="P368" s="176"/>
      <c r="Q368" s="176"/>
      <c r="R368" s="176"/>
      <c r="S368" s="176"/>
      <c r="T368" s="176"/>
      <c r="U368" s="176"/>
      <c r="V368" s="176"/>
      <c r="W368" s="176"/>
      <c r="X368" s="176"/>
      <c r="Y368" s="176"/>
      <c r="Z368" s="176"/>
    </row>
    <row r="369">
      <c r="A369" s="362"/>
      <c r="B369" s="240"/>
      <c r="C369" s="346"/>
      <c r="D369" s="336"/>
      <c r="E369" s="255"/>
      <c r="F369" s="254"/>
      <c r="G369" s="222"/>
      <c r="H369" s="222"/>
      <c r="I369" s="222"/>
      <c r="J369" s="325"/>
      <c r="K369" s="337"/>
      <c r="L369" s="327"/>
      <c r="M369" s="321"/>
      <c r="N369" s="209"/>
      <c r="O369" s="176"/>
      <c r="P369" s="176"/>
      <c r="Q369" s="176"/>
      <c r="R369" s="176"/>
      <c r="S369" s="176"/>
      <c r="T369" s="176"/>
      <c r="U369" s="176"/>
      <c r="V369" s="176"/>
      <c r="W369" s="176"/>
      <c r="X369" s="176"/>
      <c r="Y369" s="176"/>
      <c r="Z369" s="176"/>
    </row>
    <row r="370">
      <c r="A370" s="362"/>
      <c r="B370" s="240"/>
      <c r="C370" s="346"/>
      <c r="D370" s="336"/>
      <c r="E370" s="255"/>
      <c r="F370" s="254"/>
      <c r="G370" s="222"/>
      <c r="H370" s="222"/>
      <c r="I370" s="222"/>
      <c r="J370" s="325"/>
      <c r="K370" s="337"/>
      <c r="L370" s="327"/>
      <c r="M370" s="321"/>
      <c r="N370" s="209"/>
      <c r="O370" s="176"/>
      <c r="P370" s="176"/>
      <c r="Q370" s="176"/>
      <c r="R370" s="176"/>
      <c r="S370" s="176"/>
      <c r="T370" s="176"/>
      <c r="U370" s="176"/>
      <c r="V370" s="176"/>
      <c r="W370" s="176"/>
      <c r="X370" s="176"/>
      <c r="Y370" s="176"/>
      <c r="Z370" s="176"/>
    </row>
  </sheetData>
  <autoFilter ref="$A$3:$Z$361">
    <sortState ref="A3:Z361">
      <sortCondition descending="1" ref="L3:L361"/>
      <sortCondition descending="1" ref="K3:K361"/>
      <sortCondition ref="E3:E361"/>
      <sortCondition ref="A3:A361"/>
    </sortState>
  </autoFilter>
  <hyperlinks>
    <hyperlink r:id="rId1" ref="C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3160</v>
      </c>
      <c r="B1" s="2">
        <f>sum(B3:B901)</f>
        <v>269.1187605</v>
      </c>
    </row>
    <row r="2">
      <c r="A2" s="246" t="s">
        <v>388</v>
      </c>
      <c r="B2" s="247" t="s">
        <v>2</v>
      </c>
    </row>
    <row r="3">
      <c r="A3" s="5" t="s">
        <v>6</v>
      </c>
      <c r="B3" s="6">
        <v>36.30541674607683</v>
      </c>
    </row>
    <row r="4">
      <c r="A4" s="5" t="s">
        <v>4</v>
      </c>
      <c r="B4" s="6">
        <v>21.60361373416357</v>
      </c>
    </row>
    <row r="5">
      <c r="A5" s="5" t="s">
        <v>5</v>
      </c>
      <c r="B5" s="6">
        <v>20.926011875307378</v>
      </c>
    </row>
    <row r="6">
      <c r="A6" s="5" t="s">
        <v>31</v>
      </c>
      <c r="B6" s="6">
        <v>16.22782831158874</v>
      </c>
    </row>
    <row r="7">
      <c r="A7" s="5" t="s">
        <v>17</v>
      </c>
      <c r="B7" s="6">
        <v>14.340138243539265</v>
      </c>
    </row>
    <row r="8">
      <c r="A8" s="5" t="s">
        <v>3</v>
      </c>
      <c r="B8" s="6">
        <v>11.37618515533948</v>
      </c>
    </row>
    <row r="9">
      <c r="A9" s="5" t="s">
        <v>73</v>
      </c>
      <c r="B9" s="6">
        <v>8.972174448083122</v>
      </c>
    </row>
    <row r="10">
      <c r="A10" s="5" t="s">
        <v>7</v>
      </c>
      <c r="B10" s="6">
        <v>7.461376747451567</v>
      </c>
    </row>
    <row r="11">
      <c r="A11" s="5" t="s">
        <v>57</v>
      </c>
      <c r="B11" s="6">
        <v>6.503418602576954</v>
      </c>
    </row>
    <row r="12">
      <c r="A12" s="5" t="s">
        <v>27</v>
      </c>
      <c r="B12" s="6">
        <v>6.407474102779913</v>
      </c>
    </row>
    <row r="13">
      <c r="A13" s="5" t="s">
        <v>26</v>
      </c>
      <c r="B13" s="6">
        <v>6.238255469892978</v>
      </c>
    </row>
    <row r="14">
      <c r="A14" s="5" t="s">
        <v>11</v>
      </c>
      <c r="B14" s="6">
        <v>6.021290810654735</v>
      </c>
    </row>
    <row r="15">
      <c r="A15" s="5" t="s">
        <v>8</v>
      </c>
      <c r="B15" s="6">
        <v>5.6309815086620345</v>
      </c>
    </row>
    <row r="16">
      <c r="A16" s="5" t="s">
        <v>22</v>
      </c>
      <c r="B16" s="6">
        <v>5.55443268576362</v>
      </c>
    </row>
    <row r="17">
      <c r="A17" s="5" t="s">
        <v>30</v>
      </c>
      <c r="B17" s="6">
        <v>5.202598386292777</v>
      </c>
    </row>
    <row r="18">
      <c r="A18" s="5" t="s">
        <v>16</v>
      </c>
      <c r="B18" s="6">
        <v>5.1033385674931075</v>
      </c>
    </row>
    <row r="19">
      <c r="A19" s="5" t="s">
        <v>79</v>
      </c>
      <c r="B19" s="6">
        <v>4.649900028680571</v>
      </c>
    </row>
    <row r="20">
      <c r="A20" s="5" t="s">
        <v>35</v>
      </c>
      <c r="B20" s="6">
        <v>4.461432129907089</v>
      </c>
    </row>
    <row r="21">
      <c r="A21" s="5" t="s">
        <v>84</v>
      </c>
      <c r="B21" s="6">
        <v>4.422578519081928</v>
      </c>
    </row>
    <row r="22">
      <c r="A22" s="5" t="s">
        <v>43</v>
      </c>
      <c r="B22" s="6">
        <v>4.248996006563807</v>
      </c>
    </row>
    <row r="23">
      <c r="A23" s="5" t="s">
        <v>14</v>
      </c>
      <c r="B23" s="6">
        <v>3.387361060160867</v>
      </c>
    </row>
    <row r="24">
      <c r="A24" s="5" t="s">
        <v>18</v>
      </c>
      <c r="B24" s="6">
        <v>3.11294805197916</v>
      </c>
    </row>
    <row r="25">
      <c r="A25" s="5" t="s">
        <v>38</v>
      </c>
      <c r="B25" s="6">
        <v>3.0361448149291537</v>
      </c>
    </row>
    <row r="26">
      <c r="A26" s="5" t="s">
        <v>25</v>
      </c>
      <c r="B26" s="6">
        <v>2.686236088154267</v>
      </c>
    </row>
    <row r="27">
      <c r="A27" s="5" t="s">
        <v>72</v>
      </c>
      <c r="B27" s="6">
        <v>2.6586856303617905</v>
      </c>
    </row>
    <row r="28">
      <c r="A28" s="5" t="s">
        <v>61</v>
      </c>
      <c r="B28" s="6">
        <v>2.525471262987926</v>
      </c>
    </row>
    <row r="29">
      <c r="A29" s="5" t="s">
        <v>9</v>
      </c>
      <c r="B29" s="6">
        <v>2.510935171517579</v>
      </c>
    </row>
    <row r="30">
      <c r="A30" s="5" t="s">
        <v>28</v>
      </c>
      <c r="B30" s="6">
        <v>2.5069250349413004</v>
      </c>
    </row>
    <row r="31">
      <c r="A31" s="5" t="s">
        <v>15</v>
      </c>
      <c r="B31" s="6">
        <v>2.4171024793388405</v>
      </c>
    </row>
    <row r="32">
      <c r="A32" s="5" t="s">
        <v>111</v>
      </c>
      <c r="B32" s="6">
        <v>2.349362059971687</v>
      </c>
    </row>
    <row r="33">
      <c r="A33" s="5" t="s">
        <v>23</v>
      </c>
      <c r="B33" s="6">
        <v>2.253417560174646</v>
      </c>
    </row>
    <row r="34">
      <c r="A34" s="5" t="s">
        <v>12</v>
      </c>
      <c r="B34" s="6">
        <v>2.217195465833711</v>
      </c>
    </row>
    <row r="35">
      <c r="A35" s="5" t="s">
        <v>52</v>
      </c>
      <c r="B35" s="6">
        <v>1.7326629022797595</v>
      </c>
    </row>
    <row r="36">
      <c r="A36" s="5" t="s">
        <v>10</v>
      </c>
      <c r="B36" s="6">
        <v>1.7290975201167225</v>
      </c>
    </row>
    <row r="37">
      <c r="A37" s="5" t="s">
        <v>123</v>
      </c>
      <c r="B37" s="6">
        <v>1.6911558780141147</v>
      </c>
    </row>
    <row r="38">
      <c r="A38" s="5" t="s">
        <v>127</v>
      </c>
      <c r="B38" s="6">
        <v>1.6567353557493822</v>
      </c>
    </row>
    <row r="39">
      <c r="A39" s="5" t="s">
        <v>124</v>
      </c>
      <c r="B39" s="6">
        <v>1.6367184024827188</v>
      </c>
    </row>
    <row r="40">
      <c r="A40" s="5" t="s">
        <v>191</v>
      </c>
      <c r="B40" s="6">
        <v>1.6004963081417838</v>
      </c>
    </row>
    <row r="41">
      <c r="A41" s="5" t="s">
        <v>62</v>
      </c>
      <c r="B41" s="6">
        <v>1.3207248792541737</v>
      </c>
    </row>
    <row r="42">
      <c r="A42" s="5" t="s">
        <v>50</v>
      </c>
      <c r="B42" s="6">
        <v>1.0200192447907916</v>
      </c>
    </row>
    <row r="43">
      <c r="A43" s="5" t="s">
        <v>55</v>
      </c>
      <c r="B43" s="6">
        <v>0.7607318147749762</v>
      </c>
    </row>
    <row r="44">
      <c r="A44" s="5" t="s">
        <v>227</v>
      </c>
      <c r="B44" s="6">
        <v>0.6997132062232172</v>
      </c>
    </row>
    <row r="45">
      <c r="A45" s="5" t="s">
        <v>212</v>
      </c>
      <c r="B45" s="6">
        <v>0.6582061819575723</v>
      </c>
    </row>
    <row r="46">
      <c r="A46" s="5" t="s">
        <v>33</v>
      </c>
      <c r="B46" s="6">
        <v>0.6297038334071847</v>
      </c>
    </row>
    <row r="47">
      <c r="A47" s="5" t="s">
        <v>49</v>
      </c>
      <c r="B47" s="6">
        <v>0.6262183348078025</v>
      </c>
    </row>
    <row r="48">
      <c r="A48" s="5" t="s">
        <v>34</v>
      </c>
      <c r="B48" s="6">
        <v>0.6166991576919273</v>
      </c>
    </row>
    <row r="49">
      <c r="A49" s="5" t="s">
        <v>114</v>
      </c>
      <c r="B49" s="6">
        <v>0.6166991576919273</v>
      </c>
    </row>
    <row r="50">
      <c r="A50" s="5" t="s">
        <v>147</v>
      </c>
      <c r="B50" s="6">
        <v>0.6166991576919273</v>
      </c>
    </row>
    <row r="51">
      <c r="A51" s="5" t="s">
        <v>348</v>
      </c>
      <c r="B51" s="6">
        <v>0.6166991576919273</v>
      </c>
    </row>
    <row r="52">
      <c r="A52" s="5" t="s">
        <v>86</v>
      </c>
      <c r="B52" s="6">
        <v>0.6166991576919273</v>
      </c>
    </row>
    <row r="53">
      <c r="A53" s="5" t="s">
        <v>347</v>
      </c>
      <c r="B53" s="6">
        <v>0.6166991576919273</v>
      </c>
    </row>
    <row r="54">
      <c r="A54" s="5" t="s">
        <v>24</v>
      </c>
      <c r="B54" s="6">
        <v>0.6166991576919273</v>
      </c>
    </row>
    <row r="55">
      <c r="A55" s="5" t="s">
        <v>346</v>
      </c>
      <c r="B55" s="6">
        <v>0.6166991576919273</v>
      </c>
    </row>
    <row r="56">
      <c r="A56" s="5" t="s">
        <v>345</v>
      </c>
      <c r="B56" s="6">
        <v>0.6166991576919273</v>
      </c>
    </row>
    <row r="57">
      <c r="A57" s="5" t="s">
        <v>82</v>
      </c>
      <c r="B57" s="6">
        <v>0.6166991576919273</v>
      </c>
    </row>
    <row r="58">
      <c r="A58" s="5" t="s">
        <v>344</v>
      </c>
      <c r="B58" s="6">
        <v>0.6166991576919273</v>
      </c>
    </row>
    <row r="59">
      <c r="A59" s="5" t="s">
        <v>232</v>
      </c>
      <c r="B59" s="6">
        <v>0.6166991576919273</v>
      </c>
    </row>
    <row r="60">
      <c r="A60" s="5" t="s">
        <v>54</v>
      </c>
      <c r="B60" s="6">
        <v>0.6166991576919273</v>
      </c>
    </row>
    <row r="61">
      <c r="A61" s="5" t="s">
        <v>342</v>
      </c>
      <c r="B61" s="6">
        <v>0.6166991576919273</v>
      </c>
    </row>
    <row r="62">
      <c r="A62" s="5" t="s">
        <v>261</v>
      </c>
      <c r="B62" s="6">
        <v>0.6166991576919273</v>
      </c>
    </row>
    <row r="63">
      <c r="A63" s="5" t="s">
        <v>343</v>
      </c>
      <c r="B63" s="6">
        <v>0.6166991576919273</v>
      </c>
    </row>
    <row r="64">
      <c r="A64" s="5" t="s">
        <v>77</v>
      </c>
      <c r="B64" s="6">
        <v>0.6166991576919273</v>
      </c>
    </row>
    <row r="65">
      <c r="A65" s="5" t="s">
        <v>272</v>
      </c>
      <c r="B65" s="6">
        <v>0.6166991576919273</v>
      </c>
    </row>
    <row r="66">
      <c r="A66" s="5" t="s">
        <v>19</v>
      </c>
      <c r="B66" s="6">
        <v>0.6166991576919273</v>
      </c>
    </row>
    <row r="67">
      <c r="A67" s="5" t="s">
        <v>155</v>
      </c>
      <c r="B67" s="6">
        <v>0.6166991576919273</v>
      </c>
    </row>
    <row r="68">
      <c r="A68" s="5" t="s">
        <v>201</v>
      </c>
      <c r="B68" s="6">
        <v>0.6166991576919273</v>
      </c>
    </row>
    <row r="69">
      <c r="A69" s="5" t="s">
        <v>69</v>
      </c>
      <c r="B69" s="6">
        <v>0.6166991576919273</v>
      </c>
    </row>
    <row r="70">
      <c r="A70" s="5" t="s">
        <v>341</v>
      </c>
      <c r="B70" s="6">
        <v>0.6166991576919273</v>
      </c>
    </row>
    <row r="71">
      <c r="A71" s="5" t="s">
        <v>96</v>
      </c>
      <c r="B71" s="6">
        <v>0.6166991576919273</v>
      </c>
    </row>
    <row r="72">
      <c r="A72" s="5" t="s">
        <v>112</v>
      </c>
      <c r="B72" s="6">
        <v>0.6166991576919273</v>
      </c>
    </row>
    <row r="73">
      <c r="A73" s="5" t="s">
        <v>88</v>
      </c>
      <c r="B73" s="6">
        <v>0.6166991576919273</v>
      </c>
    </row>
    <row r="74">
      <c r="A74" s="5" t="s">
        <v>120</v>
      </c>
      <c r="B74" s="6">
        <v>0.6166991576919273</v>
      </c>
    </row>
    <row r="75">
      <c r="A75" s="5" t="s">
        <v>160</v>
      </c>
      <c r="B75" s="6">
        <v>0.6166991576919273</v>
      </c>
    </row>
    <row r="76">
      <c r="A76" s="5" t="s">
        <v>64</v>
      </c>
      <c r="B76" s="6">
        <v>0.6166991576919273</v>
      </c>
    </row>
    <row r="77">
      <c r="A77" s="5" t="s">
        <v>231</v>
      </c>
      <c r="B77" s="6">
        <v>0.6166991576919273</v>
      </c>
    </row>
    <row r="78">
      <c r="A78" s="5" t="s">
        <v>260</v>
      </c>
      <c r="B78" s="6">
        <v>0.6166991576919273</v>
      </c>
    </row>
    <row r="79">
      <c r="A79" s="5" t="s">
        <v>29</v>
      </c>
      <c r="B79" s="6">
        <v>0.49483667124509045</v>
      </c>
    </row>
    <row r="80">
      <c r="A80" s="5" t="s">
        <v>172</v>
      </c>
      <c r="B80" s="6">
        <v>0.34693462847918954</v>
      </c>
    </row>
    <row r="81">
      <c r="A81" s="5" t="s">
        <v>59</v>
      </c>
      <c r="B81" s="6">
        <v>0.07790465789488682</v>
      </c>
    </row>
    <row r="82">
      <c r="A82" s="5"/>
      <c r="B82" s="6"/>
    </row>
    <row r="83">
      <c r="A83" s="5"/>
      <c r="B83" s="6"/>
    </row>
    <row r="84">
      <c r="A84" s="5"/>
      <c r="B84" s="6"/>
    </row>
    <row r="85">
      <c r="A85" s="5"/>
      <c r="B85" s="6"/>
    </row>
    <row r="86">
      <c r="A86" s="5"/>
      <c r="B86" s="6"/>
    </row>
    <row r="87">
      <c r="A87" s="5"/>
      <c r="B87" s="6"/>
    </row>
    <row r="88">
      <c r="A88" s="5"/>
      <c r="B88" s="6"/>
    </row>
    <row r="89">
      <c r="A89" s="5"/>
      <c r="B89" s="6"/>
    </row>
    <row r="90">
      <c r="A90" s="5"/>
      <c r="B90" s="6"/>
    </row>
    <row r="91">
      <c r="A91" s="5"/>
      <c r="B91" s="6"/>
    </row>
    <row r="92">
      <c r="A92" s="5"/>
      <c r="B92" s="6"/>
    </row>
    <row r="93">
      <c r="A93" s="5"/>
      <c r="B93" s="6"/>
    </row>
    <row r="94">
      <c r="A94" s="5"/>
      <c r="B94" s="6"/>
    </row>
    <row r="95">
      <c r="A95" s="5"/>
      <c r="B95" s="6"/>
    </row>
    <row r="96">
      <c r="A96" s="5"/>
      <c r="B96" s="6"/>
    </row>
    <row r="97">
      <c r="A97" s="5"/>
      <c r="B97" s="6"/>
    </row>
    <row r="98">
      <c r="A98" s="5"/>
      <c r="B98" s="6"/>
    </row>
    <row r="99">
      <c r="A99" s="5"/>
      <c r="B99" s="6"/>
    </row>
    <row r="100">
      <c r="A100" s="5"/>
      <c r="B100" s="6"/>
    </row>
    <row r="101">
      <c r="A101" s="5"/>
      <c r="B101" s="6"/>
    </row>
    <row r="102">
      <c r="A102" s="5"/>
      <c r="B102" s="6"/>
    </row>
    <row r="103">
      <c r="A103" s="5"/>
      <c r="B103" s="6"/>
    </row>
    <row r="104">
      <c r="A104" s="5"/>
      <c r="B104" s="6"/>
    </row>
    <row r="105">
      <c r="A105" s="5"/>
      <c r="B105" s="6"/>
    </row>
    <row r="106">
      <c r="A106" s="5"/>
      <c r="B106" s="6"/>
    </row>
    <row r="107">
      <c r="A107" s="5"/>
      <c r="B107" s="6"/>
    </row>
    <row r="108">
      <c r="A108" s="5"/>
      <c r="B108" s="6"/>
    </row>
    <row r="109">
      <c r="A109" s="5"/>
      <c r="B109" s="6"/>
    </row>
    <row r="110">
      <c r="A110" s="5"/>
      <c r="B110" s="6"/>
    </row>
    <row r="111">
      <c r="A111" s="5"/>
      <c r="B111" s="6"/>
    </row>
    <row r="112">
      <c r="A112" s="5"/>
      <c r="B112" s="6"/>
    </row>
    <row r="113">
      <c r="A113" s="5"/>
      <c r="B113" s="6"/>
    </row>
    <row r="114">
      <c r="A114" s="5"/>
      <c r="B114" s="6"/>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85">
    <sortState ref="A2:U85">
      <sortCondition descending="1" ref="B2:B8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7" width="8.43"/>
    <col customWidth="1" min="8" max="8" width="7.43"/>
    <col customWidth="1" min="9" max="9" width="9.86"/>
    <col customWidth="1" min="10" max="10" width="8.86"/>
    <col customWidth="1" min="13" max="13" width="16.0"/>
  </cols>
  <sheetData>
    <row r="1">
      <c r="A1" s="133"/>
      <c r="B1" s="359"/>
      <c r="C1" s="360"/>
      <c r="D1" s="136"/>
      <c r="E1" s="323"/>
      <c r="F1" s="138" t="s">
        <v>416</v>
      </c>
      <c r="G1" s="139">
        <v>960.0</v>
      </c>
      <c r="H1" s="139">
        <v>600.0</v>
      </c>
      <c r="I1" s="139">
        <v>700.5</v>
      </c>
      <c r="J1" s="140">
        <f>AVERAGE(G1:I1)</f>
        <v>753.5</v>
      </c>
      <c r="K1" s="141" t="s">
        <v>417</v>
      </c>
      <c r="L1" s="142">
        <f>countif(J4:J969, "&gt;0.000001")</f>
        <v>380</v>
      </c>
      <c r="M1" s="141" t="s">
        <v>418</v>
      </c>
      <c r="N1" s="143">
        <f>754/380</f>
        <v>1.984210526</v>
      </c>
      <c r="O1" s="144" t="s">
        <v>419</v>
      </c>
      <c r="P1" s="145"/>
      <c r="Q1" s="145"/>
      <c r="R1" s="145"/>
      <c r="S1" s="145"/>
      <c r="T1" s="145"/>
      <c r="U1" s="145"/>
    </row>
    <row r="2">
      <c r="A2" s="146"/>
      <c r="B2" s="134" t="s">
        <v>2487</v>
      </c>
      <c r="C2" s="234" t="s">
        <v>421</v>
      </c>
      <c r="D2" s="148"/>
      <c r="E2" s="323"/>
      <c r="F2" s="149" t="s">
        <v>422</v>
      </c>
      <c r="G2" s="139">
        <f t="shared" ref="G2:K2" si="1">sum(G4:G482)</f>
        <v>8833</v>
      </c>
      <c r="H2" s="139">
        <f t="shared" si="1"/>
        <v>27879</v>
      </c>
      <c r="I2" s="139">
        <f t="shared" si="1"/>
        <v>23112</v>
      </c>
      <c r="J2" s="150">
        <f t="shared" si="1"/>
        <v>1</v>
      </c>
      <c r="K2" s="151">
        <f t="shared" si="1"/>
        <v>534.4380395</v>
      </c>
      <c r="L2" s="152" t="s">
        <v>416</v>
      </c>
      <c r="M2" s="153"/>
      <c r="N2" s="153" t="s">
        <v>423</v>
      </c>
      <c r="O2" s="145"/>
      <c r="P2" s="145"/>
      <c r="Q2" s="145"/>
      <c r="R2" s="145"/>
      <c r="S2" s="145"/>
      <c r="T2" s="145"/>
      <c r="U2" s="145"/>
    </row>
    <row r="3">
      <c r="A3" s="154" t="s">
        <v>424</v>
      </c>
      <c r="B3" s="154" t="s">
        <v>425</v>
      </c>
      <c r="C3" s="235" t="s">
        <v>426</v>
      </c>
      <c r="D3" s="156"/>
      <c r="E3" s="324" t="s">
        <v>427</v>
      </c>
      <c r="F3" s="158" t="s">
        <v>428</v>
      </c>
      <c r="G3" s="159" t="s">
        <v>3161</v>
      </c>
      <c r="H3" s="159" t="s">
        <v>2179</v>
      </c>
      <c r="I3" s="159" t="s">
        <v>3162</v>
      </c>
      <c r="J3" s="160" t="s">
        <v>432</v>
      </c>
      <c r="K3" s="161" t="s">
        <v>433</v>
      </c>
      <c r="L3" s="162" t="s">
        <v>434</v>
      </c>
      <c r="M3" s="161"/>
      <c r="N3" s="163">
        <f>IFERROR(__xludf.DUMMYFUNCTION("query(iferror(sort({row(A3:A482)-row(A3)+2-match(sort(A3:A482),sort(A3:A482),0),SORT(ROW(A3:A482)+2-row(A3)+2,A3:A482,1)},2,1),),""Select Col1"")"),1.0)</f>
        <v>1</v>
      </c>
      <c r="O3" s="164"/>
      <c r="P3" s="164"/>
      <c r="Q3" s="164"/>
      <c r="R3" s="164"/>
      <c r="S3" s="164"/>
      <c r="T3" s="164"/>
      <c r="U3" s="164"/>
      <c r="V3" s="164"/>
      <c r="W3" s="164"/>
      <c r="X3" s="164"/>
      <c r="Y3" s="164"/>
      <c r="Z3" s="164"/>
    </row>
    <row r="4">
      <c r="A4" s="226" t="s">
        <v>4</v>
      </c>
      <c r="B4" s="226" t="s">
        <v>18</v>
      </c>
      <c r="C4" s="250" t="s">
        <v>3163</v>
      </c>
      <c r="D4" s="268" t="s">
        <v>495</v>
      </c>
      <c r="E4" s="361">
        <v>44172.0</v>
      </c>
      <c r="F4" s="250" t="s">
        <v>496</v>
      </c>
      <c r="G4" s="176"/>
      <c r="H4" s="243"/>
      <c r="I4" s="171"/>
      <c r="J4" s="325">
        <f t="shared" ref="J4:J241" si="2">(G4/$G$2+H4/$H$2+I4/$I$2)/3</f>
        <v>0</v>
      </c>
      <c r="K4" s="326">
        <f t="shared" ref="K4:K31" si="3">$N$1</f>
        <v>1.984210526</v>
      </c>
      <c r="L4" s="327">
        <f t="shared" ref="L4:L482" si="4">dsum($A$3:$K482,"IH per Praise",{$A$3;A4})</f>
        <v>55.55789474</v>
      </c>
      <c r="M4" s="321" t="str">
        <f t="shared" ref="M4:M482" si="5">A4</f>
        <v>santigs67</v>
      </c>
      <c r="N4" s="176">
        <f>IFERROR(__xludf.DUMMYFUNCTION("""COMPUTED_VALUE"""),1.0)</f>
        <v>1</v>
      </c>
      <c r="O4" s="243"/>
      <c r="P4" s="243"/>
      <c r="Q4" s="243"/>
      <c r="R4" s="243"/>
      <c r="S4" s="243"/>
      <c r="T4" s="243"/>
      <c r="U4" s="176"/>
      <c r="V4" s="176"/>
      <c r="W4" s="176"/>
      <c r="X4" s="176"/>
      <c r="Y4" s="176"/>
      <c r="Z4" s="176"/>
    </row>
    <row r="5">
      <c r="A5" s="226" t="s">
        <v>4</v>
      </c>
      <c r="B5" s="226" t="s">
        <v>18</v>
      </c>
      <c r="C5" s="250" t="s">
        <v>3164</v>
      </c>
      <c r="D5" s="268" t="s">
        <v>495</v>
      </c>
      <c r="E5" s="361">
        <v>44172.0</v>
      </c>
      <c r="F5" s="250" t="s">
        <v>496</v>
      </c>
      <c r="G5" s="176"/>
      <c r="H5" s="243"/>
      <c r="I5" s="171"/>
      <c r="J5" s="325">
        <f t="shared" si="2"/>
        <v>0</v>
      </c>
      <c r="K5" s="326">
        <f t="shared" si="3"/>
        <v>1.984210526</v>
      </c>
      <c r="L5" s="327">
        <f t="shared" si="4"/>
        <v>55.55789474</v>
      </c>
      <c r="M5" s="321" t="str">
        <f t="shared" si="5"/>
        <v>santigs67</v>
      </c>
      <c r="N5" s="176">
        <f>IFERROR(__xludf.DUMMYFUNCTION("""COMPUTED_VALUE"""),2.0)</f>
        <v>2</v>
      </c>
      <c r="O5" s="243"/>
      <c r="P5" s="243"/>
      <c r="Q5" s="243"/>
      <c r="R5" s="243"/>
      <c r="S5" s="243"/>
      <c r="T5" s="243"/>
      <c r="U5" s="176"/>
      <c r="V5" s="176"/>
      <c r="W5" s="176"/>
      <c r="X5" s="176"/>
      <c r="Y5" s="176"/>
      <c r="Z5" s="176"/>
    </row>
    <row r="6">
      <c r="A6" s="226" t="s">
        <v>4</v>
      </c>
      <c r="B6" s="226" t="s">
        <v>590</v>
      </c>
      <c r="C6" s="250" t="s">
        <v>3165</v>
      </c>
      <c r="D6" s="268" t="s">
        <v>495</v>
      </c>
      <c r="E6" s="361">
        <v>44172.0</v>
      </c>
      <c r="F6" s="250" t="s">
        <v>496</v>
      </c>
      <c r="G6" s="176"/>
      <c r="H6" s="243"/>
      <c r="I6" s="243"/>
      <c r="J6" s="325">
        <f t="shared" si="2"/>
        <v>0</v>
      </c>
      <c r="K6" s="326">
        <f t="shared" si="3"/>
        <v>1.984210526</v>
      </c>
      <c r="L6" s="327">
        <f t="shared" si="4"/>
        <v>55.55789474</v>
      </c>
      <c r="M6" s="321" t="str">
        <f t="shared" si="5"/>
        <v>santigs67</v>
      </c>
      <c r="N6" s="176">
        <f>IFERROR(__xludf.DUMMYFUNCTION("""COMPUTED_VALUE"""),3.0)</f>
        <v>3</v>
      </c>
      <c r="O6" s="243"/>
      <c r="P6" s="243"/>
      <c r="Q6" s="243"/>
      <c r="R6" s="243"/>
      <c r="S6" s="243"/>
      <c r="T6" s="243"/>
      <c r="U6" s="176"/>
      <c r="V6" s="176"/>
      <c r="W6" s="176"/>
      <c r="X6" s="176"/>
      <c r="Y6" s="176"/>
      <c r="Z6" s="176"/>
    </row>
    <row r="7">
      <c r="A7" s="226" t="s">
        <v>4</v>
      </c>
      <c r="B7" s="226" t="s">
        <v>590</v>
      </c>
      <c r="C7" s="250" t="s">
        <v>3166</v>
      </c>
      <c r="D7" s="268" t="s">
        <v>495</v>
      </c>
      <c r="E7" s="361">
        <v>44173.0</v>
      </c>
      <c r="F7" s="250" t="s">
        <v>496</v>
      </c>
      <c r="G7" s="176"/>
      <c r="H7" s="243"/>
      <c r="I7" s="243"/>
      <c r="J7" s="325">
        <f t="shared" si="2"/>
        <v>0</v>
      </c>
      <c r="K7" s="326">
        <f t="shared" si="3"/>
        <v>1.984210526</v>
      </c>
      <c r="L7" s="327">
        <f t="shared" si="4"/>
        <v>55.55789474</v>
      </c>
      <c r="M7" s="321" t="str">
        <f t="shared" si="5"/>
        <v>santigs67</v>
      </c>
      <c r="N7" s="176">
        <f>IFERROR(__xludf.DUMMYFUNCTION("""COMPUTED_VALUE"""),4.0)</f>
        <v>4</v>
      </c>
      <c r="O7" s="243"/>
      <c r="P7" s="243"/>
      <c r="Q7" s="243"/>
      <c r="R7" s="243"/>
      <c r="S7" s="243"/>
      <c r="T7" s="243"/>
      <c r="U7" s="176"/>
      <c r="V7" s="176"/>
      <c r="W7" s="176"/>
      <c r="X7" s="176"/>
      <c r="Y7" s="176"/>
      <c r="Z7" s="176"/>
    </row>
    <row r="8">
      <c r="A8" s="226" t="s">
        <v>4</v>
      </c>
      <c r="B8" s="226" t="s">
        <v>519</v>
      </c>
      <c r="C8" s="250" t="s">
        <v>3167</v>
      </c>
      <c r="D8" s="268" t="s">
        <v>495</v>
      </c>
      <c r="E8" s="361">
        <v>44174.0</v>
      </c>
      <c r="F8" s="250" t="s">
        <v>499</v>
      </c>
      <c r="G8" s="176"/>
      <c r="H8" s="243"/>
      <c r="I8" s="243"/>
      <c r="J8" s="325">
        <f t="shared" si="2"/>
        <v>0</v>
      </c>
      <c r="K8" s="326">
        <f t="shared" si="3"/>
        <v>1.984210526</v>
      </c>
      <c r="L8" s="327">
        <f t="shared" si="4"/>
        <v>55.55789474</v>
      </c>
      <c r="M8" s="321" t="str">
        <f t="shared" si="5"/>
        <v>santigs67</v>
      </c>
      <c r="N8" s="176">
        <f>IFERROR(__xludf.DUMMYFUNCTION("""COMPUTED_VALUE"""),5.0)</f>
        <v>5</v>
      </c>
      <c r="O8" s="243"/>
      <c r="P8" s="243"/>
      <c r="Q8" s="243"/>
      <c r="R8" s="243"/>
      <c r="S8" s="243"/>
      <c r="T8" s="243"/>
      <c r="U8" s="176"/>
      <c r="V8" s="176"/>
      <c r="W8" s="176"/>
      <c r="X8" s="176"/>
      <c r="Y8" s="176"/>
      <c r="Z8" s="176"/>
    </row>
    <row r="9">
      <c r="A9" s="226" t="s">
        <v>4</v>
      </c>
      <c r="B9" s="226" t="s">
        <v>18</v>
      </c>
      <c r="C9" s="250" t="s">
        <v>3168</v>
      </c>
      <c r="D9" s="268" t="s">
        <v>495</v>
      </c>
      <c r="E9" s="361">
        <v>44174.0</v>
      </c>
      <c r="F9" s="250" t="s">
        <v>496</v>
      </c>
      <c r="G9" s="176"/>
      <c r="H9" s="243"/>
      <c r="I9" s="243"/>
      <c r="J9" s="325">
        <f t="shared" si="2"/>
        <v>0</v>
      </c>
      <c r="K9" s="326">
        <f t="shared" si="3"/>
        <v>1.984210526</v>
      </c>
      <c r="L9" s="327">
        <f t="shared" si="4"/>
        <v>55.55789474</v>
      </c>
      <c r="M9" s="321" t="str">
        <f t="shared" si="5"/>
        <v>santigs67</v>
      </c>
      <c r="N9" s="176">
        <f>IFERROR(__xludf.DUMMYFUNCTION("""COMPUTED_VALUE"""),6.0)</f>
        <v>6</v>
      </c>
      <c r="O9" s="243"/>
      <c r="P9" s="243"/>
      <c r="Q9" s="243"/>
      <c r="R9" s="243"/>
      <c r="S9" s="243"/>
      <c r="T9" s="243"/>
      <c r="U9" s="176"/>
      <c r="V9" s="176"/>
      <c r="W9" s="176"/>
      <c r="X9" s="176"/>
      <c r="Y9" s="176"/>
      <c r="Z9" s="176"/>
    </row>
    <row r="10">
      <c r="A10" s="226" t="s">
        <v>4</v>
      </c>
      <c r="B10" s="226" t="s">
        <v>18</v>
      </c>
      <c r="C10" s="250" t="s">
        <v>3169</v>
      </c>
      <c r="D10" s="268" t="s">
        <v>495</v>
      </c>
      <c r="E10" s="361">
        <v>44174.0</v>
      </c>
      <c r="F10" s="250" t="s">
        <v>496</v>
      </c>
      <c r="G10" s="176"/>
      <c r="H10" s="243"/>
      <c r="I10" s="243"/>
      <c r="J10" s="325">
        <f t="shared" si="2"/>
        <v>0</v>
      </c>
      <c r="K10" s="326">
        <f t="shared" si="3"/>
        <v>1.984210526</v>
      </c>
      <c r="L10" s="327">
        <f t="shared" si="4"/>
        <v>55.55789474</v>
      </c>
      <c r="M10" s="321" t="str">
        <f t="shared" si="5"/>
        <v>santigs67</v>
      </c>
      <c r="N10" s="176">
        <f>IFERROR(__xludf.DUMMYFUNCTION("""COMPUTED_VALUE"""),7.0)</f>
        <v>7</v>
      </c>
      <c r="O10" s="243"/>
      <c r="P10" s="243"/>
      <c r="Q10" s="243"/>
      <c r="R10" s="243"/>
      <c r="S10" s="243"/>
      <c r="T10" s="243"/>
      <c r="U10" s="176"/>
      <c r="V10" s="176"/>
      <c r="W10" s="176"/>
      <c r="X10" s="176"/>
      <c r="Y10" s="176"/>
      <c r="Z10" s="176"/>
    </row>
    <row r="11">
      <c r="A11" s="226" t="s">
        <v>4</v>
      </c>
      <c r="B11" s="226" t="s">
        <v>5</v>
      </c>
      <c r="C11" s="250" t="s">
        <v>3170</v>
      </c>
      <c r="D11" s="268" t="s">
        <v>495</v>
      </c>
      <c r="E11" s="251">
        <v>44175.0</v>
      </c>
      <c r="F11" s="250" t="s">
        <v>496</v>
      </c>
      <c r="G11" s="176"/>
      <c r="H11" s="243"/>
      <c r="I11" s="243"/>
      <c r="J11" s="325">
        <f t="shared" si="2"/>
        <v>0</v>
      </c>
      <c r="K11" s="326">
        <f t="shared" si="3"/>
        <v>1.984210526</v>
      </c>
      <c r="L11" s="327">
        <f t="shared" si="4"/>
        <v>55.55789474</v>
      </c>
      <c r="M11" s="321" t="str">
        <f t="shared" si="5"/>
        <v>santigs67</v>
      </c>
      <c r="N11" s="176">
        <f>IFERROR(__xludf.DUMMYFUNCTION("""COMPUTED_VALUE"""),8.0)</f>
        <v>8</v>
      </c>
      <c r="O11" s="243"/>
      <c r="P11" s="243"/>
      <c r="Q11" s="243"/>
      <c r="R11" s="243"/>
      <c r="S11" s="243"/>
      <c r="T11" s="243"/>
      <c r="U11" s="176"/>
      <c r="V11" s="176"/>
      <c r="W11" s="176"/>
      <c r="X11" s="176"/>
      <c r="Y11" s="176"/>
      <c r="Z11" s="176"/>
    </row>
    <row r="12">
      <c r="A12" s="226" t="s">
        <v>4</v>
      </c>
      <c r="B12" s="226" t="s">
        <v>5</v>
      </c>
      <c r="C12" s="250" t="s">
        <v>3171</v>
      </c>
      <c r="D12" s="268" t="s">
        <v>495</v>
      </c>
      <c r="E12" s="251">
        <v>44175.0</v>
      </c>
      <c r="F12" s="250" t="s">
        <v>496</v>
      </c>
      <c r="G12" s="176"/>
      <c r="H12" s="243"/>
      <c r="I12" s="243"/>
      <c r="J12" s="325">
        <f t="shared" si="2"/>
        <v>0</v>
      </c>
      <c r="K12" s="326">
        <f t="shared" si="3"/>
        <v>1.984210526</v>
      </c>
      <c r="L12" s="327">
        <f t="shared" si="4"/>
        <v>55.55789474</v>
      </c>
      <c r="M12" s="321" t="str">
        <f t="shared" si="5"/>
        <v>santigs67</v>
      </c>
      <c r="N12" s="176">
        <f>IFERROR(__xludf.DUMMYFUNCTION("""COMPUTED_VALUE"""),9.0)</f>
        <v>9</v>
      </c>
      <c r="O12" s="243"/>
      <c r="P12" s="243"/>
      <c r="Q12" s="243"/>
      <c r="R12" s="243"/>
      <c r="S12" s="243"/>
      <c r="T12" s="243"/>
      <c r="U12" s="176"/>
      <c r="V12" s="176"/>
      <c r="W12" s="176"/>
      <c r="X12" s="176"/>
      <c r="Y12" s="176"/>
      <c r="Z12" s="176"/>
    </row>
    <row r="13">
      <c r="A13" s="226" t="s">
        <v>4</v>
      </c>
      <c r="B13" s="226" t="s">
        <v>10</v>
      </c>
      <c r="C13" s="250" t="s">
        <v>3172</v>
      </c>
      <c r="D13" s="268" t="s">
        <v>495</v>
      </c>
      <c r="E13" s="251">
        <v>44176.0</v>
      </c>
      <c r="F13" s="250" t="s">
        <v>496</v>
      </c>
      <c r="G13" s="176"/>
      <c r="H13" s="243"/>
      <c r="I13" s="243"/>
      <c r="J13" s="325">
        <f t="shared" si="2"/>
        <v>0</v>
      </c>
      <c r="K13" s="326">
        <f t="shared" si="3"/>
        <v>1.984210526</v>
      </c>
      <c r="L13" s="327">
        <f t="shared" si="4"/>
        <v>55.55789474</v>
      </c>
      <c r="M13" s="321" t="str">
        <f t="shared" si="5"/>
        <v>santigs67</v>
      </c>
      <c r="N13" s="176">
        <f>IFERROR(__xludf.DUMMYFUNCTION("""COMPUTED_VALUE"""),10.0)</f>
        <v>10</v>
      </c>
      <c r="O13" s="243"/>
      <c r="P13" s="243"/>
      <c r="Q13" s="243"/>
      <c r="R13" s="243"/>
      <c r="S13" s="243"/>
      <c r="T13" s="243"/>
      <c r="U13" s="176"/>
      <c r="V13" s="176"/>
      <c r="W13" s="176"/>
      <c r="X13" s="176"/>
      <c r="Y13" s="176"/>
      <c r="Z13" s="176"/>
    </row>
    <row r="14">
      <c r="A14" s="226" t="s">
        <v>4</v>
      </c>
      <c r="B14" s="226" t="s">
        <v>10</v>
      </c>
      <c r="C14" s="250" t="s">
        <v>3173</v>
      </c>
      <c r="D14" s="268" t="s">
        <v>495</v>
      </c>
      <c r="E14" s="251">
        <v>44176.0</v>
      </c>
      <c r="F14" s="250" t="s">
        <v>496</v>
      </c>
      <c r="G14" s="176"/>
      <c r="H14" s="243"/>
      <c r="I14" s="243"/>
      <c r="J14" s="325">
        <f t="shared" si="2"/>
        <v>0</v>
      </c>
      <c r="K14" s="326">
        <f t="shared" si="3"/>
        <v>1.984210526</v>
      </c>
      <c r="L14" s="327">
        <f t="shared" si="4"/>
        <v>55.55789474</v>
      </c>
      <c r="M14" s="321" t="str">
        <f t="shared" si="5"/>
        <v>santigs67</v>
      </c>
      <c r="N14" s="176">
        <f>IFERROR(__xludf.DUMMYFUNCTION("""COMPUTED_VALUE"""),11.0)</f>
        <v>11</v>
      </c>
      <c r="O14" s="243"/>
      <c r="P14" s="243"/>
      <c r="Q14" s="243"/>
      <c r="R14" s="243"/>
      <c r="S14" s="243"/>
      <c r="T14" s="243"/>
      <c r="U14" s="176"/>
      <c r="V14" s="176"/>
      <c r="W14" s="176"/>
      <c r="X14" s="176"/>
      <c r="Y14" s="176"/>
      <c r="Z14" s="176"/>
    </row>
    <row r="15">
      <c r="A15" s="226" t="s">
        <v>4</v>
      </c>
      <c r="B15" s="226" t="s">
        <v>10</v>
      </c>
      <c r="C15" s="250" t="s">
        <v>3174</v>
      </c>
      <c r="D15" s="268" t="s">
        <v>495</v>
      </c>
      <c r="E15" s="251">
        <v>44176.0</v>
      </c>
      <c r="F15" s="250" t="s">
        <v>496</v>
      </c>
      <c r="G15" s="176"/>
      <c r="H15" s="243"/>
      <c r="I15" s="243"/>
      <c r="J15" s="325">
        <f t="shared" si="2"/>
        <v>0</v>
      </c>
      <c r="K15" s="326">
        <f t="shared" si="3"/>
        <v>1.984210526</v>
      </c>
      <c r="L15" s="327">
        <f t="shared" si="4"/>
        <v>55.55789474</v>
      </c>
      <c r="M15" s="321" t="str">
        <f t="shared" si="5"/>
        <v>santigs67</v>
      </c>
      <c r="N15" s="176">
        <f>IFERROR(__xludf.DUMMYFUNCTION("""COMPUTED_VALUE"""),12.0)</f>
        <v>12</v>
      </c>
      <c r="O15" s="243"/>
      <c r="P15" s="243"/>
      <c r="Q15" s="243"/>
      <c r="R15" s="243"/>
      <c r="S15" s="243"/>
      <c r="T15" s="243"/>
      <c r="U15" s="176"/>
      <c r="V15" s="176"/>
      <c r="W15" s="176"/>
      <c r="X15" s="176"/>
      <c r="Y15" s="176"/>
      <c r="Z15" s="176"/>
    </row>
    <row r="16">
      <c r="A16" s="226" t="s">
        <v>4</v>
      </c>
      <c r="B16" s="226" t="s">
        <v>10</v>
      </c>
      <c r="C16" s="250" t="s">
        <v>3175</v>
      </c>
      <c r="D16" s="268" t="s">
        <v>495</v>
      </c>
      <c r="E16" s="251">
        <v>44176.0</v>
      </c>
      <c r="F16" s="250" t="s">
        <v>496</v>
      </c>
      <c r="G16" s="176"/>
      <c r="H16" s="243"/>
      <c r="I16" s="243"/>
      <c r="J16" s="325">
        <f t="shared" si="2"/>
        <v>0</v>
      </c>
      <c r="K16" s="326">
        <f t="shared" si="3"/>
        <v>1.984210526</v>
      </c>
      <c r="L16" s="327">
        <f t="shared" si="4"/>
        <v>55.55789474</v>
      </c>
      <c r="M16" s="321" t="str">
        <f t="shared" si="5"/>
        <v>santigs67</v>
      </c>
      <c r="N16" s="176">
        <f>IFERROR(__xludf.DUMMYFUNCTION("""COMPUTED_VALUE"""),13.0)</f>
        <v>13</v>
      </c>
      <c r="O16" s="243"/>
      <c r="P16" s="243"/>
      <c r="Q16" s="243"/>
      <c r="R16" s="243"/>
      <c r="S16" s="243"/>
      <c r="T16" s="243"/>
      <c r="U16" s="176"/>
      <c r="V16" s="176"/>
      <c r="W16" s="176"/>
      <c r="X16" s="176"/>
      <c r="Y16" s="176"/>
      <c r="Z16" s="176"/>
    </row>
    <row r="17">
      <c r="A17" s="226" t="s">
        <v>4</v>
      </c>
      <c r="B17" s="226" t="s">
        <v>10</v>
      </c>
      <c r="C17" s="250" t="s">
        <v>3176</v>
      </c>
      <c r="D17" s="268" t="s">
        <v>495</v>
      </c>
      <c r="E17" s="251">
        <v>44176.0</v>
      </c>
      <c r="F17" s="250" t="s">
        <v>496</v>
      </c>
      <c r="G17" s="176"/>
      <c r="H17" s="243"/>
      <c r="I17" s="243"/>
      <c r="J17" s="325">
        <f t="shared" si="2"/>
        <v>0</v>
      </c>
      <c r="K17" s="326">
        <f t="shared" si="3"/>
        <v>1.984210526</v>
      </c>
      <c r="L17" s="327">
        <f t="shared" si="4"/>
        <v>55.55789474</v>
      </c>
      <c r="M17" s="321" t="str">
        <f t="shared" si="5"/>
        <v>santigs67</v>
      </c>
      <c r="N17" s="176">
        <f>IFERROR(__xludf.DUMMYFUNCTION("""COMPUTED_VALUE"""),14.0)</f>
        <v>14</v>
      </c>
      <c r="O17" s="243"/>
      <c r="P17" s="243"/>
      <c r="Q17" s="243"/>
      <c r="R17" s="243"/>
      <c r="S17" s="243"/>
      <c r="T17" s="243"/>
      <c r="U17" s="176"/>
      <c r="V17" s="176"/>
      <c r="W17" s="176"/>
      <c r="X17" s="176"/>
      <c r="Y17" s="176"/>
      <c r="Z17" s="176"/>
    </row>
    <row r="18">
      <c r="A18" s="226" t="s">
        <v>4</v>
      </c>
      <c r="B18" s="226" t="s">
        <v>5</v>
      </c>
      <c r="C18" s="250" t="s">
        <v>3177</v>
      </c>
      <c r="D18" s="268" t="s">
        <v>495</v>
      </c>
      <c r="E18" s="251">
        <v>44176.0</v>
      </c>
      <c r="F18" s="250" t="s">
        <v>496</v>
      </c>
      <c r="G18" s="176"/>
      <c r="H18" s="243"/>
      <c r="I18" s="243"/>
      <c r="J18" s="325">
        <f t="shared" si="2"/>
        <v>0</v>
      </c>
      <c r="K18" s="326">
        <f t="shared" si="3"/>
        <v>1.984210526</v>
      </c>
      <c r="L18" s="327">
        <f t="shared" si="4"/>
        <v>55.55789474</v>
      </c>
      <c r="M18" s="321" t="str">
        <f t="shared" si="5"/>
        <v>santigs67</v>
      </c>
      <c r="N18" s="176">
        <f>IFERROR(__xludf.DUMMYFUNCTION("""COMPUTED_VALUE"""),15.0)</f>
        <v>15</v>
      </c>
      <c r="O18" s="243"/>
      <c r="P18" s="243"/>
      <c r="Q18" s="243"/>
      <c r="R18" s="243"/>
      <c r="S18" s="243"/>
      <c r="T18" s="243"/>
      <c r="U18" s="176"/>
      <c r="V18" s="176"/>
      <c r="W18" s="176"/>
      <c r="X18" s="176"/>
      <c r="Y18" s="176"/>
      <c r="Z18" s="176"/>
    </row>
    <row r="19">
      <c r="A19" s="226" t="s">
        <v>4</v>
      </c>
      <c r="B19" s="226" t="s">
        <v>5</v>
      </c>
      <c r="C19" s="250" t="s">
        <v>3178</v>
      </c>
      <c r="D19" s="268" t="s">
        <v>495</v>
      </c>
      <c r="E19" s="251">
        <v>44176.0</v>
      </c>
      <c r="F19" s="250" t="s">
        <v>496</v>
      </c>
      <c r="G19" s="176"/>
      <c r="H19" s="243"/>
      <c r="I19" s="243"/>
      <c r="J19" s="325">
        <f t="shared" si="2"/>
        <v>0</v>
      </c>
      <c r="K19" s="326">
        <f t="shared" si="3"/>
        <v>1.984210526</v>
      </c>
      <c r="L19" s="327">
        <f t="shared" si="4"/>
        <v>55.55789474</v>
      </c>
      <c r="M19" s="321" t="str">
        <f t="shared" si="5"/>
        <v>santigs67</v>
      </c>
      <c r="N19" s="176">
        <f>IFERROR(__xludf.DUMMYFUNCTION("""COMPUTED_VALUE"""),16.0)</f>
        <v>16</v>
      </c>
      <c r="O19" s="243"/>
      <c r="P19" s="243"/>
      <c r="Q19" s="243"/>
      <c r="R19" s="243"/>
      <c r="S19" s="243"/>
      <c r="T19" s="243"/>
      <c r="U19" s="176"/>
      <c r="V19" s="176"/>
      <c r="W19" s="176"/>
      <c r="X19" s="176"/>
      <c r="Y19" s="176"/>
      <c r="Z19" s="176"/>
    </row>
    <row r="20">
      <c r="A20" s="226" t="s">
        <v>4</v>
      </c>
      <c r="B20" s="226" t="s">
        <v>25</v>
      </c>
      <c r="C20" s="250" t="s">
        <v>3179</v>
      </c>
      <c r="D20" s="268" t="s">
        <v>495</v>
      </c>
      <c r="E20" s="251">
        <v>44178.0</v>
      </c>
      <c r="F20" s="250" t="s">
        <v>496</v>
      </c>
      <c r="G20" s="176"/>
      <c r="H20" s="243"/>
      <c r="I20" s="243"/>
      <c r="J20" s="325">
        <f t="shared" si="2"/>
        <v>0</v>
      </c>
      <c r="K20" s="326">
        <f t="shared" si="3"/>
        <v>1.984210526</v>
      </c>
      <c r="L20" s="327">
        <f t="shared" si="4"/>
        <v>55.55789474</v>
      </c>
      <c r="M20" s="321" t="str">
        <f t="shared" si="5"/>
        <v>santigs67</v>
      </c>
      <c r="N20" s="176">
        <f>IFERROR(__xludf.DUMMYFUNCTION("""COMPUTED_VALUE"""),17.0)</f>
        <v>17</v>
      </c>
      <c r="O20" s="243"/>
      <c r="P20" s="243"/>
      <c r="Q20" s="243"/>
      <c r="R20" s="243"/>
      <c r="S20" s="243"/>
      <c r="T20" s="243"/>
      <c r="U20" s="176"/>
      <c r="V20" s="176"/>
      <c r="W20" s="176"/>
      <c r="X20" s="176"/>
      <c r="Y20" s="176"/>
      <c r="Z20" s="176"/>
    </row>
    <row r="21">
      <c r="A21" s="226" t="s">
        <v>4</v>
      </c>
      <c r="B21" s="226" t="s">
        <v>590</v>
      </c>
      <c r="C21" s="250" t="s">
        <v>3180</v>
      </c>
      <c r="D21" s="268" t="s">
        <v>495</v>
      </c>
      <c r="E21" s="251">
        <v>44180.0</v>
      </c>
      <c r="F21" s="250" t="s">
        <v>496</v>
      </c>
      <c r="G21" s="176"/>
      <c r="H21" s="243"/>
      <c r="I21" s="243"/>
      <c r="J21" s="325">
        <f t="shared" si="2"/>
        <v>0</v>
      </c>
      <c r="K21" s="326">
        <f t="shared" si="3"/>
        <v>1.984210526</v>
      </c>
      <c r="L21" s="327">
        <f t="shared" si="4"/>
        <v>55.55789474</v>
      </c>
      <c r="M21" s="321" t="str">
        <f t="shared" si="5"/>
        <v>santigs67</v>
      </c>
      <c r="N21" s="176">
        <f>IFERROR(__xludf.DUMMYFUNCTION("""COMPUTED_VALUE"""),18.0)</f>
        <v>18</v>
      </c>
      <c r="O21" s="243"/>
      <c r="P21" s="243"/>
      <c r="Q21" s="243"/>
      <c r="R21" s="243"/>
      <c r="S21" s="243"/>
      <c r="T21" s="243"/>
      <c r="U21" s="176"/>
      <c r="V21" s="176"/>
      <c r="W21" s="176"/>
      <c r="X21" s="176"/>
      <c r="Y21" s="176"/>
      <c r="Z21" s="176"/>
    </row>
    <row r="22">
      <c r="A22" s="226" t="s">
        <v>4</v>
      </c>
      <c r="B22" s="226" t="s">
        <v>18</v>
      </c>
      <c r="C22" s="250" t="s">
        <v>3181</v>
      </c>
      <c r="D22" s="268" t="s">
        <v>495</v>
      </c>
      <c r="E22" s="251">
        <v>44180.0</v>
      </c>
      <c r="F22" s="250" t="s">
        <v>496</v>
      </c>
      <c r="G22" s="176"/>
      <c r="H22" s="243"/>
      <c r="I22" s="243"/>
      <c r="J22" s="325">
        <f t="shared" si="2"/>
        <v>0</v>
      </c>
      <c r="K22" s="326">
        <f t="shared" si="3"/>
        <v>1.984210526</v>
      </c>
      <c r="L22" s="327">
        <f t="shared" si="4"/>
        <v>55.55789474</v>
      </c>
      <c r="M22" s="321" t="str">
        <f t="shared" si="5"/>
        <v>santigs67</v>
      </c>
      <c r="N22" s="176">
        <f>IFERROR(__xludf.DUMMYFUNCTION("""COMPUTED_VALUE"""),19.0)</f>
        <v>19</v>
      </c>
      <c r="O22" s="243"/>
      <c r="P22" s="243"/>
      <c r="Q22" s="243"/>
      <c r="R22" s="243"/>
      <c r="S22" s="243"/>
      <c r="T22" s="243"/>
      <c r="U22" s="176"/>
      <c r="V22" s="176"/>
      <c r="W22" s="176"/>
      <c r="X22" s="176"/>
      <c r="Y22" s="176"/>
      <c r="Z22" s="176"/>
    </row>
    <row r="23">
      <c r="A23" s="226" t="s">
        <v>4</v>
      </c>
      <c r="B23" s="226" t="s">
        <v>590</v>
      </c>
      <c r="C23" s="250" t="s">
        <v>3182</v>
      </c>
      <c r="D23" s="268" t="s">
        <v>495</v>
      </c>
      <c r="E23" s="251">
        <v>44181.0</v>
      </c>
      <c r="F23" s="250" t="s">
        <v>496</v>
      </c>
      <c r="G23" s="176"/>
      <c r="H23" s="243"/>
      <c r="I23" s="243"/>
      <c r="J23" s="325">
        <f t="shared" si="2"/>
        <v>0</v>
      </c>
      <c r="K23" s="326">
        <f t="shared" si="3"/>
        <v>1.984210526</v>
      </c>
      <c r="L23" s="327">
        <f t="shared" si="4"/>
        <v>55.55789474</v>
      </c>
      <c r="M23" s="321" t="str">
        <f t="shared" si="5"/>
        <v>santigs67</v>
      </c>
      <c r="N23" s="176">
        <f>IFERROR(__xludf.DUMMYFUNCTION("""COMPUTED_VALUE"""),20.0)</f>
        <v>20</v>
      </c>
      <c r="O23" s="243"/>
      <c r="P23" s="243"/>
      <c r="Q23" s="243"/>
      <c r="R23" s="243"/>
      <c r="S23" s="243"/>
      <c r="T23" s="243"/>
      <c r="U23" s="176"/>
      <c r="V23" s="176"/>
      <c r="W23" s="176"/>
      <c r="X23" s="176"/>
      <c r="Y23" s="176"/>
      <c r="Z23" s="176"/>
    </row>
    <row r="24">
      <c r="A24" s="226" t="s">
        <v>4</v>
      </c>
      <c r="B24" s="226" t="s">
        <v>1228</v>
      </c>
      <c r="C24" s="250" t="s">
        <v>3183</v>
      </c>
      <c r="D24" s="268" t="s">
        <v>495</v>
      </c>
      <c r="E24" s="251">
        <v>44182.0</v>
      </c>
      <c r="F24" s="250" t="s">
        <v>496</v>
      </c>
      <c r="G24" s="176"/>
      <c r="H24" s="243"/>
      <c r="I24" s="243"/>
      <c r="J24" s="325">
        <f t="shared" si="2"/>
        <v>0</v>
      </c>
      <c r="K24" s="326">
        <f t="shared" si="3"/>
        <v>1.984210526</v>
      </c>
      <c r="L24" s="327">
        <f t="shared" si="4"/>
        <v>55.55789474</v>
      </c>
      <c r="M24" s="321" t="str">
        <f t="shared" si="5"/>
        <v>santigs67</v>
      </c>
      <c r="N24" s="176">
        <f>IFERROR(__xludf.DUMMYFUNCTION("""COMPUTED_VALUE"""),21.0)</f>
        <v>21</v>
      </c>
      <c r="O24" s="243"/>
      <c r="P24" s="243"/>
      <c r="Q24" s="243"/>
      <c r="R24" s="243"/>
      <c r="S24" s="243"/>
      <c r="T24" s="243"/>
      <c r="U24" s="176"/>
      <c r="V24" s="176"/>
      <c r="W24" s="176"/>
      <c r="X24" s="176"/>
      <c r="Y24" s="176"/>
      <c r="Z24" s="176"/>
    </row>
    <row r="25">
      <c r="A25" s="226" t="s">
        <v>4</v>
      </c>
      <c r="B25" s="226" t="s">
        <v>590</v>
      </c>
      <c r="C25" s="250" t="s">
        <v>3184</v>
      </c>
      <c r="D25" s="268" t="s">
        <v>495</v>
      </c>
      <c r="E25" s="251">
        <v>44182.0</v>
      </c>
      <c r="F25" s="250" t="s">
        <v>496</v>
      </c>
      <c r="G25" s="176"/>
      <c r="H25" s="243"/>
      <c r="I25" s="243"/>
      <c r="J25" s="325">
        <f t="shared" si="2"/>
        <v>0</v>
      </c>
      <c r="K25" s="326">
        <f t="shared" si="3"/>
        <v>1.984210526</v>
      </c>
      <c r="L25" s="327">
        <f t="shared" si="4"/>
        <v>55.55789474</v>
      </c>
      <c r="M25" s="321" t="str">
        <f t="shared" si="5"/>
        <v>santigs67</v>
      </c>
      <c r="N25" s="176">
        <f>IFERROR(__xludf.DUMMYFUNCTION("""COMPUTED_VALUE"""),22.0)</f>
        <v>22</v>
      </c>
      <c r="O25" s="243"/>
      <c r="P25" s="243"/>
      <c r="Q25" s="243"/>
      <c r="R25" s="243"/>
      <c r="S25" s="243"/>
      <c r="T25" s="243"/>
      <c r="U25" s="176"/>
      <c r="V25" s="176"/>
      <c r="W25" s="176"/>
      <c r="X25" s="176"/>
      <c r="Y25" s="176"/>
      <c r="Z25" s="176"/>
    </row>
    <row r="26">
      <c r="A26" s="226" t="s">
        <v>4</v>
      </c>
      <c r="B26" s="226" t="s">
        <v>10</v>
      </c>
      <c r="C26" s="250" t="s">
        <v>3185</v>
      </c>
      <c r="D26" s="268" t="s">
        <v>495</v>
      </c>
      <c r="E26" s="251">
        <v>44183.0</v>
      </c>
      <c r="F26" s="250" t="s">
        <v>496</v>
      </c>
      <c r="G26" s="176"/>
      <c r="H26" s="243"/>
      <c r="I26" s="243"/>
      <c r="J26" s="325">
        <f t="shared" si="2"/>
        <v>0</v>
      </c>
      <c r="K26" s="326">
        <f t="shared" si="3"/>
        <v>1.984210526</v>
      </c>
      <c r="L26" s="327">
        <f t="shared" si="4"/>
        <v>55.55789474</v>
      </c>
      <c r="M26" s="321" t="str">
        <f t="shared" si="5"/>
        <v>santigs67</v>
      </c>
      <c r="N26" s="176">
        <f>IFERROR(__xludf.DUMMYFUNCTION("""COMPUTED_VALUE"""),23.0)</f>
        <v>23</v>
      </c>
      <c r="O26" s="243"/>
      <c r="P26" s="243"/>
      <c r="Q26" s="243"/>
      <c r="R26" s="243"/>
      <c r="S26" s="243"/>
      <c r="T26" s="243"/>
      <c r="U26" s="176"/>
      <c r="V26" s="176"/>
      <c r="W26" s="176"/>
      <c r="X26" s="176"/>
      <c r="Y26" s="176"/>
      <c r="Z26" s="176"/>
    </row>
    <row r="27">
      <c r="A27" s="226" t="s">
        <v>4</v>
      </c>
      <c r="B27" s="226" t="s">
        <v>10</v>
      </c>
      <c r="C27" s="250" t="s">
        <v>3186</v>
      </c>
      <c r="D27" s="268" t="s">
        <v>495</v>
      </c>
      <c r="E27" s="251">
        <v>44183.0</v>
      </c>
      <c r="F27" s="250" t="s">
        <v>496</v>
      </c>
      <c r="G27" s="176"/>
      <c r="H27" s="243"/>
      <c r="I27" s="243"/>
      <c r="J27" s="325">
        <f t="shared" si="2"/>
        <v>0</v>
      </c>
      <c r="K27" s="326">
        <f t="shared" si="3"/>
        <v>1.984210526</v>
      </c>
      <c r="L27" s="327">
        <f t="shared" si="4"/>
        <v>55.55789474</v>
      </c>
      <c r="M27" s="321" t="str">
        <f t="shared" si="5"/>
        <v>santigs67</v>
      </c>
      <c r="N27" s="176">
        <f>IFERROR(__xludf.DUMMYFUNCTION("""COMPUTED_VALUE"""),24.0)</f>
        <v>24</v>
      </c>
      <c r="O27" s="243"/>
      <c r="P27" s="243"/>
      <c r="Q27" s="243"/>
      <c r="R27" s="243"/>
      <c r="S27" s="243"/>
      <c r="T27" s="243"/>
      <c r="U27" s="176"/>
      <c r="V27" s="176"/>
      <c r="W27" s="176"/>
      <c r="X27" s="176"/>
      <c r="Y27" s="176"/>
      <c r="Z27" s="176"/>
    </row>
    <row r="28">
      <c r="A28" s="226" t="s">
        <v>4</v>
      </c>
      <c r="B28" s="226" t="s">
        <v>10</v>
      </c>
      <c r="C28" s="250" t="s">
        <v>3187</v>
      </c>
      <c r="D28" s="268" t="s">
        <v>495</v>
      </c>
      <c r="E28" s="251">
        <v>44183.0</v>
      </c>
      <c r="F28" s="250" t="s">
        <v>496</v>
      </c>
      <c r="G28" s="176"/>
      <c r="H28" s="243"/>
      <c r="I28" s="243"/>
      <c r="J28" s="325">
        <f t="shared" si="2"/>
        <v>0</v>
      </c>
      <c r="K28" s="326">
        <f t="shared" si="3"/>
        <v>1.984210526</v>
      </c>
      <c r="L28" s="327">
        <f t="shared" si="4"/>
        <v>55.55789474</v>
      </c>
      <c r="M28" s="321" t="str">
        <f t="shared" si="5"/>
        <v>santigs67</v>
      </c>
      <c r="N28" s="176">
        <f>IFERROR(__xludf.DUMMYFUNCTION("""COMPUTED_VALUE"""),25.0)</f>
        <v>25</v>
      </c>
      <c r="O28" s="243"/>
      <c r="P28" s="243"/>
      <c r="Q28" s="243"/>
      <c r="R28" s="243"/>
      <c r="S28" s="243"/>
      <c r="T28" s="243"/>
      <c r="U28" s="176"/>
      <c r="V28" s="176"/>
      <c r="W28" s="176"/>
      <c r="X28" s="176"/>
      <c r="Y28" s="176"/>
      <c r="Z28" s="176"/>
    </row>
    <row r="29">
      <c r="A29" s="226" t="s">
        <v>4</v>
      </c>
      <c r="B29" s="226" t="s">
        <v>10</v>
      </c>
      <c r="C29" s="250" t="s">
        <v>3188</v>
      </c>
      <c r="D29" s="268" t="s">
        <v>495</v>
      </c>
      <c r="E29" s="251">
        <v>44183.0</v>
      </c>
      <c r="F29" s="250" t="s">
        <v>496</v>
      </c>
      <c r="G29" s="176"/>
      <c r="H29" s="243"/>
      <c r="I29" s="243"/>
      <c r="J29" s="325">
        <f t="shared" si="2"/>
        <v>0</v>
      </c>
      <c r="K29" s="326">
        <f t="shared" si="3"/>
        <v>1.984210526</v>
      </c>
      <c r="L29" s="327">
        <f t="shared" si="4"/>
        <v>55.55789474</v>
      </c>
      <c r="M29" s="321" t="str">
        <f t="shared" si="5"/>
        <v>santigs67</v>
      </c>
      <c r="N29" s="176">
        <f>IFERROR(__xludf.DUMMYFUNCTION("""COMPUTED_VALUE"""),26.0)</f>
        <v>26</v>
      </c>
      <c r="O29" s="243"/>
      <c r="P29" s="243"/>
      <c r="Q29" s="243"/>
      <c r="R29" s="243"/>
      <c r="S29" s="243"/>
      <c r="T29" s="243"/>
      <c r="U29" s="176"/>
      <c r="V29" s="176"/>
      <c r="W29" s="176"/>
      <c r="X29" s="176"/>
      <c r="Y29" s="176"/>
      <c r="Z29" s="176"/>
    </row>
    <row r="30">
      <c r="A30" s="226" t="s">
        <v>4</v>
      </c>
      <c r="B30" s="226" t="s">
        <v>18</v>
      </c>
      <c r="C30" s="250" t="s">
        <v>3189</v>
      </c>
      <c r="D30" s="268" t="s">
        <v>495</v>
      </c>
      <c r="E30" s="251">
        <v>44183.0</v>
      </c>
      <c r="F30" s="250" t="s">
        <v>496</v>
      </c>
      <c r="G30" s="176"/>
      <c r="H30" s="243"/>
      <c r="I30" s="243"/>
      <c r="J30" s="325">
        <f t="shared" si="2"/>
        <v>0</v>
      </c>
      <c r="K30" s="326">
        <f t="shared" si="3"/>
        <v>1.984210526</v>
      </c>
      <c r="L30" s="327">
        <f t="shared" si="4"/>
        <v>55.55789474</v>
      </c>
      <c r="M30" s="321" t="str">
        <f t="shared" si="5"/>
        <v>santigs67</v>
      </c>
      <c r="N30" s="176">
        <f>IFERROR(__xludf.DUMMYFUNCTION("""COMPUTED_VALUE"""),27.0)</f>
        <v>27</v>
      </c>
      <c r="O30" s="243"/>
      <c r="P30" s="243"/>
      <c r="Q30" s="243"/>
      <c r="R30" s="243"/>
      <c r="S30" s="243"/>
      <c r="T30" s="243"/>
      <c r="U30" s="176"/>
      <c r="V30" s="176"/>
      <c r="W30" s="176"/>
      <c r="X30" s="176"/>
      <c r="Y30" s="176"/>
      <c r="Z30" s="176"/>
    </row>
    <row r="31">
      <c r="A31" s="226" t="s">
        <v>4</v>
      </c>
      <c r="B31" s="226" t="s">
        <v>18</v>
      </c>
      <c r="C31" s="250" t="s">
        <v>3190</v>
      </c>
      <c r="D31" s="268" t="s">
        <v>495</v>
      </c>
      <c r="E31" s="251">
        <v>44183.0</v>
      </c>
      <c r="F31" s="250" t="s">
        <v>496</v>
      </c>
      <c r="G31" s="176"/>
      <c r="H31" s="243"/>
      <c r="I31" s="243"/>
      <c r="J31" s="325">
        <f t="shared" si="2"/>
        <v>0</v>
      </c>
      <c r="K31" s="326">
        <f t="shared" si="3"/>
        <v>1.984210526</v>
      </c>
      <c r="L31" s="327">
        <f t="shared" si="4"/>
        <v>55.55789474</v>
      </c>
      <c r="M31" s="321" t="str">
        <f t="shared" si="5"/>
        <v>santigs67</v>
      </c>
      <c r="N31" s="176">
        <f>IFERROR(__xludf.DUMMYFUNCTION("""COMPUTED_VALUE"""),28.0)</f>
        <v>28</v>
      </c>
      <c r="O31" s="243"/>
      <c r="P31" s="243"/>
      <c r="Q31" s="243"/>
      <c r="R31" s="243"/>
      <c r="S31" s="243"/>
      <c r="T31" s="243"/>
      <c r="U31" s="176"/>
      <c r="V31" s="176"/>
      <c r="W31" s="176"/>
      <c r="X31" s="176"/>
      <c r="Y31" s="176"/>
      <c r="Z31" s="176"/>
    </row>
    <row r="32">
      <c r="A32" s="226" t="s">
        <v>4</v>
      </c>
      <c r="B32" s="226" t="s">
        <v>868</v>
      </c>
      <c r="C32" s="250" t="s">
        <v>3191</v>
      </c>
      <c r="D32" s="268" t="s">
        <v>495</v>
      </c>
      <c r="E32" s="251">
        <v>44183.0</v>
      </c>
      <c r="F32" s="250" t="s">
        <v>496</v>
      </c>
      <c r="G32" s="176"/>
      <c r="H32" s="243"/>
      <c r="I32" s="243"/>
      <c r="J32" s="325">
        <f t="shared" si="2"/>
        <v>0</v>
      </c>
      <c r="K32" s="326">
        <f>J32*$J$1</f>
        <v>0</v>
      </c>
      <c r="L32" s="327">
        <f t="shared" si="4"/>
        <v>55.55789474</v>
      </c>
      <c r="M32" s="321" t="str">
        <f t="shared" si="5"/>
        <v>santigs67</v>
      </c>
      <c r="N32" s="176">
        <f>IFERROR(__xludf.DUMMYFUNCTION("""COMPUTED_VALUE"""),29.0)</f>
        <v>29</v>
      </c>
      <c r="O32" s="243"/>
      <c r="P32" s="243"/>
      <c r="Q32" s="243"/>
      <c r="R32" s="243"/>
      <c r="S32" s="243"/>
      <c r="T32" s="243"/>
      <c r="U32" s="176"/>
      <c r="V32" s="176"/>
      <c r="W32" s="176"/>
      <c r="X32" s="176"/>
      <c r="Y32" s="176"/>
      <c r="Z32" s="176"/>
    </row>
    <row r="33">
      <c r="A33" s="226" t="s">
        <v>3</v>
      </c>
      <c r="B33" s="226" t="s">
        <v>18</v>
      </c>
      <c r="C33" s="250" t="s">
        <v>3163</v>
      </c>
      <c r="D33" s="268" t="s">
        <v>495</v>
      </c>
      <c r="E33" s="361">
        <v>44172.0</v>
      </c>
      <c r="F33" s="250" t="s">
        <v>496</v>
      </c>
      <c r="G33" s="176"/>
      <c r="H33" s="243"/>
      <c r="I33" s="171"/>
      <c r="J33" s="325">
        <f t="shared" si="2"/>
        <v>0</v>
      </c>
      <c r="K33" s="326">
        <f t="shared" ref="K33:K46" si="6">$N$1</f>
        <v>1.984210526</v>
      </c>
      <c r="L33" s="327">
        <f t="shared" si="4"/>
        <v>51.58947368</v>
      </c>
      <c r="M33" s="321" t="str">
        <f t="shared" si="5"/>
        <v>zeptimusq</v>
      </c>
      <c r="N33" s="176">
        <f>IFERROR(__xludf.DUMMYFUNCTION("""COMPUTED_VALUE"""),1.0)</f>
        <v>1</v>
      </c>
      <c r="O33" s="243"/>
      <c r="P33" s="243"/>
      <c r="Q33" s="243"/>
      <c r="R33" s="243"/>
      <c r="S33" s="243"/>
      <c r="T33" s="243"/>
      <c r="U33" s="176"/>
      <c r="V33" s="176"/>
      <c r="W33" s="176"/>
      <c r="X33" s="176"/>
      <c r="Y33" s="176"/>
      <c r="Z33" s="176"/>
    </row>
    <row r="34">
      <c r="A34" s="226" t="s">
        <v>3</v>
      </c>
      <c r="B34" s="226" t="s">
        <v>25</v>
      </c>
      <c r="C34" s="250" t="s">
        <v>3192</v>
      </c>
      <c r="D34" s="268" t="s">
        <v>495</v>
      </c>
      <c r="E34" s="361">
        <v>44173.0</v>
      </c>
      <c r="F34" s="250" t="s">
        <v>496</v>
      </c>
      <c r="G34" s="176"/>
      <c r="H34" s="243"/>
      <c r="I34" s="243"/>
      <c r="J34" s="325">
        <f t="shared" si="2"/>
        <v>0</v>
      </c>
      <c r="K34" s="326">
        <f t="shared" si="6"/>
        <v>1.984210526</v>
      </c>
      <c r="L34" s="327">
        <f t="shared" si="4"/>
        <v>51.58947368</v>
      </c>
      <c r="M34" s="321" t="str">
        <f t="shared" si="5"/>
        <v>zeptimusq</v>
      </c>
      <c r="N34" s="176">
        <f>IFERROR(__xludf.DUMMYFUNCTION("""COMPUTED_VALUE"""),2.0)</f>
        <v>2</v>
      </c>
      <c r="O34" s="243"/>
      <c r="P34" s="243"/>
      <c r="Q34" s="243"/>
      <c r="R34" s="243"/>
      <c r="S34" s="243"/>
      <c r="T34" s="243"/>
      <c r="U34" s="176"/>
      <c r="V34" s="176"/>
      <c r="W34" s="176"/>
      <c r="X34" s="176"/>
      <c r="Y34" s="176"/>
      <c r="Z34" s="176"/>
    </row>
    <row r="35">
      <c r="A35" s="226" t="s">
        <v>3</v>
      </c>
      <c r="B35" s="226" t="s">
        <v>590</v>
      </c>
      <c r="C35" s="250" t="s">
        <v>3166</v>
      </c>
      <c r="D35" s="268" t="s">
        <v>495</v>
      </c>
      <c r="E35" s="361">
        <v>44173.0</v>
      </c>
      <c r="F35" s="250" t="s">
        <v>496</v>
      </c>
      <c r="G35" s="176"/>
      <c r="H35" s="243"/>
      <c r="I35" s="243"/>
      <c r="J35" s="325">
        <f t="shared" si="2"/>
        <v>0</v>
      </c>
      <c r="K35" s="326">
        <f t="shared" si="6"/>
        <v>1.984210526</v>
      </c>
      <c r="L35" s="327">
        <f t="shared" si="4"/>
        <v>51.58947368</v>
      </c>
      <c r="M35" s="321" t="str">
        <f t="shared" si="5"/>
        <v>zeptimusq</v>
      </c>
      <c r="N35" s="176">
        <f>IFERROR(__xludf.DUMMYFUNCTION("""COMPUTED_VALUE"""),3.0)</f>
        <v>3</v>
      </c>
      <c r="O35" s="243"/>
      <c r="P35" s="243"/>
      <c r="Q35" s="243"/>
      <c r="R35" s="243"/>
      <c r="S35" s="243"/>
      <c r="T35" s="243"/>
      <c r="U35" s="176"/>
      <c r="V35" s="176"/>
      <c r="W35" s="176"/>
      <c r="X35" s="176"/>
      <c r="Y35" s="176"/>
      <c r="Z35" s="176"/>
    </row>
    <row r="36">
      <c r="A36" s="226" t="s">
        <v>3</v>
      </c>
      <c r="B36" s="226" t="s">
        <v>1228</v>
      </c>
      <c r="C36" s="250" t="s">
        <v>3193</v>
      </c>
      <c r="D36" s="268" t="s">
        <v>495</v>
      </c>
      <c r="E36" s="361">
        <v>44174.0</v>
      </c>
      <c r="F36" s="250" t="s">
        <v>496</v>
      </c>
      <c r="G36" s="176"/>
      <c r="H36" s="243"/>
      <c r="I36" s="243"/>
      <c r="J36" s="325">
        <f t="shared" si="2"/>
        <v>0</v>
      </c>
      <c r="K36" s="326">
        <f t="shared" si="6"/>
        <v>1.984210526</v>
      </c>
      <c r="L36" s="327">
        <f t="shared" si="4"/>
        <v>51.58947368</v>
      </c>
      <c r="M36" s="321" t="str">
        <f t="shared" si="5"/>
        <v>zeptimusq</v>
      </c>
      <c r="N36" s="176">
        <f>IFERROR(__xludf.DUMMYFUNCTION("""COMPUTED_VALUE"""),4.0)</f>
        <v>4</v>
      </c>
      <c r="O36" s="243"/>
      <c r="P36" s="243"/>
      <c r="Q36" s="243"/>
      <c r="R36" s="243"/>
      <c r="S36" s="243"/>
      <c r="T36" s="243"/>
      <c r="U36" s="176"/>
      <c r="V36" s="176"/>
      <c r="W36" s="176"/>
      <c r="X36" s="176"/>
      <c r="Y36" s="176"/>
      <c r="Z36" s="176"/>
    </row>
    <row r="37">
      <c r="A37" s="226" t="s">
        <v>3</v>
      </c>
      <c r="B37" s="226" t="s">
        <v>18</v>
      </c>
      <c r="C37" s="250" t="s">
        <v>3168</v>
      </c>
      <c r="D37" s="268" t="s">
        <v>495</v>
      </c>
      <c r="E37" s="361">
        <v>44174.0</v>
      </c>
      <c r="F37" s="250" t="s">
        <v>496</v>
      </c>
      <c r="G37" s="176"/>
      <c r="H37" s="243"/>
      <c r="I37" s="243"/>
      <c r="J37" s="325">
        <f t="shared" si="2"/>
        <v>0</v>
      </c>
      <c r="K37" s="326">
        <f t="shared" si="6"/>
        <v>1.984210526</v>
      </c>
      <c r="L37" s="327">
        <f t="shared" si="4"/>
        <v>51.58947368</v>
      </c>
      <c r="M37" s="321" t="str">
        <f t="shared" si="5"/>
        <v>zeptimusq</v>
      </c>
      <c r="N37" s="176">
        <f>IFERROR(__xludf.DUMMYFUNCTION("""COMPUTED_VALUE"""),5.0)</f>
        <v>5</v>
      </c>
      <c r="O37" s="243"/>
      <c r="P37" s="243"/>
      <c r="Q37" s="243"/>
      <c r="R37" s="243"/>
      <c r="S37" s="243"/>
      <c r="T37" s="243"/>
      <c r="U37" s="176"/>
      <c r="V37" s="176"/>
      <c r="W37" s="176"/>
      <c r="X37" s="176"/>
      <c r="Y37" s="176"/>
      <c r="Z37" s="176"/>
    </row>
    <row r="38">
      <c r="A38" s="226" t="s">
        <v>3</v>
      </c>
      <c r="B38" s="226" t="s">
        <v>18</v>
      </c>
      <c r="C38" s="250" t="s">
        <v>3169</v>
      </c>
      <c r="D38" s="268" t="s">
        <v>495</v>
      </c>
      <c r="E38" s="361">
        <v>44174.0</v>
      </c>
      <c r="F38" s="250" t="s">
        <v>496</v>
      </c>
      <c r="G38" s="176"/>
      <c r="H38" s="243"/>
      <c r="I38" s="243"/>
      <c r="J38" s="325">
        <f t="shared" si="2"/>
        <v>0</v>
      </c>
      <c r="K38" s="326">
        <f t="shared" si="6"/>
        <v>1.984210526</v>
      </c>
      <c r="L38" s="327">
        <f t="shared" si="4"/>
        <v>51.58947368</v>
      </c>
      <c r="M38" s="321" t="str">
        <f t="shared" si="5"/>
        <v>zeptimusq</v>
      </c>
      <c r="N38" s="176">
        <f>IFERROR(__xludf.DUMMYFUNCTION("""COMPUTED_VALUE"""),6.0)</f>
        <v>6</v>
      </c>
      <c r="O38" s="243"/>
      <c r="P38" s="243"/>
      <c r="Q38" s="243"/>
      <c r="R38" s="243"/>
      <c r="S38" s="243"/>
      <c r="T38" s="243"/>
      <c r="U38" s="176"/>
      <c r="V38" s="176"/>
      <c r="W38" s="176"/>
      <c r="X38" s="176"/>
      <c r="Y38" s="176"/>
      <c r="Z38" s="176"/>
    </row>
    <row r="39">
      <c r="A39" s="226" t="s">
        <v>3</v>
      </c>
      <c r="B39" s="226" t="s">
        <v>5</v>
      </c>
      <c r="C39" s="250" t="s">
        <v>3170</v>
      </c>
      <c r="D39" s="268" t="s">
        <v>495</v>
      </c>
      <c r="E39" s="251">
        <v>44175.0</v>
      </c>
      <c r="F39" s="250" t="s">
        <v>496</v>
      </c>
      <c r="G39" s="176"/>
      <c r="H39" s="243"/>
      <c r="I39" s="243"/>
      <c r="J39" s="325">
        <f t="shared" si="2"/>
        <v>0</v>
      </c>
      <c r="K39" s="326">
        <f t="shared" si="6"/>
        <v>1.984210526</v>
      </c>
      <c r="L39" s="327">
        <f t="shared" si="4"/>
        <v>51.58947368</v>
      </c>
      <c r="M39" s="321" t="str">
        <f t="shared" si="5"/>
        <v>zeptimusq</v>
      </c>
      <c r="N39" s="176">
        <f>IFERROR(__xludf.DUMMYFUNCTION("""COMPUTED_VALUE"""),7.0)</f>
        <v>7</v>
      </c>
      <c r="O39" s="243"/>
      <c r="P39" s="243"/>
      <c r="Q39" s="243"/>
      <c r="R39" s="243"/>
      <c r="S39" s="243"/>
      <c r="T39" s="243"/>
      <c r="U39" s="176"/>
      <c r="V39" s="176"/>
      <c r="W39" s="176"/>
      <c r="X39" s="176"/>
      <c r="Y39" s="176"/>
      <c r="Z39" s="176"/>
    </row>
    <row r="40">
      <c r="A40" s="226" t="s">
        <v>3</v>
      </c>
      <c r="B40" s="226" t="s">
        <v>5</v>
      </c>
      <c r="C40" s="250" t="s">
        <v>3171</v>
      </c>
      <c r="D40" s="268" t="s">
        <v>495</v>
      </c>
      <c r="E40" s="251">
        <v>44175.0</v>
      </c>
      <c r="F40" s="250" t="s">
        <v>496</v>
      </c>
      <c r="G40" s="176"/>
      <c r="H40" s="243"/>
      <c r="I40" s="243"/>
      <c r="J40" s="325">
        <f t="shared" si="2"/>
        <v>0</v>
      </c>
      <c r="K40" s="326">
        <f t="shared" si="6"/>
        <v>1.984210526</v>
      </c>
      <c r="L40" s="327">
        <f t="shared" si="4"/>
        <v>51.58947368</v>
      </c>
      <c r="M40" s="321" t="str">
        <f t="shared" si="5"/>
        <v>zeptimusq</v>
      </c>
      <c r="N40" s="176">
        <f>IFERROR(__xludf.DUMMYFUNCTION("""COMPUTED_VALUE"""),8.0)</f>
        <v>8</v>
      </c>
      <c r="O40" s="243"/>
      <c r="P40" s="243"/>
      <c r="Q40" s="243"/>
      <c r="R40" s="243"/>
      <c r="S40" s="243"/>
      <c r="T40" s="243"/>
      <c r="U40" s="176"/>
      <c r="V40" s="176"/>
      <c r="W40" s="176"/>
      <c r="X40" s="176"/>
      <c r="Y40" s="176"/>
      <c r="Z40" s="176"/>
    </row>
    <row r="41">
      <c r="A41" s="226" t="s">
        <v>3</v>
      </c>
      <c r="B41" s="226" t="s">
        <v>10</v>
      </c>
      <c r="C41" s="250" t="s">
        <v>3194</v>
      </c>
      <c r="D41" s="268" t="s">
        <v>495</v>
      </c>
      <c r="E41" s="251">
        <v>44176.0</v>
      </c>
      <c r="F41" s="250" t="s">
        <v>496</v>
      </c>
      <c r="G41" s="176"/>
      <c r="H41" s="243"/>
      <c r="I41" s="243"/>
      <c r="J41" s="325">
        <f t="shared" si="2"/>
        <v>0</v>
      </c>
      <c r="K41" s="326">
        <f t="shared" si="6"/>
        <v>1.984210526</v>
      </c>
      <c r="L41" s="327">
        <f t="shared" si="4"/>
        <v>51.58947368</v>
      </c>
      <c r="M41" s="321" t="str">
        <f t="shared" si="5"/>
        <v>zeptimusq</v>
      </c>
      <c r="N41" s="176">
        <f>IFERROR(__xludf.DUMMYFUNCTION("""COMPUTED_VALUE"""),9.0)</f>
        <v>9</v>
      </c>
      <c r="O41" s="243"/>
      <c r="P41" s="243"/>
      <c r="Q41" s="243"/>
      <c r="R41" s="243"/>
      <c r="S41" s="243"/>
      <c r="T41" s="243"/>
      <c r="U41" s="176"/>
      <c r="V41" s="176"/>
      <c r="W41" s="176"/>
      <c r="X41" s="176"/>
      <c r="Y41" s="176"/>
      <c r="Z41" s="176"/>
    </row>
    <row r="42">
      <c r="A42" s="226" t="s">
        <v>3</v>
      </c>
      <c r="B42" s="226" t="s">
        <v>10</v>
      </c>
      <c r="C42" s="250" t="s">
        <v>3195</v>
      </c>
      <c r="D42" s="268" t="s">
        <v>495</v>
      </c>
      <c r="E42" s="251">
        <v>44176.0</v>
      </c>
      <c r="F42" s="250" t="s">
        <v>496</v>
      </c>
      <c r="G42" s="176"/>
      <c r="H42" s="243"/>
      <c r="I42" s="243"/>
      <c r="J42" s="325">
        <f t="shared" si="2"/>
        <v>0</v>
      </c>
      <c r="K42" s="326">
        <f t="shared" si="6"/>
        <v>1.984210526</v>
      </c>
      <c r="L42" s="327">
        <f t="shared" si="4"/>
        <v>51.58947368</v>
      </c>
      <c r="M42" s="321" t="str">
        <f t="shared" si="5"/>
        <v>zeptimusq</v>
      </c>
      <c r="N42" s="176">
        <f>IFERROR(__xludf.DUMMYFUNCTION("""COMPUTED_VALUE"""),10.0)</f>
        <v>10</v>
      </c>
      <c r="O42" s="243"/>
      <c r="P42" s="243"/>
      <c r="Q42" s="243"/>
      <c r="R42" s="243"/>
      <c r="S42" s="243"/>
      <c r="T42" s="243"/>
      <c r="U42" s="176"/>
      <c r="V42" s="176"/>
      <c r="W42" s="176"/>
      <c r="X42" s="176"/>
      <c r="Y42" s="176"/>
      <c r="Z42" s="176"/>
    </row>
    <row r="43">
      <c r="A43" s="226" t="s">
        <v>3</v>
      </c>
      <c r="B43" s="226" t="s">
        <v>10</v>
      </c>
      <c r="C43" s="250" t="s">
        <v>3176</v>
      </c>
      <c r="D43" s="268" t="s">
        <v>495</v>
      </c>
      <c r="E43" s="251">
        <v>44176.0</v>
      </c>
      <c r="F43" s="250" t="s">
        <v>496</v>
      </c>
      <c r="G43" s="176"/>
      <c r="H43" s="243"/>
      <c r="I43" s="243"/>
      <c r="J43" s="325">
        <f t="shared" si="2"/>
        <v>0</v>
      </c>
      <c r="K43" s="326">
        <f t="shared" si="6"/>
        <v>1.984210526</v>
      </c>
      <c r="L43" s="327">
        <f t="shared" si="4"/>
        <v>51.58947368</v>
      </c>
      <c r="M43" s="321" t="str">
        <f t="shared" si="5"/>
        <v>zeptimusq</v>
      </c>
      <c r="N43" s="176">
        <f>IFERROR(__xludf.DUMMYFUNCTION("""COMPUTED_VALUE"""),11.0)</f>
        <v>11</v>
      </c>
      <c r="O43" s="243"/>
      <c r="P43" s="243"/>
      <c r="Q43" s="243"/>
      <c r="R43" s="243"/>
      <c r="S43" s="243"/>
      <c r="T43" s="243"/>
      <c r="U43" s="176"/>
      <c r="V43" s="176"/>
      <c r="W43" s="176"/>
      <c r="X43" s="176"/>
      <c r="Y43" s="176"/>
      <c r="Z43" s="176"/>
    </row>
    <row r="44">
      <c r="A44" s="226" t="s">
        <v>3</v>
      </c>
      <c r="B44" s="226" t="s">
        <v>1228</v>
      </c>
      <c r="C44" s="250" t="s">
        <v>3196</v>
      </c>
      <c r="D44" s="268" t="s">
        <v>495</v>
      </c>
      <c r="E44" s="251">
        <v>44176.0</v>
      </c>
      <c r="F44" s="250" t="s">
        <v>496</v>
      </c>
      <c r="G44" s="176"/>
      <c r="H44" s="243"/>
      <c r="I44" s="243"/>
      <c r="J44" s="325">
        <f t="shared" si="2"/>
        <v>0</v>
      </c>
      <c r="K44" s="326">
        <f t="shared" si="6"/>
        <v>1.984210526</v>
      </c>
      <c r="L44" s="327">
        <f t="shared" si="4"/>
        <v>51.58947368</v>
      </c>
      <c r="M44" s="321" t="str">
        <f t="shared" si="5"/>
        <v>zeptimusq</v>
      </c>
      <c r="N44" s="176">
        <f>IFERROR(__xludf.DUMMYFUNCTION("""COMPUTED_VALUE"""),12.0)</f>
        <v>12</v>
      </c>
      <c r="O44" s="243"/>
      <c r="P44" s="243"/>
      <c r="Q44" s="243"/>
      <c r="R44" s="243"/>
      <c r="S44" s="243"/>
      <c r="T44" s="243"/>
      <c r="U44" s="176"/>
      <c r="V44" s="176"/>
      <c r="W44" s="176"/>
      <c r="X44" s="176"/>
      <c r="Y44" s="176"/>
      <c r="Z44" s="176"/>
    </row>
    <row r="45">
      <c r="A45" s="226" t="s">
        <v>3</v>
      </c>
      <c r="B45" s="226" t="s">
        <v>5</v>
      </c>
      <c r="C45" s="250" t="s">
        <v>3177</v>
      </c>
      <c r="D45" s="268" t="s">
        <v>495</v>
      </c>
      <c r="E45" s="251">
        <v>44176.0</v>
      </c>
      <c r="F45" s="250" t="s">
        <v>496</v>
      </c>
      <c r="G45" s="176"/>
      <c r="H45" s="243"/>
      <c r="I45" s="243"/>
      <c r="J45" s="325">
        <f t="shared" si="2"/>
        <v>0</v>
      </c>
      <c r="K45" s="326">
        <f t="shared" si="6"/>
        <v>1.984210526</v>
      </c>
      <c r="L45" s="327">
        <f t="shared" si="4"/>
        <v>51.58947368</v>
      </c>
      <c r="M45" s="321" t="str">
        <f t="shared" si="5"/>
        <v>zeptimusq</v>
      </c>
      <c r="N45" s="176">
        <f>IFERROR(__xludf.DUMMYFUNCTION("""COMPUTED_VALUE"""),13.0)</f>
        <v>13</v>
      </c>
      <c r="O45" s="243"/>
      <c r="P45" s="243"/>
      <c r="Q45" s="243"/>
      <c r="R45" s="243"/>
      <c r="S45" s="243"/>
      <c r="T45" s="243"/>
      <c r="U45" s="176"/>
      <c r="V45" s="176"/>
      <c r="W45" s="176"/>
      <c r="X45" s="176"/>
      <c r="Y45" s="176"/>
      <c r="Z45" s="176"/>
    </row>
    <row r="46">
      <c r="A46" s="226" t="s">
        <v>3</v>
      </c>
      <c r="B46" s="226" t="s">
        <v>5</v>
      </c>
      <c r="C46" s="250" t="s">
        <v>3178</v>
      </c>
      <c r="D46" s="268" t="s">
        <v>495</v>
      </c>
      <c r="E46" s="251">
        <v>44176.0</v>
      </c>
      <c r="F46" s="250" t="s">
        <v>496</v>
      </c>
      <c r="G46" s="176"/>
      <c r="H46" s="243"/>
      <c r="I46" s="243"/>
      <c r="J46" s="325">
        <f t="shared" si="2"/>
        <v>0</v>
      </c>
      <c r="K46" s="326">
        <f t="shared" si="6"/>
        <v>1.984210526</v>
      </c>
      <c r="L46" s="327">
        <f t="shared" si="4"/>
        <v>51.58947368</v>
      </c>
      <c r="M46" s="321" t="str">
        <f t="shared" si="5"/>
        <v>zeptimusq</v>
      </c>
      <c r="N46" s="176">
        <f>IFERROR(__xludf.DUMMYFUNCTION("""COMPUTED_VALUE"""),14.0)</f>
        <v>14</v>
      </c>
      <c r="O46" s="243"/>
      <c r="P46" s="243"/>
      <c r="Q46" s="243"/>
      <c r="R46" s="243"/>
      <c r="S46" s="243"/>
      <c r="T46" s="243"/>
      <c r="U46" s="176"/>
      <c r="V46" s="176"/>
      <c r="W46" s="176"/>
      <c r="X46" s="176"/>
      <c r="Y46" s="176"/>
      <c r="Z46" s="176"/>
    </row>
    <row r="47">
      <c r="A47" s="226" t="s">
        <v>3</v>
      </c>
      <c r="B47" s="226" t="s">
        <v>867</v>
      </c>
      <c r="C47" s="250" t="s">
        <v>3197</v>
      </c>
      <c r="D47" s="268" t="s">
        <v>495</v>
      </c>
      <c r="E47" s="251">
        <v>44177.0</v>
      </c>
      <c r="F47" s="250" t="s">
        <v>496</v>
      </c>
      <c r="G47" s="176"/>
      <c r="H47" s="243"/>
      <c r="I47" s="243"/>
      <c r="J47" s="325">
        <f t="shared" si="2"/>
        <v>0</v>
      </c>
      <c r="K47" s="326"/>
      <c r="L47" s="327">
        <f t="shared" si="4"/>
        <v>51.58947368</v>
      </c>
      <c r="M47" s="321" t="str">
        <f t="shared" si="5"/>
        <v>zeptimusq</v>
      </c>
      <c r="N47" s="176">
        <f>IFERROR(__xludf.DUMMYFUNCTION("""COMPUTED_VALUE"""),15.0)</f>
        <v>15</v>
      </c>
      <c r="O47" s="243"/>
      <c r="P47" s="243"/>
      <c r="Q47" s="243"/>
      <c r="R47" s="243"/>
      <c r="S47" s="243"/>
      <c r="T47" s="243"/>
      <c r="U47" s="176"/>
      <c r="V47" s="176"/>
      <c r="W47" s="176"/>
      <c r="X47" s="176"/>
      <c r="Y47" s="176"/>
      <c r="Z47" s="176"/>
    </row>
    <row r="48">
      <c r="A48" s="226" t="s">
        <v>3</v>
      </c>
      <c r="B48" s="226" t="s">
        <v>519</v>
      </c>
      <c r="C48" s="250" t="s">
        <v>3198</v>
      </c>
      <c r="D48" s="268" t="s">
        <v>495</v>
      </c>
      <c r="E48" s="251">
        <v>44178.0</v>
      </c>
      <c r="F48" s="250" t="s">
        <v>496</v>
      </c>
      <c r="G48" s="176"/>
      <c r="H48" s="243"/>
      <c r="I48" s="243"/>
      <c r="J48" s="325">
        <f t="shared" si="2"/>
        <v>0</v>
      </c>
      <c r="K48" s="326">
        <f t="shared" ref="K48:K59" si="7">$N$1</f>
        <v>1.984210526</v>
      </c>
      <c r="L48" s="327">
        <f t="shared" si="4"/>
        <v>51.58947368</v>
      </c>
      <c r="M48" s="321" t="str">
        <f t="shared" si="5"/>
        <v>zeptimusq</v>
      </c>
      <c r="N48" s="176">
        <f>IFERROR(__xludf.DUMMYFUNCTION("""COMPUTED_VALUE"""),16.0)</f>
        <v>16</v>
      </c>
      <c r="O48" s="243"/>
      <c r="P48" s="243"/>
      <c r="Q48" s="243"/>
      <c r="R48" s="243"/>
      <c r="S48" s="243"/>
      <c r="T48" s="243"/>
      <c r="U48" s="176"/>
      <c r="V48" s="176"/>
      <c r="W48" s="176"/>
      <c r="X48" s="176"/>
      <c r="Y48" s="176"/>
      <c r="Z48" s="176"/>
    </row>
    <row r="49">
      <c r="A49" s="226" t="s">
        <v>3</v>
      </c>
      <c r="B49" s="226" t="s">
        <v>590</v>
      </c>
      <c r="C49" s="250" t="s">
        <v>3180</v>
      </c>
      <c r="D49" s="268" t="s">
        <v>495</v>
      </c>
      <c r="E49" s="251">
        <v>44180.0</v>
      </c>
      <c r="F49" s="250" t="s">
        <v>496</v>
      </c>
      <c r="G49" s="176"/>
      <c r="H49" s="243"/>
      <c r="I49" s="243"/>
      <c r="J49" s="325">
        <f t="shared" si="2"/>
        <v>0</v>
      </c>
      <c r="K49" s="326">
        <f t="shared" si="7"/>
        <v>1.984210526</v>
      </c>
      <c r="L49" s="327">
        <f t="shared" si="4"/>
        <v>51.58947368</v>
      </c>
      <c r="M49" s="321" t="str">
        <f t="shared" si="5"/>
        <v>zeptimusq</v>
      </c>
      <c r="N49" s="176">
        <f>IFERROR(__xludf.DUMMYFUNCTION("""COMPUTED_VALUE"""),17.0)</f>
        <v>17</v>
      </c>
      <c r="O49" s="243"/>
      <c r="P49" s="243"/>
      <c r="Q49" s="243"/>
      <c r="R49" s="243"/>
      <c r="S49" s="243"/>
      <c r="T49" s="243"/>
      <c r="U49" s="176"/>
      <c r="V49" s="176"/>
      <c r="W49" s="176"/>
      <c r="X49" s="176"/>
      <c r="Y49" s="176"/>
      <c r="Z49" s="176"/>
    </row>
    <row r="50">
      <c r="A50" s="226" t="s">
        <v>3</v>
      </c>
      <c r="B50" s="226" t="s">
        <v>18</v>
      </c>
      <c r="C50" s="250" t="s">
        <v>3181</v>
      </c>
      <c r="D50" s="268" t="s">
        <v>495</v>
      </c>
      <c r="E50" s="251">
        <v>44180.0</v>
      </c>
      <c r="F50" s="250" t="s">
        <v>496</v>
      </c>
      <c r="G50" s="176"/>
      <c r="H50" s="243"/>
      <c r="I50" s="243"/>
      <c r="J50" s="325">
        <f t="shared" si="2"/>
        <v>0</v>
      </c>
      <c r="K50" s="326">
        <f t="shared" si="7"/>
        <v>1.984210526</v>
      </c>
      <c r="L50" s="327">
        <f t="shared" si="4"/>
        <v>51.58947368</v>
      </c>
      <c r="M50" s="321" t="str">
        <f t="shared" si="5"/>
        <v>zeptimusq</v>
      </c>
      <c r="N50" s="176">
        <f>IFERROR(__xludf.DUMMYFUNCTION("""COMPUTED_VALUE"""),18.0)</f>
        <v>18</v>
      </c>
      <c r="O50" s="243"/>
      <c r="P50" s="243"/>
      <c r="Q50" s="243"/>
      <c r="R50" s="243"/>
      <c r="S50" s="243"/>
      <c r="T50" s="243"/>
      <c r="U50" s="176"/>
      <c r="V50" s="176"/>
      <c r="W50" s="176"/>
      <c r="X50" s="176"/>
      <c r="Y50" s="176"/>
      <c r="Z50" s="176"/>
    </row>
    <row r="51">
      <c r="A51" s="226" t="s">
        <v>3</v>
      </c>
      <c r="B51" s="226" t="s">
        <v>590</v>
      </c>
      <c r="C51" s="250" t="s">
        <v>3199</v>
      </c>
      <c r="D51" s="268" t="s">
        <v>495</v>
      </c>
      <c r="E51" s="251">
        <v>44181.0</v>
      </c>
      <c r="F51" s="250" t="s">
        <v>496</v>
      </c>
      <c r="G51" s="176"/>
      <c r="H51" s="243"/>
      <c r="I51" s="243"/>
      <c r="J51" s="325">
        <f t="shared" si="2"/>
        <v>0</v>
      </c>
      <c r="K51" s="326">
        <f t="shared" si="7"/>
        <v>1.984210526</v>
      </c>
      <c r="L51" s="327">
        <f t="shared" si="4"/>
        <v>51.58947368</v>
      </c>
      <c r="M51" s="321" t="str">
        <f t="shared" si="5"/>
        <v>zeptimusq</v>
      </c>
      <c r="N51" s="176">
        <f>IFERROR(__xludf.DUMMYFUNCTION("""COMPUTED_VALUE"""),19.0)</f>
        <v>19</v>
      </c>
      <c r="O51" s="243"/>
      <c r="P51" s="243"/>
      <c r="Q51" s="243"/>
      <c r="R51" s="243"/>
      <c r="S51" s="243"/>
      <c r="T51" s="243"/>
      <c r="U51" s="176"/>
      <c r="V51" s="176"/>
      <c r="W51" s="176"/>
      <c r="X51" s="176"/>
      <c r="Y51" s="176"/>
      <c r="Z51" s="176"/>
    </row>
    <row r="52">
      <c r="A52" s="226" t="s">
        <v>3</v>
      </c>
      <c r="B52" s="226" t="s">
        <v>1228</v>
      </c>
      <c r="C52" s="250" t="s">
        <v>3183</v>
      </c>
      <c r="D52" s="268" t="s">
        <v>495</v>
      </c>
      <c r="E52" s="251">
        <v>44182.0</v>
      </c>
      <c r="F52" s="250" t="s">
        <v>496</v>
      </c>
      <c r="G52" s="176"/>
      <c r="H52" s="243"/>
      <c r="I52" s="243"/>
      <c r="J52" s="325">
        <f t="shared" si="2"/>
        <v>0</v>
      </c>
      <c r="K52" s="326">
        <f t="shared" si="7"/>
        <v>1.984210526</v>
      </c>
      <c r="L52" s="327">
        <f t="shared" si="4"/>
        <v>51.58947368</v>
      </c>
      <c r="M52" s="321" t="str">
        <f t="shared" si="5"/>
        <v>zeptimusq</v>
      </c>
      <c r="N52" s="176">
        <f>IFERROR(__xludf.DUMMYFUNCTION("""COMPUTED_VALUE"""),20.0)</f>
        <v>20</v>
      </c>
      <c r="O52" s="243"/>
      <c r="P52" s="243"/>
      <c r="Q52" s="243"/>
      <c r="R52" s="243"/>
      <c r="S52" s="243"/>
      <c r="T52" s="243"/>
      <c r="U52" s="176"/>
      <c r="V52" s="176"/>
      <c r="W52" s="176"/>
      <c r="X52" s="176"/>
      <c r="Y52" s="176"/>
      <c r="Z52" s="176"/>
    </row>
    <row r="53">
      <c r="A53" s="226" t="s">
        <v>3</v>
      </c>
      <c r="B53" s="226" t="s">
        <v>590</v>
      </c>
      <c r="C53" s="250" t="s">
        <v>3184</v>
      </c>
      <c r="D53" s="268" t="s">
        <v>495</v>
      </c>
      <c r="E53" s="251">
        <v>44182.0</v>
      </c>
      <c r="F53" s="250" t="s">
        <v>496</v>
      </c>
      <c r="G53" s="176"/>
      <c r="H53" s="243"/>
      <c r="I53" s="243"/>
      <c r="J53" s="325">
        <f t="shared" si="2"/>
        <v>0</v>
      </c>
      <c r="K53" s="326">
        <f t="shared" si="7"/>
        <v>1.984210526</v>
      </c>
      <c r="L53" s="327">
        <f t="shared" si="4"/>
        <v>51.58947368</v>
      </c>
      <c r="M53" s="321" t="str">
        <f t="shared" si="5"/>
        <v>zeptimusq</v>
      </c>
      <c r="N53" s="176">
        <f>IFERROR(__xludf.DUMMYFUNCTION("""COMPUTED_VALUE"""),21.0)</f>
        <v>21</v>
      </c>
      <c r="O53" s="243"/>
      <c r="P53" s="243"/>
      <c r="Q53" s="243"/>
      <c r="R53" s="243"/>
      <c r="S53" s="243"/>
      <c r="T53" s="243"/>
      <c r="U53" s="176"/>
      <c r="V53" s="176"/>
      <c r="W53" s="176"/>
      <c r="X53" s="176"/>
      <c r="Y53" s="176"/>
      <c r="Z53" s="176"/>
    </row>
    <row r="54">
      <c r="A54" s="226" t="s">
        <v>3</v>
      </c>
      <c r="B54" s="226" t="s">
        <v>10</v>
      </c>
      <c r="C54" s="250" t="s">
        <v>3187</v>
      </c>
      <c r="D54" s="268" t="s">
        <v>495</v>
      </c>
      <c r="E54" s="251">
        <v>44183.0</v>
      </c>
      <c r="F54" s="250" t="s">
        <v>496</v>
      </c>
      <c r="G54" s="176"/>
      <c r="H54" s="243"/>
      <c r="I54" s="243"/>
      <c r="J54" s="325">
        <f t="shared" si="2"/>
        <v>0</v>
      </c>
      <c r="K54" s="326">
        <f t="shared" si="7"/>
        <v>1.984210526</v>
      </c>
      <c r="L54" s="327">
        <f t="shared" si="4"/>
        <v>51.58947368</v>
      </c>
      <c r="M54" s="321" t="str">
        <f t="shared" si="5"/>
        <v>zeptimusq</v>
      </c>
      <c r="N54" s="176">
        <f>IFERROR(__xludf.DUMMYFUNCTION("""COMPUTED_VALUE"""),22.0)</f>
        <v>22</v>
      </c>
      <c r="O54" s="243"/>
      <c r="P54" s="243"/>
      <c r="Q54" s="243"/>
      <c r="R54" s="243"/>
      <c r="S54" s="243"/>
      <c r="T54" s="243"/>
      <c r="U54" s="176"/>
      <c r="V54" s="176"/>
      <c r="W54" s="176"/>
      <c r="X54" s="176"/>
      <c r="Y54" s="176"/>
      <c r="Z54" s="176"/>
    </row>
    <row r="55">
      <c r="A55" s="226" t="s">
        <v>3</v>
      </c>
      <c r="B55" s="226" t="s">
        <v>10</v>
      </c>
      <c r="C55" s="250" t="s">
        <v>3200</v>
      </c>
      <c r="D55" s="268" t="s">
        <v>495</v>
      </c>
      <c r="E55" s="251">
        <v>44183.0</v>
      </c>
      <c r="F55" s="250" t="s">
        <v>496</v>
      </c>
      <c r="G55" s="176"/>
      <c r="H55" s="243"/>
      <c r="I55" s="243"/>
      <c r="J55" s="325">
        <f t="shared" si="2"/>
        <v>0</v>
      </c>
      <c r="K55" s="326">
        <f t="shared" si="7"/>
        <v>1.984210526</v>
      </c>
      <c r="L55" s="327">
        <f t="shared" si="4"/>
        <v>51.58947368</v>
      </c>
      <c r="M55" s="321" t="str">
        <f t="shared" si="5"/>
        <v>zeptimusq</v>
      </c>
      <c r="N55" s="176">
        <f>IFERROR(__xludf.DUMMYFUNCTION("""COMPUTED_VALUE"""),23.0)</f>
        <v>23</v>
      </c>
      <c r="O55" s="243"/>
      <c r="P55" s="243"/>
      <c r="Q55" s="243"/>
      <c r="R55" s="243"/>
      <c r="S55" s="243"/>
      <c r="T55" s="243"/>
      <c r="U55" s="176"/>
      <c r="V55" s="176"/>
      <c r="W55" s="176"/>
      <c r="X55" s="176"/>
      <c r="Y55" s="176"/>
      <c r="Z55" s="176"/>
    </row>
    <row r="56">
      <c r="A56" s="226" t="s">
        <v>3</v>
      </c>
      <c r="B56" s="226" t="s">
        <v>10</v>
      </c>
      <c r="C56" s="250" t="s">
        <v>3188</v>
      </c>
      <c r="D56" s="268" t="s">
        <v>495</v>
      </c>
      <c r="E56" s="251">
        <v>44183.0</v>
      </c>
      <c r="F56" s="250" t="s">
        <v>496</v>
      </c>
      <c r="G56" s="176"/>
      <c r="H56" s="243"/>
      <c r="I56" s="243"/>
      <c r="J56" s="325">
        <f t="shared" si="2"/>
        <v>0</v>
      </c>
      <c r="K56" s="326">
        <f t="shared" si="7"/>
        <v>1.984210526</v>
      </c>
      <c r="L56" s="327">
        <f t="shared" si="4"/>
        <v>51.58947368</v>
      </c>
      <c r="M56" s="321" t="str">
        <f t="shared" si="5"/>
        <v>zeptimusq</v>
      </c>
      <c r="N56" s="176">
        <f>IFERROR(__xludf.DUMMYFUNCTION("""COMPUTED_VALUE"""),24.0)</f>
        <v>24</v>
      </c>
      <c r="O56" s="243"/>
      <c r="P56" s="243"/>
      <c r="Q56" s="243"/>
      <c r="R56" s="243"/>
      <c r="S56" s="243"/>
      <c r="T56" s="243"/>
      <c r="U56" s="176"/>
      <c r="V56" s="176"/>
      <c r="W56" s="176"/>
      <c r="X56" s="176"/>
      <c r="Y56" s="176"/>
      <c r="Z56" s="176"/>
    </row>
    <row r="57">
      <c r="A57" s="226" t="s">
        <v>3</v>
      </c>
      <c r="B57" s="226" t="s">
        <v>18</v>
      </c>
      <c r="C57" s="250" t="s">
        <v>3189</v>
      </c>
      <c r="D57" s="268" t="s">
        <v>495</v>
      </c>
      <c r="E57" s="251">
        <v>44183.0</v>
      </c>
      <c r="F57" s="250" t="s">
        <v>496</v>
      </c>
      <c r="G57" s="176"/>
      <c r="H57" s="243"/>
      <c r="I57" s="243"/>
      <c r="J57" s="325">
        <f t="shared" si="2"/>
        <v>0</v>
      </c>
      <c r="K57" s="326">
        <f t="shared" si="7"/>
        <v>1.984210526</v>
      </c>
      <c r="L57" s="327">
        <f t="shared" si="4"/>
        <v>51.58947368</v>
      </c>
      <c r="M57" s="321" t="str">
        <f t="shared" si="5"/>
        <v>zeptimusq</v>
      </c>
      <c r="N57" s="176">
        <f>IFERROR(__xludf.DUMMYFUNCTION("""COMPUTED_VALUE"""),25.0)</f>
        <v>25</v>
      </c>
      <c r="O57" s="243"/>
      <c r="P57" s="243"/>
      <c r="Q57" s="243"/>
      <c r="R57" s="243"/>
      <c r="S57" s="243"/>
      <c r="T57" s="243"/>
      <c r="U57" s="176"/>
      <c r="V57" s="176"/>
      <c r="W57" s="176"/>
      <c r="X57" s="176"/>
      <c r="Y57" s="176"/>
      <c r="Z57" s="176"/>
    </row>
    <row r="58">
      <c r="A58" s="226" t="s">
        <v>3</v>
      </c>
      <c r="B58" s="226" t="s">
        <v>18</v>
      </c>
      <c r="C58" s="250" t="s">
        <v>3190</v>
      </c>
      <c r="D58" s="268" t="s">
        <v>495</v>
      </c>
      <c r="E58" s="251">
        <v>44183.0</v>
      </c>
      <c r="F58" s="250" t="s">
        <v>496</v>
      </c>
      <c r="G58" s="176"/>
      <c r="H58" s="243"/>
      <c r="I58" s="243"/>
      <c r="J58" s="325">
        <f t="shared" si="2"/>
        <v>0</v>
      </c>
      <c r="K58" s="326">
        <f t="shared" si="7"/>
        <v>1.984210526</v>
      </c>
      <c r="L58" s="327">
        <f t="shared" si="4"/>
        <v>51.58947368</v>
      </c>
      <c r="M58" s="321" t="str">
        <f t="shared" si="5"/>
        <v>zeptimusq</v>
      </c>
      <c r="N58" s="176">
        <f>IFERROR(__xludf.DUMMYFUNCTION("""COMPUTED_VALUE"""),26.0)</f>
        <v>26</v>
      </c>
      <c r="O58" s="243"/>
      <c r="P58" s="243"/>
      <c r="Q58" s="243"/>
      <c r="R58" s="243"/>
      <c r="S58" s="243"/>
      <c r="T58" s="243"/>
      <c r="U58" s="176"/>
      <c r="V58" s="176"/>
      <c r="W58" s="176"/>
      <c r="X58" s="176"/>
      <c r="Y58" s="176"/>
      <c r="Z58" s="176"/>
    </row>
    <row r="59">
      <c r="A59" s="226" t="s">
        <v>3</v>
      </c>
      <c r="B59" s="226" t="s">
        <v>868</v>
      </c>
      <c r="C59" s="250" t="s">
        <v>3191</v>
      </c>
      <c r="D59" s="268" t="s">
        <v>495</v>
      </c>
      <c r="E59" s="251">
        <v>44183.0</v>
      </c>
      <c r="F59" s="250" t="s">
        <v>496</v>
      </c>
      <c r="G59" s="176"/>
      <c r="H59" s="243"/>
      <c r="I59" s="243"/>
      <c r="J59" s="325">
        <f t="shared" si="2"/>
        <v>0</v>
      </c>
      <c r="K59" s="326">
        <f t="shared" si="7"/>
        <v>1.984210526</v>
      </c>
      <c r="L59" s="327">
        <f t="shared" si="4"/>
        <v>51.58947368</v>
      </c>
      <c r="M59" s="321" t="str">
        <f t="shared" si="5"/>
        <v>zeptimusq</v>
      </c>
      <c r="N59" s="176">
        <f>IFERROR(__xludf.DUMMYFUNCTION("""COMPUTED_VALUE"""),27.0)</f>
        <v>27</v>
      </c>
      <c r="O59" s="243"/>
      <c r="P59" s="243"/>
      <c r="Q59" s="243"/>
      <c r="R59" s="243"/>
      <c r="S59" s="243"/>
      <c r="T59" s="243"/>
      <c r="U59" s="176"/>
      <c r="V59" s="176"/>
      <c r="W59" s="176"/>
      <c r="X59" s="176"/>
      <c r="Y59" s="176"/>
      <c r="Z59" s="176"/>
    </row>
    <row r="60">
      <c r="A60" s="226" t="s">
        <v>6</v>
      </c>
      <c r="B60" s="226" t="s">
        <v>925</v>
      </c>
      <c r="C60" s="250" t="s">
        <v>3201</v>
      </c>
      <c r="D60" s="268" t="s">
        <v>495</v>
      </c>
      <c r="E60" s="361">
        <v>44171.0</v>
      </c>
      <c r="F60" s="250" t="s">
        <v>496</v>
      </c>
      <c r="G60" s="171">
        <v>21.0</v>
      </c>
      <c r="H60" s="171">
        <v>180.0</v>
      </c>
      <c r="I60" s="171">
        <v>200.0</v>
      </c>
      <c r="J60" s="325">
        <f t="shared" si="2"/>
        <v>0.005829144715</v>
      </c>
      <c r="K60" s="326">
        <f t="shared" ref="K60:K79" si="8">J60*$J$1</f>
        <v>4.392260543</v>
      </c>
      <c r="L60" s="327">
        <f t="shared" si="4"/>
        <v>44.81065722</v>
      </c>
      <c r="M60" s="321" t="str">
        <f t="shared" si="5"/>
        <v>sembrestels</v>
      </c>
      <c r="N60" s="176">
        <f>IFERROR(__xludf.DUMMYFUNCTION("""COMPUTED_VALUE"""),1.0)</f>
        <v>1</v>
      </c>
      <c r="O60" s="243"/>
      <c r="P60" s="243"/>
      <c r="Q60" s="243"/>
      <c r="R60" s="243"/>
      <c r="S60" s="243"/>
      <c r="T60" s="243"/>
      <c r="U60" s="176"/>
      <c r="V60" s="176"/>
      <c r="W60" s="176"/>
      <c r="X60" s="176"/>
      <c r="Y60" s="176"/>
      <c r="Z60" s="176"/>
    </row>
    <row r="61">
      <c r="A61" s="226" t="s">
        <v>6</v>
      </c>
      <c r="B61" s="226" t="s">
        <v>25</v>
      </c>
      <c r="C61" s="250" t="s">
        <v>3202</v>
      </c>
      <c r="D61" s="268" t="s">
        <v>495</v>
      </c>
      <c r="E61" s="361">
        <v>44172.0</v>
      </c>
      <c r="F61" s="250" t="s">
        <v>496</v>
      </c>
      <c r="G61" s="171">
        <v>34.0</v>
      </c>
      <c r="H61" s="171">
        <v>45.0</v>
      </c>
      <c r="I61" s="171">
        <v>50.0</v>
      </c>
      <c r="J61" s="325">
        <f t="shared" si="2"/>
        <v>0.002542232781</v>
      </c>
      <c r="K61" s="326">
        <f t="shared" si="8"/>
        <v>1.9155724</v>
      </c>
      <c r="L61" s="327">
        <f t="shared" si="4"/>
        <v>44.81065722</v>
      </c>
      <c r="M61" s="321" t="str">
        <f t="shared" si="5"/>
        <v>sembrestels</v>
      </c>
      <c r="N61" s="176">
        <f>IFERROR(__xludf.DUMMYFUNCTION("""COMPUTED_VALUE"""),2.0)</f>
        <v>2</v>
      </c>
      <c r="O61" s="243"/>
      <c r="P61" s="243"/>
      <c r="Q61" s="243"/>
      <c r="R61" s="243"/>
      <c r="S61" s="243"/>
      <c r="T61" s="243"/>
      <c r="U61" s="176"/>
      <c r="V61" s="176"/>
      <c r="W61" s="176"/>
      <c r="X61" s="176"/>
      <c r="Y61" s="176"/>
      <c r="Z61" s="176"/>
    </row>
    <row r="62">
      <c r="A62" s="226" t="s">
        <v>6</v>
      </c>
      <c r="B62" s="226" t="s">
        <v>519</v>
      </c>
      <c r="C62" s="250" t="s">
        <v>3203</v>
      </c>
      <c r="D62" s="268" t="s">
        <v>495</v>
      </c>
      <c r="E62" s="361">
        <v>44173.0</v>
      </c>
      <c r="F62" s="250" t="s">
        <v>521</v>
      </c>
      <c r="G62" s="171">
        <v>5.0</v>
      </c>
      <c r="H62" s="171">
        <v>45.0</v>
      </c>
      <c r="I62" s="171">
        <v>50.0</v>
      </c>
      <c r="J62" s="325">
        <f t="shared" si="2"/>
        <v>0.001447851861</v>
      </c>
      <c r="K62" s="326">
        <f t="shared" si="8"/>
        <v>1.090956377</v>
      </c>
      <c r="L62" s="327">
        <f t="shared" si="4"/>
        <v>44.81065722</v>
      </c>
      <c r="M62" s="321" t="str">
        <f t="shared" si="5"/>
        <v>sembrestels</v>
      </c>
      <c r="N62" s="176">
        <f>IFERROR(__xludf.DUMMYFUNCTION("""COMPUTED_VALUE"""),3.0)</f>
        <v>3</v>
      </c>
      <c r="O62" s="243"/>
      <c r="P62" s="243"/>
      <c r="Q62" s="243"/>
      <c r="R62" s="243"/>
      <c r="S62" s="243"/>
      <c r="T62" s="243"/>
      <c r="U62" s="176"/>
      <c r="V62" s="176"/>
      <c r="W62" s="176"/>
      <c r="X62" s="176"/>
      <c r="Y62" s="176"/>
      <c r="Z62" s="176"/>
    </row>
    <row r="63">
      <c r="A63" s="226" t="s">
        <v>6</v>
      </c>
      <c r="B63" s="226" t="s">
        <v>519</v>
      </c>
      <c r="C63" s="250" t="s">
        <v>3204</v>
      </c>
      <c r="D63" s="268" t="s">
        <v>495</v>
      </c>
      <c r="E63" s="251">
        <v>44175.0</v>
      </c>
      <c r="F63" s="250" t="s">
        <v>521</v>
      </c>
      <c r="G63" s="171">
        <v>5.0</v>
      </c>
      <c r="H63" s="171">
        <v>45.0</v>
      </c>
      <c r="I63" s="171">
        <v>50.0</v>
      </c>
      <c r="J63" s="325">
        <f t="shared" si="2"/>
        <v>0.001447851861</v>
      </c>
      <c r="K63" s="326">
        <f t="shared" si="8"/>
        <v>1.090956377</v>
      </c>
      <c r="L63" s="327">
        <f t="shared" si="4"/>
        <v>44.81065722</v>
      </c>
      <c r="M63" s="321" t="str">
        <f t="shared" si="5"/>
        <v>sembrestels</v>
      </c>
      <c r="N63" s="176">
        <f>IFERROR(__xludf.DUMMYFUNCTION("""COMPUTED_VALUE"""),4.0)</f>
        <v>4</v>
      </c>
      <c r="O63" s="243"/>
      <c r="P63" s="243"/>
      <c r="Q63" s="243"/>
      <c r="R63" s="243"/>
      <c r="S63" s="243"/>
      <c r="T63" s="243"/>
      <c r="U63" s="176"/>
      <c r="V63" s="176"/>
      <c r="W63" s="176"/>
      <c r="X63" s="176"/>
      <c r="Y63" s="176"/>
      <c r="Z63" s="176"/>
    </row>
    <row r="64">
      <c r="A64" s="226" t="s">
        <v>6</v>
      </c>
      <c r="B64" s="226" t="s">
        <v>5</v>
      </c>
      <c r="C64" s="250" t="s">
        <v>3171</v>
      </c>
      <c r="D64" s="268" t="s">
        <v>495</v>
      </c>
      <c r="E64" s="251">
        <v>44175.0</v>
      </c>
      <c r="F64" s="250" t="s">
        <v>496</v>
      </c>
      <c r="G64" s="171">
        <v>21.0</v>
      </c>
      <c r="H64" s="171">
        <v>60.0</v>
      </c>
      <c r="I64" s="171">
        <v>50.0</v>
      </c>
      <c r="J64" s="325">
        <f t="shared" si="2"/>
        <v>0.002230994692</v>
      </c>
      <c r="K64" s="326">
        <f t="shared" si="8"/>
        <v>1.6810545</v>
      </c>
      <c r="L64" s="327">
        <f t="shared" si="4"/>
        <v>44.81065722</v>
      </c>
      <c r="M64" s="321" t="str">
        <f t="shared" si="5"/>
        <v>sembrestels</v>
      </c>
      <c r="N64" s="176">
        <f>IFERROR(__xludf.DUMMYFUNCTION("""COMPUTED_VALUE"""),5.0)</f>
        <v>5</v>
      </c>
      <c r="O64" s="243"/>
      <c r="P64" s="243"/>
      <c r="Q64" s="243"/>
      <c r="R64" s="243"/>
      <c r="S64" s="243"/>
      <c r="T64" s="243"/>
      <c r="U64" s="176"/>
      <c r="V64" s="176"/>
      <c r="W64" s="176"/>
      <c r="X64" s="176"/>
      <c r="Y64" s="176"/>
      <c r="Z64" s="176"/>
    </row>
    <row r="65">
      <c r="A65" s="226" t="s">
        <v>6</v>
      </c>
      <c r="B65" s="226" t="s">
        <v>10</v>
      </c>
      <c r="C65" s="250" t="s">
        <v>3174</v>
      </c>
      <c r="D65" s="268" t="s">
        <v>495</v>
      </c>
      <c r="E65" s="251">
        <v>44176.0</v>
      </c>
      <c r="F65" s="250" t="s">
        <v>496</v>
      </c>
      <c r="G65" s="171">
        <v>34.0</v>
      </c>
      <c r="H65" s="171">
        <v>120.0</v>
      </c>
      <c r="I65" s="171">
        <v>100.0</v>
      </c>
      <c r="J65" s="325">
        <f t="shared" si="2"/>
        <v>0.004160091199</v>
      </c>
      <c r="K65" s="326">
        <f t="shared" si="8"/>
        <v>3.134628718</v>
      </c>
      <c r="L65" s="327">
        <f t="shared" si="4"/>
        <v>44.81065722</v>
      </c>
      <c r="M65" s="321" t="str">
        <f t="shared" si="5"/>
        <v>sembrestels</v>
      </c>
      <c r="N65" s="176">
        <f>IFERROR(__xludf.DUMMYFUNCTION("""COMPUTED_VALUE"""),6.0)</f>
        <v>6</v>
      </c>
      <c r="O65" s="243"/>
      <c r="P65" s="243"/>
      <c r="Q65" s="243"/>
      <c r="R65" s="243"/>
      <c r="S65" s="243"/>
      <c r="T65" s="243"/>
      <c r="U65" s="176"/>
      <c r="V65" s="176"/>
      <c r="W65" s="176"/>
      <c r="X65" s="176"/>
      <c r="Y65" s="176"/>
      <c r="Z65" s="176"/>
    </row>
    <row r="66">
      <c r="A66" s="226" t="s">
        <v>6</v>
      </c>
      <c r="B66" s="226" t="s">
        <v>10</v>
      </c>
      <c r="C66" s="250" t="s">
        <v>3205</v>
      </c>
      <c r="D66" s="268" t="s">
        <v>495</v>
      </c>
      <c r="E66" s="251">
        <v>44176.0</v>
      </c>
      <c r="F66" s="250" t="s">
        <v>496</v>
      </c>
      <c r="G66" s="171">
        <v>21.0</v>
      </c>
      <c r="H66" s="171">
        <v>100.0</v>
      </c>
      <c r="I66" s="171">
        <v>100.0</v>
      </c>
      <c r="J66" s="325">
        <f t="shared" si="2"/>
        <v>0.003430378033</v>
      </c>
      <c r="K66" s="326">
        <f t="shared" si="8"/>
        <v>2.584789848</v>
      </c>
      <c r="L66" s="327">
        <f t="shared" si="4"/>
        <v>44.81065722</v>
      </c>
      <c r="M66" s="321" t="str">
        <f t="shared" si="5"/>
        <v>sembrestels</v>
      </c>
      <c r="N66" s="176">
        <f>IFERROR(__xludf.DUMMYFUNCTION("""COMPUTED_VALUE"""),7.0)</f>
        <v>7</v>
      </c>
      <c r="O66" s="243"/>
      <c r="P66" s="243"/>
      <c r="Q66" s="243"/>
      <c r="R66" s="243"/>
      <c r="S66" s="243"/>
      <c r="T66" s="243"/>
      <c r="U66" s="176"/>
      <c r="V66" s="176"/>
      <c r="W66" s="176"/>
      <c r="X66" s="176"/>
      <c r="Y66" s="176"/>
      <c r="Z66" s="176"/>
    </row>
    <row r="67">
      <c r="A67" s="226" t="s">
        <v>6</v>
      </c>
      <c r="B67" s="226" t="s">
        <v>10</v>
      </c>
      <c r="C67" s="250" t="s">
        <v>3176</v>
      </c>
      <c r="D67" s="268" t="s">
        <v>495</v>
      </c>
      <c r="E67" s="251">
        <v>44176.0</v>
      </c>
      <c r="F67" s="250" t="s">
        <v>496</v>
      </c>
      <c r="G67" s="171">
        <v>2.0</v>
      </c>
      <c r="H67" s="171">
        <v>45.0</v>
      </c>
      <c r="I67" s="171">
        <v>50.0</v>
      </c>
      <c r="J67" s="325">
        <f t="shared" si="2"/>
        <v>0.001334640041</v>
      </c>
      <c r="K67" s="326">
        <f t="shared" si="8"/>
        <v>1.005651271</v>
      </c>
      <c r="L67" s="327">
        <f t="shared" si="4"/>
        <v>44.81065722</v>
      </c>
      <c r="M67" s="321" t="str">
        <f t="shared" si="5"/>
        <v>sembrestels</v>
      </c>
      <c r="N67" s="176">
        <f>IFERROR(__xludf.DUMMYFUNCTION("""COMPUTED_VALUE"""),8.0)</f>
        <v>8</v>
      </c>
      <c r="O67" s="243"/>
      <c r="P67" s="243"/>
      <c r="Q67" s="243"/>
      <c r="R67" s="243"/>
      <c r="S67" s="243"/>
      <c r="T67" s="243"/>
      <c r="U67" s="176"/>
      <c r="V67" s="176"/>
      <c r="W67" s="176"/>
      <c r="X67" s="176"/>
      <c r="Y67" s="176"/>
      <c r="Z67" s="176"/>
    </row>
    <row r="68">
      <c r="A68" s="226" t="s">
        <v>6</v>
      </c>
      <c r="B68" s="226" t="s">
        <v>6</v>
      </c>
      <c r="C68" s="250" t="s">
        <v>3206</v>
      </c>
      <c r="D68" s="268" t="s">
        <v>495</v>
      </c>
      <c r="E68" s="251">
        <v>44176.0</v>
      </c>
      <c r="F68" s="250" t="s">
        <v>2586</v>
      </c>
      <c r="G68" s="171">
        <v>144.0</v>
      </c>
      <c r="H68" s="171">
        <v>240.0</v>
      </c>
      <c r="I68" s="171">
        <v>200.0</v>
      </c>
      <c r="J68" s="325">
        <f t="shared" si="2"/>
        <v>0.01118821515</v>
      </c>
      <c r="K68" s="326">
        <f t="shared" si="8"/>
        <v>8.430320118</v>
      </c>
      <c r="L68" s="327">
        <f t="shared" si="4"/>
        <v>44.81065722</v>
      </c>
      <c r="M68" s="321" t="str">
        <f t="shared" si="5"/>
        <v>sembrestels</v>
      </c>
      <c r="N68" s="176">
        <f>IFERROR(__xludf.DUMMYFUNCTION("""COMPUTED_VALUE"""),9.0)</f>
        <v>9</v>
      </c>
      <c r="O68" s="243"/>
      <c r="P68" s="243"/>
      <c r="Q68" s="243"/>
      <c r="R68" s="243"/>
      <c r="S68" s="243"/>
      <c r="T68" s="243"/>
      <c r="U68" s="176"/>
      <c r="V68" s="176"/>
      <c r="W68" s="176"/>
      <c r="X68" s="176"/>
      <c r="Y68" s="176"/>
      <c r="Z68" s="176"/>
    </row>
    <row r="69">
      <c r="A69" s="226" t="s">
        <v>6</v>
      </c>
      <c r="B69" s="226" t="s">
        <v>5</v>
      </c>
      <c r="C69" s="250" t="s">
        <v>3177</v>
      </c>
      <c r="D69" s="268" t="s">
        <v>495</v>
      </c>
      <c r="E69" s="251">
        <v>44176.0</v>
      </c>
      <c r="F69" s="250" t="s">
        <v>496</v>
      </c>
      <c r="G69" s="171">
        <v>21.0</v>
      </c>
      <c r="H69" s="171">
        <v>60.0</v>
      </c>
      <c r="I69" s="171">
        <v>50.0</v>
      </c>
      <c r="J69" s="325">
        <f t="shared" si="2"/>
        <v>0.002230994692</v>
      </c>
      <c r="K69" s="326">
        <f t="shared" si="8"/>
        <v>1.6810545</v>
      </c>
      <c r="L69" s="327">
        <f t="shared" si="4"/>
        <v>44.81065722</v>
      </c>
      <c r="M69" s="321" t="str">
        <f t="shared" si="5"/>
        <v>sembrestels</v>
      </c>
      <c r="N69" s="176">
        <f>IFERROR(__xludf.DUMMYFUNCTION("""COMPUTED_VALUE"""),10.0)</f>
        <v>10</v>
      </c>
      <c r="O69" s="243"/>
      <c r="P69" s="243"/>
      <c r="Q69" s="243"/>
      <c r="R69" s="243"/>
      <c r="S69" s="243"/>
      <c r="T69" s="243"/>
      <c r="U69" s="176"/>
      <c r="V69" s="176"/>
      <c r="W69" s="176"/>
      <c r="X69" s="176"/>
      <c r="Y69" s="176"/>
      <c r="Z69" s="176"/>
    </row>
    <row r="70">
      <c r="A70" s="226" t="s">
        <v>6</v>
      </c>
      <c r="B70" s="226" t="s">
        <v>5</v>
      </c>
      <c r="C70" s="250" t="s">
        <v>3178</v>
      </c>
      <c r="D70" s="268" t="s">
        <v>495</v>
      </c>
      <c r="E70" s="251">
        <v>44176.0</v>
      </c>
      <c r="F70" s="250" t="s">
        <v>496</v>
      </c>
      <c r="G70" s="171">
        <v>21.0</v>
      </c>
      <c r="H70" s="171">
        <v>60.0</v>
      </c>
      <c r="I70" s="171">
        <v>50.0</v>
      </c>
      <c r="J70" s="325">
        <f t="shared" si="2"/>
        <v>0.002230994692</v>
      </c>
      <c r="K70" s="326">
        <f t="shared" si="8"/>
        <v>1.6810545</v>
      </c>
      <c r="L70" s="327">
        <f t="shared" si="4"/>
        <v>44.81065722</v>
      </c>
      <c r="M70" s="321" t="str">
        <f t="shared" si="5"/>
        <v>sembrestels</v>
      </c>
      <c r="N70" s="176">
        <f>IFERROR(__xludf.DUMMYFUNCTION("""COMPUTED_VALUE"""),11.0)</f>
        <v>11</v>
      </c>
      <c r="O70" s="243"/>
      <c r="P70" s="243"/>
      <c r="Q70" s="243"/>
      <c r="R70" s="243"/>
      <c r="S70" s="243"/>
      <c r="T70" s="243"/>
      <c r="U70" s="176"/>
      <c r="V70" s="176"/>
      <c r="W70" s="176"/>
      <c r="X70" s="176"/>
      <c r="Y70" s="176"/>
      <c r="Z70" s="176"/>
    </row>
    <row r="71">
      <c r="A71" s="226" t="s">
        <v>6</v>
      </c>
      <c r="B71" s="226" t="s">
        <v>1228</v>
      </c>
      <c r="C71" s="250" t="s">
        <v>3207</v>
      </c>
      <c r="D71" s="268" t="s">
        <v>495</v>
      </c>
      <c r="E71" s="251">
        <v>44176.0</v>
      </c>
      <c r="F71" s="250" t="s">
        <v>496</v>
      </c>
      <c r="G71" s="171">
        <v>89.0</v>
      </c>
      <c r="H71" s="171">
        <v>200.0</v>
      </c>
      <c r="I71" s="171">
        <v>100.0</v>
      </c>
      <c r="J71" s="325">
        <f t="shared" si="2"/>
        <v>0.007192155681</v>
      </c>
      <c r="K71" s="326">
        <f t="shared" si="8"/>
        <v>5.419289305</v>
      </c>
      <c r="L71" s="327">
        <f t="shared" si="4"/>
        <v>44.81065722</v>
      </c>
      <c r="M71" s="321" t="str">
        <f t="shared" si="5"/>
        <v>sembrestels</v>
      </c>
      <c r="N71" s="176">
        <f>IFERROR(__xludf.DUMMYFUNCTION("""COMPUTED_VALUE"""),12.0)</f>
        <v>12</v>
      </c>
      <c r="O71" s="243"/>
      <c r="P71" s="243"/>
      <c r="Q71" s="243"/>
      <c r="R71" s="243"/>
      <c r="S71" s="243"/>
      <c r="T71" s="243"/>
      <c r="U71" s="176"/>
      <c r="V71" s="176"/>
      <c r="W71" s="176"/>
      <c r="X71" s="176"/>
      <c r="Y71" s="176"/>
      <c r="Z71" s="176"/>
    </row>
    <row r="72">
      <c r="A72" s="226" t="s">
        <v>6</v>
      </c>
      <c r="B72" s="226" t="s">
        <v>519</v>
      </c>
      <c r="C72" s="250" t="s">
        <v>3208</v>
      </c>
      <c r="D72" s="268" t="s">
        <v>495</v>
      </c>
      <c r="E72" s="251">
        <v>44178.0</v>
      </c>
      <c r="F72" s="250" t="s">
        <v>496</v>
      </c>
      <c r="G72" s="171">
        <v>21.0</v>
      </c>
      <c r="H72" s="171">
        <v>60.0</v>
      </c>
      <c r="I72" s="171">
        <v>50.0</v>
      </c>
      <c r="J72" s="325">
        <f t="shared" si="2"/>
        <v>0.002230994692</v>
      </c>
      <c r="K72" s="326">
        <f t="shared" si="8"/>
        <v>1.6810545</v>
      </c>
      <c r="L72" s="327">
        <f t="shared" si="4"/>
        <v>44.81065722</v>
      </c>
      <c r="M72" s="321" t="str">
        <f t="shared" si="5"/>
        <v>sembrestels</v>
      </c>
      <c r="N72" s="176">
        <f>IFERROR(__xludf.DUMMYFUNCTION("""COMPUTED_VALUE"""),13.0)</f>
        <v>13</v>
      </c>
      <c r="O72" s="243"/>
      <c r="P72" s="243"/>
      <c r="Q72" s="243"/>
      <c r="R72" s="243"/>
      <c r="S72" s="243"/>
      <c r="T72" s="243"/>
      <c r="U72" s="176"/>
      <c r="V72" s="176"/>
      <c r="W72" s="176"/>
      <c r="X72" s="176"/>
      <c r="Y72" s="176"/>
      <c r="Z72" s="176"/>
    </row>
    <row r="73">
      <c r="A73" s="226" t="s">
        <v>6</v>
      </c>
      <c r="B73" s="226" t="s">
        <v>519</v>
      </c>
      <c r="C73" s="250" t="s">
        <v>3198</v>
      </c>
      <c r="D73" s="268" t="s">
        <v>495</v>
      </c>
      <c r="E73" s="251">
        <v>44178.0</v>
      </c>
      <c r="F73" s="250" t="s">
        <v>496</v>
      </c>
      <c r="G73" s="171">
        <v>21.0</v>
      </c>
      <c r="H73" s="171">
        <v>60.0</v>
      </c>
      <c r="I73" s="171">
        <v>50.0</v>
      </c>
      <c r="J73" s="325">
        <f t="shared" si="2"/>
        <v>0.002230994692</v>
      </c>
      <c r="K73" s="326">
        <f t="shared" si="8"/>
        <v>1.6810545</v>
      </c>
      <c r="L73" s="327">
        <f t="shared" si="4"/>
        <v>44.81065722</v>
      </c>
      <c r="M73" s="321" t="str">
        <f t="shared" si="5"/>
        <v>sembrestels</v>
      </c>
      <c r="N73" s="176">
        <f>IFERROR(__xludf.DUMMYFUNCTION("""COMPUTED_VALUE"""),14.0)</f>
        <v>14</v>
      </c>
      <c r="O73" s="243"/>
      <c r="P73" s="243"/>
      <c r="Q73" s="243"/>
      <c r="R73" s="243"/>
      <c r="S73" s="243"/>
      <c r="T73" s="243"/>
      <c r="U73" s="176"/>
      <c r="V73" s="176"/>
      <c r="W73" s="176"/>
      <c r="X73" s="176"/>
      <c r="Y73" s="176"/>
      <c r="Z73" s="176"/>
    </row>
    <row r="74">
      <c r="A74" s="226" t="s">
        <v>6</v>
      </c>
      <c r="B74" s="226" t="s">
        <v>590</v>
      </c>
      <c r="C74" s="250" t="s">
        <v>3209</v>
      </c>
      <c r="D74" s="268" t="s">
        <v>495</v>
      </c>
      <c r="E74" s="251">
        <v>44181.0</v>
      </c>
      <c r="F74" s="250" t="s">
        <v>496</v>
      </c>
      <c r="G74" s="171">
        <v>21.0</v>
      </c>
      <c r="H74" s="171">
        <v>120.0</v>
      </c>
      <c r="I74" s="171">
        <v>100.0</v>
      </c>
      <c r="J74" s="325">
        <f t="shared" si="2"/>
        <v>0.003669506648</v>
      </c>
      <c r="K74" s="326">
        <f t="shared" si="8"/>
        <v>2.764973259</v>
      </c>
      <c r="L74" s="327">
        <f t="shared" si="4"/>
        <v>44.81065722</v>
      </c>
      <c r="M74" s="321" t="str">
        <f t="shared" si="5"/>
        <v>sembrestels</v>
      </c>
      <c r="N74" s="176">
        <f>IFERROR(__xludf.DUMMYFUNCTION("""COMPUTED_VALUE"""),15.0)</f>
        <v>15</v>
      </c>
      <c r="O74" s="243"/>
      <c r="P74" s="243"/>
      <c r="Q74" s="243"/>
      <c r="R74" s="243"/>
      <c r="S74" s="243"/>
      <c r="T74" s="243"/>
      <c r="U74" s="176"/>
      <c r="V74" s="176"/>
      <c r="W74" s="176"/>
      <c r="X74" s="176"/>
      <c r="Y74" s="176"/>
      <c r="Z74" s="176"/>
    </row>
    <row r="75">
      <c r="A75" s="226" t="s">
        <v>6</v>
      </c>
      <c r="B75" s="226" t="s">
        <v>10</v>
      </c>
      <c r="C75" s="250" t="s">
        <v>3210</v>
      </c>
      <c r="D75" s="268" t="s">
        <v>495</v>
      </c>
      <c r="E75" s="251">
        <v>44183.0</v>
      </c>
      <c r="F75" s="250" t="s">
        <v>496</v>
      </c>
      <c r="G75" s="171">
        <v>21.0</v>
      </c>
      <c r="H75" s="171">
        <v>120.0</v>
      </c>
      <c r="I75" s="171">
        <v>100.0</v>
      </c>
      <c r="J75" s="325">
        <f t="shared" si="2"/>
        <v>0.003669506648</v>
      </c>
      <c r="K75" s="326">
        <f t="shared" si="8"/>
        <v>2.764973259</v>
      </c>
      <c r="L75" s="327">
        <f t="shared" si="4"/>
        <v>44.81065722</v>
      </c>
      <c r="M75" s="321" t="str">
        <f t="shared" si="5"/>
        <v>sembrestels</v>
      </c>
      <c r="N75" s="176">
        <f>IFERROR(__xludf.DUMMYFUNCTION("""COMPUTED_VALUE"""),16.0)</f>
        <v>16</v>
      </c>
      <c r="O75" s="243"/>
      <c r="P75" s="243"/>
      <c r="Q75" s="243"/>
      <c r="R75" s="243"/>
      <c r="S75" s="243"/>
      <c r="T75" s="243"/>
      <c r="U75" s="176"/>
      <c r="V75" s="176"/>
      <c r="W75" s="176"/>
      <c r="X75" s="176"/>
      <c r="Y75" s="176"/>
      <c r="Z75" s="176"/>
    </row>
    <row r="76">
      <c r="A76" s="226" t="s">
        <v>6</v>
      </c>
      <c r="B76" s="226" t="s">
        <v>10</v>
      </c>
      <c r="C76" s="250" t="s">
        <v>3187</v>
      </c>
      <c r="D76" s="268" t="s">
        <v>495</v>
      </c>
      <c r="E76" s="251">
        <v>44183.0</v>
      </c>
      <c r="F76" s="250" t="s">
        <v>496</v>
      </c>
      <c r="G76" s="171">
        <v>21.0</v>
      </c>
      <c r="H76" s="171">
        <v>60.0</v>
      </c>
      <c r="I76" s="171">
        <v>50.0</v>
      </c>
      <c r="J76" s="325">
        <f t="shared" si="2"/>
        <v>0.002230994692</v>
      </c>
      <c r="K76" s="326">
        <f t="shared" si="8"/>
        <v>1.6810545</v>
      </c>
      <c r="L76" s="327">
        <f t="shared" si="4"/>
        <v>44.81065722</v>
      </c>
      <c r="M76" s="321" t="str">
        <f t="shared" si="5"/>
        <v>sembrestels</v>
      </c>
      <c r="N76" s="176">
        <f>IFERROR(__xludf.DUMMYFUNCTION("""COMPUTED_VALUE"""),17.0)</f>
        <v>17</v>
      </c>
      <c r="O76" s="243"/>
      <c r="P76" s="243"/>
      <c r="Q76" s="243"/>
      <c r="R76" s="243"/>
      <c r="S76" s="243"/>
      <c r="T76" s="243"/>
      <c r="U76" s="176"/>
      <c r="V76" s="176"/>
      <c r="W76" s="176"/>
      <c r="X76" s="176"/>
      <c r="Y76" s="176"/>
      <c r="Z76" s="176"/>
    </row>
    <row r="77">
      <c r="A77" s="226" t="s">
        <v>6</v>
      </c>
      <c r="B77" s="226" t="s">
        <v>10</v>
      </c>
      <c r="C77" s="250" t="s">
        <v>3211</v>
      </c>
      <c r="D77" s="268" t="s">
        <v>495</v>
      </c>
      <c r="E77" s="251">
        <v>44183.0</v>
      </c>
      <c r="F77" s="250" t="s">
        <v>496</v>
      </c>
      <c r="G77" s="171">
        <v>5.0</v>
      </c>
      <c r="H77" s="171">
        <v>80.0</v>
      </c>
      <c r="I77" s="171">
        <v>20.0</v>
      </c>
      <c r="J77" s="325">
        <f t="shared" si="2"/>
        <v>0.001433651271</v>
      </c>
      <c r="K77" s="326">
        <f t="shared" si="8"/>
        <v>1.080256233</v>
      </c>
      <c r="L77" s="327">
        <f t="shared" si="4"/>
        <v>44.81065722</v>
      </c>
      <c r="M77" s="321" t="str">
        <f t="shared" si="5"/>
        <v>sembrestels</v>
      </c>
      <c r="N77" s="176">
        <f>IFERROR(__xludf.DUMMYFUNCTION("""COMPUTED_VALUE"""),18.0)</f>
        <v>18</v>
      </c>
      <c r="O77" s="243"/>
      <c r="P77" s="243"/>
      <c r="Q77" s="243"/>
      <c r="R77" s="243"/>
      <c r="S77" s="243"/>
      <c r="T77" s="243"/>
      <c r="U77" s="176"/>
      <c r="V77" s="176"/>
      <c r="W77" s="176"/>
      <c r="X77" s="176"/>
      <c r="Y77" s="176"/>
      <c r="Z77" s="176"/>
    </row>
    <row r="78">
      <c r="A78" s="226" t="s">
        <v>6</v>
      </c>
      <c r="B78" s="226" t="s">
        <v>10</v>
      </c>
      <c r="C78" s="250" t="s">
        <v>3188</v>
      </c>
      <c r="D78" s="268" t="s">
        <v>495</v>
      </c>
      <c r="E78" s="251">
        <v>44183.0</v>
      </c>
      <c r="F78" s="250" t="s">
        <v>496</v>
      </c>
      <c r="G78" s="171">
        <v>5.0</v>
      </c>
      <c r="H78" s="171">
        <v>60.0</v>
      </c>
      <c r="I78" s="171">
        <v>50.0</v>
      </c>
      <c r="J78" s="325">
        <f t="shared" si="2"/>
        <v>0.001627198322</v>
      </c>
      <c r="K78" s="326">
        <f t="shared" si="8"/>
        <v>1.226093936</v>
      </c>
      <c r="L78" s="327">
        <f t="shared" si="4"/>
        <v>44.81065722</v>
      </c>
      <c r="M78" s="321" t="str">
        <f t="shared" si="5"/>
        <v>sembrestels</v>
      </c>
      <c r="N78" s="176">
        <f>IFERROR(__xludf.DUMMYFUNCTION("""COMPUTED_VALUE"""),19.0)</f>
        <v>19</v>
      </c>
      <c r="O78" s="243"/>
      <c r="P78" s="243"/>
      <c r="Q78" s="243"/>
      <c r="R78" s="243"/>
      <c r="S78" s="243"/>
      <c r="T78" s="243"/>
      <c r="U78" s="176"/>
      <c r="V78" s="176"/>
      <c r="W78" s="176"/>
      <c r="X78" s="176"/>
      <c r="Y78" s="176"/>
      <c r="Z78" s="176"/>
    </row>
    <row r="79">
      <c r="A79" s="226" t="s">
        <v>6</v>
      </c>
      <c r="B79" s="226" t="s">
        <v>6</v>
      </c>
      <c r="C79" s="250" t="s">
        <v>3212</v>
      </c>
      <c r="D79" s="268" t="s">
        <v>495</v>
      </c>
      <c r="E79" s="251">
        <v>44183.0</v>
      </c>
      <c r="F79" s="250" t="s">
        <v>2586</v>
      </c>
      <c r="G79" s="171">
        <v>144.0</v>
      </c>
      <c r="H79" s="171">
        <v>600.0</v>
      </c>
      <c r="I79" s="171">
        <v>300.0</v>
      </c>
      <c r="J79" s="325">
        <f t="shared" si="2"/>
        <v>0.01693478245</v>
      </c>
      <c r="K79" s="326">
        <f t="shared" si="8"/>
        <v>12.76035858</v>
      </c>
      <c r="L79" s="327">
        <f t="shared" si="4"/>
        <v>44.81065722</v>
      </c>
      <c r="M79" s="321" t="str">
        <f t="shared" si="5"/>
        <v>sembrestels</v>
      </c>
      <c r="N79" s="176">
        <f>IFERROR(__xludf.DUMMYFUNCTION("""COMPUTED_VALUE"""),20.0)</f>
        <v>20</v>
      </c>
      <c r="O79" s="243"/>
      <c r="P79" s="243"/>
      <c r="Q79" s="243"/>
      <c r="R79" s="243"/>
      <c r="S79" s="243"/>
      <c r="T79" s="243"/>
      <c r="U79" s="176"/>
      <c r="V79" s="176"/>
      <c r="W79" s="176"/>
      <c r="X79" s="176"/>
      <c r="Y79" s="176"/>
      <c r="Z79" s="176"/>
    </row>
    <row r="80">
      <c r="A80" s="343" t="s">
        <v>6</v>
      </c>
      <c r="B80" s="240" t="s">
        <v>534</v>
      </c>
      <c r="C80" s="346" t="s">
        <v>3213</v>
      </c>
      <c r="D80" s="336"/>
      <c r="E80" s="255"/>
      <c r="F80" s="254"/>
      <c r="G80" s="222"/>
      <c r="H80" s="222"/>
      <c r="I80" s="222"/>
      <c r="J80" s="325">
        <f t="shared" si="2"/>
        <v>0</v>
      </c>
      <c r="K80" s="337">
        <f>-0.25*59.747</f>
        <v>-14.93675</v>
      </c>
      <c r="L80" s="327">
        <f t="shared" si="4"/>
        <v>44.81065722</v>
      </c>
      <c r="M80" s="321" t="str">
        <f t="shared" si="5"/>
        <v>sembrestels</v>
      </c>
      <c r="N80" s="153">
        <f>IFERROR(__xludf.DUMMYFUNCTION("""COMPUTED_VALUE"""),21.0)</f>
        <v>21</v>
      </c>
      <c r="O80" s="209"/>
      <c r="P80" s="209"/>
      <c r="Q80" s="209"/>
      <c r="R80" s="209">
        <v>57.049855624848725</v>
      </c>
      <c r="S80" s="209"/>
      <c r="T80" s="209"/>
      <c r="U80" s="209"/>
      <c r="V80" s="209"/>
      <c r="W80" s="209"/>
      <c r="X80" s="209"/>
      <c r="Y80" s="176"/>
      <c r="Z80" s="176"/>
    </row>
    <row r="81">
      <c r="A81" s="226" t="s">
        <v>7</v>
      </c>
      <c r="B81" s="226" t="s">
        <v>925</v>
      </c>
      <c r="C81" s="250" t="s">
        <v>3214</v>
      </c>
      <c r="D81" s="268" t="s">
        <v>495</v>
      </c>
      <c r="E81" s="361">
        <v>44171.0</v>
      </c>
      <c r="F81" s="250" t="s">
        <v>496</v>
      </c>
      <c r="G81" s="171">
        <v>144.0</v>
      </c>
      <c r="H81" s="171">
        <v>45.0</v>
      </c>
      <c r="I81" s="171">
        <v>50.0</v>
      </c>
      <c r="J81" s="325">
        <f t="shared" si="2"/>
        <v>0.006693332822</v>
      </c>
      <c r="K81" s="326">
        <f t="shared" ref="K81:K151" si="9">J81*$J$1</f>
        <v>5.043426281</v>
      </c>
      <c r="L81" s="327">
        <f t="shared" si="4"/>
        <v>37.74413314</v>
      </c>
      <c r="M81" s="321" t="str">
        <f t="shared" si="5"/>
        <v>ygganderson</v>
      </c>
      <c r="N81" s="176">
        <f>IFERROR(__xludf.DUMMYFUNCTION("""COMPUTED_VALUE"""),1.0)</f>
        <v>1</v>
      </c>
      <c r="O81" s="243"/>
      <c r="P81" s="243"/>
      <c r="Q81" s="243"/>
      <c r="R81" s="243"/>
      <c r="S81" s="243"/>
      <c r="T81" s="243"/>
      <c r="U81" s="176"/>
      <c r="V81" s="176"/>
      <c r="W81" s="176"/>
      <c r="X81" s="176"/>
      <c r="Y81" s="176"/>
      <c r="Z81" s="176"/>
    </row>
    <row r="82">
      <c r="A82" s="226" t="s">
        <v>7</v>
      </c>
      <c r="B82" s="226" t="s">
        <v>25</v>
      </c>
      <c r="C82" s="250" t="s">
        <v>3202</v>
      </c>
      <c r="D82" s="268" t="s">
        <v>495</v>
      </c>
      <c r="E82" s="361">
        <v>44172.0</v>
      </c>
      <c r="F82" s="250" t="s">
        <v>496</v>
      </c>
      <c r="G82" s="171">
        <v>144.0</v>
      </c>
      <c r="H82" s="171">
        <v>45.0</v>
      </c>
      <c r="I82" s="171">
        <v>50.0</v>
      </c>
      <c r="J82" s="325">
        <f t="shared" si="2"/>
        <v>0.006693332822</v>
      </c>
      <c r="K82" s="326">
        <f t="shared" si="9"/>
        <v>5.043426281</v>
      </c>
      <c r="L82" s="327">
        <f t="shared" si="4"/>
        <v>37.74413314</v>
      </c>
      <c r="M82" s="321" t="str">
        <f t="shared" si="5"/>
        <v>ygganderson</v>
      </c>
      <c r="N82" s="176">
        <f>IFERROR(__xludf.DUMMYFUNCTION("""COMPUTED_VALUE"""),2.0)</f>
        <v>2</v>
      </c>
      <c r="O82" s="243"/>
      <c r="P82" s="243"/>
      <c r="Q82" s="243"/>
      <c r="R82" s="243"/>
      <c r="S82" s="243"/>
      <c r="T82" s="243"/>
      <c r="U82" s="176"/>
      <c r="V82" s="176"/>
      <c r="W82" s="176"/>
      <c r="X82" s="176"/>
      <c r="Y82" s="176"/>
      <c r="Z82" s="176"/>
    </row>
    <row r="83">
      <c r="A83" s="226" t="s">
        <v>7</v>
      </c>
      <c r="B83" s="226" t="s">
        <v>590</v>
      </c>
      <c r="C83" s="250" t="s">
        <v>3215</v>
      </c>
      <c r="D83" s="268" t="s">
        <v>495</v>
      </c>
      <c r="E83" s="361">
        <v>44172.0</v>
      </c>
      <c r="F83" s="250" t="s">
        <v>496</v>
      </c>
      <c r="G83" s="171">
        <v>144.0</v>
      </c>
      <c r="H83" s="171">
        <v>200.0</v>
      </c>
      <c r="I83" s="171">
        <v>100.0</v>
      </c>
      <c r="J83" s="325">
        <f t="shared" si="2"/>
        <v>0.009267705701</v>
      </c>
      <c r="K83" s="326">
        <f t="shared" si="9"/>
        <v>6.983216246</v>
      </c>
      <c r="L83" s="327">
        <f t="shared" si="4"/>
        <v>37.74413314</v>
      </c>
      <c r="M83" s="321" t="str">
        <f t="shared" si="5"/>
        <v>ygganderson</v>
      </c>
      <c r="N83" s="176">
        <f>IFERROR(__xludf.DUMMYFUNCTION("""COMPUTED_VALUE"""),3.0)</f>
        <v>3</v>
      </c>
      <c r="O83" s="243"/>
      <c r="P83" s="243"/>
      <c r="Q83" s="243"/>
      <c r="R83" s="243"/>
      <c r="S83" s="243"/>
      <c r="T83" s="243"/>
      <c r="U83" s="176"/>
      <c r="V83" s="176"/>
      <c r="W83" s="176"/>
      <c r="X83" s="176"/>
      <c r="Y83" s="176"/>
      <c r="Z83" s="176"/>
    </row>
    <row r="84">
      <c r="A84" s="226" t="s">
        <v>7</v>
      </c>
      <c r="B84" s="226" t="s">
        <v>590</v>
      </c>
      <c r="C84" s="250" t="s">
        <v>3216</v>
      </c>
      <c r="D84" s="268" t="s">
        <v>495</v>
      </c>
      <c r="E84" s="361">
        <v>44172.0</v>
      </c>
      <c r="F84" s="250" t="s">
        <v>496</v>
      </c>
      <c r="G84" s="171">
        <v>144.0</v>
      </c>
      <c r="H84" s="171">
        <v>150.0</v>
      </c>
      <c r="I84" s="171">
        <v>150.0</v>
      </c>
      <c r="J84" s="325">
        <f t="shared" si="2"/>
        <v>0.009391010274</v>
      </c>
      <c r="K84" s="326">
        <f t="shared" si="9"/>
        <v>7.076126241</v>
      </c>
      <c r="L84" s="327">
        <f t="shared" si="4"/>
        <v>37.74413314</v>
      </c>
      <c r="M84" s="321" t="str">
        <f t="shared" si="5"/>
        <v>ygganderson</v>
      </c>
      <c r="N84" s="176">
        <f>IFERROR(__xludf.DUMMYFUNCTION("""COMPUTED_VALUE"""),4.0)</f>
        <v>4</v>
      </c>
      <c r="O84" s="243"/>
      <c r="P84" s="243"/>
      <c r="Q84" s="243"/>
      <c r="R84" s="243"/>
      <c r="S84" s="243"/>
      <c r="T84" s="243"/>
      <c r="U84" s="176"/>
      <c r="V84" s="176"/>
      <c r="W84" s="176"/>
      <c r="X84" s="176"/>
      <c r="Y84" s="176"/>
      <c r="Z84" s="176"/>
    </row>
    <row r="85">
      <c r="A85" s="226" t="s">
        <v>7</v>
      </c>
      <c r="B85" s="226" t="s">
        <v>8</v>
      </c>
      <c r="C85" s="250" t="s">
        <v>3217</v>
      </c>
      <c r="D85" s="268" t="s">
        <v>495</v>
      </c>
      <c r="E85" s="251">
        <v>44175.0</v>
      </c>
      <c r="F85" s="250" t="s">
        <v>496</v>
      </c>
      <c r="G85" s="171">
        <v>21.0</v>
      </c>
      <c r="H85" s="171">
        <v>10.0</v>
      </c>
      <c r="I85" s="171">
        <v>10.0</v>
      </c>
      <c r="J85" s="325">
        <f t="shared" si="2"/>
        <v>0.001056272265</v>
      </c>
      <c r="K85" s="326">
        <f t="shared" si="9"/>
        <v>0.7959011517</v>
      </c>
      <c r="L85" s="327">
        <f t="shared" si="4"/>
        <v>37.74413314</v>
      </c>
      <c r="M85" s="321" t="str">
        <f t="shared" si="5"/>
        <v>ygganderson</v>
      </c>
      <c r="N85" s="176">
        <f>IFERROR(__xludf.DUMMYFUNCTION("""COMPUTED_VALUE"""),5.0)</f>
        <v>5</v>
      </c>
      <c r="O85" s="243"/>
      <c r="P85" s="243"/>
      <c r="Q85" s="243"/>
      <c r="R85" s="243"/>
      <c r="S85" s="243"/>
      <c r="T85" s="243"/>
      <c r="U85" s="176"/>
      <c r="V85" s="176"/>
      <c r="W85" s="176"/>
      <c r="X85" s="176"/>
      <c r="Y85" s="176"/>
      <c r="Z85" s="176"/>
    </row>
    <row r="86">
      <c r="A86" s="226" t="s">
        <v>7</v>
      </c>
      <c r="B86" s="226" t="s">
        <v>519</v>
      </c>
      <c r="C86" s="250" t="s">
        <v>3204</v>
      </c>
      <c r="D86" s="268" t="s">
        <v>495</v>
      </c>
      <c r="E86" s="251">
        <v>44175.0</v>
      </c>
      <c r="F86" s="250" t="s">
        <v>521</v>
      </c>
      <c r="G86" s="171">
        <v>5.0</v>
      </c>
      <c r="H86" s="171">
        <v>45.0</v>
      </c>
      <c r="I86" s="171">
        <v>50.0</v>
      </c>
      <c r="J86" s="325">
        <f t="shared" si="2"/>
        <v>0.001447851861</v>
      </c>
      <c r="K86" s="326">
        <f t="shared" si="9"/>
        <v>1.090956377</v>
      </c>
      <c r="L86" s="327">
        <f t="shared" si="4"/>
        <v>37.74413314</v>
      </c>
      <c r="M86" s="321" t="str">
        <f t="shared" si="5"/>
        <v>ygganderson</v>
      </c>
      <c r="N86" s="176">
        <f>IFERROR(__xludf.DUMMYFUNCTION("""COMPUTED_VALUE"""),6.0)</f>
        <v>6</v>
      </c>
      <c r="O86" s="243"/>
      <c r="P86" s="243"/>
      <c r="Q86" s="243"/>
      <c r="R86" s="243"/>
      <c r="S86" s="243"/>
      <c r="T86" s="243"/>
      <c r="U86" s="176"/>
      <c r="V86" s="176"/>
      <c r="W86" s="176"/>
      <c r="X86" s="176"/>
      <c r="Y86" s="176"/>
      <c r="Z86" s="176"/>
    </row>
    <row r="87">
      <c r="A87" s="226" t="s">
        <v>7</v>
      </c>
      <c r="B87" s="226" t="s">
        <v>5</v>
      </c>
      <c r="C87" s="250" t="s">
        <v>3171</v>
      </c>
      <c r="D87" s="268" t="s">
        <v>495</v>
      </c>
      <c r="E87" s="251">
        <v>44175.0</v>
      </c>
      <c r="F87" s="250" t="s">
        <v>496</v>
      </c>
      <c r="G87" s="171">
        <v>21.0</v>
      </c>
      <c r="H87" s="171">
        <v>45.0</v>
      </c>
      <c r="I87" s="171">
        <v>50.0</v>
      </c>
      <c r="J87" s="325">
        <f t="shared" si="2"/>
        <v>0.00205164823</v>
      </c>
      <c r="K87" s="326">
        <f t="shared" si="9"/>
        <v>1.545916941</v>
      </c>
      <c r="L87" s="327">
        <f t="shared" si="4"/>
        <v>37.74413314</v>
      </c>
      <c r="M87" s="321" t="str">
        <f t="shared" si="5"/>
        <v>ygganderson</v>
      </c>
      <c r="N87" s="176">
        <f>IFERROR(__xludf.DUMMYFUNCTION("""COMPUTED_VALUE"""),7.0)</f>
        <v>7</v>
      </c>
      <c r="O87" s="243"/>
      <c r="P87" s="243"/>
      <c r="Q87" s="243"/>
      <c r="R87" s="243"/>
      <c r="S87" s="243"/>
      <c r="T87" s="243"/>
      <c r="U87" s="176"/>
      <c r="V87" s="176"/>
      <c r="W87" s="176"/>
      <c r="X87" s="176"/>
      <c r="Y87" s="176"/>
      <c r="Z87" s="176"/>
    </row>
    <row r="88">
      <c r="A88" s="226" t="s">
        <v>7</v>
      </c>
      <c r="B88" s="226" t="s">
        <v>10</v>
      </c>
      <c r="C88" s="250" t="s">
        <v>3218</v>
      </c>
      <c r="D88" s="268" t="s">
        <v>495</v>
      </c>
      <c r="E88" s="251">
        <v>44176.0</v>
      </c>
      <c r="F88" s="250" t="s">
        <v>496</v>
      </c>
      <c r="G88" s="171">
        <v>21.0</v>
      </c>
      <c r="H88" s="171">
        <v>60.0</v>
      </c>
      <c r="I88" s="171">
        <v>50.0</v>
      </c>
      <c r="J88" s="325">
        <f t="shared" si="2"/>
        <v>0.002230994692</v>
      </c>
      <c r="K88" s="326">
        <f t="shared" si="9"/>
        <v>1.6810545</v>
      </c>
      <c r="L88" s="327">
        <f t="shared" si="4"/>
        <v>37.74413314</v>
      </c>
      <c r="M88" s="321" t="str">
        <f t="shared" si="5"/>
        <v>ygganderson</v>
      </c>
      <c r="N88" s="176">
        <f>IFERROR(__xludf.DUMMYFUNCTION("""COMPUTED_VALUE"""),8.0)</f>
        <v>8</v>
      </c>
      <c r="O88" s="243"/>
      <c r="P88" s="243"/>
      <c r="Q88" s="243"/>
      <c r="R88" s="243"/>
      <c r="S88" s="243"/>
      <c r="T88" s="243"/>
      <c r="U88" s="176"/>
      <c r="V88" s="176"/>
      <c r="W88" s="176"/>
      <c r="X88" s="176"/>
      <c r="Y88" s="176"/>
      <c r="Z88" s="176"/>
    </row>
    <row r="89">
      <c r="A89" s="226" t="s">
        <v>7</v>
      </c>
      <c r="B89" s="226" t="s">
        <v>10</v>
      </c>
      <c r="C89" s="250" t="s">
        <v>3176</v>
      </c>
      <c r="D89" s="268" t="s">
        <v>495</v>
      </c>
      <c r="E89" s="251">
        <v>44176.0</v>
      </c>
      <c r="F89" s="250" t="s">
        <v>496</v>
      </c>
      <c r="G89" s="171">
        <v>2.0</v>
      </c>
      <c r="H89" s="171">
        <v>45.0</v>
      </c>
      <c r="I89" s="171">
        <v>50.0</v>
      </c>
      <c r="J89" s="325">
        <f t="shared" si="2"/>
        <v>0.001334640041</v>
      </c>
      <c r="K89" s="326">
        <f t="shared" si="9"/>
        <v>1.005651271</v>
      </c>
      <c r="L89" s="327">
        <f t="shared" si="4"/>
        <v>37.74413314</v>
      </c>
      <c r="M89" s="321" t="str">
        <f t="shared" si="5"/>
        <v>ygganderson</v>
      </c>
      <c r="N89" s="176">
        <f>IFERROR(__xludf.DUMMYFUNCTION("""COMPUTED_VALUE"""),9.0)</f>
        <v>9</v>
      </c>
      <c r="O89" s="243"/>
      <c r="P89" s="243"/>
      <c r="Q89" s="243"/>
      <c r="R89" s="243"/>
      <c r="S89" s="243"/>
      <c r="T89" s="243"/>
      <c r="U89" s="176"/>
      <c r="V89" s="176"/>
      <c r="W89" s="176"/>
      <c r="X89" s="176"/>
      <c r="Y89" s="176"/>
      <c r="Z89" s="176"/>
    </row>
    <row r="90">
      <c r="A90" s="226" t="s">
        <v>7</v>
      </c>
      <c r="B90" s="226" t="s">
        <v>5</v>
      </c>
      <c r="C90" s="250" t="s">
        <v>3177</v>
      </c>
      <c r="D90" s="268" t="s">
        <v>495</v>
      </c>
      <c r="E90" s="251">
        <v>44176.0</v>
      </c>
      <c r="F90" s="250" t="s">
        <v>496</v>
      </c>
      <c r="G90" s="171">
        <v>21.0</v>
      </c>
      <c r="H90" s="171">
        <v>60.0</v>
      </c>
      <c r="I90" s="171">
        <v>50.0</v>
      </c>
      <c r="J90" s="325">
        <f t="shared" si="2"/>
        <v>0.002230994692</v>
      </c>
      <c r="K90" s="326">
        <f t="shared" si="9"/>
        <v>1.6810545</v>
      </c>
      <c r="L90" s="327">
        <f t="shared" si="4"/>
        <v>37.74413314</v>
      </c>
      <c r="M90" s="321" t="str">
        <f t="shared" si="5"/>
        <v>ygganderson</v>
      </c>
      <c r="N90" s="176">
        <f>IFERROR(__xludf.DUMMYFUNCTION("""COMPUTED_VALUE"""),10.0)</f>
        <v>10</v>
      </c>
      <c r="O90" s="243"/>
      <c r="P90" s="243"/>
      <c r="Q90" s="243"/>
      <c r="R90" s="243"/>
      <c r="S90" s="243"/>
      <c r="T90" s="243"/>
      <c r="U90" s="176"/>
      <c r="V90" s="176"/>
      <c r="W90" s="176"/>
      <c r="X90" s="176"/>
      <c r="Y90" s="176"/>
      <c r="Z90" s="176"/>
    </row>
    <row r="91">
      <c r="A91" s="226" t="s">
        <v>7</v>
      </c>
      <c r="B91" s="226" t="s">
        <v>25</v>
      </c>
      <c r="C91" s="250" t="s">
        <v>3219</v>
      </c>
      <c r="D91" s="268" t="s">
        <v>495</v>
      </c>
      <c r="E91" s="251">
        <v>44176.0</v>
      </c>
      <c r="F91" s="250" t="s">
        <v>496</v>
      </c>
      <c r="G91" s="171">
        <v>21.0</v>
      </c>
      <c r="H91" s="171">
        <v>300.0</v>
      </c>
      <c r="I91" s="171">
        <v>100.0</v>
      </c>
      <c r="J91" s="325">
        <f t="shared" si="2"/>
        <v>0.005821664186</v>
      </c>
      <c r="K91" s="326">
        <f t="shared" si="9"/>
        <v>4.386623964</v>
      </c>
      <c r="L91" s="327">
        <f t="shared" si="4"/>
        <v>37.74413314</v>
      </c>
      <c r="M91" s="321" t="str">
        <f t="shared" si="5"/>
        <v>ygganderson</v>
      </c>
      <c r="N91" s="176">
        <f>IFERROR(__xludf.DUMMYFUNCTION("""COMPUTED_VALUE"""),11.0)</f>
        <v>11</v>
      </c>
      <c r="O91" s="243"/>
      <c r="P91" s="243"/>
      <c r="Q91" s="243"/>
      <c r="R91" s="243"/>
      <c r="S91" s="243"/>
      <c r="T91" s="243"/>
      <c r="U91" s="176"/>
      <c r="V91" s="176"/>
      <c r="W91" s="176"/>
      <c r="X91" s="176"/>
      <c r="Y91" s="176"/>
      <c r="Z91" s="176"/>
    </row>
    <row r="92">
      <c r="A92" s="226" t="s">
        <v>7</v>
      </c>
      <c r="B92" s="226" t="s">
        <v>25</v>
      </c>
      <c r="C92" s="250" t="s">
        <v>3179</v>
      </c>
      <c r="D92" s="268" t="s">
        <v>495</v>
      </c>
      <c r="E92" s="251">
        <v>44178.0</v>
      </c>
      <c r="F92" s="250" t="s">
        <v>496</v>
      </c>
      <c r="G92" s="171">
        <v>21.0</v>
      </c>
      <c r="H92" s="171">
        <v>30.0</v>
      </c>
      <c r="I92" s="171">
        <v>50.0</v>
      </c>
      <c r="J92" s="325">
        <f t="shared" si="2"/>
        <v>0.001872301769</v>
      </c>
      <c r="K92" s="326">
        <f t="shared" si="9"/>
        <v>1.410779383</v>
      </c>
      <c r="L92" s="327">
        <f t="shared" si="4"/>
        <v>37.74413314</v>
      </c>
      <c r="M92" s="321" t="str">
        <f t="shared" si="5"/>
        <v>ygganderson</v>
      </c>
      <c r="N92" s="176">
        <f>IFERROR(__xludf.DUMMYFUNCTION("""COMPUTED_VALUE"""),12.0)</f>
        <v>12</v>
      </c>
      <c r="O92" s="243"/>
      <c r="P92" s="243"/>
      <c r="Q92" s="243"/>
      <c r="R92" s="243"/>
      <c r="S92" s="243"/>
      <c r="T92" s="243"/>
      <c r="U92" s="176"/>
      <c r="V92" s="176"/>
      <c r="W92" s="176"/>
      <c r="X92" s="176"/>
      <c r="Y92" s="176"/>
      <c r="Z92" s="176"/>
    </row>
    <row r="93">
      <c r="A93" s="226" t="s">
        <v>13</v>
      </c>
      <c r="B93" s="226" t="s">
        <v>590</v>
      </c>
      <c r="C93" s="250" t="s">
        <v>3220</v>
      </c>
      <c r="D93" s="268" t="s">
        <v>495</v>
      </c>
      <c r="E93" s="361">
        <v>44172.0</v>
      </c>
      <c r="F93" s="250" t="s">
        <v>496</v>
      </c>
      <c r="G93" s="171">
        <v>144.0</v>
      </c>
      <c r="H93" s="171">
        <v>50.0</v>
      </c>
      <c r="I93" s="171">
        <v>50.0</v>
      </c>
      <c r="J93" s="325">
        <f t="shared" si="2"/>
        <v>0.006753114976</v>
      </c>
      <c r="K93" s="326">
        <f t="shared" si="9"/>
        <v>5.088472134</v>
      </c>
      <c r="L93" s="327">
        <f t="shared" si="4"/>
        <v>25.48044</v>
      </c>
      <c r="M93" s="321" t="str">
        <f t="shared" si="5"/>
        <v>durgadasji</v>
      </c>
      <c r="N93" s="176">
        <f>IFERROR(__xludf.DUMMYFUNCTION("""COMPUTED_VALUE"""),1.0)</f>
        <v>1</v>
      </c>
      <c r="O93" s="243"/>
      <c r="P93" s="243"/>
      <c r="Q93" s="243"/>
      <c r="R93" s="243"/>
      <c r="S93" s="243"/>
      <c r="T93" s="243"/>
      <c r="U93" s="176"/>
      <c r="V93" s="176"/>
      <c r="W93" s="176"/>
      <c r="X93" s="176"/>
      <c r="Y93" s="176"/>
      <c r="Z93" s="176"/>
    </row>
    <row r="94">
      <c r="A94" s="226" t="s">
        <v>13</v>
      </c>
      <c r="B94" s="226" t="s">
        <v>590</v>
      </c>
      <c r="C94" s="250" t="s">
        <v>3166</v>
      </c>
      <c r="D94" s="268" t="s">
        <v>495</v>
      </c>
      <c r="E94" s="361">
        <v>44173.0</v>
      </c>
      <c r="F94" s="250" t="s">
        <v>496</v>
      </c>
      <c r="G94" s="171">
        <v>144.0</v>
      </c>
      <c r="H94" s="171">
        <v>45.0</v>
      </c>
      <c r="I94" s="171">
        <v>50.0</v>
      </c>
      <c r="J94" s="325">
        <f t="shared" si="2"/>
        <v>0.006693332822</v>
      </c>
      <c r="K94" s="326">
        <f t="shared" si="9"/>
        <v>5.043426281</v>
      </c>
      <c r="L94" s="327">
        <f t="shared" si="4"/>
        <v>25.48044</v>
      </c>
      <c r="M94" s="321" t="str">
        <f t="shared" si="5"/>
        <v>durgadasji</v>
      </c>
      <c r="N94" s="176">
        <f>IFERROR(__xludf.DUMMYFUNCTION("""COMPUTED_VALUE"""),2.0)</f>
        <v>2</v>
      </c>
      <c r="O94" s="243"/>
      <c r="P94" s="243"/>
      <c r="Q94" s="243"/>
      <c r="R94" s="243"/>
      <c r="S94" s="243"/>
      <c r="T94" s="243"/>
      <c r="U94" s="176"/>
      <c r="V94" s="176"/>
      <c r="W94" s="176"/>
      <c r="X94" s="176"/>
      <c r="Y94" s="176"/>
      <c r="Z94" s="176"/>
    </row>
    <row r="95">
      <c r="A95" s="226" t="s">
        <v>13</v>
      </c>
      <c r="B95" s="226" t="s">
        <v>18</v>
      </c>
      <c r="C95" s="250" t="s">
        <v>3169</v>
      </c>
      <c r="D95" s="268" t="s">
        <v>495</v>
      </c>
      <c r="E95" s="361">
        <v>44174.0</v>
      </c>
      <c r="F95" s="250" t="s">
        <v>496</v>
      </c>
      <c r="G95" s="171">
        <v>21.0</v>
      </c>
      <c r="H95" s="171">
        <v>45.0</v>
      </c>
      <c r="I95" s="171">
        <v>50.0</v>
      </c>
      <c r="J95" s="325">
        <f t="shared" si="2"/>
        <v>0.00205164823</v>
      </c>
      <c r="K95" s="326">
        <f t="shared" si="9"/>
        <v>1.545916941</v>
      </c>
      <c r="L95" s="327">
        <f t="shared" si="4"/>
        <v>25.48044</v>
      </c>
      <c r="M95" s="321" t="str">
        <f t="shared" si="5"/>
        <v>durgadasji</v>
      </c>
      <c r="N95" s="176">
        <f>IFERROR(__xludf.DUMMYFUNCTION("""COMPUTED_VALUE"""),3.0)</f>
        <v>3</v>
      </c>
      <c r="O95" s="243"/>
      <c r="P95" s="243"/>
      <c r="Q95" s="243"/>
      <c r="R95" s="243"/>
      <c r="S95" s="243"/>
      <c r="T95" s="243"/>
      <c r="U95" s="176"/>
      <c r="V95" s="176"/>
      <c r="W95" s="176"/>
      <c r="X95" s="176"/>
      <c r="Y95" s="176"/>
      <c r="Z95" s="176"/>
    </row>
    <row r="96">
      <c r="A96" s="226" t="s">
        <v>13</v>
      </c>
      <c r="B96" s="226" t="s">
        <v>8</v>
      </c>
      <c r="C96" s="250" t="s">
        <v>3221</v>
      </c>
      <c r="D96" s="268" t="s">
        <v>495</v>
      </c>
      <c r="E96" s="251">
        <v>44175.0</v>
      </c>
      <c r="F96" s="250" t="s">
        <v>496</v>
      </c>
      <c r="G96" s="171">
        <v>21.0</v>
      </c>
      <c r="H96" s="171">
        <v>70.0</v>
      </c>
      <c r="I96" s="171">
        <v>50.0</v>
      </c>
      <c r="J96" s="325">
        <f t="shared" si="2"/>
        <v>0.002350558999</v>
      </c>
      <c r="K96" s="326">
        <f t="shared" si="9"/>
        <v>1.771146206</v>
      </c>
      <c r="L96" s="327">
        <f t="shared" si="4"/>
        <v>25.48044</v>
      </c>
      <c r="M96" s="321" t="str">
        <f t="shared" si="5"/>
        <v>durgadasji</v>
      </c>
      <c r="N96" s="176">
        <f>IFERROR(__xludf.DUMMYFUNCTION("""COMPUTED_VALUE"""),4.0)</f>
        <v>4</v>
      </c>
      <c r="O96" s="243"/>
      <c r="P96" s="243"/>
      <c r="Q96" s="243"/>
      <c r="R96" s="243"/>
      <c r="S96" s="243"/>
      <c r="T96" s="243"/>
      <c r="U96" s="176"/>
      <c r="V96" s="176"/>
      <c r="W96" s="176"/>
      <c r="X96" s="176"/>
      <c r="Y96" s="176"/>
      <c r="Z96" s="176"/>
    </row>
    <row r="97">
      <c r="A97" s="226" t="s">
        <v>13</v>
      </c>
      <c r="B97" s="226" t="s">
        <v>10</v>
      </c>
      <c r="C97" s="250" t="s">
        <v>3222</v>
      </c>
      <c r="D97" s="268" t="s">
        <v>495</v>
      </c>
      <c r="E97" s="251">
        <v>44176.0</v>
      </c>
      <c r="F97" s="250" t="s">
        <v>496</v>
      </c>
      <c r="G97" s="171">
        <v>21.0</v>
      </c>
      <c r="H97" s="171">
        <v>60.0</v>
      </c>
      <c r="I97" s="171">
        <v>50.0</v>
      </c>
      <c r="J97" s="325">
        <f t="shared" si="2"/>
        <v>0.002230994692</v>
      </c>
      <c r="K97" s="326">
        <f t="shared" si="9"/>
        <v>1.6810545</v>
      </c>
      <c r="L97" s="327">
        <f t="shared" si="4"/>
        <v>25.48044</v>
      </c>
      <c r="M97" s="321" t="str">
        <f t="shared" si="5"/>
        <v>durgadasji</v>
      </c>
      <c r="N97" s="176">
        <f>IFERROR(__xludf.DUMMYFUNCTION("""COMPUTED_VALUE"""),5.0)</f>
        <v>5</v>
      </c>
      <c r="O97" s="243"/>
      <c r="P97" s="243"/>
      <c r="Q97" s="243"/>
      <c r="R97" s="243"/>
      <c r="S97" s="243"/>
      <c r="T97" s="243"/>
      <c r="U97" s="176"/>
      <c r="V97" s="176"/>
      <c r="W97" s="176"/>
      <c r="X97" s="176"/>
      <c r="Y97" s="176"/>
      <c r="Z97" s="176"/>
    </row>
    <row r="98">
      <c r="A98" s="226" t="s">
        <v>13</v>
      </c>
      <c r="B98" s="226" t="s">
        <v>10</v>
      </c>
      <c r="C98" s="250" t="s">
        <v>3223</v>
      </c>
      <c r="D98" s="268" t="s">
        <v>495</v>
      </c>
      <c r="E98" s="251">
        <v>44176.0</v>
      </c>
      <c r="F98" s="250" t="s">
        <v>496</v>
      </c>
      <c r="G98" s="171">
        <v>21.0</v>
      </c>
      <c r="H98" s="171">
        <v>20.0</v>
      </c>
      <c r="I98" s="171">
        <v>20.0</v>
      </c>
      <c r="J98" s="325">
        <f t="shared" si="2"/>
        <v>0.001320061795</v>
      </c>
      <c r="K98" s="326">
        <f t="shared" si="9"/>
        <v>0.9946665623</v>
      </c>
      <c r="L98" s="327">
        <f t="shared" si="4"/>
        <v>25.48044</v>
      </c>
      <c r="M98" s="321" t="str">
        <f t="shared" si="5"/>
        <v>durgadasji</v>
      </c>
      <c r="N98" s="176">
        <f>IFERROR(__xludf.DUMMYFUNCTION("""COMPUTED_VALUE"""),6.0)</f>
        <v>6</v>
      </c>
      <c r="O98" s="243"/>
      <c r="P98" s="243"/>
      <c r="Q98" s="243"/>
      <c r="R98" s="243"/>
      <c r="S98" s="243"/>
      <c r="T98" s="243"/>
      <c r="U98" s="176"/>
      <c r="V98" s="176"/>
      <c r="W98" s="176"/>
      <c r="X98" s="176"/>
      <c r="Y98" s="176"/>
      <c r="Z98" s="176"/>
    </row>
    <row r="99">
      <c r="A99" s="226" t="s">
        <v>13</v>
      </c>
      <c r="B99" s="226" t="s">
        <v>10</v>
      </c>
      <c r="C99" s="250" t="s">
        <v>3176</v>
      </c>
      <c r="D99" s="268" t="s">
        <v>495</v>
      </c>
      <c r="E99" s="251">
        <v>44176.0</v>
      </c>
      <c r="F99" s="250" t="s">
        <v>496</v>
      </c>
      <c r="G99" s="171"/>
      <c r="H99" s="171">
        <v>45.0</v>
      </c>
      <c r="I99" s="171">
        <v>50.0</v>
      </c>
      <c r="J99" s="325">
        <f t="shared" si="2"/>
        <v>0.001259165495</v>
      </c>
      <c r="K99" s="326">
        <f t="shared" si="9"/>
        <v>0.9487812005</v>
      </c>
      <c r="L99" s="327">
        <f t="shared" si="4"/>
        <v>25.48044</v>
      </c>
      <c r="M99" s="321" t="str">
        <f t="shared" si="5"/>
        <v>durgadasji</v>
      </c>
      <c r="N99" s="176">
        <f>IFERROR(__xludf.DUMMYFUNCTION("""COMPUTED_VALUE"""),7.0)</f>
        <v>7</v>
      </c>
      <c r="O99" s="243"/>
      <c r="P99" s="243"/>
      <c r="Q99" s="243"/>
      <c r="R99" s="243"/>
      <c r="S99" s="243"/>
      <c r="T99" s="243"/>
      <c r="U99" s="176"/>
      <c r="V99" s="176"/>
      <c r="W99" s="176"/>
      <c r="X99" s="176"/>
      <c r="Y99" s="176"/>
      <c r="Z99" s="176"/>
    </row>
    <row r="100">
      <c r="A100" s="226" t="s">
        <v>13</v>
      </c>
      <c r="B100" s="226" t="s">
        <v>1228</v>
      </c>
      <c r="C100" s="250" t="s">
        <v>3196</v>
      </c>
      <c r="D100" s="268" t="s">
        <v>495</v>
      </c>
      <c r="E100" s="251">
        <v>44176.0</v>
      </c>
      <c r="F100" s="250" t="s">
        <v>496</v>
      </c>
      <c r="G100" s="171">
        <v>5.0</v>
      </c>
      <c r="H100" s="171">
        <v>45.0</v>
      </c>
      <c r="I100" s="171">
        <v>50.0</v>
      </c>
      <c r="J100" s="325">
        <f t="shared" si="2"/>
        <v>0.001447851861</v>
      </c>
      <c r="K100" s="326">
        <f t="shared" si="9"/>
        <v>1.090956377</v>
      </c>
      <c r="L100" s="327">
        <f t="shared" si="4"/>
        <v>25.48044</v>
      </c>
      <c r="M100" s="321" t="str">
        <f t="shared" si="5"/>
        <v>durgadasji</v>
      </c>
      <c r="N100" s="176">
        <f>IFERROR(__xludf.DUMMYFUNCTION("""COMPUTED_VALUE"""),8.0)</f>
        <v>8</v>
      </c>
      <c r="O100" s="243"/>
      <c r="P100" s="243"/>
      <c r="Q100" s="243"/>
      <c r="R100" s="243"/>
      <c r="S100" s="243"/>
      <c r="T100" s="243"/>
      <c r="U100" s="176"/>
      <c r="V100" s="176"/>
      <c r="W100" s="176"/>
      <c r="X100" s="176"/>
      <c r="Y100" s="176"/>
      <c r="Z100" s="176"/>
    </row>
    <row r="101">
      <c r="A101" s="226" t="s">
        <v>13</v>
      </c>
      <c r="B101" s="226" t="s">
        <v>1228</v>
      </c>
      <c r="C101" s="250" t="s">
        <v>3224</v>
      </c>
      <c r="D101" s="268" t="s">
        <v>495</v>
      </c>
      <c r="E101" s="251">
        <v>44179.0</v>
      </c>
      <c r="F101" s="250" t="s">
        <v>496</v>
      </c>
      <c r="G101" s="171">
        <v>5.0</v>
      </c>
      <c r="H101" s="171">
        <v>60.0</v>
      </c>
      <c r="I101" s="171">
        <v>50.0</v>
      </c>
      <c r="J101" s="325">
        <f t="shared" si="2"/>
        <v>0.001627198322</v>
      </c>
      <c r="K101" s="326">
        <f t="shared" si="9"/>
        <v>1.226093936</v>
      </c>
      <c r="L101" s="327">
        <f t="shared" si="4"/>
        <v>25.48044</v>
      </c>
      <c r="M101" s="321" t="str">
        <f t="shared" si="5"/>
        <v>durgadasji</v>
      </c>
      <c r="N101" s="176">
        <f>IFERROR(__xludf.DUMMYFUNCTION("""COMPUTED_VALUE"""),9.0)</f>
        <v>9</v>
      </c>
      <c r="O101" s="243"/>
      <c r="P101" s="243"/>
      <c r="Q101" s="243"/>
      <c r="R101" s="243"/>
      <c r="S101" s="243"/>
      <c r="T101" s="243"/>
      <c r="U101" s="176"/>
      <c r="V101" s="176"/>
      <c r="W101" s="176"/>
      <c r="X101" s="176"/>
      <c r="Y101" s="176"/>
      <c r="Z101" s="176"/>
    </row>
    <row r="102">
      <c r="A102" s="226" t="s">
        <v>13</v>
      </c>
      <c r="B102" s="226" t="s">
        <v>590</v>
      </c>
      <c r="C102" s="250" t="s">
        <v>3180</v>
      </c>
      <c r="D102" s="268" t="s">
        <v>495</v>
      </c>
      <c r="E102" s="251">
        <v>44180.0</v>
      </c>
      <c r="F102" s="250" t="s">
        <v>496</v>
      </c>
      <c r="G102" s="171">
        <v>5.0</v>
      </c>
      <c r="H102" s="171">
        <v>45.0</v>
      </c>
      <c r="I102" s="171">
        <v>50.0</v>
      </c>
      <c r="J102" s="325">
        <f t="shared" si="2"/>
        <v>0.001447851861</v>
      </c>
      <c r="K102" s="326">
        <f t="shared" si="9"/>
        <v>1.090956377</v>
      </c>
      <c r="L102" s="327">
        <f t="shared" si="4"/>
        <v>25.48044</v>
      </c>
      <c r="M102" s="321" t="str">
        <f t="shared" si="5"/>
        <v>durgadasji</v>
      </c>
      <c r="N102" s="176">
        <f>IFERROR(__xludf.DUMMYFUNCTION("""COMPUTED_VALUE"""),10.0)</f>
        <v>10</v>
      </c>
      <c r="O102" s="243"/>
      <c r="P102" s="243"/>
      <c r="Q102" s="243"/>
      <c r="R102" s="243"/>
      <c r="S102" s="243"/>
      <c r="T102" s="243"/>
      <c r="U102" s="176"/>
      <c r="V102" s="176"/>
      <c r="W102" s="176"/>
      <c r="X102" s="176"/>
      <c r="Y102" s="176"/>
      <c r="Z102" s="176"/>
    </row>
    <row r="103">
      <c r="A103" s="226" t="s">
        <v>13</v>
      </c>
      <c r="B103" s="226" t="s">
        <v>590</v>
      </c>
      <c r="C103" s="250" t="s">
        <v>3225</v>
      </c>
      <c r="D103" s="268" t="s">
        <v>495</v>
      </c>
      <c r="E103" s="251">
        <v>44181.0</v>
      </c>
      <c r="F103" s="250" t="s">
        <v>496</v>
      </c>
      <c r="G103" s="171">
        <v>5.0</v>
      </c>
      <c r="H103" s="171">
        <v>50.0</v>
      </c>
      <c r="I103" s="171">
        <v>50.0</v>
      </c>
      <c r="J103" s="325">
        <f t="shared" si="2"/>
        <v>0.001507634014</v>
      </c>
      <c r="K103" s="326">
        <f t="shared" si="9"/>
        <v>1.13600223</v>
      </c>
      <c r="L103" s="327">
        <f t="shared" si="4"/>
        <v>25.48044</v>
      </c>
      <c r="M103" s="321" t="str">
        <f t="shared" si="5"/>
        <v>durgadasji</v>
      </c>
      <c r="N103" s="176">
        <f>IFERROR(__xludf.DUMMYFUNCTION("""COMPUTED_VALUE"""),11.0)</f>
        <v>11</v>
      </c>
      <c r="O103" s="243"/>
      <c r="P103" s="243"/>
      <c r="Q103" s="243"/>
      <c r="R103" s="243"/>
      <c r="S103" s="243"/>
      <c r="T103" s="243"/>
      <c r="U103" s="176"/>
      <c r="V103" s="176"/>
      <c r="W103" s="176"/>
      <c r="X103" s="176"/>
      <c r="Y103" s="176"/>
      <c r="Z103" s="176"/>
    </row>
    <row r="104">
      <c r="A104" s="226" t="s">
        <v>13</v>
      </c>
      <c r="B104" s="226" t="s">
        <v>1228</v>
      </c>
      <c r="C104" s="250" t="s">
        <v>3183</v>
      </c>
      <c r="D104" s="268" t="s">
        <v>495</v>
      </c>
      <c r="E104" s="251">
        <v>44182.0</v>
      </c>
      <c r="F104" s="250" t="s">
        <v>496</v>
      </c>
      <c r="G104" s="171">
        <v>21.0</v>
      </c>
      <c r="H104" s="171">
        <v>45.0</v>
      </c>
      <c r="I104" s="171">
        <v>50.0</v>
      </c>
      <c r="J104" s="325">
        <f t="shared" si="2"/>
        <v>0.00205164823</v>
      </c>
      <c r="K104" s="326">
        <f t="shared" si="9"/>
        <v>1.545916941</v>
      </c>
      <c r="L104" s="327">
        <f t="shared" si="4"/>
        <v>25.48044</v>
      </c>
      <c r="M104" s="321" t="str">
        <f t="shared" si="5"/>
        <v>durgadasji</v>
      </c>
      <c r="N104" s="176">
        <f>IFERROR(__xludf.DUMMYFUNCTION("""COMPUTED_VALUE"""),12.0)</f>
        <v>12</v>
      </c>
      <c r="O104" s="243"/>
      <c r="P104" s="243"/>
      <c r="Q104" s="243"/>
      <c r="R104" s="243"/>
      <c r="S104" s="243"/>
      <c r="T104" s="243"/>
      <c r="U104" s="176"/>
      <c r="V104" s="176"/>
      <c r="W104" s="176"/>
      <c r="X104" s="176"/>
      <c r="Y104" s="176"/>
      <c r="Z104" s="176"/>
    </row>
    <row r="105">
      <c r="A105" s="226" t="s">
        <v>13</v>
      </c>
      <c r="B105" s="226" t="s">
        <v>590</v>
      </c>
      <c r="C105" s="250" t="s">
        <v>3184</v>
      </c>
      <c r="D105" s="268" t="s">
        <v>495</v>
      </c>
      <c r="E105" s="251">
        <v>44182.0</v>
      </c>
      <c r="F105" s="250" t="s">
        <v>496</v>
      </c>
      <c r="G105" s="171">
        <v>5.0</v>
      </c>
      <c r="H105" s="171">
        <v>45.0</v>
      </c>
      <c r="I105" s="171">
        <v>50.0</v>
      </c>
      <c r="J105" s="325">
        <f t="shared" si="2"/>
        <v>0.001447851861</v>
      </c>
      <c r="K105" s="326">
        <f t="shared" si="9"/>
        <v>1.090956377</v>
      </c>
      <c r="L105" s="327">
        <f t="shared" si="4"/>
        <v>25.48044</v>
      </c>
      <c r="M105" s="321" t="str">
        <f t="shared" si="5"/>
        <v>durgadasji</v>
      </c>
      <c r="N105" s="176">
        <f>IFERROR(__xludf.DUMMYFUNCTION("""COMPUTED_VALUE"""),13.0)</f>
        <v>13</v>
      </c>
      <c r="O105" s="243"/>
      <c r="P105" s="243"/>
      <c r="Q105" s="243"/>
      <c r="R105" s="243"/>
      <c r="S105" s="243"/>
      <c r="T105" s="243"/>
      <c r="U105" s="176"/>
      <c r="V105" s="176"/>
      <c r="W105" s="176"/>
      <c r="X105" s="176"/>
      <c r="Y105" s="176"/>
      <c r="Z105" s="176"/>
    </row>
    <row r="106">
      <c r="A106" s="226" t="s">
        <v>13</v>
      </c>
      <c r="B106" s="226" t="s">
        <v>10</v>
      </c>
      <c r="C106" s="250" t="s">
        <v>3226</v>
      </c>
      <c r="D106" s="268" t="s">
        <v>495</v>
      </c>
      <c r="E106" s="251">
        <v>44183.0</v>
      </c>
      <c r="F106" s="250" t="s">
        <v>496</v>
      </c>
      <c r="G106" s="171">
        <v>5.0</v>
      </c>
      <c r="H106" s="171">
        <v>60.0</v>
      </c>
      <c r="I106" s="171">
        <v>50.0</v>
      </c>
      <c r="J106" s="325">
        <f t="shared" si="2"/>
        <v>0.001627198322</v>
      </c>
      <c r="K106" s="326">
        <f t="shared" si="9"/>
        <v>1.226093936</v>
      </c>
      <c r="L106" s="327">
        <f t="shared" si="4"/>
        <v>25.48044</v>
      </c>
      <c r="M106" s="321" t="str">
        <f t="shared" si="5"/>
        <v>durgadasji</v>
      </c>
      <c r="N106" s="176">
        <f>IFERROR(__xludf.DUMMYFUNCTION("""COMPUTED_VALUE"""),14.0)</f>
        <v>14</v>
      </c>
      <c r="O106" s="243"/>
      <c r="P106" s="243"/>
      <c r="Q106" s="243"/>
      <c r="R106" s="243"/>
      <c r="S106" s="243"/>
      <c r="T106" s="243"/>
      <c r="U106" s="176"/>
      <c r="V106" s="176"/>
      <c r="W106" s="176"/>
      <c r="X106" s="176"/>
      <c r="Y106" s="176"/>
      <c r="Z106" s="176"/>
    </row>
    <row r="107">
      <c r="A107" s="226" t="s">
        <v>17</v>
      </c>
      <c r="B107" s="226" t="s">
        <v>925</v>
      </c>
      <c r="C107" s="250" t="s">
        <v>3201</v>
      </c>
      <c r="D107" s="268" t="s">
        <v>495</v>
      </c>
      <c r="E107" s="361">
        <v>44171.0</v>
      </c>
      <c r="F107" s="250" t="s">
        <v>496</v>
      </c>
      <c r="G107" s="171">
        <v>1.0</v>
      </c>
      <c r="H107" s="171">
        <v>60.0</v>
      </c>
      <c r="I107" s="171">
        <v>50.0</v>
      </c>
      <c r="J107" s="325">
        <f t="shared" si="2"/>
        <v>0.00147624923</v>
      </c>
      <c r="K107" s="326">
        <f t="shared" si="9"/>
        <v>1.112353795</v>
      </c>
      <c r="L107" s="327">
        <f t="shared" si="4"/>
        <v>25.4332075</v>
      </c>
      <c r="M107" s="321" t="str">
        <f t="shared" si="5"/>
        <v>tonga2020</v>
      </c>
      <c r="N107" s="176">
        <f>IFERROR(__xludf.DUMMYFUNCTION("""COMPUTED_VALUE"""),1.0)</f>
        <v>1</v>
      </c>
      <c r="O107" s="243"/>
      <c r="P107" s="243"/>
      <c r="Q107" s="243"/>
      <c r="R107" s="243"/>
      <c r="S107" s="243"/>
      <c r="T107" s="243"/>
      <c r="U107" s="176"/>
      <c r="V107" s="176"/>
      <c r="W107" s="176"/>
      <c r="X107" s="176"/>
      <c r="Y107" s="176"/>
      <c r="Z107" s="176"/>
    </row>
    <row r="108">
      <c r="A108" s="226" t="s">
        <v>17</v>
      </c>
      <c r="B108" s="226" t="s">
        <v>25</v>
      </c>
      <c r="C108" s="250" t="s">
        <v>3202</v>
      </c>
      <c r="D108" s="268" t="s">
        <v>495</v>
      </c>
      <c r="E108" s="361">
        <v>44172.0</v>
      </c>
      <c r="F108" s="250" t="s">
        <v>496</v>
      </c>
      <c r="G108" s="171">
        <v>1.0</v>
      </c>
      <c r="H108" s="171">
        <v>45.0</v>
      </c>
      <c r="I108" s="171">
        <v>50.0</v>
      </c>
      <c r="J108" s="325">
        <f t="shared" si="2"/>
        <v>0.001296902768</v>
      </c>
      <c r="K108" s="326">
        <f t="shared" si="9"/>
        <v>0.9772162358</v>
      </c>
      <c r="L108" s="327">
        <f t="shared" si="4"/>
        <v>25.4332075</v>
      </c>
      <c r="M108" s="321" t="str">
        <f t="shared" si="5"/>
        <v>tonga2020</v>
      </c>
      <c r="N108" s="176">
        <f>IFERROR(__xludf.DUMMYFUNCTION("""COMPUTED_VALUE"""),2.0)</f>
        <v>2</v>
      </c>
      <c r="O108" s="243"/>
      <c r="P108" s="243"/>
      <c r="Q108" s="243"/>
      <c r="R108" s="243"/>
      <c r="S108" s="243"/>
      <c r="T108" s="243"/>
      <c r="U108" s="176"/>
      <c r="V108" s="176"/>
      <c r="W108" s="176"/>
      <c r="X108" s="176"/>
      <c r="Y108" s="176"/>
      <c r="Z108" s="176"/>
    </row>
    <row r="109">
      <c r="A109" s="226" t="s">
        <v>17</v>
      </c>
      <c r="B109" s="226" t="s">
        <v>590</v>
      </c>
      <c r="C109" s="250" t="s">
        <v>3215</v>
      </c>
      <c r="D109" s="268" t="s">
        <v>495</v>
      </c>
      <c r="E109" s="361">
        <v>44172.0</v>
      </c>
      <c r="F109" s="250" t="s">
        <v>496</v>
      </c>
      <c r="G109" s="171">
        <v>5.0</v>
      </c>
      <c r="H109" s="171">
        <v>80.0</v>
      </c>
      <c r="I109" s="171">
        <v>50.0</v>
      </c>
      <c r="J109" s="325">
        <f t="shared" si="2"/>
        <v>0.001866326937</v>
      </c>
      <c r="K109" s="326">
        <f t="shared" si="9"/>
        <v>1.406277347</v>
      </c>
      <c r="L109" s="327">
        <f t="shared" si="4"/>
        <v>25.4332075</v>
      </c>
      <c r="M109" s="321" t="str">
        <f t="shared" si="5"/>
        <v>tonga2020</v>
      </c>
      <c r="N109" s="176">
        <f>IFERROR(__xludf.DUMMYFUNCTION("""COMPUTED_VALUE"""),3.0)</f>
        <v>3</v>
      </c>
      <c r="O109" s="243"/>
      <c r="P109" s="243"/>
      <c r="Q109" s="243"/>
      <c r="R109" s="243"/>
      <c r="S109" s="243"/>
      <c r="T109" s="243"/>
      <c r="U109" s="176"/>
      <c r="V109" s="176"/>
      <c r="W109" s="176"/>
      <c r="X109" s="176"/>
      <c r="Y109" s="176"/>
      <c r="Z109" s="176"/>
    </row>
    <row r="110">
      <c r="A110" s="226" t="s">
        <v>17</v>
      </c>
      <c r="B110" s="226" t="s">
        <v>519</v>
      </c>
      <c r="C110" s="250" t="s">
        <v>3203</v>
      </c>
      <c r="D110" s="268" t="s">
        <v>495</v>
      </c>
      <c r="E110" s="361">
        <v>44173.0</v>
      </c>
      <c r="F110" s="250" t="s">
        <v>521</v>
      </c>
      <c r="G110" s="171">
        <v>5.0</v>
      </c>
      <c r="H110" s="171">
        <v>45.0</v>
      </c>
      <c r="I110" s="171">
        <v>50.0</v>
      </c>
      <c r="J110" s="325">
        <f t="shared" si="2"/>
        <v>0.001447851861</v>
      </c>
      <c r="K110" s="326">
        <f t="shared" si="9"/>
        <v>1.090956377</v>
      </c>
      <c r="L110" s="327">
        <f t="shared" si="4"/>
        <v>25.4332075</v>
      </c>
      <c r="M110" s="321" t="str">
        <f t="shared" si="5"/>
        <v>tonga2020</v>
      </c>
      <c r="N110" s="176">
        <f>IFERROR(__xludf.DUMMYFUNCTION("""COMPUTED_VALUE"""),4.0)</f>
        <v>4</v>
      </c>
      <c r="O110" s="243"/>
      <c r="P110" s="243"/>
      <c r="Q110" s="243"/>
      <c r="R110" s="243"/>
      <c r="S110" s="243"/>
      <c r="T110" s="243"/>
      <c r="U110" s="176"/>
      <c r="V110" s="176"/>
      <c r="W110" s="176"/>
      <c r="X110" s="176"/>
      <c r="Y110" s="176"/>
      <c r="Z110" s="176"/>
    </row>
    <row r="111">
      <c r="A111" s="226" t="s">
        <v>17</v>
      </c>
      <c r="B111" s="226" t="s">
        <v>590</v>
      </c>
      <c r="C111" s="250" t="s">
        <v>3166</v>
      </c>
      <c r="D111" s="268" t="s">
        <v>495</v>
      </c>
      <c r="E111" s="361">
        <v>44173.0</v>
      </c>
      <c r="F111" s="250" t="s">
        <v>496</v>
      </c>
      <c r="G111" s="171">
        <v>5.0</v>
      </c>
      <c r="H111" s="171">
        <v>45.0</v>
      </c>
      <c r="I111" s="171">
        <v>50.0</v>
      </c>
      <c r="J111" s="325">
        <f t="shared" si="2"/>
        <v>0.001447851861</v>
      </c>
      <c r="K111" s="326">
        <f t="shared" si="9"/>
        <v>1.090956377</v>
      </c>
      <c r="L111" s="327">
        <f t="shared" si="4"/>
        <v>25.4332075</v>
      </c>
      <c r="M111" s="321" t="str">
        <f t="shared" si="5"/>
        <v>tonga2020</v>
      </c>
      <c r="N111" s="176">
        <f>IFERROR(__xludf.DUMMYFUNCTION("""COMPUTED_VALUE"""),5.0)</f>
        <v>5</v>
      </c>
      <c r="O111" s="243"/>
      <c r="P111" s="243"/>
      <c r="Q111" s="243"/>
      <c r="R111" s="243"/>
      <c r="S111" s="243"/>
      <c r="T111" s="243"/>
      <c r="U111" s="176"/>
      <c r="V111" s="176"/>
      <c r="W111" s="176"/>
      <c r="X111" s="176"/>
      <c r="Y111" s="176"/>
      <c r="Z111" s="176"/>
    </row>
    <row r="112">
      <c r="A112" s="226" t="s">
        <v>17</v>
      </c>
      <c r="B112" s="226" t="s">
        <v>25</v>
      </c>
      <c r="C112" s="250" t="s">
        <v>3227</v>
      </c>
      <c r="D112" s="268" t="s">
        <v>495</v>
      </c>
      <c r="E112" s="361">
        <v>44174.0</v>
      </c>
      <c r="F112" s="250" t="s">
        <v>496</v>
      </c>
      <c r="G112" s="171">
        <v>2.0</v>
      </c>
      <c r="H112" s="171">
        <v>1.0</v>
      </c>
      <c r="I112" s="171">
        <v>10.0</v>
      </c>
      <c r="J112" s="325">
        <f t="shared" si="2"/>
        <v>0.0002316561991</v>
      </c>
      <c r="K112" s="326">
        <f t="shared" si="9"/>
        <v>0.174552946</v>
      </c>
      <c r="L112" s="327">
        <f t="shared" si="4"/>
        <v>25.4332075</v>
      </c>
      <c r="M112" s="321" t="str">
        <f t="shared" si="5"/>
        <v>tonga2020</v>
      </c>
      <c r="N112" s="176">
        <f>IFERROR(__xludf.DUMMYFUNCTION("""COMPUTED_VALUE"""),6.0)</f>
        <v>6</v>
      </c>
      <c r="O112" s="243"/>
      <c r="P112" s="243"/>
      <c r="Q112" s="243"/>
      <c r="R112" s="243"/>
      <c r="S112" s="243"/>
      <c r="T112" s="243"/>
      <c r="U112" s="176"/>
      <c r="V112" s="176"/>
      <c r="W112" s="176"/>
      <c r="X112" s="176"/>
      <c r="Y112" s="176"/>
      <c r="Z112" s="176"/>
    </row>
    <row r="113">
      <c r="A113" s="226" t="s">
        <v>17</v>
      </c>
      <c r="B113" s="226" t="s">
        <v>18</v>
      </c>
      <c r="C113" s="250" t="s">
        <v>3168</v>
      </c>
      <c r="D113" s="268" t="s">
        <v>495</v>
      </c>
      <c r="E113" s="361">
        <v>44174.0</v>
      </c>
      <c r="F113" s="250" t="s">
        <v>496</v>
      </c>
      <c r="G113" s="171">
        <v>5.0</v>
      </c>
      <c r="H113" s="171">
        <v>45.0</v>
      </c>
      <c r="I113" s="171">
        <v>50.0</v>
      </c>
      <c r="J113" s="325">
        <f t="shared" si="2"/>
        <v>0.001447851861</v>
      </c>
      <c r="K113" s="326">
        <f t="shared" si="9"/>
        <v>1.090956377</v>
      </c>
      <c r="L113" s="327">
        <f t="shared" si="4"/>
        <v>25.4332075</v>
      </c>
      <c r="M113" s="321" t="str">
        <f t="shared" si="5"/>
        <v>tonga2020</v>
      </c>
      <c r="N113" s="176">
        <f>IFERROR(__xludf.DUMMYFUNCTION("""COMPUTED_VALUE"""),7.0)</f>
        <v>7</v>
      </c>
      <c r="O113" s="243"/>
      <c r="P113" s="243"/>
      <c r="Q113" s="243"/>
      <c r="R113" s="243"/>
      <c r="S113" s="243"/>
      <c r="T113" s="243"/>
      <c r="U113" s="176"/>
      <c r="V113" s="176"/>
      <c r="W113" s="176"/>
      <c r="X113" s="176"/>
      <c r="Y113" s="176"/>
      <c r="Z113" s="176"/>
    </row>
    <row r="114">
      <c r="A114" s="226" t="s">
        <v>17</v>
      </c>
      <c r="B114" s="226" t="s">
        <v>18</v>
      </c>
      <c r="C114" s="250" t="s">
        <v>3169</v>
      </c>
      <c r="D114" s="268" t="s">
        <v>495</v>
      </c>
      <c r="E114" s="361">
        <v>44174.0</v>
      </c>
      <c r="F114" s="250" t="s">
        <v>496</v>
      </c>
      <c r="G114" s="171">
        <v>5.0</v>
      </c>
      <c r="H114" s="171">
        <v>45.0</v>
      </c>
      <c r="I114" s="171">
        <v>50.0</v>
      </c>
      <c r="J114" s="325">
        <f t="shared" si="2"/>
        <v>0.001447851861</v>
      </c>
      <c r="K114" s="326">
        <f t="shared" si="9"/>
        <v>1.090956377</v>
      </c>
      <c r="L114" s="327">
        <f t="shared" si="4"/>
        <v>25.4332075</v>
      </c>
      <c r="M114" s="321" t="str">
        <f t="shared" si="5"/>
        <v>tonga2020</v>
      </c>
      <c r="N114" s="176">
        <f>IFERROR(__xludf.DUMMYFUNCTION("""COMPUTED_VALUE"""),8.0)</f>
        <v>8</v>
      </c>
      <c r="O114" s="243"/>
      <c r="P114" s="243"/>
      <c r="Q114" s="243"/>
      <c r="R114" s="243"/>
      <c r="S114" s="243"/>
      <c r="T114" s="243"/>
      <c r="U114" s="176"/>
      <c r="V114" s="176"/>
      <c r="W114" s="176"/>
      <c r="X114" s="176"/>
      <c r="Y114" s="176"/>
      <c r="Z114" s="176"/>
    </row>
    <row r="115">
      <c r="A115" s="226" t="s">
        <v>17</v>
      </c>
      <c r="B115" s="226" t="s">
        <v>5</v>
      </c>
      <c r="C115" s="250" t="s">
        <v>3171</v>
      </c>
      <c r="D115" s="268" t="s">
        <v>495</v>
      </c>
      <c r="E115" s="251">
        <v>44175.0</v>
      </c>
      <c r="F115" s="250" t="s">
        <v>496</v>
      </c>
      <c r="G115" s="171">
        <v>1.0</v>
      </c>
      <c r="H115" s="171">
        <v>45.0</v>
      </c>
      <c r="I115" s="171">
        <v>50.0</v>
      </c>
      <c r="J115" s="325">
        <f t="shared" si="2"/>
        <v>0.001296902768</v>
      </c>
      <c r="K115" s="326">
        <f t="shared" si="9"/>
        <v>0.9772162358</v>
      </c>
      <c r="L115" s="327">
        <f t="shared" si="4"/>
        <v>25.4332075</v>
      </c>
      <c r="M115" s="321" t="str">
        <f t="shared" si="5"/>
        <v>tonga2020</v>
      </c>
      <c r="N115" s="176">
        <f>IFERROR(__xludf.DUMMYFUNCTION("""COMPUTED_VALUE"""),9.0)</f>
        <v>9</v>
      </c>
      <c r="O115" s="243"/>
      <c r="P115" s="243"/>
      <c r="Q115" s="243"/>
      <c r="R115" s="243"/>
      <c r="S115" s="243"/>
      <c r="T115" s="243"/>
      <c r="U115" s="176"/>
      <c r="V115" s="176"/>
      <c r="W115" s="176"/>
      <c r="X115" s="176"/>
      <c r="Y115" s="176"/>
      <c r="Z115" s="176"/>
    </row>
    <row r="116">
      <c r="A116" s="226" t="s">
        <v>17</v>
      </c>
      <c r="B116" s="226" t="s">
        <v>10</v>
      </c>
      <c r="C116" s="250" t="s">
        <v>3228</v>
      </c>
      <c r="D116" s="268" t="s">
        <v>495</v>
      </c>
      <c r="E116" s="251">
        <v>44176.0</v>
      </c>
      <c r="F116" s="250" t="s">
        <v>496</v>
      </c>
      <c r="G116" s="171">
        <v>2.0</v>
      </c>
      <c r="H116" s="171">
        <v>40.0</v>
      </c>
      <c r="I116" s="171">
        <v>50.0</v>
      </c>
      <c r="J116" s="325">
        <f t="shared" si="2"/>
        <v>0.001274857887</v>
      </c>
      <c r="K116" s="326">
        <f t="shared" si="9"/>
        <v>0.9606054182</v>
      </c>
      <c r="L116" s="327">
        <f t="shared" si="4"/>
        <v>25.4332075</v>
      </c>
      <c r="M116" s="321" t="str">
        <f t="shared" si="5"/>
        <v>tonga2020</v>
      </c>
      <c r="N116" s="176">
        <f>IFERROR(__xludf.DUMMYFUNCTION("""COMPUTED_VALUE"""),10.0)</f>
        <v>10</v>
      </c>
      <c r="O116" s="243"/>
      <c r="P116" s="243"/>
      <c r="Q116" s="243"/>
      <c r="R116" s="243"/>
      <c r="S116" s="243"/>
      <c r="T116" s="243"/>
      <c r="U116" s="176"/>
      <c r="V116" s="176"/>
      <c r="W116" s="176"/>
      <c r="X116" s="176"/>
      <c r="Y116" s="176"/>
      <c r="Z116" s="176"/>
    </row>
    <row r="117">
      <c r="A117" s="226" t="s">
        <v>17</v>
      </c>
      <c r="B117" s="226" t="s">
        <v>10</v>
      </c>
      <c r="C117" s="250" t="s">
        <v>3176</v>
      </c>
      <c r="D117" s="268" t="s">
        <v>495</v>
      </c>
      <c r="E117" s="251">
        <v>44176.0</v>
      </c>
      <c r="F117" s="250" t="s">
        <v>496</v>
      </c>
      <c r="G117" s="171">
        <v>2.0</v>
      </c>
      <c r="H117" s="171">
        <v>45.0</v>
      </c>
      <c r="I117" s="171">
        <v>50.0</v>
      </c>
      <c r="J117" s="325">
        <f t="shared" si="2"/>
        <v>0.001334640041</v>
      </c>
      <c r="K117" s="326">
        <f t="shared" si="9"/>
        <v>1.005651271</v>
      </c>
      <c r="L117" s="327">
        <f t="shared" si="4"/>
        <v>25.4332075</v>
      </c>
      <c r="M117" s="321" t="str">
        <f t="shared" si="5"/>
        <v>tonga2020</v>
      </c>
      <c r="N117" s="176">
        <f>IFERROR(__xludf.DUMMYFUNCTION("""COMPUTED_VALUE"""),11.0)</f>
        <v>11</v>
      </c>
      <c r="O117" s="243"/>
      <c r="P117" s="243"/>
      <c r="Q117" s="243"/>
      <c r="R117" s="243"/>
      <c r="S117" s="243"/>
      <c r="T117" s="243"/>
      <c r="U117" s="176"/>
      <c r="V117" s="176"/>
      <c r="W117" s="176"/>
      <c r="X117" s="176"/>
      <c r="Y117" s="176"/>
      <c r="Z117" s="176"/>
    </row>
    <row r="118">
      <c r="A118" s="226" t="s">
        <v>17</v>
      </c>
      <c r="B118" s="226" t="s">
        <v>5</v>
      </c>
      <c r="C118" s="250" t="s">
        <v>3177</v>
      </c>
      <c r="D118" s="268" t="s">
        <v>495</v>
      </c>
      <c r="E118" s="251">
        <v>44176.0</v>
      </c>
      <c r="F118" s="250" t="s">
        <v>496</v>
      </c>
      <c r="G118" s="171">
        <v>5.0</v>
      </c>
      <c r="H118" s="171">
        <v>45.0</v>
      </c>
      <c r="I118" s="171">
        <v>50.0</v>
      </c>
      <c r="J118" s="325">
        <f t="shared" si="2"/>
        <v>0.001447851861</v>
      </c>
      <c r="K118" s="326">
        <f t="shared" si="9"/>
        <v>1.090956377</v>
      </c>
      <c r="L118" s="327">
        <f t="shared" si="4"/>
        <v>25.4332075</v>
      </c>
      <c r="M118" s="321" t="str">
        <f t="shared" si="5"/>
        <v>tonga2020</v>
      </c>
      <c r="N118" s="176">
        <f>IFERROR(__xludf.DUMMYFUNCTION("""COMPUTED_VALUE"""),12.0)</f>
        <v>12</v>
      </c>
      <c r="O118" s="243"/>
      <c r="P118" s="243"/>
      <c r="Q118" s="243"/>
      <c r="R118" s="243"/>
      <c r="S118" s="243"/>
      <c r="T118" s="243"/>
      <c r="U118" s="176"/>
      <c r="V118" s="176"/>
      <c r="W118" s="176"/>
      <c r="X118" s="176"/>
      <c r="Y118" s="176"/>
      <c r="Z118" s="176"/>
    </row>
    <row r="119">
      <c r="A119" s="226" t="s">
        <v>17</v>
      </c>
      <c r="B119" s="226" t="s">
        <v>867</v>
      </c>
      <c r="C119" s="250" t="s">
        <v>3197</v>
      </c>
      <c r="D119" s="268" t="s">
        <v>495</v>
      </c>
      <c r="E119" s="251">
        <v>44177.0</v>
      </c>
      <c r="F119" s="250" t="s">
        <v>496</v>
      </c>
      <c r="G119" s="171">
        <v>3.0</v>
      </c>
      <c r="H119" s="171">
        <v>50.0</v>
      </c>
      <c r="I119" s="171">
        <v>50.0</v>
      </c>
      <c r="J119" s="325">
        <f t="shared" si="2"/>
        <v>0.001432159468</v>
      </c>
      <c r="K119" s="326">
        <f t="shared" si="9"/>
        <v>1.079132159</v>
      </c>
      <c r="L119" s="327">
        <f t="shared" si="4"/>
        <v>25.4332075</v>
      </c>
      <c r="M119" s="321" t="str">
        <f t="shared" si="5"/>
        <v>tonga2020</v>
      </c>
      <c r="N119" s="176">
        <f>IFERROR(__xludf.DUMMYFUNCTION("""COMPUTED_VALUE"""),13.0)</f>
        <v>13</v>
      </c>
      <c r="O119" s="243"/>
      <c r="P119" s="243"/>
      <c r="Q119" s="243"/>
      <c r="R119" s="243"/>
      <c r="S119" s="243"/>
      <c r="T119" s="243"/>
      <c r="U119" s="176"/>
      <c r="V119" s="176"/>
      <c r="W119" s="176"/>
      <c r="X119" s="176"/>
      <c r="Y119" s="176"/>
      <c r="Z119" s="176"/>
    </row>
    <row r="120">
      <c r="A120" s="226" t="s">
        <v>17</v>
      </c>
      <c r="B120" s="226" t="s">
        <v>519</v>
      </c>
      <c r="C120" s="250" t="s">
        <v>3229</v>
      </c>
      <c r="D120" s="268" t="s">
        <v>495</v>
      </c>
      <c r="E120" s="251">
        <v>44178.0</v>
      </c>
      <c r="F120" s="250" t="s">
        <v>496</v>
      </c>
      <c r="G120" s="171">
        <v>21.0</v>
      </c>
      <c r="H120" s="171">
        <v>50.0</v>
      </c>
      <c r="I120" s="171">
        <v>50.0</v>
      </c>
      <c r="J120" s="325">
        <f t="shared" si="2"/>
        <v>0.002111430384</v>
      </c>
      <c r="K120" s="326">
        <f t="shared" si="9"/>
        <v>1.590962794</v>
      </c>
      <c r="L120" s="327">
        <f t="shared" si="4"/>
        <v>25.4332075</v>
      </c>
      <c r="M120" s="321" t="str">
        <f t="shared" si="5"/>
        <v>tonga2020</v>
      </c>
      <c r="N120" s="176">
        <f>IFERROR(__xludf.DUMMYFUNCTION("""COMPUTED_VALUE"""),14.0)</f>
        <v>14</v>
      </c>
      <c r="O120" s="243"/>
      <c r="P120" s="243"/>
      <c r="Q120" s="243"/>
      <c r="R120" s="243"/>
      <c r="S120" s="243"/>
      <c r="T120" s="243"/>
      <c r="U120" s="176"/>
      <c r="V120" s="176"/>
      <c r="W120" s="176"/>
      <c r="X120" s="176"/>
      <c r="Y120" s="176"/>
      <c r="Z120" s="176"/>
    </row>
    <row r="121">
      <c r="A121" s="226" t="s">
        <v>17</v>
      </c>
      <c r="B121" s="226" t="s">
        <v>25</v>
      </c>
      <c r="C121" s="250" t="s">
        <v>3179</v>
      </c>
      <c r="D121" s="268" t="s">
        <v>495</v>
      </c>
      <c r="E121" s="251">
        <v>44178.0</v>
      </c>
      <c r="F121" s="250" t="s">
        <v>496</v>
      </c>
      <c r="G121" s="171">
        <v>21.0</v>
      </c>
      <c r="H121" s="171">
        <v>30.0</v>
      </c>
      <c r="I121" s="171">
        <v>50.0</v>
      </c>
      <c r="J121" s="325">
        <f t="shared" si="2"/>
        <v>0.001872301769</v>
      </c>
      <c r="K121" s="326">
        <f t="shared" si="9"/>
        <v>1.410779383</v>
      </c>
      <c r="L121" s="327">
        <f t="shared" si="4"/>
        <v>25.4332075</v>
      </c>
      <c r="M121" s="321" t="str">
        <f t="shared" si="5"/>
        <v>tonga2020</v>
      </c>
      <c r="N121" s="176">
        <f>IFERROR(__xludf.DUMMYFUNCTION("""COMPUTED_VALUE"""),15.0)</f>
        <v>15</v>
      </c>
      <c r="O121" s="243"/>
      <c r="P121" s="243"/>
      <c r="Q121" s="243"/>
      <c r="R121" s="243"/>
      <c r="S121" s="243"/>
      <c r="T121" s="243"/>
      <c r="U121" s="176"/>
      <c r="V121" s="176"/>
      <c r="W121" s="176"/>
      <c r="X121" s="176"/>
      <c r="Y121" s="176"/>
      <c r="Z121" s="176"/>
    </row>
    <row r="122">
      <c r="A122" s="226" t="s">
        <v>17</v>
      </c>
      <c r="B122" s="226" t="s">
        <v>590</v>
      </c>
      <c r="C122" s="250" t="s">
        <v>3180</v>
      </c>
      <c r="D122" s="268" t="s">
        <v>495</v>
      </c>
      <c r="E122" s="251">
        <v>44180.0</v>
      </c>
      <c r="F122" s="250" t="s">
        <v>496</v>
      </c>
      <c r="G122" s="171">
        <v>5.0</v>
      </c>
      <c r="H122" s="171">
        <v>45.0</v>
      </c>
      <c r="I122" s="171">
        <v>35.0</v>
      </c>
      <c r="J122" s="325">
        <f t="shared" si="2"/>
        <v>0.001231514027</v>
      </c>
      <c r="K122" s="326">
        <f t="shared" si="9"/>
        <v>0.9279458196</v>
      </c>
      <c r="L122" s="327">
        <f t="shared" si="4"/>
        <v>25.4332075</v>
      </c>
      <c r="M122" s="321" t="str">
        <f t="shared" si="5"/>
        <v>tonga2020</v>
      </c>
      <c r="N122" s="176">
        <f>IFERROR(__xludf.DUMMYFUNCTION("""COMPUTED_VALUE"""),16.0)</f>
        <v>16</v>
      </c>
      <c r="O122" s="243"/>
      <c r="P122" s="243"/>
      <c r="Q122" s="243"/>
      <c r="R122" s="243"/>
      <c r="S122" s="243"/>
      <c r="T122" s="243"/>
      <c r="U122" s="176"/>
      <c r="V122" s="176"/>
      <c r="W122" s="176"/>
      <c r="X122" s="176"/>
      <c r="Y122" s="176"/>
      <c r="Z122" s="176"/>
    </row>
    <row r="123">
      <c r="A123" s="226" t="s">
        <v>17</v>
      </c>
      <c r="B123" s="226" t="s">
        <v>18</v>
      </c>
      <c r="C123" s="250" t="s">
        <v>3181</v>
      </c>
      <c r="D123" s="268" t="s">
        <v>495</v>
      </c>
      <c r="E123" s="251">
        <v>44180.0</v>
      </c>
      <c r="F123" s="250" t="s">
        <v>496</v>
      </c>
      <c r="G123" s="171">
        <v>5.0</v>
      </c>
      <c r="H123" s="171">
        <v>45.0</v>
      </c>
      <c r="I123" s="171">
        <v>35.0</v>
      </c>
      <c r="J123" s="325">
        <f t="shared" si="2"/>
        <v>0.001231514027</v>
      </c>
      <c r="K123" s="326">
        <f t="shared" si="9"/>
        <v>0.9279458196</v>
      </c>
      <c r="L123" s="327">
        <f t="shared" si="4"/>
        <v>25.4332075</v>
      </c>
      <c r="M123" s="321" t="str">
        <f t="shared" si="5"/>
        <v>tonga2020</v>
      </c>
      <c r="N123" s="176">
        <f>IFERROR(__xludf.DUMMYFUNCTION("""COMPUTED_VALUE"""),17.0)</f>
        <v>17</v>
      </c>
      <c r="O123" s="243"/>
      <c r="P123" s="243"/>
      <c r="Q123" s="243"/>
      <c r="R123" s="243"/>
      <c r="S123" s="243"/>
      <c r="T123" s="243"/>
      <c r="U123" s="176"/>
      <c r="V123" s="176"/>
      <c r="W123" s="176"/>
      <c r="X123" s="176"/>
      <c r="Y123" s="176"/>
      <c r="Z123" s="176"/>
    </row>
    <row r="124">
      <c r="A124" s="226" t="s">
        <v>17</v>
      </c>
      <c r="B124" s="226" t="s">
        <v>590</v>
      </c>
      <c r="C124" s="250" t="s">
        <v>3230</v>
      </c>
      <c r="D124" s="268" t="s">
        <v>495</v>
      </c>
      <c r="E124" s="251">
        <v>44181.0</v>
      </c>
      <c r="F124" s="250" t="s">
        <v>496</v>
      </c>
      <c r="G124" s="171">
        <v>21.0</v>
      </c>
      <c r="H124" s="171">
        <v>60.0</v>
      </c>
      <c r="I124" s="171">
        <v>35.0</v>
      </c>
      <c r="J124" s="325">
        <f t="shared" si="2"/>
        <v>0.002014656859</v>
      </c>
      <c r="K124" s="326">
        <f t="shared" si="9"/>
        <v>1.518043943</v>
      </c>
      <c r="L124" s="327">
        <f t="shared" si="4"/>
        <v>25.4332075</v>
      </c>
      <c r="M124" s="321" t="str">
        <f t="shared" si="5"/>
        <v>tonga2020</v>
      </c>
      <c r="N124" s="176">
        <f>IFERROR(__xludf.DUMMYFUNCTION("""COMPUTED_VALUE"""),18.0)</f>
        <v>18</v>
      </c>
      <c r="O124" s="243"/>
      <c r="P124" s="243"/>
      <c r="Q124" s="243"/>
      <c r="R124" s="243"/>
      <c r="S124" s="243"/>
      <c r="T124" s="243"/>
      <c r="U124" s="176"/>
      <c r="V124" s="176"/>
      <c r="W124" s="176"/>
      <c r="X124" s="176"/>
      <c r="Y124" s="176"/>
      <c r="Z124" s="176"/>
    </row>
    <row r="125">
      <c r="A125" s="226" t="s">
        <v>17</v>
      </c>
      <c r="B125" s="226" t="s">
        <v>1228</v>
      </c>
      <c r="C125" s="250" t="s">
        <v>3183</v>
      </c>
      <c r="D125" s="268" t="s">
        <v>495</v>
      </c>
      <c r="E125" s="251">
        <v>44182.0</v>
      </c>
      <c r="F125" s="250" t="s">
        <v>496</v>
      </c>
      <c r="G125" s="171">
        <v>21.0</v>
      </c>
      <c r="H125" s="171">
        <v>45.0</v>
      </c>
      <c r="I125" s="171">
        <v>50.0</v>
      </c>
      <c r="J125" s="325">
        <f t="shared" si="2"/>
        <v>0.00205164823</v>
      </c>
      <c r="K125" s="326">
        <f t="shared" si="9"/>
        <v>1.545916941</v>
      </c>
      <c r="L125" s="327">
        <f t="shared" si="4"/>
        <v>25.4332075</v>
      </c>
      <c r="M125" s="321" t="str">
        <f t="shared" si="5"/>
        <v>tonga2020</v>
      </c>
      <c r="N125" s="176">
        <f>IFERROR(__xludf.DUMMYFUNCTION("""COMPUTED_VALUE"""),19.0)</f>
        <v>19</v>
      </c>
      <c r="O125" s="243"/>
      <c r="P125" s="243"/>
      <c r="Q125" s="243"/>
      <c r="R125" s="243"/>
      <c r="S125" s="243"/>
      <c r="T125" s="243"/>
      <c r="U125" s="176"/>
      <c r="V125" s="176"/>
      <c r="W125" s="176"/>
      <c r="X125" s="176"/>
      <c r="Y125" s="176"/>
      <c r="Z125" s="176"/>
    </row>
    <row r="126">
      <c r="A126" s="226" t="s">
        <v>17</v>
      </c>
      <c r="B126" s="226" t="s">
        <v>590</v>
      </c>
      <c r="C126" s="250" t="s">
        <v>3184</v>
      </c>
      <c r="D126" s="268" t="s">
        <v>495</v>
      </c>
      <c r="E126" s="251">
        <v>44182.0</v>
      </c>
      <c r="F126" s="250" t="s">
        <v>496</v>
      </c>
      <c r="G126" s="171">
        <v>5.0</v>
      </c>
      <c r="H126" s="171">
        <v>45.0</v>
      </c>
      <c r="I126" s="171">
        <v>50.0</v>
      </c>
      <c r="J126" s="325">
        <f t="shared" si="2"/>
        <v>0.001447851861</v>
      </c>
      <c r="K126" s="326">
        <f t="shared" si="9"/>
        <v>1.090956377</v>
      </c>
      <c r="L126" s="327">
        <f t="shared" si="4"/>
        <v>25.4332075</v>
      </c>
      <c r="M126" s="321" t="str">
        <f t="shared" si="5"/>
        <v>tonga2020</v>
      </c>
      <c r="N126" s="176">
        <f>IFERROR(__xludf.DUMMYFUNCTION("""COMPUTED_VALUE"""),20.0)</f>
        <v>20</v>
      </c>
      <c r="O126" s="243"/>
      <c r="P126" s="243"/>
      <c r="Q126" s="243"/>
      <c r="R126" s="243"/>
      <c r="S126" s="243"/>
      <c r="T126" s="243"/>
      <c r="U126" s="176"/>
      <c r="V126" s="176"/>
      <c r="W126" s="176"/>
      <c r="X126" s="176"/>
      <c r="Y126" s="176"/>
      <c r="Z126" s="176"/>
    </row>
    <row r="127">
      <c r="A127" s="226" t="s">
        <v>17</v>
      </c>
      <c r="B127" s="226" t="s">
        <v>18</v>
      </c>
      <c r="C127" s="250" t="s">
        <v>3189</v>
      </c>
      <c r="D127" s="268" t="s">
        <v>495</v>
      </c>
      <c r="E127" s="251">
        <v>44183.0</v>
      </c>
      <c r="F127" s="250" t="s">
        <v>496</v>
      </c>
      <c r="G127" s="171">
        <v>5.0</v>
      </c>
      <c r="H127" s="171">
        <v>45.0</v>
      </c>
      <c r="I127" s="171">
        <v>50.0</v>
      </c>
      <c r="J127" s="325">
        <f t="shared" si="2"/>
        <v>0.001447851861</v>
      </c>
      <c r="K127" s="326">
        <f t="shared" si="9"/>
        <v>1.090956377</v>
      </c>
      <c r="L127" s="327">
        <f t="shared" si="4"/>
        <v>25.4332075</v>
      </c>
      <c r="M127" s="321" t="str">
        <f t="shared" si="5"/>
        <v>tonga2020</v>
      </c>
      <c r="N127" s="176">
        <f>IFERROR(__xludf.DUMMYFUNCTION("""COMPUTED_VALUE"""),21.0)</f>
        <v>21</v>
      </c>
      <c r="O127" s="243"/>
      <c r="P127" s="243"/>
      <c r="Q127" s="243"/>
      <c r="R127" s="243"/>
      <c r="S127" s="243"/>
      <c r="T127" s="243"/>
      <c r="U127" s="176"/>
      <c r="V127" s="176"/>
      <c r="W127" s="176"/>
      <c r="X127" s="176"/>
      <c r="Y127" s="176"/>
      <c r="Z127" s="176"/>
    </row>
    <row r="128">
      <c r="A128" s="226" t="s">
        <v>17</v>
      </c>
      <c r="B128" s="226" t="s">
        <v>18</v>
      </c>
      <c r="C128" s="250" t="s">
        <v>3190</v>
      </c>
      <c r="D128" s="268" t="s">
        <v>495</v>
      </c>
      <c r="E128" s="251">
        <v>44183.0</v>
      </c>
      <c r="F128" s="250" t="s">
        <v>496</v>
      </c>
      <c r="G128" s="171">
        <v>5.0</v>
      </c>
      <c r="H128" s="171">
        <v>45.0</v>
      </c>
      <c r="I128" s="171">
        <v>50.0</v>
      </c>
      <c r="J128" s="325">
        <f t="shared" si="2"/>
        <v>0.001447851861</v>
      </c>
      <c r="K128" s="326">
        <f t="shared" si="9"/>
        <v>1.090956377</v>
      </c>
      <c r="L128" s="327">
        <f t="shared" si="4"/>
        <v>25.4332075</v>
      </c>
      <c r="M128" s="321" t="str">
        <f t="shared" si="5"/>
        <v>tonga2020</v>
      </c>
      <c r="N128" s="176">
        <f>IFERROR(__xludf.DUMMYFUNCTION("""COMPUTED_VALUE"""),22.0)</f>
        <v>22</v>
      </c>
      <c r="O128" s="243"/>
      <c r="P128" s="243"/>
      <c r="Q128" s="243"/>
      <c r="R128" s="243"/>
      <c r="S128" s="243"/>
      <c r="T128" s="243"/>
      <c r="U128" s="176"/>
      <c r="V128" s="176"/>
      <c r="W128" s="176"/>
      <c r="X128" s="176"/>
      <c r="Y128" s="176"/>
      <c r="Z128" s="176"/>
    </row>
    <row r="129">
      <c r="A129" s="226" t="s">
        <v>17</v>
      </c>
      <c r="B129" s="226" t="s">
        <v>868</v>
      </c>
      <c r="C129" s="250" t="s">
        <v>3191</v>
      </c>
      <c r="D129" s="268" t="s">
        <v>495</v>
      </c>
      <c r="E129" s="251">
        <v>44183.0</v>
      </c>
      <c r="F129" s="250" t="s">
        <v>496</v>
      </c>
      <c r="G129" s="171">
        <v>5.0</v>
      </c>
      <c r="H129" s="171">
        <v>45.0</v>
      </c>
      <c r="I129" s="171">
        <v>50.0</v>
      </c>
      <c r="J129" s="325">
        <f t="shared" si="2"/>
        <v>0.001447851861</v>
      </c>
      <c r="K129" s="326">
        <f t="shared" si="9"/>
        <v>1.090956377</v>
      </c>
      <c r="L129" s="327">
        <f t="shared" si="4"/>
        <v>25.4332075</v>
      </c>
      <c r="M129" s="321" t="str">
        <f t="shared" si="5"/>
        <v>tonga2020</v>
      </c>
      <c r="N129" s="176">
        <f>IFERROR(__xludf.DUMMYFUNCTION("""COMPUTED_VALUE"""),23.0)</f>
        <v>23</v>
      </c>
      <c r="O129" s="243"/>
      <c r="P129" s="243"/>
      <c r="Q129" s="243"/>
      <c r="R129" s="243"/>
      <c r="S129" s="243"/>
      <c r="T129" s="243"/>
      <c r="U129" s="176"/>
      <c r="V129" s="176"/>
      <c r="W129" s="176"/>
      <c r="X129" s="176"/>
      <c r="Y129" s="176"/>
      <c r="Z129" s="176"/>
    </row>
    <row r="130">
      <c r="A130" s="226" t="s">
        <v>25</v>
      </c>
      <c r="B130" s="226" t="s">
        <v>925</v>
      </c>
      <c r="C130" s="250" t="s">
        <v>3201</v>
      </c>
      <c r="D130" s="268" t="s">
        <v>495</v>
      </c>
      <c r="E130" s="361">
        <v>44171.0</v>
      </c>
      <c r="F130" s="250" t="s">
        <v>496</v>
      </c>
      <c r="G130" s="171">
        <v>21.0</v>
      </c>
      <c r="H130" s="171">
        <v>180.0</v>
      </c>
      <c r="I130" s="171">
        <v>200.0</v>
      </c>
      <c r="J130" s="325">
        <f t="shared" si="2"/>
        <v>0.005829144715</v>
      </c>
      <c r="K130" s="326">
        <f t="shared" si="9"/>
        <v>4.392260543</v>
      </c>
      <c r="L130" s="327">
        <f t="shared" si="4"/>
        <v>19.08290054</v>
      </c>
      <c r="M130" s="321" t="str">
        <f t="shared" si="5"/>
        <v>freedumbs00</v>
      </c>
      <c r="N130" s="176">
        <f>IFERROR(__xludf.DUMMYFUNCTION("""COMPUTED_VALUE"""),1.0)</f>
        <v>1</v>
      </c>
      <c r="O130" s="243"/>
      <c r="P130" s="243"/>
      <c r="Q130" s="243"/>
      <c r="R130" s="243"/>
      <c r="S130" s="243"/>
      <c r="T130" s="243"/>
      <c r="U130" s="176"/>
      <c r="V130" s="176"/>
      <c r="W130" s="176"/>
      <c r="X130" s="176"/>
      <c r="Y130" s="176"/>
      <c r="Z130" s="176"/>
    </row>
    <row r="131">
      <c r="A131" s="226" t="s">
        <v>25</v>
      </c>
      <c r="B131" s="226" t="s">
        <v>590</v>
      </c>
      <c r="C131" s="250" t="s">
        <v>3231</v>
      </c>
      <c r="D131" s="268" t="s">
        <v>495</v>
      </c>
      <c r="E131" s="361">
        <v>44172.0</v>
      </c>
      <c r="F131" s="250" t="s">
        <v>496</v>
      </c>
      <c r="G131" s="171">
        <v>21.0</v>
      </c>
      <c r="H131" s="171">
        <v>200.0</v>
      </c>
      <c r="I131" s="171">
        <v>100.0</v>
      </c>
      <c r="J131" s="325">
        <f t="shared" si="2"/>
        <v>0.00462602111</v>
      </c>
      <c r="K131" s="326">
        <f t="shared" si="9"/>
        <v>3.485706906</v>
      </c>
      <c r="L131" s="327">
        <f t="shared" si="4"/>
        <v>19.08290054</v>
      </c>
      <c r="M131" s="321" t="str">
        <f t="shared" si="5"/>
        <v>freedumbs00</v>
      </c>
      <c r="N131" s="176">
        <f>IFERROR(__xludf.DUMMYFUNCTION("""COMPUTED_VALUE"""),2.0)</f>
        <v>2</v>
      </c>
      <c r="O131" s="243"/>
      <c r="P131" s="243"/>
      <c r="Q131" s="243"/>
      <c r="R131" s="243"/>
      <c r="S131" s="243"/>
      <c r="T131" s="243"/>
      <c r="U131" s="176"/>
      <c r="V131" s="176"/>
      <c r="W131" s="176"/>
      <c r="X131" s="176"/>
      <c r="Y131" s="176"/>
      <c r="Z131" s="176"/>
    </row>
    <row r="132">
      <c r="A132" s="226" t="s">
        <v>25</v>
      </c>
      <c r="B132" s="226" t="s">
        <v>590</v>
      </c>
      <c r="C132" s="250" t="s">
        <v>3215</v>
      </c>
      <c r="D132" s="268" t="s">
        <v>495</v>
      </c>
      <c r="E132" s="361">
        <v>44172.0</v>
      </c>
      <c r="F132" s="250" t="s">
        <v>496</v>
      </c>
      <c r="G132" s="171">
        <v>21.0</v>
      </c>
      <c r="H132" s="171">
        <v>130.0</v>
      </c>
      <c r="I132" s="171">
        <v>100.0</v>
      </c>
      <c r="J132" s="325">
        <f t="shared" si="2"/>
        <v>0.003789070956</v>
      </c>
      <c r="K132" s="326">
        <f t="shared" si="9"/>
        <v>2.855064965</v>
      </c>
      <c r="L132" s="327">
        <f t="shared" si="4"/>
        <v>19.08290054</v>
      </c>
      <c r="M132" s="321" t="str">
        <f t="shared" si="5"/>
        <v>freedumbs00</v>
      </c>
      <c r="N132" s="176">
        <f>IFERROR(__xludf.DUMMYFUNCTION("""COMPUTED_VALUE"""),3.0)</f>
        <v>3</v>
      </c>
      <c r="O132" s="243"/>
      <c r="P132" s="243"/>
      <c r="Q132" s="243"/>
      <c r="R132" s="243"/>
      <c r="S132" s="243"/>
      <c r="T132" s="243"/>
      <c r="U132" s="176"/>
      <c r="V132" s="176"/>
      <c r="W132" s="176"/>
      <c r="X132" s="176"/>
      <c r="Y132" s="176"/>
      <c r="Z132" s="176"/>
    </row>
    <row r="133">
      <c r="A133" s="226" t="s">
        <v>25</v>
      </c>
      <c r="B133" s="226" t="s">
        <v>590</v>
      </c>
      <c r="C133" s="250" t="s">
        <v>3166</v>
      </c>
      <c r="D133" s="268" t="s">
        <v>495</v>
      </c>
      <c r="E133" s="361">
        <v>44173.0</v>
      </c>
      <c r="F133" s="250" t="s">
        <v>496</v>
      </c>
      <c r="G133" s="171">
        <v>21.0</v>
      </c>
      <c r="H133" s="171">
        <v>45.0</v>
      </c>
      <c r="I133" s="171">
        <v>50.0</v>
      </c>
      <c r="J133" s="325">
        <f t="shared" si="2"/>
        <v>0.00205164823</v>
      </c>
      <c r="K133" s="326">
        <f t="shared" si="9"/>
        <v>1.545916941</v>
      </c>
      <c r="L133" s="327">
        <f t="shared" si="4"/>
        <v>19.08290054</v>
      </c>
      <c r="M133" s="321" t="str">
        <f t="shared" si="5"/>
        <v>freedumbs00</v>
      </c>
      <c r="N133" s="176">
        <f>IFERROR(__xludf.DUMMYFUNCTION("""COMPUTED_VALUE"""),4.0)</f>
        <v>4</v>
      </c>
      <c r="O133" s="243"/>
      <c r="P133" s="243"/>
      <c r="Q133" s="243"/>
      <c r="R133" s="243"/>
      <c r="S133" s="243"/>
      <c r="T133" s="243"/>
      <c r="U133" s="176"/>
      <c r="V133" s="176"/>
      <c r="W133" s="176"/>
      <c r="X133" s="176"/>
      <c r="Y133" s="176"/>
      <c r="Z133" s="176"/>
    </row>
    <row r="134">
      <c r="A134" s="226" t="s">
        <v>25</v>
      </c>
      <c r="B134" s="226" t="s">
        <v>8</v>
      </c>
      <c r="C134" s="250" t="s">
        <v>3232</v>
      </c>
      <c r="D134" s="268" t="s">
        <v>495</v>
      </c>
      <c r="E134" s="361">
        <v>44174.0</v>
      </c>
      <c r="F134" s="250" t="s">
        <v>496</v>
      </c>
      <c r="G134" s="171">
        <v>21.0</v>
      </c>
      <c r="H134" s="171">
        <v>30.0</v>
      </c>
      <c r="I134" s="171">
        <v>20.0</v>
      </c>
      <c r="J134" s="325">
        <f t="shared" si="2"/>
        <v>0.001439626102</v>
      </c>
      <c r="K134" s="326">
        <f t="shared" si="9"/>
        <v>1.084758268</v>
      </c>
      <c r="L134" s="327">
        <f t="shared" si="4"/>
        <v>19.08290054</v>
      </c>
      <c r="M134" s="321" t="str">
        <f t="shared" si="5"/>
        <v>freedumbs00</v>
      </c>
      <c r="N134" s="176">
        <f>IFERROR(__xludf.DUMMYFUNCTION("""COMPUTED_VALUE"""),5.0)</f>
        <v>5</v>
      </c>
      <c r="O134" s="243"/>
      <c r="P134" s="243"/>
      <c r="Q134" s="243"/>
      <c r="R134" s="243"/>
      <c r="S134" s="243"/>
      <c r="T134" s="243"/>
      <c r="U134" s="176"/>
      <c r="V134" s="176"/>
      <c r="W134" s="176"/>
      <c r="X134" s="176"/>
      <c r="Y134" s="176"/>
      <c r="Z134" s="176"/>
    </row>
    <row r="135">
      <c r="A135" s="226" t="s">
        <v>25</v>
      </c>
      <c r="B135" s="226" t="s">
        <v>18</v>
      </c>
      <c r="C135" s="250" t="s">
        <v>3169</v>
      </c>
      <c r="D135" s="268" t="s">
        <v>495</v>
      </c>
      <c r="E135" s="361">
        <v>44174.0</v>
      </c>
      <c r="F135" s="250" t="s">
        <v>496</v>
      </c>
      <c r="G135" s="171">
        <v>5.0</v>
      </c>
      <c r="H135" s="171">
        <v>45.0</v>
      </c>
      <c r="I135" s="171">
        <v>50.0</v>
      </c>
      <c r="J135" s="325">
        <f t="shared" si="2"/>
        <v>0.001447851861</v>
      </c>
      <c r="K135" s="326">
        <f t="shared" si="9"/>
        <v>1.090956377</v>
      </c>
      <c r="L135" s="327">
        <f t="shared" si="4"/>
        <v>19.08290054</v>
      </c>
      <c r="M135" s="321" t="str">
        <f t="shared" si="5"/>
        <v>freedumbs00</v>
      </c>
      <c r="N135" s="176">
        <f>IFERROR(__xludf.DUMMYFUNCTION("""COMPUTED_VALUE"""),6.0)</f>
        <v>6</v>
      </c>
      <c r="O135" s="243"/>
      <c r="P135" s="243"/>
      <c r="Q135" s="243"/>
      <c r="R135" s="243"/>
      <c r="S135" s="243"/>
      <c r="T135" s="243"/>
      <c r="U135" s="176"/>
      <c r="V135" s="176"/>
      <c r="W135" s="176"/>
      <c r="X135" s="176"/>
      <c r="Y135" s="176"/>
      <c r="Z135" s="176"/>
    </row>
    <row r="136">
      <c r="A136" s="226" t="s">
        <v>25</v>
      </c>
      <c r="B136" s="226" t="s">
        <v>925</v>
      </c>
      <c r="C136" s="250" t="s">
        <v>3233</v>
      </c>
      <c r="D136" s="268" t="s">
        <v>495</v>
      </c>
      <c r="E136" s="361">
        <v>44174.0</v>
      </c>
      <c r="F136" s="250" t="s">
        <v>496</v>
      </c>
      <c r="G136" s="171">
        <v>21.0</v>
      </c>
      <c r="H136" s="171">
        <v>45.0</v>
      </c>
      <c r="I136" s="171">
        <v>50.0</v>
      </c>
      <c r="J136" s="325">
        <f t="shared" si="2"/>
        <v>0.00205164823</v>
      </c>
      <c r="K136" s="326">
        <f t="shared" si="9"/>
        <v>1.545916941</v>
      </c>
      <c r="L136" s="327">
        <f t="shared" si="4"/>
        <v>19.08290054</v>
      </c>
      <c r="M136" s="321" t="str">
        <f t="shared" si="5"/>
        <v>freedumbs00</v>
      </c>
      <c r="N136" s="176">
        <f>IFERROR(__xludf.DUMMYFUNCTION("""COMPUTED_VALUE"""),7.0)</f>
        <v>7</v>
      </c>
      <c r="O136" s="243"/>
      <c r="P136" s="243"/>
      <c r="Q136" s="243"/>
      <c r="R136" s="243"/>
      <c r="S136" s="243"/>
      <c r="T136" s="243"/>
      <c r="U136" s="176"/>
      <c r="V136" s="176"/>
      <c r="W136" s="176"/>
      <c r="X136" s="176"/>
      <c r="Y136" s="176"/>
      <c r="Z136" s="176"/>
    </row>
    <row r="137">
      <c r="A137" s="226" t="s">
        <v>25</v>
      </c>
      <c r="B137" s="226" t="s">
        <v>8</v>
      </c>
      <c r="C137" s="250" t="s">
        <v>3234</v>
      </c>
      <c r="D137" s="268" t="s">
        <v>495</v>
      </c>
      <c r="E137" s="251">
        <v>44175.0</v>
      </c>
      <c r="F137" s="250" t="s">
        <v>496</v>
      </c>
      <c r="G137" s="171">
        <v>21.0</v>
      </c>
      <c r="H137" s="171">
        <v>90.0</v>
      </c>
      <c r="I137" s="171">
        <v>50.0</v>
      </c>
      <c r="J137" s="325">
        <f t="shared" si="2"/>
        <v>0.002589687615</v>
      </c>
      <c r="K137" s="326">
        <f t="shared" si="9"/>
        <v>1.951329618</v>
      </c>
      <c r="L137" s="327">
        <f t="shared" si="4"/>
        <v>19.08290054</v>
      </c>
      <c r="M137" s="321" t="str">
        <f t="shared" si="5"/>
        <v>freedumbs00</v>
      </c>
      <c r="N137" s="176">
        <f>IFERROR(__xludf.DUMMYFUNCTION("""COMPUTED_VALUE"""),8.0)</f>
        <v>8</v>
      </c>
      <c r="O137" s="243"/>
      <c r="P137" s="243"/>
      <c r="Q137" s="243"/>
      <c r="R137" s="243"/>
      <c r="S137" s="243"/>
      <c r="T137" s="243"/>
      <c r="U137" s="176"/>
      <c r="V137" s="176"/>
      <c r="W137" s="176"/>
      <c r="X137" s="176"/>
      <c r="Y137" s="176"/>
      <c r="Z137" s="176"/>
    </row>
    <row r="138">
      <c r="A138" s="226" t="s">
        <v>25</v>
      </c>
      <c r="B138" s="226" t="s">
        <v>519</v>
      </c>
      <c r="C138" s="250" t="s">
        <v>3204</v>
      </c>
      <c r="D138" s="268" t="s">
        <v>495</v>
      </c>
      <c r="E138" s="251">
        <v>44175.0</v>
      </c>
      <c r="F138" s="250" t="s">
        <v>521</v>
      </c>
      <c r="G138" s="171">
        <v>5.0</v>
      </c>
      <c r="H138" s="171">
        <v>45.0</v>
      </c>
      <c r="I138" s="171">
        <v>50.0</v>
      </c>
      <c r="J138" s="325">
        <f t="shared" si="2"/>
        <v>0.001447851861</v>
      </c>
      <c r="K138" s="326">
        <f t="shared" si="9"/>
        <v>1.090956377</v>
      </c>
      <c r="L138" s="327">
        <f t="shared" si="4"/>
        <v>19.08290054</v>
      </c>
      <c r="M138" s="321" t="str">
        <f t="shared" si="5"/>
        <v>freedumbs00</v>
      </c>
      <c r="N138" s="176">
        <f>IFERROR(__xludf.DUMMYFUNCTION("""COMPUTED_VALUE"""),9.0)</f>
        <v>9</v>
      </c>
      <c r="O138" s="243"/>
      <c r="P138" s="243"/>
      <c r="Q138" s="243"/>
      <c r="R138" s="243"/>
      <c r="S138" s="243"/>
      <c r="T138" s="243"/>
      <c r="U138" s="176"/>
      <c r="V138" s="176"/>
      <c r="W138" s="176"/>
      <c r="X138" s="176"/>
      <c r="Y138" s="176"/>
      <c r="Z138" s="176"/>
    </row>
    <row r="139">
      <c r="A139" s="226" t="s">
        <v>25</v>
      </c>
      <c r="B139" s="226" t="s">
        <v>5</v>
      </c>
      <c r="C139" s="250" t="s">
        <v>3170</v>
      </c>
      <c r="D139" s="268" t="s">
        <v>495</v>
      </c>
      <c r="E139" s="251">
        <v>44175.0</v>
      </c>
      <c r="F139" s="250" t="s">
        <v>496</v>
      </c>
      <c r="G139" s="171">
        <v>5.0</v>
      </c>
      <c r="H139" s="171">
        <v>45.0</v>
      </c>
      <c r="I139" s="171">
        <v>50.0</v>
      </c>
      <c r="J139" s="325">
        <f t="shared" si="2"/>
        <v>0.001447851861</v>
      </c>
      <c r="K139" s="326">
        <f t="shared" si="9"/>
        <v>1.090956377</v>
      </c>
      <c r="L139" s="327">
        <f t="shared" si="4"/>
        <v>19.08290054</v>
      </c>
      <c r="M139" s="321" t="str">
        <f t="shared" si="5"/>
        <v>freedumbs00</v>
      </c>
      <c r="N139" s="176">
        <f>IFERROR(__xludf.DUMMYFUNCTION("""COMPUTED_VALUE"""),10.0)</f>
        <v>10</v>
      </c>
      <c r="O139" s="243"/>
      <c r="P139" s="243"/>
      <c r="Q139" s="243"/>
      <c r="R139" s="243"/>
      <c r="S139" s="243"/>
      <c r="T139" s="243"/>
      <c r="U139" s="176"/>
      <c r="V139" s="176"/>
      <c r="W139" s="176"/>
      <c r="X139" s="176"/>
      <c r="Y139" s="176"/>
      <c r="Z139" s="176"/>
    </row>
    <row r="140">
      <c r="A140" s="226" t="s">
        <v>25</v>
      </c>
      <c r="B140" s="226" t="s">
        <v>5</v>
      </c>
      <c r="C140" s="250" t="s">
        <v>3171</v>
      </c>
      <c r="D140" s="268" t="s">
        <v>495</v>
      </c>
      <c r="E140" s="251">
        <v>44175.0</v>
      </c>
      <c r="F140" s="250" t="s">
        <v>496</v>
      </c>
      <c r="G140" s="171">
        <v>21.0</v>
      </c>
      <c r="H140" s="171">
        <v>60.0</v>
      </c>
      <c r="I140" s="171">
        <v>50.0</v>
      </c>
      <c r="J140" s="325">
        <f t="shared" si="2"/>
        <v>0.002230994692</v>
      </c>
      <c r="K140" s="326">
        <f t="shared" si="9"/>
        <v>1.6810545</v>
      </c>
      <c r="L140" s="327">
        <f t="shared" si="4"/>
        <v>19.08290054</v>
      </c>
      <c r="M140" s="321" t="str">
        <f t="shared" si="5"/>
        <v>freedumbs00</v>
      </c>
      <c r="N140" s="176">
        <f>IFERROR(__xludf.DUMMYFUNCTION("""COMPUTED_VALUE"""),11.0)</f>
        <v>11</v>
      </c>
      <c r="O140" s="243"/>
      <c r="P140" s="243"/>
      <c r="Q140" s="243"/>
      <c r="R140" s="243"/>
      <c r="S140" s="243"/>
      <c r="T140" s="243"/>
      <c r="U140" s="176"/>
      <c r="V140" s="176"/>
      <c r="W140" s="176"/>
      <c r="X140" s="176"/>
      <c r="Y140" s="176"/>
      <c r="Z140" s="176"/>
    </row>
    <row r="141">
      <c r="A141" s="226" t="s">
        <v>25</v>
      </c>
      <c r="B141" s="226" t="s">
        <v>10</v>
      </c>
      <c r="C141" s="250" t="s">
        <v>3235</v>
      </c>
      <c r="D141" s="268" t="s">
        <v>495</v>
      </c>
      <c r="E141" s="251">
        <v>44176.0</v>
      </c>
      <c r="F141" s="250" t="s">
        <v>496</v>
      </c>
      <c r="G141" s="171">
        <v>21.0</v>
      </c>
      <c r="H141" s="171">
        <v>40.0</v>
      </c>
      <c r="I141" s="171">
        <v>20.0</v>
      </c>
      <c r="J141" s="325">
        <f t="shared" si="2"/>
        <v>0.00155919041</v>
      </c>
      <c r="K141" s="326">
        <f t="shared" si="9"/>
        <v>1.174849974</v>
      </c>
      <c r="L141" s="327">
        <f t="shared" si="4"/>
        <v>19.08290054</v>
      </c>
      <c r="M141" s="321" t="str">
        <f t="shared" si="5"/>
        <v>freedumbs00</v>
      </c>
      <c r="N141" s="176">
        <f>IFERROR(__xludf.DUMMYFUNCTION("""COMPUTED_VALUE"""),12.0)</f>
        <v>12</v>
      </c>
      <c r="O141" s="243"/>
      <c r="P141" s="243"/>
      <c r="Q141" s="243"/>
      <c r="R141" s="243"/>
      <c r="S141" s="243"/>
      <c r="T141" s="243"/>
      <c r="U141" s="176"/>
      <c r="V141" s="176"/>
      <c r="W141" s="176"/>
      <c r="X141" s="176"/>
      <c r="Y141" s="176"/>
      <c r="Z141" s="176"/>
    </row>
    <row r="142">
      <c r="A142" s="226" t="s">
        <v>25</v>
      </c>
      <c r="B142" s="226" t="s">
        <v>10</v>
      </c>
      <c r="C142" s="250" t="s">
        <v>3176</v>
      </c>
      <c r="D142" s="268" t="s">
        <v>495</v>
      </c>
      <c r="E142" s="251">
        <v>44176.0</v>
      </c>
      <c r="F142" s="250" t="s">
        <v>496</v>
      </c>
      <c r="G142" s="171">
        <v>2.0</v>
      </c>
      <c r="H142" s="171">
        <v>45.0</v>
      </c>
      <c r="I142" s="171">
        <v>50.0</v>
      </c>
      <c r="J142" s="325">
        <f t="shared" si="2"/>
        <v>0.001334640041</v>
      </c>
      <c r="K142" s="326">
        <f t="shared" si="9"/>
        <v>1.005651271</v>
      </c>
      <c r="L142" s="327">
        <f t="shared" si="4"/>
        <v>19.08290054</v>
      </c>
      <c r="M142" s="321" t="str">
        <f t="shared" si="5"/>
        <v>freedumbs00</v>
      </c>
      <c r="N142" s="176">
        <f>IFERROR(__xludf.DUMMYFUNCTION("""COMPUTED_VALUE"""),13.0)</f>
        <v>13</v>
      </c>
      <c r="O142" s="243"/>
      <c r="P142" s="243"/>
      <c r="Q142" s="243"/>
      <c r="R142" s="243"/>
      <c r="S142" s="243"/>
      <c r="T142" s="243"/>
      <c r="U142" s="176"/>
      <c r="V142" s="176"/>
      <c r="W142" s="176"/>
      <c r="X142" s="176"/>
      <c r="Y142" s="176"/>
      <c r="Z142" s="176"/>
    </row>
    <row r="143">
      <c r="A143" s="226" t="s">
        <v>25</v>
      </c>
      <c r="B143" s="226" t="s">
        <v>5</v>
      </c>
      <c r="C143" s="250" t="s">
        <v>3177</v>
      </c>
      <c r="D143" s="268" t="s">
        <v>495</v>
      </c>
      <c r="E143" s="251">
        <v>44176.0</v>
      </c>
      <c r="F143" s="250" t="s">
        <v>496</v>
      </c>
      <c r="G143" s="171">
        <v>21.0</v>
      </c>
      <c r="H143" s="171">
        <v>60.0</v>
      </c>
      <c r="I143" s="171">
        <v>50.0</v>
      </c>
      <c r="J143" s="325">
        <f t="shared" si="2"/>
        <v>0.002230994692</v>
      </c>
      <c r="K143" s="326">
        <f t="shared" si="9"/>
        <v>1.6810545</v>
      </c>
      <c r="L143" s="327">
        <f t="shared" si="4"/>
        <v>19.08290054</v>
      </c>
      <c r="M143" s="321" t="str">
        <f t="shared" si="5"/>
        <v>freedumbs00</v>
      </c>
      <c r="N143" s="176">
        <f>IFERROR(__xludf.DUMMYFUNCTION("""COMPUTED_VALUE"""),14.0)</f>
        <v>14</v>
      </c>
      <c r="O143" s="243"/>
      <c r="P143" s="243"/>
      <c r="Q143" s="243"/>
      <c r="R143" s="243"/>
      <c r="S143" s="243"/>
      <c r="T143" s="243"/>
      <c r="U143" s="176"/>
      <c r="V143" s="176"/>
      <c r="W143" s="176"/>
      <c r="X143" s="176"/>
      <c r="Y143" s="176"/>
      <c r="Z143" s="176"/>
    </row>
    <row r="144">
      <c r="A144" s="226" t="s">
        <v>25</v>
      </c>
      <c r="B144" s="226" t="s">
        <v>519</v>
      </c>
      <c r="C144" s="250" t="s">
        <v>3236</v>
      </c>
      <c r="D144" s="268" t="s">
        <v>495</v>
      </c>
      <c r="E144" s="251">
        <v>44178.0</v>
      </c>
      <c r="F144" s="250" t="s">
        <v>496</v>
      </c>
      <c r="G144" s="171">
        <v>21.0</v>
      </c>
      <c r="H144" s="171">
        <v>100.0</v>
      </c>
      <c r="I144" s="171">
        <v>50.0</v>
      </c>
      <c r="J144" s="325">
        <f t="shared" si="2"/>
        <v>0.002709251922</v>
      </c>
      <c r="K144" s="326">
        <f t="shared" si="9"/>
        <v>2.041421323</v>
      </c>
      <c r="L144" s="327">
        <f t="shared" si="4"/>
        <v>19.08290054</v>
      </c>
      <c r="M144" s="321" t="str">
        <f t="shared" si="5"/>
        <v>freedumbs00</v>
      </c>
      <c r="N144" s="176">
        <f>IFERROR(__xludf.DUMMYFUNCTION("""COMPUTED_VALUE"""),15.0)</f>
        <v>15</v>
      </c>
      <c r="O144" s="243"/>
      <c r="P144" s="243"/>
      <c r="Q144" s="243"/>
      <c r="R144" s="243"/>
      <c r="S144" s="243"/>
      <c r="T144" s="243"/>
      <c r="U144" s="176"/>
      <c r="V144" s="176"/>
      <c r="W144" s="176"/>
      <c r="X144" s="176"/>
      <c r="Y144" s="176"/>
      <c r="Z144" s="176"/>
    </row>
    <row r="145">
      <c r="A145" s="226" t="s">
        <v>25</v>
      </c>
      <c r="B145" s="226" t="s">
        <v>590</v>
      </c>
      <c r="C145" s="250" t="s">
        <v>3180</v>
      </c>
      <c r="D145" s="268" t="s">
        <v>495</v>
      </c>
      <c r="E145" s="251">
        <v>44180.0</v>
      </c>
      <c r="F145" s="250" t="s">
        <v>496</v>
      </c>
      <c r="G145" s="171">
        <v>5.0</v>
      </c>
      <c r="H145" s="171">
        <v>45.0</v>
      </c>
      <c r="I145" s="171">
        <v>50.0</v>
      </c>
      <c r="J145" s="325">
        <f t="shared" si="2"/>
        <v>0.001447851861</v>
      </c>
      <c r="K145" s="326">
        <f t="shared" si="9"/>
        <v>1.090956377</v>
      </c>
      <c r="L145" s="327">
        <f t="shared" si="4"/>
        <v>19.08290054</v>
      </c>
      <c r="M145" s="321" t="str">
        <f t="shared" si="5"/>
        <v>freedumbs00</v>
      </c>
      <c r="N145" s="176">
        <f>IFERROR(__xludf.DUMMYFUNCTION("""COMPUTED_VALUE"""),16.0)</f>
        <v>16</v>
      </c>
      <c r="O145" s="243"/>
      <c r="P145" s="243"/>
      <c r="Q145" s="243"/>
      <c r="R145" s="243"/>
      <c r="S145" s="243"/>
      <c r="T145" s="243"/>
      <c r="U145" s="176"/>
      <c r="V145" s="176"/>
      <c r="W145" s="176"/>
      <c r="X145" s="176"/>
      <c r="Y145" s="176"/>
      <c r="Z145" s="176"/>
    </row>
    <row r="146">
      <c r="A146" s="226" t="s">
        <v>25</v>
      </c>
      <c r="B146" s="226" t="s">
        <v>590</v>
      </c>
      <c r="C146" s="250" t="s">
        <v>3237</v>
      </c>
      <c r="D146" s="268" t="s">
        <v>495</v>
      </c>
      <c r="E146" s="251">
        <v>44181.0</v>
      </c>
      <c r="F146" s="250" t="s">
        <v>496</v>
      </c>
      <c r="G146" s="171">
        <v>21.0</v>
      </c>
      <c r="H146" s="171">
        <v>90.0</v>
      </c>
      <c r="I146" s="171">
        <v>50.0</v>
      </c>
      <c r="J146" s="325">
        <f t="shared" si="2"/>
        <v>0.002589687615</v>
      </c>
      <c r="K146" s="326">
        <f t="shared" si="9"/>
        <v>1.951329618</v>
      </c>
      <c r="L146" s="327">
        <f t="shared" si="4"/>
        <v>19.08290054</v>
      </c>
      <c r="M146" s="321" t="str">
        <f t="shared" si="5"/>
        <v>freedumbs00</v>
      </c>
      <c r="N146" s="176">
        <f>IFERROR(__xludf.DUMMYFUNCTION("""COMPUTED_VALUE"""),17.0)</f>
        <v>17</v>
      </c>
      <c r="O146" s="243"/>
      <c r="P146" s="243"/>
      <c r="Q146" s="243"/>
      <c r="R146" s="243"/>
      <c r="S146" s="243"/>
      <c r="T146" s="243"/>
      <c r="U146" s="176"/>
      <c r="V146" s="176"/>
      <c r="W146" s="176"/>
      <c r="X146" s="176"/>
      <c r="Y146" s="176"/>
      <c r="Z146" s="176"/>
    </row>
    <row r="147">
      <c r="A147" s="226" t="s">
        <v>25</v>
      </c>
      <c r="B147" s="226" t="s">
        <v>10</v>
      </c>
      <c r="C147" s="250" t="s">
        <v>3238</v>
      </c>
      <c r="D147" s="268" t="s">
        <v>495</v>
      </c>
      <c r="E147" s="251">
        <v>44183.0</v>
      </c>
      <c r="F147" s="250" t="s">
        <v>496</v>
      </c>
      <c r="G147" s="171">
        <v>21.0</v>
      </c>
      <c r="H147" s="171">
        <v>80.0</v>
      </c>
      <c r="I147" s="171">
        <v>50.0</v>
      </c>
      <c r="J147" s="325">
        <f t="shared" si="2"/>
        <v>0.002470123307</v>
      </c>
      <c r="K147" s="326">
        <f t="shared" si="9"/>
        <v>1.861237912</v>
      </c>
      <c r="L147" s="327">
        <f t="shared" si="4"/>
        <v>19.08290054</v>
      </c>
      <c r="M147" s="321" t="str">
        <f t="shared" si="5"/>
        <v>freedumbs00</v>
      </c>
      <c r="N147" s="176">
        <f>IFERROR(__xludf.DUMMYFUNCTION("""COMPUTED_VALUE"""),18.0)</f>
        <v>18</v>
      </c>
      <c r="O147" s="243"/>
      <c r="P147" s="243"/>
      <c r="Q147" s="243"/>
      <c r="R147" s="243"/>
      <c r="S147" s="243"/>
      <c r="T147" s="243"/>
      <c r="U147" s="176"/>
      <c r="V147" s="176"/>
      <c r="W147" s="176"/>
      <c r="X147" s="176"/>
      <c r="Y147" s="176"/>
      <c r="Z147" s="176"/>
    </row>
    <row r="148">
      <c r="A148" s="226" t="s">
        <v>25</v>
      </c>
      <c r="B148" s="226" t="s">
        <v>10</v>
      </c>
      <c r="C148" s="250" t="s">
        <v>3187</v>
      </c>
      <c r="D148" s="268" t="s">
        <v>495</v>
      </c>
      <c r="E148" s="251">
        <v>44183.0</v>
      </c>
      <c r="F148" s="250" t="s">
        <v>496</v>
      </c>
      <c r="G148" s="171">
        <v>21.0</v>
      </c>
      <c r="H148" s="171">
        <v>60.0</v>
      </c>
      <c r="I148" s="171">
        <v>50.0</v>
      </c>
      <c r="J148" s="325">
        <f t="shared" si="2"/>
        <v>0.002230994692</v>
      </c>
      <c r="K148" s="326">
        <f t="shared" si="9"/>
        <v>1.6810545</v>
      </c>
      <c r="L148" s="327">
        <f t="shared" si="4"/>
        <v>19.08290054</v>
      </c>
      <c r="M148" s="321" t="str">
        <f t="shared" si="5"/>
        <v>freedumbs00</v>
      </c>
      <c r="N148" s="176">
        <f>IFERROR(__xludf.DUMMYFUNCTION("""COMPUTED_VALUE"""),19.0)</f>
        <v>19</v>
      </c>
      <c r="O148" s="243"/>
      <c r="P148" s="243"/>
      <c r="Q148" s="243"/>
      <c r="R148" s="243"/>
      <c r="S148" s="243"/>
      <c r="T148" s="243"/>
      <c r="U148" s="176"/>
      <c r="V148" s="176"/>
      <c r="W148" s="176"/>
      <c r="X148" s="176"/>
      <c r="Y148" s="176"/>
      <c r="Z148" s="176"/>
    </row>
    <row r="149">
      <c r="A149" s="226" t="s">
        <v>25</v>
      </c>
      <c r="B149" s="226" t="s">
        <v>10</v>
      </c>
      <c r="C149" s="250" t="s">
        <v>3188</v>
      </c>
      <c r="D149" s="268" t="s">
        <v>495</v>
      </c>
      <c r="E149" s="251">
        <v>44183.0</v>
      </c>
      <c r="F149" s="250" t="s">
        <v>496</v>
      </c>
      <c r="G149" s="171">
        <v>5.0</v>
      </c>
      <c r="H149" s="171">
        <v>60.0</v>
      </c>
      <c r="I149" s="171">
        <v>50.0</v>
      </c>
      <c r="J149" s="325">
        <f t="shared" si="2"/>
        <v>0.001627198322</v>
      </c>
      <c r="K149" s="326">
        <f t="shared" si="9"/>
        <v>1.226093936</v>
      </c>
      <c r="L149" s="327">
        <f t="shared" si="4"/>
        <v>19.08290054</v>
      </c>
      <c r="M149" s="321" t="str">
        <f t="shared" si="5"/>
        <v>freedumbs00</v>
      </c>
      <c r="N149" s="176">
        <f>IFERROR(__xludf.DUMMYFUNCTION("""COMPUTED_VALUE"""),20.0)</f>
        <v>20</v>
      </c>
      <c r="O149" s="243"/>
      <c r="P149" s="243"/>
      <c r="Q149" s="243"/>
      <c r="R149" s="243"/>
      <c r="S149" s="243"/>
      <c r="T149" s="243"/>
      <c r="U149" s="176"/>
      <c r="V149" s="176"/>
      <c r="W149" s="176"/>
      <c r="X149" s="176"/>
      <c r="Y149" s="176"/>
      <c r="Z149" s="176"/>
    </row>
    <row r="150">
      <c r="A150" s="226" t="s">
        <v>25</v>
      </c>
      <c r="B150" s="226" t="s">
        <v>18</v>
      </c>
      <c r="C150" s="250" t="s">
        <v>3190</v>
      </c>
      <c r="D150" s="268" t="s">
        <v>495</v>
      </c>
      <c r="E150" s="251">
        <v>44183.0</v>
      </c>
      <c r="F150" s="250" t="s">
        <v>496</v>
      </c>
      <c r="G150" s="171">
        <v>21.0</v>
      </c>
      <c r="H150" s="171">
        <v>45.0</v>
      </c>
      <c r="I150" s="171">
        <v>50.0</v>
      </c>
      <c r="J150" s="325">
        <f t="shared" si="2"/>
        <v>0.00205164823</v>
      </c>
      <c r="K150" s="326">
        <f t="shared" si="9"/>
        <v>1.545916941</v>
      </c>
      <c r="L150" s="327">
        <f t="shared" si="4"/>
        <v>19.08290054</v>
      </c>
      <c r="M150" s="321" t="str">
        <f t="shared" si="5"/>
        <v>freedumbs00</v>
      </c>
      <c r="N150" s="176">
        <f>IFERROR(__xludf.DUMMYFUNCTION("""COMPUTED_VALUE"""),21.0)</f>
        <v>21</v>
      </c>
      <c r="O150" s="243"/>
      <c r="P150" s="243"/>
      <c r="Q150" s="243"/>
      <c r="R150" s="243"/>
      <c r="S150" s="243"/>
      <c r="T150" s="243"/>
      <c r="U150" s="176"/>
      <c r="V150" s="176"/>
      <c r="W150" s="176"/>
      <c r="X150" s="176"/>
      <c r="Y150" s="176"/>
      <c r="Z150" s="176"/>
    </row>
    <row r="151">
      <c r="A151" s="226" t="s">
        <v>25</v>
      </c>
      <c r="B151" s="226" t="s">
        <v>868</v>
      </c>
      <c r="C151" s="250" t="s">
        <v>3191</v>
      </c>
      <c r="D151" s="268" t="s">
        <v>495</v>
      </c>
      <c r="E151" s="251">
        <v>44183.0</v>
      </c>
      <c r="F151" s="250" t="s">
        <v>496</v>
      </c>
      <c r="G151" s="171">
        <v>5.0</v>
      </c>
      <c r="H151" s="171">
        <v>45.0</v>
      </c>
      <c r="I151" s="171">
        <v>50.0</v>
      </c>
      <c r="J151" s="325">
        <f t="shared" si="2"/>
        <v>0.001447851861</v>
      </c>
      <c r="K151" s="326">
        <f t="shared" si="9"/>
        <v>1.090956377</v>
      </c>
      <c r="L151" s="327">
        <f t="shared" si="4"/>
        <v>19.08290054</v>
      </c>
      <c r="M151" s="321" t="str">
        <f t="shared" si="5"/>
        <v>freedumbs00</v>
      </c>
      <c r="N151" s="176">
        <f>IFERROR(__xludf.DUMMYFUNCTION("""COMPUTED_VALUE"""),22.0)</f>
        <v>22</v>
      </c>
      <c r="O151" s="243"/>
      <c r="P151" s="243"/>
      <c r="Q151" s="243"/>
      <c r="R151" s="243"/>
      <c r="S151" s="243"/>
      <c r="T151" s="243"/>
      <c r="U151" s="176"/>
      <c r="V151" s="176"/>
      <c r="W151" s="176"/>
      <c r="X151" s="176"/>
      <c r="Y151" s="176"/>
      <c r="Z151" s="176"/>
    </row>
    <row r="152">
      <c r="A152" s="240" t="s">
        <v>25</v>
      </c>
      <c r="B152" s="343" t="s">
        <v>534</v>
      </c>
      <c r="C152" s="221" t="s">
        <v>2008</v>
      </c>
      <c r="D152" s="343"/>
      <c r="E152" s="344"/>
      <c r="F152" s="343"/>
      <c r="G152" s="343"/>
      <c r="H152" s="253"/>
      <c r="I152" s="253"/>
      <c r="J152" s="172">
        <f t="shared" si="2"/>
        <v>0</v>
      </c>
      <c r="K152" s="299">
        <f>38.165*-0.5</f>
        <v>-19.0825</v>
      </c>
      <c r="L152" s="327">
        <f t="shared" si="4"/>
        <v>19.08290054</v>
      </c>
      <c r="M152" s="271" t="str">
        <f t="shared" si="5"/>
        <v>freedumbs00</v>
      </c>
      <c r="N152" s="336">
        <f>IFERROR(__xludf.DUMMYFUNCTION("""COMPUTED_VALUE"""),23.0)</f>
        <v>23</v>
      </c>
      <c r="O152" s="343"/>
      <c r="P152" s="343"/>
      <c r="Q152" s="343"/>
      <c r="R152" s="336">
        <v>36.89669088595067</v>
      </c>
      <c r="S152" s="343"/>
      <c r="T152" s="343"/>
      <c r="U152" s="343"/>
      <c r="V152" s="343"/>
      <c r="W152" s="343"/>
      <c r="X152" s="343"/>
      <c r="Y152" s="226"/>
      <c r="Z152" s="226"/>
    </row>
    <row r="153">
      <c r="A153" s="226" t="s">
        <v>5</v>
      </c>
      <c r="B153" s="226" t="s">
        <v>10</v>
      </c>
      <c r="C153" s="250" t="s">
        <v>3239</v>
      </c>
      <c r="D153" s="268" t="s">
        <v>495</v>
      </c>
      <c r="E153" s="361">
        <v>44173.0</v>
      </c>
      <c r="F153" s="250" t="s">
        <v>499</v>
      </c>
      <c r="G153" s="171">
        <v>4.0</v>
      </c>
      <c r="H153" s="171">
        <v>5.0</v>
      </c>
      <c r="I153" s="171">
        <v>10.0</v>
      </c>
      <c r="J153" s="325">
        <f t="shared" si="2"/>
        <v>0.0003549564684</v>
      </c>
      <c r="K153" s="326">
        <f t="shared" ref="K153:K182" si="10">J153*$J$1</f>
        <v>0.2674596989</v>
      </c>
      <c r="L153" s="327">
        <f t="shared" si="4"/>
        <v>18.44150714</v>
      </c>
      <c r="M153" s="321" t="str">
        <f t="shared" si="5"/>
        <v>cranders71</v>
      </c>
      <c r="N153" s="176">
        <f>IFERROR(__xludf.DUMMYFUNCTION("""COMPUTED_VALUE"""),1.0)</f>
        <v>1</v>
      </c>
      <c r="O153" s="243"/>
      <c r="P153" s="243"/>
      <c r="Q153" s="243"/>
      <c r="R153" s="243"/>
      <c r="S153" s="243"/>
      <c r="T153" s="243"/>
      <c r="U153" s="176"/>
      <c r="V153" s="176"/>
      <c r="W153" s="176"/>
      <c r="X153" s="176"/>
      <c r="Y153" s="176"/>
      <c r="Z153" s="176"/>
    </row>
    <row r="154">
      <c r="A154" s="226" t="s">
        <v>5</v>
      </c>
      <c r="B154" s="226" t="s">
        <v>590</v>
      </c>
      <c r="C154" s="250" t="s">
        <v>3166</v>
      </c>
      <c r="D154" s="268" t="s">
        <v>495</v>
      </c>
      <c r="E154" s="361">
        <v>44173.0</v>
      </c>
      <c r="F154" s="250" t="s">
        <v>496</v>
      </c>
      <c r="G154" s="171">
        <v>21.0</v>
      </c>
      <c r="H154" s="171">
        <v>45.0</v>
      </c>
      <c r="I154" s="171">
        <v>50.0</v>
      </c>
      <c r="J154" s="325">
        <f t="shared" si="2"/>
        <v>0.00205164823</v>
      </c>
      <c r="K154" s="326">
        <f t="shared" si="10"/>
        <v>1.545916941</v>
      </c>
      <c r="L154" s="327">
        <f t="shared" si="4"/>
        <v>18.44150714</v>
      </c>
      <c r="M154" s="321" t="str">
        <f t="shared" si="5"/>
        <v>cranders71</v>
      </c>
      <c r="N154" s="176">
        <f>IFERROR(__xludf.DUMMYFUNCTION("""COMPUTED_VALUE"""),2.0)</f>
        <v>2</v>
      </c>
      <c r="O154" s="243"/>
      <c r="P154" s="243"/>
      <c r="Q154" s="243"/>
      <c r="R154" s="243"/>
      <c r="S154" s="243"/>
      <c r="T154" s="243"/>
      <c r="U154" s="176"/>
      <c r="V154" s="176"/>
      <c r="W154" s="176"/>
      <c r="X154" s="176"/>
      <c r="Y154" s="176"/>
      <c r="Z154" s="176"/>
    </row>
    <row r="155">
      <c r="A155" s="226" t="s">
        <v>5</v>
      </c>
      <c r="B155" s="226" t="s">
        <v>18</v>
      </c>
      <c r="C155" s="250" t="s">
        <v>3169</v>
      </c>
      <c r="D155" s="268" t="s">
        <v>495</v>
      </c>
      <c r="E155" s="361">
        <v>44174.0</v>
      </c>
      <c r="F155" s="250" t="s">
        <v>496</v>
      </c>
      <c r="G155" s="171">
        <v>5.0</v>
      </c>
      <c r="H155" s="171">
        <v>45.0</v>
      </c>
      <c r="I155" s="171">
        <v>50.0</v>
      </c>
      <c r="J155" s="325">
        <f t="shared" si="2"/>
        <v>0.001447851861</v>
      </c>
      <c r="K155" s="326">
        <f t="shared" si="10"/>
        <v>1.090956377</v>
      </c>
      <c r="L155" s="327">
        <f t="shared" si="4"/>
        <v>18.44150714</v>
      </c>
      <c r="M155" s="321" t="str">
        <f t="shared" si="5"/>
        <v>cranders71</v>
      </c>
      <c r="N155" s="176">
        <f>IFERROR(__xludf.DUMMYFUNCTION("""COMPUTED_VALUE"""),3.0)</f>
        <v>3</v>
      </c>
      <c r="O155" s="243"/>
      <c r="P155" s="243"/>
      <c r="Q155" s="243"/>
      <c r="R155" s="243"/>
      <c r="S155" s="243"/>
      <c r="T155" s="243"/>
      <c r="U155" s="176"/>
      <c r="V155" s="176"/>
      <c r="W155" s="176"/>
      <c r="X155" s="176"/>
      <c r="Y155" s="176"/>
      <c r="Z155" s="176"/>
    </row>
    <row r="156">
      <c r="A156" s="226" t="s">
        <v>5</v>
      </c>
      <c r="B156" s="226" t="s">
        <v>5</v>
      </c>
      <c r="C156" s="250" t="s">
        <v>3170</v>
      </c>
      <c r="D156" s="268" t="s">
        <v>495</v>
      </c>
      <c r="E156" s="251">
        <v>44175.0</v>
      </c>
      <c r="F156" s="250" t="s">
        <v>496</v>
      </c>
      <c r="G156" s="171">
        <v>5.0</v>
      </c>
      <c r="H156" s="171">
        <v>45.0</v>
      </c>
      <c r="I156" s="171">
        <v>50.0</v>
      </c>
      <c r="J156" s="325">
        <f t="shared" si="2"/>
        <v>0.001447851861</v>
      </c>
      <c r="K156" s="326">
        <f t="shared" si="10"/>
        <v>1.090956377</v>
      </c>
      <c r="L156" s="327">
        <f t="shared" si="4"/>
        <v>18.44150714</v>
      </c>
      <c r="M156" s="321" t="str">
        <f t="shared" si="5"/>
        <v>cranders71</v>
      </c>
      <c r="N156" s="176">
        <f>IFERROR(__xludf.DUMMYFUNCTION("""COMPUTED_VALUE"""),4.0)</f>
        <v>4</v>
      </c>
      <c r="O156" s="243"/>
      <c r="P156" s="243"/>
      <c r="Q156" s="243"/>
      <c r="R156" s="243"/>
      <c r="S156" s="243"/>
      <c r="T156" s="243"/>
      <c r="U156" s="176"/>
      <c r="V156" s="176"/>
      <c r="W156" s="176"/>
      <c r="X156" s="176"/>
      <c r="Y156" s="176"/>
      <c r="Z156" s="176"/>
    </row>
    <row r="157">
      <c r="A157" s="226" t="s">
        <v>5</v>
      </c>
      <c r="B157" s="226" t="s">
        <v>5</v>
      </c>
      <c r="C157" s="250" t="s">
        <v>3171</v>
      </c>
      <c r="D157" s="268" t="s">
        <v>495</v>
      </c>
      <c r="E157" s="251">
        <v>44175.0</v>
      </c>
      <c r="F157" s="250" t="s">
        <v>496</v>
      </c>
      <c r="G157" s="171">
        <v>21.0</v>
      </c>
      <c r="H157" s="171">
        <v>45.0</v>
      </c>
      <c r="I157" s="171">
        <v>50.0</v>
      </c>
      <c r="J157" s="325">
        <f t="shared" si="2"/>
        <v>0.00205164823</v>
      </c>
      <c r="K157" s="326">
        <f t="shared" si="10"/>
        <v>1.545916941</v>
      </c>
      <c r="L157" s="327">
        <f t="shared" si="4"/>
        <v>18.44150714</v>
      </c>
      <c r="M157" s="321" t="str">
        <f t="shared" si="5"/>
        <v>cranders71</v>
      </c>
      <c r="N157" s="176">
        <f>IFERROR(__xludf.DUMMYFUNCTION("""COMPUTED_VALUE"""),5.0)</f>
        <v>5</v>
      </c>
      <c r="O157" s="243"/>
      <c r="P157" s="243"/>
      <c r="Q157" s="243"/>
      <c r="R157" s="243"/>
      <c r="S157" s="243"/>
      <c r="T157" s="243"/>
      <c r="U157" s="176"/>
      <c r="V157" s="176"/>
      <c r="W157" s="176"/>
      <c r="X157" s="176"/>
      <c r="Y157" s="176"/>
      <c r="Z157" s="176"/>
    </row>
    <row r="158">
      <c r="A158" s="226" t="s">
        <v>5</v>
      </c>
      <c r="B158" s="226" t="s">
        <v>10</v>
      </c>
      <c r="C158" s="250" t="s">
        <v>3240</v>
      </c>
      <c r="D158" s="268" t="s">
        <v>495</v>
      </c>
      <c r="E158" s="251">
        <v>44176.0</v>
      </c>
      <c r="F158" s="250" t="s">
        <v>496</v>
      </c>
      <c r="G158" s="171">
        <v>21.0</v>
      </c>
      <c r="H158" s="171">
        <v>120.0</v>
      </c>
      <c r="I158" s="171">
        <v>100.0</v>
      </c>
      <c r="J158" s="325">
        <f t="shared" si="2"/>
        <v>0.003669506648</v>
      </c>
      <c r="K158" s="326">
        <f t="shared" si="10"/>
        <v>2.764973259</v>
      </c>
      <c r="L158" s="327">
        <f t="shared" si="4"/>
        <v>18.44150714</v>
      </c>
      <c r="M158" s="321" t="str">
        <f t="shared" si="5"/>
        <v>cranders71</v>
      </c>
      <c r="N158" s="176">
        <f>IFERROR(__xludf.DUMMYFUNCTION("""COMPUTED_VALUE"""),6.0)</f>
        <v>6</v>
      </c>
      <c r="O158" s="243"/>
      <c r="P158" s="243"/>
      <c r="Q158" s="243"/>
      <c r="R158" s="243"/>
      <c r="S158" s="243"/>
      <c r="T158" s="243"/>
      <c r="U158" s="176"/>
      <c r="V158" s="176"/>
      <c r="W158" s="176"/>
      <c r="X158" s="176"/>
      <c r="Y158" s="176"/>
      <c r="Z158" s="176"/>
    </row>
    <row r="159">
      <c r="A159" s="226" t="s">
        <v>5</v>
      </c>
      <c r="B159" s="226" t="s">
        <v>10</v>
      </c>
      <c r="C159" s="250" t="s">
        <v>3176</v>
      </c>
      <c r="D159" s="268" t="s">
        <v>495</v>
      </c>
      <c r="E159" s="251">
        <v>44176.0</v>
      </c>
      <c r="F159" s="250" t="s">
        <v>496</v>
      </c>
      <c r="G159" s="171">
        <v>2.0</v>
      </c>
      <c r="H159" s="171">
        <v>45.0</v>
      </c>
      <c r="I159" s="171">
        <v>50.0</v>
      </c>
      <c r="J159" s="325">
        <f t="shared" si="2"/>
        <v>0.001334640041</v>
      </c>
      <c r="K159" s="326">
        <f t="shared" si="10"/>
        <v>1.005651271</v>
      </c>
      <c r="L159" s="327">
        <f t="shared" si="4"/>
        <v>18.44150714</v>
      </c>
      <c r="M159" s="321" t="str">
        <f t="shared" si="5"/>
        <v>cranders71</v>
      </c>
      <c r="N159" s="176">
        <f>IFERROR(__xludf.DUMMYFUNCTION("""COMPUTED_VALUE"""),7.0)</f>
        <v>7</v>
      </c>
      <c r="O159" s="243"/>
      <c r="P159" s="243"/>
      <c r="Q159" s="243"/>
      <c r="R159" s="243"/>
      <c r="S159" s="243"/>
      <c r="T159" s="243"/>
      <c r="U159" s="176"/>
      <c r="V159" s="176"/>
      <c r="W159" s="176"/>
      <c r="X159" s="176"/>
      <c r="Y159" s="176"/>
      <c r="Z159" s="176"/>
    </row>
    <row r="160">
      <c r="A160" s="226" t="s">
        <v>5</v>
      </c>
      <c r="B160" s="226" t="s">
        <v>5</v>
      </c>
      <c r="C160" s="250" t="s">
        <v>3177</v>
      </c>
      <c r="D160" s="268" t="s">
        <v>495</v>
      </c>
      <c r="E160" s="251">
        <v>44176.0</v>
      </c>
      <c r="F160" s="250" t="s">
        <v>496</v>
      </c>
      <c r="G160" s="171">
        <v>21.0</v>
      </c>
      <c r="H160" s="171">
        <v>45.0</v>
      </c>
      <c r="I160" s="171">
        <v>50.0</v>
      </c>
      <c r="J160" s="325">
        <f t="shared" si="2"/>
        <v>0.00205164823</v>
      </c>
      <c r="K160" s="326">
        <f t="shared" si="10"/>
        <v>1.545916941</v>
      </c>
      <c r="L160" s="327">
        <f t="shared" si="4"/>
        <v>18.44150714</v>
      </c>
      <c r="M160" s="321" t="str">
        <f t="shared" si="5"/>
        <v>cranders71</v>
      </c>
      <c r="N160" s="176">
        <f>IFERROR(__xludf.DUMMYFUNCTION("""COMPUTED_VALUE"""),8.0)</f>
        <v>8</v>
      </c>
      <c r="O160" s="243"/>
      <c r="P160" s="243"/>
      <c r="Q160" s="243"/>
      <c r="R160" s="243"/>
      <c r="S160" s="243"/>
      <c r="T160" s="243"/>
      <c r="U160" s="176"/>
      <c r="V160" s="176"/>
      <c r="W160" s="176"/>
      <c r="X160" s="176"/>
      <c r="Y160" s="176"/>
      <c r="Z160" s="176"/>
    </row>
    <row r="161">
      <c r="A161" s="226" t="s">
        <v>5</v>
      </c>
      <c r="B161" s="226" t="s">
        <v>5</v>
      </c>
      <c r="C161" s="250" t="s">
        <v>3178</v>
      </c>
      <c r="D161" s="268" t="s">
        <v>495</v>
      </c>
      <c r="E161" s="251">
        <v>44176.0</v>
      </c>
      <c r="F161" s="250" t="s">
        <v>496</v>
      </c>
      <c r="G161" s="171">
        <v>21.0</v>
      </c>
      <c r="H161" s="171">
        <v>45.0</v>
      </c>
      <c r="I161" s="171">
        <v>50.0</v>
      </c>
      <c r="J161" s="325">
        <f t="shared" si="2"/>
        <v>0.00205164823</v>
      </c>
      <c r="K161" s="326">
        <f t="shared" si="10"/>
        <v>1.545916941</v>
      </c>
      <c r="L161" s="327">
        <f t="shared" si="4"/>
        <v>18.44150714</v>
      </c>
      <c r="M161" s="321" t="str">
        <f t="shared" si="5"/>
        <v>cranders71</v>
      </c>
      <c r="N161" s="176">
        <f>IFERROR(__xludf.DUMMYFUNCTION("""COMPUTED_VALUE"""),9.0)</f>
        <v>9</v>
      </c>
      <c r="O161" s="243"/>
      <c r="P161" s="243"/>
      <c r="Q161" s="243"/>
      <c r="R161" s="243"/>
      <c r="S161" s="243"/>
      <c r="T161" s="243"/>
      <c r="U161" s="176"/>
      <c r="V161" s="176"/>
      <c r="W161" s="176"/>
      <c r="X161" s="176"/>
      <c r="Y161" s="176"/>
      <c r="Z161" s="176"/>
    </row>
    <row r="162">
      <c r="A162" s="226" t="s">
        <v>5</v>
      </c>
      <c r="B162" s="226" t="s">
        <v>590</v>
      </c>
      <c r="C162" s="250" t="s">
        <v>3180</v>
      </c>
      <c r="D162" s="268" t="s">
        <v>495</v>
      </c>
      <c r="E162" s="251">
        <v>44180.0</v>
      </c>
      <c r="F162" s="250" t="s">
        <v>496</v>
      </c>
      <c r="G162" s="171">
        <v>5.0</v>
      </c>
      <c r="H162" s="171">
        <v>45.0</v>
      </c>
      <c r="I162" s="171">
        <v>50.0</v>
      </c>
      <c r="J162" s="325">
        <f t="shared" si="2"/>
        <v>0.001447851861</v>
      </c>
      <c r="K162" s="326">
        <f t="shared" si="10"/>
        <v>1.090956377</v>
      </c>
      <c r="L162" s="327">
        <f t="shared" si="4"/>
        <v>18.44150714</v>
      </c>
      <c r="M162" s="321" t="str">
        <f t="shared" si="5"/>
        <v>cranders71</v>
      </c>
      <c r="N162" s="176">
        <f>IFERROR(__xludf.DUMMYFUNCTION("""COMPUTED_VALUE"""),10.0)</f>
        <v>10</v>
      </c>
      <c r="O162" s="243"/>
      <c r="P162" s="243"/>
      <c r="Q162" s="243"/>
      <c r="R162" s="243"/>
      <c r="S162" s="243"/>
      <c r="T162" s="243"/>
      <c r="U162" s="176"/>
      <c r="V162" s="176"/>
      <c r="W162" s="176"/>
      <c r="X162" s="176"/>
      <c r="Y162" s="176"/>
      <c r="Z162" s="176"/>
    </row>
    <row r="163">
      <c r="A163" s="226" t="s">
        <v>5</v>
      </c>
      <c r="B163" s="226" t="s">
        <v>10</v>
      </c>
      <c r="C163" s="250" t="s">
        <v>3241</v>
      </c>
      <c r="D163" s="268" t="s">
        <v>495</v>
      </c>
      <c r="E163" s="251">
        <v>44183.0</v>
      </c>
      <c r="F163" s="250" t="s">
        <v>496</v>
      </c>
      <c r="G163" s="171">
        <v>21.0</v>
      </c>
      <c r="H163" s="171">
        <v>120.0</v>
      </c>
      <c r="I163" s="171">
        <v>100.0</v>
      </c>
      <c r="J163" s="325">
        <f t="shared" si="2"/>
        <v>0.003669506648</v>
      </c>
      <c r="K163" s="326">
        <f t="shared" si="10"/>
        <v>2.764973259</v>
      </c>
      <c r="L163" s="327">
        <f t="shared" si="4"/>
        <v>18.44150714</v>
      </c>
      <c r="M163" s="321" t="str">
        <f t="shared" si="5"/>
        <v>cranders71</v>
      </c>
      <c r="N163" s="176">
        <f>IFERROR(__xludf.DUMMYFUNCTION("""COMPUTED_VALUE"""),11.0)</f>
        <v>11</v>
      </c>
      <c r="O163" s="243"/>
      <c r="P163" s="243"/>
      <c r="Q163" s="243"/>
      <c r="R163" s="243"/>
      <c r="S163" s="243"/>
      <c r="T163" s="243"/>
      <c r="U163" s="176"/>
      <c r="V163" s="176"/>
      <c r="W163" s="176"/>
      <c r="X163" s="176"/>
      <c r="Y163" s="176"/>
      <c r="Z163" s="176"/>
    </row>
    <row r="164">
      <c r="A164" s="226" t="s">
        <v>5</v>
      </c>
      <c r="B164" s="226" t="s">
        <v>10</v>
      </c>
      <c r="C164" s="250" t="s">
        <v>3188</v>
      </c>
      <c r="D164" s="268" t="s">
        <v>495</v>
      </c>
      <c r="E164" s="251">
        <v>44183.0</v>
      </c>
      <c r="F164" s="250" t="s">
        <v>496</v>
      </c>
      <c r="G164" s="171">
        <v>5.0</v>
      </c>
      <c r="H164" s="171">
        <v>45.0</v>
      </c>
      <c r="I164" s="171">
        <v>50.0</v>
      </c>
      <c r="J164" s="325">
        <f t="shared" si="2"/>
        <v>0.001447851861</v>
      </c>
      <c r="K164" s="326">
        <f t="shared" si="10"/>
        <v>1.090956377</v>
      </c>
      <c r="L164" s="327">
        <f t="shared" si="4"/>
        <v>18.44150714</v>
      </c>
      <c r="M164" s="321" t="str">
        <f t="shared" si="5"/>
        <v>cranders71</v>
      </c>
      <c r="N164" s="176">
        <f>IFERROR(__xludf.DUMMYFUNCTION("""COMPUTED_VALUE"""),12.0)</f>
        <v>12</v>
      </c>
      <c r="O164" s="243"/>
      <c r="P164" s="243"/>
      <c r="Q164" s="243"/>
      <c r="R164" s="243"/>
      <c r="S164" s="243"/>
      <c r="T164" s="243"/>
      <c r="U164" s="176"/>
      <c r="V164" s="176"/>
      <c r="W164" s="176"/>
      <c r="X164" s="176"/>
      <c r="Y164" s="176"/>
      <c r="Z164" s="176"/>
    </row>
    <row r="165">
      <c r="A165" s="226" t="s">
        <v>5</v>
      </c>
      <c r="B165" s="226" t="s">
        <v>18</v>
      </c>
      <c r="C165" s="250" t="s">
        <v>3189</v>
      </c>
      <c r="D165" s="268" t="s">
        <v>495</v>
      </c>
      <c r="E165" s="251">
        <v>44183.0</v>
      </c>
      <c r="F165" s="250" t="s">
        <v>496</v>
      </c>
      <c r="G165" s="171">
        <v>5.0</v>
      </c>
      <c r="H165" s="171">
        <v>45.0</v>
      </c>
      <c r="I165" s="171">
        <v>50.0</v>
      </c>
      <c r="J165" s="325">
        <f t="shared" si="2"/>
        <v>0.001447851861</v>
      </c>
      <c r="K165" s="326">
        <f t="shared" si="10"/>
        <v>1.090956377</v>
      </c>
      <c r="L165" s="327">
        <f t="shared" si="4"/>
        <v>18.44150714</v>
      </c>
      <c r="M165" s="321" t="str">
        <f t="shared" si="5"/>
        <v>cranders71</v>
      </c>
      <c r="N165" s="176">
        <f>IFERROR(__xludf.DUMMYFUNCTION("""COMPUTED_VALUE"""),13.0)</f>
        <v>13</v>
      </c>
      <c r="O165" s="243"/>
      <c r="P165" s="243"/>
      <c r="Q165" s="243"/>
      <c r="R165" s="243"/>
      <c r="S165" s="243"/>
      <c r="T165" s="243"/>
      <c r="U165" s="176"/>
      <c r="V165" s="176"/>
      <c r="W165" s="176"/>
      <c r="X165" s="176"/>
      <c r="Y165" s="176"/>
      <c r="Z165" s="176"/>
    </row>
    <row r="166">
      <c r="A166" s="226" t="s">
        <v>15</v>
      </c>
      <c r="B166" s="226" t="s">
        <v>867</v>
      </c>
      <c r="C166" s="250" t="s">
        <v>3242</v>
      </c>
      <c r="D166" s="268" t="s">
        <v>495</v>
      </c>
      <c r="E166" s="361">
        <v>44173.0</v>
      </c>
      <c r="F166" s="250" t="s">
        <v>496</v>
      </c>
      <c r="G166" s="171">
        <v>21.0</v>
      </c>
      <c r="H166" s="171">
        <v>400.0</v>
      </c>
      <c r="I166" s="171">
        <v>50.0</v>
      </c>
      <c r="J166" s="325">
        <f t="shared" si="2"/>
        <v>0.006296181152</v>
      </c>
      <c r="K166" s="326">
        <f t="shared" si="10"/>
        <v>4.744172498</v>
      </c>
      <c r="L166" s="327">
        <f t="shared" si="4"/>
        <v>15.99163854</v>
      </c>
      <c r="M166" s="321" t="str">
        <f t="shared" si="5"/>
        <v>juankbell</v>
      </c>
      <c r="N166" s="176">
        <f>IFERROR(__xludf.DUMMYFUNCTION("""COMPUTED_VALUE"""),1.0)</f>
        <v>1</v>
      </c>
      <c r="O166" s="243"/>
      <c r="P166" s="243"/>
      <c r="Q166" s="243"/>
      <c r="R166" s="243"/>
      <c r="S166" s="243"/>
      <c r="T166" s="243"/>
      <c r="U166" s="176"/>
      <c r="V166" s="176"/>
      <c r="W166" s="176"/>
      <c r="X166" s="176"/>
      <c r="Y166" s="176"/>
      <c r="Z166" s="176"/>
    </row>
    <row r="167">
      <c r="A167" s="226" t="s">
        <v>15</v>
      </c>
      <c r="B167" s="226" t="s">
        <v>18</v>
      </c>
      <c r="C167" s="250" t="s">
        <v>3168</v>
      </c>
      <c r="D167" s="268" t="s">
        <v>495</v>
      </c>
      <c r="E167" s="361">
        <v>44174.0</v>
      </c>
      <c r="F167" s="250" t="s">
        <v>496</v>
      </c>
      <c r="G167" s="171">
        <v>5.0</v>
      </c>
      <c r="H167" s="171">
        <v>60.0</v>
      </c>
      <c r="I167" s="171">
        <v>50.0</v>
      </c>
      <c r="J167" s="325">
        <f t="shared" si="2"/>
        <v>0.001627198322</v>
      </c>
      <c r="K167" s="326">
        <f t="shared" si="10"/>
        <v>1.226093936</v>
      </c>
      <c r="L167" s="327">
        <f t="shared" si="4"/>
        <v>15.99163854</v>
      </c>
      <c r="M167" s="321" t="str">
        <f t="shared" si="5"/>
        <v>juankbell</v>
      </c>
      <c r="N167" s="176">
        <f>IFERROR(__xludf.DUMMYFUNCTION("""COMPUTED_VALUE"""),2.0)</f>
        <v>2</v>
      </c>
      <c r="O167" s="243"/>
      <c r="P167" s="243"/>
      <c r="Q167" s="243"/>
      <c r="R167" s="243"/>
      <c r="S167" s="243"/>
      <c r="T167" s="243"/>
      <c r="U167" s="176"/>
      <c r="V167" s="176"/>
      <c r="W167" s="176"/>
      <c r="X167" s="176"/>
      <c r="Y167" s="176"/>
      <c r="Z167" s="176"/>
    </row>
    <row r="168">
      <c r="A168" s="226" t="s">
        <v>15</v>
      </c>
      <c r="B168" s="226" t="s">
        <v>18</v>
      </c>
      <c r="C168" s="250" t="s">
        <v>3243</v>
      </c>
      <c r="D168" s="268" t="s">
        <v>495</v>
      </c>
      <c r="E168" s="361">
        <v>44174.0</v>
      </c>
      <c r="F168" s="250" t="s">
        <v>496</v>
      </c>
      <c r="G168" s="171">
        <v>21.0</v>
      </c>
      <c r="H168" s="171">
        <v>100.0</v>
      </c>
      <c r="I168" s="171">
        <v>100.0</v>
      </c>
      <c r="J168" s="325">
        <f t="shared" si="2"/>
        <v>0.003430378033</v>
      </c>
      <c r="K168" s="326">
        <f t="shared" si="10"/>
        <v>2.584789848</v>
      </c>
      <c r="L168" s="327">
        <f t="shared" si="4"/>
        <v>15.99163854</v>
      </c>
      <c r="M168" s="321" t="str">
        <f t="shared" si="5"/>
        <v>juankbell</v>
      </c>
      <c r="N168" s="176">
        <f>IFERROR(__xludf.DUMMYFUNCTION("""COMPUTED_VALUE"""),3.0)</f>
        <v>3</v>
      </c>
      <c r="O168" s="243"/>
      <c r="P168" s="243"/>
      <c r="Q168" s="243"/>
      <c r="R168" s="243"/>
      <c r="S168" s="243"/>
      <c r="T168" s="243"/>
      <c r="U168" s="176"/>
      <c r="V168" s="176"/>
      <c r="W168" s="176"/>
      <c r="X168" s="176"/>
      <c r="Y168" s="176"/>
      <c r="Z168" s="176"/>
    </row>
    <row r="169">
      <c r="A169" s="226" t="s">
        <v>15</v>
      </c>
      <c r="B169" s="226" t="s">
        <v>18</v>
      </c>
      <c r="C169" s="250" t="s">
        <v>3169</v>
      </c>
      <c r="D169" s="268" t="s">
        <v>495</v>
      </c>
      <c r="E169" s="361">
        <v>44174.0</v>
      </c>
      <c r="F169" s="250" t="s">
        <v>496</v>
      </c>
      <c r="G169" s="171">
        <v>5.0</v>
      </c>
      <c r="H169" s="171">
        <v>60.0</v>
      </c>
      <c r="I169" s="171">
        <v>50.0</v>
      </c>
      <c r="J169" s="325">
        <f t="shared" si="2"/>
        <v>0.001627198322</v>
      </c>
      <c r="K169" s="326">
        <f t="shared" si="10"/>
        <v>1.226093936</v>
      </c>
      <c r="L169" s="327">
        <f t="shared" si="4"/>
        <v>15.99163854</v>
      </c>
      <c r="M169" s="321" t="str">
        <f t="shared" si="5"/>
        <v>juankbell</v>
      </c>
      <c r="N169" s="176">
        <f>IFERROR(__xludf.DUMMYFUNCTION("""COMPUTED_VALUE"""),4.0)</f>
        <v>4</v>
      </c>
      <c r="O169" s="243"/>
      <c r="P169" s="243"/>
      <c r="Q169" s="243"/>
      <c r="R169" s="243"/>
      <c r="S169" s="243"/>
      <c r="T169" s="243"/>
      <c r="U169" s="176"/>
      <c r="V169" s="176"/>
      <c r="W169" s="176"/>
      <c r="X169" s="176"/>
      <c r="Y169" s="176"/>
      <c r="Z169" s="176"/>
    </row>
    <row r="170">
      <c r="A170" s="226" t="s">
        <v>15</v>
      </c>
      <c r="B170" s="226" t="s">
        <v>10</v>
      </c>
      <c r="C170" s="250" t="s">
        <v>3244</v>
      </c>
      <c r="D170" s="268" t="s">
        <v>495</v>
      </c>
      <c r="E170" s="251">
        <v>44176.0</v>
      </c>
      <c r="F170" s="250" t="s">
        <v>496</v>
      </c>
      <c r="G170" s="171">
        <v>21.0</v>
      </c>
      <c r="H170" s="171">
        <v>60.0</v>
      </c>
      <c r="I170" s="171">
        <v>50.0</v>
      </c>
      <c r="J170" s="325">
        <f t="shared" si="2"/>
        <v>0.002230994692</v>
      </c>
      <c r="K170" s="326">
        <f t="shared" si="10"/>
        <v>1.6810545</v>
      </c>
      <c r="L170" s="327">
        <f t="shared" si="4"/>
        <v>15.99163854</v>
      </c>
      <c r="M170" s="321" t="str">
        <f t="shared" si="5"/>
        <v>juankbell</v>
      </c>
      <c r="N170" s="176">
        <f>IFERROR(__xludf.DUMMYFUNCTION("""COMPUTED_VALUE"""),5.0)</f>
        <v>5</v>
      </c>
      <c r="O170" s="243"/>
      <c r="P170" s="243"/>
      <c r="Q170" s="243"/>
      <c r="R170" s="243"/>
      <c r="S170" s="243"/>
      <c r="T170" s="243"/>
      <c r="U170" s="176"/>
      <c r="V170" s="176"/>
      <c r="W170" s="176"/>
      <c r="X170" s="176"/>
      <c r="Y170" s="176"/>
      <c r="Z170" s="176"/>
    </row>
    <row r="171">
      <c r="A171" s="226" t="s">
        <v>15</v>
      </c>
      <c r="B171" s="226" t="s">
        <v>10</v>
      </c>
      <c r="C171" s="250" t="s">
        <v>3176</v>
      </c>
      <c r="D171" s="268" t="s">
        <v>495</v>
      </c>
      <c r="E171" s="251">
        <v>44176.0</v>
      </c>
      <c r="F171" s="250" t="s">
        <v>496</v>
      </c>
      <c r="G171" s="171">
        <v>2.0</v>
      </c>
      <c r="H171" s="171">
        <v>45.0</v>
      </c>
      <c r="I171" s="171">
        <v>50.0</v>
      </c>
      <c r="J171" s="325">
        <f t="shared" si="2"/>
        <v>0.001334640041</v>
      </c>
      <c r="K171" s="326">
        <f t="shared" si="10"/>
        <v>1.005651271</v>
      </c>
      <c r="L171" s="327">
        <f t="shared" si="4"/>
        <v>15.99163854</v>
      </c>
      <c r="M171" s="321" t="str">
        <f t="shared" si="5"/>
        <v>juankbell</v>
      </c>
      <c r="N171" s="176">
        <f>IFERROR(__xludf.DUMMYFUNCTION("""COMPUTED_VALUE"""),6.0)</f>
        <v>6</v>
      </c>
      <c r="O171" s="243"/>
      <c r="P171" s="243"/>
      <c r="Q171" s="243"/>
      <c r="R171" s="243"/>
      <c r="S171" s="243"/>
      <c r="T171" s="243"/>
      <c r="U171" s="176"/>
      <c r="V171" s="176"/>
      <c r="W171" s="176"/>
      <c r="X171" s="176"/>
      <c r="Y171" s="176"/>
      <c r="Z171" s="176"/>
    </row>
    <row r="172">
      <c r="A172" s="226" t="s">
        <v>15</v>
      </c>
      <c r="B172" s="226" t="s">
        <v>1228</v>
      </c>
      <c r="C172" s="250" t="s">
        <v>3196</v>
      </c>
      <c r="D172" s="268" t="s">
        <v>495</v>
      </c>
      <c r="E172" s="251">
        <v>44176.0</v>
      </c>
      <c r="F172" s="250" t="s">
        <v>496</v>
      </c>
      <c r="G172" s="171">
        <v>5.0</v>
      </c>
      <c r="H172" s="171">
        <v>60.0</v>
      </c>
      <c r="I172" s="171">
        <v>50.0</v>
      </c>
      <c r="J172" s="325">
        <f t="shared" si="2"/>
        <v>0.001627198322</v>
      </c>
      <c r="K172" s="326">
        <f t="shared" si="10"/>
        <v>1.226093936</v>
      </c>
      <c r="L172" s="327">
        <f t="shared" si="4"/>
        <v>15.99163854</v>
      </c>
      <c r="M172" s="321" t="str">
        <f t="shared" si="5"/>
        <v>juankbell</v>
      </c>
      <c r="N172" s="176">
        <f>IFERROR(__xludf.DUMMYFUNCTION("""COMPUTED_VALUE"""),7.0)</f>
        <v>7</v>
      </c>
      <c r="O172" s="243"/>
      <c r="P172" s="243"/>
      <c r="Q172" s="243"/>
      <c r="R172" s="243"/>
      <c r="S172" s="243"/>
      <c r="T172" s="243"/>
      <c r="U172" s="176"/>
      <c r="V172" s="176"/>
      <c r="W172" s="176"/>
      <c r="X172" s="176"/>
      <c r="Y172" s="176"/>
      <c r="Z172" s="176"/>
    </row>
    <row r="173">
      <c r="A173" s="226" t="s">
        <v>15</v>
      </c>
      <c r="B173" s="226" t="s">
        <v>519</v>
      </c>
      <c r="C173" s="250" t="s">
        <v>3229</v>
      </c>
      <c r="D173" s="268" t="s">
        <v>495</v>
      </c>
      <c r="E173" s="251">
        <v>44178.0</v>
      </c>
      <c r="F173" s="250" t="s">
        <v>496</v>
      </c>
      <c r="G173" s="171">
        <v>21.0</v>
      </c>
      <c r="H173" s="171">
        <v>80.0</v>
      </c>
      <c r="I173" s="171">
        <v>50.0</v>
      </c>
      <c r="J173" s="325">
        <f t="shared" si="2"/>
        <v>0.002470123307</v>
      </c>
      <c r="K173" s="326">
        <f t="shared" si="10"/>
        <v>1.861237912</v>
      </c>
      <c r="L173" s="327">
        <f t="shared" si="4"/>
        <v>15.99163854</v>
      </c>
      <c r="M173" s="321" t="str">
        <f t="shared" si="5"/>
        <v>juankbell</v>
      </c>
      <c r="N173" s="176">
        <f>IFERROR(__xludf.DUMMYFUNCTION("""COMPUTED_VALUE"""),8.0)</f>
        <v>8</v>
      </c>
      <c r="O173" s="243"/>
      <c r="P173" s="243"/>
      <c r="Q173" s="243"/>
      <c r="R173" s="243"/>
      <c r="S173" s="243"/>
      <c r="T173" s="243"/>
      <c r="U173" s="176"/>
      <c r="V173" s="176"/>
      <c r="W173" s="176"/>
      <c r="X173" s="176"/>
      <c r="Y173" s="176"/>
      <c r="Z173" s="176"/>
    </row>
    <row r="174">
      <c r="A174" s="226" t="s">
        <v>15</v>
      </c>
      <c r="B174" s="226" t="s">
        <v>519</v>
      </c>
      <c r="C174" s="250" t="s">
        <v>3198</v>
      </c>
      <c r="D174" s="268" t="s">
        <v>495</v>
      </c>
      <c r="E174" s="251">
        <v>44178.0</v>
      </c>
      <c r="F174" s="250" t="s">
        <v>496</v>
      </c>
      <c r="G174" s="171">
        <v>21.0</v>
      </c>
      <c r="H174" s="171">
        <v>60.0</v>
      </c>
      <c r="I174" s="171">
        <v>50.0</v>
      </c>
      <c r="J174" s="325">
        <f t="shared" si="2"/>
        <v>0.002230994692</v>
      </c>
      <c r="K174" s="326">
        <f t="shared" si="10"/>
        <v>1.6810545</v>
      </c>
      <c r="L174" s="327">
        <f t="shared" si="4"/>
        <v>15.99163854</v>
      </c>
      <c r="M174" s="321" t="str">
        <f t="shared" si="5"/>
        <v>juankbell</v>
      </c>
      <c r="N174" s="176">
        <f>IFERROR(__xludf.DUMMYFUNCTION("""COMPUTED_VALUE"""),9.0)</f>
        <v>9</v>
      </c>
      <c r="O174" s="243"/>
      <c r="P174" s="243"/>
      <c r="Q174" s="243"/>
      <c r="R174" s="243"/>
      <c r="S174" s="243"/>
      <c r="T174" s="243"/>
      <c r="U174" s="176"/>
      <c r="V174" s="176"/>
      <c r="W174" s="176"/>
      <c r="X174" s="176"/>
      <c r="Y174" s="176"/>
      <c r="Z174" s="176"/>
    </row>
    <row r="175">
      <c r="A175" s="226" t="s">
        <v>15</v>
      </c>
      <c r="B175" s="226" t="s">
        <v>25</v>
      </c>
      <c r="C175" s="250" t="s">
        <v>3179</v>
      </c>
      <c r="D175" s="268" t="s">
        <v>495</v>
      </c>
      <c r="E175" s="251">
        <v>44178.0</v>
      </c>
      <c r="F175" s="250" t="s">
        <v>496</v>
      </c>
      <c r="G175" s="171">
        <v>21.0</v>
      </c>
      <c r="H175" s="171">
        <v>30.0</v>
      </c>
      <c r="I175" s="171">
        <v>50.0</v>
      </c>
      <c r="J175" s="325">
        <f t="shared" si="2"/>
        <v>0.001872301769</v>
      </c>
      <c r="K175" s="326">
        <f t="shared" si="10"/>
        <v>1.410779383</v>
      </c>
      <c r="L175" s="327">
        <f t="shared" si="4"/>
        <v>15.99163854</v>
      </c>
      <c r="M175" s="321" t="str">
        <f t="shared" si="5"/>
        <v>juankbell</v>
      </c>
      <c r="N175" s="176">
        <f>IFERROR(__xludf.DUMMYFUNCTION("""COMPUTED_VALUE"""),10.0)</f>
        <v>10</v>
      </c>
      <c r="O175" s="243"/>
      <c r="P175" s="243"/>
      <c r="Q175" s="243"/>
      <c r="R175" s="243"/>
      <c r="S175" s="243"/>
      <c r="T175" s="243"/>
      <c r="U175" s="176"/>
      <c r="V175" s="176"/>
      <c r="W175" s="176"/>
      <c r="X175" s="176"/>
      <c r="Y175" s="176"/>
      <c r="Z175" s="176"/>
    </row>
    <row r="176">
      <c r="A176" s="226" t="s">
        <v>15</v>
      </c>
      <c r="B176" s="226" t="s">
        <v>18</v>
      </c>
      <c r="C176" s="250" t="s">
        <v>3181</v>
      </c>
      <c r="D176" s="268" t="s">
        <v>495</v>
      </c>
      <c r="E176" s="251">
        <v>44180.0</v>
      </c>
      <c r="F176" s="250" t="s">
        <v>496</v>
      </c>
      <c r="G176" s="171">
        <v>5.0</v>
      </c>
      <c r="H176" s="171">
        <v>45.0</v>
      </c>
      <c r="I176" s="171">
        <v>50.0</v>
      </c>
      <c r="J176" s="325">
        <f t="shared" si="2"/>
        <v>0.001447851861</v>
      </c>
      <c r="K176" s="326">
        <f t="shared" si="10"/>
        <v>1.090956377</v>
      </c>
      <c r="L176" s="327">
        <f t="shared" si="4"/>
        <v>15.99163854</v>
      </c>
      <c r="M176" s="321" t="str">
        <f t="shared" si="5"/>
        <v>juankbell</v>
      </c>
      <c r="N176" s="176">
        <f>IFERROR(__xludf.DUMMYFUNCTION("""COMPUTED_VALUE"""),11.0)</f>
        <v>11</v>
      </c>
      <c r="O176" s="243"/>
      <c r="P176" s="243"/>
      <c r="Q176" s="243"/>
      <c r="R176" s="243"/>
      <c r="S176" s="243"/>
      <c r="T176" s="243"/>
      <c r="U176" s="176"/>
      <c r="V176" s="176"/>
      <c r="W176" s="176"/>
      <c r="X176" s="176"/>
      <c r="Y176" s="176"/>
      <c r="Z176" s="176"/>
    </row>
    <row r="177">
      <c r="A177" s="226" t="s">
        <v>15</v>
      </c>
      <c r="B177" s="226" t="s">
        <v>10</v>
      </c>
      <c r="C177" s="250" t="s">
        <v>3245</v>
      </c>
      <c r="D177" s="268" t="s">
        <v>495</v>
      </c>
      <c r="E177" s="251">
        <v>44183.0</v>
      </c>
      <c r="F177" s="250" t="s">
        <v>496</v>
      </c>
      <c r="G177" s="171">
        <v>21.0</v>
      </c>
      <c r="H177" s="171">
        <v>250.0</v>
      </c>
      <c r="I177" s="171">
        <v>100.0</v>
      </c>
      <c r="J177" s="325">
        <f t="shared" si="2"/>
        <v>0.005223842648</v>
      </c>
      <c r="K177" s="326">
        <f t="shared" si="10"/>
        <v>3.936165435</v>
      </c>
      <c r="L177" s="327">
        <f t="shared" si="4"/>
        <v>15.99163854</v>
      </c>
      <c r="M177" s="321" t="str">
        <f t="shared" si="5"/>
        <v>juankbell</v>
      </c>
      <c r="N177" s="176">
        <f>IFERROR(__xludf.DUMMYFUNCTION("""COMPUTED_VALUE"""),12.0)</f>
        <v>12</v>
      </c>
      <c r="O177" s="243"/>
      <c r="P177" s="243"/>
      <c r="Q177" s="243"/>
      <c r="R177" s="243"/>
      <c r="S177" s="243"/>
      <c r="T177" s="243"/>
      <c r="U177" s="176"/>
      <c r="V177" s="176"/>
      <c r="W177" s="176"/>
      <c r="X177" s="176"/>
      <c r="Y177" s="176"/>
      <c r="Z177" s="176"/>
    </row>
    <row r="178">
      <c r="A178" s="226" t="s">
        <v>15</v>
      </c>
      <c r="B178" s="226" t="s">
        <v>10</v>
      </c>
      <c r="C178" s="250" t="s">
        <v>3186</v>
      </c>
      <c r="D178" s="268" t="s">
        <v>495</v>
      </c>
      <c r="E178" s="251">
        <v>44183.0</v>
      </c>
      <c r="F178" s="250" t="s">
        <v>496</v>
      </c>
      <c r="G178" s="171">
        <v>21.0</v>
      </c>
      <c r="H178" s="171">
        <v>120.0</v>
      </c>
      <c r="I178" s="171">
        <v>100.0</v>
      </c>
      <c r="J178" s="325">
        <f t="shared" si="2"/>
        <v>0.003669506648</v>
      </c>
      <c r="K178" s="326">
        <f t="shared" si="10"/>
        <v>2.764973259</v>
      </c>
      <c r="L178" s="327">
        <f t="shared" si="4"/>
        <v>15.99163854</v>
      </c>
      <c r="M178" s="321" t="str">
        <f t="shared" si="5"/>
        <v>juankbell</v>
      </c>
      <c r="N178" s="176">
        <f>IFERROR(__xludf.DUMMYFUNCTION("""COMPUTED_VALUE"""),13.0)</f>
        <v>13</v>
      </c>
      <c r="O178" s="243"/>
      <c r="P178" s="243"/>
      <c r="Q178" s="243"/>
      <c r="R178" s="243"/>
      <c r="S178" s="243"/>
      <c r="T178" s="243"/>
      <c r="U178" s="176"/>
      <c r="V178" s="176"/>
      <c r="W178" s="176"/>
      <c r="X178" s="176"/>
      <c r="Y178" s="176"/>
      <c r="Z178" s="176"/>
    </row>
    <row r="179">
      <c r="A179" s="226" t="s">
        <v>15</v>
      </c>
      <c r="B179" s="226" t="s">
        <v>10</v>
      </c>
      <c r="C179" s="250" t="s">
        <v>3187</v>
      </c>
      <c r="D179" s="268" t="s">
        <v>495</v>
      </c>
      <c r="E179" s="251">
        <v>44183.0</v>
      </c>
      <c r="F179" s="250" t="s">
        <v>496</v>
      </c>
      <c r="G179" s="171">
        <v>21.0</v>
      </c>
      <c r="H179" s="171">
        <v>60.0</v>
      </c>
      <c r="I179" s="171">
        <v>50.0</v>
      </c>
      <c r="J179" s="325">
        <f t="shared" si="2"/>
        <v>0.002230994692</v>
      </c>
      <c r="K179" s="326">
        <f t="shared" si="10"/>
        <v>1.6810545</v>
      </c>
      <c r="L179" s="327">
        <f t="shared" si="4"/>
        <v>15.99163854</v>
      </c>
      <c r="M179" s="321" t="str">
        <f t="shared" si="5"/>
        <v>juankbell</v>
      </c>
      <c r="N179" s="176">
        <f>IFERROR(__xludf.DUMMYFUNCTION("""COMPUTED_VALUE"""),14.0)</f>
        <v>14</v>
      </c>
      <c r="O179" s="243"/>
      <c r="P179" s="243"/>
      <c r="Q179" s="243"/>
      <c r="R179" s="243"/>
      <c r="S179" s="243"/>
      <c r="T179" s="243"/>
      <c r="U179" s="176"/>
      <c r="V179" s="176"/>
      <c r="W179" s="176"/>
      <c r="X179" s="176"/>
      <c r="Y179" s="176"/>
      <c r="Z179" s="176"/>
    </row>
    <row r="180">
      <c r="A180" s="226" t="s">
        <v>15</v>
      </c>
      <c r="B180" s="226" t="s">
        <v>10</v>
      </c>
      <c r="C180" s="250" t="s">
        <v>3188</v>
      </c>
      <c r="D180" s="268" t="s">
        <v>495</v>
      </c>
      <c r="E180" s="251">
        <v>44183.0</v>
      </c>
      <c r="F180" s="250" t="s">
        <v>496</v>
      </c>
      <c r="G180" s="171">
        <v>5.0</v>
      </c>
      <c r="H180" s="171">
        <v>60.0</v>
      </c>
      <c r="I180" s="171">
        <v>50.0</v>
      </c>
      <c r="J180" s="325">
        <f t="shared" si="2"/>
        <v>0.001627198322</v>
      </c>
      <c r="K180" s="326">
        <f t="shared" si="10"/>
        <v>1.226093936</v>
      </c>
      <c r="L180" s="327">
        <f t="shared" si="4"/>
        <v>15.99163854</v>
      </c>
      <c r="M180" s="321" t="str">
        <f t="shared" si="5"/>
        <v>juankbell</v>
      </c>
      <c r="N180" s="176">
        <f>IFERROR(__xludf.DUMMYFUNCTION("""COMPUTED_VALUE"""),15.0)</f>
        <v>15</v>
      </c>
      <c r="O180" s="243"/>
      <c r="P180" s="243"/>
      <c r="Q180" s="243"/>
      <c r="R180" s="243"/>
      <c r="S180" s="243"/>
      <c r="T180" s="243"/>
      <c r="U180" s="176"/>
      <c r="V180" s="176"/>
      <c r="W180" s="176"/>
      <c r="X180" s="176"/>
      <c r="Y180" s="176"/>
      <c r="Z180" s="176"/>
    </row>
    <row r="181">
      <c r="A181" s="226" t="s">
        <v>15</v>
      </c>
      <c r="B181" s="226" t="s">
        <v>18</v>
      </c>
      <c r="C181" s="250" t="s">
        <v>3189</v>
      </c>
      <c r="D181" s="268" t="s">
        <v>495</v>
      </c>
      <c r="E181" s="251">
        <v>44183.0</v>
      </c>
      <c r="F181" s="250" t="s">
        <v>496</v>
      </c>
      <c r="G181" s="171">
        <v>5.0</v>
      </c>
      <c r="H181" s="171">
        <v>45.0</v>
      </c>
      <c r="I181" s="171">
        <v>50.0</v>
      </c>
      <c r="J181" s="325">
        <f t="shared" si="2"/>
        <v>0.001447851861</v>
      </c>
      <c r="K181" s="326">
        <f t="shared" si="10"/>
        <v>1.090956377</v>
      </c>
      <c r="L181" s="327">
        <f t="shared" si="4"/>
        <v>15.99163854</v>
      </c>
      <c r="M181" s="321" t="str">
        <f t="shared" si="5"/>
        <v>juankbell</v>
      </c>
      <c r="N181" s="176">
        <f>IFERROR(__xludf.DUMMYFUNCTION("""COMPUTED_VALUE"""),16.0)</f>
        <v>16</v>
      </c>
      <c r="O181" s="243"/>
      <c r="P181" s="243"/>
      <c r="Q181" s="243"/>
      <c r="R181" s="243"/>
      <c r="S181" s="243"/>
      <c r="T181" s="243"/>
      <c r="U181" s="176"/>
      <c r="V181" s="176"/>
      <c r="W181" s="176"/>
      <c r="X181" s="176"/>
      <c r="Y181" s="176"/>
      <c r="Z181" s="176"/>
    </row>
    <row r="182">
      <c r="A182" s="226" t="s">
        <v>15</v>
      </c>
      <c r="B182" s="226" t="s">
        <v>18</v>
      </c>
      <c r="C182" s="250" t="s">
        <v>3190</v>
      </c>
      <c r="D182" s="268" t="s">
        <v>495</v>
      </c>
      <c r="E182" s="251">
        <v>44183.0</v>
      </c>
      <c r="F182" s="250" t="s">
        <v>496</v>
      </c>
      <c r="G182" s="171">
        <v>21.0</v>
      </c>
      <c r="H182" s="171">
        <v>45.0</v>
      </c>
      <c r="I182" s="171">
        <v>50.0</v>
      </c>
      <c r="J182" s="325">
        <f t="shared" si="2"/>
        <v>0.00205164823</v>
      </c>
      <c r="K182" s="326">
        <f t="shared" si="10"/>
        <v>1.545916941</v>
      </c>
      <c r="L182" s="327">
        <f t="shared" si="4"/>
        <v>15.99163854</v>
      </c>
      <c r="M182" s="321" t="str">
        <f t="shared" si="5"/>
        <v>juankbell</v>
      </c>
      <c r="N182" s="176">
        <f>IFERROR(__xludf.DUMMYFUNCTION("""COMPUTED_VALUE"""),17.0)</f>
        <v>17</v>
      </c>
      <c r="O182" s="243"/>
      <c r="P182" s="243"/>
      <c r="Q182" s="243"/>
      <c r="R182" s="243"/>
      <c r="S182" s="243"/>
      <c r="T182" s="243"/>
      <c r="U182" s="176"/>
      <c r="V182" s="176"/>
      <c r="W182" s="176"/>
      <c r="X182" s="176"/>
      <c r="Y182" s="176"/>
      <c r="Z182" s="176"/>
    </row>
    <row r="183">
      <c r="A183" s="240" t="s">
        <v>15</v>
      </c>
      <c r="B183" s="240" t="s">
        <v>534</v>
      </c>
      <c r="C183" s="221" t="s">
        <v>3246</v>
      </c>
      <c r="D183" s="336"/>
      <c r="E183" s="255"/>
      <c r="F183" s="254"/>
      <c r="G183" s="222"/>
      <c r="H183" s="222"/>
      <c r="I183" s="222"/>
      <c r="J183" s="325">
        <f t="shared" si="2"/>
        <v>0</v>
      </c>
      <c r="K183" s="337">
        <f>31.983*-0.5</f>
        <v>-15.9915</v>
      </c>
      <c r="L183" s="327">
        <f t="shared" si="4"/>
        <v>15.99163854</v>
      </c>
      <c r="M183" s="321" t="str">
        <f t="shared" si="5"/>
        <v>juankbell</v>
      </c>
      <c r="N183" s="209">
        <f>IFERROR(__xludf.DUMMYFUNCTION("""COMPUTED_VALUE"""),18.0)</f>
        <v>18</v>
      </c>
      <c r="O183" s="209"/>
      <c r="P183" s="209"/>
      <c r="Q183" s="209"/>
      <c r="R183" s="209">
        <v>36.89669088595067</v>
      </c>
      <c r="S183" s="209"/>
      <c r="T183" s="209"/>
      <c r="U183" s="209"/>
      <c r="V183" s="209"/>
      <c r="W183" s="209"/>
      <c r="X183" s="209"/>
      <c r="Y183" s="176"/>
      <c r="Z183" s="176"/>
    </row>
    <row r="184">
      <c r="A184" s="226" t="s">
        <v>8</v>
      </c>
      <c r="B184" s="226" t="s">
        <v>10</v>
      </c>
      <c r="C184" s="250" t="s">
        <v>3247</v>
      </c>
      <c r="D184" s="268" t="s">
        <v>495</v>
      </c>
      <c r="E184" s="251">
        <v>44176.0</v>
      </c>
      <c r="F184" s="250" t="s">
        <v>496</v>
      </c>
      <c r="G184" s="171">
        <v>21.0</v>
      </c>
      <c r="H184" s="171">
        <v>60.0</v>
      </c>
      <c r="I184" s="171">
        <v>50.0</v>
      </c>
      <c r="J184" s="325">
        <f t="shared" si="2"/>
        <v>0.002230994692</v>
      </c>
      <c r="K184" s="326">
        <f t="shared" ref="K184:K206" si="11">J184*$J$1</f>
        <v>1.6810545</v>
      </c>
      <c r="L184" s="327">
        <f t="shared" si="4"/>
        <v>13.61708736</v>
      </c>
      <c r="M184" s="321" t="str">
        <f t="shared" si="5"/>
        <v>solsista</v>
      </c>
      <c r="N184" s="176">
        <f>IFERROR(__xludf.DUMMYFUNCTION("""COMPUTED_VALUE"""),1.0)</f>
        <v>1</v>
      </c>
      <c r="O184" s="243"/>
      <c r="P184" s="243"/>
      <c r="Q184" s="243"/>
      <c r="R184" s="243"/>
      <c r="S184" s="243"/>
      <c r="T184" s="243"/>
      <c r="U184" s="176"/>
      <c r="V184" s="176"/>
      <c r="W184" s="176"/>
      <c r="X184" s="176"/>
      <c r="Y184" s="176"/>
      <c r="Z184" s="176"/>
    </row>
    <row r="185">
      <c r="A185" s="226" t="s">
        <v>8</v>
      </c>
      <c r="B185" s="226" t="s">
        <v>10</v>
      </c>
      <c r="C185" s="250" t="s">
        <v>3223</v>
      </c>
      <c r="D185" s="268" t="s">
        <v>495</v>
      </c>
      <c r="E185" s="251">
        <v>44176.0</v>
      </c>
      <c r="F185" s="250" t="s">
        <v>496</v>
      </c>
      <c r="G185" s="171">
        <v>21.0</v>
      </c>
      <c r="H185" s="171">
        <v>20.0</v>
      </c>
      <c r="I185" s="171">
        <v>20.0</v>
      </c>
      <c r="J185" s="325">
        <f t="shared" si="2"/>
        <v>0.001320061795</v>
      </c>
      <c r="K185" s="326">
        <f t="shared" si="11"/>
        <v>0.9946665623</v>
      </c>
      <c r="L185" s="327">
        <f t="shared" si="4"/>
        <v>13.61708736</v>
      </c>
      <c r="M185" s="321" t="str">
        <f t="shared" si="5"/>
        <v>solsista</v>
      </c>
      <c r="N185" s="176">
        <f>IFERROR(__xludf.DUMMYFUNCTION("""COMPUTED_VALUE"""),2.0)</f>
        <v>2</v>
      </c>
      <c r="O185" s="243"/>
      <c r="P185" s="243"/>
      <c r="Q185" s="243"/>
      <c r="R185" s="243"/>
      <c r="S185" s="243"/>
      <c r="T185" s="243"/>
      <c r="U185" s="176"/>
      <c r="V185" s="176"/>
      <c r="W185" s="176"/>
      <c r="X185" s="176"/>
      <c r="Y185" s="176"/>
      <c r="Z185" s="176"/>
    </row>
    <row r="186">
      <c r="A186" s="226" t="s">
        <v>8</v>
      </c>
      <c r="B186" s="226" t="s">
        <v>10</v>
      </c>
      <c r="C186" s="250" t="s">
        <v>3248</v>
      </c>
      <c r="D186" s="268" t="s">
        <v>495</v>
      </c>
      <c r="E186" s="251">
        <v>44176.0</v>
      </c>
      <c r="F186" s="250" t="s">
        <v>496</v>
      </c>
      <c r="G186" s="171">
        <v>21.0</v>
      </c>
      <c r="H186" s="171">
        <v>40.0</v>
      </c>
      <c r="I186" s="171">
        <v>50.0</v>
      </c>
      <c r="J186" s="325">
        <f t="shared" si="2"/>
        <v>0.001991866076</v>
      </c>
      <c r="K186" s="326">
        <f t="shared" si="11"/>
        <v>1.500871089</v>
      </c>
      <c r="L186" s="327">
        <f t="shared" si="4"/>
        <v>13.61708736</v>
      </c>
      <c r="M186" s="321" t="str">
        <f t="shared" si="5"/>
        <v>solsista</v>
      </c>
      <c r="N186" s="176">
        <f>IFERROR(__xludf.DUMMYFUNCTION("""COMPUTED_VALUE"""),3.0)</f>
        <v>3</v>
      </c>
      <c r="O186" s="243"/>
      <c r="P186" s="243"/>
      <c r="Q186" s="243"/>
      <c r="R186" s="243"/>
      <c r="S186" s="243"/>
      <c r="T186" s="243"/>
      <c r="U186" s="176"/>
      <c r="V186" s="176"/>
      <c r="W186" s="176"/>
      <c r="X186" s="176"/>
      <c r="Y186" s="176"/>
      <c r="Z186" s="176"/>
    </row>
    <row r="187">
      <c r="A187" s="226" t="s">
        <v>8</v>
      </c>
      <c r="B187" s="226" t="s">
        <v>10</v>
      </c>
      <c r="C187" s="250" t="s">
        <v>3176</v>
      </c>
      <c r="D187" s="268" t="s">
        <v>495</v>
      </c>
      <c r="E187" s="251">
        <v>44176.0</v>
      </c>
      <c r="F187" s="250" t="s">
        <v>496</v>
      </c>
      <c r="G187" s="171">
        <v>2.0</v>
      </c>
      <c r="H187" s="171">
        <v>45.0</v>
      </c>
      <c r="I187" s="171">
        <v>50.0</v>
      </c>
      <c r="J187" s="325">
        <f t="shared" si="2"/>
        <v>0.001334640041</v>
      </c>
      <c r="K187" s="326">
        <f t="shared" si="11"/>
        <v>1.005651271</v>
      </c>
      <c r="L187" s="327">
        <f t="shared" si="4"/>
        <v>13.61708736</v>
      </c>
      <c r="M187" s="321" t="str">
        <f t="shared" si="5"/>
        <v>solsista</v>
      </c>
      <c r="N187" s="176">
        <f>IFERROR(__xludf.DUMMYFUNCTION("""COMPUTED_VALUE"""),4.0)</f>
        <v>4</v>
      </c>
      <c r="O187" s="243"/>
      <c r="P187" s="243"/>
      <c r="Q187" s="243"/>
      <c r="R187" s="243"/>
      <c r="S187" s="243"/>
      <c r="T187" s="243"/>
      <c r="U187" s="176"/>
      <c r="V187" s="176"/>
      <c r="W187" s="176"/>
      <c r="X187" s="176"/>
      <c r="Y187" s="176"/>
      <c r="Z187" s="176"/>
    </row>
    <row r="188">
      <c r="A188" s="226" t="s">
        <v>8</v>
      </c>
      <c r="B188" s="226" t="s">
        <v>590</v>
      </c>
      <c r="C188" s="250" t="s">
        <v>3249</v>
      </c>
      <c r="D188" s="268" t="s">
        <v>495</v>
      </c>
      <c r="E188" s="251">
        <v>44176.0</v>
      </c>
      <c r="F188" s="250" t="s">
        <v>496</v>
      </c>
      <c r="G188" s="171">
        <v>21.0</v>
      </c>
      <c r="H188" s="171">
        <v>60.0</v>
      </c>
      <c r="I188" s="171">
        <v>50.0</v>
      </c>
      <c r="J188" s="325">
        <f t="shared" si="2"/>
        <v>0.002230994692</v>
      </c>
      <c r="K188" s="326">
        <f t="shared" si="11"/>
        <v>1.6810545</v>
      </c>
      <c r="L188" s="327">
        <f t="shared" si="4"/>
        <v>13.61708736</v>
      </c>
      <c r="M188" s="321" t="str">
        <f t="shared" si="5"/>
        <v>solsista</v>
      </c>
      <c r="N188" s="176">
        <f>IFERROR(__xludf.DUMMYFUNCTION("""COMPUTED_VALUE"""),5.0)</f>
        <v>5</v>
      </c>
      <c r="O188" s="243"/>
      <c r="P188" s="243"/>
      <c r="Q188" s="243"/>
      <c r="R188" s="243"/>
      <c r="S188" s="243"/>
      <c r="T188" s="243"/>
      <c r="U188" s="176"/>
      <c r="V188" s="176"/>
      <c r="W188" s="176"/>
      <c r="X188" s="176"/>
      <c r="Y188" s="176"/>
      <c r="Z188" s="176"/>
    </row>
    <row r="189">
      <c r="A189" s="226" t="s">
        <v>8</v>
      </c>
      <c r="B189" s="226" t="s">
        <v>590</v>
      </c>
      <c r="C189" s="250" t="s">
        <v>3250</v>
      </c>
      <c r="D189" s="268" t="s">
        <v>495</v>
      </c>
      <c r="E189" s="251">
        <v>44179.0</v>
      </c>
      <c r="F189" s="250" t="s">
        <v>496</v>
      </c>
      <c r="G189" s="171">
        <v>34.0</v>
      </c>
      <c r="H189" s="171">
        <v>280.0</v>
      </c>
      <c r="I189" s="171">
        <v>200.0</v>
      </c>
      <c r="J189" s="325">
        <f t="shared" si="2"/>
        <v>0.007515372342</v>
      </c>
      <c r="K189" s="326">
        <f t="shared" si="11"/>
        <v>5.66283306</v>
      </c>
      <c r="L189" s="327">
        <f t="shared" si="4"/>
        <v>13.61708736</v>
      </c>
      <c r="M189" s="321" t="str">
        <f t="shared" si="5"/>
        <v>solsista</v>
      </c>
      <c r="N189" s="176">
        <f>IFERROR(__xludf.DUMMYFUNCTION("""COMPUTED_VALUE"""),6.0)</f>
        <v>6</v>
      </c>
      <c r="O189" s="243"/>
      <c r="P189" s="243"/>
      <c r="Q189" s="243"/>
      <c r="R189" s="243"/>
      <c r="S189" s="243"/>
      <c r="T189" s="243"/>
      <c r="U189" s="176"/>
      <c r="V189" s="176"/>
      <c r="W189" s="176"/>
      <c r="X189" s="176"/>
      <c r="Y189" s="176"/>
      <c r="Z189" s="176"/>
    </row>
    <row r="190">
      <c r="A190" s="226" t="s">
        <v>8</v>
      </c>
      <c r="B190" s="226" t="s">
        <v>18</v>
      </c>
      <c r="C190" s="250" t="s">
        <v>3189</v>
      </c>
      <c r="D190" s="268" t="s">
        <v>495</v>
      </c>
      <c r="E190" s="251">
        <v>44183.0</v>
      </c>
      <c r="F190" s="250" t="s">
        <v>496</v>
      </c>
      <c r="G190" s="171">
        <v>5.0</v>
      </c>
      <c r="H190" s="171">
        <v>45.0</v>
      </c>
      <c r="I190" s="171">
        <v>50.0</v>
      </c>
      <c r="J190" s="325">
        <f t="shared" si="2"/>
        <v>0.001447851861</v>
      </c>
      <c r="K190" s="326">
        <f t="shared" si="11"/>
        <v>1.090956377</v>
      </c>
      <c r="L190" s="327">
        <f t="shared" si="4"/>
        <v>13.61708736</v>
      </c>
      <c r="M190" s="321" t="str">
        <f t="shared" si="5"/>
        <v>solsista</v>
      </c>
      <c r="N190" s="176">
        <f>IFERROR(__xludf.DUMMYFUNCTION("""COMPUTED_VALUE"""),7.0)</f>
        <v>7</v>
      </c>
      <c r="O190" s="243"/>
      <c r="P190" s="243"/>
      <c r="Q190" s="243"/>
      <c r="R190" s="243"/>
      <c r="S190" s="243"/>
      <c r="T190" s="243"/>
      <c r="U190" s="176"/>
      <c r="V190" s="176"/>
      <c r="W190" s="176"/>
      <c r="X190" s="176"/>
      <c r="Y190" s="176"/>
      <c r="Z190" s="176"/>
    </row>
    <row r="191">
      <c r="A191" s="226" t="s">
        <v>11</v>
      </c>
      <c r="B191" s="226" t="s">
        <v>590</v>
      </c>
      <c r="C191" s="250" t="s">
        <v>3215</v>
      </c>
      <c r="D191" s="268" t="s">
        <v>495</v>
      </c>
      <c r="E191" s="361">
        <v>44172.0</v>
      </c>
      <c r="F191" s="250" t="s">
        <v>496</v>
      </c>
      <c r="G191" s="171">
        <v>21.0</v>
      </c>
      <c r="H191" s="171">
        <v>100.0</v>
      </c>
      <c r="I191" s="171">
        <v>100.0</v>
      </c>
      <c r="J191" s="325">
        <f t="shared" si="2"/>
        <v>0.003430378033</v>
      </c>
      <c r="K191" s="326">
        <f t="shared" si="11"/>
        <v>2.584789848</v>
      </c>
      <c r="L191" s="327">
        <f t="shared" si="4"/>
        <v>11.63639727</v>
      </c>
      <c r="M191" s="321" t="str">
        <f t="shared" si="5"/>
        <v>mateodaza</v>
      </c>
      <c r="N191" s="176">
        <f>IFERROR(__xludf.DUMMYFUNCTION("""COMPUTED_VALUE"""),1.0)</f>
        <v>1</v>
      </c>
      <c r="O191" s="243"/>
      <c r="P191" s="243"/>
      <c r="Q191" s="243"/>
      <c r="R191" s="243"/>
      <c r="S191" s="243"/>
      <c r="T191" s="243"/>
      <c r="U191" s="176"/>
      <c r="V191" s="176"/>
      <c r="W191" s="176"/>
      <c r="X191" s="176"/>
      <c r="Y191" s="176"/>
      <c r="Z191" s="176"/>
    </row>
    <row r="192">
      <c r="A192" s="226" t="s">
        <v>11</v>
      </c>
      <c r="B192" s="226" t="s">
        <v>519</v>
      </c>
      <c r="C192" s="250" t="s">
        <v>3203</v>
      </c>
      <c r="D192" s="268" t="s">
        <v>495</v>
      </c>
      <c r="E192" s="361">
        <v>44173.0</v>
      </c>
      <c r="F192" s="250" t="s">
        <v>521</v>
      </c>
      <c r="G192" s="171">
        <v>5.0</v>
      </c>
      <c r="H192" s="171">
        <v>45.0</v>
      </c>
      <c r="I192" s="171">
        <v>50.0</v>
      </c>
      <c r="J192" s="325">
        <f t="shared" si="2"/>
        <v>0.001447851861</v>
      </c>
      <c r="K192" s="326">
        <f t="shared" si="11"/>
        <v>1.090956377</v>
      </c>
      <c r="L192" s="327">
        <f t="shared" si="4"/>
        <v>11.63639727</v>
      </c>
      <c r="M192" s="321" t="str">
        <f t="shared" si="5"/>
        <v>mateodaza</v>
      </c>
      <c r="N192" s="176">
        <f>IFERROR(__xludf.DUMMYFUNCTION("""COMPUTED_VALUE"""),2.0)</f>
        <v>2</v>
      </c>
      <c r="O192" s="243"/>
      <c r="P192" s="243"/>
      <c r="Q192" s="243"/>
      <c r="R192" s="243"/>
      <c r="S192" s="243"/>
      <c r="T192" s="243"/>
      <c r="U192" s="176"/>
      <c r="V192" s="176"/>
      <c r="W192" s="176"/>
      <c r="X192" s="176"/>
      <c r="Y192" s="176"/>
      <c r="Z192" s="176"/>
    </row>
    <row r="193">
      <c r="A193" s="226" t="s">
        <v>11</v>
      </c>
      <c r="B193" s="226" t="s">
        <v>18</v>
      </c>
      <c r="C193" s="250" t="s">
        <v>3168</v>
      </c>
      <c r="D193" s="268" t="s">
        <v>495</v>
      </c>
      <c r="E193" s="361">
        <v>44174.0</v>
      </c>
      <c r="F193" s="250" t="s">
        <v>496</v>
      </c>
      <c r="G193" s="171">
        <v>5.0</v>
      </c>
      <c r="H193" s="171">
        <v>45.0</v>
      </c>
      <c r="I193" s="171">
        <v>50.0</v>
      </c>
      <c r="J193" s="325">
        <f t="shared" si="2"/>
        <v>0.001447851861</v>
      </c>
      <c r="K193" s="326">
        <f t="shared" si="11"/>
        <v>1.090956377</v>
      </c>
      <c r="L193" s="327">
        <f t="shared" si="4"/>
        <v>11.63639727</v>
      </c>
      <c r="M193" s="321" t="str">
        <f t="shared" si="5"/>
        <v>mateodaza</v>
      </c>
      <c r="N193" s="176">
        <f>IFERROR(__xludf.DUMMYFUNCTION("""COMPUTED_VALUE"""),3.0)</f>
        <v>3</v>
      </c>
      <c r="O193" s="243"/>
      <c r="P193" s="243"/>
      <c r="Q193" s="243"/>
      <c r="R193" s="243"/>
      <c r="S193" s="243"/>
      <c r="T193" s="243"/>
      <c r="U193" s="176"/>
      <c r="V193" s="176"/>
      <c r="W193" s="176"/>
      <c r="X193" s="176"/>
      <c r="Y193" s="176"/>
      <c r="Z193" s="176"/>
    </row>
    <row r="194">
      <c r="A194" s="226" t="s">
        <v>11</v>
      </c>
      <c r="B194" s="226" t="s">
        <v>18</v>
      </c>
      <c r="C194" s="250" t="s">
        <v>3169</v>
      </c>
      <c r="D194" s="268" t="s">
        <v>495</v>
      </c>
      <c r="E194" s="361">
        <v>44174.0</v>
      </c>
      <c r="F194" s="250" t="s">
        <v>496</v>
      </c>
      <c r="G194" s="171">
        <v>5.0</v>
      </c>
      <c r="H194" s="171">
        <v>45.0</v>
      </c>
      <c r="I194" s="171">
        <v>50.0</v>
      </c>
      <c r="J194" s="325">
        <f t="shared" si="2"/>
        <v>0.001447851861</v>
      </c>
      <c r="K194" s="326">
        <f t="shared" si="11"/>
        <v>1.090956377</v>
      </c>
      <c r="L194" s="327">
        <f t="shared" si="4"/>
        <v>11.63639727</v>
      </c>
      <c r="M194" s="321" t="str">
        <f t="shared" si="5"/>
        <v>mateodaza</v>
      </c>
      <c r="N194" s="176">
        <f>IFERROR(__xludf.DUMMYFUNCTION("""COMPUTED_VALUE"""),4.0)</f>
        <v>4</v>
      </c>
      <c r="O194" s="243"/>
      <c r="P194" s="243"/>
      <c r="Q194" s="243"/>
      <c r="R194" s="243"/>
      <c r="S194" s="243"/>
      <c r="T194" s="243"/>
      <c r="U194" s="176"/>
      <c r="V194" s="176"/>
      <c r="W194" s="176"/>
      <c r="X194" s="176"/>
      <c r="Y194" s="176"/>
      <c r="Z194" s="176"/>
    </row>
    <row r="195">
      <c r="A195" s="226" t="s">
        <v>11</v>
      </c>
      <c r="B195" s="226" t="s">
        <v>519</v>
      </c>
      <c r="C195" s="250" t="s">
        <v>3204</v>
      </c>
      <c r="D195" s="268" t="s">
        <v>495</v>
      </c>
      <c r="E195" s="251">
        <v>44175.0</v>
      </c>
      <c r="F195" s="250" t="s">
        <v>521</v>
      </c>
      <c r="G195" s="171">
        <v>5.0</v>
      </c>
      <c r="H195" s="171">
        <v>45.0</v>
      </c>
      <c r="I195" s="171">
        <v>50.0</v>
      </c>
      <c r="J195" s="325">
        <f t="shared" si="2"/>
        <v>0.001447851861</v>
      </c>
      <c r="K195" s="326">
        <f t="shared" si="11"/>
        <v>1.090956377</v>
      </c>
      <c r="L195" s="327">
        <f t="shared" si="4"/>
        <v>11.63639727</v>
      </c>
      <c r="M195" s="321" t="str">
        <f t="shared" si="5"/>
        <v>mateodaza</v>
      </c>
      <c r="N195" s="176">
        <f>IFERROR(__xludf.DUMMYFUNCTION("""COMPUTED_VALUE"""),5.0)</f>
        <v>5</v>
      </c>
      <c r="O195" s="243"/>
      <c r="P195" s="243"/>
      <c r="Q195" s="243"/>
      <c r="R195" s="243"/>
      <c r="S195" s="243"/>
      <c r="T195" s="243"/>
      <c r="U195" s="176"/>
      <c r="V195" s="176"/>
      <c r="W195" s="176"/>
      <c r="X195" s="176"/>
      <c r="Y195" s="176"/>
      <c r="Z195" s="176"/>
    </row>
    <row r="196">
      <c r="A196" s="226" t="s">
        <v>11</v>
      </c>
      <c r="B196" s="226" t="s">
        <v>10</v>
      </c>
      <c r="C196" s="250" t="s">
        <v>3173</v>
      </c>
      <c r="D196" s="268" t="s">
        <v>495</v>
      </c>
      <c r="E196" s="251">
        <v>44176.0</v>
      </c>
      <c r="F196" s="250" t="s">
        <v>496</v>
      </c>
      <c r="G196" s="171">
        <v>34.0</v>
      </c>
      <c r="H196" s="171">
        <v>100.0</v>
      </c>
      <c r="I196" s="171">
        <v>100.0</v>
      </c>
      <c r="J196" s="325">
        <f t="shared" si="2"/>
        <v>0.003920962583</v>
      </c>
      <c r="K196" s="326">
        <f t="shared" si="11"/>
        <v>2.954445306</v>
      </c>
      <c r="L196" s="327">
        <f t="shared" si="4"/>
        <v>11.63639727</v>
      </c>
      <c r="M196" s="321" t="str">
        <f t="shared" si="5"/>
        <v>mateodaza</v>
      </c>
      <c r="N196" s="176">
        <f>IFERROR(__xludf.DUMMYFUNCTION("""COMPUTED_VALUE"""),6.0)</f>
        <v>6</v>
      </c>
      <c r="O196" s="243"/>
      <c r="P196" s="243"/>
      <c r="Q196" s="243"/>
      <c r="R196" s="243"/>
      <c r="S196" s="243"/>
      <c r="T196" s="243"/>
      <c r="U196" s="176"/>
      <c r="V196" s="176"/>
      <c r="W196" s="176"/>
      <c r="X196" s="176"/>
      <c r="Y196" s="176"/>
      <c r="Z196" s="176"/>
    </row>
    <row r="197">
      <c r="A197" s="226" t="s">
        <v>11</v>
      </c>
      <c r="B197" s="226" t="s">
        <v>10</v>
      </c>
      <c r="C197" s="250" t="s">
        <v>3251</v>
      </c>
      <c r="D197" s="268" t="s">
        <v>495</v>
      </c>
      <c r="E197" s="251">
        <v>44176.0</v>
      </c>
      <c r="F197" s="250" t="s">
        <v>496</v>
      </c>
      <c r="G197" s="171">
        <v>21.0</v>
      </c>
      <c r="H197" s="171">
        <v>50.0</v>
      </c>
      <c r="I197" s="171">
        <v>50.0</v>
      </c>
      <c r="J197" s="325">
        <f t="shared" si="2"/>
        <v>0.002111430384</v>
      </c>
      <c r="K197" s="326">
        <f t="shared" si="11"/>
        <v>1.590962794</v>
      </c>
      <c r="L197" s="327">
        <f t="shared" si="4"/>
        <v>11.63639727</v>
      </c>
      <c r="M197" s="321" t="str">
        <f t="shared" si="5"/>
        <v>mateodaza</v>
      </c>
      <c r="N197" s="176">
        <f>IFERROR(__xludf.DUMMYFUNCTION("""COMPUTED_VALUE"""),7.0)</f>
        <v>7</v>
      </c>
      <c r="O197" s="243"/>
      <c r="P197" s="243"/>
      <c r="Q197" s="243"/>
      <c r="R197" s="243"/>
      <c r="S197" s="243"/>
      <c r="T197" s="243"/>
      <c r="U197" s="176"/>
      <c r="V197" s="176"/>
      <c r="W197" s="176"/>
      <c r="X197" s="176"/>
      <c r="Y197" s="176"/>
      <c r="Z197" s="176"/>
    </row>
    <row r="198">
      <c r="A198" s="226" t="s">
        <v>11</v>
      </c>
      <c r="B198" s="226" t="s">
        <v>10</v>
      </c>
      <c r="C198" s="250" t="s">
        <v>3176</v>
      </c>
      <c r="D198" s="268" t="s">
        <v>495</v>
      </c>
      <c r="E198" s="251">
        <v>44176.0</v>
      </c>
      <c r="F198" s="250" t="s">
        <v>496</v>
      </c>
      <c r="G198" s="171">
        <v>2.0</v>
      </c>
      <c r="H198" s="171">
        <v>45.0</v>
      </c>
      <c r="I198" s="171">
        <v>50.0</v>
      </c>
      <c r="J198" s="325">
        <f t="shared" si="2"/>
        <v>0.001334640041</v>
      </c>
      <c r="K198" s="326">
        <f t="shared" si="11"/>
        <v>1.005651271</v>
      </c>
      <c r="L198" s="327">
        <f t="shared" si="4"/>
        <v>11.63639727</v>
      </c>
      <c r="M198" s="321" t="str">
        <f t="shared" si="5"/>
        <v>mateodaza</v>
      </c>
      <c r="N198" s="176">
        <f>IFERROR(__xludf.DUMMYFUNCTION("""COMPUTED_VALUE"""),8.0)</f>
        <v>8</v>
      </c>
      <c r="O198" s="243"/>
      <c r="P198" s="243"/>
      <c r="Q198" s="243"/>
      <c r="R198" s="243"/>
      <c r="S198" s="243"/>
      <c r="T198" s="243"/>
      <c r="U198" s="176"/>
      <c r="V198" s="176"/>
      <c r="W198" s="176"/>
      <c r="X198" s="176"/>
      <c r="Y198" s="176"/>
      <c r="Z198" s="176"/>
    </row>
    <row r="199">
      <c r="A199" s="226" t="s">
        <v>11</v>
      </c>
      <c r="B199" s="226" t="s">
        <v>1228</v>
      </c>
      <c r="C199" s="250" t="s">
        <v>3196</v>
      </c>
      <c r="D199" s="268" t="s">
        <v>495</v>
      </c>
      <c r="E199" s="251">
        <v>44176.0</v>
      </c>
      <c r="F199" s="250" t="s">
        <v>496</v>
      </c>
      <c r="G199" s="171">
        <v>5.0</v>
      </c>
      <c r="H199" s="171">
        <v>45.0</v>
      </c>
      <c r="I199" s="171">
        <v>50.0</v>
      </c>
      <c r="J199" s="325">
        <f t="shared" si="2"/>
        <v>0.001447851861</v>
      </c>
      <c r="K199" s="326">
        <f t="shared" si="11"/>
        <v>1.090956377</v>
      </c>
      <c r="L199" s="327">
        <f t="shared" si="4"/>
        <v>11.63639727</v>
      </c>
      <c r="M199" s="321" t="str">
        <f t="shared" si="5"/>
        <v>mateodaza</v>
      </c>
      <c r="N199" s="176">
        <f>IFERROR(__xludf.DUMMYFUNCTION("""COMPUTED_VALUE"""),9.0)</f>
        <v>9</v>
      </c>
      <c r="O199" s="243"/>
      <c r="P199" s="243"/>
      <c r="Q199" s="243"/>
      <c r="R199" s="243"/>
      <c r="S199" s="243"/>
      <c r="T199" s="243"/>
      <c r="U199" s="176"/>
      <c r="V199" s="176"/>
      <c r="W199" s="176"/>
      <c r="X199" s="176"/>
      <c r="Y199" s="176"/>
      <c r="Z199" s="176"/>
    </row>
    <row r="200">
      <c r="A200" s="226" t="s">
        <v>11</v>
      </c>
      <c r="B200" s="226" t="s">
        <v>519</v>
      </c>
      <c r="C200" s="250" t="s">
        <v>3198</v>
      </c>
      <c r="D200" s="268" t="s">
        <v>495</v>
      </c>
      <c r="E200" s="251">
        <v>44178.0</v>
      </c>
      <c r="F200" s="250" t="s">
        <v>496</v>
      </c>
      <c r="G200" s="171">
        <v>21.0</v>
      </c>
      <c r="H200" s="171">
        <v>60.0</v>
      </c>
      <c r="I200" s="171">
        <v>50.0</v>
      </c>
      <c r="J200" s="325">
        <f t="shared" si="2"/>
        <v>0.002230994692</v>
      </c>
      <c r="K200" s="326">
        <f t="shared" si="11"/>
        <v>1.6810545</v>
      </c>
      <c r="L200" s="327">
        <f t="shared" si="4"/>
        <v>11.63639727</v>
      </c>
      <c r="M200" s="321" t="str">
        <f t="shared" si="5"/>
        <v>mateodaza</v>
      </c>
      <c r="N200" s="176">
        <f>IFERROR(__xludf.DUMMYFUNCTION("""COMPUTED_VALUE"""),10.0)</f>
        <v>10</v>
      </c>
      <c r="O200" s="243"/>
      <c r="P200" s="243"/>
      <c r="Q200" s="243"/>
      <c r="R200" s="243"/>
      <c r="S200" s="243"/>
      <c r="T200" s="243"/>
      <c r="U200" s="176"/>
      <c r="V200" s="176"/>
      <c r="W200" s="176"/>
      <c r="X200" s="176"/>
      <c r="Y200" s="176"/>
      <c r="Z200" s="176"/>
    </row>
    <row r="201">
      <c r="A201" s="226" t="s">
        <v>11</v>
      </c>
      <c r="B201" s="226" t="s">
        <v>18</v>
      </c>
      <c r="C201" s="250" t="s">
        <v>3181</v>
      </c>
      <c r="D201" s="268" t="s">
        <v>495</v>
      </c>
      <c r="E201" s="251">
        <v>44180.0</v>
      </c>
      <c r="F201" s="250" t="s">
        <v>496</v>
      </c>
      <c r="G201" s="171">
        <v>5.0</v>
      </c>
      <c r="H201" s="171">
        <v>45.0</v>
      </c>
      <c r="I201" s="171">
        <v>50.0</v>
      </c>
      <c r="J201" s="325">
        <f t="shared" si="2"/>
        <v>0.001447851861</v>
      </c>
      <c r="K201" s="326">
        <f t="shared" si="11"/>
        <v>1.090956377</v>
      </c>
      <c r="L201" s="327">
        <f t="shared" si="4"/>
        <v>11.63639727</v>
      </c>
      <c r="M201" s="321" t="str">
        <f t="shared" si="5"/>
        <v>mateodaza</v>
      </c>
      <c r="N201" s="176">
        <f>IFERROR(__xludf.DUMMYFUNCTION("""COMPUTED_VALUE"""),11.0)</f>
        <v>11</v>
      </c>
      <c r="O201" s="243"/>
      <c r="P201" s="243"/>
      <c r="Q201" s="243"/>
      <c r="R201" s="243"/>
      <c r="S201" s="243"/>
      <c r="T201" s="243"/>
      <c r="U201" s="176"/>
      <c r="V201" s="176"/>
      <c r="W201" s="176"/>
      <c r="X201" s="176"/>
      <c r="Y201" s="176"/>
      <c r="Z201" s="176"/>
    </row>
    <row r="202">
      <c r="A202" s="226" t="s">
        <v>11</v>
      </c>
      <c r="B202" s="226" t="s">
        <v>1228</v>
      </c>
      <c r="C202" s="250" t="s">
        <v>3183</v>
      </c>
      <c r="D202" s="268" t="s">
        <v>495</v>
      </c>
      <c r="E202" s="251">
        <v>44182.0</v>
      </c>
      <c r="F202" s="250" t="s">
        <v>496</v>
      </c>
      <c r="G202" s="171">
        <v>21.0</v>
      </c>
      <c r="H202" s="171">
        <v>45.0</v>
      </c>
      <c r="I202" s="171">
        <v>50.0</v>
      </c>
      <c r="J202" s="325">
        <f t="shared" si="2"/>
        <v>0.00205164823</v>
      </c>
      <c r="K202" s="326">
        <f t="shared" si="11"/>
        <v>1.545916941</v>
      </c>
      <c r="L202" s="327">
        <f t="shared" si="4"/>
        <v>11.63639727</v>
      </c>
      <c r="M202" s="321" t="str">
        <f t="shared" si="5"/>
        <v>mateodaza</v>
      </c>
      <c r="N202" s="176">
        <f>IFERROR(__xludf.DUMMYFUNCTION("""COMPUTED_VALUE"""),12.0)</f>
        <v>12</v>
      </c>
      <c r="O202" s="243"/>
      <c r="P202" s="243"/>
      <c r="Q202" s="243"/>
      <c r="R202" s="243"/>
      <c r="S202" s="243"/>
      <c r="T202" s="243"/>
      <c r="U202" s="176"/>
      <c r="V202" s="176"/>
      <c r="W202" s="176"/>
      <c r="X202" s="176"/>
      <c r="Y202" s="176"/>
      <c r="Z202" s="176"/>
    </row>
    <row r="203">
      <c r="A203" s="226" t="s">
        <v>11</v>
      </c>
      <c r="B203" s="226" t="s">
        <v>10</v>
      </c>
      <c r="C203" s="250" t="s">
        <v>3200</v>
      </c>
      <c r="D203" s="268" t="s">
        <v>495</v>
      </c>
      <c r="E203" s="251">
        <v>44183.0</v>
      </c>
      <c r="F203" s="250" t="s">
        <v>496</v>
      </c>
      <c r="G203" s="171">
        <v>21.0</v>
      </c>
      <c r="H203" s="171">
        <v>40.0</v>
      </c>
      <c r="I203" s="171">
        <v>50.0</v>
      </c>
      <c r="J203" s="325">
        <f t="shared" si="2"/>
        <v>0.001991866076</v>
      </c>
      <c r="K203" s="326">
        <f t="shared" si="11"/>
        <v>1.500871089</v>
      </c>
      <c r="L203" s="327">
        <f t="shared" si="4"/>
        <v>11.63639727</v>
      </c>
      <c r="M203" s="321" t="str">
        <f t="shared" si="5"/>
        <v>mateodaza</v>
      </c>
      <c r="N203" s="176">
        <f>IFERROR(__xludf.DUMMYFUNCTION("""COMPUTED_VALUE"""),13.0)</f>
        <v>13</v>
      </c>
      <c r="O203" s="243"/>
      <c r="P203" s="243"/>
      <c r="Q203" s="243"/>
      <c r="R203" s="243"/>
      <c r="S203" s="243"/>
      <c r="T203" s="243"/>
      <c r="U203" s="176"/>
      <c r="V203" s="176"/>
      <c r="W203" s="176"/>
      <c r="X203" s="176"/>
      <c r="Y203" s="176"/>
      <c r="Z203" s="176"/>
    </row>
    <row r="204">
      <c r="A204" s="226" t="s">
        <v>11</v>
      </c>
      <c r="B204" s="226" t="s">
        <v>10</v>
      </c>
      <c r="C204" s="250" t="s">
        <v>3188</v>
      </c>
      <c r="D204" s="268" t="s">
        <v>495</v>
      </c>
      <c r="E204" s="251">
        <v>44183.0</v>
      </c>
      <c r="F204" s="250" t="s">
        <v>496</v>
      </c>
      <c r="G204" s="171">
        <v>5.0</v>
      </c>
      <c r="H204" s="171">
        <v>45.0</v>
      </c>
      <c r="I204" s="171">
        <v>50.0</v>
      </c>
      <c r="J204" s="325">
        <f t="shared" si="2"/>
        <v>0.001447851861</v>
      </c>
      <c r="K204" s="326">
        <f t="shared" si="11"/>
        <v>1.090956377</v>
      </c>
      <c r="L204" s="327">
        <f t="shared" si="4"/>
        <v>11.63639727</v>
      </c>
      <c r="M204" s="321" t="str">
        <f t="shared" si="5"/>
        <v>mateodaza</v>
      </c>
      <c r="N204" s="176">
        <f>IFERROR(__xludf.DUMMYFUNCTION("""COMPUTED_VALUE"""),14.0)</f>
        <v>14</v>
      </c>
      <c r="O204" s="243"/>
      <c r="P204" s="243"/>
      <c r="Q204" s="243"/>
      <c r="R204" s="243"/>
      <c r="S204" s="243"/>
      <c r="T204" s="243"/>
      <c r="U204" s="176"/>
      <c r="V204" s="176"/>
      <c r="W204" s="176"/>
      <c r="X204" s="176"/>
      <c r="Y204" s="176"/>
      <c r="Z204" s="176"/>
    </row>
    <row r="205">
      <c r="A205" s="226" t="s">
        <v>11</v>
      </c>
      <c r="B205" s="226" t="s">
        <v>18</v>
      </c>
      <c r="C205" s="250" t="s">
        <v>3189</v>
      </c>
      <c r="D205" s="268" t="s">
        <v>495</v>
      </c>
      <c r="E205" s="251">
        <v>44183.0</v>
      </c>
      <c r="F205" s="250" t="s">
        <v>496</v>
      </c>
      <c r="G205" s="171">
        <v>5.0</v>
      </c>
      <c r="H205" s="171">
        <v>45.0</v>
      </c>
      <c r="I205" s="171">
        <v>50.0</v>
      </c>
      <c r="J205" s="325">
        <f t="shared" si="2"/>
        <v>0.001447851861</v>
      </c>
      <c r="K205" s="326">
        <f t="shared" si="11"/>
        <v>1.090956377</v>
      </c>
      <c r="L205" s="327">
        <f t="shared" si="4"/>
        <v>11.63639727</v>
      </c>
      <c r="M205" s="321" t="str">
        <f t="shared" si="5"/>
        <v>mateodaza</v>
      </c>
      <c r="N205" s="176">
        <f>IFERROR(__xludf.DUMMYFUNCTION("""COMPUTED_VALUE"""),15.0)</f>
        <v>15</v>
      </c>
      <c r="O205" s="243"/>
      <c r="P205" s="243"/>
      <c r="Q205" s="243"/>
      <c r="R205" s="243"/>
      <c r="S205" s="243"/>
      <c r="T205" s="243"/>
      <c r="U205" s="176"/>
      <c r="V205" s="176"/>
      <c r="W205" s="176"/>
      <c r="X205" s="176"/>
      <c r="Y205" s="176"/>
      <c r="Z205" s="176"/>
    </row>
    <row r="206">
      <c r="A206" s="226" t="s">
        <v>11</v>
      </c>
      <c r="B206" s="226" t="s">
        <v>868</v>
      </c>
      <c r="C206" s="250" t="s">
        <v>3252</v>
      </c>
      <c r="D206" s="268" t="s">
        <v>495</v>
      </c>
      <c r="E206" s="251">
        <v>44183.0</v>
      </c>
      <c r="F206" s="250" t="s">
        <v>496</v>
      </c>
      <c r="G206" s="171">
        <v>21.0</v>
      </c>
      <c r="H206" s="171">
        <v>60.0</v>
      </c>
      <c r="I206" s="171">
        <v>50.0</v>
      </c>
      <c r="J206" s="325">
        <f t="shared" si="2"/>
        <v>0.002230994692</v>
      </c>
      <c r="K206" s="326">
        <f t="shared" si="11"/>
        <v>1.6810545</v>
      </c>
      <c r="L206" s="327">
        <f t="shared" si="4"/>
        <v>11.63639727</v>
      </c>
      <c r="M206" s="321" t="str">
        <f t="shared" si="5"/>
        <v>mateodaza</v>
      </c>
      <c r="N206" s="176">
        <f>IFERROR(__xludf.DUMMYFUNCTION("""COMPUTED_VALUE"""),16.0)</f>
        <v>16</v>
      </c>
      <c r="O206" s="243"/>
      <c r="P206" s="243"/>
      <c r="Q206" s="243"/>
      <c r="R206" s="243"/>
      <c r="S206" s="243"/>
      <c r="T206" s="243"/>
      <c r="U206" s="176"/>
      <c r="V206" s="176"/>
      <c r="W206" s="176"/>
      <c r="X206" s="176"/>
      <c r="Y206" s="176"/>
      <c r="Z206" s="176"/>
    </row>
    <row r="207">
      <c r="A207" s="240" t="s">
        <v>11</v>
      </c>
      <c r="B207" s="240" t="s">
        <v>534</v>
      </c>
      <c r="C207" s="221" t="s">
        <v>839</v>
      </c>
      <c r="D207" s="336"/>
      <c r="E207" s="255"/>
      <c r="F207" s="254"/>
      <c r="G207" s="222"/>
      <c r="H207" s="222"/>
      <c r="I207" s="222"/>
      <c r="J207" s="325">
        <f t="shared" si="2"/>
        <v>0</v>
      </c>
      <c r="K207" s="337">
        <f>23.272*-0.5</f>
        <v>-11.636</v>
      </c>
      <c r="L207" s="327">
        <f t="shared" si="4"/>
        <v>11.63639727</v>
      </c>
      <c r="M207" s="321" t="str">
        <f t="shared" si="5"/>
        <v>mateodaza</v>
      </c>
      <c r="N207" s="209">
        <f>IFERROR(__xludf.DUMMYFUNCTION("""COMPUTED_VALUE"""),17.0)</f>
        <v>17</v>
      </c>
      <c r="O207" s="209"/>
      <c r="P207" s="209"/>
      <c r="Q207" s="209"/>
      <c r="R207" s="209">
        <v>18.802169413641863</v>
      </c>
      <c r="S207" s="209"/>
      <c r="T207" s="209"/>
      <c r="U207" s="209"/>
      <c r="V207" s="209"/>
      <c r="W207" s="209"/>
      <c r="X207" s="209"/>
      <c r="Y207" s="176"/>
      <c r="Z207" s="176"/>
    </row>
    <row r="208">
      <c r="A208" s="226" t="s">
        <v>16</v>
      </c>
      <c r="B208" s="226" t="s">
        <v>925</v>
      </c>
      <c r="C208" s="250" t="s">
        <v>3201</v>
      </c>
      <c r="D208" s="268" t="s">
        <v>495</v>
      </c>
      <c r="E208" s="361">
        <v>44171.0</v>
      </c>
      <c r="F208" s="250" t="s">
        <v>496</v>
      </c>
      <c r="G208" s="171">
        <v>21.0</v>
      </c>
      <c r="H208" s="171">
        <v>180.0</v>
      </c>
      <c r="I208" s="171">
        <v>200.0</v>
      </c>
      <c r="J208" s="325">
        <f t="shared" si="2"/>
        <v>0.005829144715</v>
      </c>
      <c r="K208" s="326">
        <f t="shared" ref="K208:K241" si="12">J208*$J$1</f>
        <v>4.392260543</v>
      </c>
      <c r="L208" s="327">
        <f t="shared" si="4"/>
        <v>10.26614504</v>
      </c>
      <c r="M208" s="321" t="str">
        <f t="shared" si="5"/>
        <v>griffgreen</v>
      </c>
      <c r="N208" s="176">
        <f>IFERROR(__xludf.DUMMYFUNCTION("""COMPUTED_VALUE"""),1.0)</f>
        <v>1</v>
      </c>
      <c r="O208" s="243"/>
      <c r="P208" s="243"/>
      <c r="Q208" s="243"/>
      <c r="R208" s="243"/>
      <c r="S208" s="243"/>
      <c r="T208" s="243"/>
      <c r="U208" s="176"/>
      <c r="V208" s="176"/>
      <c r="W208" s="176"/>
      <c r="X208" s="176"/>
      <c r="Y208" s="176"/>
      <c r="Z208" s="176"/>
    </row>
    <row r="209">
      <c r="A209" s="226" t="s">
        <v>16</v>
      </c>
      <c r="B209" s="226" t="s">
        <v>25</v>
      </c>
      <c r="C209" s="250" t="s">
        <v>3202</v>
      </c>
      <c r="D209" s="268" t="s">
        <v>495</v>
      </c>
      <c r="E209" s="361">
        <v>44172.0</v>
      </c>
      <c r="F209" s="250" t="s">
        <v>496</v>
      </c>
      <c r="G209" s="171">
        <v>34.0</v>
      </c>
      <c r="H209" s="171">
        <v>45.0</v>
      </c>
      <c r="I209" s="171">
        <v>50.0</v>
      </c>
      <c r="J209" s="325">
        <f t="shared" si="2"/>
        <v>0.002542232781</v>
      </c>
      <c r="K209" s="326">
        <f t="shared" si="12"/>
        <v>1.9155724</v>
      </c>
      <c r="L209" s="327">
        <f t="shared" si="4"/>
        <v>10.26614504</v>
      </c>
      <c r="M209" s="321" t="str">
        <f t="shared" si="5"/>
        <v>griffgreen</v>
      </c>
      <c r="N209" s="176">
        <f>IFERROR(__xludf.DUMMYFUNCTION("""COMPUTED_VALUE"""),2.0)</f>
        <v>2</v>
      </c>
      <c r="O209" s="243"/>
      <c r="P209" s="243"/>
      <c r="Q209" s="243"/>
      <c r="R209" s="243"/>
      <c r="S209" s="243"/>
      <c r="T209" s="243"/>
      <c r="U209" s="176"/>
      <c r="V209" s="176"/>
      <c r="W209" s="176"/>
      <c r="X209" s="176"/>
      <c r="Y209" s="176"/>
      <c r="Z209" s="176"/>
    </row>
    <row r="210">
      <c r="A210" s="226" t="s">
        <v>16</v>
      </c>
      <c r="B210" s="226" t="s">
        <v>18</v>
      </c>
      <c r="C210" s="250" t="s">
        <v>3253</v>
      </c>
      <c r="D210" s="268" t="s">
        <v>495</v>
      </c>
      <c r="E210" s="361">
        <v>44172.0</v>
      </c>
      <c r="F210" s="250" t="s">
        <v>496</v>
      </c>
      <c r="G210" s="171">
        <v>89.0</v>
      </c>
      <c r="H210" s="171">
        <v>500.0</v>
      </c>
      <c r="I210" s="171">
        <v>200.0</v>
      </c>
      <c r="J210" s="325">
        <f t="shared" si="2"/>
        <v>0.01222133713</v>
      </c>
      <c r="K210" s="326">
        <f t="shared" si="12"/>
        <v>9.208777529</v>
      </c>
      <c r="L210" s="327">
        <f t="shared" si="4"/>
        <v>10.26614504</v>
      </c>
      <c r="M210" s="321" t="str">
        <f t="shared" si="5"/>
        <v>griffgreen</v>
      </c>
      <c r="N210" s="176">
        <f>IFERROR(__xludf.DUMMYFUNCTION("""COMPUTED_VALUE"""),3.0)</f>
        <v>3</v>
      </c>
      <c r="O210" s="243"/>
      <c r="P210" s="243"/>
      <c r="Q210" s="243"/>
      <c r="R210" s="243"/>
      <c r="S210" s="243"/>
      <c r="T210" s="243"/>
      <c r="U210" s="176"/>
      <c r="V210" s="176"/>
      <c r="W210" s="176"/>
      <c r="X210" s="176"/>
      <c r="Y210" s="176"/>
      <c r="Z210" s="176"/>
    </row>
    <row r="211">
      <c r="A211" s="226" t="s">
        <v>16</v>
      </c>
      <c r="B211" s="226" t="s">
        <v>590</v>
      </c>
      <c r="C211" s="250" t="s">
        <v>3215</v>
      </c>
      <c r="D211" s="268" t="s">
        <v>495</v>
      </c>
      <c r="E211" s="361">
        <v>44172.0</v>
      </c>
      <c r="F211" s="250" t="s">
        <v>496</v>
      </c>
      <c r="G211" s="171">
        <v>21.0</v>
      </c>
      <c r="H211" s="171">
        <v>130.0</v>
      </c>
      <c r="I211" s="171">
        <v>100.0</v>
      </c>
      <c r="J211" s="325">
        <f t="shared" si="2"/>
        <v>0.003789070956</v>
      </c>
      <c r="K211" s="326">
        <f t="shared" si="12"/>
        <v>2.855064965</v>
      </c>
      <c r="L211" s="327">
        <f t="shared" si="4"/>
        <v>10.26614504</v>
      </c>
      <c r="M211" s="321" t="str">
        <f t="shared" si="5"/>
        <v>griffgreen</v>
      </c>
      <c r="N211" s="176">
        <f>IFERROR(__xludf.DUMMYFUNCTION("""COMPUTED_VALUE"""),4.0)</f>
        <v>4</v>
      </c>
      <c r="O211" s="243"/>
      <c r="P211" s="243"/>
      <c r="Q211" s="243"/>
      <c r="R211" s="243"/>
      <c r="S211" s="243"/>
      <c r="T211" s="243"/>
      <c r="U211" s="176"/>
      <c r="V211" s="176"/>
      <c r="W211" s="176"/>
      <c r="X211" s="176"/>
      <c r="Y211" s="176"/>
      <c r="Z211" s="176"/>
    </row>
    <row r="212">
      <c r="A212" s="226" t="s">
        <v>16</v>
      </c>
      <c r="B212" s="226" t="s">
        <v>10</v>
      </c>
      <c r="C212" s="250" t="s">
        <v>3239</v>
      </c>
      <c r="D212" s="268" t="s">
        <v>495</v>
      </c>
      <c r="E212" s="361">
        <v>44173.0</v>
      </c>
      <c r="F212" s="250" t="s">
        <v>499</v>
      </c>
      <c r="G212" s="171">
        <v>4.0</v>
      </c>
      <c r="H212" s="171">
        <v>5.0</v>
      </c>
      <c r="I212" s="171">
        <v>10.0</v>
      </c>
      <c r="J212" s="325">
        <f t="shared" si="2"/>
        <v>0.0003549564684</v>
      </c>
      <c r="K212" s="326">
        <f t="shared" si="12"/>
        <v>0.2674596989</v>
      </c>
      <c r="L212" s="327">
        <f t="shared" si="4"/>
        <v>10.26614504</v>
      </c>
      <c r="M212" s="321" t="str">
        <f t="shared" si="5"/>
        <v>griffgreen</v>
      </c>
      <c r="N212" s="176">
        <f>IFERROR(__xludf.DUMMYFUNCTION("""COMPUTED_VALUE"""),5.0)</f>
        <v>5</v>
      </c>
      <c r="O212" s="243"/>
      <c r="P212" s="243"/>
      <c r="Q212" s="243"/>
      <c r="R212" s="243"/>
      <c r="S212" s="243"/>
      <c r="T212" s="243"/>
      <c r="U212" s="176"/>
      <c r="V212" s="176"/>
      <c r="W212" s="176"/>
      <c r="X212" s="176"/>
      <c r="Y212" s="176"/>
      <c r="Z212" s="176"/>
    </row>
    <row r="213">
      <c r="A213" s="226" t="s">
        <v>16</v>
      </c>
      <c r="B213" s="226" t="s">
        <v>1228</v>
      </c>
      <c r="C213" s="250" t="s">
        <v>3254</v>
      </c>
      <c r="D213" s="268" t="s">
        <v>495</v>
      </c>
      <c r="E213" s="361">
        <v>44173.0</v>
      </c>
      <c r="F213" s="250" t="s">
        <v>496</v>
      </c>
      <c r="G213" s="171">
        <v>21.0</v>
      </c>
      <c r="H213" s="171">
        <v>80.0</v>
      </c>
      <c r="I213" s="171">
        <v>50.0</v>
      </c>
      <c r="J213" s="325">
        <f t="shared" si="2"/>
        <v>0.002470123307</v>
      </c>
      <c r="K213" s="326">
        <f t="shared" si="12"/>
        <v>1.861237912</v>
      </c>
      <c r="L213" s="327">
        <f t="shared" si="4"/>
        <v>10.26614504</v>
      </c>
      <c r="M213" s="321" t="str">
        <f t="shared" si="5"/>
        <v>griffgreen</v>
      </c>
      <c r="N213" s="176">
        <f>IFERROR(__xludf.DUMMYFUNCTION("""COMPUTED_VALUE"""),6.0)</f>
        <v>6</v>
      </c>
      <c r="O213" s="243"/>
      <c r="P213" s="243"/>
      <c r="Q213" s="243"/>
      <c r="R213" s="243"/>
      <c r="S213" s="243"/>
      <c r="T213" s="243"/>
      <c r="U213" s="176"/>
      <c r="V213" s="176"/>
      <c r="W213" s="176"/>
      <c r="X213" s="176"/>
      <c r="Y213" s="176"/>
      <c r="Z213" s="176"/>
    </row>
    <row r="214">
      <c r="A214" s="226" t="s">
        <v>16</v>
      </c>
      <c r="B214" s="226" t="s">
        <v>590</v>
      </c>
      <c r="C214" s="250" t="s">
        <v>3166</v>
      </c>
      <c r="D214" s="268" t="s">
        <v>495</v>
      </c>
      <c r="E214" s="361">
        <v>44173.0</v>
      </c>
      <c r="F214" s="250" t="s">
        <v>496</v>
      </c>
      <c r="G214" s="171">
        <v>21.0</v>
      </c>
      <c r="H214" s="171">
        <v>60.0</v>
      </c>
      <c r="I214" s="171">
        <v>50.0</v>
      </c>
      <c r="J214" s="325">
        <f t="shared" si="2"/>
        <v>0.002230994692</v>
      </c>
      <c r="K214" s="326">
        <f t="shared" si="12"/>
        <v>1.6810545</v>
      </c>
      <c r="L214" s="327">
        <f t="shared" si="4"/>
        <v>10.26614504</v>
      </c>
      <c r="M214" s="321" t="str">
        <f t="shared" si="5"/>
        <v>griffgreen</v>
      </c>
      <c r="N214" s="176">
        <f>IFERROR(__xludf.DUMMYFUNCTION("""COMPUTED_VALUE"""),7.0)</f>
        <v>7</v>
      </c>
      <c r="O214" s="243"/>
      <c r="P214" s="243"/>
      <c r="Q214" s="243"/>
      <c r="R214" s="243"/>
      <c r="S214" s="243"/>
      <c r="T214" s="243"/>
      <c r="U214" s="176"/>
      <c r="V214" s="176"/>
      <c r="W214" s="176"/>
      <c r="X214" s="176"/>
      <c r="Y214" s="176"/>
      <c r="Z214" s="176"/>
    </row>
    <row r="215">
      <c r="A215" s="226" t="s">
        <v>16</v>
      </c>
      <c r="B215" s="226" t="s">
        <v>25</v>
      </c>
      <c r="C215" s="250" t="s">
        <v>3255</v>
      </c>
      <c r="D215" s="268" t="s">
        <v>495</v>
      </c>
      <c r="E215" s="361">
        <v>44174.0</v>
      </c>
      <c r="F215" s="250" t="s">
        <v>496</v>
      </c>
      <c r="G215" s="171">
        <v>21.0</v>
      </c>
      <c r="H215" s="171">
        <v>100.0</v>
      </c>
      <c r="I215" s="171">
        <v>50.0</v>
      </c>
      <c r="J215" s="325">
        <f t="shared" si="2"/>
        <v>0.002709251922</v>
      </c>
      <c r="K215" s="326">
        <f t="shared" si="12"/>
        <v>2.041421323</v>
      </c>
      <c r="L215" s="327">
        <f t="shared" si="4"/>
        <v>10.26614504</v>
      </c>
      <c r="M215" s="321" t="str">
        <f t="shared" si="5"/>
        <v>griffgreen</v>
      </c>
      <c r="N215" s="176">
        <f>IFERROR(__xludf.DUMMYFUNCTION("""COMPUTED_VALUE"""),8.0)</f>
        <v>8</v>
      </c>
      <c r="O215" s="243"/>
      <c r="P215" s="243"/>
      <c r="Q215" s="243"/>
      <c r="R215" s="243"/>
      <c r="S215" s="243"/>
      <c r="T215" s="243"/>
      <c r="U215" s="176"/>
      <c r="V215" s="176"/>
      <c r="W215" s="176"/>
      <c r="X215" s="176"/>
      <c r="Y215" s="176"/>
      <c r="Z215" s="176"/>
    </row>
    <row r="216">
      <c r="A216" s="226" t="s">
        <v>16</v>
      </c>
      <c r="B216" s="226" t="s">
        <v>18</v>
      </c>
      <c r="C216" s="250" t="s">
        <v>3168</v>
      </c>
      <c r="D216" s="268" t="s">
        <v>495</v>
      </c>
      <c r="E216" s="361">
        <v>44174.0</v>
      </c>
      <c r="F216" s="250" t="s">
        <v>496</v>
      </c>
      <c r="G216" s="171">
        <v>5.0</v>
      </c>
      <c r="H216" s="171">
        <v>45.0</v>
      </c>
      <c r="I216" s="171">
        <v>50.0</v>
      </c>
      <c r="J216" s="325">
        <f t="shared" si="2"/>
        <v>0.001447851861</v>
      </c>
      <c r="K216" s="326">
        <f t="shared" si="12"/>
        <v>1.090956377</v>
      </c>
      <c r="L216" s="327">
        <f t="shared" si="4"/>
        <v>10.26614504</v>
      </c>
      <c r="M216" s="321" t="str">
        <f t="shared" si="5"/>
        <v>griffgreen</v>
      </c>
      <c r="N216" s="176">
        <f>IFERROR(__xludf.DUMMYFUNCTION("""COMPUTED_VALUE"""),9.0)</f>
        <v>9</v>
      </c>
      <c r="O216" s="243"/>
      <c r="P216" s="243"/>
      <c r="Q216" s="243"/>
      <c r="R216" s="243"/>
      <c r="S216" s="243"/>
      <c r="T216" s="243"/>
      <c r="U216" s="176"/>
      <c r="V216" s="176"/>
      <c r="W216" s="176"/>
      <c r="X216" s="176"/>
      <c r="Y216" s="176"/>
      <c r="Z216" s="176"/>
    </row>
    <row r="217">
      <c r="A217" s="226" t="s">
        <v>16</v>
      </c>
      <c r="B217" s="226" t="s">
        <v>18</v>
      </c>
      <c r="C217" s="250" t="s">
        <v>3169</v>
      </c>
      <c r="D217" s="268" t="s">
        <v>495</v>
      </c>
      <c r="E217" s="361">
        <v>44174.0</v>
      </c>
      <c r="F217" s="250" t="s">
        <v>496</v>
      </c>
      <c r="G217" s="171">
        <v>5.0</v>
      </c>
      <c r="H217" s="171">
        <v>60.0</v>
      </c>
      <c r="I217" s="171">
        <v>50.0</v>
      </c>
      <c r="J217" s="325">
        <f t="shared" si="2"/>
        <v>0.001627198322</v>
      </c>
      <c r="K217" s="326">
        <f t="shared" si="12"/>
        <v>1.226093936</v>
      </c>
      <c r="L217" s="327">
        <f t="shared" si="4"/>
        <v>10.26614504</v>
      </c>
      <c r="M217" s="321" t="str">
        <f t="shared" si="5"/>
        <v>griffgreen</v>
      </c>
      <c r="N217" s="176">
        <f>IFERROR(__xludf.DUMMYFUNCTION("""COMPUTED_VALUE"""),10.0)</f>
        <v>10</v>
      </c>
      <c r="O217" s="243"/>
      <c r="P217" s="243"/>
      <c r="Q217" s="243"/>
      <c r="R217" s="243"/>
      <c r="S217" s="243"/>
      <c r="T217" s="243"/>
      <c r="U217" s="176"/>
      <c r="V217" s="176"/>
      <c r="W217" s="176"/>
      <c r="X217" s="176"/>
      <c r="Y217" s="176"/>
      <c r="Z217" s="176"/>
    </row>
    <row r="218">
      <c r="A218" s="226" t="s">
        <v>16</v>
      </c>
      <c r="B218" s="226" t="s">
        <v>5</v>
      </c>
      <c r="C218" s="250" t="s">
        <v>3170</v>
      </c>
      <c r="D218" s="268" t="s">
        <v>495</v>
      </c>
      <c r="E218" s="251">
        <v>44175.0</v>
      </c>
      <c r="F218" s="250" t="s">
        <v>496</v>
      </c>
      <c r="G218" s="171">
        <v>5.0</v>
      </c>
      <c r="H218" s="171">
        <v>60.0</v>
      </c>
      <c r="I218" s="171">
        <v>50.0</v>
      </c>
      <c r="J218" s="325">
        <f t="shared" si="2"/>
        <v>0.001627198322</v>
      </c>
      <c r="K218" s="326">
        <f t="shared" si="12"/>
        <v>1.226093936</v>
      </c>
      <c r="L218" s="327">
        <f t="shared" si="4"/>
        <v>10.26614504</v>
      </c>
      <c r="M218" s="321" t="str">
        <f t="shared" si="5"/>
        <v>griffgreen</v>
      </c>
      <c r="N218" s="176">
        <f>IFERROR(__xludf.DUMMYFUNCTION("""COMPUTED_VALUE"""),11.0)</f>
        <v>11</v>
      </c>
      <c r="O218" s="243"/>
      <c r="P218" s="243"/>
      <c r="Q218" s="243"/>
      <c r="R218" s="243"/>
      <c r="S218" s="243"/>
      <c r="T218" s="243"/>
      <c r="U218" s="176"/>
      <c r="V218" s="176"/>
      <c r="W218" s="176"/>
      <c r="X218" s="176"/>
      <c r="Y218" s="176"/>
      <c r="Z218" s="176"/>
    </row>
    <row r="219">
      <c r="A219" s="226" t="s">
        <v>16</v>
      </c>
      <c r="B219" s="226" t="s">
        <v>5</v>
      </c>
      <c r="C219" s="250" t="s">
        <v>3171</v>
      </c>
      <c r="D219" s="268" t="s">
        <v>495</v>
      </c>
      <c r="E219" s="251">
        <v>44175.0</v>
      </c>
      <c r="F219" s="250" t="s">
        <v>496</v>
      </c>
      <c r="G219" s="171">
        <v>21.0</v>
      </c>
      <c r="H219" s="171">
        <v>60.0</v>
      </c>
      <c r="I219" s="171">
        <v>50.0</v>
      </c>
      <c r="J219" s="325">
        <f t="shared" si="2"/>
        <v>0.002230994692</v>
      </c>
      <c r="K219" s="326">
        <f t="shared" si="12"/>
        <v>1.6810545</v>
      </c>
      <c r="L219" s="327">
        <f t="shared" si="4"/>
        <v>10.26614504</v>
      </c>
      <c r="M219" s="321" t="str">
        <f t="shared" si="5"/>
        <v>griffgreen</v>
      </c>
      <c r="N219" s="176">
        <f>IFERROR(__xludf.DUMMYFUNCTION("""COMPUTED_VALUE"""),12.0)</f>
        <v>12</v>
      </c>
      <c r="O219" s="243"/>
      <c r="P219" s="243"/>
      <c r="Q219" s="243"/>
      <c r="R219" s="243"/>
      <c r="S219" s="243"/>
      <c r="T219" s="243"/>
      <c r="U219" s="176"/>
      <c r="V219" s="176"/>
      <c r="W219" s="176"/>
      <c r="X219" s="176"/>
      <c r="Y219" s="176"/>
      <c r="Z219" s="176"/>
    </row>
    <row r="220">
      <c r="A220" s="226" t="s">
        <v>16</v>
      </c>
      <c r="B220" s="226" t="s">
        <v>10</v>
      </c>
      <c r="C220" s="250" t="s">
        <v>3194</v>
      </c>
      <c r="D220" s="268" t="s">
        <v>495</v>
      </c>
      <c r="E220" s="251">
        <v>44176.0</v>
      </c>
      <c r="F220" s="250" t="s">
        <v>496</v>
      </c>
      <c r="G220" s="171">
        <v>21.0</v>
      </c>
      <c r="H220" s="171">
        <v>130.0</v>
      </c>
      <c r="I220" s="171">
        <v>100.0</v>
      </c>
      <c r="J220" s="325">
        <f t="shared" si="2"/>
        <v>0.003789070956</v>
      </c>
      <c r="K220" s="326">
        <f t="shared" si="12"/>
        <v>2.855064965</v>
      </c>
      <c r="L220" s="327">
        <f t="shared" si="4"/>
        <v>10.26614504</v>
      </c>
      <c r="M220" s="321" t="str">
        <f t="shared" si="5"/>
        <v>griffgreen</v>
      </c>
      <c r="N220" s="176">
        <f>IFERROR(__xludf.DUMMYFUNCTION("""COMPUTED_VALUE"""),13.0)</f>
        <v>13</v>
      </c>
      <c r="O220" s="243"/>
      <c r="P220" s="243"/>
      <c r="Q220" s="243"/>
      <c r="R220" s="243"/>
      <c r="S220" s="243"/>
      <c r="T220" s="243"/>
      <c r="U220" s="176"/>
      <c r="V220" s="176"/>
      <c r="W220" s="176"/>
      <c r="X220" s="176"/>
      <c r="Y220" s="176"/>
      <c r="Z220" s="176"/>
    </row>
    <row r="221">
      <c r="A221" s="226" t="s">
        <v>16</v>
      </c>
      <c r="B221" s="226" t="s">
        <v>10</v>
      </c>
      <c r="C221" s="250" t="s">
        <v>3256</v>
      </c>
      <c r="D221" s="268" t="s">
        <v>495</v>
      </c>
      <c r="E221" s="251">
        <v>44176.0</v>
      </c>
      <c r="F221" s="250" t="s">
        <v>496</v>
      </c>
      <c r="G221" s="171">
        <v>3.0</v>
      </c>
      <c r="H221" s="171">
        <v>300.0</v>
      </c>
      <c r="I221" s="171">
        <v>100.0</v>
      </c>
      <c r="J221" s="325">
        <f t="shared" si="2"/>
        <v>0.00514239327</v>
      </c>
      <c r="K221" s="326">
        <f t="shared" si="12"/>
        <v>3.874793329</v>
      </c>
      <c r="L221" s="327">
        <f t="shared" si="4"/>
        <v>10.26614504</v>
      </c>
      <c r="M221" s="321" t="str">
        <f t="shared" si="5"/>
        <v>griffgreen</v>
      </c>
      <c r="N221" s="176">
        <f>IFERROR(__xludf.DUMMYFUNCTION("""COMPUTED_VALUE"""),14.0)</f>
        <v>14</v>
      </c>
      <c r="O221" s="243"/>
      <c r="P221" s="243"/>
      <c r="Q221" s="243"/>
      <c r="R221" s="243"/>
      <c r="S221" s="243"/>
      <c r="T221" s="243"/>
      <c r="U221" s="176"/>
      <c r="V221" s="176"/>
      <c r="W221" s="176"/>
      <c r="X221" s="176"/>
      <c r="Y221" s="176"/>
      <c r="Z221" s="176"/>
    </row>
    <row r="222">
      <c r="A222" s="226" t="s">
        <v>16</v>
      </c>
      <c r="B222" s="226" t="s">
        <v>10</v>
      </c>
      <c r="C222" s="250" t="s">
        <v>3257</v>
      </c>
      <c r="D222" s="268" t="s">
        <v>495</v>
      </c>
      <c r="E222" s="251">
        <v>44176.0</v>
      </c>
      <c r="F222" s="250" t="s">
        <v>496</v>
      </c>
      <c r="G222" s="171">
        <v>21.0</v>
      </c>
      <c r="H222" s="171">
        <v>200.0</v>
      </c>
      <c r="I222" s="171">
        <v>50.0</v>
      </c>
      <c r="J222" s="325">
        <f t="shared" si="2"/>
        <v>0.003904894999</v>
      </c>
      <c r="K222" s="326">
        <f t="shared" si="12"/>
        <v>2.942338382</v>
      </c>
      <c r="L222" s="327">
        <f t="shared" si="4"/>
        <v>10.26614504</v>
      </c>
      <c r="M222" s="321" t="str">
        <f t="shared" si="5"/>
        <v>griffgreen</v>
      </c>
      <c r="N222" s="176">
        <f>IFERROR(__xludf.DUMMYFUNCTION("""COMPUTED_VALUE"""),15.0)</f>
        <v>15</v>
      </c>
      <c r="O222" s="243"/>
      <c r="P222" s="243"/>
      <c r="Q222" s="243"/>
      <c r="R222" s="243"/>
      <c r="S222" s="243"/>
      <c r="T222" s="243"/>
      <c r="U222" s="176"/>
      <c r="V222" s="176"/>
      <c r="W222" s="176"/>
      <c r="X222" s="176"/>
      <c r="Y222" s="176"/>
      <c r="Z222" s="176"/>
    </row>
    <row r="223">
      <c r="A223" s="226" t="s">
        <v>16</v>
      </c>
      <c r="B223" s="226" t="s">
        <v>10</v>
      </c>
      <c r="C223" s="250" t="s">
        <v>3176</v>
      </c>
      <c r="D223" s="268" t="s">
        <v>495</v>
      </c>
      <c r="E223" s="251">
        <v>44176.0</v>
      </c>
      <c r="F223" s="250" t="s">
        <v>496</v>
      </c>
      <c r="G223" s="171">
        <v>2.0</v>
      </c>
      <c r="H223" s="171">
        <v>45.0</v>
      </c>
      <c r="I223" s="171">
        <v>50.0</v>
      </c>
      <c r="J223" s="325">
        <f t="shared" si="2"/>
        <v>0.001334640041</v>
      </c>
      <c r="K223" s="326">
        <f t="shared" si="12"/>
        <v>1.005651271</v>
      </c>
      <c r="L223" s="327">
        <f t="shared" si="4"/>
        <v>10.26614504</v>
      </c>
      <c r="M223" s="321" t="str">
        <f t="shared" si="5"/>
        <v>griffgreen</v>
      </c>
      <c r="N223" s="176">
        <f>IFERROR(__xludf.DUMMYFUNCTION("""COMPUTED_VALUE"""),16.0)</f>
        <v>16</v>
      </c>
      <c r="O223" s="243"/>
      <c r="P223" s="243"/>
      <c r="Q223" s="243"/>
      <c r="R223" s="243"/>
      <c r="S223" s="243"/>
      <c r="T223" s="243"/>
      <c r="U223" s="176"/>
      <c r="V223" s="176"/>
      <c r="W223" s="176"/>
      <c r="X223" s="176"/>
      <c r="Y223" s="176"/>
      <c r="Z223" s="176"/>
    </row>
    <row r="224">
      <c r="A224" s="226" t="s">
        <v>16</v>
      </c>
      <c r="B224" s="226" t="s">
        <v>5</v>
      </c>
      <c r="C224" s="250" t="s">
        <v>3177</v>
      </c>
      <c r="D224" s="268" t="s">
        <v>495</v>
      </c>
      <c r="E224" s="251">
        <v>44176.0</v>
      </c>
      <c r="F224" s="250" t="s">
        <v>496</v>
      </c>
      <c r="G224" s="171">
        <v>21.0</v>
      </c>
      <c r="H224" s="171">
        <v>60.0</v>
      </c>
      <c r="I224" s="171">
        <v>50.0</v>
      </c>
      <c r="J224" s="325">
        <f t="shared" si="2"/>
        <v>0.002230994692</v>
      </c>
      <c r="K224" s="326">
        <f t="shared" si="12"/>
        <v>1.6810545</v>
      </c>
      <c r="L224" s="327">
        <f t="shared" si="4"/>
        <v>10.26614504</v>
      </c>
      <c r="M224" s="321" t="str">
        <f t="shared" si="5"/>
        <v>griffgreen</v>
      </c>
      <c r="N224" s="176">
        <f>IFERROR(__xludf.DUMMYFUNCTION("""COMPUTED_VALUE"""),17.0)</f>
        <v>17</v>
      </c>
      <c r="O224" s="243"/>
      <c r="P224" s="243"/>
      <c r="Q224" s="243"/>
      <c r="R224" s="243"/>
      <c r="S224" s="243"/>
      <c r="T224" s="243"/>
      <c r="U224" s="176"/>
      <c r="V224" s="176"/>
      <c r="W224" s="176"/>
      <c r="X224" s="176"/>
      <c r="Y224" s="176"/>
      <c r="Z224" s="176"/>
    </row>
    <row r="225">
      <c r="A225" s="226" t="s">
        <v>16</v>
      </c>
      <c r="B225" s="226" t="s">
        <v>5</v>
      </c>
      <c r="C225" s="250" t="s">
        <v>3178</v>
      </c>
      <c r="D225" s="268" t="s">
        <v>495</v>
      </c>
      <c r="E225" s="251">
        <v>44176.0</v>
      </c>
      <c r="F225" s="250" t="s">
        <v>496</v>
      </c>
      <c r="G225" s="171">
        <v>21.0</v>
      </c>
      <c r="H225" s="171">
        <v>60.0</v>
      </c>
      <c r="I225" s="171">
        <v>50.0</v>
      </c>
      <c r="J225" s="325">
        <f t="shared" si="2"/>
        <v>0.002230994692</v>
      </c>
      <c r="K225" s="326">
        <f t="shared" si="12"/>
        <v>1.6810545</v>
      </c>
      <c r="L225" s="327">
        <f t="shared" si="4"/>
        <v>10.26614504</v>
      </c>
      <c r="M225" s="321" t="str">
        <f t="shared" si="5"/>
        <v>griffgreen</v>
      </c>
      <c r="N225" s="176">
        <f>IFERROR(__xludf.DUMMYFUNCTION("""COMPUTED_VALUE"""),18.0)</f>
        <v>18</v>
      </c>
      <c r="O225" s="243"/>
      <c r="P225" s="243"/>
      <c r="Q225" s="243"/>
      <c r="R225" s="243"/>
      <c r="S225" s="243"/>
      <c r="T225" s="243"/>
      <c r="U225" s="176"/>
      <c r="V225" s="176"/>
      <c r="W225" s="176"/>
      <c r="X225" s="176"/>
      <c r="Y225" s="176"/>
      <c r="Z225" s="176"/>
    </row>
    <row r="226">
      <c r="A226" s="226" t="s">
        <v>16</v>
      </c>
      <c r="B226" s="226" t="s">
        <v>519</v>
      </c>
      <c r="C226" s="250" t="s">
        <v>3229</v>
      </c>
      <c r="D226" s="268" t="s">
        <v>495</v>
      </c>
      <c r="E226" s="251">
        <v>44178.0</v>
      </c>
      <c r="F226" s="250" t="s">
        <v>496</v>
      </c>
      <c r="G226" s="171">
        <v>21.0</v>
      </c>
      <c r="H226" s="171">
        <v>80.0</v>
      </c>
      <c r="I226" s="171">
        <v>50.0</v>
      </c>
      <c r="J226" s="325">
        <f t="shared" si="2"/>
        <v>0.002470123307</v>
      </c>
      <c r="K226" s="326">
        <f t="shared" si="12"/>
        <v>1.861237912</v>
      </c>
      <c r="L226" s="327">
        <f t="shared" si="4"/>
        <v>10.26614504</v>
      </c>
      <c r="M226" s="321" t="str">
        <f t="shared" si="5"/>
        <v>griffgreen</v>
      </c>
      <c r="N226" s="176">
        <f>IFERROR(__xludf.DUMMYFUNCTION("""COMPUTED_VALUE"""),19.0)</f>
        <v>19</v>
      </c>
      <c r="O226" s="243"/>
      <c r="P226" s="243"/>
      <c r="Q226" s="243"/>
      <c r="R226" s="243"/>
      <c r="S226" s="243"/>
      <c r="T226" s="243"/>
      <c r="U226" s="176"/>
      <c r="V226" s="176"/>
      <c r="W226" s="176"/>
      <c r="X226" s="176"/>
      <c r="Y226" s="176"/>
      <c r="Z226" s="176"/>
    </row>
    <row r="227">
      <c r="A227" s="226" t="s">
        <v>16</v>
      </c>
      <c r="B227" s="226" t="s">
        <v>519</v>
      </c>
      <c r="C227" s="250" t="s">
        <v>3258</v>
      </c>
      <c r="D227" s="268" t="s">
        <v>495</v>
      </c>
      <c r="E227" s="251">
        <v>44178.0</v>
      </c>
      <c r="F227" s="250" t="s">
        <v>496</v>
      </c>
      <c r="G227" s="171">
        <v>21.0</v>
      </c>
      <c r="H227" s="171">
        <v>50.0</v>
      </c>
      <c r="I227" s="171">
        <v>50.0</v>
      </c>
      <c r="J227" s="325">
        <f t="shared" si="2"/>
        <v>0.002111430384</v>
      </c>
      <c r="K227" s="326">
        <f t="shared" si="12"/>
        <v>1.590962794</v>
      </c>
      <c r="L227" s="327">
        <f t="shared" si="4"/>
        <v>10.26614504</v>
      </c>
      <c r="M227" s="321" t="str">
        <f t="shared" si="5"/>
        <v>griffgreen</v>
      </c>
      <c r="N227" s="176">
        <f>IFERROR(__xludf.DUMMYFUNCTION("""COMPUTED_VALUE"""),20.0)</f>
        <v>20</v>
      </c>
      <c r="O227" s="243"/>
      <c r="P227" s="243"/>
      <c r="Q227" s="243"/>
      <c r="R227" s="243"/>
      <c r="S227" s="243"/>
      <c r="T227" s="243"/>
      <c r="U227" s="176"/>
      <c r="V227" s="176"/>
      <c r="W227" s="176"/>
      <c r="X227" s="176"/>
      <c r="Y227" s="176"/>
      <c r="Z227" s="176"/>
    </row>
    <row r="228">
      <c r="A228" s="226" t="s">
        <v>16</v>
      </c>
      <c r="B228" s="226" t="s">
        <v>519</v>
      </c>
      <c r="C228" s="250" t="s">
        <v>3198</v>
      </c>
      <c r="D228" s="268" t="s">
        <v>495</v>
      </c>
      <c r="E228" s="251">
        <v>44178.0</v>
      </c>
      <c r="F228" s="250" t="s">
        <v>496</v>
      </c>
      <c r="G228" s="171">
        <v>21.0</v>
      </c>
      <c r="H228" s="171">
        <v>60.0</v>
      </c>
      <c r="I228" s="171">
        <v>50.0</v>
      </c>
      <c r="J228" s="325">
        <f t="shared" si="2"/>
        <v>0.002230994692</v>
      </c>
      <c r="K228" s="326">
        <f t="shared" si="12"/>
        <v>1.6810545</v>
      </c>
      <c r="L228" s="327">
        <f t="shared" si="4"/>
        <v>10.26614504</v>
      </c>
      <c r="M228" s="321" t="str">
        <f t="shared" si="5"/>
        <v>griffgreen</v>
      </c>
      <c r="N228" s="176">
        <f>IFERROR(__xludf.DUMMYFUNCTION("""COMPUTED_VALUE"""),21.0)</f>
        <v>21</v>
      </c>
      <c r="O228" s="243"/>
      <c r="P228" s="243"/>
      <c r="Q228" s="243"/>
      <c r="R228" s="243"/>
      <c r="S228" s="243"/>
      <c r="T228" s="243"/>
      <c r="U228" s="176"/>
      <c r="V228" s="176"/>
      <c r="W228" s="176"/>
      <c r="X228" s="176"/>
      <c r="Y228" s="176"/>
      <c r="Z228" s="176"/>
    </row>
    <row r="229">
      <c r="A229" s="226" t="s">
        <v>16</v>
      </c>
      <c r="B229" s="226" t="s">
        <v>519</v>
      </c>
      <c r="C229" s="250" t="s">
        <v>3259</v>
      </c>
      <c r="D229" s="268" t="s">
        <v>495</v>
      </c>
      <c r="E229" s="251">
        <v>44178.0</v>
      </c>
      <c r="F229" s="250" t="s">
        <v>496</v>
      </c>
      <c r="G229" s="171">
        <v>89.0</v>
      </c>
      <c r="H229" s="171">
        <v>100.0</v>
      </c>
      <c r="I229" s="171">
        <v>50.0</v>
      </c>
      <c r="J229" s="325">
        <f t="shared" si="2"/>
        <v>0.005275386493</v>
      </c>
      <c r="K229" s="326">
        <f t="shared" si="12"/>
        <v>3.975003723</v>
      </c>
      <c r="L229" s="327">
        <f t="shared" si="4"/>
        <v>10.26614504</v>
      </c>
      <c r="M229" s="321" t="str">
        <f t="shared" si="5"/>
        <v>griffgreen</v>
      </c>
      <c r="N229" s="176">
        <f>IFERROR(__xludf.DUMMYFUNCTION("""COMPUTED_VALUE"""),22.0)</f>
        <v>22</v>
      </c>
      <c r="O229" s="243"/>
      <c r="P229" s="243"/>
      <c r="Q229" s="243"/>
      <c r="R229" s="243"/>
      <c r="S229" s="243"/>
      <c r="T229" s="243"/>
      <c r="U229" s="176"/>
      <c r="V229" s="176"/>
      <c r="W229" s="176"/>
      <c r="X229" s="176"/>
      <c r="Y229" s="176"/>
      <c r="Z229" s="176"/>
    </row>
    <row r="230">
      <c r="A230" s="226" t="s">
        <v>16</v>
      </c>
      <c r="B230" s="226" t="s">
        <v>25</v>
      </c>
      <c r="C230" s="250" t="s">
        <v>3179</v>
      </c>
      <c r="D230" s="268" t="s">
        <v>495</v>
      </c>
      <c r="E230" s="251">
        <v>44178.0</v>
      </c>
      <c r="F230" s="250" t="s">
        <v>496</v>
      </c>
      <c r="G230" s="171">
        <v>21.0</v>
      </c>
      <c r="H230" s="171">
        <v>30.0</v>
      </c>
      <c r="I230" s="171">
        <v>50.0</v>
      </c>
      <c r="J230" s="325">
        <f t="shared" si="2"/>
        <v>0.001872301769</v>
      </c>
      <c r="K230" s="326">
        <f t="shared" si="12"/>
        <v>1.410779383</v>
      </c>
      <c r="L230" s="327">
        <f t="shared" si="4"/>
        <v>10.26614504</v>
      </c>
      <c r="M230" s="321" t="str">
        <f t="shared" si="5"/>
        <v>griffgreen</v>
      </c>
      <c r="N230" s="176">
        <f>IFERROR(__xludf.DUMMYFUNCTION("""COMPUTED_VALUE"""),23.0)</f>
        <v>23</v>
      </c>
      <c r="O230" s="243"/>
      <c r="P230" s="243"/>
      <c r="Q230" s="243"/>
      <c r="R230" s="243"/>
      <c r="S230" s="243"/>
      <c r="T230" s="243"/>
      <c r="U230" s="176"/>
      <c r="V230" s="176"/>
      <c r="W230" s="176"/>
      <c r="X230" s="176"/>
      <c r="Y230" s="176"/>
      <c r="Z230" s="176"/>
    </row>
    <row r="231">
      <c r="A231" s="226" t="s">
        <v>16</v>
      </c>
      <c r="B231" s="226" t="s">
        <v>1228</v>
      </c>
      <c r="C231" s="250" t="s">
        <v>3260</v>
      </c>
      <c r="D231" s="268" t="s">
        <v>495</v>
      </c>
      <c r="E231" s="251">
        <v>44179.0</v>
      </c>
      <c r="F231" s="250" t="s">
        <v>496</v>
      </c>
      <c r="G231" s="171">
        <v>5.0</v>
      </c>
      <c r="H231" s="171">
        <v>90.0</v>
      </c>
      <c r="I231" s="171">
        <v>50.0</v>
      </c>
      <c r="J231" s="325">
        <f t="shared" si="2"/>
        <v>0.001985891245</v>
      </c>
      <c r="K231" s="326">
        <f t="shared" si="12"/>
        <v>1.496369053</v>
      </c>
      <c r="L231" s="327">
        <f t="shared" si="4"/>
        <v>10.26614504</v>
      </c>
      <c r="M231" s="321" t="str">
        <f t="shared" si="5"/>
        <v>griffgreen</v>
      </c>
      <c r="N231" s="176">
        <f>IFERROR(__xludf.DUMMYFUNCTION("""COMPUTED_VALUE"""),24.0)</f>
        <v>24</v>
      </c>
      <c r="O231" s="243"/>
      <c r="P231" s="243"/>
      <c r="Q231" s="243"/>
      <c r="R231" s="243"/>
      <c r="S231" s="243"/>
      <c r="T231" s="243"/>
      <c r="U231" s="176"/>
      <c r="V231" s="176"/>
      <c r="W231" s="176"/>
      <c r="X231" s="176"/>
      <c r="Y231" s="176"/>
      <c r="Z231" s="176"/>
    </row>
    <row r="232">
      <c r="A232" s="226" t="s">
        <v>16</v>
      </c>
      <c r="B232" s="226" t="s">
        <v>590</v>
      </c>
      <c r="C232" s="250" t="s">
        <v>3180</v>
      </c>
      <c r="D232" s="268" t="s">
        <v>495</v>
      </c>
      <c r="E232" s="251">
        <v>44180.0</v>
      </c>
      <c r="F232" s="250" t="s">
        <v>496</v>
      </c>
      <c r="G232" s="171">
        <v>5.0</v>
      </c>
      <c r="H232" s="171">
        <v>60.0</v>
      </c>
      <c r="I232" s="171">
        <v>50.0</v>
      </c>
      <c r="J232" s="325">
        <f t="shared" si="2"/>
        <v>0.001627198322</v>
      </c>
      <c r="K232" s="326">
        <f t="shared" si="12"/>
        <v>1.226093936</v>
      </c>
      <c r="L232" s="327">
        <f t="shared" si="4"/>
        <v>10.26614504</v>
      </c>
      <c r="M232" s="321" t="str">
        <f t="shared" si="5"/>
        <v>griffgreen</v>
      </c>
      <c r="N232" s="176">
        <f>IFERROR(__xludf.DUMMYFUNCTION("""COMPUTED_VALUE"""),25.0)</f>
        <v>25</v>
      </c>
      <c r="O232" s="243"/>
      <c r="P232" s="243"/>
      <c r="Q232" s="243"/>
      <c r="R232" s="243"/>
      <c r="S232" s="243"/>
      <c r="T232" s="243"/>
      <c r="U232" s="176"/>
      <c r="V232" s="176"/>
      <c r="W232" s="176"/>
      <c r="X232" s="176"/>
      <c r="Y232" s="176"/>
      <c r="Z232" s="176"/>
    </row>
    <row r="233">
      <c r="A233" s="226" t="s">
        <v>16</v>
      </c>
      <c r="B233" s="226" t="s">
        <v>18</v>
      </c>
      <c r="C233" s="250" t="s">
        <v>3181</v>
      </c>
      <c r="D233" s="268" t="s">
        <v>495</v>
      </c>
      <c r="E233" s="251">
        <v>44180.0</v>
      </c>
      <c r="F233" s="250" t="s">
        <v>496</v>
      </c>
      <c r="G233" s="171">
        <v>5.0</v>
      </c>
      <c r="H233" s="171">
        <v>45.0</v>
      </c>
      <c r="I233" s="171">
        <v>50.0</v>
      </c>
      <c r="J233" s="325">
        <f t="shared" si="2"/>
        <v>0.001447851861</v>
      </c>
      <c r="K233" s="326">
        <f t="shared" si="12"/>
        <v>1.090956377</v>
      </c>
      <c r="L233" s="327">
        <f t="shared" si="4"/>
        <v>10.26614504</v>
      </c>
      <c r="M233" s="321" t="str">
        <f t="shared" si="5"/>
        <v>griffgreen</v>
      </c>
      <c r="N233" s="176">
        <f>IFERROR(__xludf.DUMMYFUNCTION("""COMPUTED_VALUE"""),26.0)</f>
        <v>26</v>
      </c>
      <c r="O233" s="243"/>
      <c r="P233" s="243"/>
      <c r="Q233" s="243"/>
      <c r="R233" s="243"/>
      <c r="S233" s="243"/>
      <c r="T233" s="243"/>
      <c r="U233" s="176"/>
      <c r="V233" s="176"/>
      <c r="W233" s="176"/>
      <c r="X233" s="176"/>
      <c r="Y233" s="176"/>
      <c r="Z233" s="176"/>
    </row>
    <row r="234">
      <c r="A234" s="226" t="s">
        <v>16</v>
      </c>
      <c r="B234" s="226" t="s">
        <v>590</v>
      </c>
      <c r="C234" s="250" t="s">
        <v>3261</v>
      </c>
      <c r="D234" s="268" t="s">
        <v>495</v>
      </c>
      <c r="E234" s="251">
        <v>44181.0</v>
      </c>
      <c r="F234" s="250" t="s">
        <v>496</v>
      </c>
      <c r="G234" s="171">
        <v>21.0</v>
      </c>
      <c r="H234" s="171">
        <v>100.0</v>
      </c>
      <c r="I234" s="171">
        <v>50.0</v>
      </c>
      <c r="J234" s="325">
        <f t="shared" si="2"/>
        <v>0.002709251922</v>
      </c>
      <c r="K234" s="326">
        <f t="shared" si="12"/>
        <v>2.041421323</v>
      </c>
      <c r="L234" s="327">
        <f t="shared" si="4"/>
        <v>10.26614504</v>
      </c>
      <c r="M234" s="321" t="str">
        <f t="shared" si="5"/>
        <v>griffgreen</v>
      </c>
      <c r="N234" s="176">
        <f>IFERROR(__xludf.DUMMYFUNCTION("""COMPUTED_VALUE"""),27.0)</f>
        <v>27</v>
      </c>
      <c r="O234" s="243"/>
      <c r="P234" s="243"/>
      <c r="Q234" s="243"/>
      <c r="R234" s="243"/>
      <c r="S234" s="243"/>
      <c r="T234" s="243"/>
      <c r="U234" s="176"/>
      <c r="V234" s="176"/>
      <c r="W234" s="176"/>
      <c r="X234" s="176"/>
      <c r="Y234" s="176"/>
      <c r="Z234" s="176"/>
    </row>
    <row r="235">
      <c r="A235" s="226" t="s">
        <v>16</v>
      </c>
      <c r="B235" s="226" t="s">
        <v>1228</v>
      </c>
      <c r="C235" s="250" t="s">
        <v>3183</v>
      </c>
      <c r="D235" s="268" t="s">
        <v>495</v>
      </c>
      <c r="E235" s="251">
        <v>44182.0</v>
      </c>
      <c r="F235" s="250" t="s">
        <v>496</v>
      </c>
      <c r="G235" s="171">
        <v>21.0</v>
      </c>
      <c r="H235" s="171">
        <v>60.0</v>
      </c>
      <c r="I235" s="171">
        <v>50.0</v>
      </c>
      <c r="J235" s="325">
        <f t="shared" si="2"/>
        <v>0.002230994692</v>
      </c>
      <c r="K235" s="326">
        <f t="shared" si="12"/>
        <v>1.6810545</v>
      </c>
      <c r="L235" s="327">
        <f t="shared" si="4"/>
        <v>10.26614504</v>
      </c>
      <c r="M235" s="321" t="str">
        <f t="shared" si="5"/>
        <v>griffgreen</v>
      </c>
      <c r="N235" s="176">
        <f>IFERROR(__xludf.DUMMYFUNCTION("""COMPUTED_VALUE"""),28.0)</f>
        <v>28</v>
      </c>
      <c r="O235" s="243"/>
      <c r="P235" s="243"/>
      <c r="Q235" s="243"/>
      <c r="R235" s="243"/>
      <c r="S235" s="243"/>
      <c r="T235" s="243"/>
      <c r="U235" s="176"/>
      <c r="V235" s="176"/>
      <c r="W235" s="176"/>
      <c r="X235" s="176"/>
      <c r="Y235" s="176"/>
      <c r="Z235" s="176"/>
    </row>
    <row r="236">
      <c r="A236" s="226" t="s">
        <v>16</v>
      </c>
      <c r="B236" s="226" t="s">
        <v>590</v>
      </c>
      <c r="C236" s="250" t="s">
        <v>3184</v>
      </c>
      <c r="D236" s="268" t="s">
        <v>495</v>
      </c>
      <c r="E236" s="251">
        <v>44182.0</v>
      </c>
      <c r="F236" s="250" t="s">
        <v>496</v>
      </c>
      <c r="G236" s="171">
        <v>5.0</v>
      </c>
      <c r="H236" s="171">
        <v>60.0</v>
      </c>
      <c r="I236" s="171">
        <v>50.0</v>
      </c>
      <c r="J236" s="325">
        <f t="shared" si="2"/>
        <v>0.001627198322</v>
      </c>
      <c r="K236" s="326">
        <f t="shared" si="12"/>
        <v>1.226093936</v>
      </c>
      <c r="L236" s="327">
        <f t="shared" si="4"/>
        <v>10.26614504</v>
      </c>
      <c r="M236" s="321" t="str">
        <f t="shared" si="5"/>
        <v>griffgreen</v>
      </c>
      <c r="N236" s="176">
        <f>IFERROR(__xludf.DUMMYFUNCTION("""COMPUTED_VALUE"""),29.0)</f>
        <v>29</v>
      </c>
      <c r="O236" s="243"/>
      <c r="P236" s="243"/>
      <c r="Q236" s="243"/>
      <c r="R236" s="243"/>
      <c r="S236" s="243"/>
      <c r="T236" s="243"/>
      <c r="U236" s="176"/>
      <c r="V236" s="176"/>
      <c r="W236" s="176"/>
      <c r="X236" s="176"/>
      <c r="Y236" s="176"/>
      <c r="Z236" s="176"/>
    </row>
    <row r="237">
      <c r="A237" s="226" t="s">
        <v>16</v>
      </c>
      <c r="B237" s="226" t="s">
        <v>10</v>
      </c>
      <c r="C237" s="250" t="s">
        <v>3262</v>
      </c>
      <c r="D237" s="268" t="s">
        <v>495</v>
      </c>
      <c r="E237" s="251">
        <v>44183.0</v>
      </c>
      <c r="F237" s="250" t="s">
        <v>496</v>
      </c>
      <c r="G237" s="171">
        <v>5.0</v>
      </c>
      <c r="H237" s="171">
        <v>10.0</v>
      </c>
      <c r="I237" s="171">
        <v>20.0</v>
      </c>
      <c r="J237" s="325">
        <f t="shared" si="2"/>
        <v>0.0005967011174</v>
      </c>
      <c r="K237" s="326">
        <f t="shared" si="12"/>
        <v>0.449614292</v>
      </c>
      <c r="L237" s="327">
        <f t="shared" si="4"/>
        <v>10.26614504</v>
      </c>
      <c r="M237" s="321" t="str">
        <f t="shared" si="5"/>
        <v>griffgreen</v>
      </c>
      <c r="N237" s="176">
        <f>IFERROR(__xludf.DUMMYFUNCTION("""COMPUTED_VALUE"""),30.0)</f>
        <v>30</v>
      </c>
      <c r="O237" s="243"/>
      <c r="P237" s="243"/>
      <c r="Q237" s="243"/>
      <c r="R237" s="243"/>
      <c r="S237" s="243"/>
      <c r="T237" s="243"/>
      <c r="U237" s="176"/>
      <c r="V237" s="176"/>
      <c r="W237" s="176"/>
      <c r="X237" s="176"/>
      <c r="Y237" s="176"/>
      <c r="Z237" s="176"/>
    </row>
    <row r="238">
      <c r="A238" s="226" t="s">
        <v>16</v>
      </c>
      <c r="B238" s="226" t="s">
        <v>10</v>
      </c>
      <c r="C238" s="250" t="s">
        <v>3188</v>
      </c>
      <c r="D238" s="268" t="s">
        <v>495</v>
      </c>
      <c r="E238" s="251">
        <v>44183.0</v>
      </c>
      <c r="F238" s="250" t="s">
        <v>496</v>
      </c>
      <c r="G238" s="171">
        <v>5.0</v>
      </c>
      <c r="H238" s="171">
        <v>60.0</v>
      </c>
      <c r="I238" s="171">
        <v>50.0</v>
      </c>
      <c r="J238" s="325">
        <f t="shared" si="2"/>
        <v>0.001627198322</v>
      </c>
      <c r="K238" s="326">
        <f t="shared" si="12"/>
        <v>1.226093936</v>
      </c>
      <c r="L238" s="327">
        <f t="shared" si="4"/>
        <v>10.26614504</v>
      </c>
      <c r="M238" s="321" t="str">
        <f t="shared" si="5"/>
        <v>griffgreen</v>
      </c>
      <c r="N238" s="176">
        <f>IFERROR(__xludf.DUMMYFUNCTION("""COMPUTED_VALUE"""),31.0)</f>
        <v>31</v>
      </c>
      <c r="O238" s="243"/>
      <c r="P238" s="243"/>
      <c r="Q238" s="243"/>
      <c r="R238" s="243"/>
      <c r="S238" s="243"/>
      <c r="T238" s="243"/>
      <c r="U238" s="176"/>
      <c r="V238" s="176"/>
      <c r="W238" s="176"/>
      <c r="X238" s="176"/>
      <c r="Y238" s="176"/>
      <c r="Z238" s="176"/>
    </row>
    <row r="239">
      <c r="A239" s="226" t="s">
        <v>16</v>
      </c>
      <c r="B239" s="226" t="s">
        <v>18</v>
      </c>
      <c r="C239" s="250" t="s">
        <v>3189</v>
      </c>
      <c r="D239" s="268" t="s">
        <v>495</v>
      </c>
      <c r="E239" s="251">
        <v>44183.0</v>
      </c>
      <c r="F239" s="250" t="s">
        <v>496</v>
      </c>
      <c r="G239" s="171">
        <v>5.0</v>
      </c>
      <c r="H239" s="171">
        <v>60.0</v>
      </c>
      <c r="I239" s="171">
        <v>50.0</v>
      </c>
      <c r="J239" s="325">
        <f t="shared" si="2"/>
        <v>0.001627198322</v>
      </c>
      <c r="K239" s="326">
        <f t="shared" si="12"/>
        <v>1.226093936</v>
      </c>
      <c r="L239" s="327">
        <f t="shared" si="4"/>
        <v>10.26614504</v>
      </c>
      <c r="M239" s="321" t="str">
        <f t="shared" si="5"/>
        <v>griffgreen</v>
      </c>
      <c r="N239" s="176">
        <f>IFERROR(__xludf.DUMMYFUNCTION("""COMPUTED_VALUE"""),32.0)</f>
        <v>32</v>
      </c>
      <c r="O239" s="243"/>
      <c r="P239" s="243"/>
      <c r="Q239" s="243"/>
      <c r="R239" s="243"/>
      <c r="S239" s="243"/>
      <c r="T239" s="243"/>
      <c r="U239" s="176"/>
      <c r="V239" s="176"/>
      <c r="W239" s="176"/>
      <c r="X239" s="176"/>
      <c r="Y239" s="176"/>
      <c r="Z239" s="176"/>
    </row>
    <row r="240">
      <c r="A240" s="226" t="s">
        <v>16</v>
      </c>
      <c r="B240" s="226" t="s">
        <v>18</v>
      </c>
      <c r="C240" s="250" t="s">
        <v>3190</v>
      </c>
      <c r="D240" s="268" t="s">
        <v>495</v>
      </c>
      <c r="E240" s="251">
        <v>44183.0</v>
      </c>
      <c r="F240" s="250" t="s">
        <v>496</v>
      </c>
      <c r="G240" s="171">
        <v>21.0</v>
      </c>
      <c r="H240" s="171">
        <v>45.0</v>
      </c>
      <c r="I240" s="171">
        <v>50.0</v>
      </c>
      <c r="J240" s="325">
        <f t="shared" si="2"/>
        <v>0.00205164823</v>
      </c>
      <c r="K240" s="326">
        <f t="shared" si="12"/>
        <v>1.545916941</v>
      </c>
      <c r="L240" s="327">
        <f t="shared" si="4"/>
        <v>10.26614504</v>
      </c>
      <c r="M240" s="321" t="str">
        <f t="shared" si="5"/>
        <v>griffgreen</v>
      </c>
      <c r="N240" s="176">
        <f>IFERROR(__xludf.DUMMYFUNCTION("""COMPUTED_VALUE"""),33.0)</f>
        <v>33</v>
      </c>
      <c r="O240" s="243"/>
      <c r="P240" s="243"/>
      <c r="Q240" s="243"/>
      <c r="R240" s="243"/>
      <c r="S240" s="243"/>
      <c r="T240" s="243"/>
      <c r="U240" s="176"/>
      <c r="V240" s="176"/>
      <c r="W240" s="176"/>
      <c r="X240" s="176"/>
      <c r="Y240" s="176"/>
      <c r="Z240" s="176"/>
    </row>
    <row r="241">
      <c r="A241" s="226" t="s">
        <v>16</v>
      </c>
      <c r="B241" s="226" t="s">
        <v>868</v>
      </c>
      <c r="C241" s="250" t="s">
        <v>3191</v>
      </c>
      <c r="D241" s="268" t="s">
        <v>495</v>
      </c>
      <c r="E241" s="251">
        <v>44183.0</v>
      </c>
      <c r="F241" s="250" t="s">
        <v>496</v>
      </c>
      <c r="G241" s="171">
        <v>5.0</v>
      </c>
      <c r="H241" s="171">
        <v>60.0</v>
      </c>
      <c r="I241" s="171">
        <v>50.0</v>
      </c>
      <c r="J241" s="325">
        <f t="shared" si="2"/>
        <v>0.001627198322</v>
      </c>
      <c r="K241" s="326">
        <f t="shared" si="12"/>
        <v>1.226093936</v>
      </c>
      <c r="L241" s="327">
        <f t="shared" si="4"/>
        <v>10.26614504</v>
      </c>
      <c r="M241" s="321" t="str">
        <f t="shared" si="5"/>
        <v>griffgreen</v>
      </c>
      <c r="N241" s="176">
        <f>IFERROR(__xludf.DUMMYFUNCTION("""COMPUTED_VALUE"""),34.0)</f>
        <v>34</v>
      </c>
      <c r="O241" s="243"/>
      <c r="P241" s="243"/>
      <c r="Q241" s="243"/>
      <c r="R241" s="243"/>
      <c r="S241" s="243"/>
      <c r="T241" s="243"/>
      <c r="U241" s="176"/>
      <c r="V241" s="176"/>
      <c r="W241" s="176"/>
      <c r="X241" s="176"/>
      <c r="Y241" s="176"/>
      <c r="Z241" s="176"/>
    </row>
    <row r="242">
      <c r="A242" s="240" t="s">
        <v>16</v>
      </c>
      <c r="B242" s="240" t="s">
        <v>534</v>
      </c>
      <c r="C242" s="256" t="s">
        <v>684</v>
      </c>
      <c r="D242" s="343"/>
      <c r="E242" s="344"/>
      <c r="F242" s="343"/>
      <c r="G242" s="253"/>
      <c r="H242" s="253"/>
      <c r="I242" s="253"/>
      <c r="J242" s="325"/>
      <c r="K242" s="337">
        <f>68.442*-0.85</f>
        <v>-58.1757</v>
      </c>
      <c r="L242" s="327">
        <f t="shared" si="4"/>
        <v>10.26614504</v>
      </c>
      <c r="M242" s="321" t="str">
        <f t="shared" si="5"/>
        <v>griffgreen</v>
      </c>
      <c r="N242" s="343">
        <f>IFERROR(__xludf.DUMMYFUNCTION("""COMPUTED_VALUE"""),35.0)</f>
        <v>35</v>
      </c>
      <c r="O242" s="343"/>
      <c r="P242" s="343"/>
      <c r="Q242" s="343"/>
      <c r="R242" s="343"/>
      <c r="S242" s="343"/>
      <c r="T242" s="343"/>
      <c r="U242" s="343"/>
      <c r="V242" s="343"/>
      <c r="W242" s="343"/>
      <c r="X242" s="343"/>
      <c r="Y242" s="226"/>
      <c r="Z242" s="226"/>
    </row>
    <row r="243">
      <c r="A243" s="226" t="s">
        <v>126</v>
      </c>
      <c r="B243" s="226" t="s">
        <v>519</v>
      </c>
      <c r="C243" s="250" t="s">
        <v>3263</v>
      </c>
      <c r="D243" s="268" t="s">
        <v>495</v>
      </c>
      <c r="E243" s="251">
        <v>44177.0</v>
      </c>
      <c r="F243" s="250" t="s">
        <v>499</v>
      </c>
      <c r="G243" s="171">
        <v>34.0</v>
      </c>
      <c r="H243" s="171">
        <v>200.0</v>
      </c>
      <c r="I243" s="171">
        <v>200.0</v>
      </c>
      <c r="J243" s="325">
        <f t="shared" ref="J243:J482" si="13">(G243/$G$2+H243/$H$2+I243/$I$2)/3</f>
        <v>0.006558857881</v>
      </c>
      <c r="K243" s="326">
        <f t="shared" ref="K243:K250" si="14">J243*$J$1</f>
        <v>4.942099413</v>
      </c>
      <c r="L243" s="327">
        <f t="shared" si="4"/>
        <v>9.884198827</v>
      </c>
      <c r="M243" s="321" t="str">
        <f t="shared" si="5"/>
        <v>auryn_macmillan</v>
      </c>
      <c r="N243" s="176">
        <f>IFERROR(__xludf.DUMMYFUNCTION("""COMPUTED_VALUE"""),1.0)</f>
        <v>1</v>
      </c>
      <c r="O243" s="243"/>
      <c r="P243" s="243"/>
      <c r="Q243" s="243"/>
      <c r="R243" s="243"/>
      <c r="S243" s="243"/>
      <c r="T243" s="243"/>
      <c r="U243" s="176"/>
      <c r="V243" s="176"/>
      <c r="W243" s="176"/>
      <c r="X243" s="176"/>
      <c r="Y243" s="176"/>
      <c r="Z243" s="176"/>
    </row>
    <row r="244">
      <c r="A244" s="226" t="s">
        <v>126</v>
      </c>
      <c r="B244" s="226" t="s">
        <v>519</v>
      </c>
      <c r="C244" s="250" t="s">
        <v>3264</v>
      </c>
      <c r="D244" s="268" t="s">
        <v>495</v>
      </c>
      <c r="E244" s="251">
        <v>44177.0</v>
      </c>
      <c r="F244" s="250" t="s">
        <v>499</v>
      </c>
      <c r="G244" s="171">
        <v>34.0</v>
      </c>
      <c r="H244" s="171">
        <v>200.0</v>
      </c>
      <c r="I244" s="171">
        <v>200.0</v>
      </c>
      <c r="J244" s="325">
        <f t="shared" si="13"/>
        <v>0.006558857881</v>
      </c>
      <c r="K244" s="326">
        <f t="shared" si="14"/>
        <v>4.942099413</v>
      </c>
      <c r="L244" s="327">
        <f t="shared" si="4"/>
        <v>9.884198827</v>
      </c>
      <c r="M244" s="321" t="str">
        <f t="shared" si="5"/>
        <v>auryn_macmillan</v>
      </c>
      <c r="N244" s="176">
        <f>IFERROR(__xludf.DUMMYFUNCTION("""COMPUTED_VALUE"""),2.0)</f>
        <v>2</v>
      </c>
      <c r="O244" s="243"/>
      <c r="P244" s="243"/>
      <c r="Q244" s="243"/>
      <c r="R244" s="243"/>
      <c r="S244" s="243"/>
      <c r="T244" s="243"/>
      <c r="U244" s="176"/>
      <c r="V244" s="176"/>
      <c r="W244" s="176"/>
      <c r="X244" s="176"/>
      <c r="Y244" s="176"/>
      <c r="Z244" s="176"/>
    </row>
    <row r="245">
      <c r="A245" s="226" t="s">
        <v>31</v>
      </c>
      <c r="B245" s="226" t="s">
        <v>519</v>
      </c>
      <c r="C245" s="250" t="s">
        <v>3265</v>
      </c>
      <c r="D245" s="268" t="s">
        <v>495</v>
      </c>
      <c r="E245" s="361">
        <v>44174.0</v>
      </c>
      <c r="F245" s="250" t="s">
        <v>499</v>
      </c>
      <c r="G245" s="171">
        <v>89.0</v>
      </c>
      <c r="H245" s="171">
        <v>90.0</v>
      </c>
      <c r="I245" s="171">
        <v>100.0</v>
      </c>
      <c r="J245" s="325">
        <f t="shared" si="13"/>
        <v>0.005876948296</v>
      </c>
      <c r="K245" s="326">
        <f t="shared" si="14"/>
        <v>4.428280541</v>
      </c>
      <c r="L245" s="327">
        <f t="shared" si="4"/>
        <v>8.946652788</v>
      </c>
      <c r="M245" s="321" t="str">
        <f t="shared" si="5"/>
        <v>sponnet2</v>
      </c>
      <c r="N245" s="176">
        <f>IFERROR(__xludf.DUMMYFUNCTION("""COMPUTED_VALUE"""),1.0)</f>
        <v>1</v>
      </c>
      <c r="O245" s="243"/>
      <c r="P245" s="243"/>
      <c r="Q245" s="243"/>
      <c r="R245" s="243"/>
      <c r="S245" s="243"/>
      <c r="T245" s="243"/>
      <c r="U245" s="176"/>
      <c r="V245" s="176"/>
      <c r="W245" s="176"/>
      <c r="X245" s="176"/>
      <c r="Y245" s="176"/>
      <c r="Z245" s="176"/>
    </row>
    <row r="246">
      <c r="A246" s="226" t="s">
        <v>31</v>
      </c>
      <c r="B246" s="226" t="s">
        <v>519</v>
      </c>
      <c r="C246" s="250" t="s">
        <v>3259</v>
      </c>
      <c r="D246" s="268" t="s">
        <v>495</v>
      </c>
      <c r="E246" s="251">
        <v>44178.0</v>
      </c>
      <c r="F246" s="250" t="s">
        <v>496</v>
      </c>
      <c r="G246" s="171">
        <v>89.0</v>
      </c>
      <c r="H246" s="171">
        <v>100.0</v>
      </c>
      <c r="I246" s="171">
        <v>100.0</v>
      </c>
      <c r="J246" s="325">
        <f t="shared" si="13"/>
        <v>0.005996512604</v>
      </c>
      <c r="K246" s="326">
        <f t="shared" si="14"/>
        <v>4.518372247</v>
      </c>
      <c r="L246" s="327">
        <f t="shared" si="4"/>
        <v>8.946652788</v>
      </c>
      <c r="M246" s="321" t="str">
        <f t="shared" si="5"/>
        <v>sponnet2</v>
      </c>
      <c r="N246" s="176">
        <f>IFERROR(__xludf.DUMMYFUNCTION("""COMPUTED_VALUE"""),2.0)</f>
        <v>2</v>
      </c>
      <c r="O246" s="243"/>
      <c r="P246" s="243"/>
      <c r="Q246" s="243"/>
      <c r="R246" s="243"/>
      <c r="S246" s="243"/>
      <c r="T246" s="243"/>
      <c r="U246" s="176"/>
      <c r="V246" s="176"/>
      <c r="W246" s="176"/>
      <c r="X246" s="176"/>
      <c r="Y246" s="176"/>
      <c r="Z246" s="176"/>
    </row>
    <row r="247">
      <c r="A247" s="226" t="s">
        <v>118</v>
      </c>
      <c r="B247" s="226" t="s">
        <v>25</v>
      </c>
      <c r="C247" s="250" t="s">
        <v>3266</v>
      </c>
      <c r="D247" s="268" t="s">
        <v>495</v>
      </c>
      <c r="E247" s="361">
        <v>44173.0</v>
      </c>
      <c r="F247" s="250" t="s">
        <v>496</v>
      </c>
      <c r="G247" s="171">
        <v>144.0</v>
      </c>
      <c r="H247" s="171">
        <v>110.0</v>
      </c>
      <c r="I247" s="171">
        <v>100.0</v>
      </c>
      <c r="J247" s="325">
        <f t="shared" si="13"/>
        <v>0.008191626932</v>
      </c>
      <c r="K247" s="326">
        <f t="shared" si="14"/>
        <v>6.172390894</v>
      </c>
      <c r="L247" s="327">
        <f t="shared" si="4"/>
        <v>8.896925236</v>
      </c>
      <c r="M247" s="321" t="str">
        <f t="shared" si="5"/>
        <v>katalenacaban</v>
      </c>
      <c r="N247" s="176">
        <f>IFERROR(__xludf.DUMMYFUNCTION("""COMPUTED_VALUE"""),1.0)</f>
        <v>1</v>
      </c>
      <c r="O247" s="243"/>
      <c r="P247" s="243"/>
      <c r="Q247" s="243"/>
      <c r="R247" s="243"/>
      <c r="S247" s="243"/>
      <c r="T247" s="243"/>
      <c r="U247" s="176"/>
      <c r="V247" s="176"/>
      <c r="W247" s="176"/>
      <c r="X247" s="176"/>
      <c r="Y247" s="176"/>
      <c r="Z247" s="176"/>
    </row>
    <row r="248">
      <c r="A248" s="226" t="s">
        <v>118</v>
      </c>
      <c r="B248" s="226" t="s">
        <v>18</v>
      </c>
      <c r="C248" s="250" t="s">
        <v>3267</v>
      </c>
      <c r="D248" s="268" t="s">
        <v>495</v>
      </c>
      <c r="E248" s="361">
        <v>44173.0</v>
      </c>
      <c r="F248" s="250" t="s">
        <v>499</v>
      </c>
      <c r="G248" s="171">
        <v>21.0</v>
      </c>
      <c r="H248" s="171">
        <v>110.0</v>
      </c>
      <c r="I248" s="171">
        <v>100.0</v>
      </c>
      <c r="J248" s="325">
        <f t="shared" si="13"/>
        <v>0.003549942341</v>
      </c>
      <c r="K248" s="326">
        <f t="shared" si="14"/>
        <v>2.674881554</v>
      </c>
      <c r="L248" s="327">
        <f t="shared" si="4"/>
        <v>8.896925236</v>
      </c>
      <c r="M248" s="321" t="str">
        <f t="shared" si="5"/>
        <v>katalenacaban</v>
      </c>
      <c r="N248" s="176">
        <f>IFERROR(__xludf.DUMMYFUNCTION("""COMPUTED_VALUE"""),2.0)</f>
        <v>2</v>
      </c>
      <c r="O248" s="243"/>
      <c r="P248" s="243"/>
      <c r="Q248" s="243"/>
      <c r="R248" s="243"/>
      <c r="S248" s="243"/>
      <c r="T248" s="243"/>
      <c r="U248" s="176"/>
      <c r="V248" s="176"/>
      <c r="W248" s="176"/>
      <c r="X248" s="176"/>
      <c r="Y248" s="176"/>
      <c r="Z248" s="176"/>
    </row>
    <row r="249">
      <c r="A249" s="226" t="s">
        <v>118</v>
      </c>
      <c r="B249" s="226" t="s">
        <v>519</v>
      </c>
      <c r="C249" s="250" t="s">
        <v>3265</v>
      </c>
      <c r="D249" s="268" t="s">
        <v>495</v>
      </c>
      <c r="E249" s="361">
        <v>44174.0</v>
      </c>
      <c r="F249" s="250" t="s">
        <v>499</v>
      </c>
      <c r="G249" s="171">
        <v>89.0</v>
      </c>
      <c r="H249" s="171">
        <v>90.0</v>
      </c>
      <c r="I249" s="171">
        <v>100.0</v>
      </c>
      <c r="J249" s="325">
        <f t="shared" si="13"/>
        <v>0.005876948296</v>
      </c>
      <c r="K249" s="326">
        <f t="shared" si="14"/>
        <v>4.428280541</v>
      </c>
      <c r="L249" s="327">
        <f t="shared" si="4"/>
        <v>8.896925236</v>
      </c>
      <c r="M249" s="321" t="str">
        <f t="shared" si="5"/>
        <v>katalenacaban</v>
      </c>
      <c r="N249" s="176">
        <f>IFERROR(__xludf.DUMMYFUNCTION("""COMPUTED_VALUE"""),3.0)</f>
        <v>3</v>
      </c>
      <c r="O249" s="243"/>
      <c r="P249" s="243"/>
      <c r="Q249" s="243"/>
      <c r="R249" s="243"/>
      <c r="S249" s="243"/>
      <c r="T249" s="243"/>
      <c r="U249" s="176"/>
      <c r="V249" s="176"/>
      <c r="W249" s="176"/>
      <c r="X249" s="176"/>
      <c r="Y249" s="176"/>
      <c r="Z249" s="176"/>
    </row>
    <row r="250">
      <c r="A250" s="226" t="s">
        <v>118</v>
      </c>
      <c r="B250" s="226" t="s">
        <v>519</v>
      </c>
      <c r="C250" s="250" t="s">
        <v>3259</v>
      </c>
      <c r="D250" s="268" t="s">
        <v>495</v>
      </c>
      <c r="E250" s="251">
        <v>44178.0</v>
      </c>
      <c r="F250" s="250" t="s">
        <v>496</v>
      </c>
      <c r="G250" s="171">
        <v>89.0</v>
      </c>
      <c r="H250" s="171">
        <v>100.0</v>
      </c>
      <c r="I250" s="171">
        <v>100.0</v>
      </c>
      <c r="J250" s="325">
        <f t="shared" si="13"/>
        <v>0.005996512604</v>
      </c>
      <c r="K250" s="326">
        <f t="shared" si="14"/>
        <v>4.518372247</v>
      </c>
      <c r="L250" s="327">
        <f t="shared" si="4"/>
        <v>8.896925236</v>
      </c>
      <c r="M250" s="321" t="str">
        <f t="shared" si="5"/>
        <v>katalenacaban</v>
      </c>
      <c r="N250" s="176">
        <f>IFERROR(__xludf.DUMMYFUNCTION("""COMPUTED_VALUE"""),4.0)</f>
        <v>4</v>
      </c>
      <c r="O250" s="243"/>
      <c r="P250" s="243"/>
      <c r="Q250" s="243"/>
      <c r="R250" s="243"/>
      <c r="S250" s="243"/>
      <c r="T250" s="243"/>
      <c r="U250" s="176"/>
      <c r="V250" s="176"/>
      <c r="W250" s="176"/>
      <c r="X250" s="176"/>
      <c r="Y250" s="176"/>
      <c r="Z250" s="176"/>
    </row>
    <row r="251">
      <c r="A251" s="240" t="s">
        <v>118</v>
      </c>
      <c r="B251" s="240" t="s">
        <v>534</v>
      </c>
      <c r="C251" s="221" t="s">
        <v>2549</v>
      </c>
      <c r="D251" s="336"/>
      <c r="E251" s="255"/>
      <c r="F251" s="254"/>
      <c r="G251" s="222"/>
      <c r="H251" s="222"/>
      <c r="I251" s="222"/>
      <c r="J251" s="325">
        <f t="shared" si="13"/>
        <v>0</v>
      </c>
      <c r="K251" s="337">
        <f>17.794*-0.5</f>
        <v>-8.897</v>
      </c>
      <c r="L251" s="327">
        <f t="shared" si="4"/>
        <v>8.896925236</v>
      </c>
      <c r="M251" s="321" t="str">
        <f t="shared" si="5"/>
        <v>katalenacaban</v>
      </c>
      <c r="N251" s="209">
        <f>IFERROR(__xludf.DUMMYFUNCTION("""COMPUTED_VALUE"""),5.0)</f>
        <v>5</v>
      </c>
      <c r="O251" s="209"/>
      <c r="P251" s="209"/>
      <c r="Q251" s="209"/>
      <c r="R251" s="209">
        <v>36.89669088595067</v>
      </c>
      <c r="S251" s="209"/>
      <c r="T251" s="209"/>
      <c r="U251" s="209"/>
      <c r="V251" s="209"/>
      <c r="W251" s="209"/>
      <c r="X251" s="209"/>
      <c r="Y251" s="176"/>
      <c r="Z251" s="176"/>
    </row>
    <row r="252">
      <c r="A252" s="226" t="s">
        <v>81</v>
      </c>
      <c r="B252" s="226" t="s">
        <v>519</v>
      </c>
      <c r="C252" s="250" t="s">
        <v>3268</v>
      </c>
      <c r="D252" s="268" t="s">
        <v>495</v>
      </c>
      <c r="E252" s="251">
        <v>44182.0</v>
      </c>
      <c r="F252" s="250" t="s">
        <v>499</v>
      </c>
      <c r="G252" s="171">
        <v>144.0</v>
      </c>
      <c r="H252" s="171">
        <v>170.0</v>
      </c>
      <c r="I252" s="171">
        <v>200.0</v>
      </c>
      <c r="J252" s="325">
        <f t="shared" si="13"/>
        <v>0.010351265</v>
      </c>
      <c r="K252" s="326">
        <f t="shared" ref="K252:K281" si="15">J252*$J$1</f>
        <v>7.799678177</v>
      </c>
      <c r="L252" s="327">
        <f t="shared" si="4"/>
        <v>7.799678177</v>
      </c>
      <c r="M252" s="321" t="str">
        <f t="shared" si="5"/>
        <v>felixfalafel</v>
      </c>
      <c r="N252" s="176">
        <f>IFERROR(__xludf.DUMMYFUNCTION("""COMPUTED_VALUE"""),1.0)</f>
        <v>1</v>
      </c>
      <c r="O252" s="243"/>
      <c r="P252" s="243"/>
      <c r="Q252" s="243"/>
      <c r="R252" s="243"/>
      <c r="S252" s="243"/>
      <c r="T252" s="243"/>
      <c r="U252" s="176"/>
      <c r="V252" s="176"/>
      <c r="W252" s="176"/>
      <c r="X252" s="176"/>
      <c r="Y252" s="176"/>
      <c r="Z252" s="176"/>
    </row>
    <row r="253">
      <c r="A253" s="226" t="s">
        <v>18</v>
      </c>
      <c r="B253" s="226" t="s">
        <v>590</v>
      </c>
      <c r="C253" s="250" t="s">
        <v>3165</v>
      </c>
      <c r="D253" s="268" t="s">
        <v>495</v>
      </c>
      <c r="E253" s="361">
        <v>44172.0</v>
      </c>
      <c r="F253" s="250" t="s">
        <v>496</v>
      </c>
      <c r="G253" s="171">
        <v>21.0</v>
      </c>
      <c r="H253" s="171">
        <v>60.0</v>
      </c>
      <c r="I253" s="171">
        <v>50.0</v>
      </c>
      <c r="J253" s="325">
        <f t="shared" si="13"/>
        <v>0.002230994692</v>
      </c>
      <c r="K253" s="326">
        <f t="shared" si="15"/>
        <v>1.6810545</v>
      </c>
      <c r="L253" s="327">
        <f t="shared" si="4"/>
        <v>7.65769915</v>
      </c>
      <c r="M253" s="321" t="str">
        <f t="shared" si="5"/>
        <v>liviade</v>
      </c>
      <c r="N253" s="176">
        <f>IFERROR(__xludf.DUMMYFUNCTION("""COMPUTED_VALUE"""),1.0)</f>
        <v>1</v>
      </c>
      <c r="O253" s="243"/>
      <c r="P253" s="243"/>
      <c r="Q253" s="243"/>
      <c r="R253" s="243"/>
      <c r="S253" s="243"/>
      <c r="T253" s="243"/>
      <c r="U253" s="176"/>
      <c r="V253" s="176"/>
      <c r="W253" s="176"/>
      <c r="X253" s="176"/>
      <c r="Y253" s="176"/>
      <c r="Z253" s="176"/>
    </row>
    <row r="254">
      <c r="A254" s="226" t="s">
        <v>18</v>
      </c>
      <c r="B254" s="226" t="s">
        <v>590</v>
      </c>
      <c r="C254" s="250" t="s">
        <v>3215</v>
      </c>
      <c r="D254" s="268" t="s">
        <v>495</v>
      </c>
      <c r="E254" s="361">
        <v>44172.0</v>
      </c>
      <c r="F254" s="250" t="s">
        <v>496</v>
      </c>
      <c r="G254" s="171">
        <v>21.0</v>
      </c>
      <c r="H254" s="171">
        <v>130.0</v>
      </c>
      <c r="I254" s="171">
        <v>100.0</v>
      </c>
      <c r="J254" s="325">
        <f t="shared" si="13"/>
        <v>0.003789070956</v>
      </c>
      <c r="K254" s="326">
        <f t="shared" si="15"/>
        <v>2.855064965</v>
      </c>
      <c r="L254" s="327">
        <f t="shared" si="4"/>
        <v>7.65769915</v>
      </c>
      <c r="M254" s="321" t="str">
        <f t="shared" si="5"/>
        <v>liviade</v>
      </c>
      <c r="N254" s="176">
        <f>IFERROR(__xludf.DUMMYFUNCTION("""COMPUTED_VALUE"""),2.0)</f>
        <v>2</v>
      </c>
      <c r="O254" s="243"/>
      <c r="P254" s="243"/>
      <c r="Q254" s="243"/>
      <c r="R254" s="243"/>
      <c r="S254" s="243"/>
      <c r="T254" s="243"/>
      <c r="U254" s="176"/>
      <c r="V254" s="176"/>
      <c r="W254" s="176"/>
      <c r="X254" s="176"/>
      <c r="Y254" s="176"/>
      <c r="Z254" s="176"/>
    </row>
    <row r="255">
      <c r="A255" s="226" t="s">
        <v>18</v>
      </c>
      <c r="B255" s="226" t="s">
        <v>867</v>
      </c>
      <c r="C255" s="250" t="s">
        <v>3269</v>
      </c>
      <c r="D255" s="268" t="s">
        <v>495</v>
      </c>
      <c r="E255" s="361">
        <v>44173.0</v>
      </c>
      <c r="F255" s="250" t="s">
        <v>496</v>
      </c>
      <c r="G255" s="171">
        <v>21.0</v>
      </c>
      <c r="H255" s="171">
        <v>60.0</v>
      </c>
      <c r="I255" s="171">
        <v>50.0</v>
      </c>
      <c r="J255" s="325">
        <f t="shared" si="13"/>
        <v>0.002230994692</v>
      </c>
      <c r="K255" s="326">
        <f t="shared" si="15"/>
        <v>1.6810545</v>
      </c>
      <c r="L255" s="327">
        <f t="shared" si="4"/>
        <v>7.65769915</v>
      </c>
      <c r="M255" s="321" t="str">
        <f t="shared" si="5"/>
        <v>liviade</v>
      </c>
      <c r="N255" s="176">
        <f>IFERROR(__xludf.DUMMYFUNCTION("""COMPUTED_VALUE"""),3.0)</f>
        <v>3</v>
      </c>
      <c r="O255" s="243"/>
      <c r="P255" s="243"/>
      <c r="Q255" s="243"/>
      <c r="R255" s="243"/>
      <c r="S255" s="243"/>
      <c r="T255" s="243"/>
      <c r="U255" s="176"/>
      <c r="V255" s="176"/>
      <c r="W255" s="176"/>
      <c r="X255" s="176"/>
      <c r="Y255" s="176"/>
      <c r="Z255" s="176"/>
    </row>
    <row r="256">
      <c r="A256" s="226" t="s">
        <v>18</v>
      </c>
      <c r="B256" s="226" t="s">
        <v>1228</v>
      </c>
      <c r="C256" s="250" t="s">
        <v>3270</v>
      </c>
      <c r="D256" s="268" t="s">
        <v>495</v>
      </c>
      <c r="E256" s="361">
        <v>44173.0</v>
      </c>
      <c r="F256" s="250" t="s">
        <v>496</v>
      </c>
      <c r="G256" s="171">
        <v>21.0</v>
      </c>
      <c r="H256" s="171">
        <v>120.0</v>
      </c>
      <c r="I256" s="171">
        <v>100.0</v>
      </c>
      <c r="J256" s="325">
        <f t="shared" si="13"/>
        <v>0.003669506648</v>
      </c>
      <c r="K256" s="326">
        <f t="shared" si="15"/>
        <v>2.764973259</v>
      </c>
      <c r="L256" s="327">
        <f t="shared" si="4"/>
        <v>7.65769915</v>
      </c>
      <c r="M256" s="321" t="str">
        <f t="shared" si="5"/>
        <v>liviade</v>
      </c>
      <c r="N256" s="176">
        <f>IFERROR(__xludf.DUMMYFUNCTION("""COMPUTED_VALUE"""),4.0)</f>
        <v>4</v>
      </c>
      <c r="O256" s="243"/>
      <c r="P256" s="243"/>
      <c r="Q256" s="243"/>
      <c r="R256" s="243"/>
      <c r="S256" s="243"/>
      <c r="T256" s="243"/>
      <c r="U256" s="176"/>
      <c r="V256" s="176"/>
      <c r="W256" s="176"/>
      <c r="X256" s="176"/>
      <c r="Y256" s="176"/>
      <c r="Z256" s="176"/>
    </row>
    <row r="257">
      <c r="A257" s="226" t="s">
        <v>18</v>
      </c>
      <c r="B257" s="226" t="s">
        <v>590</v>
      </c>
      <c r="C257" s="250" t="s">
        <v>3166</v>
      </c>
      <c r="D257" s="268" t="s">
        <v>495</v>
      </c>
      <c r="E257" s="361">
        <v>44173.0</v>
      </c>
      <c r="F257" s="250" t="s">
        <v>496</v>
      </c>
      <c r="G257" s="171">
        <v>21.0</v>
      </c>
      <c r="H257" s="171">
        <v>45.0</v>
      </c>
      <c r="I257" s="171">
        <v>50.0</v>
      </c>
      <c r="J257" s="325">
        <f t="shared" si="13"/>
        <v>0.00205164823</v>
      </c>
      <c r="K257" s="326">
        <f t="shared" si="15"/>
        <v>1.545916941</v>
      </c>
      <c r="L257" s="327">
        <f t="shared" si="4"/>
        <v>7.65769915</v>
      </c>
      <c r="M257" s="321" t="str">
        <f t="shared" si="5"/>
        <v>liviade</v>
      </c>
      <c r="N257" s="176">
        <f>IFERROR(__xludf.DUMMYFUNCTION("""COMPUTED_VALUE"""),5.0)</f>
        <v>5</v>
      </c>
      <c r="O257" s="243"/>
      <c r="P257" s="243"/>
      <c r="Q257" s="243"/>
      <c r="R257" s="243"/>
      <c r="S257" s="243"/>
      <c r="T257" s="243"/>
      <c r="U257" s="176"/>
      <c r="V257" s="176"/>
      <c r="W257" s="176"/>
      <c r="X257" s="176"/>
      <c r="Y257" s="176"/>
      <c r="Z257" s="176"/>
    </row>
    <row r="258">
      <c r="A258" s="226" t="s">
        <v>18</v>
      </c>
      <c r="B258" s="226" t="s">
        <v>18</v>
      </c>
      <c r="C258" s="250" t="s">
        <v>3168</v>
      </c>
      <c r="D258" s="268" t="s">
        <v>495</v>
      </c>
      <c r="E258" s="361">
        <v>44174.0</v>
      </c>
      <c r="F258" s="250" t="s">
        <v>496</v>
      </c>
      <c r="G258" s="171">
        <v>5.0</v>
      </c>
      <c r="H258" s="171">
        <v>60.0</v>
      </c>
      <c r="I258" s="171">
        <v>50.0</v>
      </c>
      <c r="J258" s="325">
        <f t="shared" si="13"/>
        <v>0.001627198322</v>
      </c>
      <c r="K258" s="326">
        <f t="shared" si="15"/>
        <v>1.226093936</v>
      </c>
      <c r="L258" s="327">
        <f t="shared" si="4"/>
        <v>7.65769915</v>
      </c>
      <c r="M258" s="321" t="str">
        <f t="shared" si="5"/>
        <v>liviade</v>
      </c>
      <c r="N258" s="176">
        <f>IFERROR(__xludf.DUMMYFUNCTION("""COMPUTED_VALUE"""),6.0)</f>
        <v>6</v>
      </c>
      <c r="O258" s="243"/>
      <c r="P258" s="243"/>
      <c r="Q258" s="243"/>
      <c r="R258" s="243"/>
      <c r="S258" s="243"/>
      <c r="T258" s="243"/>
      <c r="U258" s="176"/>
      <c r="V258" s="176"/>
      <c r="W258" s="176"/>
      <c r="X258" s="176"/>
      <c r="Y258" s="176"/>
      <c r="Z258" s="176"/>
    </row>
    <row r="259">
      <c r="A259" s="226" t="s">
        <v>18</v>
      </c>
      <c r="B259" s="226" t="s">
        <v>18</v>
      </c>
      <c r="C259" s="250" t="s">
        <v>3169</v>
      </c>
      <c r="D259" s="268" t="s">
        <v>495</v>
      </c>
      <c r="E259" s="361">
        <v>44174.0</v>
      </c>
      <c r="F259" s="250" t="s">
        <v>496</v>
      </c>
      <c r="G259" s="171">
        <v>5.0</v>
      </c>
      <c r="H259" s="171">
        <v>60.0</v>
      </c>
      <c r="I259" s="171">
        <v>50.0</v>
      </c>
      <c r="J259" s="325">
        <f t="shared" si="13"/>
        <v>0.001627198322</v>
      </c>
      <c r="K259" s="326">
        <f t="shared" si="15"/>
        <v>1.226093936</v>
      </c>
      <c r="L259" s="327">
        <f t="shared" si="4"/>
        <v>7.65769915</v>
      </c>
      <c r="M259" s="321" t="str">
        <f t="shared" si="5"/>
        <v>liviade</v>
      </c>
      <c r="N259" s="176">
        <f>IFERROR(__xludf.DUMMYFUNCTION("""COMPUTED_VALUE"""),7.0)</f>
        <v>7</v>
      </c>
      <c r="O259" s="243"/>
      <c r="P259" s="243"/>
      <c r="Q259" s="243"/>
      <c r="R259" s="243"/>
      <c r="S259" s="243"/>
      <c r="T259" s="243"/>
      <c r="U259" s="176"/>
      <c r="V259" s="176"/>
      <c r="W259" s="176"/>
      <c r="X259" s="176"/>
      <c r="Y259" s="176"/>
      <c r="Z259" s="176"/>
    </row>
    <row r="260">
      <c r="A260" s="226" t="s">
        <v>18</v>
      </c>
      <c r="B260" s="226" t="s">
        <v>5</v>
      </c>
      <c r="C260" s="250" t="s">
        <v>3170</v>
      </c>
      <c r="D260" s="268" t="s">
        <v>495</v>
      </c>
      <c r="E260" s="251">
        <v>44175.0</v>
      </c>
      <c r="F260" s="250" t="s">
        <v>496</v>
      </c>
      <c r="G260" s="171">
        <v>5.0</v>
      </c>
      <c r="H260" s="171">
        <v>45.0</v>
      </c>
      <c r="I260" s="171">
        <v>50.0</v>
      </c>
      <c r="J260" s="325">
        <f t="shared" si="13"/>
        <v>0.001447851861</v>
      </c>
      <c r="K260" s="326">
        <f t="shared" si="15"/>
        <v>1.090956377</v>
      </c>
      <c r="L260" s="327">
        <f t="shared" si="4"/>
        <v>7.65769915</v>
      </c>
      <c r="M260" s="321" t="str">
        <f t="shared" si="5"/>
        <v>liviade</v>
      </c>
      <c r="N260" s="176">
        <f>IFERROR(__xludf.DUMMYFUNCTION("""COMPUTED_VALUE"""),8.0)</f>
        <v>8</v>
      </c>
      <c r="O260" s="243"/>
      <c r="P260" s="243"/>
      <c r="Q260" s="243"/>
      <c r="R260" s="243"/>
      <c r="S260" s="243"/>
      <c r="T260" s="243"/>
      <c r="U260" s="176"/>
      <c r="V260" s="176"/>
      <c r="W260" s="176"/>
      <c r="X260" s="176"/>
      <c r="Y260" s="176"/>
      <c r="Z260" s="176"/>
    </row>
    <row r="261">
      <c r="A261" s="226" t="s">
        <v>18</v>
      </c>
      <c r="B261" s="226" t="s">
        <v>5</v>
      </c>
      <c r="C261" s="250" t="s">
        <v>3171</v>
      </c>
      <c r="D261" s="268" t="s">
        <v>495</v>
      </c>
      <c r="E261" s="251">
        <v>44175.0</v>
      </c>
      <c r="F261" s="250" t="s">
        <v>496</v>
      </c>
      <c r="G261" s="171">
        <v>21.0</v>
      </c>
      <c r="H261" s="171">
        <v>45.0</v>
      </c>
      <c r="I261" s="171">
        <v>50.0</v>
      </c>
      <c r="J261" s="325">
        <f t="shared" si="13"/>
        <v>0.00205164823</v>
      </c>
      <c r="K261" s="326">
        <f t="shared" si="15"/>
        <v>1.545916941</v>
      </c>
      <c r="L261" s="327">
        <f t="shared" si="4"/>
        <v>7.65769915</v>
      </c>
      <c r="M261" s="321" t="str">
        <f t="shared" si="5"/>
        <v>liviade</v>
      </c>
      <c r="N261" s="176">
        <f>IFERROR(__xludf.DUMMYFUNCTION("""COMPUTED_VALUE"""),9.0)</f>
        <v>9</v>
      </c>
      <c r="O261" s="243"/>
      <c r="P261" s="243"/>
      <c r="Q261" s="243"/>
      <c r="R261" s="243"/>
      <c r="S261" s="243"/>
      <c r="T261" s="243"/>
      <c r="U261" s="176"/>
      <c r="V261" s="176"/>
      <c r="W261" s="176"/>
      <c r="X261" s="176"/>
      <c r="Y261" s="176"/>
      <c r="Z261" s="176"/>
    </row>
    <row r="262">
      <c r="A262" s="226" t="s">
        <v>18</v>
      </c>
      <c r="B262" s="226" t="s">
        <v>10</v>
      </c>
      <c r="C262" s="250" t="s">
        <v>3194</v>
      </c>
      <c r="D262" s="268" t="s">
        <v>495</v>
      </c>
      <c r="E262" s="251">
        <v>44176.0</v>
      </c>
      <c r="F262" s="250" t="s">
        <v>496</v>
      </c>
      <c r="G262" s="171">
        <v>21.0</v>
      </c>
      <c r="H262" s="171">
        <v>130.0</v>
      </c>
      <c r="I262" s="171">
        <v>100.0</v>
      </c>
      <c r="J262" s="325">
        <f t="shared" si="13"/>
        <v>0.003789070956</v>
      </c>
      <c r="K262" s="326">
        <f t="shared" si="15"/>
        <v>2.855064965</v>
      </c>
      <c r="L262" s="327">
        <f t="shared" si="4"/>
        <v>7.65769915</v>
      </c>
      <c r="M262" s="321" t="str">
        <f t="shared" si="5"/>
        <v>liviade</v>
      </c>
      <c r="N262" s="176">
        <f>IFERROR(__xludf.DUMMYFUNCTION("""COMPUTED_VALUE"""),10.0)</f>
        <v>10</v>
      </c>
      <c r="O262" s="243"/>
      <c r="P262" s="243"/>
      <c r="Q262" s="243"/>
      <c r="R262" s="243"/>
      <c r="S262" s="243"/>
      <c r="T262" s="243"/>
      <c r="U262" s="176"/>
      <c r="V262" s="176"/>
      <c r="W262" s="176"/>
      <c r="X262" s="176"/>
      <c r="Y262" s="176"/>
      <c r="Z262" s="176"/>
    </row>
    <row r="263">
      <c r="A263" s="226" t="s">
        <v>18</v>
      </c>
      <c r="B263" s="226" t="s">
        <v>10</v>
      </c>
      <c r="C263" s="250" t="s">
        <v>3271</v>
      </c>
      <c r="D263" s="268" t="s">
        <v>495</v>
      </c>
      <c r="E263" s="251">
        <v>44176.0</v>
      </c>
      <c r="F263" s="250" t="s">
        <v>496</v>
      </c>
      <c r="G263" s="171">
        <v>21.0</v>
      </c>
      <c r="H263" s="171">
        <v>120.0</v>
      </c>
      <c r="I263" s="171">
        <v>100.0</v>
      </c>
      <c r="J263" s="325">
        <f t="shared" si="13"/>
        <v>0.003669506648</v>
      </c>
      <c r="K263" s="326">
        <f t="shared" si="15"/>
        <v>2.764973259</v>
      </c>
      <c r="L263" s="327">
        <f t="shared" si="4"/>
        <v>7.65769915</v>
      </c>
      <c r="M263" s="321" t="str">
        <f t="shared" si="5"/>
        <v>liviade</v>
      </c>
      <c r="N263" s="176">
        <f>IFERROR(__xludf.DUMMYFUNCTION("""COMPUTED_VALUE"""),11.0)</f>
        <v>11</v>
      </c>
      <c r="O263" s="243"/>
      <c r="P263" s="243"/>
      <c r="Q263" s="243"/>
      <c r="R263" s="243"/>
      <c r="S263" s="243"/>
      <c r="T263" s="243"/>
      <c r="U263" s="176"/>
      <c r="V263" s="176"/>
      <c r="W263" s="176"/>
      <c r="X263" s="176"/>
      <c r="Y263" s="176"/>
      <c r="Z263" s="176"/>
    </row>
    <row r="264">
      <c r="A264" s="226" t="s">
        <v>18</v>
      </c>
      <c r="B264" s="226" t="s">
        <v>10</v>
      </c>
      <c r="C264" s="250" t="s">
        <v>3248</v>
      </c>
      <c r="D264" s="268" t="s">
        <v>495</v>
      </c>
      <c r="E264" s="251">
        <v>44176.0</v>
      </c>
      <c r="F264" s="250" t="s">
        <v>496</v>
      </c>
      <c r="G264" s="171">
        <v>21.0</v>
      </c>
      <c r="H264" s="171">
        <v>70.0</v>
      </c>
      <c r="I264" s="171">
        <v>50.0</v>
      </c>
      <c r="J264" s="325">
        <f t="shared" si="13"/>
        <v>0.002350558999</v>
      </c>
      <c r="K264" s="326">
        <f t="shared" si="15"/>
        <v>1.771146206</v>
      </c>
      <c r="L264" s="327">
        <f t="shared" si="4"/>
        <v>7.65769915</v>
      </c>
      <c r="M264" s="321" t="str">
        <f t="shared" si="5"/>
        <v>liviade</v>
      </c>
      <c r="N264" s="176">
        <f>IFERROR(__xludf.DUMMYFUNCTION("""COMPUTED_VALUE"""),12.0)</f>
        <v>12</v>
      </c>
      <c r="O264" s="243"/>
      <c r="P264" s="243"/>
      <c r="Q264" s="243"/>
      <c r="R264" s="243"/>
      <c r="S264" s="243"/>
      <c r="T264" s="243"/>
      <c r="U264" s="176"/>
      <c r="V264" s="176"/>
      <c r="W264" s="176"/>
      <c r="X264" s="176"/>
      <c r="Y264" s="176"/>
      <c r="Z264" s="176"/>
    </row>
    <row r="265">
      <c r="A265" s="226" t="s">
        <v>18</v>
      </c>
      <c r="B265" s="226" t="s">
        <v>10</v>
      </c>
      <c r="C265" s="250" t="s">
        <v>3176</v>
      </c>
      <c r="D265" s="268" t="s">
        <v>495</v>
      </c>
      <c r="E265" s="251">
        <v>44176.0</v>
      </c>
      <c r="F265" s="250" t="s">
        <v>496</v>
      </c>
      <c r="G265" s="171">
        <v>2.0</v>
      </c>
      <c r="H265" s="171">
        <v>45.0</v>
      </c>
      <c r="I265" s="171">
        <v>50.0</v>
      </c>
      <c r="J265" s="325">
        <f t="shared" si="13"/>
        <v>0.001334640041</v>
      </c>
      <c r="K265" s="326">
        <f t="shared" si="15"/>
        <v>1.005651271</v>
      </c>
      <c r="L265" s="327">
        <f t="shared" si="4"/>
        <v>7.65769915</v>
      </c>
      <c r="M265" s="321" t="str">
        <f t="shared" si="5"/>
        <v>liviade</v>
      </c>
      <c r="N265" s="176">
        <f>IFERROR(__xludf.DUMMYFUNCTION("""COMPUTED_VALUE"""),13.0)</f>
        <v>13</v>
      </c>
      <c r="O265" s="243"/>
      <c r="P265" s="243"/>
      <c r="Q265" s="243"/>
      <c r="R265" s="243"/>
      <c r="S265" s="243"/>
      <c r="T265" s="243"/>
      <c r="U265" s="176"/>
      <c r="V265" s="176"/>
      <c r="W265" s="176"/>
      <c r="X265" s="176"/>
      <c r="Y265" s="176"/>
      <c r="Z265" s="176"/>
    </row>
    <row r="266">
      <c r="A266" s="226" t="s">
        <v>18</v>
      </c>
      <c r="B266" s="226" t="s">
        <v>10</v>
      </c>
      <c r="C266" s="250" t="s">
        <v>3176</v>
      </c>
      <c r="D266" s="268" t="s">
        <v>495</v>
      </c>
      <c r="E266" s="251">
        <v>44176.0</v>
      </c>
      <c r="F266" s="250" t="s">
        <v>496</v>
      </c>
      <c r="G266" s="171">
        <v>2.0</v>
      </c>
      <c r="H266" s="171">
        <v>45.0</v>
      </c>
      <c r="I266" s="171">
        <v>50.0</v>
      </c>
      <c r="J266" s="325">
        <f t="shared" si="13"/>
        <v>0.001334640041</v>
      </c>
      <c r="K266" s="326">
        <f t="shared" si="15"/>
        <v>1.005651271</v>
      </c>
      <c r="L266" s="327">
        <f t="shared" si="4"/>
        <v>7.65769915</v>
      </c>
      <c r="M266" s="321" t="str">
        <f t="shared" si="5"/>
        <v>liviade</v>
      </c>
      <c r="N266" s="176">
        <f>IFERROR(__xludf.DUMMYFUNCTION("""COMPUTED_VALUE"""),14.0)</f>
        <v>14</v>
      </c>
      <c r="O266" s="243"/>
      <c r="P266" s="243"/>
      <c r="Q266" s="243"/>
      <c r="R266" s="243"/>
      <c r="S266" s="243"/>
      <c r="T266" s="243"/>
      <c r="U266" s="176"/>
      <c r="V266" s="176"/>
      <c r="W266" s="176"/>
      <c r="X266" s="176"/>
      <c r="Y266" s="176"/>
      <c r="Z266" s="176"/>
    </row>
    <row r="267">
      <c r="A267" s="226" t="s">
        <v>18</v>
      </c>
      <c r="B267" s="226" t="s">
        <v>5</v>
      </c>
      <c r="C267" s="250" t="s">
        <v>3177</v>
      </c>
      <c r="D267" s="268" t="s">
        <v>495</v>
      </c>
      <c r="E267" s="251">
        <v>44176.0</v>
      </c>
      <c r="F267" s="250" t="s">
        <v>496</v>
      </c>
      <c r="G267" s="171">
        <v>21.0</v>
      </c>
      <c r="H267" s="171">
        <v>45.0</v>
      </c>
      <c r="I267" s="171">
        <v>50.0</v>
      </c>
      <c r="J267" s="325">
        <f t="shared" si="13"/>
        <v>0.00205164823</v>
      </c>
      <c r="K267" s="326">
        <f t="shared" si="15"/>
        <v>1.545916941</v>
      </c>
      <c r="L267" s="327">
        <f t="shared" si="4"/>
        <v>7.65769915</v>
      </c>
      <c r="M267" s="321" t="str">
        <f t="shared" si="5"/>
        <v>liviade</v>
      </c>
      <c r="N267" s="176">
        <f>IFERROR(__xludf.DUMMYFUNCTION("""COMPUTED_VALUE"""),15.0)</f>
        <v>15</v>
      </c>
      <c r="O267" s="243"/>
      <c r="P267" s="243"/>
      <c r="Q267" s="243"/>
      <c r="R267" s="243"/>
      <c r="S267" s="243"/>
      <c r="T267" s="243"/>
      <c r="U267" s="176"/>
      <c r="V267" s="176"/>
      <c r="W267" s="176"/>
      <c r="X267" s="176"/>
      <c r="Y267" s="176"/>
      <c r="Z267" s="176"/>
    </row>
    <row r="268">
      <c r="A268" s="226" t="s">
        <v>18</v>
      </c>
      <c r="B268" s="226" t="s">
        <v>5</v>
      </c>
      <c r="C268" s="250" t="s">
        <v>3178</v>
      </c>
      <c r="D268" s="268" t="s">
        <v>495</v>
      </c>
      <c r="E268" s="251">
        <v>44176.0</v>
      </c>
      <c r="F268" s="250" t="s">
        <v>496</v>
      </c>
      <c r="G268" s="171">
        <v>21.0</v>
      </c>
      <c r="H268" s="171">
        <v>45.0</v>
      </c>
      <c r="I268" s="171">
        <v>50.0</v>
      </c>
      <c r="J268" s="325">
        <f t="shared" si="13"/>
        <v>0.00205164823</v>
      </c>
      <c r="K268" s="326">
        <f t="shared" si="15"/>
        <v>1.545916941</v>
      </c>
      <c r="L268" s="327">
        <f t="shared" si="4"/>
        <v>7.65769915</v>
      </c>
      <c r="M268" s="321" t="str">
        <f t="shared" si="5"/>
        <v>liviade</v>
      </c>
      <c r="N268" s="176">
        <f>IFERROR(__xludf.DUMMYFUNCTION("""COMPUTED_VALUE"""),16.0)</f>
        <v>16</v>
      </c>
      <c r="O268" s="243"/>
      <c r="P268" s="243"/>
      <c r="Q268" s="243"/>
      <c r="R268" s="243"/>
      <c r="S268" s="243"/>
      <c r="T268" s="243"/>
      <c r="U268" s="176"/>
      <c r="V268" s="176"/>
      <c r="W268" s="176"/>
      <c r="X268" s="176"/>
      <c r="Y268" s="176"/>
      <c r="Z268" s="176"/>
    </row>
    <row r="269">
      <c r="A269" s="226" t="s">
        <v>18</v>
      </c>
      <c r="B269" s="226" t="s">
        <v>867</v>
      </c>
      <c r="C269" s="250" t="s">
        <v>3272</v>
      </c>
      <c r="D269" s="268" t="s">
        <v>495</v>
      </c>
      <c r="E269" s="251">
        <v>44179.0</v>
      </c>
      <c r="F269" s="250" t="s">
        <v>496</v>
      </c>
      <c r="G269" s="171">
        <v>3.0</v>
      </c>
      <c r="H269" s="171">
        <v>60.0</v>
      </c>
      <c r="I269" s="171">
        <v>50.0</v>
      </c>
      <c r="J269" s="325">
        <f t="shared" si="13"/>
        <v>0.001551723776</v>
      </c>
      <c r="K269" s="326">
        <f t="shared" si="15"/>
        <v>1.169223865</v>
      </c>
      <c r="L269" s="327">
        <f t="shared" si="4"/>
        <v>7.65769915</v>
      </c>
      <c r="M269" s="321" t="str">
        <f t="shared" si="5"/>
        <v>liviade</v>
      </c>
      <c r="N269" s="176">
        <f>IFERROR(__xludf.DUMMYFUNCTION("""COMPUTED_VALUE"""),17.0)</f>
        <v>17</v>
      </c>
      <c r="O269" s="243"/>
      <c r="P269" s="243"/>
      <c r="Q269" s="243"/>
      <c r="R269" s="243"/>
      <c r="S269" s="243"/>
      <c r="T269" s="243"/>
      <c r="U269" s="176"/>
      <c r="V269" s="176"/>
      <c r="W269" s="176"/>
      <c r="X269" s="176"/>
      <c r="Y269" s="176"/>
      <c r="Z269" s="176"/>
    </row>
    <row r="270">
      <c r="A270" s="226" t="s">
        <v>18</v>
      </c>
      <c r="B270" s="226" t="s">
        <v>590</v>
      </c>
      <c r="C270" s="250" t="s">
        <v>3180</v>
      </c>
      <c r="D270" s="268" t="s">
        <v>495</v>
      </c>
      <c r="E270" s="251">
        <v>44180.0</v>
      </c>
      <c r="F270" s="250" t="s">
        <v>496</v>
      </c>
      <c r="G270" s="171">
        <v>5.0</v>
      </c>
      <c r="H270" s="171">
        <v>45.0</v>
      </c>
      <c r="I270" s="171">
        <v>50.0</v>
      </c>
      <c r="J270" s="325">
        <f t="shared" si="13"/>
        <v>0.001447851861</v>
      </c>
      <c r="K270" s="326">
        <f t="shared" si="15"/>
        <v>1.090956377</v>
      </c>
      <c r="L270" s="327">
        <f t="shared" si="4"/>
        <v>7.65769915</v>
      </c>
      <c r="M270" s="321" t="str">
        <f t="shared" si="5"/>
        <v>liviade</v>
      </c>
      <c r="N270" s="176">
        <f>IFERROR(__xludf.DUMMYFUNCTION("""COMPUTED_VALUE"""),18.0)</f>
        <v>18</v>
      </c>
      <c r="O270" s="243"/>
      <c r="P270" s="243"/>
      <c r="Q270" s="243"/>
      <c r="R270" s="243"/>
      <c r="S270" s="243"/>
      <c r="T270" s="243"/>
      <c r="U270" s="176"/>
      <c r="V270" s="176"/>
      <c r="W270" s="176"/>
      <c r="X270" s="176"/>
      <c r="Y270" s="176"/>
      <c r="Z270" s="176"/>
    </row>
    <row r="271">
      <c r="A271" s="226" t="s">
        <v>18</v>
      </c>
      <c r="B271" s="226" t="s">
        <v>18</v>
      </c>
      <c r="C271" s="250" t="s">
        <v>3181</v>
      </c>
      <c r="D271" s="268" t="s">
        <v>495</v>
      </c>
      <c r="E271" s="251">
        <v>44180.0</v>
      </c>
      <c r="F271" s="250" t="s">
        <v>496</v>
      </c>
      <c r="G271" s="171">
        <v>5.0</v>
      </c>
      <c r="H271" s="171">
        <v>45.0</v>
      </c>
      <c r="I271" s="171">
        <v>50.0</v>
      </c>
      <c r="J271" s="325">
        <f t="shared" si="13"/>
        <v>0.001447851861</v>
      </c>
      <c r="K271" s="326">
        <f t="shared" si="15"/>
        <v>1.090956377</v>
      </c>
      <c r="L271" s="327">
        <f t="shared" si="4"/>
        <v>7.65769915</v>
      </c>
      <c r="M271" s="321" t="str">
        <f t="shared" si="5"/>
        <v>liviade</v>
      </c>
      <c r="N271" s="176">
        <f>IFERROR(__xludf.DUMMYFUNCTION("""COMPUTED_VALUE"""),19.0)</f>
        <v>19</v>
      </c>
      <c r="O271" s="243"/>
      <c r="P271" s="243"/>
      <c r="Q271" s="243"/>
      <c r="R271" s="243"/>
      <c r="S271" s="243"/>
      <c r="T271" s="243"/>
      <c r="U271" s="176"/>
      <c r="V271" s="176"/>
      <c r="W271" s="176"/>
      <c r="X271" s="176"/>
      <c r="Y271" s="176"/>
      <c r="Z271" s="176"/>
    </row>
    <row r="272">
      <c r="A272" s="226" t="s">
        <v>18</v>
      </c>
      <c r="B272" s="226" t="s">
        <v>590</v>
      </c>
      <c r="C272" s="250" t="s">
        <v>3261</v>
      </c>
      <c r="D272" s="268" t="s">
        <v>495</v>
      </c>
      <c r="E272" s="251">
        <v>44181.0</v>
      </c>
      <c r="F272" s="250" t="s">
        <v>496</v>
      </c>
      <c r="G272" s="171">
        <v>21.0</v>
      </c>
      <c r="H272" s="171">
        <v>100.0</v>
      </c>
      <c r="I272" s="171">
        <v>50.0</v>
      </c>
      <c r="J272" s="325">
        <f t="shared" si="13"/>
        <v>0.002709251922</v>
      </c>
      <c r="K272" s="326">
        <f t="shared" si="15"/>
        <v>2.041421323</v>
      </c>
      <c r="L272" s="327">
        <f t="shared" si="4"/>
        <v>7.65769915</v>
      </c>
      <c r="M272" s="321" t="str">
        <f t="shared" si="5"/>
        <v>liviade</v>
      </c>
      <c r="N272" s="176">
        <f>IFERROR(__xludf.DUMMYFUNCTION("""COMPUTED_VALUE"""),20.0)</f>
        <v>20</v>
      </c>
      <c r="O272" s="243"/>
      <c r="P272" s="243"/>
      <c r="Q272" s="243"/>
      <c r="R272" s="243"/>
      <c r="S272" s="243"/>
      <c r="T272" s="243"/>
      <c r="U272" s="176"/>
      <c r="V272" s="176"/>
      <c r="W272" s="176"/>
      <c r="X272" s="176"/>
      <c r="Y272" s="176"/>
      <c r="Z272" s="176"/>
    </row>
    <row r="273">
      <c r="A273" s="226" t="s">
        <v>18</v>
      </c>
      <c r="B273" s="226" t="s">
        <v>590</v>
      </c>
      <c r="C273" s="250" t="s">
        <v>3273</v>
      </c>
      <c r="D273" s="268" t="s">
        <v>495</v>
      </c>
      <c r="E273" s="251">
        <v>44181.0</v>
      </c>
      <c r="F273" s="250" t="s">
        <v>496</v>
      </c>
      <c r="G273" s="171">
        <v>21.0</v>
      </c>
      <c r="H273" s="171">
        <v>120.0</v>
      </c>
      <c r="I273" s="171">
        <v>100.0</v>
      </c>
      <c r="J273" s="325">
        <f t="shared" si="13"/>
        <v>0.003669506648</v>
      </c>
      <c r="K273" s="326">
        <f t="shared" si="15"/>
        <v>2.764973259</v>
      </c>
      <c r="L273" s="327">
        <f t="shared" si="4"/>
        <v>7.65769915</v>
      </c>
      <c r="M273" s="321" t="str">
        <f t="shared" si="5"/>
        <v>liviade</v>
      </c>
      <c r="N273" s="176">
        <f>IFERROR(__xludf.DUMMYFUNCTION("""COMPUTED_VALUE"""),21.0)</f>
        <v>21</v>
      </c>
      <c r="O273" s="243"/>
      <c r="P273" s="243"/>
      <c r="Q273" s="243"/>
      <c r="R273" s="243"/>
      <c r="S273" s="243"/>
      <c r="T273" s="243"/>
      <c r="U273" s="176"/>
      <c r="V273" s="176"/>
      <c r="W273" s="176"/>
      <c r="X273" s="176"/>
      <c r="Y273" s="176"/>
      <c r="Z273" s="176"/>
    </row>
    <row r="274">
      <c r="A274" s="226" t="s">
        <v>18</v>
      </c>
      <c r="B274" s="226" t="s">
        <v>1228</v>
      </c>
      <c r="C274" s="250" t="s">
        <v>3183</v>
      </c>
      <c r="D274" s="268" t="s">
        <v>495</v>
      </c>
      <c r="E274" s="251">
        <v>44182.0</v>
      </c>
      <c r="F274" s="250" t="s">
        <v>496</v>
      </c>
      <c r="G274" s="171">
        <v>21.0</v>
      </c>
      <c r="H274" s="171">
        <v>45.0</v>
      </c>
      <c r="I274" s="171">
        <v>50.0</v>
      </c>
      <c r="J274" s="325">
        <f t="shared" si="13"/>
        <v>0.00205164823</v>
      </c>
      <c r="K274" s="326">
        <f t="shared" si="15"/>
        <v>1.545916941</v>
      </c>
      <c r="L274" s="327">
        <f t="shared" si="4"/>
        <v>7.65769915</v>
      </c>
      <c r="M274" s="321" t="str">
        <f t="shared" si="5"/>
        <v>liviade</v>
      </c>
      <c r="N274" s="176">
        <f>IFERROR(__xludf.DUMMYFUNCTION("""COMPUTED_VALUE"""),22.0)</f>
        <v>22</v>
      </c>
      <c r="O274" s="243"/>
      <c r="P274" s="243"/>
      <c r="Q274" s="243"/>
      <c r="R274" s="243"/>
      <c r="S274" s="243"/>
      <c r="T274" s="243"/>
      <c r="U274" s="176"/>
      <c r="V274" s="176"/>
      <c r="W274" s="176"/>
      <c r="X274" s="176"/>
      <c r="Y274" s="176"/>
      <c r="Z274" s="176"/>
    </row>
    <row r="275">
      <c r="A275" s="226" t="s">
        <v>18</v>
      </c>
      <c r="B275" s="226" t="s">
        <v>590</v>
      </c>
      <c r="C275" s="250" t="s">
        <v>3184</v>
      </c>
      <c r="D275" s="268" t="s">
        <v>495</v>
      </c>
      <c r="E275" s="251">
        <v>44182.0</v>
      </c>
      <c r="F275" s="250" t="s">
        <v>496</v>
      </c>
      <c r="G275" s="171">
        <v>5.0</v>
      </c>
      <c r="H275" s="171">
        <v>60.0</v>
      </c>
      <c r="I275" s="171">
        <v>50.0</v>
      </c>
      <c r="J275" s="325">
        <f t="shared" si="13"/>
        <v>0.001627198322</v>
      </c>
      <c r="K275" s="326">
        <f t="shared" si="15"/>
        <v>1.226093936</v>
      </c>
      <c r="L275" s="327">
        <f t="shared" si="4"/>
        <v>7.65769915</v>
      </c>
      <c r="M275" s="321" t="str">
        <f t="shared" si="5"/>
        <v>liviade</v>
      </c>
      <c r="N275" s="176">
        <f>IFERROR(__xludf.DUMMYFUNCTION("""COMPUTED_VALUE"""),23.0)</f>
        <v>23</v>
      </c>
      <c r="O275" s="243"/>
      <c r="P275" s="243"/>
      <c r="Q275" s="243"/>
      <c r="R275" s="243"/>
      <c r="S275" s="243"/>
      <c r="T275" s="243"/>
      <c r="U275" s="176"/>
      <c r="V275" s="176"/>
      <c r="W275" s="176"/>
      <c r="X275" s="176"/>
      <c r="Y275" s="176"/>
      <c r="Z275" s="176"/>
    </row>
    <row r="276">
      <c r="A276" s="226" t="s">
        <v>18</v>
      </c>
      <c r="B276" s="226" t="s">
        <v>10</v>
      </c>
      <c r="C276" s="250" t="s">
        <v>3274</v>
      </c>
      <c r="D276" s="268" t="s">
        <v>495</v>
      </c>
      <c r="E276" s="251">
        <v>44183.0</v>
      </c>
      <c r="F276" s="250" t="s">
        <v>496</v>
      </c>
      <c r="G276" s="171">
        <v>21.0</v>
      </c>
      <c r="H276" s="171">
        <v>200.0</v>
      </c>
      <c r="I276" s="171">
        <v>100.0</v>
      </c>
      <c r="J276" s="325">
        <f t="shared" si="13"/>
        <v>0.00462602111</v>
      </c>
      <c r="K276" s="326">
        <f t="shared" si="15"/>
        <v>3.485706906</v>
      </c>
      <c r="L276" s="327">
        <f t="shared" si="4"/>
        <v>7.65769915</v>
      </c>
      <c r="M276" s="321" t="str">
        <f t="shared" si="5"/>
        <v>liviade</v>
      </c>
      <c r="N276" s="176">
        <f>IFERROR(__xludf.DUMMYFUNCTION("""COMPUTED_VALUE"""),24.0)</f>
        <v>24</v>
      </c>
      <c r="O276" s="243"/>
      <c r="P276" s="243"/>
      <c r="Q276" s="243"/>
      <c r="R276" s="243"/>
      <c r="S276" s="243"/>
      <c r="T276" s="243"/>
      <c r="U276" s="176"/>
      <c r="V276" s="176"/>
      <c r="W276" s="176"/>
      <c r="X276" s="176"/>
      <c r="Y276" s="176"/>
      <c r="Z276" s="176"/>
    </row>
    <row r="277">
      <c r="A277" s="226" t="s">
        <v>18</v>
      </c>
      <c r="B277" s="226" t="s">
        <v>10</v>
      </c>
      <c r="C277" s="250" t="s">
        <v>3187</v>
      </c>
      <c r="D277" s="268" t="s">
        <v>495</v>
      </c>
      <c r="E277" s="251">
        <v>44183.0</v>
      </c>
      <c r="F277" s="250" t="s">
        <v>496</v>
      </c>
      <c r="G277" s="171">
        <v>21.0</v>
      </c>
      <c r="H277" s="171">
        <v>200.0</v>
      </c>
      <c r="I277" s="171">
        <v>50.0</v>
      </c>
      <c r="J277" s="325">
        <f t="shared" si="13"/>
        <v>0.003904894999</v>
      </c>
      <c r="K277" s="326">
        <f t="shared" si="15"/>
        <v>2.942338382</v>
      </c>
      <c r="L277" s="327">
        <f t="shared" si="4"/>
        <v>7.65769915</v>
      </c>
      <c r="M277" s="321" t="str">
        <f t="shared" si="5"/>
        <v>liviade</v>
      </c>
      <c r="N277" s="176">
        <f>IFERROR(__xludf.DUMMYFUNCTION("""COMPUTED_VALUE"""),25.0)</f>
        <v>25</v>
      </c>
      <c r="O277" s="243"/>
      <c r="P277" s="243"/>
      <c r="Q277" s="243"/>
      <c r="R277" s="243"/>
      <c r="S277" s="243"/>
      <c r="T277" s="243"/>
      <c r="U277" s="176"/>
      <c r="V277" s="176"/>
      <c r="W277" s="176"/>
      <c r="X277" s="176"/>
      <c r="Y277" s="176"/>
      <c r="Z277" s="176"/>
    </row>
    <row r="278">
      <c r="A278" s="226" t="s">
        <v>18</v>
      </c>
      <c r="B278" s="226" t="s">
        <v>10</v>
      </c>
      <c r="C278" s="250" t="s">
        <v>3188</v>
      </c>
      <c r="D278" s="268" t="s">
        <v>495</v>
      </c>
      <c r="E278" s="251">
        <v>44183.0</v>
      </c>
      <c r="F278" s="250" t="s">
        <v>496</v>
      </c>
      <c r="G278" s="171">
        <v>5.0</v>
      </c>
      <c r="H278" s="171">
        <v>60.0</v>
      </c>
      <c r="I278" s="171">
        <v>50.0</v>
      </c>
      <c r="J278" s="325">
        <f t="shared" si="13"/>
        <v>0.001627198322</v>
      </c>
      <c r="K278" s="326">
        <f t="shared" si="15"/>
        <v>1.226093936</v>
      </c>
      <c r="L278" s="327">
        <f t="shared" si="4"/>
        <v>7.65769915</v>
      </c>
      <c r="M278" s="321" t="str">
        <f t="shared" si="5"/>
        <v>liviade</v>
      </c>
      <c r="N278" s="176">
        <f>IFERROR(__xludf.DUMMYFUNCTION("""COMPUTED_VALUE"""),26.0)</f>
        <v>26</v>
      </c>
      <c r="O278" s="243"/>
      <c r="P278" s="243"/>
      <c r="Q278" s="243"/>
      <c r="R278" s="243"/>
      <c r="S278" s="243"/>
      <c r="T278" s="243"/>
      <c r="U278" s="176"/>
      <c r="V278" s="176"/>
      <c r="W278" s="176"/>
      <c r="X278" s="176"/>
      <c r="Y278" s="176"/>
      <c r="Z278" s="176"/>
    </row>
    <row r="279">
      <c r="A279" s="226" t="s">
        <v>18</v>
      </c>
      <c r="B279" s="226" t="s">
        <v>18</v>
      </c>
      <c r="C279" s="250" t="s">
        <v>3189</v>
      </c>
      <c r="D279" s="268" t="s">
        <v>495</v>
      </c>
      <c r="E279" s="251">
        <v>44183.0</v>
      </c>
      <c r="F279" s="250" t="s">
        <v>496</v>
      </c>
      <c r="G279" s="171">
        <v>5.0</v>
      </c>
      <c r="H279" s="171">
        <v>60.0</v>
      </c>
      <c r="I279" s="171">
        <v>50.0</v>
      </c>
      <c r="J279" s="325">
        <f t="shared" si="13"/>
        <v>0.001627198322</v>
      </c>
      <c r="K279" s="326">
        <f t="shared" si="15"/>
        <v>1.226093936</v>
      </c>
      <c r="L279" s="327">
        <f t="shared" si="4"/>
        <v>7.65769915</v>
      </c>
      <c r="M279" s="321" t="str">
        <f t="shared" si="5"/>
        <v>liviade</v>
      </c>
      <c r="N279" s="176">
        <f>IFERROR(__xludf.DUMMYFUNCTION("""COMPUTED_VALUE"""),27.0)</f>
        <v>27</v>
      </c>
      <c r="O279" s="243"/>
      <c r="P279" s="243"/>
      <c r="Q279" s="243"/>
      <c r="R279" s="243"/>
      <c r="S279" s="243"/>
      <c r="T279" s="243"/>
      <c r="U279" s="176"/>
      <c r="V279" s="176"/>
      <c r="W279" s="176"/>
      <c r="X279" s="176"/>
      <c r="Y279" s="176"/>
      <c r="Z279" s="176"/>
    </row>
    <row r="280">
      <c r="A280" s="226" t="s">
        <v>18</v>
      </c>
      <c r="B280" s="226" t="s">
        <v>18</v>
      </c>
      <c r="C280" s="250" t="s">
        <v>3190</v>
      </c>
      <c r="D280" s="268" t="s">
        <v>495</v>
      </c>
      <c r="E280" s="251">
        <v>44183.0</v>
      </c>
      <c r="F280" s="250" t="s">
        <v>496</v>
      </c>
      <c r="G280" s="171">
        <v>21.0</v>
      </c>
      <c r="H280" s="171">
        <v>100.0</v>
      </c>
      <c r="I280" s="171">
        <v>50.0</v>
      </c>
      <c r="J280" s="325">
        <f t="shared" si="13"/>
        <v>0.002709251922</v>
      </c>
      <c r="K280" s="326">
        <f t="shared" si="15"/>
        <v>2.041421323</v>
      </c>
      <c r="L280" s="327">
        <f t="shared" si="4"/>
        <v>7.65769915</v>
      </c>
      <c r="M280" s="321" t="str">
        <f t="shared" si="5"/>
        <v>liviade</v>
      </c>
      <c r="N280" s="176">
        <f>IFERROR(__xludf.DUMMYFUNCTION("""COMPUTED_VALUE"""),28.0)</f>
        <v>28</v>
      </c>
      <c r="O280" s="243"/>
      <c r="P280" s="243"/>
      <c r="Q280" s="243"/>
      <c r="R280" s="243"/>
      <c r="S280" s="243"/>
      <c r="T280" s="243"/>
      <c r="U280" s="176"/>
      <c r="V280" s="176"/>
      <c r="W280" s="176"/>
      <c r="X280" s="176"/>
      <c r="Y280" s="176"/>
      <c r="Z280" s="176"/>
    </row>
    <row r="281">
      <c r="A281" s="226" t="s">
        <v>18</v>
      </c>
      <c r="B281" s="226" t="s">
        <v>868</v>
      </c>
      <c r="C281" s="250" t="s">
        <v>3191</v>
      </c>
      <c r="D281" s="268" t="s">
        <v>495</v>
      </c>
      <c r="E281" s="251">
        <v>44183.0</v>
      </c>
      <c r="F281" s="250" t="s">
        <v>496</v>
      </c>
      <c r="G281" s="171">
        <v>5.0</v>
      </c>
      <c r="H281" s="171">
        <v>45.0</v>
      </c>
      <c r="I281" s="171">
        <v>50.0</v>
      </c>
      <c r="J281" s="325">
        <f t="shared" si="13"/>
        <v>0.001447851861</v>
      </c>
      <c r="K281" s="326">
        <f t="shared" si="15"/>
        <v>1.090956377</v>
      </c>
      <c r="L281" s="327">
        <f t="shared" si="4"/>
        <v>7.65769915</v>
      </c>
      <c r="M281" s="321" t="str">
        <f t="shared" si="5"/>
        <v>liviade</v>
      </c>
      <c r="N281" s="176">
        <f>IFERROR(__xludf.DUMMYFUNCTION("""COMPUTED_VALUE"""),29.0)</f>
        <v>29</v>
      </c>
      <c r="O281" s="243"/>
      <c r="P281" s="243"/>
      <c r="Q281" s="243"/>
      <c r="R281" s="243"/>
      <c r="S281" s="243"/>
      <c r="T281" s="243"/>
      <c r="U281" s="176"/>
      <c r="V281" s="176"/>
      <c r="W281" s="176"/>
      <c r="X281" s="176"/>
      <c r="Y281" s="176"/>
      <c r="Z281" s="176"/>
    </row>
    <row r="282">
      <c r="A282" s="253" t="s">
        <v>18</v>
      </c>
      <c r="B282" s="240" t="s">
        <v>534</v>
      </c>
      <c r="C282" s="221" t="s">
        <v>741</v>
      </c>
      <c r="D282" s="336"/>
      <c r="E282" s="255"/>
      <c r="F282" s="254"/>
      <c r="G282" s="222"/>
      <c r="H282" s="222"/>
      <c r="I282" s="222"/>
      <c r="J282" s="325">
        <f t="shared" si="13"/>
        <v>0</v>
      </c>
      <c r="K282" s="337">
        <f>51.054*-0.85</f>
        <v>-43.3959</v>
      </c>
      <c r="L282" s="327">
        <f t="shared" si="4"/>
        <v>7.65769915</v>
      </c>
      <c r="M282" s="321" t="str">
        <f t="shared" si="5"/>
        <v>liviade</v>
      </c>
      <c r="N282" s="209">
        <f>IFERROR(__xludf.DUMMYFUNCTION("""COMPUTED_VALUE"""),30.0)</f>
        <v>30</v>
      </c>
      <c r="O282" s="209"/>
      <c r="P282" s="209"/>
      <c r="Q282" s="209"/>
      <c r="R282" s="209"/>
      <c r="S282" s="209"/>
      <c r="T282" s="209"/>
      <c r="U282" s="209"/>
      <c r="V282" s="209"/>
      <c r="W282" s="209"/>
      <c r="X282" s="209"/>
      <c r="Y282" s="176"/>
      <c r="Z282" s="176"/>
    </row>
    <row r="283">
      <c r="A283" s="226" t="s">
        <v>115</v>
      </c>
      <c r="B283" s="226" t="s">
        <v>590</v>
      </c>
      <c r="C283" s="250" t="s">
        <v>3275</v>
      </c>
      <c r="D283" s="268" t="s">
        <v>495</v>
      </c>
      <c r="E283" s="361">
        <v>44172.0</v>
      </c>
      <c r="F283" s="250" t="s">
        <v>499</v>
      </c>
      <c r="G283" s="171">
        <v>21.0</v>
      </c>
      <c r="H283" s="171">
        <v>60.0</v>
      </c>
      <c r="I283" s="171">
        <v>50.0</v>
      </c>
      <c r="J283" s="325">
        <f t="shared" si="13"/>
        <v>0.002230994692</v>
      </c>
      <c r="K283" s="326">
        <f t="shared" ref="K283:K304" si="16">J283*$J$1</f>
        <v>1.6810545</v>
      </c>
      <c r="L283" s="327">
        <f t="shared" si="4"/>
        <v>7.082901078</v>
      </c>
      <c r="M283" s="321" t="str">
        <f t="shared" si="5"/>
        <v>freddbomba</v>
      </c>
      <c r="N283" s="176">
        <f>IFERROR(__xludf.DUMMYFUNCTION("""COMPUTED_VALUE"""),1.0)</f>
        <v>1</v>
      </c>
      <c r="O283" s="243"/>
      <c r="P283" s="243"/>
      <c r="Q283" s="243"/>
      <c r="R283" s="243"/>
      <c r="S283" s="243"/>
      <c r="T283" s="243"/>
      <c r="U283" s="176"/>
      <c r="V283" s="176"/>
      <c r="W283" s="176"/>
      <c r="X283" s="176"/>
      <c r="Y283" s="176"/>
      <c r="Z283" s="176"/>
    </row>
    <row r="284">
      <c r="A284" s="226" t="s">
        <v>115</v>
      </c>
      <c r="B284" s="226" t="s">
        <v>18</v>
      </c>
      <c r="C284" s="250" t="s">
        <v>3276</v>
      </c>
      <c r="D284" s="268" t="s">
        <v>495</v>
      </c>
      <c r="E284" s="361">
        <v>44173.0</v>
      </c>
      <c r="F284" s="250" t="s">
        <v>499</v>
      </c>
      <c r="G284" s="171">
        <v>21.0</v>
      </c>
      <c r="H284" s="171">
        <v>45.0</v>
      </c>
      <c r="I284" s="171">
        <v>50.0</v>
      </c>
      <c r="J284" s="325">
        <f t="shared" si="13"/>
        <v>0.00205164823</v>
      </c>
      <c r="K284" s="326">
        <f t="shared" si="16"/>
        <v>1.545916941</v>
      </c>
      <c r="L284" s="327">
        <f t="shared" si="4"/>
        <v>7.082901078</v>
      </c>
      <c r="M284" s="321" t="str">
        <f t="shared" si="5"/>
        <v>freddbomba</v>
      </c>
      <c r="N284" s="176">
        <f>IFERROR(__xludf.DUMMYFUNCTION("""COMPUTED_VALUE"""),2.0)</f>
        <v>2</v>
      </c>
      <c r="O284" s="243"/>
      <c r="P284" s="243"/>
      <c r="Q284" s="243"/>
      <c r="R284" s="243"/>
      <c r="S284" s="243"/>
      <c r="T284" s="243"/>
      <c r="U284" s="176"/>
      <c r="V284" s="176"/>
      <c r="W284" s="176"/>
      <c r="X284" s="176"/>
      <c r="Y284" s="176"/>
      <c r="Z284" s="176"/>
    </row>
    <row r="285">
      <c r="A285" s="226" t="s">
        <v>115</v>
      </c>
      <c r="B285" s="226" t="s">
        <v>18</v>
      </c>
      <c r="C285" s="250" t="s">
        <v>3168</v>
      </c>
      <c r="D285" s="268" t="s">
        <v>495</v>
      </c>
      <c r="E285" s="361">
        <v>44174.0</v>
      </c>
      <c r="F285" s="250" t="s">
        <v>496</v>
      </c>
      <c r="G285" s="171">
        <v>5.0</v>
      </c>
      <c r="H285" s="171">
        <v>45.0</v>
      </c>
      <c r="I285" s="171">
        <v>50.0</v>
      </c>
      <c r="J285" s="325">
        <f t="shared" si="13"/>
        <v>0.001447851861</v>
      </c>
      <c r="K285" s="326">
        <f t="shared" si="16"/>
        <v>1.090956377</v>
      </c>
      <c r="L285" s="327">
        <f t="shared" si="4"/>
        <v>7.082901078</v>
      </c>
      <c r="M285" s="321" t="str">
        <f t="shared" si="5"/>
        <v>freddbomba</v>
      </c>
      <c r="N285" s="176">
        <f>IFERROR(__xludf.DUMMYFUNCTION("""COMPUTED_VALUE"""),3.0)</f>
        <v>3</v>
      </c>
      <c r="O285" s="243"/>
      <c r="P285" s="243"/>
      <c r="Q285" s="243"/>
      <c r="R285" s="243"/>
      <c r="S285" s="243"/>
      <c r="T285" s="243"/>
      <c r="U285" s="176"/>
      <c r="V285" s="176"/>
      <c r="W285" s="176"/>
      <c r="X285" s="176"/>
      <c r="Y285" s="176"/>
      <c r="Z285" s="176"/>
    </row>
    <row r="286">
      <c r="A286" s="226" t="s">
        <v>115</v>
      </c>
      <c r="B286" s="226" t="s">
        <v>519</v>
      </c>
      <c r="C286" s="250" t="s">
        <v>3277</v>
      </c>
      <c r="D286" s="268" t="s">
        <v>495</v>
      </c>
      <c r="E286" s="251">
        <v>44181.0</v>
      </c>
      <c r="F286" s="250" t="s">
        <v>499</v>
      </c>
      <c r="G286" s="171">
        <v>21.0</v>
      </c>
      <c r="H286" s="171">
        <v>120.0</v>
      </c>
      <c r="I286" s="171">
        <v>100.0</v>
      </c>
      <c r="J286" s="325">
        <f t="shared" si="13"/>
        <v>0.003669506648</v>
      </c>
      <c r="K286" s="326">
        <f t="shared" si="16"/>
        <v>2.764973259</v>
      </c>
      <c r="L286" s="327">
        <f t="shared" si="4"/>
        <v>7.082901078</v>
      </c>
      <c r="M286" s="321" t="str">
        <f t="shared" si="5"/>
        <v>freddbomba</v>
      </c>
      <c r="N286" s="176">
        <f>IFERROR(__xludf.DUMMYFUNCTION("""COMPUTED_VALUE"""),4.0)</f>
        <v>4</v>
      </c>
      <c r="O286" s="243"/>
      <c r="P286" s="243"/>
      <c r="Q286" s="243"/>
      <c r="R286" s="243"/>
      <c r="S286" s="243"/>
      <c r="T286" s="243"/>
      <c r="U286" s="176"/>
      <c r="V286" s="176"/>
      <c r="W286" s="176"/>
      <c r="X286" s="176"/>
      <c r="Y286" s="176"/>
      <c r="Z286" s="176"/>
    </row>
    <row r="287">
      <c r="A287" s="226" t="s">
        <v>14</v>
      </c>
      <c r="B287" s="226" t="s">
        <v>590</v>
      </c>
      <c r="C287" s="250" t="s">
        <v>3166</v>
      </c>
      <c r="D287" s="268" t="s">
        <v>495</v>
      </c>
      <c r="E287" s="361">
        <v>44173.0</v>
      </c>
      <c r="F287" s="250" t="s">
        <v>496</v>
      </c>
      <c r="G287" s="171">
        <v>144.0</v>
      </c>
      <c r="H287" s="171">
        <v>60.0</v>
      </c>
      <c r="I287" s="171">
        <v>50.0</v>
      </c>
      <c r="J287" s="325">
        <f t="shared" si="13"/>
        <v>0.006872679284</v>
      </c>
      <c r="K287" s="326">
        <f t="shared" si="16"/>
        <v>5.17856384</v>
      </c>
      <c r="L287" s="327">
        <f t="shared" si="4"/>
        <v>6.686071342</v>
      </c>
      <c r="M287" s="321" t="str">
        <f t="shared" si="5"/>
        <v>jessicazartler</v>
      </c>
      <c r="N287" s="176">
        <f>IFERROR(__xludf.DUMMYFUNCTION("""COMPUTED_VALUE"""),1.0)</f>
        <v>1</v>
      </c>
      <c r="O287" s="243"/>
      <c r="P287" s="243"/>
      <c r="Q287" s="243"/>
      <c r="R287" s="243"/>
      <c r="S287" s="243"/>
      <c r="T287" s="243"/>
      <c r="U287" s="176"/>
      <c r="V287" s="176"/>
      <c r="W287" s="176"/>
      <c r="X287" s="176"/>
      <c r="Y287" s="176"/>
      <c r="Z287" s="176"/>
    </row>
    <row r="288">
      <c r="A288" s="226" t="s">
        <v>14</v>
      </c>
      <c r="B288" s="226" t="s">
        <v>25</v>
      </c>
      <c r="C288" s="250" t="s">
        <v>3255</v>
      </c>
      <c r="D288" s="268" t="s">
        <v>495</v>
      </c>
      <c r="E288" s="361">
        <v>44174.0</v>
      </c>
      <c r="F288" s="250" t="s">
        <v>496</v>
      </c>
      <c r="G288" s="171">
        <v>144.0</v>
      </c>
      <c r="H288" s="171">
        <v>100.0</v>
      </c>
      <c r="I288" s="171">
        <v>50.0</v>
      </c>
      <c r="J288" s="325">
        <f t="shared" si="13"/>
        <v>0.007350936514</v>
      </c>
      <c r="K288" s="326">
        <f t="shared" si="16"/>
        <v>5.538930663</v>
      </c>
      <c r="L288" s="327">
        <f t="shared" si="4"/>
        <v>6.686071342</v>
      </c>
      <c r="M288" s="321" t="str">
        <f t="shared" si="5"/>
        <v>jessicazartler</v>
      </c>
      <c r="N288" s="176">
        <f>IFERROR(__xludf.DUMMYFUNCTION("""COMPUTED_VALUE"""),2.0)</f>
        <v>2</v>
      </c>
      <c r="O288" s="243"/>
      <c r="P288" s="243"/>
      <c r="Q288" s="243"/>
      <c r="R288" s="243"/>
      <c r="S288" s="243"/>
      <c r="T288" s="243"/>
      <c r="U288" s="176"/>
      <c r="V288" s="176"/>
      <c r="W288" s="176"/>
      <c r="X288" s="176"/>
      <c r="Y288" s="176"/>
      <c r="Z288" s="176"/>
    </row>
    <row r="289">
      <c r="A289" s="226" t="s">
        <v>14</v>
      </c>
      <c r="B289" s="226" t="s">
        <v>8</v>
      </c>
      <c r="C289" s="250" t="s">
        <v>3278</v>
      </c>
      <c r="D289" s="268" t="s">
        <v>495</v>
      </c>
      <c r="E289" s="361">
        <v>44174.0</v>
      </c>
      <c r="F289" s="250" t="s">
        <v>496</v>
      </c>
      <c r="G289" s="171">
        <v>144.0</v>
      </c>
      <c r="H289" s="171">
        <v>20.0</v>
      </c>
      <c r="I289" s="171">
        <v>20.0</v>
      </c>
      <c r="J289" s="325">
        <f t="shared" si="13"/>
        <v>0.005961746387</v>
      </c>
      <c r="K289" s="326">
        <f t="shared" si="16"/>
        <v>4.492175902</v>
      </c>
      <c r="L289" s="327">
        <f t="shared" si="4"/>
        <v>6.686071342</v>
      </c>
      <c r="M289" s="321" t="str">
        <f t="shared" si="5"/>
        <v>jessicazartler</v>
      </c>
      <c r="N289" s="176">
        <f>IFERROR(__xludf.DUMMYFUNCTION("""COMPUTED_VALUE"""),3.0)</f>
        <v>3</v>
      </c>
      <c r="O289" s="243"/>
      <c r="P289" s="243"/>
      <c r="Q289" s="243"/>
      <c r="R289" s="243"/>
      <c r="S289" s="243"/>
      <c r="T289" s="243"/>
      <c r="U289" s="176"/>
      <c r="V289" s="176"/>
      <c r="W289" s="176"/>
      <c r="X289" s="176"/>
      <c r="Y289" s="176"/>
      <c r="Z289" s="176"/>
    </row>
    <row r="290">
      <c r="A290" s="226" t="s">
        <v>14</v>
      </c>
      <c r="B290" s="226" t="s">
        <v>18</v>
      </c>
      <c r="C290" s="250" t="s">
        <v>3169</v>
      </c>
      <c r="D290" s="268" t="s">
        <v>495</v>
      </c>
      <c r="E290" s="361">
        <v>44174.0</v>
      </c>
      <c r="F290" s="250" t="s">
        <v>496</v>
      </c>
      <c r="G290" s="171">
        <v>5.0</v>
      </c>
      <c r="H290" s="171">
        <v>45.0</v>
      </c>
      <c r="I290" s="171">
        <v>50.0</v>
      </c>
      <c r="J290" s="325">
        <f t="shared" si="13"/>
        <v>0.001447851861</v>
      </c>
      <c r="K290" s="326">
        <f t="shared" si="16"/>
        <v>1.090956377</v>
      </c>
      <c r="L290" s="327">
        <f t="shared" si="4"/>
        <v>6.686071342</v>
      </c>
      <c r="M290" s="321" t="str">
        <f t="shared" si="5"/>
        <v>jessicazartler</v>
      </c>
      <c r="N290" s="176">
        <f>IFERROR(__xludf.DUMMYFUNCTION("""COMPUTED_VALUE"""),4.0)</f>
        <v>4</v>
      </c>
      <c r="O290" s="243"/>
      <c r="P290" s="243"/>
      <c r="Q290" s="243"/>
      <c r="R290" s="243"/>
      <c r="S290" s="243"/>
      <c r="T290" s="243"/>
      <c r="U290" s="176"/>
      <c r="V290" s="176"/>
      <c r="W290" s="176"/>
      <c r="X290" s="176"/>
      <c r="Y290" s="176"/>
      <c r="Z290" s="176"/>
    </row>
    <row r="291">
      <c r="A291" s="226" t="s">
        <v>14</v>
      </c>
      <c r="B291" s="226" t="s">
        <v>18</v>
      </c>
      <c r="C291" s="250" t="s">
        <v>3279</v>
      </c>
      <c r="D291" s="268" t="s">
        <v>495</v>
      </c>
      <c r="E291" s="361">
        <v>44174.0</v>
      </c>
      <c r="F291" s="250" t="s">
        <v>496</v>
      </c>
      <c r="G291" s="171">
        <v>21.0</v>
      </c>
      <c r="H291" s="171">
        <v>45.0</v>
      </c>
      <c r="I291" s="171">
        <v>100.0</v>
      </c>
      <c r="J291" s="325">
        <f t="shared" si="13"/>
        <v>0.002772774341</v>
      </c>
      <c r="K291" s="326">
        <f t="shared" si="16"/>
        <v>2.089285466</v>
      </c>
      <c r="L291" s="327">
        <f t="shared" si="4"/>
        <v>6.686071342</v>
      </c>
      <c r="M291" s="321" t="str">
        <f t="shared" si="5"/>
        <v>jessicazartler</v>
      </c>
      <c r="N291" s="176">
        <f>IFERROR(__xludf.DUMMYFUNCTION("""COMPUTED_VALUE"""),5.0)</f>
        <v>5</v>
      </c>
      <c r="O291" s="243"/>
      <c r="P291" s="243"/>
      <c r="Q291" s="243"/>
      <c r="R291" s="243"/>
      <c r="S291" s="243"/>
      <c r="T291" s="243"/>
      <c r="U291" s="176"/>
      <c r="V291" s="176"/>
      <c r="W291" s="176"/>
      <c r="X291" s="176"/>
      <c r="Y291" s="176"/>
      <c r="Z291" s="176"/>
    </row>
    <row r="292">
      <c r="A292" s="226" t="s">
        <v>14</v>
      </c>
      <c r="B292" s="226" t="s">
        <v>5</v>
      </c>
      <c r="C292" s="250" t="s">
        <v>3170</v>
      </c>
      <c r="D292" s="268" t="s">
        <v>495</v>
      </c>
      <c r="E292" s="251">
        <v>44175.0</v>
      </c>
      <c r="F292" s="250" t="s">
        <v>496</v>
      </c>
      <c r="G292" s="171">
        <v>5.0</v>
      </c>
      <c r="H292" s="171">
        <v>45.0</v>
      </c>
      <c r="I292" s="171">
        <v>50.0</v>
      </c>
      <c r="J292" s="325">
        <f t="shared" si="13"/>
        <v>0.001447851861</v>
      </c>
      <c r="K292" s="326">
        <f t="shared" si="16"/>
        <v>1.090956377</v>
      </c>
      <c r="L292" s="327">
        <f t="shared" si="4"/>
        <v>6.686071342</v>
      </c>
      <c r="M292" s="321" t="str">
        <f t="shared" si="5"/>
        <v>jessicazartler</v>
      </c>
      <c r="N292" s="176">
        <f>IFERROR(__xludf.DUMMYFUNCTION("""COMPUTED_VALUE"""),6.0)</f>
        <v>6</v>
      </c>
      <c r="O292" s="243"/>
      <c r="P292" s="243"/>
      <c r="Q292" s="243"/>
      <c r="R292" s="243"/>
      <c r="S292" s="243"/>
      <c r="T292" s="243"/>
      <c r="U292" s="176"/>
      <c r="V292" s="176"/>
      <c r="W292" s="176"/>
      <c r="X292" s="176"/>
      <c r="Y292" s="176"/>
      <c r="Z292" s="176"/>
    </row>
    <row r="293">
      <c r="A293" s="226" t="s">
        <v>14</v>
      </c>
      <c r="B293" s="226" t="s">
        <v>10</v>
      </c>
      <c r="C293" s="250" t="s">
        <v>3256</v>
      </c>
      <c r="D293" s="268" t="s">
        <v>495</v>
      </c>
      <c r="E293" s="251">
        <v>44176.0</v>
      </c>
      <c r="F293" s="250" t="s">
        <v>496</v>
      </c>
      <c r="G293" s="171">
        <v>3.0</v>
      </c>
      <c r="H293" s="171">
        <v>300.0</v>
      </c>
      <c r="I293" s="171">
        <v>100.0</v>
      </c>
      <c r="J293" s="325">
        <f t="shared" si="13"/>
        <v>0.00514239327</v>
      </c>
      <c r="K293" s="326">
        <f t="shared" si="16"/>
        <v>3.874793329</v>
      </c>
      <c r="L293" s="327">
        <f t="shared" si="4"/>
        <v>6.686071342</v>
      </c>
      <c r="M293" s="321" t="str">
        <f t="shared" si="5"/>
        <v>jessicazartler</v>
      </c>
      <c r="N293" s="176">
        <f>IFERROR(__xludf.DUMMYFUNCTION("""COMPUTED_VALUE"""),7.0)</f>
        <v>7</v>
      </c>
      <c r="O293" s="243"/>
      <c r="P293" s="243"/>
      <c r="Q293" s="243"/>
      <c r="R293" s="243"/>
      <c r="S293" s="243"/>
      <c r="T293" s="243"/>
      <c r="U293" s="176"/>
      <c r="V293" s="176"/>
      <c r="W293" s="176"/>
      <c r="X293" s="176"/>
      <c r="Y293" s="176"/>
      <c r="Z293" s="176"/>
    </row>
    <row r="294">
      <c r="A294" s="226" t="s">
        <v>14</v>
      </c>
      <c r="B294" s="226" t="s">
        <v>10</v>
      </c>
      <c r="C294" s="250" t="s">
        <v>3172</v>
      </c>
      <c r="D294" s="268" t="s">
        <v>495</v>
      </c>
      <c r="E294" s="251">
        <v>44176.0</v>
      </c>
      <c r="F294" s="250" t="s">
        <v>496</v>
      </c>
      <c r="G294" s="171">
        <v>21.0</v>
      </c>
      <c r="H294" s="171">
        <v>10.0</v>
      </c>
      <c r="I294" s="171">
        <v>20.0</v>
      </c>
      <c r="J294" s="325">
        <f t="shared" si="13"/>
        <v>0.001200497487</v>
      </c>
      <c r="K294" s="326">
        <f t="shared" si="16"/>
        <v>0.9045748565</v>
      </c>
      <c r="L294" s="327">
        <f t="shared" si="4"/>
        <v>6.686071342</v>
      </c>
      <c r="M294" s="321" t="str">
        <f t="shared" si="5"/>
        <v>jessicazartler</v>
      </c>
      <c r="N294" s="176">
        <f>IFERROR(__xludf.DUMMYFUNCTION("""COMPUTED_VALUE"""),8.0)</f>
        <v>8</v>
      </c>
      <c r="O294" s="243"/>
      <c r="P294" s="243"/>
      <c r="Q294" s="243"/>
      <c r="R294" s="243"/>
      <c r="S294" s="243"/>
      <c r="T294" s="243"/>
      <c r="U294" s="176"/>
      <c r="V294" s="176"/>
      <c r="W294" s="176"/>
      <c r="X294" s="176"/>
      <c r="Y294" s="176"/>
      <c r="Z294" s="176"/>
    </row>
    <row r="295">
      <c r="A295" s="226" t="s">
        <v>14</v>
      </c>
      <c r="B295" s="226" t="s">
        <v>10</v>
      </c>
      <c r="C295" s="250" t="s">
        <v>3280</v>
      </c>
      <c r="D295" s="268" t="s">
        <v>495</v>
      </c>
      <c r="E295" s="251">
        <v>44176.0</v>
      </c>
      <c r="F295" s="250" t="s">
        <v>496</v>
      </c>
      <c r="G295" s="171">
        <v>21.0</v>
      </c>
      <c r="H295" s="171">
        <v>100.0</v>
      </c>
      <c r="I295" s="171">
        <v>50.0</v>
      </c>
      <c r="J295" s="325">
        <f t="shared" si="13"/>
        <v>0.002709251922</v>
      </c>
      <c r="K295" s="326">
        <f t="shared" si="16"/>
        <v>2.041421323</v>
      </c>
      <c r="L295" s="327">
        <f t="shared" si="4"/>
        <v>6.686071342</v>
      </c>
      <c r="M295" s="321" t="str">
        <f t="shared" si="5"/>
        <v>jessicazartler</v>
      </c>
      <c r="N295" s="176">
        <f>IFERROR(__xludf.DUMMYFUNCTION("""COMPUTED_VALUE"""),9.0)</f>
        <v>9</v>
      </c>
      <c r="O295" s="243"/>
      <c r="P295" s="243"/>
      <c r="Q295" s="243"/>
      <c r="R295" s="243"/>
      <c r="S295" s="243"/>
      <c r="T295" s="243"/>
      <c r="U295" s="176"/>
      <c r="V295" s="176"/>
      <c r="W295" s="176"/>
      <c r="X295" s="176"/>
      <c r="Y295" s="176"/>
      <c r="Z295" s="176"/>
    </row>
    <row r="296">
      <c r="A296" s="226" t="s">
        <v>14</v>
      </c>
      <c r="B296" s="226" t="s">
        <v>10</v>
      </c>
      <c r="C296" s="250" t="s">
        <v>3281</v>
      </c>
      <c r="D296" s="268" t="s">
        <v>495</v>
      </c>
      <c r="E296" s="251">
        <v>44176.0</v>
      </c>
      <c r="F296" s="250" t="s">
        <v>496</v>
      </c>
      <c r="G296" s="171">
        <v>21.0</v>
      </c>
      <c r="H296" s="171">
        <v>60.0</v>
      </c>
      <c r="I296" s="171">
        <v>50.0</v>
      </c>
      <c r="J296" s="325">
        <f t="shared" si="13"/>
        <v>0.002230994692</v>
      </c>
      <c r="K296" s="326">
        <f t="shared" si="16"/>
        <v>1.6810545</v>
      </c>
      <c r="L296" s="327">
        <f t="shared" si="4"/>
        <v>6.686071342</v>
      </c>
      <c r="M296" s="321" t="str">
        <f t="shared" si="5"/>
        <v>jessicazartler</v>
      </c>
      <c r="N296" s="176">
        <f>IFERROR(__xludf.DUMMYFUNCTION("""COMPUTED_VALUE"""),10.0)</f>
        <v>10</v>
      </c>
      <c r="O296" s="243"/>
      <c r="P296" s="243"/>
      <c r="Q296" s="243"/>
      <c r="R296" s="243"/>
      <c r="S296" s="243"/>
      <c r="T296" s="243"/>
      <c r="U296" s="176"/>
      <c r="V296" s="176"/>
      <c r="W296" s="176"/>
      <c r="X296" s="176"/>
      <c r="Y296" s="176"/>
      <c r="Z296" s="176"/>
    </row>
    <row r="297">
      <c r="A297" s="226" t="s">
        <v>14</v>
      </c>
      <c r="B297" s="226" t="s">
        <v>10</v>
      </c>
      <c r="C297" s="250" t="s">
        <v>3176</v>
      </c>
      <c r="D297" s="268" t="s">
        <v>495</v>
      </c>
      <c r="E297" s="251">
        <v>44176.0</v>
      </c>
      <c r="F297" s="250" t="s">
        <v>496</v>
      </c>
      <c r="G297" s="171">
        <v>2.0</v>
      </c>
      <c r="H297" s="171">
        <v>45.0</v>
      </c>
      <c r="I297" s="171">
        <v>50.0</v>
      </c>
      <c r="J297" s="325">
        <f t="shared" si="13"/>
        <v>0.001334640041</v>
      </c>
      <c r="K297" s="326">
        <f t="shared" si="16"/>
        <v>1.005651271</v>
      </c>
      <c r="L297" s="327">
        <f t="shared" si="4"/>
        <v>6.686071342</v>
      </c>
      <c r="M297" s="321" t="str">
        <f t="shared" si="5"/>
        <v>jessicazartler</v>
      </c>
      <c r="N297" s="176">
        <f>IFERROR(__xludf.DUMMYFUNCTION("""COMPUTED_VALUE"""),11.0)</f>
        <v>11</v>
      </c>
      <c r="O297" s="243"/>
      <c r="P297" s="243"/>
      <c r="Q297" s="243"/>
      <c r="R297" s="243"/>
      <c r="S297" s="243"/>
      <c r="T297" s="243"/>
      <c r="U297" s="176"/>
      <c r="V297" s="176"/>
      <c r="W297" s="176"/>
      <c r="X297" s="176"/>
      <c r="Y297" s="176"/>
      <c r="Z297" s="176"/>
    </row>
    <row r="298">
      <c r="A298" s="226" t="s">
        <v>14</v>
      </c>
      <c r="B298" s="226" t="s">
        <v>590</v>
      </c>
      <c r="C298" s="250" t="s">
        <v>3180</v>
      </c>
      <c r="D298" s="268" t="s">
        <v>495</v>
      </c>
      <c r="E298" s="251">
        <v>44180.0</v>
      </c>
      <c r="F298" s="250" t="s">
        <v>496</v>
      </c>
      <c r="G298" s="171">
        <v>5.0</v>
      </c>
      <c r="H298" s="171">
        <v>60.0</v>
      </c>
      <c r="I298" s="171">
        <v>50.0</v>
      </c>
      <c r="J298" s="325">
        <f t="shared" si="13"/>
        <v>0.001627198322</v>
      </c>
      <c r="K298" s="326">
        <f t="shared" si="16"/>
        <v>1.226093936</v>
      </c>
      <c r="L298" s="327">
        <f t="shared" si="4"/>
        <v>6.686071342</v>
      </c>
      <c r="M298" s="321" t="str">
        <f t="shared" si="5"/>
        <v>jessicazartler</v>
      </c>
      <c r="N298" s="176">
        <f>IFERROR(__xludf.DUMMYFUNCTION("""COMPUTED_VALUE"""),12.0)</f>
        <v>12</v>
      </c>
      <c r="O298" s="243"/>
      <c r="P298" s="243"/>
      <c r="Q298" s="243"/>
      <c r="R298" s="243"/>
      <c r="S298" s="243"/>
      <c r="T298" s="243"/>
      <c r="U298" s="176"/>
      <c r="V298" s="176"/>
      <c r="W298" s="176"/>
      <c r="X298" s="176"/>
      <c r="Y298" s="176"/>
      <c r="Z298" s="176"/>
    </row>
    <row r="299">
      <c r="A299" s="226" t="s">
        <v>14</v>
      </c>
      <c r="B299" s="226" t="s">
        <v>18</v>
      </c>
      <c r="C299" s="250" t="s">
        <v>3282</v>
      </c>
      <c r="D299" s="268" t="s">
        <v>495</v>
      </c>
      <c r="E299" s="251">
        <v>44181.0</v>
      </c>
      <c r="F299" s="250" t="s">
        <v>496</v>
      </c>
      <c r="G299" s="171">
        <v>21.0</v>
      </c>
      <c r="H299" s="171">
        <v>600.0</v>
      </c>
      <c r="I299" s="171">
        <v>100.0</v>
      </c>
      <c r="J299" s="325">
        <f t="shared" si="13"/>
        <v>0.009408593416</v>
      </c>
      <c r="K299" s="326">
        <f t="shared" si="16"/>
        <v>7.089375139</v>
      </c>
      <c r="L299" s="327">
        <f t="shared" si="4"/>
        <v>6.686071342</v>
      </c>
      <c r="M299" s="321" t="str">
        <f t="shared" si="5"/>
        <v>jessicazartler</v>
      </c>
      <c r="N299" s="176">
        <f>IFERROR(__xludf.DUMMYFUNCTION("""COMPUTED_VALUE"""),13.0)</f>
        <v>13</v>
      </c>
      <c r="O299" s="243"/>
      <c r="P299" s="243"/>
      <c r="Q299" s="243"/>
      <c r="R299" s="243"/>
      <c r="S299" s="243"/>
      <c r="T299" s="243"/>
      <c r="U299" s="176"/>
      <c r="V299" s="176"/>
      <c r="W299" s="176"/>
      <c r="X299" s="176"/>
      <c r="Y299" s="176"/>
      <c r="Z299" s="176"/>
    </row>
    <row r="300">
      <c r="A300" s="226" t="s">
        <v>14</v>
      </c>
      <c r="B300" s="226" t="s">
        <v>590</v>
      </c>
      <c r="C300" s="250" t="s">
        <v>3184</v>
      </c>
      <c r="D300" s="268" t="s">
        <v>495</v>
      </c>
      <c r="E300" s="251">
        <v>44182.0</v>
      </c>
      <c r="F300" s="250" t="s">
        <v>496</v>
      </c>
      <c r="G300" s="171">
        <v>5.0</v>
      </c>
      <c r="H300" s="171">
        <v>60.0</v>
      </c>
      <c r="I300" s="171">
        <v>100.0</v>
      </c>
      <c r="J300" s="325">
        <f t="shared" si="13"/>
        <v>0.002348324433</v>
      </c>
      <c r="K300" s="326">
        <f t="shared" si="16"/>
        <v>1.76946246</v>
      </c>
      <c r="L300" s="327">
        <f t="shared" si="4"/>
        <v>6.686071342</v>
      </c>
      <c r="M300" s="321" t="str">
        <f t="shared" si="5"/>
        <v>jessicazartler</v>
      </c>
      <c r="N300" s="176">
        <f>IFERROR(__xludf.DUMMYFUNCTION("""COMPUTED_VALUE"""),14.0)</f>
        <v>14</v>
      </c>
      <c r="O300" s="243"/>
      <c r="P300" s="243"/>
      <c r="Q300" s="243"/>
      <c r="R300" s="243"/>
      <c r="S300" s="243"/>
      <c r="T300" s="243"/>
      <c r="U300" s="176"/>
      <c r="V300" s="176"/>
      <c r="W300" s="176"/>
      <c r="X300" s="176"/>
      <c r="Y300" s="176"/>
      <c r="Z300" s="176"/>
    </row>
    <row r="301">
      <c r="A301" s="226" t="s">
        <v>14</v>
      </c>
      <c r="B301" s="226" t="s">
        <v>10</v>
      </c>
      <c r="C301" s="250" t="s">
        <v>3187</v>
      </c>
      <c r="D301" s="268" t="s">
        <v>495</v>
      </c>
      <c r="E301" s="251">
        <v>44183.0</v>
      </c>
      <c r="F301" s="250" t="s">
        <v>496</v>
      </c>
      <c r="G301" s="171">
        <v>21.0</v>
      </c>
      <c r="H301" s="171">
        <v>60.0</v>
      </c>
      <c r="I301" s="171">
        <v>50.0</v>
      </c>
      <c r="J301" s="325">
        <f t="shared" si="13"/>
        <v>0.002230994692</v>
      </c>
      <c r="K301" s="326">
        <f t="shared" si="16"/>
        <v>1.6810545</v>
      </c>
      <c r="L301" s="327">
        <f t="shared" si="4"/>
        <v>6.686071342</v>
      </c>
      <c r="M301" s="321" t="str">
        <f t="shared" si="5"/>
        <v>jessicazartler</v>
      </c>
      <c r="N301" s="176">
        <f>IFERROR(__xludf.DUMMYFUNCTION("""COMPUTED_VALUE"""),15.0)</f>
        <v>15</v>
      </c>
      <c r="O301" s="243"/>
      <c r="P301" s="243"/>
      <c r="Q301" s="243"/>
      <c r="R301" s="243"/>
      <c r="S301" s="243"/>
      <c r="T301" s="243"/>
      <c r="U301" s="176"/>
      <c r="V301" s="176"/>
      <c r="W301" s="176"/>
      <c r="X301" s="176"/>
      <c r="Y301" s="176"/>
      <c r="Z301" s="176"/>
    </row>
    <row r="302">
      <c r="A302" s="226" t="s">
        <v>14</v>
      </c>
      <c r="B302" s="226" t="s">
        <v>10</v>
      </c>
      <c r="C302" s="250" t="s">
        <v>3283</v>
      </c>
      <c r="D302" s="268" t="s">
        <v>495</v>
      </c>
      <c r="E302" s="251">
        <v>44183.0</v>
      </c>
      <c r="F302" s="250" t="s">
        <v>496</v>
      </c>
      <c r="G302" s="171">
        <v>21.0</v>
      </c>
      <c r="H302" s="171">
        <v>40.0</v>
      </c>
      <c r="I302" s="171">
        <v>50.0</v>
      </c>
      <c r="J302" s="325">
        <f t="shared" si="13"/>
        <v>0.001991866076</v>
      </c>
      <c r="K302" s="326">
        <f t="shared" si="16"/>
        <v>1.500871089</v>
      </c>
      <c r="L302" s="327">
        <f t="shared" si="4"/>
        <v>6.686071342</v>
      </c>
      <c r="M302" s="321" t="str">
        <f t="shared" si="5"/>
        <v>jessicazartler</v>
      </c>
      <c r="N302" s="176">
        <f>IFERROR(__xludf.DUMMYFUNCTION("""COMPUTED_VALUE"""),16.0)</f>
        <v>16</v>
      </c>
      <c r="O302" s="243"/>
      <c r="P302" s="243"/>
      <c r="Q302" s="243"/>
      <c r="R302" s="243"/>
      <c r="S302" s="243"/>
      <c r="T302" s="243"/>
      <c r="U302" s="176"/>
      <c r="V302" s="176"/>
      <c r="W302" s="176"/>
      <c r="X302" s="176"/>
      <c r="Y302" s="176"/>
      <c r="Z302" s="176"/>
    </row>
    <row r="303">
      <c r="A303" s="226" t="s">
        <v>14</v>
      </c>
      <c r="B303" s="226" t="s">
        <v>10</v>
      </c>
      <c r="C303" s="250" t="s">
        <v>3188</v>
      </c>
      <c r="D303" s="268" t="s">
        <v>495</v>
      </c>
      <c r="E303" s="251">
        <v>44183.0</v>
      </c>
      <c r="F303" s="250" t="s">
        <v>496</v>
      </c>
      <c r="G303" s="171">
        <v>5.0</v>
      </c>
      <c r="H303" s="171">
        <v>60.0</v>
      </c>
      <c r="I303" s="171">
        <v>50.0</v>
      </c>
      <c r="J303" s="325">
        <f t="shared" si="13"/>
        <v>0.001627198322</v>
      </c>
      <c r="K303" s="326">
        <f t="shared" si="16"/>
        <v>1.226093936</v>
      </c>
      <c r="L303" s="327">
        <f t="shared" si="4"/>
        <v>6.686071342</v>
      </c>
      <c r="M303" s="321" t="str">
        <f t="shared" si="5"/>
        <v>jessicazartler</v>
      </c>
      <c r="N303" s="176">
        <f>IFERROR(__xludf.DUMMYFUNCTION("""COMPUTED_VALUE"""),17.0)</f>
        <v>17</v>
      </c>
      <c r="O303" s="243"/>
      <c r="P303" s="243"/>
      <c r="Q303" s="243"/>
      <c r="R303" s="243"/>
      <c r="S303" s="243"/>
      <c r="T303" s="243"/>
      <c r="U303" s="176"/>
      <c r="V303" s="176"/>
      <c r="W303" s="176"/>
      <c r="X303" s="176"/>
      <c r="Y303" s="176"/>
      <c r="Z303" s="176"/>
    </row>
    <row r="304">
      <c r="A304" s="226" t="s">
        <v>14</v>
      </c>
      <c r="B304" s="226" t="s">
        <v>18</v>
      </c>
      <c r="C304" s="250" t="s">
        <v>3189</v>
      </c>
      <c r="D304" s="268" t="s">
        <v>495</v>
      </c>
      <c r="E304" s="251">
        <v>44183.0</v>
      </c>
      <c r="F304" s="250" t="s">
        <v>496</v>
      </c>
      <c r="G304" s="171">
        <v>5.0</v>
      </c>
      <c r="H304" s="171">
        <v>45.0</v>
      </c>
      <c r="I304" s="171">
        <v>50.0</v>
      </c>
      <c r="J304" s="325">
        <f t="shared" si="13"/>
        <v>0.001447851861</v>
      </c>
      <c r="K304" s="326">
        <f t="shared" si="16"/>
        <v>1.090956377</v>
      </c>
      <c r="L304" s="327">
        <f t="shared" si="4"/>
        <v>6.686071342</v>
      </c>
      <c r="M304" s="321" t="str">
        <f t="shared" si="5"/>
        <v>jessicazartler</v>
      </c>
      <c r="N304" s="176">
        <f>IFERROR(__xludf.DUMMYFUNCTION("""COMPUTED_VALUE"""),18.0)</f>
        <v>18</v>
      </c>
      <c r="O304" s="243"/>
      <c r="P304" s="243"/>
      <c r="Q304" s="243"/>
      <c r="R304" s="243"/>
      <c r="S304" s="243"/>
      <c r="T304" s="243"/>
      <c r="U304" s="176"/>
      <c r="V304" s="176"/>
      <c r="W304" s="176"/>
      <c r="X304" s="176"/>
      <c r="Y304" s="176"/>
      <c r="Z304" s="176"/>
    </row>
    <row r="305">
      <c r="A305" s="240" t="s">
        <v>14</v>
      </c>
      <c r="B305" s="240" t="s">
        <v>534</v>
      </c>
      <c r="C305" s="221" t="s">
        <v>741</v>
      </c>
      <c r="D305" s="336"/>
      <c r="E305" s="255"/>
      <c r="F305" s="254"/>
      <c r="G305" s="222"/>
      <c r="H305" s="222"/>
      <c r="I305" s="222"/>
      <c r="J305" s="325">
        <f t="shared" si="13"/>
        <v>0</v>
      </c>
      <c r="K305" s="337">
        <f>44.572*-0.85</f>
        <v>-37.8862</v>
      </c>
      <c r="L305" s="327">
        <f t="shared" si="4"/>
        <v>6.686071342</v>
      </c>
      <c r="M305" s="321" t="str">
        <f t="shared" si="5"/>
        <v>jessicazartler</v>
      </c>
      <c r="N305" s="209">
        <f>IFERROR(__xludf.DUMMYFUNCTION("""COMPUTED_VALUE"""),19.0)</f>
        <v>19</v>
      </c>
      <c r="O305" s="209"/>
      <c r="P305" s="209"/>
      <c r="Q305" s="209"/>
      <c r="R305" s="209"/>
      <c r="S305" s="209"/>
      <c r="T305" s="209"/>
      <c r="U305" s="209"/>
      <c r="V305" s="209"/>
      <c r="W305" s="209"/>
      <c r="X305" s="209"/>
      <c r="Y305" s="176"/>
      <c r="Z305" s="176"/>
    </row>
    <row r="306">
      <c r="A306" s="226" t="s">
        <v>42</v>
      </c>
      <c r="B306" s="226" t="s">
        <v>18</v>
      </c>
      <c r="C306" s="250" t="s">
        <v>3168</v>
      </c>
      <c r="D306" s="268" t="s">
        <v>495</v>
      </c>
      <c r="E306" s="361">
        <v>44174.0</v>
      </c>
      <c r="F306" s="250" t="s">
        <v>496</v>
      </c>
      <c r="G306" s="171">
        <v>5.0</v>
      </c>
      <c r="H306" s="171">
        <v>45.0</v>
      </c>
      <c r="I306" s="171">
        <v>50.0</v>
      </c>
      <c r="J306" s="325">
        <f t="shared" si="13"/>
        <v>0.001447851861</v>
      </c>
      <c r="K306" s="326">
        <f t="shared" ref="K306:K311" si="17">J306*$J$1</f>
        <v>1.090956377</v>
      </c>
      <c r="L306" s="327">
        <f t="shared" si="4"/>
        <v>6.452543702</v>
      </c>
      <c r="M306" s="321" t="str">
        <f t="shared" si="5"/>
        <v>tannra</v>
      </c>
      <c r="N306" s="176">
        <f>IFERROR(__xludf.DUMMYFUNCTION("""COMPUTED_VALUE"""),1.0)</f>
        <v>1</v>
      </c>
      <c r="O306" s="243"/>
      <c r="P306" s="243"/>
      <c r="Q306" s="243"/>
      <c r="R306" s="243"/>
      <c r="S306" s="243"/>
      <c r="T306" s="243"/>
      <c r="U306" s="176"/>
      <c r="V306" s="176"/>
      <c r="W306" s="176"/>
      <c r="X306" s="176"/>
      <c r="Y306" s="176"/>
      <c r="Z306" s="176"/>
    </row>
    <row r="307">
      <c r="A307" s="226" t="s">
        <v>42</v>
      </c>
      <c r="B307" s="226" t="s">
        <v>10</v>
      </c>
      <c r="C307" s="250" t="s">
        <v>3284</v>
      </c>
      <c r="D307" s="268" t="s">
        <v>495</v>
      </c>
      <c r="E307" s="251">
        <v>44176.0</v>
      </c>
      <c r="F307" s="250" t="s">
        <v>496</v>
      </c>
      <c r="G307" s="171">
        <v>21.0</v>
      </c>
      <c r="H307" s="171">
        <v>120.0</v>
      </c>
      <c r="I307" s="171">
        <v>100.0</v>
      </c>
      <c r="J307" s="325">
        <f t="shared" si="13"/>
        <v>0.003669506648</v>
      </c>
      <c r="K307" s="326">
        <f t="shared" si="17"/>
        <v>2.764973259</v>
      </c>
      <c r="L307" s="327">
        <f t="shared" si="4"/>
        <v>6.452543702</v>
      </c>
      <c r="M307" s="321" t="str">
        <f t="shared" si="5"/>
        <v>tannra</v>
      </c>
      <c r="N307" s="176">
        <f>IFERROR(__xludf.DUMMYFUNCTION("""COMPUTED_VALUE"""),2.0)</f>
        <v>2</v>
      </c>
      <c r="O307" s="243"/>
      <c r="P307" s="243"/>
      <c r="Q307" s="243"/>
      <c r="R307" s="243"/>
      <c r="S307" s="243"/>
      <c r="T307" s="243"/>
      <c r="U307" s="176"/>
      <c r="V307" s="176"/>
      <c r="W307" s="176"/>
      <c r="X307" s="176"/>
      <c r="Y307" s="176"/>
      <c r="Z307" s="176"/>
    </row>
    <row r="308">
      <c r="A308" s="226" t="s">
        <v>42</v>
      </c>
      <c r="B308" s="226" t="s">
        <v>10</v>
      </c>
      <c r="C308" s="250" t="s">
        <v>3176</v>
      </c>
      <c r="D308" s="268" t="s">
        <v>495</v>
      </c>
      <c r="E308" s="251">
        <v>44176.0</v>
      </c>
      <c r="F308" s="250" t="s">
        <v>496</v>
      </c>
      <c r="G308" s="171">
        <v>2.0</v>
      </c>
      <c r="H308" s="171">
        <v>45.0</v>
      </c>
      <c r="I308" s="171">
        <v>50.0</v>
      </c>
      <c r="J308" s="325">
        <f t="shared" si="13"/>
        <v>0.001334640041</v>
      </c>
      <c r="K308" s="326">
        <f t="shared" si="17"/>
        <v>1.005651271</v>
      </c>
      <c r="L308" s="327">
        <f t="shared" si="4"/>
        <v>6.452543702</v>
      </c>
      <c r="M308" s="321" t="str">
        <f t="shared" si="5"/>
        <v>tannra</v>
      </c>
      <c r="N308" s="176">
        <f>IFERROR(__xludf.DUMMYFUNCTION("""COMPUTED_VALUE"""),3.0)</f>
        <v>3</v>
      </c>
      <c r="O308" s="243"/>
      <c r="P308" s="243"/>
      <c r="Q308" s="243"/>
      <c r="R308" s="243"/>
      <c r="S308" s="243"/>
      <c r="T308" s="243"/>
      <c r="U308" s="176"/>
      <c r="V308" s="176"/>
      <c r="W308" s="176"/>
      <c r="X308" s="176"/>
      <c r="Y308" s="176"/>
      <c r="Z308" s="176"/>
    </row>
    <row r="309">
      <c r="A309" s="226" t="s">
        <v>42</v>
      </c>
      <c r="B309" s="226" t="s">
        <v>590</v>
      </c>
      <c r="C309" s="250" t="s">
        <v>3285</v>
      </c>
      <c r="D309" s="268" t="s">
        <v>495</v>
      </c>
      <c r="E309" s="251">
        <v>44181.0</v>
      </c>
      <c r="F309" s="250" t="s">
        <v>496</v>
      </c>
      <c r="G309" s="171">
        <v>21.0</v>
      </c>
      <c r="H309" s="171">
        <v>50.0</v>
      </c>
      <c r="I309" s="171">
        <v>50.0</v>
      </c>
      <c r="J309" s="325">
        <f t="shared" si="13"/>
        <v>0.002111430384</v>
      </c>
      <c r="K309" s="326">
        <f t="shared" si="17"/>
        <v>1.590962794</v>
      </c>
      <c r="L309" s="327">
        <f t="shared" si="4"/>
        <v>6.452543702</v>
      </c>
      <c r="M309" s="321" t="str">
        <f t="shared" si="5"/>
        <v>tannra</v>
      </c>
      <c r="N309" s="176">
        <f>IFERROR(__xludf.DUMMYFUNCTION("""COMPUTED_VALUE"""),4.0)</f>
        <v>4</v>
      </c>
      <c r="O309" s="243"/>
      <c r="P309" s="243"/>
      <c r="Q309" s="243"/>
      <c r="R309" s="243"/>
      <c r="S309" s="243"/>
      <c r="T309" s="243"/>
      <c r="U309" s="176"/>
      <c r="V309" s="176"/>
      <c r="W309" s="176"/>
      <c r="X309" s="176"/>
      <c r="Y309" s="176"/>
      <c r="Z309" s="176"/>
    </row>
    <row r="310">
      <c r="A310" s="226" t="s">
        <v>69</v>
      </c>
      <c r="B310" s="226" t="s">
        <v>519</v>
      </c>
      <c r="C310" s="250" t="s">
        <v>3286</v>
      </c>
      <c r="D310" s="268" t="s">
        <v>495</v>
      </c>
      <c r="E310" s="251">
        <v>44183.0</v>
      </c>
      <c r="F310" s="250" t="s">
        <v>499</v>
      </c>
      <c r="G310" s="171">
        <v>144.0</v>
      </c>
      <c r="H310" s="171">
        <v>120.0</v>
      </c>
      <c r="I310" s="171">
        <v>100.0</v>
      </c>
      <c r="J310" s="325">
        <f t="shared" si="13"/>
        <v>0.00831119124</v>
      </c>
      <c r="K310" s="326">
        <f t="shared" si="17"/>
        <v>6.262482599</v>
      </c>
      <c r="L310" s="327">
        <f t="shared" si="4"/>
        <v>6.262482599</v>
      </c>
      <c r="M310" s="321" t="str">
        <f t="shared" si="5"/>
        <v>owocki</v>
      </c>
      <c r="N310" s="176">
        <f>IFERROR(__xludf.DUMMYFUNCTION("""COMPUTED_VALUE"""),1.0)</f>
        <v>1</v>
      </c>
      <c r="O310" s="243"/>
      <c r="P310" s="243"/>
      <c r="Q310" s="243"/>
      <c r="R310" s="243"/>
      <c r="S310" s="243"/>
      <c r="T310" s="243"/>
      <c r="U310" s="176"/>
      <c r="V310" s="176"/>
      <c r="W310" s="176"/>
      <c r="X310" s="176"/>
      <c r="Y310" s="176"/>
      <c r="Z310" s="176"/>
    </row>
    <row r="311">
      <c r="A311" s="226" t="s">
        <v>152</v>
      </c>
      <c r="B311" s="226" t="s">
        <v>519</v>
      </c>
      <c r="C311" s="250" t="s">
        <v>3287</v>
      </c>
      <c r="D311" s="268" t="s">
        <v>495</v>
      </c>
      <c r="E311" s="251">
        <v>44183.0</v>
      </c>
      <c r="F311" s="250" t="s">
        <v>499</v>
      </c>
      <c r="G311" s="171">
        <v>144.0</v>
      </c>
      <c r="H311" s="171">
        <v>120.0</v>
      </c>
      <c r="I311" s="171">
        <v>100.0</v>
      </c>
      <c r="J311" s="325">
        <f t="shared" si="13"/>
        <v>0.00831119124</v>
      </c>
      <c r="K311" s="326">
        <f t="shared" si="17"/>
        <v>6.262482599</v>
      </c>
      <c r="L311" s="327">
        <f t="shared" si="4"/>
        <v>6.262482599</v>
      </c>
      <c r="M311" s="321" t="str">
        <f t="shared" si="5"/>
        <v>stephen_yo</v>
      </c>
      <c r="N311" s="176">
        <f>IFERROR(__xludf.DUMMYFUNCTION("""COMPUTED_VALUE"""),1.0)</f>
        <v>1</v>
      </c>
      <c r="O311" s="243"/>
      <c r="P311" s="243"/>
      <c r="Q311" s="243"/>
      <c r="R311" s="243"/>
      <c r="S311" s="243"/>
      <c r="T311" s="243"/>
      <c r="U311" s="176"/>
      <c r="V311" s="176"/>
      <c r="W311" s="176"/>
      <c r="X311" s="176"/>
      <c r="Y311" s="176"/>
      <c r="Z311" s="176"/>
    </row>
    <row r="312">
      <c r="A312" s="226" t="s">
        <v>28</v>
      </c>
      <c r="B312" s="226" t="s">
        <v>925</v>
      </c>
      <c r="C312" s="250" t="s">
        <v>3201</v>
      </c>
      <c r="D312" s="268" t="s">
        <v>495</v>
      </c>
      <c r="E312" s="361">
        <v>44171.0</v>
      </c>
      <c r="F312" s="250" t="s">
        <v>496</v>
      </c>
      <c r="G312" s="176"/>
      <c r="H312" s="171"/>
      <c r="I312" s="171"/>
      <c r="J312" s="325">
        <f t="shared" si="13"/>
        <v>0</v>
      </c>
      <c r="K312" s="326">
        <f t="shared" ref="K312:K332" si="18">$N$1</f>
        <v>1.984210526</v>
      </c>
      <c r="L312" s="327">
        <f t="shared" si="4"/>
        <v>6.250621053</v>
      </c>
      <c r="M312" s="321" t="str">
        <f t="shared" si="5"/>
        <v>tam2140</v>
      </c>
      <c r="N312" s="176">
        <f>IFERROR(__xludf.DUMMYFUNCTION("""COMPUTED_VALUE"""),1.0)</f>
        <v>1</v>
      </c>
      <c r="O312" s="243"/>
      <c r="P312" s="243"/>
      <c r="Q312" s="243"/>
      <c r="R312" s="243"/>
      <c r="S312" s="243"/>
      <c r="T312" s="243"/>
      <c r="U312" s="176"/>
      <c r="V312" s="176"/>
      <c r="W312" s="176"/>
      <c r="X312" s="176"/>
      <c r="Y312" s="176"/>
      <c r="Z312" s="176"/>
    </row>
    <row r="313">
      <c r="A313" s="226" t="s">
        <v>28</v>
      </c>
      <c r="B313" s="226" t="s">
        <v>25</v>
      </c>
      <c r="C313" s="250" t="s">
        <v>3202</v>
      </c>
      <c r="D313" s="268" t="s">
        <v>495</v>
      </c>
      <c r="E313" s="361">
        <v>44172.0</v>
      </c>
      <c r="F313" s="250" t="s">
        <v>496</v>
      </c>
      <c r="G313" s="176"/>
      <c r="H313" s="171"/>
      <c r="I313" s="171"/>
      <c r="J313" s="325">
        <f t="shared" si="13"/>
        <v>0</v>
      </c>
      <c r="K313" s="326">
        <f t="shared" si="18"/>
        <v>1.984210526</v>
      </c>
      <c r="L313" s="327">
        <f t="shared" si="4"/>
        <v>6.250621053</v>
      </c>
      <c r="M313" s="321" t="str">
        <f t="shared" si="5"/>
        <v>tam2140</v>
      </c>
      <c r="N313" s="176">
        <f>IFERROR(__xludf.DUMMYFUNCTION("""COMPUTED_VALUE"""),2.0)</f>
        <v>2</v>
      </c>
      <c r="O313" s="243"/>
      <c r="P313" s="243"/>
      <c r="Q313" s="243"/>
      <c r="R313" s="243"/>
      <c r="S313" s="243"/>
      <c r="T313" s="243"/>
      <c r="U313" s="176"/>
      <c r="V313" s="176"/>
      <c r="W313" s="176"/>
      <c r="X313" s="176"/>
      <c r="Y313" s="176"/>
      <c r="Z313" s="176"/>
    </row>
    <row r="314">
      <c r="A314" s="226" t="s">
        <v>28</v>
      </c>
      <c r="B314" s="226" t="s">
        <v>590</v>
      </c>
      <c r="C314" s="250" t="s">
        <v>3215</v>
      </c>
      <c r="D314" s="268" t="s">
        <v>495</v>
      </c>
      <c r="E314" s="361">
        <v>44172.0</v>
      </c>
      <c r="F314" s="250" t="s">
        <v>496</v>
      </c>
      <c r="G314" s="176"/>
      <c r="H314" s="243"/>
      <c r="I314" s="243"/>
      <c r="J314" s="325">
        <f t="shared" si="13"/>
        <v>0</v>
      </c>
      <c r="K314" s="326">
        <f t="shared" si="18"/>
        <v>1.984210526</v>
      </c>
      <c r="L314" s="327">
        <f t="shared" si="4"/>
        <v>6.250621053</v>
      </c>
      <c r="M314" s="321" t="str">
        <f t="shared" si="5"/>
        <v>tam2140</v>
      </c>
      <c r="N314" s="176">
        <f>IFERROR(__xludf.DUMMYFUNCTION("""COMPUTED_VALUE"""),3.0)</f>
        <v>3</v>
      </c>
      <c r="O314" s="243"/>
      <c r="P314" s="243"/>
      <c r="Q314" s="243"/>
      <c r="R314" s="243"/>
      <c r="S314" s="243"/>
      <c r="T314" s="243"/>
      <c r="U314" s="176"/>
      <c r="V314" s="176"/>
      <c r="W314" s="176"/>
      <c r="X314" s="176"/>
      <c r="Y314" s="176"/>
      <c r="Z314" s="176"/>
    </row>
    <row r="315">
      <c r="A315" s="226" t="s">
        <v>28</v>
      </c>
      <c r="B315" s="226" t="s">
        <v>10</v>
      </c>
      <c r="C315" s="250" t="s">
        <v>3239</v>
      </c>
      <c r="D315" s="268" t="s">
        <v>495</v>
      </c>
      <c r="E315" s="361">
        <v>44173.0</v>
      </c>
      <c r="F315" s="250" t="s">
        <v>499</v>
      </c>
      <c r="G315" s="176"/>
      <c r="H315" s="243"/>
      <c r="I315" s="243"/>
      <c r="J315" s="325">
        <f t="shared" si="13"/>
        <v>0</v>
      </c>
      <c r="K315" s="326">
        <f t="shared" si="18"/>
        <v>1.984210526</v>
      </c>
      <c r="L315" s="327">
        <f t="shared" si="4"/>
        <v>6.250621053</v>
      </c>
      <c r="M315" s="321" t="str">
        <f t="shared" si="5"/>
        <v>tam2140</v>
      </c>
      <c r="N315" s="176">
        <f>IFERROR(__xludf.DUMMYFUNCTION("""COMPUTED_VALUE"""),4.0)</f>
        <v>4</v>
      </c>
      <c r="O315" s="243"/>
      <c r="P315" s="243"/>
      <c r="Q315" s="243"/>
      <c r="R315" s="243"/>
      <c r="S315" s="243"/>
      <c r="T315" s="243"/>
      <c r="U315" s="176"/>
      <c r="V315" s="176"/>
      <c r="W315" s="176"/>
      <c r="X315" s="176"/>
      <c r="Y315" s="176"/>
      <c r="Z315" s="176"/>
    </row>
    <row r="316">
      <c r="A316" s="226" t="s">
        <v>28</v>
      </c>
      <c r="B316" s="226" t="s">
        <v>590</v>
      </c>
      <c r="C316" s="250" t="s">
        <v>3166</v>
      </c>
      <c r="D316" s="268" t="s">
        <v>495</v>
      </c>
      <c r="E316" s="361">
        <v>44173.0</v>
      </c>
      <c r="F316" s="250" t="s">
        <v>496</v>
      </c>
      <c r="G316" s="176"/>
      <c r="H316" s="243"/>
      <c r="I316" s="243"/>
      <c r="J316" s="325">
        <f t="shared" si="13"/>
        <v>0</v>
      </c>
      <c r="K316" s="326">
        <f t="shared" si="18"/>
        <v>1.984210526</v>
      </c>
      <c r="L316" s="327">
        <f t="shared" si="4"/>
        <v>6.250621053</v>
      </c>
      <c r="M316" s="321" t="str">
        <f t="shared" si="5"/>
        <v>tam2140</v>
      </c>
      <c r="N316" s="176">
        <f>IFERROR(__xludf.DUMMYFUNCTION("""COMPUTED_VALUE"""),5.0)</f>
        <v>5</v>
      </c>
      <c r="O316" s="243"/>
      <c r="P316" s="243"/>
      <c r="Q316" s="243"/>
      <c r="R316" s="243"/>
      <c r="S316" s="243"/>
      <c r="T316" s="243"/>
      <c r="U316" s="176"/>
      <c r="V316" s="176"/>
      <c r="W316" s="176"/>
      <c r="X316" s="176"/>
      <c r="Y316" s="176"/>
      <c r="Z316" s="176"/>
    </row>
    <row r="317">
      <c r="A317" s="226" t="s">
        <v>28</v>
      </c>
      <c r="B317" s="226" t="s">
        <v>18</v>
      </c>
      <c r="C317" s="250" t="s">
        <v>3168</v>
      </c>
      <c r="D317" s="268" t="s">
        <v>495</v>
      </c>
      <c r="E317" s="361">
        <v>44174.0</v>
      </c>
      <c r="F317" s="250" t="s">
        <v>496</v>
      </c>
      <c r="G317" s="176"/>
      <c r="H317" s="243"/>
      <c r="I317" s="243"/>
      <c r="J317" s="325">
        <f t="shared" si="13"/>
        <v>0</v>
      </c>
      <c r="K317" s="326">
        <f t="shared" si="18"/>
        <v>1.984210526</v>
      </c>
      <c r="L317" s="327">
        <f t="shared" si="4"/>
        <v>6.250621053</v>
      </c>
      <c r="M317" s="321" t="str">
        <f t="shared" si="5"/>
        <v>tam2140</v>
      </c>
      <c r="N317" s="176">
        <f>IFERROR(__xludf.DUMMYFUNCTION("""COMPUTED_VALUE"""),6.0)</f>
        <v>6</v>
      </c>
      <c r="O317" s="243"/>
      <c r="P317" s="243"/>
      <c r="Q317" s="243"/>
      <c r="R317" s="243"/>
      <c r="S317" s="243"/>
      <c r="T317" s="243"/>
      <c r="U317" s="176"/>
      <c r="V317" s="176"/>
      <c r="W317" s="176"/>
      <c r="X317" s="176"/>
      <c r="Y317" s="176"/>
      <c r="Z317" s="176"/>
    </row>
    <row r="318">
      <c r="A318" s="226" t="s">
        <v>28</v>
      </c>
      <c r="B318" s="226" t="s">
        <v>18</v>
      </c>
      <c r="C318" s="250" t="s">
        <v>3169</v>
      </c>
      <c r="D318" s="268" t="s">
        <v>495</v>
      </c>
      <c r="E318" s="361">
        <v>44174.0</v>
      </c>
      <c r="F318" s="250" t="s">
        <v>496</v>
      </c>
      <c r="G318" s="176"/>
      <c r="H318" s="243"/>
      <c r="I318" s="243"/>
      <c r="J318" s="325">
        <f t="shared" si="13"/>
        <v>0</v>
      </c>
      <c r="K318" s="326">
        <f t="shared" si="18"/>
        <v>1.984210526</v>
      </c>
      <c r="L318" s="327">
        <f t="shared" si="4"/>
        <v>6.250621053</v>
      </c>
      <c r="M318" s="321" t="str">
        <f t="shared" si="5"/>
        <v>tam2140</v>
      </c>
      <c r="N318" s="176">
        <f>IFERROR(__xludf.DUMMYFUNCTION("""COMPUTED_VALUE"""),7.0)</f>
        <v>7</v>
      </c>
      <c r="O318" s="243"/>
      <c r="P318" s="243"/>
      <c r="Q318" s="243"/>
      <c r="R318" s="243"/>
      <c r="S318" s="243"/>
      <c r="T318" s="243"/>
      <c r="U318" s="176"/>
      <c r="V318" s="176"/>
      <c r="W318" s="176"/>
      <c r="X318" s="176"/>
      <c r="Y318" s="176"/>
      <c r="Z318" s="176"/>
    </row>
    <row r="319">
      <c r="A319" s="226" t="s">
        <v>28</v>
      </c>
      <c r="B319" s="226" t="s">
        <v>5</v>
      </c>
      <c r="C319" s="250" t="s">
        <v>3170</v>
      </c>
      <c r="D319" s="268" t="s">
        <v>495</v>
      </c>
      <c r="E319" s="251">
        <v>44175.0</v>
      </c>
      <c r="F319" s="250" t="s">
        <v>496</v>
      </c>
      <c r="G319" s="176"/>
      <c r="H319" s="243"/>
      <c r="I319" s="243"/>
      <c r="J319" s="325">
        <f t="shared" si="13"/>
        <v>0</v>
      </c>
      <c r="K319" s="326">
        <f t="shared" si="18"/>
        <v>1.984210526</v>
      </c>
      <c r="L319" s="327">
        <f t="shared" si="4"/>
        <v>6.250621053</v>
      </c>
      <c r="M319" s="321" t="str">
        <f t="shared" si="5"/>
        <v>tam2140</v>
      </c>
      <c r="N319" s="176">
        <f>IFERROR(__xludf.DUMMYFUNCTION("""COMPUTED_VALUE"""),8.0)</f>
        <v>8</v>
      </c>
      <c r="O319" s="243"/>
      <c r="P319" s="243"/>
      <c r="Q319" s="243"/>
      <c r="R319" s="243"/>
      <c r="S319" s="243"/>
      <c r="T319" s="243"/>
      <c r="U319" s="176"/>
      <c r="V319" s="176"/>
      <c r="W319" s="176"/>
      <c r="X319" s="176"/>
      <c r="Y319" s="176"/>
      <c r="Z319" s="176"/>
    </row>
    <row r="320">
      <c r="A320" s="226" t="s">
        <v>28</v>
      </c>
      <c r="B320" s="226" t="s">
        <v>5</v>
      </c>
      <c r="C320" s="250" t="s">
        <v>3171</v>
      </c>
      <c r="D320" s="268" t="s">
        <v>495</v>
      </c>
      <c r="E320" s="251">
        <v>44175.0</v>
      </c>
      <c r="F320" s="250" t="s">
        <v>496</v>
      </c>
      <c r="G320" s="176"/>
      <c r="H320" s="243"/>
      <c r="I320" s="243"/>
      <c r="J320" s="325">
        <f t="shared" si="13"/>
        <v>0</v>
      </c>
      <c r="K320" s="326">
        <f t="shared" si="18"/>
        <v>1.984210526</v>
      </c>
      <c r="L320" s="327">
        <f t="shared" si="4"/>
        <v>6.250621053</v>
      </c>
      <c r="M320" s="321" t="str">
        <f t="shared" si="5"/>
        <v>tam2140</v>
      </c>
      <c r="N320" s="176">
        <f>IFERROR(__xludf.DUMMYFUNCTION("""COMPUTED_VALUE"""),9.0)</f>
        <v>9</v>
      </c>
      <c r="O320" s="243"/>
      <c r="P320" s="243"/>
      <c r="Q320" s="243"/>
      <c r="R320" s="243"/>
      <c r="S320" s="243"/>
      <c r="T320" s="243"/>
      <c r="U320" s="176"/>
      <c r="V320" s="176"/>
      <c r="W320" s="176"/>
      <c r="X320" s="176"/>
      <c r="Y320" s="176"/>
      <c r="Z320" s="176"/>
    </row>
    <row r="321">
      <c r="A321" s="226" t="s">
        <v>28</v>
      </c>
      <c r="B321" s="226" t="s">
        <v>10</v>
      </c>
      <c r="C321" s="250" t="s">
        <v>3288</v>
      </c>
      <c r="D321" s="268" t="s">
        <v>495</v>
      </c>
      <c r="E321" s="251">
        <v>44176.0</v>
      </c>
      <c r="F321" s="250" t="s">
        <v>496</v>
      </c>
      <c r="G321" s="176"/>
      <c r="H321" s="243"/>
      <c r="I321" s="243"/>
      <c r="J321" s="325">
        <f t="shared" si="13"/>
        <v>0</v>
      </c>
      <c r="K321" s="326">
        <f t="shared" si="18"/>
        <v>1.984210526</v>
      </c>
      <c r="L321" s="327">
        <f t="shared" si="4"/>
        <v>6.250621053</v>
      </c>
      <c r="M321" s="321" t="str">
        <f t="shared" si="5"/>
        <v>tam2140</v>
      </c>
      <c r="N321" s="176">
        <f>IFERROR(__xludf.DUMMYFUNCTION("""COMPUTED_VALUE"""),10.0)</f>
        <v>10</v>
      </c>
      <c r="O321" s="243"/>
      <c r="P321" s="243"/>
      <c r="Q321" s="243"/>
      <c r="R321" s="243"/>
      <c r="S321" s="243"/>
      <c r="T321" s="243"/>
      <c r="U321" s="176"/>
      <c r="V321" s="176"/>
      <c r="W321" s="176"/>
      <c r="X321" s="176"/>
      <c r="Y321" s="176"/>
      <c r="Z321" s="176"/>
    </row>
    <row r="322">
      <c r="A322" s="226" t="s">
        <v>28</v>
      </c>
      <c r="B322" s="226" t="s">
        <v>10</v>
      </c>
      <c r="C322" s="250" t="s">
        <v>3176</v>
      </c>
      <c r="D322" s="268" t="s">
        <v>495</v>
      </c>
      <c r="E322" s="251">
        <v>44176.0</v>
      </c>
      <c r="F322" s="250" t="s">
        <v>496</v>
      </c>
      <c r="G322" s="176"/>
      <c r="H322" s="243"/>
      <c r="I322" s="243"/>
      <c r="J322" s="325">
        <f t="shared" si="13"/>
        <v>0</v>
      </c>
      <c r="K322" s="326">
        <f t="shared" si="18"/>
        <v>1.984210526</v>
      </c>
      <c r="L322" s="327">
        <f t="shared" si="4"/>
        <v>6.250621053</v>
      </c>
      <c r="M322" s="321" t="str">
        <f t="shared" si="5"/>
        <v>tam2140</v>
      </c>
      <c r="N322" s="176">
        <f>IFERROR(__xludf.DUMMYFUNCTION("""COMPUTED_VALUE"""),11.0)</f>
        <v>11</v>
      </c>
      <c r="O322" s="243"/>
      <c r="P322" s="243"/>
      <c r="Q322" s="243"/>
      <c r="R322" s="243"/>
      <c r="S322" s="243"/>
      <c r="T322" s="243"/>
      <c r="U322" s="176"/>
      <c r="V322" s="176"/>
      <c r="W322" s="176"/>
      <c r="X322" s="176"/>
      <c r="Y322" s="176"/>
      <c r="Z322" s="176"/>
    </row>
    <row r="323">
      <c r="A323" s="226" t="s">
        <v>28</v>
      </c>
      <c r="B323" s="226" t="s">
        <v>5</v>
      </c>
      <c r="C323" s="250" t="s">
        <v>3177</v>
      </c>
      <c r="D323" s="268" t="s">
        <v>495</v>
      </c>
      <c r="E323" s="251">
        <v>44176.0</v>
      </c>
      <c r="F323" s="250" t="s">
        <v>496</v>
      </c>
      <c r="G323" s="176"/>
      <c r="H323" s="243"/>
      <c r="I323" s="243"/>
      <c r="J323" s="325">
        <f t="shared" si="13"/>
        <v>0</v>
      </c>
      <c r="K323" s="326">
        <f t="shared" si="18"/>
        <v>1.984210526</v>
      </c>
      <c r="L323" s="327">
        <f t="shared" si="4"/>
        <v>6.250621053</v>
      </c>
      <c r="M323" s="321" t="str">
        <f t="shared" si="5"/>
        <v>tam2140</v>
      </c>
      <c r="N323" s="176">
        <f>IFERROR(__xludf.DUMMYFUNCTION("""COMPUTED_VALUE"""),12.0)</f>
        <v>12</v>
      </c>
      <c r="O323" s="243"/>
      <c r="P323" s="243"/>
      <c r="Q323" s="243"/>
      <c r="R323" s="243"/>
      <c r="S323" s="243"/>
      <c r="T323" s="243"/>
      <c r="U323" s="176"/>
      <c r="V323" s="176"/>
      <c r="W323" s="176"/>
      <c r="X323" s="176"/>
      <c r="Y323" s="176"/>
      <c r="Z323" s="176"/>
    </row>
    <row r="324">
      <c r="A324" s="226" t="s">
        <v>28</v>
      </c>
      <c r="B324" s="226" t="s">
        <v>25</v>
      </c>
      <c r="C324" s="250" t="s">
        <v>3179</v>
      </c>
      <c r="D324" s="268" t="s">
        <v>495</v>
      </c>
      <c r="E324" s="251">
        <v>44178.0</v>
      </c>
      <c r="F324" s="250" t="s">
        <v>496</v>
      </c>
      <c r="G324" s="176"/>
      <c r="H324" s="243"/>
      <c r="I324" s="243"/>
      <c r="J324" s="325">
        <f t="shared" si="13"/>
        <v>0</v>
      </c>
      <c r="K324" s="326">
        <f t="shared" si="18"/>
        <v>1.984210526</v>
      </c>
      <c r="L324" s="327">
        <f t="shared" si="4"/>
        <v>6.250621053</v>
      </c>
      <c r="M324" s="321" t="str">
        <f t="shared" si="5"/>
        <v>tam2140</v>
      </c>
      <c r="N324" s="176">
        <f>IFERROR(__xludf.DUMMYFUNCTION("""COMPUTED_VALUE"""),13.0)</f>
        <v>13</v>
      </c>
      <c r="O324" s="243"/>
      <c r="P324" s="243"/>
      <c r="Q324" s="243"/>
      <c r="R324" s="243"/>
      <c r="S324" s="243"/>
      <c r="T324" s="243"/>
      <c r="U324" s="176"/>
      <c r="V324" s="176"/>
      <c r="W324" s="176"/>
      <c r="X324" s="176"/>
      <c r="Y324" s="176"/>
      <c r="Z324" s="176"/>
    </row>
    <row r="325">
      <c r="A325" s="226" t="s">
        <v>28</v>
      </c>
      <c r="B325" s="226" t="s">
        <v>867</v>
      </c>
      <c r="C325" s="250" t="s">
        <v>3272</v>
      </c>
      <c r="D325" s="268" t="s">
        <v>495</v>
      </c>
      <c r="E325" s="251">
        <v>44179.0</v>
      </c>
      <c r="F325" s="250" t="s">
        <v>496</v>
      </c>
      <c r="G325" s="176"/>
      <c r="H325" s="243"/>
      <c r="I325" s="243"/>
      <c r="J325" s="325">
        <f t="shared" si="13"/>
        <v>0</v>
      </c>
      <c r="K325" s="326">
        <f t="shared" si="18"/>
        <v>1.984210526</v>
      </c>
      <c r="L325" s="327">
        <f t="shared" si="4"/>
        <v>6.250621053</v>
      </c>
      <c r="M325" s="321" t="str">
        <f t="shared" si="5"/>
        <v>tam2140</v>
      </c>
      <c r="N325" s="176">
        <f>IFERROR(__xludf.DUMMYFUNCTION("""COMPUTED_VALUE"""),14.0)</f>
        <v>14</v>
      </c>
      <c r="O325" s="243"/>
      <c r="P325" s="243"/>
      <c r="Q325" s="243"/>
      <c r="R325" s="243"/>
      <c r="S325" s="243"/>
      <c r="T325" s="243"/>
      <c r="U325" s="176"/>
      <c r="V325" s="176"/>
      <c r="W325" s="176"/>
      <c r="X325" s="176"/>
      <c r="Y325" s="176"/>
      <c r="Z325" s="176"/>
    </row>
    <row r="326">
      <c r="A326" s="226" t="s">
        <v>28</v>
      </c>
      <c r="B326" s="226" t="s">
        <v>18</v>
      </c>
      <c r="C326" s="250" t="s">
        <v>3181</v>
      </c>
      <c r="D326" s="268" t="s">
        <v>495</v>
      </c>
      <c r="E326" s="251">
        <v>44180.0</v>
      </c>
      <c r="F326" s="250" t="s">
        <v>496</v>
      </c>
      <c r="G326" s="176"/>
      <c r="H326" s="243"/>
      <c r="I326" s="243"/>
      <c r="J326" s="325">
        <f t="shared" si="13"/>
        <v>0</v>
      </c>
      <c r="K326" s="326">
        <f t="shared" si="18"/>
        <v>1.984210526</v>
      </c>
      <c r="L326" s="327">
        <f t="shared" si="4"/>
        <v>6.250621053</v>
      </c>
      <c r="M326" s="321" t="str">
        <f t="shared" si="5"/>
        <v>tam2140</v>
      </c>
      <c r="N326" s="176">
        <f>IFERROR(__xludf.DUMMYFUNCTION("""COMPUTED_VALUE"""),15.0)</f>
        <v>15</v>
      </c>
      <c r="O326" s="243"/>
      <c r="P326" s="243"/>
      <c r="Q326" s="243"/>
      <c r="R326" s="243"/>
      <c r="S326" s="243"/>
      <c r="T326" s="243"/>
      <c r="U326" s="176"/>
      <c r="V326" s="176"/>
      <c r="W326" s="176"/>
      <c r="X326" s="176"/>
      <c r="Y326" s="176"/>
      <c r="Z326" s="176"/>
    </row>
    <row r="327">
      <c r="A327" s="226" t="s">
        <v>28</v>
      </c>
      <c r="B327" s="226" t="s">
        <v>590</v>
      </c>
      <c r="C327" s="250" t="s">
        <v>3289</v>
      </c>
      <c r="D327" s="268" t="s">
        <v>495</v>
      </c>
      <c r="E327" s="251">
        <v>44181.0</v>
      </c>
      <c r="F327" s="250" t="s">
        <v>496</v>
      </c>
      <c r="G327" s="176"/>
      <c r="H327" s="243"/>
      <c r="I327" s="243"/>
      <c r="J327" s="325">
        <f t="shared" si="13"/>
        <v>0</v>
      </c>
      <c r="K327" s="326">
        <f t="shared" si="18"/>
        <v>1.984210526</v>
      </c>
      <c r="L327" s="327">
        <f t="shared" si="4"/>
        <v>6.250621053</v>
      </c>
      <c r="M327" s="321" t="str">
        <f t="shared" si="5"/>
        <v>tam2140</v>
      </c>
      <c r="N327" s="176">
        <f>IFERROR(__xludf.DUMMYFUNCTION("""COMPUTED_VALUE"""),16.0)</f>
        <v>16</v>
      </c>
      <c r="O327" s="243"/>
      <c r="P327" s="243"/>
      <c r="Q327" s="243"/>
      <c r="R327" s="243"/>
      <c r="S327" s="243"/>
      <c r="T327" s="243"/>
      <c r="U327" s="176"/>
      <c r="V327" s="176"/>
      <c r="W327" s="176"/>
      <c r="X327" s="176"/>
      <c r="Y327" s="176"/>
      <c r="Z327" s="176"/>
    </row>
    <row r="328">
      <c r="A328" s="226" t="s">
        <v>28</v>
      </c>
      <c r="B328" s="226" t="s">
        <v>590</v>
      </c>
      <c r="C328" s="250" t="s">
        <v>3184</v>
      </c>
      <c r="D328" s="268" t="s">
        <v>495</v>
      </c>
      <c r="E328" s="251">
        <v>44182.0</v>
      </c>
      <c r="F328" s="250" t="s">
        <v>496</v>
      </c>
      <c r="G328" s="176"/>
      <c r="H328" s="243"/>
      <c r="I328" s="243"/>
      <c r="J328" s="325">
        <f t="shared" si="13"/>
        <v>0</v>
      </c>
      <c r="K328" s="326">
        <f t="shared" si="18"/>
        <v>1.984210526</v>
      </c>
      <c r="L328" s="327">
        <f t="shared" si="4"/>
        <v>6.250621053</v>
      </c>
      <c r="M328" s="321" t="str">
        <f t="shared" si="5"/>
        <v>tam2140</v>
      </c>
      <c r="N328" s="176">
        <f>IFERROR(__xludf.DUMMYFUNCTION("""COMPUTED_VALUE"""),17.0)</f>
        <v>17</v>
      </c>
      <c r="O328" s="243"/>
      <c r="P328" s="243"/>
      <c r="Q328" s="243"/>
      <c r="R328" s="243"/>
      <c r="S328" s="243"/>
      <c r="T328" s="243"/>
      <c r="U328" s="176"/>
      <c r="V328" s="176"/>
      <c r="W328" s="176"/>
      <c r="X328" s="176"/>
      <c r="Y328" s="176"/>
      <c r="Z328" s="176"/>
    </row>
    <row r="329">
      <c r="A329" s="226" t="s">
        <v>28</v>
      </c>
      <c r="B329" s="226" t="s">
        <v>10</v>
      </c>
      <c r="C329" s="250" t="s">
        <v>3290</v>
      </c>
      <c r="D329" s="268" t="s">
        <v>495</v>
      </c>
      <c r="E329" s="251">
        <v>44183.0</v>
      </c>
      <c r="F329" s="250" t="s">
        <v>496</v>
      </c>
      <c r="G329" s="176"/>
      <c r="H329" s="243"/>
      <c r="I329" s="243"/>
      <c r="J329" s="325">
        <f t="shared" si="13"/>
        <v>0</v>
      </c>
      <c r="K329" s="326">
        <f t="shared" si="18"/>
        <v>1.984210526</v>
      </c>
      <c r="L329" s="327">
        <f t="shared" si="4"/>
        <v>6.250621053</v>
      </c>
      <c r="M329" s="321" t="str">
        <f t="shared" si="5"/>
        <v>tam2140</v>
      </c>
      <c r="N329" s="176">
        <f>IFERROR(__xludf.DUMMYFUNCTION("""COMPUTED_VALUE"""),18.0)</f>
        <v>18</v>
      </c>
      <c r="O329" s="243"/>
      <c r="P329" s="243"/>
      <c r="Q329" s="243"/>
      <c r="R329" s="243"/>
      <c r="S329" s="243"/>
      <c r="T329" s="243"/>
      <c r="U329" s="176"/>
      <c r="V329" s="176"/>
      <c r="W329" s="176"/>
      <c r="X329" s="176"/>
      <c r="Y329" s="176"/>
      <c r="Z329" s="176"/>
    </row>
    <row r="330">
      <c r="A330" s="226" t="s">
        <v>28</v>
      </c>
      <c r="B330" s="226" t="s">
        <v>10</v>
      </c>
      <c r="C330" s="250" t="s">
        <v>3188</v>
      </c>
      <c r="D330" s="268" t="s">
        <v>495</v>
      </c>
      <c r="E330" s="251">
        <v>44183.0</v>
      </c>
      <c r="F330" s="250" t="s">
        <v>496</v>
      </c>
      <c r="G330" s="176"/>
      <c r="H330" s="243"/>
      <c r="I330" s="243"/>
      <c r="J330" s="325">
        <f t="shared" si="13"/>
        <v>0</v>
      </c>
      <c r="K330" s="326">
        <f t="shared" si="18"/>
        <v>1.984210526</v>
      </c>
      <c r="L330" s="327">
        <f t="shared" si="4"/>
        <v>6.250621053</v>
      </c>
      <c r="M330" s="321" t="str">
        <f t="shared" si="5"/>
        <v>tam2140</v>
      </c>
      <c r="N330" s="176">
        <f>IFERROR(__xludf.DUMMYFUNCTION("""COMPUTED_VALUE"""),19.0)</f>
        <v>19</v>
      </c>
      <c r="O330" s="243"/>
      <c r="P330" s="243"/>
      <c r="Q330" s="243"/>
      <c r="R330" s="243"/>
      <c r="S330" s="243"/>
      <c r="T330" s="243"/>
      <c r="U330" s="176"/>
      <c r="V330" s="176"/>
      <c r="W330" s="176"/>
      <c r="X330" s="176"/>
      <c r="Y330" s="176"/>
      <c r="Z330" s="176"/>
    </row>
    <row r="331">
      <c r="A331" s="226" t="s">
        <v>28</v>
      </c>
      <c r="B331" s="226" t="s">
        <v>18</v>
      </c>
      <c r="C331" s="250" t="s">
        <v>3189</v>
      </c>
      <c r="D331" s="268" t="s">
        <v>495</v>
      </c>
      <c r="E331" s="251">
        <v>44183.0</v>
      </c>
      <c r="F331" s="250" t="s">
        <v>496</v>
      </c>
      <c r="G331" s="176"/>
      <c r="H331" s="243"/>
      <c r="I331" s="243"/>
      <c r="J331" s="325">
        <f t="shared" si="13"/>
        <v>0</v>
      </c>
      <c r="K331" s="326">
        <f t="shared" si="18"/>
        <v>1.984210526</v>
      </c>
      <c r="L331" s="327">
        <f t="shared" si="4"/>
        <v>6.250621053</v>
      </c>
      <c r="M331" s="321" t="str">
        <f t="shared" si="5"/>
        <v>tam2140</v>
      </c>
      <c r="N331" s="176">
        <f>IFERROR(__xludf.DUMMYFUNCTION("""COMPUTED_VALUE"""),20.0)</f>
        <v>20</v>
      </c>
      <c r="O331" s="243"/>
      <c r="P331" s="243"/>
      <c r="Q331" s="243"/>
      <c r="R331" s="243"/>
      <c r="S331" s="243"/>
      <c r="T331" s="243"/>
      <c r="U331" s="176"/>
      <c r="V331" s="176"/>
      <c r="W331" s="176"/>
      <c r="X331" s="176"/>
      <c r="Y331" s="176"/>
      <c r="Z331" s="176"/>
    </row>
    <row r="332">
      <c r="A332" s="226" t="s">
        <v>28</v>
      </c>
      <c r="B332" s="226" t="s">
        <v>18</v>
      </c>
      <c r="C332" s="250" t="s">
        <v>3190</v>
      </c>
      <c r="D332" s="268" t="s">
        <v>495</v>
      </c>
      <c r="E332" s="251">
        <v>44183.0</v>
      </c>
      <c r="F332" s="250" t="s">
        <v>496</v>
      </c>
      <c r="G332" s="176"/>
      <c r="H332" s="243"/>
      <c r="I332" s="243"/>
      <c r="J332" s="325">
        <f t="shared" si="13"/>
        <v>0</v>
      </c>
      <c r="K332" s="326">
        <f t="shared" si="18"/>
        <v>1.984210526</v>
      </c>
      <c r="L332" s="327">
        <f t="shared" si="4"/>
        <v>6.250621053</v>
      </c>
      <c r="M332" s="321" t="str">
        <f t="shared" si="5"/>
        <v>tam2140</v>
      </c>
      <c r="N332" s="176">
        <f>IFERROR(__xludf.DUMMYFUNCTION("""COMPUTED_VALUE"""),21.0)</f>
        <v>21</v>
      </c>
      <c r="O332" s="243"/>
      <c r="P332" s="243"/>
      <c r="Q332" s="243"/>
      <c r="R332" s="243"/>
      <c r="S332" s="243"/>
      <c r="T332" s="243"/>
      <c r="U332" s="176"/>
      <c r="V332" s="176"/>
      <c r="W332" s="176"/>
      <c r="X332" s="176"/>
      <c r="Y332" s="176"/>
      <c r="Z332" s="176"/>
    </row>
    <row r="333">
      <c r="A333" s="240" t="s">
        <v>28</v>
      </c>
      <c r="B333" s="240" t="s">
        <v>534</v>
      </c>
      <c r="C333" s="221" t="s">
        <v>781</v>
      </c>
      <c r="D333" s="336"/>
      <c r="E333" s="340"/>
      <c r="F333" s="254"/>
      <c r="G333" s="312"/>
      <c r="H333" s="222"/>
      <c r="I333" s="222"/>
      <c r="J333" s="325">
        <f t="shared" si="13"/>
        <v>0</v>
      </c>
      <c r="K333" s="337">
        <f>41.668*-0.85</f>
        <v>-35.4178</v>
      </c>
      <c r="L333" s="327">
        <f t="shared" si="4"/>
        <v>6.250621053</v>
      </c>
      <c r="M333" s="321" t="str">
        <f t="shared" si="5"/>
        <v>tam2140</v>
      </c>
      <c r="N333" s="209">
        <f>IFERROR(__xludf.DUMMYFUNCTION("""COMPUTED_VALUE"""),22.0)</f>
        <v>22</v>
      </c>
      <c r="O333" s="209"/>
      <c r="P333" s="209"/>
      <c r="Q333" s="209"/>
      <c r="R333" s="209">
        <v>27.866735844582376</v>
      </c>
      <c r="S333" s="209"/>
      <c r="T333" s="209"/>
      <c r="U333" s="209"/>
      <c r="V333" s="209"/>
      <c r="W333" s="209"/>
      <c r="X333" s="209"/>
      <c r="Y333" s="176"/>
      <c r="Z333" s="176"/>
    </row>
    <row r="334">
      <c r="A334" s="226" t="s">
        <v>9</v>
      </c>
      <c r="B334" s="226" t="s">
        <v>10</v>
      </c>
      <c r="C334" s="250" t="s">
        <v>3239</v>
      </c>
      <c r="D334" s="268" t="s">
        <v>495</v>
      </c>
      <c r="E334" s="361">
        <v>44173.0</v>
      </c>
      <c r="F334" s="250" t="s">
        <v>499</v>
      </c>
      <c r="G334" s="171">
        <v>4.0</v>
      </c>
      <c r="H334" s="171">
        <v>5.0</v>
      </c>
      <c r="I334" s="171">
        <v>10.0</v>
      </c>
      <c r="J334" s="325">
        <f t="shared" si="13"/>
        <v>0.0003549564684</v>
      </c>
      <c r="K334" s="326">
        <f t="shared" ref="K334:K340" si="19">J334*$J$1</f>
        <v>0.2674596989</v>
      </c>
      <c r="L334" s="327">
        <f t="shared" si="4"/>
        <v>5.930292759</v>
      </c>
      <c r="M334" s="321" t="str">
        <f t="shared" si="5"/>
        <v>akrtws</v>
      </c>
      <c r="N334" s="176">
        <f>IFERROR(__xludf.DUMMYFUNCTION("""COMPUTED_VALUE"""),1.0)</f>
        <v>1</v>
      </c>
      <c r="O334" s="243"/>
      <c r="P334" s="243"/>
      <c r="Q334" s="243"/>
      <c r="R334" s="243"/>
      <c r="S334" s="243"/>
      <c r="T334" s="243"/>
      <c r="U334" s="176"/>
      <c r="V334" s="176"/>
      <c r="W334" s="176"/>
      <c r="X334" s="176"/>
      <c r="Y334" s="176"/>
      <c r="Z334" s="176"/>
    </row>
    <row r="335">
      <c r="A335" s="226" t="s">
        <v>9</v>
      </c>
      <c r="B335" s="226" t="s">
        <v>590</v>
      </c>
      <c r="C335" s="250" t="s">
        <v>3250</v>
      </c>
      <c r="D335" s="268" t="s">
        <v>495</v>
      </c>
      <c r="E335" s="251">
        <v>44179.0</v>
      </c>
      <c r="F335" s="250" t="s">
        <v>496</v>
      </c>
      <c r="G335" s="171">
        <v>34.0</v>
      </c>
      <c r="H335" s="171">
        <v>280.0</v>
      </c>
      <c r="I335" s="171">
        <v>200.0</v>
      </c>
      <c r="J335" s="325">
        <f t="shared" si="13"/>
        <v>0.007515372342</v>
      </c>
      <c r="K335" s="326">
        <f t="shared" si="19"/>
        <v>5.66283306</v>
      </c>
      <c r="L335" s="327">
        <f t="shared" si="4"/>
        <v>5.930292759</v>
      </c>
      <c r="M335" s="321" t="str">
        <f t="shared" si="5"/>
        <v>akrtws</v>
      </c>
      <c r="N335" s="176">
        <f>IFERROR(__xludf.DUMMYFUNCTION("""COMPUTED_VALUE"""),2.0)</f>
        <v>2</v>
      </c>
      <c r="O335" s="243"/>
      <c r="P335" s="243"/>
      <c r="Q335" s="243"/>
      <c r="R335" s="243"/>
      <c r="S335" s="243"/>
      <c r="T335" s="243"/>
      <c r="U335" s="176"/>
      <c r="V335" s="176"/>
      <c r="W335" s="176"/>
      <c r="X335" s="176"/>
      <c r="Y335" s="176"/>
      <c r="Z335" s="176"/>
    </row>
    <row r="336">
      <c r="A336" s="226" t="s">
        <v>24</v>
      </c>
      <c r="B336" s="226" t="s">
        <v>590</v>
      </c>
      <c r="C336" s="250" t="s">
        <v>3291</v>
      </c>
      <c r="D336" s="268" t="s">
        <v>495</v>
      </c>
      <c r="E336" s="251">
        <v>44181.0</v>
      </c>
      <c r="F336" s="250" t="s">
        <v>499</v>
      </c>
      <c r="G336" s="171">
        <v>89.0</v>
      </c>
      <c r="H336" s="171">
        <v>120.0</v>
      </c>
      <c r="I336" s="171">
        <v>150.0</v>
      </c>
      <c r="J336" s="325">
        <f t="shared" si="13"/>
        <v>0.00695676733</v>
      </c>
      <c r="K336" s="326">
        <f t="shared" si="19"/>
        <v>5.241924183</v>
      </c>
      <c r="L336" s="327">
        <f t="shared" si="4"/>
        <v>5.241924183</v>
      </c>
      <c r="M336" s="321" t="str">
        <f t="shared" si="5"/>
        <v>danlessa</v>
      </c>
      <c r="N336" s="176">
        <f>IFERROR(__xludf.DUMMYFUNCTION("""COMPUTED_VALUE"""),1.0)</f>
        <v>1</v>
      </c>
      <c r="O336" s="243"/>
      <c r="P336" s="243"/>
      <c r="Q336" s="243"/>
      <c r="R336" s="243"/>
      <c r="S336" s="243"/>
      <c r="T336" s="243"/>
      <c r="U336" s="176"/>
      <c r="V336" s="176"/>
      <c r="W336" s="176"/>
      <c r="X336" s="176"/>
      <c r="Y336" s="176"/>
      <c r="Z336" s="176"/>
    </row>
    <row r="337">
      <c r="A337" s="226" t="s">
        <v>19</v>
      </c>
      <c r="B337" s="226" t="s">
        <v>590</v>
      </c>
      <c r="C337" s="250" t="s">
        <v>3291</v>
      </c>
      <c r="D337" s="268" t="s">
        <v>495</v>
      </c>
      <c r="E337" s="251">
        <v>44181.0</v>
      </c>
      <c r="F337" s="250" t="s">
        <v>499</v>
      </c>
      <c r="G337" s="171">
        <v>89.0</v>
      </c>
      <c r="H337" s="171">
        <v>120.0</v>
      </c>
      <c r="I337" s="171">
        <v>150.0</v>
      </c>
      <c r="J337" s="325">
        <f t="shared" si="13"/>
        <v>0.00695676733</v>
      </c>
      <c r="K337" s="326">
        <f t="shared" si="19"/>
        <v>5.241924183</v>
      </c>
      <c r="L337" s="327">
        <f t="shared" si="4"/>
        <v>5.241924183</v>
      </c>
      <c r="M337" s="321" t="str">
        <f t="shared" si="5"/>
        <v>mzargham</v>
      </c>
      <c r="N337" s="176">
        <f>IFERROR(__xludf.DUMMYFUNCTION("""COMPUTED_VALUE"""),1.0)</f>
        <v>1</v>
      </c>
      <c r="O337" s="243"/>
      <c r="P337" s="243"/>
      <c r="Q337" s="243"/>
      <c r="R337" s="243"/>
      <c r="S337" s="243"/>
      <c r="T337" s="243"/>
      <c r="U337" s="176"/>
      <c r="V337" s="176"/>
      <c r="W337" s="176"/>
      <c r="X337" s="176"/>
      <c r="Y337" s="176"/>
      <c r="Z337" s="176"/>
    </row>
    <row r="338">
      <c r="A338" s="226" t="s">
        <v>73</v>
      </c>
      <c r="B338" s="226" t="s">
        <v>519</v>
      </c>
      <c r="C338" s="250" t="s">
        <v>3203</v>
      </c>
      <c r="D338" s="268" t="s">
        <v>495</v>
      </c>
      <c r="E338" s="361">
        <v>44173.0</v>
      </c>
      <c r="F338" s="250" t="s">
        <v>521</v>
      </c>
      <c r="G338" s="171">
        <v>5.0</v>
      </c>
      <c r="H338" s="171">
        <v>45.0</v>
      </c>
      <c r="I338" s="171">
        <v>50.0</v>
      </c>
      <c r="J338" s="325">
        <f t="shared" si="13"/>
        <v>0.001447851861</v>
      </c>
      <c r="K338" s="326">
        <f t="shared" si="19"/>
        <v>1.090956377</v>
      </c>
      <c r="L338" s="327">
        <f t="shared" si="4"/>
        <v>5.018609165</v>
      </c>
      <c r="M338" s="321" t="str">
        <f t="shared" si="5"/>
        <v>aminlatifi</v>
      </c>
      <c r="N338" s="176">
        <f>IFERROR(__xludf.DUMMYFUNCTION("""COMPUTED_VALUE"""),1.0)</f>
        <v>1</v>
      </c>
      <c r="O338" s="243"/>
      <c r="P338" s="243"/>
      <c r="Q338" s="243"/>
      <c r="R338" s="243"/>
      <c r="S338" s="243"/>
      <c r="T338" s="243"/>
      <c r="U338" s="176"/>
      <c r="V338" s="176"/>
      <c r="W338" s="176"/>
      <c r="X338" s="176"/>
      <c r="Y338" s="176"/>
      <c r="Z338" s="176"/>
    </row>
    <row r="339">
      <c r="A339" s="226" t="s">
        <v>73</v>
      </c>
      <c r="B339" s="226" t="s">
        <v>519</v>
      </c>
      <c r="C339" s="250" t="s">
        <v>3265</v>
      </c>
      <c r="D339" s="268" t="s">
        <v>495</v>
      </c>
      <c r="E339" s="361">
        <v>44174.0</v>
      </c>
      <c r="F339" s="250" t="s">
        <v>499</v>
      </c>
      <c r="G339" s="171">
        <v>89.0</v>
      </c>
      <c r="H339" s="171">
        <v>90.0</v>
      </c>
      <c r="I339" s="171">
        <v>100.0</v>
      </c>
      <c r="J339" s="325">
        <f t="shared" si="13"/>
        <v>0.005876948296</v>
      </c>
      <c r="K339" s="326">
        <f t="shared" si="19"/>
        <v>4.428280541</v>
      </c>
      <c r="L339" s="327">
        <f t="shared" si="4"/>
        <v>5.018609165</v>
      </c>
      <c r="M339" s="321" t="str">
        <f t="shared" si="5"/>
        <v>aminlatifi</v>
      </c>
      <c r="N339" s="176">
        <f>IFERROR(__xludf.DUMMYFUNCTION("""COMPUTED_VALUE"""),2.0)</f>
        <v>2</v>
      </c>
      <c r="O339" s="243"/>
      <c r="P339" s="243"/>
      <c r="Q339" s="243"/>
      <c r="R339" s="243"/>
      <c r="S339" s="243"/>
      <c r="T339" s="243"/>
      <c r="U339" s="176"/>
      <c r="V339" s="176"/>
      <c r="W339" s="176"/>
      <c r="X339" s="176"/>
      <c r="Y339" s="176"/>
      <c r="Z339" s="176"/>
    </row>
    <row r="340">
      <c r="A340" s="226" t="s">
        <v>73</v>
      </c>
      <c r="B340" s="226" t="s">
        <v>519</v>
      </c>
      <c r="C340" s="250" t="s">
        <v>3259</v>
      </c>
      <c r="D340" s="268" t="s">
        <v>495</v>
      </c>
      <c r="E340" s="251">
        <v>44178.0</v>
      </c>
      <c r="F340" s="250" t="s">
        <v>496</v>
      </c>
      <c r="G340" s="171">
        <v>89.0</v>
      </c>
      <c r="H340" s="171">
        <v>100.0</v>
      </c>
      <c r="I340" s="171">
        <v>100.0</v>
      </c>
      <c r="J340" s="325">
        <f t="shared" si="13"/>
        <v>0.005996512604</v>
      </c>
      <c r="K340" s="326">
        <f t="shared" si="19"/>
        <v>4.518372247</v>
      </c>
      <c r="L340" s="327">
        <f t="shared" si="4"/>
        <v>5.018609165</v>
      </c>
      <c r="M340" s="321" t="str">
        <f t="shared" si="5"/>
        <v>aminlatifi</v>
      </c>
      <c r="N340" s="176">
        <f>IFERROR(__xludf.DUMMYFUNCTION("""COMPUTED_VALUE"""),3.0)</f>
        <v>3</v>
      </c>
      <c r="O340" s="243"/>
      <c r="P340" s="243"/>
      <c r="Q340" s="243"/>
      <c r="R340" s="243"/>
      <c r="S340" s="243"/>
      <c r="T340" s="243"/>
      <c r="U340" s="176"/>
      <c r="V340" s="176"/>
      <c r="W340" s="176"/>
      <c r="X340" s="176"/>
      <c r="Y340" s="176"/>
      <c r="Z340" s="176"/>
    </row>
    <row r="341">
      <c r="A341" s="240" t="s">
        <v>73</v>
      </c>
      <c r="B341" s="240" t="s">
        <v>534</v>
      </c>
      <c r="C341" s="221" t="s">
        <v>839</v>
      </c>
      <c r="D341" s="336"/>
      <c r="E341" s="255"/>
      <c r="F341" s="254"/>
      <c r="G341" s="222"/>
      <c r="H341" s="222"/>
      <c r="I341" s="222"/>
      <c r="J341" s="325">
        <f t="shared" si="13"/>
        <v>0</v>
      </c>
      <c r="K341" s="337">
        <f>10.038*-0.5</f>
        <v>-5.019</v>
      </c>
      <c r="L341" s="327">
        <f t="shared" si="4"/>
        <v>5.018609165</v>
      </c>
      <c r="M341" s="321" t="str">
        <f t="shared" si="5"/>
        <v>aminlatifi</v>
      </c>
      <c r="N341" s="209">
        <f>IFERROR(__xludf.DUMMYFUNCTION("""COMPUTED_VALUE"""),4.0)</f>
        <v>4</v>
      </c>
      <c r="O341" s="209"/>
      <c r="P341" s="209"/>
      <c r="Q341" s="209"/>
      <c r="R341" s="209">
        <v>18.802169413641863</v>
      </c>
      <c r="S341" s="209"/>
      <c r="T341" s="209"/>
      <c r="U341" s="209"/>
      <c r="V341" s="209"/>
      <c r="W341" s="209"/>
      <c r="X341" s="209"/>
      <c r="Y341" s="176"/>
      <c r="Z341" s="176"/>
    </row>
    <row r="342">
      <c r="A342" s="226" t="s">
        <v>22</v>
      </c>
      <c r="B342" s="226" t="s">
        <v>18</v>
      </c>
      <c r="C342" s="250" t="s">
        <v>3168</v>
      </c>
      <c r="D342" s="268" t="s">
        <v>495</v>
      </c>
      <c r="E342" s="361">
        <v>44174.0</v>
      </c>
      <c r="F342" s="250" t="s">
        <v>496</v>
      </c>
      <c r="G342" s="171">
        <v>5.0</v>
      </c>
      <c r="H342" s="171">
        <v>45.0</v>
      </c>
      <c r="I342" s="171">
        <v>50.0</v>
      </c>
      <c r="J342" s="325">
        <f t="shared" si="13"/>
        <v>0.001447851861</v>
      </c>
      <c r="K342" s="326">
        <f t="shared" ref="K342:K362" si="20">J342*$J$1</f>
        <v>1.090956377</v>
      </c>
      <c r="L342" s="327">
        <f t="shared" si="4"/>
        <v>4.946886013</v>
      </c>
      <c r="M342" s="321" t="str">
        <f t="shared" si="5"/>
        <v>naynaysoo</v>
      </c>
      <c r="N342" s="176">
        <f>IFERROR(__xludf.DUMMYFUNCTION("""COMPUTED_VALUE"""),1.0)</f>
        <v>1</v>
      </c>
      <c r="O342" s="243"/>
      <c r="P342" s="243"/>
      <c r="Q342" s="243"/>
      <c r="R342" s="243"/>
      <c r="S342" s="243"/>
      <c r="T342" s="243"/>
      <c r="U342" s="176"/>
      <c r="V342" s="176"/>
      <c r="W342" s="176"/>
      <c r="X342" s="176"/>
      <c r="Y342" s="176"/>
      <c r="Z342" s="176"/>
    </row>
    <row r="343">
      <c r="A343" s="226" t="s">
        <v>22</v>
      </c>
      <c r="B343" s="226" t="s">
        <v>18</v>
      </c>
      <c r="C343" s="250" t="s">
        <v>3181</v>
      </c>
      <c r="D343" s="268" t="s">
        <v>495</v>
      </c>
      <c r="E343" s="251">
        <v>44180.0</v>
      </c>
      <c r="F343" s="250" t="s">
        <v>496</v>
      </c>
      <c r="G343" s="171">
        <v>5.0</v>
      </c>
      <c r="H343" s="171">
        <v>45.0</v>
      </c>
      <c r="I343" s="171">
        <v>50.0</v>
      </c>
      <c r="J343" s="325">
        <f t="shared" si="13"/>
        <v>0.001447851861</v>
      </c>
      <c r="K343" s="326">
        <f t="shared" si="20"/>
        <v>1.090956377</v>
      </c>
      <c r="L343" s="327">
        <f t="shared" si="4"/>
        <v>4.946886013</v>
      </c>
      <c r="M343" s="321" t="str">
        <f t="shared" si="5"/>
        <v>naynaysoo</v>
      </c>
      <c r="N343" s="176">
        <f>IFERROR(__xludf.DUMMYFUNCTION("""COMPUTED_VALUE"""),2.0)</f>
        <v>2</v>
      </c>
      <c r="O343" s="243"/>
      <c r="P343" s="243"/>
      <c r="Q343" s="243"/>
      <c r="R343" s="243"/>
      <c r="S343" s="243"/>
      <c r="T343" s="243"/>
      <c r="U343" s="176"/>
      <c r="V343" s="176"/>
      <c r="W343" s="176"/>
      <c r="X343" s="176"/>
      <c r="Y343" s="176"/>
      <c r="Z343" s="176"/>
    </row>
    <row r="344">
      <c r="A344" s="226" t="s">
        <v>22</v>
      </c>
      <c r="B344" s="226" t="s">
        <v>18</v>
      </c>
      <c r="C344" s="250" t="s">
        <v>3292</v>
      </c>
      <c r="D344" s="268" t="s">
        <v>495</v>
      </c>
      <c r="E344" s="251">
        <v>44180.0</v>
      </c>
      <c r="F344" s="250" t="s">
        <v>496</v>
      </c>
      <c r="G344" s="171">
        <v>21.0</v>
      </c>
      <c r="H344" s="171">
        <v>120.0</v>
      </c>
      <c r="I344" s="171">
        <v>100.0</v>
      </c>
      <c r="J344" s="325">
        <f t="shared" si="13"/>
        <v>0.003669506648</v>
      </c>
      <c r="K344" s="326">
        <f t="shared" si="20"/>
        <v>2.764973259</v>
      </c>
      <c r="L344" s="327">
        <f t="shared" si="4"/>
        <v>4.946886013</v>
      </c>
      <c r="M344" s="321" t="str">
        <f t="shared" si="5"/>
        <v>naynaysoo</v>
      </c>
      <c r="N344" s="176">
        <f>IFERROR(__xludf.DUMMYFUNCTION("""COMPUTED_VALUE"""),3.0)</f>
        <v>3</v>
      </c>
      <c r="O344" s="243"/>
      <c r="P344" s="243"/>
      <c r="Q344" s="243"/>
      <c r="R344" s="243"/>
      <c r="S344" s="243"/>
      <c r="T344" s="243"/>
      <c r="U344" s="176"/>
      <c r="V344" s="176"/>
      <c r="W344" s="176"/>
      <c r="X344" s="176"/>
      <c r="Y344" s="176"/>
      <c r="Z344" s="176"/>
    </row>
    <row r="345">
      <c r="A345" s="226" t="s">
        <v>26</v>
      </c>
      <c r="B345" s="226" t="s">
        <v>6</v>
      </c>
      <c r="C345" s="250" t="s">
        <v>3293</v>
      </c>
      <c r="D345" s="268" t="s">
        <v>495</v>
      </c>
      <c r="E345" s="361">
        <v>44174.0</v>
      </c>
      <c r="F345" s="250" t="s">
        <v>496</v>
      </c>
      <c r="G345" s="171">
        <v>34.0</v>
      </c>
      <c r="H345" s="171">
        <v>120.0</v>
      </c>
      <c r="I345" s="171">
        <v>100.0</v>
      </c>
      <c r="J345" s="325">
        <f t="shared" si="13"/>
        <v>0.004160091199</v>
      </c>
      <c r="K345" s="326">
        <f t="shared" si="20"/>
        <v>3.134628718</v>
      </c>
      <c r="L345" s="327">
        <f t="shared" si="4"/>
        <v>4.225585095</v>
      </c>
      <c r="M345" s="321" t="str">
        <f t="shared" si="5"/>
        <v>sgonzt</v>
      </c>
      <c r="N345" s="176">
        <f>IFERROR(__xludf.DUMMYFUNCTION("""COMPUTED_VALUE"""),1.0)</f>
        <v>1</v>
      </c>
      <c r="O345" s="243"/>
      <c r="P345" s="243"/>
      <c r="Q345" s="243"/>
      <c r="R345" s="243"/>
      <c r="S345" s="243"/>
      <c r="T345" s="243"/>
      <c r="U345" s="176"/>
      <c r="V345" s="176"/>
      <c r="W345" s="176"/>
      <c r="X345" s="176"/>
      <c r="Y345" s="176"/>
      <c r="Z345" s="176"/>
    </row>
    <row r="346">
      <c r="A346" s="226" t="s">
        <v>26</v>
      </c>
      <c r="B346" s="226" t="s">
        <v>519</v>
      </c>
      <c r="C346" s="250" t="s">
        <v>3204</v>
      </c>
      <c r="D346" s="268" t="s">
        <v>495</v>
      </c>
      <c r="E346" s="251">
        <v>44175.0</v>
      </c>
      <c r="F346" s="250" t="s">
        <v>521</v>
      </c>
      <c r="G346" s="171">
        <v>5.0</v>
      </c>
      <c r="H346" s="171">
        <v>45.0</v>
      </c>
      <c r="I346" s="171">
        <v>50.0</v>
      </c>
      <c r="J346" s="325">
        <f t="shared" si="13"/>
        <v>0.001447851861</v>
      </c>
      <c r="K346" s="326">
        <f t="shared" si="20"/>
        <v>1.090956377</v>
      </c>
      <c r="L346" s="327">
        <f t="shared" si="4"/>
        <v>4.225585095</v>
      </c>
      <c r="M346" s="321" t="str">
        <f t="shared" si="5"/>
        <v>sgonzt</v>
      </c>
      <c r="N346" s="176">
        <f>IFERROR(__xludf.DUMMYFUNCTION("""COMPUTED_VALUE"""),2.0)</f>
        <v>2</v>
      </c>
      <c r="O346" s="243"/>
      <c r="P346" s="243"/>
      <c r="Q346" s="243"/>
      <c r="R346" s="243"/>
      <c r="S346" s="243"/>
      <c r="T346" s="243"/>
      <c r="U346" s="176"/>
      <c r="V346" s="176"/>
      <c r="W346" s="176"/>
      <c r="X346" s="176"/>
      <c r="Y346" s="176"/>
      <c r="Z346" s="176"/>
    </row>
    <row r="347">
      <c r="A347" s="226" t="s">
        <v>35</v>
      </c>
      <c r="B347" s="226" t="s">
        <v>519</v>
      </c>
      <c r="C347" s="250" t="s">
        <v>3203</v>
      </c>
      <c r="D347" s="268" t="s">
        <v>495</v>
      </c>
      <c r="E347" s="361">
        <v>44173.0</v>
      </c>
      <c r="F347" s="250" t="s">
        <v>521</v>
      </c>
      <c r="G347" s="171">
        <v>5.0</v>
      </c>
      <c r="H347" s="171">
        <v>45.0</v>
      </c>
      <c r="I347" s="171">
        <v>50.0</v>
      </c>
      <c r="J347" s="325">
        <f t="shared" si="13"/>
        <v>0.001447851861</v>
      </c>
      <c r="K347" s="326">
        <f t="shared" si="20"/>
        <v>1.090956377</v>
      </c>
      <c r="L347" s="327">
        <f t="shared" si="4"/>
        <v>3.772875548</v>
      </c>
      <c r="M347" s="321" t="str">
        <f t="shared" si="5"/>
        <v>vitormarthendal</v>
      </c>
      <c r="N347" s="176">
        <f>IFERROR(__xludf.DUMMYFUNCTION("""COMPUTED_VALUE"""),1.0)</f>
        <v>1</v>
      </c>
      <c r="O347" s="243"/>
      <c r="P347" s="243"/>
      <c r="Q347" s="243"/>
      <c r="R347" s="243"/>
      <c r="S347" s="243"/>
      <c r="T347" s="243"/>
      <c r="U347" s="176"/>
      <c r="V347" s="176"/>
      <c r="W347" s="176"/>
      <c r="X347" s="176"/>
      <c r="Y347" s="176"/>
      <c r="Z347" s="176"/>
    </row>
    <row r="348">
      <c r="A348" s="226" t="s">
        <v>35</v>
      </c>
      <c r="B348" s="226" t="s">
        <v>24</v>
      </c>
      <c r="C348" s="250" t="s">
        <v>3294</v>
      </c>
      <c r="D348" s="268" t="s">
        <v>495</v>
      </c>
      <c r="E348" s="361">
        <v>44173.0</v>
      </c>
      <c r="F348" s="250" t="s">
        <v>592</v>
      </c>
      <c r="G348" s="171">
        <v>21.0</v>
      </c>
      <c r="H348" s="171">
        <v>50.0</v>
      </c>
      <c r="I348" s="171">
        <v>50.0</v>
      </c>
      <c r="J348" s="325">
        <f t="shared" si="13"/>
        <v>0.002111430384</v>
      </c>
      <c r="K348" s="326">
        <f t="shared" si="20"/>
        <v>1.590962794</v>
      </c>
      <c r="L348" s="327">
        <f t="shared" si="4"/>
        <v>3.772875548</v>
      </c>
      <c r="M348" s="321" t="str">
        <f t="shared" si="5"/>
        <v>vitormarthendal</v>
      </c>
      <c r="N348" s="176">
        <f>IFERROR(__xludf.DUMMYFUNCTION("""COMPUTED_VALUE"""),2.0)</f>
        <v>2</v>
      </c>
      <c r="O348" s="243"/>
      <c r="P348" s="243"/>
      <c r="Q348" s="243"/>
      <c r="R348" s="243"/>
      <c r="S348" s="243"/>
      <c r="T348" s="243"/>
      <c r="U348" s="176"/>
      <c r="V348" s="176"/>
      <c r="W348" s="176"/>
      <c r="X348" s="176"/>
      <c r="Y348" s="176"/>
      <c r="Z348" s="176"/>
    </row>
    <row r="349">
      <c r="A349" s="226" t="s">
        <v>35</v>
      </c>
      <c r="B349" s="226" t="s">
        <v>519</v>
      </c>
      <c r="C349" s="250" t="s">
        <v>3204</v>
      </c>
      <c r="D349" s="268" t="s">
        <v>495</v>
      </c>
      <c r="E349" s="251">
        <v>44175.0</v>
      </c>
      <c r="F349" s="250" t="s">
        <v>521</v>
      </c>
      <c r="G349" s="171">
        <v>5.0</v>
      </c>
      <c r="H349" s="171">
        <v>45.0</v>
      </c>
      <c r="I349" s="171">
        <v>50.0</v>
      </c>
      <c r="J349" s="325">
        <f t="shared" si="13"/>
        <v>0.001447851861</v>
      </c>
      <c r="K349" s="326">
        <f t="shared" si="20"/>
        <v>1.090956377</v>
      </c>
      <c r="L349" s="327">
        <f t="shared" si="4"/>
        <v>3.772875548</v>
      </c>
      <c r="M349" s="321" t="str">
        <f t="shared" si="5"/>
        <v>vitormarthendal</v>
      </c>
      <c r="N349" s="176">
        <f>IFERROR(__xludf.DUMMYFUNCTION("""COMPUTED_VALUE"""),3.0)</f>
        <v>3</v>
      </c>
      <c r="O349" s="243"/>
      <c r="P349" s="243"/>
      <c r="Q349" s="243"/>
      <c r="R349" s="243"/>
      <c r="S349" s="243"/>
      <c r="T349" s="243"/>
      <c r="U349" s="176"/>
      <c r="V349" s="176"/>
      <c r="W349" s="176"/>
      <c r="X349" s="176"/>
      <c r="Y349" s="176"/>
      <c r="Z349" s="176"/>
    </row>
    <row r="350">
      <c r="A350" s="226" t="s">
        <v>104</v>
      </c>
      <c r="B350" s="226" t="s">
        <v>519</v>
      </c>
      <c r="C350" s="250" t="s">
        <v>3167</v>
      </c>
      <c r="D350" s="268" t="s">
        <v>495</v>
      </c>
      <c r="E350" s="361">
        <v>44174.0</v>
      </c>
      <c r="F350" s="250" t="s">
        <v>499</v>
      </c>
      <c r="G350" s="171">
        <v>5.0</v>
      </c>
      <c r="H350" s="171">
        <v>50.0</v>
      </c>
      <c r="I350" s="171">
        <v>50.0</v>
      </c>
      <c r="J350" s="325">
        <f t="shared" si="13"/>
        <v>0.001507634014</v>
      </c>
      <c r="K350" s="326">
        <f t="shared" si="20"/>
        <v>1.13600223</v>
      </c>
      <c r="L350" s="327">
        <f t="shared" si="4"/>
        <v>3.720792078</v>
      </c>
      <c r="M350" s="321" t="str">
        <f t="shared" si="5"/>
        <v>coachb</v>
      </c>
      <c r="N350" s="176">
        <f>IFERROR(__xludf.DUMMYFUNCTION("""COMPUTED_VALUE"""),1.0)</f>
        <v>1</v>
      </c>
      <c r="O350" s="243"/>
      <c r="P350" s="243"/>
      <c r="Q350" s="243"/>
      <c r="R350" s="243"/>
      <c r="S350" s="243"/>
      <c r="T350" s="243"/>
      <c r="U350" s="176"/>
      <c r="V350" s="176"/>
      <c r="W350" s="176"/>
      <c r="X350" s="176"/>
      <c r="Y350" s="176"/>
      <c r="Z350" s="176"/>
    </row>
    <row r="351">
      <c r="A351" s="226" t="s">
        <v>104</v>
      </c>
      <c r="B351" s="226" t="s">
        <v>519</v>
      </c>
      <c r="C351" s="250" t="s">
        <v>3258</v>
      </c>
      <c r="D351" s="268" t="s">
        <v>495</v>
      </c>
      <c r="E351" s="251">
        <v>44178.0</v>
      </c>
      <c r="F351" s="250" t="s">
        <v>496</v>
      </c>
      <c r="G351" s="171">
        <v>21.0</v>
      </c>
      <c r="H351" s="171">
        <v>100.0</v>
      </c>
      <c r="I351" s="171">
        <v>100.0</v>
      </c>
      <c r="J351" s="325">
        <f t="shared" si="13"/>
        <v>0.003430378033</v>
      </c>
      <c r="K351" s="326">
        <f t="shared" si="20"/>
        <v>2.584789848</v>
      </c>
      <c r="L351" s="327">
        <f t="shared" si="4"/>
        <v>3.720792078</v>
      </c>
      <c r="M351" s="321" t="str">
        <f t="shared" si="5"/>
        <v>coachb</v>
      </c>
      <c r="N351" s="176">
        <f>IFERROR(__xludf.DUMMYFUNCTION("""COMPUTED_VALUE"""),2.0)</f>
        <v>2</v>
      </c>
      <c r="O351" s="243"/>
      <c r="P351" s="243"/>
      <c r="Q351" s="243"/>
      <c r="R351" s="243"/>
      <c r="S351" s="243"/>
      <c r="T351" s="243"/>
      <c r="U351" s="176"/>
      <c r="V351" s="176"/>
      <c r="W351" s="176"/>
      <c r="X351" s="176"/>
      <c r="Y351" s="176"/>
      <c r="Z351" s="176"/>
    </row>
    <row r="352">
      <c r="A352" s="226" t="s">
        <v>36</v>
      </c>
      <c r="B352" s="226" t="s">
        <v>10</v>
      </c>
      <c r="C352" s="250" t="s">
        <v>3295</v>
      </c>
      <c r="D352" s="268" t="s">
        <v>495</v>
      </c>
      <c r="E352" s="251">
        <v>44176.0</v>
      </c>
      <c r="F352" s="250" t="s">
        <v>496</v>
      </c>
      <c r="G352" s="171">
        <v>21.0</v>
      </c>
      <c r="H352" s="171">
        <v>50.0</v>
      </c>
      <c r="I352" s="171">
        <v>50.0</v>
      </c>
      <c r="J352" s="325">
        <f t="shared" si="13"/>
        <v>0.002111430384</v>
      </c>
      <c r="K352" s="326">
        <f t="shared" si="20"/>
        <v>1.590962794</v>
      </c>
      <c r="L352" s="327">
        <f t="shared" si="4"/>
        <v>3.687570442</v>
      </c>
      <c r="M352" s="321" t="str">
        <f t="shared" si="5"/>
        <v>wslyvh</v>
      </c>
      <c r="N352" s="176">
        <f>IFERROR(__xludf.DUMMYFUNCTION("""COMPUTED_VALUE"""),1.0)</f>
        <v>1</v>
      </c>
      <c r="O352" s="243"/>
      <c r="P352" s="243"/>
      <c r="Q352" s="243"/>
      <c r="R352" s="243"/>
      <c r="S352" s="243"/>
      <c r="T352" s="243"/>
      <c r="U352" s="176"/>
      <c r="V352" s="176"/>
      <c r="W352" s="176"/>
      <c r="X352" s="176"/>
      <c r="Y352" s="176"/>
      <c r="Z352" s="176"/>
    </row>
    <row r="353">
      <c r="A353" s="226" t="s">
        <v>36</v>
      </c>
      <c r="B353" s="226" t="s">
        <v>10</v>
      </c>
      <c r="C353" s="250" t="s">
        <v>3176</v>
      </c>
      <c r="D353" s="268" t="s">
        <v>495</v>
      </c>
      <c r="E353" s="251">
        <v>44176.0</v>
      </c>
      <c r="F353" s="250" t="s">
        <v>496</v>
      </c>
      <c r="G353" s="171">
        <v>2.0</v>
      </c>
      <c r="H353" s="171">
        <v>45.0</v>
      </c>
      <c r="I353" s="171">
        <v>50.0</v>
      </c>
      <c r="J353" s="325">
        <f t="shared" si="13"/>
        <v>0.001334640041</v>
      </c>
      <c r="K353" s="326">
        <f t="shared" si="20"/>
        <v>1.005651271</v>
      </c>
      <c r="L353" s="327">
        <f t="shared" si="4"/>
        <v>3.687570442</v>
      </c>
      <c r="M353" s="321" t="str">
        <f t="shared" si="5"/>
        <v>wslyvh</v>
      </c>
      <c r="N353" s="176">
        <f>IFERROR(__xludf.DUMMYFUNCTION("""COMPUTED_VALUE"""),2.0)</f>
        <v>2</v>
      </c>
      <c r="O353" s="243"/>
      <c r="P353" s="243"/>
      <c r="Q353" s="243"/>
      <c r="R353" s="243"/>
      <c r="S353" s="243"/>
      <c r="T353" s="243"/>
      <c r="U353" s="176"/>
      <c r="V353" s="176"/>
      <c r="W353" s="176"/>
      <c r="X353" s="176"/>
      <c r="Y353" s="176"/>
      <c r="Z353" s="176"/>
    </row>
    <row r="354">
      <c r="A354" s="226" t="s">
        <v>36</v>
      </c>
      <c r="B354" s="226" t="s">
        <v>10</v>
      </c>
      <c r="C354" s="250" t="s">
        <v>3188</v>
      </c>
      <c r="D354" s="268" t="s">
        <v>495</v>
      </c>
      <c r="E354" s="251">
        <v>44183.0</v>
      </c>
      <c r="F354" s="250" t="s">
        <v>496</v>
      </c>
      <c r="G354" s="171">
        <v>5.0</v>
      </c>
      <c r="H354" s="171">
        <v>45.0</v>
      </c>
      <c r="I354" s="171">
        <v>50.0</v>
      </c>
      <c r="J354" s="325">
        <f t="shared" si="13"/>
        <v>0.001447851861</v>
      </c>
      <c r="K354" s="326">
        <f t="shared" si="20"/>
        <v>1.090956377</v>
      </c>
      <c r="L354" s="327">
        <f t="shared" si="4"/>
        <v>3.687570442</v>
      </c>
      <c r="M354" s="321" t="str">
        <f t="shared" si="5"/>
        <v>wslyvh</v>
      </c>
      <c r="N354" s="176">
        <f>IFERROR(__xludf.DUMMYFUNCTION("""COMPUTED_VALUE"""),3.0)</f>
        <v>3</v>
      </c>
      <c r="O354" s="243"/>
      <c r="P354" s="243"/>
      <c r="Q354" s="243"/>
      <c r="R354" s="243"/>
      <c r="S354" s="243"/>
      <c r="T354" s="243"/>
      <c r="U354" s="176"/>
      <c r="V354" s="176"/>
      <c r="W354" s="176"/>
      <c r="X354" s="176"/>
      <c r="Y354" s="176"/>
      <c r="Z354" s="176"/>
    </row>
    <row r="355">
      <c r="A355" s="226" t="s">
        <v>43</v>
      </c>
      <c r="B355" s="226" t="s">
        <v>519</v>
      </c>
      <c r="C355" s="250" t="s">
        <v>3203</v>
      </c>
      <c r="D355" s="268" t="s">
        <v>495</v>
      </c>
      <c r="E355" s="361">
        <v>44173.0</v>
      </c>
      <c r="F355" s="250" t="s">
        <v>521</v>
      </c>
      <c r="G355" s="171">
        <v>144.0</v>
      </c>
      <c r="H355" s="171">
        <v>45.0</v>
      </c>
      <c r="I355" s="171">
        <v>50.0</v>
      </c>
      <c r="J355" s="325">
        <f t="shared" si="13"/>
        <v>0.006693332822</v>
      </c>
      <c r="K355" s="326">
        <f t="shared" si="20"/>
        <v>5.043426281</v>
      </c>
      <c r="L355" s="327">
        <f t="shared" si="4"/>
        <v>3.587054913</v>
      </c>
      <c r="M355" s="321" t="str">
        <f t="shared" si="5"/>
        <v>markop</v>
      </c>
      <c r="N355" s="176">
        <f>IFERROR(__xludf.DUMMYFUNCTION("""COMPUTED_VALUE"""),1.0)</f>
        <v>1</v>
      </c>
      <c r="O355" s="243"/>
      <c r="P355" s="243"/>
      <c r="Q355" s="243"/>
      <c r="R355" s="243"/>
      <c r="S355" s="243"/>
      <c r="T355" s="243"/>
      <c r="U355" s="176"/>
      <c r="V355" s="176"/>
      <c r="W355" s="176"/>
      <c r="X355" s="176"/>
      <c r="Y355" s="176"/>
      <c r="Z355" s="176"/>
    </row>
    <row r="356">
      <c r="A356" s="226" t="s">
        <v>43</v>
      </c>
      <c r="B356" s="226" t="s">
        <v>10</v>
      </c>
      <c r="C356" s="250" t="s">
        <v>3239</v>
      </c>
      <c r="D356" s="268" t="s">
        <v>495</v>
      </c>
      <c r="E356" s="361">
        <v>44173.0</v>
      </c>
      <c r="F356" s="250" t="s">
        <v>499</v>
      </c>
      <c r="G356" s="171">
        <v>144.0</v>
      </c>
      <c r="H356" s="171">
        <v>5.0</v>
      </c>
      <c r="I356" s="171">
        <v>10.0</v>
      </c>
      <c r="J356" s="325">
        <f t="shared" si="13"/>
        <v>0.005638174703</v>
      </c>
      <c r="K356" s="326">
        <f t="shared" si="20"/>
        <v>4.248364639</v>
      </c>
      <c r="L356" s="327">
        <f t="shared" si="4"/>
        <v>3.587054913</v>
      </c>
      <c r="M356" s="321" t="str">
        <f t="shared" si="5"/>
        <v>markop</v>
      </c>
      <c r="N356" s="176">
        <f>IFERROR(__xludf.DUMMYFUNCTION("""COMPUTED_VALUE"""),2.0)</f>
        <v>2</v>
      </c>
      <c r="O356" s="243"/>
      <c r="P356" s="243"/>
      <c r="Q356" s="243"/>
      <c r="R356" s="243"/>
      <c r="S356" s="243"/>
      <c r="T356" s="243"/>
      <c r="U356" s="176"/>
      <c r="V356" s="176"/>
      <c r="W356" s="176"/>
      <c r="X356" s="176"/>
      <c r="Y356" s="176"/>
      <c r="Z356" s="176"/>
    </row>
    <row r="357">
      <c r="A357" s="226" t="s">
        <v>43</v>
      </c>
      <c r="B357" s="226" t="s">
        <v>519</v>
      </c>
      <c r="C357" s="250" t="s">
        <v>3265</v>
      </c>
      <c r="D357" s="268" t="s">
        <v>495</v>
      </c>
      <c r="E357" s="361">
        <v>44174.0</v>
      </c>
      <c r="F357" s="250" t="s">
        <v>499</v>
      </c>
      <c r="G357" s="171">
        <v>89.0</v>
      </c>
      <c r="H357" s="171">
        <v>90.0</v>
      </c>
      <c r="I357" s="171">
        <v>100.0</v>
      </c>
      <c r="J357" s="325">
        <f t="shared" si="13"/>
        <v>0.005876948296</v>
      </c>
      <c r="K357" s="326">
        <f t="shared" si="20"/>
        <v>4.428280541</v>
      </c>
      <c r="L357" s="327">
        <f t="shared" si="4"/>
        <v>3.587054913</v>
      </c>
      <c r="M357" s="321" t="str">
        <f t="shared" si="5"/>
        <v>markop</v>
      </c>
      <c r="N357" s="176">
        <f>IFERROR(__xludf.DUMMYFUNCTION("""COMPUTED_VALUE"""),3.0)</f>
        <v>3</v>
      </c>
      <c r="O357" s="243"/>
      <c r="P357" s="243"/>
      <c r="Q357" s="243"/>
      <c r="R357" s="243"/>
      <c r="S357" s="243"/>
      <c r="T357" s="243"/>
      <c r="U357" s="176"/>
      <c r="V357" s="176"/>
      <c r="W357" s="176"/>
      <c r="X357" s="176"/>
      <c r="Y357" s="176"/>
      <c r="Z357" s="176"/>
    </row>
    <row r="358">
      <c r="A358" s="226" t="s">
        <v>43</v>
      </c>
      <c r="B358" s="226" t="s">
        <v>8</v>
      </c>
      <c r="C358" s="250" t="s">
        <v>3278</v>
      </c>
      <c r="D358" s="268" t="s">
        <v>495</v>
      </c>
      <c r="E358" s="361">
        <v>44174.0</v>
      </c>
      <c r="F358" s="250" t="s">
        <v>496</v>
      </c>
      <c r="G358" s="171">
        <v>21.0</v>
      </c>
      <c r="H358" s="171">
        <v>20.0</v>
      </c>
      <c r="I358" s="171">
        <v>20.0</v>
      </c>
      <c r="J358" s="325">
        <f t="shared" si="13"/>
        <v>0.001320061795</v>
      </c>
      <c r="K358" s="326">
        <f t="shared" si="20"/>
        <v>0.9946665623</v>
      </c>
      <c r="L358" s="327">
        <f t="shared" si="4"/>
        <v>3.587054913</v>
      </c>
      <c r="M358" s="321" t="str">
        <f t="shared" si="5"/>
        <v>markop</v>
      </c>
      <c r="N358" s="176">
        <f>IFERROR(__xludf.DUMMYFUNCTION("""COMPUTED_VALUE"""),4.0)</f>
        <v>4</v>
      </c>
      <c r="O358" s="243"/>
      <c r="P358" s="243"/>
      <c r="Q358" s="243"/>
      <c r="R358" s="243"/>
      <c r="S358" s="243"/>
      <c r="T358" s="243"/>
      <c r="U358" s="176"/>
      <c r="V358" s="176"/>
      <c r="W358" s="176"/>
      <c r="X358" s="176"/>
      <c r="Y358" s="176"/>
      <c r="Z358" s="176"/>
    </row>
    <row r="359">
      <c r="A359" s="226" t="s">
        <v>43</v>
      </c>
      <c r="B359" s="226" t="s">
        <v>519</v>
      </c>
      <c r="C359" s="250" t="s">
        <v>3204</v>
      </c>
      <c r="D359" s="268" t="s">
        <v>495</v>
      </c>
      <c r="E359" s="251">
        <v>44175.0</v>
      </c>
      <c r="F359" s="250" t="s">
        <v>521</v>
      </c>
      <c r="G359" s="171">
        <v>5.0</v>
      </c>
      <c r="H359" s="171">
        <v>45.0</v>
      </c>
      <c r="I359" s="171">
        <v>50.0</v>
      </c>
      <c r="J359" s="325">
        <f t="shared" si="13"/>
        <v>0.001447851861</v>
      </c>
      <c r="K359" s="326">
        <f t="shared" si="20"/>
        <v>1.090956377</v>
      </c>
      <c r="L359" s="327">
        <f t="shared" si="4"/>
        <v>3.587054913</v>
      </c>
      <c r="M359" s="321" t="str">
        <f t="shared" si="5"/>
        <v>markop</v>
      </c>
      <c r="N359" s="176">
        <f>IFERROR(__xludf.DUMMYFUNCTION("""COMPUTED_VALUE"""),5.0)</f>
        <v>5</v>
      </c>
      <c r="O359" s="243"/>
      <c r="P359" s="243"/>
      <c r="Q359" s="243"/>
      <c r="R359" s="243"/>
      <c r="S359" s="243"/>
      <c r="T359" s="243"/>
      <c r="U359" s="176"/>
      <c r="V359" s="176"/>
      <c r="W359" s="176"/>
      <c r="X359" s="176"/>
      <c r="Y359" s="176"/>
      <c r="Z359" s="176"/>
    </row>
    <row r="360">
      <c r="A360" s="226" t="s">
        <v>43</v>
      </c>
      <c r="B360" s="226" t="s">
        <v>5</v>
      </c>
      <c r="C360" s="250" t="s">
        <v>3177</v>
      </c>
      <c r="D360" s="268" t="s">
        <v>495</v>
      </c>
      <c r="E360" s="251">
        <v>44176.0</v>
      </c>
      <c r="F360" s="250" t="s">
        <v>496</v>
      </c>
      <c r="G360" s="171">
        <v>21.0</v>
      </c>
      <c r="H360" s="171">
        <v>45.0</v>
      </c>
      <c r="I360" s="171">
        <v>50.0</v>
      </c>
      <c r="J360" s="325">
        <f t="shared" si="13"/>
        <v>0.00205164823</v>
      </c>
      <c r="K360" s="326">
        <f t="shared" si="20"/>
        <v>1.545916941</v>
      </c>
      <c r="L360" s="327">
        <f t="shared" si="4"/>
        <v>3.587054913</v>
      </c>
      <c r="M360" s="321" t="str">
        <f t="shared" si="5"/>
        <v>markop</v>
      </c>
      <c r="N360" s="176">
        <f>IFERROR(__xludf.DUMMYFUNCTION("""COMPUTED_VALUE"""),6.0)</f>
        <v>6</v>
      </c>
      <c r="O360" s="243"/>
      <c r="P360" s="243"/>
      <c r="Q360" s="243"/>
      <c r="R360" s="243"/>
      <c r="S360" s="243"/>
      <c r="T360" s="243"/>
      <c r="U360" s="176"/>
      <c r="V360" s="176"/>
      <c r="W360" s="176"/>
      <c r="X360" s="176"/>
      <c r="Y360" s="176"/>
      <c r="Z360" s="176"/>
    </row>
    <row r="361">
      <c r="A361" s="226" t="s">
        <v>43</v>
      </c>
      <c r="B361" s="226" t="s">
        <v>519</v>
      </c>
      <c r="C361" s="250" t="s">
        <v>3296</v>
      </c>
      <c r="D361" s="268" t="s">
        <v>495</v>
      </c>
      <c r="E361" s="251">
        <v>44178.0</v>
      </c>
      <c r="F361" s="250" t="s">
        <v>496</v>
      </c>
      <c r="G361" s="171">
        <v>21.0</v>
      </c>
      <c r="H361" s="171">
        <v>100.0</v>
      </c>
      <c r="I361" s="171">
        <v>50.0</v>
      </c>
      <c r="J361" s="325">
        <f t="shared" si="13"/>
        <v>0.002709251922</v>
      </c>
      <c r="K361" s="326">
        <f t="shared" si="20"/>
        <v>2.041421323</v>
      </c>
      <c r="L361" s="327">
        <f t="shared" si="4"/>
        <v>3.587054913</v>
      </c>
      <c r="M361" s="321" t="str">
        <f t="shared" si="5"/>
        <v>markop</v>
      </c>
      <c r="N361" s="176">
        <f>IFERROR(__xludf.DUMMYFUNCTION("""COMPUTED_VALUE"""),7.0)</f>
        <v>7</v>
      </c>
      <c r="O361" s="243"/>
      <c r="P361" s="243"/>
      <c r="Q361" s="243"/>
      <c r="R361" s="243"/>
      <c r="S361" s="243"/>
      <c r="T361" s="243"/>
      <c r="U361" s="176"/>
      <c r="V361" s="176"/>
      <c r="W361" s="176"/>
      <c r="X361" s="176"/>
      <c r="Y361" s="176"/>
      <c r="Z361" s="176"/>
    </row>
    <row r="362">
      <c r="A362" s="226" t="s">
        <v>43</v>
      </c>
      <c r="B362" s="226" t="s">
        <v>519</v>
      </c>
      <c r="C362" s="250" t="s">
        <v>3259</v>
      </c>
      <c r="D362" s="268" t="s">
        <v>495</v>
      </c>
      <c r="E362" s="251">
        <v>44178.0</v>
      </c>
      <c r="F362" s="250" t="s">
        <v>496</v>
      </c>
      <c r="G362" s="171">
        <v>89.0</v>
      </c>
      <c r="H362" s="171">
        <v>100.0</v>
      </c>
      <c r="I362" s="171">
        <v>100.0</v>
      </c>
      <c r="J362" s="325">
        <f t="shared" si="13"/>
        <v>0.005996512604</v>
      </c>
      <c r="K362" s="326">
        <f t="shared" si="20"/>
        <v>4.518372247</v>
      </c>
      <c r="L362" s="327">
        <f t="shared" si="4"/>
        <v>3.587054913</v>
      </c>
      <c r="M362" s="321" t="str">
        <f t="shared" si="5"/>
        <v>markop</v>
      </c>
      <c r="N362" s="176">
        <f>IFERROR(__xludf.DUMMYFUNCTION("""COMPUTED_VALUE"""),8.0)</f>
        <v>8</v>
      </c>
      <c r="O362" s="243"/>
      <c r="P362" s="243"/>
      <c r="Q362" s="243"/>
      <c r="R362" s="243"/>
      <c r="S362" s="243"/>
      <c r="T362" s="243"/>
      <c r="U362" s="176"/>
      <c r="V362" s="176"/>
      <c r="W362" s="176"/>
      <c r="X362" s="176"/>
      <c r="Y362" s="176"/>
      <c r="Z362" s="176"/>
    </row>
    <row r="363">
      <c r="A363" s="343" t="s">
        <v>43</v>
      </c>
      <c r="B363" s="240" t="s">
        <v>534</v>
      </c>
      <c r="C363" s="221" t="s">
        <v>794</v>
      </c>
      <c r="D363" s="336"/>
      <c r="E363" s="255"/>
      <c r="F363" s="254"/>
      <c r="G363" s="222"/>
      <c r="H363" s="222"/>
      <c r="I363" s="222"/>
      <c r="J363" s="325">
        <f t="shared" si="13"/>
        <v>0</v>
      </c>
      <c r="K363" s="337">
        <f>23.911*-0.85</f>
        <v>-20.32435</v>
      </c>
      <c r="L363" s="327">
        <f t="shared" si="4"/>
        <v>3.587054913</v>
      </c>
      <c r="M363" s="321" t="str">
        <f t="shared" si="5"/>
        <v>markop</v>
      </c>
      <c r="N363" s="209">
        <f>IFERROR(__xludf.DUMMYFUNCTION("""COMPUTED_VALUE"""),9.0)</f>
        <v>9</v>
      </c>
      <c r="O363" s="209"/>
      <c r="P363" s="209"/>
      <c r="Q363" s="209"/>
      <c r="R363" s="209">
        <v>18.848124090566696</v>
      </c>
      <c r="S363" s="209"/>
      <c r="T363" s="209"/>
      <c r="U363" s="209"/>
      <c r="V363" s="209"/>
      <c r="W363" s="209"/>
      <c r="X363" s="209"/>
      <c r="Y363" s="176"/>
      <c r="Z363" s="176"/>
    </row>
    <row r="364">
      <c r="A364" s="226" t="s">
        <v>30</v>
      </c>
      <c r="B364" s="226" t="s">
        <v>10</v>
      </c>
      <c r="C364" s="250" t="s">
        <v>3297</v>
      </c>
      <c r="D364" s="268" t="s">
        <v>495</v>
      </c>
      <c r="E364" s="251">
        <v>44176.0</v>
      </c>
      <c r="F364" s="250" t="s">
        <v>496</v>
      </c>
      <c r="G364" s="171">
        <v>34.0</v>
      </c>
      <c r="H364" s="171">
        <v>100.0</v>
      </c>
      <c r="I364" s="171">
        <v>100.0</v>
      </c>
      <c r="J364" s="325">
        <f t="shared" si="13"/>
        <v>0.003920962583</v>
      </c>
      <c r="K364" s="326">
        <f t="shared" ref="K364:K369" si="21">J364*$J$1</f>
        <v>2.954445306</v>
      </c>
      <c r="L364" s="327">
        <f t="shared" si="4"/>
        <v>3.158474945</v>
      </c>
      <c r="M364" s="321" t="str">
        <f t="shared" si="5"/>
        <v>paulo_c2d</v>
      </c>
      <c r="N364" s="176">
        <f>IFERROR(__xludf.DUMMYFUNCTION("""COMPUTED_VALUE"""),1.0)</f>
        <v>1</v>
      </c>
      <c r="O364" s="243"/>
      <c r="P364" s="243"/>
      <c r="Q364" s="243"/>
      <c r="R364" s="243"/>
      <c r="S364" s="243"/>
      <c r="T364" s="243"/>
      <c r="U364" s="176"/>
      <c r="V364" s="176"/>
      <c r="W364" s="176"/>
      <c r="X364" s="176"/>
      <c r="Y364" s="176"/>
      <c r="Z364" s="176"/>
    </row>
    <row r="365">
      <c r="A365" s="226" t="s">
        <v>30</v>
      </c>
      <c r="B365" s="226" t="s">
        <v>10</v>
      </c>
      <c r="C365" s="250" t="s">
        <v>3176</v>
      </c>
      <c r="D365" s="268" t="s">
        <v>495</v>
      </c>
      <c r="E365" s="251">
        <v>44176.0</v>
      </c>
      <c r="F365" s="250" t="s">
        <v>496</v>
      </c>
      <c r="G365" s="171">
        <v>2.0</v>
      </c>
      <c r="H365" s="171">
        <v>45.0</v>
      </c>
      <c r="I365" s="171">
        <v>50.0</v>
      </c>
      <c r="J365" s="325">
        <f t="shared" si="13"/>
        <v>0.001334640041</v>
      </c>
      <c r="K365" s="326">
        <f t="shared" si="21"/>
        <v>1.005651271</v>
      </c>
      <c r="L365" s="327">
        <f t="shared" si="4"/>
        <v>3.158474945</v>
      </c>
      <c r="M365" s="321" t="str">
        <f t="shared" si="5"/>
        <v>paulo_c2d</v>
      </c>
      <c r="N365" s="176">
        <f>IFERROR(__xludf.DUMMYFUNCTION("""COMPUTED_VALUE"""),2.0)</f>
        <v>2</v>
      </c>
      <c r="O365" s="243"/>
      <c r="P365" s="243"/>
      <c r="Q365" s="243"/>
      <c r="R365" s="243"/>
      <c r="S365" s="243"/>
      <c r="T365" s="243"/>
      <c r="U365" s="176"/>
      <c r="V365" s="176"/>
      <c r="W365" s="176"/>
      <c r="X365" s="176"/>
      <c r="Y365" s="176"/>
      <c r="Z365" s="176"/>
    </row>
    <row r="366">
      <c r="A366" s="226" t="s">
        <v>30</v>
      </c>
      <c r="B366" s="226" t="s">
        <v>30</v>
      </c>
      <c r="C366" s="250" t="s">
        <v>3298</v>
      </c>
      <c r="D366" s="268" t="s">
        <v>495</v>
      </c>
      <c r="E366" s="251">
        <v>44179.0</v>
      </c>
      <c r="F366" s="250" t="s">
        <v>2586</v>
      </c>
      <c r="G366" s="171">
        <v>21.0</v>
      </c>
      <c r="H366" s="171">
        <v>200.0</v>
      </c>
      <c r="I366" s="171">
        <v>100.0</v>
      </c>
      <c r="J366" s="325">
        <f t="shared" si="13"/>
        <v>0.00462602111</v>
      </c>
      <c r="K366" s="326">
        <f t="shared" si="21"/>
        <v>3.485706906</v>
      </c>
      <c r="L366" s="327">
        <f t="shared" si="4"/>
        <v>3.158474945</v>
      </c>
      <c r="M366" s="321" t="str">
        <f t="shared" si="5"/>
        <v>paulo_c2d</v>
      </c>
      <c r="N366" s="176">
        <f>IFERROR(__xludf.DUMMYFUNCTION("""COMPUTED_VALUE"""),3.0)</f>
        <v>3</v>
      </c>
      <c r="O366" s="243"/>
      <c r="P366" s="243"/>
      <c r="Q366" s="243"/>
      <c r="R366" s="243"/>
      <c r="S366" s="243"/>
      <c r="T366" s="243"/>
      <c r="U366" s="176"/>
      <c r="V366" s="176"/>
      <c r="W366" s="176"/>
      <c r="X366" s="176"/>
      <c r="Y366" s="176"/>
      <c r="Z366" s="176"/>
    </row>
    <row r="367">
      <c r="A367" s="226" t="s">
        <v>30</v>
      </c>
      <c r="B367" s="226" t="s">
        <v>10</v>
      </c>
      <c r="C367" s="250" t="s">
        <v>3211</v>
      </c>
      <c r="D367" s="268" t="s">
        <v>495</v>
      </c>
      <c r="E367" s="251">
        <v>44183.0</v>
      </c>
      <c r="F367" s="250" t="s">
        <v>496</v>
      </c>
      <c r="G367" s="171">
        <v>5.0</v>
      </c>
      <c r="H367" s="171">
        <v>80.0</v>
      </c>
      <c r="I367" s="171">
        <v>20.0</v>
      </c>
      <c r="J367" s="325">
        <f t="shared" si="13"/>
        <v>0.001433651271</v>
      </c>
      <c r="K367" s="326">
        <f t="shared" si="21"/>
        <v>1.080256233</v>
      </c>
      <c r="L367" s="327">
        <f t="shared" si="4"/>
        <v>3.158474945</v>
      </c>
      <c r="M367" s="321" t="str">
        <f t="shared" si="5"/>
        <v>paulo_c2d</v>
      </c>
      <c r="N367" s="176">
        <f>IFERROR(__xludf.DUMMYFUNCTION("""COMPUTED_VALUE"""),4.0)</f>
        <v>4</v>
      </c>
      <c r="O367" s="243"/>
      <c r="P367" s="243"/>
      <c r="Q367" s="243"/>
      <c r="R367" s="243"/>
      <c r="S367" s="243"/>
      <c r="T367" s="243"/>
      <c r="U367" s="176"/>
      <c r="V367" s="176"/>
      <c r="W367" s="176"/>
      <c r="X367" s="176"/>
      <c r="Y367" s="176"/>
      <c r="Z367" s="176"/>
    </row>
    <row r="368">
      <c r="A368" s="226" t="s">
        <v>30</v>
      </c>
      <c r="B368" s="226" t="s">
        <v>10</v>
      </c>
      <c r="C368" s="250" t="s">
        <v>3188</v>
      </c>
      <c r="D368" s="268" t="s">
        <v>495</v>
      </c>
      <c r="E368" s="251">
        <v>44183.0</v>
      </c>
      <c r="F368" s="250" t="s">
        <v>496</v>
      </c>
      <c r="G368" s="171">
        <v>5.0</v>
      </c>
      <c r="H368" s="171">
        <v>60.0</v>
      </c>
      <c r="I368" s="171">
        <v>50.0</v>
      </c>
      <c r="J368" s="325">
        <f t="shared" si="13"/>
        <v>0.001627198322</v>
      </c>
      <c r="K368" s="326">
        <f t="shared" si="21"/>
        <v>1.226093936</v>
      </c>
      <c r="L368" s="327">
        <f t="shared" si="4"/>
        <v>3.158474945</v>
      </c>
      <c r="M368" s="321" t="str">
        <f t="shared" si="5"/>
        <v>paulo_c2d</v>
      </c>
      <c r="N368" s="176">
        <f>IFERROR(__xludf.DUMMYFUNCTION("""COMPUTED_VALUE"""),5.0)</f>
        <v>5</v>
      </c>
      <c r="O368" s="243"/>
      <c r="P368" s="243"/>
      <c r="Q368" s="243"/>
      <c r="R368" s="243"/>
      <c r="S368" s="243"/>
      <c r="T368" s="243"/>
      <c r="U368" s="176"/>
      <c r="V368" s="176"/>
      <c r="W368" s="176"/>
      <c r="X368" s="176"/>
      <c r="Y368" s="176"/>
      <c r="Z368" s="176"/>
    </row>
    <row r="369">
      <c r="A369" s="226" t="s">
        <v>30</v>
      </c>
      <c r="B369" s="226" t="s">
        <v>30</v>
      </c>
      <c r="C369" s="250" t="s">
        <v>3299</v>
      </c>
      <c r="D369" s="268" t="s">
        <v>495</v>
      </c>
      <c r="E369" s="251">
        <v>44183.0</v>
      </c>
      <c r="F369" s="250" t="s">
        <v>2586</v>
      </c>
      <c r="G369" s="171">
        <v>144.0</v>
      </c>
      <c r="H369" s="171">
        <v>540.0</v>
      </c>
      <c r="I369" s="171">
        <v>200.0</v>
      </c>
      <c r="J369" s="325">
        <f t="shared" si="13"/>
        <v>0.01477514438</v>
      </c>
      <c r="K369" s="326">
        <f t="shared" si="21"/>
        <v>11.13307129</v>
      </c>
      <c r="L369" s="327">
        <f t="shared" si="4"/>
        <v>3.158474945</v>
      </c>
      <c r="M369" s="321" t="str">
        <f t="shared" si="5"/>
        <v>paulo_c2d</v>
      </c>
      <c r="N369" s="176">
        <f>IFERROR(__xludf.DUMMYFUNCTION("""COMPUTED_VALUE"""),6.0)</f>
        <v>6</v>
      </c>
      <c r="O369" s="243"/>
      <c r="P369" s="243"/>
      <c r="Q369" s="243"/>
      <c r="R369" s="243"/>
      <c r="S369" s="243"/>
      <c r="T369" s="243"/>
      <c r="U369" s="176"/>
      <c r="V369" s="176"/>
      <c r="W369" s="176"/>
      <c r="X369" s="176"/>
      <c r="Y369" s="176"/>
      <c r="Z369" s="176"/>
    </row>
    <row r="370">
      <c r="A370" s="240" t="s">
        <v>30</v>
      </c>
      <c r="B370" s="240" t="s">
        <v>534</v>
      </c>
      <c r="C370" s="346" t="s">
        <v>2452</v>
      </c>
      <c r="D370" s="336"/>
      <c r="E370" s="255"/>
      <c r="F370" s="254"/>
      <c r="G370" s="222"/>
      <c r="H370" s="222"/>
      <c r="I370" s="222"/>
      <c r="J370" s="325">
        <f t="shared" si="13"/>
        <v>0</v>
      </c>
      <c r="K370" s="337">
        <f>20.855*-0.85</f>
        <v>-17.72675</v>
      </c>
      <c r="L370" s="327">
        <f t="shared" si="4"/>
        <v>3.158474945</v>
      </c>
      <c r="M370" s="321" t="str">
        <f t="shared" si="5"/>
        <v>paulo_c2d</v>
      </c>
      <c r="N370" s="209">
        <f>IFERROR(__xludf.DUMMYFUNCTION("""COMPUTED_VALUE"""),7.0)</f>
        <v>7</v>
      </c>
      <c r="O370" s="209"/>
      <c r="P370" s="209"/>
      <c r="Q370" s="209"/>
      <c r="R370" s="209">
        <v>51.99833903635589</v>
      </c>
      <c r="S370" s="209"/>
      <c r="T370" s="209"/>
      <c r="U370" s="209"/>
      <c r="V370" s="209"/>
      <c r="W370" s="209"/>
      <c r="X370" s="209"/>
      <c r="Y370" s="176"/>
      <c r="Z370" s="176"/>
    </row>
    <row r="371">
      <c r="A371" s="226" t="s">
        <v>84</v>
      </c>
      <c r="B371" s="226" t="s">
        <v>590</v>
      </c>
      <c r="C371" s="250" t="s">
        <v>3220</v>
      </c>
      <c r="D371" s="268" t="s">
        <v>495</v>
      </c>
      <c r="E371" s="361">
        <v>44172.0</v>
      </c>
      <c r="F371" s="250" t="s">
        <v>496</v>
      </c>
      <c r="G371" s="171">
        <v>21.0</v>
      </c>
      <c r="H371" s="171">
        <v>50.0</v>
      </c>
      <c r="I371" s="171">
        <v>50.0</v>
      </c>
      <c r="J371" s="325">
        <f t="shared" si="13"/>
        <v>0.002111430384</v>
      </c>
      <c r="K371" s="326">
        <f t="shared" ref="K371:K380" si="22">J371*$J$1</f>
        <v>1.590962794</v>
      </c>
      <c r="L371" s="327">
        <f t="shared" si="4"/>
        <v>3.136879736</v>
      </c>
      <c r="M371" s="321" t="str">
        <f t="shared" si="5"/>
        <v>gracerachmany</v>
      </c>
      <c r="N371" s="176">
        <f>IFERROR(__xludf.DUMMYFUNCTION("""COMPUTED_VALUE"""),1.0)</f>
        <v>1</v>
      </c>
      <c r="O371" s="243"/>
      <c r="P371" s="243"/>
      <c r="Q371" s="243"/>
      <c r="R371" s="243"/>
      <c r="S371" s="243"/>
      <c r="T371" s="243"/>
      <c r="U371" s="176"/>
      <c r="V371" s="176"/>
      <c r="W371" s="176"/>
      <c r="X371" s="176"/>
      <c r="Y371" s="176"/>
      <c r="Z371" s="176"/>
    </row>
    <row r="372">
      <c r="A372" s="226" t="s">
        <v>84</v>
      </c>
      <c r="B372" s="226" t="s">
        <v>1228</v>
      </c>
      <c r="C372" s="250" t="s">
        <v>3300</v>
      </c>
      <c r="D372" s="268" t="s">
        <v>495</v>
      </c>
      <c r="E372" s="361">
        <v>44174.0</v>
      </c>
      <c r="F372" s="250" t="s">
        <v>496</v>
      </c>
      <c r="G372" s="171">
        <v>21.0</v>
      </c>
      <c r="H372" s="171">
        <v>45.0</v>
      </c>
      <c r="I372" s="171">
        <v>50.0</v>
      </c>
      <c r="J372" s="325">
        <f t="shared" si="13"/>
        <v>0.00205164823</v>
      </c>
      <c r="K372" s="326">
        <f t="shared" si="22"/>
        <v>1.545916941</v>
      </c>
      <c r="L372" s="327">
        <f t="shared" si="4"/>
        <v>3.136879736</v>
      </c>
      <c r="M372" s="321" t="str">
        <f t="shared" si="5"/>
        <v>gracerachmany</v>
      </c>
      <c r="N372" s="176">
        <f>IFERROR(__xludf.DUMMYFUNCTION("""COMPUTED_VALUE"""),2.0)</f>
        <v>2</v>
      </c>
      <c r="O372" s="243"/>
      <c r="P372" s="243"/>
      <c r="Q372" s="243"/>
      <c r="R372" s="243"/>
      <c r="S372" s="243"/>
      <c r="T372" s="243"/>
      <c r="U372" s="176"/>
      <c r="V372" s="176"/>
      <c r="W372" s="176"/>
      <c r="X372" s="176"/>
      <c r="Y372" s="176"/>
      <c r="Z372" s="176"/>
    </row>
    <row r="373">
      <c r="A373" s="226" t="s">
        <v>60</v>
      </c>
      <c r="B373" s="226" t="s">
        <v>10</v>
      </c>
      <c r="C373" s="250" t="s">
        <v>3239</v>
      </c>
      <c r="D373" s="268" t="s">
        <v>495</v>
      </c>
      <c r="E373" s="361">
        <v>44173.0</v>
      </c>
      <c r="F373" s="250" t="s">
        <v>499</v>
      </c>
      <c r="G373" s="171">
        <v>4.0</v>
      </c>
      <c r="H373" s="171">
        <v>5.0</v>
      </c>
      <c r="I373" s="171">
        <v>10.0</v>
      </c>
      <c r="J373" s="325">
        <f t="shared" si="13"/>
        <v>0.0003549564684</v>
      </c>
      <c r="K373" s="326">
        <f t="shared" si="22"/>
        <v>0.2674596989</v>
      </c>
      <c r="L373" s="327">
        <f t="shared" si="4"/>
        <v>2.94937887</v>
      </c>
      <c r="M373" s="321" t="str">
        <f t="shared" si="5"/>
        <v>niranb</v>
      </c>
      <c r="N373" s="176">
        <f>IFERROR(__xludf.DUMMYFUNCTION("""COMPUTED_VALUE"""),1.0)</f>
        <v>1</v>
      </c>
      <c r="O373" s="243"/>
      <c r="P373" s="243"/>
      <c r="Q373" s="243"/>
      <c r="R373" s="243"/>
      <c r="S373" s="243"/>
      <c r="T373" s="243"/>
      <c r="U373" s="176"/>
      <c r="V373" s="176"/>
      <c r="W373" s="176"/>
      <c r="X373" s="176"/>
      <c r="Y373" s="176"/>
      <c r="Z373" s="176"/>
    </row>
    <row r="374">
      <c r="A374" s="226" t="s">
        <v>60</v>
      </c>
      <c r="B374" s="226" t="s">
        <v>18</v>
      </c>
      <c r="C374" s="250" t="s">
        <v>3168</v>
      </c>
      <c r="D374" s="268" t="s">
        <v>495</v>
      </c>
      <c r="E374" s="361">
        <v>44174.0</v>
      </c>
      <c r="F374" s="250" t="s">
        <v>496</v>
      </c>
      <c r="G374" s="171">
        <v>5.0</v>
      </c>
      <c r="H374" s="171">
        <v>45.0</v>
      </c>
      <c r="I374" s="171">
        <v>50.0</v>
      </c>
      <c r="J374" s="325">
        <f t="shared" si="13"/>
        <v>0.001447851861</v>
      </c>
      <c r="K374" s="326">
        <f t="shared" si="22"/>
        <v>1.090956377</v>
      </c>
      <c r="L374" s="327">
        <f t="shared" si="4"/>
        <v>2.94937887</v>
      </c>
      <c r="M374" s="321" t="str">
        <f t="shared" si="5"/>
        <v>niranb</v>
      </c>
      <c r="N374" s="176">
        <f>IFERROR(__xludf.DUMMYFUNCTION("""COMPUTED_VALUE"""),2.0)</f>
        <v>2</v>
      </c>
      <c r="O374" s="243"/>
      <c r="P374" s="243"/>
      <c r="Q374" s="243"/>
      <c r="R374" s="243"/>
      <c r="S374" s="243"/>
      <c r="T374" s="243"/>
      <c r="U374" s="176"/>
      <c r="V374" s="176"/>
      <c r="W374" s="176"/>
      <c r="X374" s="176"/>
      <c r="Y374" s="176"/>
      <c r="Z374" s="176"/>
    </row>
    <row r="375">
      <c r="A375" s="226" t="s">
        <v>60</v>
      </c>
      <c r="B375" s="226" t="s">
        <v>590</v>
      </c>
      <c r="C375" s="250" t="s">
        <v>3301</v>
      </c>
      <c r="D375" s="268" t="s">
        <v>495</v>
      </c>
      <c r="E375" s="251">
        <v>44181.0</v>
      </c>
      <c r="F375" s="250" t="s">
        <v>496</v>
      </c>
      <c r="G375" s="171">
        <v>21.0</v>
      </c>
      <c r="H375" s="171">
        <v>50.0</v>
      </c>
      <c r="I375" s="171">
        <v>50.0</v>
      </c>
      <c r="J375" s="325">
        <f t="shared" si="13"/>
        <v>0.002111430384</v>
      </c>
      <c r="K375" s="326">
        <f t="shared" si="22"/>
        <v>1.590962794</v>
      </c>
      <c r="L375" s="327">
        <f t="shared" si="4"/>
        <v>2.94937887</v>
      </c>
      <c r="M375" s="321" t="str">
        <f t="shared" si="5"/>
        <v>niranb</v>
      </c>
      <c r="N375" s="176">
        <f>IFERROR(__xludf.DUMMYFUNCTION("""COMPUTED_VALUE"""),3.0)</f>
        <v>3</v>
      </c>
      <c r="O375" s="243"/>
      <c r="P375" s="243"/>
      <c r="Q375" s="243"/>
      <c r="R375" s="243"/>
      <c r="S375" s="243"/>
      <c r="T375" s="243"/>
      <c r="U375" s="176"/>
      <c r="V375" s="176"/>
      <c r="W375" s="176"/>
      <c r="X375" s="176"/>
      <c r="Y375" s="176"/>
      <c r="Z375" s="176"/>
    </row>
    <row r="376">
      <c r="A376" s="226" t="s">
        <v>61</v>
      </c>
      <c r="B376" s="226" t="s">
        <v>10</v>
      </c>
      <c r="C376" s="250" t="s">
        <v>3176</v>
      </c>
      <c r="D376" s="268" t="s">
        <v>495</v>
      </c>
      <c r="E376" s="251">
        <v>44176.0</v>
      </c>
      <c r="F376" s="250" t="s">
        <v>496</v>
      </c>
      <c r="G376" s="171">
        <v>144.0</v>
      </c>
      <c r="H376" s="171">
        <v>45.0</v>
      </c>
      <c r="I376" s="171">
        <v>50.0</v>
      </c>
      <c r="J376" s="325">
        <f t="shared" si="13"/>
        <v>0.006693332822</v>
      </c>
      <c r="K376" s="326">
        <f t="shared" si="22"/>
        <v>5.043426281</v>
      </c>
      <c r="L376" s="327">
        <f t="shared" si="4"/>
        <v>2.858176389</v>
      </c>
      <c r="M376" s="321" t="str">
        <f t="shared" si="5"/>
        <v>fabimol</v>
      </c>
      <c r="N376" s="176">
        <f>IFERROR(__xludf.DUMMYFUNCTION("""COMPUTED_VALUE"""),1.0)</f>
        <v>1</v>
      </c>
      <c r="O376" s="243"/>
      <c r="P376" s="243"/>
      <c r="Q376" s="243"/>
      <c r="R376" s="243"/>
      <c r="S376" s="243"/>
      <c r="T376" s="243"/>
      <c r="U376" s="176"/>
      <c r="V376" s="176"/>
      <c r="W376" s="176"/>
      <c r="X376" s="176"/>
      <c r="Y376" s="176"/>
      <c r="Z376" s="176"/>
    </row>
    <row r="377">
      <c r="A377" s="226" t="s">
        <v>61</v>
      </c>
      <c r="B377" s="226" t="s">
        <v>5</v>
      </c>
      <c r="C377" s="250" t="s">
        <v>3177</v>
      </c>
      <c r="D377" s="268" t="s">
        <v>495</v>
      </c>
      <c r="E377" s="251">
        <v>44176.0</v>
      </c>
      <c r="F377" s="250" t="s">
        <v>496</v>
      </c>
      <c r="G377" s="171">
        <v>21.0</v>
      </c>
      <c r="H377" s="171">
        <v>45.0</v>
      </c>
      <c r="I377" s="171">
        <v>50.0</v>
      </c>
      <c r="J377" s="325">
        <f t="shared" si="13"/>
        <v>0.00205164823</v>
      </c>
      <c r="K377" s="326">
        <f t="shared" si="22"/>
        <v>1.545916941</v>
      </c>
      <c r="L377" s="327">
        <f t="shared" si="4"/>
        <v>2.858176389</v>
      </c>
      <c r="M377" s="321" t="str">
        <f t="shared" si="5"/>
        <v>fabimol</v>
      </c>
      <c r="N377" s="176">
        <f>IFERROR(__xludf.DUMMYFUNCTION("""COMPUTED_VALUE"""),2.0)</f>
        <v>2</v>
      </c>
      <c r="O377" s="243"/>
      <c r="P377" s="243"/>
      <c r="Q377" s="243"/>
      <c r="R377" s="243"/>
      <c r="S377" s="243"/>
      <c r="T377" s="243"/>
      <c r="U377" s="176"/>
      <c r="V377" s="176"/>
      <c r="W377" s="176"/>
      <c r="X377" s="176"/>
      <c r="Y377" s="176"/>
      <c r="Z377" s="176"/>
    </row>
    <row r="378">
      <c r="A378" s="226" t="s">
        <v>61</v>
      </c>
      <c r="B378" s="226" t="s">
        <v>1175</v>
      </c>
      <c r="C378" s="250" t="s">
        <v>3302</v>
      </c>
      <c r="D378" s="268" t="s">
        <v>495</v>
      </c>
      <c r="E378" s="251">
        <v>44181.0</v>
      </c>
      <c r="F378" s="250" t="s">
        <v>2586</v>
      </c>
      <c r="G378" s="171">
        <v>21.0</v>
      </c>
      <c r="H378" s="171">
        <v>120.0</v>
      </c>
      <c r="I378" s="171">
        <v>100.0</v>
      </c>
      <c r="J378" s="325">
        <f t="shared" si="13"/>
        <v>0.003669506648</v>
      </c>
      <c r="K378" s="326">
        <f t="shared" si="22"/>
        <v>2.764973259</v>
      </c>
      <c r="L378" s="327">
        <f t="shared" si="4"/>
        <v>2.858176389</v>
      </c>
      <c r="M378" s="321" t="str">
        <f t="shared" si="5"/>
        <v>fabimol</v>
      </c>
      <c r="N378" s="176">
        <f>IFERROR(__xludf.DUMMYFUNCTION("""COMPUTED_VALUE"""),3.0)</f>
        <v>3</v>
      </c>
      <c r="O378" s="243"/>
      <c r="P378" s="243"/>
      <c r="Q378" s="243"/>
      <c r="R378" s="243"/>
      <c r="S378" s="243"/>
      <c r="T378" s="243"/>
      <c r="U378" s="176"/>
      <c r="V378" s="176"/>
      <c r="W378" s="176"/>
      <c r="X378" s="176"/>
      <c r="Y378" s="176"/>
      <c r="Z378" s="176"/>
    </row>
    <row r="379">
      <c r="A379" s="226" t="s">
        <v>61</v>
      </c>
      <c r="B379" s="226" t="s">
        <v>10</v>
      </c>
      <c r="C379" s="250" t="s">
        <v>3188</v>
      </c>
      <c r="D379" s="268" t="s">
        <v>495</v>
      </c>
      <c r="E379" s="251">
        <v>44183.0</v>
      </c>
      <c r="F379" s="250" t="s">
        <v>496</v>
      </c>
      <c r="G379" s="171">
        <v>5.0</v>
      </c>
      <c r="H379" s="171">
        <v>45.0</v>
      </c>
      <c r="I379" s="171">
        <v>50.0</v>
      </c>
      <c r="J379" s="325">
        <f t="shared" si="13"/>
        <v>0.001447851861</v>
      </c>
      <c r="K379" s="326">
        <f t="shared" si="22"/>
        <v>1.090956377</v>
      </c>
      <c r="L379" s="327">
        <f t="shared" si="4"/>
        <v>2.858176389</v>
      </c>
      <c r="M379" s="321" t="str">
        <f t="shared" si="5"/>
        <v>fabimol</v>
      </c>
      <c r="N379" s="176">
        <f>IFERROR(__xludf.DUMMYFUNCTION("""COMPUTED_VALUE"""),4.0)</f>
        <v>4</v>
      </c>
      <c r="O379" s="243"/>
      <c r="P379" s="243"/>
      <c r="Q379" s="243"/>
      <c r="R379" s="243"/>
      <c r="S379" s="243"/>
      <c r="T379" s="243"/>
      <c r="U379" s="176"/>
      <c r="V379" s="176"/>
      <c r="W379" s="176"/>
      <c r="X379" s="176"/>
      <c r="Y379" s="176"/>
      <c r="Z379" s="176"/>
    </row>
    <row r="380">
      <c r="A380" s="226" t="s">
        <v>61</v>
      </c>
      <c r="B380" s="226" t="s">
        <v>1175</v>
      </c>
      <c r="C380" s="250" t="s">
        <v>3303</v>
      </c>
      <c r="D380" s="268" t="s">
        <v>495</v>
      </c>
      <c r="E380" s="251">
        <v>44183.0</v>
      </c>
      <c r="F380" s="250" t="s">
        <v>2586</v>
      </c>
      <c r="G380" s="171">
        <v>144.0</v>
      </c>
      <c r="H380" s="171">
        <v>260.0</v>
      </c>
      <c r="I380" s="171">
        <v>200.0</v>
      </c>
      <c r="J380" s="325">
        <f t="shared" si="13"/>
        <v>0.01142734377</v>
      </c>
      <c r="K380" s="326">
        <f t="shared" si="22"/>
        <v>8.61050353</v>
      </c>
      <c r="L380" s="327">
        <f t="shared" si="4"/>
        <v>2.858176389</v>
      </c>
      <c r="M380" s="321" t="str">
        <f t="shared" si="5"/>
        <v>fabimol</v>
      </c>
      <c r="N380" s="176">
        <f>IFERROR(__xludf.DUMMYFUNCTION("""COMPUTED_VALUE"""),5.0)</f>
        <v>5</v>
      </c>
      <c r="O380" s="243"/>
      <c r="P380" s="243"/>
      <c r="Q380" s="243"/>
      <c r="R380" s="243"/>
      <c r="S380" s="243"/>
      <c r="T380" s="243"/>
      <c r="U380" s="176"/>
      <c r="V380" s="176"/>
      <c r="W380" s="176"/>
      <c r="X380" s="176"/>
      <c r="Y380" s="176"/>
      <c r="Z380" s="176"/>
    </row>
    <row r="381">
      <c r="A381" s="362" t="s">
        <v>61</v>
      </c>
      <c r="B381" s="240" t="s">
        <v>534</v>
      </c>
      <c r="C381" s="346" t="s">
        <v>2452</v>
      </c>
      <c r="D381" s="336"/>
      <c r="E381" s="255"/>
      <c r="F381" s="254"/>
      <c r="G381" s="222"/>
      <c r="H381" s="222"/>
      <c r="I381" s="222"/>
      <c r="J381" s="325">
        <f t="shared" si="13"/>
        <v>0</v>
      </c>
      <c r="K381" s="337">
        <f>19.056*-0.85</f>
        <v>-16.1976</v>
      </c>
      <c r="L381" s="327">
        <f t="shared" si="4"/>
        <v>2.858176389</v>
      </c>
      <c r="M381" s="321" t="str">
        <f t="shared" si="5"/>
        <v>fabimol</v>
      </c>
      <c r="N381" s="209">
        <f>IFERROR(__xludf.DUMMYFUNCTION("""COMPUTED_VALUE"""),6.0)</f>
        <v>6</v>
      </c>
      <c r="O381" s="176"/>
      <c r="P381" s="176"/>
      <c r="Q381" s="176"/>
      <c r="R381" s="176">
        <v>15.387070331364484</v>
      </c>
      <c r="S381" s="176"/>
      <c r="T381" s="176"/>
      <c r="U381" s="176"/>
      <c r="V381" s="176"/>
      <c r="W381" s="176"/>
      <c r="X381" s="176"/>
      <c r="Y381" s="176"/>
      <c r="Z381" s="176"/>
    </row>
    <row r="382">
      <c r="A382" s="226" t="s">
        <v>105</v>
      </c>
      <c r="B382" s="226" t="s">
        <v>5</v>
      </c>
      <c r="C382" s="250" t="s">
        <v>3178</v>
      </c>
      <c r="D382" s="268" t="s">
        <v>495</v>
      </c>
      <c r="E382" s="251">
        <v>44176.0</v>
      </c>
      <c r="F382" s="250" t="s">
        <v>496</v>
      </c>
      <c r="G382" s="171">
        <v>21.0</v>
      </c>
      <c r="H382" s="171">
        <v>45.0</v>
      </c>
      <c r="I382" s="171">
        <v>50.0</v>
      </c>
      <c r="J382" s="325">
        <f t="shared" si="13"/>
        <v>0.00205164823</v>
      </c>
      <c r="K382" s="326">
        <f t="shared" ref="K382:K401" si="23">J382*$J$1</f>
        <v>1.545916941</v>
      </c>
      <c r="L382" s="327">
        <f t="shared" si="4"/>
        <v>2.772010877</v>
      </c>
      <c r="M382" s="321" t="str">
        <f t="shared" si="5"/>
        <v>marinam00</v>
      </c>
      <c r="N382" s="176">
        <f>IFERROR(__xludf.DUMMYFUNCTION("""COMPUTED_VALUE"""),1.0)</f>
        <v>1</v>
      </c>
      <c r="O382" s="243"/>
      <c r="P382" s="243"/>
      <c r="Q382" s="243"/>
      <c r="R382" s="243"/>
      <c r="S382" s="243"/>
      <c r="T382" s="243"/>
      <c r="U382" s="176"/>
      <c r="V382" s="176"/>
      <c r="W382" s="176"/>
      <c r="X382" s="176"/>
      <c r="Y382" s="176"/>
      <c r="Z382" s="176"/>
    </row>
    <row r="383">
      <c r="A383" s="226" t="s">
        <v>105</v>
      </c>
      <c r="B383" s="226" t="s">
        <v>868</v>
      </c>
      <c r="C383" s="250" t="s">
        <v>3191</v>
      </c>
      <c r="D383" s="268" t="s">
        <v>495</v>
      </c>
      <c r="E383" s="251">
        <v>44183.0</v>
      </c>
      <c r="F383" s="250" t="s">
        <v>496</v>
      </c>
      <c r="G383" s="171">
        <v>5.0</v>
      </c>
      <c r="H383" s="171">
        <v>60.0</v>
      </c>
      <c r="I383" s="171">
        <v>50.0</v>
      </c>
      <c r="J383" s="325">
        <f t="shared" si="13"/>
        <v>0.001627198322</v>
      </c>
      <c r="K383" s="326">
        <f t="shared" si="23"/>
        <v>1.226093936</v>
      </c>
      <c r="L383" s="327">
        <f t="shared" si="4"/>
        <v>2.772010877</v>
      </c>
      <c r="M383" s="321" t="str">
        <f t="shared" si="5"/>
        <v>marinam00</v>
      </c>
      <c r="N383" s="176">
        <f>IFERROR(__xludf.DUMMYFUNCTION("""COMPUTED_VALUE"""),2.0)</f>
        <v>2</v>
      </c>
      <c r="O383" s="243"/>
      <c r="P383" s="243"/>
      <c r="Q383" s="243"/>
      <c r="R383" s="243"/>
      <c r="S383" s="243"/>
      <c r="T383" s="243"/>
      <c r="U383" s="176"/>
      <c r="V383" s="176"/>
      <c r="W383" s="176"/>
      <c r="X383" s="176"/>
      <c r="Y383" s="176"/>
      <c r="Z383" s="176"/>
    </row>
    <row r="384">
      <c r="A384" s="226" t="s">
        <v>50</v>
      </c>
      <c r="B384" s="226" t="s">
        <v>519</v>
      </c>
      <c r="C384" s="250" t="s">
        <v>3304</v>
      </c>
      <c r="D384" s="268" t="s">
        <v>495</v>
      </c>
      <c r="E384" s="251">
        <v>44180.0</v>
      </c>
      <c r="F384" s="250" t="s">
        <v>521</v>
      </c>
      <c r="G384" s="171">
        <v>21.0</v>
      </c>
      <c r="H384" s="171">
        <v>120.0</v>
      </c>
      <c r="I384" s="171">
        <v>100.0</v>
      </c>
      <c r="J384" s="325">
        <f t="shared" si="13"/>
        <v>0.003669506648</v>
      </c>
      <c r="K384" s="326">
        <f t="shared" si="23"/>
        <v>2.764973259</v>
      </c>
      <c r="L384" s="327">
        <f t="shared" si="4"/>
        <v>2.764973259</v>
      </c>
      <c r="M384" s="321" t="str">
        <f t="shared" si="5"/>
        <v>geleeroyale</v>
      </c>
      <c r="N384" s="176">
        <f>IFERROR(__xludf.DUMMYFUNCTION("""COMPUTED_VALUE"""),1.0)</f>
        <v>1</v>
      </c>
      <c r="O384" s="243"/>
      <c r="P384" s="243"/>
      <c r="Q384" s="243"/>
      <c r="R384" s="243"/>
      <c r="S384" s="243"/>
      <c r="T384" s="243"/>
      <c r="U384" s="176"/>
      <c r="V384" s="176"/>
      <c r="W384" s="176"/>
      <c r="X384" s="176"/>
      <c r="Y384" s="176"/>
      <c r="Z384" s="176"/>
    </row>
    <row r="385">
      <c r="A385" s="226" t="s">
        <v>193</v>
      </c>
      <c r="B385" s="226" t="s">
        <v>590</v>
      </c>
      <c r="C385" s="250" t="s">
        <v>3305</v>
      </c>
      <c r="D385" s="268" t="s">
        <v>495</v>
      </c>
      <c r="E385" s="251">
        <v>44175.0</v>
      </c>
      <c r="F385" s="250" t="s">
        <v>496</v>
      </c>
      <c r="G385" s="171">
        <v>1.0</v>
      </c>
      <c r="H385" s="171">
        <v>1.0</v>
      </c>
      <c r="I385" s="171">
        <v>1.0</v>
      </c>
      <c r="J385" s="325">
        <f t="shared" si="13"/>
        <v>0.00006411622608</v>
      </c>
      <c r="K385" s="326">
        <f t="shared" si="23"/>
        <v>0.04831157635</v>
      </c>
      <c r="L385" s="327">
        <f t="shared" si="4"/>
        <v>2.735017348</v>
      </c>
      <c r="M385" s="321" t="str">
        <f t="shared" si="5"/>
        <v>thelastjosh</v>
      </c>
      <c r="N385" s="176">
        <f>IFERROR(__xludf.DUMMYFUNCTION("""COMPUTED_VALUE"""),1.0)</f>
        <v>1</v>
      </c>
      <c r="O385" s="243"/>
      <c r="P385" s="243"/>
      <c r="Q385" s="243"/>
      <c r="R385" s="243"/>
      <c r="S385" s="243"/>
      <c r="T385" s="243"/>
      <c r="U385" s="176"/>
      <c r="V385" s="176"/>
      <c r="W385" s="176"/>
      <c r="X385" s="176"/>
      <c r="Y385" s="176"/>
      <c r="Z385" s="176"/>
    </row>
    <row r="386">
      <c r="A386" s="226" t="s">
        <v>193</v>
      </c>
      <c r="B386" s="226" t="s">
        <v>10</v>
      </c>
      <c r="C386" s="250" t="s">
        <v>3306</v>
      </c>
      <c r="D386" s="268" t="s">
        <v>495</v>
      </c>
      <c r="E386" s="251">
        <v>44176.0</v>
      </c>
      <c r="F386" s="250" t="s">
        <v>496</v>
      </c>
      <c r="G386" s="171">
        <v>21.0</v>
      </c>
      <c r="H386" s="171">
        <v>60.0</v>
      </c>
      <c r="I386" s="171">
        <v>50.0</v>
      </c>
      <c r="J386" s="325">
        <f t="shared" si="13"/>
        <v>0.002230994692</v>
      </c>
      <c r="K386" s="326">
        <f t="shared" si="23"/>
        <v>1.6810545</v>
      </c>
      <c r="L386" s="327">
        <f t="shared" si="4"/>
        <v>2.735017348</v>
      </c>
      <c r="M386" s="321" t="str">
        <f t="shared" si="5"/>
        <v>thelastjosh</v>
      </c>
      <c r="N386" s="176">
        <f>IFERROR(__xludf.DUMMYFUNCTION("""COMPUTED_VALUE"""),2.0)</f>
        <v>2</v>
      </c>
      <c r="O386" s="243"/>
      <c r="P386" s="243"/>
      <c r="Q386" s="243"/>
      <c r="R386" s="243"/>
      <c r="S386" s="243"/>
      <c r="T386" s="243"/>
      <c r="U386" s="176"/>
      <c r="V386" s="176"/>
      <c r="W386" s="176"/>
      <c r="X386" s="176"/>
      <c r="Y386" s="176"/>
      <c r="Z386" s="176"/>
    </row>
    <row r="387">
      <c r="A387" s="226" t="s">
        <v>193</v>
      </c>
      <c r="B387" s="226" t="s">
        <v>10</v>
      </c>
      <c r="C387" s="250" t="s">
        <v>3176</v>
      </c>
      <c r="D387" s="268" t="s">
        <v>495</v>
      </c>
      <c r="E387" s="251">
        <v>44176.0</v>
      </c>
      <c r="F387" s="250" t="s">
        <v>496</v>
      </c>
      <c r="G387" s="171">
        <v>2.0</v>
      </c>
      <c r="H387" s="171">
        <v>45.0</v>
      </c>
      <c r="I387" s="171">
        <v>50.0</v>
      </c>
      <c r="J387" s="325">
        <f t="shared" si="13"/>
        <v>0.001334640041</v>
      </c>
      <c r="K387" s="326">
        <f t="shared" si="23"/>
        <v>1.005651271</v>
      </c>
      <c r="L387" s="327">
        <f t="shared" si="4"/>
        <v>2.735017348</v>
      </c>
      <c r="M387" s="321" t="str">
        <f t="shared" si="5"/>
        <v>thelastjosh</v>
      </c>
      <c r="N387" s="176">
        <f>IFERROR(__xludf.DUMMYFUNCTION("""COMPUTED_VALUE"""),3.0)</f>
        <v>3</v>
      </c>
      <c r="O387" s="243"/>
      <c r="P387" s="243"/>
      <c r="Q387" s="243"/>
      <c r="R387" s="243"/>
      <c r="S387" s="243"/>
      <c r="T387" s="243"/>
      <c r="U387" s="176"/>
      <c r="V387" s="176"/>
      <c r="W387" s="176"/>
      <c r="X387" s="176"/>
      <c r="Y387" s="176"/>
      <c r="Z387" s="176"/>
    </row>
    <row r="388">
      <c r="A388" s="226" t="s">
        <v>39</v>
      </c>
      <c r="B388" s="226" t="s">
        <v>590</v>
      </c>
      <c r="C388" s="250" t="s">
        <v>3166</v>
      </c>
      <c r="D388" s="268" t="s">
        <v>495</v>
      </c>
      <c r="E388" s="361">
        <v>44173.0</v>
      </c>
      <c r="F388" s="250" t="s">
        <v>496</v>
      </c>
      <c r="G388" s="171">
        <v>21.0</v>
      </c>
      <c r="H388" s="171">
        <v>45.0</v>
      </c>
      <c r="I388" s="171">
        <v>50.0</v>
      </c>
      <c r="J388" s="325">
        <f t="shared" si="13"/>
        <v>0.00205164823</v>
      </c>
      <c r="K388" s="326">
        <f t="shared" si="23"/>
        <v>1.545916941</v>
      </c>
      <c r="L388" s="327">
        <f t="shared" si="4"/>
        <v>2.681919171</v>
      </c>
      <c r="M388" s="321" t="str">
        <f t="shared" si="5"/>
        <v>manualzuru</v>
      </c>
      <c r="N388" s="176">
        <f>IFERROR(__xludf.DUMMYFUNCTION("""COMPUTED_VALUE"""),1.0)</f>
        <v>1</v>
      </c>
      <c r="O388" s="243"/>
      <c r="P388" s="243"/>
      <c r="Q388" s="243"/>
      <c r="R388" s="243"/>
      <c r="S388" s="243"/>
      <c r="T388" s="243"/>
      <c r="U388" s="176"/>
      <c r="V388" s="176"/>
      <c r="W388" s="176"/>
      <c r="X388" s="176"/>
      <c r="Y388" s="176"/>
      <c r="Z388" s="176"/>
    </row>
    <row r="389">
      <c r="A389" s="226" t="s">
        <v>39</v>
      </c>
      <c r="B389" s="226" t="s">
        <v>590</v>
      </c>
      <c r="C389" s="250" t="s">
        <v>3307</v>
      </c>
      <c r="D389" s="268" t="s">
        <v>495</v>
      </c>
      <c r="E389" s="251">
        <v>44181.0</v>
      </c>
      <c r="F389" s="250" t="s">
        <v>496</v>
      </c>
      <c r="G389" s="171">
        <v>5.0</v>
      </c>
      <c r="H389" s="171">
        <v>50.0</v>
      </c>
      <c r="I389" s="171">
        <v>50.0</v>
      </c>
      <c r="J389" s="325">
        <f t="shared" si="13"/>
        <v>0.001507634014</v>
      </c>
      <c r="K389" s="326">
        <f t="shared" si="23"/>
        <v>1.13600223</v>
      </c>
      <c r="L389" s="327">
        <f t="shared" si="4"/>
        <v>2.681919171</v>
      </c>
      <c r="M389" s="321" t="str">
        <f t="shared" si="5"/>
        <v>manualzuru</v>
      </c>
      <c r="N389" s="176">
        <f>IFERROR(__xludf.DUMMYFUNCTION("""COMPUTED_VALUE"""),2.0)</f>
        <v>2</v>
      </c>
      <c r="O389" s="243"/>
      <c r="P389" s="243"/>
      <c r="Q389" s="243"/>
      <c r="R389" s="243"/>
      <c r="S389" s="243"/>
      <c r="T389" s="243"/>
      <c r="U389" s="176"/>
      <c r="V389" s="176"/>
      <c r="W389" s="176"/>
      <c r="X389" s="176"/>
      <c r="Y389" s="176"/>
      <c r="Z389" s="176"/>
    </row>
    <row r="390">
      <c r="A390" s="226" t="s">
        <v>72</v>
      </c>
      <c r="B390" s="226" t="s">
        <v>590</v>
      </c>
      <c r="C390" s="250" t="s">
        <v>3215</v>
      </c>
      <c r="D390" s="268" t="s">
        <v>495</v>
      </c>
      <c r="E390" s="361">
        <v>44172.0</v>
      </c>
      <c r="F390" s="250" t="s">
        <v>496</v>
      </c>
      <c r="G390" s="171">
        <v>21.0</v>
      </c>
      <c r="H390" s="171">
        <v>100.0</v>
      </c>
      <c r="I390" s="171">
        <v>100.0</v>
      </c>
      <c r="J390" s="325">
        <f t="shared" si="13"/>
        <v>0.003430378033</v>
      </c>
      <c r="K390" s="326">
        <f t="shared" si="23"/>
        <v>2.584789848</v>
      </c>
      <c r="L390" s="327">
        <f t="shared" si="4"/>
        <v>2.584789848</v>
      </c>
      <c r="M390" s="321" t="str">
        <f t="shared" si="5"/>
        <v>daithic</v>
      </c>
      <c r="N390" s="176">
        <f>IFERROR(__xludf.DUMMYFUNCTION("""COMPUTED_VALUE"""),1.0)</f>
        <v>1</v>
      </c>
      <c r="O390" s="243"/>
      <c r="P390" s="243"/>
      <c r="Q390" s="243"/>
      <c r="R390" s="243"/>
      <c r="S390" s="243"/>
      <c r="T390" s="243"/>
      <c r="U390" s="176"/>
      <c r="V390" s="176"/>
      <c r="W390" s="176"/>
      <c r="X390" s="176"/>
      <c r="Y390" s="176"/>
      <c r="Z390" s="176"/>
    </row>
    <row r="391">
      <c r="A391" s="226" t="s">
        <v>49</v>
      </c>
      <c r="B391" s="226" t="s">
        <v>590</v>
      </c>
      <c r="C391" s="250" t="s">
        <v>3166</v>
      </c>
      <c r="D391" s="268" t="s">
        <v>495</v>
      </c>
      <c r="E391" s="361">
        <v>44173.0</v>
      </c>
      <c r="F391" s="250" t="s">
        <v>496</v>
      </c>
      <c r="G391" s="171">
        <v>144.0</v>
      </c>
      <c r="H391" s="171">
        <v>45.0</v>
      </c>
      <c r="I391" s="171">
        <v>50.0</v>
      </c>
      <c r="J391" s="325">
        <f t="shared" si="13"/>
        <v>0.006693332822</v>
      </c>
      <c r="K391" s="326">
        <f t="shared" si="23"/>
        <v>5.043426281</v>
      </c>
      <c r="L391" s="327">
        <f t="shared" si="4"/>
        <v>2.584516638</v>
      </c>
      <c r="M391" s="321" t="str">
        <f t="shared" si="5"/>
        <v>knobsdao</v>
      </c>
      <c r="N391" s="176">
        <f>IFERROR(__xludf.DUMMYFUNCTION("""COMPUTED_VALUE"""),1.0)</f>
        <v>1</v>
      </c>
      <c r="O391" s="243"/>
      <c r="P391" s="243"/>
      <c r="Q391" s="243"/>
      <c r="R391" s="243"/>
      <c r="S391" s="243"/>
      <c r="T391" s="243"/>
      <c r="U391" s="176"/>
      <c r="V391" s="176"/>
      <c r="W391" s="176"/>
      <c r="X391" s="176"/>
      <c r="Y391" s="176"/>
      <c r="Z391" s="176"/>
    </row>
    <row r="392">
      <c r="A392" s="226" t="s">
        <v>49</v>
      </c>
      <c r="B392" s="226" t="s">
        <v>18</v>
      </c>
      <c r="C392" s="250" t="s">
        <v>3169</v>
      </c>
      <c r="D392" s="268" t="s">
        <v>495</v>
      </c>
      <c r="E392" s="361">
        <v>44174.0</v>
      </c>
      <c r="F392" s="250" t="s">
        <v>496</v>
      </c>
      <c r="G392" s="171">
        <v>5.0</v>
      </c>
      <c r="H392" s="171">
        <v>45.0</v>
      </c>
      <c r="I392" s="171">
        <v>50.0</v>
      </c>
      <c r="J392" s="325">
        <f t="shared" si="13"/>
        <v>0.001447851861</v>
      </c>
      <c r="K392" s="326">
        <f t="shared" si="23"/>
        <v>1.090956377</v>
      </c>
      <c r="L392" s="327">
        <f t="shared" si="4"/>
        <v>2.584516638</v>
      </c>
      <c r="M392" s="321" t="str">
        <f t="shared" si="5"/>
        <v>knobsdao</v>
      </c>
      <c r="N392" s="176">
        <f>IFERROR(__xludf.DUMMYFUNCTION("""COMPUTED_VALUE"""),2.0)</f>
        <v>2</v>
      </c>
      <c r="O392" s="243"/>
      <c r="P392" s="243"/>
      <c r="Q392" s="243"/>
      <c r="R392" s="243"/>
      <c r="S392" s="243"/>
      <c r="T392" s="243"/>
      <c r="U392" s="176"/>
      <c r="V392" s="176"/>
      <c r="W392" s="176"/>
      <c r="X392" s="176"/>
      <c r="Y392" s="176"/>
      <c r="Z392" s="176"/>
    </row>
    <row r="393">
      <c r="A393" s="226" t="s">
        <v>49</v>
      </c>
      <c r="B393" s="226" t="s">
        <v>5</v>
      </c>
      <c r="C393" s="250" t="s">
        <v>3170</v>
      </c>
      <c r="D393" s="268" t="s">
        <v>495</v>
      </c>
      <c r="E393" s="251">
        <v>44175.0</v>
      </c>
      <c r="F393" s="250" t="s">
        <v>496</v>
      </c>
      <c r="G393" s="171">
        <v>5.0</v>
      </c>
      <c r="H393" s="171">
        <v>45.0</v>
      </c>
      <c r="I393" s="171">
        <v>50.0</v>
      </c>
      <c r="J393" s="325">
        <f t="shared" si="13"/>
        <v>0.001447851861</v>
      </c>
      <c r="K393" s="326">
        <f t="shared" si="23"/>
        <v>1.090956377</v>
      </c>
      <c r="L393" s="327">
        <f t="shared" si="4"/>
        <v>2.584516638</v>
      </c>
      <c r="M393" s="321" t="str">
        <f t="shared" si="5"/>
        <v>knobsdao</v>
      </c>
      <c r="N393" s="176">
        <f>IFERROR(__xludf.DUMMYFUNCTION("""COMPUTED_VALUE"""),3.0)</f>
        <v>3</v>
      </c>
      <c r="O393" s="243"/>
      <c r="P393" s="243"/>
      <c r="Q393" s="243"/>
      <c r="R393" s="243"/>
      <c r="S393" s="243"/>
      <c r="T393" s="243"/>
      <c r="U393" s="176"/>
      <c r="V393" s="176"/>
      <c r="W393" s="176"/>
      <c r="X393" s="176"/>
      <c r="Y393" s="176"/>
      <c r="Z393" s="176"/>
    </row>
    <row r="394">
      <c r="A394" s="226" t="s">
        <v>49</v>
      </c>
      <c r="B394" s="226" t="s">
        <v>10</v>
      </c>
      <c r="C394" s="250" t="s">
        <v>3176</v>
      </c>
      <c r="D394" s="268" t="s">
        <v>495</v>
      </c>
      <c r="E394" s="251">
        <v>44176.0</v>
      </c>
      <c r="F394" s="250" t="s">
        <v>496</v>
      </c>
      <c r="G394" s="171">
        <v>2.0</v>
      </c>
      <c r="H394" s="171">
        <v>45.0</v>
      </c>
      <c r="I394" s="171">
        <v>50.0</v>
      </c>
      <c r="J394" s="325">
        <f t="shared" si="13"/>
        <v>0.001334640041</v>
      </c>
      <c r="K394" s="326">
        <f t="shared" si="23"/>
        <v>1.005651271</v>
      </c>
      <c r="L394" s="327">
        <f t="shared" si="4"/>
        <v>2.584516638</v>
      </c>
      <c r="M394" s="321" t="str">
        <f t="shared" si="5"/>
        <v>knobsdao</v>
      </c>
      <c r="N394" s="176">
        <f>IFERROR(__xludf.DUMMYFUNCTION("""COMPUTED_VALUE"""),4.0)</f>
        <v>4</v>
      </c>
      <c r="O394" s="243"/>
      <c r="P394" s="243"/>
      <c r="Q394" s="243"/>
      <c r="R394" s="243"/>
      <c r="S394" s="243"/>
      <c r="T394" s="243"/>
      <c r="U394" s="176"/>
      <c r="V394" s="176"/>
      <c r="W394" s="176"/>
      <c r="X394" s="176"/>
      <c r="Y394" s="176"/>
      <c r="Z394" s="176"/>
    </row>
    <row r="395">
      <c r="A395" s="226" t="s">
        <v>49</v>
      </c>
      <c r="B395" s="226" t="s">
        <v>5</v>
      </c>
      <c r="C395" s="250" t="s">
        <v>3177</v>
      </c>
      <c r="D395" s="268" t="s">
        <v>495</v>
      </c>
      <c r="E395" s="251">
        <v>44176.0</v>
      </c>
      <c r="F395" s="250" t="s">
        <v>496</v>
      </c>
      <c r="G395" s="171">
        <v>21.0</v>
      </c>
      <c r="H395" s="171">
        <v>45.0</v>
      </c>
      <c r="I395" s="171">
        <v>50.0</v>
      </c>
      <c r="J395" s="325">
        <f t="shared" si="13"/>
        <v>0.00205164823</v>
      </c>
      <c r="K395" s="326">
        <f t="shared" si="23"/>
        <v>1.545916941</v>
      </c>
      <c r="L395" s="327">
        <f t="shared" si="4"/>
        <v>2.584516638</v>
      </c>
      <c r="M395" s="321" t="str">
        <f t="shared" si="5"/>
        <v>knobsdao</v>
      </c>
      <c r="N395" s="176">
        <f>IFERROR(__xludf.DUMMYFUNCTION("""COMPUTED_VALUE"""),5.0)</f>
        <v>5</v>
      </c>
      <c r="O395" s="243"/>
      <c r="P395" s="243"/>
      <c r="Q395" s="243"/>
      <c r="R395" s="243"/>
      <c r="S395" s="243"/>
      <c r="T395" s="243"/>
      <c r="U395" s="176"/>
      <c r="V395" s="176"/>
      <c r="W395" s="176"/>
      <c r="X395" s="176"/>
      <c r="Y395" s="176"/>
      <c r="Z395" s="176"/>
    </row>
    <row r="396">
      <c r="A396" s="226" t="s">
        <v>49</v>
      </c>
      <c r="B396" s="226" t="s">
        <v>5</v>
      </c>
      <c r="C396" s="250" t="s">
        <v>3178</v>
      </c>
      <c r="D396" s="268" t="s">
        <v>495</v>
      </c>
      <c r="E396" s="251">
        <v>44176.0</v>
      </c>
      <c r="F396" s="250" t="s">
        <v>496</v>
      </c>
      <c r="G396" s="171">
        <v>21.0</v>
      </c>
      <c r="H396" s="171">
        <v>45.0</v>
      </c>
      <c r="I396" s="171">
        <v>50.0</v>
      </c>
      <c r="J396" s="325">
        <f t="shared" si="13"/>
        <v>0.00205164823</v>
      </c>
      <c r="K396" s="326">
        <f t="shared" si="23"/>
        <v>1.545916941</v>
      </c>
      <c r="L396" s="327">
        <f t="shared" si="4"/>
        <v>2.584516638</v>
      </c>
      <c r="M396" s="321" t="str">
        <f t="shared" si="5"/>
        <v>knobsdao</v>
      </c>
      <c r="N396" s="176">
        <f>IFERROR(__xludf.DUMMYFUNCTION("""COMPUTED_VALUE"""),6.0)</f>
        <v>6</v>
      </c>
      <c r="O396" s="243"/>
      <c r="P396" s="243"/>
      <c r="Q396" s="243"/>
      <c r="R396" s="243"/>
      <c r="S396" s="243"/>
      <c r="T396" s="243"/>
      <c r="U396" s="176"/>
      <c r="V396" s="176"/>
      <c r="W396" s="176"/>
      <c r="X396" s="176"/>
      <c r="Y396" s="176"/>
      <c r="Z396" s="176"/>
    </row>
    <row r="397">
      <c r="A397" s="226" t="s">
        <v>49</v>
      </c>
      <c r="B397" s="226" t="s">
        <v>519</v>
      </c>
      <c r="C397" s="250" t="s">
        <v>3198</v>
      </c>
      <c r="D397" s="268" t="s">
        <v>495</v>
      </c>
      <c r="E397" s="251">
        <v>44178.0</v>
      </c>
      <c r="F397" s="250" t="s">
        <v>496</v>
      </c>
      <c r="G397" s="171">
        <v>21.0</v>
      </c>
      <c r="H397" s="171">
        <v>45.0</v>
      </c>
      <c r="I397" s="171">
        <v>50.0</v>
      </c>
      <c r="J397" s="325">
        <f t="shared" si="13"/>
        <v>0.00205164823</v>
      </c>
      <c r="K397" s="326">
        <f t="shared" si="23"/>
        <v>1.545916941</v>
      </c>
      <c r="L397" s="327">
        <f t="shared" si="4"/>
        <v>2.584516638</v>
      </c>
      <c r="M397" s="321" t="str">
        <f t="shared" si="5"/>
        <v>knobsdao</v>
      </c>
      <c r="N397" s="176">
        <f>IFERROR(__xludf.DUMMYFUNCTION("""COMPUTED_VALUE"""),7.0)</f>
        <v>7</v>
      </c>
      <c r="O397" s="243"/>
      <c r="P397" s="243"/>
      <c r="Q397" s="243"/>
      <c r="R397" s="243"/>
      <c r="S397" s="243"/>
      <c r="T397" s="243"/>
      <c r="U397" s="176"/>
      <c r="V397" s="176"/>
      <c r="W397" s="176"/>
      <c r="X397" s="176"/>
      <c r="Y397" s="176"/>
      <c r="Z397" s="176"/>
    </row>
    <row r="398">
      <c r="A398" s="226" t="s">
        <v>49</v>
      </c>
      <c r="B398" s="226" t="s">
        <v>590</v>
      </c>
      <c r="C398" s="250" t="s">
        <v>3180</v>
      </c>
      <c r="D398" s="268" t="s">
        <v>495</v>
      </c>
      <c r="E398" s="251">
        <v>44180.0</v>
      </c>
      <c r="F398" s="250" t="s">
        <v>496</v>
      </c>
      <c r="G398" s="171">
        <v>5.0</v>
      </c>
      <c r="H398" s="171">
        <v>45.0</v>
      </c>
      <c r="I398" s="171">
        <v>50.0</v>
      </c>
      <c r="J398" s="325">
        <f t="shared" si="13"/>
        <v>0.001447851861</v>
      </c>
      <c r="K398" s="326">
        <f t="shared" si="23"/>
        <v>1.090956377</v>
      </c>
      <c r="L398" s="327">
        <f t="shared" si="4"/>
        <v>2.584516638</v>
      </c>
      <c r="M398" s="321" t="str">
        <f t="shared" si="5"/>
        <v>knobsdao</v>
      </c>
      <c r="N398" s="176">
        <f>IFERROR(__xludf.DUMMYFUNCTION("""COMPUTED_VALUE"""),8.0)</f>
        <v>8</v>
      </c>
      <c r="O398" s="243"/>
      <c r="P398" s="243"/>
      <c r="Q398" s="243"/>
      <c r="R398" s="243"/>
      <c r="S398" s="243"/>
      <c r="T398" s="243"/>
      <c r="U398" s="176"/>
      <c r="V398" s="176"/>
      <c r="W398" s="176"/>
      <c r="X398" s="176"/>
      <c r="Y398" s="176"/>
      <c r="Z398" s="176"/>
    </row>
    <row r="399">
      <c r="A399" s="226" t="s">
        <v>49</v>
      </c>
      <c r="B399" s="226" t="s">
        <v>18</v>
      </c>
      <c r="C399" s="250" t="s">
        <v>3181</v>
      </c>
      <c r="D399" s="268" t="s">
        <v>495</v>
      </c>
      <c r="E399" s="251">
        <v>44180.0</v>
      </c>
      <c r="F399" s="250" t="s">
        <v>496</v>
      </c>
      <c r="G399" s="171">
        <v>5.0</v>
      </c>
      <c r="H399" s="171">
        <v>45.0</v>
      </c>
      <c r="I399" s="171">
        <v>50.0</v>
      </c>
      <c r="J399" s="325">
        <f t="shared" si="13"/>
        <v>0.001447851861</v>
      </c>
      <c r="K399" s="326">
        <f t="shared" si="23"/>
        <v>1.090956377</v>
      </c>
      <c r="L399" s="327">
        <f t="shared" si="4"/>
        <v>2.584516638</v>
      </c>
      <c r="M399" s="321" t="str">
        <f t="shared" si="5"/>
        <v>knobsdao</v>
      </c>
      <c r="N399" s="176">
        <f>IFERROR(__xludf.DUMMYFUNCTION("""COMPUTED_VALUE"""),9.0)</f>
        <v>9</v>
      </c>
      <c r="O399" s="243"/>
      <c r="P399" s="243"/>
      <c r="Q399" s="243"/>
      <c r="R399" s="243"/>
      <c r="S399" s="243"/>
      <c r="T399" s="243"/>
      <c r="U399" s="176"/>
      <c r="V399" s="176"/>
      <c r="W399" s="176"/>
      <c r="X399" s="176"/>
      <c r="Y399" s="176"/>
      <c r="Z399" s="176"/>
    </row>
    <row r="400">
      <c r="A400" s="226" t="s">
        <v>49</v>
      </c>
      <c r="B400" s="226" t="s">
        <v>10</v>
      </c>
      <c r="C400" s="250" t="s">
        <v>3188</v>
      </c>
      <c r="D400" s="268" t="s">
        <v>495</v>
      </c>
      <c r="E400" s="251">
        <v>44183.0</v>
      </c>
      <c r="F400" s="250" t="s">
        <v>496</v>
      </c>
      <c r="G400" s="171">
        <v>5.0</v>
      </c>
      <c r="H400" s="171">
        <v>45.0</v>
      </c>
      <c r="I400" s="171">
        <v>50.0</v>
      </c>
      <c r="J400" s="325">
        <f t="shared" si="13"/>
        <v>0.001447851861</v>
      </c>
      <c r="K400" s="326">
        <f t="shared" si="23"/>
        <v>1.090956377</v>
      </c>
      <c r="L400" s="327">
        <f t="shared" si="4"/>
        <v>2.584516638</v>
      </c>
      <c r="M400" s="321" t="str">
        <f t="shared" si="5"/>
        <v>knobsdao</v>
      </c>
      <c r="N400" s="176">
        <f>IFERROR(__xludf.DUMMYFUNCTION("""COMPUTED_VALUE"""),10.0)</f>
        <v>10</v>
      </c>
      <c r="O400" s="243"/>
      <c r="P400" s="243"/>
      <c r="Q400" s="243"/>
      <c r="R400" s="243"/>
      <c r="S400" s="243"/>
      <c r="T400" s="243"/>
      <c r="U400" s="176"/>
      <c r="V400" s="176"/>
      <c r="W400" s="176"/>
      <c r="X400" s="176"/>
      <c r="Y400" s="176"/>
      <c r="Z400" s="176"/>
    </row>
    <row r="401">
      <c r="A401" s="226" t="s">
        <v>49</v>
      </c>
      <c r="B401" s="226" t="s">
        <v>18</v>
      </c>
      <c r="C401" s="250" t="s">
        <v>3189</v>
      </c>
      <c r="D401" s="268" t="s">
        <v>495</v>
      </c>
      <c r="E401" s="251">
        <v>44183.0</v>
      </c>
      <c r="F401" s="250" t="s">
        <v>496</v>
      </c>
      <c r="G401" s="171">
        <v>5.0</v>
      </c>
      <c r="H401" s="171">
        <v>45.0</v>
      </c>
      <c r="I401" s="171">
        <v>50.0</v>
      </c>
      <c r="J401" s="325">
        <f t="shared" si="13"/>
        <v>0.001447851861</v>
      </c>
      <c r="K401" s="326">
        <f t="shared" si="23"/>
        <v>1.090956377</v>
      </c>
      <c r="L401" s="327">
        <f t="shared" si="4"/>
        <v>2.584516638</v>
      </c>
      <c r="M401" s="321" t="str">
        <f t="shared" si="5"/>
        <v>knobsdao</v>
      </c>
      <c r="N401" s="176">
        <f>IFERROR(__xludf.DUMMYFUNCTION("""COMPUTED_VALUE"""),11.0)</f>
        <v>11</v>
      </c>
      <c r="O401" s="243"/>
      <c r="P401" s="243"/>
      <c r="Q401" s="243"/>
      <c r="R401" s="243"/>
      <c r="S401" s="243"/>
      <c r="T401" s="243"/>
      <c r="U401" s="176"/>
      <c r="V401" s="176"/>
      <c r="W401" s="176"/>
      <c r="X401" s="176"/>
      <c r="Y401" s="176"/>
      <c r="Z401" s="176"/>
    </row>
    <row r="402">
      <c r="A402" s="240" t="s">
        <v>49</v>
      </c>
      <c r="B402" s="240" t="s">
        <v>534</v>
      </c>
      <c r="C402" s="221" t="s">
        <v>684</v>
      </c>
      <c r="D402" s="336"/>
      <c r="E402" s="255"/>
      <c r="F402" s="254"/>
      <c r="G402" s="222"/>
      <c r="H402" s="222"/>
      <c r="I402" s="222"/>
      <c r="J402" s="325">
        <f t="shared" si="13"/>
        <v>0</v>
      </c>
      <c r="K402" s="337">
        <f>17.233*-0.85</f>
        <v>-14.64805</v>
      </c>
      <c r="L402" s="327">
        <f t="shared" si="4"/>
        <v>2.584516638</v>
      </c>
      <c r="M402" s="321" t="str">
        <f t="shared" si="5"/>
        <v>knobsdao</v>
      </c>
      <c r="N402" s="209">
        <f>IFERROR(__xludf.DUMMYFUNCTION("""COMPUTED_VALUE"""),12.0)</f>
        <v>12</v>
      </c>
      <c r="O402" s="209"/>
      <c r="P402" s="209"/>
      <c r="Q402" s="209"/>
      <c r="R402" s="209">
        <v>15.224018051145396</v>
      </c>
      <c r="S402" s="209"/>
      <c r="T402" s="209"/>
      <c r="U402" s="209"/>
      <c r="V402" s="209"/>
      <c r="W402" s="209"/>
      <c r="X402" s="209"/>
      <c r="Y402" s="176"/>
      <c r="Z402" s="176"/>
    </row>
    <row r="403">
      <c r="A403" s="226" t="s">
        <v>144</v>
      </c>
      <c r="B403" s="226" t="s">
        <v>590</v>
      </c>
      <c r="C403" s="250" t="s">
        <v>3308</v>
      </c>
      <c r="D403" s="268" t="s">
        <v>495</v>
      </c>
      <c r="E403" s="361">
        <v>44172.0</v>
      </c>
      <c r="F403" s="250" t="s">
        <v>499</v>
      </c>
      <c r="G403" s="171">
        <v>21.0</v>
      </c>
      <c r="H403" s="171">
        <v>80.0</v>
      </c>
      <c r="I403" s="171">
        <v>100.0</v>
      </c>
      <c r="J403" s="325">
        <f t="shared" si="13"/>
        <v>0.003191249418</v>
      </c>
      <c r="K403" s="326">
        <f t="shared" ref="K403:K411" si="24">J403*$J$1</f>
        <v>2.404606436</v>
      </c>
      <c r="L403" s="327">
        <f t="shared" si="4"/>
        <v>2.404606436</v>
      </c>
      <c r="M403" s="321" t="str">
        <f t="shared" si="5"/>
        <v>cpt_grog</v>
      </c>
      <c r="N403" s="176">
        <f>IFERROR(__xludf.DUMMYFUNCTION("""COMPUTED_VALUE"""),1.0)</f>
        <v>1</v>
      </c>
      <c r="O403" s="243"/>
      <c r="P403" s="243"/>
      <c r="Q403" s="243"/>
      <c r="R403" s="243"/>
      <c r="S403" s="243"/>
      <c r="T403" s="243"/>
      <c r="U403" s="176"/>
      <c r="V403" s="176"/>
      <c r="W403" s="176"/>
      <c r="X403" s="176"/>
      <c r="Y403" s="176"/>
      <c r="Z403" s="176"/>
    </row>
    <row r="404">
      <c r="A404" s="226" t="s">
        <v>170</v>
      </c>
      <c r="B404" s="226" t="s">
        <v>590</v>
      </c>
      <c r="C404" s="250" t="s">
        <v>3308</v>
      </c>
      <c r="D404" s="268" t="s">
        <v>495</v>
      </c>
      <c r="E404" s="361">
        <v>44172.0</v>
      </c>
      <c r="F404" s="250" t="s">
        <v>499</v>
      </c>
      <c r="G404" s="171">
        <v>21.0</v>
      </c>
      <c r="H404" s="171">
        <v>80.0</v>
      </c>
      <c r="I404" s="171">
        <v>100.0</v>
      </c>
      <c r="J404" s="325">
        <f t="shared" si="13"/>
        <v>0.003191249418</v>
      </c>
      <c r="K404" s="326">
        <f t="shared" si="24"/>
        <v>2.404606436</v>
      </c>
      <c r="L404" s="327">
        <f t="shared" si="4"/>
        <v>2.404606436</v>
      </c>
      <c r="M404" s="321" t="str">
        <f t="shared" si="5"/>
        <v>willruddick</v>
      </c>
      <c r="N404" s="176">
        <f>IFERROR(__xludf.DUMMYFUNCTION("""COMPUTED_VALUE"""),1.0)</f>
        <v>1</v>
      </c>
      <c r="O404" s="243"/>
      <c r="P404" s="243"/>
      <c r="Q404" s="243"/>
      <c r="R404" s="243"/>
      <c r="S404" s="243"/>
      <c r="T404" s="243"/>
      <c r="U404" s="176"/>
      <c r="V404" s="176"/>
      <c r="W404" s="176"/>
      <c r="X404" s="176"/>
      <c r="Y404" s="176"/>
      <c r="Z404" s="176"/>
    </row>
    <row r="405">
      <c r="A405" s="226" t="s">
        <v>79</v>
      </c>
      <c r="B405" s="226" t="s">
        <v>18</v>
      </c>
      <c r="C405" s="250" t="s">
        <v>3168</v>
      </c>
      <c r="D405" s="268" t="s">
        <v>495</v>
      </c>
      <c r="E405" s="361">
        <v>44174.0</v>
      </c>
      <c r="F405" s="250" t="s">
        <v>496</v>
      </c>
      <c r="G405" s="171">
        <v>5.0</v>
      </c>
      <c r="H405" s="171">
        <v>60.0</v>
      </c>
      <c r="I405" s="171">
        <v>50.0</v>
      </c>
      <c r="J405" s="325">
        <f t="shared" si="13"/>
        <v>0.001627198322</v>
      </c>
      <c r="K405" s="326">
        <f t="shared" si="24"/>
        <v>1.226093936</v>
      </c>
      <c r="L405" s="327">
        <f t="shared" si="4"/>
        <v>2.317050313</v>
      </c>
      <c r="M405" s="321" t="str">
        <f t="shared" si="5"/>
        <v>burrrata</v>
      </c>
      <c r="N405" s="176">
        <f>IFERROR(__xludf.DUMMYFUNCTION("""COMPUTED_VALUE"""),1.0)</f>
        <v>1</v>
      </c>
      <c r="O405" s="243"/>
      <c r="P405" s="243"/>
      <c r="Q405" s="243"/>
      <c r="R405" s="243"/>
      <c r="S405" s="243"/>
      <c r="T405" s="243"/>
      <c r="U405" s="176"/>
      <c r="V405" s="176"/>
      <c r="W405" s="176"/>
      <c r="X405" s="176"/>
      <c r="Y405" s="176"/>
      <c r="Z405" s="176"/>
    </row>
    <row r="406">
      <c r="A406" s="226" t="s">
        <v>79</v>
      </c>
      <c r="B406" s="226" t="s">
        <v>18</v>
      </c>
      <c r="C406" s="250" t="s">
        <v>3181</v>
      </c>
      <c r="D406" s="268" t="s">
        <v>495</v>
      </c>
      <c r="E406" s="251">
        <v>44180.0</v>
      </c>
      <c r="F406" s="250" t="s">
        <v>496</v>
      </c>
      <c r="G406" s="171">
        <v>5.0</v>
      </c>
      <c r="H406" s="171">
        <v>45.0</v>
      </c>
      <c r="I406" s="171">
        <v>50.0</v>
      </c>
      <c r="J406" s="325">
        <f t="shared" si="13"/>
        <v>0.001447851861</v>
      </c>
      <c r="K406" s="326">
        <f t="shared" si="24"/>
        <v>1.090956377</v>
      </c>
      <c r="L406" s="327">
        <f t="shared" si="4"/>
        <v>2.317050313</v>
      </c>
      <c r="M406" s="321" t="str">
        <f t="shared" si="5"/>
        <v>burrrata</v>
      </c>
      <c r="N406" s="176">
        <f>IFERROR(__xludf.DUMMYFUNCTION("""COMPUTED_VALUE"""),2.0)</f>
        <v>2</v>
      </c>
      <c r="O406" s="243"/>
      <c r="P406" s="243"/>
      <c r="Q406" s="243"/>
      <c r="R406" s="243"/>
      <c r="S406" s="243"/>
      <c r="T406" s="243"/>
      <c r="U406" s="176"/>
      <c r="V406" s="176"/>
      <c r="W406" s="176"/>
      <c r="X406" s="176"/>
      <c r="Y406" s="176"/>
      <c r="Z406" s="176"/>
    </row>
    <row r="407">
      <c r="A407" s="226" t="s">
        <v>77</v>
      </c>
      <c r="B407" s="226" t="s">
        <v>590</v>
      </c>
      <c r="C407" s="250" t="s">
        <v>3309</v>
      </c>
      <c r="D407" s="268" t="s">
        <v>495</v>
      </c>
      <c r="E407" s="361">
        <v>44170.0</v>
      </c>
      <c r="F407" s="250" t="s">
        <v>499</v>
      </c>
      <c r="G407" s="171">
        <v>3.0</v>
      </c>
      <c r="H407" s="171">
        <v>40.0</v>
      </c>
      <c r="I407" s="171">
        <v>50.0</v>
      </c>
      <c r="J407" s="325">
        <f t="shared" si="13"/>
        <v>0.00131259516</v>
      </c>
      <c r="K407" s="326">
        <f t="shared" si="24"/>
        <v>0.9890404534</v>
      </c>
      <c r="L407" s="327">
        <f t="shared" si="4"/>
        <v>2.251166715</v>
      </c>
      <c r="M407" s="321" t="str">
        <f t="shared" si="5"/>
        <v>krrisis</v>
      </c>
      <c r="N407" s="176">
        <f>IFERROR(__xludf.DUMMYFUNCTION("""COMPUTED_VALUE"""),1.0)</f>
        <v>1</v>
      </c>
      <c r="O407" s="243"/>
      <c r="P407" s="243"/>
      <c r="Q407" s="243"/>
      <c r="R407" s="243"/>
      <c r="S407" s="243"/>
      <c r="T407" s="243"/>
      <c r="U407" s="176"/>
      <c r="V407" s="176"/>
      <c r="W407" s="176"/>
      <c r="X407" s="176"/>
      <c r="Y407" s="176"/>
      <c r="Z407" s="176"/>
    </row>
    <row r="408">
      <c r="A408" s="226" t="s">
        <v>77</v>
      </c>
      <c r="B408" s="226" t="s">
        <v>10</v>
      </c>
      <c r="C408" s="250" t="s">
        <v>3239</v>
      </c>
      <c r="D408" s="268" t="s">
        <v>495</v>
      </c>
      <c r="E408" s="361">
        <v>44173.0</v>
      </c>
      <c r="F408" s="250" t="s">
        <v>499</v>
      </c>
      <c r="G408" s="171">
        <v>4.0</v>
      </c>
      <c r="H408" s="171">
        <v>5.0</v>
      </c>
      <c r="I408" s="171">
        <v>10.0</v>
      </c>
      <c r="J408" s="325">
        <f t="shared" si="13"/>
        <v>0.0003549564684</v>
      </c>
      <c r="K408" s="326">
        <f t="shared" si="24"/>
        <v>0.2674596989</v>
      </c>
      <c r="L408" s="327">
        <f t="shared" si="4"/>
        <v>2.251166715</v>
      </c>
      <c r="M408" s="321" t="str">
        <f t="shared" si="5"/>
        <v>krrisis</v>
      </c>
      <c r="N408" s="176">
        <f>IFERROR(__xludf.DUMMYFUNCTION("""COMPUTED_VALUE"""),2.0)</f>
        <v>2</v>
      </c>
      <c r="O408" s="243"/>
      <c r="P408" s="243"/>
      <c r="Q408" s="243"/>
      <c r="R408" s="243"/>
      <c r="S408" s="243"/>
      <c r="T408" s="243"/>
      <c r="U408" s="176"/>
      <c r="V408" s="176"/>
      <c r="W408" s="176"/>
      <c r="X408" s="176"/>
      <c r="Y408" s="176"/>
      <c r="Z408" s="176"/>
    </row>
    <row r="409">
      <c r="A409" s="226" t="s">
        <v>77</v>
      </c>
      <c r="B409" s="226" t="s">
        <v>590</v>
      </c>
      <c r="C409" s="250" t="s">
        <v>3310</v>
      </c>
      <c r="D409" s="268" t="s">
        <v>495</v>
      </c>
      <c r="E409" s="361">
        <v>44173.0</v>
      </c>
      <c r="F409" s="250" t="s">
        <v>496</v>
      </c>
      <c r="G409" s="171">
        <v>21.0</v>
      </c>
      <c r="H409" s="171">
        <v>20.0</v>
      </c>
      <c r="I409" s="171">
        <v>20.0</v>
      </c>
      <c r="J409" s="325">
        <f t="shared" si="13"/>
        <v>0.001320061795</v>
      </c>
      <c r="K409" s="326">
        <f t="shared" si="24"/>
        <v>0.9946665623</v>
      </c>
      <c r="L409" s="327">
        <f t="shared" si="4"/>
        <v>2.251166715</v>
      </c>
      <c r="M409" s="321" t="str">
        <f t="shared" si="5"/>
        <v>krrisis</v>
      </c>
      <c r="N409" s="176">
        <f>IFERROR(__xludf.DUMMYFUNCTION("""COMPUTED_VALUE"""),3.0)</f>
        <v>3</v>
      </c>
      <c r="O409" s="243"/>
      <c r="P409" s="243"/>
      <c r="Q409" s="243"/>
      <c r="R409" s="243"/>
      <c r="S409" s="243"/>
      <c r="T409" s="243"/>
      <c r="U409" s="176"/>
      <c r="V409" s="176"/>
      <c r="W409" s="176"/>
      <c r="X409" s="176"/>
      <c r="Y409" s="176"/>
      <c r="Z409" s="176"/>
    </row>
    <row r="410">
      <c r="A410" s="226" t="s">
        <v>55</v>
      </c>
      <c r="B410" s="226" t="s">
        <v>18</v>
      </c>
      <c r="C410" s="250" t="s">
        <v>3168</v>
      </c>
      <c r="D410" s="268" t="s">
        <v>495</v>
      </c>
      <c r="E410" s="361">
        <v>44174.0</v>
      </c>
      <c r="F410" s="250" t="s">
        <v>496</v>
      </c>
      <c r="G410" s="171">
        <v>5.0</v>
      </c>
      <c r="H410" s="171">
        <v>45.0</v>
      </c>
      <c r="I410" s="171">
        <v>50.0</v>
      </c>
      <c r="J410" s="325">
        <f t="shared" si="13"/>
        <v>0.001447851861</v>
      </c>
      <c r="K410" s="326">
        <f t="shared" si="24"/>
        <v>1.090956377</v>
      </c>
      <c r="L410" s="327">
        <f t="shared" si="4"/>
        <v>2.181912754</v>
      </c>
      <c r="M410" s="321" t="str">
        <f t="shared" si="5"/>
        <v>atacas</v>
      </c>
      <c r="N410" s="176">
        <f>IFERROR(__xludf.DUMMYFUNCTION("""COMPUTED_VALUE"""),1.0)</f>
        <v>1</v>
      </c>
      <c r="O410" s="243"/>
      <c r="P410" s="243"/>
      <c r="Q410" s="243"/>
      <c r="R410" s="243"/>
      <c r="S410" s="243"/>
      <c r="T410" s="243"/>
      <c r="U410" s="176"/>
      <c r="V410" s="176"/>
      <c r="W410" s="176"/>
      <c r="X410" s="176"/>
      <c r="Y410" s="176"/>
      <c r="Z410" s="176"/>
    </row>
    <row r="411">
      <c r="A411" s="226" t="s">
        <v>55</v>
      </c>
      <c r="B411" s="226" t="s">
        <v>18</v>
      </c>
      <c r="C411" s="250" t="s">
        <v>3169</v>
      </c>
      <c r="D411" s="268" t="s">
        <v>495</v>
      </c>
      <c r="E411" s="361">
        <v>44174.0</v>
      </c>
      <c r="F411" s="250" t="s">
        <v>496</v>
      </c>
      <c r="G411" s="171">
        <v>5.0</v>
      </c>
      <c r="H411" s="171">
        <v>45.0</v>
      </c>
      <c r="I411" s="171">
        <v>50.0</v>
      </c>
      <c r="J411" s="325">
        <f t="shared" si="13"/>
        <v>0.001447851861</v>
      </c>
      <c r="K411" s="326">
        <f t="shared" si="24"/>
        <v>1.090956377</v>
      </c>
      <c r="L411" s="327">
        <f t="shared" si="4"/>
        <v>2.181912754</v>
      </c>
      <c r="M411" s="321" t="str">
        <f t="shared" si="5"/>
        <v>atacas</v>
      </c>
      <c r="N411" s="176">
        <f>IFERROR(__xludf.DUMMYFUNCTION("""COMPUTED_VALUE"""),2.0)</f>
        <v>2</v>
      </c>
      <c r="O411" s="243"/>
      <c r="P411" s="243"/>
      <c r="Q411" s="243"/>
      <c r="R411" s="243"/>
      <c r="S411" s="243"/>
      <c r="T411" s="243"/>
      <c r="U411" s="176"/>
      <c r="V411" s="176"/>
      <c r="W411" s="176"/>
      <c r="X411" s="176"/>
      <c r="Y411" s="176"/>
      <c r="Z411" s="176"/>
    </row>
    <row r="412">
      <c r="A412" s="240" t="s">
        <v>55</v>
      </c>
      <c r="B412" s="240" t="s">
        <v>534</v>
      </c>
      <c r="C412" s="221" t="s">
        <v>688</v>
      </c>
      <c r="D412" s="336"/>
      <c r="E412" s="255"/>
      <c r="F412" s="254"/>
      <c r="G412" s="209"/>
      <c r="H412" s="222"/>
      <c r="I412" s="222"/>
      <c r="J412" s="325">
        <f t="shared" si="13"/>
        <v>0</v>
      </c>
      <c r="K412" s="337"/>
      <c r="L412" s="327">
        <f t="shared" si="4"/>
        <v>2.181912754</v>
      </c>
      <c r="M412" s="321" t="str">
        <f t="shared" si="5"/>
        <v>atacas</v>
      </c>
      <c r="N412" s="209">
        <f>IFERROR(__xludf.DUMMYFUNCTION("""COMPUTED_VALUE"""),3.0)</f>
        <v>3</v>
      </c>
      <c r="O412" s="176"/>
      <c r="P412" s="176"/>
      <c r="Q412" s="176"/>
      <c r="R412" s="176">
        <v>6.463920504925881</v>
      </c>
      <c r="S412" s="176"/>
      <c r="T412" s="176"/>
      <c r="U412" s="176"/>
      <c r="V412" s="176"/>
      <c r="W412" s="176"/>
      <c r="X412" s="176"/>
      <c r="Y412" s="176"/>
      <c r="Z412" s="176"/>
    </row>
    <row r="413">
      <c r="A413" s="226" t="s">
        <v>196</v>
      </c>
      <c r="B413" s="226" t="s">
        <v>519</v>
      </c>
      <c r="C413" s="250" t="s">
        <v>3311</v>
      </c>
      <c r="D413" s="268" t="s">
        <v>495</v>
      </c>
      <c r="E413" s="361">
        <v>44170.0</v>
      </c>
      <c r="F413" s="250" t="s">
        <v>499</v>
      </c>
      <c r="G413" s="171">
        <v>3.0</v>
      </c>
      <c r="H413" s="171">
        <v>100.0</v>
      </c>
      <c r="I413" s="171">
        <v>100.0</v>
      </c>
      <c r="J413" s="325">
        <f t="shared" si="13"/>
        <v>0.002751107117</v>
      </c>
      <c r="K413" s="326">
        <f t="shared" ref="K413:K424" si="25">J413*$J$1</f>
        <v>2.072959213</v>
      </c>
      <c r="L413" s="327">
        <f t="shared" si="4"/>
        <v>2.072959213</v>
      </c>
      <c r="M413" s="321" t="str">
        <f t="shared" si="5"/>
        <v>staccop2p</v>
      </c>
      <c r="N413" s="176">
        <f>IFERROR(__xludf.DUMMYFUNCTION("""COMPUTED_VALUE"""),1.0)</f>
        <v>1</v>
      </c>
      <c r="O413" s="243"/>
      <c r="P413" s="243"/>
      <c r="Q413" s="243"/>
      <c r="R413" s="243"/>
      <c r="S413" s="243"/>
      <c r="T413" s="243"/>
      <c r="U413" s="176"/>
      <c r="V413" s="176"/>
      <c r="W413" s="176"/>
      <c r="X413" s="176"/>
      <c r="Y413" s="176"/>
      <c r="Z413" s="176"/>
    </row>
    <row r="414">
      <c r="A414" s="226" t="s">
        <v>54</v>
      </c>
      <c r="B414" s="226" t="s">
        <v>590</v>
      </c>
      <c r="C414" s="250" t="s">
        <v>3275</v>
      </c>
      <c r="D414" s="268" t="s">
        <v>495</v>
      </c>
      <c r="E414" s="361">
        <v>44172.0</v>
      </c>
      <c r="F414" s="250" t="s">
        <v>499</v>
      </c>
      <c r="G414" s="171">
        <v>21.0</v>
      </c>
      <c r="H414" s="171">
        <v>60.0</v>
      </c>
      <c r="I414" s="171">
        <v>50.0</v>
      </c>
      <c r="J414" s="325">
        <f t="shared" si="13"/>
        <v>0.002230994692</v>
      </c>
      <c r="K414" s="326">
        <f t="shared" si="25"/>
        <v>1.6810545</v>
      </c>
      <c r="L414" s="327">
        <f t="shared" si="4"/>
        <v>1.948514199</v>
      </c>
      <c r="M414" s="321" t="str">
        <f t="shared" si="5"/>
        <v>hbesso31</v>
      </c>
      <c r="N414" s="176">
        <f>IFERROR(__xludf.DUMMYFUNCTION("""COMPUTED_VALUE"""),1.0)</f>
        <v>1</v>
      </c>
      <c r="O414" s="243"/>
      <c r="P414" s="243"/>
      <c r="Q414" s="243"/>
      <c r="R414" s="243"/>
      <c r="S414" s="243"/>
      <c r="T414" s="243"/>
      <c r="U414" s="176"/>
      <c r="V414" s="176"/>
      <c r="W414" s="176"/>
      <c r="X414" s="176"/>
      <c r="Y414" s="176"/>
      <c r="Z414" s="176"/>
    </row>
    <row r="415">
      <c r="A415" s="226" t="s">
        <v>54</v>
      </c>
      <c r="B415" s="226" t="s">
        <v>10</v>
      </c>
      <c r="C415" s="250" t="s">
        <v>3239</v>
      </c>
      <c r="D415" s="268" t="s">
        <v>495</v>
      </c>
      <c r="E415" s="361">
        <v>44173.0</v>
      </c>
      <c r="F415" s="250" t="s">
        <v>499</v>
      </c>
      <c r="G415" s="171">
        <v>4.0</v>
      </c>
      <c r="H415" s="171">
        <v>5.0</v>
      </c>
      <c r="I415" s="171">
        <v>10.0</v>
      </c>
      <c r="J415" s="325">
        <f t="shared" si="13"/>
        <v>0.0003549564684</v>
      </c>
      <c r="K415" s="326">
        <f t="shared" si="25"/>
        <v>0.2674596989</v>
      </c>
      <c r="L415" s="327">
        <f t="shared" si="4"/>
        <v>1.948514199</v>
      </c>
      <c r="M415" s="321" t="str">
        <f t="shared" si="5"/>
        <v>hbesso31</v>
      </c>
      <c r="N415" s="176">
        <f>IFERROR(__xludf.DUMMYFUNCTION("""COMPUTED_VALUE"""),2.0)</f>
        <v>2</v>
      </c>
      <c r="O415" s="243"/>
      <c r="P415" s="243"/>
      <c r="Q415" s="243"/>
      <c r="R415" s="243"/>
      <c r="S415" s="243"/>
      <c r="T415" s="243"/>
      <c r="U415" s="176"/>
      <c r="V415" s="176"/>
      <c r="W415" s="176"/>
      <c r="X415" s="176"/>
      <c r="Y415" s="176"/>
      <c r="Z415" s="176"/>
    </row>
    <row r="416">
      <c r="A416" s="226" t="s">
        <v>59</v>
      </c>
      <c r="B416" s="226" t="s">
        <v>590</v>
      </c>
      <c r="C416" s="250" t="s">
        <v>3166</v>
      </c>
      <c r="D416" s="268" t="s">
        <v>495</v>
      </c>
      <c r="E416" s="361">
        <v>44173.0</v>
      </c>
      <c r="F416" s="250" t="s">
        <v>496</v>
      </c>
      <c r="G416" s="171">
        <v>21.0</v>
      </c>
      <c r="H416" s="171">
        <v>45.0</v>
      </c>
      <c r="I416" s="171">
        <v>50.0</v>
      </c>
      <c r="J416" s="325">
        <f t="shared" si="13"/>
        <v>0.00205164823</v>
      </c>
      <c r="K416" s="326">
        <f t="shared" si="25"/>
        <v>1.545916941</v>
      </c>
      <c r="L416" s="327">
        <f t="shared" si="4"/>
        <v>1.900784939</v>
      </c>
      <c r="M416" s="321" t="str">
        <f t="shared" si="5"/>
        <v>krisjones</v>
      </c>
      <c r="N416" s="176">
        <f>IFERROR(__xludf.DUMMYFUNCTION("""COMPUTED_VALUE"""),1.0)</f>
        <v>1</v>
      </c>
      <c r="O416" s="243"/>
      <c r="P416" s="243"/>
      <c r="Q416" s="243"/>
      <c r="R416" s="243"/>
      <c r="S416" s="243"/>
      <c r="T416" s="243"/>
      <c r="U416" s="176"/>
      <c r="V416" s="176"/>
      <c r="W416" s="176"/>
      <c r="X416" s="176"/>
      <c r="Y416" s="176"/>
      <c r="Z416" s="176"/>
    </row>
    <row r="417">
      <c r="A417" s="226" t="s">
        <v>59</v>
      </c>
      <c r="B417" s="226" t="s">
        <v>519</v>
      </c>
      <c r="C417" s="250" t="s">
        <v>3167</v>
      </c>
      <c r="D417" s="268" t="s">
        <v>495</v>
      </c>
      <c r="E417" s="361">
        <v>44174.0</v>
      </c>
      <c r="F417" s="250" t="s">
        <v>499</v>
      </c>
      <c r="G417" s="171">
        <v>5.0</v>
      </c>
      <c r="H417" s="171">
        <v>50.0</v>
      </c>
      <c r="I417" s="171">
        <v>50.0</v>
      </c>
      <c r="J417" s="325">
        <f t="shared" si="13"/>
        <v>0.001507634014</v>
      </c>
      <c r="K417" s="326">
        <f t="shared" si="25"/>
        <v>1.13600223</v>
      </c>
      <c r="L417" s="327">
        <f t="shared" si="4"/>
        <v>1.900784939</v>
      </c>
      <c r="M417" s="321" t="str">
        <f t="shared" si="5"/>
        <v>krisjones</v>
      </c>
      <c r="N417" s="176">
        <f>IFERROR(__xludf.DUMMYFUNCTION("""COMPUTED_VALUE"""),2.0)</f>
        <v>2</v>
      </c>
      <c r="O417" s="243"/>
      <c r="P417" s="243"/>
      <c r="Q417" s="243"/>
      <c r="R417" s="243"/>
      <c r="S417" s="243"/>
      <c r="T417" s="243"/>
      <c r="U417" s="176"/>
      <c r="V417" s="176"/>
      <c r="W417" s="176"/>
      <c r="X417" s="176"/>
      <c r="Y417" s="176"/>
      <c r="Z417" s="176"/>
    </row>
    <row r="418">
      <c r="A418" s="226" t="s">
        <v>59</v>
      </c>
      <c r="B418" s="226" t="s">
        <v>10</v>
      </c>
      <c r="C418" s="250" t="s">
        <v>3176</v>
      </c>
      <c r="D418" s="268" t="s">
        <v>495</v>
      </c>
      <c r="E418" s="251">
        <v>44176.0</v>
      </c>
      <c r="F418" s="250" t="s">
        <v>496</v>
      </c>
      <c r="G418" s="171">
        <v>2.0</v>
      </c>
      <c r="H418" s="171">
        <v>45.0</v>
      </c>
      <c r="I418" s="171">
        <v>50.0</v>
      </c>
      <c r="J418" s="325">
        <f t="shared" si="13"/>
        <v>0.001334640041</v>
      </c>
      <c r="K418" s="326">
        <f t="shared" si="25"/>
        <v>1.005651271</v>
      </c>
      <c r="L418" s="327">
        <f t="shared" si="4"/>
        <v>1.900784939</v>
      </c>
      <c r="M418" s="321" t="str">
        <f t="shared" si="5"/>
        <v>krisjones</v>
      </c>
      <c r="N418" s="176">
        <f>IFERROR(__xludf.DUMMYFUNCTION("""COMPUTED_VALUE"""),3.0)</f>
        <v>3</v>
      </c>
      <c r="O418" s="243"/>
      <c r="P418" s="243"/>
      <c r="Q418" s="243"/>
      <c r="R418" s="243"/>
      <c r="S418" s="243"/>
      <c r="T418" s="243"/>
      <c r="U418" s="176"/>
      <c r="V418" s="176"/>
      <c r="W418" s="176"/>
      <c r="X418" s="176"/>
      <c r="Y418" s="176"/>
      <c r="Z418" s="176"/>
    </row>
    <row r="419">
      <c r="A419" s="226" t="s">
        <v>59</v>
      </c>
      <c r="B419" s="226" t="s">
        <v>5</v>
      </c>
      <c r="C419" s="250" t="s">
        <v>3178</v>
      </c>
      <c r="D419" s="268" t="s">
        <v>495</v>
      </c>
      <c r="E419" s="251">
        <v>44176.0</v>
      </c>
      <c r="F419" s="250" t="s">
        <v>496</v>
      </c>
      <c r="G419" s="171">
        <v>21.0</v>
      </c>
      <c r="H419" s="171">
        <v>45.0</v>
      </c>
      <c r="I419" s="171">
        <v>50.0</v>
      </c>
      <c r="J419" s="325">
        <f t="shared" si="13"/>
        <v>0.00205164823</v>
      </c>
      <c r="K419" s="326">
        <f t="shared" si="25"/>
        <v>1.545916941</v>
      </c>
      <c r="L419" s="327">
        <f t="shared" si="4"/>
        <v>1.900784939</v>
      </c>
      <c r="M419" s="321" t="str">
        <f t="shared" si="5"/>
        <v>krisjones</v>
      </c>
      <c r="N419" s="176">
        <f>IFERROR(__xludf.DUMMYFUNCTION("""COMPUTED_VALUE"""),4.0)</f>
        <v>4</v>
      </c>
      <c r="O419" s="243"/>
      <c r="P419" s="243"/>
      <c r="Q419" s="243"/>
      <c r="R419" s="243"/>
      <c r="S419" s="243"/>
      <c r="T419" s="243"/>
      <c r="U419" s="176"/>
      <c r="V419" s="176"/>
      <c r="W419" s="176"/>
      <c r="X419" s="176"/>
      <c r="Y419" s="176"/>
      <c r="Z419" s="176"/>
    </row>
    <row r="420">
      <c r="A420" s="226" t="s">
        <v>59</v>
      </c>
      <c r="B420" s="226" t="s">
        <v>519</v>
      </c>
      <c r="C420" s="250" t="s">
        <v>3258</v>
      </c>
      <c r="D420" s="268" t="s">
        <v>495</v>
      </c>
      <c r="E420" s="251">
        <v>44178.0</v>
      </c>
      <c r="F420" s="250" t="s">
        <v>496</v>
      </c>
      <c r="G420" s="171">
        <v>21.0</v>
      </c>
      <c r="H420" s="171">
        <v>50.0</v>
      </c>
      <c r="I420" s="171">
        <v>50.0</v>
      </c>
      <c r="J420" s="325">
        <f t="shared" si="13"/>
        <v>0.002111430384</v>
      </c>
      <c r="K420" s="326">
        <f t="shared" si="25"/>
        <v>1.590962794</v>
      </c>
      <c r="L420" s="327">
        <f t="shared" si="4"/>
        <v>1.900784939</v>
      </c>
      <c r="M420" s="321" t="str">
        <f t="shared" si="5"/>
        <v>krisjones</v>
      </c>
      <c r="N420" s="176">
        <f>IFERROR(__xludf.DUMMYFUNCTION("""COMPUTED_VALUE"""),5.0)</f>
        <v>5</v>
      </c>
      <c r="O420" s="243"/>
      <c r="P420" s="243"/>
      <c r="Q420" s="243"/>
      <c r="R420" s="243"/>
      <c r="S420" s="243"/>
      <c r="T420" s="243"/>
      <c r="U420" s="176"/>
      <c r="V420" s="176"/>
      <c r="W420" s="176"/>
      <c r="X420" s="176"/>
      <c r="Y420" s="176"/>
      <c r="Z420" s="176"/>
    </row>
    <row r="421">
      <c r="A421" s="226" t="s">
        <v>59</v>
      </c>
      <c r="B421" s="226" t="s">
        <v>590</v>
      </c>
      <c r="C421" s="250" t="s">
        <v>3180</v>
      </c>
      <c r="D421" s="268" t="s">
        <v>495</v>
      </c>
      <c r="E421" s="251">
        <v>44180.0</v>
      </c>
      <c r="F421" s="250" t="s">
        <v>496</v>
      </c>
      <c r="G421" s="171">
        <v>5.0</v>
      </c>
      <c r="H421" s="171">
        <v>45.0</v>
      </c>
      <c r="I421" s="171">
        <v>50.0</v>
      </c>
      <c r="J421" s="325">
        <f t="shared" si="13"/>
        <v>0.001447851861</v>
      </c>
      <c r="K421" s="326">
        <f t="shared" si="25"/>
        <v>1.090956377</v>
      </c>
      <c r="L421" s="327">
        <f t="shared" si="4"/>
        <v>1.900784939</v>
      </c>
      <c r="M421" s="321" t="str">
        <f t="shared" si="5"/>
        <v>krisjones</v>
      </c>
      <c r="N421" s="176">
        <f>IFERROR(__xludf.DUMMYFUNCTION("""COMPUTED_VALUE"""),6.0)</f>
        <v>6</v>
      </c>
      <c r="O421" s="243"/>
      <c r="P421" s="243"/>
      <c r="Q421" s="243"/>
      <c r="R421" s="243"/>
      <c r="S421" s="243"/>
      <c r="T421" s="243"/>
      <c r="U421" s="176"/>
      <c r="V421" s="176"/>
      <c r="W421" s="176"/>
      <c r="X421" s="176"/>
      <c r="Y421" s="176"/>
      <c r="Z421" s="176"/>
    </row>
    <row r="422">
      <c r="A422" s="226" t="s">
        <v>59</v>
      </c>
      <c r="B422" s="226" t="s">
        <v>590</v>
      </c>
      <c r="C422" s="250" t="s">
        <v>3312</v>
      </c>
      <c r="D422" s="268" t="s">
        <v>495</v>
      </c>
      <c r="E422" s="251">
        <v>44181.0</v>
      </c>
      <c r="F422" s="250" t="s">
        <v>496</v>
      </c>
      <c r="G422" s="171">
        <v>3.0</v>
      </c>
      <c r="H422" s="171">
        <v>10.0</v>
      </c>
      <c r="I422" s="171">
        <v>50.0</v>
      </c>
      <c r="J422" s="325">
        <f t="shared" si="13"/>
        <v>0.0009539022375</v>
      </c>
      <c r="K422" s="326">
        <f t="shared" si="25"/>
        <v>0.718765336</v>
      </c>
      <c r="L422" s="327">
        <f t="shared" si="4"/>
        <v>1.900784939</v>
      </c>
      <c r="M422" s="321" t="str">
        <f t="shared" si="5"/>
        <v>krisjones</v>
      </c>
      <c r="N422" s="176">
        <f>IFERROR(__xludf.DUMMYFUNCTION("""COMPUTED_VALUE"""),7.0)</f>
        <v>7</v>
      </c>
      <c r="O422" s="243"/>
      <c r="P422" s="243"/>
      <c r="Q422" s="243"/>
      <c r="R422" s="243"/>
      <c r="S422" s="243"/>
      <c r="T422" s="243"/>
      <c r="U422" s="176"/>
      <c r="V422" s="176"/>
      <c r="W422" s="176"/>
      <c r="X422" s="176"/>
      <c r="Y422" s="176"/>
      <c r="Z422" s="176"/>
    </row>
    <row r="423">
      <c r="A423" s="226" t="s">
        <v>59</v>
      </c>
      <c r="B423" s="226" t="s">
        <v>10</v>
      </c>
      <c r="C423" s="250" t="s">
        <v>3313</v>
      </c>
      <c r="D423" s="268" t="s">
        <v>495</v>
      </c>
      <c r="E423" s="251">
        <v>44183.0</v>
      </c>
      <c r="F423" s="250" t="s">
        <v>496</v>
      </c>
      <c r="G423" s="171">
        <v>21.0</v>
      </c>
      <c r="H423" s="171">
        <v>140.0</v>
      </c>
      <c r="I423" s="171">
        <v>100.0</v>
      </c>
      <c r="J423" s="325">
        <f t="shared" si="13"/>
        <v>0.003908635264</v>
      </c>
      <c r="K423" s="326">
        <f t="shared" si="25"/>
        <v>2.945156671</v>
      </c>
      <c r="L423" s="327">
        <f t="shared" si="4"/>
        <v>1.900784939</v>
      </c>
      <c r="M423" s="321" t="str">
        <f t="shared" si="5"/>
        <v>krisjones</v>
      </c>
      <c r="N423" s="176">
        <f>IFERROR(__xludf.DUMMYFUNCTION("""COMPUTED_VALUE"""),8.0)</f>
        <v>8</v>
      </c>
      <c r="O423" s="243"/>
      <c r="P423" s="243"/>
      <c r="Q423" s="243"/>
      <c r="R423" s="243"/>
      <c r="S423" s="243"/>
      <c r="T423" s="243"/>
      <c r="U423" s="176"/>
      <c r="V423" s="176"/>
      <c r="W423" s="176"/>
      <c r="X423" s="176"/>
      <c r="Y423" s="176"/>
      <c r="Z423" s="176"/>
    </row>
    <row r="424">
      <c r="A424" s="226" t="s">
        <v>59</v>
      </c>
      <c r="B424" s="226" t="s">
        <v>10</v>
      </c>
      <c r="C424" s="250" t="s">
        <v>3188</v>
      </c>
      <c r="D424" s="268" t="s">
        <v>495</v>
      </c>
      <c r="E424" s="251">
        <v>44183.0</v>
      </c>
      <c r="F424" s="250" t="s">
        <v>496</v>
      </c>
      <c r="G424" s="171">
        <v>5.0</v>
      </c>
      <c r="H424" s="171">
        <v>45.0</v>
      </c>
      <c r="I424" s="171">
        <v>50.0</v>
      </c>
      <c r="J424" s="325">
        <f t="shared" si="13"/>
        <v>0.001447851861</v>
      </c>
      <c r="K424" s="326">
        <f t="shared" si="25"/>
        <v>1.090956377</v>
      </c>
      <c r="L424" s="327">
        <f t="shared" si="4"/>
        <v>1.900784939</v>
      </c>
      <c r="M424" s="321" t="str">
        <f t="shared" si="5"/>
        <v>krisjones</v>
      </c>
      <c r="N424" s="176">
        <f>IFERROR(__xludf.DUMMYFUNCTION("""COMPUTED_VALUE"""),9.0)</f>
        <v>9</v>
      </c>
      <c r="O424" s="243"/>
      <c r="P424" s="243"/>
      <c r="Q424" s="243"/>
      <c r="R424" s="243"/>
      <c r="S424" s="243"/>
      <c r="T424" s="243"/>
      <c r="U424" s="176"/>
      <c r="V424" s="176"/>
      <c r="W424" s="176"/>
      <c r="X424" s="176"/>
      <c r="Y424" s="176"/>
      <c r="Z424" s="176"/>
    </row>
    <row r="425">
      <c r="A425" s="240" t="s">
        <v>59</v>
      </c>
      <c r="B425" s="240" t="s">
        <v>534</v>
      </c>
      <c r="C425" s="349" t="s">
        <v>810</v>
      </c>
      <c r="D425" s="336"/>
      <c r="E425" s="340"/>
      <c r="F425" s="254"/>
      <c r="G425" s="222"/>
      <c r="H425" s="222"/>
      <c r="I425" s="222"/>
      <c r="J425" s="325">
        <f t="shared" si="13"/>
        <v>0</v>
      </c>
      <c r="K425" s="337">
        <f>12.67*-0.85</f>
        <v>-10.7695</v>
      </c>
      <c r="L425" s="327">
        <f t="shared" si="4"/>
        <v>1.900784939</v>
      </c>
      <c r="M425" s="321" t="str">
        <f t="shared" si="5"/>
        <v>krisjones</v>
      </c>
      <c r="N425" s="209">
        <f>IFERROR(__xludf.DUMMYFUNCTION("""COMPUTED_VALUE"""),10.0)</f>
        <v>10</v>
      </c>
      <c r="O425" s="209"/>
      <c r="P425" s="209"/>
      <c r="Q425" s="209"/>
      <c r="R425" s="209">
        <v>14.561258630642886</v>
      </c>
      <c r="S425" s="209"/>
      <c r="T425" s="209"/>
      <c r="U425" s="209"/>
      <c r="V425" s="209"/>
      <c r="W425" s="209"/>
      <c r="X425" s="209"/>
      <c r="Y425" s="176"/>
      <c r="Z425" s="176"/>
    </row>
    <row r="426">
      <c r="A426" s="226" t="s">
        <v>33</v>
      </c>
      <c r="B426" s="226" t="s">
        <v>590</v>
      </c>
      <c r="C426" s="250" t="s">
        <v>3215</v>
      </c>
      <c r="D426" s="268" t="s">
        <v>495</v>
      </c>
      <c r="E426" s="361">
        <v>44172.0</v>
      </c>
      <c r="F426" s="250" t="s">
        <v>496</v>
      </c>
      <c r="G426" s="171">
        <v>21.0</v>
      </c>
      <c r="H426" s="171">
        <v>100.0</v>
      </c>
      <c r="I426" s="171">
        <v>100.0</v>
      </c>
      <c r="J426" s="325">
        <f t="shared" si="13"/>
        <v>0.003430378033</v>
      </c>
      <c r="K426" s="326">
        <f t="shared" ref="K426:K432" si="26">J426*$J$1</f>
        <v>2.584789848</v>
      </c>
      <c r="L426" s="327">
        <f t="shared" si="4"/>
        <v>1.771694427</v>
      </c>
      <c r="M426" s="321" t="str">
        <f t="shared" si="5"/>
        <v>vegayp</v>
      </c>
      <c r="N426" s="176">
        <f>IFERROR(__xludf.DUMMYFUNCTION("""COMPUTED_VALUE"""),1.0)</f>
        <v>1</v>
      </c>
      <c r="O426" s="243"/>
      <c r="P426" s="243"/>
      <c r="Q426" s="243"/>
      <c r="R426" s="243"/>
      <c r="S426" s="243"/>
      <c r="T426" s="243"/>
      <c r="U426" s="176"/>
      <c r="V426" s="176"/>
      <c r="W426" s="176"/>
      <c r="X426" s="176"/>
      <c r="Y426" s="176"/>
      <c r="Z426" s="176"/>
    </row>
    <row r="427">
      <c r="A427" s="226" t="s">
        <v>33</v>
      </c>
      <c r="B427" s="226" t="s">
        <v>590</v>
      </c>
      <c r="C427" s="250" t="s">
        <v>3314</v>
      </c>
      <c r="D427" s="268" t="s">
        <v>495</v>
      </c>
      <c r="E427" s="361">
        <v>44172.0</v>
      </c>
      <c r="F427" s="250" t="s">
        <v>496</v>
      </c>
      <c r="G427" s="171">
        <v>21.0</v>
      </c>
      <c r="H427" s="171">
        <v>110.0</v>
      </c>
      <c r="I427" s="171">
        <v>100.0</v>
      </c>
      <c r="J427" s="325">
        <f t="shared" si="13"/>
        <v>0.003549942341</v>
      </c>
      <c r="K427" s="326">
        <f t="shared" si="26"/>
        <v>2.674881554</v>
      </c>
      <c r="L427" s="327">
        <f t="shared" si="4"/>
        <v>1.771694427</v>
      </c>
      <c r="M427" s="321" t="str">
        <f t="shared" si="5"/>
        <v>vegayp</v>
      </c>
      <c r="N427" s="176">
        <f>IFERROR(__xludf.DUMMYFUNCTION("""COMPUTED_VALUE"""),2.0)</f>
        <v>2</v>
      </c>
      <c r="O427" s="243"/>
      <c r="P427" s="243"/>
      <c r="Q427" s="243"/>
      <c r="R427" s="243"/>
      <c r="S427" s="243"/>
      <c r="T427" s="243"/>
      <c r="U427" s="176"/>
      <c r="V427" s="176"/>
      <c r="W427" s="176"/>
      <c r="X427" s="176"/>
      <c r="Y427" s="176"/>
      <c r="Z427" s="176"/>
    </row>
    <row r="428">
      <c r="A428" s="226" t="s">
        <v>33</v>
      </c>
      <c r="B428" s="226" t="s">
        <v>5</v>
      </c>
      <c r="C428" s="250" t="s">
        <v>3170</v>
      </c>
      <c r="D428" s="268" t="s">
        <v>495</v>
      </c>
      <c r="E428" s="251">
        <v>44175.0</v>
      </c>
      <c r="F428" s="250" t="s">
        <v>496</v>
      </c>
      <c r="G428" s="171">
        <v>5.0</v>
      </c>
      <c r="H428" s="171">
        <v>60.0</v>
      </c>
      <c r="I428" s="171">
        <v>50.0</v>
      </c>
      <c r="J428" s="325">
        <f t="shared" si="13"/>
        <v>0.001627198322</v>
      </c>
      <c r="K428" s="326">
        <f t="shared" si="26"/>
        <v>1.226093936</v>
      </c>
      <c r="L428" s="327">
        <f t="shared" si="4"/>
        <v>1.771694427</v>
      </c>
      <c r="M428" s="321" t="str">
        <f t="shared" si="5"/>
        <v>vegayp</v>
      </c>
      <c r="N428" s="176">
        <f>IFERROR(__xludf.DUMMYFUNCTION("""COMPUTED_VALUE"""),3.0)</f>
        <v>3</v>
      </c>
      <c r="O428" s="243"/>
      <c r="P428" s="243"/>
      <c r="Q428" s="243"/>
      <c r="R428" s="243"/>
      <c r="S428" s="243"/>
      <c r="T428" s="243"/>
      <c r="U428" s="176"/>
      <c r="V428" s="176"/>
      <c r="W428" s="176"/>
      <c r="X428" s="176"/>
      <c r="Y428" s="176"/>
      <c r="Z428" s="176"/>
    </row>
    <row r="429">
      <c r="A429" s="226" t="s">
        <v>33</v>
      </c>
      <c r="B429" s="226" t="s">
        <v>10</v>
      </c>
      <c r="C429" s="250" t="s">
        <v>3176</v>
      </c>
      <c r="D429" s="268" t="s">
        <v>495</v>
      </c>
      <c r="E429" s="251">
        <v>44176.0</v>
      </c>
      <c r="F429" s="250" t="s">
        <v>496</v>
      </c>
      <c r="G429" s="171">
        <v>2.0</v>
      </c>
      <c r="H429" s="171">
        <v>45.0</v>
      </c>
      <c r="I429" s="171">
        <v>50.0</v>
      </c>
      <c r="J429" s="325">
        <f t="shared" si="13"/>
        <v>0.001334640041</v>
      </c>
      <c r="K429" s="326">
        <f t="shared" si="26"/>
        <v>1.005651271</v>
      </c>
      <c r="L429" s="327">
        <f t="shared" si="4"/>
        <v>1.771694427</v>
      </c>
      <c r="M429" s="321" t="str">
        <f t="shared" si="5"/>
        <v>vegayp</v>
      </c>
      <c r="N429" s="176">
        <f>IFERROR(__xludf.DUMMYFUNCTION("""COMPUTED_VALUE"""),4.0)</f>
        <v>4</v>
      </c>
      <c r="O429" s="243"/>
      <c r="P429" s="243"/>
      <c r="Q429" s="243"/>
      <c r="R429" s="243"/>
      <c r="S429" s="243"/>
      <c r="T429" s="243"/>
      <c r="U429" s="176"/>
      <c r="V429" s="176"/>
      <c r="W429" s="176"/>
      <c r="X429" s="176"/>
      <c r="Y429" s="176"/>
      <c r="Z429" s="176"/>
    </row>
    <row r="430">
      <c r="A430" s="226" t="s">
        <v>33</v>
      </c>
      <c r="B430" s="226" t="s">
        <v>590</v>
      </c>
      <c r="C430" s="250" t="s">
        <v>3184</v>
      </c>
      <c r="D430" s="268" t="s">
        <v>495</v>
      </c>
      <c r="E430" s="251">
        <v>44182.0</v>
      </c>
      <c r="F430" s="250" t="s">
        <v>496</v>
      </c>
      <c r="G430" s="171">
        <v>5.0</v>
      </c>
      <c r="H430" s="171">
        <v>45.0</v>
      </c>
      <c r="I430" s="171">
        <v>50.0</v>
      </c>
      <c r="J430" s="325">
        <f t="shared" si="13"/>
        <v>0.001447851861</v>
      </c>
      <c r="K430" s="326">
        <f t="shared" si="26"/>
        <v>1.090956377</v>
      </c>
      <c r="L430" s="327">
        <f t="shared" si="4"/>
        <v>1.771694427</v>
      </c>
      <c r="M430" s="321" t="str">
        <f t="shared" si="5"/>
        <v>vegayp</v>
      </c>
      <c r="N430" s="176">
        <f>IFERROR(__xludf.DUMMYFUNCTION("""COMPUTED_VALUE"""),5.0)</f>
        <v>5</v>
      </c>
      <c r="O430" s="243"/>
      <c r="P430" s="243"/>
      <c r="Q430" s="243"/>
      <c r="R430" s="243"/>
      <c r="S430" s="243"/>
      <c r="T430" s="243"/>
      <c r="U430" s="176"/>
      <c r="V430" s="176"/>
      <c r="W430" s="176"/>
      <c r="X430" s="176"/>
      <c r="Y430" s="176"/>
      <c r="Z430" s="176"/>
    </row>
    <row r="431">
      <c r="A431" s="226" t="s">
        <v>33</v>
      </c>
      <c r="B431" s="226" t="s">
        <v>10</v>
      </c>
      <c r="C431" s="250" t="s">
        <v>3187</v>
      </c>
      <c r="D431" s="268" t="s">
        <v>495</v>
      </c>
      <c r="E431" s="251">
        <v>44183.0</v>
      </c>
      <c r="F431" s="250" t="s">
        <v>496</v>
      </c>
      <c r="G431" s="171">
        <v>21.0</v>
      </c>
      <c r="H431" s="171">
        <v>60.0</v>
      </c>
      <c r="I431" s="171">
        <v>50.0</v>
      </c>
      <c r="J431" s="325">
        <f t="shared" si="13"/>
        <v>0.002230994692</v>
      </c>
      <c r="K431" s="326">
        <f t="shared" si="26"/>
        <v>1.6810545</v>
      </c>
      <c r="L431" s="327">
        <f t="shared" si="4"/>
        <v>1.771694427</v>
      </c>
      <c r="M431" s="321" t="str">
        <f t="shared" si="5"/>
        <v>vegayp</v>
      </c>
      <c r="N431" s="176">
        <f>IFERROR(__xludf.DUMMYFUNCTION("""COMPUTED_VALUE"""),6.0)</f>
        <v>6</v>
      </c>
      <c r="O431" s="243"/>
      <c r="P431" s="243"/>
      <c r="Q431" s="243"/>
      <c r="R431" s="243"/>
      <c r="S431" s="243"/>
      <c r="T431" s="243"/>
      <c r="U431" s="176"/>
      <c r="V431" s="176"/>
      <c r="W431" s="176"/>
      <c r="X431" s="176"/>
      <c r="Y431" s="176"/>
      <c r="Z431" s="176"/>
    </row>
    <row r="432">
      <c r="A432" s="226" t="s">
        <v>33</v>
      </c>
      <c r="B432" s="226" t="s">
        <v>18</v>
      </c>
      <c r="C432" s="250" t="s">
        <v>3190</v>
      </c>
      <c r="D432" s="268" t="s">
        <v>495</v>
      </c>
      <c r="E432" s="251">
        <v>44183.0</v>
      </c>
      <c r="F432" s="250" t="s">
        <v>496</v>
      </c>
      <c r="G432" s="171">
        <v>21.0</v>
      </c>
      <c r="H432" s="171">
        <v>45.0</v>
      </c>
      <c r="I432" s="171">
        <v>50.0</v>
      </c>
      <c r="J432" s="325">
        <f t="shared" si="13"/>
        <v>0.00205164823</v>
      </c>
      <c r="K432" s="326">
        <f t="shared" si="26"/>
        <v>1.545916941</v>
      </c>
      <c r="L432" s="327">
        <f t="shared" si="4"/>
        <v>1.771694427</v>
      </c>
      <c r="M432" s="321" t="str">
        <f t="shared" si="5"/>
        <v>vegayp</v>
      </c>
      <c r="N432" s="176">
        <f>IFERROR(__xludf.DUMMYFUNCTION("""COMPUTED_VALUE"""),7.0)</f>
        <v>7</v>
      </c>
      <c r="O432" s="243"/>
      <c r="P432" s="243"/>
      <c r="Q432" s="243"/>
      <c r="R432" s="243"/>
      <c r="S432" s="243"/>
      <c r="T432" s="243"/>
      <c r="U432" s="176"/>
      <c r="V432" s="176"/>
      <c r="W432" s="176"/>
      <c r="X432" s="176"/>
      <c r="Y432" s="176"/>
      <c r="Z432" s="176"/>
    </row>
    <row r="433">
      <c r="A433" s="240" t="s">
        <v>33</v>
      </c>
      <c r="B433" s="240" t="s">
        <v>534</v>
      </c>
      <c r="C433" s="221" t="s">
        <v>810</v>
      </c>
      <c r="D433" s="336"/>
      <c r="E433" s="255"/>
      <c r="F433" s="254"/>
      <c r="G433" s="222"/>
      <c r="H433" s="222"/>
      <c r="I433" s="222"/>
      <c r="J433" s="325">
        <f t="shared" si="13"/>
        <v>0</v>
      </c>
      <c r="K433" s="337">
        <f>11.809*-0.85</f>
        <v>-10.03765</v>
      </c>
      <c r="L433" s="327">
        <f t="shared" si="4"/>
        <v>1.771694427</v>
      </c>
      <c r="M433" s="321" t="str">
        <f t="shared" si="5"/>
        <v>vegayp</v>
      </c>
      <c r="N433" s="209">
        <f>IFERROR(__xludf.DUMMYFUNCTION("""COMPUTED_VALUE"""),8.0)</f>
        <v>8</v>
      </c>
      <c r="O433" s="209"/>
      <c r="P433" s="209"/>
      <c r="Q433" s="209"/>
      <c r="R433" s="209">
        <v>18.802169413641863</v>
      </c>
      <c r="S433" s="209"/>
      <c r="T433" s="209"/>
      <c r="U433" s="209"/>
      <c r="V433" s="209"/>
      <c r="W433" s="209"/>
      <c r="X433" s="209"/>
      <c r="Y433" s="176"/>
      <c r="Z433" s="176"/>
    </row>
    <row r="434">
      <c r="A434" s="226" t="s">
        <v>76</v>
      </c>
      <c r="B434" s="226" t="s">
        <v>8</v>
      </c>
      <c r="C434" s="250" t="s">
        <v>3315</v>
      </c>
      <c r="D434" s="268" t="s">
        <v>495</v>
      </c>
      <c r="E434" s="251">
        <v>44175.0</v>
      </c>
      <c r="F434" s="250" t="s">
        <v>496</v>
      </c>
      <c r="G434" s="171">
        <v>21.0</v>
      </c>
      <c r="H434" s="171">
        <v>70.0</v>
      </c>
      <c r="I434" s="171">
        <v>50.0</v>
      </c>
      <c r="J434" s="325">
        <f t="shared" si="13"/>
        <v>0.002350558999</v>
      </c>
      <c r="K434" s="326">
        <f t="shared" ref="K434:K442" si="27">J434*$J$1</f>
        <v>1.771146206</v>
      </c>
      <c r="L434" s="327">
        <f t="shared" si="4"/>
        <v>1.771146206</v>
      </c>
      <c r="M434" s="321" t="str">
        <f t="shared" si="5"/>
        <v>fabianvb</v>
      </c>
      <c r="N434" s="176">
        <f>IFERROR(__xludf.DUMMYFUNCTION("""COMPUTED_VALUE"""),1.0)</f>
        <v>1</v>
      </c>
      <c r="O434" s="243"/>
      <c r="P434" s="243"/>
      <c r="Q434" s="243"/>
      <c r="R434" s="243"/>
      <c r="S434" s="243"/>
      <c r="T434" s="243"/>
      <c r="U434" s="176"/>
      <c r="V434" s="176"/>
      <c r="W434" s="176"/>
      <c r="X434" s="176"/>
      <c r="Y434" s="176"/>
      <c r="Z434" s="176"/>
    </row>
    <row r="435">
      <c r="A435" s="226" t="s">
        <v>186</v>
      </c>
      <c r="B435" s="226" t="s">
        <v>590</v>
      </c>
      <c r="C435" s="250" t="s">
        <v>3275</v>
      </c>
      <c r="D435" s="268" t="s">
        <v>495</v>
      </c>
      <c r="E435" s="361">
        <v>44172.0</v>
      </c>
      <c r="F435" s="250" t="s">
        <v>499</v>
      </c>
      <c r="G435" s="171">
        <v>21.0</v>
      </c>
      <c r="H435" s="171">
        <v>60.0</v>
      </c>
      <c r="I435" s="171">
        <v>50.0</v>
      </c>
      <c r="J435" s="325">
        <f t="shared" si="13"/>
        <v>0.002230994692</v>
      </c>
      <c r="K435" s="326">
        <f t="shared" si="27"/>
        <v>1.6810545</v>
      </c>
      <c r="L435" s="327">
        <f t="shared" si="4"/>
        <v>1.6810545</v>
      </c>
      <c r="M435" s="321" t="str">
        <f t="shared" si="5"/>
        <v>gcrewe</v>
      </c>
      <c r="N435" s="176">
        <f>IFERROR(__xludf.DUMMYFUNCTION("""COMPUTED_VALUE"""),1.0)</f>
        <v>1</v>
      </c>
      <c r="O435" s="243"/>
      <c r="P435" s="243"/>
      <c r="Q435" s="243"/>
      <c r="R435" s="243"/>
      <c r="S435" s="243"/>
      <c r="T435" s="243"/>
      <c r="U435" s="176"/>
      <c r="V435" s="176"/>
      <c r="W435" s="176"/>
      <c r="X435" s="176"/>
      <c r="Y435" s="176"/>
      <c r="Z435" s="176"/>
    </row>
    <row r="436">
      <c r="A436" s="226" t="s">
        <v>153</v>
      </c>
      <c r="B436" s="226" t="s">
        <v>590</v>
      </c>
      <c r="C436" s="250" t="s">
        <v>3316</v>
      </c>
      <c r="D436" s="268" t="s">
        <v>495</v>
      </c>
      <c r="E436" s="361">
        <v>44172.0</v>
      </c>
      <c r="F436" s="250" t="s">
        <v>499</v>
      </c>
      <c r="G436" s="171">
        <v>21.0</v>
      </c>
      <c r="H436" s="171">
        <v>60.0</v>
      </c>
      <c r="I436" s="171">
        <v>50.0</v>
      </c>
      <c r="J436" s="325">
        <f t="shared" si="13"/>
        <v>0.002230994692</v>
      </c>
      <c r="K436" s="326">
        <f t="shared" si="27"/>
        <v>1.6810545</v>
      </c>
      <c r="L436" s="327">
        <f t="shared" si="4"/>
        <v>1.6810545</v>
      </c>
      <c r="M436" s="321" t="str">
        <f t="shared" si="5"/>
        <v>xlcrr</v>
      </c>
      <c r="N436" s="176">
        <f>IFERROR(__xludf.DUMMYFUNCTION("""COMPUTED_VALUE"""),1.0)</f>
        <v>1</v>
      </c>
      <c r="O436" s="243"/>
      <c r="P436" s="243"/>
      <c r="Q436" s="243"/>
      <c r="R436" s="243"/>
      <c r="S436" s="243"/>
      <c r="T436" s="243"/>
      <c r="U436" s="176"/>
      <c r="V436" s="176"/>
      <c r="W436" s="176"/>
      <c r="X436" s="176"/>
      <c r="Y436" s="176"/>
      <c r="Z436" s="176"/>
    </row>
    <row r="437">
      <c r="A437" s="226" t="s">
        <v>10</v>
      </c>
      <c r="B437" s="226" t="s">
        <v>6</v>
      </c>
      <c r="C437" s="250" t="s">
        <v>3317</v>
      </c>
      <c r="D437" s="268" t="s">
        <v>495</v>
      </c>
      <c r="E437" s="361">
        <v>44170.0</v>
      </c>
      <c r="F437" s="250" t="s">
        <v>2586</v>
      </c>
      <c r="G437" s="171">
        <v>3.0</v>
      </c>
      <c r="H437" s="171">
        <v>100.0</v>
      </c>
      <c r="I437" s="171">
        <v>50.0</v>
      </c>
      <c r="J437" s="325">
        <f t="shared" si="13"/>
        <v>0.002029981006</v>
      </c>
      <c r="K437" s="326">
        <f t="shared" si="27"/>
        <v>1.529590688</v>
      </c>
      <c r="L437" s="327">
        <f t="shared" si="4"/>
        <v>1.593410584</v>
      </c>
      <c r="M437" s="321" t="str">
        <f t="shared" si="5"/>
        <v>iviangita</v>
      </c>
      <c r="N437" s="176">
        <f>IFERROR(__xludf.DUMMYFUNCTION("""COMPUTED_VALUE"""),1.0)</f>
        <v>1</v>
      </c>
      <c r="O437" s="243"/>
      <c r="P437" s="243"/>
      <c r="Q437" s="243"/>
      <c r="R437" s="243"/>
      <c r="S437" s="243"/>
      <c r="T437" s="243"/>
      <c r="U437" s="176"/>
      <c r="V437" s="176"/>
      <c r="W437" s="176"/>
      <c r="X437" s="176"/>
      <c r="Y437" s="176"/>
      <c r="Z437" s="176"/>
    </row>
    <row r="438">
      <c r="A438" s="226" t="s">
        <v>10</v>
      </c>
      <c r="B438" s="226" t="s">
        <v>1228</v>
      </c>
      <c r="C438" s="250" t="s">
        <v>3193</v>
      </c>
      <c r="D438" s="268" t="s">
        <v>495</v>
      </c>
      <c r="E438" s="361">
        <v>44174.0</v>
      </c>
      <c r="F438" s="250" t="s">
        <v>496</v>
      </c>
      <c r="G438" s="171">
        <v>21.0</v>
      </c>
      <c r="H438" s="171">
        <v>100.0</v>
      </c>
      <c r="I438" s="171">
        <v>50.0</v>
      </c>
      <c r="J438" s="325">
        <f t="shared" si="13"/>
        <v>0.002709251922</v>
      </c>
      <c r="K438" s="326">
        <f t="shared" si="27"/>
        <v>2.041421323</v>
      </c>
      <c r="L438" s="327">
        <f t="shared" si="4"/>
        <v>1.593410584</v>
      </c>
      <c r="M438" s="321" t="str">
        <f t="shared" si="5"/>
        <v>iviangita</v>
      </c>
      <c r="N438" s="176">
        <f>IFERROR(__xludf.DUMMYFUNCTION("""COMPUTED_VALUE"""),2.0)</f>
        <v>2</v>
      </c>
      <c r="O438" s="243"/>
      <c r="P438" s="243"/>
      <c r="Q438" s="243"/>
      <c r="R438" s="243"/>
      <c r="S438" s="243"/>
      <c r="T438" s="243"/>
      <c r="U438" s="176"/>
      <c r="V438" s="176"/>
      <c r="W438" s="176"/>
      <c r="X438" s="176"/>
      <c r="Y438" s="176"/>
      <c r="Z438" s="176"/>
    </row>
    <row r="439">
      <c r="A439" s="226" t="s">
        <v>10</v>
      </c>
      <c r="B439" s="226" t="s">
        <v>1228</v>
      </c>
      <c r="C439" s="250" t="s">
        <v>3318</v>
      </c>
      <c r="D439" s="268" t="s">
        <v>495</v>
      </c>
      <c r="E439" s="251">
        <v>44176.0</v>
      </c>
      <c r="F439" s="250" t="s">
        <v>496</v>
      </c>
      <c r="G439" s="171">
        <v>5.0</v>
      </c>
      <c r="H439" s="171">
        <v>60.0</v>
      </c>
      <c r="I439" s="171">
        <v>50.0</v>
      </c>
      <c r="J439" s="325">
        <f t="shared" si="13"/>
        <v>0.001627198322</v>
      </c>
      <c r="K439" s="326">
        <f t="shared" si="27"/>
        <v>1.226093936</v>
      </c>
      <c r="L439" s="327">
        <f t="shared" si="4"/>
        <v>1.593410584</v>
      </c>
      <c r="M439" s="321" t="str">
        <f t="shared" si="5"/>
        <v>iviangita</v>
      </c>
      <c r="N439" s="176">
        <f>IFERROR(__xludf.DUMMYFUNCTION("""COMPUTED_VALUE"""),3.0)</f>
        <v>3</v>
      </c>
      <c r="O439" s="243"/>
      <c r="P439" s="243"/>
      <c r="Q439" s="243"/>
      <c r="R439" s="243"/>
      <c r="S439" s="243"/>
      <c r="T439" s="243"/>
      <c r="U439" s="176"/>
      <c r="V439" s="176"/>
      <c r="W439" s="176"/>
      <c r="X439" s="176"/>
      <c r="Y439" s="176"/>
      <c r="Z439" s="176"/>
    </row>
    <row r="440">
      <c r="A440" s="226" t="s">
        <v>10</v>
      </c>
      <c r="B440" s="226" t="s">
        <v>867</v>
      </c>
      <c r="C440" s="250" t="s">
        <v>3197</v>
      </c>
      <c r="D440" s="268" t="s">
        <v>495</v>
      </c>
      <c r="E440" s="251">
        <v>44177.0</v>
      </c>
      <c r="F440" s="250" t="s">
        <v>496</v>
      </c>
      <c r="G440" s="171">
        <v>21.0</v>
      </c>
      <c r="H440" s="171">
        <v>120.0</v>
      </c>
      <c r="I440" s="171">
        <v>100.0</v>
      </c>
      <c r="J440" s="325">
        <f t="shared" si="13"/>
        <v>0.003669506648</v>
      </c>
      <c r="K440" s="326">
        <f t="shared" si="27"/>
        <v>2.764973259</v>
      </c>
      <c r="L440" s="327">
        <f t="shared" si="4"/>
        <v>1.593410584</v>
      </c>
      <c r="M440" s="321" t="str">
        <f t="shared" si="5"/>
        <v>iviangita</v>
      </c>
      <c r="N440" s="176">
        <f>IFERROR(__xludf.DUMMYFUNCTION("""COMPUTED_VALUE"""),4.0)</f>
        <v>4</v>
      </c>
      <c r="O440" s="243"/>
      <c r="P440" s="243"/>
      <c r="Q440" s="243"/>
      <c r="R440" s="243"/>
      <c r="S440" s="243"/>
      <c r="T440" s="243"/>
      <c r="U440" s="176"/>
      <c r="V440" s="176"/>
      <c r="W440" s="176"/>
      <c r="X440" s="176"/>
      <c r="Y440" s="176"/>
      <c r="Z440" s="176"/>
    </row>
    <row r="441">
      <c r="A441" s="226" t="s">
        <v>10</v>
      </c>
      <c r="B441" s="226" t="s">
        <v>6</v>
      </c>
      <c r="C441" s="250" t="s">
        <v>3319</v>
      </c>
      <c r="D441" s="268" t="s">
        <v>495</v>
      </c>
      <c r="E441" s="251">
        <v>44179.0</v>
      </c>
      <c r="F441" s="250" t="s">
        <v>2586</v>
      </c>
      <c r="G441" s="171">
        <v>3.0</v>
      </c>
      <c r="H441" s="171">
        <v>80.0</v>
      </c>
      <c r="I441" s="171">
        <v>50.0</v>
      </c>
      <c r="J441" s="325">
        <f t="shared" si="13"/>
        <v>0.001790852391</v>
      </c>
      <c r="K441" s="326">
        <f t="shared" si="27"/>
        <v>1.349407277</v>
      </c>
      <c r="L441" s="327">
        <f t="shared" si="4"/>
        <v>1.593410584</v>
      </c>
      <c r="M441" s="321" t="str">
        <f t="shared" si="5"/>
        <v>iviangita</v>
      </c>
      <c r="N441" s="176">
        <f>IFERROR(__xludf.DUMMYFUNCTION("""COMPUTED_VALUE"""),5.0)</f>
        <v>5</v>
      </c>
      <c r="O441" s="243"/>
      <c r="P441" s="243"/>
      <c r="Q441" s="243"/>
      <c r="R441" s="243"/>
      <c r="S441" s="243"/>
      <c r="T441" s="243"/>
      <c r="U441" s="176"/>
      <c r="V441" s="176"/>
      <c r="W441" s="176"/>
      <c r="X441" s="176"/>
      <c r="Y441" s="176"/>
      <c r="Z441" s="176"/>
    </row>
    <row r="442">
      <c r="A442" s="226" t="s">
        <v>10</v>
      </c>
      <c r="B442" s="226" t="s">
        <v>10</v>
      </c>
      <c r="C442" s="250" t="s">
        <v>3320</v>
      </c>
      <c r="D442" s="268" t="s">
        <v>495</v>
      </c>
      <c r="E442" s="251">
        <v>44183.0</v>
      </c>
      <c r="F442" s="250" t="s">
        <v>496</v>
      </c>
      <c r="G442" s="171">
        <v>3.0</v>
      </c>
      <c r="H442" s="171">
        <v>120.0</v>
      </c>
      <c r="I442" s="171">
        <v>50.0</v>
      </c>
      <c r="J442" s="325">
        <f t="shared" si="13"/>
        <v>0.002269109622</v>
      </c>
      <c r="K442" s="326">
        <f t="shared" si="27"/>
        <v>1.7097741</v>
      </c>
      <c r="L442" s="327">
        <f t="shared" si="4"/>
        <v>1.593410584</v>
      </c>
      <c r="M442" s="321" t="str">
        <f t="shared" si="5"/>
        <v>iviangita</v>
      </c>
      <c r="N442" s="176">
        <f>IFERROR(__xludf.DUMMYFUNCTION("""COMPUTED_VALUE"""),6.0)</f>
        <v>6</v>
      </c>
      <c r="O442" s="243"/>
      <c r="P442" s="243"/>
      <c r="Q442" s="243"/>
      <c r="R442" s="243"/>
      <c r="S442" s="243"/>
      <c r="T442" s="243"/>
      <c r="U442" s="176"/>
      <c r="V442" s="176"/>
      <c r="W442" s="176"/>
      <c r="X442" s="176"/>
      <c r="Y442" s="176"/>
      <c r="Z442" s="176"/>
    </row>
    <row r="443">
      <c r="A443" s="240" t="s">
        <v>10</v>
      </c>
      <c r="B443" s="240" t="s">
        <v>534</v>
      </c>
      <c r="C443" s="221" t="s">
        <v>741</v>
      </c>
      <c r="D443" s="336"/>
      <c r="E443" s="255"/>
      <c r="F443" s="254"/>
      <c r="G443" s="222"/>
      <c r="H443" s="222"/>
      <c r="I443" s="222"/>
      <c r="J443" s="325">
        <f t="shared" si="13"/>
        <v>0</v>
      </c>
      <c r="K443" s="337">
        <f>10.621*-0.85</f>
        <v>-9.02785</v>
      </c>
      <c r="L443" s="327">
        <f t="shared" si="4"/>
        <v>1.593410584</v>
      </c>
      <c r="M443" s="321" t="str">
        <f t="shared" si="5"/>
        <v>iviangita</v>
      </c>
      <c r="N443" s="209">
        <f>IFERROR(__xludf.DUMMYFUNCTION("""COMPUTED_VALUE"""),7.0)</f>
        <v>7</v>
      </c>
      <c r="O443" s="209"/>
      <c r="P443" s="209"/>
      <c r="Q443" s="209"/>
      <c r="R443" s="209">
        <v>18.802169413641863</v>
      </c>
      <c r="S443" s="209"/>
      <c r="T443" s="209"/>
      <c r="U443" s="209"/>
      <c r="V443" s="209"/>
      <c r="W443" s="209"/>
      <c r="X443" s="209"/>
      <c r="Y443" s="176"/>
      <c r="Z443" s="176"/>
    </row>
    <row r="444">
      <c r="A444" s="226" t="s">
        <v>227</v>
      </c>
      <c r="B444" s="226" t="s">
        <v>590</v>
      </c>
      <c r="C444" s="250" t="s">
        <v>3275</v>
      </c>
      <c r="D444" s="268" t="s">
        <v>495</v>
      </c>
      <c r="E444" s="361">
        <v>44173.0</v>
      </c>
      <c r="F444" s="250" t="s">
        <v>499</v>
      </c>
      <c r="G444" s="171">
        <v>21.0</v>
      </c>
      <c r="H444" s="171">
        <v>50.0</v>
      </c>
      <c r="I444" s="171">
        <v>50.0</v>
      </c>
      <c r="J444" s="325">
        <f t="shared" si="13"/>
        <v>0.002111430384</v>
      </c>
      <c r="K444" s="326">
        <f t="shared" ref="K444:K447" si="28">J444*$J$1</f>
        <v>1.590962794</v>
      </c>
      <c r="L444" s="327">
        <f t="shared" si="4"/>
        <v>1.590962794</v>
      </c>
      <c r="M444" s="321" t="str">
        <f t="shared" si="5"/>
        <v>yalormewn</v>
      </c>
      <c r="N444" s="176">
        <f>IFERROR(__xludf.DUMMYFUNCTION("""COMPUTED_VALUE"""),1.0)</f>
        <v>1</v>
      </c>
      <c r="O444" s="243"/>
      <c r="P444" s="243"/>
      <c r="Q444" s="243"/>
      <c r="R444" s="243"/>
      <c r="S444" s="243"/>
      <c r="T444" s="243"/>
      <c r="U444" s="176"/>
      <c r="V444" s="176"/>
      <c r="W444" s="176"/>
      <c r="X444" s="176"/>
      <c r="Y444" s="176"/>
      <c r="Z444" s="176"/>
    </row>
    <row r="445">
      <c r="A445" s="226" t="s">
        <v>29</v>
      </c>
      <c r="B445" s="226" t="s">
        <v>590</v>
      </c>
      <c r="C445" s="250" t="s">
        <v>3321</v>
      </c>
      <c r="D445" s="268" t="s">
        <v>495</v>
      </c>
      <c r="E445" s="361">
        <v>44174.0</v>
      </c>
      <c r="F445" s="250" t="s">
        <v>496</v>
      </c>
      <c r="G445" s="171">
        <v>21.0</v>
      </c>
      <c r="H445" s="171">
        <v>120.0</v>
      </c>
      <c r="I445" s="171">
        <v>100.0</v>
      </c>
      <c r="J445" s="325">
        <f t="shared" si="13"/>
        <v>0.003669506648</v>
      </c>
      <c r="K445" s="326">
        <f t="shared" si="28"/>
        <v>2.764973259</v>
      </c>
      <c r="L445" s="327">
        <f t="shared" si="4"/>
        <v>1.480335354</v>
      </c>
      <c r="M445" s="321" t="str">
        <f t="shared" si="5"/>
        <v>jeffemmett</v>
      </c>
      <c r="N445" s="176">
        <f>IFERROR(__xludf.DUMMYFUNCTION("""COMPUTED_VALUE"""),1.0)</f>
        <v>1</v>
      </c>
      <c r="O445" s="243"/>
      <c r="P445" s="243"/>
      <c r="Q445" s="243"/>
      <c r="R445" s="243"/>
      <c r="S445" s="243"/>
      <c r="T445" s="243"/>
      <c r="U445" s="176"/>
      <c r="V445" s="176"/>
      <c r="W445" s="176"/>
      <c r="X445" s="176"/>
      <c r="Y445" s="176"/>
      <c r="Z445" s="176"/>
    </row>
    <row r="446">
      <c r="A446" s="226" t="s">
        <v>29</v>
      </c>
      <c r="B446" s="226" t="s">
        <v>10</v>
      </c>
      <c r="C446" s="250" t="s">
        <v>3281</v>
      </c>
      <c r="D446" s="268" t="s">
        <v>495</v>
      </c>
      <c r="E446" s="251">
        <v>44176.0</v>
      </c>
      <c r="F446" s="250" t="s">
        <v>496</v>
      </c>
      <c r="G446" s="171">
        <v>21.0</v>
      </c>
      <c r="H446" s="171">
        <v>80.0</v>
      </c>
      <c r="I446" s="171">
        <v>50.0</v>
      </c>
      <c r="J446" s="325">
        <f t="shared" si="13"/>
        <v>0.002470123307</v>
      </c>
      <c r="K446" s="326">
        <f t="shared" si="28"/>
        <v>1.861237912</v>
      </c>
      <c r="L446" s="327">
        <f t="shared" si="4"/>
        <v>1.480335354</v>
      </c>
      <c r="M446" s="321" t="str">
        <f t="shared" si="5"/>
        <v>jeffemmett</v>
      </c>
      <c r="N446" s="176">
        <f>IFERROR(__xludf.DUMMYFUNCTION("""COMPUTED_VALUE"""),2.0)</f>
        <v>2</v>
      </c>
      <c r="O446" s="243"/>
      <c r="P446" s="243"/>
      <c r="Q446" s="243"/>
      <c r="R446" s="243"/>
      <c r="S446" s="243"/>
      <c r="T446" s="243"/>
      <c r="U446" s="176"/>
      <c r="V446" s="176"/>
      <c r="W446" s="176"/>
      <c r="X446" s="176"/>
      <c r="Y446" s="176"/>
      <c r="Z446" s="176"/>
    </row>
    <row r="447">
      <c r="A447" s="226" t="s">
        <v>29</v>
      </c>
      <c r="B447" s="226" t="s">
        <v>590</v>
      </c>
      <c r="C447" s="250" t="s">
        <v>3291</v>
      </c>
      <c r="D447" s="268" t="s">
        <v>495</v>
      </c>
      <c r="E447" s="251">
        <v>44181.0</v>
      </c>
      <c r="F447" s="250" t="s">
        <v>499</v>
      </c>
      <c r="G447" s="171">
        <v>89.0</v>
      </c>
      <c r="H447" s="171">
        <v>120.0</v>
      </c>
      <c r="I447" s="171">
        <v>150.0</v>
      </c>
      <c r="J447" s="325">
        <f t="shared" si="13"/>
        <v>0.00695676733</v>
      </c>
      <c r="K447" s="326">
        <f t="shared" si="28"/>
        <v>5.241924183</v>
      </c>
      <c r="L447" s="327">
        <f t="shared" si="4"/>
        <v>1.480335354</v>
      </c>
      <c r="M447" s="321" t="str">
        <f t="shared" si="5"/>
        <v>jeffemmett</v>
      </c>
      <c r="N447" s="176">
        <f>IFERROR(__xludf.DUMMYFUNCTION("""COMPUTED_VALUE"""),3.0)</f>
        <v>3</v>
      </c>
      <c r="O447" s="243"/>
      <c r="P447" s="243"/>
      <c r="Q447" s="243"/>
      <c r="R447" s="243"/>
      <c r="S447" s="243"/>
      <c r="T447" s="243"/>
      <c r="U447" s="176"/>
      <c r="V447" s="176"/>
      <c r="W447" s="176"/>
      <c r="X447" s="176"/>
      <c r="Y447" s="176"/>
      <c r="Z447" s="176"/>
    </row>
    <row r="448">
      <c r="A448" s="343" t="s">
        <v>29</v>
      </c>
      <c r="B448" s="253" t="s">
        <v>534</v>
      </c>
      <c r="C448" s="256" t="s">
        <v>684</v>
      </c>
      <c r="D448" s="343"/>
      <c r="E448" s="344"/>
      <c r="F448" s="343"/>
      <c r="G448" s="253"/>
      <c r="H448" s="253"/>
      <c r="I448" s="253"/>
      <c r="J448" s="325">
        <f t="shared" si="13"/>
        <v>0</v>
      </c>
      <c r="K448" s="337">
        <f>9.868*-0.85</f>
        <v>-8.3878</v>
      </c>
      <c r="L448" s="327">
        <f t="shared" si="4"/>
        <v>1.480335354</v>
      </c>
      <c r="M448" s="321" t="str">
        <f t="shared" si="5"/>
        <v>jeffemmett</v>
      </c>
      <c r="N448" s="343">
        <f>IFERROR(__xludf.DUMMYFUNCTION("""COMPUTED_VALUE"""),4.0)</f>
        <v>4</v>
      </c>
      <c r="O448" s="343"/>
      <c r="P448" s="343"/>
      <c r="Q448" s="343"/>
      <c r="R448" s="343">
        <v>18.15686701513158</v>
      </c>
      <c r="S448" s="343"/>
      <c r="T448" s="343"/>
      <c r="U448" s="343"/>
      <c r="V448" s="343"/>
      <c r="W448" s="343"/>
      <c r="X448" s="343"/>
      <c r="Y448" s="226"/>
      <c r="Z448" s="226"/>
    </row>
    <row r="449">
      <c r="A449" s="226" t="s">
        <v>189</v>
      </c>
      <c r="B449" s="226" t="s">
        <v>10</v>
      </c>
      <c r="C449" s="250" t="s">
        <v>3239</v>
      </c>
      <c r="D449" s="268" t="s">
        <v>495</v>
      </c>
      <c r="E449" s="361">
        <v>44173.0</v>
      </c>
      <c r="F449" s="250" t="s">
        <v>499</v>
      </c>
      <c r="G449" s="171">
        <v>4.0</v>
      </c>
      <c r="H449" s="171">
        <v>5.0</v>
      </c>
      <c r="I449" s="171">
        <v>10.0</v>
      </c>
      <c r="J449" s="325">
        <f t="shared" si="13"/>
        <v>0.0003549564684</v>
      </c>
      <c r="K449" s="326">
        <f t="shared" ref="K449:K458" si="29">J449*$J$1</f>
        <v>0.2674596989</v>
      </c>
      <c r="L449" s="327">
        <f t="shared" si="4"/>
        <v>1.360667094</v>
      </c>
      <c r="M449" s="321" t="str">
        <f t="shared" si="5"/>
        <v>smokyish</v>
      </c>
      <c r="N449" s="176">
        <f>IFERROR(__xludf.DUMMYFUNCTION("""COMPUTED_VALUE"""),1.0)</f>
        <v>1</v>
      </c>
      <c r="O449" s="243"/>
      <c r="P449" s="243"/>
      <c r="Q449" s="243"/>
      <c r="R449" s="243"/>
      <c r="S449" s="243"/>
      <c r="T449" s="243"/>
      <c r="U449" s="176"/>
      <c r="V449" s="176"/>
      <c r="W449" s="176"/>
      <c r="X449" s="176"/>
      <c r="Y449" s="176"/>
      <c r="Z449" s="176"/>
    </row>
    <row r="450">
      <c r="A450" s="226" t="s">
        <v>189</v>
      </c>
      <c r="B450" s="226" t="s">
        <v>590</v>
      </c>
      <c r="C450" s="250" t="s">
        <v>3322</v>
      </c>
      <c r="D450" s="268" t="s">
        <v>495</v>
      </c>
      <c r="E450" s="251">
        <v>44178.0</v>
      </c>
      <c r="F450" s="250" t="s">
        <v>499</v>
      </c>
      <c r="G450" s="171">
        <v>13.0</v>
      </c>
      <c r="H450" s="171">
        <v>20.0</v>
      </c>
      <c r="I450" s="171">
        <v>50.0</v>
      </c>
      <c r="J450" s="325">
        <f t="shared" si="13"/>
        <v>0.001450839276</v>
      </c>
      <c r="K450" s="326">
        <f t="shared" si="29"/>
        <v>1.093207395</v>
      </c>
      <c r="L450" s="327">
        <f t="shared" si="4"/>
        <v>1.360667094</v>
      </c>
      <c r="M450" s="321" t="str">
        <f t="shared" si="5"/>
        <v>smokyish</v>
      </c>
      <c r="N450" s="176">
        <f>IFERROR(__xludf.DUMMYFUNCTION("""COMPUTED_VALUE"""),2.0)</f>
        <v>2</v>
      </c>
      <c r="O450" s="243"/>
      <c r="P450" s="243"/>
      <c r="Q450" s="243"/>
      <c r="R450" s="243"/>
      <c r="S450" s="243"/>
      <c r="T450" s="243"/>
      <c r="U450" s="176"/>
      <c r="V450" s="176"/>
      <c r="W450" s="176"/>
      <c r="X450" s="176"/>
      <c r="Y450" s="176"/>
      <c r="Z450" s="176"/>
    </row>
    <row r="451">
      <c r="A451" s="226" t="s">
        <v>83</v>
      </c>
      <c r="B451" s="226" t="s">
        <v>868</v>
      </c>
      <c r="C451" s="250" t="s">
        <v>3191</v>
      </c>
      <c r="D451" s="268" t="s">
        <v>495</v>
      </c>
      <c r="E451" s="251">
        <v>44183.0</v>
      </c>
      <c r="F451" s="250" t="s">
        <v>496</v>
      </c>
      <c r="G451" s="171">
        <v>5.0</v>
      </c>
      <c r="H451" s="171">
        <v>60.0</v>
      </c>
      <c r="I451" s="171">
        <v>50.0</v>
      </c>
      <c r="J451" s="325">
        <f t="shared" si="13"/>
        <v>0.001627198322</v>
      </c>
      <c r="K451" s="326">
        <f t="shared" si="29"/>
        <v>1.226093936</v>
      </c>
      <c r="L451" s="327">
        <f t="shared" si="4"/>
        <v>1.226093936</v>
      </c>
      <c r="M451" s="321" t="str">
        <f t="shared" si="5"/>
        <v>anjablaj</v>
      </c>
      <c r="N451" s="176">
        <f>IFERROR(__xludf.DUMMYFUNCTION("""COMPUTED_VALUE"""),1.0)</f>
        <v>1</v>
      </c>
      <c r="O451" s="243"/>
      <c r="P451" s="243"/>
      <c r="Q451" s="243"/>
      <c r="R451" s="243"/>
      <c r="S451" s="243"/>
      <c r="T451" s="243"/>
      <c r="U451" s="176"/>
      <c r="V451" s="176"/>
      <c r="W451" s="176"/>
      <c r="X451" s="176"/>
      <c r="Y451" s="176"/>
      <c r="Z451" s="176"/>
    </row>
    <row r="452">
      <c r="A452" s="226" t="s">
        <v>283</v>
      </c>
      <c r="B452" s="226" t="s">
        <v>590</v>
      </c>
      <c r="C452" s="250" t="s">
        <v>3323</v>
      </c>
      <c r="D452" s="268" t="s">
        <v>495</v>
      </c>
      <c r="E452" s="251">
        <v>44180.0</v>
      </c>
      <c r="F452" s="250" t="s">
        <v>496</v>
      </c>
      <c r="G452" s="171">
        <v>1.0</v>
      </c>
      <c r="H452" s="171">
        <v>1.0</v>
      </c>
      <c r="I452" s="171">
        <v>1.0</v>
      </c>
      <c r="J452" s="325">
        <f t="shared" si="13"/>
        <v>0.00006411622608</v>
      </c>
      <c r="K452" s="326">
        <f t="shared" si="29"/>
        <v>0.04831157635</v>
      </c>
      <c r="L452" s="327">
        <f t="shared" si="4"/>
        <v>1.139267953</v>
      </c>
      <c r="M452" s="321" t="str">
        <f t="shared" si="5"/>
        <v>macerer</v>
      </c>
      <c r="N452" s="176">
        <f>IFERROR(__xludf.DUMMYFUNCTION("""COMPUTED_VALUE"""),1.0)</f>
        <v>1</v>
      </c>
      <c r="O452" s="243"/>
      <c r="P452" s="243"/>
      <c r="Q452" s="243"/>
      <c r="R452" s="243"/>
      <c r="S452" s="243"/>
      <c r="T452" s="243"/>
      <c r="U452" s="176"/>
      <c r="V452" s="176"/>
      <c r="W452" s="176"/>
      <c r="X452" s="176"/>
      <c r="Y452" s="176"/>
      <c r="Z452" s="176"/>
    </row>
    <row r="453">
      <c r="A453" s="226" t="s">
        <v>283</v>
      </c>
      <c r="B453" s="226" t="s">
        <v>590</v>
      </c>
      <c r="C453" s="250" t="s">
        <v>3324</v>
      </c>
      <c r="D453" s="268" t="s">
        <v>495</v>
      </c>
      <c r="E453" s="251">
        <v>44181.0</v>
      </c>
      <c r="F453" s="250" t="s">
        <v>496</v>
      </c>
      <c r="G453" s="171">
        <v>5.0</v>
      </c>
      <c r="H453" s="171">
        <v>45.0</v>
      </c>
      <c r="I453" s="171">
        <v>50.0</v>
      </c>
      <c r="J453" s="325">
        <f t="shared" si="13"/>
        <v>0.001447851861</v>
      </c>
      <c r="K453" s="326">
        <f t="shared" si="29"/>
        <v>1.090956377</v>
      </c>
      <c r="L453" s="327">
        <f t="shared" si="4"/>
        <v>1.139267953</v>
      </c>
      <c r="M453" s="321" t="str">
        <f t="shared" si="5"/>
        <v>macerer</v>
      </c>
      <c r="N453" s="176">
        <f>IFERROR(__xludf.DUMMYFUNCTION("""COMPUTED_VALUE"""),2.0)</f>
        <v>2</v>
      </c>
      <c r="O453" s="243"/>
      <c r="P453" s="243"/>
      <c r="Q453" s="243"/>
      <c r="R453" s="243"/>
      <c r="S453" s="243"/>
      <c r="T453" s="243"/>
      <c r="U453" s="176"/>
      <c r="V453" s="176"/>
      <c r="W453" s="176"/>
      <c r="X453" s="176"/>
      <c r="Y453" s="176"/>
      <c r="Z453" s="176"/>
    </row>
    <row r="454">
      <c r="A454" s="226" t="s">
        <v>242</v>
      </c>
      <c r="B454" s="226" t="s">
        <v>590</v>
      </c>
      <c r="C454" s="250" t="s">
        <v>3325</v>
      </c>
      <c r="D454" s="268" t="s">
        <v>495</v>
      </c>
      <c r="E454" s="251">
        <v>44181.0</v>
      </c>
      <c r="F454" s="250" t="s">
        <v>496</v>
      </c>
      <c r="G454" s="171">
        <v>1.0</v>
      </c>
      <c r="H454" s="171">
        <v>1.0</v>
      </c>
      <c r="I454" s="171">
        <v>1.0</v>
      </c>
      <c r="J454" s="325">
        <f t="shared" si="13"/>
        <v>0.00006411622608</v>
      </c>
      <c r="K454" s="326">
        <f t="shared" si="29"/>
        <v>0.04831157635</v>
      </c>
      <c r="L454" s="327">
        <f t="shared" si="4"/>
        <v>1.139267953</v>
      </c>
      <c r="M454" s="321" t="str">
        <f t="shared" si="5"/>
        <v>victorid</v>
      </c>
      <c r="N454" s="176">
        <f>IFERROR(__xludf.DUMMYFUNCTION("""COMPUTED_VALUE"""),1.0)</f>
        <v>1</v>
      </c>
      <c r="O454" s="243"/>
      <c r="P454" s="243"/>
      <c r="Q454" s="243"/>
      <c r="R454" s="243"/>
      <c r="S454" s="243"/>
      <c r="T454" s="243"/>
      <c r="U454" s="176"/>
      <c r="V454" s="176"/>
      <c r="W454" s="176"/>
      <c r="X454" s="176"/>
      <c r="Y454" s="176"/>
      <c r="Z454" s="176"/>
    </row>
    <row r="455">
      <c r="A455" s="226" t="s">
        <v>242</v>
      </c>
      <c r="B455" s="226" t="s">
        <v>590</v>
      </c>
      <c r="C455" s="250" t="s">
        <v>3324</v>
      </c>
      <c r="D455" s="268" t="s">
        <v>495</v>
      </c>
      <c r="E455" s="251">
        <v>44181.0</v>
      </c>
      <c r="F455" s="250" t="s">
        <v>496</v>
      </c>
      <c r="G455" s="171">
        <v>5.0</v>
      </c>
      <c r="H455" s="171">
        <v>45.0</v>
      </c>
      <c r="I455" s="171">
        <v>50.0</v>
      </c>
      <c r="J455" s="325">
        <f t="shared" si="13"/>
        <v>0.001447851861</v>
      </c>
      <c r="K455" s="326">
        <f t="shared" si="29"/>
        <v>1.090956377</v>
      </c>
      <c r="L455" s="327">
        <f t="shared" si="4"/>
        <v>1.139267953</v>
      </c>
      <c r="M455" s="321" t="str">
        <f t="shared" si="5"/>
        <v>victorid</v>
      </c>
      <c r="N455" s="176">
        <f>IFERROR(__xludf.DUMMYFUNCTION("""COMPUTED_VALUE"""),2.0)</f>
        <v>2</v>
      </c>
      <c r="O455" s="243"/>
      <c r="P455" s="243"/>
      <c r="Q455" s="243"/>
      <c r="R455" s="243"/>
      <c r="S455" s="243"/>
      <c r="T455" s="243"/>
      <c r="U455" s="176"/>
      <c r="V455" s="176"/>
      <c r="W455" s="176"/>
      <c r="X455" s="176"/>
      <c r="Y455" s="176"/>
      <c r="Z455" s="176"/>
    </row>
    <row r="456">
      <c r="A456" s="226" t="s">
        <v>191</v>
      </c>
      <c r="B456" s="226" t="s">
        <v>590</v>
      </c>
      <c r="C456" s="250" t="s">
        <v>3326</v>
      </c>
      <c r="D456" s="268" t="s">
        <v>495</v>
      </c>
      <c r="E456" s="251">
        <v>44175.0</v>
      </c>
      <c r="F456" s="250" t="s">
        <v>592</v>
      </c>
      <c r="G456" s="171">
        <v>5.0</v>
      </c>
      <c r="H456" s="171">
        <v>50.0</v>
      </c>
      <c r="I456" s="171">
        <v>50.0</v>
      </c>
      <c r="J456" s="325">
        <f t="shared" si="13"/>
        <v>0.001507634014</v>
      </c>
      <c r="K456" s="326">
        <f t="shared" si="29"/>
        <v>1.13600223</v>
      </c>
      <c r="L456" s="327">
        <f t="shared" si="4"/>
        <v>1.13600223</v>
      </c>
      <c r="M456" s="321" t="str">
        <f t="shared" si="5"/>
        <v>monstros1ty</v>
      </c>
      <c r="N456" s="176">
        <f>IFERROR(__xludf.DUMMYFUNCTION("""COMPUTED_VALUE"""),1.0)</f>
        <v>1</v>
      </c>
      <c r="O456" s="243"/>
      <c r="P456" s="243"/>
      <c r="Q456" s="243"/>
      <c r="R456" s="243"/>
      <c r="S456" s="243"/>
      <c r="T456" s="243"/>
      <c r="U456" s="176"/>
      <c r="V456" s="176"/>
      <c r="W456" s="176"/>
      <c r="X456" s="176"/>
      <c r="Y456" s="176"/>
      <c r="Z456" s="176"/>
    </row>
    <row r="457">
      <c r="A457" s="226" t="s">
        <v>62</v>
      </c>
      <c r="B457" s="226" t="s">
        <v>10</v>
      </c>
      <c r="C457" s="250" t="s">
        <v>3327</v>
      </c>
      <c r="D457" s="268" t="s">
        <v>495</v>
      </c>
      <c r="E457" s="251">
        <v>44183.0</v>
      </c>
      <c r="F457" s="250" t="s">
        <v>496</v>
      </c>
      <c r="G457" s="171">
        <v>5.0</v>
      </c>
      <c r="H457" s="171">
        <v>80.0</v>
      </c>
      <c r="I457" s="171">
        <v>20.0</v>
      </c>
      <c r="J457" s="325">
        <f t="shared" si="13"/>
        <v>0.001433651271</v>
      </c>
      <c r="K457" s="326">
        <f t="shared" si="29"/>
        <v>1.080256233</v>
      </c>
      <c r="L457" s="327">
        <f t="shared" si="4"/>
        <v>1.101188832</v>
      </c>
      <c r="M457" s="321" t="str">
        <f t="shared" si="5"/>
        <v>fiorebotta</v>
      </c>
      <c r="N457" s="176">
        <f>IFERROR(__xludf.DUMMYFUNCTION("""COMPUTED_VALUE"""),1.0)</f>
        <v>1</v>
      </c>
      <c r="O457" s="243"/>
      <c r="P457" s="243"/>
      <c r="Q457" s="243"/>
      <c r="R457" s="243"/>
      <c r="S457" s="243"/>
      <c r="T457" s="243"/>
      <c r="U457" s="176"/>
      <c r="V457" s="176"/>
      <c r="W457" s="176"/>
      <c r="X457" s="176"/>
      <c r="Y457" s="176"/>
      <c r="Z457" s="176"/>
    </row>
    <row r="458">
      <c r="A458" s="226" t="s">
        <v>62</v>
      </c>
      <c r="B458" s="226" t="s">
        <v>62</v>
      </c>
      <c r="C458" s="250" t="s">
        <v>3328</v>
      </c>
      <c r="D458" s="268" t="s">
        <v>495</v>
      </c>
      <c r="E458" s="251">
        <v>44183.0</v>
      </c>
      <c r="F458" s="250" t="s">
        <v>2586</v>
      </c>
      <c r="G458" s="171">
        <v>144.0</v>
      </c>
      <c r="H458" s="171">
        <v>120.0</v>
      </c>
      <c r="I458" s="171">
        <v>100.0</v>
      </c>
      <c r="J458" s="325">
        <f t="shared" si="13"/>
        <v>0.00831119124</v>
      </c>
      <c r="K458" s="326">
        <f t="shared" si="29"/>
        <v>6.262482599</v>
      </c>
      <c r="L458" s="327">
        <f t="shared" si="4"/>
        <v>1.101188832</v>
      </c>
      <c r="M458" s="321" t="str">
        <f t="shared" si="5"/>
        <v>fiorebotta</v>
      </c>
      <c r="N458" s="176">
        <f>IFERROR(__xludf.DUMMYFUNCTION("""COMPUTED_VALUE"""),2.0)</f>
        <v>2</v>
      </c>
      <c r="O458" s="243"/>
      <c r="P458" s="243"/>
      <c r="Q458" s="243"/>
      <c r="R458" s="243"/>
      <c r="S458" s="243"/>
      <c r="T458" s="243"/>
      <c r="U458" s="176"/>
      <c r="V458" s="176"/>
      <c r="W458" s="176"/>
      <c r="X458" s="176"/>
      <c r="Y458" s="176"/>
      <c r="Z458" s="176"/>
    </row>
    <row r="459">
      <c r="A459" s="362" t="s">
        <v>62</v>
      </c>
      <c r="B459" s="240" t="s">
        <v>534</v>
      </c>
      <c r="C459" s="346" t="s">
        <v>2386</v>
      </c>
      <c r="D459" s="336"/>
      <c r="E459" s="255"/>
      <c r="F459" s="254"/>
      <c r="G459" s="222"/>
      <c r="H459" s="222"/>
      <c r="I459" s="222"/>
      <c r="J459" s="325">
        <f t="shared" si="13"/>
        <v>0</v>
      </c>
      <c r="K459" s="337">
        <f>7.343*-0.85</f>
        <v>-6.24155</v>
      </c>
      <c r="L459" s="327">
        <f t="shared" si="4"/>
        <v>1.101188832</v>
      </c>
      <c r="M459" s="321" t="str">
        <f t="shared" si="5"/>
        <v>fiorebotta</v>
      </c>
      <c r="N459" s="209">
        <f>IFERROR(__xludf.DUMMYFUNCTION("""COMPUTED_VALUE"""),3.0)</f>
        <v>3</v>
      </c>
      <c r="O459" s="176"/>
      <c r="P459" s="176"/>
      <c r="Q459" s="176"/>
      <c r="R459" s="176">
        <v>11.125055275694283</v>
      </c>
      <c r="S459" s="176"/>
      <c r="T459" s="176"/>
      <c r="U459" s="176"/>
      <c r="V459" s="176"/>
      <c r="W459" s="176"/>
      <c r="X459" s="176"/>
      <c r="Y459" s="176"/>
      <c r="Z459" s="176"/>
    </row>
    <row r="460">
      <c r="A460" s="226" t="s">
        <v>132</v>
      </c>
      <c r="B460" s="226" t="s">
        <v>18</v>
      </c>
      <c r="C460" s="250" t="s">
        <v>3168</v>
      </c>
      <c r="D460" s="268" t="s">
        <v>495</v>
      </c>
      <c r="E460" s="361">
        <v>44174.0</v>
      </c>
      <c r="F460" s="250" t="s">
        <v>496</v>
      </c>
      <c r="G460" s="171">
        <v>5.0</v>
      </c>
      <c r="H460" s="171">
        <v>45.0</v>
      </c>
      <c r="I460" s="171">
        <v>50.0</v>
      </c>
      <c r="J460" s="325">
        <f t="shared" si="13"/>
        <v>0.001447851861</v>
      </c>
      <c r="K460" s="326">
        <f t="shared" ref="K460:K472" si="30">J460*$J$1</f>
        <v>1.090956377</v>
      </c>
      <c r="L460" s="327">
        <f t="shared" si="4"/>
        <v>1.090956377</v>
      </c>
      <c r="M460" s="321" t="str">
        <f t="shared" si="5"/>
        <v>aaron_soskin</v>
      </c>
      <c r="N460" s="176">
        <f>IFERROR(__xludf.DUMMYFUNCTION("""COMPUTED_VALUE"""),1.0)</f>
        <v>1</v>
      </c>
      <c r="O460" s="243"/>
      <c r="P460" s="243"/>
      <c r="Q460" s="243"/>
      <c r="R460" s="243"/>
      <c r="S460" s="243"/>
      <c r="T460" s="243"/>
      <c r="U460" s="176"/>
      <c r="V460" s="176"/>
      <c r="W460" s="176"/>
      <c r="X460" s="176"/>
      <c r="Y460" s="176"/>
      <c r="Z460" s="176"/>
    </row>
    <row r="461">
      <c r="A461" s="226" t="s">
        <v>38</v>
      </c>
      <c r="B461" s="226" t="s">
        <v>519</v>
      </c>
      <c r="C461" s="250" t="s">
        <v>3204</v>
      </c>
      <c r="D461" s="268" t="s">
        <v>495</v>
      </c>
      <c r="E461" s="251">
        <v>44175.0</v>
      </c>
      <c r="F461" s="250" t="s">
        <v>521</v>
      </c>
      <c r="G461" s="171">
        <v>5.0</v>
      </c>
      <c r="H461" s="171">
        <v>45.0</v>
      </c>
      <c r="I461" s="171">
        <v>50.0</v>
      </c>
      <c r="J461" s="325">
        <f t="shared" si="13"/>
        <v>0.001447851861</v>
      </c>
      <c r="K461" s="326">
        <f t="shared" si="30"/>
        <v>1.090956377</v>
      </c>
      <c r="L461" s="327">
        <f t="shared" si="4"/>
        <v>1.090956377</v>
      </c>
      <c r="M461" s="321" t="str">
        <f t="shared" si="5"/>
        <v>danibelle</v>
      </c>
      <c r="N461" s="176">
        <f>IFERROR(__xludf.DUMMYFUNCTION("""COMPUTED_VALUE"""),1.0)</f>
        <v>1</v>
      </c>
      <c r="O461" s="243"/>
      <c r="P461" s="243"/>
      <c r="Q461" s="243"/>
      <c r="R461" s="243"/>
      <c r="S461" s="243"/>
      <c r="T461" s="243"/>
      <c r="U461" s="176"/>
      <c r="V461" s="176"/>
      <c r="W461" s="176"/>
      <c r="X461" s="176"/>
      <c r="Y461" s="176"/>
      <c r="Z461" s="176"/>
    </row>
    <row r="462">
      <c r="A462" s="226" t="s">
        <v>134</v>
      </c>
      <c r="B462" s="226" t="s">
        <v>18</v>
      </c>
      <c r="C462" s="250" t="s">
        <v>3181</v>
      </c>
      <c r="D462" s="268" t="s">
        <v>495</v>
      </c>
      <c r="E462" s="251">
        <v>44180.0</v>
      </c>
      <c r="F462" s="250" t="s">
        <v>496</v>
      </c>
      <c r="G462" s="171">
        <v>5.0</v>
      </c>
      <c r="H462" s="171">
        <v>45.0</v>
      </c>
      <c r="I462" s="171">
        <v>50.0</v>
      </c>
      <c r="J462" s="325">
        <f t="shared" si="13"/>
        <v>0.001447851861</v>
      </c>
      <c r="K462" s="326">
        <f t="shared" si="30"/>
        <v>1.090956377</v>
      </c>
      <c r="L462" s="327">
        <f t="shared" si="4"/>
        <v>1.090956377</v>
      </c>
      <c r="M462" s="321" t="str">
        <f t="shared" si="5"/>
        <v>katebee</v>
      </c>
      <c r="N462" s="176">
        <f>IFERROR(__xludf.DUMMYFUNCTION("""COMPUTED_VALUE"""),1.0)</f>
        <v>1</v>
      </c>
      <c r="O462" s="243"/>
      <c r="P462" s="243"/>
      <c r="Q462" s="243"/>
      <c r="R462" s="243"/>
      <c r="S462" s="243"/>
      <c r="T462" s="243"/>
      <c r="U462" s="176"/>
      <c r="V462" s="176"/>
      <c r="W462" s="176"/>
      <c r="X462" s="176"/>
      <c r="Y462" s="176"/>
      <c r="Z462" s="176"/>
    </row>
    <row r="463">
      <c r="A463" s="226" t="s">
        <v>123</v>
      </c>
      <c r="B463" s="226" t="s">
        <v>519</v>
      </c>
      <c r="C463" s="250" t="s">
        <v>3203</v>
      </c>
      <c r="D463" s="268" t="s">
        <v>495</v>
      </c>
      <c r="E463" s="361">
        <v>44173.0</v>
      </c>
      <c r="F463" s="250" t="s">
        <v>521</v>
      </c>
      <c r="G463" s="171">
        <v>5.0</v>
      </c>
      <c r="H463" s="171">
        <v>45.0</v>
      </c>
      <c r="I463" s="171">
        <v>50.0</v>
      </c>
      <c r="J463" s="325">
        <f t="shared" si="13"/>
        <v>0.001447851861</v>
      </c>
      <c r="K463" s="326">
        <f t="shared" si="30"/>
        <v>1.090956377</v>
      </c>
      <c r="L463" s="327">
        <f t="shared" si="4"/>
        <v>1.090956377</v>
      </c>
      <c r="M463" s="321" t="str">
        <f t="shared" si="5"/>
        <v>lbagic</v>
      </c>
      <c r="N463" s="176">
        <f>IFERROR(__xludf.DUMMYFUNCTION("""COMPUTED_VALUE"""),1.0)</f>
        <v>1</v>
      </c>
      <c r="O463" s="243"/>
      <c r="P463" s="243"/>
      <c r="Q463" s="243"/>
      <c r="R463" s="243"/>
      <c r="S463" s="243"/>
      <c r="T463" s="243"/>
      <c r="U463" s="176"/>
      <c r="V463" s="176"/>
      <c r="W463" s="176"/>
      <c r="X463" s="176"/>
      <c r="Y463" s="176"/>
      <c r="Z463" s="176"/>
    </row>
    <row r="464">
      <c r="A464" s="226" t="s">
        <v>52</v>
      </c>
      <c r="B464" s="226" t="s">
        <v>519</v>
      </c>
      <c r="C464" s="250" t="s">
        <v>3204</v>
      </c>
      <c r="D464" s="268" t="s">
        <v>495</v>
      </c>
      <c r="E464" s="251">
        <v>44175.0</v>
      </c>
      <c r="F464" s="250" t="s">
        <v>521</v>
      </c>
      <c r="G464" s="171">
        <v>5.0</v>
      </c>
      <c r="H464" s="171">
        <v>45.0</v>
      </c>
      <c r="I464" s="171">
        <v>50.0</v>
      </c>
      <c r="J464" s="325">
        <f t="shared" si="13"/>
        <v>0.001447851861</v>
      </c>
      <c r="K464" s="326">
        <f t="shared" si="30"/>
        <v>1.090956377</v>
      </c>
      <c r="L464" s="327">
        <f t="shared" si="4"/>
        <v>1.090956377</v>
      </c>
      <c r="M464" s="321" t="str">
        <f t="shared" si="5"/>
        <v>randomshinichi</v>
      </c>
      <c r="N464" s="176">
        <f>IFERROR(__xludf.DUMMYFUNCTION("""COMPUTED_VALUE"""),1.0)</f>
        <v>1</v>
      </c>
      <c r="O464" s="243"/>
      <c r="P464" s="243"/>
      <c r="Q464" s="243"/>
      <c r="R464" s="243"/>
      <c r="S464" s="243"/>
      <c r="T464" s="243"/>
      <c r="U464" s="176"/>
      <c r="V464" s="176"/>
      <c r="W464" s="176"/>
      <c r="X464" s="176"/>
      <c r="Y464" s="176"/>
      <c r="Z464" s="176"/>
    </row>
    <row r="465">
      <c r="A465" s="226" t="s">
        <v>70</v>
      </c>
      <c r="B465" s="226" t="s">
        <v>18</v>
      </c>
      <c r="C465" s="250" t="s">
        <v>3169</v>
      </c>
      <c r="D465" s="268" t="s">
        <v>495</v>
      </c>
      <c r="E465" s="361">
        <v>44174.0</v>
      </c>
      <c r="F465" s="250" t="s">
        <v>496</v>
      </c>
      <c r="G465" s="171">
        <v>5.0</v>
      </c>
      <c r="H465" s="171">
        <v>45.0</v>
      </c>
      <c r="I465" s="171">
        <v>50.0</v>
      </c>
      <c r="J465" s="325">
        <f t="shared" si="13"/>
        <v>0.001447851861</v>
      </c>
      <c r="K465" s="326">
        <f t="shared" si="30"/>
        <v>1.090956377</v>
      </c>
      <c r="L465" s="327">
        <f t="shared" si="4"/>
        <v>1.090956377</v>
      </c>
      <c r="M465" s="321" t="str">
        <f t="shared" si="5"/>
        <v>rubenrussel7</v>
      </c>
      <c r="N465" s="176">
        <f>IFERROR(__xludf.DUMMYFUNCTION("""COMPUTED_VALUE"""),1.0)</f>
        <v>1</v>
      </c>
      <c r="O465" s="243"/>
      <c r="P465" s="243"/>
      <c r="Q465" s="243"/>
      <c r="R465" s="243"/>
      <c r="S465" s="243"/>
      <c r="T465" s="243"/>
      <c r="U465" s="176"/>
      <c r="V465" s="176"/>
      <c r="W465" s="176"/>
      <c r="X465" s="176"/>
      <c r="Y465" s="176"/>
      <c r="Z465" s="176"/>
    </row>
    <row r="466">
      <c r="A466" s="226" t="s">
        <v>111</v>
      </c>
      <c r="B466" s="226" t="s">
        <v>519</v>
      </c>
      <c r="C466" s="250" t="s">
        <v>3203</v>
      </c>
      <c r="D466" s="268" t="s">
        <v>495</v>
      </c>
      <c r="E466" s="361">
        <v>44173.0</v>
      </c>
      <c r="F466" s="250" t="s">
        <v>521</v>
      </c>
      <c r="G466" s="171">
        <v>5.0</v>
      </c>
      <c r="H466" s="171">
        <v>45.0</v>
      </c>
      <c r="I466" s="171">
        <v>50.0</v>
      </c>
      <c r="J466" s="325">
        <f t="shared" si="13"/>
        <v>0.001447851861</v>
      </c>
      <c r="K466" s="326">
        <f t="shared" si="30"/>
        <v>1.090956377</v>
      </c>
      <c r="L466" s="327">
        <f t="shared" si="4"/>
        <v>1.090956377</v>
      </c>
      <c r="M466" s="321" t="str">
        <f t="shared" si="5"/>
        <v>simunstrukan</v>
      </c>
      <c r="N466" s="176">
        <f>IFERROR(__xludf.DUMMYFUNCTION("""COMPUTED_VALUE"""),1.0)</f>
        <v>1</v>
      </c>
      <c r="O466" s="243"/>
      <c r="P466" s="243"/>
      <c r="Q466" s="243"/>
      <c r="R466" s="243"/>
      <c r="S466" s="243"/>
      <c r="T466" s="243"/>
      <c r="U466" s="176"/>
      <c r="V466" s="176"/>
      <c r="W466" s="176"/>
      <c r="X466" s="176"/>
      <c r="Y466" s="176"/>
      <c r="Z466" s="176"/>
    </row>
    <row r="467">
      <c r="A467" s="226" t="s">
        <v>27</v>
      </c>
      <c r="B467" s="226" t="s">
        <v>590</v>
      </c>
      <c r="C467" s="250" t="s">
        <v>3329</v>
      </c>
      <c r="D467" s="268" t="s">
        <v>495</v>
      </c>
      <c r="E467" s="251">
        <v>44175.0</v>
      </c>
      <c r="F467" s="250" t="s">
        <v>496</v>
      </c>
      <c r="G467" s="171">
        <v>1.0</v>
      </c>
      <c r="H467" s="171">
        <v>1.0</v>
      </c>
      <c r="I467" s="171">
        <v>1.0</v>
      </c>
      <c r="J467" s="325">
        <f t="shared" si="13"/>
        <v>0.00006411622608</v>
      </c>
      <c r="K467" s="326">
        <f t="shared" si="30"/>
        <v>0.04831157635</v>
      </c>
      <c r="L467" s="327">
        <f t="shared" si="4"/>
        <v>1.053962847</v>
      </c>
      <c r="M467" s="321" t="str">
        <f t="shared" si="5"/>
        <v>merlinegalite</v>
      </c>
      <c r="N467" s="176">
        <f>IFERROR(__xludf.DUMMYFUNCTION("""COMPUTED_VALUE"""),1.0)</f>
        <v>1</v>
      </c>
      <c r="O467" s="243"/>
      <c r="P467" s="243"/>
      <c r="Q467" s="243"/>
      <c r="R467" s="243"/>
      <c r="S467" s="243"/>
      <c r="T467" s="243"/>
      <c r="U467" s="176"/>
      <c r="V467" s="176"/>
      <c r="W467" s="176"/>
      <c r="X467" s="176"/>
      <c r="Y467" s="176"/>
      <c r="Z467" s="176"/>
    </row>
    <row r="468">
      <c r="A468" s="226" t="s">
        <v>27</v>
      </c>
      <c r="B468" s="226" t="s">
        <v>10</v>
      </c>
      <c r="C468" s="250" t="s">
        <v>3176</v>
      </c>
      <c r="D468" s="268" t="s">
        <v>495</v>
      </c>
      <c r="E468" s="251">
        <v>44176.0</v>
      </c>
      <c r="F468" s="250" t="s">
        <v>496</v>
      </c>
      <c r="G468" s="171">
        <v>2.0</v>
      </c>
      <c r="H468" s="171">
        <v>45.0</v>
      </c>
      <c r="I468" s="171">
        <v>50.0</v>
      </c>
      <c r="J468" s="325">
        <f t="shared" si="13"/>
        <v>0.001334640041</v>
      </c>
      <c r="K468" s="326">
        <f t="shared" si="30"/>
        <v>1.005651271</v>
      </c>
      <c r="L468" s="327">
        <f t="shared" si="4"/>
        <v>1.053962847</v>
      </c>
      <c r="M468" s="321" t="str">
        <f t="shared" si="5"/>
        <v>merlinegalite</v>
      </c>
      <c r="N468" s="176">
        <f>IFERROR(__xludf.DUMMYFUNCTION("""COMPUTED_VALUE"""),2.0)</f>
        <v>2</v>
      </c>
      <c r="O468" s="243"/>
      <c r="P468" s="243"/>
      <c r="Q468" s="243"/>
      <c r="R468" s="243"/>
      <c r="S468" s="243"/>
      <c r="T468" s="243"/>
      <c r="U468" s="176"/>
      <c r="V468" s="176"/>
      <c r="W468" s="176"/>
      <c r="X468" s="176"/>
      <c r="Y468" s="176"/>
      <c r="Z468" s="176"/>
    </row>
    <row r="469">
      <c r="A469" s="226" t="s">
        <v>145</v>
      </c>
      <c r="B469" s="226" t="s">
        <v>10</v>
      </c>
      <c r="C469" s="250" t="s">
        <v>3176</v>
      </c>
      <c r="D469" s="268" t="s">
        <v>495</v>
      </c>
      <c r="E469" s="251">
        <v>44176.0</v>
      </c>
      <c r="F469" s="250" t="s">
        <v>496</v>
      </c>
      <c r="G469" s="171">
        <v>2.0</v>
      </c>
      <c r="H469" s="171">
        <v>45.0</v>
      </c>
      <c r="I469" s="171">
        <v>50.0</v>
      </c>
      <c r="J469" s="325">
        <f t="shared" si="13"/>
        <v>0.001334640041</v>
      </c>
      <c r="K469" s="326">
        <f t="shared" si="30"/>
        <v>1.005651271</v>
      </c>
      <c r="L469" s="327">
        <f t="shared" si="4"/>
        <v>1.005651271</v>
      </c>
      <c r="M469" s="321" t="str">
        <f t="shared" si="5"/>
        <v>brutalfluffy</v>
      </c>
      <c r="N469" s="176">
        <f>IFERROR(__xludf.DUMMYFUNCTION("""COMPUTED_VALUE"""),1.0)</f>
        <v>1</v>
      </c>
      <c r="O469" s="243"/>
      <c r="P469" s="243"/>
      <c r="Q469" s="243"/>
      <c r="R469" s="243"/>
      <c r="S469" s="243"/>
      <c r="T469" s="243"/>
      <c r="U469" s="176"/>
      <c r="V469" s="176"/>
      <c r="W469" s="176"/>
      <c r="X469" s="176"/>
      <c r="Y469" s="176"/>
      <c r="Z469" s="176"/>
    </row>
    <row r="470">
      <c r="A470" s="226" t="s">
        <v>97</v>
      </c>
      <c r="B470" s="226" t="s">
        <v>590</v>
      </c>
      <c r="C470" s="250" t="s">
        <v>3330</v>
      </c>
      <c r="D470" s="268" t="s">
        <v>495</v>
      </c>
      <c r="E470" s="251">
        <v>44180.0</v>
      </c>
      <c r="F470" s="250" t="s">
        <v>496</v>
      </c>
      <c r="G470" s="171">
        <v>1.0</v>
      </c>
      <c r="H470" s="171">
        <v>1.0</v>
      </c>
      <c r="I470" s="171">
        <v>1.0</v>
      </c>
      <c r="J470" s="325">
        <f t="shared" si="13"/>
        <v>0.00006411622608</v>
      </c>
      <c r="K470" s="326">
        <f t="shared" si="30"/>
        <v>0.04831157635</v>
      </c>
      <c r="L470" s="327">
        <f t="shared" si="4"/>
        <v>0.7428644476</v>
      </c>
      <c r="M470" s="321" t="str">
        <f t="shared" si="5"/>
        <v>jwaup</v>
      </c>
      <c r="N470" s="176">
        <f>IFERROR(__xludf.DUMMYFUNCTION("""COMPUTED_VALUE"""),1.0)</f>
        <v>1</v>
      </c>
      <c r="O470" s="243"/>
      <c r="P470" s="243"/>
      <c r="Q470" s="243"/>
      <c r="R470" s="243"/>
      <c r="S470" s="243"/>
      <c r="T470" s="243"/>
      <c r="U470" s="176"/>
      <c r="V470" s="176"/>
      <c r="W470" s="176"/>
      <c r="X470" s="176"/>
      <c r="Y470" s="176"/>
      <c r="Z470" s="176"/>
    </row>
    <row r="471">
      <c r="A471" s="226" t="s">
        <v>97</v>
      </c>
      <c r="B471" s="226" t="s">
        <v>18</v>
      </c>
      <c r="C471" s="250" t="s">
        <v>3331</v>
      </c>
      <c r="D471" s="268" t="s">
        <v>495</v>
      </c>
      <c r="E471" s="251">
        <v>44180.0</v>
      </c>
      <c r="F471" s="250" t="s">
        <v>496</v>
      </c>
      <c r="G471" s="171">
        <v>5.0</v>
      </c>
      <c r="H471" s="171">
        <v>1.0</v>
      </c>
      <c r="I471" s="171">
        <v>50.0</v>
      </c>
      <c r="J471" s="325">
        <f t="shared" si="13"/>
        <v>0.0009217689068</v>
      </c>
      <c r="K471" s="326">
        <f t="shared" si="30"/>
        <v>0.6945528713</v>
      </c>
      <c r="L471" s="327">
        <f t="shared" si="4"/>
        <v>0.7428644476</v>
      </c>
      <c r="M471" s="321" t="str">
        <f t="shared" si="5"/>
        <v>jwaup</v>
      </c>
      <c r="N471" s="176">
        <f>IFERROR(__xludf.DUMMYFUNCTION("""COMPUTED_VALUE"""),2.0)</f>
        <v>2</v>
      </c>
      <c r="O471" s="243"/>
      <c r="P471" s="243"/>
      <c r="Q471" s="243"/>
      <c r="R471" s="243"/>
      <c r="S471" s="243"/>
      <c r="T471" s="243"/>
      <c r="U471" s="176"/>
      <c r="V471" s="176"/>
      <c r="W471" s="176"/>
      <c r="X471" s="176"/>
      <c r="Y471" s="176"/>
      <c r="Z471" s="176"/>
    </row>
    <row r="472">
      <c r="A472" s="226" t="s">
        <v>85</v>
      </c>
      <c r="B472" s="226" t="s">
        <v>85</v>
      </c>
      <c r="C472" s="250" t="s">
        <v>3332</v>
      </c>
      <c r="D472" s="268" t="s">
        <v>495</v>
      </c>
      <c r="E472" s="251">
        <v>44176.0</v>
      </c>
      <c r="F472" s="250" t="s">
        <v>2586</v>
      </c>
      <c r="G472" s="171">
        <v>89.0</v>
      </c>
      <c r="H472" s="171">
        <v>130.0</v>
      </c>
      <c r="I472" s="171">
        <v>100.0</v>
      </c>
      <c r="J472" s="325">
        <f t="shared" si="13"/>
        <v>0.006355205527</v>
      </c>
      <c r="K472" s="326">
        <f t="shared" si="30"/>
        <v>4.788647365</v>
      </c>
      <c r="L472" s="327">
        <f t="shared" si="4"/>
        <v>0.7103473646</v>
      </c>
      <c r="M472" s="321" t="str">
        <f t="shared" si="5"/>
        <v>vivszaid</v>
      </c>
      <c r="N472" s="176">
        <f>IFERROR(__xludf.DUMMYFUNCTION("""COMPUTED_VALUE"""),1.0)</f>
        <v>1</v>
      </c>
      <c r="O472" s="243"/>
      <c r="P472" s="243"/>
      <c r="Q472" s="243"/>
      <c r="R472" s="243"/>
      <c r="S472" s="243"/>
      <c r="T472" s="243"/>
      <c r="U472" s="176"/>
      <c r="V472" s="176"/>
      <c r="W472" s="176"/>
      <c r="X472" s="176"/>
      <c r="Y472" s="176"/>
      <c r="Z472" s="176"/>
    </row>
    <row r="473">
      <c r="A473" s="240" t="s">
        <v>85</v>
      </c>
      <c r="B473" s="240" t="s">
        <v>534</v>
      </c>
      <c r="C473" s="346" t="s">
        <v>2386</v>
      </c>
      <c r="D473" s="336"/>
      <c r="E473" s="255"/>
      <c r="F473" s="254"/>
      <c r="G473" s="222"/>
      <c r="H473" s="222"/>
      <c r="I473" s="222"/>
      <c r="J473" s="325">
        <f t="shared" si="13"/>
        <v>0</v>
      </c>
      <c r="K473" s="337">
        <f>4.798*-0.85</f>
        <v>-4.0783</v>
      </c>
      <c r="L473" s="327">
        <f t="shared" si="4"/>
        <v>0.7103473646</v>
      </c>
      <c r="M473" s="321" t="str">
        <f t="shared" si="5"/>
        <v>vivszaid</v>
      </c>
      <c r="N473" s="209">
        <f>IFERROR(__xludf.DUMMYFUNCTION("""COMPUTED_VALUE"""),2.0)</f>
        <v>2</v>
      </c>
      <c r="O473" s="176"/>
      <c r="P473" s="176"/>
      <c r="Q473" s="176"/>
      <c r="R473" s="176">
        <v>14.130370493717818</v>
      </c>
      <c r="S473" s="176"/>
      <c r="T473" s="176"/>
      <c r="U473" s="176"/>
      <c r="V473" s="176"/>
      <c r="W473" s="176"/>
      <c r="X473" s="176"/>
      <c r="Y473" s="176"/>
      <c r="Z473" s="176"/>
    </row>
    <row r="474">
      <c r="A474" s="226" t="s">
        <v>299</v>
      </c>
      <c r="B474" s="226" t="s">
        <v>10</v>
      </c>
      <c r="C474" s="250" t="s">
        <v>3239</v>
      </c>
      <c r="D474" s="268" t="s">
        <v>495</v>
      </c>
      <c r="E474" s="361">
        <v>44173.0</v>
      </c>
      <c r="F474" s="250" t="s">
        <v>499</v>
      </c>
      <c r="G474" s="171">
        <v>4.0</v>
      </c>
      <c r="H474" s="171">
        <v>5.0</v>
      </c>
      <c r="I474" s="171">
        <v>10.0</v>
      </c>
      <c r="J474" s="325">
        <f t="shared" si="13"/>
        <v>0.0003549564684</v>
      </c>
      <c r="K474" s="326">
        <f t="shared" ref="K474:K481" si="31">J474*$J$1</f>
        <v>0.2674596989</v>
      </c>
      <c r="L474" s="327">
        <f t="shared" si="4"/>
        <v>0.2674596989</v>
      </c>
      <c r="M474" s="321" t="str">
        <f t="shared" si="5"/>
        <v>edapt</v>
      </c>
      <c r="N474" s="176">
        <f>IFERROR(__xludf.DUMMYFUNCTION("""COMPUTED_VALUE"""),1.0)</f>
        <v>1</v>
      </c>
      <c r="O474" s="243"/>
      <c r="P474" s="243"/>
      <c r="Q474" s="243"/>
      <c r="R474" s="243"/>
      <c r="S474" s="243"/>
      <c r="T474" s="243"/>
      <c r="U474" s="176"/>
      <c r="V474" s="176"/>
      <c r="W474" s="176"/>
      <c r="X474" s="176"/>
      <c r="Y474" s="176"/>
      <c r="Z474" s="176"/>
    </row>
    <row r="475">
      <c r="A475" s="226" t="s">
        <v>207</v>
      </c>
      <c r="B475" s="226" t="s">
        <v>10</v>
      </c>
      <c r="C475" s="250" t="s">
        <v>3239</v>
      </c>
      <c r="D475" s="268" t="s">
        <v>495</v>
      </c>
      <c r="E475" s="361">
        <v>44173.0</v>
      </c>
      <c r="F475" s="250" t="s">
        <v>499</v>
      </c>
      <c r="G475" s="171">
        <v>4.0</v>
      </c>
      <c r="H475" s="171">
        <v>5.0</v>
      </c>
      <c r="I475" s="171">
        <v>10.0</v>
      </c>
      <c r="J475" s="325">
        <f t="shared" si="13"/>
        <v>0.0003549564684</v>
      </c>
      <c r="K475" s="326">
        <f t="shared" si="31"/>
        <v>0.2674596989</v>
      </c>
      <c r="L475" s="327">
        <f t="shared" si="4"/>
        <v>0.2674596989</v>
      </c>
      <c r="M475" s="321" t="str">
        <f t="shared" si="5"/>
        <v>edendh</v>
      </c>
      <c r="N475" s="176">
        <f>IFERROR(__xludf.DUMMYFUNCTION("""COMPUTED_VALUE"""),1.0)</f>
        <v>1</v>
      </c>
      <c r="O475" s="243"/>
      <c r="P475" s="243"/>
      <c r="Q475" s="243"/>
      <c r="R475" s="243"/>
      <c r="S475" s="243"/>
      <c r="T475" s="243"/>
      <c r="U475" s="176"/>
      <c r="V475" s="176"/>
      <c r="W475" s="176"/>
      <c r="X475" s="176"/>
      <c r="Y475" s="176"/>
      <c r="Z475" s="176"/>
    </row>
    <row r="476">
      <c r="A476" s="226" t="s">
        <v>114</v>
      </c>
      <c r="B476" s="226" t="s">
        <v>10</v>
      </c>
      <c r="C476" s="250" t="s">
        <v>3239</v>
      </c>
      <c r="D476" s="268" t="s">
        <v>495</v>
      </c>
      <c r="E476" s="361">
        <v>44173.0</v>
      </c>
      <c r="F476" s="250" t="s">
        <v>499</v>
      </c>
      <c r="G476" s="171">
        <v>4.0</v>
      </c>
      <c r="H476" s="171">
        <v>5.0</v>
      </c>
      <c r="I476" s="171">
        <v>10.0</v>
      </c>
      <c r="J476" s="325">
        <f t="shared" si="13"/>
        <v>0.0003549564684</v>
      </c>
      <c r="K476" s="326">
        <f t="shared" si="31"/>
        <v>0.2674596989</v>
      </c>
      <c r="L476" s="327">
        <f t="shared" si="4"/>
        <v>0.2674596989</v>
      </c>
      <c r="M476" s="321" t="str">
        <f t="shared" si="5"/>
        <v>existenialstoic</v>
      </c>
      <c r="N476" s="176">
        <f>IFERROR(__xludf.DUMMYFUNCTION("""COMPUTED_VALUE"""),1.0)</f>
        <v>1</v>
      </c>
      <c r="O476" s="243"/>
      <c r="P476" s="243"/>
      <c r="Q476" s="243"/>
      <c r="R476" s="243"/>
      <c r="S476" s="243"/>
      <c r="T476" s="243"/>
      <c r="U476" s="176"/>
      <c r="V476" s="176"/>
      <c r="W476" s="176"/>
      <c r="X476" s="176"/>
      <c r="Y476" s="176"/>
      <c r="Z476" s="176"/>
    </row>
    <row r="477">
      <c r="A477" s="226" t="s">
        <v>78</v>
      </c>
      <c r="B477" s="226" t="s">
        <v>10</v>
      </c>
      <c r="C477" s="250" t="s">
        <v>3239</v>
      </c>
      <c r="D477" s="268" t="s">
        <v>495</v>
      </c>
      <c r="E477" s="361">
        <v>44173.0</v>
      </c>
      <c r="F477" s="250" t="s">
        <v>499</v>
      </c>
      <c r="G477" s="171">
        <v>4.0</v>
      </c>
      <c r="H477" s="171">
        <v>5.0</v>
      </c>
      <c r="I477" s="171">
        <v>10.0</v>
      </c>
      <c r="J477" s="325">
        <f t="shared" si="13"/>
        <v>0.0003549564684</v>
      </c>
      <c r="K477" s="326">
        <f t="shared" si="31"/>
        <v>0.2674596989</v>
      </c>
      <c r="L477" s="327">
        <f t="shared" si="4"/>
        <v>0.2674596989</v>
      </c>
      <c r="M477" s="321" t="str">
        <f t="shared" si="5"/>
        <v>jonathanbsci</v>
      </c>
      <c r="N477" s="176">
        <f>IFERROR(__xludf.DUMMYFUNCTION("""COMPUTED_VALUE"""),1.0)</f>
        <v>1</v>
      </c>
      <c r="O477" s="243"/>
      <c r="P477" s="243"/>
      <c r="Q477" s="243"/>
      <c r="R477" s="243"/>
      <c r="S477" s="243"/>
      <c r="T477" s="243"/>
      <c r="U477" s="176"/>
      <c r="V477" s="176"/>
      <c r="W477" s="176"/>
      <c r="X477" s="176"/>
      <c r="Y477" s="176"/>
      <c r="Z477" s="176"/>
    </row>
    <row r="478">
      <c r="A478" s="226" t="s">
        <v>88</v>
      </c>
      <c r="B478" s="226" t="s">
        <v>10</v>
      </c>
      <c r="C478" s="250" t="s">
        <v>3239</v>
      </c>
      <c r="D478" s="268" t="s">
        <v>495</v>
      </c>
      <c r="E478" s="361">
        <v>44173.0</v>
      </c>
      <c r="F478" s="250" t="s">
        <v>499</v>
      </c>
      <c r="G478" s="171">
        <v>4.0</v>
      </c>
      <c r="H478" s="171">
        <v>5.0</v>
      </c>
      <c r="I478" s="171">
        <v>10.0</v>
      </c>
      <c r="J478" s="325">
        <f t="shared" si="13"/>
        <v>0.0003549564684</v>
      </c>
      <c r="K478" s="326">
        <f t="shared" si="31"/>
        <v>0.2674596989</v>
      </c>
      <c r="L478" s="327">
        <f t="shared" si="4"/>
        <v>0.2674596989</v>
      </c>
      <c r="M478" s="321" t="str">
        <f t="shared" si="5"/>
        <v>phil_h</v>
      </c>
      <c r="N478" s="176">
        <f>IFERROR(__xludf.DUMMYFUNCTION("""COMPUTED_VALUE"""),1.0)</f>
        <v>1</v>
      </c>
      <c r="O478" s="243"/>
      <c r="P478" s="243"/>
      <c r="Q478" s="243"/>
      <c r="R478" s="243"/>
      <c r="S478" s="243"/>
      <c r="T478" s="243"/>
      <c r="U478" s="176"/>
      <c r="V478" s="176"/>
      <c r="W478" s="176"/>
      <c r="X478" s="176"/>
      <c r="Y478" s="176"/>
      <c r="Z478" s="176"/>
    </row>
    <row r="479">
      <c r="A479" s="226" t="s">
        <v>312</v>
      </c>
      <c r="B479" s="226" t="s">
        <v>10</v>
      </c>
      <c r="C479" s="250" t="s">
        <v>3239</v>
      </c>
      <c r="D479" s="268" t="s">
        <v>495</v>
      </c>
      <c r="E479" s="361">
        <v>44173.0</v>
      </c>
      <c r="F479" s="250" t="s">
        <v>499</v>
      </c>
      <c r="G479" s="171">
        <v>4.0</v>
      </c>
      <c r="H479" s="171">
        <v>5.0</v>
      </c>
      <c r="I479" s="171">
        <v>10.0</v>
      </c>
      <c r="J479" s="325">
        <f t="shared" si="13"/>
        <v>0.0003549564684</v>
      </c>
      <c r="K479" s="326">
        <f t="shared" si="31"/>
        <v>0.2674596989</v>
      </c>
      <c r="L479" s="327">
        <f t="shared" si="4"/>
        <v>0.2674596989</v>
      </c>
      <c r="M479" s="321" t="str">
        <f t="shared" si="5"/>
        <v>wunluv</v>
      </c>
      <c r="N479" s="176">
        <f>IFERROR(__xludf.DUMMYFUNCTION("""COMPUTED_VALUE"""),1.0)</f>
        <v>1</v>
      </c>
      <c r="O479" s="243"/>
      <c r="P479" s="243"/>
      <c r="Q479" s="243"/>
      <c r="R479" s="243"/>
      <c r="S479" s="243"/>
      <c r="T479" s="243"/>
      <c r="U479" s="176"/>
      <c r="V479" s="176"/>
      <c r="W479" s="176"/>
      <c r="X479" s="176"/>
      <c r="Y479" s="176"/>
      <c r="Z479" s="176"/>
    </row>
    <row r="480">
      <c r="A480" s="226" t="s">
        <v>382</v>
      </c>
      <c r="B480" s="226" t="s">
        <v>5</v>
      </c>
      <c r="C480" s="250" t="s">
        <v>3333</v>
      </c>
      <c r="D480" s="268" t="s">
        <v>495</v>
      </c>
      <c r="E480" s="251">
        <v>44180.0</v>
      </c>
      <c r="F480" s="250" t="s">
        <v>496</v>
      </c>
      <c r="G480" s="171">
        <v>1.0</v>
      </c>
      <c r="H480" s="171">
        <v>1.0</v>
      </c>
      <c r="I480" s="171">
        <v>1.0</v>
      </c>
      <c r="J480" s="325">
        <f t="shared" si="13"/>
        <v>0.00006411622608</v>
      </c>
      <c r="K480" s="326">
        <f t="shared" si="31"/>
        <v>0.04831157635</v>
      </c>
      <c r="L480" s="327">
        <f t="shared" si="4"/>
        <v>0.04831157635</v>
      </c>
      <c r="M480" s="321" t="str">
        <f t="shared" si="5"/>
        <v>asalemalawi</v>
      </c>
      <c r="N480" s="176">
        <f>IFERROR(__xludf.DUMMYFUNCTION("""COMPUTED_VALUE"""),1.0)</f>
        <v>1</v>
      </c>
      <c r="O480" s="243"/>
      <c r="P480" s="243"/>
      <c r="Q480" s="243"/>
      <c r="R480" s="243"/>
      <c r="S480" s="243"/>
      <c r="T480" s="243"/>
      <c r="U480" s="176"/>
      <c r="V480" s="176"/>
      <c r="W480" s="176"/>
      <c r="X480" s="176"/>
      <c r="Y480" s="176"/>
      <c r="Z480" s="176"/>
    </row>
    <row r="481">
      <c r="A481" s="226" t="s">
        <v>12</v>
      </c>
      <c r="B481" s="226" t="s">
        <v>5</v>
      </c>
      <c r="C481" s="250" t="s">
        <v>3334</v>
      </c>
      <c r="D481" s="268" t="s">
        <v>495</v>
      </c>
      <c r="E481" s="361">
        <v>44174.0</v>
      </c>
      <c r="F481" s="250" t="s">
        <v>496</v>
      </c>
      <c r="G481" s="171">
        <v>1.0</v>
      </c>
      <c r="H481" s="171">
        <v>1.0</v>
      </c>
      <c r="I481" s="171">
        <v>1.0</v>
      </c>
      <c r="J481" s="325">
        <f t="shared" si="13"/>
        <v>0.00006411622608</v>
      </c>
      <c r="K481" s="326">
        <f t="shared" si="31"/>
        <v>0.04831157635</v>
      </c>
      <c r="L481" s="327">
        <f t="shared" si="4"/>
        <v>0.04831157635</v>
      </c>
      <c r="M481" s="321" t="str">
        <f t="shared" si="5"/>
        <v>metaverde</v>
      </c>
      <c r="N481" s="176">
        <f>IFERROR(__xludf.DUMMYFUNCTION("""COMPUTED_VALUE"""),1.0)</f>
        <v>1</v>
      </c>
      <c r="O481" s="243"/>
      <c r="P481" s="243"/>
      <c r="Q481" s="243"/>
      <c r="R481" s="243"/>
      <c r="S481" s="243"/>
      <c r="T481" s="243"/>
      <c r="U481" s="176"/>
      <c r="V481" s="176"/>
      <c r="W481" s="176"/>
      <c r="X481" s="176"/>
      <c r="Y481" s="176"/>
      <c r="Z481" s="176"/>
    </row>
    <row r="482">
      <c r="A482" s="362" t="s">
        <v>122</v>
      </c>
      <c r="B482" s="240" t="s">
        <v>534</v>
      </c>
      <c r="C482" s="346" t="s">
        <v>2452</v>
      </c>
      <c r="D482" s="336"/>
      <c r="E482" s="255"/>
      <c r="F482" s="254"/>
      <c r="G482" s="222"/>
      <c r="H482" s="222"/>
      <c r="I482" s="222"/>
      <c r="J482" s="325">
        <f t="shared" si="13"/>
        <v>0</v>
      </c>
      <c r="K482" s="337"/>
      <c r="L482" s="327">
        <f t="shared" si="4"/>
        <v>0</v>
      </c>
      <c r="M482" s="321" t="str">
        <f t="shared" si="5"/>
        <v>anthonyoliai</v>
      </c>
      <c r="N482" s="209">
        <f>IFERROR(__xludf.DUMMYFUNCTION("""COMPUTED_VALUE"""),1.0)</f>
        <v>1</v>
      </c>
      <c r="O482" s="176"/>
      <c r="P482" s="176"/>
      <c r="Q482" s="176"/>
      <c r="R482" s="176">
        <v>8.606119831199203</v>
      </c>
      <c r="S482" s="176"/>
      <c r="T482" s="176"/>
      <c r="U482" s="176"/>
      <c r="V482" s="176"/>
      <c r="W482" s="176"/>
      <c r="X482" s="176"/>
      <c r="Y482" s="176"/>
      <c r="Z482" s="176"/>
    </row>
  </sheetData>
  <autoFilter ref="$A$3:$Z$482">
    <sortState ref="A3:Z482">
      <sortCondition descending="1" ref="L3:L482"/>
      <sortCondition ref="A3:A482"/>
      <sortCondition ref="E3:E482"/>
      <sortCondition descending="1" ref="K3:K482"/>
    </sortState>
  </autoFilter>
  <hyperlinks>
    <hyperlink r:id="rId1" ref="C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3335</v>
      </c>
      <c r="B1" s="2">
        <f>sum(B3:B901)</f>
        <v>534.4380395</v>
      </c>
    </row>
    <row r="2">
      <c r="A2" s="246" t="s">
        <v>388</v>
      </c>
      <c r="B2" s="247" t="s">
        <v>2</v>
      </c>
    </row>
    <row r="3">
      <c r="A3" s="5" t="s">
        <v>4</v>
      </c>
      <c r="B3" s="6">
        <v>55.55789473684212</v>
      </c>
    </row>
    <row r="4">
      <c r="A4" s="5" t="s">
        <v>3</v>
      </c>
      <c r="B4" s="6">
        <v>51.58947368421054</v>
      </c>
    </row>
    <row r="5">
      <c r="A5" s="5" t="s">
        <v>6</v>
      </c>
      <c r="B5" s="6">
        <v>44.81065722174233</v>
      </c>
    </row>
    <row r="6">
      <c r="A6" s="5" t="s">
        <v>7</v>
      </c>
      <c r="B6" s="6">
        <v>37.74413313855647</v>
      </c>
    </row>
    <row r="7">
      <c r="A7" s="5" t="s">
        <v>13</v>
      </c>
      <c r="B7" s="6">
        <v>25.480439999675514</v>
      </c>
    </row>
    <row r="8">
      <c r="A8" s="5" t="s">
        <v>17</v>
      </c>
      <c r="B8" s="6">
        <v>25.433207500871028</v>
      </c>
    </row>
    <row r="9">
      <c r="A9" s="5" t="s">
        <v>25</v>
      </c>
      <c r="B9" s="6">
        <v>19.082900543388202</v>
      </c>
    </row>
    <row r="10">
      <c r="A10" s="5" t="s">
        <v>5</v>
      </c>
      <c r="B10" s="6">
        <v>18.441507139292327</v>
      </c>
    </row>
    <row r="11">
      <c r="A11" s="5" t="s">
        <v>15</v>
      </c>
      <c r="B11" s="6">
        <v>15.99163854475176</v>
      </c>
    </row>
    <row r="12">
      <c r="A12" s="5" t="s">
        <v>8</v>
      </c>
      <c r="B12" s="6">
        <v>13.61708735916531</v>
      </c>
    </row>
    <row r="13">
      <c r="A13" s="5" t="s">
        <v>11</v>
      </c>
      <c r="B13" s="6">
        <v>11.636397265476322</v>
      </c>
    </row>
    <row r="14">
      <c r="A14" s="5" t="s">
        <v>16</v>
      </c>
      <c r="B14" s="6">
        <v>10.266145044963935</v>
      </c>
    </row>
    <row r="15">
      <c r="A15" s="5" t="s">
        <v>126</v>
      </c>
      <c r="B15" s="6">
        <v>9.884198826595142</v>
      </c>
    </row>
    <row r="16">
      <c r="A16" s="5" t="s">
        <v>31</v>
      </c>
      <c r="B16" s="6">
        <v>8.946652788420044</v>
      </c>
    </row>
    <row r="17">
      <c r="A17" s="5" t="s">
        <v>118</v>
      </c>
      <c r="B17" s="6">
        <v>8.896925235615464</v>
      </c>
    </row>
    <row r="18">
      <c r="A18" s="5" t="s">
        <v>81</v>
      </c>
      <c r="B18" s="6">
        <v>7.799678177104177</v>
      </c>
    </row>
    <row r="19">
      <c r="A19" s="5" t="s">
        <v>18</v>
      </c>
      <c r="B19" s="6">
        <v>7.657699150493656</v>
      </c>
    </row>
    <row r="20">
      <c r="A20" s="5" t="s">
        <v>115</v>
      </c>
      <c r="B20" s="6">
        <v>7.082901078020852</v>
      </c>
    </row>
    <row r="21">
      <c r="A21" s="5" t="s">
        <v>14</v>
      </c>
      <c r="B21" s="6">
        <v>6.686071341879725</v>
      </c>
    </row>
    <row r="22">
      <c r="A22" s="5" t="s">
        <v>42</v>
      </c>
      <c r="B22" s="6">
        <v>6.452543701794218</v>
      </c>
    </row>
    <row r="23">
      <c r="A23" s="5" t="s">
        <v>69</v>
      </c>
      <c r="B23" s="6">
        <v>6.2624825994092355</v>
      </c>
    </row>
    <row r="24">
      <c r="A24" s="5" t="s">
        <v>152</v>
      </c>
      <c r="B24" s="6">
        <v>6.2624825994092355</v>
      </c>
    </row>
    <row r="25">
      <c r="A25" s="5" t="s">
        <v>28</v>
      </c>
      <c r="B25" s="6">
        <v>6.25062105263158</v>
      </c>
    </row>
    <row r="26">
      <c r="A26" s="5" t="s">
        <v>9</v>
      </c>
      <c r="B26" s="6">
        <v>5.930292758796285</v>
      </c>
    </row>
    <row r="27">
      <c r="A27" s="5" t="s">
        <v>24</v>
      </c>
      <c r="B27" s="6">
        <v>5.241924183057493</v>
      </c>
    </row>
    <row r="28">
      <c r="A28" s="5" t="s">
        <v>19</v>
      </c>
      <c r="B28" s="6">
        <v>5.241924183057493</v>
      </c>
    </row>
    <row r="29">
      <c r="A29" s="5" t="s">
        <v>73</v>
      </c>
      <c r="B29" s="6">
        <v>5.018609165337223</v>
      </c>
    </row>
    <row r="30">
      <c r="A30" s="5" t="s">
        <v>22</v>
      </c>
      <c r="B30" s="6">
        <v>4.946886013268497</v>
      </c>
    </row>
    <row r="31">
      <c r="A31" s="5" t="s">
        <v>26</v>
      </c>
      <c r="B31" s="6">
        <v>4.225585095047874</v>
      </c>
    </row>
    <row r="32">
      <c r="A32" s="5" t="s">
        <v>35</v>
      </c>
      <c r="B32" s="6">
        <v>3.7728755482131273</v>
      </c>
    </row>
    <row r="33">
      <c r="A33" s="5" t="s">
        <v>104</v>
      </c>
      <c r="B33" s="6">
        <v>3.720792077615353</v>
      </c>
    </row>
    <row r="34">
      <c r="A34" s="5" t="s">
        <v>36</v>
      </c>
      <c r="B34" s="6">
        <v>3.6875704423600757</v>
      </c>
    </row>
    <row r="35">
      <c r="A35" s="5" t="s">
        <v>43</v>
      </c>
      <c r="B35" s="6">
        <v>3.587054912794809</v>
      </c>
    </row>
    <row r="36">
      <c r="A36" s="5" t="s">
        <v>30</v>
      </c>
      <c r="B36" s="6">
        <v>3.1584749445458975</v>
      </c>
    </row>
    <row r="37">
      <c r="A37" s="5" t="s">
        <v>84</v>
      </c>
      <c r="B37" s="6">
        <v>3.136879735845555</v>
      </c>
    </row>
    <row r="38">
      <c r="A38" s="5" t="s">
        <v>60</v>
      </c>
      <c r="B38" s="6">
        <v>2.949378870202845</v>
      </c>
    </row>
    <row r="39">
      <c r="A39" s="5" t="s">
        <v>61</v>
      </c>
      <c r="B39" s="6">
        <v>2.8581763887799525</v>
      </c>
    </row>
    <row r="40">
      <c r="A40" s="5" t="s">
        <v>105</v>
      </c>
      <c r="B40" s="6">
        <v>2.772010877119927</v>
      </c>
    </row>
    <row r="41">
      <c r="A41" s="5" t="s">
        <v>50</v>
      </c>
      <c r="B41" s="6">
        <v>2.764973259434141</v>
      </c>
    </row>
    <row r="42">
      <c r="A42" s="5" t="s">
        <v>193</v>
      </c>
      <c r="B42" s="6">
        <v>2.7350173476193747</v>
      </c>
    </row>
    <row r="43">
      <c r="A43" s="5" t="s">
        <v>39</v>
      </c>
      <c r="B43" s="6">
        <v>2.6819191712959496</v>
      </c>
    </row>
    <row r="44">
      <c r="A44" s="5" t="s">
        <v>72</v>
      </c>
      <c r="B44" s="6">
        <v>2.584789847786187</v>
      </c>
    </row>
    <row r="45">
      <c r="A45" s="5" t="s">
        <v>49</v>
      </c>
      <c r="B45" s="6">
        <v>2.5845166384094167</v>
      </c>
    </row>
    <row r="46">
      <c r="A46" s="5" t="s">
        <v>144</v>
      </c>
      <c r="B46" s="6">
        <v>2.4046064361382316</v>
      </c>
    </row>
    <row r="47">
      <c r="A47" s="5" t="s">
        <v>170</v>
      </c>
      <c r="B47" s="6">
        <v>2.4046064361382316</v>
      </c>
    </row>
    <row r="48">
      <c r="A48" s="5" t="s">
        <v>79</v>
      </c>
      <c r="B48" s="6">
        <v>2.3170503125703217</v>
      </c>
    </row>
    <row r="49">
      <c r="A49" s="5" t="s">
        <v>77</v>
      </c>
      <c r="B49" s="6">
        <v>2.2511667146777072</v>
      </c>
    </row>
    <row r="50">
      <c r="A50" s="5" t="s">
        <v>55</v>
      </c>
      <c r="B50" s="6">
        <v>2.1819127538343555</v>
      </c>
    </row>
    <row r="51">
      <c r="A51" s="5" t="s">
        <v>196</v>
      </c>
      <c r="B51" s="6">
        <v>2.0729592126678806</v>
      </c>
    </row>
    <row r="52">
      <c r="A52" s="5" t="s">
        <v>54</v>
      </c>
      <c r="B52" s="6">
        <v>1.948514199109645</v>
      </c>
    </row>
    <row r="53">
      <c r="A53" s="5" t="s">
        <v>59</v>
      </c>
      <c r="B53" s="6">
        <v>1.9007849390866394</v>
      </c>
    </row>
    <row r="54">
      <c r="A54" s="5" t="s">
        <v>33</v>
      </c>
      <c r="B54" s="6">
        <v>1.771694426700332</v>
      </c>
    </row>
    <row r="55">
      <c r="A55" s="5" t="s">
        <v>76</v>
      </c>
      <c r="B55" s="6">
        <v>1.771146206026727</v>
      </c>
    </row>
    <row r="56">
      <c r="A56" s="5" t="s">
        <v>186</v>
      </c>
      <c r="B56" s="6">
        <v>1.6810545002027495</v>
      </c>
    </row>
    <row r="57">
      <c r="A57" s="5" t="s">
        <v>153</v>
      </c>
      <c r="B57" s="6">
        <v>1.6810545002027495</v>
      </c>
    </row>
    <row r="58">
      <c r="A58" s="5" t="s">
        <v>10</v>
      </c>
      <c r="B58" s="6">
        <v>1.5934105837270032</v>
      </c>
    </row>
    <row r="59">
      <c r="A59" s="5" t="s">
        <v>227</v>
      </c>
      <c r="B59" s="6">
        <v>1.5909627943787716</v>
      </c>
    </row>
    <row r="60">
      <c r="A60" s="5" t="s">
        <v>29</v>
      </c>
      <c r="B60" s="6">
        <v>1.4803353543423388</v>
      </c>
    </row>
    <row r="61">
      <c r="A61" s="5" t="s">
        <v>189</v>
      </c>
      <c r="B61" s="6">
        <v>1.3606670935389324</v>
      </c>
    </row>
    <row r="62">
      <c r="A62" s="5" t="s">
        <v>83</v>
      </c>
      <c r="B62" s="6">
        <v>1.2260939356531437</v>
      </c>
    </row>
    <row r="63">
      <c r="A63" s="5" t="s">
        <v>283</v>
      </c>
      <c r="B63" s="6">
        <v>1.1392679532696763</v>
      </c>
    </row>
    <row r="64">
      <c r="A64" s="5" t="s">
        <v>242</v>
      </c>
      <c r="B64" s="6">
        <v>1.1392679532696763</v>
      </c>
    </row>
    <row r="65">
      <c r="A65" s="5" t="s">
        <v>191</v>
      </c>
      <c r="B65" s="6">
        <v>1.1360022298291663</v>
      </c>
    </row>
    <row r="66">
      <c r="A66" s="5" t="s">
        <v>62</v>
      </c>
      <c r="B66" s="6">
        <v>1.1011888321378178</v>
      </c>
    </row>
    <row r="67">
      <c r="A67" s="5" t="s">
        <v>132</v>
      </c>
      <c r="B67" s="6">
        <v>1.0909563769171777</v>
      </c>
    </row>
    <row r="68">
      <c r="A68" s="5" t="s">
        <v>38</v>
      </c>
      <c r="B68" s="6">
        <v>1.0909563769171777</v>
      </c>
    </row>
    <row r="69">
      <c r="A69" s="5" t="s">
        <v>134</v>
      </c>
      <c r="B69" s="6">
        <v>1.0909563769171777</v>
      </c>
    </row>
    <row r="70">
      <c r="A70" s="5" t="s">
        <v>123</v>
      </c>
      <c r="B70" s="6">
        <v>1.0909563769171777</v>
      </c>
    </row>
    <row r="71">
      <c r="A71" s="5" t="s">
        <v>52</v>
      </c>
      <c r="B71" s="6">
        <v>1.0909563769171777</v>
      </c>
    </row>
    <row r="72">
      <c r="A72" s="5" t="s">
        <v>70</v>
      </c>
      <c r="B72" s="6">
        <v>1.0909563769171777</v>
      </c>
    </row>
    <row r="73">
      <c r="A73" s="5" t="s">
        <v>111</v>
      </c>
      <c r="B73" s="6">
        <v>1.0909563769171777</v>
      </c>
    </row>
    <row r="74">
      <c r="A74" s="5" t="s">
        <v>27</v>
      </c>
      <c r="B74" s="6">
        <v>1.0539628474166252</v>
      </c>
    </row>
    <row r="75">
      <c r="A75" s="5" t="s">
        <v>145</v>
      </c>
      <c r="B75" s="6">
        <v>1.0056512710641266</v>
      </c>
    </row>
    <row r="76">
      <c r="A76" s="5" t="s">
        <v>97</v>
      </c>
      <c r="B76" s="6">
        <v>0.7428644476441756</v>
      </c>
    </row>
    <row r="77">
      <c r="A77" s="5" t="s">
        <v>85</v>
      </c>
      <c r="B77" s="6">
        <v>0.7103473645939431</v>
      </c>
    </row>
    <row r="78">
      <c r="A78" s="5" t="s">
        <v>299</v>
      </c>
      <c r="B78" s="6">
        <v>0.26745969890689564</v>
      </c>
    </row>
    <row r="79">
      <c r="A79" s="5" t="s">
        <v>207</v>
      </c>
      <c r="B79" s="6">
        <v>0.26745969890689564</v>
      </c>
    </row>
    <row r="80">
      <c r="A80" s="5" t="s">
        <v>114</v>
      </c>
      <c r="B80" s="6">
        <v>0.26745969890689564</v>
      </c>
    </row>
    <row r="81">
      <c r="A81" s="5" t="s">
        <v>78</v>
      </c>
      <c r="B81" s="6">
        <v>0.26745969890689564</v>
      </c>
    </row>
    <row r="82">
      <c r="A82" s="5" t="s">
        <v>88</v>
      </c>
      <c r="B82" s="6">
        <v>0.26745969890689564</v>
      </c>
    </row>
    <row r="83">
      <c r="A83" s="5" t="s">
        <v>312</v>
      </c>
      <c r="B83" s="6">
        <v>0.26745969890689564</v>
      </c>
    </row>
    <row r="84">
      <c r="A84" s="5" t="s">
        <v>382</v>
      </c>
      <c r="B84" s="6">
        <v>0.04831157635249865</v>
      </c>
    </row>
    <row r="85">
      <c r="A85" s="5" t="s">
        <v>12</v>
      </c>
      <c r="B85" s="6">
        <v>0.04831157635249865</v>
      </c>
    </row>
    <row r="86">
      <c r="A86" s="5"/>
      <c r="B86" s="6"/>
    </row>
    <row r="87">
      <c r="A87" s="5"/>
      <c r="B87" s="6"/>
    </row>
    <row r="88">
      <c r="A88" s="5"/>
      <c r="B88" s="6"/>
    </row>
    <row r="89">
      <c r="A89" s="5"/>
      <c r="B89" s="6"/>
    </row>
    <row r="90">
      <c r="A90" s="5"/>
      <c r="B90" s="6"/>
    </row>
    <row r="91">
      <c r="A91" s="5"/>
      <c r="B91" s="6"/>
    </row>
    <row r="92">
      <c r="A92" s="5"/>
      <c r="B92" s="6"/>
    </row>
    <row r="93">
      <c r="A93" s="5"/>
      <c r="B93" s="6"/>
    </row>
    <row r="94">
      <c r="A94" s="5"/>
      <c r="B94" s="6"/>
    </row>
    <row r="95">
      <c r="A95" s="5"/>
      <c r="B95" s="6"/>
    </row>
    <row r="96">
      <c r="A96" s="5"/>
      <c r="B96" s="6"/>
    </row>
    <row r="97">
      <c r="A97" s="5"/>
      <c r="B97" s="6"/>
    </row>
    <row r="98">
      <c r="A98" s="5"/>
      <c r="B98" s="6"/>
    </row>
    <row r="99">
      <c r="A99" s="5"/>
      <c r="B99" s="6"/>
    </row>
    <row r="100">
      <c r="A100" s="5"/>
      <c r="B100" s="6"/>
    </row>
    <row r="101">
      <c r="A101" s="5"/>
      <c r="B101" s="6"/>
    </row>
    <row r="102">
      <c r="A102" s="5"/>
      <c r="B102" s="6"/>
    </row>
    <row r="103">
      <c r="A103" s="5"/>
      <c r="B103" s="6"/>
    </row>
    <row r="104">
      <c r="A104" s="5"/>
      <c r="B104" s="6"/>
    </row>
    <row r="105">
      <c r="A105" s="5"/>
      <c r="B105" s="6"/>
    </row>
    <row r="106">
      <c r="A106" s="5"/>
      <c r="B106" s="6"/>
    </row>
    <row r="107">
      <c r="A107" s="5"/>
      <c r="B107" s="6"/>
    </row>
    <row r="108">
      <c r="A108" s="5"/>
      <c r="B108" s="6"/>
    </row>
    <row r="109">
      <c r="A109" s="5"/>
      <c r="B109" s="6"/>
    </row>
    <row r="110">
      <c r="A110" s="5"/>
      <c r="B110" s="6"/>
    </row>
    <row r="111">
      <c r="A111" s="5"/>
      <c r="B111" s="6"/>
    </row>
    <row r="112">
      <c r="A112" s="5"/>
      <c r="B112" s="6"/>
    </row>
    <row r="113">
      <c r="A113" s="5"/>
      <c r="B113" s="6"/>
    </row>
    <row r="114">
      <c r="A114" s="5"/>
      <c r="B114" s="6"/>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sheetData>
  <autoFilter ref="$A$2:$U$85">
    <sortState ref="A2:U85">
      <sortCondition descending="1" ref="B2:B8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8" width="7.43"/>
    <col customWidth="1" min="9" max="9" width="7.71"/>
    <col customWidth="1" min="10" max="10" width="8.86"/>
    <col customWidth="1" min="13" max="13" width="16.0"/>
  </cols>
  <sheetData>
    <row r="1">
      <c r="A1" s="133"/>
      <c r="B1" s="359"/>
      <c r="C1" s="360"/>
      <c r="D1" s="136"/>
      <c r="E1" s="323"/>
      <c r="F1" s="138" t="s">
        <v>416</v>
      </c>
      <c r="G1" s="139">
        <v>950.0</v>
      </c>
      <c r="H1" s="139">
        <v>750.0</v>
      </c>
      <c r="I1" s="139">
        <v>650.0</v>
      </c>
      <c r="J1" s="140">
        <f>AVERAGE(G1:I1)</f>
        <v>783.3333333</v>
      </c>
      <c r="K1" s="141" t="s">
        <v>417</v>
      </c>
      <c r="L1" s="142">
        <f>countif(J4:J1001, "&gt;0.000001")</f>
        <v>402</v>
      </c>
      <c r="M1" s="141" t="s">
        <v>418</v>
      </c>
      <c r="N1" s="366">
        <v>1.1193700912089142</v>
      </c>
      <c r="O1" s="144" t="s">
        <v>419</v>
      </c>
      <c r="P1" s="145"/>
      <c r="Q1" s="145"/>
      <c r="R1" s="145"/>
      <c r="S1" s="145"/>
      <c r="T1" s="145"/>
      <c r="U1" s="145"/>
    </row>
    <row r="2">
      <c r="A2" s="146"/>
      <c r="B2" s="134" t="s">
        <v>2487</v>
      </c>
      <c r="C2" s="234" t="s">
        <v>421</v>
      </c>
      <c r="D2" s="148"/>
      <c r="E2" s="323"/>
      <c r="F2" s="149" t="s">
        <v>422</v>
      </c>
      <c r="G2" s="139">
        <f t="shared" ref="G2:K2" si="1">sum(G4:G514)</f>
        <v>30726</v>
      </c>
      <c r="H2" s="139">
        <f t="shared" si="1"/>
        <v>31210</v>
      </c>
      <c r="I2" s="139">
        <f t="shared" si="1"/>
        <v>23506</v>
      </c>
      <c r="J2" s="150">
        <f t="shared" si="1"/>
        <v>1</v>
      </c>
      <c r="K2" s="151">
        <f t="shared" si="1"/>
        <v>513.6786139</v>
      </c>
      <c r="L2" s="152" t="s">
        <v>416</v>
      </c>
      <c r="M2" s="153"/>
      <c r="N2" s="153" t="s">
        <v>423</v>
      </c>
      <c r="O2" s="145"/>
      <c r="P2" s="145"/>
      <c r="Q2" s="145"/>
      <c r="R2" s="145"/>
      <c r="S2" s="145"/>
      <c r="T2" s="145"/>
      <c r="U2" s="145"/>
    </row>
    <row r="3">
      <c r="A3" s="154" t="s">
        <v>424</v>
      </c>
      <c r="B3" s="154" t="s">
        <v>425</v>
      </c>
      <c r="C3" s="235" t="s">
        <v>426</v>
      </c>
      <c r="D3" s="156"/>
      <c r="E3" s="324" t="s">
        <v>427</v>
      </c>
      <c r="F3" s="158" t="s">
        <v>428</v>
      </c>
      <c r="G3" s="367" t="s">
        <v>1926</v>
      </c>
      <c r="H3" s="159" t="s">
        <v>2179</v>
      </c>
      <c r="I3" s="159" t="s">
        <v>3162</v>
      </c>
      <c r="J3" s="160" t="s">
        <v>432</v>
      </c>
      <c r="K3" s="161" t="s">
        <v>3336</v>
      </c>
      <c r="L3" s="162" t="s">
        <v>3337</v>
      </c>
      <c r="M3" s="161"/>
      <c r="N3" s="163">
        <f>IFERROR(__xludf.DUMMYFUNCTION("query(iferror(sort({row(A3:A514)-row(A3)+2-match(sort(A3:A514),sort(A3:A514),0),SORT(ROW(A3:A514)+2-row(A3)+2,A3:A514,1)},2,1),),""Select Col1"")"),1.0)</f>
        <v>1</v>
      </c>
      <c r="O3" s="164"/>
      <c r="P3" s="164"/>
      <c r="Q3" s="164"/>
      <c r="R3" s="164"/>
      <c r="S3" s="164"/>
      <c r="T3" s="164"/>
      <c r="U3" s="164"/>
      <c r="V3" s="164"/>
      <c r="W3" s="164"/>
      <c r="X3" s="164"/>
      <c r="Y3" s="164"/>
      <c r="Z3" s="164"/>
    </row>
    <row r="4">
      <c r="A4" s="226" t="s">
        <v>7</v>
      </c>
      <c r="B4" s="226" t="s">
        <v>590</v>
      </c>
      <c r="C4" s="250" t="s">
        <v>3338</v>
      </c>
      <c r="D4" s="268" t="s">
        <v>495</v>
      </c>
      <c r="E4" s="251">
        <v>44159.0</v>
      </c>
      <c r="F4" s="368" t="s">
        <v>496</v>
      </c>
      <c r="G4" s="268">
        <v>200.0</v>
      </c>
      <c r="H4" s="236">
        <v>200.0</v>
      </c>
      <c r="I4" s="236">
        <v>150.0</v>
      </c>
      <c r="J4" s="325">
        <f t="shared" ref="J4:J335" si="2">(G4/$G$2+H4/$H$2+I4/$I$2)/3</f>
        <v>0.006432899097</v>
      </c>
      <c r="K4" s="326">
        <f t="shared" ref="K4:K49" si="3">J4*$J$1</f>
        <v>5.039104293</v>
      </c>
      <c r="L4" s="327">
        <f t="shared" ref="L4:L513" si="4">dsum($A$3:$K514,"Cred per Praise",{$A$3;A4})</f>
        <v>44.04111808</v>
      </c>
      <c r="M4" s="321" t="str">
        <f t="shared" ref="M4:M513" si="5">A4</f>
        <v>ygganderson</v>
      </c>
      <c r="N4" s="176">
        <f>IFERROR(__xludf.DUMMYFUNCTION("""COMPUTED_VALUE"""),1.0)</f>
        <v>1</v>
      </c>
      <c r="O4" s="176"/>
      <c r="P4" s="176"/>
      <c r="Q4" s="176"/>
      <c r="R4" s="176"/>
      <c r="S4" s="176"/>
      <c r="T4" s="176"/>
      <c r="U4" s="176"/>
      <c r="V4" s="176"/>
      <c r="W4" s="176"/>
      <c r="X4" s="176"/>
      <c r="Y4" s="176"/>
      <c r="Z4" s="176"/>
    </row>
    <row r="5">
      <c r="A5" s="226" t="s">
        <v>7</v>
      </c>
      <c r="B5" s="226" t="s">
        <v>590</v>
      </c>
      <c r="C5" s="250" t="s">
        <v>3339</v>
      </c>
      <c r="D5" s="268" t="s">
        <v>495</v>
      </c>
      <c r="E5" s="251">
        <v>44159.0</v>
      </c>
      <c r="F5" s="368" t="s">
        <v>496</v>
      </c>
      <c r="G5" s="268">
        <v>20.0</v>
      </c>
      <c r="H5" s="236">
        <v>60.0</v>
      </c>
      <c r="I5" s="236">
        <v>30.0</v>
      </c>
      <c r="J5" s="325">
        <f t="shared" si="2"/>
        <v>0.001283215058</v>
      </c>
      <c r="K5" s="326">
        <f t="shared" si="3"/>
        <v>1.005185129</v>
      </c>
      <c r="L5" s="327">
        <f t="shared" si="4"/>
        <v>44.04111808</v>
      </c>
      <c r="M5" s="321" t="str">
        <f t="shared" si="5"/>
        <v>ygganderson</v>
      </c>
      <c r="N5" s="176">
        <f>IFERROR(__xludf.DUMMYFUNCTION("""COMPUTED_VALUE"""),2.0)</f>
        <v>2</v>
      </c>
      <c r="O5" s="176"/>
      <c r="P5" s="176"/>
      <c r="Q5" s="176"/>
      <c r="R5" s="176"/>
      <c r="S5" s="176"/>
      <c r="T5" s="176"/>
      <c r="U5" s="176"/>
      <c r="V5" s="176"/>
      <c r="W5" s="176"/>
      <c r="X5" s="176"/>
      <c r="Y5" s="176"/>
      <c r="Z5" s="176"/>
    </row>
    <row r="6">
      <c r="A6" s="226" t="s">
        <v>7</v>
      </c>
      <c r="B6" s="226" t="s">
        <v>5</v>
      </c>
      <c r="C6" s="250" t="s">
        <v>3340</v>
      </c>
      <c r="D6" s="268" t="s">
        <v>495</v>
      </c>
      <c r="E6" s="251">
        <v>44160.0</v>
      </c>
      <c r="F6" s="368" t="s">
        <v>496</v>
      </c>
      <c r="G6" s="268">
        <v>20.0</v>
      </c>
      <c r="H6" s="236">
        <v>60.0</v>
      </c>
      <c r="I6" s="236">
        <v>20.0</v>
      </c>
      <c r="J6" s="325">
        <f t="shared" si="2"/>
        <v>0.001141407292</v>
      </c>
      <c r="K6" s="326">
        <f t="shared" si="3"/>
        <v>0.894102379</v>
      </c>
      <c r="L6" s="327">
        <f t="shared" si="4"/>
        <v>44.04111808</v>
      </c>
      <c r="M6" s="321" t="str">
        <f t="shared" si="5"/>
        <v>ygganderson</v>
      </c>
      <c r="N6" s="176">
        <f>IFERROR(__xludf.DUMMYFUNCTION("""COMPUTED_VALUE"""),3.0)</f>
        <v>3</v>
      </c>
      <c r="O6" s="176"/>
      <c r="P6" s="176"/>
      <c r="Q6" s="176"/>
      <c r="R6" s="176"/>
      <c r="S6" s="176"/>
      <c r="T6" s="176"/>
      <c r="U6" s="176"/>
      <c r="V6" s="176"/>
      <c r="W6" s="176"/>
      <c r="X6" s="176"/>
      <c r="Y6" s="176"/>
      <c r="Z6" s="176"/>
    </row>
    <row r="7">
      <c r="A7" s="226" t="s">
        <v>7</v>
      </c>
      <c r="B7" s="226" t="s">
        <v>519</v>
      </c>
      <c r="C7" s="250" t="s">
        <v>3341</v>
      </c>
      <c r="D7" s="268" t="s">
        <v>495</v>
      </c>
      <c r="E7" s="251">
        <v>44161.0</v>
      </c>
      <c r="F7" s="368" t="s">
        <v>496</v>
      </c>
      <c r="G7" s="268">
        <v>30.0</v>
      </c>
      <c r="H7" s="236">
        <v>30.0</v>
      </c>
      <c r="I7" s="236">
        <v>30.0</v>
      </c>
      <c r="J7" s="325">
        <f t="shared" si="2"/>
        <v>0.001071290689</v>
      </c>
      <c r="K7" s="326">
        <f t="shared" si="3"/>
        <v>0.8391777061</v>
      </c>
      <c r="L7" s="327">
        <f t="shared" si="4"/>
        <v>44.04111808</v>
      </c>
      <c r="M7" s="321" t="str">
        <f t="shared" si="5"/>
        <v>ygganderson</v>
      </c>
      <c r="N7" s="176">
        <f>IFERROR(__xludf.DUMMYFUNCTION("""COMPUTED_VALUE"""),4.0)</f>
        <v>4</v>
      </c>
      <c r="O7" s="176"/>
      <c r="P7" s="176"/>
      <c r="Q7" s="176"/>
      <c r="R7" s="176"/>
      <c r="S7" s="176"/>
      <c r="T7" s="176"/>
      <c r="U7" s="176"/>
      <c r="V7" s="176"/>
      <c r="W7" s="176"/>
      <c r="X7" s="176"/>
      <c r="Y7" s="176"/>
      <c r="Z7" s="176"/>
    </row>
    <row r="8">
      <c r="A8" s="226" t="s">
        <v>7</v>
      </c>
      <c r="B8" s="226" t="s">
        <v>1228</v>
      </c>
      <c r="C8" s="250" t="s">
        <v>3342</v>
      </c>
      <c r="D8" s="268" t="s">
        <v>495</v>
      </c>
      <c r="E8" s="251">
        <v>44162.0</v>
      </c>
      <c r="F8" s="368" t="s">
        <v>496</v>
      </c>
      <c r="G8" s="236">
        <v>300.0</v>
      </c>
      <c r="H8" s="236">
        <v>300.0</v>
      </c>
      <c r="I8" s="236">
        <v>200.0</v>
      </c>
      <c r="J8" s="325">
        <f t="shared" si="2"/>
        <v>0.009294829232</v>
      </c>
      <c r="K8" s="326">
        <f t="shared" si="3"/>
        <v>7.280949565</v>
      </c>
      <c r="L8" s="327">
        <f t="shared" si="4"/>
        <v>44.04111808</v>
      </c>
      <c r="M8" s="321" t="str">
        <f t="shared" si="5"/>
        <v>ygganderson</v>
      </c>
      <c r="N8" s="176">
        <f>IFERROR(__xludf.DUMMYFUNCTION("""COMPUTED_VALUE"""),5.0)</f>
        <v>5</v>
      </c>
      <c r="O8" s="176"/>
      <c r="P8" s="176"/>
      <c r="Q8" s="176"/>
      <c r="R8" s="176"/>
      <c r="S8" s="176"/>
      <c r="T8" s="176"/>
      <c r="U8" s="176"/>
      <c r="V8" s="176"/>
      <c r="W8" s="176"/>
      <c r="X8" s="176"/>
      <c r="Y8" s="176"/>
      <c r="Z8" s="176"/>
    </row>
    <row r="9">
      <c r="A9" s="226" t="s">
        <v>7</v>
      </c>
      <c r="B9" s="226" t="s">
        <v>10</v>
      </c>
      <c r="C9" s="250" t="s">
        <v>3343</v>
      </c>
      <c r="D9" s="268" t="s">
        <v>495</v>
      </c>
      <c r="E9" s="251">
        <v>44162.0</v>
      </c>
      <c r="F9" s="368" t="s">
        <v>496</v>
      </c>
      <c r="G9" s="268">
        <v>50.0</v>
      </c>
      <c r="H9" s="236">
        <v>60.0</v>
      </c>
      <c r="I9" s="236">
        <v>30.0</v>
      </c>
      <c r="J9" s="325">
        <f t="shared" si="2"/>
        <v>0.001608672325</v>
      </c>
      <c r="K9" s="326">
        <f t="shared" si="3"/>
        <v>1.260126655</v>
      </c>
      <c r="L9" s="327">
        <f t="shared" si="4"/>
        <v>44.04111808</v>
      </c>
      <c r="M9" s="321" t="str">
        <f t="shared" si="5"/>
        <v>ygganderson</v>
      </c>
      <c r="N9" s="176">
        <f>IFERROR(__xludf.DUMMYFUNCTION("""COMPUTED_VALUE"""),6.0)</f>
        <v>6</v>
      </c>
      <c r="O9" s="176"/>
      <c r="P9" s="176"/>
      <c r="Q9" s="176"/>
      <c r="R9" s="176"/>
      <c r="S9" s="176"/>
      <c r="T9" s="176"/>
      <c r="U9" s="176"/>
      <c r="V9" s="176"/>
      <c r="W9" s="176"/>
      <c r="X9" s="176"/>
      <c r="Y9" s="176"/>
      <c r="Z9" s="176"/>
    </row>
    <row r="10">
      <c r="A10" s="226" t="s">
        <v>7</v>
      </c>
      <c r="B10" s="226" t="s">
        <v>10</v>
      </c>
      <c r="C10" s="250" t="s">
        <v>3344</v>
      </c>
      <c r="D10" s="268" t="s">
        <v>495</v>
      </c>
      <c r="E10" s="251">
        <v>44162.0</v>
      </c>
      <c r="F10" s="368" t="s">
        <v>496</v>
      </c>
      <c r="G10" s="268">
        <v>50.0</v>
      </c>
      <c r="H10" s="236">
        <v>60.0</v>
      </c>
      <c r="I10" s="236">
        <v>50.0</v>
      </c>
      <c r="J10" s="325">
        <f t="shared" si="2"/>
        <v>0.001892287856</v>
      </c>
      <c r="K10" s="326">
        <f t="shared" si="3"/>
        <v>1.482292154</v>
      </c>
      <c r="L10" s="327">
        <f t="shared" si="4"/>
        <v>44.04111808</v>
      </c>
      <c r="M10" s="321" t="str">
        <f t="shared" si="5"/>
        <v>ygganderson</v>
      </c>
      <c r="N10" s="176">
        <f>IFERROR(__xludf.DUMMYFUNCTION("""COMPUTED_VALUE"""),7.0)</f>
        <v>7</v>
      </c>
      <c r="O10" s="176"/>
      <c r="P10" s="176"/>
      <c r="Q10" s="176"/>
      <c r="R10" s="176"/>
      <c r="S10" s="176"/>
      <c r="T10" s="176"/>
      <c r="U10" s="176"/>
      <c r="V10" s="176"/>
      <c r="W10" s="176"/>
      <c r="X10" s="176"/>
      <c r="Y10" s="176"/>
      <c r="Z10" s="176"/>
    </row>
    <row r="11">
      <c r="A11" s="226" t="s">
        <v>7</v>
      </c>
      <c r="B11" s="226" t="s">
        <v>10</v>
      </c>
      <c r="C11" s="250" t="s">
        <v>3345</v>
      </c>
      <c r="D11" s="268" t="s">
        <v>495</v>
      </c>
      <c r="E11" s="251">
        <v>44163.0</v>
      </c>
      <c r="F11" s="368" t="s">
        <v>496</v>
      </c>
      <c r="G11" s="268">
        <v>40.0</v>
      </c>
      <c r="H11" s="236">
        <v>30.0</v>
      </c>
      <c r="I11" s="236">
        <v>30.0</v>
      </c>
      <c r="J11" s="325">
        <f t="shared" si="2"/>
        <v>0.001179776444</v>
      </c>
      <c r="K11" s="326">
        <f t="shared" si="3"/>
        <v>0.9241582148</v>
      </c>
      <c r="L11" s="327">
        <f t="shared" si="4"/>
        <v>44.04111808</v>
      </c>
      <c r="M11" s="321" t="str">
        <f t="shared" si="5"/>
        <v>ygganderson</v>
      </c>
      <c r="N11" s="176">
        <f>IFERROR(__xludf.DUMMYFUNCTION("""COMPUTED_VALUE"""),8.0)</f>
        <v>8</v>
      </c>
      <c r="O11" s="176"/>
      <c r="P11" s="176"/>
      <c r="Q11" s="176"/>
      <c r="R11" s="176"/>
      <c r="S11" s="176"/>
      <c r="T11" s="176"/>
      <c r="U11" s="176"/>
      <c r="V11" s="176"/>
      <c r="W11" s="176"/>
      <c r="X11" s="176"/>
      <c r="Y11" s="176"/>
      <c r="Z11" s="176"/>
    </row>
    <row r="12">
      <c r="A12" s="226" t="s">
        <v>7</v>
      </c>
      <c r="B12" s="226" t="s">
        <v>18</v>
      </c>
      <c r="C12" s="250" t="s">
        <v>3346</v>
      </c>
      <c r="D12" s="268" t="s">
        <v>495</v>
      </c>
      <c r="E12" s="251">
        <v>44165.0</v>
      </c>
      <c r="F12" s="368" t="s">
        <v>496</v>
      </c>
      <c r="G12" s="268">
        <v>200.0</v>
      </c>
      <c r="H12" s="236">
        <v>200.0</v>
      </c>
      <c r="I12" s="236">
        <v>150.0</v>
      </c>
      <c r="J12" s="325">
        <f t="shared" si="2"/>
        <v>0.006432899097</v>
      </c>
      <c r="K12" s="326">
        <f t="shared" si="3"/>
        <v>5.039104293</v>
      </c>
      <c r="L12" s="327">
        <f t="shared" si="4"/>
        <v>44.04111808</v>
      </c>
      <c r="M12" s="321" t="str">
        <f t="shared" si="5"/>
        <v>ygganderson</v>
      </c>
      <c r="N12" s="176">
        <f>IFERROR(__xludf.DUMMYFUNCTION("""COMPUTED_VALUE"""),9.0)</f>
        <v>9</v>
      </c>
      <c r="O12" s="176"/>
      <c r="P12" s="176"/>
      <c r="Q12" s="176"/>
      <c r="R12" s="176"/>
      <c r="S12" s="176"/>
      <c r="T12" s="176"/>
      <c r="U12" s="176"/>
      <c r="V12" s="176"/>
      <c r="W12" s="176"/>
      <c r="X12" s="176"/>
      <c r="Y12" s="176"/>
      <c r="Z12" s="176"/>
    </row>
    <row r="13">
      <c r="A13" s="226" t="s">
        <v>7</v>
      </c>
      <c r="B13" s="226" t="s">
        <v>18</v>
      </c>
      <c r="C13" s="250" t="s">
        <v>3347</v>
      </c>
      <c r="D13" s="268" t="s">
        <v>495</v>
      </c>
      <c r="E13" s="361">
        <v>44166.0</v>
      </c>
      <c r="F13" s="258" t="s">
        <v>496</v>
      </c>
      <c r="G13" s="171">
        <v>40.0</v>
      </c>
      <c r="H13" s="171">
        <v>60.0</v>
      </c>
      <c r="I13" s="171">
        <v>40.0</v>
      </c>
      <c r="J13" s="325">
        <f t="shared" si="2"/>
        <v>0.001641994335</v>
      </c>
      <c r="K13" s="326">
        <f t="shared" si="3"/>
        <v>1.286228896</v>
      </c>
      <c r="L13" s="327">
        <f t="shared" si="4"/>
        <v>44.04111808</v>
      </c>
      <c r="M13" s="321" t="str">
        <f t="shared" si="5"/>
        <v>ygganderson</v>
      </c>
      <c r="N13" s="176">
        <f>IFERROR(__xludf.DUMMYFUNCTION("""COMPUTED_VALUE"""),10.0)</f>
        <v>10</v>
      </c>
      <c r="O13" s="176"/>
      <c r="P13" s="176"/>
      <c r="Q13" s="176"/>
      <c r="R13" s="176"/>
      <c r="S13" s="176"/>
      <c r="T13" s="176"/>
      <c r="U13" s="176"/>
      <c r="V13" s="176"/>
      <c r="W13" s="176"/>
      <c r="X13" s="176"/>
      <c r="Y13" s="176"/>
      <c r="Z13" s="176"/>
    </row>
    <row r="14">
      <c r="A14" s="226" t="s">
        <v>7</v>
      </c>
      <c r="B14" s="226" t="s">
        <v>18</v>
      </c>
      <c r="C14" s="250" t="s">
        <v>3348</v>
      </c>
      <c r="D14" s="268" t="s">
        <v>495</v>
      </c>
      <c r="E14" s="361">
        <v>44166.0</v>
      </c>
      <c r="F14" s="250" t="s">
        <v>496</v>
      </c>
      <c r="G14" s="171">
        <v>30.0</v>
      </c>
      <c r="H14" s="171">
        <v>60.0</v>
      </c>
      <c r="I14" s="171">
        <v>40.0</v>
      </c>
      <c r="J14" s="325">
        <f t="shared" si="2"/>
        <v>0.001533508579</v>
      </c>
      <c r="K14" s="326">
        <f t="shared" si="3"/>
        <v>1.201248387</v>
      </c>
      <c r="L14" s="327">
        <f t="shared" si="4"/>
        <v>44.04111808</v>
      </c>
      <c r="M14" s="321" t="str">
        <f t="shared" si="5"/>
        <v>ygganderson</v>
      </c>
      <c r="N14" s="176">
        <f>IFERROR(__xludf.DUMMYFUNCTION("""COMPUTED_VALUE"""),11.0)</f>
        <v>11</v>
      </c>
      <c r="O14" s="176"/>
      <c r="P14" s="176"/>
      <c r="Q14" s="176"/>
      <c r="R14" s="176"/>
      <c r="S14" s="176"/>
      <c r="T14" s="176"/>
      <c r="U14" s="176"/>
      <c r="V14" s="176"/>
      <c r="W14" s="176"/>
      <c r="X14" s="176"/>
      <c r="Y14" s="176"/>
      <c r="Z14" s="176"/>
    </row>
    <row r="15">
      <c r="A15" s="226" t="s">
        <v>7</v>
      </c>
      <c r="B15" s="226" t="s">
        <v>13</v>
      </c>
      <c r="C15" s="250" t="s">
        <v>3349</v>
      </c>
      <c r="D15" s="268" t="s">
        <v>495</v>
      </c>
      <c r="E15" s="361">
        <v>44166.0</v>
      </c>
      <c r="F15" s="250" t="s">
        <v>496</v>
      </c>
      <c r="G15" s="171">
        <v>50.0</v>
      </c>
      <c r="H15" s="171">
        <v>50.0</v>
      </c>
      <c r="I15" s="171">
        <v>50.0</v>
      </c>
      <c r="J15" s="325">
        <f t="shared" si="2"/>
        <v>0.001785484481</v>
      </c>
      <c r="K15" s="326">
        <f t="shared" si="3"/>
        <v>1.39862951</v>
      </c>
      <c r="L15" s="327">
        <f t="shared" si="4"/>
        <v>44.04111808</v>
      </c>
      <c r="M15" s="321" t="str">
        <f t="shared" si="5"/>
        <v>ygganderson</v>
      </c>
      <c r="N15" s="176">
        <f>IFERROR(__xludf.DUMMYFUNCTION("""COMPUTED_VALUE"""),12.0)</f>
        <v>12</v>
      </c>
      <c r="O15" s="176"/>
      <c r="P15" s="176"/>
      <c r="Q15" s="176"/>
      <c r="R15" s="176"/>
      <c r="S15" s="176"/>
      <c r="T15" s="176"/>
      <c r="U15" s="176"/>
      <c r="V15" s="176"/>
      <c r="W15" s="176"/>
      <c r="X15" s="176"/>
      <c r="Y15" s="176"/>
      <c r="Z15" s="176"/>
    </row>
    <row r="16">
      <c r="A16" s="226" t="s">
        <v>7</v>
      </c>
      <c r="B16" s="226" t="s">
        <v>590</v>
      </c>
      <c r="C16" s="250" t="s">
        <v>3350</v>
      </c>
      <c r="D16" s="268" t="s">
        <v>495</v>
      </c>
      <c r="E16" s="361">
        <v>44166.0</v>
      </c>
      <c r="F16" s="250" t="s">
        <v>496</v>
      </c>
      <c r="G16" s="171">
        <v>20.0</v>
      </c>
      <c r="H16" s="171">
        <v>60.0</v>
      </c>
      <c r="I16" s="171">
        <v>40.0</v>
      </c>
      <c r="J16" s="325">
        <f t="shared" si="2"/>
        <v>0.001425022823</v>
      </c>
      <c r="K16" s="326">
        <f t="shared" si="3"/>
        <v>1.116267878</v>
      </c>
      <c r="L16" s="327">
        <f t="shared" si="4"/>
        <v>44.04111808</v>
      </c>
      <c r="M16" s="321" t="str">
        <f t="shared" si="5"/>
        <v>ygganderson</v>
      </c>
      <c r="N16" s="176">
        <f>IFERROR(__xludf.DUMMYFUNCTION("""COMPUTED_VALUE"""),13.0)</f>
        <v>13</v>
      </c>
      <c r="O16" s="176"/>
      <c r="P16" s="176"/>
      <c r="Q16" s="176"/>
      <c r="R16" s="176"/>
      <c r="S16" s="176"/>
      <c r="T16" s="176"/>
      <c r="U16" s="176"/>
      <c r="V16" s="176"/>
      <c r="W16" s="176"/>
      <c r="X16" s="176"/>
      <c r="Y16" s="176"/>
      <c r="Z16" s="176"/>
    </row>
    <row r="17">
      <c r="A17" s="226" t="s">
        <v>7</v>
      </c>
      <c r="B17" s="226" t="s">
        <v>10</v>
      </c>
      <c r="C17" s="250" t="s">
        <v>3351</v>
      </c>
      <c r="D17" s="268" t="s">
        <v>495</v>
      </c>
      <c r="E17" s="361">
        <v>44167.0</v>
      </c>
      <c r="F17" s="250" t="s">
        <v>496</v>
      </c>
      <c r="G17" s="171">
        <v>30.0</v>
      </c>
      <c r="H17" s="171">
        <v>30.0</v>
      </c>
      <c r="I17" s="171">
        <v>30.0</v>
      </c>
      <c r="J17" s="325">
        <f t="shared" si="2"/>
        <v>0.001071290689</v>
      </c>
      <c r="K17" s="326">
        <f t="shared" si="3"/>
        <v>0.8391777061</v>
      </c>
      <c r="L17" s="327">
        <f t="shared" si="4"/>
        <v>44.04111808</v>
      </c>
      <c r="M17" s="321" t="str">
        <f t="shared" si="5"/>
        <v>ygganderson</v>
      </c>
      <c r="N17" s="176">
        <f>IFERROR(__xludf.DUMMYFUNCTION("""COMPUTED_VALUE"""),14.0)</f>
        <v>14</v>
      </c>
      <c r="O17" s="176"/>
      <c r="P17" s="176"/>
      <c r="Q17" s="176"/>
      <c r="R17" s="176"/>
      <c r="S17" s="176"/>
      <c r="T17" s="176"/>
      <c r="U17" s="176"/>
      <c r="V17" s="176"/>
      <c r="W17" s="176"/>
      <c r="X17" s="176"/>
      <c r="Y17" s="176"/>
      <c r="Z17" s="176"/>
    </row>
    <row r="18">
      <c r="A18" s="226" t="s">
        <v>7</v>
      </c>
      <c r="B18" s="226" t="s">
        <v>18</v>
      </c>
      <c r="C18" s="250" t="s">
        <v>3352</v>
      </c>
      <c r="D18" s="268" t="s">
        <v>495</v>
      </c>
      <c r="E18" s="361">
        <v>44167.0</v>
      </c>
      <c r="F18" s="250" t="s">
        <v>496</v>
      </c>
      <c r="G18" s="171">
        <v>45.0</v>
      </c>
      <c r="H18" s="171">
        <v>60.0</v>
      </c>
      <c r="I18" s="171">
        <v>50.0</v>
      </c>
      <c r="J18" s="325">
        <f t="shared" si="2"/>
        <v>0.001838044978</v>
      </c>
      <c r="K18" s="326">
        <f t="shared" si="3"/>
        <v>1.439801899</v>
      </c>
      <c r="L18" s="327">
        <f t="shared" si="4"/>
        <v>44.04111808</v>
      </c>
      <c r="M18" s="321" t="str">
        <f t="shared" si="5"/>
        <v>ygganderson</v>
      </c>
      <c r="N18" s="176">
        <f>IFERROR(__xludf.DUMMYFUNCTION("""COMPUTED_VALUE"""),15.0)</f>
        <v>15</v>
      </c>
      <c r="O18" s="176"/>
      <c r="P18" s="176"/>
      <c r="Q18" s="176"/>
      <c r="R18" s="176"/>
      <c r="S18" s="176"/>
      <c r="T18" s="176"/>
      <c r="U18" s="176"/>
      <c r="V18" s="176"/>
      <c r="W18" s="176"/>
      <c r="X18" s="176"/>
      <c r="Y18" s="176"/>
      <c r="Z18" s="176"/>
    </row>
    <row r="19">
      <c r="A19" s="226" t="s">
        <v>7</v>
      </c>
      <c r="B19" s="226" t="s">
        <v>25</v>
      </c>
      <c r="C19" s="250" t="s">
        <v>3353</v>
      </c>
      <c r="D19" s="268" t="s">
        <v>495</v>
      </c>
      <c r="E19" s="361">
        <v>44168.0</v>
      </c>
      <c r="F19" s="250" t="s">
        <v>496</v>
      </c>
      <c r="G19" s="171">
        <v>30.0</v>
      </c>
      <c r="H19" s="171">
        <v>30.0</v>
      </c>
      <c r="I19" s="171">
        <v>25.0</v>
      </c>
      <c r="J19" s="325">
        <f t="shared" si="2"/>
        <v>0.001000386806</v>
      </c>
      <c r="K19" s="326">
        <f t="shared" si="3"/>
        <v>0.7836363313</v>
      </c>
      <c r="L19" s="327">
        <f t="shared" si="4"/>
        <v>44.04111808</v>
      </c>
      <c r="M19" s="321" t="str">
        <f t="shared" si="5"/>
        <v>ygganderson</v>
      </c>
      <c r="N19" s="176">
        <f>IFERROR(__xludf.DUMMYFUNCTION("""COMPUTED_VALUE"""),16.0)</f>
        <v>16</v>
      </c>
      <c r="O19" s="176"/>
      <c r="P19" s="176"/>
      <c r="Q19" s="176"/>
      <c r="R19" s="176"/>
      <c r="S19" s="176"/>
      <c r="T19" s="176"/>
      <c r="U19" s="176"/>
      <c r="V19" s="176"/>
      <c r="W19" s="176"/>
      <c r="X19" s="176"/>
      <c r="Y19" s="176"/>
      <c r="Z19" s="176"/>
    </row>
    <row r="20">
      <c r="A20" s="226" t="s">
        <v>7</v>
      </c>
      <c r="B20" s="226" t="s">
        <v>10</v>
      </c>
      <c r="C20" s="250" t="s">
        <v>3354</v>
      </c>
      <c r="D20" s="268" t="s">
        <v>495</v>
      </c>
      <c r="E20" s="361">
        <v>44169.0</v>
      </c>
      <c r="F20" s="250" t="s">
        <v>496</v>
      </c>
      <c r="G20" s="171">
        <v>150.0</v>
      </c>
      <c r="H20" s="171">
        <v>140.0</v>
      </c>
      <c r="I20" s="171">
        <v>150.0</v>
      </c>
      <c r="J20" s="325">
        <f t="shared" si="2"/>
        <v>0.005249650068</v>
      </c>
      <c r="K20" s="326">
        <f t="shared" si="3"/>
        <v>4.112225887</v>
      </c>
      <c r="L20" s="327">
        <f t="shared" si="4"/>
        <v>44.04111808</v>
      </c>
      <c r="M20" s="321" t="str">
        <f t="shared" si="5"/>
        <v>ygganderson</v>
      </c>
      <c r="N20" s="176">
        <f>IFERROR(__xludf.DUMMYFUNCTION("""COMPUTED_VALUE"""),17.0)</f>
        <v>17</v>
      </c>
      <c r="O20" s="176"/>
      <c r="P20" s="176"/>
      <c r="Q20" s="176"/>
      <c r="R20" s="176"/>
      <c r="S20" s="176"/>
      <c r="T20" s="176"/>
      <c r="U20" s="176"/>
      <c r="V20" s="176"/>
      <c r="W20" s="176"/>
      <c r="X20" s="176"/>
      <c r="Y20" s="176"/>
      <c r="Z20" s="176"/>
    </row>
    <row r="21">
      <c r="A21" s="226" t="s">
        <v>7</v>
      </c>
      <c r="B21" s="226" t="s">
        <v>10</v>
      </c>
      <c r="C21" s="250" t="s">
        <v>3355</v>
      </c>
      <c r="D21" s="268" t="s">
        <v>495</v>
      </c>
      <c r="E21" s="361">
        <v>44169.0</v>
      </c>
      <c r="F21" s="250" t="s">
        <v>496</v>
      </c>
      <c r="G21" s="171">
        <v>60.0</v>
      </c>
      <c r="H21" s="171">
        <v>60.0</v>
      </c>
      <c r="I21" s="171">
        <v>50.0</v>
      </c>
      <c r="J21" s="325">
        <f t="shared" si="2"/>
        <v>0.002000773612</v>
      </c>
      <c r="K21" s="326">
        <f t="shared" si="3"/>
        <v>1.567272663</v>
      </c>
      <c r="L21" s="327">
        <f t="shared" si="4"/>
        <v>44.04111808</v>
      </c>
      <c r="M21" s="321" t="str">
        <f t="shared" si="5"/>
        <v>ygganderson</v>
      </c>
      <c r="N21" s="176">
        <f>IFERROR(__xludf.DUMMYFUNCTION("""COMPUTED_VALUE"""),18.0)</f>
        <v>18</v>
      </c>
      <c r="O21" s="176"/>
      <c r="P21" s="176"/>
      <c r="Q21" s="176"/>
      <c r="R21" s="176"/>
      <c r="S21" s="176"/>
      <c r="T21" s="176"/>
      <c r="U21" s="176"/>
      <c r="V21" s="176"/>
      <c r="W21" s="176"/>
      <c r="X21" s="176"/>
      <c r="Y21" s="176"/>
      <c r="Z21" s="176"/>
    </row>
    <row r="22">
      <c r="A22" s="226" t="s">
        <v>7</v>
      </c>
      <c r="B22" s="226" t="s">
        <v>10</v>
      </c>
      <c r="C22" s="250" t="s">
        <v>3356</v>
      </c>
      <c r="D22" s="268" t="s">
        <v>495</v>
      </c>
      <c r="E22" s="361">
        <v>44169.0</v>
      </c>
      <c r="F22" s="250" t="s">
        <v>496</v>
      </c>
      <c r="G22" s="171">
        <v>45.0</v>
      </c>
      <c r="H22" s="171">
        <v>45.0</v>
      </c>
      <c r="I22" s="171">
        <v>40.0</v>
      </c>
      <c r="J22" s="325">
        <f t="shared" si="2"/>
        <v>0.00153603215</v>
      </c>
      <c r="K22" s="326">
        <f t="shared" si="3"/>
        <v>1.203225184</v>
      </c>
      <c r="L22" s="327">
        <f t="shared" si="4"/>
        <v>44.04111808</v>
      </c>
      <c r="M22" s="321" t="str">
        <f t="shared" si="5"/>
        <v>ygganderson</v>
      </c>
      <c r="N22" s="176">
        <f>IFERROR(__xludf.DUMMYFUNCTION("""COMPUTED_VALUE"""),19.0)</f>
        <v>19</v>
      </c>
      <c r="O22" s="176"/>
      <c r="P22" s="176"/>
      <c r="Q22" s="176"/>
      <c r="R22" s="176"/>
      <c r="S22" s="176"/>
      <c r="T22" s="176"/>
      <c r="U22" s="176"/>
      <c r="V22" s="176"/>
      <c r="W22" s="176"/>
      <c r="X22" s="176"/>
      <c r="Y22" s="176"/>
      <c r="Z22" s="176"/>
    </row>
    <row r="23">
      <c r="A23" s="226" t="s">
        <v>7</v>
      </c>
      <c r="B23" s="226" t="s">
        <v>845</v>
      </c>
      <c r="C23" s="250" t="s">
        <v>3357</v>
      </c>
      <c r="D23" s="268" t="s">
        <v>495</v>
      </c>
      <c r="E23" s="361">
        <v>44169.0</v>
      </c>
      <c r="F23" s="250" t="s">
        <v>496</v>
      </c>
      <c r="G23" s="171">
        <v>60.0</v>
      </c>
      <c r="H23" s="171">
        <v>45.0</v>
      </c>
      <c r="I23" s="171">
        <v>50.0</v>
      </c>
      <c r="J23" s="325">
        <f t="shared" si="2"/>
        <v>0.001840568549</v>
      </c>
      <c r="K23" s="326">
        <f t="shared" si="3"/>
        <v>1.441778697</v>
      </c>
      <c r="L23" s="327">
        <f t="shared" si="4"/>
        <v>44.04111808</v>
      </c>
      <c r="M23" s="321" t="str">
        <f t="shared" si="5"/>
        <v>ygganderson</v>
      </c>
      <c r="N23" s="176">
        <f>IFERROR(__xludf.DUMMYFUNCTION("""COMPUTED_VALUE"""),20.0)</f>
        <v>20</v>
      </c>
      <c r="O23" s="176"/>
      <c r="P23" s="176"/>
      <c r="Q23" s="176"/>
      <c r="R23" s="176"/>
      <c r="S23" s="176"/>
      <c r="T23" s="176"/>
      <c r="U23" s="176"/>
      <c r="V23" s="176"/>
      <c r="W23" s="176"/>
      <c r="X23" s="176"/>
      <c r="Y23" s="176"/>
      <c r="Z23" s="176"/>
    </row>
    <row r="24">
      <c r="A24" s="226" t="s">
        <v>7</v>
      </c>
      <c r="B24" s="226" t="s">
        <v>6</v>
      </c>
      <c r="C24" s="250" t="s">
        <v>3358</v>
      </c>
      <c r="D24" s="268" t="s">
        <v>495</v>
      </c>
      <c r="E24" s="361">
        <v>44169.0</v>
      </c>
      <c r="F24" s="250" t="s">
        <v>496</v>
      </c>
      <c r="G24" s="171">
        <v>100.0</v>
      </c>
      <c r="H24" s="171">
        <v>100.0</v>
      </c>
      <c r="I24" s="171">
        <v>100.0</v>
      </c>
      <c r="J24" s="325">
        <f t="shared" si="2"/>
        <v>0.003570968962</v>
      </c>
      <c r="K24" s="326">
        <f t="shared" si="3"/>
        <v>2.79725902</v>
      </c>
      <c r="L24" s="327">
        <f t="shared" si="4"/>
        <v>44.04111808</v>
      </c>
      <c r="M24" s="321" t="str">
        <f t="shared" si="5"/>
        <v>ygganderson</v>
      </c>
      <c r="N24" s="176">
        <f>IFERROR(__xludf.DUMMYFUNCTION("""COMPUTED_VALUE"""),21.0)</f>
        <v>21</v>
      </c>
      <c r="O24" s="176"/>
      <c r="P24" s="176"/>
      <c r="Q24" s="176"/>
      <c r="R24" s="176"/>
      <c r="S24" s="176"/>
      <c r="T24" s="176"/>
      <c r="U24" s="176"/>
      <c r="V24" s="176"/>
      <c r="W24" s="176"/>
      <c r="X24" s="176"/>
      <c r="Y24" s="176"/>
      <c r="Z24" s="176"/>
    </row>
    <row r="25">
      <c r="A25" s="165" t="s">
        <v>7</v>
      </c>
      <c r="B25" s="226" t="s">
        <v>519</v>
      </c>
      <c r="C25" s="250" t="s">
        <v>3359</v>
      </c>
      <c r="D25" s="268" t="s">
        <v>495</v>
      </c>
      <c r="E25" s="251">
        <v>44160.0</v>
      </c>
      <c r="F25" s="368" t="s">
        <v>521</v>
      </c>
      <c r="G25" s="268">
        <v>30.0</v>
      </c>
      <c r="H25" s="236">
        <v>60.0</v>
      </c>
      <c r="I25" s="236">
        <v>30.0</v>
      </c>
      <c r="J25" s="325">
        <f t="shared" si="2"/>
        <v>0.001391700814</v>
      </c>
      <c r="K25" s="326">
        <f t="shared" si="3"/>
        <v>1.090165637</v>
      </c>
      <c r="L25" s="327">
        <f t="shared" si="4"/>
        <v>44.04111808</v>
      </c>
      <c r="M25" s="321" t="str">
        <f t="shared" si="5"/>
        <v>ygganderson</v>
      </c>
      <c r="N25" s="176">
        <f>IFERROR(__xludf.DUMMYFUNCTION("""COMPUTED_VALUE"""),22.0)</f>
        <v>22</v>
      </c>
      <c r="O25" s="176"/>
      <c r="P25" s="176"/>
      <c r="Q25" s="176"/>
      <c r="R25" s="176"/>
      <c r="S25" s="176"/>
      <c r="T25" s="176"/>
      <c r="U25" s="176"/>
      <c r="V25" s="176"/>
      <c r="W25" s="176"/>
      <c r="X25" s="176"/>
      <c r="Y25" s="176"/>
      <c r="Z25" s="176"/>
    </row>
    <row r="26">
      <c r="A26" s="343" t="s">
        <v>7</v>
      </c>
      <c r="B26" s="343" t="s">
        <v>590</v>
      </c>
      <c r="C26" s="254" t="s">
        <v>3360</v>
      </c>
      <c r="D26" s="336" t="s">
        <v>495</v>
      </c>
      <c r="E26" s="241" t="s">
        <v>3361</v>
      </c>
      <c r="F26" s="241" t="s">
        <v>3361</v>
      </c>
      <c r="G26" s="222"/>
      <c r="H26" s="222"/>
      <c r="I26" s="222"/>
      <c r="J26" s="325">
        <f t="shared" si="2"/>
        <v>0</v>
      </c>
      <c r="K26" s="326">
        <f t="shared" si="3"/>
        <v>0</v>
      </c>
      <c r="L26" s="327">
        <f t="shared" si="4"/>
        <v>44.04111808</v>
      </c>
      <c r="M26" s="321" t="str">
        <f t="shared" si="5"/>
        <v>ygganderson</v>
      </c>
      <c r="N26" s="176">
        <f>IFERROR(__xludf.DUMMYFUNCTION("""COMPUTED_VALUE"""),23.0)</f>
        <v>23</v>
      </c>
      <c r="O26" s="176"/>
      <c r="P26" s="176"/>
      <c r="Q26" s="176"/>
      <c r="R26" s="176"/>
      <c r="S26" s="176"/>
      <c r="T26" s="176"/>
      <c r="U26" s="176"/>
      <c r="V26" s="176"/>
      <c r="W26" s="176"/>
      <c r="X26" s="176"/>
      <c r="Y26" s="176"/>
      <c r="Z26" s="176"/>
    </row>
    <row r="27">
      <c r="A27" s="226" t="s">
        <v>6</v>
      </c>
      <c r="B27" s="226" t="s">
        <v>845</v>
      </c>
      <c r="C27" s="250" t="s">
        <v>3362</v>
      </c>
      <c r="D27" s="268" t="s">
        <v>495</v>
      </c>
      <c r="E27" s="251">
        <v>44158.0</v>
      </c>
      <c r="F27" s="368" t="s">
        <v>496</v>
      </c>
      <c r="G27" s="268">
        <v>100.0</v>
      </c>
      <c r="H27" s="236">
        <v>110.0</v>
      </c>
      <c r="I27" s="236">
        <v>100.0</v>
      </c>
      <c r="J27" s="325">
        <f t="shared" si="2"/>
        <v>0.003677772337</v>
      </c>
      <c r="K27" s="326">
        <f t="shared" si="3"/>
        <v>2.880921664</v>
      </c>
      <c r="L27" s="327">
        <f t="shared" si="4"/>
        <v>42.78739172</v>
      </c>
      <c r="M27" s="321" t="str">
        <f t="shared" si="5"/>
        <v>sembrestels</v>
      </c>
      <c r="N27" s="176">
        <f>IFERROR(__xludf.DUMMYFUNCTION("""COMPUTED_VALUE"""),1.0)</f>
        <v>1</v>
      </c>
      <c r="O27" s="176"/>
      <c r="P27" s="176"/>
      <c r="Q27" s="176"/>
      <c r="R27" s="176"/>
      <c r="S27" s="176"/>
      <c r="T27" s="176"/>
      <c r="U27" s="176"/>
      <c r="V27" s="176"/>
      <c r="W27" s="176"/>
      <c r="X27" s="176"/>
      <c r="Y27" s="176"/>
      <c r="Z27" s="176"/>
    </row>
    <row r="28">
      <c r="A28" s="226" t="s">
        <v>6</v>
      </c>
      <c r="B28" s="226" t="s">
        <v>18</v>
      </c>
      <c r="C28" s="250" t="s">
        <v>3363</v>
      </c>
      <c r="D28" s="268" t="s">
        <v>495</v>
      </c>
      <c r="E28" s="251">
        <v>44159.0</v>
      </c>
      <c r="F28" s="368" t="s">
        <v>496</v>
      </c>
      <c r="G28" s="268">
        <v>100.0</v>
      </c>
      <c r="H28" s="236">
        <v>100.0</v>
      </c>
      <c r="I28" s="236">
        <v>100.0</v>
      </c>
      <c r="J28" s="325">
        <f t="shared" si="2"/>
        <v>0.003570968962</v>
      </c>
      <c r="K28" s="326">
        <f t="shared" si="3"/>
        <v>2.79725902</v>
      </c>
      <c r="L28" s="327">
        <f t="shared" si="4"/>
        <v>42.78739172</v>
      </c>
      <c r="M28" s="321" t="str">
        <f t="shared" si="5"/>
        <v>sembrestels</v>
      </c>
      <c r="N28" s="176">
        <f>IFERROR(__xludf.DUMMYFUNCTION("""COMPUTED_VALUE"""),2.0)</f>
        <v>2</v>
      </c>
      <c r="O28" s="176"/>
      <c r="P28" s="176"/>
      <c r="Q28" s="176"/>
      <c r="R28" s="176"/>
      <c r="S28" s="176"/>
      <c r="T28" s="176"/>
      <c r="U28" s="176"/>
      <c r="V28" s="176"/>
      <c r="W28" s="176"/>
      <c r="X28" s="176"/>
      <c r="Y28" s="176"/>
      <c r="Z28" s="176"/>
    </row>
    <row r="29">
      <c r="A29" s="226" t="s">
        <v>6</v>
      </c>
      <c r="B29" s="226" t="s">
        <v>6</v>
      </c>
      <c r="C29" s="250" t="s">
        <v>3364</v>
      </c>
      <c r="D29" s="268" t="s">
        <v>495</v>
      </c>
      <c r="E29" s="251">
        <v>44159.0</v>
      </c>
      <c r="F29" s="368" t="s">
        <v>496</v>
      </c>
      <c r="G29" s="268">
        <v>30.0</v>
      </c>
      <c r="H29" s="236">
        <v>60.0</v>
      </c>
      <c r="I29" s="236">
        <v>50.0</v>
      </c>
      <c r="J29" s="325">
        <f t="shared" si="2"/>
        <v>0.001675316344</v>
      </c>
      <c r="K29" s="326">
        <f t="shared" si="3"/>
        <v>1.312331136</v>
      </c>
      <c r="L29" s="327">
        <f t="shared" si="4"/>
        <v>42.78739172</v>
      </c>
      <c r="M29" s="321" t="str">
        <f t="shared" si="5"/>
        <v>sembrestels</v>
      </c>
      <c r="N29" s="176">
        <f>IFERROR(__xludf.DUMMYFUNCTION("""COMPUTED_VALUE"""),3.0)</f>
        <v>3</v>
      </c>
      <c r="O29" s="176"/>
      <c r="P29" s="176"/>
      <c r="Q29" s="176"/>
      <c r="R29" s="176"/>
      <c r="S29" s="176"/>
      <c r="T29" s="176"/>
      <c r="U29" s="176"/>
      <c r="V29" s="176"/>
      <c r="W29" s="176"/>
      <c r="X29" s="176"/>
      <c r="Y29" s="176"/>
      <c r="Z29" s="176"/>
    </row>
    <row r="30">
      <c r="A30" s="226" t="s">
        <v>6</v>
      </c>
      <c r="B30" s="226" t="s">
        <v>5</v>
      </c>
      <c r="C30" s="250" t="s">
        <v>3365</v>
      </c>
      <c r="D30" s="268" t="s">
        <v>495</v>
      </c>
      <c r="E30" s="251">
        <v>44159.0</v>
      </c>
      <c r="F30" s="368" t="s">
        <v>496</v>
      </c>
      <c r="G30" s="268">
        <v>30.0</v>
      </c>
      <c r="H30" s="236">
        <v>70.0</v>
      </c>
      <c r="I30" s="236">
        <v>50.0</v>
      </c>
      <c r="J30" s="325">
        <f t="shared" si="2"/>
        <v>0.001782119719</v>
      </c>
      <c r="K30" s="326">
        <f t="shared" si="3"/>
        <v>1.39599378</v>
      </c>
      <c r="L30" s="327">
        <f t="shared" si="4"/>
        <v>42.78739172</v>
      </c>
      <c r="M30" s="321" t="str">
        <f t="shared" si="5"/>
        <v>sembrestels</v>
      </c>
      <c r="N30" s="176">
        <f>IFERROR(__xludf.DUMMYFUNCTION("""COMPUTED_VALUE"""),4.0)</f>
        <v>4</v>
      </c>
      <c r="O30" s="176"/>
      <c r="P30" s="176"/>
      <c r="Q30" s="176"/>
      <c r="R30" s="176"/>
      <c r="S30" s="176"/>
      <c r="T30" s="176"/>
      <c r="U30" s="176"/>
      <c r="V30" s="176"/>
      <c r="W30" s="176"/>
      <c r="X30" s="176"/>
      <c r="Y30" s="176"/>
      <c r="Z30" s="176"/>
    </row>
    <row r="31">
      <c r="A31" s="226" t="s">
        <v>6</v>
      </c>
      <c r="B31" s="226" t="s">
        <v>590</v>
      </c>
      <c r="C31" s="250" t="s">
        <v>3339</v>
      </c>
      <c r="D31" s="268" t="s">
        <v>495</v>
      </c>
      <c r="E31" s="251">
        <v>44159.0</v>
      </c>
      <c r="F31" s="368" t="s">
        <v>496</v>
      </c>
      <c r="G31" s="268">
        <v>20.0</v>
      </c>
      <c r="H31" s="236">
        <v>60.0</v>
      </c>
      <c r="I31" s="236">
        <v>30.0</v>
      </c>
      <c r="J31" s="325">
        <f t="shared" si="2"/>
        <v>0.001283215058</v>
      </c>
      <c r="K31" s="326">
        <f t="shared" si="3"/>
        <v>1.005185129</v>
      </c>
      <c r="L31" s="327">
        <f t="shared" si="4"/>
        <v>42.78739172</v>
      </c>
      <c r="M31" s="321" t="str">
        <f t="shared" si="5"/>
        <v>sembrestels</v>
      </c>
      <c r="N31" s="176">
        <f>IFERROR(__xludf.DUMMYFUNCTION("""COMPUTED_VALUE"""),5.0)</f>
        <v>5</v>
      </c>
      <c r="O31" s="176"/>
      <c r="P31" s="176"/>
      <c r="Q31" s="176"/>
      <c r="R31" s="176"/>
      <c r="S31" s="176"/>
      <c r="T31" s="176"/>
      <c r="U31" s="176"/>
      <c r="V31" s="176"/>
      <c r="W31" s="176"/>
      <c r="X31" s="176"/>
      <c r="Y31" s="176"/>
      <c r="Z31" s="176"/>
    </row>
    <row r="32">
      <c r="A32" s="226" t="s">
        <v>6</v>
      </c>
      <c r="B32" s="226" t="s">
        <v>925</v>
      </c>
      <c r="C32" s="250" t="s">
        <v>3366</v>
      </c>
      <c r="D32" s="268" t="s">
        <v>495</v>
      </c>
      <c r="E32" s="251">
        <v>44160.0</v>
      </c>
      <c r="F32" s="368" t="s">
        <v>496</v>
      </c>
      <c r="G32" s="268">
        <v>100.0</v>
      </c>
      <c r="H32" s="236">
        <v>100.0</v>
      </c>
      <c r="I32" s="236">
        <v>80.0</v>
      </c>
      <c r="J32" s="325">
        <f t="shared" si="2"/>
        <v>0.003287353431</v>
      </c>
      <c r="K32" s="326">
        <f t="shared" si="3"/>
        <v>2.575093521</v>
      </c>
      <c r="L32" s="327">
        <f t="shared" si="4"/>
        <v>42.78739172</v>
      </c>
      <c r="M32" s="321" t="str">
        <f t="shared" si="5"/>
        <v>sembrestels</v>
      </c>
      <c r="N32" s="176">
        <f>IFERROR(__xludf.DUMMYFUNCTION("""COMPUTED_VALUE"""),6.0)</f>
        <v>6</v>
      </c>
      <c r="O32" s="176"/>
      <c r="P32" s="176"/>
      <c r="Q32" s="176"/>
      <c r="R32" s="176"/>
      <c r="S32" s="176"/>
      <c r="T32" s="176"/>
      <c r="U32" s="176"/>
      <c r="V32" s="176"/>
      <c r="W32" s="176"/>
      <c r="X32" s="176"/>
      <c r="Y32" s="176"/>
      <c r="Z32" s="176"/>
    </row>
    <row r="33">
      <c r="A33" s="226" t="s">
        <v>6</v>
      </c>
      <c r="B33" s="226" t="s">
        <v>519</v>
      </c>
      <c r="C33" s="250" t="s">
        <v>3359</v>
      </c>
      <c r="D33" s="268" t="s">
        <v>495</v>
      </c>
      <c r="E33" s="251">
        <v>44160.0</v>
      </c>
      <c r="F33" s="368" t="s">
        <v>521</v>
      </c>
      <c r="G33" s="268">
        <v>30.0</v>
      </c>
      <c r="H33" s="236">
        <v>60.0</v>
      </c>
      <c r="I33" s="236">
        <v>30.0</v>
      </c>
      <c r="J33" s="325">
        <f t="shared" si="2"/>
        <v>0.001391700814</v>
      </c>
      <c r="K33" s="326">
        <f t="shared" si="3"/>
        <v>1.090165637</v>
      </c>
      <c r="L33" s="327">
        <f t="shared" si="4"/>
        <v>42.78739172</v>
      </c>
      <c r="M33" s="321" t="str">
        <f t="shared" si="5"/>
        <v>sembrestels</v>
      </c>
      <c r="N33" s="176">
        <f>IFERROR(__xludf.DUMMYFUNCTION("""COMPUTED_VALUE"""),7.0)</f>
        <v>7</v>
      </c>
      <c r="O33" s="176"/>
      <c r="P33" s="176"/>
      <c r="Q33" s="176"/>
      <c r="R33" s="176"/>
      <c r="S33" s="176"/>
      <c r="T33" s="176"/>
      <c r="U33" s="176"/>
      <c r="V33" s="176"/>
      <c r="W33" s="176"/>
      <c r="X33" s="176"/>
      <c r="Y33" s="176"/>
      <c r="Z33" s="176"/>
    </row>
    <row r="34">
      <c r="A34" s="226" t="s">
        <v>6</v>
      </c>
      <c r="B34" s="226" t="s">
        <v>5</v>
      </c>
      <c r="C34" s="250" t="s">
        <v>3340</v>
      </c>
      <c r="D34" s="268" t="s">
        <v>495</v>
      </c>
      <c r="E34" s="251">
        <v>44160.0</v>
      </c>
      <c r="F34" s="368" t="s">
        <v>496</v>
      </c>
      <c r="G34" s="268">
        <v>20.0</v>
      </c>
      <c r="H34" s="236">
        <v>60.0</v>
      </c>
      <c r="I34" s="236">
        <v>20.0</v>
      </c>
      <c r="J34" s="325">
        <f t="shared" si="2"/>
        <v>0.001141407292</v>
      </c>
      <c r="K34" s="326">
        <f t="shared" si="3"/>
        <v>0.894102379</v>
      </c>
      <c r="L34" s="327">
        <f t="shared" si="4"/>
        <v>42.78739172</v>
      </c>
      <c r="M34" s="321" t="str">
        <f t="shared" si="5"/>
        <v>sembrestels</v>
      </c>
      <c r="N34" s="176">
        <f>IFERROR(__xludf.DUMMYFUNCTION("""COMPUTED_VALUE"""),8.0)</f>
        <v>8</v>
      </c>
      <c r="O34" s="176"/>
      <c r="P34" s="176"/>
      <c r="Q34" s="176"/>
      <c r="R34" s="176"/>
      <c r="S34" s="176"/>
      <c r="T34" s="176"/>
      <c r="U34" s="176"/>
      <c r="V34" s="176"/>
      <c r="W34" s="176"/>
      <c r="X34" s="176"/>
      <c r="Y34" s="176"/>
      <c r="Z34" s="176"/>
    </row>
    <row r="35">
      <c r="A35" s="226" t="s">
        <v>6</v>
      </c>
      <c r="B35" s="226" t="s">
        <v>519</v>
      </c>
      <c r="C35" s="250" t="s">
        <v>3367</v>
      </c>
      <c r="D35" s="268" t="s">
        <v>495</v>
      </c>
      <c r="E35" s="251">
        <v>44161.0</v>
      </c>
      <c r="F35" s="368" t="s">
        <v>496</v>
      </c>
      <c r="G35" s="268">
        <v>200.0</v>
      </c>
      <c r="H35" s="236">
        <v>150.0</v>
      </c>
      <c r="I35" s="236">
        <v>100.0</v>
      </c>
      <c r="J35" s="325">
        <f t="shared" si="2"/>
        <v>0.005189843395</v>
      </c>
      <c r="K35" s="326">
        <f t="shared" si="3"/>
        <v>4.065377326</v>
      </c>
      <c r="L35" s="327">
        <f t="shared" si="4"/>
        <v>42.78739172</v>
      </c>
      <c r="M35" s="321" t="str">
        <f t="shared" si="5"/>
        <v>sembrestels</v>
      </c>
      <c r="N35" s="176">
        <f>IFERROR(__xludf.DUMMYFUNCTION("""COMPUTED_VALUE"""),9.0)</f>
        <v>9</v>
      </c>
      <c r="O35" s="176"/>
      <c r="P35" s="176"/>
      <c r="Q35" s="176"/>
      <c r="R35" s="176"/>
      <c r="S35" s="176"/>
      <c r="T35" s="176"/>
      <c r="U35" s="176"/>
      <c r="V35" s="176"/>
      <c r="W35" s="176"/>
      <c r="X35" s="176"/>
      <c r="Y35" s="176"/>
      <c r="Z35" s="176"/>
    </row>
    <row r="36">
      <c r="A36" s="226" t="s">
        <v>6</v>
      </c>
      <c r="B36" s="226" t="s">
        <v>519</v>
      </c>
      <c r="C36" s="250" t="s">
        <v>3368</v>
      </c>
      <c r="D36" s="268" t="s">
        <v>495</v>
      </c>
      <c r="E36" s="251">
        <v>44161.0</v>
      </c>
      <c r="F36" s="368" t="s">
        <v>496</v>
      </c>
      <c r="G36" s="268">
        <v>20.0</v>
      </c>
      <c r="H36" s="236">
        <v>20.0</v>
      </c>
      <c r="I36" s="236">
        <v>30.0</v>
      </c>
      <c r="J36" s="325">
        <f t="shared" si="2"/>
        <v>0.0008560015578</v>
      </c>
      <c r="K36" s="326">
        <f t="shared" si="3"/>
        <v>0.6705345536</v>
      </c>
      <c r="L36" s="327">
        <f t="shared" si="4"/>
        <v>42.78739172</v>
      </c>
      <c r="M36" s="321" t="str">
        <f t="shared" si="5"/>
        <v>sembrestels</v>
      </c>
      <c r="N36" s="176">
        <f>IFERROR(__xludf.DUMMYFUNCTION("""COMPUTED_VALUE"""),10.0)</f>
        <v>10</v>
      </c>
      <c r="O36" s="176"/>
      <c r="P36" s="176"/>
      <c r="Q36" s="176"/>
      <c r="R36" s="176"/>
      <c r="S36" s="176"/>
      <c r="T36" s="176"/>
      <c r="U36" s="176"/>
      <c r="V36" s="176"/>
      <c r="W36" s="176"/>
      <c r="X36" s="176"/>
      <c r="Y36" s="176"/>
      <c r="Z36" s="176"/>
    </row>
    <row r="37">
      <c r="A37" s="226" t="s">
        <v>6</v>
      </c>
      <c r="B37" s="226" t="s">
        <v>10</v>
      </c>
      <c r="C37" s="250" t="s">
        <v>3369</v>
      </c>
      <c r="D37" s="268" t="s">
        <v>495</v>
      </c>
      <c r="E37" s="251">
        <v>44162.0</v>
      </c>
      <c r="F37" s="368" t="s">
        <v>496</v>
      </c>
      <c r="G37" s="236">
        <v>200.0</v>
      </c>
      <c r="H37" s="236">
        <v>100.0</v>
      </c>
      <c r="I37" s="236">
        <v>30.0</v>
      </c>
      <c r="J37" s="325">
        <f t="shared" si="2"/>
        <v>0.003663172162</v>
      </c>
      <c r="K37" s="326">
        <f t="shared" si="3"/>
        <v>2.869484861</v>
      </c>
      <c r="L37" s="327">
        <f t="shared" si="4"/>
        <v>42.78739172</v>
      </c>
      <c r="M37" s="321" t="str">
        <f t="shared" si="5"/>
        <v>sembrestels</v>
      </c>
      <c r="N37" s="176">
        <f>IFERROR(__xludf.DUMMYFUNCTION("""COMPUTED_VALUE"""),11.0)</f>
        <v>11</v>
      </c>
      <c r="O37" s="176"/>
      <c r="P37" s="176"/>
      <c r="Q37" s="176"/>
      <c r="R37" s="176"/>
      <c r="S37" s="176"/>
      <c r="T37" s="176"/>
      <c r="U37" s="176"/>
      <c r="V37" s="176"/>
      <c r="W37" s="176"/>
      <c r="X37" s="176"/>
      <c r="Y37" s="176"/>
      <c r="Z37" s="176"/>
    </row>
    <row r="38">
      <c r="A38" s="226" t="s">
        <v>6</v>
      </c>
      <c r="B38" s="226" t="s">
        <v>10</v>
      </c>
      <c r="C38" s="250" t="s">
        <v>3370</v>
      </c>
      <c r="D38" s="268" t="s">
        <v>495</v>
      </c>
      <c r="E38" s="251">
        <v>44162.0</v>
      </c>
      <c r="F38" s="368" t="s">
        <v>496</v>
      </c>
      <c r="G38" s="268">
        <v>100.0</v>
      </c>
      <c r="H38" s="236">
        <v>150.0</v>
      </c>
      <c r="I38" s="236">
        <v>100.0</v>
      </c>
      <c r="J38" s="325">
        <f t="shared" si="2"/>
        <v>0.004104985837</v>
      </c>
      <c r="K38" s="326">
        <f t="shared" si="3"/>
        <v>3.215572239</v>
      </c>
      <c r="L38" s="327">
        <f t="shared" si="4"/>
        <v>42.78739172</v>
      </c>
      <c r="M38" s="321" t="str">
        <f t="shared" si="5"/>
        <v>sembrestels</v>
      </c>
      <c r="N38" s="176">
        <f>IFERROR(__xludf.DUMMYFUNCTION("""COMPUTED_VALUE"""),12.0)</f>
        <v>12</v>
      </c>
      <c r="O38" s="176"/>
      <c r="P38" s="176"/>
      <c r="Q38" s="176"/>
      <c r="R38" s="176"/>
      <c r="S38" s="176"/>
      <c r="T38" s="176"/>
      <c r="U38" s="176"/>
      <c r="V38" s="176"/>
      <c r="W38" s="176"/>
      <c r="X38" s="176"/>
      <c r="Y38" s="176"/>
      <c r="Z38" s="176"/>
    </row>
    <row r="39">
      <c r="A39" s="226" t="s">
        <v>6</v>
      </c>
      <c r="B39" s="226" t="s">
        <v>10</v>
      </c>
      <c r="C39" s="250" t="s">
        <v>3371</v>
      </c>
      <c r="D39" s="268" t="s">
        <v>495</v>
      </c>
      <c r="E39" s="251">
        <v>44162.0</v>
      </c>
      <c r="F39" s="368" t="s">
        <v>496</v>
      </c>
      <c r="G39" s="236">
        <v>100.0</v>
      </c>
      <c r="H39" s="236">
        <v>60.0</v>
      </c>
      <c r="I39" s="236">
        <v>50.0</v>
      </c>
      <c r="J39" s="325">
        <f t="shared" si="2"/>
        <v>0.002434716635</v>
      </c>
      <c r="K39" s="326">
        <f t="shared" si="3"/>
        <v>1.907194697</v>
      </c>
      <c r="L39" s="327">
        <f t="shared" si="4"/>
        <v>42.78739172</v>
      </c>
      <c r="M39" s="321" t="str">
        <f t="shared" si="5"/>
        <v>sembrestels</v>
      </c>
      <c r="N39" s="176">
        <f>IFERROR(__xludf.DUMMYFUNCTION("""COMPUTED_VALUE"""),13.0)</f>
        <v>13</v>
      </c>
      <c r="O39" s="176"/>
      <c r="P39" s="176"/>
      <c r="Q39" s="176"/>
      <c r="R39" s="176"/>
      <c r="S39" s="176"/>
      <c r="T39" s="176"/>
      <c r="U39" s="176"/>
      <c r="V39" s="176"/>
      <c r="W39" s="176"/>
      <c r="X39" s="176"/>
      <c r="Y39" s="176"/>
      <c r="Z39" s="176"/>
    </row>
    <row r="40">
      <c r="A40" s="226" t="s">
        <v>6</v>
      </c>
      <c r="B40" s="226" t="s">
        <v>10</v>
      </c>
      <c r="C40" s="250" t="s">
        <v>3345</v>
      </c>
      <c r="D40" s="268" t="s">
        <v>495</v>
      </c>
      <c r="E40" s="251">
        <v>44163.0</v>
      </c>
      <c r="F40" s="368" t="s">
        <v>496</v>
      </c>
      <c r="G40" s="268">
        <v>40.0</v>
      </c>
      <c r="H40" s="236">
        <v>30.0</v>
      </c>
      <c r="I40" s="236">
        <v>30.0</v>
      </c>
      <c r="J40" s="325">
        <f t="shared" si="2"/>
        <v>0.001179776444</v>
      </c>
      <c r="K40" s="326">
        <f t="shared" si="3"/>
        <v>0.9241582148</v>
      </c>
      <c r="L40" s="327">
        <f t="shared" si="4"/>
        <v>42.78739172</v>
      </c>
      <c r="M40" s="321" t="str">
        <f t="shared" si="5"/>
        <v>sembrestels</v>
      </c>
      <c r="N40" s="176">
        <f>IFERROR(__xludf.DUMMYFUNCTION("""COMPUTED_VALUE"""),14.0)</f>
        <v>14</v>
      </c>
      <c r="O40" s="176"/>
      <c r="P40" s="176"/>
      <c r="Q40" s="176"/>
      <c r="R40" s="176"/>
      <c r="S40" s="176"/>
      <c r="T40" s="176"/>
      <c r="U40" s="176"/>
      <c r="V40" s="176"/>
      <c r="W40" s="176"/>
      <c r="X40" s="176"/>
      <c r="Y40" s="176"/>
      <c r="Z40" s="176"/>
    </row>
    <row r="41">
      <c r="A41" s="226" t="s">
        <v>6</v>
      </c>
      <c r="B41" s="226" t="s">
        <v>18</v>
      </c>
      <c r="C41" s="250" t="s">
        <v>3372</v>
      </c>
      <c r="D41" s="268" t="s">
        <v>495</v>
      </c>
      <c r="E41" s="251">
        <v>44165.0</v>
      </c>
      <c r="F41" s="368" t="s">
        <v>496</v>
      </c>
      <c r="G41" s="268">
        <v>100.0</v>
      </c>
      <c r="H41" s="236">
        <v>60.0</v>
      </c>
      <c r="I41" s="236">
        <v>50.0</v>
      </c>
      <c r="J41" s="325">
        <f t="shared" si="2"/>
        <v>0.002434716635</v>
      </c>
      <c r="K41" s="326">
        <f t="shared" si="3"/>
        <v>1.907194697</v>
      </c>
      <c r="L41" s="327">
        <f t="shared" si="4"/>
        <v>42.78739172</v>
      </c>
      <c r="M41" s="321" t="str">
        <f t="shared" si="5"/>
        <v>sembrestels</v>
      </c>
      <c r="N41" s="176">
        <f>IFERROR(__xludf.DUMMYFUNCTION("""COMPUTED_VALUE"""),15.0)</f>
        <v>15</v>
      </c>
      <c r="O41" s="176"/>
      <c r="P41" s="176"/>
      <c r="Q41" s="176"/>
      <c r="R41" s="176"/>
      <c r="S41" s="176"/>
      <c r="T41" s="176"/>
      <c r="U41" s="176"/>
      <c r="V41" s="176"/>
      <c r="W41" s="176"/>
      <c r="X41" s="176"/>
      <c r="Y41" s="176"/>
      <c r="Z41" s="176"/>
    </row>
    <row r="42">
      <c r="A42" s="226" t="s">
        <v>6</v>
      </c>
      <c r="B42" s="226" t="s">
        <v>6</v>
      </c>
      <c r="C42" s="250" t="s">
        <v>3373</v>
      </c>
      <c r="D42" s="268" t="s">
        <v>495</v>
      </c>
      <c r="E42" s="251">
        <v>44165.0</v>
      </c>
      <c r="F42" s="368" t="s">
        <v>496</v>
      </c>
      <c r="G42" s="268">
        <v>30.0</v>
      </c>
      <c r="H42" s="236">
        <v>60.0</v>
      </c>
      <c r="I42" s="236">
        <v>50.0</v>
      </c>
      <c r="J42" s="325">
        <f t="shared" si="2"/>
        <v>0.001675316344</v>
      </c>
      <c r="K42" s="326">
        <f t="shared" si="3"/>
        <v>1.312331136</v>
      </c>
      <c r="L42" s="327">
        <f t="shared" si="4"/>
        <v>42.78739172</v>
      </c>
      <c r="M42" s="321" t="str">
        <f t="shared" si="5"/>
        <v>sembrestels</v>
      </c>
      <c r="N42" s="176">
        <f>IFERROR(__xludf.DUMMYFUNCTION("""COMPUTED_VALUE"""),16.0)</f>
        <v>16</v>
      </c>
      <c r="O42" s="176"/>
      <c r="P42" s="176"/>
      <c r="Q42" s="176"/>
      <c r="R42" s="176"/>
      <c r="S42" s="176"/>
      <c r="T42" s="176"/>
      <c r="U42" s="176"/>
      <c r="V42" s="176"/>
      <c r="W42" s="176"/>
      <c r="X42" s="176"/>
      <c r="Y42" s="176"/>
      <c r="Z42" s="176"/>
    </row>
    <row r="43">
      <c r="A43" s="226" t="s">
        <v>6</v>
      </c>
      <c r="B43" s="226" t="s">
        <v>25</v>
      </c>
      <c r="C43" s="250" t="s">
        <v>3353</v>
      </c>
      <c r="D43" s="268" t="s">
        <v>495</v>
      </c>
      <c r="E43" s="361">
        <v>44168.0</v>
      </c>
      <c r="F43" s="250" t="s">
        <v>496</v>
      </c>
      <c r="G43" s="171">
        <v>30.0</v>
      </c>
      <c r="H43" s="171">
        <v>30.0</v>
      </c>
      <c r="I43" s="171">
        <v>25.0</v>
      </c>
      <c r="J43" s="325">
        <f t="shared" si="2"/>
        <v>0.001000386806</v>
      </c>
      <c r="K43" s="326">
        <f t="shared" si="3"/>
        <v>0.7836363313</v>
      </c>
      <c r="L43" s="327">
        <f t="shared" si="4"/>
        <v>42.78739172</v>
      </c>
      <c r="M43" s="321" t="str">
        <f t="shared" si="5"/>
        <v>sembrestels</v>
      </c>
      <c r="N43" s="176">
        <f>IFERROR(__xludf.DUMMYFUNCTION("""COMPUTED_VALUE"""),17.0)</f>
        <v>17</v>
      </c>
      <c r="O43" s="176"/>
      <c r="P43" s="176"/>
      <c r="Q43" s="176"/>
      <c r="R43" s="176"/>
      <c r="S43" s="176"/>
      <c r="T43" s="176"/>
      <c r="U43" s="176"/>
      <c r="V43" s="176"/>
      <c r="W43" s="176"/>
      <c r="X43" s="176"/>
      <c r="Y43" s="176"/>
      <c r="Z43" s="176"/>
    </row>
    <row r="44">
      <c r="A44" s="226" t="s">
        <v>6</v>
      </c>
      <c r="B44" s="226" t="s">
        <v>6</v>
      </c>
      <c r="C44" s="250" t="s">
        <v>3374</v>
      </c>
      <c r="D44" s="268" t="s">
        <v>495</v>
      </c>
      <c r="E44" s="361">
        <v>44169.0</v>
      </c>
      <c r="F44" s="250" t="s">
        <v>2586</v>
      </c>
      <c r="G44" s="171">
        <v>500.0</v>
      </c>
      <c r="H44" s="171">
        <v>400.0</v>
      </c>
      <c r="I44" s="171">
        <v>300.0</v>
      </c>
      <c r="J44" s="325">
        <f t="shared" si="2"/>
        <v>0.01395065575</v>
      </c>
      <c r="K44" s="326">
        <f t="shared" si="3"/>
        <v>10.92801367</v>
      </c>
      <c r="L44" s="327">
        <f t="shared" si="4"/>
        <v>42.78739172</v>
      </c>
      <c r="M44" s="321" t="str">
        <f t="shared" si="5"/>
        <v>sembrestels</v>
      </c>
      <c r="N44" s="176">
        <f>IFERROR(__xludf.DUMMYFUNCTION("""COMPUTED_VALUE"""),18.0)</f>
        <v>18</v>
      </c>
      <c r="O44" s="176"/>
      <c r="P44" s="176"/>
      <c r="Q44" s="176"/>
      <c r="R44" s="176"/>
      <c r="S44" s="176"/>
      <c r="T44" s="176"/>
      <c r="U44" s="176"/>
      <c r="V44" s="176"/>
      <c r="W44" s="176"/>
      <c r="X44" s="176"/>
      <c r="Y44" s="176"/>
      <c r="Z44" s="176"/>
    </row>
    <row r="45">
      <c r="A45" s="226" t="s">
        <v>6</v>
      </c>
      <c r="B45" s="226" t="s">
        <v>6</v>
      </c>
      <c r="C45" s="250" t="s">
        <v>3375</v>
      </c>
      <c r="D45" s="268" t="s">
        <v>495</v>
      </c>
      <c r="E45" s="361">
        <v>44169.0</v>
      </c>
      <c r="F45" s="250" t="s">
        <v>496</v>
      </c>
      <c r="G45" s="171">
        <v>500.0</v>
      </c>
      <c r="H45" s="171">
        <v>120.0</v>
      </c>
      <c r="I45" s="171">
        <v>100.0</v>
      </c>
      <c r="J45" s="325">
        <f t="shared" si="2"/>
        <v>0.008124005945</v>
      </c>
      <c r="K45" s="326">
        <f t="shared" si="3"/>
        <v>6.363804657</v>
      </c>
      <c r="L45" s="327">
        <f t="shared" si="4"/>
        <v>42.78739172</v>
      </c>
      <c r="M45" s="321" t="str">
        <f t="shared" si="5"/>
        <v>sembrestels</v>
      </c>
      <c r="N45" s="176">
        <f>IFERROR(__xludf.DUMMYFUNCTION("""COMPUTED_VALUE"""),19.0)</f>
        <v>19</v>
      </c>
      <c r="O45" s="176"/>
      <c r="P45" s="176"/>
      <c r="Q45" s="176"/>
      <c r="R45" s="176"/>
      <c r="S45" s="176"/>
      <c r="T45" s="176"/>
      <c r="U45" s="176"/>
      <c r="V45" s="176"/>
      <c r="W45" s="176"/>
      <c r="X45" s="176"/>
      <c r="Y45" s="176"/>
      <c r="Z45" s="176"/>
    </row>
    <row r="46">
      <c r="A46" s="226" t="s">
        <v>6</v>
      </c>
      <c r="B46" s="226" t="s">
        <v>10</v>
      </c>
      <c r="C46" s="250" t="s">
        <v>3376</v>
      </c>
      <c r="D46" s="268" t="s">
        <v>495</v>
      </c>
      <c r="E46" s="361">
        <v>44169.0</v>
      </c>
      <c r="F46" s="250" t="s">
        <v>496</v>
      </c>
      <c r="G46" s="171">
        <v>100.0</v>
      </c>
      <c r="H46" s="171">
        <v>60.0</v>
      </c>
      <c r="I46" s="171">
        <v>100.0</v>
      </c>
      <c r="J46" s="325">
        <f t="shared" si="2"/>
        <v>0.003143755462</v>
      </c>
      <c r="K46" s="326">
        <f t="shared" si="3"/>
        <v>2.462608445</v>
      </c>
      <c r="L46" s="327">
        <f t="shared" si="4"/>
        <v>42.78739172</v>
      </c>
      <c r="M46" s="321" t="str">
        <f t="shared" si="5"/>
        <v>sembrestels</v>
      </c>
      <c r="N46" s="176">
        <f>IFERROR(__xludf.DUMMYFUNCTION("""COMPUTED_VALUE"""),20.0)</f>
        <v>20</v>
      </c>
      <c r="O46" s="176"/>
      <c r="P46" s="176"/>
      <c r="Q46" s="176"/>
      <c r="R46" s="176"/>
      <c r="S46" s="176"/>
      <c r="T46" s="176"/>
      <c r="U46" s="176"/>
      <c r="V46" s="176"/>
      <c r="W46" s="176"/>
      <c r="X46" s="176"/>
      <c r="Y46" s="176"/>
      <c r="Z46" s="176"/>
    </row>
    <row r="47">
      <c r="A47" s="226" t="s">
        <v>6</v>
      </c>
      <c r="B47" s="226" t="s">
        <v>10</v>
      </c>
      <c r="C47" s="250" t="s">
        <v>3356</v>
      </c>
      <c r="D47" s="268" t="s">
        <v>495</v>
      </c>
      <c r="E47" s="361">
        <v>44169.0</v>
      </c>
      <c r="F47" s="250" t="s">
        <v>496</v>
      </c>
      <c r="G47" s="171">
        <v>60.0</v>
      </c>
      <c r="H47" s="171">
        <v>60.0</v>
      </c>
      <c r="I47" s="171">
        <v>40.0</v>
      </c>
      <c r="J47" s="325">
        <f t="shared" si="2"/>
        <v>0.001858965846</v>
      </c>
      <c r="K47" s="326">
        <f t="shared" si="3"/>
        <v>1.456189913</v>
      </c>
      <c r="L47" s="327">
        <f t="shared" si="4"/>
        <v>42.78739172</v>
      </c>
      <c r="M47" s="321" t="str">
        <f t="shared" si="5"/>
        <v>sembrestels</v>
      </c>
      <c r="N47" s="176">
        <f>IFERROR(__xludf.DUMMYFUNCTION("""COMPUTED_VALUE"""),21.0)</f>
        <v>21</v>
      </c>
      <c r="O47" s="176"/>
      <c r="P47" s="176"/>
      <c r="Q47" s="176"/>
      <c r="R47" s="176"/>
      <c r="S47" s="176"/>
      <c r="T47" s="176"/>
      <c r="U47" s="176"/>
      <c r="V47" s="176"/>
      <c r="W47" s="176"/>
      <c r="X47" s="176"/>
      <c r="Y47" s="176"/>
      <c r="Z47" s="176"/>
    </row>
    <row r="48">
      <c r="A48" s="226" t="s">
        <v>6</v>
      </c>
      <c r="B48" s="226" t="s">
        <v>5</v>
      </c>
      <c r="C48" s="250" t="s">
        <v>3377</v>
      </c>
      <c r="D48" s="268" t="s">
        <v>495</v>
      </c>
      <c r="E48" s="361">
        <v>44169.0</v>
      </c>
      <c r="F48" s="250" t="s">
        <v>496</v>
      </c>
      <c r="G48" s="171">
        <v>100.0</v>
      </c>
      <c r="H48" s="171">
        <v>110.0</v>
      </c>
      <c r="I48" s="171">
        <v>50.0</v>
      </c>
      <c r="J48" s="325">
        <f t="shared" si="2"/>
        <v>0.00296873351</v>
      </c>
      <c r="K48" s="326">
        <f t="shared" si="3"/>
        <v>2.325507916</v>
      </c>
      <c r="L48" s="327">
        <f t="shared" si="4"/>
        <v>42.78739172</v>
      </c>
      <c r="M48" s="321" t="str">
        <f t="shared" si="5"/>
        <v>sembrestels</v>
      </c>
      <c r="N48" s="176">
        <f>IFERROR(__xludf.DUMMYFUNCTION("""COMPUTED_VALUE"""),22.0)</f>
        <v>22</v>
      </c>
      <c r="O48" s="176"/>
      <c r="P48" s="176"/>
      <c r="Q48" s="176"/>
      <c r="R48" s="176"/>
      <c r="S48" s="176"/>
      <c r="T48" s="176"/>
      <c r="U48" s="176"/>
      <c r="V48" s="176"/>
      <c r="W48" s="176"/>
      <c r="X48" s="176"/>
      <c r="Y48" s="176"/>
      <c r="Z48" s="176"/>
    </row>
    <row r="49">
      <c r="A49" s="226" t="s">
        <v>6</v>
      </c>
      <c r="B49" s="226" t="s">
        <v>5</v>
      </c>
      <c r="C49" s="250" t="s">
        <v>3378</v>
      </c>
      <c r="D49" s="268" t="s">
        <v>495</v>
      </c>
      <c r="E49" s="361">
        <v>44169.0</v>
      </c>
      <c r="F49" s="250" t="s">
        <v>496</v>
      </c>
      <c r="G49" s="171">
        <v>100.0</v>
      </c>
      <c r="H49" s="171">
        <v>60.0</v>
      </c>
      <c r="I49" s="171">
        <v>50.0</v>
      </c>
      <c r="J49" s="325">
        <f t="shared" si="2"/>
        <v>0.002434716635</v>
      </c>
      <c r="K49" s="326">
        <f t="shared" si="3"/>
        <v>1.907194697</v>
      </c>
      <c r="L49" s="327">
        <f t="shared" si="4"/>
        <v>42.78739172</v>
      </c>
      <c r="M49" s="321" t="str">
        <f t="shared" si="5"/>
        <v>sembrestels</v>
      </c>
      <c r="N49" s="176">
        <f>IFERROR(__xludf.DUMMYFUNCTION("""COMPUTED_VALUE"""),23.0)</f>
        <v>23</v>
      </c>
      <c r="O49" s="176"/>
      <c r="P49" s="176"/>
      <c r="Q49" s="176"/>
      <c r="R49" s="176"/>
      <c r="S49" s="176"/>
      <c r="T49" s="176"/>
      <c r="U49" s="176"/>
      <c r="V49" s="176"/>
      <c r="W49" s="176"/>
      <c r="X49" s="176"/>
      <c r="Y49" s="176"/>
      <c r="Z49" s="176"/>
    </row>
    <row r="50">
      <c r="A50" s="343" t="s">
        <v>6</v>
      </c>
      <c r="B50" s="240" t="s">
        <v>534</v>
      </c>
      <c r="C50" s="346" t="s">
        <v>3379</v>
      </c>
      <c r="D50" s="336"/>
      <c r="E50" s="255"/>
      <c r="F50" s="254"/>
      <c r="G50" s="222"/>
      <c r="H50" s="222"/>
      <c r="I50" s="222"/>
      <c r="J50" s="325">
        <f t="shared" si="2"/>
        <v>0</v>
      </c>
      <c r="K50" s="337">
        <f>-0.25*R50</f>
        <v>-14.26246391</v>
      </c>
      <c r="L50" s="327">
        <f t="shared" si="4"/>
        <v>42.78739172</v>
      </c>
      <c r="M50" s="321" t="str">
        <f t="shared" si="5"/>
        <v>sembrestels</v>
      </c>
      <c r="N50" s="153">
        <f>IFERROR(__xludf.DUMMYFUNCTION("""COMPUTED_VALUE"""),24.0)</f>
        <v>24</v>
      </c>
      <c r="O50" s="209"/>
      <c r="P50" s="209"/>
      <c r="Q50" s="209"/>
      <c r="R50" s="209">
        <v>57.049855624848725</v>
      </c>
      <c r="S50" s="209"/>
      <c r="T50" s="209"/>
      <c r="U50" s="209"/>
      <c r="V50" s="209"/>
      <c r="W50" s="209"/>
      <c r="X50" s="209"/>
      <c r="Y50" s="176"/>
      <c r="Z50" s="176"/>
    </row>
    <row r="51">
      <c r="A51" s="226" t="s">
        <v>3</v>
      </c>
      <c r="B51" s="226" t="s">
        <v>10</v>
      </c>
      <c r="C51" s="250" t="s">
        <v>3380</v>
      </c>
      <c r="D51" s="268" t="s">
        <v>495</v>
      </c>
      <c r="E51" s="251">
        <v>44156.0</v>
      </c>
      <c r="F51" s="368" t="s">
        <v>496</v>
      </c>
      <c r="G51" s="268"/>
      <c r="H51" s="369"/>
      <c r="I51" s="369"/>
      <c r="J51" s="325">
        <f t="shared" si="2"/>
        <v>0</v>
      </c>
      <c r="K51" s="326">
        <f t="shared" ref="K51:K81" si="6">if(A51 = B51,0,$N$1)</f>
        <v>1.119370091</v>
      </c>
      <c r="L51" s="327">
        <f t="shared" si="4"/>
        <v>34.70047283</v>
      </c>
      <c r="M51" s="321" t="str">
        <f t="shared" si="5"/>
        <v>zeptimusq</v>
      </c>
      <c r="N51" s="176">
        <f>IFERROR(__xludf.DUMMYFUNCTION("""COMPUTED_VALUE"""),1.0)</f>
        <v>1</v>
      </c>
      <c r="O51" s="176"/>
      <c r="P51" s="176"/>
      <c r="Q51" s="176"/>
      <c r="R51" s="176"/>
      <c r="S51" s="176"/>
      <c r="T51" s="176"/>
      <c r="U51" s="176"/>
      <c r="V51" s="176"/>
      <c r="W51" s="176"/>
      <c r="X51" s="176"/>
      <c r="Y51" s="176"/>
      <c r="Z51" s="176"/>
    </row>
    <row r="52">
      <c r="A52" s="226" t="s">
        <v>3</v>
      </c>
      <c r="B52" s="226" t="s">
        <v>590</v>
      </c>
      <c r="C52" s="250" t="s">
        <v>3381</v>
      </c>
      <c r="D52" s="268" t="s">
        <v>495</v>
      </c>
      <c r="E52" s="251">
        <v>44158.0</v>
      </c>
      <c r="F52" s="368" t="s">
        <v>496</v>
      </c>
      <c r="G52" s="268"/>
      <c r="H52" s="369"/>
      <c r="I52" s="369"/>
      <c r="J52" s="325">
        <f t="shared" si="2"/>
        <v>0</v>
      </c>
      <c r="K52" s="326">
        <f t="shared" si="6"/>
        <v>1.119370091</v>
      </c>
      <c r="L52" s="327">
        <f t="shared" si="4"/>
        <v>34.70047283</v>
      </c>
      <c r="M52" s="321" t="str">
        <f t="shared" si="5"/>
        <v>zeptimusq</v>
      </c>
      <c r="N52" s="176">
        <f>IFERROR(__xludf.DUMMYFUNCTION("""COMPUTED_VALUE"""),2.0)</f>
        <v>2</v>
      </c>
      <c r="O52" s="176"/>
      <c r="P52" s="176"/>
      <c r="Q52" s="176"/>
      <c r="R52" s="176"/>
      <c r="S52" s="176"/>
      <c r="T52" s="176"/>
      <c r="U52" s="176"/>
      <c r="V52" s="176"/>
      <c r="W52" s="176"/>
      <c r="X52" s="176"/>
      <c r="Y52" s="176"/>
      <c r="Z52" s="176"/>
    </row>
    <row r="53">
      <c r="A53" s="226" t="s">
        <v>3</v>
      </c>
      <c r="B53" s="226" t="s">
        <v>6</v>
      </c>
      <c r="C53" s="250" t="s">
        <v>3364</v>
      </c>
      <c r="D53" s="268" t="s">
        <v>495</v>
      </c>
      <c r="E53" s="251">
        <v>44159.0</v>
      </c>
      <c r="F53" s="368" t="s">
        <v>496</v>
      </c>
      <c r="G53" s="268"/>
      <c r="H53" s="369"/>
      <c r="I53" s="369"/>
      <c r="J53" s="325">
        <f t="shared" si="2"/>
        <v>0</v>
      </c>
      <c r="K53" s="326">
        <f t="shared" si="6"/>
        <v>1.119370091</v>
      </c>
      <c r="L53" s="327">
        <f t="shared" si="4"/>
        <v>34.70047283</v>
      </c>
      <c r="M53" s="321" t="str">
        <f t="shared" si="5"/>
        <v>zeptimusq</v>
      </c>
      <c r="N53" s="176">
        <f>IFERROR(__xludf.DUMMYFUNCTION("""COMPUTED_VALUE"""),3.0)</f>
        <v>3</v>
      </c>
      <c r="O53" s="176"/>
      <c r="P53" s="176"/>
      <c r="Q53" s="176"/>
      <c r="R53" s="176"/>
      <c r="S53" s="176"/>
      <c r="T53" s="176"/>
      <c r="U53" s="176"/>
      <c r="V53" s="176"/>
      <c r="W53" s="176"/>
      <c r="X53" s="176"/>
      <c r="Y53" s="176"/>
      <c r="Z53" s="176"/>
    </row>
    <row r="54">
      <c r="A54" s="226" t="s">
        <v>3</v>
      </c>
      <c r="B54" s="226" t="s">
        <v>590</v>
      </c>
      <c r="C54" s="250" t="s">
        <v>3339</v>
      </c>
      <c r="D54" s="268" t="s">
        <v>495</v>
      </c>
      <c r="E54" s="251">
        <v>44159.0</v>
      </c>
      <c r="F54" s="368" t="s">
        <v>496</v>
      </c>
      <c r="G54" s="268"/>
      <c r="H54" s="369"/>
      <c r="I54" s="369"/>
      <c r="J54" s="325">
        <f t="shared" si="2"/>
        <v>0</v>
      </c>
      <c r="K54" s="326">
        <f t="shared" si="6"/>
        <v>1.119370091</v>
      </c>
      <c r="L54" s="327">
        <f t="shared" si="4"/>
        <v>34.70047283</v>
      </c>
      <c r="M54" s="321" t="str">
        <f t="shared" si="5"/>
        <v>zeptimusq</v>
      </c>
      <c r="N54" s="176">
        <f>IFERROR(__xludf.DUMMYFUNCTION("""COMPUTED_VALUE"""),4.0)</f>
        <v>4</v>
      </c>
      <c r="O54" s="176"/>
      <c r="P54" s="176"/>
      <c r="Q54" s="176"/>
      <c r="R54" s="176"/>
      <c r="S54" s="176"/>
      <c r="T54" s="176"/>
      <c r="U54" s="176"/>
      <c r="V54" s="176"/>
      <c r="W54" s="176"/>
      <c r="X54" s="176"/>
      <c r="Y54" s="176"/>
      <c r="Z54" s="176"/>
    </row>
    <row r="55">
      <c r="A55" s="226" t="s">
        <v>3</v>
      </c>
      <c r="B55" s="226" t="s">
        <v>925</v>
      </c>
      <c r="C55" s="250" t="s">
        <v>3382</v>
      </c>
      <c r="D55" s="268" t="s">
        <v>495</v>
      </c>
      <c r="E55" s="251">
        <v>44160.0</v>
      </c>
      <c r="F55" s="368" t="s">
        <v>496</v>
      </c>
      <c r="G55" s="268"/>
      <c r="H55" s="369"/>
      <c r="I55" s="369"/>
      <c r="J55" s="325">
        <f t="shared" si="2"/>
        <v>0</v>
      </c>
      <c r="K55" s="326">
        <f t="shared" si="6"/>
        <v>1.119370091</v>
      </c>
      <c r="L55" s="327">
        <f t="shared" si="4"/>
        <v>34.70047283</v>
      </c>
      <c r="M55" s="321" t="str">
        <f t="shared" si="5"/>
        <v>zeptimusq</v>
      </c>
      <c r="N55" s="176">
        <f>IFERROR(__xludf.DUMMYFUNCTION("""COMPUTED_VALUE"""),5.0)</f>
        <v>5</v>
      </c>
      <c r="O55" s="176"/>
      <c r="P55" s="176"/>
      <c r="Q55" s="176"/>
      <c r="R55" s="176"/>
      <c r="S55" s="176"/>
      <c r="T55" s="176"/>
      <c r="U55" s="176"/>
      <c r="V55" s="176"/>
      <c r="W55" s="176"/>
      <c r="X55" s="176"/>
      <c r="Y55" s="176"/>
      <c r="Z55" s="176"/>
    </row>
    <row r="56">
      <c r="A56" s="226" t="s">
        <v>3</v>
      </c>
      <c r="B56" s="226" t="s">
        <v>5</v>
      </c>
      <c r="C56" s="250" t="s">
        <v>3340</v>
      </c>
      <c r="D56" s="268" t="s">
        <v>495</v>
      </c>
      <c r="E56" s="251">
        <v>44160.0</v>
      </c>
      <c r="F56" s="368" t="s">
        <v>496</v>
      </c>
      <c r="G56" s="268"/>
      <c r="H56" s="369"/>
      <c r="I56" s="369"/>
      <c r="J56" s="325">
        <f t="shared" si="2"/>
        <v>0</v>
      </c>
      <c r="K56" s="326">
        <f t="shared" si="6"/>
        <v>1.119370091</v>
      </c>
      <c r="L56" s="327">
        <f t="shared" si="4"/>
        <v>34.70047283</v>
      </c>
      <c r="M56" s="321" t="str">
        <f t="shared" si="5"/>
        <v>zeptimusq</v>
      </c>
      <c r="N56" s="176">
        <f>IFERROR(__xludf.DUMMYFUNCTION("""COMPUTED_VALUE"""),6.0)</f>
        <v>6</v>
      </c>
      <c r="O56" s="176"/>
      <c r="P56" s="176"/>
      <c r="Q56" s="176"/>
      <c r="R56" s="176"/>
      <c r="S56" s="176"/>
      <c r="T56" s="176"/>
      <c r="U56" s="176"/>
      <c r="V56" s="176"/>
      <c r="W56" s="176"/>
      <c r="X56" s="176"/>
      <c r="Y56" s="176"/>
      <c r="Z56" s="176"/>
    </row>
    <row r="57">
      <c r="A57" s="226" t="s">
        <v>3</v>
      </c>
      <c r="B57" s="226" t="s">
        <v>5</v>
      </c>
      <c r="C57" s="250" t="s">
        <v>3383</v>
      </c>
      <c r="D57" s="268" t="s">
        <v>495</v>
      </c>
      <c r="E57" s="251">
        <v>44161.0</v>
      </c>
      <c r="F57" s="368" t="s">
        <v>496</v>
      </c>
      <c r="G57" s="268"/>
      <c r="H57" s="369"/>
      <c r="I57" s="369"/>
      <c r="J57" s="325">
        <f t="shared" si="2"/>
        <v>0</v>
      </c>
      <c r="K57" s="326">
        <f t="shared" si="6"/>
        <v>1.119370091</v>
      </c>
      <c r="L57" s="327">
        <f t="shared" si="4"/>
        <v>34.70047283</v>
      </c>
      <c r="M57" s="321" t="str">
        <f t="shared" si="5"/>
        <v>zeptimusq</v>
      </c>
      <c r="N57" s="176">
        <f>IFERROR(__xludf.DUMMYFUNCTION("""COMPUTED_VALUE"""),7.0)</f>
        <v>7</v>
      </c>
      <c r="O57" s="176"/>
      <c r="P57" s="176"/>
      <c r="Q57" s="176"/>
      <c r="R57" s="176"/>
      <c r="S57" s="176"/>
      <c r="T57" s="176"/>
      <c r="U57" s="176"/>
      <c r="V57" s="176"/>
      <c r="W57" s="176"/>
      <c r="X57" s="176"/>
      <c r="Y57" s="176"/>
      <c r="Z57" s="176"/>
    </row>
    <row r="58">
      <c r="A58" s="226" t="s">
        <v>3</v>
      </c>
      <c r="B58" s="226" t="s">
        <v>590</v>
      </c>
      <c r="C58" s="250" t="s">
        <v>3384</v>
      </c>
      <c r="D58" s="268" t="s">
        <v>495</v>
      </c>
      <c r="E58" s="251">
        <v>44161.0</v>
      </c>
      <c r="F58" s="368" t="s">
        <v>496</v>
      </c>
      <c r="G58" s="268"/>
      <c r="H58" s="369"/>
      <c r="I58" s="369"/>
      <c r="J58" s="325">
        <f t="shared" si="2"/>
        <v>0</v>
      </c>
      <c r="K58" s="326">
        <f t="shared" si="6"/>
        <v>1.119370091</v>
      </c>
      <c r="L58" s="327">
        <f t="shared" si="4"/>
        <v>34.70047283</v>
      </c>
      <c r="M58" s="321" t="str">
        <f t="shared" si="5"/>
        <v>zeptimusq</v>
      </c>
      <c r="N58" s="176">
        <f>IFERROR(__xludf.DUMMYFUNCTION("""COMPUTED_VALUE"""),8.0)</f>
        <v>8</v>
      </c>
      <c r="O58" s="176"/>
      <c r="P58" s="176"/>
      <c r="Q58" s="176"/>
      <c r="R58" s="176"/>
      <c r="S58" s="176"/>
      <c r="T58" s="176"/>
      <c r="U58" s="176"/>
      <c r="V58" s="176"/>
      <c r="W58" s="176"/>
      <c r="X58" s="176"/>
      <c r="Y58" s="176"/>
      <c r="Z58" s="176"/>
    </row>
    <row r="59">
      <c r="A59" s="226" t="s">
        <v>3</v>
      </c>
      <c r="B59" s="226" t="s">
        <v>590</v>
      </c>
      <c r="C59" s="250" t="s">
        <v>3385</v>
      </c>
      <c r="D59" s="268" t="s">
        <v>495</v>
      </c>
      <c r="E59" s="251">
        <v>44161.0</v>
      </c>
      <c r="F59" s="368" t="s">
        <v>496</v>
      </c>
      <c r="G59" s="268"/>
      <c r="H59" s="369"/>
      <c r="I59" s="369"/>
      <c r="J59" s="325">
        <f t="shared" si="2"/>
        <v>0</v>
      </c>
      <c r="K59" s="326">
        <f t="shared" si="6"/>
        <v>1.119370091</v>
      </c>
      <c r="L59" s="327">
        <f t="shared" si="4"/>
        <v>34.70047283</v>
      </c>
      <c r="M59" s="321" t="str">
        <f t="shared" si="5"/>
        <v>zeptimusq</v>
      </c>
      <c r="N59" s="176">
        <f>IFERROR(__xludf.DUMMYFUNCTION("""COMPUTED_VALUE"""),9.0)</f>
        <v>9</v>
      </c>
      <c r="O59" s="176"/>
      <c r="P59" s="176"/>
      <c r="Q59" s="176"/>
      <c r="R59" s="176"/>
      <c r="S59" s="176"/>
      <c r="T59" s="176"/>
      <c r="U59" s="176"/>
      <c r="V59" s="176"/>
      <c r="W59" s="176"/>
      <c r="X59" s="176"/>
      <c r="Y59" s="176"/>
      <c r="Z59" s="176"/>
    </row>
    <row r="60">
      <c r="A60" s="226" t="s">
        <v>3</v>
      </c>
      <c r="B60" s="226" t="s">
        <v>519</v>
      </c>
      <c r="C60" s="250" t="s">
        <v>3341</v>
      </c>
      <c r="D60" s="268" t="s">
        <v>495</v>
      </c>
      <c r="E60" s="251">
        <v>44161.0</v>
      </c>
      <c r="F60" s="368" t="s">
        <v>496</v>
      </c>
      <c r="G60" s="268"/>
      <c r="H60" s="369"/>
      <c r="I60" s="369"/>
      <c r="J60" s="325">
        <f t="shared" si="2"/>
        <v>0</v>
      </c>
      <c r="K60" s="326">
        <f t="shared" si="6"/>
        <v>1.119370091</v>
      </c>
      <c r="L60" s="327">
        <f t="shared" si="4"/>
        <v>34.70047283</v>
      </c>
      <c r="M60" s="321" t="str">
        <f t="shared" si="5"/>
        <v>zeptimusq</v>
      </c>
      <c r="N60" s="176">
        <f>IFERROR(__xludf.DUMMYFUNCTION("""COMPUTED_VALUE"""),10.0)</f>
        <v>10</v>
      </c>
      <c r="O60" s="176"/>
      <c r="P60" s="176"/>
      <c r="Q60" s="176"/>
      <c r="R60" s="176"/>
      <c r="S60" s="176"/>
      <c r="T60" s="176"/>
      <c r="U60" s="176"/>
      <c r="V60" s="176"/>
      <c r="W60" s="176"/>
      <c r="X60" s="176"/>
      <c r="Y60" s="176"/>
      <c r="Z60" s="176"/>
    </row>
    <row r="61">
      <c r="A61" s="226" t="s">
        <v>3</v>
      </c>
      <c r="B61" s="226" t="s">
        <v>1228</v>
      </c>
      <c r="C61" s="250" t="s">
        <v>3386</v>
      </c>
      <c r="D61" s="268" t="s">
        <v>495</v>
      </c>
      <c r="E61" s="251">
        <v>44161.0</v>
      </c>
      <c r="F61" s="368" t="s">
        <v>496</v>
      </c>
      <c r="G61" s="268"/>
      <c r="H61" s="369"/>
      <c r="I61" s="369"/>
      <c r="J61" s="325">
        <f t="shared" si="2"/>
        <v>0</v>
      </c>
      <c r="K61" s="326">
        <f t="shared" si="6"/>
        <v>1.119370091</v>
      </c>
      <c r="L61" s="327">
        <f t="shared" si="4"/>
        <v>34.70047283</v>
      </c>
      <c r="M61" s="321" t="str">
        <f t="shared" si="5"/>
        <v>zeptimusq</v>
      </c>
      <c r="N61" s="176">
        <f>IFERROR(__xludf.DUMMYFUNCTION("""COMPUTED_VALUE"""),11.0)</f>
        <v>11</v>
      </c>
      <c r="O61" s="176"/>
      <c r="P61" s="176"/>
      <c r="Q61" s="176"/>
      <c r="R61" s="176"/>
      <c r="S61" s="176"/>
      <c r="T61" s="176"/>
      <c r="U61" s="176"/>
      <c r="V61" s="176"/>
      <c r="W61" s="176"/>
      <c r="X61" s="176"/>
      <c r="Y61" s="176"/>
      <c r="Z61" s="176"/>
    </row>
    <row r="62">
      <c r="A62" s="226" t="s">
        <v>3</v>
      </c>
      <c r="B62" s="226" t="s">
        <v>10</v>
      </c>
      <c r="C62" s="250" t="s">
        <v>3343</v>
      </c>
      <c r="D62" s="268" t="s">
        <v>495</v>
      </c>
      <c r="E62" s="251">
        <v>44162.0</v>
      </c>
      <c r="F62" s="368" t="s">
        <v>496</v>
      </c>
      <c r="G62" s="268"/>
      <c r="H62" s="369"/>
      <c r="I62" s="369"/>
      <c r="J62" s="325">
        <f t="shared" si="2"/>
        <v>0</v>
      </c>
      <c r="K62" s="326">
        <f t="shared" si="6"/>
        <v>1.119370091</v>
      </c>
      <c r="L62" s="327">
        <f t="shared" si="4"/>
        <v>34.70047283</v>
      </c>
      <c r="M62" s="321" t="str">
        <f t="shared" si="5"/>
        <v>zeptimusq</v>
      </c>
      <c r="N62" s="176">
        <f>IFERROR(__xludf.DUMMYFUNCTION("""COMPUTED_VALUE"""),12.0)</f>
        <v>12</v>
      </c>
      <c r="O62" s="176"/>
      <c r="P62" s="176"/>
      <c r="Q62" s="176"/>
      <c r="R62" s="176"/>
      <c r="S62" s="176"/>
      <c r="T62" s="176"/>
      <c r="U62" s="176"/>
      <c r="V62" s="176"/>
      <c r="W62" s="176"/>
      <c r="X62" s="176"/>
      <c r="Y62" s="176"/>
      <c r="Z62" s="176"/>
    </row>
    <row r="63">
      <c r="A63" s="226" t="s">
        <v>3</v>
      </c>
      <c r="B63" s="226" t="s">
        <v>10</v>
      </c>
      <c r="C63" s="250" t="s">
        <v>3387</v>
      </c>
      <c r="D63" s="268" t="s">
        <v>495</v>
      </c>
      <c r="E63" s="251">
        <v>44162.0</v>
      </c>
      <c r="F63" s="368" t="s">
        <v>496</v>
      </c>
      <c r="G63" s="268"/>
      <c r="H63" s="369"/>
      <c r="I63" s="369"/>
      <c r="J63" s="325">
        <f t="shared" si="2"/>
        <v>0</v>
      </c>
      <c r="K63" s="326">
        <f t="shared" si="6"/>
        <v>1.119370091</v>
      </c>
      <c r="L63" s="327">
        <f t="shared" si="4"/>
        <v>34.70047283</v>
      </c>
      <c r="M63" s="321" t="str">
        <f t="shared" si="5"/>
        <v>zeptimusq</v>
      </c>
      <c r="N63" s="176">
        <f>IFERROR(__xludf.DUMMYFUNCTION("""COMPUTED_VALUE"""),13.0)</f>
        <v>13</v>
      </c>
      <c r="O63" s="176"/>
      <c r="P63" s="176"/>
      <c r="Q63" s="176"/>
      <c r="R63" s="176"/>
      <c r="S63" s="176"/>
      <c r="T63" s="176"/>
      <c r="U63" s="176"/>
      <c r="V63" s="176"/>
      <c r="W63" s="176"/>
      <c r="X63" s="176"/>
      <c r="Y63" s="176"/>
      <c r="Z63" s="176"/>
    </row>
    <row r="64">
      <c r="A64" s="226" t="s">
        <v>3</v>
      </c>
      <c r="B64" s="226" t="s">
        <v>10</v>
      </c>
      <c r="C64" s="250" t="s">
        <v>3388</v>
      </c>
      <c r="D64" s="268" t="s">
        <v>495</v>
      </c>
      <c r="E64" s="251">
        <v>44162.0</v>
      </c>
      <c r="F64" s="368" t="s">
        <v>496</v>
      </c>
      <c r="G64" s="268"/>
      <c r="H64" s="369"/>
      <c r="I64" s="369"/>
      <c r="J64" s="325">
        <f t="shared" si="2"/>
        <v>0</v>
      </c>
      <c r="K64" s="326">
        <f t="shared" si="6"/>
        <v>1.119370091</v>
      </c>
      <c r="L64" s="327">
        <f t="shared" si="4"/>
        <v>34.70047283</v>
      </c>
      <c r="M64" s="321" t="str">
        <f t="shared" si="5"/>
        <v>zeptimusq</v>
      </c>
      <c r="N64" s="176">
        <f>IFERROR(__xludf.DUMMYFUNCTION("""COMPUTED_VALUE"""),14.0)</f>
        <v>14</v>
      </c>
      <c r="O64" s="176"/>
      <c r="P64" s="176"/>
      <c r="Q64" s="176"/>
      <c r="R64" s="176"/>
      <c r="S64" s="176"/>
      <c r="T64" s="176"/>
      <c r="U64" s="176"/>
      <c r="V64" s="176"/>
      <c r="W64" s="176"/>
      <c r="X64" s="176"/>
      <c r="Y64" s="176"/>
      <c r="Z64" s="176"/>
    </row>
    <row r="65">
      <c r="A65" s="226" t="s">
        <v>3</v>
      </c>
      <c r="B65" s="226" t="s">
        <v>10</v>
      </c>
      <c r="C65" s="250" t="s">
        <v>3345</v>
      </c>
      <c r="D65" s="268" t="s">
        <v>495</v>
      </c>
      <c r="E65" s="251">
        <v>44163.0</v>
      </c>
      <c r="F65" s="368" t="s">
        <v>496</v>
      </c>
      <c r="G65" s="268"/>
      <c r="H65" s="369"/>
      <c r="I65" s="369"/>
      <c r="J65" s="325">
        <f t="shared" si="2"/>
        <v>0</v>
      </c>
      <c r="K65" s="326">
        <f t="shared" si="6"/>
        <v>1.119370091</v>
      </c>
      <c r="L65" s="327">
        <f t="shared" si="4"/>
        <v>34.70047283</v>
      </c>
      <c r="M65" s="321" t="str">
        <f t="shared" si="5"/>
        <v>zeptimusq</v>
      </c>
      <c r="N65" s="176">
        <f>IFERROR(__xludf.DUMMYFUNCTION("""COMPUTED_VALUE"""),15.0)</f>
        <v>15</v>
      </c>
      <c r="O65" s="176"/>
      <c r="P65" s="176"/>
      <c r="Q65" s="176"/>
      <c r="R65" s="176"/>
      <c r="S65" s="176"/>
      <c r="T65" s="176"/>
      <c r="U65" s="176"/>
      <c r="V65" s="176"/>
      <c r="W65" s="176"/>
      <c r="X65" s="176"/>
      <c r="Y65" s="176"/>
      <c r="Z65" s="176"/>
    </row>
    <row r="66">
      <c r="A66" s="226" t="s">
        <v>3</v>
      </c>
      <c r="B66" s="226" t="s">
        <v>18</v>
      </c>
      <c r="C66" s="250" t="s">
        <v>3372</v>
      </c>
      <c r="D66" s="268" t="s">
        <v>495</v>
      </c>
      <c r="E66" s="251">
        <v>44165.0</v>
      </c>
      <c r="F66" s="368" t="s">
        <v>496</v>
      </c>
      <c r="G66" s="268"/>
      <c r="H66" s="369"/>
      <c r="I66" s="369"/>
      <c r="J66" s="325">
        <f t="shared" si="2"/>
        <v>0</v>
      </c>
      <c r="K66" s="326">
        <f t="shared" si="6"/>
        <v>1.119370091</v>
      </c>
      <c r="L66" s="327">
        <f t="shared" si="4"/>
        <v>34.70047283</v>
      </c>
      <c r="M66" s="321" t="str">
        <f t="shared" si="5"/>
        <v>zeptimusq</v>
      </c>
      <c r="N66" s="176">
        <f>IFERROR(__xludf.DUMMYFUNCTION("""COMPUTED_VALUE"""),16.0)</f>
        <v>16</v>
      </c>
      <c r="O66" s="176"/>
      <c r="P66" s="176"/>
      <c r="Q66" s="176"/>
      <c r="R66" s="176"/>
      <c r="S66" s="176"/>
      <c r="T66" s="176"/>
      <c r="U66" s="176"/>
      <c r="V66" s="176"/>
      <c r="W66" s="176"/>
      <c r="X66" s="176"/>
      <c r="Y66" s="176"/>
      <c r="Z66" s="176"/>
    </row>
    <row r="67">
      <c r="A67" s="226" t="s">
        <v>3</v>
      </c>
      <c r="B67" s="226" t="s">
        <v>6</v>
      </c>
      <c r="C67" s="250" t="s">
        <v>3373</v>
      </c>
      <c r="D67" s="268" t="s">
        <v>495</v>
      </c>
      <c r="E67" s="251">
        <v>44165.0</v>
      </c>
      <c r="F67" s="368" t="s">
        <v>496</v>
      </c>
      <c r="G67" s="268"/>
      <c r="H67" s="369"/>
      <c r="I67" s="369"/>
      <c r="J67" s="325">
        <f t="shared" si="2"/>
        <v>0</v>
      </c>
      <c r="K67" s="326">
        <f t="shared" si="6"/>
        <v>1.119370091</v>
      </c>
      <c r="L67" s="327">
        <f t="shared" si="4"/>
        <v>34.70047283</v>
      </c>
      <c r="M67" s="321" t="str">
        <f t="shared" si="5"/>
        <v>zeptimusq</v>
      </c>
      <c r="N67" s="176">
        <f>IFERROR(__xludf.DUMMYFUNCTION("""COMPUTED_VALUE"""),17.0)</f>
        <v>17</v>
      </c>
      <c r="O67" s="176"/>
      <c r="P67" s="176"/>
      <c r="Q67" s="176"/>
      <c r="R67" s="176"/>
      <c r="S67" s="176"/>
      <c r="T67" s="176"/>
      <c r="U67" s="176"/>
      <c r="V67" s="176"/>
      <c r="W67" s="176"/>
      <c r="X67" s="176"/>
      <c r="Y67" s="176"/>
      <c r="Z67" s="176"/>
    </row>
    <row r="68">
      <c r="A68" s="226" t="s">
        <v>3</v>
      </c>
      <c r="B68" s="226" t="s">
        <v>10</v>
      </c>
      <c r="C68" s="368" t="s">
        <v>3389</v>
      </c>
      <c r="D68" s="268" t="s">
        <v>495</v>
      </c>
      <c r="E68" s="361">
        <v>44166.0</v>
      </c>
      <c r="F68" s="250" t="s">
        <v>496</v>
      </c>
      <c r="G68" s="176"/>
      <c r="H68" s="243"/>
      <c r="I68" s="243"/>
      <c r="J68" s="325">
        <f t="shared" si="2"/>
        <v>0</v>
      </c>
      <c r="K68" s="326">
        <f t="shared" si="6"/>
        <v>1.119370091</v>
      </c>
      <c r="L68" s="327">
        <f t="shared" si="4"/>
        <v>34.70047283</v>
      </c>
      <c r="M68" s="321" t="str">
        <f t="shared" si="5"/>
        <v>zeptimusq</v>
      </c>
      <c r="N68" s="176">
        <f>IFERROR(__xludf.DUMMYFUNCTION("""COMPUTED_VALUE"""),18.0)</f>
        <v>18</v>
      </c>
      <c r="O68" s="176"/>
      <c r="P68" s="176"/>
      <c r="Q68" s="176"/>
      <c r="R68" s="176"/>
      <c r="S68" s="176"/>
      <c r="T68" s="176"/>
      <c r="U68" s="176"/>
      <c r="V68" s="176"/>
      <c r="W68" s="176"/>
      <c r="X68" s="176"/>
      <c r="Y68" s="176"/>
      <c r="Z68" s="176"/>
    </row>
    <row r="69">
      <c r="A69" s="226" t="s">
        <v>3</v>
      </c>
      <c r="B69" s="226" t="s">
        <v>18</v>
      </c>
      <c r="C69" s="368" t="s">
        <v>3347</v>
      </c>
      <c r="D69" s="268" t="s">
        <v>495</v>
      </c>
      <c r="E69" s="361">
        <v>44166.0</v>
      </c>
      <c r="F69" s="250" t="s">
        <v>496</v>
      </c>
      <c r="G69" s="176"/>
      <c r="H69" s="243"/>
      <c r="I69" s="243"/>
      <c r="J69" s="325">
        <f t="shared" si="2"/>
        <v>0</v>
      </c>
      <c r="K69" s="326">
        <f t="shared" si="6"/>
        <v>1.119370091</v>
      </c>
      <c r="L69" s="327">
        <f t="shared" si="4"/>
        <v>34.70047283</v>
      </c>
      <c r="M69" s="321" t="str">
        <f t="shared" si="5"/>
        <v>zeptimusq</v>
      </c>
      <c r="N69" s="176">
        <f>IFERROR(__xludf.DUMMYFUNCTION("""COMPUTED_VALUE"""),19.0)</f>
        <v>19</v>
      </c>
      <c r="O69" s="176"/>
      <c r="P69" s="176"/>
      <c r="Q69" s="176"/>
      <c r="R69" s="176"/>
      <c r="S69" s="176"/>
      <c r="T69" s="176"/>
      <c r="U69" s="176"/>
      <c r="V69" s="176"/>
      <c r="W69" s="176"/>
      <c r="X69" s="176"/>
      <c r="Y69" s="176"/>
      <c r="Z69" s="176"/>
    </row>
    <row r="70">
      <c r="A70" s="226" t="s">
        <v>3</v>
      </c>
      <c r="B70" s="226" t="s">
        <v>18</v>
      </c>
      <c r="C70" s="368" t="s">
        <v>3348</v>
      </c>
      <c r="D70" s="268" t="s">
        <v>495</v>
      </c>
      <c r="E70" s="361">
        <v>44166.0</v>
      </c>
      <c r="F70" s="250" t="s">
        <v>496</v>
      </c>
      <c r="G70" s="176"/>
      <c r="H70" s="243"/>
      <c r="I70" s="243"/>
      <c r="J70" s="325">
        <f t="shared" si="2"/>
        <v>0</v>
      </c>
      <c r="K70" s="326">
        <f t="shared" si="6"/>
        <v>1.119370091</v>
      </c>
      <c r="L70" s="327">
        <f t="shared" si="4"/>
        <v>34.70047283</v>
      </c>
      <c r="M70" s="321" t="str">
        <f t="shared" si="5"/>
        <v>zeptimusq</v>
      </c>
      <c r="N70" s="176">
        <f>IFERROR(__xludf.DUMMYFUNCTION("""COMPUTED_VALUE"""),20.0)</f>
        <v>20</v>
      </c>
      <c r="O70" s="176"/>
      <c r="P70" s="176"/>
      <c r="Q70" s="176"/>
      <c r="R70" s="176"/>
      <c r="S70" s="176"/>
      <c r="T70" s="176"/>
      <c r="U70" s="176"/>
      <c r="V70" s="176"/>
      <c r="W70" s="176"/>
      <c r="X70" s="176"/>
      <c r="Y70" s="176"/>
      <c r="Z70" s="176"/>
    </row>
    <row r="71">
      <c r="A71" s="226" t="s">
        <v>3</v>
      </c>
      <c r="B71" s="226" t="s">
        <v>590</v>
      </c>
      <c r="C71" s="368" t="s">
        <v>3350</v>
      </c>
      <c r="D71" s="268" t="s">
        <v>495</v>
      </c>
      <c r="E71" s="361">
        <v>44166.0</v>
      </c>
      <c r="F71" s="250" t="s">
        <v>496</v>
      </c>
      <c r="G71" s="176"/>
      <c r="H71" s="243"/>
      <c r="I71" s="243"/>
      <c r="J71" s="325">
        <f t="shared" si="2"/>
        <v>0</v>
      </c>
      <c r="K71" s="326">
        <f t="shared" si="6"/>
        <v>1.119370091</v>
      </c>
      <c r="L71" s="327">
        <f t="shared" si="4"/>
        <v>34.70047283</v>
      </c>
      <c r="M71" s="321" t="str">
        <f t="shared" si="5"/>
        <v>zeptimusq</v>
      </c>
      <c r="N71" s="176">
        <f>IFERROR(__xludf.DUMMYFUNCTION("""COMPUTED_VALUE"""),21.0)</f>
        <v>21</v>
      </c>
      <c r="O71" s="176"/>
      <c r="P71" s="176"/>
      <c r="Q71" s="176"/>
      <c r="R71" s="176"/>
      <c r="S71" s="176"/>
      <c r="T71" s="176"/>
      <c r="U71" s="176"/>
      <c r="V71" s="176"/>
      <c r="W71" s="176"/>
      <c r="X71" s="176"/>
      <c r="Y71" s="176"/>
      <c r="Z71" s="176"/>
    </row>
    <row r="72">
      <c r="A72" s="226" t="s">
        <v>3</v>
      </c>
      <c r="B72" s="226" t="s">
        <v>10</v>
      </c>
      <c r="C72" s="368" t="s">
        <v>3351</v>
      </c>
      <c r="D72" s="268" t="s">
        <v>495</v>
      </c>
      <c r="E72" s="361">
        <v>44167.0</v>
      </c>
      <c r="F72" s="258" t="s">
        <v>496</v>
      </c>
      <c r="G72" s="176"/>
      <c r="H72" s="243"/>
      <c r="I72" s="243"/>
      <c r="J72" s="325">
        <f t="shared" si="2"/>
        <v>0</v>
      </c>
      <c r="K72" s="326">
        <f t="shared" si="6"/>
        <v>1.119370091</v>
      </c>
      <c r="L72" s="327">
        <f t="shared" si="4"/>
        <v>34.70047283</v>
      </c>
      <c r="M72" s="321" t="str">
        <f t="shared" si="5"/>
        <v>zeptimusq</v>
      </c>
      <c r="N72" s="176">
        <f>IFERROR(__xludf.DUMMYFUNCTION("""COMPUTED_VALUE"""),22.0)</f>
        <v>22</v>
      </c>
      <c r="O72" s="176"/>
      <c r="P72" s="176"/>
      <c r="Q72" s="176"/>
      <c r="R72" s="176"/>
      <c r="S72" s="176"/>
      <c r="T72" s="176"/>
      <c r="U72" s="176"/>
      <c r="V72" s="176"/>
      <c r="W72" s="176"/>
      <c r="X72" s="176"/>
      <c r="Y72" s="176"/>
      <c r="Z72" s="176"/>
    </row>
    <row r="73">
      <c r="A73" s="226" t="s">
        <v>3</v>
      </c>
      <c r="B73" s="226" t="s">
        <v>18</v>
      </c>
      <c r="C73" s="368" t="s">
        <v>3352</v>
      </c>
      <c r="D73" s="268" t="s">
        <v>495</v>
      </c>
      <c r="E73" s="361">
        <v>44167.0</v>
      </c>
      <c r="F73" s="250" t="s">
        <v>496</v>
      </c>
      <c r="G73" s="176"/>
      <c r="H73" s="243"/>
      <c r="I73" s="243"/>
      <c r="J73" s="325">
        <f t="shared" si="2"/>
        <v>0</v>
      </c>
      <c r="K73" s="326">
        <f t="shared" si="6"/>
        <v>1.119370091</v>
      </c>
      <c r="L73" s="327">
        <f t="shared" si="4"/>
        <v>34.70047283</v>
      </c>
      <c r="M73" s="321" t="str">
        <f t="shared" si="5"/>
        <v>zeptimusq</v>
      </c>
      <c r="N73" s="176">
        <f>IFERROR(__xludf.DUMMYFUNCTION("""COMPUTED_VALUE"""),23.0)</f>
        <v>23</v>
      </c>
      <c r="O73" s="176"/>
      <c r="P73" s="176"/>
      <c r="Q73" s="176"/>
      <c r="R73" s="176"/>
      <c r="S73" s="176"/>
      <c r="T73" s="176"/>
      <c r="U73" s="176"/>
      <c r="V73" s="176"/>
      <c r="W73" s="176"/>
      <c r="X73" s="176"/>
      <c r="Y73" s="176"/>
      <c r="Z73" s="176"/>
    </row>
    <row r="74">
      <c r="A74" s="226" t="s">
        <v>3</v>
      </c>
      <c r="B74" s="226" t="s">
        <v>5</v>
      </c>
      <c r="C74" s="368" t="s">
        <v>3390</v>
      </c>
      <c r="D74" s="268" t="s">
        <v>495</v>
      </c>
      <c r="E74" s="361">
        <v>44167.0</v>
      </c>
      <c r="F74" s="250" t="s">
        <v>496</v>
      </c>
      <c r="G74" s="176"/>
      <c r="H74" s="243"/>
      <c r="I74" s="243"/>
      <c r="J74" s="325">
        <f t="shared" si="2"/>
        <v>0</v>
      </c>
      <c r="K74" s="326">
        <f t="shared" si="6"/>
        <v>1.119370091</v>
      </c>
      <c r="L74" s="327">
        <f t="shared" si="4"/>
        <v>34.70047283</v>
      </c>
      <c r="M74" s="321" t="str">
        <f t="shared" si="5"/>
        <v>zeptimusq</v>
      </c>
      <c r="N74" s="176">
        <f>IFERROR(__xludf.DUMMYFUNCTION("""COMPUTED_VALUE"""),24.0)</f>
        <v>24</v>
      </c>
      <c r="O74" s="176"/>
      <c r="P74" s="176"/>
      <c r="Q74" s="176"/>
      <c r="R74" s="176"/>
      <c r="S74" s="176"/>
      <c r="T74" s="176"/>
      <c r="U74" s="176"/>
      <c r="V74" s="176"/>
      <c r="W74" s="176"/>
      <c r="X74" s="176"/>
      <c r="Y74" s="176"/>
      <c r="Z74" s="176"/>
    </row>
    <row r="75">
      <c r="A75" s="226" t="s">
        <v>3</v>
      </c>
      <c r="B75" s="226" t="s">
        <v>29</v>
      </c>
      <c r="C75" s="368" t="s">
        <v>3391</v>
      </c>
      <c r="D75" s="268" t="s">
        <v>495</v>
      </c>
      <c r="E75" s="361">
        <v>44168.0</v>
      </c>
      <c r="F75" s="250" t="s">
        <v>592</v>
      </c>
      <c r="G75" s="176"/>
      <c r="H75" s="243"/>
      <c r="I75" s="243"/>
      <c r="J75" s="325">
        <f t="shared" si="2"/>
        <v>0</v>
      </c>
      <c r="K75" s="326">
        <f t="shared" si="6"/>
        <v>1.119370091</v>
      </c>
      <c r="L75" s="327">
        <f t="shared" si="4"/>
        <v>34.70047283</v>
      </c>
      <c r="M75" s="321" t="str">
        <f t="shared" si="5"/>
        <v>zeptimusq</v>
      </c>
      <c r="N75" s="176">
        <f>IFERROR(__xludf.DUMMYFUNCTION("""COMPUTED_VALUE"""),25.0)</f>
        <v>25</v>
      </c>
      <c r="O75" s="176"/>
      <c r="P75" s="176"/>
      <c r="Q75" s="176"/>
      <c r="R75" s="176"/>
      <c r="S75" s="176"/>
      <c r="T75" s="176"/>
      <c r="U75" s="176"/>
      <c r="V75" s="176"/>
      <c r="W75" s="176"/>
      <c r="X75" s="176"/>
      <c r="Y75" s="176"/>
      <c r="Z75" s="176"/>
    </row>
    <row r="76">
      <c r="A76" s="226" t="s">
        <v>3</v>
      </c>
      <c r="B76" s="226" t="s">
        <v>18</v>
      </c>
      <c r="C76" s="368" t="s">
        <v>3392</v>
      </c>
      <c r="D76" s="268" t="s">
        <v>495</v>
      </c>
      <c r="E76" s="361">
        <v>44168.0</v>
      </c>
      <c r="F76" s="250" t="s">
        <v>496</v>
      </c>
      <c r="G76" s="176"/>
      <c r="H76" s="243"/>
      <c r="I76" s="243"/>
      <c r="J76" s="325">
        <f t="shared" si="2"/>
        <v>0</v>
      </c>
      <c r="K76" s="326">
        <f t="shared" si="6"/>
        <v>1.119370091</v>
      </c>
      <c r="L76" s="327">
        <f t="shared" si="4"/>
        <v>34.70047283</v>
      </c>
      <c r="M76" s="321" t="str">
        <f t="shared" si="5"/>
        <v>zeptimusq</v>
      </c>
      <c r="N76" s="176">
        <f>IFERROR(__xludf.DUMMYFUNCTION("""COMPUTED_VALUE"""),26.0)</f>
        <v>26</v>
      </c>
      <c r="O76" s="176"/>
      <c r="P76" s="176"/>
      <c r="Q76" s="176"/>
      <c r="R76" s="176"/>
      <c r="S76" s="176"/>
      <c r="T76" s="176"/>
      <c r="U76" s="176"/>
      <c r="V76" s="176"/>
      <c r="W76" s="176"/>
      <c r="X76" s="176"/>
      <c r="Y76" s="176"/>
      <c r="Z76" s="176"/>
    </row>
    <row r="77">
      <c r="A77" s="226" t="s">
        <v>3</v>
      </c>
      <c r="B77" s="226" t="s">
        <v>1228</v>
      </c>
      <c r="C77" s="368" t="s">
        <v>3393</v>
      </c>
      <c r="D77" s="268" t="s">
        <v>495</v>
      </c>
      <c r="E77" s="361">
        <v>44168.0</v>
      </c>
      <c r="F77" s="250" t="s">
        <v>496</v>
      </c>
      <c r="G77" s="176"/>
      <c r="H77" s="243"/>
      <c r="I77" s="243"/>
      <c r="J77" s="325">
        <f t="shared" si="2"/>
        <v>0</v>
      </c>
      <c r="K77" s="326">
        <f t="shared" si="6"/>
        <v>1.119370091</v>
      </c>
      <c r="L77" s="327">
        <f t="shared" si="4"/>
        <v>34.70047283</v>
      </c>
      <c r="M77" s="321" t="str">
        <f t="shared" si="5"/>
        <v>zeptimusq</v>
      </c>
      <c r="N77" s="176">
        <f>IFERROR(__xludf.DUMMYFUNCTION("""COMPUTED_VALUE"""),27.0)</f>
        <v>27</v>
      </c>
      <c r="O77" s="176"/>
      <c r="P77" s="176"/>
      <c r="Q77" s="176"/>
      <c r="R77" s="176"/>
      <c r="S77" s="176"/>
      <c r="T77" s="176"/>
      <c r="U77" s="176"/>
      <c r="V77" s="176"/>
      <c r="W77" s="176"/>
      <c r="X77" s="176"/>
      <c r="Y77" s="176"/>
      <c r="Z77" s="176"/>
    </row>
    <row r="78">
      <c r="A78" s="226" t="s">
        <v>3</v>
      </c>
      <c r="B78" s="226" t="s">
        <v>10</v>
      </c>
      <c r="C78" s="368" t="s">
        <v>3394</v>
      </c>
      <c r="D78" s="268" t="s">
        <v>495</v>
      </c>
      <c r="E78" s="361">
        <v>44169.0</v>
      </c>
      <c r="F78" s="250" t="s">
        <v>496</v>
      </c>
      <c r="G78" s="176"/>
      <c r="H78" s="243"/>
      <c r="I78" s="243"/>
      <c r="J78" s="325">
        <f t="shared" si="2"/>
        <v>0</v>
      </c>
      <c r="K78" s="326">
        <f t="shared" si="6"/>
        <v>1.119370091</v>
      </c>
      <c r="L78" s="327">
        <f t="shared" si="4"/>
        <v>34.70047283</v>
      </c>
      <c r="M78" s="321" t="str">
        <f t="shared" si="5"/>
        <v>zeptimusq</v>
      </c>
      <c r="N78" s="176">
        <f>IFERROR(__xludf.DUMMYFUNCTION("""COMPUTED_VALUE"""),28.0)</f>
        <v>28</v>
      </c>
      <c r="O78" s="176"/>
      <c r="P78" s="176"/>
      <c r="Q78" s="176"/>
      <c r="R78" s="176"/>
      <c r="S78" s="176"/>
      <c r="T78" s="176"/>
      <c r="U78" s="176"/>
      <c r="V78" s="176"/>
      <c r="W78" s="176"/>
      <c r="X78" s="176"/>
      <c r="Y78" s="176"/>
      <c r="Z78" s="176"/>
    </row>
    <row r="79">
      <c r="A79" s="226" t="s">
        <v>3</v>
      </c>
      <c r="B79" s="226" t="s">
        <v>10</v>
      </c>
      <c r="C79" s="368" t="s">
        <v>3356</v>
      </c>
      <c r="D79" s="268" t="s">
        <v>495</v>
      </c>
      <c r="E79" s="361">
        <v>44169.0</v>
      </c>
      <c r="F79" s="250" t="s">
        <v>496</v>
      </c>
      <c r="G79" s="176"/>
      <c r="H79" s="243"/>
      <c r="I79" s="243"/>
      <c r="J79" s="325">
        <f t="shared" si="2"/>
        <v>0</v>
      </c>
      <c r="K79" s="326">
        <f t="shared" si="6"/>
        <v>1.119370091</v>
      </c>
      <c r="L79" s="327">
        <f t="shared" si="4"/>
        <v>34.70047283</v>
      </c>
      <c r="M79" s="321" t="str">
        <f t="shared" si="5"/>
        <v>zeptimusq</v>
      </c>
      <c r="N79" s="176">
        <f>IFERROR(__xludf.DUMMYFUNCTION("""COMPUTED_VALUE"""),29.0)</f>
        <v>29</v>
      </c>
      <c r="O79" s="176"/>
      <c r="P79" s="176"/>
      <c r="Q79" s="176"/>
      <c r="R79" s="176"/>
      <c r="S79" s="176"/>
      <c r="T79" s="176"/>
      <c r="U79" s="176"/>
      <c r="V79" s="176"/>
      <c r="W79" s="176"/>
      <c r="X79" s="176"/>
      <c r="Y79" s="176"/>
      <c r="Z79" s="176"/>
    </row>
    <row r="80">
      <c r="A80" s="226" t="s">
        <v>3</v>
      </c>
      <c r="B80" s="226" t="s">
        <v>5</v>
      </c>
      <c r="C80" s="368" t="s">
        <v>3377</v>
      </c>
      <c r="D80" s="268" t="s">
        <v>495</v>
      </c>
      <c r="E80" s="361">
        <v>44169.0</v>
      </c>
      <c r="F80" s="250" t="s">
        <v>496</v>
      </c>
      <c r="G80" s="176"/>
      <c r="H80" s="243"/>
      <c r="I80" s="243"/>
      <c r="J80" s="325">
        <f t="shared" si="2"/>
        <v>0</v>
      </c>
      <c r="K80" s="326">
        <f t="shared" si="6"/>
        <v>1.119370091</v>
      </c>
      <c r="L80" s="327">
        <f t="shared" si="4"/>
        <v>34.70047283</v>
      </c>
      <c r="M80" s="321" t="str">
        <f t="shared" si="5"/>
        <v>zeptimusq</v>
      </c>
      <c r="N80" s="176">
        <f>IFERROR(__xludf.DUMMYFUNCTION("""COMPUTED_VALUE"""),30.0)</f>
        <v>30</v>
      </c>
      <c r="O80" s="176"/>
      <c r="P80" s="176"/>
      <c r="Q80" s="176"/>
      <c r="R80" s="176"/>
      <c r="S80" s="176"/>
      <c r="T80" s="176"/>
      <c r="U80" s="176"/>
      <c r="V80" s="176"/>
      <c r="W80" s="176"/>
      <c r="X80" s="176"/>
      <c r="Y80" s="176"/>
      <c r="Z80" s="176"/>
    </row>
    <row r="81">
      <c r="A81" s="226" t="s">
        <v>3</v>
      </c>
      <c r="B81" s="226" t="s">
        <v>5</v>
      </c>
      <c r="C81" s="368" t="s">
        <v>3378</v>
      </c>
      <c r="D81" s="268" t="s">
        <v>495</v>
      </c>
      <c r="E81" s="361">
        <v>44169.0</v>
      </c>
      <c r="F81" s="250" t="s">
        <v>496</v>
      </c>
      <c r="G81" s="176"/>
      <c r="H81" s="243"/>
      <c r="I81" s="243"/>
      <c r="J81" s="325">
        <f t="shared" si="2"/>
        <v>0</v>
      </c>
      <c r="K81" s="326">
        <f t="shared" si="6"/>
        <v>1.119370091</v>
      </c>
      <c r="L81" s="327">
        <f t="shared" si="4"/>
        <v>34.70047283</v>
      </c>
      <c r="M81" s="321" t="str">
        <f t="shared" si="5"/>
        <v>zeptimusq</v>
      </c>
      <c r="N81" s="176">
        <f>IFERROR(__xludf.DUMMYFUNCTION("""COMPUTED_VALUE"""),31.0)</f>
        <v>31</v>
      </c>
      <c r="O81" s="176"/>
      <c r="P81" s="176"/>
      <c r="Q81" s="176"/>
      <c r="R81" s="176"/>
      <c r="S81" s="176"/>
      <c r="T81" s="176"/>
      <c r="U81" s="176"/>
      <c r="V81" s="176"/>
      <c r="W81" s="176"/>
      <c r="X81" s="176"/>
      <c r="Y81" s="176"/>
      <c r="Z81" s="176"/>
    </row>
    <row r="82">
      <c r="A82" s="226" t="s">
        <v>5</v>
      </c>
      <c r="B82" s="226" t="s">
        <v>590</v>
      </c>
      <c r="C82" s="250" t="s">
        <v>3339</v>
      </c>
      <c r="D82" s="268" t="s">
        <v>495</v>
      </c>
      <c r="E82" s="251">
        <v>44159.0</v>
      </c>
      <c r="F82" s="368" t="s">
        <v>496</v>
      </c>
      <c r="G82" s="268">
        <v>20.0</v>
      </c>
      <c r="H82" s="236">
        <v>60.0</v>
      </c>
      <c r="I82" s="236">
        <v>30.0</v>
      </c>
      <c r="J82" s="325">
        <f t="shared" si="2"/>
        <v>0.001283215058</v>
      </c>
      <c r="K82" s="326">
        <f t="shared" ref="K82:K146" si="7">J82*$J$1</f>
        <v>1.005185129</v>
      </c>
      <c r="L82" s="327">
        <f t="shared" si="4"/>
        <v>30.67343107</v>
      </c>
      <c r="M82" s="321" t="str">
        <f t="shared" si="5"/>
        <v>cranders71</v>
      </c>
      <c r="N82" s="176">
        <f>IFERROR(__xludf.DUMMYFUNCTION("""COMPUTED_VALUE"""),1.0)</f>
        <v>1</v>
      </c>
      <c r="O82" s="176"/>
      <c r="P82" s="176"/>
      <c r="Q82" s="176"/>
      <c r="R82" s="176"/>
      <c r="S82" s="176"/>
      <c r="T82" s="176"/>
      <c r="U82" s="176"/>
      <c r="V82" s="176"/>
      <c r="W82" s="176"/>
      <c r="X82" s="176"/>
      <c r="Y82" s="176"/>
      <c r="Z82" s="176"/>
    </row>
    <row r="83">
      <c r="A83" s="226" t="s">
        <v>5</v>
      </c>
      <c r="B83" s="226" t="s">
        <v>5</v>
      </c>
      <c r="C83" s="250" t="s">
        <v>3340</v>
      </c>
      <c r="D83" s="268" t="s">
        <v>495</v>
      </c>
      <c r="E83" s="251">
        <v>44160.0</v>
      </c>
      <c r="F83" s="368" t="s">
        <v>496</v>
      </c>
      <c r="G83" s="268">
        <v>20.0</v>
      </c>
      <c r="H83" s="236">
        <v>60.0</v>
      </c>
      <c r="I83" s="236">
        <v>20.0</v>
      </c>
      <c r="J83" s="325">
        <f t="shared" si="2"/>
        <v>0.001141407292</v>
      </c>
      <c r="K83" s="326">
        <f t="shared" si="7"/>
        <v>0.894102379</v>
      </c>
      <c r="L83" s="327">
        <f t="shared" si="4"/>
        <v>30.67343107</v>
      </c>
      <c r="M83" s="321" t="str">
        <f t="shared" si="5"/>
        <v>cranders71</v>
      </c>
      <c r="N83" s="176">
        <f>IFERROR(__xludf.DUMMYFUNCTION("""COMPUTED_VALUE"""),2.0)</f>
        <v>2</v>
      </c>
      <c r="O83" s="176"/>
      <c r="P83" s="176"/>
      <c r="Q83" s="176"/>
      <c r="R83" s="176"/>
      <c r="S83" s="176"/>
      <c r="T83" s="176"/>
      <c r="U83" s="176"/>
      <c r="V83" s="176"/>
      <c r="W83" s="176"/>
      <c r="X83" s="176"/>
      <c r="Y83" s="176"/>
      <c r="Z83" s="176"/>
    </row>
    <row r="84">
      <c r="A84" s="226" t="s">
        <v>5</v>
      </c>
      <c r="B84" s="226" t="s">
        <v>5</v>
      </c>
      <c r="C84" s="250" t="s">
        <v>3383</v>
      </c>
      <c r="D84" s="268" t="s">
        <v>495</v>
      </c>
      <c r="E84" s="251">
        <v>44161.0</v>
      </c>
      <c r="F84" s="368" t="s">
        <v>496</v>
      </c>
      <c r="G84" s="268">
        <v>30.0</v>
      </c>
      <c r="H84" s="236">
        <v>60.0</v>
      </c>
      <c r="I84" s="236">
        <v>30.0</v>
      </c>
      <c r="J84" s="325">
        <f t="shared" si="2"/>
        <v>0.001391700814</v>
      </c>
      <c r="K84" s="326">
        <f t="shared" si="7"/>
        <v>1.090165637</v>
      </c>
      <c r="L84" s="327">
        <f t="shared" si="4"/>
        <v>30.67343107</v>
      </c>
      <c r="M84" s="321" t="str">
        <f t="shared" si="5"/>
        <v>cranders71</v>
      </c>
      <c r="N84" s="176">
        <f>IFERROR(__xludf.DUMMYFUNCTION("""COMPUTED_VALUE"""),3.0)</f>
        <v>3</v>
      </c>
      <c r="O84" s="176"/>
      <c r="P84" s="176"/>
      <c r="Q84" s="176"/>
      <c r="R84" s="176"/>
      <c r="S84" s="176"/>
      <c r="T84" s="176"/>
      <c r="U84" s="176"/>
      <c r="V84" s="176"/>
      <c r="W84" s="176"/>
      <c r="X84" s="176"/>
      <c r="Y84" s="176"/>
      <c r="Z84" s="176"/>
    </row>
    <row r="85">
      <c r="A85" s="226" t="s">
        <v>5</v>
      </c>
      <c r="B85" s="226" t="s">
        <v>519</v>
      </c>
      <c r="C85" s="250" t="s">
        <v>3395</v>
      </c>
      <c r="D85" s="268" t="s">
        <v>495</v>
      </c>
      <c r="E85" s="251">
        <v>44161.0</v>
      </c>
      <c r="F85" s="368" t="s">
        <v>496</v>
      </c>
      <c r="G85" s="268">
        <v>100.0</v>
      </c>
      <c r="H85" s="236">
        <v>70.0</v>
      </c>
      <c r="I85" s="236">
        <v>80.0</v>
      </c>
      <c r="J85" s="325">
        <f t="shared" si="2"/>
        <v>0.002966943306</v>
      </c>
      <c r="K85" s="326">
        <f t="shared" si="7"/>
        <v>2.32410559</v>
      </c>
      <c r="L85" s="327">
        <f t="shared" si="4"/>
        <v>30.67343107</v>
      </c>
      <c r="M85" s="321" t="str">
        <f t="shared" si="5"/>
        <v>cranders71</v>
      </c>
      <c r="N85" s="176">
        <f>IFERROR(__xludf.DUMMYFUNCTION("""COMPUTED_VALUE"""),4.0)</f>
        <v>4</v>
      </c>
      <c r="O85" s="176"/>
      <c r="P85" s="176"/>
      <c r="Q85" s="176"/>
      <c r="R85" s="176"/>
      <c r="S85" s="176"/>
      <c r="T85" s="176"/>
      <c r="U85" s="176"/>
      <c r="V85" s="176"/>
      <c r="W85" s="176"/>
      <c r="X85" s="176"/>
      <c r="Y85" s="176"/>
      <c r="Z85" s="176"/>
    </row>
    <row r="86">
      <c r="A86" s="226" t="s">
        <v>5</v>
      </c>
      <c r="B86" s="226" t="s">
        <v>18</v>
      </c>
      <c r="C86" s="250" t="s">
        <v>3396</v>
      </c>
      <c r="D86" s="268" t="s">
        <v>495</v>
      </c>
      <c r="E86" s="251">
        <v>44165.0</v>
      </c>
      <c r="F86" s="368" t="s">
        <v>496</v>
      </c>
      <c r="G86" s="268">
        <v>100.0</v>
      </c>
      <c r="H86" s="236">
        <v>100.0</v>
      </c>
      <c r="I86" s="236">
        <v>100.0</v>
      </c>
      <c r="J86" s="325">
        <f t="shared" si="2"/>
        <v>0.003570968962</v>
      </c>
      <c r="K86" s="326">
        <f t="shared" si="7"/>
        <v>2.79725902</v>
      </c>
      <c r="L86" s="327">
        <f t="shared" si="4"/>
        <v>30.67343107</v>
      </c>
      <c r="M86" s="321" t="str">
        <f t="shared" si="5"/>
        <v>cranders71</v>
      </c>
      <c r="N86" s="176">
        <f>IFERROR(__xludf.DUMMYFUNCTION("""COMPUTED_VALUE"""),5.0)</f>
        <v>5</v>
      </c>
      <c r="O86" s="176"/>
      <c r="P86" s="176"/>
      <c r="Q86" s="176"/>
      <c r="R86" s="176"/>
      <c r="S86" s="176"/>
      <c r="T86" s="176"/>
      <c r="U86" s="176"/>
      <c r="V86" s="176"/>
      <c r="W86" s="176"/>
      <c r="X86" s="176"/>
      <c r="Y86" s="176"/>
      <c r="Z86" s="176"/>
    </row>
    <row r="87">
      <c r="A87" s="226" t="s">
        <v>5</v>
      </c>
      <c r="B87" s="226" t="s">
        <v>6</v>
      </c>
      <c r="C87" s="250" t="s">
        <v>3373</v>
      </c>
      <c r="D87" s="268" t="s">
        <v>495</v>
      </c>
      <c r="E87" s="251">
        <v>44165.0</v>
      </c>
      <c r="F87" s="368" t="s">
        <v>496</v>
      </c>
      <c r="G87" s="268">
        <v>30.0</v>
      </c>
      <c r="H87" s="236">
        <v>60.0</v>
      </c>
      <c r="I87" s="236">
        <v>50.0</v>
      </c>
      <c r="J87" s="325">
        <f t="shared" si="2"/>
        <v>0.001675316344</v>
      </c>
      <c r="K87" s="326">
        <f t="shared" si="7"/>
        <v>1.312331136</v>
      </c>
      <c r="L87" s="327">
        <f t="shared" si="4"/>
        <v>30.67343107</v>
      </c>
      <c r="M87" s="321" t="str">
        <f t="shared" si="5"/>
        <v>cranders71</v>
      </c>
      <c r="N87" s="176">
        <f>IFERROR(__xludf.DUMMYFUNCTION("""COMPUTED_VALUE"""),6.0)</f>
        <v>6</v>
      </c>
      <c r="O87" s="176"/>
      <c r="P87" s="176"/>
      <c r="Q87" s="176"/>
      <c r="R87" s="176"/>
      <c r="S87" s="176"/>
      <c r="T87" s="176"/>
      <c r="U87" s="176"/>
      <c r="V87" s="176"/>
      <c r="W87" s="176"/>
      <c r="X87" s="176"/>
      <c r="Y87" s="176"/>
      <c r="Z87" s="176"/>
    </row>
    <row r="88">
      <c r="A88" s="226" t="s">
        <v>5</v>
      </c>
      <c r="B88" s="226" t="s">
        <v>18</v>
      </c>
      <c r="C88" s="250" t="s">
        <v>3348</v>
      </c>
      <c r="D88" s="268" t="s">
        <v>495</v>
      </c>
      <c r="E88" s="361">
        <v>44166.0</v>
      </c>
      <c r="F88" s="250" t="s">
        <v>496</v>
      </c>
      <c r="G88" s="171">
        <v>30.0</v>
      </c>
      <c r="H88" s="171">
        <v>60.0</v>
      </c>
      <c r="I88" s="171">
        <v>40.0</v>
      </c>
      <c r="J88" s="325">
        <f t="shared" si="2"/>
        <v>0.001533508579</v>
      </c>
      <c r="K88" s="326">
        <f t="shared" si="7"/>
        <v>1.201248387</v>
      </c>
      <c r="L88" s="327">
        <f t="shared" si="4"/>
        <v>30.67343107</v>
      </c>
      <c r="M88" s="321" t="str">
        <f t="shared" si="5"/>
        <v>cranders71</v>
      </c>
      <c r="N88" s="176">
        <f>IFERROR(__xludf.DUMMYFUNCTION("""COMPUTED_VALUE"""),7.0)</f>
        <v>7</v>
      </c>
      <c r="O88" s="176"/>
      <c r="P88" s="176"/>
      <c r="Q88" s="176"/>
      <c r="R88" s="176"/>
      <c r="S88" s="176"/>
      <c r="T88" s="176"/>
      <c r="U88" s="176"/>
      <c r="V88" s="176"/>
      <c r="W88" s="176"/>
      <c r="X88" s="176"/>
      <c r="Y88" s="176"/>
      <c r="Z88" s="176"/>
    </row>
    <row r="89">
      <c r="A89" s="226" t="s">
        <v>5</v>
      </c>
      <c r="B89" s="226" t="s">
        <v>590</v>
      </c>
      <c r="C89" s="250" t="s">
        <v>3350</v>
      </c>
      <c r="D89" s="268" t="s">
        <v>495</v>
      </c>
      <c r="E89" s="361">
        <v>44166.0</v>
      </c>
      <c r="F89" s="250" t="s">
        <v>496</v>
      </c>
      <c r="G89" s="171">
        <v>20.0</v>
      </c>
      <c r="H89" s="171">
        <v>60.0</v>
      </c>
      <c r="I89" s="171">
        <v>40.0</v>
      </c>
      <c r="J89" s="325">
        <f t="shared" si="2"/>
        <v>0.001425022823</v>
      </c>
      <c r="K89" s="326">
        <f t="shared" si="7"/>
        <v>1.116267878</v>
      </c>
      <c r="L89" s="327">
        <f t="shared" si="4"/>
        <v>30.67343107</v>
      </c>
      <c r="M89" s="321" t="str">
        <f t="shared" si="5"/>
        <v>cranders71</v>
      </c>
      <c r="N89" s="176">
        <f>IFERROR(__xludf.DUMMYFUNCTION("""COMPUTED_VALUE"""),8.0)</f>
        <v>8</v>
      </c>
      <c r="O89" s="176"/>
      <c r="P89" s="176"/>
      <c r="Q89" s="176"/>
      <c r="R89" s="176"/>
      <c r="S89" s="176"/>
      <c r="T89" s="176"/>
      <c r="U89" s="176"/>
      <c r="V89" s="176"/>
      <c r="W89" s="176"/>
      <c r="X89" s="176"/>
      <c r="Y89" s="176"/>
      <c r="Z89" s="176"/>
    </row>
    <row r="90">
      <c r="A90" s="226" t="s">
        <v>5</v>
      </c>
      <c r="B90" s="226" t="s">
        <v>590</v>
      </c>
      <c r="C90" s="250" t="s">
        <v>3397</v>
      </c>
      <c r="D90" s="268" t="s">
        <v>495</v>
      </c>
      <c r="E90" s="361">
        <v>44166.0</v>
      </c>
      <c r="F90" s="250" t="s">
        <v>496</v>
      </c>
      <c r="G90" s="171">
        <v>30.0</v>
      </c>
      <c r="H90" s="171">
        <v>60.0</v>
      </c>
      <c r="I90" s="171">
        <v>30.0</v>
      </c>
      <c r="J90" s="325">
        <f t="shared" si="2"/>
        <v>0.001391700814</v>
      </c>
      <c r="K90" s="326">
        <f t="shared" si="7"/>
        <v>1.090165637</v>
      </c>
      <c r="L90" s="327">
        <f t="shared" si="4"/>
        <v>30.67343107</v>
      </c>
      <c r="M90" s="321" t="str">
        <f t="shared" si="5"/>
        <v>cranders71</v>
      </c>
      <c r="N90" s="176">
        <f>IFERROR(__xludf.DUMMYFUNCTION("""COMPUTED_VALUE"""),9.0)</f>
        <v>9</v>
      </c>
      <c r="O90" s="176"/>
      <c r="P90" s="176"/>
      <c r="Q90" s="176"/>
      <c r="R90" s="176"/>
      <c r="S90" s="176"/>
      <c r="T90" s="176"/>
      <c r="U90" s="176"/>
      <c r="V90" s="176"/>
      <c r="W90" s="176"/>
      <c r="X90" s="176"/>
      <c r="Y90" s="176"/>
      <c r="Z90" s="176"/>
    </row>
    <row r="91">
      <c r="A91" s="226" t="s">
        <v>5</v>
      </c>
      <c r="B91" s="226" t="s">
        <v>590</v>
      </c>
      <c r="C91" s="250" t="s">
        <v>3398</v>
      </c>
      <c r="D91" s="268" t="s">
        <v>495</v>
      </c>
      <c r="E91" s="361">
        <v>44166.0</v>
      </c>
      <c r="F91" s="250" t="s">
        <v>496</v>
      </c>
      <c r="G91" s="171">
        <v>50.0</v>
      </c>
      <c r="H91" s="171">
        <v>60.0</v>
      </c>
      <c r="I91" s="171">
        <v>30.0</v>
      </c>
      <c r="J91" s="325">
        <f t="shared" si="2"/>
        <v>0.001608672325</v>
      </c>
      <c r="K91" s="326">
        <f t="shared" si="7"/>
        <v>1.260126655</v>
      </c>
      <c r="L91" s="327">
        <f t="shared" si="4"/>
        <v>30.67343107</v>
      </c>
      <c r="M91" s="321" t="str">
        <f t="shared" si="5"/>
        <v>cranders71</v>
      </c>
      <c r="N91" s="176">
        <f>IFERROR(__xludf.DUMMYFUNCTION("""COMPUTED_VALUE"""),10.0)</f>
        <v>10</v>
      </c>
      <c r="O91" s="176"/>
      <c r="P91" s="176"/>
      <c r="Q91" s="176"/>
      <c r="R91" s="176"/>
      <c r="S91" s="176"/>
      <c r="T91" s="176"/>
      <c r="U91" s="176"/>
      <c r="V91" s="176"/>
      <c r="W91" s="176"/>
      <c r="X91" s="176"/>
      <c r="Y91" s="176"/>
      <c r="Z91" s="176"/>
    </row>
    <row r="92">
      <c r="A92" s="226" t="s">
        <v>5</v>
      </c>
      <c r="B92" s="226" t="s">
        <v>519</v>
      </c>
      <c r="C92" s="250" t="s">
        <v>3399</v>
      </c>
      <c r="D92" s="268" t="s">
        <v>495</v>
      </c>
      <c r="E92" s="361">
        <v>44167.0</v>
      </c>
      <c r="F92" s="250" t="s">
        <v>496</v>
      </c>
      <c r="G92" s="171">
        <v>140.0</v>
      </c>
      <c r="H92" s="171">
        <v>100.0</v>
      </c>
      <c r="I92" s="171">
        <v>80.0</v>
      </c>
      <c r="J92" s="325">
        <f t="shared" si="2"/>
        <v>0.003721296454</v>
      </c>
      <c r="K92" s="326">
        <f t="shared" si="7"/>
        <v>2.915015556</v>
      </c>
      <c r="L92" s="327">
        <f t="shared" si="4"/>
        <v>30.67343107</v>
      </c>
      <c r="M92" s="321" t="str">
        <f t="shared" si="5"/>
        <v>cranders71</v>
      </c>
      <c r="N92" s="176">
        <f>IFERROR(__xludf.DUMMYFUNCTION("""COMPUTED_VALUE"""),11.0)</f>
        <v>11</v>
      </c>
      <c r="O92" s="176"/>
      <c r="P92" s="176"/>
      <c r="Q92" s="176"/>
      <c r="R92" s="176"/>
      <c r="S92" s="176"/>
      <c r="T92" s="176"/>
      <c r="U92" s="176"/>
      <c r="V92" s="176"/>
      <c r="W92" s="176"/>
      <c r="X92" s="176"/>
      <c r="Y92" s="176"/>
      <c r="Z92" s="176"/>
    </row>
    <row r="93">
      <c r="A93" s="226" t="s">
        <v>5</v>
      </c>
      <c r="B93" s="226" t="s">
        <v>5</v>
      </c>
      <c r="C93" s="250" t="s">
        <v>3390</v>
      </c>
      <c r="D93" s="268" t="s">
        <v>495</v>
      </c>
      <c r="E93" s="361">
        <v>44167.0</v>
      </c>
      <c r="F93" s="250" t="s">
        <v>496</v>
      </c>
      <c r="G93" s="171">
        <v>45.0</v>
      </c>
      <c r="H93" s="171">
        <v>60.0</v>
      </c>
      <c r="I93" s="171">
        <v>40.0</v>
      </c>
      <c r="J93" s="325">
        <f t="shared" si="2"/>
        <v>0.001696237213</v>
      </c>
      <c r="K93" s="326">
        <f t="shared" si="7"/>
        <v>1.32871915</v>
      </c>
      <c r="L93" s="327">
        <f t="shared" si="4"/>
        <v>30.67343107</v>
      </c>
      <c r="M93" s="321" t="str">
        <f t="shared" si="5"/>
        <v>cranders71</v>
      </c>
      <c r="N93" s="176">
        <f>IFERROR(__xludf.DUMMYFUNCTION("""COMPUTED_VALUE"""),12.0)</f>
        <v>12</v>
      </c>
      <c r="O93" s="176"/>
      <c r="P93" s="176"/>
      <c r="Q93" s="176"/>
      <c r="R93" s="176"/>
      <c r="S93" s="176"/>
      <c r="T93" s="176"/>
      <c r="U93" s="176"/>
      <c r="V93" s="176"/>
      <c r="W93" s="176"/>
      <c r="X93" s="176"/>
      <c r="Y93" s="176"/>
      <c r="Z93" s="176"/>
    </row>
    <row r="94">
      <c r="A94" s="226" t="s">
        <v>5</v>
      </c>
      <c r="B94" s="226" t="s">
        <v>5</v>
      </c>
      <c r="C94" s="250" t="s">
        <v>3400</v>
      </c>
      <c r="D94" s="268" t="s">
        <v>495</v>
      </c>
      <c r="E94" s="361">
        <v>44167.0</v>
      </c>
      <c r="F94" s="250" t="s">
        <v>496</v>
      </c>
      <c r="G94" s="171">
        <v>60.0</v>
      </c>
      <c r="H94" s="171">
        <v>40.0</v>
      </c>
      <c r="I94" s="171">
        <v>40.0</v>
      </c>
      <c r="J94" s="325">
        <f t="shared" si="2"/>
        <v>0.001645359096</v>
      </c>
      <c r="K94" s="326">
        <f t="shared" si="7"/>
        <v>1.288864626</v>
      </c>
      <c r="L94" s="327">
        <f t="shared" si="4"/>
        <v>30.67343107</v>
      </c>
      <c r="M94" s="321" t="str">
        <f t="shared" si="5"/>
        <v>cranders71</v>
      </c>
      <c r="N94" s="176">
        <f>IFERROR(__xludf.DUMMYFUNCTION("""COMPUTED_VALUE"""),13.0)</f>
        <v>13</v>
      </c>
      <c r="O94" s="176"/>
      <c r="P94" s="176"/>
      <c r="Q94" s="176"/>
      <c r="R94" s="176"/>
      <c r="S94" s="176"/>
      <c r="T94" s="176"/>
      <c r="U94" s="176"/>
      <c r="V94" s="176"/>
      <c r="W94" s="176"/>
      <c r="X94" s="176"/>
      <c r="Y94" s="176"/>
      <c r="Z94" s="176"/>
    </row>
    <row r="95">
      <c r="A95" s="226" t="s">
        <v>5</v>
      </c>
      <c r="B95" s="226" t="s">
        <v>590</v>
      </c>
      <c r="C95" s="250" t="s">
        <v>3401</v>
      </c>
      <c r="D95" s="268" t="s">
        <v>495</v>
      </c>
      <c r="E95" s="361">
        <v>44169.0</v>
      </c>
      <c r="F95" s="250" t="s">
        <v>496</v>
      </c>
      <c r="G95" s="171">
        <v>45.0</v>
      </c>
      <c r="H95" s="171">
        <v>40.0</v>
      </c>
      <c r="I95" s="171">
        <v>40.0</v>
      </c>
      <c r="J95" s="325">
        <f t="shared" si="2"/>
        <v>0.001482630463</v>
      </c>
      <c r="K95" s="326">
        <f t="shared" si="7"/>
        <v>1.161393862</v>
      </c>
      <c r="L95" s="327">
        <f t="shared" si="4"/>
        <v>30.67343107</v>
      </c>
      <c r="M95" s="321" t="str">
        <f t="shared" si="5"/>
        <v>cranders71</v>
      </c>
      <c r="N95" s="176">
        <f>IFERROR(__xludf.DUMMYFUNCTION("""COMPUTED_VALUE"""),14.0)</f>
        <v>14</v>
      </c>
      <c r="O95" s="176"/>
      <c r="P95" s="176"/>
      <c r="Q95" s="176"/>
      <c r="R95" s="176"/>
      <c r="S95" s="176"/>
      <c r="T95" s="176"/>
      <c r="U95" s="176"/>
      <c r="V95" s="176"/>
      <c r="W95" s="176"/>
      <c r="X95" s="176"/>
      <c r="Y95" s="176"/>
      <c r="Z95" s="176"/>
    </row>
    <row r="96">
      <c r="A96" s="226" t="s">
        <v>5</v>
      </c>
      <c r="B96" s="226" t="s">
        <v>10</v>
      </c>
      <c r="C96" s="250" t="s">
        <v>3402</v>
      </c>
      <c r="D96" s="268" t="s">
        <v>495</v>
      </c>
      <c r="E96" s="361">
        <v>44169.0</v>
      </c>
      <c r="F96" s="250" t="s">
        <v>496</v>
      </c>
      <c r="G96" s="171">
        <v>100.0</v>
      </c>
      <c r="H96" s="171">
        <v>120.0</v>
      </c>
      <c r="I96" s="171">
        <v>100.0</v>
      </c>
      <c r="J96" s="325">
        <f t="shared" si="2"/>
        <v>0.003784575712</v>
      </c>
      <c r="K96" s="326">
        <f t="shared" si="7"/>
        <v>2.964584308</v>
      </c>
      <c r="L96" s="327">
        <f t="shared" si="4"/>
        <v>30.67343107</v>
      </c>
      <c r="M96" s="321" t="str">
        <f t="shared" si="5"/>
        <v>cranders71</v>
      </c>
      <c r="N96" s="176">
        <f>IFERROR(__xludf.DUMMYFUNCTION("""COMPUTED_VALUE"""),15.0)</f>
        <v>15</v>
      </c>
      <c r="O96" s="176"/>
      <c r="P96" s="176"/>
      <c r="Q96" s="176"/>
      <c r="R96" s="176"/>
      <c r="S96" s="176"/>
      <c r="T96" s="176"/>
      <c r="U96" s="176"/>
      <c r="V96" s="176"/>
      <c r="W96" s="176"/>
      <c r="X96" s="176"/>
      <c r="Y96" s="176"/>
      <c r="Z96" s="176"/>
    </row>
    <row r="97">
      <c r="A97" s="226" t="s">
        <v>5</v>
      </c>
      <c r="B97" s="226" t="s">
        <v>10</v>
      </c>
      <c r="C97" s="250" t="s">
        <v>3356</v>
      </c>
      <c r="D97" s="268" t="s">
        <v>495</v>
      </c>
      <c r="E97" s="361">
        <v>44169.0</v>
      </c>
      <c r="F97" s="250" t="s">
        <v>496</v>
      </c>
      <c r="G97" s="171">
        <v>60.0</v>
      </c>
      <c r="H97" s="171">
        <v>60.0</v>
      </c>
      <c r="I97" s="171">
        <v>40.0</v>
      </c>
      <c r="J97" s="325">
        <f t="shared" si="2"/>
        <v>0.001858965846</v>
      </c>
      <c r="K97" s="326">
        <f t="shared" si="7"/>
        <v>1.456189913</v>
      </c>
      <c r="L97" s="327">
        <f t="shared" si="4"/>
        <v>30.67343107</v>
      </c>
      <c r="M97" s="321" t="str">
        <f t="shared" si="5"/>
        <v>cranders71</v>
      </c>
      <c r="N97" s="176">
        <f>IFERROR(__xludf.DUMMYFUNCTION("""COMPUTED_VALUE"""),16.0)</f>
        <v>16</v>
      </c>
      <c r="O97" s="176"/>
      <c r="P97" s="176"/>
      <c r="Q97" s="176"/>
      <c r="R97" s="176"/>
      <c r="S97" s="176"/>
      <c r="T97" s="176"/>
      <c r="U97" s="176"/>
      <c r="V97" s="176"/>
      <c r="W97" s="176"/>
      <c r="X97" s="176"/>
      <c r="Y97" s="176"/>
      <c r="Z97" s="176"/>
    </row>
    <row r="98">
      <c r="A98" s="226" t="s">
        <v>5</v>
      </c>
      <c r="B98" s="226" t="s">
        <v>5</v>
      </c>
      <c r="C98" s="250" t="s">
        <v>3377</v>
      </c>
      <c r="D98" s="268" t="s">
        <v>495</v>
      </c>
      <c r="E98" s="361">
        <v>44169.0</v>
      </c>
      <c r="F98" s="250" t="s">
        <v>496</v>
      </c>
      <c r="G98" s="171">
        <v>40.0</v>
      </c>
      <c r="H98" s="171">
        <v>45.0</v>
      </c>
      <c r="I98" s="171">
        <v>50.0</v>
      </c>
      <c r="J98" s="325">
        <f t="shared" si="2"/>
        <v>0.001623597038</v>
      </c>
      <c r="K98" s="326">
        <f t="shared" si="7"/>
        <v>1.27181768</v>
      </c>
      <c r="L98" s="327">
        <f t="shared" si="4"/>
        <v>30.67343107</v>
      </c>
      <c r="M98" s="321" t="str">
        <f t="shared" si="5"/>
        <v>cranders71</v>
      </c>
      <c r="N98" s="176">
        <f>IFERROR(__xludf.DUMMYFUNCTION("""COMPUTED_VALUE"""),17.0)</f>
        <v>17</v>
      </c>
      <c r="O98" s="176"/>
      <c r="P98" s="176"/>
      <c r="Q98" s="176"/>
      <c r="R98" s="176"/>
      <c r="S98" s="176"/>
      <c r="T98" s="176"/>
      <c r="U98" s="176"/>
      <c r="V98" s="176"/>
      <c r="W98" s="176"/>
      <c r="X98" s="176"/>
      <c r="Y98" s="176"/>
      <c r="Z98" s="176"/>
    </row>
    <row r="99">
      <c r="A99" s="226" t="s">
        <v>5</v>
      </c>
      <c r="B99" s="226" t="s">
        <v>5</v>
      </c>
      <c r="C99" s="250" t="s">
        <v>3378</v>
      </c>
      <c r="D99" s="268" t="s">
        <v>495</v>
      </c>
      <c r="E99" s="361">
        <v>44169.0</v>
      </c>
      <c r="F99" s="250" t="s">
        <v>496</v>
      </c>
      <c r="G99" s="171">
        <v>45.0</v>
      </c>
      <c r="H99" s="171">
        <v>45.0</v>
      </c>
      <c r="I99" s="171">
        <v>50.0</v>
      </c>
      <c r="J99" s="325">
        <f t="shared" si="2"/>
        <v>0.001677839916</v>
      </c>
      <c r="K99" s="326">
        <f t="shared" si="7"/>
        <v>1.314307934</v>
      </c>
      <c r="L99" s="327">
        <f t="shared" si="4"/>
        <v>30.67343107</v>
      </c>
      <c r="M99" s="321" t="str">
        <f t="shared" si="5"/>
        <v>cranders71</v>
      </c>
      <c r="N99" s="176">
        <f>IFERROR(__xludf.DUMMYFUNCTION("""COMPUTED_VALUE"""),18.0)</f>
        <v>18</v>
      </c>
      <c r="O99" s="176"/>
      <c r="P99" s="176"/>
      <c r="Q99" s="176"/>
      <c r="R99" s="176"/>
      <c r="S99" s="176"/>
      <c r="T99" s="176"/>
      <c r="U99" s="176"/>
      <c r="V99" s="176"/>
      <c r="W99" s="176"/>
      <c r="X99" s="176"/>
      <c r="Y99" s="176"/>
      <c r="Z99" s="176"/>
    </row>
    <row r="100">
      <c r="A100" s="226" t="s">
        <v>5</v>
      </c>
      <c r="B100" s="226" t="s">
        <v>5</v>
      </c>
      <c r="C100" s="250" t="s">
        <v>3403</v>
      </c>
      <c r="D100" s="268" t="s">
        <v>495</v>
      </c>
      <c r="E100" s="361">
        <v>44169.0</v>
      </c>
      <c r="F100" s="250" t="s">
        <v>496</v>
      </c>
      <c r="G100" s="171">
        <v>45.0</v>
      </c>
      <c r="H100" s="171">
        <v>45.0</v>
      </c>
      <c r="I100" s="171">
        <v>50.0</v>
      </c>
      <c r="J100" s="325">
        <f t="shared" si="2"/>
        <v>0.001677839916</v>
      </c>
      <c r="K100" s="326">
        <f t="shared" si="7"/>
        <v>1.314307934</v>
      </c>
      <c r="L100" s="327">
        <f t="shared" si="4"/>
        <v>30.67343107</v>
      </c>
      <c r="M100" s="321" t="str">
        <f t="shared" si="5"/>
        <v>cranders71</v>
      </c>
      <c r="N100" s="176">
        <f>IFERROR(__xludf.DUMMYFUNCTION("""COMPUTED_VALUE"""),19.0)</f>
        <v>19</v>
      </c>
      <c r="O100" s="176"/>
      <c r="P100" s="176"/>
      <c r="Q100" s="176"/>
      <c r="R100" s="176"/>
      <c r="S100" s="176"/>
      <c r="T100" s="176"/>
      <c r="U100" s="176"/>
      <c r="V100" s="176"/>
      <c r="W100" s="176"/>
      <c r="X100" s="176"/>
      <c r="Y100" s="176"/>
      <c r="Z100" s="176"/>
    </row>
    <row r="101">
      <c r="A101" s="226" t="s">
        <v>5</v>
      </c>
      <c r="B101" s="226" t="s">
        <v>590</v>
      </c>
      <c r="C101" s="250" t="s">
        <v>3404</v>
      </c>
      <c r="D101" s="268" t="s">
        <v>495</v>
      </c>
      <c r="E101" s="361">
        <v>44169.0</v>
      </c>
      <c r="F101" s="250" t="s">
        <v>496</v>
      </c>
      <c r="G101" s="171">
        <v>60.0</v>
      </c>
      <c r="H101" s="171">
        <v>60.0</v>
      </c>
      <c r="I101" s="171">
        <v>50.0</v>
      </c>
      <c r="J101" s="325">
        <f t="shared" si="2"/>
        <v>0.002000773612</v>
      </c>
      <c r="K101" s="326">
        <f t="shared" si="7"/>
        <v>1.567272663</v>
      </c>
      <c r="L101" s="327">
        <f t="shared" si="4"/>
        <v>30.67343107</v>
      </c>
      <c r="M101" s="321" t="str">
        <f t="shared" si="5"/>
        <v>cranders71</v>
      </c>
      <c r="N101" s="176">
        <f>IFERROR(__xludf.DUMMYFUNCTION("""COMPUTED_VALUE"""),20.0)</f>
        <v>20</v>
      </c>
      <c r="O101" s="176"/>
      <c r="P101" s="176"/>
      <c r="Q101" s="176"/>
      <c r="R101" s="176"/>
      <c r="S101" s="176"/>
      <c r="T101" s="176"/>
      <c r="U101" s="176"/>
      <c r="V101" s="176"/>
      <c r="W101" s="176"/>
      <c r="X101" s="176"/>
      <c r="Y101" s="176"/>
      <c r="Z101" s="176"/>
    </row>
    <row r="102">
      <c r="A102" s="226" t="s">
        <v>13</v>
      </c>
      <c r="B102" s="226" t="s">
        <v>1228</v>
      </c>
      <c r="C102" s="250" t="s">
        <v>3405</v>
      </c>
      <c r="D102" s="268" t="s">
        <v>495</v>
      </c>
      <c r="E102" s="251">
        <v>44161.0</v>
      </c>
      <c r="F102" s="368" t="s">
        <v>496</v>
      </c>
      <c r="G102" s="268">
        <v>150.0</v>
      </c>
      <c r="H102" s="236">
        <v>60.0</v>
      </c>
      <c r="I102" s="236">
        <v>100.0</v>
      </c>
      <c r="J102" s="325">
        <f t="shared" si="2"/>
        <v>0.003686184241</v>
      </c>
      <c r="K102" s="326">
        <f t="shared" si="7"/>
        <v>2.887510989</v>
      </c>
      <c r="L102" s="327">
        <f t="shared" si="4"/>
        <v>25.57298254</v>
      </c>
      <c r="M102" s="321" t="str">
        <f t="shared" si="5"/>
        <v>durgadasji</v>
      </c>
      <c r="N102" s="176">
        <f>IFERROR(__xludf.DUMMYFUNCTION("""COMPUTED_VALUE"""),1.0)</f>
        <v>1</v>
      </c>
      <c r="O102" s="176"/>
      <c r="P102" s="176"/>
      <c r="Q102" s="176"/>
      <c r="R102" s="176"/>
      <c r="S102" s="176"/>
      <c r="T102" s="176"/>
      <c r="U102" s="176"/>
      <c r="V102" s="176"/>
      <c r="W102" s="176"/>
      <c r="X102" s="176"/>
      <c r="Y102" s="176"/>
      <c r="Z102" s="176"/>
    </row>
    <row r="103">
      <c r="A103" s="226" t="s">
        <v>13</v>
      </c>
      <c r="B103" s="226" t="s">
        <v>29</v>
      </c>
      <c r="C103" s="250" t="s">
        <v>3406</v>
      </c>
      <c r="D103" s="268" t="s">
        <v>495</v>
      </c>
      <c r="E103" s="251">
        <v>44162.0</v>
      </c>
      <c r="F103" s="368" t="s">
        <v>496</v>
      </c>
      <c r="G103" s="268">
        <v>40.0</v>
      </c>
      <c r="H103" s="236">
        <v>50.0</v>
      </c>
      <c r="I103" s="236">
        <v>30.0</v>
      </c>
      <c r="J103" s="325">
        <f t="shared" si="2"/>
        <v>0.001393383194</v>
      </c>
      <c r="K103" s="326">
        <f t="shared" si="7"/>
        <v>1.091483502</v>
      </c>
      <c r="L103" s="327">
        <f t="shared" si="4"/>
        <v>25.57298254</v>
      </c>
      <c r="M103" s="321" t="str">
        <f t="shared" si="5"/>
        <v>durgadasji</v>
      </c>
      <c r="N103" s="176">
        <f>IFERROR(__xludf.DUMMYFUNCTION("""COMPUTED_VALUE"""),2.0)</f>
        <v>2</v>
      </c>
      <c r="O103" s="176"/>
      <c r="P103" s="176"/>
      <c r="Q103" s="176"/>
      <c r="R103" s="176"/>
      <c r="S103" s="176"/>
      <c r="T103" s="176"/>
      <c r="U103" s="176"/>
      <c r="V103" s="176"/>
      <c r="W103" s="176"/>
      <c r="X103" s="176"/>
      <c r="Y103" s="176"/>
      <c r="Z103" s="176"/>
    </row>
    <row r="104">
      <c r="A104" s="226" t="s">
        <v>13</v>
      </c>
      <c r="B104" s="226" t="s">
        <v>10</v>
      </c>
      <c r="C104" s="250" t="s">
        <v>3407</v>
      </c>
      <c r="D104" s="268" t="s">
        <v>495</v>
      </c>
      <c r="E104" s="251">
        <v>44162.0</v>
      </c>
      <c r="F104" s="368" t="s">
        <v>496</v>
      </c>
      <c r="G104" s="236">
        <v>100.0</v>
      </c>
      <c r="H104" s="236">
        <v>180.0</v>
      </c>
      <c r="I104" s="236">
        <v>150.0</v>
      </c>
      <c r="J104" s="325">
        <f t="shared" si="2"/>
        <v>0.005134434789</v>
      </c>
      <c r="K104" s="326">
        <f t="shared" si="7"/>
        <v>4.021973918</v>
      </c>
      <c r="L104" s="327">
        <f t="shared" si="4"/>
        <v>25.57298254</v>
      </c>
      <c r="M104" s="321" t="str">
        <f t="shared" si="5"/>
        <v>durgadasji</v>
      </c>
      <c r="N104" s="176">
        <f>IFERROR(__xludf.DUMMYFUNCTION("""COMPUTED_VALUE"""),3.0)</f>
        <v>3</v>
      </c>
      <c r="O104" s="176"/>
      <c r="P104" s="176"/>
      <c r="Q104" s="176"/>
      <c r="R104" s="176"/>
      <c r="S104" s="176"/>
      <c r="T104" s="176"/>
      <c r="U104" s="176"/>
      <c r="V104" s="176"/>
      <c r="W104" s="176"/>
      <c r="X104" s="176"/>
      <c r="Y104" s="176"/>
      <c r="Z104" s="176"/>
    </row>
    <row r="105">
      <c r="A105" s="226" t="s">
        <v>13</v>
      </c>
      <c r="B105" s="226" t="s">
        <v>590</v>
      </c>
      <c r="C105" s="250" t="s">
        <v>3408</v>
      </c>
      <c r="D105" s="268" t="s">
        <v>495</v>
      </c>
      <c r="E105" s="251">
        <v>44163.0</v>
      </c>
      <c r="F105" s="368" t="s">
        <v>496</v>
      </c>
      <c r="G105" s="268">
        <v>50.0</v>
      </c>
      <c r="H105" s="236">
        <v>20.0</v>
      </c>
      <c r="I105" s="236">
        <v>30.0</v>
      </c>
      <c r="J105" s="325">
        <f t="shared" si="2"/>
        <v>0.001181458825</v>
      </c>
      <c r="K105" s="326">
        <f t="shared" si="7"/>
        <v>0.9254760798</v>
      </c>
      <c r="L105" s="327">
        <f t="shared" si="4"/>
        <v>25.57298254</v>
      </c>
      <c r="M105" s="321" t="str">
        <f t="shared" si="5"/>
        <v>durgadasji</v>
      </c>
      <c r="N105" s="176">
        <f>IFERROR(__xludf.DUMMYFUNCTION("""COMPUTED_VALUE"""),4.0)</f>
        <v>4</v>
      </c>
      <c r="O105" s="176"/>
      <c r="P105" s="176"/>
      <c r="Q105" s="176"/>
      <c r="R105" s="176"/>
      <c r="S105" s="176"/>
      <c r="T105" s="176"/>
      <c r="U105" s="176"/>
      <c r="V105" s="176"/>
      <c r="W105" s="176"/>
      <c r="X105" s="176"/>
      <c r="Y105" s="176"/>
      <c r="Z105" s="176"/>
    </row>
    <row r="106">
      <c r="A106" s="226" t="s">
        <v>13</v>
      </c>
      <c r="B106" s="226" t="s">
        <v>10</v>
      </c>
      <c r="C106" s="250" t="s">
        <v>3345</v>
      </c>
      <c r="D106" s="268" t="s">
        <v>495</v>
      </c>
      <c r="E106" s="251">
        <v>44163.0</v>
      </c>
      <c r="F106" s="368" t="s">
        <v>496</v>
      </c>
      <c r="G106" s="268">
        <v>40.0</v>
      </c>
      <c r="H106" s="236">
        <v>30.0</v>
      </c>
      <c r="I106" s="236">
        <v>30.0</v>
      </c>
      <c r="J106" s="325">
        <f t="shared" si="2"/>
        <v>0.001179776444</v>
      </c>
      <c r="K106" s="326">
        <f t="shared" si="7"/>
        <v>0.9241582148</v>
      </c>
      <c r="L106" s="327">
        <f t="shared" si="4"/>
        <v>25.57298254</v>
      </c>
      <c r="M106" s="321" t="str">
        <f t="shared" si="5"/>
        <v>durgadasji</v>
      </c>
      <c r="N106" s="176">
        <f>IFERROR(__xludf.DUMMYFUNCTION("""COMPUTED_VALUE"""),5.0)</f>
        <v>5</v>
      </c>
      <c r="O106" s="176"/>
      <c r="P106" s="176"/>
      <c r="Q106" s="176"/>
      <c r="R106" s="176"/>
      <c r="S106" s="176"/>
      <c r="T106" s="176"/>
      <c r="U106" s="176"/>
      <c r="V106" s="176"/>
      <c r="W106" s="176"/>
      <c r="X106" s="176"/>
      <c r="Y106" s="176"/>
      <c r="Z106" s="176"/>
    </row>
    <row r="107">
      <c r="A107" s="226" t="s">
        <v>13</v>
      </c>
      <c r="B107" s="226" t="s">
        <v>590</v>
      </c>
      <c r="C107" s="250" t="s">
        <v>3409</v>
      </c>
      <c r="D107" s="268" t="s">
        <v>495</v>
      </c>
      <c r="E107" s="361">
        <v>44166.0</v>
      </c>
      <c r="F107" s="250" t="s">
        <v>496</v>
      </c>
      <c r="G107" s="171">
        <v>50.0</v>
      </c>
      <c r="H107" s="171">
        <v>60.0</v>
      </c>
      <c r="I107" s="171">
        <v>50.0</v>
      </c>
      <c r="J107" s="325">
        <f t="shared" si="2"/>
        <v>0.001892287856</v>
      </c>
      <c r="K107" s="326">
        <f t="shared" si="7"/>
        <v>1.482292154</v>
      </c>
      <c r="L107" s="327">
        <f t="shared" si="4"/>
        <v>25.57298254</v>
      </c>
      <c r="M107" s="321" t="str">
        <f t="shared" si="5"/>
        <v>durgadasji</v>
      </c>
      <c r="N107" s="176">
        <f>IFERROR(__xludf.DUMMYFUNCTION("""COMPUTED_VALUE"""),6.0)</f>
        <v>6</v>
      </c>
      <c r="O107" s="176"/>
      <c r="P107" s="176"/>
      <c r="Q107" s="176"/>
      <c r="R107" s="176"/>
      <c r="S107" s="176"/>
      <c r="T107" s="176"/>
      <c r="U107" s="176"/>
      <c r="V107" s="176"/>
      <c r="W107" s="176"/>
      <c r="X107" s="176"/>
      <c r="Y107" s="176"/>
      <c r="Z107" s="176"/>
    </row>
    <row r="108">
      <c r="A108" s="226" t="s">
        <v>13</v>
      </c>
      <c r="B108" s="226" t="s">
        <v>18</v>
      </c>
      <c r="C108" s="250" t="s">
        <v>3348</v>
      </c>
      <c r="D108" s="268" t="s">
        <v>495</v>
      </c>
      <c r="E108" s="361">
        <v>44166.0</v>
      </c>
      <c r="F108" s="250" t="s">
        <v>496</v>
      </c>
      <c r="G108" s="171">
        <v>30.0</v>
      </c>
      <c r="H108" s="171">
        <v>60.0</v>
      </c>
      <c r="I108" s="171">
        <v>40.0</v>
      </c>
      <c r="J108" s="325">
        <f t="shared" si="2"/>
        <v>0.001533508579</v>
      </c>
      <c r="K108" s="326">
        <f t="shared" si="7"/>
        <v>1.201248387</v>
      </c>
      <c r="L108" s="327">
        <f t="shared" si="4"/>
        <v>25.57298254</v>
      </c>
      <c r="M108" s="321" t="str">
        <f t="shared" si="5"/>
        <v>durgadasji</v>
      </c>
      <c r="N108" s="176">
        <f>IFERROR(__xludf.DUMMYFUNCTION("""COMPUTED_VALUE"""),7.0)</f>
        <v>7</v>
      </c>
      <c r="O108" s="176"/>
      <c r="P108" s="176"/>
      <c r="Q108" s="176"/>
      <c r="R108" s="176"/>
      <c r="S108" s="176"/>
      <c r="T108" s="176"/>
      <c r="U108" s="176"/>
      <c r="V108" s="176"/>
      <c r="W108" s="176"/>
      <c r="X108" s="176"/>
      <c r="Y108" s="176"/>
      <c r="Z108" s="176"/>
    </row>
    <row r="109">
      <c r="A109" s="226" t="s">
        <v>13</v>
      </c>
      <c r="B109" s="226" t="s">
        <v>590</v>
      </c>
      <c r="C109" s="250" t="s">
        <v>3350</v>
      </c>
      <c r="D109" s="268" t="s">
        <v>495</v>
      </c>
      <c r="E109" s="361">
        <v>44166.0</v>
      </c>
      <c r="F109" s="250" t="s">
        <v>496</v>
      </c>
      <c r="G109" s="171">
        <v>20.0</v>
      </c>
      <c r="H109" s="171">
        <v>60.0</v>
      </c>
      <c r="I109" s="171">
        <v>40.0</v>
      </c>
      <c r="J109" s="325">
        <f t="shared" si="2"/>
        <v>0.001425022823</v>
      </c>
      <c r="K109" s="326">
        <f t="shared" si="7"/>
        <v>1.116267878</v>
      </c>
      <c r="L109" s="327">
        <f t="shared" si="4"/>
        <v>25.57298254</v>
      </c>
      <c r="M109" s="321" t="str">
        <f t="shared" si="5"/>
        <v>durgadasji</v>
      </c>
      <c r="N109" s="176">
        <f>IFERROR(__xludf.DUMMYFUNCTION("""COMPUTED_VALUE"""),8.0)</f>
        <v>8</v>
      </c>
      <c r="O109" s="176"/>
      <c r="P109" s="176"/>
      <c r="Q109" s="176"/>
      <c r="R109" s="176"/>
      <c r="S109" s="176"/>
      <c r="T109" s="176"/>
      <c r="U109" s="176"/>
      <c r="V109" s="176"/>
      <c r="W109" s="176"/>
      <c r="X109" s="176"/>
      <c r="Y109" s="176"/>
      <c r="Z109" s="176"/>
    </row>
    <row r="110">
      <c r="A110" s="226" t="s">
        <v>13</v>
      </c>
      <c r="B110" s="226" t="s">
        <v>590</v>
      </c>
      <c r="C110" s="250" t="s">
        <v>3410</v>
      </c>
      <c r="D110" s="268" t="s">
        <v>495</v>
      </c>
      <c r="E110" s="361">
        <v>44166.0</v>
      </c>
      <c r="F110" s="250" t="s">
        <v>496</v>
      </c>
      <c r="G110" s="171">
        <v>50.0</v>
      </c>
      <c r="H110" s="171">
        <v>60.0</v>
      </c>
      <c r="I110" s="171">
        <v>40.0</v>
      </c>
      <c r="J110" s="325">
        <f t="shared" si="2"/>
        <v>0.001750480091</v>
      </c>
      <c r="K110" s="326">
        <f t="shared" si="7"/>
        <v>1.371209404</v>
      </c>
      <c r="L110" s="327">
        <f t="shared" si="4"/>
        <v>25.57298254</v>
      </c>
      <c r="M110" s="321" t="str">
        <f t="shared" si="5"/>
        <v>durgadasji</v>
      </c>
      <c r="N110" s="176">
        <f>IFERROR(__xludf.DUMMYFUNCTION("""COMPUTED_VALUE"""),9.0)</f>
        <v>9</v>
      </c>
      <c r="O110" s="176"/>
      <c r="P110" s="176"/>
      <c r="Q110" s="176"/>
      <c r="R110" s="176"/>
      <c r="S110" s="176"/>
      <c r="T110" s="176"/>
      <c r="U110" s="176"/>
      <c r="V110" s="176"/>
      <c r="W110" s="176"/>
      <c r="X110" s="176"/>
      <c r="Y110" s="176"/>
      <c r="Z110" s="176"/>
    </row>
    <row r="111">
      <c r="A111" s="226" t="s">
        <v>13</v>
      </c>
      <c r="B111" s="226" t="s">
        <v>590</v>
      </c>
      <c r="C111" s="250" t="s">
        <v>3397</v>
      </c>
      <c r="D111" s="268" t="s">
        <v>495</v>
      </c>
      <c r="E111" s="361">
        <v>44166.0</v>
      </c>
      <c r="F111" s="250" t="s">
        <v>496</v>
      </c>
      <c r="G111" s="171">
        <v>30.0</v>
      </c>
      <c r="H111" s="171">
        <v>60.0</v>
      </c>
      <c r="I111" s="171">
        <v>30.0</v>
      </c>
      <c r="J111" s="325">
        <f t="shared" si="2"/>
        <v>0.001391700814</v>
      </c>
      <c r="K111" s="326">
        <f t="shared" si="7"/>
        <v>1.090165637</v>
      </c>
      <c r="L111" s="327">
        <f t="shared" si="4"/>
        <v>25.57298254</v>
      </c>
      <c r="M111" s="321" t="str">
        <f t="shared" si="5"/>
        <v>durgadasji</v>
      </c>
      <c r="N111" s="176">
        <f>IFERROR(__xludf.DUMMYFUNCTION("""COMPUTED_VALUE"""),10.0)</f>
        <v>10</v>
      </c>
      <c r="O111" s="176"/>
      <c r="P111" s="176"/>
      <c r="Q111" s="176"/>
      <c r="R111" s="176"/>
      <c r="S111" s="176"/>
      <c r="T111" s="176"/>
      <c r="U111" s="176"/>
      <c r="V111" s="176"/>
      <c r="W111" s="176"/>
      <c r="X111" s="176"/>
      <c r="Y111" s="176"/>
      <c r="Z111" s="176"/>
    </row>
    <row r="112">
      <c r="A112" s="226" t="s">
        <v>13</v>
      </c>
      <c r="B112" s="226" t="s">
        <v>5</v>
      </c>
      <c r="C112" s="250" t="s">
        <v>3390</v>
      </c>
      <c r="D112" s="268" t="s">
        <v>495</v>
      </c>
      <c r="E112" s="361">
        <v>44167.0</v>
      </c>
      <c r="F112" s="250" t="s">
        <v>496</v>
      </c>
      <c r="G112" s="171">
        <v>20.0</v>
      </c>
      <c r="H112" s="171">
        <v>60.0</v>
      </c>
      <c r="I112" s="171">
        <v>30.0</v>
      </c>
      <c r="J112" s="325">
        <f t="shared" si="2"/>
        <v>0.001283215058</v>
      </c>
      <c r="K112" s="326">
        <f t="shared" si="7"/>
        <v>1.005185129</v>
      </c>
      <c r="L112" s="327">
        <f t="shared" si="4"/>
        <v>25.57298254</v>
      </c>
      <c r="M112" s="321" t="str">
        <f t="shared" si="5"/>
        <v>durgadasji</v>
      </c>
      <c r="N112" s="176">
        <f>IFERROR(__xludf.DUMMYFUNCTION("""COMPUTED_VALUE"""),11.0)</f>
        <v>11</v>
      </c>
      <c r="O112" s="176"/>
      <c r="P112" s="176"/>
      <c r="Q112" s="176"/>
      <c r="R112" s="176"/>
      <c r="S112" s="176"/>
      <c r="T112" s="176"/>
      <c r="U112" s="176"/>
      <c r="V112" s="176"/>
      <c r="W112" s="176"/>
      <c r="X112" s="176"/>
      <c r="Y112" s="176"/>
      <c r="Z112" s="176"/>
    </row>
    <row r="113">
      <c r="A113" s="226" t="s">
        <v>13</v>
      </c>
      <c r="B113" s="226" t="s">
        <v>5</v>
      </c>
      <c r="C113" s="250" t="s">
        <v>3400</v>
      </c>
      <c r="D113" s="268" t="s">
        <v>495</v>
      </c>
      <c r="E113" s="361">
        <v>44167.0</v>
      </c>
      <c r="F113" s="250" t="s">
        <v>496</v>
      </c>
      <c r="G113" s="171">
        <v>60.0</v>
      </c>
      <c r="H113" s="171">
        <v>40.0</v>
      </c>
      <c r="I113" s="171">
        <v>40.0</v>
      </c>
      <c r="J113" s="325">
        <f t="shared" si="2"/>
        <v>0.001645359096</v>
      </c>
      <c r="K113" s="326">
        <f t="shared" si="7"/>
        <v>1.288864626</v>
      </c>
      <c r="L113" s="327">
        <f t="shared" si="4"/>
        <v>25.57298254</v>
      </c>
      <c r="M113" s="321" t="str">
        <f t="shared" si="5"/>
        <v>durgadasji</v>
      </c>
      <c r="N113" s="176">
        <f>IFERROR(__xludf.DUMMYFUNCTION("""COMPUTED_VALUE"""),12.0)</f>
        <v>12</v>
      </c>
      <c r="O113" s="176"/>
      <c r="P113" s="176"/>
      <c r="Q113" s="176"/>
      <c r="R113" s="176"/>
      <c r="S113" s="176"/>
      <c r="T113" s="176"/>
      <c r="U113" s="176"/>
      <c r="V113" s="176"/>
      <c r="W113" s="176"/>
      <c r="X113" s="176"/>
      <c r="Y113" s="176"/>
      <c r="Z113" s="176"/>
    </row>
    <row r="114">
      <c r="A114" s="226" t="s">
        <v>13</v>
      </c>
      <c r="B114" s="226" t="s">
        <v>1228</v>
      </c>
      <c r="C114" s="250" t="s">
        <v>3393</v>
      </c>
      <c r="D114" s="268" t="s">
        <v>495</v>
      </c>
      <c r="E114" s="361">
        <v>44168.0</v>
      </c>
      <c r="F114" s="250" t="s">
        <v>496</v>
      </c>
      <c r="G114" s="171">
        <v>50.0</v>
      </c>
      <c r="H114" s="171">
        <v>60.0</v>
      </c>
      <c r="I114" s="171">
        <v>40.0</v>
      </c>
      <c r="J114" s="325">
        <f t="shared" si="2"/>
        <v>0.001750480091</v>
      </c>
      <c r="K114" s="326">
        <f t="shared" si="7"/>
        <v>1.371209404</v>
      </c>
      <c r="L114" s="327">
        <f t="shared" si="4"/>
        <v>25.57298254</v>
      </c>
      <c r="M114" s="321" t="str">
        <f t="shared" si="5"/>
        <v>durgadasji</v>
      </c>
      <c r="N114" s="176">
        <f>IFERROR(__xludf.DUMMYFUNCTION("""COMPUTED_VALUE"""),13.0)</f>
        <v>13</v>
      </c>
      <c r="O114" s="176"/>
      <c r="P114" s="176"/>
      <c r="Q114" s="176"/>
      <c r="R114" s="176"/>
      <c r="S114" s="176"/>
      <c r="T114" s="176"/>
      <c r="U114" s="176"/>
      <c r="V114" s="176"/>
      <c r="W114" s="176"/>
      <c r="X114" s="176"/>
      <c r="Y114" s="176"/>
      <c r="Z114" s="176"/>
    </row>
    <row r="115">
      <c r="A115" s="226" t="s">
        <v>13</v>
      </c>
      <c r="B115" s="226" t="s">
        <v>10</v>
      </c>
      <c r="C115" s="250" t="s">
        <v>3411</v>
      </c>
      <c r="D115" s="268" t="s">
        <v>495</v>
      </c>
      <c r="E115" s="361">
        <v>44169.0</v>
      </c>
      <c r="F115" s="250" t="s">
        <v>496</v>
      </c>
      <c r="G115" s="171">
        <v>45.0</v>
      </c>
      <c r="H115" s="171">
        <v>30.0</v>
      </c>
      <c r="I115" s="171">
        <v>30.0</v>
      </c>
      <c r="J115" s="325">
        <f t="shared" si="2"/>
        <v>0.001234019322</v>
      </c>
      <c r="K115" s="326">
        <f t="shared" si="7"/>
        <v>0.9666484692</v>
      </c>
      <c r="L115" s="327">
        <f t="shared" si="4"/>
        <v>25.57298254</v>
      </c>
      <c r="M115" s="321" t="str">
        <f t="shared" si="5"/>
        <v>durgadasji</v>
      </c>
      <c r="N115" s="176">
        <f>IFERROR(__xludf.DUMMYFUNCTION("""COMPUTED_VALUE"""),14.0)</f>
        <v>14</v>
      </c>
      <c r="O115" s="176"/>
      <c r="P115" s="176"/>
      <c r="Q115" s="176"/>
      <c r="R115" s="176"/>
      <c r="S115" s="176"/>
      <c r="T115" s="176"/>
      <c r="U115" s="176"/>
      <c r="V115" s="176"/>
      <c r="W115" s="176"/>
      <c r="X115" s="176"/>
      <c r="Y115" s="176"/>
      <c r="Z115" s="176"/>
    </row>
    <row r="116">
      <c r="A116" s="226" t="s">
        <v>13</v>
      </c>
      <c r="B116" s="226" t="s">
        <v>10</v>
      </c>
      <c r="C116" s="250" t="s">
        <v>3412</v>
      </c>
      <c r="D116" s="268" t="s">
        <v>495</v>
      </c>
      <c r="E116" s="361">
        <v>44169.0</v>
      </c>
      <c r="F116" s="250" t="s">
        <v>496</v>
      </c>
      <c r="G116" s="171">
        <v>40.0</v>
      </c>
      <c r="H116" s="171">
        <v>30.0</v>
      </c>
      <c r="I116" s="171">
        <v>30.0</v>
      </c>
      <c r="J116" s="325">
        <f t="shared" si="2"/>
        <v>0.001179776444</v>
      </c>
      <c r="K116" s="326">
        <f t="shared" si="7"/>
        <v>0.9241582148</v>
      </c>
      <c r="L116" s="327">
        <f t="shared" si="4"/>
        <v>25.57298254</v>
      </c>
      <c r="M116" s="321" t="str">
        <f t="shared" si="5"/>
        <v>durgadasji</v>
      </c>
      <c r="N116" s="176">
        <f>IFERROR(__xludf.DUMMYFUNCTION("""COMPUTED_VALUE"""),15.0)</f>
        <v>15</v>
      </c>
      <c r="O116" s="176"/>
      <c r="P116" s="176"/>
      <c r="Q116" s="176"/>
      <c r="R116" s="176"/>
      <c r="S116" s="176"/>
      <c r="T116" s="176"/>
      <c r="U116" s="176"/>
      <c r="V116" s="176"/>
      <c r="W116" s="176"/>
      <c r="X116" s="176"/>
      <c r="Y116" s="176"/>
      <c r="Z116" s="176"/>
    </row>
    <row r="117">
      <c r="A117" s="226" t="s">
        <v>13</v>
      </c>
      <c r="B117" s="226" t="s">
        <v>10</v>
      </c>
      <c r="C117" s="250" t="s">
        <v>3356</v>
      </c>
      <c r="D117" s="268" t="s">
        <v>495</v>
      </c>
      <c r="E117" s="361">
        <v>44169.0</v>
      </c>
      <c r="F117" s="250" t="s">
        <v>496</v>
      </c>
      <c r="G117" s="171">
        <v>45.0</v>
      </c>
      <c r="H117" s="171">
        <v>45.0</v>
      </c>
      <c r="I117" s="171">
        <v>40.0</v>
      </c>
      <c r="J117" s="325">
        <f t="shared" si="2"/>
        <v>0.00153603215</v>
      </c>
      <c r="K117" s="326">
        <f t="shared" si="7"/>
        <v>1.203225184</v>
      </c>
      <c r="L117" s="327">
        <f t="shared" si="4"/>
        <v>25.57298254</v>
      </c>
      <c r="M117" s="321" t="str">
        <f t="shared" si="5"/>
        <v>durgadasji</v>
      </c>
      <c r="N117" s="176">
        <f>IFERROR(__xludf.DUMMYFUNCTION("""COMPUTED_VALUE"""),16.0)</f>
        <v>16</v>
      </c>
      <c r="O117" s="176"/>
      <c r="P117" s="176"/>
      <c r="Q117" s="176"/>
      <c r="R117" s="176"/>
      <c r="S117" s="176"/>
      <c r="T117" s="176"/>
      <c r="U117" s="176"/>
      <c r="V117" s="176"/>
      <c r="W117" s="176"/>
      <c r="X117" s="176"/>
      <c r="Y117" s="176"/>
      <c r="Z117" s="176"/>
    </row>
    <row r="118">
      <c r="A118" s="226" t="s">
        <v>13</v>
      </c>
      <c r="B118" s="226" t="s">
        <v>5</v>
      </c>
      <c r="C118" s="250" t="s">
        <v>3403</v>
      </c>
      <c r="D118" s="268" t="s">
        <v>495</v>
      </c>
      <c r="E118" s="361">
        <v>44169.0</v>
      </c>
      <c r="F118" s="250" t="s">
        <v>496</v>
      </c>
      <c r="G118" s="171">
        <v>50.0</v>
      </c>
      <c r="H118" s="171">
        <v>45.0</v>
      </c>
      <c r="I118" s="171">
        <v>30.0</v>
      </c>
      <c r="J118" s="325">
        <f t="shared" si="2"/>
        <v>0.001448467263</v>
      </c>
      <c r="K118" s="326">
        <f t="shared" si="7"/>
        <v>1.134632689</v>
      </c>
      <c r="L118" s="327">
        <f t="shared" si="4"/>
        <v>25.57298254</v>
      </c>
      <c r="M118" s="321" t="str">
        <f t="shared" si="5"/>
        <v>durgadasji</v>
      </c>
      <c r="N118" s="176">
        <f>IFERROR(__xludf.DUMMYFUNCTION("""COMPUTED_VALUE"""),17.0)</f>
        <v>17</v>
      </c>
      <c r="O118" s="176"/>
      <c r="P118" s="176"/>
      <c r="Q118" s="176"/>
      <c r="R118" s="176"/>
      <c r="S118" s="176"/>
      <c r="T118" s="176"/>
      <c r="U118" s="176"/>
      <c r="V118" s="176"/>
      <c r="W118" s="176"/>
      <c r="X118" s="176"/>
      <c r="Y118" s="176"/>
      <c r="Z118" s="176"/>
    </row>
    <row r="119">
      <c r="A119" s="226" t="s">
        <v>13</v>
      </c>
      <c r="B119" s="226" t="s">
        <v>590</v>
      </c>
      <c r="C119" s="250" t="s">
        <v>3404</v>
      </c>
      <c r="D119" s="268" t="s">
        <v>495</v>
      </c>
      <c r="E119" s="361">
        <v>44169.0</v>
      </c>
      <c r="F119" s="250" t="s">
        <v>496</v>
      </c>
      <c r="G119" s="171">
        <v>60.0</v>
      </c>
      <c r="H119" s="171">
        <v>60.0</v>
      </c>
      <c r="I119" s="171">
        <v>50.0</v>
      </c>
      <c r="J119" s="325">
        <f t="shared" si="2"/>
        <v>0.002000773612</v>
      </c>
      <c r="K119" s="326">
        <f t="shared" si="7"/>
        <v>1.567272663</v>
      </c>
      <c r="L119" s="327">
        <f t="shared" si="4"/>
        <v>25.57298254</v>
      </c>
      <c r="M119" s="321" t="str">
        <f t="shared" si="5"/>
        <v>durgadasji</v>
      </c>
      <c r="N119" s="176">
        <f>IFERROR(__xludf.DUMMYFUNCTION("""COMPUTED_VALUE"""),18.0)</f>
        <v>18</v>
      </c>
      <c r="O119" s="176"/>
      <c r="P119" s="176"/>
      <c r="Q119" s="176"/>
      <c r="R119" s="176"/>
      <c r="S119" s="176"/>
      <c r="T119" s="176"/>
      <c r="U119" s="176"/>
      <c r="V119" s="176"/>
      <c r="W119" s="176"/>
      <c r="X119" s="176"/>
      <c r="Y119" s="176"/>
      <c r="Z119" s="176"/>
    </row>
    <row r="120">
      <c r="A120" s="226" t="s">
        <v>11</v>
      </c>
      <c r="B120" s="226" t="s">
        <v>868</v>
      </c>
      <c r="C120" s="250" t="s">
        <v>3413</v>
      </c>
      <c r="D120" s="268" t="s">
        <v>495</v>
      </c>
      <c r="E120" s="251">
        <v>44155.0</v>
      </c>
      <c r="F120" s="368" t="s">
        <v>496</v>
      </c>
      <c r="G120" s="236">
        <v>150.0</v>
      </c>
      <c r="H120" s="236">
        <v>190.0</v>
      </c>
      <c r="I120" s="236">
        <v>180.0</v>
      </c>
      <c r="J120" s="325">
        <f t="shared" si="2"/>
        <v>0.006209090239</v>
      </c>
      <c r="K120" s="326">
        <f t="shared" si="7"/>
        <v>4.863787354</v>
      </c>
      <c r="L120" s="327">
        <f t="shared" si="4"/>
        <v>25.18950661</v>
      </c>
      <c r="M120" s="321" t="str">
        <f t="shared" si="5"/>
        <v>mateodaza</v>
      </c>
      <c r="N120" s="176">
        <f>IFERROR(__xludf.DUMMYFUNCTION("""COMPUTED_VALUE"""),1.0)</f>
        <v>1</v>
      </c>
      <c r="O120" s="176"/>
      <c r="P120" s="176"/>
      <c r="Q120" s="176"/>
      <c r="R120" s="176"/>
      <c r="S120" s="176"/>
      <c r="T120" s="176"/>
      <c r="U120" s="176"/>
      <c r="V120" s="176"/>
      <c r="W120" s="176"/>
      <c r="X120" s="176"/>
      <c r="Y120" s="176"/>
      <c r="Z120" s="176"/>
    </row>
    <row r="121">
      <c r="A121" s="226" t="s">
        <v>11</v>
      </c>
      <c r="B121" s="226" t="s">
        <v>519</v>
      </c>
      <c r="C121" s="250" t="s">
        <v>3359</v>
      </c>
      <c r="D121" s="268" t="s">
        <v>495</v>
      </c>
      <c r="E121" s="251">
        <v>44160.0</v>
      </c>
      <c r="F121" s="368" t="s">
        <v>521</v>
      </c>
      <c r="G121" s="268">
        <v>30.0</v>
      </c>
      <c r="H121" s="236">
        <v>60.0</v>
      </c>
      <c r="I121" s="236">
        <v>30.0</v>
      </c>
      <c r="J121" s="325">
        <f t="shared" si="2"/>
        <v>0.001391700814</v>
      </c>
      <c r="K121" s="326">
        <f t="shared" si="7"/>
        <v>1.090165637</v>
      </c>
      <c r="L121" s="327">
        <f t="shared" si="4"/>
        <v>25.18950661</v>
      </c>
      <c r="M121" s="321" t="str">
        <f t="shared" si="5"/>
        <v>mateodaza</v>
      </c>
      <c r="N121" s="176">
        <f>IFERROR(__xludf.DUMMYFUNCTION("""COMPUTED_VALUE"""),2.0)</f>
        <v>2</v>
      </c>
      <c r="O121" s="176"/>
      <c r="P121" s="176"/>
      <c r="Q121" s="176"/>
      <c r="R121" s="176"/>
      <c r="S121" s="176"/>
      <c r="T121" s="176"/>
      <c r="U121" s="176"/>
      <c r="V121" s="176"/>
      <c r="W121" s="176"/>
      <c r="X121" s="176"/>
      <c r="Y121" s="176"/>
      <c r="Z121" s="176"/>
    </row>
    <row r="122">
      <c r="A122" s="226" t="s">
        <v>11</v>
      </c>
      <c r="B122" s="226" t="s">
        <v>5</v>
      </c>
      <c r="C122" s="250" t="s">
        <v>3340</v>
      </c>
      <c r="D122" s="268" t="s">
        <v>495</v>
      </c>
      <c r="E122" s="251">
        <v>44160.0</v>
      </c>
      <c r="F122" s="368" t="s">
        <v>496</v>
      </c>
      <c r="G122" s="268">
        <v>20.0</v>
      </c>
      <c r="H122" s="236">
        <v>60.0</v>
      </c>
      <c r="I122" s="236">
        <v>20.0</v>
      </c>
      <c r="J122" s="325">
        <f t="shared" si="2"/>
        <v>0.001141407292</v>
      </c>
      <c r="K122" s="326">
        <f t="shared" si="7"/>
        <v>0.894102379</v>
      </c>
      <c r="L122" s="327">
        <f t="shared" si="4"/>
        <v>25.18950661</v>
      </c>
      <c r="M122" s="321" t="str">
        <f t="shared" si="5"/>
        <v>mateodaza</v>
      </c>
      <c r="N122" s="176">
        <f>IFERROR(__xludf.DUMMYFUNCTION("""COMPUTED_VALUE"""),3.0)</f>
        <v>3</v>
      </c>
      <c r="O122" s="176"/>
      <c r="P122" s="176"/>
      <c r="Q122" s="176"/>
      <c r="R122" s="176"/>
      <c r="S122" s="176"/>
      <c r="T122" s="176"/>
      <c r="U122" s="176"/>
      <c r="V122" s="176"/>
      <c r="W122" s="176"/>
      <c r="X122" s="176"/>
      <c r="Y122" s="176"/>
      <c r="Z122" s="176"/>
    </row>
    <row r="123">
      <c r="A123" s="226" t="s">
        <v>11</v>
      </c>
      <c r="B123" s="226" t="s">
        <v>519</v>
      </c>
      <c r="C123" s="250" t="s">
        <v>3414</v>
      </c>
      <c r="D123" s="268" t="s">
        <v>495</v>
      </c>
      <c r="E123" s="251">
        <v>44161.0</v>
      </c>
      <c r="F123" s="368" t="s">
        <v>496</v>
      </c>
      <c r="G123" s="268">
        <v>100.0</v>
      </c>
      <c r="H123" s="236">
        <v>100.0</v>
      </c>
      <c r="I123" s="236">
        <v>100.0</v>
      </c>
      <c r="J123" s="325">
        <f t="shared" si="2"/>
        <v>0.003570968962</v>
      </c>
      <c r="K123" s="326">
        <f t="shared" si="7"/>
        <v>2.79725902</v>
      </c>
      <c r="L123" s="327">
        <f t="shared" si="4"/>
        <v>25.18950661</v>
      </c>
      <c r="M123" s="321" t="str">
        <f t="shared" si="5"/>
        <v>mateodaza</v>
      </c>
      <c r="N123" s="176">
        <f>IFERROR(__xludf.DUMMYFUNCTION("""COMPUTED_VALUE"""),4.0)</f>
        <v>4</v>
      </c>
      <c r="O123" s="176"/>
      <c r="P123" s="176"/>
      <c r="Q123" s="176"/>
      <c r="R123" s="176"/>
      <c r="S123" s="176"/>
      <c r="T123" s="176"/>
      <c r="U123" s="176"/>
      <c r="V123" s="176"/>
      <c r="W123" s="176"/>
      <c r="X123" s="176"/>
      <c r="Y123" s="176"/>
      <c r="Z123" s="176"/>
    </row>
    <row r="124">
      <c r="A124" s="226" t="s">
        <v>11</v>
      </c>
      <c r="B124" s="226" t="s">
        <v>1228</v>
      </c>
      <c r="C124" s="250" t="s">
        <v>3386</v>
      </c>
      <c r="D124" s="268" t="s">
        <v>495</v>
      </c>
      <c r="E124" s="251">
        <v>44161.0</v>
      </c>
      <c r="F124" s="368" t="s">
        <v>496</v>
      </c>
      <c r="G124" s="268">
        <v>100.0</v>
      </c>
      <c r="H124" s="236">
        <v>60.0</v>
      </c>
      <c r="I124" s="236">
        <v>50.0</v>
      </c>
      <c r="J124" s="325">
        <f t="shared" si="2"/>
        <v>0.002434716635</v>
      </c>
      <c r="K124" s="326">
        <f t="shared" si="7"/>
        <v>1.907194697</v>
      </c>
      <c r="L124" s="327">
        <f t="shared" si="4"/>
        <v>25.18950661</v>
      </c>
      <c r="M124" s="321" t="str">
        <f t="shared" si="5"/>
        <v>mateodaza</v>
      </c>
      <c r="N124" s="176">
        <f>IFERROR(__xludf.DUMMYFUNCTION("""COMPUTED_VALUE"""),5.0)</f>
        <v>5</v>
      </c>
      <c r="O124" s="176"/>
      <c r="P124" s="176"/>
      <c r="Q124" s="176"/>
      <c r="R124" s="176"/>
      <c r="S124" s="176"/>
      <c r="T124" s="176"/>
      <c r="U124" s="176"/>
      <c r="V124" s="176"/>
      <c r="W124" s="176"/>
      <c r="X124" s="176"/>
      <c r="Y124" s="176"/>
      <c r="Z124" s="176"/>
    </row>
    <row r="125">
      <c r="A125" s="226" t="s">
        <v>11</v>
      </c>
      <c r="B125" s="226" t="s">
        <v>10</v>
      </c>
      <c r="C125" s="250" t="s">
        <v>3415</v>
      </c>
      <c r="D125" s="268" t="s">
        <v>495</v>
      </c>
      <c r="E125" s="251">
        <v>44162.0</v>
      </c>
      <c r="F125" s="368" t="s">
        <v>496</v>
      </c>
      <c r="G125" s="268">
        <v>200.0</v>
      </c>
      <c r="H125" s="236">
        <v>150.0</v>
      </c>
      <c r="I125" s="236">
        <v>100.0</v>
      </c>
      <c r="J125" s="325">
        <f t="shared" si="2"/>
        <v>0.005189843395</v>
      </c>
      <c r="K125" s="326">
        <f t="shared" si="7"/>
        <v>4.065377326</v>
      </c>
      <c r="L125" s="327">
        <f t="shared" si="4"/>
        <v>25.18950661</v>
      </c>
      <c r="M125" s="321" t="str">
        <f t="shared" si="5"/>
        <v>mateodaza</v>
      </c>
      <c r="N125" s="176">
        <f>IFERROR(__xludf.DUMMYFUNCTION("""COMPUTED_VALUE"""),6.0)</f>
        <v>6</v>
      </c>
      <c r="O125" s="176"/>
      <c r="P125" s="176"/>
      <c r="Q125" s="176"/>
      <c r="R125" s="176"/>
      <c r="S125" s="176"/>
      <c r="T125" s="176"/>
      <c r="U125" s="176"/>
      <c r="V125" s="176"/>
      <c r="W125" s="176"/>
      <c r="X125" s="176"/>
      <c r="Y125" s="176"/>
      <c r="Z125" s="176"/>
    </row>
    <row r="126">
      <c r="A126" s="226" t="s">
        <v>11</v>
      </c>
      <c r="B126" s="226" t="s">
        <v>10</v>
      </c>
      <c r="C126" s="250" t="s">
        <v>3345</v>
      </c>
      <c r="D126" s="268" t="s">
        <v>495</v>
      </c>
      <c r="E126" s="251">
        <v>44163.0</v>
      </c>
      <c r="F126" s="368" t="s">
        <v>496</v>
      </c>
      <c r="G126" s="268">
        <v>40.0</v>
      </c>
      <c r="H126" s="236">
        <v>30.0</v>
      </c>
      <c r="I126" s="236">
        <v>30.0</v>
      </c>
      <c r="J126" s="325">
        <f t="shared" si="2"/>
        <v>0.001179776444</v>
      </c>
      <c r="K126" s="326">
        <f t="shared" si="7"/>
        <v>0.9241582148</v>
      </c>
      <c r="L126" s="327">
        <f t="shared" si="4"/>
        <v>25.18950661</v>
      </c>
      <c r="M126" s="321" t="str">
        <f t="shared" si="5"/>
        <v>mateodaza</v>
      </c>
      <c r="N126" s="176">
        <f>IFERROR(__xludf.DUMMYFUNCTION("""COMPUTED_VALUE"""),7.0)</f>
        <v>7</v>
      </c>
      <c r="O126" s="176"/>
      <c r="P126" s="176"/>
      <c r="Q126" s="176"/>
      <c r="R126" s="176"/>
      <c r="S126" s="176"/>
      <c r="T126" s="176"/>
      <c r="U126" s="176"/>
      <c r="V126" s="176"/>
      <c r="W126" s="176"/>
      <c r="X126" s="176"/>
      <c r="Y126" s="176"/>
      <c r="Z126" s="176"/>
    </row>
    <row r="127">
      <c r="A127" s="226" t="s">
        <v>11</v>
      </c>
      <c r="B127" s="226" t="s">
        <v>18</v>
      </c>
      <c r="C127" s="250" t="s">
        <v>3372</v>
      </c>
      <c r="D127" s="268" t="s">
        <v>495</v>
      </c>
      <c r="E127" s="251">
        <v>44165.0</v>
      </c>
      <c r="F127" s="368" t="s">
        <v>496</v>
      </c>
      <c r="G127" s="268">
        <v>100.0</v>
      </c>
      <c r="H127" s="236">
        <v>60.0</v>
      </c>
      <c r="I127" s="236">
        <v>50.0</v>
      </c>
      <c r="J127" s="325">
        <f t="shared" si="2"/>
        <v>0.002434716635</v>
      </c>
      <c r="K127" s="326">
        <f t="shared" si="7"/>
        <v>1.907194697</v>
      </c>
      <c r="L127" s="327">
        <f t="shared" si="4"/>
        <v>25.18950661</v>
      </c>
      <c r="M127" s="321" t="str">
        <f t="shared" si="5"/>
        <v>mateodaza</v>
      </c>
      <c r="N127" s="176">
        <f>IFERROR(__xludf.DUMMYFUNCTION("""COMPUTED_VALUE"""),8.0)</f>
        <v>8</v>
      </c>
      <c r="O127" s="176"/>
      <c r="P127" s="176"/>
      <c r="Q127" s="176"/>
      <c r="R127" s="176"/>
      <c r="S127" s="176"/>
      <c r="T127" s="176"/>
      <c r="U127" s="176"/>
      <c r="V127" s="176"/>
      <c r="W127" s="176"/>
      <c r="X127" s="176"/>
      <c r="Y127" s="176"/>
      <c r="Z127" s="176"/>
    </row>
    <row r="128">
      <c r="A128" s="226" t="s">
        <v>11</v>
      </c>
      <c r="B128" s="226" t="s">
        <v>18</v>
      </c>
      <c r="C128" s="250" t="s">
        <v>3348</v>
      </c>
      <c r="D128" s="268" t="s">
        <v>495</v>
      </c>
      <c r="E128" s="361">
        <v>44166.0</v>
      </c>
      <c r="F128" s="250" t="s">
        <v>496</v>
      </c>
      <c r="G128" s="171">
        <v>30.0</v>
      </c>
      <c r="H128" s="171">
        <v>60.0</v>
      </c>
      <c r="I128" s="171">
        <v>40.0</v>
      </c>
      <c r="J128" s="325">
        <f t="shared" si="2"/>
        <v>0.001533508579</v>
      </c>
      <c r="K128" s="326">
        <f t="shared" si="7"/>
        <v>1.201248387</v>
      </c>
      <c r="L128" s="327">
        <f t="shared" si="4"/>
        <v>25.18950661</v>
      </c>
      <c r="M128" s="321" t="str">
        <f t="shared" si="5"/>
        <v>mateodaza</v>
      </c>
      <c r="N128" s="176">
        <f>IFERROR(__xludf.DUMMYFUNCTION("""COMPUTED_VALUE"""),9.0)</f>
        <v>9</v>
      </c>
      <c r="O128" s="176"/>
      <c r="P128" s="176"/>
      <c r="Q128" s="176"/>
      <c r="R128" s="176"/>
      <c r="S128" s="176"/>
      <c r="T128" s="176"/>
      <c r="U128" s="176"/>
      <c r="V128" s="176"/>
      <c r="W128" s="176"/>
      <c r="X128" s="176"/>
      <c r="Y128" s="176"/>
      <c r="Z128" s="176"/>
    </row>
    <row r="129">
      <c r="A129" s="226" t="s">
        <v>11</v>
      </c>
      <c r="B129" s="226" t="s">
        <v>1228</v>
      </c>
      <c r="C129" s="250" t="s">
        <v>3393</v>
      </c>
      <c r="D129" s="268" t="s">
        <v>495</v>
      </c>
      <c r="E129" s="361">
        <v>44168.0</v>
      </c>
      <c r="F129" s="250" t="s">
        <v>496</v>
      </c>
      <c r="G129" s="171">
        <v>50.0</v>
      </c>
      <c r="H129" s="171">
        <v>60.0</v>
      </c>
      <c r="I129" s="171">
        <v>40.0</v>
      </c>
      <c r="J129" s="325">
        <f t="shared" si="2"/>
        <v>0.001750480091</v>
      </c>
      <c r="K129" s="326">
        <f t="shared" si="7"/>
        <v>1.371209404</v>
      </c>
      <c r="L129" s="327">
        <f t="shared" si="4"/>
        <v>25.18950661</v>
      </c>
      <c r="M129" s="321" t="str">
        <f t="shared" si="5"/>
        <v>mateodaza</v>
      </c>
      <c r="N129" s="176">
        <f>IFERROR(__xludf.DUMMYFUNCTION("""COMPUTED_VALUE"""),10.0)</f>
        <v>10</v>
      </c>
      <c r="O129" s="176"/>
      <c r="P129" s="176"/>
      <c r="Q129" s="176"/>
      <c r="R129" s="176"/>
      <c r="S129" s="176"/>
      <c r="T129" s="176"/>
      <c r="U129" s="176"/>
      <c r="V129" s="176"/>
      <c r="W129" s="176"/>
      <c r="X129" s="176"/>
      <c r="Y129" s="176"/>
      <c r="Z129" s="176"/>
    </row>
    <row r="130">
      <c r="A130" s="226" t="s">
        <v>11</v>
      </c>
      <c r="B130" s="226" t="s">
        <v>10</v>
      </c>
      <c r="C130" s="250" t="s">
        <v>3416</v>
      </c>
      <c r="D130" s="268" t="s">
        <v>495</v>
      </c>
      <c r="E130" s="361">
        <v>44169.0</v>
      </c>
      <c r="F130" s="250" t="s">
        <v>496</v>
      </c>
      <c r="G130" s="171">
        <v>100.0</v>
      </c>
      <c r="H130" s="171">
        <v>120.0</v>
      </c>
      <c r="I130" s="171">
        <v>100.0</v>
      </c>
      <c r="J130" s="325">
        <f t="shared" si="2"/>
        <v>0.003784575712</v>
      </c>
      <c r="K130" s="326">
        <f t="shared" si="7"/>
        <v>2.964584308</v>
      </c>
      <c r="L130" s="327">
        <f t="shared" si="4"/>
        <v>25.18950661</v>
      </c>
      <c r="M130" s="321" t="str">
        <f t="shared" si="5"/>
        <v>mateodaza</v>
      </c>
      <c r="N130" s="176">
        <f>IFERROR(__xludf.DUMMYFUNCTION("""COMPUTED_VALUE"""),11.0)</f>
        <v>11</v>
      </c>
      <c r="O130" s="176"/>
      <c r="P130" s="176"/>
      <c r="Q130" s="176"/>
      <c r="R130" s="176"/>
      <c r="S130" s="176"/>
      <c r="T130" s="176"/>
      <c r="U130" s="176"/>
      <c r="V130" s="176"/>
      <c r="W130" s="176"/>
      <c r="X130" s="176"/>
      <c r="Y130" s="176"/>
      <c r="Z130" s="176"/>
    </row>
    <row r="131">
      <c r="A131" s="226" t="s">
        <v>11</v>
      </c>
      <c r="B131" s="226" t="s">
        <v>10</v>
      </c>
      <c r="C131" s="250" t="s">
        <v>3356</v>
      </c>
      <c r="D131" s="268" t="s">
        <v>495</v>
      </c>
      <c r="E131" s="361">
        <v>44169.0</v>
      </c>
      <c r="F131" s="250" t="s">
        <v>496</v>
      </c>
      <c r="G131" s="171">
        <v>45.0</v>
      </c>
      <c r="H131" s="171">
        <v>45.0</v>
      </c>
      <c r="I131" s="171">
        <v>40.0</v>
      </c>
      <c r="J131" s="325">
        <f t="shared" si="2"/>
        <v>0.00153603215</v>
      </c>
      <c r="K131" s="326">
        <f t="shared" si="7"/>
        <v>1.203225184</v>
      </c>
      <c r="L131" s="327">
        <f t="shared" si="4"/>
        <v>25.18950661</v>
      </c>
      <c r="M131" s="321" t="str">
        <f t="shared" si="5"/>
        <v>mateodaza</v>
      </c>
      <c r="N131" s="176">
        <f>IFERROR(__xludf.DUMMYFUNCTION("""COMPUTED_VALUE"""),12.0)</f>
        <v>12</v>
      </c>
      <c r="O131" s="176"/>
      <c r="P131" s="176"/>
      <c r="Q131" s="176"/>
      <c r="R131" s="176"/>
      <c r="S131" s="176"/>
      <c r="T131" s="176"/>
      <c r="U131" s="176"/>
      <c r="V131" s="176"/>
      <c r="W131" s="176"/>
      <c r="X131" s="176"/>
      <c r="Y131" s="176"/>
      <c r="Z131" s="176"/>
    </row>
    <row r="132">
      <c r="A132" s="226" t="s">
        <v>8</v>
      </c>
      <c r="B132" s="226" t="s">
        <v>519</v>
      </c>
      <c r="C132" s="250" t="s">
        <v>3417</v>
      </c>
      <c r="D132" s="268" t="s">
        <v>495</v>
      </c>
      <c r="E132" s="251">
        <v>44161.0</v>
      </c>
      <c r="F132" s="368" t="s">
        <v>496</v>
      </c>
      <c r="G132" s="268">
        <v>100.0</v>
      </c>
      <c r="H132" s="236">
        <v>70.0</v>
      </c>
      <c r="I132" s="236">
        <v>50.0</v>
      </c>
      <c r="J132" s="325">
        <f t="shared" si="2"/>
        <v>0.00254152001</v>
      </c>
      <c r="K132" s="326">
        <f t="shared" si="7"/>
        <v>1.990857341</v>
      </c>
      <c r="L132" s="327">
        <f t="shared" si="4"/>
        <v>25.1057595</v>
      </c>
      <c r="M132" s="321" t="str">
        <f t="shared" si="5"/>
        <v>solsista</v>
      </c>
      <c r="N132" s="176">
        <f>IFERROR(__xludf.DUMMYFUNCTION("""COMPUTED_VALUE"""),1.0)</f>
        <v>1</v>
      </c>
      <c r="O132" s="176"/>
      <c r="P132" s="176"/>
      <c r="Q132" s="176"/>
      <c r="R132" s="176"/>
      <c r="S132" s="176"/>
      <c r="T132" s="176"/>
      <c r="U132" s="176"/>
      <c r="V132" s="176"/>
      <c r="W132" s="176"/>
      <c r="X132" s="176"/>
      <c r="Y132" s="176"/>
      <c r="Z132" s="176"/>
    </row>
    <row r="133">
      <c r="A133" s="226" t="s">
        <v>8</v>
      </c>
      <c r="B133" s="226" t="s">
        <v>9</v>
      </c>
      <c r="C133" s="250" t="s">
        <v>3418</v>
      </c>
      <c r="D133" s="268" t="s">
        <v>495</v>
      </c>
      <c r="E133" s="251">
        <v>44161.0</v>
      </c>
      <c r="F133" s="368" t="s">
        <v>496</v>
      </c>
      <c r="G133" s="268">
        <v>50.0</v>
      </c>
      <c r="H133" s="236">
        <v>60.0</v>
      </c>
      <c r="I133" s="236">
        <v>50.0</v>
      </c>
      <c r="J133" s="325">
        <f t="shared" si="2"/>
        <v>0.001892287856</v>
      </c>
      <c r="K133" s="326">
        <f t="shared" si="7"/>
        <v>1.482292154</v>
      </c>
      <c r="L133" s="327">
        <f t="shared" si="4"/>
        <v>25.1057595</v>
      </c>
      <c r="M133" s="321" t="str">
        <f t="shared" si="5"/>
        <v>solsista</v>
      </c>
      <c r="N133" s="176">
        <f>IFERROR(__xludf.DUMMYFUNCTION("""COMPUTED_VALUE"""),2.0)</f>
        <v>2</v>
      </c>
      <c r="O133" s="176"/>
      <c r="P133" s="176"/>
      <c r="Q133" s="176"/>
      <c r="R133" s="176"/>
      <c r="S133" s="176"/>
      <c r="T133" s="176"/>
      <c r="U133" s="176"/>
      <c r="V133" s="176"/>
      <c r="W133" s="176"/>
      <c r="X133" s="176"/>
      <c r="Y133" s="176"/>
      <c r="Z133" s="176"/>
    </row>
    <row r="134">
      <c r="A134" s="226" t="s">
        <v>8</v>
      </c>
      <c r="B134" s="226" t="s">
        <v>9</v>
      </c>
      <c r="C134" s="250" t="s">
        <v>3419</v>
      </c>
      <c r="D134" s="268" t="s">
        <v>495</v>
      </c>
      <c r="E134" s="251">
        <v>44161.0</v>
      </c>
      <c r="F134" s="368" t="s">
        <v>496</v>
      </c>
      <c r="G134" s="268">
        <v>50.0</v>
      </c>
      <c r="H134" s="236">
        <v>50.0</v>
      </c>
      <c r="I134" s="236">
        <v>50.0</v>
      </c>
      <c r="J134" s="325">
        <f t="shared" si="2"/>
        <v>0.001785484481</v>
      </c>
      <c r="K134" s="326">
        <f t="shared" si="7"/>
        <v>1.39862951</v>
      </c>
      <c r="L134" s="327">
        <f t="shared" si="4"/>
        <v>25.1057595</v>
      </c>
      <c r="M134" s="321" t="str">
        <f t="shared" si="5"/>
        <v>solsista</v>
      </c>
      <c r="N134" s="176">
        <f>IFERROR(__xludf.DUMMYFUNCTION("""COMPUTED_VALUE"""),3.0)</f>
        <v>3</v>
      </c>
      <c r="O134" s="176"/>
      <c r="P134" s="176"/>
      <c r="Q134" s="176"/>
      <c r="R134" s="176"/>
      <c r="S134" s="176"/>
      <c r="T134" s="176"/>
      <c r="U134" s="176"/>
      <c r="V134" s="176"/>
      <c r="W134" s="176"/>
      <c r="X134" s="176"/>
      <c r="Y134" s="176"/>
      <c r="Z134" s="176"/>
    </row>
    <row r="135">
      <c r="A135" s="226" t="s">
        <v>8</v>
      </c>
      <c r="B135" s="226" t="s">
        <v>9</v>
      </c>
      <c r="C135" s="250" t="s">
        <v>3420</v>
      </c>
      <c r="D135" s="268" t="s">
        <v>495</v>
      </c>
      <c r="E135" s="251">
        <v>44161.0</v>
      </c>
      <c r="F135" s="368" t="s">
        <v>496</v>
      </c>
      <c r="G135" s="268">
        <v>50.0</v>
      </c>
      <c r="H135" s="236">
        <v>60.0</v>
      </c>
      <c r="I135" s="236">
        <v>50.0</v>
      </c>
      <c r="J135" s="325">
        <f t="shared" si="2"/>
        <v>0.001892287856</v>
      </c>
      <c r="K135" s="326">
        <f t="shared" si="7"/>
        <v>1.482292154</v>
      </c>
      <c r="L135" s="327">
        <f t="shared" si="4"/>
        <v>25.1057595</v>
      </c>
      <c r="M135" s="321" t="str">
        <f t="shared" si="5"/>
        <v>solsista</v>
      </c>
      <c r="N135" s="176">
        <f>IFERROR(__xludf.DUMMYFUNCTION("""COMPUTED_VALUE"""),4.0)</f>
        <v>4</v>
      </c>
      <c r="O135" s="176"/>
      <c r="P135" s="176"/>
      <c r="Q135" s="176"/>
      <c r="R135" s="176"/>
      <c r="S135" s="176"/>
      <c r="T135" s="176"/>
      <c r="U135" s="176"/>
      <c r="V135" s="176"/>
      <c r="W135" s="176"/>
      <c r="X135" s="176"/>
      <c r="Y135" s="176"/>
      <c r="Z135" s="176"/>
    </row>
    <row r="136">
      <c r="A136" s="226" t="s">
        <v>8</v>
      </c>
      <c r="B136" s="226" t="s">
        <v>9</v>
      </c>
      <c r="C136" s="250" t="s">
        <v>3421</v>
      </c>
      <c r="D136" s="268" t="s">
        <v>495</v>
      </c>
      <c r="E136" s="251">
        <v>44161.0</v>
      </c>
      <c r="F136" s="368" t="s">
        <v>496</v>
      </c>
      <c r="G136" s="268">
        <v>50.0</v>
      </c>
      <c r="H136" s="236">
        <v>100.0</v>
      </c>
      <c r="I136" s="236">
        <v>50.0</v>
      </c>
      <c r="J136" s="325">
        <f t="shared" si="2"/>
        <v>0.002319501356</v>
      </c>
      <c r="K136" s="326">
        <f t="shared" si="7"/>
        <v>1.816942729</v>
      </c>
      <c r="L136" s="327">
        <f t="shared" si="4"/>
        <v>25.1057595</v>
      </c>
      <c r="M136" s="321" t="str">
        <f t="shared" si="5"/>
        <v>solsista</v>
      </c>
      <c r="N136" s="176">
        <f>IFERROR(__xludf.DUMMYFUNCTION("""COMPUTED_VALUE"""),5.0)</f>
        <v>5</v>
      </c>
      <c r="O136" s="176"/>
      <c r="P136" s="176"/>
      <c r="Q136" s="176"/>
      <c r="R136" s="176"/>
      <c r="S136" s="176"/>
      <c r="T136" s="176"/>
      <c r="U136" s="176"/>
      <c r="V136" s="176"/>
      <c r="W136" s="176"/>
      <c r="X136" s="176"/>
      <c r="Y136" s="176"/>
      <c r="Z136" s="176"/>
    </row>
    <row r="137">
      <c r="A137" s="226" t="s">
        <v>8</v>
      </c>
      <c r="B137" s="226" t="s">
        <v>9</v>
      </c>
      <c r="C137" s="250" t="s">
        <v>3422</v>
      </c>
      <c r="D137" s="268" t="s">
        <v>495</v>
      </c>
      <c r="E137" s="251">
        <v>44161.0</v>
      </c>
      <c r="F137" s="368" t="s">
        <v>496</v>
      </c>
      <c r="G137" s="268">
        <v>150.0</v>
      </c>
      <c r="H137" s="236">
        <v>100.0</v>
      </c>
      <c r="I137" s="236">
        <v>100.0</v>
      </c>
      <c r="J137" s="325">
        <f t="shared" si="2"/>
        <v>0.004113397741</v>
      </c>
      <c r="K137" s="326">
        <f t="shared" si="7"/>
        <v>3.222161564</v>
      </c>
      <c r="L137" s="327">
        <f t="shared" si="4"/>
        <v>25.1057595</v>
      </c>
      <c r="M137" s="321" t="str">
        <f t="shared" si="5"/>
        <v>solsista</v>
      </c>
      <c r="N137" s="176">
        <f>IFERROR(__xludf.DUMMYFUNCTION("""COMPUTED_VALUE"""),6.0)</f>
        <v>6</v>
      </c>
      <c r="O137" s="176"/>
      <c r="P137" s="176"/>
      <c r="Q137" s="176"/>
      <c r="R137" s="176"/>
      <c r="S137" s="176"/>
      <c r="T137" s="176"/>
      <c r="U137" s="176"/>
      <c r="V137" s="176"/>
      <c r="W137" s="176"/>
      <c r="X137" s="176"/>
      <c r="Y137" s="176"/>
      <c r="Z137" s="176"/>
    </row>
    <row r="138">
      <c r="A138" s="226" t="s">
        <v>8</v>
      </c>
      <c r="B138" s="226" t="s">
        <v>1228</v>
      </c>
      <c r="C138" s="250" t="s">
        <v>3423</v>
      </c>
      <c r="D138" s="268" t="s">
        <v>495</v>
      </c>
      <c r="E138" s="251">
        <v>44161.0</v>
      </c>
      <c r="F138" s="368" t="s">
        <v>496</v>
      </c>
      <c r="G138" s="268">
        <v>50.0</v>
      </c>
      <c r="H138" s="236">
        <v>60.0</v>
      </c>
      <c r="I138" s="236">
        <v>50.0</v>
      </c>
      <c r="J138" s="325">
        <f t="shared" si="2"/>
        <v>0.001892287856</v>
      </c>
      <c r="K138" s="326">
        <f t="shared" si="7"/>
        <v>1.482292154</v>
      </c>
      <c r="L138" s="327">
        <f t="shared" si="4"/>
        <v>25.1057595</v>
      </c>
      <c r="M138" s="321" t="str">
        <f t="shared" si="5"/>
        <v>solsista</v>
      </c>
      <c r="N138" s="176">
        <f>IFERROR(__xludf.DUMMYFUNCTION("""COMPUTED_VALUE"""),7.0)</f>
        <v>7</v>
      </c>
      <c r="O138" s="176"/>
      <c r="P138" s="176"/>
      <c r="Q138" s="176"/>
      <c r="R138" s="176"/>
      <c r="S138" s="176"/>
      <c r="T138" s="176"/>
      <c r="U138" s="176"/>
      <c r="V138" s="176"/>
      <c r="W138" s="176"/>
      <c r="X138" s="176"/>
      <c r="Y138" s="176"/>
      <c r="Z138" s="176"/>
    </row>
    <row r="139">
      <c r="A139" s="226" t="s">
        <v>8</v>
      </c>
      <c r="B139" s="226" t="s">
        <v>10</v>
      </c>
      <c r="C139" s="250" t="s">
        <v>3369</v>
      </c>
      <c r="D139" s="268" t="s">
        <v>495</v>
      </c>
      <c r="E139" s="251">
        <v>44162.0</v>
      </c>
      <c r="F139" s="368" t="s">
        <v>496</v>
      </c>
      <c r="G139" s="268">
        <v>40.0</v>
      </c>
      <c r="H139" s="236">
        <v>60.0</v>
      </c>
      <c r="I139" s="236">
        <v>30.0</v>
      </c>
      <c r="J139" s="325">
        <f t="shared" si="2"/>
        <v>0.001500186569</v>
      </c>
      <c r="K139" s="326">
        <f t="shared" si="7"/>
        <v>1.175146146</v>
      </c>
      <c r="L139" s="327">
        <f t="shared" si="4"/>
        <v>25.1057595</v>
      </c>
      <c r="M139" s="321" t="str">
        <f t="shared" si="5"/>
        <v>solsista</v>
      </c>
      <c r="N139" s="176">
        <f>IFERROR(__xludf.DUMMYFUNCTION("""COMPUTED_VALUE"""),8.0)</f>
        <v>8</v>
      </c>
      <c r="O139" s="176"/>
      <c r="P139" s="176"/>
      <c r="Q139" s="176"/>
      <c r="R139" s="176"/>
      <c r="S139" s="176"/>
      <c r="T139" s="176"/>
      <c r="U139" s="176"/>
      <c r="V139" s="176"/>
      <c r="W139" s="176"/>
      <c r="X139" s="176"/>
      <c r="Y139" s="176"/>
      <c r="Z139" s="176"/>
    </row>
    <row r="140">
      <c r="A140" s="226" t="s">
        <v>8</v>
      </c>
      <c r="B140" s="226" t="s">
        <v>10</v>
      </c>
      <c r="C140" s="250" t="s">
        <v>3424</v>
      </c>
      <c r="D140" s="268" t="s">
        <v>495</v>
      </c>
      <c r="E140" s="251">
        <v>44162.0</v>
      </c>
      <c r="F140" s="368" t="s">
        <v>496</v>
      </c>
      <c r="G140" s="268">
        <v>50.0</v>
      </c>
      <c r="H140" s="236">
        <v>50.0</v>
      </c>
      <c r="I140" s="236">
        <v>50.0</v>
      </c>
      <c r="J140" s="325">
        <f t="shared" si="2"/>
        <v>0.001785484481</v>
      </c>
      <c r="K140" s="326">
        <f t="shared" si="7"/>
        <v>1.39862951</v>
      </c>
      <c r="L140" s="327">
        <f t="shared" si="4"/>
        <v>25.1057595</v>
      </c>
      <c r="M140" s="321" t="str">
        <f t="shared" si="5"/>
        <v>solsista</v>
      </c>
      <c r="N140" s="176">
        <f>IFERROR(__xludf.DUMMYFUNCTION("""COMPUTED_VALUE"""),9.0)</f>
        <v>9</v>
      </c>
      <c r="O140" s="176"/>
      <c r="P140" s="176"/>
      <c r="Q140" s="176"/>
      <c r="R140" s="176"/>
      <c r="S140" s="176"/>
      <c r="T140" s="176"/>
      <c r="U140" s="176"/>
      <c r="V140" s="176"/>
      <c r="W140" s="176"/>
      <c r="X140" s="176"/>
      <c r="Y140" s="176"/>
      <c r="Z140" s="176"/>
    </row>
    <row r="141">
      <c r="A141" s="226" t="s">
        <v>8</v>
      </c>
      <c r="B141" s="226" t="s">
        <v>590</v>
      </c>
      <c r="C141" s="250" t="s">
        <v>3425</v>
      </c>
      <c r="D141" s="268" t="s">
        <v>495</v>
      </c>
      <c r="E141" s="251">
        <v>44163.0</v>
      </c>
      <c r="F141" s="368" t="s">
        <v>496</v>
      </c>
      <c r="G141" s="268">
        <v>100.0</v>
      </c>
      <c r="H141" s="236">
        <v>70.0</v>
      </c>
      <c r="I141" s="236">
        <v>100.0</v>
      </c>
      <c r="J141" s="325">
        <f t="shared" si="2"/>
        <v>0.003250558837</v>
      </c>
      <c r="K141" s="326">
        <f t="shared" si="7"/>
        <v>2.546271089</v>
      </c>
      <c r="L141" s="327">
        <f t="shared" si="4"/>
        <v>25.1057595</v>
      </c>
      <c r="M141" s="321" t="str">
        <f t="shared" si="5"/>
        <v>solsista</v>
      </c>
      <c r="N141" s="176">
        <f>IFERROR(__xludf.DUMMYFUNCTION("""COMPUTED_VALUE"""),10.0)</f>
        <v>10</v>
      </c>
      <c r="O141" s="176"/>
      <c r="P141" s="176"/>
      <c r="Q141" s="176"/>
      <c r="R141" s="176"/>
      <c r="S141" s="176"/>
      <c r="T141" s="176"/>
      <c r="U141" s="176"/>
      <c r="V141" s="176"/>
      <c r="W141" s="176"/>
      <c r="X141" s="176"/>
      <c r="Y141" s="176"/>
      <c r="Z141" s="176"/>
    </row>
    <row r="142">
      <c r="A142" s="226" t="s">
        <v>8</v>
      </c>
      <c r="B142" s="226" t="s">
        <v>10</v>
      </c>
      <c r="C142" s="250" t="s">
        <v>3345</v>
      </c>
      <c r="D142" s="268" t="s">
        <v>495</v>
      </c>
      <c r="E142" s="251">
        <v>44163.0</v>
      </c>
      <c r="F142" s="368" t="s">
        <v>496</v>
      </c>
      <c r="G142" s="268">
        <v>40.0</v>
      </c>
      <c r="H142" s="236">
        <v>30.0</v>
      </c>
      <c r="I142" s="236">
        <v>30.0</v>
      </c>
      <c r="J142" s="325">
        <f t="shared" si="2"/>
        <v>0.001179776444</v>
      </c>
      <c r="K142" s="326">
        <f t="shared" si="7"/>
        <v>0.9241582148</v>
      </c>
      <c r="L142" s="327">
        <f t="shared" si="4"/>
        <v>25.1057595</v>
      </c>
      <c r="M142" s="321" t="str">
        <f t="shared" si="5"/>
        <v>solsista</v>
      </c>
      <c r="N142" s="176">
        <f>IFERROR(__xludf.DUMMYFUNCTION("""COMPUTED_VALUE"""),11.0)</f>
        <v>11</v>
      </c>
      <c r="O142" s="176"/>
      <c r="P142" s="176"/>
      <c r="Q142" s="176"/>
      <c r="R142" s="176"/>
      <c r="S142" s="176"/>
      <c r="T142" s="176"/>
      <c r="U142" s="176"/>
      <c r="V142" s="176"/>
      <c r="W142" s="176"/>
      <c r="X142" s="176"/>
      <c r="Y142" s="176"/>
      <c r="Z142" s="176"/>
    </row>
    <row r="143">
      <c r="A143" s="226" t="s">
        <v>8</v>
      </c>
      <c r="B143" s="226" t="s">
        <v>590</v>
      </c>
      <c r="C143" s="250" t="s">
        <v>3426</v>
      </c>
      <c r="D143" s="268" t="s">
        <v>495</v>
      </c>
      <c r="E143" s="251">
        <v>44165.0</v>
      </c>
      <c r="F143" s="368" t="s">
        <v>496</v>
      </c>
      <c r="G143" s="268">
        <v>50.0</v>
      </c>
      <c r="H143" s="236">
        <v>30.0</v>
      </c>
      <c r="I143" s="236">
        <v>40.0</v>
      </c>
      <c r="J143" s="325">
        <f t="shared" si="2"/>
        <v>0.001430069966</v>
      </c>
      <c r="K143" s="326">
        <f t="shared" si="7"/>
        <v>1.120221473</v>
      </c>
      <c r="L143" s="327">
        <f t="shared" si="4"/>
        <v>25.1057595</v>
      </c>
      <c r="M143" s="321" t="str">
        <f t="shared" si="5"/>
        <v>solsista</v>
      </c>
      <c r="N143" s="176">
        <f>IFERROR(__xludf.DUMMYFUNCTION("""COMPUTED_VALUE"""),12.0)</f>
        <v>12</v>
      </c>
      <c r="O143" s="176"/>
      <c r="P143" s="176"/>
      <c r="Q143" s="176"/>
      <c r="R143" s="176"/>
      <c r="S143" s="176"/>
      <c r="T143" s="176"/>
      <c r="U143" s="176"/>
      <c r="V143" s="176"/>
      <c r="W143" s="176"/>
      <c r="X143" s="176"/>
      <c r="Y143" s="176"/>
      <c r="Z143" s="176"/>
    </row>
    <row r="144">
      <c r="A144" s="226" t="s">
        <v>8</v>
      </c>
      <c r="B144" s="226" t="s">
        <v>1228</v>
      </c>
      <c r="C144" s="250" t="s">
        <v>3393</v>
      </c>
      <c r="D144" s="268" t="s">
        <v>495</v>
      </c>
      <c r="E144" s="361">
        <v>44168.0</v>
      </c>
      <c r="F144" s="250" t="s">
        <v>496</v>
      </c>
      <c r="G144" s="171">
        <v>50.0</v>
      </c>
      <c r="H144" s="171">
        <v>60.0</v>
      </c>
      <c r="I144" s="171">
        <v>40.0</v>
      </c>
      <c r="J144" s="325">
        <f t="shared" si="2"/>
        <v>0.001750480091</v>
      </c>
      <c r="K144" s="326">
        <f t="shared" si="7"/>
        <v>1.371209404</v>
      </c>
      <c r="L144" s="327">
        <f t="shared" si="4"/>
        <v>25.1057595</v>
      </c>
      <c r="M144" s="321" t="str">
        <f t="shared" si="5"/>
        <v>solsista</v>
      </c>
      <c r="N144" s="176">
        <f>IFERROR(__xludf.DUMMYFUNCTION("""COMPUTED_VALUE"""),13.0)</f>
        <v>13</v>
      </c>
      <c r="O144" s="176"/>
      <c r="P144" s="176"/>
      <c r="Q144" s="176"/>
      <c r="R144" s="176"/>
      <c r="S144" s="176"/>
      <c r="T144" s="176"/>
      <c r="U144" s="176"/>
      <c r="V144" s="176"/>
      <c r="W144" s="176"/>
      <c r="X144" s="176"/>
      <c r="Y144" s="176"/>
      <c r="Z144" s="176"/>
    </row>
    <row r="145">
      <c r="A145" s="226" t="s">
        <v>8</v>
      </c>
      <c r="B145" s="226" t="s">
        <v>10</v>
      </c>
      <c r="C145" s="250" t="s">
        <v>3427</v>
      </c>
      <c r="D145" s="268" t="s">
        <v>495</v>
      </c>
      <c r="E145" s="361">
        <v>44169.0</v>
      </c>
      <c r="F145" s="250" t="s">
        <v>496</v>
      </c>
      <c r="G145" s="171">
        <v>100.0</v>
      </c>
      <c r="H145" s="171">
        <v>90.0</v>
      </c>
      <c r="I145" s="171">
        <v>80.0</v>
      </c>
      <c r="J145" s="325">
        <f t="shared" si="2"/>
        <v>0.003180550056</v>
      </c>
      <c r="K145" s="326">
        <f t="shared" si="7"/>
        <v>2.491430877</v>
      </c>
      <c r="L145" s="327">
        <f t="shared" si="4"/>
        <v>25.1057595</v>
      </c>
      <c r="M145" s="321" t="str">
        <f t="shared" si="5"/>
        <v>solsista</v>
      </c>
      <c r="N145" s="176">
        <f>IFERROR(__xludf.DUMMYFUNCTION("""COMPUTED_VALUE"""),14.0)</f>
        <v>14</v>
      </c>
      <c r="O145" s="176"/>
      <c r="P145" s="176"/>
      <c r="Q145" s="176"/>
      <c r="R145" s="176"/>
      <c r="S145" s="176"/>
      <c r="T145" s="176"/>
      <c r="U145" s="176"/>
      <c r="V145" s="176"/>
      <c r="W145" s="176"/>
      <c r="X145" s="176"/>
      <c r="Y145" s="176"/>
      <c r="Z145" s="176"/>
    </row>
    <row r="146">
      <c r="A146" s="226" t="s">
        <v>8</v>
      </c>
      <c r="B146" s="226" t="s">
        <v>10</v>
      </c>
      <c r="C146" s="250" t="s">
        <v>3356</v>
      </c>
      <c r="D146" s="268" t="s">
        <v>495</v>
      </c>
      <c r="E146" s="361">
        <v>44169.0</v>
      </c>
      <c r="F146" s="250" t="s">
        <v>496</v>
      </c>
      <c r="G146" s="171">
        <v>45.0</v>
      </c>
      <c r="H146" s="171">
        <v>45.0</v>
      </c>
      <c r="I146" s="171">
        <v>40.0</v>
      </c>
      <c r="J146" s="325">
        <f t="shared" si="2"/>
        <v>0.00153603215</v>
      </c>
      <c r="K146" s="326">
        <f t="shared" si="7"/>
        <v>1.203225184</v>
      </c>
      <c r="L146" s="327">
        <f t="shared" si="4"/>
        <v>25.1057595</v>
      </c>
      <c r="M146" s="321" t="str">
        <f t="shared" si="5"/>
        <v>solsista</v>
      </c>
      <c r="N146" s="176">
        <f>IFERROR(__xludf.DUMMYFUNCTION("""COMPUTED_VALUE"""),15.0)</f>
        <v>15</v>
      </c>
      <c r="O146" s="176"/>
      <c r="P146" s="176"/>
      <c r="Q146" s="176"/>
      <c r="R146" s="176"/>
      <c r="S146" s="176"/>
      <c r="T146" s="176"/>
      <c r="U146" s="176"/>
      <c r="V146" s="176"/>
      <c r="W146" s="176"/>
      <c r="X146" s="176"/>
      <c r="Y146" s="176"/>
      <c r="Z146" s="176"/>
    </row>
    <row r="147">
      <c r="A147" s="226" t="s">
        <v>4</v>
      </c>
      <c r="B147" s="226" t="s">
        <v>590</v>
      </c>
      <c r="C147" s="250" t="s">
        <v>3428</v>
      </c>
      <c r="D147" s="268" t="s">
        <v>495</v>
      </c>
      <c r="E147" s="251">
        <v>44159.0</v>
      </c>
      <c r="F147" s="368" t="s">
        <v>496</v>
      </c>
      <c r="G147" s="268"/>
      <c r="H147" s="369"/>
      <c r="I147" s="369"/>
      <c r="J147" s="325">
        <f t="shared" si="2"/>
        <v>0</v>
      </c>
      <c r="K147" s="326">
        <f t="shared" ref="K147:K170" si="8">if(A147 = B147,0,$N$1)</f>
        <v>1.119370091</v>
      </c>
      <c r="L147" s="327">
        <f t="shared" si="4"/>
        <v>24.62614201</v>
      </c>
      <c r="M147" s="321" t="str">
        <f t="shared" si="5"/>
        <v>santigs67</v>
      </c>
      <c r="N147" s="176">
        <f>IFERROR(__xludf.DUMMYFUNCTION("""COMPUTED_VALUE"""),1.0)</f>
        <v>1</v>
      </c>
      <c r="O147" s="176"/>
      <c r="P147" s="176"/>
      <c r="Q147" s="176"/>
      <c r="R147" s="176"/>
      <c r="S147" s="176"/>
      <c r="T147" s="176"/>
      <c r="U147" s="176"/>
      <c r="V147" s="176"/>
      <c r="W147" s="176"/>
      <c r="X147" s="176"/>
      <c r="Y147" s="176"/>
      <c r="Z147" s="176"/>
    </row>
    <row r="148">
      <c r="A148" s="226" t="s">
        <v>4</v>
      </c>
      <c r="B148" s="226" t="s">
        <v>6</v>
      </c>
      <c r="C148" s="250" t="s">
        <v>3429</v>
      </c>
      <c r="D148" s="268" t="s">
        <v>495</v>
      </c>
      <c r="E148" s="251">
        <v>44159.0</v>
      </c>
      <c r="F148" s="368" t="s">
        <v>496</v>
      </c>
      <c r="G148" s="268"/>
      <c r="H148" s="369"/>
      <c r="I148" s="369"/>
      <c r="J148" s="325">
        <f t="shared" si="2"/>
        <v>0</v>
      </c>
      <c r="K148" s="326">
        <f t="shared" si="8"/>
        <v>1.119370091</v>
      </c>
      <c r="L148" s="327">
        <f t="shared" si="4"/>
        <v>24.62614201</v>
      </c>
      <c r="M148" s="321" t="str">
        <f t="shared" si="5"/>
        <v>santigs67</v>
      </c>
      <c r="N148" s="176">
        <f>IFERROR(__xludf.DUMMYFUNCTION("""COMPUTED_VALUE"""),2.0)</f>
        <v>2</v>
      </c>
      <c r="O148" s="176"/>
      <c r="P148" s="176"/>
      <c r="Q148" s="176"/>
      <c r="R148" s="176"/>
      <c r="S148" s="176"/>
      <c r="T148" s="176"/>
      <c r="U148" s="176"/>
      <c r="V148" s="176"/>
      <c r="W148" s="176"/>
      <c r="X148" s="176"/>
      <c r="Y148" s="176"/>
      <c r="Z148" s="176"/>
    </row>
    <row r="149">
      <c r="A149" s="226" t="s">
        <v>4</v>
      </c>
      <c r="B149" s="226" t="s">
        <v>590</v>
      </c>
      <c r="C149" s="250" t="s">
        <v>3339</v>
      </c>
      <c r="D149" s="268" t="s">
        <v>495</v>
      </c>
      <c r="E149" s="251">
        <v>44159.0</v>
      </c>
      <c r="F149" s="368" t="s">
        <v>496</v>
      </c>
      <c r="G149" s="268"/>
      <c r="H149" s="369"/>
      <c r="I149" s="369"/>
      <c r="J149" s="325">
        <f t="shared" si="2"/>
        <v>0</v>
      </c>
      <c r="K149" s="326">
        <f t="shared" si="8"/>
        <v>1.119370091</v>
      </c>
      <c r="L149" s="327">
        <f t="shared" si="4"/>
        <v>24.62614201</v>
      </c>
      <c r="M149" s="321" t="str">
        <f t="shared" si="5"/>
        <v>santigs67</v>
      </c>
      <c r="N149" s="176">
        <f>IFERROR(__xludf.DUMMYFUNCTION("""COMPUTED_VALUE"""),3.0)</f>
        <v>3</v>
      </c>
      <c r="O149" s="176"/>
      <c r="P149" s="176"/>
      <c r="Q149" s="176"/>
      <c r="R149" s="176"/>
      <c r="S149" s="176"/>
      <c r="T149" s="176"/>
      <c r="U149" s="176"/>
      <c r="V149" s="176"/>
      <c r="W149" s="176"/>
      <c r="X149" s="176"/>
      <c r="Y149" s="176"/>
      <c r="Z149" s="176"/>
    </row>
    <row r="150">
      <c r="A150" s="226" t="s">
        <v>4</v>
      </c>
      <c r="B150" s="226" t="s">
        <v>5</v>
      </c>
      <c r="C150" s="250" t="s">
        <v>3340</v>
      </c>
      <c r="D150" s="268" t="s">
        <v>495</v>
      </c>
      <c r="E150" s="251">
        <v>44160.0</v>
      </c>
      <c r="F150" s="368" t="s">
        <v>496</v>
      </c>
      <c r="G150" s="268"/>
      <c r="H150" s="369"/>
      <c r="I150" s="369"/>
      <c r="J150" s="325">
        <f t="shared" si="2"/>
        <v>0</v>
      </c>
      <c r="K150" s="326">
        <f t="shared" si="8"/>
        <v>1.119370091</v>
      </c>
      <c r="L150" s="327">
        <f t="shared" si="4"/>
        <v>24.62614201</v>
      </c>
      <c r="M150" s="321" t="str">
        <f t="shared" si="5"/>
        <v>santigs67</v>
      </c>
      <c r="N150" s="176">
        <f>IFERROR(__xludf.DUMMYFUNCTION("""COMPUTED_VALUE"""),4.0)</f>
        <v>4</v>
      </c>
      <c r="O150" s="176"/>
      <c r="P150" s="176"/>
      <c r="Q150" s="176"/>
      <c r="R150" s="176"/>
      <c r="S150" s="176"/>
      <c r="T150" s="176"/>
      <c r="U150" s="176"/>
      <c r="V150" s="176"/>
      <c r="W150" s="176"/>
      <c r="X150" s="176"/>
      <c r="Y150" s="176"/>
      <c r="Z150" s="176"/>
    </row>
    <row r="151">
      <c r="A151" s="343" t="s">
        <v>4</v>
      </c>
      <c r="B151" s="343" t="s">
        <v>868</v>
      </c>
      <c r="C151" s="254" t="s">
        <v>3430</v>
      </c>
      <c r="D151" s="336" t="s">
        <v>495</v>
      </c>
      <c r="E151" s="255">
        <v>44160.0</v>
      </c>
      <c r="F151" s="370" t="s">
        <v>496</v>
      </c>
      <c r="G151" s="336"/>
      <c r="H151" s="241"/>
      <c r="I151" s="363"/>
      <c r="J151" s="339">
        <f t="shared" si="2"/>
        <v>0</v>
      </c>
      <c r="K151" s="326">
        <f t="shared" si="8"/>
        <v>0</v>
      </c>
      <c r="L151" s="341">
        <f t="shared" si="4"/>
        <v>24.62614201</v>
      </c>
      <c r="M151" s="342" t="str">
        <f t="shared" si="5"/>
        <v>santigs67</v>
      </c>
      <c r="N151" s="209">
        <f>IFERROR(__xludf.DUMMYFUNCTION("""COMPUTED_VALUE"""),5.0)</f>
        <v>5</v>
      </c>
      <c r="O151" s="209"/>
      <c r="P151" s="209"/>
      <c r="Q151" s="209"/>
      <c r="R151" s="209"/>
      <c r="S151" s="209"/>
      <c r="T151" s="209"/>
      <c r="U151" s="209"/>
      <c r="V151" s="209"/>
      <c r="W151" s="209"/>
      <c r="X151" s="209"/>
      <c r="Y151" s="209"/>
      <c r="Z151" s="209"/>
    </row>
    <row r="152">
      <c r="A152" s="226" t="s">
        <v>4</v>
      </c>
      <c r="B152" s="226" t="s">
        <v>5</v>
      </c>
      <c r="C152" s="250" t="s">
        <v>3383</v>
      </c>
      <c r="D152" s="268" t="s">
        <v>495</v>
      </c>
      <c r="E152" s="251">
        <v>44161.0</v>
      </c>
      <c r="F152" s="368" t="s">
        <v>496</v>
      </c>
      <c r="G152" s="268"/>
      <c r="H152" s="369"/>
      <c r="I152" s="369"/>
      <c r="J152" s="325">
        <f t="shared" si="2"/>
        <v>0</v>
      </c>
      <c r="K152" s="326">
        <f t="shared" si="8"/>
        <v>1.119370091</v>
      </c>
      <c r="L152" s="327">
        <f t="shared" si="4"/>
        <v>24.62614201</v>
      </c>
      <c r="M152" s="321" t="str">
        <f t="shared" si="5"/>
        <v>santigs67</v>
      </c>
      <c r="N152" s="176">
        <f>IFERROR(__xludf.DUMMYFUNCTION("""COMPUTED_VALUE"""),6.0)</f>
        <v>6</v>
      </c>
      <c r="O152" s="176"/>
      <c r="P152" s="176"/>
      <c r="Q152" s="176"/>
      <c r="R152" s="176"/>
      <c r="S152" s="176"/>
      <c r="T152" s="176"/>
      <c r="U152" s="176"/>
      <c r="V152" s="176"/>
      <c r="W152" s="176"/>
      <c r="X152" s="176"/>
      <c r="Y152" s="176"/>
      <c r="Z152" s="176"/>
    </row>
    <row r="153">
      <c r="A153" s="226" t="s">
        <v>4</v>
      </c>
      <c r="B153" s="226" t="s">
        <v>519</v>
      </c>
      <c r="C153" s="250" t="s">
        <v>3431</v>
      </c>
      <c r="D153" s="268" t="s">
        <v>495</v>
      </c>
      <c r="E153" s="251">
        <v>44161.0</v>
      </c>
      <c r="F153" s="371" t="s">
        <v>496</v>
      </c>
      <c r="G153" s="268"/>
      <c r="H153" s="369"/>
      <c r="I153" s="369"/>
      <c r="J153" s="325">
        <f t="shared" si="2"/>
        <v>0</v>
      </c>
      <c r="K153" s="326">
        <f t="shared" si="8"/>
        <v>1.119370091</v>
      </c>
      <c r="L153" s="327">
        <f t="shared" si="4"/>
        <v>24.62614201</v>
      </c>
      <c r="M153" s="321" t="str">
        <f t="shared" si="5"/>
        <v>santigs67</v>
      </c>
      <c r="N153" s="176">
        <f>IFERROR(__xludf.DUMMYFUNCTION("""COMPUTED_VALUE"""),7.0)</f>
        <v>7</v>
      </c>
      <c r="O153" s="176"/>
      <c r="P153" s="176"/>
      <c r="Q153" s="176"/>
      <c r="R153" s="176"/>
      <c r="S153" s="176"/>
      <c r="T153" s="176"/>
      <c r="U153" s="176"/>
      <c r="V153" s="176"/>
      <c r="W153" s="176"/>
      <c r="X153" s="176"/>
      <c r="Y153" s="176"/>
      <c r="Z153" s="176"/>
    </row>
    <row r="154">
      <c r="A154" s="226" t="s">
        <v>4</v>
      </c>
      <c r="B154" s="226" t="s">
        <v>519</v>
      </c>
      <c r="C154" s="250" t="s">
        <v>3395</v>
      </c>
      <c r="D154" s="268" t="s">
        <v>495</v>
      </c>
      <c r="E154" s="251">
        <v>44161.0</v>
      </c>
      <c r="F154" s="368" t="s">
        <v>496</v>
      </c>
      <c r="G154" s="268"/>
      <c r="H154" s="369"/>
      <c r="I154" s="369"/>
      <c r="J154" s="325">
        <f t="shared" si="2"/>
        <v>0</v>
      </c>
      <c r="K154" s="326">
        <f t="shared" si="8"/>
        <v>1.119370091</v>
      </c>
      <c r="L154" s="327">
        <f t="shared" si="4"/>
        <v>24.62614201</v>
      </c>
      <c r="M154" s="321" t="str">
        <f t="shared" si="5"/>
        <v>santigs67</v>
      </c>
      <c r="N154" s="176">
        <f>IFERROR(__xludf.DUMMYFUNCTION("""COMPUTED_VALUE"""),8.0)</f>
        <v>8</v>
      </c>
      <c r="O154" s="176"/>
      <c r="P154" s="176"/>
      <c r="Q154" s="176"/>
      <c r="R154" s="176"/>
      <c r="S154" s="176"/>
      <c r="T154" s="176"/>
      <c r="U154" s="176"/>
      <c r="V154" s="176"/>
      <c r="W154" s="176"/>
      <c r="X154" s="176"/>
      <c r="Y154" s="176"/>
      <c r="Z154" s="176"/>
    </row>
    <row r="155">
      <c r="A155" s="343" t="s">
        <v>4</v>
      </c>
      <c r="B155" s="343" t="s">
        <v>868</v>
      </c>
      <c r="C155" s="254" t="s">
        <v>3432</v>
      </c>
      <c r="D155" s="336" t="s">
        <v>495</v>
      </c>
      <c r="E155" s="255">
        <v>44161.0</v>
      </c>
      <c r="F155" s="370" t="s">
        <v>496</v>
      </c>
      <c r="G155" s="336"/>
      <c r="H155" s="363"/>
      <c r="I155" s="363"/>
      <c r="J155" s="339">
        <f t="shared" si="2"/>
        <v>0</v>
      </c>
      <c r="K155" s="326">
        <f t="shared" si="8"/>
        <v>0</v>
      </c>
      <c r="L155" s="341">
        <f t="shared" si="4"/>
        <v>24.62614201</v>
      </c>
      <c r="M155" s="342" t="str">
        <f t="shared" si="5"/>
        <v>santigs67</v>
      </c>
      <c r="N155" s="209">
        <f>IFERROR(__xludf.DUMMYFUNCTION("""COMPUTED_VALUE"""),9.0)</f>
        <v>9</v>
      </c>
      <c r="O155" s="209"/>
      <c r="P155" s="209"/>
      <c r="Q155" s="209"/>
      <c r="R155" s="209"/>
      <c r="S155" s="209"/>
      <c r="T155" s="209"/>
      <c r="U155" s="209"/>
      <c r="V155" s="209"/>
      <c r="W155" s="209"/>
      <c r="X155" s="209"/>
      <c r="Y155" s="209"/>
      <c r="Z155" s="209"/>
    </row>
    <row r="156">
      <c r="A156" s="226" t="s">
        <v>4</v>
      </c>
      <c r="B156" s="226" t="s">
        <v>867</v>
      </c>
      <c r="C156" s="250" t="s">
        <v>3433</v>
      </c>
      <c r="D156" s="268" t="s">
        <v>495</v>
      </c>
      <c r="E156" s="251">
        <v>44161.0</v>
      </c>
      <c r="F156" s="368" t="s">
        <v>496</v>
      </c>
      <c r="G156" s="268"/>
      <c r="H156" s="369"/>
      <c r="I156" s="369"/>
      <c r="J156" s="325">
        <f t="shared" si="2"/>
        <v>0</v>
      </c>
      <c r="K156" s="326">
        <f t="shared" si="8"/>
        <v>1.119370091</v>
      </c>
      <c r="L156" s="327">
        <f t="shared" si="4"/>
        <v>24.62614201</v>
      </c>
      <c r="M156" s="321" t="str">
        <f t="shared" si="5"/>
        <v>santigs67</v>
      </c>
      <c r="N156" s="176">
        <f>IFERROR(__xludf.DUMMYFUNCTION("""COMPUTED_VALUE"""),10.0)</f>
        <v>10</v>
      </c>
      <c r="O156" s="176"/>
      <c r="P156" s="176"/>
      <c r="Q156" s="176"/>
      <c r="R156" s="176"/>
      <c r="S156" s="176"/>
      <c r="T156" s="176"/>
      <c r="U156" s="176"/>
      <c r="V156" s="176"/>
      <c r="W156" s="176"/>
      <c r="X156" s="176"/>
      <c r="Y156" s="176"/>
      <c r="Z156" s="176"/>
    </row>
    <row r="157">
      <c r="A157" s="226" t="s">
        <v>4</v>
      </c>
      <c r="B157" s="226" t="s">
        <v>10</v>
      </c>
      <c r="C157" s="250" t="s">
        <v>3369</v>
      </c>
      <c r="D157" s="268" t="s">
        <v>495</v>
      </c>
      <c r="E157" s="251">
        <v>44162.0</v>
      </c>
      <c r="F157" s="368" t="s">
        <v>496</v>
      </c>
      <c r="G157" s="268"/>
      <c r="H157" s="369"/>
      <c r="I157" s="369"/>
      <c r="J157" s="325">
        <f t="shared" si="2"/>
        <v>0</v>
      </c>
      <c r="K157" s="326">
        <f t="shared" si="8"/>
        <v>1.119370091</v>
      </c>
      <c r="L157" s="327">
        <f t="shared" si="4"/>
        <v>24.62614201</v>
      </c>
      <c r="M157" s="321" t="str">
        <f t="shared" si="5"/>
        <v>santigs67</v>
      </c>
      <c r="N157" s="176">
        <f>IFERROR(__xludf.DUMMYFUNCTION("""COMPUTED_VALUE"""),11.0)</f>
        <v>11</v>
      </c>
      <c r="O157" s="176"/>
      <c r="P157" s="176"/>
      <c r="Q157" s="176"/>
      <c r="R157" s="176"/>
      <c r="S157" s="176"/>
      <c r="T157" s="176"/>
      <c r="U157" s="176"/>
      <c r="V157" s="176"/>
      <c r="W157" s="176"/>
      <c r="X157" s="176"/>
      <c r="Y157" s="176"/>
      <c r="Z157" s="176"/>
    </row>
    <row r="158">
      <c r="A158" s="226" t="s">
        <v>4</v>
      </c>
      <c r="B158" s="226" t="s">
        <v>10</v>
      </c>
      <c r="C158" s="250" t="s">
        <v>3345</v>
      </c>
      <c r="D158" s="268" t="s">
        <v>495</v>
      </c>
      <c r="E158" s="251">
        <v>44163.0</v>
      </c>
      <c r="F158" s="368" t="s">
        <v>496</v>
      </c>
      <c r="G158" s="268"/>
      <c r="H158" s="369"/>
      <c r="I158" s="369"/>
      <c r="J158" s="325">
        <f t="shared" si="2"/>
        <v>0</v>
      </c>
      <c r="K158" s="326">
        <f t="shared" si="8"/>
        <v>1.119370091</v>
      </c>
      <c r="L158" s="327">
        <f t="shared" si="4"/>
        <v>24.62614201</v>
      </c>
      <c r="M158" s="321" t="str">
        <f t="shared" si="5"/>
        <v>santigs67</v>
      </c>
      <c r="N158" s="176">
        <f>IFERROR(__xludf.DUMMYFUNCTION("""COMPUTED_VALUE"""),12.0)</f>
        <v>12</v>
      </c>
      <c r="O158" s="176"/>
      <c r="P158" s="176"/>
      <c r="Q158" s="176"/>
      <c r="R158" s="176"/>
      <c r="S158" s="176"/>
      <c r="T158" s="176"/>
      <c r="U158" s="176"/>
      <c r="V158" s="176"/>
      <c r="W158" s="176"/>
      <c r="X158" s="176"/>
      <c r="Y158" s="176"/>
      <c r="Z158" s="176"/>
    </row>
    <row r="159">
      <c r="A159" s="226" t="s">
        <v>4</v>
      </c>
      <c r="B159" s="226" t="s">
        <v>18</v>
      </c>
      <c r="C159" s="250" t="s">
        <v>3372</v>
      </c>
      <c r="D159" s="268" t="s">
        <v>495</v>
      </c>
      <c r="E159" s="251">
        <v>44165.0</v>
      </c>
      <c r="F159" s="368" t="s">
        <v>496</v>
      </c>
      <c r="G159" s="268"/>
      <c r="H159" s="369"/>
      <c r="I159" s="369"/>
      <c r="J159" s="325">
        <f t="shared" si="2"/>
        <v>0</v>
      </c>
      <c r="K159" s="326">
        <f t="shared" si="8"/>
        <v>1.119370091</v>
      </c>
      <c r="L159" s="327">
        <f t="shared" si="4"/>
        <v>24.62614201</v>
      </c>
      <c r="M159" s="321" t="str">
        <f t="shared" si="5"/>
        <v>santigs67</v>
      </c>
      <c r="N159" s="176">
        <f>IFERROR(__xludf.DUMMYFUNCTION("""COMPUTED_VALUE"""),13.0)</f>
        <v>13</v>
      </c>
      <c r="O159" s="176"/>
      <c r="P159" s="176"/>
      <c r="Q159" s="176"/>
      <c r="R159" s="176"/>
      <c r="S159" s="176"/>
      <c r="T159" s="176"/>
      <c r="U159" s="176"/>
      <c r="V159" s="176"/>
      <c r="W159" s="176"/>
      <c r="X159" s="176"/>
      <c r="Y159" s="176"/>
      <c r="Z159" s="176"/>
    </row>
    <row r="160">
      <c r="A160" s="226" t="s">
        <v>4</v>
      </c>
      <c r="B160" s="226" t="s">
        <v>18</v>
      </c>
      <c r="C160" s="368" t="s">
        <v>3348</v>
      </c>
      <c r="D160" s="268" t="s">
        <v>495</v>
      </c>
      <c r="E160" s="361">
        <v>44166.0</v>
      </c>
      <c r="F160" s="250" t="s">
        <v>496</v>
      </c>
      <c r="G160" s="176"/>
      <c r="H160" s="243"/>
      <c r="I160" s="243"/>
      <c r="J160" s="325">
        <f t="shared" si="2"/>
        <v>0</v>
      </c>
      <c r="K160" s="326">
        <f t="shared" si="8"/>
        <v>1.119370091</v>
      </c>
      <c r="L160" s="327">
        <f t="shared" si="4"/>
        <v>24.62614201</v>
      </c>
      <c r="M160" s="321" t="str">
        <f t="shared" si="5"/>
        <v>santigs67</v>
      </c>
      <c r="N160" s="176">
        <f>IFERROR(__xludf.DUMMYFUNCTION("""COMPUTED_VALUE"""),14.0)</f>
        <v>14</v>
      </c>
      <c r="O160" s="176"/>
      <c r="P160" s="176"/>
      <c r="Q160" s="176"/>
      <c r="R160" s="176"/>
      <c r="S160" s="176"/>
      <c r="T160" s="176"/>
      <c r="U160" s="176"/>
      <c r="V160" s="176"/>
      <c r="W160" s="176"/>
      <c r="X160" s="176"/>
      <c r="Y160" s="176"/>
      <c r="Z160" s="176"/>
    </row>
    <row r="161">
      <c r="A161" s="226" t="s">
        <v>4</v>
      </c>
      <c r="B161" s="226" t="s">
        <v>590</v>
      </c>
      <c r="C161" s="368" t="s">
        <v>3350</v>
      </c>
      <c r="D161" s="268" t="s">
        <v>495</v>
      </c>
      <c r="E161" s="361">
        <v>44166.0</v>
      </c>
      <c r="F161" s="250" t="s">
        <v>496</v>
      </c>
      <c r="G161" s="176"/>
      <c r="H161" s="243"/>
      <c r="I161" s="243"/>
      <c r="J161" s="325">
        <f t="shared" si="2"/>
        <v>0</v>
      </c>
      <c r="K161" s="326">
        <f t="shared" si="8"/>
        <v>1.119370091</v>
      </c>
      <c r="L161" s="327">
        <f t="shared" si="4"/>
        <v>24.62614201</v>
      </c>
      <c r="M161" s="321" t="str">
        <f t="shared" si="5"/>
        <v>santigs67</v>
      </c>
      <c r="N161" s="176">
        <f>IFERROR(__xludf.DUMMYFUNCTION("""COMPUTED_VALUE"""),15.0)</f>
        <v>15</v>
      </c>
      <c r="O161" s="176"/>
      <c r="P161" s="176"/>
      <c r="Q161" s="176"/>
      <c r="R161" s="176"/>
      <c r="S161" s="176"/>
      <c r="T161" s="176"/>
      <c r="U161" s="176"/>
      <c r="V161" s="176"/>
      <c r="W161" s="176"/>
      <c r="X161" s="176"/>
      <c r="Y161" s="176"/>
      <c r="Z161" s="176"/>
    </row>
    <row r="162">
      <c r="A162" s="226" t="s">
        <v>4</v>
      </c>
      <c r="B162" s="226" t="s">
        <v>5</v>
      </c>
      <c r="C162" s="368" t="s">
        <v>3390</v>
      </c>
      <c r="D162" s="268" t="s">
        <v>495</v>
      </c>
      <c r="E162" s="361">
        <v>44167.0</v>
      </c>
      <c r="F162" s="250" t="s">
        <v>496</v>
      </c>
      <c r="G162" s="176"/>
      <c r="H162" s="243"/>
      <c r="I162" s="243"/>
      <c r="J162" s="325">
        <f t="shared" si="2"/>
        <v>0</v>
      </c>
      <c r="K162" s="326">
        <f t="shared" si="8"/>
        <v>1.119370091</v>
      </c>
      <c r="L162" s="327">
        <f t="shared" si="4"/>
        <v>24.62614201</v>
      </c>
      <c r="M162" s="321" t="str">
        <f t="shared" si="5"/>
        <v>santigs67</v>
      </c>
      <c r="N162" s="176">
        <f>IFERROR(__xludf.DUMMYFUNCTION("""COMPUTED_VALUE"""),16.0)</f>
        <v>16</v>
      </c>
      <c r="O162" s="176"/>
      <c r="P162" s="176"/>
      <c r="Q162" s="176"/>
      <c r="R162" s="176"/>
      <c r="S162" s="176"/>
      <c r="T162" s="176"/>
      <c r="U162" s="176"/>
      <c r="V162" s="176"/>
      <c r="W162" s="176"/>
      <c r="X162" s="176"/>
      <c r="Y162" s="176"/>
      <c r="Z162" s="176"/>
    </row>
    <row r="163">
      <c r="A163" s="226" t="s">
        <v>4</v>
      </c>
      <c r="B163" s="226" t="s">
        <v>6</v>
      </c>
      <c r="C163" s="368" t="s">
        <v>3375</v>
      </c>
      <c r="D163" s="268" t="s">
        <v>495</v>
      </c>
      <c r="E163" s="361">
        <v>44169.0</v>
      </c>
      <c r="F163" s="250" t="s">
        <v>496</v>
      </c>
      <c r="G163" s="176"/>
      <c r="H163" s="243"/>
      <c r="I163" s="243"/>
      <c r="J163" s="325">
        <f t="shared" si="2"/>
        <v>0</v>
      </c>
      <c r="K163" s="326">
        <f t="shared" si="8"/>
        <v>1.119370091</v>
      </c>
      <c r="L163" s="327">
        <f t="shared" si="4"/>
        <v>24.62614201</v>
      </c>
      <c r="M163" s="321" t="str">
        <f t="shared" si="5"/>
        <v>santigs67</v>
      </c>
      <c r="N163" s="176">
        <f>IFERROR(__xludf.DUMMYFUNCTION("""COMPUTED_VALUE"""),17.0)</f>
        <v>17</v>
      </c>
      <c r="O163" s="176"/>
      <c r="P163" s="176"/>
      <c r="Q163" s="176"/>
      <c r="R163" s="176"/>
      <c r="S163" s="176"/>
      <c r="T163" s="176"/>
      <c r="U163" s="176"/>
      <c r="V163" s="176"/>
      <c r="W163" s="176"/>
      <c r="X163" s="176"/>
      <c r="Y163" s="176"/>
      <c r="Z163" s="176"/>
    </row>
    <row r="164">
      <c r="A164" s="226" t="s">
        <v>4</v>
      </c>
      <c r="B164" s="226" t="s">
        <v>6</v>
      </c>
      <c r="C164" s="368" t="s">
        <v>3375</v>
      </c>
      <c r="D164" s="268" t="s">
        <v>495</v>
      </c>
      <c r="E164" s="361">
        <v>44169.0</v>
      </c>
      <c r="F164" s="250" t="s">
        <v>496</v>
      </c>
      <c r="G164" s="176"/>
      <c r="H164" s="243"/>
      <c r="I164" s="243"/>
      <c r="J164" s="325">
        <f t="shared" si="2"/>
        <v>0</v>
      </c>
      <c r="K164" s="326">
        <f t="shared" si="8"/>
        <v>1.119370091</v>
      </c>
      <c r="L164" s="327">
        <f t="shared" si="4"/>
        <v>24.62614201</v>
      </c>
      <c r="M164" s="321" t="str">
        <f t="shared" si="5"/>
        <v>santigs67</v>
      </c>
      <c r="N164" s="176">
        <f>IFERROR(__xludf.DUMMYFUNCTION("""COMPUTED_VALUE"""),18.0)</f>
        <v>18</v>
      </c>
      <c r="O164" s="176"/>
      <c r="P164" s="176"/>
      <c r="Q164" s="176"/>
      <c r="R164" s="176"/>
      <c r="S164" s="176"/>
      <c r="T164" s="176"/>
      <c r="U164" s="176"/>
      <c r="V164" s="176"/>
      <c r="W164" s="176"/>
      <c r="X164" s="176"/>
      <c r="Y164" s="176"/>
      <c r="Z164" s="176"/>
    </row>
    <row r="165">
      <c r="A165" s="226" t="s">
        <v>4</v>
      </c>
      <c r="B165" s="226" t="s">
        <v>10</v>
      </c>
      <c r="C165" s="368" t="s">
        <v>3434</v>
      </c>
      <c r="D165" s="268" t="s">
        <v>495</v>
      </c>
      <c r="E165" s="361">
        <v>44169.0</v>
      </c>
      <c r="F165" s="250" t="s">
        <v>496</v>
      </c>
      <c r="G165" s="176"/>
      <c r="H165" s="243"/>
      <c r="I165" s="243"/>
      <c r="J165" s="325">
        <f t="shared" si="2"/>
        <v>0</v>
      </c>
      <c r="K165" s="326">
        <f t="shared" si="8"/>
        <v>1.119370091</v>
      </c>
      <c r="L165" s="327">
        <f t="shared" si="4"/>
        <v>24.62614201</v>
      </c>
      <c r="M165" s="321" t="str">
        <f t="shared" si="5"/>
        <v>santigs67</v>
      </c>
      <c r="N165" s="176">
        <f>IFERROR(__xludf.DUMMYFUNCTION("""COMPUTED_VALUE"""),19.0)</f>
        <v>19</v>
      </c>
      <c r="O165" s="176"/>
      <c r="P165" s="176"/>
      <c r="Q165" s="176"/>
      <c r="R165" s="176"/>
      <c r="S165" s="176"/>
      <c r="T165" s="176"/>
      <c r="U165" s="176"/>
      <c r="V165" s="176"/>
      <c r="W165" s="176"/>
      <c r="X165" s="176"/>
      <c r="Y165" s="176"/>
      <c r="Z165" s="176"/>
    </row>
    <row r="166">
      <c r="A166" s="226" t="s">
        <v>4</v>
      </c>
      <c r="B166" s="226" t="s">
        <v>10</v>
      </c>
      <c r="C166" s="368" t="s">
        <v>3356</v>
      </c>
      <c r="D166" s="268" t="s">
        <v>495</v>
      </c>
      <c r="E166" s="361">
        <v>44169.0</v>
      </c>
      <c r="F166" s="250" t="s">
        <v>496</v>
      </c>
      <c r="G166" s="176"/>
      <c r="H166" s="243"/>
      <c r="I166" s="243"/>
      <c r="J166" s="325">
        <f t="shared" si="2"/>
        <v>0</v>
      </c>
      <c r="K166" s="326">
        <f t="shared" si="8"/>
        <v>1.119370091</v>
      </c>
      <c r="L166" s="327">
        <f t="shared" si="4"/>
        <v>24.62614201</v>
      </c>
      <c r="M166" s="321" t="str">
        <f t="shared" si="5"/>
        <v>santigs67</v>
      </c>
      <c r="N166" s="176">
        <f>IFERROR(__xludf.DUMMYFUNCTION("""COMPUTED_VALUE"""),20.0)</f>
        <v>20</v>
      </c>
      <c r="O166" s="176"/>
      <c r="P166" s="176"/>
      <c r="Q166" s="176"/>
      <c r="R166" s="176"/>
      <c r="S166" s="176"/>
      <c r="T166" s="176"/>
      <c r="U166" s="176"/>
      <c r="V166" s="176"/>
      <c r="W166" s="176"/>
      <c r="X166" s="176"/>
      <c r="Y166" s="176"/>
      <c r="Z166" s="176"/>
    </row>
    <row r="167">
      <c r="A167" s="226" t="s">
        <v>4</v>
      </c>
      <c r="B167" s="226" t="s">
        <v>5</v>
      </c>
      <c r="C167" s="368" t="s">
        <v>3377</v>
      </c>
      <c r="D167" s="268" t="s">
        <v>495</v>
      </c>
      <c r="E167" s="361">
        <v>44169.0</v>
      </c>
      <c r="F167" s="250" t="s">
        <v>496</v>
      </c>
      <c r="G167" s="176"/>
      <c r="H167" s="243"/>
      <c r="I167" s="243"/>
      <c r="J167" s="325">
        <f t="shared" si="2"/>
        <v>0</v>
      </c>
      <c r="K167" s="326">
        <f t="shared" si="8"/>
        <v>1.119370091</v>
      </c>
      <c r="L167" s="327">
        <f t="shared" si="4"/>
        <v>24.62614201</v>
      </c>
      <c r="M167" s="321" t="str">
        <f t="shared" si="5"/>
        <v>santigs67</v>
      </c>
      <c r="N167" s="176">
        <f>IFERROR(__xludf.DUMMYFUNCTION("""COMPUTED_VALUE"""),21.0)</f>
        <v>21</v>
      </c>
      <c r="O167" s="176"/>
      <c r="P167" s="176"/>
      <c r="Q167" s="176"/>
      <c r="R167" s="176"/>
      <c r="S167" s="176"/>
      <c r="T167" s="176"/>
      <c r="U167" s="176"/>
      <c r="V167" s="176"/>
      <c r="W167" s="176"/>
      <c r="X167" s="176"/>
      <c r="Y167" s="176"/>
      <c r="Z167" s="176"/>
    </row>
    <row r="168">
      <c r="A168" s="226" t="s">
        <v>4</v>
      </c>
      <c r="B168" s="226" t="s">
        <v>5</v>
      </c>
      <c r="C168" s="368" t="s">
        <v>3378</v>
      </c>
      <c r="D168" s="268" t="s">
        <v>495</v>
      </c>
      <c r="E168" s="361">
        <v>44169.0</v>
      </c>
      <c r="F168" s="250" t="s">
        <v>496</v>
      </c>
      <c r="G168" s="176"/>
      <c r="H168" s="243"/>
      <c r="I168" s="243"/>
      <c r="J168" s="325">
        <f t="shared" si="2"/>
        <v>0</v>
      </c>
      <c r="K168" s="326">
        <f t="shared" si="8"/>
        <v>1.119370091</v>
      </c>
      <c r="L168" s="327">
        <f t="shared" si="4"/>
        <v>24.62614201</v>
      </c>
      <c r="M168" s="321" t="str">
        <f t="shared" si="5"/>
        <v>santigs67</v>
      </c>
      <c r="N168" s="176">
        <f>IFERROR(__xludf.DUMMYFUNCTION("""COMPUTED_VALUE"""),22.0)</f>
        <v>22</v>
      </c>
      <c r="O168" s="176"/>
      <c r="P168" s="176"/>
      <c r="Q168" s="176"/>
      <c r="R168" s="176"/>
      <c r="S168" s="176"/>
      <c r="T168" s="176"/>
      <c r="U168" s="176"/>
      <c r="V168" s="176"/>
      <c r="W168" s="176"/>
      <c r="X168" s="176"/>
      <c r="Y168" s="176"/>
      <c r="Z168" s="176"/>
    </row>
    <row r="169">
      <c r="A169" s="226" t="s">
        <v>4</v>
      </c>
      <c r="B169" s="226" t="s">
        <v>5</v>
      </c>
      <c r="C169" s="368" t="s">
        <v>3403</v>
      </c>
      <c r="D169" s="268" t="s">
        <v>495</v>
      </c>
      <c r="E169" s="361">
        <v>44169.0</v>
      </c>
      <c r="F169" s="250" t="s">
        <v>496</v>
      </c>
      <c r="G169" s="176"/>
      <c r="H169" s="243"/>
      <c r="I169" s="243"/>
      <c r="J169" s="325">
        <f t="shared" si="2"/>
        <v>0</v>
      </c>
      <c r="K169" s="326">
        <f t="shared" si="8"/>
        <v>1.119370091</v>
      </c>
      <c r="L169" s="327">
        <f t="shared" si="4"/>
        <v>24.62614201</v>
      </c>
      <c r="M169" s="321" t="str">
        <f t="shared" si="5"/>
        <v>santigs67</v>
      </c>
      <c r="N169" s="176">
        <f>IFERROR(__xludf.DUMMYFUNCTION("""COMPUTED_VALUE"""),23.0)</f>
        <v>23</v>
      </c>
      <c r="O169" s="171"/>
      <c r="P169" s="176"/>
      <c r="Q169" s="176"/>
      <c r="R169" s="176"/>
      <c r="S169" s="176"/>
      <c r="T169" s="176"/>
      <c r="U169" s="176"/>
      <c r="V169" s="176"/>
      <c r="W169" s="176"/>
      <c r="X169" s="176"/>
      <c r="Y169" s="176"/>
      <c r="Z169" s="176"/>
    </row>
    <row r="170">
      <c r="A170" s="226" t="s">
        <v>4</v>
      </c>
      <c r="B170" s="226" t="s">
        <v>25</v>
      </c>
      <c r="C170" s="368" t="s">
        <v>3435</v>
      </c>
      <c r="D170" s="268" t="s">
        <v>495</v>
      </c>
      <c r="E170" s="361">
        <v>44169.0</v>
      </c>
      <c r="F170" s="250" t="s">
        <v>496</v>
      </c>
      <c r="G170" s="176"/>
      <c r="H170" s="243"/>
      <c r="I170" s="243"/>
      <c r="J170" s="325">
        <f t="shared" si="2"/>
        <v>0</v>
      </c>
      <c r="K170" s="326">
        <f t="shared" si="8"/>
        <v>1.119370091</v>
      </c>
      <c r="L170" s="327">
        <f t="shared" si="4"/>
        <v>24.62614201</v>
      </c>
      <c r="M170" s="321" t="str">
        <f t="shared" si="5"/>
        <v>santigs67</v>
      </c>
      <c r="N170" s="171">
        <f>IFERROR(__xludf.DUMMYFUNCTION("""COMPUTED_VALUE"""),24.0)</f>
        <v>24</v>
      </c>
      <c r="O170" s="171"/>
      <c r="P170" s="171"/>
      <c r="Q170" s="176"/>
      <c r="R170" s="176"/>
      <c r="S170" s="176"/>
      <c r="T170" s="176"/>
      <c r="U170" s="176"/>
      <c r="V170" s="176"/>
      <c r="W170" s="176"/>
      <c r="X170" s="176"/>
      <c r="Y170" s="176"/>
      <c r="Z170" s="176"/>
    </row>
    <row r="171">
      <c r="A171" s="226" t="s">
        <v>17</v>
      </c>
      <c r="B171" s="226" t="s">
        <v>6</v>
      </c>
      <c r="C171" s="250" t="s">
        <v>3436</v>
      </c>
      <c r="D171" s="268" t="s">
        <v>495</v>
      </c>
      <c r="E171" s="251">
        <v>44155.0</v>
      </c>
      <c r="F171" s="368" t="s">
        <v>496</v>
      </c>
      <c r="G171" s="268">
        <v>50.0</v>
      </c>
      <c r="H171" s="236">
        <v>60.0</v>
      </c>
      <c r="I171" s="236">
        <v>40.0</v>
      </c>
      <c r="J171" s="325">
        <f t="shared" si="2"/>
        <v>0.001750480091</v>
      </c>
      <c r="K171" s="326">
        <f t="shared" ref="K171:K203" si="9">J171*$J$1</f>
        <v>1.371209404</v>
      </c>
      <c r="L171" s="327">
        <f t="shared" si="4"/>
        <v>21.80544171</v>
      </c>
      <c r="M171" s="321" t="str">
        <f t="shared" si="5"/>
        <v>tonga2020</v>
      </c>
      <c r="N171" s="176">
        <f>IFERROR(__xludf.DUMMYFUNCTION("""COMPUTED_VALUE"""),1.0)</f>
        <v>1</v>
      </c>
      <c r="O171" s="176"/>
      <c r="P171" s="176"/>
      <c r="Q171" s="176"/>
      <c r="R171" s="176"/>
      <c r="S171" s="176"/>
      <c r="T171" s="176"/>
      <c r="U171" s="176"/>
      <c r="V171" s="176"/>
      <c r="W171" s="176"/>
      <c r="X171" s="176"/>
      <c r="Y171" s="176"/>
      <c r="Z171" s="176"/>
    </row>
    <row r="172">
      <c r="A172" s="226" t="s">
        <v>17</v>
      </c>
      <c r="B172" s="226" t="s">
        <v>590</v>
      </c>
      <c r="C172" s="250" t="s">
        <v>3338</v>
      </c>
      <c r="D172" s="268" t="s">
        <v>495</v>
      </c>
      <c r="E172" s="251">
        <v>44159.0</v>
      </c>
      <c r="F172" s="368" t="s">
        <v>496</v>
      </c>
      <c r="G172" s="236">
        <v>80.0</v>
      </c>
      <c r="H172" s="236">
        <v>70.0</v>
      </c>
      <c r="I172" s="236">
        <v>100.0</v>
      </c>
      <c r="J172" s="325">
        <f t="shared" si="2"/>
        <v>0.003033587325</v>
      </c>
      <c r="K172" s="326">
        <f t="shared" si="9"/>
        <v>2.376310072</v>
      </c>
      <c r="L172" s="327">
        <f t="shared" si="4"/>
        <v>21.80544171</v>
      </c>
      <c r="M172" s="321" t="str">
        <f t="shared" si="5"/>
        <v>tonga2020</v>
      </c>
      <c r="N172" s="176">
        <f>IFERROR(__xludf.DUMMYFUNCTION("""COMPUTED_VALUE"""),2.0)</f>
        <v>2</v>
      </c>
      <c r="O172" s="176"/>
      <c r="P172" s="176"/>
      <c r="Q172" s="176"/>
      <c r="R172" s="176"/>
      <c r="S172" s="176"/>
      <c r="T172" s="176"/>
      <c r="U172" s="176"/>
      <c r="V172" s="176"/>
      <c r="W172" s="176"/>
      <c r="X172" s="176"/>
      <c r="Y172" s="176"/>
      <c r="Z172" s="176"/>
    </row>
    <row r="173">
      <c r="A173" s="226" t="s">
        <v>17</v>
      </c>
      <c r="B173" s="226" t="s">
        <v>6</v>
      </c>
      <c r="C173" s="250" t="s">
        <v>3364</v>
      </c>
      <c r="D173" s="268" t="s">
        <v>495</v>
      </c>
      <c r="E173" s="251">
        <v>44159.0</v>
      </c>
      <c r="F173" s="371" t="s">
        <v>496</v>
      </c>
      <c r="G173" s="268">
        <v>30.0</v>
      </c>
      <c r="H173" s="236">
        <v>60.0</v>
      </c>
      <c r="I173" s="236">
        <v>50.0</v>
      </c>
      <c r="J173" s="325">
        <f t="shared" si="2"/>
        <v>0.001675316344</v>
      </c>
      <c r="K173" s="326">
        <f t="shared" si="9"/>
        <v>1.312331136</v>
      </c>
      <c r="L173" s="327">
        <f t="shared" si="4"/>
        <v>21.80544171</v>
      </c>
      <c r="M173" s="321" t="str">
        <f t="shared" si="5"/>
        <v>tonga2020</v>
      </c>
      <c r="N173" s="176">
        <f>IFERROR(__xludf.DUMMYFUNCTION("""COMPUTED_VALUE"""),3.0)</f>
        <v>3</v>
      </c>
      <c r="O173" s="176"/>
      <c r="P173" s="176"/>
      <c r="Q173" s="176"/>
      <c r="R173" s="176"/>
      <c r="S173" s="176"/>
      <c r="T173" s="176"/>
      <c r="U173" s="176"/>
      <c r="V173" s="176"/>
      <c r="W173" s="176"/>
      <c r="X173" s="176"/>
      <c r="Y173" s="176"/>
      <c r="Z173" s="176"/>
    </row>
    <row r="174">
      <c r="A174" s="226" t="s">
        <v>17</v>
      </c>
      <c r="B174" s="226" t="s">
        <v>6</v>
      </c>
      <c r="C174" s="250" t="s">
        <v>3437</v>
      </c>
      <c r="D174" s="268" t="s">
        <v>495</v>
      </c>
      <c r="E174" s="251">
        <v>44159.0</v>
      </c>
      <c r="F174" s="368" t="s">
        <v>496</v>
      </c>
      <c r="G174" s="268">
        <v>30.0</v>
      </c>
      <c r="H174" s="236">
        <v>60.0</v>
      </c>
      <c r="I174" s="236">
        <v>50.0</v>
      </c>
      <c r="J174" s="325">
        <f t="shared" si="2"/>
        <v>0.001675316344</v>
      </c>
      <c r="K174" s="326">
        <f t="shared" si="9"/>
        <v>1.312331136</v>
      </c>
      <c r="L174" s="327">
        <f t="shared" si="4"/>
        <v>21.80544171</v>
      </c>
      <c r="M174" s="321" t="str">
        <f t="shared" si="5"/>
        <v>tonga2020</v>
      </c>
      <c r="N174" s="176">
        <f>IFERROR(__xludf.DUMMYFUNCTION("""COMPUTED_VALUE"""),4.0)</f>
        <v>4</v>
      </c>
      <c r="O174" s="176"/>
      <c r="P174" s="176"/>
      <c r="Q174" s="176"/>
      <c r="R174" s="176"/>
      <c r="S174" s="176"/>
      <c r="T174" s="176"/>
      <c r="U174" s="176"/>
      <c r="V174" s="176"/>
      <c r="W174" s="176"/>
      <c r="X174" s="176"/>
      <c r="Y174" s="176"/>
      <c r="Z174" s="176"/>
    </row>
    <row r="175">
      <c r="A175" s="226" t="s">
        <v>17</v>
      </c>
      <c r="B175" s="226" t="s">
        <v>590</v>
      </c>
      <c r="C175" s="250" t="s">
        <v>3339</v>
      </c>
      <c r="D175" s="268" t="s">
        <v>495</v>
      </c>
      <c r="E175" s="251">
        <v>44159.0</v>
      </c>
      <c r="F175" s="368" t="s">
        <v>496</v>
      </c>
      <c r="G175" s="268">
        <v>20.0</v>
      </c>
      <c r="H175" s="236">
        <v>60.0</v>
      </c>
      <c r="I175" s="236">
        <v>30.0</v>
      </c>
      <c r="J175" s="325">
        <f t="shared" si="2"/>
        <v>0.001283215058</v>
      </c>
      <c r="K175" s="326">
        <f t="shared" si="9"/>
        <v>1.005185129</v>
      </c>
      <c r="L175" s="327">
        <f t="shared" si="4"/>
        <v>21.80544171</v>
      </c>
      <c r="M175" s="321" t="str">
        <f t="shared" si="5"/>
        <v>tonga2020</v>
      </c>
      <c r="N175" s="176">
        <f>IFERROR(__xludf.DUMMYFUNCTION("""COMPUTED_VALUE"""),5.0)</f>
        <v>5</v>
      </c>
      <c r="O175" s="176"/>
      <c r="P175" s="176"/>
      <c r="Q175" s="176"/>
      <c r="R175" s="176"/>
      <c r="S175" s="176"/>
      <c r="T175" s="176"/>
      <c r="U175" s="176"/>
      <c r="V175" s="176"/>
      <c r="W175" s="176"/>
      <c r="X175" s="176"/>
      <c r="Y175" s="176"/>
      <c r="Z175" s="176"/>
    </row>
    <row r="176">
      <c r="A176" s="226" t="s">
        <v>17</v>
      </c>
      <c r="B176" s="226" t="s">
        <v>5</v>
      </c>
      <c r="C176" s="250" t="s">
        <v>3340</v>
      </c>
      <c r="D176" s="268" t="s">
        <v>495</v>
      </c>
      <c r="E176" s="251">
        <v>44160.0</v>
      </c>
      <c r="F176" s="368" t="s">
        <v>496</v>
      </c>
      <c r="G176" s="268">
        <v>20.0</v>
      </c>
      <c r="H176" s="236">
        <v>60.0</v>
      </c>
      <c r="I176" s="236">
        <v>20.0</v>
      </c>
      <c r="J176" s="325">
        <f t="shared" si="2"/>
        <v>0.001141407292</v>
      </c>
      <c r="K176" s="326">
        <f t="shared" si="9"/>
        <v>0.894102379</v>
      </c>
      <c r="L176" s="327">
        <f t="shared" si="4"/>
        <v>21.80544171</v>
      </c>
      <c r="M176" s="321" t="str">
        <f t="shared" si="5"/>
        <v>tonga2020</v>
      </c>
      <c r="N176" s="176">
        <f>IFERROR(__xludf.DUMMYFUNCTION("""COMPUTED_VALUE"""),6.0)</f>
        <v>6</v>
      </c>
      <c r="O176" s="176"/>
      <c r="P176" s="176"/>
      <c r="Q176" s="176"/>
      <c r="R176" s="176"/>
      <c r="S176" s="176"/>
      <c r="T176" s="176"/>
      <c r="U176" s="176"/>
      <c r="V176" s="176"/>
      <c r="W176" s="176"/>
      <c r="X176" s="176"/>
      <c r="Y176" s="176"/>
      <c r="Z176" s="176"/>
    </row>
    <row r="177">
      <c r="A177" s="226" t="s">
        <v>17</v>
      </c>
      <c r="B177" s="226" t="s">
        <v>1228</v>
      </c>
      <c r="C177" s="250" t="s">
        <v>3386</v>
      </c>
      <c r="D177" s="268" t="s">
        <v>495</v>
      </c>
      <c r="E177" s="251">
        <v>44161.0</v>
      </c>
      <c r="F177" s="368" t="s">
        <v>496</v>
      </c>
      <c r="G177" s="236">
        <v>50.0</v>
      </c>
      <c r="H177" s="236">
        <v>60.0</v>
      </c>
      <c r="I177" s="236">
        <v>50.0</v>
      </c>
      <c r="J177" s="325">
        <f t="shared" si="2"/>
        <v>0.001892287856</v>
      </c>
      <c r="K177" s="326">
        <f t="shared" si="9"/>
        <v>1.482292154</v>
      </c>
      <c r="L177" s="327">
        <f t="shared" si="4"/>
        <v>21.80544171</v>
      </c>
      <c r="M177" s="321" t="str">
        <f t="shared" si="5"/>
        <v>tonga2020</v>
      </c>
      <c r="N177" s="176">
        <f>IFERROR(__xludf.DUMMYFUNCTION("""COMPUTED_VALUE"""),7.0)</f>
        <v>7</v>
      </c>
      <c r="O177" s="176"/>
      <c r="P177" s="176"/>
      <c r="Q177" s="176"/>
      <c r="R177" s="176"/>
      <c r="S177" s="176"/>
      <c r="T177" s="176"/>
      <c r="U177" s="176"/>
      <c r="V177" s="176"/>
      <c r="W177" s="176"/>
      <c r="X177" s="176"/>
      <c r="Y177" s="176"/>
      <c r="Z177" s="176"/>
    </row>
    <row r="178">
      <c r="A178" s="226" t="s">
        <v>17</v>
      </c>
      <c r="B178" s="226" t="s">
        <v>10</v>
      </c>
      <c r="C178" s="250" t="s">
        <v>3345</v>
      </c>
      <c r="D178" s="268" t="s">
        <v>495</v>
      </c>
      <c r="E178" s="251">
        <v>44163.0</v>
      </c>
      <c r="F178" s="368" t="s">
        <v>496</v>
      </c>
      <c r="G178" s="268">
        <v>40.0</v>
      </c>
      <c r="H178" s="236">
        <v>30.0</v>
      </c>
      <c r="I178" s="236">
        <v>30.0</v>
      </c>
      <c r="J178" s="325">
        <f t="shared" si="2"/>
        <v>0.001179776444</v>
      </c>
      <c r="K178" s="326">
        <f t="shared" si="9"/>
        <v>0.9241582148</v>
      </c>
      <c r="L178" s="327">
        <f t="shared" si="4"/>
        <v>21.80544171</v>
      </c>
      <c r="M178" s="321" t="str">
        <f t="shared" si="5"/>
        <v>tonga2020</v>
      </c>
      <c r="N178" s="176">
        <f>IFERROR(__xludf.DUMMYFUNCTION("""COMPUTED_VALUE"""),8.0)</f>
        <v>8</v>
      </c>
      <c r="O178" s="176"/>
      <c r="P178" s="176"/>
      <c r="Q178" s="176"/>
      <c r="R178" s="176"/>
      <c r="S178" s="176"/>
      <c r="T178" s="176"/>
      <c r="U178" s="176"/>
      <c r="V178" s="176"/>
      <c r="W178" s="176"/>
      <c r="X178" s="176"/>
      <c r="Y178" s="176"/>
      <c r="Z178" s="176"/>
    </row>
    <row r="179">
      <c r="A179" s="226" t="s">
        <v>17</v>
      </c>
      <c r="B179" s="226" t="s">
        <v>18</v>
      </c>
      <c r="C179" s="250" t="s">
        <v>3372</v>
      </c>
      <c r="D179" s="268" t="s">
        <v>495</v>
      </c>
      <c r="E179" s="251">
        <v>44165.0</v>
      </c>
      <c r="F179" s="368" t="s">
        <v>496</v>
      </c>
      <c r="G179" s="236">
        <v>50.0</v>
      </c>
      <c r="H179" s="236">
        <v>60.0</v>
      </c>
      <c r="I179" s="236">
        <v>50.0</v>
      </c>
      <c r="J179" s="325">
        <f t="shared" si="2"/>
        <v>0.001892287856</v>
      </c>
      <c r="K179" s="326">
        <f t="shared" si="9"/>
        <v>1.482292154</v>
      </c>
      <c r="L179" s="327">
        <f t="shared" si="4"/>
        <v>21.80544171</v>
      </c>
      <c r="M179" s="321" t="str">
        <f t="shared" si="5"/>
        <v>tonga2020</v>
      </c>
      <c r="N179" s="176">
        <f>IFERROR(__xludf.DUMMYFUNCTION("""COMPUTED_VALUE"""),9.0)</f>
        <v>9</v>
      </c>
      <c r="O179" s="176"/>
      <c r="P179" s="176"/>
      <c r="Q179" s="176"/>
      <c r="R179" s="176"/>
      <c r="S179" s="176"/>
      <c r="T179" s="176"/>
      <c r="U179" s="176"/>
      <c r="V179" s="176"/>
      <c r="W179" s="176"/>
      <c r="X179" s="176"/>
      <c r="Y179" s="176"/>
      <c r="Z179" s="176"/>
    </row>
    <row r="180">
      <c r="A180" s="226" t="s">
        <v>17</v>
      </c>
      <c r="B180" s="226" t="s">
        <v>6</v>
      </c>
      <c r="C180" s="250" t="s">
        <v>3373</v>
      </c>
      <c r="D180" s="268" t="s">
        <v>495</v>
      </c>
      <c r="E180" s="251">
        <v>44165.0</v>
      </c>
      <c r="F180" s="371" t="s">
        <v>496</v>
      </c>
      <c r="G180" s="268">
        <v>30.0</v>
      </c>
      <c r="H180" s="236">
        <v>30.0</v>
      </c>
      <c r="I180" s="236">
        <v>50.0</v>
      </c>
      <c r="J180" s="325">
        <f t="shared" si="2"/>
        <v>0.001354906219</v>
      </c>
      <c r="K180" s="326">
        <f t="shared" si="9"/>
        <v>1.061343205</v>
      </c>
      <c r="L180" s="327">
        <f t="shared" si="4"/>
        <v>21.80544171</v>
      </c>
      <c r="M180" s="321" t="str">
        <f t="shared" si="5"/>
        <v>tonga2020</v>
      </c>
      <c r="N180" s="176">
        <f>IFERROR(__xludf.DUMMYFUNCTION("""COMPUTED_VALUE"""),10.0)</f>
        <v>10</v>
      </c>
      <c r="O180" s="176"/>
      <c r="P180" s="176"/>
      <c r="Q180" s="176"/>
      <c r="R180" s="176"/>
      <c r="S180" s="176"/>
      <c r="T180" s="176"/>
      <c r="U180" s="176"/>
      <c r="V180" s="176"/>
      <c r="W180" s="176"/>
      <c r="X180" s="176"/>
      <c r="Y180" s="176"/>
      <c r="Z180" s="176"/>
    </row>
    <row r="181">
      <c r="A181" s="226" t="s">
        <v>17</v>
      </c>
      <c r="B181" s="226" t="s">
        <v>867</v>
      </c>
      <c r="C181" s="250" t="s">
        <v>3438</v>
      </c>
      <c r="D181" s="268" t="s">
        <v>495</v>
      </c>
      <c r="E181" s="361">
        <v>44166.0</v>
      </c>
      <c r="F181" s="250" t="s">
        <v>496</v>
      </c>
      <c r="G181" s="171">
        <v>50.0</v>
      </c>
      <c r="H181" s="171">
        <v>50.0</v>
      </c>
      <c r="I181" s="171">
        <v>50.0</v>
      </c>
      <c r="J181" s="325">
        <f t="shared" si="2"/>
        <v>0.001785484481</v>
      </c>
      <c r="K181" s="326">
        <f t="shared" si="9"/>
        <v>1.39862951</v>
      </c>
      <c r="L181" s="327">
        <f t="shared" si="4"/>
        <v>21.80544171</v>
      </c>
      <c r="M181" s="321" t="str">
        <f t="shared" si="5"/>
        <v>tonga2020</v>
      </c>
      <c r="N181" s="176">
        <f>IFERROR(__xludf.DUMMYFUNCTION("""COMPUTED_VALUE"""),11.0)</f>
        <v>11</v>
      </c>
      <c r="O181" s="176"/>
      <c r="P181" s="176"/>
      <c r="Q181" s="176"/>
      <c r="R181" s="176"/>
      <c r="S181" s="176"/>
      <c r="T181" s="176"/>
      <c r="U181" s="176"/>
      <c r="V181" s="176"/>
      <c r="W181" s="176"/>
      <c r="X181" s="176"/>
      <c r="Y181" s="176"/>
      <c r="Z181" s="176"/>
    </row>
    <row r="182">
      <c r="A182" s="226" t="s">
        <v>17</v>
      </c>
      <c r="B182" s="226" t="s">
        <v>18</v>
      </c>
      <c r="C182" s="250" t="s">
        <v>3347</v>
      </c>
      <c r="D182" s="268" t="s">
        <v>495</v>
      </c>
      <c r="E182" s="361">
        <v>44166.0</v>
      </c>
      <c r="F182" s="250" t="s">
        <v>496</v>
      </c>
      <c r="G182" s="171">
        <v>20.0</v>
      </c>
      <c r="H182" s="171">
        <v>30.0</v>
      </c>
      <c r="I182" s="171">
        <v>40.0</v>
      </c>
      <c r="J182" s="325">
        <f t="shared" si="2"/>
        <v>0.001104612698</v>
      </c>
      <c r="K182" s="326">
        <f t="shared" si="9"/>
        <v>0.8652799469</v>
      </c>
      <c r="L182" s="327">
        <f t="shared" si="4"/>
        <v>21.80544171</v>
      </c>
      <c r="M182" s="321" t="str">
        <f t="shared" si="5"/>
        <v>tonga2020</v>
      </c>
      <c r="N182" s="176">
        <f>IFERROR(__xludf.DUMMYFUNCTION("""COMPUTED_VALUE"""),12.0)</f>
        <v>12</v>
      </c>
      <c r="O182" s="176"/>
      <c r="P182" s="176"/>
      <c r="Q182" s="176"/>
      <c r="R182" s="176"/>
      <c r="S182" s="176"/>
      <c r="T182" s="176"/>
      <c r="U182" s="176"/>
      <c r="V182" s="176"/>
      <c r="W182" s="176"/>
      <c r="X182" s="176"/>
      <c r="Y182" s="176"/>
      <c r="Z182" s="176"/>
    </row>
    <row r="183">
      <c r="A183" s="226" t="s">
        <v>17</v>
      </c>
      <c r="B183" s="226" t="s">
        <v>18</v>
      </c>
      <c r="C183" s="250" t="s">
        <v>3348</v>
      </c>
      <c r="D183" s="268" t="s">
        <v>495</v>
      </c>
      <c r="E183" s="361">
        <v>44166.0</v>
      </c>
      <c r="F183" s="250" t="s">
        <v>496</v>
      </c>
      <c r="G183" s="171">
        <v>30.0</v>
      </c>
      <c r="H183" s="171">
        <v>60.0</v>
      </c>
      <c r="I183" s="171">
        <v>40.0</v>
      </c>
      <c r="J183" s="325">
        <f t="shared" si="2"/>
        <v>0.001533508579</v>
      </c>
      <c r="K183" s="326">
        <f t="shared" si="9"/>
        <v>1.201248387</v>
      </c>
      <c r="L183" s="327">
        <f t="shared" si="4"/>
        <v>21.80544171</v>
      </c>
      <c r="M183" s="321" t="str">
        <f t="shared" si="5"/>
        <v>tonga2020</v>
      </c>
      <c r="N183" s="176">
        <f>IFERROR(__xludf.DUMMYFUNCTION("""COMPUTED_VALUE"""),13.0)</f>
        <v>13</v>
      </c>
      <c r="O183" s="176"/>
      <c r="P183" s="176"/>
      <c r="Q183" s="176"/>
      <c r="R183" s="176"/>
      <c r="S183" s="176"/>
      <c r="T183" s="176"/>
      <c r="U183" s="176"/>
      <c r="V183" s="176"/>
      <c r="W183" s="176"/>
      <c r="X183" s="176"/>
      <c r="Y183" s="176"/>
      <c r="Z183" s="176"/>
    </row>
    <row r="184">
      <c r="A184" s="226" t="s">
        <v>17</v>
      </c>
      <c r="B184" s="226" t="s">
        <v>10</v>
      </c>
      <c r="C184" s="250" t="s">
        <v>3439</v>
      </c>
      <c r="D184" s="268" t="s">
        <v>495</v>
      </c>
      <c r="E184" s="361">
        <v>44169.0</v>
      </c>
      <c r="F184" s="250" t="s">
        <v>496</v>
      </c>
      <c r="G184" s="171">
        <v>30.0</v>
      </c>
      <c r="H184" s="171">
        <v>50.0</v>
      </c>
      <c r="I184" s="171">
        <v>40.0</v>
      </c>
      <c r="J184" s="325">
        <f t="shared" si="2"/>
        <v>0.001426705204</v>
      </c>
      <c r="K184" s="326">
        <f t="shared" si="9"/>
        <v>1.117585743</v>
      </c>
      <c r="L184" s="327">
        <f t="shared" si="4"/>
        <v>21.80544171</v>
      </c>
      <c r="M184" s="321" t="str">
        <f t="shared" si="5"/>
        <v>tonga2020</v>
      </c>
      <c r="N184" s="176">
        <f>IFERROR(__xludf.DUMMYFUNCTION("""COMPUTED_VALUE"""),14.0)</f>
        <v>14</v>
      </c>
      <c r="O184" s="176"/>
      <c r="P184" s="176"/>
      <c r="Q184" s="176"/>
      <c r="R184" s="176"/>
      <c r="S184" s="176"/>
      <c r="T184" s="176"/>
      <c r="U184" s="176"/>
      <c r="V184" s="176"/>
      <c r="W184" s="176"/>
      <c r="X184" s="176"/>
      <c r="Y184" s="176"/>
      <c r="Z184" s="176"/>
    </row>
    <row r="185">
      <c r="A185" s="226" t="s">
        <v>17</v>
      </c>
      <c r="B185" s="226" t="s">
        <v>10</v>
      </c>
      <c r="C185" s="250" t="s">
        <v>3356</v>
      </c>
      <c r="D185" s="268" t="s">
        <v>495</v>
      </c>
      <c r="E185" s="361">
        <v>44169.0</v>
      </c>
      <c r="F185" s="250" t="s">
        <v>496</v>
      </c>
      <c r="G185" s="171">
        <v>30.0</v>
      </c>
      <c r="H185" s="171">
        <v>45.0</v>
      </c>
      <c r="I185" s="171">
        <v>40.0</v>
      </c>
      <c r="J185" s="325">
        <f t="shared" si="2"/>
        <v>0.001373303516</v>
      </c>
      <c r="K185" s="326">
        <f t="shared" si="9"/>
        <v>1.075754421</v>
      </c>
      <c r="L185" s="327">
        <f t="shared" si="4"/>
        <v>21.80544171</v>
      </c>
      <c r="M185" s="321" t="str">
        <f t="shared" si="5"/>
        <v>tonga2020</v>
      </c>
      <c r="N185" s="176">
        <f>IFERROR(__xludf.DUMMYFUNCTION("""COMPUTED_VALUE"""),15.0)</f>
        <v>15</v>
      </c>
      <c r="O185" s="176"/>
      <c r="P185" s="176"/>
      <c r="Q185" s="176"/>
      <c r="R185" s="176"/>
      <c r="S185" s="176"/>
      <c r="T185" s="176"/>
      <c r="U185" s="176"/>
      <c r="V185" s="176"/>
      <c r="W185" s="176"/>
      <c r="X185" s="176"/>
      <c r="Y185" s="176"/>
      <c r="Z185" s="176"/>
    </row>
    <row r="186">
      <c r="A186" s="226" t="s">
        <v>17</v>
      </c>
      <c r="B186" s="226" t="s">
        <v>845</v>
      </c>
      <c r="C186" s="250" t="s">
        <v>3357</v>
      </c>
      <c r="D186" s="268" t="s">
        <v>495</v>
      </c>
      <c r="E186" s="361">
        <v>44169.0</v>
      </c>
      <c r="F186" s="250" t="s">
        <v>496</v>
      </c>
      <c r="G186" s="171">
        <v>60.0</v>
      </c>
      <c r="H186" s="171">
        <v>45.0</v>
      </c>
      <c r="I186" s="171">
        <v>50.0</v>
      </c>
      <c r="J186" s="325">
        <f t="shared" si="2"/>
        <v>0.001840568549</v>
      </c>
      <c r="K186" s="326">
        <f t="shared" si="9"/>
        <v>1.441778697</v>
      </c>
      <c r="L186" s="327">
        <f t="shared" si="4"/>
        <v>21.80544171</v>
      </c>
      <c r="M186" s="321" t="str">
        <f t="shared" si="5"/>
        <v>tonga2020</v>
      </c>
      <c r="N186" s="176">
        <f>IFERROR(__xludf.DUMMYFUNCTION("""COMPUTED_VALUE"""),16.0)</f>
        <v>16</v>
      </c>
      <c r="O186" s="176"/>
      <c r="P186" s="176"/>
      <c r="Q186" s="176"/>
      <c r="R186" s="176"/>
      <c r="S186" s="176"/>
      <c r="T186" s="176"/>
      <c r="U186" s="176"/>
      <c r="V186" s="176"/>
      <c r="W186" s="176"/>
      <c r="X186" s="176"/>
      <c r="Y186" s="176"/>
      <c r="Z186" s="176"/>
    </row>
    <row r="187">
      <c r="A187" s="226" t="s">
        <v>17</v>
      </c>
      <c r="B187" s="226" t="s">
        <v>5</v>
      </c>
      <c r="C187" s="250" t="s">
        <v>3377</v>
      </c>
      <c r="D187" s="268" t="s">
        <v>495</v>
      </c>
      <c r="E187" s="361">
        <v>44169.0</v>
      </c>
      <c r="F187" s="250" t="s">
        <v>496</v>
      </c>
      <c r="G187" s="171">
        <v>60.0</v>
      </c>
      <c r="H187" s="171">
        <v>50.0</v>
      </c>
      <c r="I187" s="171">
        <v>50.0</v>
      </c>
      <c r="J187" s="325">
        <f t="shared" si="2"/>
        <v>0.001893970237</v>
      </c>
      <c r="K187" s="326">
        <f t="shared" si="9"/>
        <v>1.483610019</v>
      </c>
      <c r="L187" s="327">
        <f t="shared" si="4"/>
        <v>21.80544171</v>
      </c>
      <c r="M187" s="321" t="str">
        <f t="shared" si="5"/>
        <v>tonga2020</v>
      </c>
      <c r="N187" s="176">
        <f>IFERROR(__xludf.DUMMYFUNCTION("""COMPUTED_VALUE"""),17.0)</f>
        <v>17</v>
      </c>
      <c r="O187" s="176"/>
      <c r="P187" s="176"/>
      <c r="Q187" s="176"/>
      <c r="R187" s="176"/>
      <c r="S187" s="176"/>
      <c r="T187" s="176"/>
      <c r="U187" s="176"/>
      <c r="V187" s="176"/>
      <c r="W187" s="176"/>
      <c r="X187" s="176"/>
      <c r="Y187" s="176"/>
      <c r="Z187" s="176"/>
    </row>
    <row r="188">
      <c r="A188" s="226" t="s">
        <v>9</v>
      </c>
      <c r="B188" s="226" t="s">
        <v>1228</v>
      </c>
      <c r="C188" s="250" t="s">
        <v>3423</v>
      </c>
      <c r="D188" s="268" t="s">
        <v>495</v>
      </c>
      <c r="E188" s="251">
        <v>44161.0</v>
      </c>
      <c r="F188" s="368" t="s">
        <v>496</v>
      </c>
      <c r="G188" s="236">
        <v>1000.0</v>
      </c>
      <c r="H188" s="236">
        <v>700.0</v>
      </c>
      <c r="I188" s="236">
        <v>500.0</v>
      </c>
      <c r="J188" s="325">
        <f t="shared" si="2"/>
        <v>0.0254152001</v>
      </c>
      <c r="K188" s="326">
        <f t="shared" si="9"/>
        <v>19.90857341</v>
      </c>
      <c r="L188" s="327">
        <f t="shared" si="4"/>
        <v>19.90857341</v>
      </c>
      <c r="M188" s="321" t="str">
        <f t="shared" si="5"/>
        <v>akrtws</v>
      </c>
      <c r="N188" s="176">
        <f>IFERROR(__xludf.DUMMYFUNCTION("""COMPUTED_VALUE"""),1.0)</f>
        <v>1</v>
      </c>
      <c r="O188" s="176"/>
      <c r="P188" s="176"/>
      <c r="Q188" s="176"/>
      <c r="R188" s="176"/>
      <c r="S188" s="176"/>
      <c r="T188" s="176"/>
      <c r="U188" s="176"/>
      <c r="V188" s="176"/>
      <c r="W188" s="176"/>
      <c r="X188" s="176"/>
      <c r="Y188" s="176"/>
      <c r="Z188" s="176"/>
    </row>
    <row r="189">
      <c r="A189" s="226" t="s">
        <v>15</v>
      </c>
      <c r="B189" s="226" t="s">
        <v>1228</v>
      </c>
      <c r="C189" s="250" t="s">
        <v>3440</v>
      </c>
      <c r="D189" s="268" t="s">
        <v>495</v>
      </c>
      <c r="E189" s="251">
        <v>44155.0</v>
      </c>
      <c r="F189" s="368" t="s">
        <v>496</v>
      </c>
      <c r="G189" s="268">
        <v>200.0</v>
      </c>
      <c r="H189" s="236">
        <v>140.0</v>
      </c>
      <c r="I189" s="236">
        <v>150.0</v>
      </c>
      <c r="J189" s="325">
        <f t="shared" si="2"/>
        <v>0.005792078847</v>
      </c>
      <c r="K189" s="326">
        <f t="shared" si="9"/>
        <v>4.53712843</v>
      </c>
      <c r="L189" s="327">
        <f t="shared" si="4"/>
        <v>18.44834544</v>
      </c>
      <c r="M189" s="321" t="str">
        <f t="shared" si="5"/>
        <v>juankbell</v>
      </c>
      <c r="N189" s="176">
        <f>IFERROR(__xludf.DUMMYFUNCTION("""COMPUTED_VALUE"""),1.0)</f>
        <v>1</v>
      </c>
      <c r="O189" s="176"/>
      <c r="P189" s="176"/>
      <c r="Q189" s="176"/>
      <c r="R189" s="176"/>
      <c r="S189" s="176"/>
      <c r="T189" s="176"/>
      <c r="U189" s="176"/>
      <c r="V189" s="176"/>
      <c r="W189" s="176"/>
      <c r="X189" s="176"/>
      <c r="Y189" s="176"/>
      <c r="Z189" s="176"/>
    </row>
    <row r="190">
      <c r="A190" s="226" t="s">
        <v>15</v>
      </c>
      <c r="B190" s="226" t="s">
        <v>845</v>
      </c>
      <c r="C190" s="250" t="s">
        <v>3441</v>
      </c>
      <c r="D190" s="268" t="s">
        <v>495</v>
      </c>
      <c r="E190" s="251">
        <v>44158.0</v>
      </c>
      <c r="F190" s="368" t="s">
        <v>496</v>
      </c>
      <c r="G190" s="268">
        <v>100.0</v>
      </c>
      <c r="H190" s="236">
        <v>110.0</v>
      </c>
      <c r="I190" s="236">
        <v>100.0</v>
      </c>
      <c r="J190" s="325">
        <f t="shared" si="2"/>
        <v>0.003677772337</v>
      </c>
      <c r="K190" s="326">
        <f t="shared" si="9"/>
        <v>2.880921664</v>
      </c>
      <c r="L190" s="327">
        <f t="shared" si="4"/>
        <v>18.44834544</v>
      </c>
      <c r="M190" s="321" t="str">
        <f t="shared" si="5"/>
        <v>juankbell</v>
      </c>
      <c r="N190" s="176">
        <f>IFERROR(__xludf.DUMMYFUNCTION("""COMPUTED_VALUE"""),2.0)</f>
        <v>2</v>
      </c>
      <c r="O190" s="176"/>
      <c r="P190" s="176"/>
      <c r="Q190" s="176"/>
      <c r="R190" s="176"/>
      <c r="S190" s="176"/>
      <c r="T190" s="176"/>
      <c r="U190" s="176"/>
      <c r="V190" s="176"/>
      <c r="W190" s="176"/>
      <c r="X190" s="176"/>
      <c r="Y190" s="176"/>
      <c r="Z190" s="176"/>
    </row>
    <row r="191">
      <c r="A191" s="226" t="s">
        <v>15</v>
      </c>
      <c r="B191" s="226" t="s">
        <v>5</v>
      </c>
      <c r="C191" s="250" t="s">
        <v>3340</v>
      </c>
      <c r="D191" s="268" t="s">
        <v>495</v>
      </c>
      <c r="E191" s="251">
        <v>44160.0</v>
      </c>
      <c r="F191" s="368" t="s">
        <v>496</v>
      </c>
      <c r="G191" s="268">
        <v>20.0</v>
      </c>
      <c r="H191" s="236">
        <v>60.0</v>
      </c>
      <c r="I191" s="236">
        <v>20.0</v>
      </c>
      <c r="J191" s="325">
        <f t="shared" si="2"/>
        <v>0.001141407292</v>
      </c>
      <c r="K191" s="326">
        <f t="shared" si="9"/>
        <v>0.894102379</v>
      </c>
      <c r="L191" s="327">
        <f t="shared" si="4"/>
        <v>18.44834544</v>
      </c>
      <c r="M191" s="321" t="str">
        <f t="shared" si="5"/>
        <v>juankbell</v>
      </c>
      <c r="N191" s="176">
        <f>IFERROR(__xludf.DUMMYFUNCTION("""COMPUTED_VALUE"""),3.0)</f>
        <v>3</v>
      </c>
      <c r="O191" s="176"/>
      <c r="P191" s="176"/>
      <c r="Q191" s="176"/>
      <c r="R191" s="176"/>
      <c r="S191" s="176"/>
      <c r="T191" s="176"/>
      <c r="U191" s="176"/>
      <c r="V191" s="176"/>
      <c r="W191" s="176"/>
      <c r="X191" s="176"/>
      <c r="Y191" s="176"/>
      <c r="Z191" s="176"/>
    </row>
    <row r="192">
      <c r="A192" s="226" t="s">
        <v>15</v>
      </c>
      <c r="B192" s="226" t="s">
        <v>867</v>
      </c>
      <c r="C192" s="250" t="s">
        <v>3442</v>
      </c>
      <c r="D192" s="268" t="s">
        <v>495</v>
      </c>
      <c r="E192" s="251">
        <v>44160.0</v>
      </c>
      <c r="F192" s="368" t="s">
        <v>496</v>
      </c>
      <c r="G192" s="268">
        <v>100.0</v>
      </c>
      <c r="H192" s="236">
        <v>100.0</v>
      </c>
      <c r="I192" s="236">
        <v>80.0</v>
      </c>
      <c r="J192" s="325">
        <f t="shared" si="2"/>
        <v>0.003287353431</v>
      </c>
      <c r="K192" s="326">
        <f t="shared" si="9"/>
        <v>2.575093521</v>
      </c>
      <c r="L192" s="327">
        <f t="shared" si="4"/>
        <v>18.44834544</v>
      </c>
      <c r="M192" s="321" t="str">
        <f t="shared" si="5"/>
        <v>juankbell</v>
      </c>
      <c r="N192" s="176">
        <f>IFERROR(__xludf.DUMMYFUNCTION("""COMPUTED_VALUE"""),4.0)</f>
        <v>4</v>
      </c>
      <c r="O192" s="176"/>
      <c r="P192" s="176"/>
      <c r="Q192" s="176"/>
      <c r="R192" s="176"/>
      <c r="S192" s="176"/>
      <c r="T192" s="176"/>
      <c r="U192" s="176"/>
      <c r="V192" s="176"/>
      <c r="W192" s="176"/>
      <c r="X192" s="176"/>
      <c r="Y192" s="176"/>
      <c r="Z192" s="176"/>
    </row>
    <row r="193">
      <c r="A193" s="226" t="s">
        <v>15</v>
      </c>
      <c r="B193" s="226" t="s">
        <v>519</v>
      </c>
      <c r="C193" s="250" t="s">
        <v>3443</v>
      </c>
      <c r="D193" s="268" t="s">
        <v>495</v>
      </c>
      <c r="E193" s="251">
        <v>44161.0</v>
      </c>
      <c r="F193" s="368" t="s">
        <v>496</v>
      </c>
      <c r="G193" s="268">
        <v>200.0</v>
      </c>
      <c r="H193" s="236">
        <v>90.0</v>
      </c>
      <c r="I193" s="236">
        <v>50.0</v>
      </c>
      <c r="J193" s="325">
        <f t="shared" si="2"/>
        <v>0.003839984318</v>
      </c>
      <c r="K193" s="326">
        <f t="shared" si="9"/>
        <v>3.007987716</v>
      </c>
      <c r="L193" s="327">
        <f t="shared" si="4"/>
        <v>18.44834544</v>
      </c>
      <c r="M193" s="321" t="str">
        <f t="shared" si="5"/>
        <v>juankbell</v>
      </c>
      <c r="N193" s="176">
        <f>IFERROR(__xludf.DUMMYFUNCTION("""COMPUTED_VALUE"""),5.0)</f>
        <v>5</v>
      </c>
      <c r="O193" s="176"/>
      <c r="P193" s="176"/>
      <c r="Q193" s="176"/>
      <c r="R193" s="176"/>
      <c r="S193" s="176"/>
      <c r="T193" s="176"/>
      <c r="U193" s="176"/>
      <c r="V193" s="176"/>
      <c r="W193" s="176"/>
      <c r="X193" s="176"/>
      <c r="Y193" s="176"/>
      <c r="Z193" s="176"/>
    </row>
    <row r="194">
      <c r="A194" s="226" t="s">
        <v>15</v>
      </c>
      <c r="B194" s="226" t="s">
        <v>1228</v>
      </c>
      <c r="C194" s="250" t="s">
        <v>3386</v>
      </c>
      <c r="D194" s="268" t="s">
        <v>495</v>
      </c>
      <c r="E194" s="251">
        <v>44161.0</v>
      </c>
      <c r="F194" s="368" t="s">
        <v>496</v>
      </c>
      <c r="G194" s="268">
        <v>200.0</v>
      </c>
      <c r="H194" s="236">
        <v>60.0</v>
      </c>
      <c r="I194" s="236">
        <v>50.0</v>
      </c>
      <c r="J194" s="325">
        <f t="shared" si="2"/>
        <v>0.003519574193</v>
      </c>
      <c r="K194" s="326">
        <f t="shared" si="9"/>
        <v>2.756999785</v>
      </c>
      <c r="L194" s="327">
        <f t="shared" si="4"/>
        <v>18.44834544</v>
      </c>
      <c r="M194" s="321" t="str">
        <f t="shared" si="5"/>
        <v>juankbell</v>
      </c>
      <c r="N194" s="176">
        <f>IFERROR(__xludf.DUMMYFUNCTION("""COMPUTED_VALUE"""),6.0)</f>
        <v>6</v>
      </c>
      <c r="O194" s="176"/>
      <c r="P194" s="176"/>
      <c r="Q194" s="176"/>
      <c r="R194" s="176"/>
      <c r="S194" s="176"/>
      <c r="T194" s="176"/>
      <c r="U194" s="176"/>
      <c r="V194" s="176"/>
      <c r="W194" s="176"/>
      <c r="X194" s="176"/>
      <c r="Y194" s="176"/>
      <c r="Z194" s="176"/>
    </row>
    <row r="195">
      <c r="A195" s="226" t="s">
        <v>15</v>
      </c>
      <c r="B195" s="226" t="s">
        <v>867</v>
      </c>
      <c r="C195" s="250" t="s">
        <v>3444</v>
      </c>
      <c r="D195" s="268" t="s">
        <v>495</v>
      </c>
      <c r="E195" s="251">
        <v>44161.0</v>
      </c>
      <c r="F195" s="368" t="s">
        <v>496</v>
      </c>
      <c r="G195" s="268">
        <v>400.0</v>
      </c>
      <c r="H195" s="236">
        <v>80.0</v>
      </c>
      <c r="I195" s="236">
        <v>50.0</v>
      </c>
      <c r="J195" s="325">
        <f t="shared" si="2"/>
        <v>0.00590289606</v>
      </c>
      <c r="K195" s="326">
        <f t="shared" si="9"/>
        <v>4.623935247</v>
      </c>
      <c r="L195" s="327">
        <f t="shared" si="4"/>
        <v>18.44834544</v>
      </c>
      <c r="M195" s="321" t="str">
        <f t="shared" si="5"/>
        <v>juankbell</v>
      </c>
      <c r="N195" s="176">
        <f>IFERROR(__xludf.DUMMYFUNCTION("""COMPUTED_VALUE"""),7.0)</f>
        <v>7</v>
      </c>
      <c r="O195" s="176"/>
      <c r="P195" s="176"/>
      <c r="Q195" s="176"/>
      <c r="R195" s="176"/>
      <c r="S195" s="176"/>
      <c r="T195" s="176"/>
      <c r="U195" s="176"/>
      <c r="V195" s="176"/>
      <c r="W195" s="176"/>
      <c r="X195" s="176"/>
      <c r="Y195" s="176"/>
      <c r="Z195" s="176"/>
    </row>
    <row r="196">
      <c r="A196" s="226" t="s">
        <v>15</v>
      </c>
      <c r="B196" s="226" t="s">
        <v>10</v>
      </c>
      <c r="C196" s="250" t="s">
        <v>3369</v>
      </c>
      <c r="D196" s="268" t="s">
        <v>495</v>
      </c>
      <c r="E196" s="251">
        <v>44162.0</v>
      </c>
      <c r="F196" s="368" t="s">
        <v>496</v>
      </c>
      <c r="G196" s="268">
        <v>40.0</v>
      </c>
      <c r="H196" s="236">
        <v>60.0</v>
      </c>
      <c r="I196" s="236">
        <v>30.0</v>
      </c>
      <c r="J196" s="325">
        <f t="shared" si="2"/>
        <v>0.001500186569</v>
      </c>
      <c r="K196" s="326">
        <f t="shared" si="9"/>
        <v>1.175146146</v>
      </c>
      <c r="L196" s="327">
        <f t="shared" si="4"/>
        <v>18.44834544</v>
      </c>
      <c r="M196" s="321" t="str">
        <f t="shared" si="5"/>
        <v>juankbell</v>
      </c>
      <c r="N196" s="176">
        <f>IFERROR(__xludf.DUMMYFUNCTION("""COMPUTED_VALUE"""),8.0)</f>
        <v>8</v>
      </c>
      <c r="O196" s="176"/>
      <c r="P196" s="176"/>
      <c r="Q196" s="176"/>
      <c r="R196" s="176"/>
      <c r="S196" s="176"/>
      <c r="T196" s="176"/>
      <c r="U196" s="176"/>
      <c r="V196" s="176"/>
      <c r="W196" s="176"/>
      <c r="X196" s="176"/>
      <c r="Y196" s="176"/>
      <c r="Z196" s="176"/>
    </row>
    <row r="197">
      <c r="A197" s="226" t="s">
        <v>15</v>
      </c>
      <c r="B197" s="226" t="s">
        <v>10</v>
      </c>
      <c r="C197" s="250" t="s">
        <v>3445</v>
      </c>
      <c r="D197" s="268" t="s">
        <v>495</v>
      </c>
      <c r="E197" s="251">
        <v>44162.0</v>
      </c>
      <c r="F197" s="371" t="s">
        <v>496</v>
      </c>
      <c r="G197" s="268">
        <v>150.0</v>
      </c>
      <c r="H197" s="236">
        <v>150.0</v>
      </c>
      <c r="I197" s="236">
        <v>150.0</v>
      </c>
      <c r="J197" s="325">
        <f t="shared" si="2"/>
        <v>0.005356453443</v>
      </c>
      <c r="K197" s="326">
        <f t="shared" si="9"/>
        <v>4.19588853</v>
      </c>
      <c r="L197" s="327">
        <f t="shared" si="4"/>
        <v>18.44834544</v>
      </c>
      <c r="M197" s="321" t="str">
        <f t="shared" si="5"/>
        <v>juankbell</v>
      </c>
      <c r="N197" s="176">
        <f>IFERROR(__xludf.DUMMYFUNCTION("""COMPUTED_VALUE"""),9.0)</f>
        <v>9</v>
      </c>
      <c r="O197" s="176"/>
      <c r="P197" s="176"/>
      <c r="Q197" s="176"/>
      <c r="R197" s="176"/>
      <c r="S197" s="176"/>
      <c r="T197" s="176"/>
      <c r="U197" s="176"/>
      <c r="V197" s="176"/>
      <c r="W197" s="176"/>
      <c r="X197" s="176"/>
      <c r="Y197" s="176"/>
      <c r="Z197" s="176"/>
    </row>
    <row r="198">
      <c r="A198" s="226" t="s">
        <v>15</v>
      </c>
      <c r="B198" s="226" t="s">
        <v>10</v>
      </c>
      <c r="C198" s="250" t="s">
        <v>3345</v>
      </c>
      <c r="D198" s="268" t="s">
        <v>495</v>
      </c>
      <c r="E198" s="251">
        <v>44163.0</v>
      </c>
      <c r="F198" s="368" t="s">
        <v>496</v>
      </c>
      <c r="G198" s="268">
        <v>40.0</v>
      </c>
      <c r="H198" s="236">
        <v>30.0</v>
      </c>
      <c r="I198" s="236">
        <v>30.0</v>
      </c>
      <c r="J198" s="325">
        <f t="shared" si="2"/>
        <v>0.001179776444</v>
      </c>
      <c r="K198" s="326">
        <f t="shared" si="9"/>
        <v>0.9241582148</v>
      </c>
      <c r="L198" s="327">
        <f t="shared" si="4"/>
        <v>18.44834544</v>
      </c>
      <c r="M198" s="321" t="str">
        <f t="shared" si="5"/>
        <v>juankbell</v>
      </c>
      <c r="N198" s="176">
        <f>IFERROR(__xludf.DUMMYFUNCTION("""COMPUTED_VALUE"""),10.0)</f>
        <v>10</v>
      </c>
      <c r="O198" s="176"/>
      <c r="P198" s="176"/>
      <c r="Q198" s="176"/>
      <c r="R198" s="176"/>
      <c r="S198" s="176"/>
      <c r="T198" s="176"/>
      <c r="U198" s="176"/>
      <c r="V198" s="176"/>
      <c r="W198" s="176"/>
      <c r="X198" s="176"/>
      <c r="Y198" s="176"/>
      <c r="Z198" s="176"/>
    </row>
    <row r="199">
      <c r="A199" s="226" t="s">
        <v>15</v>
      </c>
      <c r="B199" s="226" t="s">
        <v>18</v>
      </c>
      <c r="C199" s="250" t="s">
        <v>3372</v>
      </c>
      <c r="D199" s="268" t="s">
        <v>495</v>
      </c>
      <c r="E199" s="251">
        <v>44165.0</v>
      </c>
      <c r="F199" s="368" t="s">
        <v>496</v>
      </c>
      <c r="G199" s="268">
        <v>100.0</v>
      </c>
      <c r="H199" s="236">
        <v>60.0</v>
      </c>
      <c r="I199" s="236">
        <v>50.0</v>
      </c>
      <c r="J199" s="325">
        <f t="shared" si="2"/>
        <v>0.002434716635</v>
      </c>
      <c r="K199" s="326">
        <f t="shared" si="9"/>
        <v>1.907194697</v>
      </c>
      <c r="L199" s="327">
        <f t="shared" si="4"/>
        <v>18.44834544</v>
      </c>
      <c r="M199" s="321" t="str">
        <f t="shared" si="5"/>
        <v>juankbell</v>
      </c>
      <c r="N199" s="176">
        <f>IFERROR(__xludf.DUMMYFUNCTION("""COMPUTED_VALUE"""),11.0)</f>
        <v>11</v>
      </c>
      <c r="O199" s="176"/>
      <c r="P199" s="176"/>
      <c r="Q199" s="176"/>
      <c r="R199" s="176"/>
      <c r="S199" s="176"/>
      <c r="T199" s="176"/>
      <c r="U199" s="176"/>
      <c r="V199" s="176"/>
      <c r="W199" s="176"/>
      <c r="X199" s="176"/>
      <c r="Y199" s="176"/>
      <c r="Z199" s="176"/>
    </row>
    <row r="200">
      <c r="A200" s="226" t="s">
        <v>15</v>
      </c>
      <c r="B200" s="226" t="s">
        <v>18</v>
      </c>
      <c r="C200" s="250" t="s">
        <v>3348</v>
      </c>
      <c r="D200" s="268" t="s">
        <v>495</v>
      </c>
      <c r="E200" s="361">
        <v>44166.0</v>
      </c>
      <c r="F200" s="250" t="s">
        <v>496</v>
      </c>
      <c r="G200" s="171">
        <v>30.0</v>
      </c>
      <c r="H200" s="171">
        <v>60.0</v>
      </c>
      <c r="I200" s="171">
        <v>40.0</v>
      </c>
      <c r="J200" s="325">
        <f t="shared" si="2"/>
        <v>0.001533508579</v>
      </c>
      <c r="K200" s="326">
        <f t="shared" si="9"/>
        <v>1.201248387</v>
      </c>
      <c r="L200" s="327">
        <f t="shared" si="4"/>
        <v>18.44834544</v>
      </c>
      <c r="M200" s="321" t="str">
        <f t="shared" si="5"/>
        <v>juankbell</v>
      </c>
      <c r="N200" s="176">
        <f>IFERROR(__xludf.DUMMYFUNCTION("""COMPUTED_VALUE"""),12.0)</f>
        <v>12</v>
      </c>
      <c r="O200" s="176"/>
      <c r="P200" s="176"/>
      <c r="Q200" s="176"/>
      <c r="R200" s="176"/>
      <c r="S200" s="176"/>
      <c r="T200" s="176"/>
      <c r="U200" s="176"/>
      <c r="V200" s="176"/>
      <c r="W200" s="176"/>
      <c r="X200" s="176"/>
      <c r="Y200" s="176"/>
      <c r="Z200" s="176"/>
    </row>
    <row r="201">
      <c r="A201" s="226" t="s">
        <v>15</v>
      </c>
      <c r="B201" s="226" t="s">
        <v>1228</v>
      </c>
      <c r="C201" s="250" t="s">
        <v>3393</v>
      </c>
      <c r="D201" s="268" t="s">
        <v>495</v>
      </c>
      <c r="E201" s="361">
        <v>44168.0</v>
      </c>
      <c r="F201" s="250" t="s">
        <v>496</v>
      </c>
      <c r="G201" s="171">
        <v>100.0</v>
      </c>
      <c r="H201" s="171">
        <v>80.0</v>
      </c>
      <c r="I201" s="171">
        <v>40.0</v>
      </c>
      <c r="J201" s="325">
        <f t="shared" si="2"/>
        <v>0.00250651562</v>
      </c>
      <c r="K201" s="326">
        <f t="shared" si="9"/>
        <v>1.963437235</v>
      </c>
      <c r="L201" s="327">
        <f t="shared" si="4"/>
        <v>18.44834544</v>
      </c>
      <c r="M201" s="321" t="str">
        <f t="shared" si="5"/>
        <v>juankbell</v>
      </c>
      <c r="N201" s="176">
        <f>IFERROR(__xludf.DUMMYFUNCTION("""COMPUTED_VALUE"""),13.0)</f>
        <v>13</v>
      </c>
      <c r="O201" s="176"/>
      <c r="P201" s="176"/>
      <c r="Q201" s="176"/>
      <c r="R201" s="176"/>
      <c r="S201" s="176"/>
      <c r="T201" s="176"/>
      <c r="U201" s="176"/>
      <c r="V201" s="176"/>
      <c r="W201" s="176"/>
      <c r="X201" s="176"/>
      <c r="Y201" s="176"/>
      <c r="Z201" s="176"/>
    </row>
    <row r="202">
      <c r="A202" s="226" t="s">
        <v>15</v>
      </c>
      <c r="B202" s="226" t="s">
        <v>10</v>
      </c>
      <c r="C202" s="250" t="s">
        <v>3446</v>
      </c>
      <c r="D202" s="268" t="s">
        <v>495</v>
      </c>
      <c r="E202" s="361">
        <v>44169.0</v>
      </c>
      <c r="F202" s="250" t="s">
        <v>496</v>
      </c>
      <c r="G202" s="171">
        <v>100.0</v>
      </c>
      <c r="H202" s="171">
        <v>100.0</v>
      </c>
      <c r="I202" s="171">
        <v>100.0</v>
      </c>
      <c r="J202" s="325">
        <f t="shared" si="2"/>
        <v>0.003570968962</v>
      </c>
      <c r="K202" s="326">
        <f t="shared" si="9"/>
        <v>2.79725902</v>
      </c>
      <c r="L202" s="327">
        <f t="shared" si="4"/>
        <v>18.44834544</v>
      </c>
      <c r="M202" s="321" t="str">
        <f t="shared" si="5"/>
        <v>juankbell</v>
      </c>
      <c r="N202" s="176">
        <f>IFERROR(__xludf.DUMMYFUNCTION("""COMPUTED_VALUE"""),14.0)</f>
        <v>14</v>
      </c>
      <c r="O202" s="176"/>
      <c r="P202" s="176"/>
      <c r="Q202" s="176"/>
      <c r="R202" s="176"/>
      <c r="S202" s="176"/>
      <c r="T202" s="176"/>
      <c r="U202" s="176"/>
      <c r="V202" s="176"/>
      <c r="W202" s="176"/>
      <c r="X202" s="176"/>
      <c r="Y202" s="176"/>
      <c r="Z202" s="176"/>
    </row>
    <row r="203">
      <c r="A203" s="226" t="s">
        <v>15</v>
      </c>
      <c r="B203" s="226" t="s">
        <v>10</v>
      </c>
      <c r="C203" s="250" t="s">
        <v>3356</v>
      </c>
      <c r="D203" s="268" t="s">
        <v>495</v>
      </c>
      <c r="E203" s="361">
        <v>44169.0</v>
      </c>
      <c r="F203" s="250" t="s">
        <v>496</v>
      </c>
      <c r="G203" s="171">
        <v>60.0</v>
      </c>
      <c r="H203" s="171">
        <v>60.0</v>
      </c>
      <c r="I203" s="171">
        <v>40.0</v>
      </c>
      <c r="J203" s="325">
        <f t="shared" si="2"/>
        <v>0.001858965846</v>
      </c>
      <c r="K203" s="326">
        <f t="shared" si="9"/>
        <v>1.456189913</v>
      </c>
      <c r="L203" s="327">
        <f t="shared" si="4"/>
        <v>18.44834544</v>
      </c>
      <c r="M203" s="321" t="str">
        <f t="shared" si="5"/>
        <v>juankbell</v>
      </c>
      <c r="N203" s="176">
        <f>IFERROR(__xludf.DUMMYFUNCTION("""COMPUTED_VALUE"""),15.0)</f>
        <v>15</v>
      </c>
      <c r="O203" s="176"/>
      <c r="P203" s="176"/>
      <c r="Q203" s="176"/>
      <c r="R203" s="176"/>
      <c r="S203" s="176"/>
      <c r="T203" s="176"/>
      <c r="U203" s="176"/>
      <c r="V203" s="176"/>
      <c r="W203" s="176"/>
      <c r="X203" s="176"/>
      <c r="Y203" s="176"/>
      <c r="Z203" s="176"/>
    </row>
    <row r="204">
      <c r="A204" s="240" t="s">
        <v>15</v>
      </c>
      <c r="B204" s="240" t="s">
        <v>534</v>
      </c>
      <c r="C204" s="221" t="s">
        <v>3246</v>
      </c>
      <c r="D204" s="336"/>
      <c r="E204" s="255"/>
      <c r="F204" s="254"/>
      <c r="G204" s="222"/>
      <c r="H204" s="222"/>
      <c r="I204" s="222"/>
      <c r="J204" s="325">
        <f t="shared" si="2"/>
        <v>0</v>
      </c>
      <c r="K204" s="337">
        <f>-0.5*R204</f>
        <v>-18.44834544</v>
      </c>
      <c r="L204" s="327">
        <f t="shared" si="4"/>
        <v>18.44834544</v>
      </c>
      <c r="M204" s="321" t="str">
        <f t="shared" si="5"/>
        <v>juankbell</v>
      </c>
      <c r="N204" s="209">
        <f>IFERROR(__xludf.DUMMYFUNCTION("""COMPUTED_VALUE"""),16.0)</f>
        <v>16</v>
      </c>
      <c r="O204" s="209"/>
      <c r="P204" s="209"/>
      <c r="Q204" s="209"/>
      <c r="R204" s="209">
        <v>36.89669088595067</v>
      </c>
      <c r="S204" s="209"/>
      <c r="T204" s="209"/>
      <c r="U204" s="209"/>
      <c r="V204" s="209"/>
      <c r="W204" s="209"/>
      <c r="X204" s="209"/>
      <c r="Y204" s="176"/>
      <c r="Z204" s="176"/>
    </row>
    <row r="205">
      <c r="A205" s="226" t="s">
        <v>19</v>
      </c>
      <c r="B205" s="226" t="s">
        <v>10</v>
      </c>
      <c r="C205" s="250" t="s">
        <v>3447</v>
      </c>
      <c r="D205" s="268" t="s">
        <v>495</v>
      </c>
      <c r="E205" s="251">
        <v>44162.0</v>
      </c>
      <c r="F205" s="368" t="s">
        <v>496</v>
      </c>
      <c r="G205" s="236">
        <v>700.0</v>
      </c>
      <c r="H205" s="236">
        <v>300.0</v>
      </c>
      <c r="I205" s="236">
        <v>500.0</v>
      </c>
      <c r="J205" s="325">
        <f t="shared" si="2"/>
        <v>0.01788849243</v>
      </c>
      <c r="K205" s="326">
        <f t="shared" ref="K205:K206" si="10">J205*$J$1</f>
        <v>14.0126524</v>
      </c>
      <c r="L205" s="327">
        <f t="shared" si="4"/>
        <v>14.93681062</v>
      </c>
      <c r="M205" s="321" t="str">
        <f t="shared" si="5"/>
        <v>mzargham</v>
      </c>
      <c r="N205" s="176">
        <f>IFERROR(__xludf.DUMMYFUNCTION("""COMPUTED_VALUE"""),1.0)</f>
        <v>1</v>
      </c>
      <c r="O205" s="176"/>
      <c r="P205" s="176"/>
      <c r="Q205" s="176"/>
      <c r="R205" s="176"/>
      <c r="S205" s="176"/>
      <c r="T205" s="176"/>
      <c r="U205" s="176"/>
      <c r="V205" s="176"/>
      <c r="W205" s="176"/>
      <c r="X205" s="176"/>
      <c r="Y205" s="176"/>
      <c r="Z205" s="176"/>
    </row>
    <row r="206">
      <c r="A206" s="226" t="s">
        <v>19</v>
      </c>
      <c r="B206" s="226" t="s">
        <v>10</v>
      </c>
      <c r="C206" s="250" t="s">
        <v>3345</v>
      </c>
      <c r="D206" s="268" t="s">
        <v>495</v>
      </c>
      <c r="E206" s="251">
        <v>44163.0</v>
      </c>
      <c r="F206" s="368" t="s">
        <v>496</v>
      </c>
      <c r="G206" s="268">
        <v>40.0</v>
      </c>
      <c r="H206" s="236">
        <v>30.0</v>
      </c>
      <c r="I206" s="236">
        <v>30.0</v>
      </c>
      <c r="J206" s="325">
        <f t="shared" si="2"/>
        <v>0.001179776444</v>
      </c>
      <c r="K206" s="326">
        <f t="shared" si="10"/>
        <v>0.9241582148</v>
      </c>
      <c r="L206" s="327">
        <f t="shared" si="4"/>
        <v>14.93681062</v>
      </c>
      <c r="M206" s="321" t="str">
        <f t="shared" si="5"/>
        <v>mzargham</v>
      </c>
      <c r="N206" s="176">
        <f>IFERROR(__xludf.DUMMYFUNCTION("""COMPUTED_VALUE"""),2.0)</f>
        <v>2</v>
      </c>
      <c r="O206" s="176"/>
      <c r="P206" s="176"/>
      <c r="Q206" s="176"/>
      <c r="R206" s="176"/>
      <c r="S206" s="176"/>
      <c r="T206" s="176"/>
      <c r="U206" s="176"/>
      <c r="V206" s="176"/>
      <c r="W206" s="176"/>
      <c r="X206" s="176"/>
      <c r="Y206" s="176"/>
      <c r="Z206" s="176"/>
    </row>
    <row r="207">
      <c r="A207" s="240" t="s">
        <v>25</v>
      </c>
      <c r="B207" s="343" t="s">
        <v>534</v>
      </c>
      <c r="C207" s="221" t="s">
        <v>2008</v>
      </c>
      <c r="D207" s="343"/>
      <c r="E207" s="344"/>
      <c r="F207" s="343"/>
      <c r="G207" s="343"/>
      <c r="H207" s="253"/>
      <c r="I207" s="253"/>
      <c r="J207" s="172">
        <f t="shared" si="2"/>
        <v>0</v>
      </c>
      <c r="K207" s="299">
        <f>20.431*-0.5</f>
        <v>-10.2155</v>
      </c>
      <c r="L207" s="270">
        <f t="shared" si="4"/>
        <v>10.21534963</v>
      </c>
      <c r="M207" s="271" t="str">
        <f t="shared" si="5"/>
        <v>freedumbs00</v>
      </c>
      <c r="N207" s="336">
        <f>IFERROR(__xludf.DUMMYFUNCTION("""COMPUTED_VALUE"""),1.0)</f>
        <v>1</v>
      </c>
      <c r="O207" s="343"/>
      <c r="P207" s="343"/>
      <c r="Q207" s="343"/>
      <c r="R207" s="336">
        <v>36.89669088595067</v>
      </c>
      <c r="S207" s="343"/>
      <c r="T207" s="343"/>
      <c r="U207" s="343"/>
      <c r="V207" s="343"/>
      <c r="W207" s="343"/>
      <c r="X207" s="343"/>
      <c r="Y207" s="226"/>
      <c r="Z207" s="226"/>
    </row>
    <row r="208">
      <c r="A208" s="226" t="s">
        <v>25</v>
      </c>
      <c r="B208" s="226" t="s">
        <v>6</v>
      </c>
      <c r="C208" s="250" t="s">
        <v>3448</v>
      </c>
      <c r="D208" s="268" t="s">
        <v>495</v>
      </c>
      <c r="E208" s="251">
        <v>44159.0</v>
      </c>
      <c r="F208" s="368" t="s">
        <v>496</v>
      </c>
      <c r="G208" s="268">
        <v>40.0</v>
      </c>
      <c r="H208" s="236">
        <v>70.0</v>
      </c>
      <c r="I208" s="236">
        <v>50.0</v>
      </c>
      <c r="J208" s="325">
        <f t="shared" si="2"/>
        <v>0.001890605475</v>
      </c>
      <c r="K208" s="326">
        <f t="shared" ref="K208:K260" si="11">J208*$J$1</f>
        <v>1.480974289</v>
      </c>
      <c r="L208" s="327">
        <f t="shared" si="4"/>
        <v>10.21534963</v>
      </c>
      <c r="M208" s="321" t="str">
        <f t="shared" si="5"/>
        <v>freedumbs00</v>
      </c>
      <c r="N208" s="176">
        <f>IFERROR(__xludf.DUMMYFUNCTION("""COMPUTED_VALUE"""),2.0)</f>
        <v>2</v>
      </c>
      <c r="O208" s="176"/>
      <c r="P208" s="176"/>
      <c r="Q208" s="176"/>
      <c r="R208" s="176"/>
      <c r="S208" s="176"/>
      <c r="T208" s="176"/>
      <c r="U208" s="176"/>
      <c r="V208" s="176"/>
      <c r="W208" s="176"/>
      <c r="X208" s="176"/>
      <c r="Y208" s="176"/>
      <c r="Z208" s="176"/>
    </row>
    <row r="209">
      <c r="A209" s="226" t="s">
        <v>25</v>
      </c>
      <c r="B209" s="226" t="s">
        <v>590</v>
      </c>
      <c r="C209" s="250" t="s">
        <v>3339</v>
      </c>
      <c r="D209" s="268" t="s">
        <v>495</v>
      </c>
      <c r="E209" s="251">
        <v>44159.0</v>
      </c>
      <c r="F209" s="368" t="s">
        <v>496</v>
      </c>
      <c r="G209" s="268">
        <v>20.0</v>
      </c>
      <c r="H209" s="236">
        <v>60.0</v>
      </c>
      <c r="I209" s="236">
        <v>30.0</v>
      </c>
      <c r="J209" s="325">
        <f t="shared" si="2"/>
        <v>0.001283215058</v>
      </c>
      <c r="K209" s="326">
        <f t="shared" si="11"/>
        <v>1.005185129</v>
      </c>
      <c r="L209" s="327">
        <f t="shared" si="4"/>
        <v>10.21534963</v>
      </c>
      <c r="M209" s="321" t="str">
        <f t="shared" si="5"/>
        <v>freedumbs00</v>
      </c>
      <c r="N209" s="176">
        <f>IFERROR(__xludf.DUMMYFUNCTION("""COMPUTED_VALUE"""),3.0)</f>
        <v>3</v>
      </c>
      <c r="O209" s="176"/>
      <c r="P209" s="176"/>
      <c r="Q209" s="176"/>
      <c r="R209" s="176"/>
      <c r="S209" s="176"/>
      <c r="T209" s="176"/>
      <c r="U209" s="176"/>
      <c r="V209" s="176"/>
      <c r="W209" s="176"/>
      <c r="X209" s="176"/>
      <c r="Y209" s="176"/>
      <c r="Z209" s="176"/>
    </row>
    <row r="210">
      <c r="A210" s="226" t="s">
        <v>25</v>
      </c>
      <c r="B210" s="226" t="s">
        <v>5</v>
      </c>
      <c r="C210" s="250" t="s">
        <v>3383</v>
      </c>
      <c r="D210" s="268" t="s">
        <v>495</v>
      </c>
      <c r="E210" s="251">
        <v>44161.0</v>
      </c>
      <c r="F210" s="368" t="s">
        <v>496</v>
      </c>
      <c r="G210" s="268">
        <v>30.0</v>
      </c>
      <c r="H210" s="236">
        <v>60.0</v>
      </c>
      <c r="I210" s="236">
        <v>30.0</v>
      </c>
      <c r="J210" s="325">
        <f t="shared" si="2"/>
        <v>0.001391700814</v>
      </c>
      <c r="K210" s="326">
        <f t="shared" si="11"/>
        <v>1.090165637</v>
      </c>
      <c r="L210" s="327">
        <f t="shared" si="4"/>
        <v>10.21534963</v>
      </c>
      <c r="M210" s="321" t="str">
        <f t="shared" si="5"/>
        <v>freedumbs00</v>
      </c>
      <c r="N210" s="176">
        <f>IFERROR(__xludf.DUMMYFUNCTION("""COMPUTED_VALUE"""),4.0)</f>
        <v>4</v>
      </c>
      <c r="O210" s="176"/>
      <c r="P210" s="176"/>
      <c r="Q210" s="176"/>
      <c r="R210" s="176"/>
      <c r="S210" s="176"/>
      <c r="T210" s="176"/>
      <c r="U210" s="176"/>
      <c r="V210" s="176"/>
      <c r="W210" s="176"/>
      <c r="X210" s="176"/>
      <c r="Y210" s="176"/>
      <c r="Z210" s="176"/>
    </row>
    <row r="211">
      <c r="A211" s="226" t="s">
        <v>25</v>
      </c>
      <c r="B211" s="226" t="s">
        <v>845</v>
      </c>
      <c r="C211" s="250" t="s">
        <v>3449</v>
      </c>
      <c r="D211" s="268" t="s">
        <v>495</v>
      </c>
      <c r="E211" s="251">
        <v>44162.0</v>
      </c>
      <c r="F211" s="368" t="s">
        <v>496</v>
      </c>
      <c r="G211" s="268">
        <v>200.0</v>
      </c>
      <c r="H211" s="236">
        <v>180.0</v>
      </c>
      <c r="I211" s="236">
        <v>100.0</v>
      </c>
      <c r="J211" s="325">
        <f t="shared" si="2"/>
        <v>0.00551025352</v>
      </c>
      <c r="K211" s="326">
        <f t="shared" si="11"/>
        <v>4.316365257</v>
      </c>
      <c r="L211" s="327">
        <f t="shared" si="4"/>
        <v>10.21534963</v>
      </c>
      <c r="M211" s="321" t="str">
        <f t="shared" si="5"/>
        <v>freedumbs00</v>
      </c>
      <c r="N211" s="176">
        <f>IFERROR(__xludf.DUMMYFUNCTION("""COMPUTED_VALUE"""),5.0)</f>
        <v>5</v>
      </c>
      <c r="O211" s="176"/>
      <c r="P211" s="176"/>
      <c r="Q211" s="176"/>
      <c r="R211" s="176"/>
      <c r="S211" s="176"/>
      <c r="T211" s="176"/>
      <c r="U211" s="176"/>
      <c r="V211" s="176"/>
      <c r="W211" s="176"/>
      <c r="X211" s="176"/>
      <c r="Y211" s="176"/>
      <c r="Z211" s="176"/>
    </row>
    <row r="212">
      <c r="A212" s="226" t="s">
        <v>25</v>
      </c>
      <c r="B212" s="226" t="s">
        <v>590</v>
      </c>
      <c r="C212" s="250" t="s">
        <v>3450</v>
      </c>
      <c r="D212" s="268" t="s">
        <v>495</v>
      </c>
      <c r="E212" s="251">
        <v>44165.0</v>
      </c>
      <c r="F212" s="250" t="s">
        <v>496</v>
      </c>
      <c r="G212" s="171">
        <v>50.0</v>
      </c>
      <c r="H212" s="171">
        <v>60.0</v>
      </c>
      <c r="I212" s="171">
        <v>30.0</v>
      </c>
      <c r="J212" s="325">
        <f t="shared" si="2"/>
        <v>0.001608672325</v>
      </c>
      <c r="K212" s="326">
        <f t="shared" si="11"/>
        <v>1.260126655</v>
      </c>
      <c r="L212" s="327">
        <f t="shared" si="4"/>
        <v>10.21534963</v>
      </c>
      <c r="M212" s="321" t="str">
        <f t="shared" si="5"/>
        <v>freedumbs00</v>
      </c>
      <c r="N212" s="176">
        <f>IFERROR(__xludf.DUMMYFUNCTION("""COMPUTED_VALUE"""),6.0)</f>
        <v>6</v>
      </c>
      <c r="O212" s="176"/>
      <c r="P212" s="176"/>
      <c r="Q212" s="176"/>
      <c r="R212" s="176"/>
      <c r="S212" s="176"/>
      <c r="T212" s="176"/>
      <c r="U212" s="176"/>
      <c r="V212" s="176"/>
      <c r="W212" s="176"/>
      <c r="X212" s="176"/>
      <c r="Y212" s="176"/>
      <c r="Z212" s="176"/>
    </row>
    <row r="213">
      <c r="A213" s="226" t="s">
        <v>25</v>
      </c>
      <c r="B213" s="226" t="s">
        <v>590</v>
      </c>
      <c r="C213" s="250" t="s">
        <v>3350</v>
      </c>
      <c r="D213" s="268" t="s">
        <v>495</v>
      </c>
      <c r="E213" s="361">
        <v>44166.0</v>
      </c>
      <c r="F213" s="250" t="s">
        <v>496</v>
      </c>
      <c r="G213" s="171">
        <v>20.0</v>
      </c>
      <c r="H213" s="171">
        <v>60.0</v>
      </c>
      <c r="I213" s="171">
        <v>40.0</v>
      </c>
      <c r="J213" s="325">
        <f t="shared" si="2"/>
        <v>0.001425022823</v>
      </c>
      <c r="K213" s="326">
        <f t="shared" si="11"/>
        <v>1.116267878</v>
      </c>
      <c r="L213" s="327">
        <f t="shared" si="4"/>
        <v>10.21534963</v>
      </c>
      <c r="M213" s="321" t="str">
        <f t="shared" si="5"/>
        <v>freedumbs00</v>
      </c>
      <c r="N213" s="176">
        <f>IFERROR(__xludf.DUMMYFUNCTION("""COMPUTED_VALUE"""),7.0)</f>
        <v>7</v>
      </c>
      <c r="O213" s="176"/>
      <c r="P213" s="176"/>
      <c r="Q213" s="176"/>
      <c r="R213" s="176"/>
      <c r="S213" s="176"/>
      <c r="T213" s="176"/>
      <c r="U213" s="176"/>
      <c r="V213" s="176"/>
      <c r="W213" s="176"/>
      <c r="X213" s="176"/>
      <c r="Y213" s="176"/>
      <c r="Z213" s="176"/>
    </row>
    <row r="214">
      <c r="A214" s="226" t="s">
        <v>25</v>
      </c>
      <c r="B214" s="226" t="s">
        <v>6</v>
      </c>
      <c r="C214" s="250" t="s">
        <v>3451</v>
      </c>
      <c r="D214" s="268" t="s">
        <v>495</v>
      </c>
      <c r="E214" s="361">
        <v>44168.0</v>
      </c>
      <c r="F214" s="250" t="s">
        <v>496</v>
      </c>
      <c r="G214" s="171">
        <v>1.0</v>
      </c>
      <c r="H214" s="171">
        <v>1.0</v>
      </c>
      <c r="I214" s="171">
        <v>1.0</v>
      </c>
      <c r="J214" s="325">
        <f t="shared" si="2"/>
        <v>0.00003570968962</v>
      </c>
      <c r="K214" s="326">
        <f t="shared" si="11"/>
        <v>0.0279725902</v>
      </c>
      <c r="L214" s="327">
        <f t="shared" si="4"/>
        <v>10.21534963</v>
      </c>
      <c r="M214" s="321" t="str">
        <f t="shared" si="5"/>
        <v>freedumbs00</v>
      </c>
      <c r="N214" s="176">
        <f>IFERROR(__xludf.DUMMYFUNCTION("""COMPUTED_VALUE"""),8.0)</f>
        <v>8</v>
      </c>
      <c r="O214" s="176"/>
      <c r="P214" s="176"/>
      <c r="Q214" s="176"/>
      <c r="R214" s="176"/>
      <c r="S214" s="176"/>
      <c r="T214" s="176"/>
      <c r="U214" s="176"/>
      <c r="V214" s="176"/>
      <c r="W214" s="176"/>
      <c r="X214" s="176"/>
      <c r="Y214" s="176"/>
      <c r="Z214" s="176"/>
    </row>
    <row r="215">
      <c r="A215" s="226" t="s">
        <v>25</v>
      </c>
      <c r="B215" s="226" t="s">
        <v>10</v>
      </c>
      <c r="C215" s="250" t="s">
        <v>3439</v>
      </c>
      <c r="D215" s="268" t="s">
        <v>495</v>
      </c>
      <c r="E215" s="361">
        <v>44169.0</v>
      </c>
      <c r="F215" s="250" t="s">
        <v>496</v>
      </c>
      <c r="G215" s="171">
        <v>150.0</v>
      </c>
      <c r="H215" s="171">
        <v>150.0</v>
      </c>
      <c r="I215" s="171">
        <v>80.0</v>
      </c>
      <c r="J215" s="325">
        <f t="shared" si="2"/>
        <v>0.004363799085</v>
      </c>
      <c r="K215" s="326">
        <f t="shared" si="11"/>
        <v>3.418309283</v>
      </c>
      <c r="L215" s="327">
        <f t="shared" si="4"/>
        <v>10.21534963</v>
      </c>
      <c r="M215" s="321" t="str">
        <f t="shared" si="5"/>
        <v>freedumbs00</v>
      </c>
      <c r="N215" s="176">
        <f>IFERROR(__xludf.DUMMYFUNCTION("""COMPUTED_VALUE"""),9.0)</f>
        <v>9</v>
      </c>
      <c r="O215" s="176"/>
      <c r="P215" s="176"/>
      <c r="Q215" s="176"/>
      <c r="R215" s="176"/>
      <c r="S215" s="176"/>
      <c r="T215" s="176"/>
      <c r="U215" s="176"/>
      <c r="V215" s="176"/>
      <c r="W215" s="176"/>
      <c r="X215" s="176"/>
      <c r="Y215" s="176"/>
      <c r="Z215" s="176"/>
    </row>
    <row r="216">
      <c r="A216" s="226" t="s">
        <v>25</v>
      </c>
      <c r="B216" s="226" t="s">
        <v>10</v>
      </c>
      <c r="C216" s="250" t="s">
        <v>3452</v>
      </c>
      <c r="D216" s="268" t="s">
        <v>495</v>
      </c>
      <c r="E216" s="361">
        <v>44169.0</v>
      </c>
      <c r="F216" s="250" t="s">
        <v>496</v>
      </c>
      <c r="G216" s="171">
        <v>30.0</v>
      </c>
      <c r="H216" s="171">
        <v>40.0</v>
      </c>
      <c r="I216" s="171">
        <v>30.0</v>
      </c>
      <c r="J216" s="325">
        <f t="shared" si="2"/>
        <v>0.001178094064</v>
      </c>
      <c r="K216" s="326">
        <f t="shared" si="11"/>
        <v>0.9228403498</v>
      </c>
      <c r="L216" s="327">
        <f t="shared" si="4"/>
        <v>10.21534963</v>
      </c>
      <c r="M216" s="321" t="str">
        <f t="shared" si="5"/>
        <v>freedumbs00</v>
      </c>
      <c r="N216" s="176">
        <f>IFERROR(__xludf.DUMMYFUNCTION("""COMPUTED_VALUE"""),10.0)</f>
        <v>10</v>
      </c>
      <c r="O216" s="176"/>
      <c r="P216" s="176"/>
      <c r="Q216" s="176"/>
      <c r="R216" s="176"/>
      <c r="S216" s="176"/>
      <c r="T216" s="176"/>
      <c r="U216" s="176"/>
      <c r="V216" s="176"/>
      <c r="W216" s="176"/>
      <c r="X216" s="176"/>
      <c r="Y216" s="176"/>
      <c r="Z216" s="176"/>
    </row>
    <row r="217">
      <c r="A217" s="226" t="s">
        <v>25</v>
      </c>
      <c r="B217" s="226" t="s">
        <v>10</v>
      </c>
      <c r="C217" s="250" t="s">
        <v>3356</v>
      </c>
      <c r="D217" s="268" t="s">
        <v>495</v>
      </c>
      <c r="E217" s="361">
        <v>44169.0</v>
      </c>
      <c r="F217" s="250" t="s">
        <v>496</v>
      </c>
      <c r="G217" s="171">
        <v>45.0</v>
      </c>
      <c r="H217" s="171">
        <v>45.0</v>
      </c>
      <c r="I217" s="171">
        <v>40.0</v>
      </c>
      <c r="J217" s="325">
        <f t="shared" si="2"/>
        <v>0.00153603215</v>
      </c>
      <c r="K217" s="326">
        <f t="shared" si="11"/>
        <v>1.203225184</v>
      </c>
      <c r="L217" s="327">
        <f t="shared" si="4"/>
        <v>10.21534963</v>
      </c>
      <c r="M217" s="321" t="str">
        <f t="shared" si="5"/>
        <v>freedumbs00</v>
      </c>
      <c r="N217" s="176">
        <f>IFERROR(__xludf.DUMMYFUNCTION("""COMPUTED_VALUE"""),11.0)</f>
        <v>11</v>
      </c>
      <c r="O217" s="176"/>
      <c r="P217" s="176"/>
      <c r="Q217" s="176"/>
      <c r="R217" s="176"/>
      <c r="S217" s="176"/>
      <c r="T217" s="176"/>
      <c r="U217" s="176"/>
      <c r="V217" s="176"/>
      <c r="W217" s="176"/>
      <c r="X217" s="176"/>
      <c r="Y217" s="176"/>
      <c r="Z217" s="176"/>
    </row>
    <row r="218">
      <c r="A218" s="226" t="s">
        <v>25</v>
      </c>
      <c r="B218" s="226" t="s">
        <v>6</v>
      </c>
      <c r="C218" s="250" t="s">
        <v>3453</v>
      </c>
      <c r="D218" s="268" t="s">
        <v>495</v>
      </c>
      <c r="E218" s="361">
        <v>44169.0</v>
      </c>
      <c r="F218" s="250" t="s">
        <v>496</v>
      </c>
      <c r="G218" s="171">
        <v>100.0</v>
      </c>
      <c r="H218" s="171">
        <v>110.0</v>
      </c>
      <c r="I218" s="171">
        <v>80.0</v>
      </c>
      <c r="J218" s="325">
        <f t="shared" si="2"/>
        <v>0.003394156806</v>
      </c>
      <c r="K218" s="326">
        <f t="shared" si="11"/>
        <v>2.658756165</v>
      </c>
      <c r="L218" s="327">
        <f t="shared" si="4"/>
        <v>10.21534963</v>
      </c>
      <c r="M218" s="321" t="str">
        <f t="shared" si="5"/>
        <v>freedumbs00</v>
      </c>
      <c r="N218" s="176">
        <f>IFERROR(__xludf.DUMMYFUNCTION("""COMPUTED_VALUE"""),12.0)</f>
        <v>12</v>
      </c>
      <c r="O218" s="176"/>
      <c r="P218" s="176"/>
      <c r="Q218" s="176"/>
      <c r="R218" s="176"/>
      <c r="S218" s="176"/>
      <c r="T218" s="176"/>
      <c r="U218" s="176"/>
      <c r="V218" s="176"/>
      <c r="W218" s="176"/>
      <c r="X218" s="176"/>
      <c r="Y218" s="176"/>
      <c r="Z218" s="176"/>
    </row>
    <row r="219">
      <c r="A219" s="226" t="s">
        <v>25</v>
      </c>
      <c r="B219" s="226" t="s">
        <v>5</v>
      </c>
      <c r="C219" s="250" t="s">
        <v>3377</v>
      </c>
      <c r="D219" s="268" t="s">
        <v>495</v>
      </c>
      <c r="E219" s="361">
        <v>44169.0</v>
      </c>
      <c r="F219" s="250" t="s">
        <v>496</v>
      </c>
      <c r="G219" s="171">
        <v>60.0</v>
      </c>
      <c r="H219" s="171">
        <v>70.0</v>
      </c>
      <c r="I219" s="171">
        <v>50.0</v>
      </c>
      <c r="J219" s="325">
        <f t="shared" si="2"/>
        <v>0.002107576987</v>
      </c>
      <c r="K219" s="326">
        <f t="shared" si="11"/>
        <v>1.650935306</v>
      </c>
      <c r="L219" s="327">
        <f t="shared" si="4"/>
        <v>10.21534963</v>
      </c>
      <c r="M219" s="321" t="str">
        <f t="shared" si="5"/>
        <v>freedumbs00</v>
      </c>
      <c r="N219" s="176">
        <f>IFERROR(__xludf.DUMMYFUNCTION("""COMPUTED_VALUE"""),13.0)</f>
        <v>13</v>
      </c>
      <c r="O219" s="176"/>
      <c r="P219" s="176"/>
      <c r="Q219" s="176"/>
      <c r="R219" s="176"/>
      <c r="S219" s="176"/>
      <c r="T219" s="176"/>
      <c r="U219" s="176"/>
      <c r="V219" s="176"/>
      <c r="W219" s="176"/>
      <c r="X219" s="176"/>
      <c r="Y219" s="176"/>
      <c r="Z219" s="176"/>
    </row>
    <row r="220">
      <c r="A220" s="226" t="s">
        <v>25</v>
      </c>
      <c r="B220" s="226" t="s">
        <v>590</v>
      </c>
      <c r="C220" s="250" t="s">
        <v>3454</v>
      </c>
      <c r="D220" s="268" t="s">
        <v>495</v>
      </c>
      <c r="E220" s="361">
        <v>44169.0</v>
      </c>
      <c r="F220" s="250" t="s">
        <v>496</v>
      </c>
      <c r="G220" s="171">
        <v>10.0</v>
      </c>
      <c r="H220" s="171">
        <v>10.0</v>
      </c>
      <c r="I220" s="171">
        <v>10.0</v>
      </c>
      <c r="J220" s="325">
        <f t="shared" si="2"/>
        <v>0.0003570968962</v>
      </c>
      <c r="K220" s="326">
        <f t="shared" si="11"/>
        <v>0.279725902</v>
      </c>
      <c r="L220" s="327">
        <f t="shared" si="4"/>
        <v>10.21534963</v>
      </c>
      <c r="M220" s="321" t="str">
        <f t="shared" si="5"/>
        <v>freedumbs00</v>
      </c>
      <c r="N220" s="176">
        <f>IFERROR(__xludf.DUMMYFUNCTION("""COMPUTED_VALUE"""),14.0)</f>
        <v>14</v>
      </c>
      <c r="O220" s="176"/>
      <c r="P220" s="176"/>
      <c r="Q220" s="176"/>
      <c r="R220" s="176"/>
      <c r="S220" s="176"/>
      <c r="T220" s="176"/>
      <c r="U220" s="176"/>
      <c r="V220" s="176"/>
      <c r="W220" s="176"/>
      <c r="X220" s="176"/>
      <c r="Y220" s="176"/>
      <c r="Z220" s="176"/>
    </row>
    <row r="221">
      <c r="A221" s="226" t="s">
        <v>33</v>
      </c>
      <c r="B221" s="226" t="s">
        <v>5</v>
      </c>
      <c r="C221" s="250" t="s">
        <v>3383</v>
      </c>
      <c r="D221" s="268" t="s">
        <v>495</v>
      </c>
      <c r="E221" s="251">
        <v>44161.0</v>
      </c>
      <c r="F221" s="368" t="s">
        <v>496</v>
      </c>
      <c r="G221" s="236">
        <v>100.0</v>
      </c>
      <c r="H221" s="236">
        <v>60.0</v>
      </c>
      <c r="I221" s="236">
        <v>30.0</v>
      </c>
      <c r="J221" s="325">
        <f t="shared" si="2"/>
        <v>0.002151101104</v>
      </c>
      <c r="K221" s="326">
        <f t="shared" si="11"/>
        <v>1.685029198</v>
      </c>
      <c r="L221" s="327">
        <f t="shared" si="4"/>
        <v>9.872026389</v>
      </c>
      <c r="M221" s="321" t="str">
        <f t="shared" si="5"/>
        <v>vegayp</v>
      </c>
      <c r="N221" s="176">
        <f>IFERROR(__xludf.DUMMYFUNCTION("""COMPUTED_VALUE"""),1.0)</f>
        <v>1</v>
      </c>
      <c r="O221" s="176"/>
      <c r="P221" s="176"/>
      <c r="Q221" s="176"/>
      <c r="R221" s="176"/>
      <c r="S221" s="176"/>
      <c r="T221" s="176"/>
      <c r="U221" s="176"/>
      <c r="V221" s="176"/>
      <c r="W221" s="176"/>
      <c r="X221" s="176"/>
      <c r="Y221" s="176"/>
      <c r="Z221" s="176"/>
    </row>
    <row r="222">
      <c r="A222" s="226" t="s">
        <v>33</v>
      </c>
      <c r="B222" s="226" t="s">
        <v>590</v>
      </c>
      <c r="C222" s="250" t="s">
        <v>3384</v>
      </c>
      <c r="D222" s="268" t="s">
        <v>495</v>
      </c>
      <c r="E222" s="251">
        <v>44161.0</v>
      </c>
      <c r="F222" s="368" t="s">
        <v>496</v>
      </c>
      <c r="G222" s="236">
        <v>80.0</v>
      </c>
      <c r="H222" s="236">
        <v>60.0</v>
      </c>
      <c r="I222" s="236">
        <v>30.0</v>
      </c>
      <c r="J222" s="325">
        <f t="shared" si="2"/>
        <v>0.001934129593</v>
      </c>
      <c r="K222" s="326">
        <f t="shared" si="11"/>
        <v>1.515068181</v>
      </c>
      <c r="L222" s="327">
        <f t="shared" si="4"/>
        <v>9.872026389</v>
      </c>
      <c r="M222" s="321" t="str">
        <f t="shared" si="5"/>
        <v>vegayp</v>
      </c>
      <c r="N222" s="176">
        <f>IFERROR(__xludf.DUMMYFUNCTION("""COMPUTED_VALUE"""),2.0)</f>
        <v>2</v>
      </c>
      <c r="O222" s="176"/>
      <c r="P222" s="176"/>
      <c r="Q222" s="176"/>
      <c r="R222" s="176"/>
      <c r="S222" s="176"/>
      <c r="T222" s="176"/>
      <c r="U222" s="176"/>
      <c r="V222" s="176"/>
      <c r="W222" s="176"/>
      <c r="X222" s="176"/>
      <c r="Y222" s="176"/>
      <c r="Z222" s="176"/>
    </row>
    <row r="223">
      <c r="A223" s="226" t="s">
        <v>33</v>
      </c>
      <c r="B223" s="226" t="s">
        <v>590</v>
      </c>
      <c r="C223" s="250" t="s">
        <v>3455</v>
      </c>
      <c r="D223" s="268" t="s">
        <v>495</v>
      </c>
      <c r="E223" s="251">
        <v>44161.0</v>
      </c>
      <c r="F223" s="368" t="s">
        <v>496</v>
      </c>
      <c r="G223" s="236">
        <v>100.0</v>
      </c>
      <c r="H223" s="236">
        <v>100.0</v>
      </c>
      <c r="I223" s="236">
        <v>30.0</v>
      </c>
      <c r="J223" s="325">
        <f t="shared" si="2"/>
        <v>0.002578314604</v>
      </c>
      <c r="K223" s="326">
        <f t="shared" si="11"/>
        <v>2.019679773</v>
      </c>
      <c r="L223" s="327">
        <f t="shared" si="4"/>
        <v>9.872026389</v>
      </c>
      <c r="M223" s="321" t="str">
        <f t="shared" si="5"/>
        <v>vegayp</v>
      </c>
      <c r="N223" s="176">
        <f>IFERROR(__xludf.DUMMYFUNCTION("""COMPUTED_VALUE"""),3.0)</f>
        <v>3</v>
      </c>
      <c r="O223" s="176"/>
      <c r="P223" s="176"/>
      <c r="Q223" s="176"/>
      <c r="R223" s="176"/>
      <c r="S223" s="176"/>
      <c r="T223" s="176"/>
      <c r="U223" s="176"/>
      <c r="V223" s="176"/>
      <c r="W223" s="176"/>
      <c r="X223" s="176"/>
      <c r="Y223" s="176"/>
      <c r="Z223" s="176"/>
    </row>
    <row r="224">
      <c r="A224" s="226" t="s">
        <v>33</v>
      </c>
      <c r="B224" s="226" t="s">
        <v>5</v>
      </c>
      <c r="C224" s="250" t="s">
        <v>3390</v>
      </c>
      <c r="D224" s="268" t="s">
        <v>495</v>
      </c>
      <c r="E224" s="361">
        <v>44167.0</v>
      </c>
      <c r="F224" s="250" t="s">
        <v>496</v>
      </c>
      <c r="G224" s="171">
        <v>60.0</v>
      </c>
      <c r="H224" s="171">
        <v>60.0</v>
      </c>
      <c r="I224" s="171">
        <v>40.0</v>
      </c>
      <c r="J224" s="325">
        <f t="shared" si="2"/>
        <v>0.001858965846</v>
      </c>
      <c r="K224" s="326">
        <f t="shared" si="11"/>
        <v>1.456189913</v>
      </c>
      <c r="L224" s="327">
        <f t="shared" si="4"/>
        <v>9.872026389</v>
      </c>
      <c r="M224" s="321" t="str">
        <f t="shared" si="5"/>
        <v>vegayp</v>
      </c>
      <c r="N224" s="176">
        <f>IFERROR(__xludf.DUMMYFUNCTION("""COMPUTED_VALUE"""),4.0)</f>
        <v>4</v>
      </c>
      <c r="O224" s="176"/>
      <c r="P224" s="176"/>
      <c r="Q224" s="176"/>
      <c r="R224" s="176"/>
      <c r="S224" s="176"/>
      <c r="T224" s="176"/>
      <c r="U224" s="176"/>
      <c r="V224" s="176"/>
      <c r="W224" s="176"/>
      <c r="X224" s="176"/>
      <c r="Y224" s="176"/>
      <c r="Z224" s="176"/>
    </row>
    <row r="225">
      <c r="A225" s="226" t="s">
        <v>33</v>
      </c>
      <c r="B225" s="226" t="s">
        <v>10</v>
      </c>
      <c r="C225" s="250" t="s">
        <v>3456</v>
      </c>
      <c r="D225" s="268" t="s">
        <v>495</v>
      </c>
      <c r="E225" s="361">
        <v>44169.0</v>
      </c>
      <c r="F225" s="250" t="s">
        <v>496</v>
      </c>
      <c r="G225" s="171">
        <v>100.0</v>
      </c>
      <c r="H225" s="171">
        <v>40.0</v>
      </c>
      <c r="I225" s="171">
        <v>40.0</v>
      </c>
      <c r="J225" s="325">
        <f t="shared" si="2"/>
        <v>0.00207930212</v>
      </c>
      <c r="K225" s="326">
        <f t="shared" si="11"/>
        <v>1.62878666</v>
      </c>
      <c r="L225" s="327">
        <f t="shared" si="4"/>
        <v>9.872026389</v>
      </c>
      <c r="M225" s="321" t="str">
        <f t="shared" si="5"/>
        <v>vegayp</v>
      </c>
      <c r="N225" s="176">
        <f>IFERROR(__xludf.DUMMYFUNCTION("""COMPUTED_VALUE"""),5.0)</f>
        <v>5</v>
      </c>
      <c r="O225" s="176"/>
      <c r="P225" s="176"/>
      <c r="Q225" s="176"/>
      <c r="R225" s="176"/>
      <c r="S225" s="176"/>
      <c r="T225" s="176"/>
      <c r="U225" s="176"/>
      <c r="V225" s="176"/>
      <c r="W225" s="176"/>
      <c r="X225" s="176"/>
      <c r="Y225" s="176"/>
      <c r="Z225" s="176"/>
    </row>
    <row r="226">
      <c r="A226" s="226" t="s">
        <v>33</v>
      </c>
      <c r="B226" s="226" t="s">
        <v>590</v>
      </c>
      <c r="C226" s="250" t="s">
        <v>3404</v>
      </c>
      <c r="D226" s="268" t="s">
        <v>495</v>
      </c>
      <c r="E226" s="361">
        <v>44169.0</v>
      </c>
      <c r="F226" s="250" t="s">
        <v>496</v>
      </c>
      <c r="G226" s="171">
        <v>60.0</v>
      </c>
      <c r="H226" s="171">
        <v>60.0</v>
      </c>
      <c r="I226" s="171">
        <v>50.0</v>
      </c>
      <c r="J226" s="325">
        <f t="shared" si="2"/>
        <v>0.002000773612</v>
      </c>
      <c r="K226" s="326">
        <f t="shared" si="11"/>
        <v>1.567272663</v>
      </c>
      <c r="L226" s="327">
        <f t="shared" si="4"/>
        <v>9.872026389</v>
      </c>
      <c r="M226" s="321" t="str">
        <f t="shared" si="5"/>
        <v>vegayp</v>
      </c>
      <c r="N226" s="176">
        <f>IFERROR(__xludf.DUMMYFUNCTION("""COMPUTED_VALUE"""),6.0)</f>
        <v>6</v>
      </c>
      <c r="O226" s="176"/>
      <c r="P226" s="176"/>
      <c r="Q226" s="176"/>
      <c r="R226" s="176"/>
      <c r="S226" s="176"/>
      <c r="T226" s="176"/>
      <c r="U226" s="176"/>
      <c r="V226" s="176"/>
      <c r="W226" s="176"/>
      <c r="X226" s="176"/>
      <c r="Y226" s="176"/>
      <c r="Z226" s="176"/>
    </row>
    <row r="227">
      <c r="A227" s="226" t="s">
        <v>18</v>
      </c>
      <c r="B227" s="226" t="s">
        <v>6</v>
      </c>
      <c r="C227" s="250" t="s">
        <v>3364</v>
      </c>
      <c r="D227" s="268" t="s">
        <v>495</v>
      </c>
      <c r="E227" s="251">
        <v>44159.0</v>
      </c>
      <c r="F227" s="250" t="s">
        <v>496</v>
      </c>
      <c r="G227" s="268">
        <v>30.0</v>
      </c>
      <c r="H227" s="171">
        <v>60.0</v>
      </c>
      <c r="I227" s="171">
        <v>50.0</v>
      </c>
      <c r="J227" s="325">
        <f t="shared" si="2"/>
        <v>0.001675316344</v>
      </c>
      <c r="K227" s="326">
        <f t="shared" si="11"/>
        <v>1.312331136</v>
      </c>
      <c r="L227" s="327">
        <f t="shared" si="4"/>
        <v>9.052678764</v>
      </c>
      <c r="M227" s="321" t="str">
        <f t="shared" si="5"/>
        <v>liviade</v>
      </c>
      <c r="N227" s="176">
        <f>IFERROR(__xludf.DUMMYFUNCTION("""COMPUTED_VALUE"""),1.0)</f>
        <v>1</v>
      </c>
      <c r="O227" s="176"/>
      <c r="P227" s="176"/>
      <c r="Q227" s="176"/>
      <c r="R227" s="176"/>
      <c r="S227" s="176"/>
      <c r="T227" s="176"/>
      <c r="U227" s="176"/>
      <c r="V227" s="176"/>
      <c r="W227" s="176"/>
      <c r="X227" s="176"/>
      <c r="Y227" s="176"/>
      <c r="Z227" s="176"/>
    </row>
    <row r="228">
      <c r="A228" s="226" t="s">
        <v>18</v>
      </c>
      <c r="B228" s="226" t="s">
        <v>6</v>
      </c>
      <c r="C228" s="250" t="s">
        <v>3457</v>
      </c>
      <c r="D228" s="268" t="s">
        <v>495</v>
      </c>
      <c r="E228" s="251">
        <v>44159.0</v>
      </c>
      <c r="F228" s="250" t="s">
        <v>496</v>
      </c>
      <c r="G228" s="236">
        <v>200.0</v>
      </c>
      <c r="H228" s="171">
        <v>60.0</v>
      </c>
      <c r="I228" s="171">
        <v>120.0</v>
      </c>
      <c r="J228" s="325">
        <f t="shared" si="2"/>
        <v>0.004512228551</v>
      </c>
      <c r="K228" s="326">
        <f t="shared" si="11"/>
        <v>3.534579032</v>
      </c>
      <c r="L228" s="327">
        <f t="shared" si="4"/>
        <v>9.052678764</v>
      </c>
      <c r="M228" s="321" t="str">
        <f t="shared" si="5"/>
        <v>liviade</v>
      </c>
      <c r="N228" s="176">
        <f>IFERROR(__xludf.DUMMYFUNCTION("""COMPUTED_VALUE"""),2.0)</f>
        <v>2</v>
      </c>
      <c r="O228" s="176"/>
      <c r="P228" s="176"/>
      <c r="Q228" s="176"/>
      <c r="R228" s="176"/>
      <c r="S228" s="176"/>
      <c r="T228" s="176"/>
      <c r="U228" s="176"/>
      <c r="V228" s="176"/>
      <c r="W228" s="176"/>
      <c r="X228" s="176"/>
      <c r="Y228" s="176"/>
      <c r="Z228" s="176"/>
    </row>
    <row r="229">
      <c r="A229" s="226" t="s">
        <v>18</v>
      </c>
      <c r="B229" s="226" t="s">
        <v>5</v>
      </c>
      <c r="C229" s="250" t="s">
        <v>3365</v>
      </c>
      <c r="D229" s="268" t="s">
        <v>495</v>
      </c>
      <c r="E229" s="251">
        <v>44159.0</v>
      </c>
      <c r="F229" s="250" t="s">
        <v>496</v>
      </c>
      <c r="G229" s="171">
        <v>30.0</v>
      </c>
      <c r="H229" s="171">
        <v>70.0</v>
      </c>
      <c r="I229" s="171">
        <v>50.0</v>
      </c>
      <c r="J229" s="325">
        <f t="shared" si="2"/>
        <v>0.001782119719</v>
      </c>
      <c r="K229" s="326">
        <f t="shared" si="11"/>
        <v>1.39599378</v>
      </c>
      <c r="L229" s="327">
        <f t="shared" si="4"/>
        <v>9.052678764</v>
      </c>
      <c r="M229" s="321" t="str">
        <f t="shared" si="5"/>
        <v>liviade</v>
      </c>
      <c r="N229" s="176">
        <f>IFERROR(__xludf.DUMMYFUNCTION("""COMPUTED_VALUE"""),3.0)</f>
        <v>3</v>
      </c>
      <c r="O229" s="176"/>
      <c r="P229" s="176"/>
      <c r="Q229" s="176"/>
      <c r="R229" s="176"/>
      <c r="S229" s="176"/>
      <c r="T229" s="176"/>
      <c r="U229" s="176"/>
      <c r="V229" s="176"/>
      <c r="W229" s="176"/>
      <c r="X229" s="176"/>
      <c r="Y229" s="176"/>
      <c r="Z229" s="176"/>
    </row>
    <row r="230">
      <c r="A230" s="226" t="s">
        <v>18</v>
      </c>
      <c r="B230" s="226" t="s">
        <v>590</v>
      </c>
      <c r="C230" s="250" t="s">
        <v>3339</v>
      </c>
      <c r="D230" s="268" t="s">
        <v>495</v>
      </c>
      <c r="E230" s="251">
        <v>44159.0</v>
      </c>
      <c r="F230" s="250" t="s">
        <v>496</v>
      </c>
      <c r="G230" s="171">
        <v>30.0</v>
      </c>
      <c r="H230" s="171">
        <v>70.0</v>
      </c>
      <c r="I230" s="171">
        <v>50.0</v>
      </c>
      <c r="J230" s="325">
        <f t="shared" si="2"/>
        <v>0.001782119719</v>
      </c>
      <c r="K230" s="326">
        <f t="shared" si="11"/>
        <v>1.39599378</v>
      </c>
      <c r="L230" s="327">
        <f t="shared" si="4"/>
        <v>9.052678764</v>
      </c>
      <c r="M230" s="321" t="str">
        <f t="shared" si="5"/>
        <v>liviade</v>
      </c>
      <c r="N230" s="176">
        <f>IFERROR(__xludf.DUMMYFUNCTION("""COMPUTED_VALUE"""),4.0)</f>
        <v>4</v>
      </c>
      <c r="O230" s="176"/>
      <c r="P230" s="176"/>
      <c r="Q230" s="176"/>
      <c r="R230" s="176"/>
      <c r="S230" s="176"/>
      <c r="T230" s="176"/>
      <c r="U230" s="176"/>
      <c r="V230" s="176"/>
      <c r="W230" s="176"/>
      <c r="X230" s="176"/>
      <c r="Y230" s="176"/>
      <c r="Z230" s="176"/>
    </row>
    <row r="231">
      <c r="A231" s="226" t="s">
        <v>18</v>
      </c>
      <c r="B231" s="226" t="s">
        <v>1228</v>
      </c>
      <c r="C231" s="250" t="s">
        <v>3458</v>
      </c>
      <c r="D231" s="268" t="s">
        <v>495</v>
      </c>
      <c r="E231" s="251">
        <v>44159.0</v>
      </c>
      <c r="F231" s="250" t="s">
        <v>496</v>
      </c>
      <c r="G231" s="171">
        <v>200.0</v>
      </c>
      <c r="H231" s="171">
        <v>200.0</v>
      </c>
      <c r="I231" s="171">
        <v>100.0</v>
      </c>
      <c r="J231" s="325">
        <f t="shared" si="2"/>
        <v>0.00572386027</v>
      </c>
      <c r="K231" s="326">
        <f t="shared" si="11"/>
        <v>4.483690545</v>
      </c>
      <c r="L231" s="327">
        <f t="shared" si="4"/>
        <v>9.052678764</v>
      </c>
      <c r="M231" s="321" t="str">
        <f t="shared" si="5"/>
        <v>liviade</v>
      </c>
      <c r="N231" s="176">
        <f>IFERROR(__xludf.DUMMYFUNCTION("""COMPUTED_VALUE"""),5.0)</f>
        <v>5</v>
      </c>
      <c r="O231" s="176"/>
      <c r="P231" s="176"/>
      <c r="Q231" s="176"/>
      <c r="R231" s="176"/>
      <c r="S231" s="176"/>
      <c r="T231" s="176"/>
      <c r="U231" s="176"/>
      <c r="V231" s="176"/>
      <c r="W231" s="176"/>
      <c r="X231" s="176"/>
      <c r="Y231" s="176"/>
      <c r="Z231" s="176"/>
    </row>
    <row r="232">
      <c r="A232" s="226" t="s">
        <v>18</v>
      </c>
      <c r="B232" s="226" t="s">
        <v>925</v>
      </c>
      <c r="C232" s="250" t="s">
        <v>3459</v>
      </c>
      <c r="D232" s="268" t="s">
        <v>495</v>
      </c>
      <c r="E232" s="251">
        <v>44160.0</v>
      </c>
      <c r="F232" s="250" t="s">
        <v>496</v>
      </c>
      <c r="G232" s="171">
        <v>40.0</v>
      </c>
      <c r="H232" s="171">
        <v>50.0</v>
      </c>
      <c r="I232" s="171">
        <v>40.0</v>
      </c>
      <c r="J232" s="325">
        <f t="shared" si="2"/>
        <v>0.00153519096</v>
      </c>
      <c r="K232" s="326">
        <f t="shared" si="11"/>
        <v>1.202566252</v>
      </c>
      <c r="L232" s="327">
        <f t="shared" si="4"/>
        <v>9.052678764</v>
      </c>
      <c r="M232" s="321" t="str">
        <f t="shared" si="5"/>
        <v>liviade</v>
      </c>
      <c r="N232" s="176">
        <f>IFERROR(__xludf.DUMMYFUNCTION("""COMPUTED_VALUE"""),6.0)</f>
        <v>6</v>
      </c>
      <c r="O232" s="176"/>
      <c r="P232" s="176"/>
      <c r="Q232" s="176"/>
      <c r="R232" s="176"/>
      <c r="S232" s="176"/>
      <c r="T232" s="176"/>
      <c r="U232" s="176"/>
      <c r="V232" s="176"/>
      <c r="W232" s="176"/>
      <c r="X232" s="176"/>
      <c r="Y232" s="176"/>
      <c r="Z232" s="176"/>
    </row>
    <row r="233">
      <c r="A233" s="226" t="s">
        <v>18</v>
      </c>
      <c r="B233" s="226" t="s">
        <v>5</v>
      </c>
      <c r="C233" s="250" t="s">
        <v>3340</v>
      </c>
      <c r="D233" s="268" t="s">
        <v>495</v>
      </c>
      <c r="E233" s="251">
        <v>44160.0</v>
      </c>
      <c r="F233" s="250" t="s">
        <v>496</v>
      </c>
      <c r="G233" s="171">
        <v>50.0</v>
      </c>
      <c r="H233" s="171">
        <v>60.0</v>
      </c>
      <c r="I233" s="171">
        <v>20.0</v>
      </c>
      <c r="J233" s="325">
        <f t="shared" si="2"/>
        <v>0.00146686456</v>
      </c>
      <c r="K233" s="326">
        <f t="shared" si="11"/>
        <v>1.149043905</v>
      </c>
      <c r="L233" s="327">
        <f t="shared" si="4"/>
        <v>9.052678764</v>
      </c>
      <c r="M233" s="321" t="str">
        <f t="shared" si="5"/>
        <v>liviade</v>
      </c>
      <c r="N233" s="176">
        <f>IFERROR(__xludf.DUMMYFUNCTION("""COMPUTED_VALUE"""),7.0)</f>
        <v>7</v>
      </c>
      <c r="O233" s="176"/>
      <c r="P233" s="176"/>
      <c r="Q233" s="176"/>
      <c r="R233" s="176"/>
      <c r="S233" s="176"/>
      <c r="T233" s="176"/>
      <c r="U233" s="176"/>
      <c r="V233" s="176"/>
      <c r="W233" s="176"/>
      <c r="X233" s="176"/>
      <c r="Y233" s="176"/>
      <c r="Z233" s="176"/>
    </row>
    <row r="234">
      <c r="A234" s="226" t="s">
        <v>18</v>
      </c>
      <c r="B234" s="226" t="s">
        <v>5</v>
      </c>
      <c r="C234" s="250" t="s">
        <v>3383</v>
      </c>
      <c r="D234" s="268" t="s">
        <v>495</v>
      </c>
      <c r="E234" s="251">
        <v>44161.0</v>
      </c>
      <c r="F234" s="250" t="s">
        <v>496</v>
      </c>
      <c r="G234" s="171">
        <v>30.0</v>
      </c>
      <c r="H234" s="171">
        <v>60.0</v>
      </c>
      <c r="I234" s="171">
        <v>30.0</v>
      </c>
      <c r="J234" s="325">
        <f t="shared" si="2"/>
        <v>0.001391700814</v>
      </c>
      <c r="K234" s="326">
        <f t="shared" si="11"/>
        <v>1.090165637</v>
      </c>
      <c r="L234" s="327">
        <f t="shared" si="4"/>
        <v>9.052678764</v>
      </c>
      <c r="M234" s="321" t="str">
        <f t="shared" si="5"/>
        <v>liviade</v>
      </c>
      <c r="N234" s="176">
        <f>IFERROR(__xludf.DUMMYFUNCTION("""COMPUTED_VALUE"""),8.0)</f>
        <v>8</v>
      </c>
      <c r="O234" s="176"/>
      <c r="P234" s="176"/>
      <c r="Q234" s="176"/>
      <c r="R234" s="176"/>
      <c r="S234" s="176"/>
      <c r="T234" s="176"/>
      <c r="U234" s="176"/>
      <c r="V234" s="176"/>
      <c r="W234" s="176"/>
      <c r="X234" s="176"/>
      <c r="Y234" s="176"/>
      <c r="Z234" s="176"/>
    </row>
    <row r="235">
      <c r="A235" s="226" t="s">
        <v>18</v>
      </c>
      <c r="B235" s="226" t="s">
        <v>519</v>
      </c>
      <c r="C235" s="250" t="s">
        <v>3460</v>
      </c>
      <c r="D235" s="268" t="s">
        <v>495</v>
      </c>
      <c r="E235" s="251">
        <v>44161.0</v>
      </c>
      <c r="F235" s="250" t="s">
        <v>496</v>
      </c>
      <c r="G235" s="171">
        <v>200.0</v>
      </c>
      <c r="H235" s="171">
        <v>300.0</v>
      </c>
      <c r="I235" s="171">
        <v>200.0</v>
      </c>
      <c r="J235" s="325">
        <f t="shared" si="2"/>
        <v>0.008209971674</v>
      </c>
      <c r="K235" s="326">
        <f t="shared" si="11"/>
        <v>6.431144478</v>
      </c>
      <c r="L235" s="327">
        <f t="shared" si="4"/>
        <v>9.052678764</v>
      </c>
      <c r="M235" s="321" t="str">
        <f t="shared" si="5"/>
        <v>liviade</v>
      </c>
      <c r="N235" s="176">
        <f>IFERROR(__xludf.DUMMYFUNCTION("""COMPUTED_VALUE"""),9.0)</f>
        <v>9</v>
      </c>
      <c r="O235" s="176"/>
      <c r="P235" s="176"/>
      <c r="Q235" s="176"/>
      <c r="R235" s="176"/>
      <c r="S235" s="176"/>
      <c r="T235" s="176"/>
      <c r="U235" s="176"/>
      <c r="V235" s="176"/>
      <c r="W235" s="176"/>
      <c r="X235" s="176"/>
      <c r="Y235" s="176"/>
      <c r="Z235" s="176"/>
    </row>
    <row r="236">
      <c r="A236" s="226" t="s">
        <v>18</v>
      </c>
      <c r="B236" s="226" t="s">
        <v>519</v>
      </c>
      <c r="C236" s="250" t="s">
        <v>3368</v>
      </c>
      <c r="D236" s="268" t="s">
        <v>495</v>
      </c>
      <c r="E236" s="251">
        <v>44161.0</v>
      </c>
      <c r="F236" s="250" t="s">
        <v>496</v>
      </c>
      <c r="G236" s="171">
        <v>20.0</v>
      </c>
      <c r="H236" s="171">
        <v>20.0</v>
      </c>
      <c r="I236" s="171">
        <v>30.0</v>
      </c>
      <c r="J236" s="325">
        <f t="shared" si="2"/>
        <v>0.0008560015578</v>
      </c>
      <c r="K236" s="326">
        <f t="shared" si="11"/>
        <v>0.6705345536</v>
      </c>
      <c r="L236" s="327">
        <f t="shared" si="4"/>
        <v>9.052678764</v>
      </c>
      <c r="M236" s="321" t="str">
        <f t="shared" si="5"/>
        <v>liviade</v>
      </c>
      <c r="N236" s="176">
        <f>IFERROR(__xludf.DUMMYFUNCTION("""COMPUTED_VALUE"""),10.0)</f>
        <v>10</v>
      </c>
      <c r="O236" s="176"/>
      <c r="P236" s="176"/>
      <c r="Q236" s="176"/>
      <c r="R236" s="176"/>
      <c r="S236" s="176"/>
      <c r="T236" s="176"/>
      <c r="U236" s="176"/>
      <c r="V236" s="176"/>
      <c r="W236" s="176"/>
      <c r="X236" s="176"/>
      <c r="Y236" s="176"/>
      <c r="Z236" s="176"/>
    </row>
    <row r="237">
      <c r="A237" s="226" t="s">
        <v>18</v>
      </c>
      <c r="B237" s="226" t="s">
        <v>1228</v>
      </c>
      <c r="C237" s="250" t="s">
        <v>3386</v>
      </c>
      <c r="D237" s="268" t="s">
        <v>495</v>
      </c>
      <c r="E237" s="251">
        <v>44161.0</v>
      </c>
      <c r="F237" s="250" t="s">
        <v>496</v>
      </c>
      <c r="G237" s="171">
        <v>100.0</v>
      </c>
      <c r="H237" s="171">
        <v>60.0</v>
      </c>
      <c r="I237" s="171">
        <v>50.0</v>
      </c>
      <c r="J237" s="325">
        <f t="shared" si="2"/>
        <v>0.002434716635</v>
      </c>
      <c r="K237" s="326">
        <f t="shared" si="11"/>
        <v>1.907194697</v>
      </c>
      <c r="L237" s="327">
        <f t="shared" si="4"/>
        <v>9.052678764</v>
      </c>
      <c r="M237" s="321" t="str">
        <f t="shared" si="5"/>
        <v>liviade</v>
      </c>
      <c r="N237" s="176">
        <f>IFERROR(__xludf.DUMMYFUNCTION("""COMPUTED_VALUE"""),11.0)</f>
        <v>11</v>
      </c>
      <c r="O237" s="176"/>
      <c r="P237" s="176"/>
      <c r="Q237" s="176"/>
      <c r="R237" s="176"/>
      <c r="S237" s="176"/>
      <c r="T237" s="176"/>
      <c r="U237" s="176"/>
      <c r="V237" s="176"/>
      <c r="W237" s="176"/>
      <c r="X237" s="176"/>
      <c r="Y237" s="176"/>
      <c r="Z237" s="176"/>
    </row>
    <row r="238">
      <c r="A238" s="226" t="s">
        <v>18</v>
      </c>
      <c r="B238" s="226" t="s">
        <v>867</v>
      </c>
      <c r="C238" s="250" t="s">
        <v>3461</v>
      </c>
      <c r="D238" s="268" t="s">
        <v>495</v>
      </c>
      <c r="E238" s="251">
        <v>44161.0</v>
      </c>
      <c r="F238" s="250" t="s">
        <v>496</v>
      </c>
      <c r="G238" s="171">
        <v>100.0</v>
      </c>
      <c r="H238" s="171">
        <v>50.0</v>
      </c>
      <c r="I238" s="171">
        <v>50.0</v>
      </c>
      <c r="J238" s="325">
        <f t="shared" si="2"/>
        <v>0.00232791326</v>
      </c>
      <c r="K238" s="326">
        <f t="shared" si="11"/>
        <v>1.823532054</v>
      </c>
      <c r="L238" s="327">
        <f t="shared" si="4"/>
        <v>9.052678764</v>
      </c>
      <c r="M238" s="321" t="str">
        <f t="shared" si="5"/>
        <v>liviade</v>
      </c>
      <c r="N238" s="176">
        <f>IFERROR(__xludf.DUMMYFUNCTION("""COMPUTED_VALUE"""),12.0)</f>
        <v>12</v>
      </c>
      <c r="O238" s="176"/>
      <c r="P238" s="176"/>
      <c r="Q238" s="176"/>
      <c r="R238" s="176"/>
      <c r="S238" s="176"/>
      <c r="T238" s="176"/>
      <c r="U238" s="176"/>
      <c r="V238" s="176"/>
      <c r="W238" s="176"/>
      <c r="X238" s="176"/>
      <c r="Y238" s="176"/>
      <c r="Z238" s="176"/>
    </row>
    <row r="239">
      <c r="A239" s="226" t="s">
        <v>18</v>
      </c>
      <c r="B239" s="226" t="s">
        <v>10</v>
      </c>
      <c r="C239" s="250" t="s">
        <v>3369</v>
      </c>
      <c r="D239" s="268" t="s">
        <v>495</v>
      </c>
      <c r="E239" s="251">
        <v>44162.0</v>
      </c>
      <c r="F239" s="250" t="s">
        <v>496</v>
      </c>
      <c r="G239" s="171">
        <v>50.0</v>
      </c>
      <c r="H239" s="171">
        <v>60.0</v>
      </c>
      <c r="I239" s="171">
        <v>30.0</v>
      </c>
      <c r="J239" s="325">
        <f t="shared" si="2"/>
        <v>0.001608672325</v>
      </c>
      <c r="K239" s="326">
        <f t="shared" si="11"/>
        <v>1.260126655</v>
      </c>
      <c r="L239" s="327">
        <f t="shared" si="4"/>
        <v>9.052678764</v>
      </c>
      <c r="M239" s="321" t="str">
        <f t="shared" si="5"/>
        <v>liviade</v>
      </c>
      <c r="N239" s="176">
        <f>IFERROR(__xludf.DUMMYFUNCTION("""COMPUTED_VALUE"""),13.0)</f>
        <v>13</v>
      </c>
      <c r="O239" s="176"/>
      <c r="P239" s="176"/>
      <c r="Q239" s="176"/>
      <c r="R239" s="176"/>
      <c r="S239" s="176"/>
      <c r="T239" s="176"/>
      <c r="U239" s="176"/>
      <c r="V239" s="176"/>
      <c r="W239" s="176"/>
      <c r="X239" s="176"/>
      <c r="Y239" s="176"/>
      <c r="Z239" s="176"/>
    </row>
    <row r="240">
      <c r="A240" s="226" t="s">
        <v>18</v>
      </c>
      <c r="B240" s="226" t="s">
        <v>10</v>
      </c>
      <c r="C240" s="250" t="s">
        <v>3462</v>
      </c>
      <c r="D240" s="268" t="s">
        <v>495</v>
      </c>
      <c r="E240" s="251">
        <v>44162.0</v>
      </c>
      <c r="F240" s="250" t="s">
        <v>496</v>
      </c>
      <c r="G240" s="171">
        <v>100.0</v>
      </c>
      <c r="H240" s="171">
        <v>120.0</v>
      </c>
      <c r="I240" s="171">
        <v>100.0</v>
      </c>
      <c r="J240" s="325">
        <f t="shared" si="2"/>
        <v>0.003784575712</v>
      </c>
      <c r="K240" s="326">
        <f t="shared" si="11"/>
        <v>2.964584308</v>
      </c>
      <c r="L240" s="327">
        <f t="shared" si="4"/>
        <v>9.052678764</v>
      </c>
      <c r="M240" s="321" t="str">
        <f t="shared" si="5"/>
        <v>liviade</v>
      </c>
      <c r="N240" s="176">
        <f>IFERROR(__xludf.DUMMYFUNCTION("""COMPUTED_VALUE"""),14.0)</f>
        <v>14</v>
      </c>
      <c r="O240" s="176"/>
      <c r="P240" s="176"/>
      <c r="Q240" s="176"/>
      <c r="R240" s="176"/>
      <c r="S240" s="176"/>
      <c r="T240" s="176"/>
      <c r="U240" s="176"/>
      <c r="V240" s="176"/>
      <c r="W240" s="176"/>
      <c r="X240" s="176"/>
      <c r="Y240" s="176"/>
      <c r="Z240" s="176"/>
    </row>
    <row r="241">
      <c r="A241" s="226" t="s">
        <v>18</v>
      </c>
      <c r="B241" s="226" t="s">
        <v>10</v>
      </c>
      <c r="C241" s="250" t="s">
        <v>3387</v>
      </c>
      <c r="D241" s="268" t="s">
        <v>495</v>
      </c>
      <c r="E241" s="251">
        <v>44162.0</v>
      </c>
      <c r="F241" s="250" t="s">
        <v>496</v>
      </c>
      <c r="G241" s="171">
        <v>40.0</v>
      </c>
      <c r="H241" s="171">
        <v>30.0</v>
      </c>
      <c r="I241" s="171">
        <v>30.0</v>
      </c>
      <c r="J241" s="325">
        <f t="shared" si="2"/>
        <v>0.001179776444</v>
      </c>
      <c r="K241" s="326">
        <f t="shared" si="11"/>
        <v>0.9241582148</v>
      </c>
      <c r="L241" s="327">
        <f t="shared" si="4"/>
        <v>9.052678764</v>
      </c>
      <c r="M241" s="321" t="str">
        <f t="shared" si="5"/>
        <v>liviade</v>
      </c>
      <c r="N241" s="176">
        <f>IFERROR(__xludf.DUMMYFUNCTION("""COMPUTED_VALUE"""),15.0)</f>
        <v>15</v>
      </c>
      <c r="O241" s="176"/>
      <c r="P241" s="176"/>
      <c r="Q241" s="176"/>
      <c r="R241" s="176"/>
      <c r="S241" s="176"/>
      <c r="T241" s="176"/>
      <c r="U241" s="176"/>
      <c r="V241" s="176"/>
      <c r="W241" s="176"/>
      <c r="X241" s="176"/>
      <c r="Y241" s="176"/>
      <c r="Z241" s="176"/>
    </row>
    <row r="242">
      <c r="A242" s="226" t="s">
        <v>18</v>
      </c>
      <c r="B242" s="226" t="s">
        <v>10</v>
      </c>
      <c r="C242" s="250" t="s">
        <v>3345</v>
      </c>
      <c r="D242" s="268" t="s">
        <v>495</v>
      </c>
      <c r="E242" s="251">
        <v>44163.0</v>
      </c>
      <c r="F242" s="258" t="s">
        <v>496</v>
      </c>
      <c r="G242" s="171">
        <v>40.0</v>
      </c>
      <c r="H242" s="171">
        <v>30.0</v>
      </c>
      <c r="I242" s="171">
        <v>30.0</v>
      </c>
      <c r="J242" s="325">
        <f t="shared" si="2"/>
        <v>0.001179776444</v>
      </c>
      <c r="K242" s="326">
        <f t="shared" si="11"/>
        <v>0.9241582148</v>
      </c>
      <c r="L242" s="327">
        <f t="shared" si="4"/>
        <v>9.052678764</v>
      </c>
      <c r="M242" s="321" t="str">
        <f t="shared" si="5"/>
        <v>liviade</v>
      </c>
      <c r="N242" s="176">
        <f>IFERROR(__xludf.DUMMYFUNCTION("""COMPUTED_VALUE"""),16.0)</f>
        <v>16</v>
      </c>
      <c r="O242" s="176"/>
      <c r="P242" s="176"/>
      <c r="Q242" s="176"/>
      <c r="R242" s="176"/>
      <c r="S242" s="176"/>
      <c r="T242" s="176"/>
      <c r="U242" s="176"/>
      <c r="V242" s="176"/>
      <c r="W242" s="176"/>
      <c r="X242" s="176"/>
      <c r="Y242" s="176"/>
      <c r="Z242" s="176"/>
    </row>
    <row r="243">
      <c r="A243" s="226" t="s">
        <v>18</v>
      </c>
      <c r="B243" s="226" t="s">
        <v>867</v>
      </c>
      <c r="C243" s="250" t="s">
        <v>3463</v>
      </c>
      <c r="D243" s="268" t="s">
        <v>495</v>
      </c>
      <c r="E243" s="361">
        <v>44166.0</v>
      </c>
      <c r="F243" s="250" t="s">
        <v>496</v>
      </c>
      <c r="G243" s="171">
        <v>100.0</v>
      </c>
      <c r="H243" s="171">
        <v>140.0</v>
      </c>
      <c r="I243" s="171">
        <v>100.0</v>
      </c>
      <c r="J243" s="325">
        <f t="shared" si="2"/>
        <v>0.003998182462</v>
      </c>
      <c r="K243" s="326">
        <f t="shared" si="11"/>
        <v>3.131909595</v>
      </c>
      <c r="L243" s="327">
        <f t="shared" si="4"/>
        <v>9.052678764</v>
      </c>
      <c r="M243" s="321" t="str">
        <f t="shared" si="5"/>
        <v>liviade</v>
      </c>
      <c r="N243" s="176">
        <f>IFERROR(__xludf.DUMMYFUNCTION("""COMPUTED_VALUE"""),17.0)</f>
        <v>17</v>
      </c>
      <c r="O243" s="176"/>
      <c r="P243" s="176"/>
      <c r="Q243" s="176"/>
      <c r="R243" s="176"/>
      <c r="S243" s="176"/>
      <c r="T243" s="176"/>
      <c r="U243" s="176"/>
      <c r="V243" s="176"/>
      <c r="W243" s="176"/>
      <c r="X243" s="176"/>
      <c r="Y243" s="176"/>
      <c r="Z243" s="176"/>
    </row>
    <row r="244">
      <c r="A244" s="226" t="s">
        <v>18</v>
      </c>
      <c r="B244" s="226" t="s">
        <v>845</v>
      </c>
      <c r="C244" s="250" t="s">
        <v>3464</v>
      </c>
      <c r="D244" s="268" t="s">
        <v>495</v>
      </c>
      <c r="E244" s="361">
        <v>44166.0</v>
      </c>
      <c r="F244" s="250" t="s">
        <v>496</v>
      </c>
      <c r="G244" s="171">
        <v>20.0</v>
      </c>
      <c r="H244" s="171">
        <v>30.0</v>
      </c>
      <c r="I244" s="171">
        <v>20.0</v>
      </c>
      <c r="J244" s="325">
        <f t="shared" si="2"/>
        <v>0.0008209971674</v>
      </c>
      <c r="K244" s="326">
        <f t="shared" si="11"/>
        <v>0.6431144478</v>
      </c>
      <c r="L244" s="327">
        <f t="shared" si="4"/>
        <v>9.052678764</v>
      </c>
      <c r="M244" s="321" t="str">
        <f t="shared" si="5"/>
        <v>liviade</v>
      </c>
      <c r="N244" s="176">
        <f>IFERROR(__xludf.DUMMYFUNCTION("""COMPUTED_VALUE"""),18.0)</f>
        <v>18</v>
      </c>
      <c r="O244" s="176"/>
      <c r="P244" s="176"/>
      <c r="Q244" s="176"/>
      <c r="R244" s="176"/>
      <c r="S244" s="176"/>
      <c r="T244" s="176"/>
      <c r="U244" s="176"/>
      <c r="V244" s="176"/>
      <c r="W244" s="176"/>
      <c r="X244" s="176"/>
      <c r="Y244" s="176"/>
      <c r="Z244" s="176"/>
    </row>
    <row r="245">
      <c r="A245" s="226" t="s">
        <v>18</v>
      </c>
      <c r="B245" s="226" t="s">
        <v>18</v>
      </c>
      <c r="C245" s="250" t="s">
        <v>3347</v>
      </c>
      <c r="D245" s="268" t="s">
        <v>495</v>
      </c>
      <c r="E245" s="361">
        <v>44166.0</v>
      </c>
      <c r="F245" s="250" t="s">
        <v>496</v>
      </c>
      <c r="G245" s="171">
        <v>60.0</v>
      </c>
      <c r="H245" s="171">
        <v>60.0</v>
      </c>
      <c r="I245" s="171">
        <v>40.0</v>
      </c>
      <c r="J245" s="325">
        <f t="shared" si="2"/>
        <v>0.001858965846</v>
      </c>
      <c r="K245" s="326">
        <f t="shared" si="11"/>
        <v>1.456189913</v>
      </c>
      <c r="L245" s="327">
        <f t="shared" si="4"/>
        <v>9.052678764</v>
      </c>
      <c r="M245" s="321" t="str">
        <f t="shared" si="5"/>
        <v>liviade</v>
      </c>
      <c r="N245" s="176">
        <f>IFERROR(__xludf.DUMMYFUNCTION("""COMPUTED_VALUE"""),19.0)</f>
        <v>19</v>
      </c>
      <c r="O245" s="176"/>
      <c r="P245" s="176"/>
      <c r="Q245" s="176"/>
      <c r="R245" s="176"/>
      <c r="S245" s="176"/>
      <c r="T245" s="176"/>
      <c r="U245" s="176"/>
      <c r="V245" s="176"/>
      <c r="W245" s="176"/>
      <c r="X245" s="176"/>
      <c r="Y245" s="176"/>
      <c r="Z245" s="176"/>
    </row>
    <row r="246">
      <c r="A246" s="226" t="s">
        <v>18</v>
      </c>
      <c r="B246" s="226" t="s">
        <v>18</v>
      </c>
      <c r="C246" s="250" t="s">
        <v>3348</v>
      </c>
      <c r="D246" s="268" t="s">
        <v>495</v>
      </c>
      <c r="E246" s="361">
        <v>44166.0</v>
      </c>
      <c r="F246" s="250" t="s">
        <v>496</v>
      </c>
      <c r="G246" s="171">
        <v>100.0</v>
      </c>
      <c r="H246" s="171">
        <v>60.0</v>
      </c>
      <c r="I246" s="171">
        <v>100.0</v>
      </c>
      <c r="J246" s="325">
        <f t="shared" si="2"/>
        <v>0.003143755462</v>
      </c>
      <c r="K246" s="326">
        <f t="shared" si="11"/>
        <v>2.462608445</v>
      </c>
      <c r="L246" s="327">
        <f t="shared" si="4"/>
        <v>9.052678764</v>
      </c>
      <c r="M246" s="321" t="str">
        <f t="shared" si="5"/>
        <v>liviade</v>
      </c>
      <c r="N246" s="176">
        <f>IFERROR(__xludf.DUMMYFUNCTION("""COMPUTED_VALUE"""),20.0)</f>
        <v>20</v>
      </c>
      <c r="O246" s="176"/>
      <c r="P246" s="176"/>
      <c r="Q246" s="176"/>
      <c r="R246" s="176"/>
      <c r="S246" s="176"/>
      <c r="T246" s="176"/>
      <c r="U246" s="176"/>
      <c r="V246" s="176"/>
      <c r="W246" s="176"/>
      <c r="X246" s="176"/>
      <c r="Y246" s="176"/>
      <c r="Z246" s="176"/>
    </row>
    <row r="247">
      <c r="A247" s="226" t="s">
        <v>18</v>
      </c>
      <c r="B247" s="226" t="s">
        <v>590</v>
      </c>
      <c r="C247" s="250" t="s">
        <v>3350</v>
      </c>
      <c r="D247" s="268" t="s">
        <v>495</v>
      </c>
      <c r="E247" s="361">
        <v>44166.0</v>
      </c>
      <c r="F247" s="250" t="s">
        <v>496</v>
      </c>
      <c r="G247" s="171">
        <v>20.0</v>
      </c>
      <c r="H247" s="171">
        <v>60.0</v>
      </c>
      <c r="I247" s="171">
        <v>40.0</v>
      </c>
      <c r="J247" s="325">
        <f t="shared" si="2"/>
        <v>0.001425022823</v>
      </c>
      <c r="K247" s="326">
        <f t="shared" si="11"/>
        <v>1.116267878</v>
      </c>
      <c r="L247" s="327">
        <f t="shared" si="4"/>
        <v>9.052678764</v>
      </c>
      <c r="M247" s="321" t="str">
        <f t="shared" si="5"/>
        <v>liviade</v>
      </c>
      <c r="N247" s="176">
        <f>IFERROR(__xludf.DUMMYFUNCTION("""COMPUTED_VALUE"""),21.0)</f>
        <v>21</v>
      </c>
      <c r="O247" s="176"/>
      <c r="P247" s="176"/>
      <c r="Q247" s="176"/>
      <c r="R247" s="176"/>
      <c r="S247" s="176"/>
      <c r="T247" s="176"/>
      <c r="U247" s="176"/>
      <c r="V247" s="176"/>
      <c r="W247" s="176"/>
      <c r="X247" s="176"/>
      <c r="Y247" s="176"/>
      <c r="Z247" s="176"/>
    </row>
    <row r="248">
      <c r="A248" s="226" t="s">
        <v>18</v>
      </c>
      <c r="B248" s="226" t="s">
        <v>867</v>
      </c>
      <c r="C248" s="250" t="s">
        <v>3465</v>
      </c>
      <c r="D248" s="268" t="s">
        <v>495</v>
      </c>
      <c r="E248" s="361">
        <v>44167.0</v>
      </c>
      <c r="F248" s="250" t="s">
        <v>496</v>
      </c>
      <c r="G248" s="171">
        <v>100.0</v>
      </c>
      <c r="H248" s="171">
        <v>200.0</v>
      </c>
      <c r="I248" s="171">
        <v>100.0</v>
      </c>
      <c r="J248" s="325">
        <f t="shared" si="2"/>
        <v>0.004639002712</v>
      </c>
      <c r="K248" s="326">
        <f t="shared" si="11"/>
        <v>3.633885458</v>
      </c>
      <c r="L248" s="327">
        <f t="shared" si="4"/>
        <v>9.052678764</v>
      </c>
      <c r="M248" s="321" t="str">
        <f t="shared" si="5"/>
        <v>liviade</v>
      </c>
      <c r="N248" s="176">
        <f>IFERROR(__xludf.DUMMYFUNCTION("""COMPUTED_VALUE"""),22.0)</f>
        <v>22</v>
      </c>
      <c r="O248" s="176"/>
      <c r="P248" s="176"/>
      <c r="Q248" s="176"/>
      <c r="R248" s="176"/>
      <c r="S248" s="176"/>
      <c r="T248" s="176"/>
      <c r="U248" s="176"/>
      <c r="V248" s="176"/>
      <c r="W248" s="176"/>
      <c r="X248" s="176"/>
      <c r="Y248" s="176"/>
      <c r="Z248" s="176"/>
    </row>
    <row r="249">
      <c r="A249" s="226" t="s">
        <v>18</v>
      </c>
      <c r="B249" s="226" t="s">
        <v>5</v>
      </c>
      <c r="C249" s="250" t="s">
        <v>3390</v>
      </c>
      <c r="D249" s="268" t="s">
        <v>495</v>
      </c>
      <c r="E249" s="361">
        <v>44167.0</v>
      </c>
      <c r="F249" s="250" t="s">
        <v>496</v>
      </c>
      <c r="G249" s="171">
        <v>20.0</v>
      </c>
      <c r="H249" s="171">
        <v>60.0</v>
      </c>
      <c r="I249" s="171">
        <v>40.0</v>
      </c>
      <c r="J249" s="325">
        <f t="shared" si="2"/>
        <v>0.001425022823</v>
      </c>
      <c r="K249" s="326">
        <f t="shared" si="11"/>
        <v>1.116267878</v>
      </c>
      <c r="L249" s="327">
        <f t="shared" si="4"/>
        <v>9.052678764</v>
      </c>
      <c r="M249" s="321" t="str">
        <f t="shared" si="5"/>
        <v>liviade</v>
      </c>
      <c r="N249" s="176">
        <f>IFERROR(__xludf.DUMMYFUNCTION("""COMPUTED_VALUE"""),23.0)</f>
        <v>23</v>
      </c>
      <c r="O249" s="176"/>
      <c r="P249" s="176"/>
      <c r="Q249" s="176"/>
      <c r="R249" s="176"/>
      <c r="S249" s="176"/>
      <c r="T249" s="176"/>
      <c r="U249" s="176"/>
      <c r="V249" s="176"/>
      <c r="W249" s="176"/>
      <c r="X249" s="176"/>
      <c r="Y249" s="176"/>
      <c r="Z249" s="176"/>
    </row>
    <row r="250">
      <c r="A250" s="226" t="s">
        <v>18</v>
      </c>
      <c r="B250" s="226" t="s">
        <v>5</v>
      </c>
      <c r="C250" s="250" t="s">
        <v>3400</v>
      </c>
      <c r="D250" s="268" t="s">
        <v>495</v>
      </c>
      <c r="E250" s="361">
        <v>44167.0</v>
      </c>
      <c r="F250" s="250" t="s">
        <v>496</v>
      </c>
      <c r="G250" s="171">
        <v>60.0</v>
      </c>
      <c r="H250" s="171">
        <v>40.0</v>
      </c>
      <c r="I250" s="171">
        <v>40.0</v>
      </c>
      <c r="J250" s="325">
        <f t="shared" si="2"/>
        <v>0.001645359096</v>
      </c>
      <c r="K250" s="326">
        <f t="shared" si="11"/>
        <v>1.288864626</v>
      </c>
      <c r="L250" s="327">
        <f t="shared" si="4"/>
        <v>9.052678764</v>
      </c>
      <c r="M250" s="321" t="str">
        <f t="shared" si="5"/>
        <v>liviade</v>
      </c>
      <c r="N250" s="176">
        <f>IFERROR(__xludf.DUMMYFUNCTION("""COMPUTED_VALUE"""),24.0)</f>
        <v>24</v>
      </c>
      <c r="O250" s="176"/>
      <c r="P250" s="176"/>
      <c r="Q250" s="176"/>
      <c r="R250" s="176"/>
      <c r="S250" s="176"/>
      <c r="T250" s="176"/>
      <c r="U250" s="176"/>
      <c r="V250" s="176"/>
      <c r="W250" s="176"/>
      <c r="X250" s="176"/>
      <c r="Y250" s="176"/>
      <c r="Z250" s="176"/>
    </row>
    <row r="251">
      <c r="A251" s="226" t="s">
        <v>18</v>
      </c>
      <c r="B251" s="226" t="s">
        <v>1228</v>
      </c>
      <c r="C251" s="250" t="s">
        <v>3393</v>
      </c>
      <c r="D251" s="268" t="s">
        <v>495</v>
      </c>
      <c r="E251" s="361">
        <v>44168.0</v>
      </c>
      <c r="F251" s="250" t="s">
        <v>496</v>
      </c>
      <c r="G251" s="171">
        <v>50.0</v>
      </c>
      <c r="H251" s="171">
        <v>60.0</v>
      </c>
      <c r="I251" s="171">
        <v>40.0</v>
      </c>
      <c r="J251" s="325">
        <f t="shared" si="2"/>
        <v>0.001750480091</v>
      </c>
      <c r="K251" s="326">
        <f t="shared" si="11"/>
        <v>1.371209404</v>
      </c>
      <c r="L251" s="327">
        <f t="shared" si="4"/>
        <v>9.052678764</v>
      </c>
      <c r="M251" s="321" t="str">
        <f t="shared" si="5"/>
        <v>liviade</v>
      </c>
      <c r="N251" s="176">
        <f>IFERROR(__xludf.DUMMYFUNCTION("""COMPUTED_VALUE"""),25.0)</f>
        <v>25</v>
      </c>
      <c r="O251" s="176"/>
      <c r="P251" s="176"/>
      <c r="Q251" s="176"/>
      <c r="R251" s="176"/>
      <c r="S251" s="176"/>
      <c r="T251" s="176"/>
      <c r="U251" s="176"/>
      <c r="V251" s="176"/>
      <c r="W251" s="176"/>
      <c r="X251" s="176"/>
      <c r="Y251" s="176"/>
      <c r="Z251" s="176"/>
    </row>
    <row r="252">
      <c r="A252" s="226" t="s">
        <v>18</v>
      </c>
      <c r="B252" s="226" t="s">
        <v>25</v>
      </c>
      <c r="C252" s="250" t="s">
        <v>3353</v>
      </c>
      <c r="D252" s="268" t="s">
        <v>495</v>
      </c>
      <c r="E252" s="361">
        <v>44168.0</v>
      </c>
      <c r="F252" s="258" t="s">
        <v>496</v>
      </c>
      <c r="G252" s="171">
        <v>30.0</v>
      </c>
      <c r="H252" s="171">
        <v>30.0</v>
      </c>
      <c r="I252" s="171">
        <v>25.0</v>
      </c>
      <c r="J252" s="325">
        <f t="shared" si="2"/>
        <v>0.001000386806</v>
      </c>
      <c r="K252" s="326">
        <f t="shared" si="11"/>
        <v>0.7836363313</v>
      </c>
      <c r="L252" s="327">
        <f t="shared" si="4"/>
        <v>9.052678764</v>
      </c>
      <c r="M252" s="321" t="str">
        <f t="shared" si="5"/>
        <v>liviade</v>
      </c>
      <c r="N252" s="176">
        <f>IFERROR(__xludf.DUMMYFUNCTION("""COMPUTED_VALUE"""),26.0)</f>
        <v>26</v>
      </c>
      <c r="O252" s="176"/>
      <c r="P252" s="176"/>
      <c r="Q252" s="176"/>
      <c r="R252" s="176"/>
      <c r="S252" s="176"/>
      <c r="T252" s="176"/>
      <c r="U252" s="176"/>
      <c r="V252" s="176"/>
      <c r="W252" s="176"/>
      <c r="X252" s="176"/>
      <c r="Y252" s="176"/>
      <c r="Z252" s="176"/>
    </row>
    <row r="253">
      <c r="A253" s="226" t="s">
        <v>18</v>
      </c>
      <c r="B253" s="226" t="s">
        <v>10</v>
      </c>
      <c r="C253" s="250" t="s">
        <v>3456</v>
      </c>
      <c r="D253" s="268" t="s">
        <v>495</v>
      </c>
      <c r="E253" s="361">
        <v>44169.0</v>
      </c>
      <c r="F253" s="250" t="s">
        <v>496</v>
      </c>
      <c r="G253" s="171">
        <v>45.0</v>
      </c>
      <c r="H253" s="171">
        <v>40.0</v>
      </c>
      <c r="I253" s="171">
        <v>40.0</v>
      </c>
      <c r="J253" s="325">
        <f t="shared" si="2"/>
        <v>0.001482630463</v>
      </c>
      <c r="K253" s="326">
        <f t="shared" si="11"/>
        <v>1.161393862</v>
      </c>
      <c r="L253" s="327">
        <f t="shared" si="4"/>
        <v>9.052678764</v>
      </c>
      <c r="M253" s="321" t="str">
        <f t="shared" si="5"/>
        <v>liviade</v>
      </c>
      <c r="N253" s="176">
        <f>IFERROR(__xludf.DUMMYFUNCTION("""COMPUTED_VALUE"""),27.0)</f>
        <v>27</v>
      </c>
      <c r="O253" s="176"/>
      <c r="P253" s="176"/>
      <c r="Q253" s="176"/>
      <c r="R253" s="176"/>
      <c r="S253" s="176"/>
      <c r="T253" s="176"/>
      <c r="U253" s="176"/>
      <c r="V253" s="176"/>
      <c r="W253" s="176"/>
      <c r="X253" s="176"/>
      <c r="Y253" s="176"/>
      <c r="Z253" s="176"/>
    </row>
    <row r="254">
      <c r="A254" s="226" t="s">
        <v>18</v>
      </c>
      <c r="B254" s="226" t="s">
        <v>10</v>
      </c>
      <c r="C254" s="250" t="s">
        <v>3356</v>
      </c>
      <c r="D254" s="268" t="s">
        <v>495</v>
      </c>
      <c r="E254" s="361">
        <v>44169.0</v>
      </c>
      <c r="F254" s="250" t="s">
        <v>496</v>
      </c>
      <c r="G254" s="171">
        <v>60.0</v>
      </c>
      <c r="H254" s="171">
        <v>60.0</v>
      </c>
      <c r="I254" s="171">
        <v>40.0</v>
      </c>
      <c r="J254" s="325">
        <f t="shared" si="2"/>
        <v>0.001858965846</v>
      </c>
      <c r="K254" s="326">
        <f t="shared" si="11"/>
        <v>1.456189913</v>
      </c>
      <c r="L254" s="327">
        <f t="shared" si="4"/>
        <v>9.052678764</v>
      </c>
      <c r="M254" s="321" t="str">
        <f t="shared" si="5"/>
        <v>liviade</v>
      </c>
      <c r="N254" s="176">
        <f>IFERROR(__xludf.DUMMYFUNCTION("""COMPUTED_VALUE"""),28.0)</f>
        <v>28</v>
      </c>
      <c r="O254" s="176"/>
      <c r="P254" s="176"/>
      <c r="Q254" s="176"/>
      <c r="R254" s="176"/>
      <c r="S254" s="176"/>
      <c r="T254" s="176"/>
      <c r="U254" s="176"/>
      <c r="V254" s="176"/>
      <c r="W254" s="176"/>
      <c r="X254" s="176"/>
      <c r="Y254" s="176"/>
      <c r="Z254" s="176"/>
    </row>
    <row r="255">
      <c r="A255" s="226" t="s">
        <v>18</v>
      </c>
      <c r="B255" s="226" t="s">
        <v>877</v>
      </c>
      <c r="C255" s="250" t="s">
        <v>3466</v>
      </c>
      <c r="D255" s="268" t="s">
        <v>495</v>
      </c>
      <c r="E255" s="361">
        <v>44169.0</v>
      </c>
      <c r="F255" s="250" t="s">
        <v>496</v>
      </c>
      <c r="G255" s="171">
        <v>45.0</v>
      </c>
      <c r="H255" s="171">
        <v>60.0</v>
      </c>
      <c r="I255" s="171">
        <v>50.0</v>
      </c>
      <c r="J255" s="325">
        <f t="shared" si="2"/>
        <v>0.001838044978</v>
      </c>
      <c r="K255" s="326">
        <f t="shared" si="11"/>
        <v>1.439801899</v>
      </c>
      <c r="L255" s="327">
        <f t="shared" si="4"/>
        <v>9.052678764</v>
      </c>
      <c r="M255" s="321" t="str">
        <f t="shared" si="5"/>
        <v>liviade</v>
      </c>
      <c r="N255" s="176">
        <f>IFERROR(__xludf.DUMMYFUNCTION("""COMPUTED_VALUE"""),29.0)</f>
        <v>29</v>
      </c>
      <c r="O255" s="176"/>
      <c r="P255" s="176"/>
      <c r="Q255" s="176"/>
      <c r="R255" s="176"/>
      <c r="S255" s="176"/>
      <c r="T255" s="176"/>
      <c r="U255" s="176"/>
      <c r="V255" s="176"/>
      <c r="W255" s="176"/>
      <c r="X255" s="176"/>
      <c r="Y255" s="176"/>
      <c r="Z255" s="176"/>
    </row>
    <row r="256">
      <c r="A256" s="226" t="s">
        <v>18</v>
      </c>
      <c r="B256" s="226" t="s">
        <v>5</v>
      </c>
      <c r="C256" s="250" t="s">
        <v>3377</v>
      </c>
      <c r="D256" s="268" t="s">
        <v>495</v>
      </c>
      <c r="E256" s="361">
        <v>44169.0</v>
      </c>
      <c r="F256" s="250" t="s">
        <v>496</v>
      </c>
      <c r="G256" s="171">
        <v>60.0</v>
      </c>
      <c r="H256" s="171">
        <v>70.0</v>
      </c>
      <c r="I256" s="171">
        <v>50.0</v>
      </c>
      <c r="J256" s="325">
        <f t="shared" si="2"/>
        <v>0.002107576987</v>
      </c>
      <c r="K256" s="326">
        <f t="shared" si="11"/>
        <v>1.650935306</v>
      </c>
      <c r="L256" s="327">
        <f t="shared" si="4"/>
        <v>9.052678764</v>
      </c>
      <c r="M256" s="321" t="str">
        <f t="shared" si="5"/>
        <v>liviade</v>
      </c>
      <c r="N256" s="176">
        <f>IFERROR(__xludf.DUMMYFUNCTION("""COMPUTED_VALUE"""),30.0)</f>
        <v>30</v>
      </c>
      <c r="O256" s="176"/>
      <c r="P256" s="176"/>
      <c r="Q256" s="176"/>
      <c r="R256" s="176"/>
      <c r="S256" s="176"/>
      <c r="T256" s="176"/>
      <c r="U256" s="176"/>
      <c r="V256" s="176"/>
      <c r="W256" s="176"/>
      <c r="X256" s="176"/>
      <c r="Y256" s="176"/>
      <c r="Z256" s="176"/>
    </row>
    <row r="257">
      <c r="A257" s="226" t="s">
        <v>18</v>
      </c>
      <c r="B257" s="226" t="s">
        <v>5</v>
      </c>
      <c r="C257" s="250" t="s">
        <v>3403</v>
      </c>
      <c r="D257" s="268" t="s">
        <v>495</v>
      </c>
      <c r="E257" s="361">
        <v>44169.0</v>
      </c>
      <c r="F257" s="250" t="s">
        <v>496</v>
      </c>
      <c r="G257" s="171">
        <v>45.0</v>
      </c>
      <c r="H257" s="171">
        <v>45.0</v>
      </c>
      <c r="I257" s="171">
        <v>50.0</v>
      </c>
      <c r="J257" s="325">
        <f t="shared" si="2"/>
        <v>0.001677839916</v>
      </c>
      <c r="K257" s="326">
        <f t="shared" si="11"/>
        <v>1.314307934</v>
      </c>
      <c r="L257" s="327">
        <f t="shared" si="4"/>
        <v>9.052678764</v>
      </c>
      <c r="M257" s="321" t="str">
        <f t="shared" si="5"/>
        <v>liviade</v>
      </c>
      <c r="N257" s="176">
        <f>IFERROR(__xludf.DUMMYFUNCTION("""COMPUTED_VALUE"""),31.0)</f>
        <v>31</v>
      </c>
      <c r="O257" s="176"/>
      <c r="P257" s="176"/>
      <c r="Q257" s="176"/>
      <c r="R257" s="176"/>
      <c r="S257" s="176"/>
      <c r="T257" s="176"/>
      <c r="U257" s="176"/>
      <c r="V257" s="176"/>
      <c r="W257" s="176"/>
      <c r="X257" s="176"/>
      <c r="Y257" s="176"/>
      <c r="Z257" s="176"/>
    </row>
    <row r="258">
      <c r="A258" s="226" t="s">
        <v>18</v>
      </c>
      <c r="B258" s="226" t="s">
        <v>5</v>
      </c>
      <c r="C258" s="250" t="s">
        <v>3467</v>
      </c>
      <c r="D258" s="268" t="s">
        <v>495</v>
      </c>
      <c r="E258" s="361">
        <v>44169.0</v>
      </c>
      <c r="F258" s="250" t="s">
        <v>496</v>
      </c>
      <c r="G258" s="171">
        <v>40.0</v>
      </c>
      <c r="H258" s="171">
        <v>100.0</v>
      </c>
      <c r="I258" s="171">
        <v>100.0</v>
      </c>
      <c r="J258" s="325">
        <f t="shared" si="2"/>
        <v>0.002920054427</v>
      </c>
      <c r="K258" s="326">
        <f t="shared" si="11"/>
        <v>2.287375968</v>
      </c>
      <c r="L258" s="327">
        <f t="shared" si="4"/>
        <v>9.052678764</v>
      </c>
      <c r="M258" s="321" t="str">
        <f t="shared" si="5"/>
        <v>liviade</v>
      </c>
      <c r="N258" s="176">
        <f>IFERROR(__xludf.DUMMYFUNCTION("""COMPUTED_VALUE"""),32.0)</f>
        <v>32</v>
      </c>
      <c r="O258" s="176"/>
      <c r="P258" s="176"/>
      <c r="Q258" s="176"/>
      <c r="R258" s="176"/>
      <c r="S258" s="176"/>
      <c r="T258" s="176"/>
      <c r="U258" s="176"/>
      <c r="V258" s="176"/>
      <c r="W258" s="176"/>
      <c r="X258" s="176"/>
      <c r="Y258" s="176"/>
      <c r="Z258" s="176"/>
    </row>
    <row r="259">
      <c r="A259" s="226" t="s">
        <v>18</v>
      </c>
      <c r="B259" s="226" t="s">
        <v>590</v>
      </c>
      <c r="C259" s="250" t="s">
        <v>3404</v>
      </c>
      <c r="D259" s="268" t="s">
        <v>495</v>
      </c>
      <c r="E259" s="361">
        <v>44169.0</v>
      </c>
      <c r="F259" s="250" t="s">
        <v>496</v>
      </c>
      <c r="G259" s="171">
        <v>60.0</v>
      </c>
      <c r="H259" s="171">
        <v>60.0</v>
      </c>
      <c r="I259" s="171">
        <v>50.0</v>
      </c>
      <c r="J259" s="325">
        <f t="shared" si="2"/>
        <v>0.002000773612</v>
      </c>
      <c r="K259" s="326">
        <f t="shared" si="11"/>
        <v>1.567272663</v>
      </c>
      <c r="L259" s="327">
        <f t="shared" si="4"/>
        <v>9.052678764</v>
      </c>
      <c r="M259" s="321" t="str">
        <f t="shared" si="5"/>
        <v>liviade</v>
      </c>
      <c r="N259" s="176">
        <f>IFERROR(__xludf.DUMMYFUNCTION("""COMPUTED_VALUE"""),33.0)</f>
        <v>33</v>
      </c>
      <c r="O259" s="176"/>
      <c r="P259" s="176"/>
      <c r="Q259" s="176"/>
      <c r="R259" s="176"/>
      <c r="S259" s="176"/>
      <c r="T259" s="176"/>
      <c r="U259" s="176"/>
      <c r="V259" s="176"/>
      <c r="W259" s="176"/>
      <c r="X259" s="176"/>
      <c r="Y259" s="176"/>
      <c r="Z259" s="176"/>
    </row>
    <row r="260">
      <c r="A260" s="343" t="s">
        <v>18</v>
      </c>
      <c r="B260" s="343" t="s">
        <v>10</v>
      </c>
      <c r="C260" s="254" t="s">
        <v>3468</v>
      </c>
      <c r="D260" s="336" t="s">
        <v>495</v>
      </c>
      <c r="E260" s="241" t="s">
        <v>3361</v>
      </c>
      <c r="F260" s="241" t="s">
        <v>3361</v>
      </c>
      <c r="G260" s="222"/>
      <c r="H260" s="222"/>
      <c r="I260" s="222"/>
      <c r="J260" s="339">
        <f t="shared" si="2"/>
        <v>0</v>
      </c>
      <c r="K260" s="326">
        <f t="shared" si="11"/>
        <v>0</v>
      </c>
      <c r="L260" s="341">
        <f t="shared" si="4"/>
        <v>9.052678764</v>
      </c>
      <c r="M260" s="342" t="str">
        <f t="shared" si="5"/>
        <v>liviade</v>
      </c>
      <c r="N260" s="209">
        <f>IFERROR(__xludf.DUMMYFUNCTION("""COMPUTED_VALUE"""),34.0)</f>
        <v>34</v>
      </c>
      <c r="O260" s="209"/>
      <c r="P260" s="209"/>
      <c r="Q260" s="209"/>
      <c r="R260" s="209"/>
      <c r="S260" s="209"/>
      <c r="T260" s="209"/>
      <c r="U260" s="209"/>
      <c r="V260" s="209"/>
      <c r="W260" s="209"/>
      <c r="X260" s="209"/>
      <c r="Y260" s="209"/>
      <c r="Z260" s="209"/>
    </row>
    <row r="261">
      <c r="A261" s="253" t="s">
        <v>18</v>
      </c>
      <c r="B261" s="240" t="s">
        <v>534</v>
      </c>
      <c r="C261" s="221" t="s">
        <v>741</v>
      </c>
      <c r="D261" s="336"/>
      <c r="E261" s="255"/>
      <c r="F261" s="254"/>
      <c r="G261" s="222"/>
      <c r="H261" s="222"/>
      <c r="I261" s="222"/>
      <c r="J261" s="325">
        <f t="shared" si="2"/>
        <v>0</v>
      </c>
      <c r="K261" s="337">
        <f>-60.351*0.85</f>
        <v>-51.29835</v>
      </c>
      <c r="L261" s="327">
        <f t="shared" si="4"/>
        <v>9.052678764</v>
      </c>
      <c r="M261" s="321" t="str">
        <f t="shared" si="5"/>
        <v>liviade</v>
      </c>
      <c r="N261" s="209">
        <f>IFERROR(__xludf.DUMMYFUNCTION("""COMPUTED_VALUE"""),35.0)</f>
        <v>35</v>
      </c>
      <c r="O261" s="209"/>
      <c r="P261" s="209"/>
      <c r="Q261" s="209"/>
      <c r="R261" s="209"/>
      <c r="S261" s="209"/>
      <c r="T261" s="209"/>
      <c r="U261" s="209"/>
      <c r="V261" s="209"/>
      <c r="W261" s="209"/>
      <c r="X261" s="209"/>
      <c r="Y261" s="176"/>
      <c r="Z261" s="176"/>
    </row>
    <row r="262">
      <c r="A262" s="226" t="s">
        <v>30</v>
      </c>
      <c r="B262" s="226" t="s">
        <v>6</v>
      </c>
      <c r="C262" s="250" t="s">
        <v>3436</v>
      </c>
      <c r="D262" s="268" t="s">
        <v>495</v>
      </c>
      <c r="E262" s="251">
        <v>44155.0</v>
      </c>
      <c r="F262" s="368" t="s">
        <v>496</v>
      </c>
      <c r="G262" s="268">
        <v>100.0</v>
      </c>
      <c r="H262" s="236">
        <v>60.0</v>
      </c>
      <c r="I262" s="236">
        <v>80.0</v>
      </c>
      <c r="J262" s="325">
        <f t="shared" si="2"/>
        <v>0.002860139931</v>
      </c>
      <c r="K262" s="326">
        <f t="shared" ref="K262:K274" si="12">J262*$J$1</f>
        <v>2.240442946</v>
      </c>
      <c r="L262" s="327">
        <f t="shared" si="4"/>
        <v>7.799750855</v>
      </c>
      <c r="M262" s="321" t="str">
        <f t="shared" si="5"/>
        <v>paulo_c2d</v>
      </c>
      <c r="N262" s="176">
        <f>IFERROR(__xludf.DUMMYFUNCTION("""COMPUTED_VALUE"""),1.0)</f>
        <v>1</v>
      </c>
      <c r="O262" s="176"/>
      <c r="P262" s="176"/>
      <c r="Q262" s="176"/>
      <c r="R262" s="176"/>
      <c r="S262" s="176"/>
      <c r="T262" s="176"/>
      <c r="U262" s="176"/>
      <c r="V262" s="176"/>
      <c r="W262" s="176"/>
      <c r="X262" s="176"/>
      <c r="Y262" s="176"/>
      <c r="Z262" s="176"/>
    </row>
    <row r="263">
      <c r="A263" s="226" t="s">
        <v>30</v>
      </c>
      <c r="B263" s="226" t="s">
        <v>6</v>
      </c>
      <c r="C263" s="250" t="s">
        <v>3364</v>
      </c>
      <c r="D263" s="268" t="s">
        <v>495</v>
      </c>
      <c r="E263" s="251">
        <v>44159.0</v>
      </c>
      <c r="F263" s="368" t="s">
        <v>496</v>
      </c>
      <c r="G263" s="268">
        <v>30.0</v>
      </c>
      <c r="H263" s="236">
        <v>60.0</v>
      </c>
      <c r="I263" s="236">
        <v>50.0</v>
      </c>
      <c r="J263" s="325">
        <f t="shared" si="2"/>
        <v>0.001675316344</v>
      </c>
      <c r="K263" s="326">
        <f t="shared" si="12"/>
        <v>1.312331136</v>
      </c>
      <c r="L263" s="327">
        <f t="shared" si="4"/>
        <v>7.799750855</v>
      </c>
      <c r="M263" s="321" t="str">
        <f t="shared" si="5"/>
        <v>paulo_c2d</v>
      </c>
      <c r="N263" s="176">
        <f>IFERROR(__xludf.DUMMYFUNCTION("""COMPUTED_VALUE"""),2.0)</f>
        <v>2</v>
      </c>
      <c r="O263" s="176"/>
      <c r="P263" s="176"/>
      <c r="Q263" s="176"/>
      <c r="R263" s="176"/>
      <c r="S263" s="176"/>
      <c r="T263" s="176"/>
      <c r="U263" s="176"/>
      <c r="V263" s="176"/>
      <c r="W263" s="176"/>
      <c r="X263" s="176"/>
      <c r="Y263" s="176"/>
      <c r="Z263" s="176"/>
    </row>
    <row r="264">
      <c r="A264" s="226" t="s">
        <v>30</v>
      </c>
      <c r="B264" s="226" t="s">
        <v>6</v>
      </c>
      <c r="C264" s="250" t="s">
        <v>3469</v>
      </c>
      <c r="D264" s="268" t="s">
        <v>495</v>
      </c>
      <c r="E264" s="251">
        <v>44159.0</v>
      </c>
      <c r="F264" s="368" t="s">
        <v>496</v>
      </c>
      <c r="G264" s="268">
        <v>40.0</v>
      </c>
      <c r="H264" s="236">
        <v>150.0</v>
      </c>
      <c r="I264" s="236">
        <v>50.0</v>
      </c>
      <c r="J264" s="325">
        <f t="shared" si="2"/>
        <v>0.002745032475</v>
      </c>
      <c r="K264" s="326">
        <f t="shared" si="12"/>
        <v>2.150275439</v>
      </c>
      <c r="L264" s="327">
        <f t="shared" si="4"/>
        <v>7.799750855</v>
      </c>
      <c r="M264" s="321" t="str">
        <f t="shared" si="5"/>
        <v>paulo_c2d</v>
      </c>
      <c r="N264" s="176">
        <f>IFERROR(__xludf.DUMMYFUNCTION("""COMPUTED_VALUE"""),3.0)</f>
        <v>3</v>
      </c>
      <c r="O264" s="176"/>
      <c r="P264" s="176"/>
      <c r="Q264" s="176"/>
      <c r="R264" s="176"/>
      <c r="S264" s="176"/>
      <c r="T264" s="176"/>
      <c r="U264" s="176"/>
      <c r="V264" s="176"/>
      <c r="W264" s="176"/>
      <c r="X264" s="176"/>
      <c r="Y264" s="176"/>
      <c r="Z264" s="176"/>
    </row>
    <row r="265">
      <c r="A265" s="226" t="s">
        <v>30</v>
      </c>
      <c r="B265" s="226" t="s">
        <v>30</v>
      </c>
      <c r="C265" s="250" t="s">
        <v>3470</v>
      </c>
      <c r="D265" s="268" t="s">
        <v>495</v>
      </c>
      <c r="E265" s="251">
        <v>44162.0</v>
      </c>
      <c r="F265" s="368" t="s">
        <v>2586</v>
      </c>
      <c r="G265" s="268">
        <v>100.0</v>
      </c>
      <c r="H265" s="236">
        <v>500.0</v>
      </c>
      <c r="I265" s="236">
        <v>50.0</v>
      </c>
      <c r="J265" s="325">
        <f t="shared" si="2"/>
        <v>0.007134065135</v>
      </c>
      <c r="K265" s="326">
        <f t="shared" si="12"/>
        <v>5.588351022</v>
      </c>
      <c r="L265" s="327">
        <f t="shared" si="4"/>
        <v>7.799750855</v>
      </c>
      <c r="M265" s="321" t="str">
        <f t="shared" si="5"/>
        <v>paulo_c2d</v>
      </c>
      <c r="N265" s="176">
        <f>IFERROR(__xludf.DUMMYFUNCTION("""COMPUTED_VALUE"""),4.0)</f>
        <v>4</v>
      </c>
      <c r="O265" s="176"/>
      <c r="P265" s="176"/>
      <c r="Q265" s="176"/>
      <c r="R265" s="176"/>
      <c r="S265" s="176"/>
      <c r="T265" s="176"/>
      <c r="U265" s="176"/>
      <c r="V265" s="176"/>
      <c r="W265" s="176"/>
      <c r="X265" s="176"/>
      <c r="Y265" s="176"/>
      <c r="Z265" s="176"/>
    </row>
    <row r="266">
      <c r="A266" s="226" t="s">
        <v>30</v>
      </c>
      <c r="B266" s="226" t="s">
        <v>10</v>
      </c>
      <c r="C266" s="250" t="s">
        <v>3345</v>
      </c>
      <c r="D266" s="268" t="s">
        <v>495</v>
      </c>
      <c r="E266" s="251">
        <v>44163.0</v>
      </c>
      <c r="F266" s="368" t="s">
        <v>496</v>
      </c>
      <c r="G266" s="268">
        <v>40.0</v>
      </c>
      <c r="H266" s="236">
        <v>30.0</v>
      </c>
      <c r="I266" s="236">
        <v>30.0</v>
      </c>
      <c r="J266" s="325">
        <f t="shared" si="2"/>
        <v>0.001179776444</v>
      </c>
      <c r="K266" s="326">
        <f t="shared" si="12"/>
        <v>0.9241582148</v>
      </c>
      <c r="L266" s="327">
        <f t="shared" si="4"/>
        <v>7.799750855</v>
      </c>
      <c r="M266" s="321" t="str">
        <f t="shared" si="5"/>
        <v>paulo_c2d</v>
      </c>
      <c r="N266" s="176">
        <f>IFERROR(__xludf.DUMMYFUNCTION("""COMPUTED_VALUE"""),5.0)</f>
        <v>5</v>
      </c>
      <c r="O266" s="176"/>
      <c r="P266" s="176"/>
      <c r="Q266" s="176"/>
      <c r="R266" s="176"/>
      <c r="S266" s="176"/>
      <c r="T266" s="176"/>
      <c r="U266" s="176"/>
      <c r="V266" s="176"/>
      <c r="W266" s="176"/>
      <c r="X266" s="176"/>
      <c r="Y266" s="176"/>
      <c r="Z266" s="176"/>
    </row>
    <row r="267">
      <c r="A267" s="226" t="s">
        <v>30</v>
      </c>
      <c r="B267" s="226" t="s">
        <v>6</v>
      </c>
      <c r="C267" s="250" t="s">
        <v>3373</v>
      </c>
      <c r="D267" s="268" t="s">
        <v>495</v>
      </c>
      <c r="E267" s="251">
        <v>44165.0</v>
      </c>
      <c r="F267" s="368" t="s">
        <v>496</v>
      </c>
      <c r="G267" s="268">
        <v>30.0</v>
      </c>
      <c r="H267" s="236">
        <v>60.0</v>
      </c>
      <c r="I267" s="236">
        <v>50.0</v>
      </c>
      <c r="J267" s="325">
        <f t="shared" si="2"/>
        <v>0.001675316344</v>
      </c>
      <c r="K267" s="326">
        <f t="shared" si="12"/>
        <v>1.312331136</v>
      </c>
      <c r="L267" s="327">
        <f t="shared" si="4"/>
        <v>7.799750855</v>
      </c>
      <c r="M267" s="321" t="str">
        <f t="shared" si="5"/>
        <v>paulo_c2d</v>
      </c>
      <c r="N267" s="176">
        <f>IFERROR(__xludf.DUMMYFUNCTION("""COMPUTED_VALUE"""),6.0)</f>
        <v>6</v>
      </c>
      <c r="O267" s="176"/>
      <c r="P267" s="176"/>
      <c r="Q267" s="176"/>
      <c r="R267" s="176"/>
      <c r="S267" s="176"/>
      <c r="T267" s="176"/>
      <c r="U267" s="176"/>
      <c r="V267" s="176"/>
      <c r="W267" s="176"/>
      <c r="X267" s="176"/>
      <c r="Y267" s="176"/>
      <c r="Z267" s="176"/>
    </row>
    <row r="268">
      <c r="A268" s="226" t="s">
        <v>30</v>
      </c>
      <c r="B268" s="226" t="s">
        <v>30</v>
      </c>
      <c r="C268" s="250" t="s">
        <v>3471</v>
      </c>
      <c r="D268" s="268" t="s">
        <v>495</v>
      </c>
      <c r="E268" s="361">
        <v>44166.0</v>
      </c>
      <c r="F268" s="250" t="s">
        <v>2586</v>
      </c>
      <c r="G268" s="171">
        <v>600.0</v>
      </c>
      <c r="H268" s="171">
        <v>600.0</v>
      </c>
      <c r="I268" s="171">
        <v>600.0</v>
      </c>
      <c r="J268" s="325">
        <f t="shared" si="2"/>
        <v>0.02142581377</v>
      </c>
      <c r="K268" s="326">
        <f t="shared" si="12"/>
        <v>16.78355412</v>
      </c>
      <c r="L268" s="327">
        <f t="shared" si="4"/>
        <v>7.799750855</v>
      </c>
      <c r="M268" s="321" t="str">
        <f t="shared" si="5"/>
        <v>paulo_c2d</v>
      </c>
      <c r="N268" s="176">
        <f>IFERROR(__xludf.DUMMYFUNCTION("""COMPUTED_VALUE"""),7.0)</f>
        <v>7</v>
      </c>
      <c r="O268" s="176"/>
      <c r="P268" s="176"/>
      <c r="Q268" s="176"/>
      <c r="R268" s="176"/>
      <c r="S268" s="176"/>
      <c r="T268" s="176"/>
      <c r="U268" s="176"/>
      <c r="V268" s="176"/>
      <c r="W268" s="176"/>
      <c r="X268" s="176"/>
      <c r="Y268" s="176"/>
      <c r="Z268" s="176"/>
    </row>
    <row r="269">
      <c r="A269" s="226" t="s">
        <v>30</v>
      </c>
      <c r="B269" s="226" t="s">
        <v>30</v>
      </c>
      <c r="C269" s="250" t="s">
        <v>3472</v>
      </c>
      <c r="D269" s="268" t="s">
        <v>495</v>
      </c>
      <c r="E269" s="361">
        <v>44166.0</v>
      </c>
      <c r="F269" s="250" t="s">
        <v>2586</v>
      </c>
      <c r="G269" s="171">
        <v>500.0</v>
      </c>
      <c r="H269" s="171">
        <v>300.0</v>
      </c>
      <c r="I269" s="171">
        <v>200.0</v>
      </c>
      <c r="J269" s="325">
        <f t="shared" si="2"/>
        <v>0.01146454435</v>
      </c>
      <c r="K269" s="326">
        <f t="shared" si="12"/>
        <v>8.98055974</v>
      </c>
      <c r="L269" s="327">
        <f t="shared" si="4"/>
        <v>7.799750855</v>
      </c>
      <c r="M269" s="321" t="str">
        <f t="shared" si="5"/>
        <v>paulo_c2d</v>
      </c>
      <c r="N269" s="176">
        <f>IFERROR(__xludf.DUMMYFUNCTION("""COMPUTED_VALUE"""),8.0)</f>
        <v>8</v>
      </c>
      <c r="O269" s="176"/>
      <c r="P269" s="176"/>
      <c r="Q269" s="176"/>
      <c r="R269" s="176"/>
      <c r="S269" s="176"/>
      <c r="T269" s="176"/>
      <c r="U269" s="176"/>
      <c r="V269" s="176"/>
      <c r="W269" s="176"/>
      <c r="X269" s="176"/>
      <c r="Y269" s="176"/>
      <c r="Z269" s="176"/>
    </row>
    <row r="270">
      <c r="A270" s="226" t="s">
        <v>30</v>
      </c>
      <c r="B270" s="226" t="s">
        <v>30</v>
      </c>
      <c r="C270" s="250" t="s">
        <v>3473</v>
      </c>
      <c r="D270" s="268" t="s">
        <v>495</v>
      </c>
      <c r="E270" s="361">
        <v>44166.0</v>
      </c>
      <c r="F270" s="250" t="s">
        <v>2586</v>
      </c>
      <c r="G270" s="171">
        <v>400.0</v>
      </c>
      <c r="H270" s="171">
        <v>240.0</v>
      </c>
      <c r="I270" s="171">
        <v>180.0</v>
      </c>
      <c r="J270" s="325">
        <f t="shared" si="2"/>
        <v>0.00945525101</v>
      </c>
      <c r="K270" s="326">
        <f t="shared" si="12"/>
        <v>7.406613291</v>
      </c>
      <c r="L270" s="327">
        <f t="shared" si="4"/>
        <v>7.799750855</v>
      </c>
      <c r="M270" s="321" t="str">
        <f t="shared" si="5"/>
        <v>paulo_c2d</v>
      </c>
      <c r="N270" s="176">
        <f>IFERROR(__xludf.DUMMYFUNCTION("""COMPUTED_VALUE"""),9.0)</f>
        <v>9</v>
      </c>
      <c r="O270" s="176"/>
      <c r="P270" s="176"/>
      <c r="Q270" s="176"/>
      <c r="R270" s="176"/>
      <c r="S270" s="176"/>
      <c r="T270" s="176"/>
      <c r="U270" s="176"/>
      <c r="V270" s="176"/>
      <c r="W270" s="176"/>
      <c r="X270" s="176"/>
      <c r="Y270" s="176"/>
      <c r="Z270" s="176"/>
    </row>
    <row r="271">
      <c r="A271" s="226" t="s">
        <v>30</v>
      </c>
      <c r="B271" s="226" t="s">
        <v>10</v>
      </c>
      <c r="C271" s="250" t="s">
        <v>3474</v>
      </c>
      <c r="D271" s="268" t="s">
        <v>495</v>
      </c>
      <c r="E271" s="361">
        <v>44169.0</v>
      </c>
      <c r="F271" s="250" t="s">
        <v>496</v>
      </c>
      <c r="G271" s="171">
        <v>100.0</v>
      </c>
      <c r="H271" s="171">
        <v>90.0</v>
      </c>
      <c r="I271" s="171">
        <v>100.0</v>
      </c>
      <c r="J271" s="325">
        <f t="shared" si="2"/>
        <v>0.003464165587</v>
      </c>
      <c r="K271" s="326">
        <f t="shared" si="12"/>
        <v>2.713596376</v>
      </c>
      <c r="L271" s="327">
        <f t="shared" si="4"/>
        <v>7.799750855</v>
      </c>
      <c r="M271" s="321" t="str">
        <f t="shared" si="5"/>
        <v>paulo_c2d</v>
      </c>
      <c r="N271" s="176">
        <f>IFERROR(__xludf.DUMMYFUNCTION("""COMPUTED_VALUE"""),10.0)</f>
        <v>10</v>
      </c>
      <c r="O271" s="176"/>
      <c r="P271" s="176"/>
      <c r="Q271" s="176"/>
      <c r="R271" s="176"/>
      <c r="S271" s="176"/>
      <c r="T271" s="176"/>
      <c r="U271" s="176"/>
      <c r="V271" s="176"/>
      <c r="W271" s="176"/>
      <c r="X271" s="176"/>
      <c r="Y271" s="176"/>
      <c r="Z271" s="176"/>
    </row>
    <row r="272">
      <c r="A272" s="226" t="s">
        <v>30</v>
      </c>
      <c r="B272" s="226" t="s">
        <v>5</v>
      </c>
      <c r="C272" s="250" t="s">
        <v>3377</v>
      </c>
      <c r="D272" s="268" t="s">
        <v>495</v>
      </c>
      <c r="E272" s="361">
        <v>44169.0</v>
      </c>
      <c r="F272" s="250" t="s">
        <v>496</v>
      </c>
      <c r="G272" s="171">
        <v>40.0</v>
      </c>
      <c r="H272" s="171">
        <v>45.0</v>
      </c>
      <c r="I272" s="171">
        <v>50.0</v>
      </c>
      <c r="J272" s="325">
        <f t="shared" si="2"/>
        <v>0.001623597038</v>
      </c>
      <c r="K272" s="326">
        <f t="shared" si="12"/>
        <v>1.27181768</v>
      </c>
      <c r="L272" s="327">
        <f t="shared" si="4"/>
        <v>7.799750855</v>
      </c>
      <c r="M272" s="321" t="str">
        <f t="shared" si="5"/>
        <v>paulo_c2d</v>
      </c>
      <c r="N272" s="176">
        <f>IFERROR(__xludf.DUMMYFUNCTION("""COMPUTED_VALUE"""),11.0)</f>
        <v>11</v>
      </c>
      <c r="O272" s="176"/>
      <c r="P272" s="176"/>
      <c r="Q272" s="176"/>
      <c r="R272" s="176"/>
      <c r="S272" s="176"/>
      <c r="T272" s="176"/>
      <c r="U272" s="176"/>
      <c r="V272" s="176"/>
      <c r="W272" s="176"/>
      <c r="X272" s="176"/>
      <c r="Y272" s="176"/>
      <c r="Z272" s="176"/>
    </row>
    <row r="273">
      <c r="A273" s="226" t="s">
        <v>30</v>
      </c>
      <c r="B273" s="226" t="s">
        <v>5</v>
      </c>
      <c r="C273" s="250" t="s">
        <v>3378</v>
      </c>
      <c r="D273" s="268" t="s">
        <v>495</v>
      </c>
      <c r="E273" s="361">
        <v>44169.0</v>
      </c>
      <c r="F273" s="250" t="s">
        <v>496</v>
      </c>
      <c r="G273" s="171">
        <v>45.0</v>
      </c>
      <c r="H273" s="171">
        <v>45.0</v>
      </c>
      <c r="I273" s="171">
        <v>50.0</v>
      </c>
      <c r="J273" s="325">
        <f t="shared" si="2"/>
        <v>0.001677839916</v>
      </c>
      <c r="K273" s="326">
        <f t="shared" si="12"/>
        <v>1.314307934</v>
      </c>
      <c r="L273" s="327">
        <f t="shared" si="4"/>
        <v>7.799750855</v>
      </c>
      <c r="M273" s="321" t="str">
        <f t="shared" si="5"/>
        <v>paulo_c2d</v>
      </c>
      <c r="N273" s="176">
        <f>IFERROR(__xludf.DUMMYFUNCTION("""COMPUTED_VALUE"""),12.0)</f>
        <v>12</v>
      </c>
      <c r="O273" s="176"/>
      <c r="P273" s="176"/>
      <c r="Q273" s="176"/>
      <c r="R273" s="176"/>
      <c r="S273" s="176"/>
      <c r="T273" s="176"/>
      <c r="U273" s="176"/>
      <c r="V273" s="176"/>
      <c r="W273" s="176"/>
      <c r="X273" s="176"/>
      <c r="Y273" s="176"/>
      <c r="Z273" s="176"/>
    </row>
    <row r="274">
      <c r="A274" s="343" t="s">
        <v>30</v>
      </c>
      <c r="B274" s="343" t="s">
        <v>867</v>
      </c>
      <c r="C274" s="254" t="s">
        <v>3475</v>
      </c>
      <c r="D274" s="336" t="s">
        <v>495</v>
      </c>
      <c r="E274" s="241" t="s">
        <v>3361</v>
      </c>
      <c r="F274" s="241" t="s">
        <v>3361</v>
      </c>
      <c r="G274" s="222"/>
      <c r="H274" s="222"/>
      <c r="I274" s="222"/>
      <c r="J274" s="325">
        <f t="shared" si="2"/>
        <v>0</v>
      </c>
      <c r="K274" s="326">
        <f t="shared" si="12"/>
        <v>0</v>
      </c>
      <c r="L274" s="327">
        <f t="shared" si="4"/>
        <v>7.799750855</v>
      </c>
      <c r="M274" s="321" t="str">
        <f t="shared" si="5"/>
        <v>paulo_c2d</v>
      </c>
      <c r="N274" s="176">
        <f>IFERROR(__xludf.DUMMYFUNCTION("""COMPUTED_VALUE"""),13.0)</f>
        <v>13</v>
      </c>
      <c r="O274" s="176"/>
      <c r="P274" s="176"/>
      <c r="Q274" s="176"/>
      <c r="R274" s="176"/>
      <c r="S274" s="176"/>
      <c r="T274" s="176"/>
      <c r="U274" s="176"/>
      <c r="V274" s="176"/>
      <c r="W274" s="176"/>
      <c r="X274" s="176"/>
      <c r="Y274" s="176"/>
      <c r="Z274" s="176"/>
    </row>
    <row r="275">
      <c r="A275" s="240" t="s">
        <v>30</v>
      </c>
      <c r="B275" s="240" t="s">
        <v>534</v>
      </c>
      <c r="C275" s="346" t="s">
        <v>2452</v>
      </c>
      <c r="D275" s="336"/>
      <c r="E275" s="255"/>
      <c r="F275" s="254"/>
      <c r="G275" s="222"/>
      <c r="H275" s="222"/>
      <c r="I275" s="222"/>
      <c r="J275" s="325">
        <f t="shared" si="2"/>
        <v>0</v>
      </c>
      <c r="K275" s="337">
        <f>-0.85*R275</f>
        <v>-44.19858818</v>
      </c>
      <c r="L275" s="327">
        <f t="shared" si="4"/>
        <v>7.799750855</v>
      </c>
      <c r="M275" s="321" t="str">
        <f t="shared" si="5"/>
        <v>paulo_c2d</v>
      </c>
      <c r="N275" s="209">
        <f>IFERROR(__xludf.DUMMYFUNCTION("""COMPUTED_VALUE"""),14.0)</f>
        <v>14</v>
      </c>
      <c r="O275" s="209"/>
      <c r="P275" s="209"/>
      <c r="Q275" s="209"/>
      <c r="R275" s="209">
        <v>51.99833903635589</v>
      </c>
      <c r="S275" s="209"/>
      <c r="T275" s="209"/>
      <c r="U275" s="209"/>
      <c r="V275" s="209"/>
      <c r="W275" s="209"/>
      <c r="X275" s="209"/>
      <c r="Y275" s="176"/>
      <c r="Z275" s="176"/>
    </row>
    <row r="276">
      <c r="A276" s="226" t="s">
        <v>79</v>
      </c>
      <c r="B276" s="226" t="s">
        <v>18</v>
      </c>
      <c r="C276" s="250" t="s">
        <v>3476</v>
      </c>
      <c r="D276" s="268" t="s">
        <v>495</v>
      </c>
      <c r="E276" s="251">
        <v>44165.0</v>
      </c>
      <c r="F276" s="368" t="s">
        <v>496</v>
      </c>
      <c r="G276" s="268">
        <v>200.0</v>
      </c>
      <c r="H276" s="236">
        <v>200.0</v>
      </c>
      <c r="I276" s="236">
        <v>100.0</v>
      </c>
      <c r="J276" s="325">
        <f t="shared" si="2"/>
        <v>0.00572386027</v>
      </c>
      <c r="K276" s="326">
        <f t="shared" ref="K276:K310" si="13">J276*$J$1</f>
        <v>4.483690545</v>
      </c>
      <c r="L276" s="327">
        <f t="shared" si="4"/>
        <v>7.50715312</v>
      </c>
      <c r="M276" s="321" t="str">
        <f t="shared" si="5"/>
        <v>burrrata</v>
      </c>
      <c r="N276" s="176">
        <f>IFERROR(__xludf.DUMMYFUNCTION("""COMPUTED_VALUE"""),1.0)</f>
        <v>1</v>
      </c>
      <c r="O276" s="176"/>
      <c r="P276" s="176"/>
      <c r="Q276" s="176"/>
      <c r="R276" s="176"/>
      <c r="S276" s="176"/>
      <c r="T276" s="176"/>
      <c r="U276" s="176"/>
      <c r="V276" s="176"/>
      <c r="W276" s="176"/>
      <c r="X276" s="176"/>
      <c r="Y276" s="176"/>
      <c r="Z276" s="176"/>
    </row>
    <row r="277">
      <c r="A277" s="226" t="s">
        <v>79</v>
      </c>
      <c r="B277" s="226" t="s">
        <v>18</v>
      </c>
      <c r="C277" s="250" t="s">
        <v>3347</v>
      </c>
      <c r="D277" s="268" t="s">
        <v>495</v>
      </c>
      <c r="E277" s="361">
        <v>44166.0</v>
      </c>
      <c r="F277" s="250" t="s">
        <v>496</v>
      </c>
      <c r="G277" s="171">
        <v>60.0</v>
      </c>
      <c r="H277" s="171">
        <v>60.0</v>
      </c>
      <c r="I277" s="171">
        <v>40.0</v>
      </c>
      <c r="J277" s="325">
        <f t="shared" si="2"/>
        <v>0.001858965846</v>
      </c>
      <c r="K277" s="326">
        <f t="shared" si="13"/>
        <v>1.456189913</v>
      </c>
      <c r="L277" s="327">
        <f t="shared" si="4"/>
        <v>7.50715312</v>
      </c>
      <c r="M277" s="321" t="str">
        <f t="shared" si="5"/>
        <v>burrrata</v>
      </c>
      <c r="N277" s="176">
        <f>IFERROR(__xludf.DUMMYFUNCTION("""COMPUTED_VALUE"""),2.0)</f>
        <v>2</v>
      </c>
      <c r="O277" s="176"/>
      <c r="P277" s="176"/>
      <c r="Q277" s="176"/>
      <c r="R277" s="176"/>
      <c r="S277" s="176"/>
      <c r="T277" s="176"/>
      <c r="U277" s="176"/>
      <c r="V277" s="176"/>
      <c r="W277" s="176"/>
      <c r="X277" s="176"/>
      <c r="Y277" s="176"/>
      <c r="Z277" s="176"/>
    </row>
    <row r="278">
      <c r="A278" s="226" t="s">
        <v>79</v>
      </c>
      <c r="B278" s="226" t="s">
        <v>18</v>
      </c>
      <c r="C278" s="250" t="s">
        <v>3477</v>
      </c>
      <c r="D278" s="268" t="s">
        <v>495</v>
      </c>
      <c r="E278" s="361">
        <v>44169.0</v>
      </c>
      <c r="F278" s="250" t="s">
        <v>496</v>
      </c>
      <c r="G278" s="171">
        <v>60.0</v>
      </c>
      <c r="H278" s="171">
        <v>60.0</v>
      </c>
      <c r="I278" s="171">
        <v>50.0</v>
      </c>
      <c r="J278" s="325">
        <f t="shared" si="2"/>
        <v>0.002000773612</v>
      </c>
      <c r="K278" s="326">
        <f t="shared" si="13"/>
        <v>1.567272663</v>
      </c>
      <c r="L278" s="327">
        <f t="shared" si="4"/>
        <v>7.50715312</v>
      </c>
      <c r="M278" s="321" t="str">
        <f t="shared" si="5"/>
        <v>burrrata</v>
      </c>
      <c r="N278" s="176">
        <f>IFERROR(__xludf.DUMMYFUNCTION("""COMPUTED_VALUE"""),3.0)</f>
        <v>3</v>
      </c>
      <c r="O278" s="176"/>
      <c r="P278" s="176"/>
      <c r="Q278" s="176"/>
      <c r="R278" s="176"/>
      <c r="S278" s="176"/>
      <c r="T278" s="176"/>
      <c r="U278" s="176"/>
      <c r="V278" s="176"/>
      <c r="W278" s="176"/>
      <c r="X278" s="176"/>
      <c r="Y278" s="176"/>
      <c r="Z278" s="176"/>
    </row>
    <row r="279">
      <c r="A279" s="226" t="s">
        <v>14</v>
      </c>
      <c r="B279" s="226" t="s">
        <v>5</v>
      </c>
      <c r="C279" s="250" t="s">
        <v>3365</v>
      </c>
      <c r="D279" s="268" t="s">
        <v>495</v>
      </c>
      <c r="E279" s="251">
        <v>44159.0</v>
      </c>
      <c r="F279" s="368" t="s">
        <v>496</v>
      </c>
      <c r="G279" s="268">
        <v>30.0</v>
      </c>
      <c r="H279" s="236">
        <v>70.0</v>
      </c>
      <c r="I279" s="236">
        <v>50.0</v>
      </c>
      <c r="J279" s="325">
        <f t="shared" si="2"/>
        <v>0.001782119719</v>
      </c>
      <c r="K279" s="326">
        <f t="shared" si="13"/>
        <v>1.39599378</v>
      </c>
      <c r="L279" s="327">
        <f t="shared" si="4"/>
        <v>7.361391983</v>
      </c>
      <c r="M279" s="321" t="str">
        <f t="shared" si="5"/>
        <v>jessicazartler</v>
      </c>
      <c r="N279" s="176">
        <f>IFERROR(__xludf.DUMMYFUNCTION("""COMPUTED_VALUE"""),1.0)</f>
        <v>1</v>
      </c>
      <c r="O279" s="176"/>
      <c r="P279" s="176"/>
      <c r="Q279" s="176"/>
      <c r="R279" s="176"/>
      <c r="S279" s="176"/>
      <c r="T279" s="176"/>
      <c r="U279" s="176"/>
      <c r="V279" s="176"/>
      <c r="W279" s="176"/>
      <c r="X279" s="176"/>
      <c r="Y279" s="176"/>
      <c r="Z279" s="176"/>
    </row>
    <row r="280">
      <c r="A280" s="226" t="s">
        <v>14</v>
      </c>
      <c r="B280" s="226" t="s">
        <v>590</v>
      </c>
      <c r="C280" s="250" t="s">
        <v>3339</v>
      </c>
      <c r="D280" s="268" t="s">
        <v>495</v>
      </c>
      <c r="E280" s="251">
        <v>44159.0</v>
      </c>
      <c r="F280" s="368" t="s">
        <v>496</v>
      </c>
      <c r="G280" s="268">
        <v>20.0</v>
      </c>
      <c r="H280" s="236">
        <v>60.0</v>
      </c>
      <c r="I280" s="236">
        <v>30.0</v>
      </c>
      <c r="J280" s="325">
        <f t="shared" si="2"/>
        <v>0.001283215058</v>
      </c>
      <c r="K280" s="326">
        <f t="shared" si="13"/>
        <v>1.005185129</v>
      </c>
      <c r="L280" s="327">
        <f t="shared" si="4"/>
        <v>7.361391983</v>
      </c>
      <c r="M280" s="321" t="str">
        <f t="shared" si="5"/>
        <v>jessicazartler</v>
      </c>
      <c r="N280" s="176">
        <f>IFERROR(__xludf.DUMMYFUNCTION("""COMPUTED_VALUE"""),2.0)</f>
        <v>2</v>
      </c>
      <c r="O280" s="176"/>
      <c r="P280" s="176"/>
      <c r="Q280" s="176"/>
      <c r="R280" s="176"/>
      <c r="S280" s="176"/>
      <c r="T280" s="176"/>
      <c r="U280" s="176"/>
      <c r="V280" s="176"/>
      <c r="W280" s="176"/>
      <c r="X280" s="176"/>
      <c r="Y280" s="176"/>
      <c r="Z280" s="176"/>
    </row>
    <row r="281">
      <c r="A281" s="226" t="s">
        <v>14</v>
      </c>
      <c r="B281" s="226" t="s">
        <v>5</v>
      </c>
      <c r="C281" s="250" t="s">
        <v>3340</v>
      </c>
      <c r="D281" s="268" t="s">
        <v>495</v>
      </c>
      <c r="E281" s="251">
        <v>44160.0</v>
      </c>
      <c r="F281" s="368" t="s">
        <v>496</v>
      </c>
      <c r="G281" s="268">
        <v>20.0</v>
      </c>
      <c r="H281" s="236">
        <v>60.0</v>
      </c>
      <c r="I281" s="236">
        <v>20.0</v>
      </c>
      <c r="J281" s="325">
        <f t="shared" si="2"/>
        <v>0.001141407292</v>
      </c>
      <c r="K281" s="326">
        <f t="shared" si="13"/>
        <v>0.894102379</v>
      </c>
      <c r="L281" s="327">
        <f t="shared" si="4"/>
        <v>7.361391983</v>
      </c>
      <c r="M281" s="321" t="str">
        <f t="shared" si="5"/>
        <v>jessicazartler</v>
      </c>
      <c r="N281" s="176">
        <f>IFERROR(__xludf.DUMMYFUNCTION("""COMPUTED_VALUE"""),3.0)</f>
        <v>3</v>
      </c>
      <c r="O281" s="176"/>
      <c r="P281" s="176"/>
      <c r="Q281" s="176"/>
      <c r="R281" s="176"/>
      <c r="S281" s="176"/>
      <c r="T281" s="176"/>
      <c r="U281" s="176"/>
      <c r="V281" s="176"/>
      <c r="W281" s="176"/>
      <c r="X281" s="176"/>
      <c r="Y281" s="176"/>
      <c r="Z281" s="176"/>
    </row>
    <row r="282">
      <c r="A282" s="226" t="s">
        <v>14</v>
      </c>
      <c r="B282" s="226" t="s">
        <v>5</v>
      </c>
      <c r="C282" s="250" t="s">
        <v>3383</v>
      </c>
      <c r="D282" s="268" t="s">
        <v>495</v>
      </c>
      <c r="E282" s="251">
        <v>44161.0</v>
      </c>
      <c r="F282" s="368" t="s">
        <v>496</v>
      </c>
      <c r="G282" s="268">
        <v>30.0</v>
      </c>
      <c r="H282" s="236">
        <v>60.0</v>
      </c>
      <c r="I282" s="236">
        <v>50.0</v>
      </c>
      <c r="J282" s="325">
        <f t="shared" si="2"/>
        <v>0.001675316344</v>
      </c>
      <c r="K282" s="326">
        <f t="shared" si="13"/>
        <v>1.312331136</v>
      </c>
      <c r="L282" s="327">
        <f t="shared" si="4"/>
        <v>7.361391983</v>
      </c>
      <c r="M282" s="321" t="str">
        <f t="shared" si="5"/>
        <v>jessicazartler</v>
      </c>
      <c r="N282" s="176">
        <f>IFERROR(__xludf.DUMMYFUNCTION("""COMPUTED_VALUE"""),4.0)</f>
        <v>4</v>
      </c>
      <c r="O282" s="176"/>
      <c r="P282" s="176"/>
      <c r="Q282" s="176"/>
      <c r="R282" s="176"/>
      <c r="S282" s="176"/>
      <c r="T282" s="176"/>
      <c r="U282" s="176"/>
      <c r="V282" s="176"/>
      <c r="W282" s="176"/>
      <c r="X282" s="176"/>
      <c r="Y282" s="176"/>
      <c r="Z282" s="176"/>
    </row>
    <row r="283">
      <c r="A283" s="226" t="s">
        <v>14</v>
      </c>
      <c r="B283" s="226" t="s">
        <v>519</v>
      </c>
      <c r="C283" s="250" t="s">
        <v>3368</v>
      </c>
      <c r="D283" s="268" t="s">
        <v>495</v>
      </c>
      <c r="E283" s="251">
        <v>44161.0</v>
      </c>
      <c r="F283" s="368" t="s">
        <v>496</v>
      </c>
      <c r="G283" s="268">
        <v>20.0</v>
      </c>
      <c r="H283" s="236">
        <v>20.0</v>
      </c>
      <c r="I283" s="236">
        <v>30.0</v>
      </c>
      <c r="J283" s="325">
        <f t="shared" si="2"/>
        <v>0.0008560015578</v>
      </c>
      <c r="K283" s="326">
        <f t="shared" si="13"/>
        <v>0.6705345536</v>
      </c>
      <c r="L283" s="327">
        <f t="shared" si="4"/>
        <v>7.361391983</v>
      </c>
      <c r="M283" s="321" t="str">
        <f t="shared" si="5"/>
        <v>jessicazartler</v>
      </c>
      <c r="N283" s="176">
        <f>IFERROR(__xludf.DUMMYFUNCTION("""COMPUTED_VALUE"""),5.0)</f>
        <v>5</v>
      </c>
      <c r="O283" s="176"/>
      <c r="P283" s="176"/>
      <c r="Q283" s="176"/>
      <c r="R283" s="176"/>
      <c r="S283" s="176"/>
      <c r="T283" s="176"/>
      <c r="U283" s="176"/>
      <c r="V283" s="176"/>
      <c r="W283" s="176"/>
      <c r="X283" s="176"/>
      <c r="Y283" s="176"/>
      <c r="Z283" s="176"/>
    </row>
    <row r="284">
      <c r="A284" s="226" t="s">
        <v>14</v>
      </c>
      <c r="B284" s="226" t="s">
        <v>519</v>
      </c>
      <c r="C284" s="250" t="s">
        <v>3478</v>
      </c>
      <c r="D284" s="268" t="s">
        <v>495</v>
      </c>
      <c r="E284" s="251">
        <v>44161.0</v>
      </c>
      <c r="F284" s="368" t="s">
        <v>496</v>
      </c>
      <c r="G284" s="268">
        <v>100.0</v>
      </c>
      <c r="H284" s="236">
        <v>100.0</v>
      </c>
      <c r="I284" s="236">
        <v>80.0</v>
      </c>
      <c r="J284" s="325">
        <f t="shared" si="2"/>
        <v>0.003287353431</v>
      </c>
      <c r="K284" s="326">
        <f t="shared" si="13"/>
        <v>2.575093521</v>
      </c>
      <c r="L284" s="327">
        <f t="shared" si="4"/>
        <v>7.361391983</v>
      </c>
      <c r="M284" s="321" t="str">
        <f t="shared" si="5"/>
        <v>jessicazartler</v>
      </c>
      <c r="N284" s="176">
        <f>IFERROR(__xludf.DUMMYFUNCTION("""COMPUTED_VALUE"""),6.0)</f>
        <v>6</v>
      </c>
      <c r="O284" s="176"/>
      <c r="P284" s="176"/>
      <c r="Q284" s="176"/>
      <c r="R284" s="176"/>
      <c r="S284" s="176"/>
      <c r="T284" s="176"/>
      <c r="U284" s="176"/>
      <c r="V284" s="176"/>
      <c r="W284" s="176"/>
      <c r="X284" s="176"/>
      <c r="Y284" s="176"/>
      <c r="Z284" s="176"/>
    </row>
    <row r="285">
      <c r="A285" s="226" t="s">
        <v>14</v>
      </c>
      <c r="B285" s="226" t="s">
        <v>18</v>
      </c>
      <c r="C285" s="250" t="s">
        <v>3479</v>
      </c>
      <c r="D285" s="268" t="s">
        <v>495</v>
      </c>
      <c r="E285" s="251">
        <v>44161.0</v>
      </c>
      <c r="F285" s="368" t="s">
        <v>496</v>
      </c>
      <c r="G285" s="268">
        <v>300.0</v>
      </c>
      <c r="H285" s="236">
        <v>200.0</v>
      </c>
      <c r="I285" s="236">
        <v>100.0</v>
      </c>
      <c r="J285" s="325">
        <f t="shared" si="2"/>
        <v>0.006808717828</v>
      </c>
      <c r="K285" s="326">
        <f t="shared" si="13"/>
        <v>5.333495632</v>
      </c>
      <c r="L285" s="327">
        <f t="shared" si="4"/>
        <v>7.361391983</v>
      </c>
      <c r="M285" s="321" t="str">
        <f t="shared" si="5"/>
        <v>jessicazartler</v>
      </c>
      <c r="N285" s="176">
        <f>IFERROR(__xludf.DUMMYFUNCTION("""COMPUTED_VALUE"""),7.0)</f>
        <v>7</v>
      </c>
      <c r="O285" s="176"/>
      <c r="P285" s="176"/>
      <c r="Q285" s="176"/>
      <c r="R285" s="176"/>
      <c r="S285" s="176"/>
      <c r="T285" s="176"/>
      <c r="U285" s="176"/>
      <c r="V285" s="176"/>
      <c r="W285" s="176"/>
      <c r="X285" s="176"/>
      <c r="Y285" s="176"/>
      <c r="Z285" s="176"/>
    </row>
    <row r="286">
      <c r="A286" s="226" t="s">
        <v>14</v>
      </c>
      <c r="B286" s="226" t="s">
        <v>867</v>
      </c>
      <c r="C286" s="250" t="s">
        <v>3461</v>
      </c>
      <c r="D286" s="268" t="s">
        <v>495</v>
      </c>
      <c r="E286" s="251">
        <v>44161.0</v>
      </c>
      <c r="F286" s="368" t="s">
        <v>496</v>
      </c>
      <c r="G286" s="268">
        <v>10.0</v>
      </c>
      <c r="H286" s="236">
        <v>70.0</v>
      </c>
      <c r="I286" s="236">
        <v>50.0</v>
      </c>
      <c r="J286" s="325">
        <f t="shared" si="2"/>
        <v>0.001565148208</v>
      </c>
      <c r="K286" s="326">
        <f t="shared" si="13"/>
        <v>1.226032763</v>
      </c>
      <c r="L286" s="327">
        <f t="shared" si="4"/>
        <v>7.361391983</v>
      </c>
      <c r="M286" s="321" t="str">
        <f t="shared" si="5"/>
        <v>jessicazartler</v>
      </c>
      <c r="N286" s="176">
        <f>IFERROR(__xludf.DUMMYFUNCTION("""COMPUTED_VALUE"""),8.0)</f>
        <v>8</v>
      </c>
      <c r="O286" s="176"/>
      <c r="P286" s="176"/>
      <c r="Q286" s="176"/>
      <c r="R286" s="176"/>
      <c r="S286" s="176"/>
      <c r="T286" s="176"/>
      <c r="U286" s="176"/>
      <c r="V286" s="176"/>
      <c r="W286" s="176"/>
      <c r="X286" s="176"/>
      <c r="Y286" s="176"/>
      <c r="Z286" s="176"/>
    </row>
    <row r="287">
      <c r="A287" s="226" t="s">
        <v>14</v>
      </c>
      <c r="B287" s="226" t="s">
        <v>1577</v>
      </c>
      <c r="C287" s="250" t="s">
        <v>3480</v>
      </c>
      <c r="D287" s="268" t="s">
        <v>495</v>
      </c>
      <c r="E287" s="251">
        <v>44162.0</v>
      </c>
      <c r="F287" s="368" t="s">
        <v>496</v>
      </c>
      <c r="G287" s="268">
        <v>100.0</v>
      </c>
      <c r="H287" s="236">
        <v>100.0</v>
      </c>
      <c r="I287" s="236">
        <v>100.0</v>
      </c>
      <c r="J287" s="325">
        <f t="shared" si="2"/>
        <v>0.003570968962</v>
      </c>
      <c r="K287" s="326">
        <f t="shared" si="13"/>
        <v>2.79725902</v>
      </c>
      <c r="L287" s="327">
        <f t="shared" si="4"/>
        <v>7.361391983</v>
      </c>
      <c r="M287" s="321" t="str">
        <f t="shared" si="5"/>
        <v>jessicazartler</v>
      </c>
      <c r="N287" s="176">
        <f>IFERROR(__xludf.DUMMYFUNCTION("""COMPUTED_VALUE"""),9.0)</f>
        <v>9</v>
      </c>
      <c r="O287" s="176"/>
      <c r="P287" s="176"/>
      <c r="Q287" s="176"/>
      <c r="R287" s="176"/>
      <c r="S287" s="176"/>
      <c r="T287" s="176"/>
      <c r="U287" s="176"/>
      <c r="V287" s="176"/>
      <c r="W287" s="176"/>
      <c r="X287" s="176"/>
      <c r="Y287" s="176"/>
      <c r="Z287" s="176"/>
    </row>
    <row r="288">
      <c r="A288" s="226" t="s">
        <v>14</v>
      </c>
      <c r="B288" s="226" t="s">
        <v>10</v>
      </c>
      <c r="C288" s="250" t="s">
        <v>3369</v>
      </c>
      <c r="D288" s="268" t="s">
        <v>495</v>
      </c>
      <c r="E288" s="251">
        <v>44162.0</v>
      </c>
      <c r="F288" s="368" t="s">
        <v>496</v>
      </c>
      <c r="G288" s="268">
        <v>40.0</v>
      </c>
      <c r="H288" s="236">
        <v>60.0</v>
      </c>
      <c r="I288" s="236">
        <v>30.0</v>
      </c>
      <c r="J288" s="325">
        <f t="shared" si="2"/>
        <v>0.001500186569</v>
      </c>
      <c r="K288" s="326">
        <f t="shared" si="13"/>
        <v>1.175146146</v>
      </c>
      <c r="L288" s="327">
        <f t="shared" si="4"/>
        <v>7.361391983</v>
      </c>
      <c r="M288" s="321" t="str">
        <f t="shared" si="5"/>
        <v>jessicazartler</v>
      </c>
      <c r="N288" s="176">
        <f>IFERROR(__xludf.DUMMYFUNCTION("""COMPUTED_VALUE"""),10.0)</f>
        <v>10</v>
      </c>
      <c r="O288" s="176"/>
      <c r="P288" s="176"/>
      <c r="Q288" s="176"/>
      <c r="R288" s="176"/>
      <c r="S288" s="176"/>
      <c r="T288" s="176"/>
      <c r="U288" s="176"/>
      <c r="V288" s="176"/>
      <c r="W288" s="176"/>
      <c r="X288" s="176"/>
      <c r="Y288" s="176"/>
      <c r="Z288" s="176"/>
    </row>
    <row r="289">
      <c r="A289" s="226" t="s">
        <v>14</v>
      </c>
      <c r="B289" s="226" t="s">
        <v>10</v>
      </c>
      <c r="C289" s="250" t="s">
        <v>3481</v>
      </c>
      <c r="D289" s="268" t="s">
        <v>495</v>
      </c>
      <c r="E289" s="251">
        <v>44162.0</v>
      </c>
      <c r="F289" s="368" t="s">
        <v>496</v>
      </c>
      <c r="G289" s="268">
        <v>50.0</v>
      </c>
      <c r="H289" s="236">
        <v>100.0</v>
      </c>
      <c r="I289" s="236">
        <v>30.0</v>
      </c>
      <c r="J289" s="325">
        <f t="shared" si="2"/>
        <v>0.002035885825</v>
      </c>
      <c r="K289" s="326">
        <f t="shared" si="13"/>
        <v>1.59477723</v>
      </c>
      <c r="L289" s="327">
        <f t="shared" si="4"/>
        <v>7.361391983</v>
      </c>
      <c r="M289" s="321" t="str">
        <f t="shared" si="5"/>
        <v>jessicazartler</v>
      </c>
      <c r="N289" s="176">
        <f>IFERROR(__xludf.DUMMYFUNCTION("""COMPUTED_VALUE"""),11.0)</f>
        <v>11</v>
      </c>
      <c r="O289" s="176"/>
      <c r="P289" s="176"/>
      <c r="Q289" s="176"/>
      <c r="R289" s="176"/>
      <c r="S289" s="176"/>
      <c r="T289" s="176"/>
      <c r="U289" s="176"/>
      <c r="V289" s="176"/>
      <c r="W289" s="176"/>
      <c r="X289" s="176"/>
      <c r="Y289" s="176"/>
      <c r="Z289" s="176"/>
    </row>
    <row r="290">
      <c r="A290" s="226" t="s">
        <v>14</v>
      </c>
      <c r="B290" s="226" t="s">
        <v>10</v>
      </c>
      <c r="C290" s="250" t="s">
        <v>3482</v>
      </c>
      <c r="D290" s="268" t="s">
        <v>495</v>
      </c>
      <c r="E290" s="251">
        <v>44162.0</v>
      </c>
      <c r="F290" s="368" t="s">
        <v>496</v>
      </c>
      <c r="G290" s="268">
        <v>100.0</v>
      </c>
      <c r="H290" s="236">
        <v>100.0</v>
      </c>
      <c r="I290" s="236">
        <v>50.0</v>
      </c>
      <c r="J290" s="325">
        <f t="shared" si="2"/>
        <v>0.002861930135</v>
      </c>
      <c r="K290" s="326">
        <f t="shared" si="13"/>
        <v>2.241845272</v>
      </c>
      <c r="L290" s="327">
        <f t="shared" si="4"/>
        <v>7.361391983</v>
      </c>
      <c r="M290" s="321" t="str">
        <f t="shared" si="5"/>
        <v>jessicazartler</v>
      </c>
      <c r="N290" s="176">
        <f>IFERROR(__xludf.DUMMYFUNCTION("""COMPUTED_VALUE"""),12.0)</f>
        <v>12</v>
      </c>
      <c r="O290" s="176"/>
      <c r="P290" s="176"/>
      <c r="Q290" s="176"/>
      <c r="R290" s="176"/>
      <c r="S290" s="176"/>
      <c r="T290" s="176"/>
      <c r="U290" s="176"/>
      <c r="V290" s="176"/>
      <c r="W290" s="176"/>
      <c r="X290" s="176"/>
      <c r="Y290" s="176"/>
      <c r="Z290" s="176"/>
    </row>
    <row r="291">
      <c r="A291" s="226" t="s">
        <v>14</v>
      </c>
      <c r="B291" s="226" t="s">
        <v>590</v>
      </c>
      <c r="C291" s="250" t="s">
        <v>3483</v>
      </c>
      <c r="D291" s="268" t="s">
        <v>495</v>
      </c>
      <c r="E291" s="251">
        <v>44163.0</v>
      </c>
      <c r="F291" s="368" t="s">
        <v>496</v>
      </c>
      <c r="G291" s="268">
        <v>30.0</v>
      </c>
      <c r="H291" s="236">
        <v>30.0</v>
      </c>
      <c r="I291" s="236">
        <v>50.0</v>
      </c>
      <c r="J291" s="325">
        <f t="shared" si="2"/>
        <v>0.001354906219</v>
      </c>
      <c r="K291" s="326">
        <f t="shared" si="13"/>
        <v>1.061343205</v>
      </c>
      <c r="L291" s="327">
        <f t="shared" si="4"/>
        <v>7.361391983</v>
      </c>
      <c r="M291" s="321" t="str">
        <f t="shared" si="5"/>
        <v>jessicazartler</v>
      </c>
      <c r="N291" s="176">
        <f>IFERROR(__xludf.DUMMYFUNCTION("""COMPUTED_VALUE"""),13.0)</f>
        <v>13</v>
      </c>
      <c r="O291" s="176"/>
      <c r="P291" s="176"/>
      <c r="Q291" s="176"/>
      <c r="R291" s="176"/>
      <c r="S291" s="176"/>
      <c r="T291" s="176"/>
      <c r="U291" s="176"/>
      <c r="V291" s="176"/>
      <c r="W291" s="176"/>
      <c r="X291" s="176"/>
      <c r="Y291" s="176"/>
      <c r="Z291" s="176"/>
    </row>
    <row r="292">
      <c r="A292" s="226" t="s">
        <v>14</v>
      </c>
      <c r="B292" s="226" t="s">
        <v>10</v>
      </c>
      <c r="C292" s="250" t="s">
        <v>3345</v>
      </c>
      <c r="D292" s="268" t="s">
        <v>495</v>
      </c>
      <c r="E292" s="251">
        <v>44163.0</v>
      </c>
      <c r="F292" s="368" t="s">
        <v>496</v>
      </c>
      <c r="G292" s="268">
        <v>40.0</v>
      </c>
      <c r="H292" s="236">
        <v>30.0</v>
      </c>
      <c r="I292" s="236">
        <v>30.0</v>
      </c>
      <c r="J292" s="325">
        <f t="shared" si="2"/>
        <v>0.001179776444</v>
      </c>
      <c r="K292" s="326">
        <f t="shared" si="13"/>
        <v>0.9241582148</v>
      </c>
      <c r="L292" s="327">
        <f t="shared" si="4"/>
        <v>7.361391983</v>
      </c>
      <c r="M292" s="321" t="str">
        <f t="shared" si="5"/>
        <v>jessicazartler</v>
      </c>
      <c r="N292" s="176">
        <f>IFERROR(__xludf.DUMMYFUNCTION("""COMPUTED_VALUE"""),14.0)</f>
        <v>14</v>
      </c>
      <c r="O292" s="176"/>
      <c r="P292" s="176"/>
      <c r="Q292" s="176"/>
      <c r="R292" s="176"/>
      <c r="S292" s="176"/>
      <c r="T292" s="176"/>
      <c r="U292" s="176"/>
      <c r="V292" s="176"/>
      <c r="W292" s="176"/>
      <c r="X292" s="176"/>
      <c r="Y292" s="176"/>
      <c r="Z292" s="176"/>
    </row>
    <row r="293">
      <c r="A293" s="226" t="s">
        <v>14</v>
      </c>
      <c r="B293" s="226" t="s">
        <v>18</v>
      </c>
      <c r="C293" s="250" t="s">
        <v>3348</v>
      </c>
      <c r="D293" s="268" t="s">
        <v>495</v>
      </c>
      <c r="E293" s="361">
        <v>44166.0</v>
      </c>
      <c r="F293" s="250" t="s">
        <v>496</v>
      </c>
      <c r="G293" s="171">
        <v>30.0</v>
      </c>
      <c r="H293" s="171">
        <v>60.0</v>
      </c>
      <c r="I293" s="171">
        <v>40.0</v>
      </c>
      <c r="J293" s="325">
        <f t="shared" si="2"/>
        <v>0.001533508579</v>
      </c>
      <c r="K293" s="326">
        <f t="shared" si="13"/>
        <v>1.201248387</v>
      </c>
      <c r="L293" s="327">
        <f t="shared" si="4"/>
        <v>7.361391983</v>
      </c>
      <c r="M293" s="321" t="str">
        <f t="shared" si="5"/>
        <v>jessicazartler</v>
      </c>
      <c r="N293" s="176">
        <f>IFERROR(__xludf.DUMMYFUNCTION("""COMPUTED_VALUE"""),15.0)</f>
        <v>15</v>
      </c>
      <c r="O293" s="176"/>
      <c r="P293" s="176"/>
      <c r="Q293" s="176"/>
      <c r="R293" s="176"/>
      <c r="S293" s="176"/>
      <c r="T293" s="176"/>
      <c r="U293" s="176"/>
      <c r="V293" s="176"/>
      <c r="W293" s="176"/>
      <c r="X293" s="176"/>
      <c r="Y293" s="176"/>
      <c r="Z293" s="176"/>
    </row>
    <row r="294">
      <c r="A294" s="226" t="s">
        <v>14</v>
      </c>
      <c r="B294" s="226" t="s">
        <v>590</v>
      </c>
      <c r="C294" s="250" t="s">
        <v>3350</v>
      </c>
      <c r="D294" s="268" t="s">
        <v>495</v>
      </c>
      <c r="E294" s="361">
        <v>44166.0</v>
      </c>
      <c r="F294" s="250" t="s">
        <v>496</v>
      </c>
      <c r="G294" s="171">
        <v>20.0</v>
      </c>
      <c r="H294" s="171">
        <v>80.0</v>
      </c>
      <c r="I294" s="171">
        <v>40.0</v>
      </c>
      <c r="J294" s="325">
        <f t="shared" si="2"/>
        <v>0.001638629573</v>
      </c>
      <c r="K294" s="326">
        <f t="shared" si="13"/>
        <v>1.283593166</v>
      </c>
      <c r="L294" s="327">
        <f t="shared" si="4"/>
        <v>7.361391983</v>
      </c>
      <c r="M294" s="321" t="str">
        <f t="shared" si="5"/>
        <v>jessicazartler</v>
      </c>
      <c r="N294" s="176">
        <f>IFERROR(__xludf.DUMMYFUNCTION("""COMPUTED_VALUE"""),16.0)</f>
        <v>16</v>
      </c>
      <c r="O294" s="176"/>
      <c r="P294" s="176"/>
      <c r="Q294" s="176"/>
      <c r="R294" s="176"/>
      <c r="S294" s="176"/>
      <c r="T294" s="176"/>
      <c r="U294" s="176"/>
      <c r="V294" s="176"/>
      <c r="W294" s="176"/>
      <c r="X294" s="176"/>
      <c r="Y294" s="176"/>
      <c r="Z294" s="176"/>
    </row>
    <row r="295">
      <c r="A295" s="226" t="s">
        <v>14</v>
      </c>
      <c r="B295" s="226" t="s">
        <v>590</v>
      </c>
      <c r="C295" s="250" t="s">
        <v>3397</v>
      </c>
      <c r="D295" s="268" t="s">
        <v>495</v>
      </c>
      <c r="E295" s="361">
        <v>44166.0</v>
      </c>
      <c r="F295" s="250" t="s">
        <v>496</v>
      </c>
      <c r="G295" s="171">
        <v>120.0</v>
      </c>
      <c r="H295" s="171">
        <v>100.0</v>
      </c>
      <c r="I295" s="171">
        <v>100.0</v>
      </c>
      <c r="J295" s="325">
        <f t="shared" si="2"/>
        <v>0.003787940474</v>
      </c>
      <c r="K295" s="326">
        <f t="shared" si="13"/>
        <v>2.967220038</v>
      </c>
      <c r="L295" s="327">
        <f t="shared" si="4"/>
        <v>7.361391983</v>
      </c>
      <c r="M295" s="321" t="str">
        <f t="shared" si="5"/>
        <v>jessicazartler</v>
      </c>
      <c r="N295" s="176">
        <f>IFERROR(__xludf.DUMMYFUNCTION("""COMPUTED_VALUE"""),17.0)</f>
        <v>17</v>
      </c>
      <c r="O295" s="176"/>
      <c r="P295" s="176"/>
      <c r="Q295" s="176"/>
      <c r="R295" s="176"/>
      <c r="S295" s="176"/>
      <c r="T295" s="176"/>
      <c r="U295" s="176"/>
      <c r="V295" s="176"/>
      <c r="W295" s="176"/>
      <c r="X295" s="176"/>
      <c r="Y295" s="176"/>
      <c r="Z295" s="176"/>
    </row>
    <row r="296">
      <c r="A296" s="226" t="s">
        <v>14</v>
      </c>
      <c r="B296" s="226" t="s">
        <v>5</v>
      </c>
      <c r="C296" s="250" t="s">
        <v>3390</v>
      </c>
      <c r="D296" s="268" t="s">
        <v>495</v>
      </c>
      <c r="E296" s="361">
        <v>44167.0</v>
      </c>
      <c r="F296" s="250" t="s">
        <v>496</v>
      </c>
      <c r="G296" s="171">
        <v>20.0</v>
      </c>
      <c r="H296" s="171">
        <v>60.0</v>
      </c>
      <c r="I296" s="171">
        <v>40.0</v>
      </c>
      <c r="J296" s="325">
        <f t="shared" si="2"/>
        <v>0.001425022823</v>
      </c>
      <c r="K296" s="326">
        <f t="shared" si="13"/>
        <v>1.116267878</v>
      </c>
      <c r="L296" s="327">
        <f t="shared" si="4"/>
        <v>7.361391983</v>
      </c>
      <c r="M296" s="321" t="str">
        <f t="shared" si="5"/>
        <v>jessicazartler</v>
      </c>
      <c r="N296" s="176">
        <f>IFERROR(__xludf.DUMMYFUNCTION("""COMPUTED_VALUE"""),18.0)</f>
        <v>18</v>
      </c>
      <c r="O296" s="176"/>
      <c r="P296" s="176"/>
      <c r="Q296" s="176"/>
      <c r="R296" s="176"/>
      <c r="S296" s="176"/>
      <c r="T296" s="176"/>
      <c r="U296" s="176"/>
      <c r="V296" s="176"/>
      <c r="W296" s="176"/>
      <c r="X296" s="176"/>
      <c r="Y296" s="176"/>
      <c r="Z296" s="176"/>
    </row>
    <row r="297">
      <c r="A297" s="226" t="s">
        <v>14</v>
      </c>
      <c r="B297" s="226" t="s">
        <v>5</v>
      </c>
      <c r="C297" s="250" t="s">
        <v>3400</v>
      </c>
      <c r="D297" s="268" t="s">
        <v>495</v>
      </c>
      <c r="E297" s="361">
        <v>44167.0</v>
      </c>
      <c r="F297" s="250" t="s">
        <v>496</v>
      </c>
      <c r="G297" s="171">
        <v>60.0</v>
      </c>
      <c r="H297" s="171">
        <v>40.0</v>
      </c>
      <c r="I297" s="171">
        <v>40.0</v>
      </c>
      <c r="J297" s="325">
        <f t="shared" si="2"/>
        <v>0.001645359096</v>
      </c>
      <c r="K297" s="326">
        <f t="shared" si="13"/>
        <v>1.288864626</v>
      </c>
      <c r="L297" s="327">
        <f t="shared" si="4"/>
        <v>7.361391983</v>
      </c>
      <c r="M297" s="321" t="str">
        <f t="shared" si="5"/>
        <v>jessicazartler</v>
      </c>
      <c r="N297" s="176">
        <f>IFERROR(__xludf.DUMMYFUNCTION("""COMPUTED_VALUE"""),19.0)</f>
        <v>19</v>
      </c>
      <c r="O297" s="176"/>
      <c r="P297" s="176"/>
      <c r="Q297" s="176"/>
      <c r="R297" s="176"/>
      <c r="S297" s="176"/>
      <c r="T297" s="176"/>
      <c r="U297" s="176"/>
      <c r="V297" s="176"/>
      <c r="W297" s="176"/>
      <c r="X297" s="176"/>
      <c r="Y297" s="176"/>
      <c r="Z297" s="176"/>
    </row>
    <row r="298">
      <c r="A298" s="226" t="s">
        <v>14</v>
      </c>
      <c r="B298" s="226" t="s">
        <v>877</v>
      </c>
      <c r="C298" s="250" t="s">
        <v>3484</v>
      </c>
      <c r="D298" s="268" t="s">
        <v>495</v>
      </c>
      <c r="E298" s="361">
        <v>44168.0</v>
      </c>
      <c r="F298" s="250" t="s">
        <v>496</v>
      </c>
      <c r="G298" s="171">
        <v>50.0</v>
      </c>
      <c r="H298" s="171">
        <v>50.0</v>
      </c>
      <c r="I298" s="171">
        <v>50.0</v>
      </c>
      <c r="J298" s="325">
        <f t="shared" si="2"/>
        <v>0.001785484481</v>
      </c>
      <c r="K298" s="326">
        <f t="shared" si="13"/>
        <v>1.39862951</v>
      </c>
      <c r="L298" s="327">
        <f t="shared" si="4"/>
        <v>7.361391983</v>
      </c>
      <c r="M298" s="321" t="str">
        <f t="shared" si="5"/>
        <v>jessicazartler</v>
      </c>
      <c r="N298" s="176">
        <f>IFERROR(__xludf.DUMMYFUNCTION("""COMPUTED_VALUE"""),20.0)</f>
        <v>20</v>
      </c>
      <c r="O298" s="176"/>
      <c r="P298" s="176"/>
      <c r="Q298" s="176"/>
      <c r="R298" s="176"/>
      <c r="S298" s="176"/>
      <c r="T298" s="176"/>
      <c r="U298" s="176"/>
      <c r="V298" s="176"/>
      <c r="W298" s="176"/>
      <c r="X298" s="176"/>
      <c r="Y298" s="176"/>
      <c r="Z298" s="176"/>
    </row>
    <row r="299">
      <c r="A299" s="226" t="s">
        <v>14</v>
      </c>
      <c r="B299" s="226" t="s">
        <v>877</v>
      </c>
      <c r="C299" s="250" t="s">
        <v>3485</v>
      </c>
      <c r="D299" s="268" t="s">
        <v>495</v>
      </c>
      <c r="E299" s="361">
        <v>44168.0</v>
      </c>
      <c r="F299" s="250" t="s">
        <v>496</v>
      </c>
      <c r="G299" s="171">
        <v>20.0</v>
      </c>
      <c r="H299" s="171">
        <v>30.0</v>
      </c>
      <c r="I299" s="171">
        <v>30.0</v>
      </c>
      <c r="J299" s="325">
        <f t="shared" si="2"/>
        <v>0.0009628049328</v>
      </c>
      <c r="K299" s="326">
        <f t="shared" si="13"/>
        <v>0.7541971973</v>
      </c>
      <c r="L299" s="327">
        <f t="shared" si="4"/>
        <v>7.361391983</v>
      </c>
      <c r="M299" s="321" t="str">
        <f t="shared" si="5"/>
        <v>jessicazartler</v>
      </c>
      <c r="N299" s="176">
        <f>IFERROR(__xludf.DUMMYFUNCTION("""COMPUTED_VALUE"""),21.0)</f>
        <v>21</v>
      </c>
      <c r="O299" s="176"/>
      <c r="P299" s="176"/>
      <c r="Q299" s="176"/>
      <c r="R299" s="176"/>
      <c r="S299" s="176"/>
      <c r="T299" s="176"/>
      <c r="U299" s="176"/>
      <c r="V299" s="176"/>
      <c r="W299" s="176"/>
      <c r="X299" s="176"/>
      <c r="Y299" s="176"/>
      <c r="Z299" s="176"/>
    </row>
    <row r="300">
      <c r="A300" s="226" t="s">
        <v>14</v>
      </c>
      <c r="B300" s="226" t="s">
        <v>590</v>
      </c>
      <c r="C300" s="250" t="s">
        <v>3486</v>
      </c>
      <c r="D300" s="268" t="s">
        <v>495</v>
      </c>
      <c r="E300" s="361">
        <v>44168.0</v>
      </c>
      <c r="F300" s="250" t="s">
        <v>496</v>
      </c>
      <c r="G300" s="171">
        <v>100.0</v>
      </c>
      <c r="H300" s="171">
        <v>30.0</v>
      </c>
      <c r="I300" s="171">
        <v>50.0</v>
      </c>
      <c r="J300" s="325">
        <f t="shared" si="2"/>
        <v>0.00211430651</v>
      </c>
      <c r="K300" s="326">
        <f t="shared" si="13"/>
        <v>1.656206766</v>
      </c>
      <c r="L300" s="327">
        <f t="shared" si="4"/>
        <v>7.361391983</v>
      </c>
      <c r="M300" s="321" t="str">
        <f t="shared" si="5"/>
        <v>jessicazartler</v>
      </c>
      <c r="N300" s="176">
        <f>IFERROR(__xludf.DUMMYFUNCTION("""COMPUTED_VALUE"""),22.0)</f>
        <v>22</v>
      </c>
      <c r="O300" s="176"/>
      <c r="P300" s="176"/>
      <c r="Q300" s="176"/>
      <c r="R300" s="176"/>
      <c r="S300" s="176"/>
      <c r="T300" s="176"/>
      <c r="U300" s="176"/>
      <c r="V300" s="176"/>
      <c r="W300" s="176"/>
      <c r="X300" s="176"/>
      <c r="Y300" s="176"/>
      <c r="Z300" s="176"/>
    </row>
    <row r="301">
      <c r="A301" s="226" t="s">
        <v>14</v>
      </c>
      <c r="B301" s="226" t="s">
        <v>25</v>
      </c>
      <c r="C301" s="250" t="s">
        <v>3353</v>
      </c>
      <c r="D301" s="268" t="s">
        <v>495</v>
      </c>
      <c r="E301" s="361">
        <v>44168.0</v>
      </c>
      <c r="F301" s="250" t="s">
        <v>496</v>
      </c>
      <c r="G301" s="171">
        <v>30.0</v>
      </c>
      <c r="H301" s="171">
        <v>30.0</v>
      </c>
      <c r="I301" s="171">
        <v>25.0</v>
      </c>
      <c r="J301" s="325">
        <f t="shared" si="2"/>
        <v>0.001000386806</v>
      </c>
      <c r="K301" s="326">
        <f t="shared" si="13"/>
        <v>0.7836363313</v>
      </c>
      <c r="L301" s="327">
        <f t="shared" si="4"/>
        <v>7.361391983</v>
      </c>
      <c r="M301" s="321" t="str">
        <f t="shared" si="5"/>
        <v>jessicazartler</v>
      </c>
      <c r="N301" s="176">
        <f>IFERROR(__xludf.DUMMYFUNCTION("""COMPUTED_VALUE"""),23.0)</f>
        <v>23</v>
      </c>
      <c r="O301" s="176"/>
      <c r="P301" s="176"/>
      <c r="Q301" s="176"/>
      <c r="R301" s="176"/>
      <c r="S301" s="176"/>
      <c r="T301" s="176"/>
      <c r="U301" s="176"/>
      <c r="V301" s="176"/>
      <c r="W301" s="176"/>
      <c r="X301" s="176"/>
      <c r="Y301" s="176"/>
      <c r="Z301" s="176"/>
    </row>
    <row r="302">
      <c r="A302" s="226" t="s">
        <v>14</v>
      </c>
      <c r="B302" s="226" t="s">
        <v>6</v>
      </c>
      <c r="C302" s="250" t="s">
        <v>3487</v>
      </c>
      <c r="D302" s="268" t="s">
        <v>495</v>
      </c>
      <c r="E302" s="361">
        <v>44168.0</v>
      </c>
      <c r="F302" s="250" t="s">
        <v>496</v>
      </c>
      <c r="G302" s="171">
        <v>35.0</v>
      </c>
      <c r="H302" s="171">
        <v>40.0</v>
      </c>
      <c r="I302" s="171">
        <v>50.0</v>
      </c>
      <c r="J302" s="325">
        <f t="shared" si="2"/>
        <v>0.001515952472</v>
      </c>
      <c r="K302" s="326">
        <f t="shared" si="13"/>
        <v>1.187496103</v>
      </c>
      <c r="L302" s="327">
        <f t="shared" si="4"/>
        <v>7.361391983</v>
      </c>
      <c r="M302" s="321" t="str">
        <f t="shared" si="5"/>
        <v>jessicazartler</v>
      </c>
      <c r="N302" s="176">
        <f>IFERROR(__xludf.DUMMYFUNCTION("""COMPUTED_VALUE"""),24.0)</f>
        <v>24</v>
      </c>
      <c r="O302" s="176"/>
      <c r="P302" s="176"/>
      <c r="Q302" s="176"/>
      <c r="R302" s="176"/>
      <c r="S302" s="176"/>
      <c r="T302" s="176"/>
      <c r="U302" s="176"/>
      <c r="V302" s="176"/>
      <c r="W302" s="176"/>
      <c r="X302" s="176"/>
      <c r="Y302" s="176"/>
      <c r="Z302" s="176"/>
    </row>
    <row r="303">
      <c r="A303" s="226" t="s">
        <v>14</v>
      </c>
      <c r="B303" s="226" t="s">
        <v>10</v>
      </c>
      <c r="C303" s="250" t="s">
        <v>3488</v>
      </c>
      <c r="D303" s="268" t="s">
        <v>495</v>
      </c>
      <c r="E303" s="361">
        <v>44169.0</v>
      </c>
      <c r="F303" s="250" t="s">
        <v>496</v>
      </c>
      <c r="G303" s="171">
        <v>30.0</v>
      </c>
      <c r="H303" s="171">
        <v>50.0</v>
      </c>
      <c r="I303" s="171">
        <v>40.0</v>
      </c>
      <c r="J303" s="325">
        <f t="shared" si="2"/>
        <v>0.001426705204</v>
      </c>
      <c r="K303" s="326">
        <f t="shared" si="13"/>
        <v>1.117585743</v>
      </c>
      <c r="L303" s="327">
        <f t="shared" si="4"/>
        <v>7.361391983</v>
      </c>
      <c r="M303" s="321" t="str">
        <f t="shared" si="5"/>
        <v>jessicazartler</v>
      </c>
      <c r="N303" s="176">
        <f>IFERROR(__xludf.DUMMYFUNCTION("""COMPUTED_VALUE"""),25.0)</f>
        <v>25</v>
      </c>
      <c r="O303" s="176"/>
      <c r="P303" s="176"/>
      <c r="Q303" s="176"/>
      <c r="R303" s="176"/>
      <c r="S303" s="176"/>
      <c r="T303" s="176"/>
      <c r="U303" s="176"/>
      <c r="V303" s="176"/>
      <c r="W303" s="176"/>
      <c r="X303" s="176"/>
      <c r="Y303" s="176"/>
      <c r="Z303" s="176"/>
    </row>
    <row r="304">
      <c r="A304" s="226" t="s">
        <v>14</v>
      </c>
      <c r="B304" s="226" t="s">
        <v>10</v>
      </c>
      <c r="C304" s="250" t="s">
        <v>3456</v>
      </c>
      <c r="D304" s="268" t="s">
        <v>495</v>
      </c>
      <c r="E304" s="361">
        <v>44169.0</v>
      </c>
      <c r="F304" s="250" t="s">
        <v>496</v>
      </c>
      <c r="G304" s="171">
        <v>45.0</v>
      </c>
      <c r="H304" s="171">
        <v>40.0</v>
      </c>
      <c r="I304" s="171">
        <v>40.0</v>
      </c>
      <c r="J304" s="325">
        <f t="shared" si="2"/>
        <v>0.001482630463</v>
      </c>
      <c r="K304" s="326">
        <f t="shared" si="13"/>
        <v>1.161393862</v>
      </c>
      <c r="L304" s="327">
        <f t="shared" si="4"/>
        <v>7.361391983</v>
      </c>
      <c r="M304" s="321" t="str">
        <f t="shared" si="5"/>
        <v>jessicazartler</v>
      </c>
      <c r="N304" s="176">
        <f>IFERROR(__xludf.DUMMYFUNCTION("""COMPUTED_VALUE"""),26.0)</f>
        <v>26</v>
      </c>
      <c r="O304" s="176"/>
      <c r="P304" s="176"/>
      <c r="Q304" s="176"/>
      <c r="R304" s="176"/>
      <c r="S304" s="176"/>
      <c r="T304" s="176"/>
      <c r="U304" s="176"/>
      <c r="V304" s="176"/>
      <c r="W304" s="176"/>
      <c r="X304" s="176"/>
      <c r="Y304" s="176"/>
      <c r="Z304" s="176"/>
    </row>
    <row r="305">
      <c r="A305" s="226" t="s">
        <v>14</v>
      </c>
      <c r="B305" s="226" t="s">
        <v>10</v>
      </c>
      <c r="C305" s="250" t="s">
        <v>3356</v>
      </c>
      <c r="D305" s="268" t="s">
        <v>495</v>
      </c>
      <c r="E305" s="361">
        <v>44169.0</v>
      </c>
      <c r="F305" s="250" t="s">
        <v>496</v>
      </c>
      <c r="G305" s="171">
        <v>60.0</v>
      </c>
      <c r="H305" s="171">
        <v>60.0</v>
      </c>
      <c r="I305" s="171">
        <v>40.0</v>
      </c>
      <c r="J305" s="325">
        <f t="shared" si="2"/>
        <v>0.001858965846</v>
      </c>
      <c r="K305" s="326">
        <f t="shared" si="13"/>
        <v>1.456189913</v>
      </c>
      <c r="L305" s="327">
        <f t="shared" si="4"/>
        <v>7.361391983</v>
      </c>
      <c r="M305" s="321" t="str">
        <f t="shared" si="5"/>
        <v>jessicazartler</v>
      </c>
      <c r="N305" s="176">
        <f>IFERROR(__xludf.DUMMYFUNCTION("""COMPUTED_VALUE"""),27.0)</f>
        <v>27</v>
      </c>
      <c r="O305" s="176"/>
      <c r="P305" s="176"/>
      <c r="Q305" s="176"/>
      <c r="R305" s="176"/>
      <c r="S305" s="176"/>
      <c r="T305" s="176"/>
      <c r="U305" s="176"/>
      <c r="V305" s="176"/>
      <c r="W305" s="176"/>
      <c r="X305" s="176"/>
      <c r="Y305" s="176"/>
      <c r="Z305" s="176"/>
    </row>
    <row r="306">
      <c r="A306" s="226" t="s">
        <v>14</v>
      </c>
      <c r="B306" s="226" t="s">
        <v>5</v>
      </c>
      <c r="C306" s="250" t="s">
        <v>3403</v>
      </c>
      <c r="D306" s="268" t="s">
        <v>495</v>
      </c>
      <c r="E306" s="361">
        <v>44169.0</v>
      </c>
      <c r="F306" s="250" t="s">
        <v>496</v>
      </c>
      <c r="G306" s="171">
        <v>45.0</v>
      </c>
      <c r="H306" s="171">
        <v>45.0</v>
      </c>
      <c r="I306" s="171">
        <v>50.0</v>
      </c>
      <c r="J306" s="325">
        <f t="shared" si="2"/>
        <v>0.001677839916</v>
      </c>
      <c r="K306" s="326">
        <f t="shared" si="13"/>
        <v>1.314307934</v>
      </c>
      <c r="L306" s="327">
        <f t="shared" si="4"/>
        <v>7.361391983</v>
      </c>
      <c r="M306" s="321" t="str">
        <f t="shared" si="5"/>
        <v>jessicazartler</v>
      </c>
      <c r="N306" s="176">
        <f>IFERROR(__xludf.DUMMYFUNCTION("""COMPUTED_VALUE"""),28.0)</f>
        <v>28</v>
      </c>
      <c r="O306" s="176"/>
      <c r="P306" s="176"/>
      <c r="Q306" s="176"/>
      <c r="R306" s="176"/>
      <c r="S306" s="176"/>
      <c r="T306" s="176"/>
      <c r="U306" s="176"/>
      <c r="V306" s="176"/>
      <c r="W306" s="176"/>
      <c r="X306" s="176"/>
      <c r="Y306" s="176"/>
      <c r="Z306" s="176"/>
    </row>
    <row r="307">
      <c r="A307" s="226" t="s">
        <v>14</v>
      </c>
      <c r="B307" s="226" t="s">
        <v>5</v>
      </c>
      <c r="C307" s="250" t="s">
        <v>3467</v>
      </c>
      <c r="D307" s="268" t="s">
        <v>495</v>
      </c>
      <c r="E307" s="361">
        <v>44169.0</v>
      </c>
      <c r="F307" s="250" t="s">
        <v>496</v>
      </c>
      <c r="G307" s="171">
        <v>40.0</v>
      </c>
      <c r="H307" s="171">
        <v>100.0</v>
      </c>
      <c r="I307" s="171">
        <v>100.0</v>
      </c>
      <c r="J307" s="325">
        <f t="shared" si="2"/>
        <v>0.002920054427</v>
      </c>
      <c r="K307" s="326">
        <f t="shared" si="13"/>
        <v>2.287375968</v>
      </c>
      <c r="L307" s="327">
        <f t="shared" si="4"/>
        <v>7.361391983</v>
      </c>
      <c r="M307" s="321" t="str">
        <f t="shared" si="5"/>
        <v>jessicazartler</v>
      </c>
      <c r="N307" s="176">
        <f>IFERROR(__xludf.DUMMYFUNCTION("""COMPUTED_VALUE"""),29.0)</f>
        <v>29</v>
      </c>
      <c r="O307" s="176"/>
      <c r="P307" s="176"/>
      <c r="Q307" s="176"/>
      <c r="R307" s="176"/>
      <c r="S307" s="176"/>
      <c r="T307" s="176"/>
      <c r="U307" s="176"/>
      <c r="V307" s="176"/>
      <c r="W307" s="176"/>
      <c r="X307" s="176"/>
      <c r="Y307" s="176"/>
      <c r="Z307" s="176"/>
    </row>
    <row r="308">
      <c r="A308" s="226" t="s">
        <v>14</v>
      </c>
      <c r="B308" s="226" t="s">
        <v>590</v>
      </c>
      <c r="C308" s="250" t="s">
        <v>3404</v>
      </c>
      <c r="D308" s="268" t="s">
        <v>495</v>
      </c>
      <c r="E308" s="361">
        <v>44169.0</v>
      </c>
      <c r="F308" s="250" t="s">
        <v>496</v>
      </c>
      <c r="G308" s="171">
        <v>60.0</v>
      </c>
      <c r="H308" s="171">
        <v>60.0</v>
      </c>
      <c r="I308" s="171">
        <v>50.0</v>
      </c>
      <c r="J308" s="325">
        <f t="shared" si="2"/>
        <v>0.002000773612</v>
      </c>
      <c r="K308" s="326">
        <f t="shared" si="13"/>
        <v>1.567272663</v>
      </c>
      <c r="L308" s="327">
        <f t="shared" si="4"/>
        <v>7.361391983</v>
      </c>
      <c r="M308" s="321" t="str">
        <f t="shared" si="5"/>
        <v>jessicazartler</v>
      </c>
      <c r="N308" s="176">
        <f>IFERROR(__xludf.DUMMYFUNCTION("""COMPUTED_VALUE"""),30.0)</f>
        <v>30</v>
      </c>
      <c r="O308" s="176"/>
      <c r="P308" s="176"/>
      <c r="Q308" s="176"/>
      <c r="R308" s="176"/>
      <c r="S308" s="176"/>
      <c r="T308" s="176"/>
      <c r="U308" s="176"/>
      <c r="V308" s="176"/>
      <c r="W308" s="176"/>
      <c r="X308" s="176"/>
      <c r="Y308" s="176"/>
      <c r="Z308" s="176"/>
    </row>
    <row r="309">
      <c r="A309" s="226" t="s">
        <v>14</v>
      </c>
      <c r="B309" s="226" t="s">
        <v>590</v>
      </c>
      <c r="C309" s="250" t="s">
        <v>3489</v>
      </c>
      <c r="D309" s="268" t="s">
        <v>495</v>
      </c>
      <c r="E309" s="361">
        <v>44169.0</v>
      </c>
      <c r="F309" s="250" t="s">
        <v>496</v>
      </c>
      <c r="G309" s="171">
        <v>100.0</v>
      </c>
      <c r="H309" s="171">
        <v>110.0</v>
      </c>
      <c r="I309" s="171">
        <v>50.0</v>
      </c>
      <c r="J309" s="325">
        <f t="shared" si="2"/>
        <v>0.00296873351</v>
      </c>
      <c r="K309" s="326">
        <f t="shared" si="13"/>
        <v>2.325507916</v>
      </c>
      <c r="L309" s="327">
        <f t="shared" si="4"/>
        <v>7.361391983</v>
      </c>
      <c r="M309" s="321" t="str">
        <f t="shared" si="5"/>
        <v>jessicazartler</v>
      </c>
      <c r="N309" s="176">
        <f>IFERROR(__xludf.DUMMYFUNCTION("""COMPUTED_VALUE"""),31.0)</f>
        <v>31</v>
      </c>
      <c r="O309" s="176"/>
      <c r="P309" s="176"/>
      <c r="Q309" s="176"/>
      <c r="R309" s="176"/>
      <c r="S309" s="176"/>
      <c r="T309" s="176"/>
      <c r="U309" s="176"/>
      <c r="V309" s="176"/>
      <c r="W309" s="176"/>
      <c r="X309" s="176"/>
      <c r="Y309" s="176"/>
      <c r="Z309" s="176"/>
    </row>
    <row r="310">
      <c r="A310" s="343" t="s">
        <v>14</v>
      </c>
      <c r="B310" s="343" t="s">
        <v>10</v>
      </c>
      <c r="C310" s="254" t="s">
        <v>3468</v>
      </c>
      <c r="D310" s="336" t="s">
        <v>495</v>
      </c>
      <c r="E310" s="241" t="s">
        <v>3361</v>
      </c>
      <c r="F310" s="241" t="s">
        <v>3361</v>
      </c>
      <c r="G310" s="222"/>
      <c r="H310" s="222"/>
      <c r="I310" s="222"/>
      <c r="J310" s="325">
        <f t="shared" si="2"/>
        <v>0</v>
      </c>
      <c r="K310" s="326">
        <f t="shared" si="13"/>
        <v>0</v>
      </c>
      <c r="L310" s="327">
        <f t="shared" si="4"/>
        <v>7.361391983</v>
      </c>
      <c r="M310" s="321" t="str">
        <f t="shared" si="5"/>
        <v>jessicazartler</v>
      </c>
      <c r="N310" s="176">
        <f>IFERROR(__xludf.DUMMYFUNCTION("""COMPUTED_VALUE"""),32.0)</f>
        <v>32</v>
      </c>
      <c r="O310" s="176"/>
      <c r="P310" s="176"/>
      <c r="Q310" s="176"/>
      <c r="R310" s="176"/>
      <c r="S310" s="176"/>
      <c r="T310" s="176"/>
      <c r="U310" s="176"/>
      <c r="V310" s="176"/>
      <c r="W310" s="176"/>
      <c r="X310" s="176"/>
      <c r="Y310" s="176"/>
      <c r="Z310" s="176"/>
    </row>
    <row r="311">
      <c r="A311" s="240" t="s">
        <v>14</v>
      </c>
      <c r="B311" s="240" t="s">
        <v>534</v>
      </c>
      <c r="C311" s="221" t="s">
        <v>741</v>
      </c>
      <c r="D311" s="336"/>
      <c r="E311" s="255"/>
      <c r="F311" s="254"/>
      <c r="G311" s="222"/>
      <c r="H311" s="222"/>
      <c r="I311" s="222"/>
      <c r="J311" s="325">
        <f t="shared" si="2"/>
        <v>0</v>
      </c>
      <c r="K311" s="337">
        <f>-49.074*0.85</f>
        <v>-41.7129</v>
      </c>
      <c r="L311" s="327">
        <f t="shared" si="4"/>
        <v>7.361391983</v>
      </c>
      <c r="M311" s="321" t="str">
        <f t="shared" si="5"/>
        <v>jessicazartler</v>
      </c>
      <c r="N311" s="209">
        <f>IFERROR(__xludf.DUMMYFUNCTION("""COMPUTED_VALUE"""),33.0)</f>
        <v>33</v>
      </c>
      <c r="O311" s="209"/>
      <c r="P311" s="209"/>
      <c r="Q311" s="209"/>
      <c r="R311" s="209"/>
      <c r="S311" s="209"/>
      <c r="T311" s="209"/>
      <c r="U311" s="209"/>
      <c r="V311" s="209"/>
      <c r="W311" s="209"/>
      <c r="X311" s="209"/>
      <c r="Y311" s="176"/>
      <c r="Z311" s="176"/>
    </row>
    <row r="312">
      <c r="A312" s="226" t="s">
        <v>47</v>
      </c>
      <c r="B312" s="226" t="s">
        <v>519</v>
      </c>
      <c r="C312" s="250" t="s">
        <v>3490</v>
      </c>
      <c r="D312" s="268" t="s">
        <v>495</v>
      </c>
      <c r="E312" s="251">
        <v>44161.0</v>
      </c>
      <c r="F312" s="368" t="s">
        <v>496</v>
      </c>
      <c r="G312" s="236">
        <v>100.0</v>
      </c>
      <c r="H312" s="236">
        <v>100.0</v>
      </c>
      <c r="I312" s="236">
        <v>100.0</v>
      </c>
      <c r="J312" s="325">
        <f t="shared" si="2"/>
        <v>0.003570968962</v>
      </c>
      <c r="K312" s="326">
        <f t="shared" ref="K312:K325" si="14">J312*$J$1</f>
        <v>2.79725902</v>
      </c>
      <c r="L312" s="327">
        <f t="shared" si="4"/>
        <v>6.866994652</v>
      </c>
      <c r="M312" s="321" t="str">
        <f t="shared" si="5"/>
        <v>benjaminscholtz</v>
      </c>
      <c r="N312" s="176">
        <f>IFERROR(__xludf.DUMMYFUNCTION("""COMPUTED_VALUE"""),1.0)</f>
        <v>1</v>
      </c>
      <c r="O312" s="176"/>
      <c r="P312" s="176"/>
      <c r="Q312" s="176"/>
      <c r="R312" s="176"/>
      <c r="S312" s="176"/>
      <c r="T312" s="176"/>
      <c r="U312" s="176"/>
      <c r="V312" s="176"/>
      <c r="W312" s="176"/>
      <c r="X312" s="176"/>
      <c r="Y312" s="176"/>
      <c r="Z312" s="176"/>
    </row>
    <row r="313">
      <c r="A313" s="226" t="s">
        <v>47</v>
      </c>
      <c r="B313" s="226" t="s">
        <v>29</v>
      </c>
      <c r="C313" s="250" t="s">
        <v>3391</v>
      </c>
      <c r="D313" s="268" t="s">
        <v>495</v>
      </c>
      <c r="E313" s="361">
        <v>44168.0</v>
      </c>
      <c r="F313" s="250" t="s">
        <v>592</v>
      </c>
      <c r="G313" s="171">
        <v>45.0</v>
      </c>
      <c r="H313" s="171">
        <v>50.0</v>
      </c>
      <c r="I313" s="171">
        <v>50.0</v>
      </c>
      <c r="J313" s="325">
        <f t="shared" si="2"/>
        <v>0.001731241603</v>
      </c>
      <c r="K313" s="326">
        <f t="shared" si="14"/>
        <v>1.356139256</v>
      </c>
      <c r="L313" s="327">
        <f t="shared" si="4"/>
        <v>6.866994652</v>
      </c>
      <c r="M313" s="321" t="str">
        <f t="shared" si="5"/>
        <v>benjaminscholtz</v>
      </c>
      <c r="N313" s="176">
        <f>IFERROR(__xludf.DUMMYFUNCTION("""COMPUTED_VALUE"""),2.0)</f>
        <v>2</v>
      </c>
      <c r="O313" s="176"/>
      <c r="P313" s="176"/>
      <c r="Q313" s="176"/>
      <c r="R313" s="176"/>
      <c r="S313" s="176"/>
      <c r="T313" s="176"/>
      <c r="U313" s="176"/>
      <c r="V313" s="176"/>
      <c r="W313" s="176"/>
      <c r="X313" s="176"/>
      <c r="Y313" s="176"/>
      <c r="Z313" s="176"/>
    </row>
    <row r="314">
      <c r="A314" s="226" t="s">
        <v>47</v>
      </c>
      <c r="B314" s="226" t="s">
        <v>10</v>
      </c>
      <c r="C314" s="250" t="s">
        <v>3491</v>
      </c>
      <c r="D314" s="268" t="s">
        <v>495</v>
      </c>
      <c r="E314" s="361">
        <v>44169.0</v>
      </c>
      <c r="F314" s="250" t="s">
        <v>496</v>
      </c>
      <c r="G314" s="171">
        <v>100.0</v>
      </c>
      <c r="H314" s="171">
        <v>90.0</v>
      </c>
      <c r="I314" s="171">
        <v>100.0</v>
      </c>
      <c r="J314" s="325">
        <f t="shared" si="2"/>
        <v>0.003464165587</v>
      </c>
      <c r="K314" s="326">
        <f t="shared" si="14"/>
        <v>2.713596376</v>
      </c>
      <c r="L314" s="327">
        <f t="shared" si="4"/>
        <v>6.866994652</v>
      </c>
      <c r="M314" s="321" t="str">
        <f t="shared" si="5"/>
        <v>benjaminscholtz</v>
      </c>
      <c r="N314" s="176">
        <f>IFERROR(__xludf.DUMMYFUNCTION("""COMPUTED_VALUE"""),3.0)</f>
        <v>3</v>
      </c>
      <c r="O314" s="176"/>
      <c r="P314" s="176"/>
      <c r="Q314" s="176"/>
      <c r="R314" s="176"/>
      <c r="S314" s="176"/>
      <c r="T314" s="176"/>
      <c r="U314" s="176"/>
      <c r="V314" s="176"/>
      <c r="W314" s="176"/>
      <c r="X314" s="176"/>
      <c r="Y314" s="176"/>
      <c r="Z314" s="176"/>
    </row>
    <row r="315">
      <c r="A315" s="226" t="s">
        <v>76</v>
      </c>
      <c r="B315" s="226" t="s">
        <v>590</v>
      </c>
      <c r="C315" s="250" t="s">
        <v>3492</v>
      </c>
      <c r="D315" s="268" t="s">
        <v>495</v>
      </c>
      <c r="E315" s="251">
        <v>44161.0</v>
      </c>
      <c r="F315" s="368" t="s">
        <v>496</v>
      </c>
      <c r="G315" s="268">
        <v>30.0</v>
      </c>
      <c r="H315" s="236">
        <v>60.0</v>
      </c>
      <c r="I315" s="236">
        <v>50.0</v>
      </c>
      <c r="J315" s="325">
        <f t="shared" si="2"/>
        <v>0.001675316344</v>
      </c>
      <c r="K315" s="326">
        <f t="shared" si="14"/>
        <v>1.312331136</v>
      </c>
      <c r="L315" s="327">
        <f t="shared" si="4"/>
        <v>6.385529321</v>
      </c>
      <c r="M315" s="321" t="str">
        <f t="shared" si="5"/>
        <v>fabianvb</v>
      </c>
      <c r="N315" s="176">
        <f>IFERROR(__xludf.DUMMYFUNCTION("""COMPUTED_VALUE"""),1.0)</f>
        <v>1</v>
      </c>
      <c r="O315" s="176"/>
      <c r="P315" s="176"/>
      <c r="Q315" s="176"/>
      <c r="R315" s="176"/>
      <c r="S315" s="176"/>
      <c r="T315" s="176"/>
      <c r="U315" s="176"/>
      <c r="V315" s="176"/>
      <c r="W315" s="176"/>
      <c r="X315" s="176"/>
      <c r="Y315" s="176"/>
      <c r="Z315" s="176"/>
    </row>
    <row r="316">
      <c r="A316" s="226" t="s">
        <v>76</v>
      </c>
      <c r="B316" s="226" t="s">
        <v>10</v>
      </c>
      <c r="C316" s="250" t="s">
        <v>3493</v>
      </c>
      <c r="D316" s="268" t="s">
        <v>495</v>
      </c>
      <c r="E316" s="251">
        <v>44162.0</v>
      </c>
      <c r="F316" s="368" t="s">
        <v>496</v>
      </c>
      <c r="G316" s="268">
        <v>200.0</v>
      </c>
      <c r="H316" s="236">
        <v>160.0</v>
      </c>
      <c r="I316" s="236">
        <v>100.0</v>
      </c>
      <c r="J316" s="325">
        <f t="shared" si="2"/>
        <v>0.00529664677</v>
      </c>
      <c r="K316" s="326">
        <f t="shared" si="14"/>
        <v>4.14903997</v>
      </c>
      <c r="L316" s="327">
        <f t="shared" si="4"/>
        <v>6.385529321</v>
      </c>
      <c r="M316" s="321" t="str">
        <f t="shared" si="5"/>
        <v>fabianvb</v>
      </c>
      <c r="N316" s="176">
        <f>IFERROR(__xludf.DUMMYFUNCTION("""COMPUTED_VALUE"""),2.0)</f>
        <v>2</v>
      </c>
      <c r="O316" s="176"/>
      <c r="P316" s="176"/>
      <c r="Q316" s="176"/>
      <c r="R316" s="176"/>
      <c r="S316" s="176"/>
      <c r="T316" s="176"/>
      <c r="U316" s="176"/>
      <c r="V316" s="176"/>
      <c r="W316" s="176"/>
      <c r="X316" s="176"/>
      <c r="Y316" s="176"/>
      <c r="Z316" s="176"/>
    </row>
    <row r="317">
      <c r="A317" s="226" t="s">
        <v>76</v>
      </c>
      <c r="B317" s="226" t="s">
        <v>10</v>
      </c>
      <c r="C317" s="250" t="s">
        <v>3345</v>
      </c>
      <c r="D317" s="268" t="s">
        <v>495</v>
      </c>
      <c r="E317" s="251">
        <v>44163.0</v>
      </c>
      <c r="F317" s="368" t="s">
        <v>496</v>
      </c>
      <c r="G317" s="268">
        <v>40.0</v>
      </c>
      <c r="H317" s="236">
        <v>30.0</v>
      </c>
      <c r="I317" s="236">
        <v>30.0</v>
      </c>
      <c r="J317" s="325">
        <f t="shared" si="2"/>
        <v>0.001179776444</v>
      </c>
      <c r="K317" s="326">
        <f t="shared" si="14"/>
        <v>0.9241582148</v>
      </c>
      <c r="L317" s="327">
        <f t="shared" si="4"/>
        <v>6.385529321</v>
      </c>
      <c r="M317" s="321" t="str">
        <f t="shared" si="5"/>
        <v>fabianvb</v>
      </c>
      <c r="N317" s="176">
        <f>IFERROR(__xludf.DUMMYFUNCTION("""COMPUTED_VALUE"""),3.0)</f>
        <v>3</v>
      </c>
      <c r="O317" s="176"/>
      <c r="P317" s="176"/>
      <c r="Q317" s="176"/>
      <c r="R317" s="176"/>
      <c r="S317" s="176"/>
      <c r="T317" s="176"/>
      <c r="U317" s="176"/>
      <c r="V317" s="176"/>
      <c r="W317" s="176"/>
      <c r="X317" s="176"/>
      <c r="Y317" s="176"/>
      <c r="Z317" s="176"/>
    </row>
    <row r="318">
      <c r="A318" s="226" t="s">
        <v>70</v>
      </c>
      <c r="B318" s="226" t="s">
        <v>845</v>
      </c>
      <c r="C318" s="250" t="s">
        <v>3494</v>
      </c>
      <c r="D318" s="268" t="s">
        <v>495</v>
      </c>
      <c r="E318" s="251">
        <v>44158.0</v>
      </c>
      <c r="F318" s="368" t="s">
        <v>496</v>
      </c>
      <c r="G318" s="268">
        <v>100.0</v>
      </c>
      <c r="H318" s="236">
        <v>100.0</v>
      </c>
      <c r="I318" s="236">
        <v>100.0</v>
      </c>
      <c r="J318" s="325">
        <f t="shared" si="2"/>
        <v>0.003570968962</v>
      </c>
      <c r="K318" s="326">
        <f t="shared" si="14"/>
        <v>2.79725902</v>
      </c>
      <c r="L318" s="327">
        <f t="shared" si="4"/>
        <v>6.321996295</v>
      </c>
      <c r="M318" s="321" t="str">
        <f t="shared" si="5"/>
        <v>rubenrussel7</v>
      </c>
      <c r="N318" s="176">
        <f>IFERROR(__xludf.DUMMYFUNCTION("""COMPUTED_VALUE"""),1.0)</f>
        <v>1</v>
      </c>
      <c r="O318" s="176"/>
      <c r="P318" s="176"/>
      <c r="Q318" s="176"/>
      <c r="R318" s="176"/>
      <c r="S318" s="176"/>
      <c r="T318" s="176"/>
      <c r="U318" s="176"/>
      <c r="V318" s="176"/>
      <c r="W318" s="176"/>
      <c r="X318" s="176"/>
      <c r="Y318" s="176"/>
      <c r="Z318" s="176"/>
    </row>
    <row r="319">
      <c r="A319" s="226" t="s">
        <v>70</v>
      </c>
      <c r="B319" s="226" t="s">
        <v>5</v>
      </c>
      <c r="C319" s="250" t="s">
        <v>3340</v>
      </c>
      <c r="D319" s="268" t="s">
        <v>495</v>
      </c>
      <c r="E319" s="251">
        <v>44160.0</v>
      </c>
      <c r="F319" s="368" t="s">
        <v>496</v>
      </c>
      <c r="G319" s="268">
        <v>20.0</v>
      </c>
      <c r="H319" s="236">
        <v>60.0</v>
      </c>
      <c r="I319" s="236">
        <v>20.0</v>
      </c>
      <c r="J319" s="325">
        <f t="shared" si="2"/>
        <v>0.001141407292</v>
      </c>
      <c r="K319" s="326">
        <f t="shared" si="14"/>
        <v>0.894102379</v>
      </c>
      <c r="L319" s="327">
        <f t="shared" si="4"/>
        <v>6.321996295</v>
      </c>
      <c r="M319" s="321" t="str">
        <f t="shared" si="5"/>
        <v>rubenrussel7</v>
      </c>
      <c r="N319" s="176">
        <f>IFERROR(__xludf.DUMMYFUNCTION("""COMPUTED_VALUE"""),2.0)</f>
        <v>2</v>
      </c>
      <c r="O319" s="176"/>
      <c r="P319" s="176"/>
      <c r="Q319" s="176"/>
      <c r="R319" s="176"/>
      <c r="S319" s="176"/>
      <c r="T319" s="176"/>
      <c r="U319" s="176"/>
      <c r="V319" s="176"/>
      <c r="W319" s="176"/>
      <c r="X319" s="176"/>
      <c r="Y319" s="176"/>
      <c r="Z319" s="176"/>
    </row>
    <row r="320">
      <c r="A320" s="226" t="s">
        <v>70</v>
      </c>
      <c r="B320" s="226" t="s">
        <v>5</v>
      </c>
      <c r="C320" s="250" t="s">
        <v>3383</v>
      </c>
      <c r="D320" s="268" t="s">
        <v>495</v>
      </c>
      <c r="E320" s="251">
        <v>44161.0</v>
      </c>
      <c r="F320" s="368" t="s">
        <v>496</v>
      </c>
      <c r="G320" s="268">
        <v>30.0</v>
      </c>
      <c r="H320" s="236">
        <v>60.0</v>
      </c>
      <c r="I320" s="236">
        <v>30.0</v>
      </c>
      <c r="J320" s="325">
        <f t="shared" si="2"/>
        <v>0.001391700814</v>
      </c>
      <c r="K320" s="326">
        <f t="shared" si="14"/>
        <v>1.090165637</v>
      </c>
      <c r="L320" s="327">
        <f t="shared" si="4"/>
        <v>6.321996295</v>
      </c>
      <c r="M320" s="321" t="str">
        <f t="shared" si="5"/>
        <v>rubenrussel7</v>
      </c>
      <c r="N320" s="176">
        <f>IFERROR(__xludf.DUMMYFUNCTION("""COMPUTED_VALUE"""),3.0)</f>
        <v>3</v>
      </c>
      <c r="O320" s="176"/>
      <c r="P320" s="176"/>
      <c r="Q320" s="176"/>
      <c r="R320" s="176"/>
      <c r="S320" s="176"/>
      <c r="T320" s="176"/>
      <c r="U320" s="176"/>
      <c r="V320" s="176"/>
      <c r="W320" s="176"/>
      <c r="X320" s="176"/>
      <c r="Y320" s="176"/>
      <c r="Z320" s="176"/>
    </row>
    <row r="321">
      <c r="A321" s="226" t="s">
        <v>70</v>
      </c>
      <c r="B321" s="226" t="s">
        <v>1228</v>
      </c>
      <c r="C321" s="250" t="s">
        <v>3386</v>
      </c>
      <c r="D321" s="268" t="s">
        <v>495</v>
      </c>
      <c r="E321" s="251">
        <v>44161.0</v>
      </c>
      <c r="F321" s="368" t="s">
        <v>496</v>
      </c>
      <c r="G321" s="268">
        <v>100.0</v>
      </c>
      <c r="H321" s="236">
        <v>60.0</v>
      </c>
      <c r="I321" s="236">
        <v>50.0</v>
      </c>
      <c r="J321" s="325">
        <f t="shared" si="2"/>
        <v>0.002434716635</v>
      </c>
      <c r="K321" s="326">
        <f t="shared" si="14"/>
        <v>1.907194697</v>
      </c>
      <c r="L321" s="327">
        <f t="shared" si="4"/>
        <v>6.321996295</v>
      </c>
      <c r="M321" s="321" t="str">
        <f t="shared" si="5"/>
        <v>rubenrussel7</v>
      </c>
      <c r="N321" s="176">
        <f>IFERROR(__xludf.DUMMYFUNCTION("""COMPUTED_VALUE"""),4.0)</f>
        <v>4</v>
      </c>
      <c r="O321" s="176"/>
      <c r="P321" s="176"/>
      <c r="Q321" s="176"/>
      <c r="R321" s="176"/>
      <c r="S321" s="176"/>
      <c r="T321" s="176"/>
      <c r="U321" s="176"/>
      <c r="V321" s="176"/>
      <c r="W321" s="176"/>
      <c r="X321" s="176"/>
      <c r="Y321" s="176"/>
      <c r="Z321" s="176"/>
    </row>
    <row r="322">
      <c r="A322" s="226" t="s">
        <v>70</v>
      </c>
      <c r="B322" s="226" t="s">
        <v>10</v>
      </c>
      <c r="C322" s="250" t="s">
        <v>3345</v>
      </c>
      <c r="D322" s="268" t="s">
        <v>495</v>
      </c>
      <c r="E322" s="251">
        <v>44163.0</v>
      </c>
      <c r="F322" s="368" t="s">
        <v>496</v>
      </c>
      <c r="G322" s="268">
        <v>40.0</v>
      </c>
      <c r="H322" s="236">
        <v>30.0</v>
      </c>
      <c r="I322" s="236">
        <v>30.0</v>
      </c>
      <c r="J322" s="325">
        <f t="shared" si="2"/>
        <v>0.001179776444</v>
      </c>
      <c r="K322" s="326">
        <f t="shared" si="14"/>
        <v>0.9241582148</v>
      </c>
      <c r="L322" s="327">
        <f t="shared" si="4"/>
        <v>6.321996295</v>
      </c>
      <c r="M322" s="321" t="str">
        <f t="shared" si="5"/>
        <v>rubenrussel7</v>
      </c>
      <c r="N322" s="176">
        <f>IFERROR(__xludf.DUMMYFUNCTION("""COMPUTED_VALUE"""),5.0)</f>
        <v>5</v>
      </c>
      <c r="O322" s="176"/>
      <c r="P322" s="176"/>
      <c r="Q322" s="176"/>
      <c r="R322" s="176"/>
      <c r="S322" s="176"/>
      <c r="T322" s="176"/>
      <c r="U322" s="176"/>
      <c r="V322" s="176"/>
      <c r="W322" s="176"/>
      <c r="X322" s="176"/>
      <c r="Y322" s="176"/>
      <c r="Z322" s="176"/>
    </row>
    <row r="323">
      <c r="A323" s="226" t="s">
        <v>70</v>
      </c>
      <c r="B323" s="226" t="s">
        <v>845</v>
      </c>
      <c r="C323" s="250" t="s">
        <v>3495</v>
      </c>
      <c r="D323" s="268" t="s">
        <v>495</v>
      </c>
      <c r="E323" s="361">
        <v>44166.0</v>
      </c>
      <c r="F323" s="250" t="s">
        <v>496</v>
      </c>
      <c r="G323" s="171">
        <v>100.0</v>
      </c>
      <c r="H323" s="171">
        <v>90.0</v>
      </c>
      <c r="I323" s="171">
        <v>100.0</v>
      </c>
      <c r="J323" s="325">
        <f t="shared" si="2"/>
        <v>0.003464165587</v>
      </c>
      <c r="K323" s="326">
        <f t="shared" si="14"/>
        <v>2.713596376</v>
      </c>
      <c r="L323" s="327">
        <f t="shared" si="4"/>
        <v>6.321996295</v>
      </c>
      <c r="M323" s="321" t="str">
        <f t="shared" si="5"/>
        <v>rubenrussel7</v>
      </c>
      <c r="N323" s="176">
        <f>IFERROR(__xludf.DUMMYFUNCTION("""COMPUTED_VALUE"""),6.0)</f>
        <v>6</v>
      </c>
      <c r="O323" s="176"/>
      <c r="P323" s="176"/>
      <c r="Q323" s="176"/>
      <c r="R323" s="176"/>
      <c r="S323" s="176"/>
      <c r="T323" s="176"/>
      <c r="U323" s="176"/>
      <c r="V323" s="176"/>
      <c r="W323" s="176"/>
      <c r="X323" s="176"/>
      <c r="Y323" s="176"/>
      <c r="Z323" s="176"/>
    </row>
    <row r="324">
      <c r="A324" s="226" t="s">
        <v>70</v>
      </c>
      <c r="B324" s="226" t="s">
        <v>18</v>
      </c>
      <c r="C324" s="250" t="s">
        <v>3348</v>
      </c>
      <c r="D324" s="268" t="s">
        <v>495</v>
      </c>
      <c r="E324" s="361">
        <v>44166.0</v>
      </c>
      <c r="F324" s="250" t="s">
        <v>496</v>
      </c>
      <c r="G324" s="171">
        <v>30.0</v>
      </c>
      <c r="H324" s="171">
        <v>60.0</v>
      </c>
      <c r="I324" s="171">
        <v>40.0</v>
      </c>
      <c r="J324" s="325">
        <f t="shared" si="2"/>
        <v>0.001533508579</v>
      </c>
      <c r="K324" s="326">
        <f t="shared" si="14"/>
        <v>1.201248387</v>
      </c>
      <c r="L324" s="327">
        <f t="shared" si="4"/>
        <v>6.321996295</v>
      </c>
      <c r="M324" s="321" t="str">
        <f t="shared" si="5"/>
        <v>rubenrussel7</v>
      </c>
      <c r="N324" s="176">
        <f>IFERROR(__xludf.DUMMYFUNCTION("""COMPUTED_VALUE"""),7.0)</f>
        <v>7</v>
      </c>
      <c r="O324" s="176"/>
      <c r="P324" s="176"/>
      <c r="Q324" s="176"/>
      <c r="R324" s="176"/>
      <c r="S324" s="176"/>
      <c r="T324" s="176"/>
      <c r="U324" s="176"/>
      <c r="V324" s="176"/>
      <c r="W324" s="176"/>
      <c r="X324" s="176"/>
      <c r="Y324" s="176"/>
      <c r="Z324" s="176"/>
    </row>
    <row r="325">
      <c r="A325" s="226" t="s">
        <v>70</v>
      </c>
      <c r="B325" s="226" t="s">
        <v>5</v>
      </c>
      <c r="C325" s="250" t="s">
        <v>3390</v>
      </c>
      <c r="D325" s="268" t="s">
        <v>495</v>
      </c>
      <c r="E325" s="361">
        <v>44167.0</v>
      </c>
      <c r="F325" s="250" t="s">
        <v>496</v>
      </c>
      <c r="G325" s="171">
        <v>20.0</v>
      </c>
      <c r="H325" s="171">
        <v>60.0</v>
      </c>
      <c r="I325" s="171">
        <v>40.0</v>
      </c>
      <c r="J325" s="325">
        <f t="shared" si="2"/>
        <v>0.001425022823</v>
      </c>
      <c r="K325" s="326">
        <f t="shared" si="14"/>
        <v>1.116267878</v>
      </c>
      <c r="L325" s="327">
        <f t="shared" si="4"/>
        <v>6.321996295</v>
      </c>
      <c r="M325" s="321" t="str">
        <f t="shared" si="5"/>
        <v>rubenrussel7</v>
      </c>
      <c r="N325" s="176">
        <f>IFERROR(__xludf.DUMMYFUNCTION("""COMPUTED_VALUE"""),8.0)</f>
        <v>8</v>
      </c>
      <c r="O325" s="176"/>
      <c r="P325" s="176"/>
      <c r="Q325" s="176"/>
      <c r="R325" s="176"/>
      <c r="S325" s="176"/>
      <c r="T325" s="176"/>
      <c r="U325" s="176"/>
      <c r="V325" s="176"/>
      <c r="W325" s="176"/>
      <c r="X325" s="176"/>
      <c r="Y325" s="176"/>
      <c r="Z325" s="176"/>
    </row>
    <row r="326">
      <c r="A326" s="240" t="s">
        <v>70</v>
      </c>
      <c r="B326" s="240" t="s">
        <v>534</v>
      </c>
      <c r="C326" s="221" t="s">
        <v>3496</v>
      </c>
      <c r="D326" s="336"/>
      <c r="E326" s="255"/>
      <c r="F326" s="254"/>
      <c r="G326" s="222"/>
      <c r="H326" s="222"/>
      <c r="I326" s="222"/>
      <c r="J326" s="325">
        <f t="shared" si="2"/>
        <v>0</v>
      </c>
      <c r="K326" s="337">
        <f>-0.5*R326</f>
        <v>-6.321996295</v>
      </c>
      <c r="L326" s="327">
        <f t="shared" si="4"/>
        <v>6.321996295</v>
      </c>
      <c r="M326" s="321" t="str">
        <f t="shared" si="5"/>
        <v>rubenrussel7</v>
      </c>
      <c r="N326" s="209">
        <f>IFERROR(__xludf.DUMMYFUNCTION("""COMPUTED_VALUE"""),9.0)</f>
        <v>9</v>
      </c>
      <c r="O326" s="209"/>
      <c r="P326" s="209"/>
      <c r="Q326" s="209"/>
      <c r="R326" s="209">
        <v>12.643992590273847</v>
      </c>
      <c r="S326" s="209"/>
      <c r="T326" s="209"/>
      <c r="U326" s="209"/>
      <c r="V326" s="209"/>
      <c r="W326" s="209"/>
      <c r="X326" s="209"/>
      <c r="Y326" s="176"/>
      <c r="Z326" s="176"/>
    </row>
    <row r="327">
      <c r="A327" s="226" t="s">
        <v>24</v>
      </c>
      <c r="B327" s="226" t="s">
        <v>10</v>
      </c>
      <c r="C327" s="250" t="s">
        <v>3491</v>
      </c>
      <c r="D327" s="268" t="s">
        <v>495</v>
      </c>
      <c r="E327" s="361">
        <v>44169.0</v>
      </c>
      <c r="F327" s="250" t="s">
        <v>496</v>
      </c>
      <c r="G327" s="171">
        <v>500.0</v>
      </c>
      <c r="H327" s="171">
        <v>90.0</v>
      </c>
      <c r="I327" s="171">
        <v>100.0</v>
      </c>
      <c r="J327" s="325">
        <f t="shared" si="2"/>
        <v>0.00780359582</v>
      </c>
      <c r="K327" s="326">
        <f t="shared" ref="K327:K335" si="15">J327*$J$1</f>
        <v>6.112816726</v>
      </c>
      <c r="L327" s="327">
        <f t="shared" si="4"/>
        <v>6.112816726</v>
      </c>
      <c r="M327" s="321" t="str">
        <f t="shared" si="5"/>
        <v>danlessa</v>
      </c>
      <c r="N327" s="176">
        <f>IFERROR(__xludf.DUMMYFUNCTION("""COMPUTED_VALUE"""),1.0)</f>
        <v>1</v>
      </c>
      <c r="O327" s="176"/>
      <c r="P327" s="176"/>
      <c r="Q327" s="176"/>
      <c r="R327" s="176"/>
      <c r="S327" s="176"/>
      <c r="T327" s="176"/>
      <c r="U327" s="176"/>
      <c r="V327" s="176"/>
      <c r="W327" s="176"/>
      <c r="X327" s="176"/>
      <c r="Y327" s="176"/>
      <c r="Z327" s="176"/>
    </row>
    <row r="328">
      <c r="A328" s="226" t="s">
        <v>78</v>
      </c>
      <c r="B328" s="226" t="s">
        <v>519</v>
      </c>
      <c r="C328" s="250" t="s">
        <v>3490</v>
      </c>
      <c r="D328" s="268" t="s">
        <v>495</v>
      </c>
      <c r="E328" s="251">
        <v>44161.0</v>
      </c>
      <c r="F328" s="368" t="s">
        <v>496</v>
      </c>
      <c r="G328" s="236">
        <v>100.0</v>
      </c>
      <c r="H328" s="236">
        <v>100.0</v>
      </c>
      <c r="I328" s="236">
        <v>100.0</v>
      </c>
      <c r="J328" s="325">
        <f t="shared" si="2"/>
        <v>0.003570968962</v>
      </c>
      <c r="K328" s="326">
        <f t="shared" si="15"/>
        <v>2.79725902</v>
      </c>
      <c r="L328" s="327">
        <f t="shared" si="4"/>
        <v>5.510855397</v>
      </c>
      <c r="M328" s="321" t="str">
        <f t="shared" si="5"/>
        <v>jonathanbsci</v>
      </c>
      <c r="N328" s="176">
        <f>IFERROR(__xludf.DUMMYFUNCTION("""COMPUTED_VALUE"""),1.0)</f>
        <v>1</v>
      </c>
      <c r="O328" s="176"/>
      <c r="P328" s="176"/>
      <c r="Q328" s="176"/>
      <c r="R328" s="176"/>
      <c r="S328" s="176"/>
      <c r="T328" s="176"/>
      <c r="U328" s="176"/>
      <c r="V328" s="176"/>
      <c r="W328" s="176"/>
      <c r="X328" s="176"/>
      <c r="Y328" s="176"/>
      <c r="Z328" s="176"/>
    </row>
    <row r="329">
      <c r="A329" s="226" t="s">
        <v>78</v>
      </c>
      <c r="B329" s="226" t="s">
        <v>10</v>
      </c>
      <c r="C329" s="250" t="s">
        <v>3491</v>
      </c>
      <c r="D329" s="268" t="s">
        <v>495</v>
      </c>
      <c r="E329" s="361">
        <v>44169.0</v>
      </c>
      <c r="F329" s="250" t="s">
        <v>496</v>
      </c>
      <c r="G329" s="171">
        <v>100.0</v>
      </c>
      <c r="H329" s="171">
        <v>90.0</v>
      </c>
      <c r="I329" s="171">
        <v>100.0</v>
      </c>
      <c r="J329" s="325">
        <f t="shared" si="2"/>
        <v>0.003464165587</v>
      </c>
      <c r="K329" s="326">
        <f t="shared" si="15"/>
        <v>2.713596376</v>
      </c>
      <c r="L329" s="327">
        <f t="shared" si="4"/>
        <v>5.510855397</v>
      </c>
      <c r="M329" s="321" t="str">
        <f t="shared" si="5"/>
        <v>jonathanbsci</v>
      </c>
      <c r="N329" s="176">
        <f>IFERROR(__xludf.DUMMYFUNCTION("""COMPUTED_VALUE"""),2.0)</f>
        <v>2</v>
      </c>
      <c r="O329" s="176"/>
      <c r="P329" s="176"/>
      <c r="Q329" s="176"/>
      <c r="R329" s="176"/>
      <c r="S329" s="176"/>
      <c r="T329" s="176"/>
      <c r="U329" s="176"/>
      <c r="V329" s="176"/>
      <c r="W329" s="176"/>
      <c r="X329" s="176"/>
      <c r="Y329" s="176"/>
      <c r="Z329" s="176"/>
    </row>
    <row r="330">
      <c r="A330" s="226" t="s">
        <v>42</v>
      </c>
      <c r="B330" s="226" t="s">
        <v>590</v>
      </c>
      <c r="C330" s="250" t="s">
        <v>3497</v>
      </c>
      <c r="D330" s="268" t="s">
        <v>495</v>
      </c>
      <c r="E330" s="251">
        <v>44155.0</v>
      </c>
      <c r="F330" s="368" t="s">
        <v>496</v>
      </c>
      <c r="G330" s="268">
        <v>200.0</v>
      </c>
      <c r="H330" s="236">
        <v>150.0</v>
      </c>
      <c r="I330" s="236">
        <v>100.0</v>
      </c>
      <c r="J330" s="325">
        <f t="shared" si="2"/>
        <v>0.005189843395</v>
      </c>
      <c r="K330" s="326">
        <f t="shared" si="15"/>
        <v>4.065377326</v>
      </c>
      <c r="L330" s="327">
        <f t="shared" si="4"/>
        <v>4.879770656</v>
      </c>
      <c r="M330" s="321" t="str">
        <f t="shared" si="5"/>
        <v>tannra</v>
      </c>
      <c r="N330" s="176">
        <f>IFERROR(__xludf.DUMMYFUNCTION("""COMPUTED_VALUE"""),1.0)</f>
        <v>1</v>
      </c>
      <c r="O330" s="176"/>
      <c r="P330" s="176"/>
      <c r="Q330" s="176"/>
      <c r="R330" s="176"/>
      <c r="S330" s="176"/>
      <c r="T330" s="176"/>
      <c r="U330" s="176"/>
      <c r="V330" s="176"/>
      <c r="W330" s="176"/>
      <c r="X330" s="176"/>
      <c r="Y330" s="176"/>
      <c r="Z330" s="176"/>
    </row>
    <row r="331">
      <c r="A331" s="226" t="s">
        <v>42</v>
      </c>
      <c r="B331" s="226" t="s">
        <v>590</v>
      </c>
      <c r="C331" s="250" t="s">
        <v>3498</v>
      </c>
      <c r="D331" s="268" t="s">
        <v>495</v>
      </c>
      <c r="E331" s="361">
        <v>44167.0</v>
      </c>
      <c r="F331" s="250" t="s">
        <v>496</v>
      </c>
      <c r="G331" s="171">
        <v>50.0</v>
      </c>
      <c r="H331" s="171">
        <v>20.0</v>
      </c>
      <c r="I331" s="171">
        <v>20.0</v>
      </c>
      <c r="J331" s="325">
        <f t="shared" si="2"/>
        <v>0.00103965106</v>
      </c>
      <c r="K331" s="326">
        <f t="shared" si="15"/>
        <v>0.8143933302</v>
      </c>
      <c r="L331" s="327">
        <f t="shared" si="4"/>
        <v>4.879770656</v>
      </c>
      <c r="M331" s="321" t="str">
        <f t="shared" si="5"/>
        <v>tannra</v>
      </c>
      <c r="N331" s="176">
        <f>IFERROR(__xludf.DUMMYFUNCTION("""COMPUTED_VALUE"""),2.0)</f>
        <v>2</v>
      </c>
      <c r="O331" s="176"/>
      <c r="P331" s="176"/>
      <c r="Q331" s="176"/>
      <c r="R331" s="176"/>
      <c r="S331" s="176"/>
      <c r="T331" s="176"/>
      <c r="U331" s="176"/>
      <c r="V331" s="176"/>
      <c r="W331" s="176"/>
      <c r="X331" s="176"/>
      <c r="Y331" s="176"/>
      <c r="Z331" s="176"/>
    </row>
    <row r="332">
      <c r="A332" s="226" t="s">
        <v>52</v>
      </c>
      <c r="B332" s="226" t="s">
        <v>10</v>
      </c>
      <c r="C332" s="250" t="s">
        <v>3499</v>
      </c>
      <c r="D332" s="268" t="s">
        <v>495</v>
      </c>
      <c r="E332" s="251">
        <v>44162.0</v>
      </c>
      <c r="F332" s="368" t="s">
        <v>496</v>
      </c>
      <c r="G332" s="268">
        <v>150.0</v>
      </c>
      <c r="H332" s="236">
        <v>140.0</v>
      </c>
      <c r="I332" s="236">
        <v>100.0</v>
      </c>
      <c r="J332" s="325">
        <f t="shared" si="2"/>
        <v>0.004540611241</v>
      </c>
      <c r="K332" s="326">
        <f t="shared" si="15"/>
        <v>3.556812139</v>
      </c>
      <c r="L332" s="327">
        <f t="shared" si="4"/>
        <v>4.480970354</v>
      </c>
      <c r="M332" s="321" t="str">
        <f t="shared" si="5"/>
        <v>randomshinichi</v>
      </c>
      <c r="N332" s="176">
        <f>IFERROR(__xludf.DUMMYFUNCTION("""COMPUTED_VALUE"""),1.0)</f>
        <v>1</v>
      </c>
      <c r="O332" s="176"/>
      <c r="P332" s="176"/>
      <c r="Q332" s="176"/>
      <c r="R332" s="176"/>
      <c r="S332" s="176"/>
      <c r="T332" s="176"/>
      <c r="U332" s="176"/>
      <c r="V332" s="176"/>
      <c r="W332" s="176"/>
      <c r="X332" s="176"/>
      <c r="Y332" s="176"/>
      <c r="Z332" s="176"/>
    </row>
    <row r="333">
      <c r="A333" s="226" t="s">
        <v>52</v>
      </c>
      <c r="B333" s="226" t="s">
        <v>10</v>
      </c>
      <c r="C333" s="250" t="s">
        <v>3345</v>
      </c>
      <c r="D333" s="268" t="s">
        <v>495</v>
      </c>
      <c r="E333" s="251">
        <v>44163.0</v>
      </c>
      <c r="F333" s="368" t="s">
        <v>496</v>
      </c>
      <c r="G333" s="268">
        <v>40.0</v>
      </c>
      <c r="H333" s="236">
        <v>30.0</v>
      </c>
      <c r="I333" s="236">
        <v>30.0</v>
      </c>
      <c r="J333" s="325">
        <f t="shared" si="2"/>
        <v>0.001179776444</v>
      </c>
      <c r="K333" s="326">
        <f t="shared" si="15"/>
        <v>0.9241582148</v>
      </c>
      <c r="L333" s="327">
        <f t="shared" si="4"/>
        <v>4.480970354</v>
      </c>
      <c r="M333" s="321" t="str">
        <f t="shared" si="5"/>
        <v>randomshinichi</v>
      </c>
      <c r="N333" s="176">
        <f>IFERROR(__xludf.DUMMYFUNCTION("""COMPUTED_VALUE"""),2.0)</f>
        <v>2</v>
      </c>
      <c r="O333" s="176"/>
      <c r="P333" s="176"/>
      <c r="Q333" s="176"/>
      <c r="R333" s="176"/>
      <c r="S333" s="176"/>
      <c r="T333" s="176"/>
      <c r="U333" s="176"/>
      <c r="V333" s="176"/>
      <c r="W333" s="176"/>
      <c r="X333" s="176"/>
      <c r="Y333" s="176"/>
      <c r="Z333" s="176"/>
    </row>
    <row r="334">
      <c r="A334" s="226" t="s">
        <v>84</v>
      </c>
      <c r="B334" s="226" t="s">
        <v>10</v>
      </c>
      <c r="C334" s="250" t="s">
        <v>3500</v>
      </c>
      <c r="D334" s="268" t="s">
        <v>495</v>
      </c>
      <c r="E334" s="361">
        <v>44169.0</v>
      </c>
      <c r="F334" s="250" t="s">
        <v>496</v>
      </c>
      <c r="G334" s="171">
        <v>150.0</v>
      </c>
      <c r="H334" s="171">
        <v>100.0</v>
      </c>
      <c r="I334" s="171">
        <v>100.0</v>
      </c>
      <c r="J334" s="325">
        <f t="shared" si="2"/>
        <v>0.004113397741</v>
      </c>
      <c r="K334" s="326">
        <f t="shared" si="15"/>
        <v>3.222161564</v>
      </c>
      <c r="L334" s="327">
        <f t="shared" si="4"/>
        <v>4.425386748</v>
      </c>
      <c r="M334" s="321" t="str">
        <f t="shared" si="5"/>
        <v>gracerachmany</v>
      </c>
      <c r="N334" s="176">
        <f>IFERROR(__xludf.DUMMYFUNCTION("""COMPUTED_VALUE"""),1.0)</f>
        <v>1</v>
      </c>
      <c r="O334" s="176"/>
      <c r="P334" s="176"/>
      <c r="Q334" s="176"/>
      <c r="R334" s="176"/>
      <c r="S334" s="176"/>
      <c r="T334" s="176"/>
      <c r="U334" s="176"/>
      <c r="V334" s="176"/>
      <c r="W334" s="176"/>
      <c r="X334" s="176"/>
      <c r="Y334" s="176"/>
      <c r="Z334" s="176"/>
    </row>
    <row r="335">
      <c r="A335" s="226" t="s">
        <v>84</v>
      </c>
      <c r="B335" s="226" t="s">
        <v>10</v>
      </c>
      <c r="C335" s="250" t="s">
        <v>3356</v>
      </c>
      <c r="D335" s="268" t="s">
        <v>495</v>
      </c>
      <c r="E335" s="361">
        <v>44169.0</v>
      </c>
      <c r="F335" s="250" t="s">
        <v>496</v>
      </c>
      <c r="G335" s="171">
        <v>45.0</v>
      </c>
      <c r="H335" s="171">
        <v>45.0</v>
      </c>
      <c r="I335" s="171">
        <v>40.0</v>
      </c>
      <c r="J335" s="325">
        <f t="shared" si="2"/>
        <v>0.00153603215</v>
      </c>
      <c r="K335" s="326">
        <f t="shared" si="15"/>
        <v>1.203225184</v>
      </c>
      <c r="L335" s="327">
        <f t="shared" si="4"/>
        <v>4.425386748</v>
      </c>
      <c r="M335" s="321" t="str">
        <f t="shared" si="5"/>
        <v>gracerachmany</v>
      </c>
      <c r="N335" s="176">
        <f>IFERROR(__xludf.DUMMYFUNCTION("""COMPUTED_VALUE"""),2.0)</f>
        <v>2</v>
      </c>
      <c r="O335" s="176"/>
      <c r="P335" s="176"/>
      <c r="Q335" s="176"/>
      <c r="R335" s="176"/>
      <c r="S335" s="176"/>
      <c r="T335" s="176"/>
      <c r="U335" s="176"/>
      <c r="V335" s="176"/>
      <c r="W335" s="176"/>
      <c r="X335" s="176"/>
      <c r="Y335" s="176"/>
      <c r="Z335" s="176"/>
    </row>
    <row r="336">
      <c r="A336" s="240" t="s">
        <v>16</v>
      </c>
      <c r="B336" s="253"/>
      <c r="C336" s="256" t="s">
        <v>684</v>
      </c>
      <c r="D336" s="343"/>
      <c r="E336" s="344"/>
      <c r="F336" s="343"/>
      <c r="G336" s="253"/>
      <c r="H336" s="253"/>
      <c r="I336" s="253"/>
      <c r="J336" s="325"/>
      <c r="K336" s="337">
        <f>-29.104*0.85</f>
        <v>-24.7384</v>
      </c>
      <c r="L336" s="327">
        <f t="shared" si="4"/>
        <v>4.365222371</v>
      </c>
      <c r="M336" s="321" t="str">
        <f t="shared" si="5"/>
        <v>griffgreen</v>
      </c>
      <c r="N336" s="343">
        <f>IFERROR(__xludf.DUMMYFUNCTION("""COMPUTED_VALUE"""),1.0)</f>
        <v>1</v>
      </c>
      <c r="O336" s="343"/>
      <c r="P336" s="343"/>
      <c r="Q336" s="343"/>
      <c r="R336" s="343"/>
      <c r="S336" s="343"/>
      <c r="T336" s="343"/>
      <c r="U336" s="343"/>
      <c r="V336" s="343"/>
      <c r="W336" s="343"/>
      <c r="X336" s="343"/>
      <c r="Y336" s="226"/>
      <c r="Z336" s="226"/>
    </row>
    <row r="337">
      <c r="A337" s="226" t="s">
        <v>16</v>
      </c>
      <c r="B337" s="226" t="s">
        <v>1577</v>
      </c>
      <c r="C337" s="250" t="s">
        <v>3501</v>
      </c>
      <c r="D337" s="268" t="s">
        <v>495</v>
      </c>
      <c r="E337" s="251">
        <v>44155.0</v>
      </c>
      <c r="F337" s="250" t="s">
        <v>496</v>
      </c>
      <c r="G337" s="176"/>
      <c r="H337" s="243"/>
      <c r="I337" s="243"/>
      <c r="J337" s="325">
        <f t="shared" ref="J337:J513" si="16">(G337/$G$2+H337/$H$2+I337/$I$2)/3</f>
        <v>0</v>
      </c>
      <c r="K337" s="326">
        <f t="shared" ref="K337:K363" si="17">if(A337 = B337,0,$N$1)</f>
        <v>1.119370091</v>
      </c>
      <c r="L337" s="327">
        <f t="shared" si="4"/>
        <v>4.365222371</v>
      </c>
      <c r="M337" s="321" t="str">
        <f t="shared" si="5"/>
        <v>griffgreen</v>
      </c>
      <c r="N337" s="176">
        <f>IFERROR(__xludf.DUMMYFUNCTION("""COMPUTED_VALUE"""),2.0)</f>
        <v>2</v>
      </c>
      <c r="O337" s="176"/>
      <c r="P337" s="176"/>
      <c r="Q337" s="176"/>
      <c r="R337" s="176"/>
      <c r="S337" s="176"/>
      <c r="T337" s="176"/>
      <c r="U337" s="176"/>
      <c r="V337" s="176"/>
      <c r="W337" s="176"/>
      <c r="X337" s="176"/>
      <c r="Y337" s="176"/>
      <c r="Z337" s="176"/>
    </row>
    <row r="338">
      <c r="A338" s="226" t="s">
        <v>16</v>
      </c>
      <c r="B338" s="226" t="s">
        <v>925</v>
      </c>
      <c r="C338" s="250" t="s">
        <v>3502</v>
      </c>
      <c r="D338" s="268" t="s">
        <v>495</v>
      </c>
      <c r="E338" s="251">
        <v>44155.0</v>
      </c>
      <c r="F338" s="250" t="s">
        <v>499</v>
      </c>
      <c r="G338" s="176"/>
      <c r="H338" s="243"/>
      <c r="I338" s="243"/>
      <c r="J338" s="325">
        <f t="shared" si="16"/>
        <v>0</v>
      </c>
      <c r="K338" s="326">
        <f t="shared" si="17"/>
        <v>1.119370091</v>
      </c>
      <c r="L338" s="327">
        <f t="shared" si="4"/>
        <v>4.365222371</v>
      </c>
      <c r="M338" s="321" t="str">
        <f t="shared" si="5"/>
        <v>griffgreen</v>
      </c>
      <c r="N338" s="176">
        <f>IFERROR(__xludf.DUMMYFUNCTION("""COMPUTED_VALUE"""),3.0)</f>
        <v>3</v>
      </c>
      <c r="O338" s="176"/>
      <c r="P338" s="176"/>
      <c r="Q338" s="176"/>
      <c r="R338" s="176"/>
      <c r="S338" s="176"/>
      <c r="T338" s="176"/>
      <c r="U338" s="176"/>
      <c r="V338" s="176"/>
      <c r="W338" s="176"/>
      <c r="X338" s="176"/>
      <c r="Y338" s="176"/>
      <c r="Z338" s="176"/>
    </row>
    <row r="339">
      <c r="A339" s="226" t="s">
        <v>16</v>
      </c>
      <c r="B339" s="226" t="s">
        <v>925</v>
      </c>
      <c r="C339" s="250" t="s">
        <v>3503</v>
      </c>
      <c r="D339" s="268" t="s">
        <v>495</v>
      </c>
      <c r="E339" s="251">
        <v>44155.0</v>
      </c>
      <c r="F339" s="250" t="s">
        <v>496</v>
      </c>
      <c r="G339" s="176"/>
      <c r="H339" s="243"/>
      <c r="I339" s="243"/>
      <c r="J339" s="325">
        <f t="shared" si="16"/>
        <v>0</v>
      </c>
      <c r="K339" s="326">
        <f t="shared" si="17"/>
        <v>1.119370091</v>
      </c>
      <c r="L339" s="327">
        <f t="shared" si="4"/>
        <v>4.365222371</v>
      </c>
      <c r="M339" s="321" t="str">
        <f t="shared" si="5"/>
        <v>griffgreen</v>
      </c>
      <c r="N339" s="176">
        <f>IFERROR(__xludf.DUMMYFUNCTION("""COMPUTED_VALUE"""),4.0)</f>
        <v>4</v>
      </c>
      <c r="O339" s="176"/>
      <c r="P339" s="176"/>
      <c r="Q339" s="176"/>
      <c r="R339" s="176"/>
      <c r="S339" s="176"/>
      <c r="T339" s="176"/>
      <c r="U339" s="176"/>
      <c r="V339" s="176"/>
      <c r="W339" s="176"/>
      <c r="X339" s="176"/>
      <c r="Y339" s="176"/>
      <c r="Z339" s="176"/>
    </row>
    <row r="340">
      <c r="A340" s="226" t="s">
        <v>16</v>
      </c>
      <c r="B340" s="226" t="s">
        <v>1228</v>
      </c>
      <c r="C340" s="250" t="s">
        <v>3440</v>
      </c>
      <c r="D340" s="268" t="s">
        <v>495</v>
      </c>
      <c r="E340" s="251">
        <v>44155.0</v>
      </c>
      <c r="F340" s="250" t="s">
        <v>496</v>
      </c>
      <c r="G340" s="176"/>
      <c r="H340" s="243"/>
      <c r="I340" s="243"/>
      <c r="J340" s="325">
        <f t="shared" si="16"/>
        <v>0</v>
      </c>
      <c r="K340" s="326">
        <f t="shared" si="17"/>
        <v>1.119370091</v>
      </c>
      <c r="L340" s="327">
        <f t="shared" si="4"/>
        <v>4.365222371</v>
      </c>
      <c r="M340" s="321" t="str">
        <f t="shared" si="5"/>
        <v>griffgreen</v>
      </c>
      <c r="N340" s="176">
        <f>IFERROR(__xludf.DUMMYFUNCTION("""COMPUTED_VALUE"""),5.0)</f>
        <v>5</v>
      </c>
      <c r="O340" s="176"/>
      <c r="P340" s="176"/>
      <c r="Q340" s="176"/>
      <c r="R340" s="176"/>
      <c r="S340" s="176"/>
      <c r="T340" s="176"/>
      <c r="U340" s="176"/>
      <c r="V340" s="176"/>
      <c r="W340" s="176"/>
      <c r="X340" s="176"/>
      <c r="Y340" s="176"/>
      <c r="Z340" s="176"/>
    </row>
    <row r="341">
      <c r="A341" s="226" t="s">
        <v>16</v>
      </c>
      <c r="B341" s="226" t="s">
        <v>590</v>
      </c>
      <c r="C341" s="250" t="s">
        <v>3428</v>
      </c>
      <c r="D341" s="268" t="s">
        <v>495</v>
      </c>
      <c r="E341" s="251">
        <v>44159.0</v>
      </c>
      <c r="F341" s="250" t="s">
        <v>496</v>
      </c>
      <c r="G341" s="176"/>
      <c r="H341" s="243"/>
      <c r="I341" s="243"/>
      <c r="J341" s="325">
        <f t="shared" si="16"/>
        <v>0</v>
      </c>
      <c r="K341" s="326">
        <f t="shared" si="17"/>
        <v>1.119370091</v>
      </c>
      <c r="L341" s="327">
        <f t="shared" si="4"/>
        <v>4.365222371</v>
      </c>
      <c r="M341" s="321" t="str">
        <f t="shared" si="5"/>
        <v>griffgreen</v>
      </c>
      <c r="N341" s="176">
        <f>IFERROR(__xludf.DUMMYFUNCTION("""COMPUTED_VALUE"""),6.0)</f>
        <v>6</v>
      </c>
      <c r="O341" s="176"/>
      <c r="P341" s="176"/>
      <c r="Q341" s="176"/>
      <c r="R341" s="176"/>
      <c r="S341" s="176"/>
      <c r="T341" s="176"/>
      <c r="U341" s="176"/>
      <c r="V341" s="176"/>
      <c r="W341" s="176"/>
      <c r="X341" s="176"/>
      <c r="Y341" s="176"/>
      <c r="Z341" s="176"/>
    </row>
    <row r="342">
      <c r="A342" s="226" t="s">
        <v>16</v>
      </c>
      <c r="B342" s="226" t="s">
        <v>925</v>
      </c>
      <c r="C342" s="250" t="s">
        <v>3504</v>
      </c>
      <c r="D342" s="268" t="s">
        <v>495</v>
      </c>
      <c r="E342" s="251">
        <v>44160.0</v>
      </c>
      <c r="F342" s="250" t="s">
        <v>496</v>
      </c>
      <c r="G342" s="176"/>
      <c r="H342" s="243"/>
      <c r="I342" s="243"/>
      <c r="J342" s="325">
        <f t="shared" si="16"/>
        <v>0</v>
      </c>
      <c r="K342" s="326">
        <f t="shared" si="17"/>
        <v>1.119370091</v>
      </c>
      <c r="L342" s="327">
        <f t="shared" si="4"/>
        <v>4.365222371</v>
      </c>
      <c r="M342" s="321" t="str">
        <f t="shared" si="5"/>
        <v>griffgreen</v>
      </c>
      <c r="N342" s="176">
        <f>IFERROR(__xludf.DUMMYFUNCTION("""COMPUTED_VALUE"""),7.0)</f>
        <v>7</v>
      </c>
      <c r="O342" s="176"/>
      <c r="P342" s="176"/>
      <c r="Q342" s="176"/>
      <c r="R342" s="176"/>
      <c r="S342" s="176"/>
      <c r="T342" s="176"/>
      <c r="U342" s="176"/>
      <c r="V342" s="176"/>
      <c r="W342" s="176"/>
      <c r="X342" s="176"/>
      <c r="Y342" s="176"/>
      <c r="Z342" s="176"/>
    </row>
    <row r="343">
      <c r="A343" s="343" t="s">
        <v>16</v>
      </c>
      <c r="B343" s="343" t="s">
        <v>519</v>
      </c>
      <c r="C343" s="254" t="s">
        <v>3505</v>
      </c>
      <c r="D343" s="336" t="s">
        <v>495</v>
      </c>
      <c r="E343" s="255">
        <v>44161.0</v>
      </c>
      <c r="F343" s="254" t="s">
        <v>496</v>
      </c>
      <c r="G343" s="209"/>
      <c r="H343" s="312"/>
      <c r="I343" s="222"/>
      <c r="J343" s="339">
        <f t="shared" si="16"/>
        <v>0</v>
      </c>
      <c r="K343" s="326">
        <f t="shared" si="17"/>
        <v>0</v>
      </c>
      <c r="L343" s="341">
        <f t="shared" si="4"/>
        <v>4.365222371</v>
      </c>
      <c r="M343" s="342" t="str">
        <f t="shared" si="5"/>
        <v>griffgreen</v>
      </c>
      <c r="N343" s="209">
        <f>IFERROR(__xludf.DUMMYFUNCTION("""COMPUTED_VALUE"""),8.0)</f>
        <v>8</v>
      </c>
      <c r="O343" s="209"/>
      <c r="P343" s="209"/>
      <c r="Q343" s="209"/>
      <c r="R343" s="209"/>
      <c r="S343" s="209"/>
      <c r="T343" s="209"/>
      <c r="U343" s="209"/>
      <c r="V343" s="209"/>
      <c r="W343" s="209"/>
      <c r="X343" s="209"/>
      <c r="Y343" s="209"/>
      <c r="Z343" s="209"/>
    </row>
    <row r="344">
      <c r="A344" s="226" t="s">
        <v>16</v>
      </c>
      <c r="B344" s="226" t="s">
        <v>868</v>
      </c>
      <c r="C344" s="250" t="s">
        <v>3432</v>
      </c>
      <c r="D344" s="268" t="s">
        <v>495</v>
      </c>
      <c r="E344" s="251">
        <v>44161.0</v>
      </c>
      <c r="F344" s="250" t="s">
        <v>496</v>
      </c>
      <c r="G344" s="176"/>
      <c r="H344" s="243"/>
      <c r="I344" s="243"/>
      <c r="J344" s="325">
        <f t="shared" si="16"/>
        <v>0</v>
      </c>
      <c r="K344" s="326">
        <f t="shared" si="17"/>
        <v>1.119370091</v>
      </c>
      <c r="L344" s="327">
        <f t="shared" si="4"/>
        <v>4.365222371</v>
      </c>
      <c r="M344" s="321" t="str">
        <f t="shared" si="5"/>
        <v>griffgreen</v>
      </c>
      <c r="N344" s="176">
        <f>IFERROR(__xludf.DUMMYFUNCTION("""COMPUTED_VALUE"""),9.0)</f>
        <v>9</v>
      </c>
      <c r="O344" s="176"/>
      <c r="P344" s="176"/>
      <c r="Q344" s="176"/>
      <c r="R344" s="176"/>
      <c r="S344" s="176"/>
      <c r="T344" s="176"/>
      <c r="U344" s="176"/>
      <c r="V344" s="176"/>
      <c r="W344" s="176"/>
      <c r="X344" s="176"/>
      <c r="Y344" s="176"/>
      <c r="Z344" s="176"/>
    </row>
    <row r="345">
      <c r="A345" s="226" t="s">
        <v>16</v>
      </c>
      <c r="B345" s="226" t="s">
        <v>10</v>
      </c>
      <c r="C345" s="250" t="s">
        <v>3369</v>
      </c>
      <c r="D345" s="268" t="s">
        <v>495</v>
      </c>
      <c r="E345" s="251">
        <v>44162.0</v>
      </c>
      <c r="F345" s="250" t="s">
        <v>496</v>
      </c>
      <c r="G345" s="176"/>
      <c r="H345" s="243"/>
      <c r="I345" s="243"/>
      <c r="J345" s="325">
        <f t="shared" si="16"/>
        <v>0</v>
      </c>
      <c r="K345" s="326">
        <f t="shared" si="17"/>
        <v>1.119370091</v>
      </c>
      <c r="L345" s="327">
        <f t="shared" si="4"/>
        <v>4.365222371</v>
      </c>
      <c r="M345" s="321" t="str">
        <f t="shared" si="5"/>
        <v>griffgreen</v>
      </c>
      <c r="N345" s="176">
        <f>IFERROR(__xludf.DUMMYFUNCTION("""COMPUTED_VALUE"""),10.0)</f>
        <v>10</v>
      </c>
      <c r="O345" s="176"/>
      <c r="P345" s="176"/>
      <c r="Q345" s="176"/>
      <c r="R345" s="176"/>
      <c r="S345" s="176"/>
      <c r="T345" s="176"/>
      <c r="U345" s="176"/>
      <c r="V345" s="176"/>
      <c r="W345" s="176"/>
      <c r="X345" s="176"/>
      <c r="Y345" s="176"/>
      <c r="Z345" s="176"/>
    </row>
    <row r="346">
      <c r="A346" s="226" t="s">
        <v>16</v>
      </c>
      <c r="B346" s="226" t="s">
        <v>10</v>
      </c>
      <c r="C346" s="250" t="s">
        <v>3371</v>
      </c>
      <c r="D346" s="268" t="s">
        <v>495</v>
      </c>
      <c r="E346" s="251">
        <v>44162.0</v>
      </c>
      <c r="F346" s="250" t="s">
        <v>496</v>
      </c>
      <c r="G346" s="176"/>
      <c r="H346" s="243"/>
      <c r="I346" s="243"/>
      <c r="J346" s="325">
        <f t="shared" si="16"/>
        <v>0</v>
      </c>
      <c r="K346" s="326">
        <f t="shared" si="17"/>
        <v>1.119370091</v>
      </c>
      <c r="L346" s="327">
        <f t="shared" si="4"/>
        <v>4.365222371</v>
      </c>
      <c r="M346" s="321" t="str">
        <f t="shared" si="5"/>
        <v>griffgreen</v>
      </c>
      <c r="N346" s="176">
        <f>IFERROR(__xludf.DUMMYFUNCTION("""COMPUTED_VALUE"""),11.0)</f>
        <v>11</v>
      </c>
      <c r="O346" s="176"/>
      <c r="P346" s="176"/>
      <c r="Q346" s="176"/>
      <c r="R346" s="176"/>
      <c r="S346" s="176"/>
      <c r="T346" s="176"/>
      <c r="U346" s="176"/>
      <c r="V346" s="176"/>
      <c r="W346" s="176"/>
      <c r="X346" s="176"/>
      <c r="Y346" s="176"/>
      <c r="Z346" s="176"/>
    </row>
    <row r="347">
      <c r="A347" s="226" t="s">
        <v>16</v>
      </c>
      <c r="B347" s="226" t="s">
        <v>10</v>
      </c>
      <c r="C347" s="250" t="s">
        <v>3482</v>
      </c>
      <c r="D347" s="268" t="s">
        <v>495</v>
      </c>
      <c r="E347" s="251">
        <v>44162.0</v>
      </c>
      <c r="F347" s="250" t="s">
        <v>496</v>
      </c>
      <c r="G347" s="176"/>
      <c r="H347" s="243"/>
      <c r="I347" s="243"/>
      <c r="J347" s="325">
        <f t="shared" si="16"/>
        <v>0</v>
      </c>
      <c r="K347" s="326">
        <f t="shared" si="17"/>
        <v>1.119370091</v>
      </c>
      <c r="L347" s="327">
        <f t="shared" si="4"/>
        <v>4.365222371</v>
      </c>
      <c r="M347" s="321" t="str">
        <f t="shared" si="5"/>
        <v>griffgreen</v>
      </c>
      <c r="N347" s="176">
        <f>IFERROR(__xludf.DUMMYFUNCTION("""COMPUTED_VALUE"""),12.0)</f>
        <v>12</v>
      </c>
      <c r="O347" s="176"/>
      <c r="P347" s="176"/>
      <c r="Q347" s="176"/>
      <c r="R347" s="176"/>
      <c r="S347" s="176"/>
      <c r="T347" s="176"/>
      <c r="U347" s="176"/>
      <c r="V347" s="176"/>
      <c r="W347" s="176"/>
      <c r="X347" s="176"/>
      <c r="Y347" s="176"/>
      <c r="Z347" s="176"/>
    </row>
    <row r="348">
      <c r="A348" s="226" t="s">
        <v>16</v>
      </c>
      <c r="B348" s="226" t="s">
        <v>10</v>
      </c>
      <c r="C348" s="250" t="s">
        <v>3387</v>
      </c>
      <c r="D348" s="268" t="s">
        <v>495</v>
      </c>
      <c r="E348" s="251">
        <v>44162.0</v>
      </c>
      <c r="F348" s="250" t="s">
        <v>496</v>
      </c>
      <c r="G348" s="176"/>
      <c r="H348" s="243"/>
      <c r="I348" s="243"/>
      <c r="J348" s="325">
        <f t="shared" si="16"/>
        <v>0</v>
      </c>
      <c r="K348" s="326">
        <f t="shared" si="17"/>
        <v>1.119370091</v>
      </c>
      <c r="L348" s="327">
        <f t="shared" si="4"/>
        <v>4.365222371</v>
      </c>
      <c r="M348" s="321" t="str">
        <f t="shared" si="5"/>
        <v>griffgreen</v>
      </c>
      <c r="N348" s="176">
        <f>IFERROR(__xludf.DUMMYFUNCTION("""COMPUTED_VALUE"""),13.0)</f>
        <v>13</v>
      </c>
      <c r="O348" s="176"/>
      <c r="P348" s="176"/>
      <c r="Q348" s="176"/>
      <c r="R348" s="176"/>
      <c r="S348" s="176"/>
      <c r="T348" s="176"/>
      <c r="U348" s="176"/>
      <c r="V348" s="176"/>
      <c r="W348" s="176"/>
      <c r="X348" s="176"/>
      <c r="Y348" s="176"/>
      <c r="Z348" s="176"/>
    </row>
    <row r="349">
      <c r="A349" s="226" t="s">
        <v>16</v>
      </c>
      <c r="B349" s="226" t="s">
        <v>10</v>
      </c>
      <c r="C349" s="250" t="s">
        <v>3345</v>
      </c>
      <c r="D349" s="268" t="s">
        <v>495</v>
      </c>
      <c r="E349" s="251">
        <v>44163.0</v>
      </c>
      <c r="F349" s="250" t="s">
        <v>496</v>
      </c>
      <c r="G349" s="176"/>
      <c r="H349" s="243"/>
      <c r="I349" s="243"/>
      <c r="J349" s="325">
        <f t="shared" si="16"/>
        <v>0</v>
      </c>
      <c r="K349" s="326">
        <f t="shared" si="17"/>
        <v>1.119370091</v>
      </c>
      <c r="L349" s="327">
        <f t="shared" si="4"/>
        <v>4.365222371</v>
      </c>
      <c r="M349" s="321" t="str">
        <f t="shared" si="5"/>
        <v>griffgreen</v>
      </c>
      <c r="N349" s="176">
        <f>IFERROR(__xludf.DUMMYFUNCTION("""COMPUTED_VALUE"""),14.0)</f>
        <v>14</v>
      </c>
      <c r="O349" s="176"/>
      <c r="P349" s="176"/>
      <c r="Q349" s="176"/>
      <c r="R349" s="176"/>
      <c r="S349" s="176"/>
      <c r="T349" s="176"/>
      <c r="U349" s="176"/>
      <c r="V349" s="176"/>
      <c r="W349" s="176"/>
      <c r="X349" s="176"/>
      <c r="Y349" s="176"/>
      <c r="Z349" s="176"/>
    </row>
    <row r="350">
      <c r="A350" s="226" t="s">
        <v>16</v>
      </c>
      <c r="B350" s="226" t="s">
        <v>6</v>
      </c>
      <c r="C350" s="250" t="s">
        <v>3373</v>
      </c>
      <c r="D350" s="268" t="s">
        <v>495</v>
      </c>
      <c r="E350" s="251">
        <v>44165.0</v>
      </c>
      <c r="F350" s="250" t="s">
        <v>496</v>
      </c>
      <c r="G350" s="176"/>
      <c r="H350" s="243"/>
      <c r="I350" s="243"/>
      <c r="J350" s="325">
        <f t="shared" si="16"/>
        <v>0</v>
      </c>
      <c r="K350" s="326">
        <f t="shared" si="17"/>
        <v>1.119370091</v>
      </c>
      <c r="L350" s="327">
        <f t="shared" si="4"/>
        <v>4.365222371</v>
      </c>
      <c r="M350" s="321" t="str">
        <f t="shared" si="5"/>
        <v>griffgreen</v>
      </c>
      <c r="N350" s="176">
        <f>IFERROR(__xludf.DUMMYFUNCTION("""COMPUTED_VALUE"""),15.0)</f>
        <v>15</v>
      </c>
      <c r="O350" s="176"/>
      <c r="P350" s="176"/>
      <c r="Q350" s="176"/>
      <c r="R350" s="176"/>
      <c r="S350" s="176"/>
      <c r="T350" s="176"/>
      <c r="U350" s="176"/>
      <c r="V350" s="176"/>
      <c r="W350" s="176"/>
      <c r="X350" s="176"/>
      <c r="Y350" s="176"/>
      <c r="Z350" s="176"/>
    </row>
    <row r="351">
      <c r="A351" s="226" t="s">
        <v>16</v>
      </c>
      <c r="B351" s="226" t="s">
        <v>867</v>
      </c>
      <c r="C351" s="368" t="s">
        <v>3506</v>
      </c>
      <c r="D351" s="268" t="s">
        <v>495</v>
      </c>
      <c r="E351" s="361">
        <v>44166.0</v>
      </c>
      <c r="F351" s="250" t="s">
        <v>496</v>
      </c>
      <c r="G351" s="176"/>
      <c r="H351" s="243"/>
      <c r="I351" s="243"/>
      <c r="J351" s="325">
        <f t="shared" si="16"/>
        <v>0</v>
      </c>
      <c r="K351" s="326">
        <f t="shared" si="17"/>
        <v>1.119370091</v>
      </c>
      <c r="L351" s="327">
        <f t="shared" si="4"/>
        <v>4.365222371</v>
      </c>
      <c r="M351" s="321" t="str">
        <f t="shared" si="5"/>
        <v>griffgreen</v>
      </c>
      <c r="N351" s="176">
        <f>IFERROR(__xludf.DUMMYFUNCTION("""COMPUTED_VALUE"""),16.0)</f>
        <v>16</v>
      </c>
      <c r="O351" s="176"/>
      <c r="P351" s="176"/>
      <c r="Q351" s="176"/>
      <c r="R351" s="176"/>
      <c r="S351" s="176"/>
      <c r="T351" s="176"/>
      <c r="U351" s="176"/>
      <c r="V351" s="176"/>
      <c r="W351" s="176"/>
      <c r="X351" s="176"/>
      <c r="Y351" s="176"/>
      <c r="Z351" s="176"/>
    </row>
    <row r="352">
      <c r="A352" s="226" t="s">
        <v>16</v>
      </c>
      <c r="B352" s="226" t="s">
        <v>18</v>
      </c>
      <c r="C352" s="368" t="s">
        <v>3347</v>
      </c>
      <c r="D352" s="268" t="s">
        <v>495</v>
      </c>
      <c r="E352" s="361">
        <v>44166.0</v>
      </c>
      <c r="F352" s="250" t="s">
        <v>496</v>
      </c>
      <c r="G352" s="176"/>
      <c r="H352" s="243"/>
      <c r="I352" s="243"/>
      <c r="J352" s="325">
        <f t="shared" si="16"/>
        <v>0</v>
      </c>
      <c r="K352" s="326">
        <f t="shared" si="17"/>
        <v>1.119370091</v>
      </c>
      <c r="L352" s="327">
        <f t="shared" si="4"/>
        <v>4.365222371</v>
      </c>
      <c r="M352" s="321" t="str">
        <f t="shared" si="5"/>
        <v>griffgreen</v>
      </c>
      <c r="N352" s="176">
        <f>IFERROR(__xludf.DUMMYFUNCTION("""COMPUTED_VALUE"""),17.0)</f>
        <v>17</v>
      </c>
      <c r="O352" s="176"/>
      <c r="P352" s="176"/>
      <c r="Q352" s="176"/>
      <c r="R352" s="176"/>
      <c r="S352" s="176"/>
      <c r="T352" s="176"/>
      <c r="U352" s="176"/>
      <c r="V352" s="176"/>
      <c r="W352" s="176"/>
      <c r="X352" s="176"/>
      <c r="Y352" s="176"/>
      <c r="Z352" s="176"/>
    </row>
    <row r="353">
      <c r="A353" s="226" t="s">
        <v>16</v>
      </c>
      <c r="B353" s="226" t="s">
        <v>18</v>
      </c>
      <c r="C353" s="368" t="s">
        <v>3348</v>
      </c>
      <c r="D353" s="268" t="s">
        <v>495</v>
      </c>
      <c r="E353" s="361">
        <v>44166.0</v>
      </c>
      <c r="F353" s="250" t="s">
        <v>496</v>
      </c>
      <c r="G353" s="176"/>
      <c r="H353" s="243"/>
      <c r="I353" s="243"/>
      <c r="J353" s="325">
        <f t="shared" si="16"/>
        <v>0</v>
      </c>
      <c r="K353" s="326">
        <f t="shared" si="17"/>
        <v>1.119370091</v>
      </c>
      <c r="L353" s="327">
        <f t="shared" si="4"/>
        <v>4.365222371</v>
      </c>
      <c r="M353" s="321" t="str">
        <f t="shared" si="5"/>
        <v>griffgreen</v>
      </c>
      <c r="N353" s="176">
        <f>IFERROR(__xludf.DUMMYFUNCTION("""COMPUTED_VALUE"""),18.0)</f>
        <v>18</v>
      </c>
      <c r="O353" s="176"/>
      <c r="P353" s="176"/>
      <c r="Q353" s="176"/>
      <c r="R353" s="176"/>
      <c r="S353" s="176"/>
      <c r="T353" s="176"/>
      <c r="U353" s="176"/>
      <c r="V353" s="176"/>
      <c r="W353" s="176"/>
      <c r="X353" s="176"/>
      <c r="Y353" s="176"/>
      <c r="Z353" s="176"/>
    </row>
    <row r="354">
      <c r="A354" s="226" t="s">
        <v>16</v>
      </c>
      <c r="B354" s="226" t="s">
        <v>590</v>
      </c>
      <c r="C354" s="368" t="s">
        <v>3350</v>
      </c>
      <c r="D354" s="268" t="s">
        <v>495</v>
      </c>
      <c r="E354" s="361">
        <v>44166.0</v>
      </c>
      <c r="F354" s="250" t="s">
        <v>496</v>
      </c>
      <c r="G354" s="176"/>
      <c r="H354" s="243"/>
      <c r="I354" s="243"/>
      <c r="J354" s="325">
        <f t="shared" si="16"/>
        <v>0</v>
      </c>
      <c r="K354" s="326">
        <f t="shared" si="17"/>
        <v>1.119370091</v>
      </c>
      <c r="L354" s="327">
        <f t="shared" si="4"/>
        <v>4.365222371</v>
      </c>
      <c r="M354" s="321" t="str">
        <f t="shared" si="5"/>
        <v>griffgreen</v>
      </c>
      <c r="N354" s="176">
        <f>IFERROR(__xludf.DUMMYFUNCTION("""COMPUTED_VALUE"""),19.0)</f>
        <v>19</v>
      </c>
      <c r="O354" s="176"/>
      <c r="P354" s="176"/>
      <c r="Q354" s="176"/>
      <c r="R354" s="176"/>
      <c r="S354" s="176"/>
      <c r="T354" s="176"/>
      <c r="U354" s="176"/>
      <c r="V354" s="176"/>
      <c r="W354" s="176"/>
      <c r="X354" s="176"/>
      <c r="Y354" s="176"/>
      <c r="Z354" s="176"/>
    </row>
    <row r="355">
      <c r="A355" s="226" t="s">
        <v>16</v>
      </c>
      <c r="B355" s="226" t="s">
        <v>590</v>
      </c>
      <c r="C355" s="368" t="s">
        <v>3397</v>
      </c>
      <c r="D355" s="268" t="s">
        <v>495</v>
      </c>
      <c r="E355" s="361">
        <v>44166.0</v>
      </c>
      <c r="F355" s="250" t="s">
        <v>496</v>
      </c>
      <c r="G355" s="176"/>
      <c r="H355" s="243"/>
      <c r="I355" s="243"/>
      <c r="J355" s="325">
        <f t="shared" si="16"/>
        <v>0</v>
      </c>
      <c r="K355" s="326">
        <f t="shared" si="17"/>
        <v>1.119370091</v>
      </c>
      <c r="L355" s="327">
        <f t="shared" si="4"/>
        <v>4.365222371</v>
      </c>
      <c r="M355" s="321" t="str">
        <f t="shared" si="5"/>
        <v>griffgreen</v>
      </c>
      <c r="N355" s="176">
        <f>IFERROR(__xludf.DUMMYFUNCTION("""COMPUTED_VALUE"""),20.0)</f>
        <v>20</v>
      </c>
      <c r="O355" s="176"/>
      <c r="P355" s="176"/>
      <c r="Q355" s="176"/>
      <c r="R355" s="176"/>
      <c r="S355" s="176"/>
      <c r="T355" s="176"/>
      <c r="U355" s="176"/>
      <c r="V355" s="176"/>
      <c r="W355" s="176"/>
      <c r="X355" s="176"/>
      <c r="Y355" s="176"/>
      <c r="Z355" s="176"/>
    </row>
    <row r="356">
      <c r="A356" s="226" t="s">
        <v>16</v>
      </c>
      <c r="B356" s="226" t="s">
        <v>5</v>
      </c>
      <c r="C356" s="368" t="s">
        <v>3390</v>
      </c>
      <c r="D356" s="268" t="s">
        <v>495</v>
      </c>
      <c r="E356" s="361">
        <v>44167.0</v>
      </c>
      <c r="F356" s="250" t="s">
        <v>496</v>
      </c>
      <c r="G356" s="176"/>
      <c r="H356" s="243"/>
      <c r="I356" s="243"/>
      <c r="J356" s="325">
        <f t="shared" si="16"/>
        <v>0</v>
      </c>
      <c r="K356" s="326">
        <f t="shared" si="17"/>
        <v>1.119370091</v>
      </c>
      <c r="L356" s="327">
        <f t="shared" si="4"/>
        <v>4.365222371</v>
      </c>
      <c r="M356" s="321" t="str">
        <f t="shared" si="5"/>
        <v>griffgreen</v>
      </c>
      <c r="N356" s="176">
        <f>IFERROR(__xludf.DUMMYFUNCTION("""COMPUTED_VALUE"""),21.0)</f>
        <v>21</v>
      </c>
      <c r="O356" s="176"/>
      <c r="P356" s="176"/>
      <c r="Q356" s="176"/>
      <c r="R356" s="176"/>
      <c r="S356" s="176"/>
      <c r="T356" s="176"/>
      <c r="U356" s="176"/>
      <c r="V356" s="176"/>
      <c r="W356" s="176"/>
      <c r="X356" s="176"/>
      <c r="Y356" s="176"/>
      <c r="Z356" s="176"/>
    </row>
    <row r="357">
      <c r="A357" s="226" t="s">
        <v>16</v>
      </c>
      <c r="B357" s="226" t="s">
        <v>1228</v>
      </c>
      <c r="C357" s="368" t="s">
        <v>3393</v>
      </c>
      <c r="D357" s="268" t="s">
        <v>495</v>
      </c>
      <c r="E357" s="361">
        <v>44168.0</v>
      </c>
      <c r="F357" s="250" t="s">
        <v>496</v>
      </c>
      <c r="G357" s="176"/>
      <c r="H357" s="243"/>
      <c r="I357" s="243"/>
      <c r="J357" s="325">
        <f t="shared" si="16"/>
        <v>0</v>
      </c>
      <c r="K357" s="326">
        <f t="shared" si="17"/>
        <v>1.119370091</v>
      </c>
      <c r="L357" s="327">
        <f t="shared" si="4"/>
        <v>4.365222371</v>
      </c>
      <c r="M357" s="321" t="str">
        <f t="shared" si="5"/>
        <v>griffgreen</v>
      </c>
      <c r="N357" s="176">
        <f>IFERROR(__xludf.DUMMYFUNCTION("""COMPUTED_VALUE"""),22.0)</f>
        <v>22</v>
      </c>
      <c r="O357" s="176"/>
      <c r="P357" s="176"/>
      <c r="Q357" s="176"/>
      <c r="R357" s="176"/>
      <c r="S357" s="176"/>
      <c r="T357" s="176"/>
      <c r="U357" s="176"/>
      <c r="V357" s="176"/>
      <c r="W357" s="176"/>
      <c r="X357" s="176"/>
      <c r="Y357" s="176"/>
      <c r="Z357" s="176"/>
    </row>
    <row r="358">
      <c r="A358" s="226" t="s">
        <v>16</v>
      </c>
      <c r="B358" s="226" t="s">
        <v>25</v>
      </c>
      <c r="C358" s="368" t="s">
        <v>3353</v>
      </c>
      <c r="D358" s="268" t="s">
        <v>495</v>
      </c>
      <c r="E358" s="361">
        <v>44168.0</v>
      </c>
      <c r="F358" s="250" t="s">
        <v>496</v>
      </c>
      <c r="G358" s="176"/>
      <c r="H358" s="243"/>
      <c r="I358" s="243"/>
      <c r="J358" s="325">
        <f t="shared" si="16"/>
        <v>0</v>
      </c>
      <c r="K358" s="326">
        <f t="shared" si="17"/>
        <v>1.119370091</v>
      </c>
      <c r="L358" s="327">
        <f t="shared" si="4"/>
        <v>4.365222371</v>
      </c>
      <c r="M358" s="321" t="str">
        <f t="shared" si="5"/>
        <v>griffgreen</v>
      </c>
      <c r="N358" s="176">
        <f>IFERROR(__xludf.DUMMYFUNCTION("""COMPUTED_VALUE"""),23.0)</f>
        <v>23</v>
      </c>
      <c r="O358" s="176"/>
      <c r="P358" s="176"/>
      <c r="Q358" s="176"/>
      <c r="R358" s="176"/>
      <c r="S358" s="176"/>
      <c r="T358" s="176"/>
      <c r="U358" s="176"/>
      <c r="V358" s="176"/>
      <c r="W358" s="176"/>
      <c r="X358" s="176"/>
      <c r="Y358" s="176"/>
      <c r="Z358" s="176"/>
    </row>
    <row r="359">
      <c r="A359" s="226" t="s">
        <v>16</v>
      </c>
      <c r="B359" s="226" t="s">
        <v>10</v>
      </c>
      <c r="C359" s="368" t="s">
        <v>3507</v>
      </c>
      <c r="D359" s="268" t="s">
        <v>495</v>
      </c>
      <c r="E359" s="361">
        <v>44169.0</v>
      </c>
      <c r="F359" s="250" t="s">
        <v>496</v>
      </c>
      <c r="G359" s="176"/>
      <c r="H359" s="243"/>
      <c r="I359" s="243"/>
      <c r="J359" s="325">
        <f t="shared" si="16"/>
        <v>0</v>
      </c>
      <c r="K359" s="326">
        <f t="shared" si="17"/>
        <v>1.119370091</v>
      </c>
      <c r="L359" s="327">
        <f t="shared" si="4"/>
        <v>4.365222371</v>
      </c>
      <c r="M359" s="321" t="str">
        <f t="shared" si="5"/>
        <v>griffgreen</v>
      </c>
      <c r="N359" s="176">
        <f>IFERROR(__xludf.DUMMYFUNCTION("""COMPUTED_VALUE"""),24.0)</f>
        <v>24</v>
      </c>
      <c r="O359" s="176"/>
      <c r="P359" s="176"/>
      <c r="Q359" s="176"/>
      <c r="R359" s="176"/>
      <c r="S359" s="176"/>
      <c r="T359" s="176"/>
      <c r="U359" s="176"/>
      <c r="V359" s="176"/>
      <c r="W359" s="176"/>
      <c r="X359" s="176"/>
      <c r="Y359" s="176"/>
      <c r="Z359" s="176"/>
    </row>
    <row r="360">
      <c r="A360" s="226" t="s">
        <v>16</v>
      </c>
      <c r="B360" s="226" t="s">
        <v>10</v>
      </c>
      <c r="C360" s="368" t="s">
        <v>3456</v>
      </c>
      <c r="D360" s="268" t="s">
        <v>495</v>
      </c>
      <c r="E360" s="361">
        <v>44169.0</v>
      </c>
      <c r="F360" s="250" t="s">
        <v>496</v>
      </c>
      <c r="G360" s="176"/>
      <c r="H360" s="243"/>
      <c r="I360" s="243"/>
      <c r="J360" s="325">
        <f t="shared" si="16"/>
        <v>0</v>
      </c>
      <c r="K360" s="326">
        <f t="shared" si="17"/>
        <v>1.119370091</v>
      </c>
      <c r="L360" s="327">
        <f t="shared" si="4"/>
        <v>4.365222371</v>
      </c>
      <c r="M360" s="321" t="str">
        <f t="shared" si="5"/>
        <v>griffgreen</v>
      </c>
      <c r="N360" s="176">
        <f>IFERROR(__xludf.DUMMYFUNCTION("""COMPUTED_VALUE"""),25.0)</f>
        <v>25</v>
      </c>
      <c r="O360" s="176"/>
      <c r="P360" s="176"/>
      <c r="Q360" s="176"/>
      <c r="R360" s="176"/>
      <c r="S360" s="176"/>
      <c r="T360" s="176"/>
      <c r="U360" s="176"/>
      <c r="V360" s="176"/>
      <c r="W360" s="176"/>
      <c r="X360" s="176"/>
      <c r="Y360" s="176"/>
      <c r="Z360" s="176"/>
    </row>
    <row r="361">
      <c r="A361" s="226" t="s">
        <v>16</v>
      </c>
      <c r="B361" s="226" t="s">
        <v>10</v>
      </c>
      <c r="C361" s="368" t="s">
        <v>3356</v>
      </c>
      <c r="D361" s="268" t="s">
        <v>495</v>
      </c>
      <c r="E361" s="361">
        <v>44169.0</v>
      </c>
      <c r="F361" s="250" t="s">
        <v>496</v>
      </c>
      <c r="G361" s="176"/>
      <c r="H361" s="243"/>
      <c r="I361" s="243"/>
      <c r="J361" s="325">
        <f t="shared" si="16"/>
        <v>0</v>
      </c>
      <c r="K361" s="326">
        <f t="shared" si="17"/>
        <v>1.119370091</v>
      </c>
      <c r="L361" s="327">
        <f t="shared" si="4"/>
        <v>4.365222371</v>
      </c>
      <c r="M361" s="321" t="str">
        <f t="shared" si="5"/>
        <v>griffgreen</v>
      </c>
      <c r="N361" s="176">
        <f>IFERROR(__xludf.DUMMYFUNCTION("""COMPUTED_VALUE"""),26.0)</f>
        <v>26</v>
      </c>
      <c r="O361" s="176"/>
      <c r="P361" s="176"/>
      <c r="Q361" s="176"/>
      <c r="R361" s="176"/>
      <c r="S361" s="176"/>
      <c r="T361" s="176"/>
      <c r="U361" s="176"/>
      <c r="V361" s="176"/>
      <c r="W361" s="176"/>
      <c r="X361" s="176"/>
      <c r="Y361" s="176"/>
      <c r="Z361" s="176"/>
    </row>
    <row r="362">
      <c r="A362" s="226" t="s">
        <v>16</v>
      </c>
      <c r="B362" s="226" t="s">
        <v>5</v>
      </c>
      <c r="C362" s="368" t="s">
        <v>3377</v>
      </c>
      <c r="D362" s="268" t="s">
        <v>495</v>
      </c>
      <c r="E362" s="361">
        <v>44169.0</v>
      </c>
      <c r="F362" s="250" t="s">
        <v>496</v>
      </c>
      <c r="G362" s="176"/>
      <c r="H362" s="243"/>
      <c r="I362" s="243"/>
      <c r="J362" s="325">
        <f t="shared" si="16"/>
        <v>0</v>
      </c>
      <c r="K362" s="326">
        <f t="shared" si="17"/>
        <v>1.119370091</v>
      </c>
      <c r="L362" s="327">
        <f t="shared" si="4"/>
        <v>4.365222371</v>
      </c>
      <c r="M362" s="321" t="str">
        <f t="shared" si="5"/>
        <v>griffgreen</v>
      </c>
      <c r="N362" s="176">
        <f>IFERROR(__xludf.DUMMYFUNCTION("""COMPUTED_VALUE"""),27.0)</f>
        <v>27</v>
      </c>
      <c r="O362" s="176"/>
      <c r="P362" s="176"/>
      <c r="Q362" s="176"/>
      <c r="R362" s="176"/>
      <c r="S362" s="176"/>
      <c r="T362" s="176"/>
      <c r="U362" s="176"/>
      <c r="V362" s="176"/>
      <c r="W362" s="176"/>
      <c r="X362" s="176"/>
      <c r="Y362" s="176"/>
      <c r="Z362" s="176"/>
    </row>
    <row r="363">
      <c r="A363" s="226" t="s">
        <v>16</v>
      </c>
      <c r="B363" s="226" t="s">
        <v>5</v>
      </c>
      <c r="C363" s="368" t="s">
        <v>3378</v>
      </c>
      <c r="D363" s="268" t="s">
        <v>495</v>
      </c>
      <c r="E363" s="361">
        <v>44169.0</v>
      </c>
      <c r="F363" s="250" t="s">
        <v>496</v>
      </c>
      <c r="G363" s="176"/>
      <c r="H363" s="243"/>
      <c r="I363" s="243"/>
      <c r="J363" s="325">
        <f t="shared" si="16"/>
        <v>0</v>
      </c>
      <c r="K363" s="326">
        <f t="shared" si="17"/>
        <v>1.119370091</v>
      </c>
      <c r="L363" s="327">
        <f t="shared" si="4"/>
        <v>4.365222371</v>
      </c>
      <c r="M363" s="321" t="str">
        <f t="shared" si="5"/>
        <v>griffgreen</v>
      </c>
      <c r="N363" s="176">
        <f>IFERROR(__xludf.DUMMYFUNCTION("""COMPUTED_VALUE"""),28.0)</f>
        <v>28</v>
      </c>
      <c r="O363" s="176"/>
      <c r="P363" s="176"/>
      <c r="Q363" s="176"/>
      <c r="R363" s="176"/>
      <c r="S363" s="176"/>
      <c r="T363" s="176"/>
      <c r="U363" s="176"/>
      <c r="V363" s="176"/>
      <c r="W363" s="176"/>
      <c r="X363" s="176"/>
      <c r="Y363" s="176"/>
      <c r="Z363" s="176"/>
    </row>
    <row r="364">
      <c r="A364" s="226" t="s">
        <v>73</v>
      </c>
      <c r="B364" s="226" t="s">
        <v>519</v>
      </c>
      <c r="C364" s="250" t="s">
        <v>3359</v>
      </c>
      <c r="D364" s="268" t="s">
        <v>495</v>
      </c>
      <c r="E364" s="251">
        <v>44160.0</v>
      </c>
      <c r="F364" s="368" t="s">
        <v>521</v>
      </c>
      <c r="G364" s="268">
        <v>400.0</v>
      </c>
      <c r="H364" s="236">
        <v>60.0</v>
      </c>
      <c r="I364" s="236">
        <v>30.0</v>
      </c>
      <c r="J364" s="325">
        <f t="shared" si="16"/>
        <v>0.005405673779</v>
      </c>
      <c r="K364" s="326">
        <f t="shared" ref="K364:K381" si="18">J364*$J$1</f>
        <v>4.23444446</v>
      </c>
      <c r="L364" s="327">
        <f t="shared" si="4"/>
        <v>4.23444446</v>
      </c>
      <c r="M364" s="321" t="str">
        <f t="shared" si="5"/>
        <v>aminlatifi</v>
      </c>
      <c r="N364" s="176">
        <f>IFERROR(__xludf.DUMMYFUNCTION("""COMPUTED_VALUE"""),1.0)</f>
        <v>1</v>
      </c>
      <c r="O364" s="176"/>
      <c r="P364" s="176"/>
      <c r="Q364" s="176"/>
      <c r="R364" s="176"/>
      <c r="S364" s="176"/>
      <c r="T364" s="176"/>
      <c r="U364" s="176"/>
      <c r="V364" s="176"/>
      <c r="W364" s="176"/>
      <c r="X364" s="176"/>
      <c r="Y364" s="176"/>
      <c r="Z364" s="176"/>
    </row>
    <row r="365">
      <c r="A365" s="226" t="s">
        <v>28</v>
      </c>
      <c r="B365" s="226" t="s">
        <v>6</v>
      </c>
      <c r="C365" s="250" t="s">
        <v>3508</v>
      </c>
      <c r="D365" s="268" t="s">
        <v>495</v>
      </c>
      <c r="E365" s="251">
        <v>44155.0</v>
      </c>
      <c r="F365" s="368" t="s">
        <v>496</v>
      </c>
      <c r="G365" s="268">
        <v>100.0</v>
      </c>
      <c r="H365" s="236">
        <v>100.0</v>
      </c>
      <c r="I365" s="236">
        <v>100.0</v>
      </c>
      <c r="J365" s="325">
        <f t="shared" si="16"/>
        <v>0.003570968962</v>
      </c>
      <c r="K365" s="326">
        <f t="shared" si="18"/>
        <v>2.79725902</v>
      </c>
      <c r="L365" s="327">
        <f t="shared" si="4"/>
        <v>4.180010377</v>
      </c>
      <c r="M365" s="321" t="str">
        <f t="shared" si="5"/>
        <v>tam2140</v>
      </c>
      <c r="N365" s="176">
        <f>IFERROR(__xludf.DUMMYFUNCTION("""COMPUTED_VALUE"""),1.0)</f>
        <v>1</v>
      </c>
      <c r="O365" s="176"/>
      <c r="P365" s="176"/>
      <c r="Q365" s="176"/>
      <c r="R365" s="176"/>
      <c r="S365" s="176"/>
      <c r="T365" s="176"/>
      <c r="U365" s="176"/>
      <c r="V365" s="176"/>
      <c r="W365" s="176"/>
      <c r="X365" s="176"/>
      <c r="Y365" s="176"/>
      <c r="Z365" s="176"/>
    </row>
    <row r="366">
      <c r="A366" s="226" t="s">
        <v>28</v>
      </c>
      <c r="B366" s="226" t="s">
        <v>1228</v>
      </c>
      <c r="C366" s="250" t="s">
        <v>3440</v>
      </c>
      <c r="D366" s="268" t="s">
        <v>495</v>
      </c>
      <c r="E366" s="251">
        <v>44155.0</v>
      </c>
      <c r="F366" s="368" t="s">
        <v>496</v>
      </c>
      <c r="G366" s="268">
        <v>100.0</v>
      </c>
      <c r="H366" s="236">
        <v>100.0</v>
      </c>
      <c r="I366" s="236">
        <v>100.0</v>
      </c>
      <c r="J366" s="325">
        <f t="shared" si="16"/>
        <v>0.003570968962</v>
      </c>
      <c r="K366" s="326">
        <f t="shared" si="18"/>
        <v>2.79725902</v>
      </c>
      <c r="L366" s="327">
        <f t="shared" si="4"/>
        <v>4.180010377</v>
      </c>
      <c r="M366" s="321" t="str">
        <f t="shared" si="5"/>
        <v>tam2140</v>
      </c>
      <c r="N366" s="176">
        <f>IFERROR(__xludf.DUMMYFUNCTION("""COMPUTED_VALUE"""),2.0)</f>
        <v>2</v>
      </c>
      <c r="O366" s="176"/>
      <c r="P366" s="176"/>
      <c r="Q366" s="176"/>
      <c r="R366" s="176"/>
      <c r="S366" s="176"/>
      <c r="T366" s="176"/>
      <c r="U366" s="176"/>
      <c r="V366" s="176"/>
      <c r="W366" s="176"/>
      <c r="X366" s="176"/>
      <c r="Y366" s="176"/>
      <c r="Z366" s="176"/>
    </row>
    <row r="367">
      <c r="A367" s="226" t="s">
        <v>28</v>
      </c>
      <c r="B367" s="226" t="s">
        <v>5</v>
      </c>
      <c r="C367" s="250" t="s">
        <v>3365</v>
      </c>
      <c r="D367" s="268" t="s">
        <v>495</v>
      </c>
      <c r="E367" s="251">
        <v>44159.0</v>
      </c>
      <c r="F367" s="368" t="s">
        <v>496</v>
      </c>
      <c r="G367" s="268">
        <v>30.0</v>
      </c>
      <c r="H367" s="236">
        <v>70.0</v>
      </c>
      <c r="I367" s="236">
        <v>50.0</v>
      </c>
      <c r="J367" s="325">
        <f t="shared" si="16"/>
        <v>0.001782119719</v>
      </c>
      <c r="K367" s="326">
        <f t="shared" si="18"/>
        <v>1.39599378</v>
      </c>
      <c r="L367" s="327">
        <f t="shared" si="4"/>
        <v>4.180010377</v>
      </c>
      <c r="M367" s="321" t="str">
        <f t="shared" si="5"/>
        <v>tam2140</v>
      </c>
      <c r="N367" s="176">
        <f>IFERROR(__xludf.DUMMYFUNCTION("""COMPUTED_VALUE"""),3.0)</f>
        <v>3</v>
      </c>
      <c r="O367" s="176"/>
      <c r="P367" s="176"/>
      <c r="Q367" s="176"/>
      <c r="R367" s="176"/>
      <c r="S367" s="176"/>
      <c r="T367" s="176"/>
      <c r="U367" s="176"/>
      <c r="V367" s="176"/>
      <c r="W367" s="176"/>
      <c r="X367" s="176"/>
      <c r="Y367" s="176"/>
      <c r="Z367" s="176"/>
    </row>
    <row r="368">
      <c r="A368" s="226" t="s">
        <v>28</v>
      </c>
      <c r="B368" s="226" t="s">
        <v>590</v>
      </c>
      <c r="C368" s="250" t="s">
        <v>3339</v>
      </c>
      <c r="D368" s="268" t="s">
        <v>495</v>
      </c>
      <c r="E368" s="251">
        <v>44159.0</v>
      </c>
      <c r="F368" s="368" t="s">
        <v>496</v>
      </c>
      <c r="G368" s="268">
        <v>20.0</v>
      </c>
      <c r="H368" s="236">
        <v>60.0</v>
      </c>
      <c r="I368" s="236">
        <v>30.0</v>
      </c>
      <c r="J368" s="325">
        <f t="shared" si="16"/>
        <v>0.001283215058</v>
      </c>
      <c r="K368" s="326">
        <f t="shared" si="18"/>
        <v>1.005185129</v>
      </c>
      <c r="L368" s="327">
        <f t="shared" si="4"/>
        <v>4.180010377</v>
      </c>
      <c r="M368" s="321" t="str">
        <f t="shared" si="5"/>
        <v>tam2140</v>
      </c>
      <c r="N368" s="176">
        <f>IFERROR(__xludf.DUMMYFUNCTION("""COMPUTED_VALUE"""),4.0)</f>
        <v>4</v>
      </c>
      <c r="O368" s="176"/>
      <c r="P368" s="176"/>
      <c r="Q368" s="176"/>
      <c r="R368" s="176"/>
      <c r="S368" s="176"/>
      <c r="T368" s="176"/>
      <c r="U368" s="176"/>
      <c r="V368" s="176"/>
      <c r="W368" s="176"/>
      <c r="X368" s="176"/>
      <c r="Y368" s="176"/>
      <c r="Z368" s="176"/>
    </row>
    <row r="369">
      <c r="A369" s="226" t="s">
        <v>28</v>
      </c>
      <c r="B369" s="226" t="s">
        <v>5</v>
      </c>
      <c r="C369" s="250" t="s">
        <v>3383</v>
      </c>
      <c r="D369" s="268" t="s">
        <v>495</v>
      </c>
      <c r="E369" s="251">
        <v>44161.0</v>
      </c>
      <c r="F369" s="368" t="s">
        <v>496</v>
      </c>
      <c r="G369" s="268">
        <v>30.0</v>
      </c>
      <c r="H369" s="236">
        <v>60.0</v>
      </c>
      <c r="I369" s="236">
        <v>30.0</v>
      </c>
      <c r="J369" s="325">
        <f t="shared" si="16"/>
        <v>0.001391700814</v>
      </c>
      <c r="K369" s="326">
        <f t="shared" si="18"/>
        <v>1.090165637</v>
      </c>
      <c r="L369" s="327">
        <f t="shared" si="4"/>
        <v>4.180010377</v>
      </c>
      <c r="M369" s="321" t="str">
        <f t="shared" si="5"/>
        <v>tam2140</v>
      </c>
      <c r="N369" s="176">
        <f>IFERROR(__xludf.DUMMYFUNCTION("""COMPUTED_VALUE"""),5.0)</f>
        <v>5</v>
      </c>
      <c r="O369" s="176"/>
      <c r="P369" s="176"/>
      <c r="Q369" s="176"/>
      <c r="R369" s="176"/>
      <c r="S369" s="176"/>
      <c r="T369" s="176"/>
      <c r="U369" s="176"/>
      <c r="V369" s="176"/>
      <c r="W369" s="176"/>
      <c r="X369" s="176"/>
      <c r="Y369" s="176"/>
      <c r="Z369" s="176"/>
    </row>
    <row r="370">
      <c r="A370" s="226" t="s">
        <v>28</v>
      </c>
      <c r="B370" s="226" t="s">
        <v>519</v>
      </c>
      <c r="C370" s="250" t="s">
        <v>3509</v>
      </c>
      <c r="D370" s="268" t="s">
        <v>495</v>
      </c>
      <c r="E370" s="251">
        <v>44161.0</v>
      </c>
      <c r="F370" s="368" t="s">
        <v>496</v>
      </c>
      <c r="G370" s="268">
        <v>100.0</v>
      </c>
      <c r="H370" s="236">
        <v>100.0</v>
      </c>
      <c r="I370" s="236">
        <v>100.0</v>
      </c>
      <c r="J370" s="325">
        <f t="shared" si="16"/>
        <v>0.003570968962</v>
      </c>
      <c r="K370" s="326">
        <f t="shared" si="18"/>
        <v>2.79725902</v>
      </c>
      <c r="L370" s="327">
        <f t="shared" si="4"/>
        <v>4.180010377</v>
      </c>
      <c r="M370" s="321" t="str">
        <f t="shared" si="5"/>
        <v>tam2140</v>
      </c>
      <c r="N370" s="176">
        <f>IFERROR(__xludf.DUMMYFUNCTION("""COMPUTED_VALUE"""),6.0)</f>
        <v>6</v>
      </c>
      <c r="O370" s="176"/>
      <c r="P370" s="176"/>
      <c r="Q370" s="176"/>
      <c r="R370" s="176"/>
      <c r="S370" s="176"/>
      <c r="T370" s="176"/>
      <c r="U370" s="176"/>
      <c r="V370" s="176"/>
      <c r="W370" s="176"/>
      <c r="X370" s="176"/>
      <c r="Y370" s="176"/>
      <c r="Z370" s="176"/>
    </row>
    <row r="371">
      <c r="A371" s="226" t="s">
        <v>28</v>
      </c>
      <c r="B371" s="226" t="s">
        <v>868</v>
      </c>
      <c r="C371" s="250" t="s">
        <v>3432</v>
      </c>
      <c r="D371" s="268" t="s">
        <v>495</v>
      </c>
      <c r="E371" s="251">
        <v>44161.0</v>
      </c>
      <c r="F371" s="368" t="s">
        <v>496</v>
      </c>
      <c r="G371" s="268">
        <v>150.0</v>
      </c>
      <c r="H371" s="236">
        <v>80.0</v>
      </c>
      <c r="I371" s="236">
        <v>100.0</v>
      </c>
      <c r="J371" s="325">
        <f t="shared" si="16"/>
        <v>0.003899790991</v>
      </c>
      <c r="K371" s="326">
        <f t="shared" si="18"/>
        <v>3.054836276</v>
      </c>
      <c r="L371" s="327">
        <f t="shared" si="4"/>
        <v>4.180010377</v>
      </c>
      <c r="M371" s="321" t="str">
        <f t="shared" si="5"/>
        <v>tam2140</v>
      </c>
      <c r="N371" s="176">
        <f>IFERROR(__xludf.DUMMYFUNCTION("""COMPUTED_VALUE"""),7.0)</f>
        <v>7</v>
      </c>
      <c r="O371" s="176"/>
      <c r="P371" s="176"/>
      <c r="Q371" s="176"/>
      <c r="R371" s="176"/>
      <c r="S371" s="176"/>
      <c r="T371" s="176"/>
      <c r="U371" s="176"/>
      <c r="V371" s="176"/>
      <c r="W371" s="176"/>
      <c r="X371" s="176"/>
      <c r="Y371" s="176"/>
      <c r="Z371" s="176"/>
    </row>
    <row r="372">
      <c r="A372" s="226" t="s">
        <v>28</v>
      </c>
      <c r="B372" s="226" t="s">
        <v>10</v>
      </c>
      <c r="C372" s="250" t="s">
        <v>3510</v>
      </c>
      <c r="D372" s="268" t="s">
        <v>495</v>
      </c>
      <c r="E372" s="251">
        <v>44162.0</v>
      </c>
      <c r="F372" s="368" t="s">
        <v>496</v>
      </c>
      <c r="G372" s="268">
        <v>100.0</v>
      </c>
      <c r="H372" s="236">
        <v>100.0</v>
      </c>
      <c r="I372" s="236">
        <v>100.0</v>
      </c>
      <c r="J372" s="325">
        <f t="shared" si="16"/>
        <v>0.003570968962</v>
      </c>
      <c r="K372" s="326">
        <f t="shared" si="18"/>
        <v>2.79725902</v>
      </c>
      <c r="L372" s="327">
        <f t="shared" si="4"/>
        <v>4.180010377</v>
      </c>
      <c r="M372" s="321" t="str">
        <f t="shared" si="5"/>
        <v>tam2140</v>
      </c>
      <c r="N372" s="176">
        <f>IFERROR(__xludf.DUMMYFUNCTION("""COMPUTED_VALUE"""),8.0)</f>
        <v>8</v>
      </c>
      <c r="O372" s="176"/>
      <c r="P372" s="176"/>
      <c r="Q372" s="176"/>
      <c r="R372" s="176"/>
      <c r="S372" s="176"/>
      <c r="T372" s="176"/>
      <c r="U372" s="176"/>
      <c r="V372" s="176"/>
      <c r="W372" s="176"/>
      <c r="X372" s="176"/>
      <c r="Y372" s="176"/>
      <c r="Z372" s="176"/>
    </row>
    <row r="373">
      <c r="A373" s="226" t="s">
        <v>28</v>
      </c>
      <c r="B373" s="226" t="s">
        <v>10</v>
      </c>
      <c r="C373" s="250" t="s">
        <v>3345</v>
      </c>
      <c r="D373" s="268" t="s">
        <v>495</v>
      </c>
      <c r="E373" s="251">
        <v>44163.0</v>
      </c>
      <c r="F373" s="368" t="s">
        <v>496</v>
      </c>
      <c r="G373" s="268">
        <v>40.0</v>
      </c>
      <c r="H373" s="236">
        <v>30.0</v>
      </c>
      <c r="I373" s="236">
        <v>30.0</v>
      </c>
      <c r="J373" s="325">
        <f t="shared" si="16"/>
        <v>0.001179776444</v>
      </c>
      <c r="K373" s="326">
        <f t="shared" si="18"/>
        <v>0.9241582148</v>
      </c>
      <c r="L373" s="327">
        <f t="shared" si="4"/>
        <v>4.180010377</v>
      </c>
      <c r="M373" s="321" t="str">
        <f t="shared" si="5"/>
        <v>tam2140</v>
      </c>
      <c r="N373" s="176">
        <f>IFERROR(__xludf.DUMMYFUNCTION("""COMPUTED_VALUE"""),9.0)</f>
        <v>9</v>
      </c>
      <c r="O373" s="176"/>
      <c r="P373" s="176"/>
      <c r="Q373" s="176"/>
      <c r="R373" s="176"/>
      <c r="S373" s="176"/>
      <c r="T373" s="176"/>
      <c r="U373" s="176"/>
      <c r="V373" s="176"/>
      <c r="W373" s="176"/>
      <c r="X373" s="176"/>
      <c r="Y373" s="176"/>
      <c r="Z373" s="176"/>
    </row>
    <row r="374">
      <c r="A374" s="226" t="s">
        <v>28</v>
      </c>
      <c r="B374" s="226" t="s">
        <v>18</v>
      </c>
      <c r="C374" s="250" t="s">
        <v>3347</v>
      </c>
      <c r="D374" s="268" t="s">
        <v>495</v>
      </c>
      <c r="E374" s="361">
        <v>44166.0</v>
      </c>
      <c r="F374" s="250" t="s">
        <v>496</v>
      </c>
      <c r="G374" s="171">
        <v>20.0</v>
      </c>
      <c r="H374" s="171">
        <v>60.0</v>
      </c>
      <c r="I374" s="171">
        <v>40.0</v>
      </c>
      <c r="J374" s="325">
        <f t="shared" si="16"/>
        <v>0.001425022823</v>
      </c>
      <c r="K374" s="326">
        <f t="shared" si="18"/>
        <v>1.116267878</v>
      </c>
      <c r="L374" s="327">
        <f t="shared" si="4"/>
        <v>4.180010377</v>
      </c>
      <c r="M374" s="321" t="str">
        <f t="shared" si="5"/>
        <v>tam2140</v>
      </c>
      <c r="N374" s="176">
        <f>IFERROR(__xludf.DUMMYFUNCTION("""COMPUTED_VALUE"""),10.0)</f>
        <v>10</v>
      </c>
      <c r="O374" s="176"/>
      <c r="P374" s="176"/>
      <c r="Q374" s="176"/>
      <c r="R374" s="176"/>
      <c r="S374" s="176"/>
      <c r="T374" s="176"/>
      <c r="U374" s="176"/>
      <c r="V374" s="176"/>
      <c r="W374" s="176"/>
      <c r="X374" s="176"/>
      <c r="Y374" s="176"/>
      <c r="Z374" s="176"/>
    </row>
    <row r="375">
      <c r="A375" s="226" t="s">
        <v>28</v>
      </c>
      <c r="B375" s="226" t="s">
        <v>18</v>
      </c>
      <c r="C375" s="250" t="s">
        <v>3348</v>
      </c>
      <c r="D375" s="268" t="s">
        <v>495</v>
      </c>
      <c r="E375" s="361">
        <v>44166.0</v>
      </c>
      <c r="F375" s="250" t="s">
        <v>496</v>
      </c>
      <c r="G375" s="171">
        <v>30.0</v>
      </c>
      <c r="H375" s="171">
        <v>60.0</v>
      </c>
      <c r="I375" s="171">
        <v>40.0</v>
      </c>
      <c r="J375" s="325">
        <f t="shared" si="16"/>
        <v>0.001533508579</v>
      </c>
      <c r="K375" s="326">
        <f t="shared" si="18"/>
        <v>1.201248387</v>
      </c>
      <c r="L375" s="327">
        <f t="shared" si="4"/>
        <v>4.180010377</v>
      </c>
      <c r="M375" s="321" t="str">
        <f t="shared" si="5"/>
        <v>tam2140</v>
      </c>
      <c r="N375" s="176">
        <f>IFERROR(__xludf.DUMMYFUNCTION("""COMPUTED_VALUE"""),11.0)</f>
        <v>11</v>
      </c>
      <c r="O375" s="176"/>
      <c r="P375" s="176"/>
      <c r="Q375" s="176"/>
      <c r="R375" s="176"/>
      <c r="S375" s="176"/>
      <c r="T375" s="176"/>
      <c r="U375" s="176"/>
      <c r="V375" s="176"/>
      <c r="W375" s="176"/>
      <c r="X375" s="176"/>
      <c r="Y375" s="176"/>
      <c r="Z375" s="176"/>
    </row>
    <row r="376">
      <c r="A376" s="226" t="s">
        <v>28</v>
      </c>
      <c r="B376" s="226" t="s">
        <v>590</v>
      </c>
      <c r="C376" s="250" t="s">
        <v>3350</v>
      </c>
      <c r="D376" s="268" t="s">
        <v>495</v>
      </c>
      <c r="E376" s="361">
        <v>44166.0</v>
      </c>
      <c r="F376" s="250" t="s">
        <v>496</v>
      </c>
      <c r="G376" s="171">
        <v>20.0</v>
      </c>
      <c r="H376" s="171">
        <v>60.0</v>
      </c>
      <c r="I376" s="171">
        <v>40.0</v>
      </c>
      <c r="J376" s="325">
        <f t="shared" si="16"/>
        <v>0.001425022823</v>
      </c>
      <c r="K376" s="326">
        <f t="shared" si="18"/>
        <v>1.116267878</v>
      </c>
      <c r="L376" s="327">
        <f t="shared" si="4"/>
        <v>4.180010377</v>
      </c>
      <c r="M376" s="321" t="str">
        <f t="shared" si="5"/>
        <v>tam2140</v>
      </c>
      <c r="N376" s="176">
        <f>IFERROR(__xludf.DUMMYFUNCTION("""COMPUTED_VALUE"""),12.0)</f>
        <v>12</v>
      </c>
      <c r="O376" s="176"/>
      <c r="P376" s="176"/>
      <c r="Q376" s="176"/>
      <c r="R376" s="176"/>
      <c r="S376" s="176"/>
      <c r="T376" s="176"/>
      <c r="U376" s="176"/>
      <c r="V376" s="176"/>
      <c r="W376" s="176"/>
      <c r="X376" s="176"/>
      <c r="Y376" s="176"/>
      <c r="Z376" s="176"/>
    </row>
    <row r="377">
      <c r="A377" s="226" t="s">
        <v>28</v>
      </c>
      <c r="B377" s="226" t="s">
        <v>5</v>
      </c>
      <c r="C377" s="250" t="s">
        <v>3390</v>
      </c>
      <c r="D377" s="268" t="s">
        <v>495</v>
      </c>
      <c r="E377" s="361">
        <v>44167.0</v>
      </c>
      <c r="F377" s="250" t="s">
        <v>496</v>
      </c>
      <c r="G377" s="171">
        <v>20.0</v>
      </c>
      <c r="H377" s="171">
        <v>60.0</v>
      </c>
      <c r="I377" s="171">
        <v>40.0</v>
      </c>
      <c r="J377" s="325">
        <f t="shared" si="16"/>
        <v>0.001425022823</v>
      </c>
      <c r="K377" s="326">
        <f t="shared" si="18"/>
        <v>1.116267878</v>
      </c>
      <c r="L377" s="327">
        <f t="shared" si="4"/>
        <v>4.180010377</v>
      </c>
      <c r="M377" s="321" t="str">
        <f t="shared" si="5"/>
        <v>tam2140</v>
      </c>
      <c r="N377" s="176">
        <f>IFERROR(__xludf.DUMMYFUNCTION("""COMPUTED_VALUE"""),13.0)</f>
        <v>13</v>
      </c>
      <c r="O377" s="176"/>
      <c r="P377" s="176"/>
      <c r="Q377" s="176"/>
      <c r="R377" s="176"/>
      <c r="S377" s="176"/>
      <c r="T377" s="176"/>
      <c r="U377" s="176"/>
      <c r="V377" s="176"/>
      <c r="W377" s="176"/>
      <c r="X377" s="176"/>
      <c r="Y377" s="176"/>
      <c r="Z377" s="176"/>
    </row>
    <row r="378">
      <c r="A378" s="226" t="s">
        <v>28</v>
      </c>
      <c r="B378" s="226" t="s">
        <v>25</v>
      </c>
      <c r="C378" s="250" t="s">
        <v>3353</v>
      </c>
      <c r="D378" s="268" t="s">
        <v>495</v>
      </c>
      <c r="E378" s="361">
        <v>44168.0</v>
      </c>
      <c r="F378" s="250" t="s">
        <v>496</v>
      </c>
      <c r="G378" s="171">
        <v>30.0</v>
      </c>
      <c r="H378" s="171">
        <v>30.0</v>
      </c>
      <c r="I378" s="171">
        <v>25.0</v>
      </c>
      <c r="J378" s="325">
        <f t="shared" si="16"/>
        <v>0.001000386806</v>
      </c>
      <c r="K378" s="326">
        <f t="shared" si="18"/>
        <v>0.7836363313</v>
      </c>
      <c r="L378" s="327">
        <f t="shared" si="4"/>
        <v>4.180010377</v>
      </c>
      <c r="M378" s="321" t="str">
        <f t="shared" si="5"/>
        <v>tam2140</v>
      </c>
      <c r="N378" s="176">
        <f>IFERROR(__xludf.DUMMYFUNCTION("""COMPUTED_VALUE"""),14.0)</f>
        <v>14</v>
      </c>
      <c r="O378" s="176"/>
      <c r="P378" s="176"/>
      <c r="Q378" s="176"/>
      <c r="R378" s="176"/>
      <c r="S378" s="176"/>
      <c r="T378" s="176"/>
      <c r="U378" s="176"/>
      <c r="V378" s="176"/>
      <c r="W378" s="176"/>
      <c r="X378" s="176"/>
      <c r="Y378" s="176"/>
      <c r="Z378" s="176"/>
    </row>
    <row r="379">
      <c r="A379" s="226" t="s">
        <v>28</v>
      </c>
      <c r="B379" s="226" t="s">
        <v>10</v>
      </c>
      <c r="C379" s="250" t="s">
        <v>3511</v>
      </c>
      <c r="D379" s="268" t="s">
        <v>495</v>
      </c>
      <c r="E379" s="361">
        <v>44169.0</v>
      </c>
      <c r="F379" s="250" t="s">
        <v>496</v>
      </c>
      <c r="G379" s="171">
        <v>45.0</v>
      </c>
      <c r="H379" s="171">
        <v>50.0</v>
      </c>
      <c r="I379" s="171">
        <v>50.0</v>
      </c>
      <c r="J379" s="325">
        <f t="shared" si="16"/>
        <v>0.001731241603</v>
      </c>
      <c r="K379" s="326">
        <f t="shared" si="18"/>
        <v>1.356139256</v>
      </c>
      <c r="L379" s="327">
        <f t="shared" si="4"/>
        <v>4.180010377</v>
      </c>
      <c r="M379" s="321" t="str">
        <f t="shared" si="5"/>
        <v>tam2140</v>
      </c>
      <c r="N379" s="176">
        <f>IFERROR(__xludf.DUMMYFUNCTION("""COMPUTED_VALUE"""),15.0)</f>
        <v>15</v>
      </c>
      <c r="O379" s="176"/>
      <c r="P379" s="176"/>
      <c r="Q379" s="176"/>
      <c r="R379" s="176"/>
      <c r="S379" s="176"/>
      <c r="T379" s="176"/>
      <c r="U379" s="176"/>
      <c r="V379" s="176"/>
      <c r="W379" s="176"/>
      <c r="X379" s="176"/>
      <c r="Y379" s="176"/>
      <c r="Z379" s="176"/>
    </row>
    <row r="380">
      <c r="A380" s="226" t="s">
        <v>28</v>
      </c>
      <c r="B380" s="226" t="s">
        <v>10</v>
      </c>
      <c r="C380" s="250" t="s">
        <v>3356</v>
      </c>
      <c r="D380" s="268" t="s">
        <v>495</v>
      </c>
      <c r="E380" s="361">
        <v>44169.0</v>
      </c>
      <c r="F380" s="250" t="s">
        <v>496</v>
      </c>
      <c r="G380" s="171">
        <v>45.0</v>
      </c>
      <c r="H380" s="171">
        <v>45.0</v>
      </c>
      <c r="I380" s="171">
        <v>40.0</v>
      </c>
      <c r="J380" s="325">
        <f t="shared" si="16"/>
        <v>0.00153603215</v>
      </c>
      <c r="K380" s="326">
        <f t="shared" si="18"/>
        <v>1.203225184</v>
      </c>
      <c r="L380" s="327">
        <f t="shared" si="4"/>
        <v>4.180010377</v>
      </c>
      <c r="M380" s="321" t="str">
        <f t="shared" si="5"/>
        <v>tam2140</v>
      </c>
      <c r="N380" s="176">
        <f>IFERROR(__xludf.DUMMYFUNCTION("""COMPUTED_VALUE"""),16.0)</f>
        <v>16</v>
      </c>
      <c r="O380" s="176"/>
      <c r="P380" s="176"/>
      <c r="Q380" s="176"/>
      <c r="R380" s="176"/>
      <c r="S380" s="176"/>
      <c r="T380" s="176"/>
      <c r="U380" s="176"/>
      <c r="V380" s="176"/>
      <c r="W380" s="176"/>
      <c r="X380" s="176"/>
      <c r="Y380" s="176"/>
      <c r="Z380" s="176"/>
    </row>
    <row r="381">
      <c r="A381" s="226" t="s">
        <v>28</v>
      </c>
      <c r="B381" s="226" t="s">
        <v>5</v>
      </c>
      <c r="C381" s="250" t="s">
        <v>3377</v>
      </c>
      <c r="D381" s="268" t="s">
        <v>495</v>
      </c>
      <c r="E381" s="361">
        <v>44169.0</v>
      </c>
      <c r="F381" s="250" t="s">
        <v>496</v>
      </c>
      <c r="G381" s="171">
        <v>45.0</v>
      </c>
      <c r="H381" s="171">
        <v>45.0</v>
      </c>
      <c r="I381" s="171">
        <v>50.0</v>
      </c>
      <c r="J381" s="325">
        <f t="shared" si="16"/>
        <v>0.001677839916</v>
      </c>
      <c r="K381" s="326">
        <f t="shared" si="18"/>
        <v>1.314307934</v>
      </c>
      <c r="L381" s="327">
        <f t="shared" si="4"/>
        <v>4.180010377</v>
      </c>
      <c r="M381" s="321" t="str">
        <f t="shared" si="5"/>
        <v>tam2140</v>
      </c>
      <c r="N381" s="176">
        <f>IFERROR(__xludf.DUMMYFUNCTION("""COMPUTED_VALUE"""),17.0)</f>
        <v>17</v>
      </c>
      <c r="O381" s="176"/>
      <c r="P381" s="176"/>
      <c r="Q381" s="176"/>
      <c r="R381" s="176"/>
      <c r="S381" s="176"/>
      <c r="T381" s="176"/>
      <c r="U381" s="176"/>
      <c r="V381" s="176"/>
      <c r="W381" s="176"/>
      <c r="X381" s="176"/>
      <c r="Y381" s="176"/>
      <c r="Z381" s="176"/>
    </row>
    <row r="382">
      <c r="A382" s="240" t="s">
        <v>28</v>
      </c>
      <c r="B382" s="240" t="s">
        <v>534</v>
      </c>
      <c r="C382" s="221" t="s">
        <v>781</v>
      </c>
      <c r="D382" s="336"/>
      <c r="E382" s="340"/>
      <c r="F382" s="254"/>
      <c r="G382" s="312"/>
      <c r="H382" s="222"/>
      <c r="I382" s="222"/>
      <c r="J382" s="325">
        <f t="shared" si="16"/>
        <v>0</v>
      </c>
      <c r="K382" s="337">
        <f>-0.85*R382</f>
        <v>-23.68672547</v>
      </c>
      <c r="L382" s="327">
        <f t="shared" si="4"/>
        <v>4.180010377</v>
      </c>
      <c r="M382" s="321" t="str">
        <f t="shared" si="5"/>
        <v>tam2140</v>
      </c>
      <c r="N382" s="209">
        <f>IFERROR(__xludf.DUMMYFUNCTION("""COMPUTED_VALUE"""),18.0)</f>
        <v>18</v>
      </c>
      <c r="O382" s="209"/>
      <c r="P382" s="209"/>
      <c r="Q382" s="209"/>
      <c r="R382" s="209">
        <v>27.866735844582376</v>
      </c>
      <c r="S382" s="209"/>
      <c r="T382" s="209"/>
      <c r="U382" s="209"/>
      <c r="V382" s="209"/>
      <c r="W382" s="209"/>
      <c r="X382" s="209"/>
      <c r="Y382" s="176"/>
      <c r="Z382" s="176"/>
    </row>
    <row r="383">
      <c r="A383" s="226" t="s">
        <v>68</v>
      </c>
      <c r="B383" s="226" t="s">
        <v>10</v>
      </c>
      <c r="C383" s="250" t="s">
        <v>3491</v>
      </c>
      <c r="D383" s="268" t="s">
        <v>495</v>
      </c>
      <c r="E383" s="361">
        <v>44169.0</v>
      </c>
      <c r="F383" s="250" t="s">
        <v>496</v>
      </c>
      <c r="G383" s="171">
        <v>100.0</v>
      </c>
      <c r="H383" s="171">
        <v>90.0</v>
      </c>
      <c r="I383" s="171">
        <v>100.0</v>
      </c>
      <c r="J383" s="325">
        <f t="shared" si="16"/>
        <v>0.003464165587</v>
      </c>
      <c r="K383" s="326">
        <f t="shared" ref="K383:K402" si="19">J383*$J$1</f>
        <v>2.713596376</v>
      </c>
      <c r="L383" s="327">
        <f t="shared" si="4"/>
        <v>4.155375073</v>
      </c>
      <c r="M383" s="321" t="str">
        <f t="shared" si="5"/>
        <v>tylerdmace</v>
      </c>
      <c r="N383" s="176">
        <f>IFERROR(__xludf.DUMMYFUNCTION("""COMPUTED_VALUE"""),1.0)</f>
        <v>1</v>
      </c>
      <c r="O383" s="176"/>
      <c r="P383" s="176"/>
      <c r="Q383" s="176"/>
      <c r="R383" s="176"/>
      <c r="S383" s="176"/>
      <c r="T383" s="176"/>
      <c r="U383" s="176"/>
      <c r="V383" s="176"/>
      <c r="W383" s="176"/>
      <c r="X383" s="176"/>
      <c r="Y383" s="176"/>
      <c r="Z383" s="176"/>
    </row>
    <row r="384">
      <c r="A384" s="226" t="s">
        <v>68</v>
      </c>
      <c r="B384" s="226" t="s">
        <v>845</v>
      </c>
      <c r="C384" s="250" t="s">
        <v>3357</v>
      </c>
      <c r="D384" s="268" t="s">
        <v>495</v>
      </c>
      <c r="E384" s="361">
        <v>44169.0</v>
      </c>
      <c r="F384" s="250" t="s">
        <v>496</v>
      </c>
      <c r="G384" s="171">
        <v>60.0</v>
      </c>
      <c r="H384" s="171">
        <v>45.0</v>
      </c>
      <c r="I384" s="171">
        <v>50.0</v>
      </c>
      <c r="J384" s="325">
        <f t="shared" si="16"/>
        <v>0.001840568549</v>
      </c>
      <c r="K384" s="326">
        <f t="shared" si="19"/>
        <v>1.441778697</v>
      </c>
      <c r="L384" s="327">
        <f t="shared" si="4"/>
        <v>4.155375073</v>
      </c>
      <c r="M384" s="321" t="str">
        <f t="shared" si="5"/>
        <v>tylerdmace</v>
      </c>
      <c r="N384" s="176">
        <f>IFERROR(__xludf.DUMMYFUNCTION("""COMPUTED_VALUE"""),2.0)</f>
        <v>2</v>
      </c>
      <c r="O384" s="176"/>
      <c r="P384" s="176"/>
      <c r="Q384" s="176"/>
      <c r="R384" s="176"/>
      <c r="S384" s="176"/>
      <c r="T384" s="176"/>
      <c r="U384" s="176"/>
      <c r="V384" s="176"/>
      <c r="W384" s="176"/>
      <c r="X384" s="176"/>
      <c r="Y384" s="176"/>
      <c r="Z384" s="176"/>
    </row>
    <row r="385">
      <c r="A385" s="226" t="s">
        <v>71</v>
      </c>
      <c r="B385" s="226" t="s">
        <v>868</v>
      </c>
      <c r="C385" s="250" t="s">
        <v>3430</v>
      </c>
      <c r="D385" s="268" t="s">
        <v>495</v>
      </c>
      <c r="E385" s="251">
        <v>44160.0</v>
      </c>
      <c r="F385" s="368" t="s">
        <v>496</v>
      </c>
      <c r="G385" s="268">
        <v>50.0</v>
      </c>
      <c r="H385" s="236">
        <v>60.0</v>
      </c>
      <c r="I385" s="236">
        <v>50.0</v>
      </c>
      <c r="J385" s="325">
        <f t="shared" si="16"/>
        <v>0.001892287856</v>
      </c>
      <c r="K385" s="326">
        <f t="shared" si="19"/>
        <v>1.482292154</v>
      </c>
      <c r="L385" s="327">
        <f t="shared" si="4"/>
        <v>3.985414056</v>
      </c>
      <c r="M385" s="321" t="str">
        <f t="shared" si="5"/>
        <v>quartagiulio</v>
      </c>
      <c r="N385" s="176">
        <f>IFERROR(__xludf.DUMMYFUNCTION("""COMPUTED_VALUE"""),1.0)</f>
        <v>1</v>
      </c>
      <c r="O385" s="176"/>
      <c r="P385" s="176"/>
      <c r="Q385" s="176"/>
      <c r="R385" s="176"/>
      <c r="S385" s="176"/>
      <c r="T385" s="176"/>
      <c r="U385" s="176"/>
      <c r="V385" s="176"/>
      <c r="W385" s="176"/>
      <c r="X385" s="176"/>
      <c r="Y385" s="176"/>
      <c r="Z385" s="176"/>
    </row>
    <row r="386">
      <c r="A386" s="226" t="s">
        <v>71</v>
      </c>
      <c r="B386" s="226" t="s">
        <v>5</v>
      </c>
      <c r="C386" s="250" t="s">
        <v>3377</v>
      </c>
      <c r="D386" s="268" t="s">
        <v>495</v>
      </c>
      <c r="E386" s="361">
        <v>44169.0</v>
      </c>
      <c r="F386" s="250" t="s">
        <v>496</v>
      </c>
      <c r="G386" s="171">
        <v>45.0</v>
      </c>
      <c r="H386" s="171">
        <v>30.0</v>
      </c>
      <c r="I386" s="171">
        <v>50.0</v>
      </c>
      <c r="J386" s="325">
        <f t="shared" si="16"/>
        <v>0.001517634853</v>
      </c>
      <c r="K386" s="326">
        <f t="shared" si="19"/>
        <v>1.188813968</v>
      </c>
      <c r="L386" s="327">
        <f t="shared" si="4"/>
        <v>3.985414056</v>
      </c>
      <c r="M386" s="321" t="str">
        <f t="shared" si="5"/>
        <v>quartagiulio</v>
      </c>
      <c r="N386" s="176">
        <f>IFERROR(__xludf.DUMMYFUNCTION("""COMPUTED_VALUE"""),2.0)</f>
        <v>2</v>
      </c>
      <c r="O386" s="176"/>
      <c r="P386" s="176"/>
      <c r="Q386" s="176"/>
      <c r="R386" s="176"/>
      <c r="S386" s="176"/>
      <c r="T386" s="176"/>
      <c r="U386" s="176"/>
      <c r="V386" s="176"/>
      <c r="W386" s="176"/>
      <c r="X386" s="176"/>
      <c r="Y386" s="176"/>
      <c r="Z386" s="176"/>
    </row>
    <row r="387">
      <c r="A387" s="226" t="s">
        <v>71</v>
      </c>
      <c r="B387" s="226" t="s">
        <v>5</v>
      </c>
      <c r="C387" s="250" t="s">
        <v>3378</v>
      </c>
      <c r="D387" s="268" t="s">
        <v>495</v>
      </c>
      <c r="E387" s="361">
        <v>44169.0</v>
      </c>
      <c r="F387" s="250" t="s">
        <v>496</v>
      </c>
      <c r="G387" s="171">
        <v>45.0</v>
      </c>
      <c r="H387" s="171">
        <v>45.0</v>
      </c>
      <c r="I387" s="171">
        <v>50.0</v>
      </c>
      <c r="J387" s="325">
        <f t="shared" si="16"/>
        <v>0.001677839916</v>
      </c>
      <c r="K387" s="326">
        <f t="shared" si="19"/>
        <v>1.314307934</v>
      </c>
      <c r="L387" s="327">
        <f t="shared" si="4"/>
        <v>3.985414056</v>
      </c>
      <c r="M387" s="321" t="str">
        <f t="shared" si="5"/>
        <v>quartagiulio</v>
      </c>
      <c r="N387" s="176">
        <f>IFERROR(__xludf.DUMMYFUNCTION("""COMPUTED_VALUE"""),3.0)</f>
        <v>3</v>
      </c>
      <c r="O387" s="176"/>
      <c r="P387" s="176"/>
      <c r="Q387" s="176"/>
      <c r="R387" s="176"/>
      <c r="S387" s="176"/>
      <c r="T387" s="176"/>
      <c r="U387" s="176"/>
      <c r="V387" s="176"/>
      <c r="W387" s="176"/>
      <c r="X387" s="176"/>
      <c r="Y387" s="176"/>
      <c r="Z387" s="176"/>
    </row>
    <row r="388">
      <c r="A388" s="226" t="s">
        <v>72</v>
      </c>
      <c r="B388" s="226" t="s">
        <v>590</v>
      </c>
      <c r="C388" s="250" t="s">
        <v>3428</v>
      </c>
      <c r="D388" s="268" t="s">
        <v>495</v>
      </c>
      <c r="E388" s="251">
        <v>44159.0</v>
      </c>
      <c r="F388" s="368" t="s">
        <v>496</v>
      </c>
      <c r="G388" s="268">
        <v>100.0</v>
      </c>
      <c r="H388" s="236">
        <v>90.0</v>
      </c>
      <c r="I388" s="236">
        <v>100.0</v>
      </c>
      <c r="J388" s="325">
        <f t="shared" si="16"/>
        <v>0.003464165587</v>
      </c>
      <c r="K388" s="326">
        <f t="shared" si="19"/>
        <v>2.713596376</v>
      </c>
      <c r="L388" s="327">
        <f t="shared" si="4"/>
        <v>3.607698755</v>
      </c>
      <c r="M388" s="321" t="str">
        <f t="shared" si="5"/>
        <v>daithic</v>
      </c>
      <c r="N388" s="176">
        <f>IFERROR(__xludf.DUMMYFUNCTION("""COMPUTED_VALUE"""),1.0)</f>
        <v>1</v>
      </c>
      <c r="O388" s="176"/>
      <c r="P388" s="176"/>
      <c r="Q388" s="176"/>
      <c r="R388" s="176"/>
      <c r="S388" s="176"/>
      <c r="T388" s="176"/>
      <c r="U388" s="176"/>
      <c r="V388" s="176"/>
      <c r="W388" s="176"/>
      <c r="X388" s="176"/>
      <c r="Y388" s="176"/>
      <c r="Z388" s="176"/>
    </row>
    <row r="389">
      <c r="A389" s="226" t="s">
        <v>72</v>
      </c>
      <c r="B389" s="226" t="s">
        <v>5</v>
      </c>
      <c r="C389" s="250" t="s">
        <v>3340</v>
      </c>
      <c r="D389" s="268" t="s">
        <v>495</v>
      </c>
      <c r="E389" s="251">
        <v>44160.0</v>
      </c>
      <c r="F389" s="368" t="s">
        <v>496</v>
      </c>
      <c r="G389" s="268">
        <v>20.0</v>
      </c>
      <c r="H389" s="236">
        <v>60.0</v>
      </c>
      <c r="I389" s="236">
        <v>20.0</v>
      </c>
      <c r="J389" s="325">
        <f t="shared" si="16"/>
        <v>0.001141407292</v>
      </c>
      <c r="K389" s="326">
        <f t="shared" si="19"/>
        <v>0.894102379</v>
      </c>
      <c r="L389" s="327">
        <f t="shared" si="4"/>
        <v>3.607698755</v>
      </c>
      <c r="M389" s="321" t="str">
        <f t="shared" si="5"/>
        <v>daithic</v>
      </c>
      <c r="N389" s="176">
        <f>IFERROR(__xludf.DUMMYFUNCTION("""COMPUTED_VALUE"""),2.0)</f>
        <v>2</v>
      </c>
      <c r="O389" s="176"/>
      <c r="P389" s="176"/>
      <c r="Q389" s="176"/>
      <c r="R389" s="176"/>
      <c r="S389" s="176"/>
      <c r="T389" s="176"/>
      <c r="U389" s="176"/>
      <c r="V389" s="176"/>
      <c r="W389" s="176"/>
      <c r="X389" s="176"/>
      <c r="Y389" s="176"/>
      <c r="Z389" s="176"/>
    </row>
    <row r="390">
      <c r="A390" s="226" t="s">
        <v>26</v>
      </c>
      <c r="B390" s="226" t="s">
        <v>925</v>
      </c>
      <c r="C390" s="250" t="s">
        <v>3512</v>
      </c>
      <c r="D390" s="268" t="s">
        <v>495</v>
      </c>
      <c r="E390" s="251">
        <v>44160.0</v>
      </c>
      <c r="F390" s="368" t="s">
        <v>496</v>
      </c>
      <c r="G390" s="268">
        <v>100.0</v>
      </c>
      <c r="H390" s="236">
        <v>90.0</v>
      </c>
      <c r="I390" s="236">
        <v>80.0</v>
      </c>
      <c r="J390" s="325">
        <f t="shared" si="16"/>
        <v>0.003180550056</v>
      </c>
      <c r="K390" s="326">
        <f t="shared" si="19"/>
        <v>2.491430877</v>
      </c>
      <c r="L390" s="327">
        <f t="shared" si="4"/>
        <v>3.581596515</v>
      </c>
      <c r="M390" s="321" t="str">
        <f t="shared" si="5"/>
        <v>sgonzt</v>
      </c>
      <c r="N390" s="176">
        <f>IFERROR(__xludf.DUMMYFUNCTION("""COMPUTED_VALUE"""),1.0)</f>
        <v>1</v>
      </c>
      <c r="O390" s="176"/>
      <c r="P390" s="176"/>
      <c r="Q390" s="176"/>
      <c r="R390" s="176"/>
      <c r="S390" s="176"/>
      <c r="T390" s="176"/>
      <c r="U390" s="176"/>
      <c r="V390" s="176"/>
      <c r="W390" s="176"/>
      <c r="X390" s="176"/>
      <c r="Y390" s="176"/>
      <c r="Z390" s="176"/>
    </row>
    <row r="391">
      <c r="A391" s="226" t="s">
        <v>26</v>
      </c>
      <c r="B391" s="226" t="s">
        <v>519</v>
      </c>
      <c r="C391" s="250" t="s">
        <v>3359</v>
      </c>
      <c r="D391" s="268" t="s">
        <v>495</v>
      </c>
      <c r="E391" s="251">
        <v>44160.0</v>
      </c>
      <c r="F391" s="368" t="s">
        <v>521</v>
      </c>
      <c r="G391" s="268">
        <v>30.0</v>
      </c>
      <c r="H391" s="236">
        <v>60.0</v>
      </c>
      <c r="I391" s="236">
        <v>30.0</v>
      </c>
      <c r="J391" s="325">
        <f t="shared" si="16"/>
        <v>0.001391700814</v>
      </c>
      <c r="K391" s="326">
        <f t="shared" si="19"/>
        <v>1.090165637</v>
      </c>
      <c r="L391" s="327">
        <f t="shared" si="4"/>
        <v>3.581596515</v>
      </c>
      <c r="M391" s="321" t="str">
        <f t="shared" si="5"/>
        <v>sgonzt</v>
      </c>
      <c r="N391" s="176">
        <f>IFERROR(__xludf.DUMMYFUNCTION("""COMPUTED_VALUE"""),2.0)</f>
        <v>2</v>
      </c>
      <c r="O391" s="176"/>
      <c r="P391" s="176"/>
      <c r="Q391" s="176"/>
      <c r="R391" s="176"/>
      <c r="S391" s="176"/>
      <c r="T391" s="176"/>
      <c r="U391" s="176"/>
      <c r="V391" s="176"/>
      <c r="W391" s="176"/>
      <c r="X391" s="176"/>
      <c r="Y391" s="176"/>
      <c r="Z391" s="176"/>
    </row>
    <row r="392">
      <c r="A392" s="226" t="s">
        <v>22</v>
      </c>
      <c r="B392" s="226" t="s">
        <v>18</v>
      </c>
      <c r="C392" s="250" t="s">
        <v>3513</v>
      </c>
      <c r="D392" s="268" t="s">
        <v>495</v>
      </c>
      <c r="E392" s="251">
        <v>44165.0</v>
      </c>
      <c r="F392" s="368" t="s">
        <v>496</v>
      </c>
      <c r="G392" s="268">
        <v>100.0</v>
      </c>
      <c r="H392" s="236">
        <v>60.0</v>
      </c>
      <c r="I392" s="236">
        <v>50.0</v>
      </c>
      <c r="J392" s="325">
        <f t="shared" si="16"/>
        <v>0.002434716635</v>
      </c>
      <c r="K392" s="326">
        <f t="shared" si="19"/>
        <v>1.907194697</v>
      </c>
      <c r="L392" s="327">
        <f t="shared" si="4"/>
        <v>3.491331675</v>
      </c>
      <c r="M392" s="321" t="str">
        <f t="shared" si="5"/>
        <v>naynaysoo</v>
      </c>
      <c r="N392" s="176">
        <f>IFERROR(__xludf.DUMMYFUNCTION("""COMPUTED_VALUE"""),1.0)</f>
        <v>1</v>
      </c>
      <c r="O392" s="176"/>
      <c r="P392" s="176"/>
      <c r="Q392" s="176"/>
      <c r="R392" s="176"/>
      <c r="S392" s="176"/>
      <c r="T392" s="176"/>
      <c r="U392" s="176"/>
      <c r="V392" s="176"/>
      <c r="W392" s="176"/>
      <c r="X392" s="176"/>
      <c r="Y392" s="176"/>
      <c r="Z392" s="176"/>
    </row>
    <row r="393">
      <c r="A393" s="226" t="s">
        <v>22</v>
      </c>
      <c r="B393" s="226" t="s">
        <v>590</v>
      </c>
      <c r="C393" s="250" t="s">
        <v>3514</v>
      </c>
      <c r="D393" s="268" t="s">
        <v>495</v>
      </c>
      <c r="E393" s="251">
        <v>44165.0</v>
      </c>
      <c r="F393" s="368" t="s">
        <v>496</v>
      </c>
      <c r="G393" s="268">
        <v>1.0</v>
      </c>
      <c r="H393" s="236">
        <v>1.0</v>
      </c>
      <c r="I393" s="236">
        <v>10.0</v>
      </c>
      <c r="J393" s="325">
        <f t="shared" si="16"/>
        <v>0.0001633366785</v>
      </c>
      <c r="K393" s="326">
        <f t="shared" si="19"/>
        <v>0.1279470648</v>
      </c>
      <c r="L393" s="327">
        <f t="shared" si="4"/>
        <v>3.491331675</v>
      </c>
      <c r="M393" s="321" t="str">
        <f t="shared" si="5"/>
        <v>naynaysoo</v>
      </c>
      <c r="N393" s="176">
        <f>IFERROR(__xludf.DUMMYFUNCTION("""COMPUTED_VALUE"""),2.0)</f>
        <v>2</v>
      </c>
      <c r="O393" s="176"/>
      <c r="P393" s="176"/>
      <c r="Q393" s="176"/>
      <c r="R393" s="176"/>
      <c r="S393" s="176"/>
      <c r="T393" s="176"/>
      <c r="U393" s="176"/>
      <c r="V393" s="176"/>
      <c r="W393" s="176"/>
      <c r="X393" s="176"/>
      <c r="Y393" s="176"/>
      <c r="Z393" s="176"/>
    </row>
    <row r="394">
      <c r="A394" s="226" t="s">
        <v>22</v>
      </c>
      <c r="B394" s="226" t="s">
        <v>18</v>
      </c>
      <c r="C394" s="250" t="s">
        <v>3347</v>
      </c>
      <c r="D394" s="268" t="s">
        <v>495</v>
      </c>
      <c r="E394" s="361">
        <v>44166.0</v>
      </c>
      <c r="F394" s="250" t="s">
        <v>496</v>
      </c>
      <c r="G394" s="171">
        <v>60.0</v>
      </c>
      <c r="H394" s="171">
        <v>60.0</v>
      </c>
      <c r="I394" s="171">
        <v>40.0</v>
      </c>
      <c r="J394" s="325">
        <f t="shared" si="16"/>
        <v>0.001858965846</v>
      </c>
      <c r="K394" s="326">
        <f t="shared" si="19"/>
        <v>1.456189913</v>
      </c>
      <c r="L394" s="327">
        <f t="shared" si="4"/>
        <v>3.491331675</v>
      </c>
      <c r="M394" s="321" t="str">
        <f t="shared" si="5"/>
        <v>naynaysoo</v>
      </c>
      <c r="N394" s="176">
        <f>IFERROR(__xludf.DUMMYFUNCTION("""COMPUTED_VALUE"""),3.0)</f>
        <v>3</v>
      </c>
      <c r="O394" s="176"/>
      <c r="P394" s="176"/>
      <c r="Q394" s="176"/>
      <c r="R394" s="176"/>
      <c r="S394" s="176"/>
      <c r="T394" s="176"/>
      <c r="U394" s="176"/>
      <c r="V394" s="176"/>
      <c r="W394" s="176"/>
      <c r="X394" s="176"/>
      <c r="Y394" s="176"/>
      <c r="Z394" s="176"/>
    </row>
    <row r="395">
      <c r="A395" s="226" t="s">
        <v>41</v>
      </c>
      <c r="B395" s="226" t="s">
        <v>10</v>
      </c>
      <c r="C395" s="250" t="s">
        <v>3345</v>
      </c>
      <c r="D395" s="268" t="s">
        <v>495</v>
      </c>
      <c r="E395" s="251">
        <v>44163.0</v>
      </c>
      <c r="F395" s="368" t="s">
        <v>496</v>
      </c>
      <c r="G395" s="236">
        <v>100.0</v>
      </c>
      <c r="H395" s="236">
        <v>30.0</v>
      </c>
      <c r="I395" s="236">
        <v>30.0</v>
      </c>
      <c r="J395" s="325">
        <f t="shared" si="16"/>
        <v>0.001830690979</v>
      </c>
      <c r="K395" s="326">
        <f t="shared" si="19"/>
        <v>1.434041267</v>
      </c>
      <c r="L395" s="327">
        <f t="shared" si="4"/>
        <v>3.341235965</v>
      </c>
      <c r="M395" s="321" t="str">
        <f t="shared" si="5"/>
        <v>blairv</v>
      </c>
      <c r="N395" s="176">
        <f>IFERROR(__xludf.DUMMYFUNCTION("""COMPUTED_VALUE"""),1.0)</f>
        <v>1</v>
      </c>
      <c r="O395" s="176"/>
      <c r="P395" s="176"/>
      <c r="Q395" s="176"/>
      <c r="R395" s="176"/>
      <c r="S395" s="176"/>
      <c r="T395" s="176"/>
      <c r="U395" s="176"/>
      <c r="V395" s="176"/>
      <c r="W395" s="176"/>
      <c r="X395" s="176"/>
      <c r="Y395" s="176"/>
      <c r="Z395" s="176"/>
    </row>
    <row r="396">
      <c r="A396" s="226" t="s">
        <v>41</v>
      </c>
      <c r="B396" s="226" t="s">
        <v>10</v>
      </c>
      <c r="C396" s="250" t="s">
        <v>3355</v>
      </c>
      <c r="D396" s="268" t="s">
        <v>495</v>
      </c>
      <c r="E396" s="361">
        <v>44169.0</v>
      </c>
      <c r="F396" s="250" t="s">
        <v>496</v>
      </c>
      <c r="G396" s="171">
        <v>100.0</v>
      </c>
      <c r="H396" s="171">
        <v>60.0</v>
      </c>
      <c r="I396" s="171">
        <v>50.0</v>
      </c>
      <c r="J396" s="325">
        <f t="shared" si="16"/>
        <v>0.002434716635</v>
      </c>
      <c r="K396" s="326">
        <f t="shared" si="19"/>
        <v>1.907194697</v>
      </c>
      <c r="L396" s="327">
        <f t="shared" si="4"/>
        <v>3.341235965</v>
      </c>
      <c r="M396" s="321" t="str">
        <f t="shared" si="5"/>
        <v>blairv</v>
      </c>
      <c r="N396" s="176">
        <f>IFERROR(__xludf.DUMMYFUNCTION("""COMPUTED_VALUE"""),2.0)</f>
        <v>2</v>
      </c>
      <c r="O396" s="176"/>
      <c r="P396" s="176"/>
      <c r="Q396" s="176"/>
      <c r="R396" s="176"/>
      <c r="S396" s="176"/>
      <c r="T396" s="176"/>
      <c r="U396" s="176"/>
      <c r="V396" s="176"/>
      <c r="W396" s="176"/>
      <c r="X396" s="176"/>
      <c r="Y396" s="176"/>
      <c r="Z396" s="176"/>
    </row>
    <row r="397">
      <c r="A397" s="226" t="s">
        <v>39</v>
      </c>
      <c r="B397" s="226" t="s">
        <v>590</v>
      </c>
      <c r="C397" s="250" t="s">
        <v>3339</v>
      </c>
      <c r="D397" s="268" t="s">
        <v>495</v>
      </c>
      <c r="E397" s="251">
        <v>44159.0</v>
      </c>
      <c r="F397" s="368" t="s">
        <v>496</v>
      </c>
      <c r="G397" s="268">
        <v>20.0</v>
      </c>
      <c r="H397" s="236">
        <v>60.0</v>
      </c>
      <c r="I397" s="236">
        <v>30.0</v>
      </c>
      <c r="J397" s="325">
        <f t="shared" si="16"/>
        <v>0.001283215058</v>
      </c>
      <c r="K397" s="326">
        <f t="shared" si="19"/>
        <v>1.005185129</v>
      </c>
      <c r="L397" s="327">
        <f t="shared" si="4"/>
        <v>3.244394671</v>
      </c>
      <c r="M397" s="321" t="str">
        <f t="shared" si="5"/>
        <v>manualzuru</v>
      </c>
      <c r="N397" s="176">
        <f>IFERROR(__xludf.DUMMYFUNCTION("""COMPUTED_VALUE"""),1.0)</f>
        <v>1</v>
      </c>
      <c r="O397" s="176"/>
      <c r="P397" s="176"/>
      <c r="Q397" s="176"/>
      <c r="R397" s="176"/>
      <c r="S397" s="176"/>
      <c r="T397" s="176"/>
      <c r="U397" s="176"/>
      <c r="V397" s="176"/>
      <c r="W397" s="176"/>
      <c r="X397" s="176"/>
      <c r="Y397" s="176"/>
      <c r="Z397" s="176"/>
    </row>
    <row r="398">
      <c r="A398" s="226" t="s">
        <v>39</v>
      </c>
      <c r="B398" s="226" t="s">
        <v>5</v>
      </c>
      <c r="C398" s="250" t="s">
        <v>3340</v>
      </c>
      <c r="D398" s="268" t="s">
        <v>495</v>
      </c>
      <c r="E398" s="251">
        <v>44160.0</v>
      </c>
      <c r="F398" s="368" t="s">
        <v>496</v>
      </c>
      <c r="G398" s="268">
        <v>20.0</v>
      </c>
      <c r="H398" s="236">
        <v>60.0</v>
      </c>
      <c r="I398" s="236">
        <v>20.0</v>
      </c>
      <c r="J398" s="325">
        <f t="shared" si="16"/>
        <v>0.001141407292</v>
      </c>
      <c r="K398" s="326">
        <f t="shared" si="19"/>
        <v>0.894102379</v>
      </c>
      <c r="L398" s="327">
        <f t="shared" si="4"/>
        <v>3.244394671</v>
      </c>
      <c r="M398" s="321" t="str">
        <f t="shared" si="5"/>
        <v>manualzuru</v>
      </c>
      <c r="N398" s="176">
        <f>IFERROR(__xludf.DUMMYFUNCTION("""COMPUTED_VALUE"""),2.0)</f>
        <v>2</v>
      </c>
      <c r="O398" s="176"/>
      <c r="P398" s="176"/>
      <c r="Q398" s="176"/>
      <c r="R398" s="176"/>
      <c r="S398" s="176"/>
      <c r="T398" s="176"/>
      <c r="U398" s="176"/>
      <c r="V398" s="176"/>
      <c r="W398" s="176"/>
      <c r="X398" s="176"/>
      <c r="Y398" s="176"/>
      <c r="Z398" s="176"/>
    </row>
    <row r="399">
      <c r="A399" s="226" t="s">
        <v>39</v>
      </c>
      <c r="B399" s="226" t="s">
        <v>590</v>
      </c>
      <c r="C399" s="250" t="s">
        <v>3397</v>
      </c>
      <c r="D399" s="268" t="s">
        <v>495</v>
      </c>
      <c r="E399" s="361">
        <v>44166.0</v>
      </c>
      <c r="F399" s="250" t="s">
        <v>496</v>
      </c>
      <c r="G399" s="171">
        <v>60.0</v>
      </c>
      <c r="H399" s="171">
        <v>60.0</v>
      </c>
      <c r="I399" s="171">
        <v>30.0</v>
      </c>
      <c r="J399" s="325">
        <f t="shared" si="16"/>
        <v>0.001717158081</v>
      </c>
      <c r="K399" s="326">
        <f t="shared" si="19"/>
        <v>1.345107163</v>
      </c>
      <c r="L399" s="327">
        <f t="shared" si="4"/>
        <v>3.244394671</v>
      </c>
      <c r="M399" s="321" t="str">
        <f t="shared" si="5"/>
        <v>manualzuru</v>
      </c>
      <c r="N399" s="176">
        <f>IFERROR(__xludf.DUMMYFUNCTION("""COMPUTED_VALUE"""),3.0)</f>
        <v>3</v>
      </c>
      <c r="O399" s="176"/>
      <c r="P399" s="176"/>
      <c r="Q399" s="176"/>
      <c r="R399" s="176"/>
      <c r="S399" s="176"/>
      <c r="T399" s="176"/>
      <c r="U399" s="176"/>
      <c r="V399" s="176"/>
      <c r="W399" s="176"/>
      <c r="X399" s="176"/>
      <c r="Y399" s="176"/>
      <c r="Z399" s="176"/>
    </row>
    <row r="400">
      <c r="A400" s="226" t="s">
        <v>117</v>
      </c>
      <c r="B400" s="226" t="s">
        <v>845</v>
      </c>
      <c r="C400" s="250" t="s">
        <v>3515</v>
      </c>
      <c r="D400" s="268" t="s">
        <v>495</v>
      </c>
      <c r="E400" s="251">
        <v>44158.0</v>
      </c>
      <c r="F400" s="368" t="s">
        <v>496</v>
      </c>
      <c r="G400" s="236">
        <v>30.0</v>
      </c>
      <c r="H400" s="236">
        <v>180.0</v>
      </c>
      <c r="I400" s="236">
        <v>200.0</v>
      </c>
      <c r="J400" s="325">
        <f t="shared" si="16"/>
        <v>0.005084073325</v>
      </c>
      <c r="K400" s="326">
        <f t="shared" si="19"/>
        <v>3.982524105</v>
      </c>
      <c r="L400" s="327">
        <f t="shared" si="4"/>
        <v>3.092459782</v>
      </c>
      <c r="M400" s="321" t="str">
        <f t="shared" si="5"/>
        <v>gfriis</v>
      </c>
      <c r="N400" s="176">
        <f>IFERROR(__xludf.DUMMYFUNCTION("""COMPUTED_VALUE"""),1.0)</f>
        <v>1</v>
      </c>
      <c r="O400" s="176"/>
      <c r="P400" s="176"/>
      <c r="Q400" s="176"/>
      <c r="R400" s="176"/>
      <c r="S400" s="176"/>
      <c r="T400" s="176"/>
      <c r="U400" s="176"/>
      <c r="V400" s="176"/>
      <c r="W400" s="176"/>
      <c r="X400" s="176"/>
      <c r="Y400" s="176"/>
      <c r="Z400" s="176"/>
    </row>
    <row r="401">
      <c r="A401" s="226" t="s">
        <v>117</v>
      </c>
      <c r="B401" s="226" t="s">
        <v>845</v>
      </c>
      <c r="C401" s="250" t="s">
        <v>3516</v>
      </c>
      <c r="D401" s="268" t="s">
        <v>495</v>
      </c>
      <c r="E401" s="251">
        <v>44162.0</v>
      </c>
      <c r="F401" s="368" t="s">
        <v>496</v>
      </c>
      <c r="G401" s="236">
        <v>30.0</v>
      </c>
      <c r="H401" s="236">
        <v>100.0</v>
      </c>
      <c r="I401" s="236">
        <v>100.0</v>
      </c>
      <c r="J401" s="325">
        <f t="shared" si="16"/>
        <v>0.002811568671</v>
      </c>
      <c r="K401" s="326">
        <f t="shared" si="19"/>
        <v>2.202395459</v>
      </c>
      <c r="L401" s="327">
        <f t="shared" si="4"/>
        <v>3.092459782</v>
      </c>
      <c r="M401" s="321" t="str">
        <f t="shared" si="5"/>
        <v>gfriis</v>
      </c>
      <c r="N401" s="176">
        <f>IFERROR(__xludf.DUMMYFUNCTION("""COMPUTED_VALUE"""),2.0)</f>
        <v>2</v>
      </c>
      <c r="O401" s="176"/>
      <c r="P401" s="176"/>
      <c r="Q401" s="176"/>
      <c r="R401" s="176"/>
      <c r="S401" s="176"/>
      <c r="T401" s="176"/>
      <c r="U401" s="176"/>
      <c r="V401" s="176"/>
      <c r="W401" s="176"/>
      <c r="X401" s="176"/>
      <c r="Y401" s="176"/>
      <c r="Z401" s="176"/>
    </row>
    <row r="402">
      <c r="A402" s="343" t="s">
        <v>117</v>
      </c>
      <c r="B402" s="343" t="s">
        <v>845</v>
      </c>
      <c r="C402" s="254" t="s">
        <v>3517</v>
      </c>
      <c r="D402" s="336" t="s">
        <v>495</v>
      </c>
      <c r="E402" s="241" t="s">
        <v>3361</v>
      </c>
      <c r="F402" s="241" t="s">
        <v>3361</v>
      </c>
      <c r="G402" s="222"/>
      <c r="H402" s="222"/>
      <c r="I402" s="222"/>
      <c r="J402" s="325">
        <f t="shared" si="16"/>
        <v>0</v>
      </c>
      <c r="K402" s="326">
        <f t="shared" si="19"/>
        <v>0</v>
      </c>
      <c r="L402" s="327">
        <f t="shared" si="4"/>
        <v>3.092459782</v>
      </c>
      <c r="M402" s="321" t="str">
        <f t="shared" si="5"/>
        <v>gfriis</v>
      </c>
      <c r="N402" s="176">
        <f>IFERROR(__xludf.DUMMYFUNCTION("""COMPUTED_VALUE"""),3.0)</f>
        <v>3</v>
      </c>
      <c r="O402" s="176"/>
      <c r="P402" s="176"/>
      <c r="Q402" s="176"/>
      <c r="R402" s="176"/>
      <c r="S402" s="176"/>
      <c r="T402" s="176"/>
      <c r="U402" s="176"/>
      <c r="V402" s="176"/>
      <c r="W402" s="176"/>
      <c r="X402" s="176"/>
      <c r="Y402" s="176"/>
      <c r="Z402" s="176"/>
    </row>
    <row r="403">
      <c r="A403" s="343" t="s">
        <v>117</v>
      </c>
      <c r="B403" s="240" t="s">
        <v>534</v>
      </c>
      <c r="C403" s="221" t="s">
        <v>2008</v>
      </c>
      <c r="D403" s="336"/>
      <c r="E403" s="255"/>
      <c r="F403" s="254"/>
      <c r="G403" s="222"/>
      <c r="H403" s="222"/>
      <c r="I403" s="222"/>
      <c r="J403" s="325">
        <f t="shared" si="16"/>
        <v>0</v>
      </c>
      <c r="K403" s="337">
        <f>-0.5*R403</f>
        <v>-3.092459782</v>
      </c>
      <c r="L403" s="327">
        <f t="shared" si="4"/>
        <v>3.092459782</v>
      </c>
      <c r="M403" s="321" t="str">
        <f t="shared" si="5"/>
        <v>gfriis</v>
      </c>
      <c r="N403" s="209">
        <f>IFERROR(__xludf.DUMMYFUNCTION("""COMPUTED_VALUE"""),4.0)</f>
        <v>4</v>
      </c>
      <c r="O403" s="209"/>
      <c r="P403" s="209"/>
      <c r="Q403" s="209"/>
      <c r="R403" s="209">
        <v>6.18491956380338</v>
      </c>
      <c r="S403" s="209"/>
      <c r="T403" s="209"/>
      <c r="U403" s="209"/>
      <c r="V403" s="209"/>
      <c r="W403" s="209"/>
      <c r="X403" s="209"/>
      <c r="Y403" s="176"/>
      <c r="Z403" s="176"/>
    </row>
    <row r="404">
      <c r="A404" s="226" t="s">
        <v>43</v>
      </c>
      <c r="B404" s="226" t="s">
        <v>6</v>
      </c>
      <c r="C404" s="250" t="s">
        <v>3518</v>
      </c>
      <c r="D404" s="268" t="s">
        <v>495</v>
      </c>
      <c r="E404" s="251">
        <v>44159.0</v>
      </c>
      <c r="F404" s="368" t="s">
        <v>496</v>
      </c>
      <c r="G404" s="268">
        <v>40.0</v>
      </c>
      <c r="H404" s="236">
        <v>50.0</v>
      </c>
      <c r="I404" s="236">
        <v>50.0</v>
      </c>
      <c r="J404" s="325">
        <f t="shared" si="16"/>
        <v>0.001676998725</v>
      </c>
      <c r="K404" s="326">
        <f t="shared" ref="K404:K410" si="20">J404*$J$1</f>
        <v>1.313649001</v>
      </c>
      <c r="L404" s="327">
        <f t="shared" si="4"/>
        <v>2.827218614</v>
      </c>
      <c r="M404" s="321" t="str">
        <f t="shared" si="5"/>
        <v>markop</v>
      </c>
      <c r="N404" s="176">
        <f>IFERROR(__xludf.DUMMYFUNCTION("""COMPUTED_VALUE"""),1.0)</f>
        <v>1</v>
      </c>
      <c r="O404" s="176"/>
      <c r="P404" s="176"/>
      <c r="Q404" s="176"/>
      <c r="R404" s="176"/>
      <c r="S404" s="176"/>
      <c r="T404" s="176"/>
      <c r="U404" s="176"/>
      <c r="V404" s="176"/>
      <c r="W404" s="176"/>
      <c r="X404" s="176"/>
      <c r="Y404" s="176"/>
      <c r="Z404" s="176"/>
    </row>
    <row r="405">
      <c r="A405" s="226" t="s">
        <v>43</v>
      </c>
      <c r="B405" s="226" t="s">
        <v>1577</v>
      </c>
      <c r="C405" s="250" t="s">
        <v>3519</v>
      </c>
      <c r="D405" s="268" t="s">
        <v>495</v>
      </c>
      <c r="E405" s="251">
        <v>44159.0</v>
      </c>
      <c r="F405" s="368" t="s">
        <v>496</v>
      </c>
      <c r="G405" s="268">
        <v>100.0</v>
      </c>
      <c r="H405" s="236">
        <v>100.0</v>
      </c>
      <c r="I405" s="236">
        <v>100.0</v>
      </c>
      <c r="J405" s="325">
        <f t="shared" si="16"/>
        <v>0.003570968962</v>
      </c>
      <c r="K405" s="326">
        <f t="shared" si="20"/>
        <v>2.79725902</v>
      </c>
      <c r="L405" s="327">
        <f t="shared" si="4"/>
        <v>2.827218614</v>
      </c>
      <c r="M405" s="321" t="str">
        <f t="shared" si="5"/>
        <v>markop</v>
      </c>
      <c r="N405" s="176">
        <f>IFERROR(__xludf.DUMMYFUNCTION("""COMPUTED_VALUE"""),2.0)</f>
        <v>2</v>
      </c>
      <c r="O405" s="176"/>
      <c r="P405" s="176"/>
      <c r="Q405" s="176"/>
      <c r="R405" s="176"/>
      <c r="S405" s="176"/>
      <c r="T405" s="176"/>
      <c r="U405" s="176"/>
      <c r="V405" s="176"/>
      <c r="W405" s="176"/>
      <c r="X405" s="176"/>
      <c r="Y405" s="176"/>
      <c r="Z405" s="176"/>
    </row>
    <row r="406">
      <c r="A406" s="226" t="s">
        <v>43</v>
      </c>
      <c r="B406" s="226" t="s">
        <v>519</v>
      </c>
      <c r="C406" s="250" t="s">
        <v>3359</v>
      </c>
      <c r="D406" s="268" t="s">
        <v>495</v>
      </c>
      <c r="E406" s="251">
        <v>44160.0</v>
      </c>
      <c r="F406" s="368" t="s">
        <v>521</v>
      </c>
      <c r="G406" s="268">
        <v>30.0</v>
      </c>
      <c r="H406" s="236">
        <v>60.0</v>
      </c>
      <c r="I406" s="236">
        <v>30.0</v>
      </c>
      <c r="J406" s="325">
        <f t="shared" si="16"/>
        <v>0.001391700814</v>
      </c>
      <c r="K406" s="326">
        <f t="shared" si="20"/>
        <v>1.090165637</v>
      </c>
      <c r="L406" s="327">
        <f t="shared" si="4"/>
        <v>2.827218614</v>
      </c>
      <c r="M406" s="321" t="str">
        <f t="shared" si="5"/>
        <v>markop</v>
      </c>
      <c r="N406" s="176">
        <f>IFERROR(__xludf.DUMMYFUNCTION("""COMPUTED_VALUE"""),3.0)</f>
        <v>3</v>
      </c>
      <c r="O406" s="176"/>
      <c r="P406" s="176"/>
      <c r="Q406" s="176"/>
      <c r="R406" s="176"/>
      <c r="S406" s="176"/>
      <c r="T406" s="176"/>
      <c r="U406" s="176"/>
      <c r="V406" s="176"/>
      <c r="W406" s="176"/>
      <c r="X406" s="176"/>
      <c r="Y406" s="176"/>
      <c r="Z406" s="176"/>
    </row>
    <row r="407">
      <c r="A407" s="226" t="s">
        <v>43</v>
      </c>
      <c r="B407" s="226" t="s">
        <v>1577</v>
      </c>
      <c r="C407" s="250" t="s">
        <v>3520</v>
      </c>
      <c r="D407" s="268" t="s">
        <v>495</v>
      </c>
      <c r="E407" s="251">
        <v>44161.0</v>
      </c>
      <c r="F407" s="368" t="s">
        <v>496</v>
      </c>
      <c r="G407" s="268">
        <v>20.0</v>
      </c>
      <c r="H407" s="236">
        <v>100.0</v>
      </c>
      <c r="I407" s="236">
        <v>30.0</v>
      </c>
      <c r="J407" s="325">
        <f t="shared" si="16"/>
        <v>0.001710428558</v>
      </c>
      <c r="K407" s="326">
        <f t="shared" si="20"/>
        <v>1.339835704</v>
      </c>
      <c r="L407" s="327">
        <f t="shared" si="4"/>
        <v>2.827218614</v>
      </c>
      <c r="M407" s="321" t="str">
        <f t="shared" si="5"/>
        <v>markop</v>
      </c>
      <c r="N407" s="176">
        <f>IFERROR(__xludf.DUMMYFUNCTION("""COMPUTED_VALUE"""),4.0)</f>
        <v>4</v>
      </c>
      <c r="O407" s="176"/>
      <c r="P407" s="176"/>
      <c r="Q407" s="176"/>
      <c r="R407" s="176"/>
      <c r="S407" s="176"/>
      <c r="T407" s="176"/>
      <c r="U407" s="176"/>
      <c r="V407" s="176"/>
      <c r="W407" s="176"/>
      <c r="X407" s="176"/>
      <c r="Y407" s="176"/>
      <c r="Z407" s="176"/>
    </row>
    <row r="408">
      <c r="A408" s="226" t="s">
        <v>43</v>
      </c>
      <c r="B408" s="226" t="s">
        <v>6</v>
      </c>
      <c r="C408" s="250" t="s">
        <v>3521</v>
      </c>
      <c r="D408" s="268" t="s">
        <v>495</v>
      </c>
      <c r="E408" s="361">
        <v>44166.0</v>
      </c>
      <c r="F408" s="250" t="s">
        <v>2586</v>
      </c>
      <c r="G408" s="171">
        <v>400.0</v>
      </c>
      <c r="H408" s="171">
        <v>240.0</v>
      </c>
      <c r="I408" s="171">
        <v>180.0</v>
      </c>
      <c r="J408" s="325">
        <f t="shared" si="16"/>
        <v>0.00945525101</v>
      </c>
      <c r="K408" s="326">
        <f t="shared" si="20"/>
        <v>7.406613291</v>
      </c>
      <c r="L408" s="327">
        <f t="shared" si="4"/>
        <v>2.827218614</v>
      </c>
      <c r="M408" s="321" t="str">
        <f t="shared" si="5"/>
        <v>markop</v>
      </c>
      <c r="N408" s="176">
        <f>IFERROR(__xludf.DUMMYFUNCTION("""COMPUTED_VALUE"""),5.0)</f>
        <v>5</v>
      </c>
      <c r="O408" s="176"/>
      <c r="P408" s="176"/>
      <c r="Q408" s="176"/>
      <c r="R408" s="176"/>
      <c r="S408" s="176"/>
      <c r="T408" s="176"/>
      <c r="U408" s="176"/>
      <c r="V408" s="176"/>
      <c r="W408" s="176"/>
      <c r="X408" s="176"/>
      <c r="Y408" s="176"/>
      <c r="Z408" s="176"/>
    </row>
    <row r="409">
      <c r="A409" s="226" t="s">
        <v>43</v>
      </c>
      <c r="B409" s="226" t="s">
        <v>10</v>
      </c>
      <c r="C409" s="250" t="s">
        <v>3522</v>
      </c>
      <c r="D409" s="268" t="s">
        <v>495</v>
      </c>
      <c r="E409" s="361">
        <v>44169.0</v>
      </c>
      <c r="F409" s="250" t="s">
        <v>496</v>
      </c>
      <c r="G409" s="171">
        <v>100.0</v>
      </c>
      <c r="H409" s="171">
        <v>100.0</v>
      </c>
      <c r="I409" s="171">
        <v>80.0</v>
      </c>
      <c r="J409" s="325">
        <f t="shared" si="16"/>
        <v>0.003287353431</v>
      </c>
      <c r="K409" s="326">
        <f t="shared" si="20"/>
        <v>2.575093521</v>
      </c>
      <c r="L409" s="327">
        <f t="shared" si="4"/>
        <v>2.827218614</v>
      </c>
      <c r="M409" s="321" t="str">
        <f t="shared" si="5"/>
        <v>markop</v>
      </c>
      <c r="N409" s="176">
        <f>IFERROR(__xludf.DUMMYFUNCTION("""COMPUTED_VALUE"""),6.0)</f>
        <v>6</v>
      </c>
      <c r="O409" s="176"/>
      <c r="P409" s="176"/>
      <c r="Q409" s="176"/>
      <c r="R409" s="176"/>
      <c r="S409" s="176"/>
      <c r="T409" s="176"/>
      <c r="U409" s="176"/>
      <c r="V409" s="176"/>
      <c r="W409" s="176"/>
      <c r="X409" s="176"/>
      <c r="Y409" s="176"/>
      <c r="Z409" s="176"/>
    </row>
    <row r="410">
      <c r="A410" s="226" t="s">
        <v>43</v>
      </c>
      <c r="B410" s="226" t="s">
        <v>590</v>
      </c>
      <c r="C410" s="250" t="s">
        <v>3489</v>
      </c>
      <c r="D410" s="268" t="s">
        <v>495</v>
      </c>
      <c r="E410" s="361">
        <v>44169.0</v>
      </c>
      <c r="F410" s="250" t="s">
        <v>496</v>
      </c>
      <c r="G410" s="171">
        <v>100.0</v>
      </c>
      <c r="H410" s="171">
        <v>110.0</v>
      </c>
      <c r="I410" s="171">
        <v>50.0</v>
      </c>
      <c r="J410" s="325">
        <f t="shared" si="16"/>
        <v>0.00296873351</v>
      </c>
      <c r="K410" s="326">
        <f t="shared" si="20"/>
        <v>2.325507916</v>
      </c>
      <c r="L410" s="327">
        <f t="shared" si="4"/>
        <v>2.827218614</v>
      </c>
      <c r="M410" s="321" t="str">
        <f t="shared" si="5"/>
        <v>markop</v>
      </c>
      <c r="N410" s="176">
        <f>IFERROR(__xludf.DUMMYFUNCTION("""COMPUTED_VALUE"""),7.0)</f>
        <v>7</v>
      </c>
      <c r="O410" s="176"/>
      <c r="P410" s="176"/>
      <c r="Q410" s="176"/>
      <c r="R410" s="176"/>
      <c r="S410" s="176"/>
      <c r="T410" s="176"/>
      <c r="U410" s="176"/>
      <c r="V410" s="176"/>
      <c r="W410" s="176"/>
      <c r="X410" s="176"/>
      <c r="Y410" s="176"/>
      <c r="Z410" s="176"/>
    </row>
    <row r="411">
      <c r="A411" s="343" t="s">
        <v>43</v>
      </c>
      <c r="B411" s="240" t="s">
        <v>534</v>
      </c>
      <c r="C411" s="221" t="s">
        <v>794</v>
      </c>
      <c r="D411" s="336"/>
      <c r="E411" s="255"/>
      <c r="F411" s="254"/>
      <c r="G411" s="222"/>
      <c r="H411" s="222"/>
      <c r="I411" s="222"/>
      <c r="J411" s="325">
        <f t="shared" si="16"/>
        <v>0</v>
      </c>
      <c r="K411" s="337">
        <f>-0.85*R411</f>
        <v>-16.02090548</v>
      </c>
      <c r="L411" s="327">
        <f t="shared" si="4"/>
        <v>2.827218614</v>
      </c>
      <c r="M411" s="321" t="str">
        <f t="shared" si="5"/>
        <v>markop</v>
      </c>
      <c r="N411" s="209">
        <f>IFERROR(__xludf.DUMMYFUNCTION("""COMPUTED_VALUE"""),8.0)</f>
        <v>8</v>
      </c>
      <c r="O411" s="209"/>
      <c r="P411" s="209"/>
      <c r="Q411" s="209"/>
      <c r="R411" s="209">
        <v>18.848124090566696</v>
      </c>
      <c r="S411" s="209"/>
      <c r="T411" s="209"/>
      <c r="U411" s="209"/>
      <c r="V411" s="209"/>
      <c r="W411" s="209"/>
      <c r="X411" s="209"/>
      <c r="Y411" s="176"/>
      <c r="Z411" s="176"/>
    </row>
    <row r="412">
      <c r="A412" s="226" t="s">
        <v>10</v>
      </c>
      <c r="B412" s="226" t="s">
        <v>867</v>
      </c>
      <c r="C412" s="250" t="s">
        <v>3523</v>
      </c>
      <c r="D412" s="268" t="s">
        <v>495</v>
      </c>
      <c r="E412" s="251">
        <v>44156.0</v>
      </c>
      <c r="F412" s="368" t="s">
        <v>496</v>
      </c>
      <c r="G412" s="268">
        <v>40.0</v>
      </c>
      <c r="H412" s="236">
        <v>130.0</v>
      </c>
      <c r="I412" s="236">
        <v>100.0</v>
      </c>
      <c r="J412" s="325">
        <f t="shared" si="16"/>
        <v>0.003240464552</v>
      </c>
      <c r="K412" s="326">
        <f t="shared" ref="K412:K420" si="21">J412*$J$1</f>
        <v>2.538363899</v>
      </c>
      <c r="L412" s="327">
        <f t="shared" si="4"/>
        <v>2.820325412</v>
      </c>
      <c r="M412" s="321" t="str">
        <f t="shared" si="5"/>
        <v>iviangita</v>
      </c>
      <c r="N412" s="176">
        <f>IFERROR(__xludf.DUMMYFUNCTION("""COMPUTED_VALUE"""),1.0)</f>
        <v>1</v>
      </c>
      <c r="O412" s="176"/>
      <c r="P412" s="176"/>
      <c r="Q412" s="176"/>
      <c r="R412" s="176"/>
      <c r="S412" s="176"/>
      <c r="T412" s="176"/>
      <c r="U412" s="176"/>
      <c r="V412" s="176"/>
      <c r="W412" s="176"/>
      <c r="X412" s="176"/>
      <c r="Y412" s="176"/>
      <c r="Z412" s="176"/>
    </row>
    <row r="413">
      <c r="A413" s="226" t="s">
        <v>10</v>
      </c>
      <c r="B413" s="226" t="s">
        <v>590</v>
      </c>
      <c r="C413" s="250" t="s">
        <v>3381</v>
      </c>
      <c r="D413" s="268" t="s">
        <v>495</v>
      </c>
      <c r="E413" s="251">
        <v>44158.0</v>
      </c>
      <c r="F413" s="368" t="s">
        <v>496</v>
      </c>
      <c r="G413" s="268">
        <v>100.0</v>
      </c>
      <c r="H413" s="236">
        <v>100.0</v>
      </c>
      <c r="I413" s="236">
        <v>80.0</v>
      </c>
      <c r="J413" s="325">
        <f t="shared" si="16"/>
        <v>0.003287353431</v>
      </c>
      <c r="K413" s="326">
        <f t="shared" si="21"/>
        <v>2.575093521</v>
      </c>
      <c r="L413" s="327">
        <f t="shared" si="4"/>
        <v>2.820325412</v>
      </c>
      <c r="M413" s="321" t="str">
        <f t="shared" si="5"/>
        <v>iviangita</v>
      </c>
      <c r="N413" s="176">
        <f>IFERROR(__xludf.DUMMYFUNCTION("""COMPUTED_VALUE"""),2.0)</f>
        <v>2</v>
      </c>
      <c r="O413" s="176"/>
      <c r="P413" s="176"/>
      <c r="Q413" s="176"/>
      <c r="R413" s="176"/>
      <c r="S413" s="176"/>
      <c r="T413" s="176"/>
      <c r="U413" s="176"/>
      <c r="V413" s="176"/>
      <c r="W413" s="176"/>
      <c r="X413" s="176"/>
      <c r="Y413" s="176"/>
      <c r="Z413" s="176"/>
    </row>
    <row r="414">
      <c r="A414" s="226" t="s">
        <v>10</v>
      </c>
      <c r="B414" s="226" t="s">
        <v>590</v>
      </c>
      <c r="C414" s="250" t="s">
        <v>3385</v>
      </c>
      <c r="D414" s="268" t="s">
        <v>495</v>
      </c>
      <c r="E414" s="251">
        <v>44161.0</v>
      </c>
      <c r="F414" s="368" t="s">
        <v>496</v>
      </c>
      <c r="G414" s="268">
        <v>30.0</v>
      </c>
      <c r="H414" s="236">
        <v>80.0</v>
      </c>
      <c r="I414" s="236">
        <v>30.0</v>
      </c>
      <c r="J414" s="325">
        <f t="shared" si="16"/>
        <v>0.001605307564</v>
      </c>
      <c r="K414" s="326">
        <f t="shared" si="21"/>
        <v>1.257490925</v>
      </c>
      <c r="L414" s="327">
        <f t="shared" si="4"/>
        <v>2.820325412</v>
      </c>
      <c r="M414" s="321" t="str">
        <f t="shared" si="5"/>
        <v>iviangita</v>
      </c>
      <c r="N414" s="176">
        <f>IFERROR(__xludf.DUMMYFUNCTION("""COMPUTED_VALUE"""),3.0)</f>
        <v>3</v>
      </c>
      <c r="O414" s="176"/>
      <c r="P414" s="176"/>
      <c r="Q414" s="176"/>
      <c r="R414" s="176"/>
      <c r="S414" s="176"/>
      <c r="T414" s="176"/>
      <c r="U414" s="176"/>
      <c r="V414" s="176"/>
      <c r="W414" s="176"/>
      <c r="X414" s="176"/>
      <c r="Y414" s="176"/>
      <c r="Z414" s="176"/>
    </row>
    <row r="415">
      <c r="A415" s="226" t="s">
        <v>10</v>
      </c>
      <c r="B415" s="226" t="s">
        <v>519</v>
      </c>
      <c r="C415" s="250" t="s">
        <v>3341</v>
      </c>
      <c r="D415" s="268" t="s">
        <v>495</v>
      </c>
      <c r="E415" s="251">
        <v>44161.0</v>
      </c>
      <c r="F415" s="368" t="s">
        <v>496</v>
      </c>
      <c r="G415" s="268">
        <v>30.0</v>
      </c>
      <c r="H415" s="236">
        <v>30.0</v>
      </c>
      <c r="I415" s="236">
        <v>30.0</v>
      </c>
      <c r="J415" s="325">
        <f t="shared" si="16"/>
        <v>0.001071290689</v>
      </c>
      <c r="K415" s="326">
        <f t="shared" si="21"/>
        <v>0.8391777061</v>
      </c>
      <c r="L415" s="327">
        <f t="shared" si="4"/>
        <v>2.820325412</v>
      </c>
      <c r="M415" s="321" t="str">
        <f t="shared" si="5"/>
        <v>iviangita</v>
      </c>
      <c r="N415" s="176">
        <f>IFERROR(__xludf.DUMMYFUNCTION("""COMPUTED_VALUE"""),4.0)</f>
        <v>4</v>
      </c>
      <c r="O415" s="176"/>
      <c r="P415" s="176"/>
      <c r="Q415" s="176"/>
      <c r="R415" s="176"/>
      <c r="S415" s="176"/>
      <c r="T415" s="176"/>
      <c r="U415" s="176"/>
      <c r="V415" s="176"/>
      <c r="W415" s="176"/>
      <c r="X415" s="176"/>
      <c r="Y415" s="176"/>
      <c r="Z415" s="176"/>
    </row>
    <row r="416">
      <c r="A416" s="226" t="s">
        <v>10</v>
      </c>
      <c r="B416" s="226" t="s">
        <v>10</v>
      </c>
      <c r="C416" s="250" t="s">
        <v>3343</v>
      </c>
      <c r="D416" s="268" t="s">
        <v>495</v>
      </c>
      <c r="E416" s="251">
        <v>44162.0</v>
      </c>
      <c r="F416" s="368" t="s">
        <v>496</v>
      </c>
      <c r="G416" s="268">
        <v>50.0</v>
      </c>
      <c r="H416" s="236">
        <v>60.0</v>
      </c>
      <c r="I416" s="236">
        <v>30.0</v>
      </c>
      <c r="J416" s="325">
        <f t="shared" si="16"/>
        <v>0.001608672325</v>
      </c>
      <c r="K416" s="326">
        <f t="shared" si="21"/>
        <v>1.260126655</v>
      </c>
      <c r="L416" s="327">
        <f t="shared" si="4"/>
        <v>2.820325412</v>
      </c>
      <c r="M416" s="321" t="str">
        <f t="shared" si="5"/>
        <v>iviangita</v>
      </c>
      <c r="N416" s="176">
        <f>IFERROR(__xludf.DUMMYFUNCTION("""COMPUTED_VALUE"""),5.0)</f>
        <v>5</v>
      </c>
      <c r="O416" s="176"/>
      <c r="P416" s="176"/>
      <c r="Q416" s="176"/>
      <c r="R416" s="176"/>
      <c r="S416" s="176"/>
      <c r="T416" s="176"/>
      <c r="U416" s="176"/>
      <c r="V416" s="176"/>
      <c r="W416" s="176"/>
      <c r="X416" s="176"/>
      <c r="Y416" s="176"/>
      <c r="Z416" s="176"/>
    </row>
    <row r="417">
      <c r="A417" s="226" t="s">
        <v>10</v>
      </c>
      <c r="B417" s="226" t="s">
        <v>590</v>
      </c>
      <c r="C417" s="250" t="s">
        <v>3524</v>
      </c>
      <c r="D417" s="268" t="s">
        <v>495</v>
      </c>
      <c r="E417" s="251">
        <v>44162.0</v>
      </c>
      <c r="F417" s="368" t="s">
        <v>496</v>
      </c>
      <c r="G417" s="268">
        <v>200.0</v>
      </c>
      <c r="H417" s="236">
        <v>200.0</v>
      </c>
      <c r="I417" s="236">
        <v>100.0</v>
      </c>
      <c r="J417" s="325">
        <f t="shared" si="16"/>
        <v>0.00572386027</v>
      </c>
      <c r="K417" s="326">
        <f t="shared" si="21"/>
        <v>4.483690545</v>
      </c>
      <c r="L417" s="327">
        <f t="shared" si="4"/>
        <v>2.820325412</v>
      </c>
      <c r="M417" s="321" t="str">
        <f t="shared" si="5"/>
        <v>iviangita</v>
      </c>
      <c r="N417" s="176">
        <f>IFERROR(__xludf.DUMMYFUNCTION("""COMPUTED_VALUE"""),6.0)</f>
        <v>6</v>
      </c>
      <c r="O417" s="176"/>
      <c r="P417" s="176"/>
      <c r="Q417" s="176"/>
      <c r="R417" s="176"/>
      <c r="S417" s="176"/>
      <c r="T417" s="176"/>
      <c r="U417" s="176"/>
      <c r="V417" s="176"/>
      <c r="W417" s="176"/>
      <c r="X417" s="176"/>
      <c r="Y417" s="176"/>
      <c r="Z417" s="176"/>
    </row>
    <row r="418">
      <c r="A418" s="226" t="s">
        <v>10</v>
      </c>
      <c r="B418" s="226" t="s">
        <v>18</v>
      </c>
      <c r="C418" s="250" t="s">
        <v>3352</v>
      </c>
      <c r="D418" s="268" t="s">
        <v>495</v>
      </c>
      <c r="E418" s="361">
        <v>44167.0</v>
      </c>
      <c r="F418" s="250" t="s">
        <v>496</v>
      </c>
      <c r="G418" s="171">
        <v>10.0</v>
      </c>
      <c r="H418" s="171">
        <v>50.0</v>
      </c>
      <c r="I418" s="171">
        <v>50.0</v>
      </c>
      <c r="J418" s="325">
        <f t="shared" si="16"/>
        <v>0.001351541458</v>
      </c>
      <c r="K418" s="326">
        <f t="shared" si="21"/>
        <v>1.058707475</v>
      </c>
      <c r="L418" s="327">
        <f t="shared" si="4"/>
        <v>2.820325412</v>
      </c>
      <c r="M418" s="321" t="str">
        <f t="shared" si="5"/>
        <v>iviangita</v>
      </c>
      <c r="N418" s="176">
        <f>IFERROR(__xludf.DUMMYFUNCTION("""COMPUTED_VALUE"""),7.0)</f>
        <v>7</v>
      </c>
      <c r="O418" s="176"/>
      <c r="P418" s="176"/>
      <c r="Q418" s="176"/>
      <c r="R418" s="176"/>
      <c r="S418" s="176"/>
      <c r="T418" s="176"/>
      <c r="U418" s="176"/>
      <c r="V418" s="176"/>
      <c r="W418" s="176"/>
      <c r="X418" s="176"/>
      <c r="Y418" s="176"/>
      <c r="Z418" s="176"/>
    </row>
    <row r="419">
      <c r="A419" s="226" t="s">
        <v>10</v>
      </c>
      <c r="B419" s="226" t="s">
        <v>10</v>
      </c>
      <c r="C419" s="250" t="s">
        <v>3525</v>
      </c>
      <c r="D419" s="268" t="s">
        <v>495</v>
      </c>
      <c r="E419" s="361">
        <v>44169.0</v>
      </c>
      <c r="F419" s="250" t="s">
        <v>496</v>
      </c>
      <c r="G419" s="171">
        <v>100.0</v>
      </c>
      <c r="H419" s="171">
        <v>110.0</v>
      </c>
      <c r="I419" s="171">
        <v>40.0</v>
      </c>
      <c r="J419" s="325">
        <f t="shared" si="16"/>
        <v>0.002826925745</v>
      </c>
      <c r="K419" s="326">
        <f t="shared" si="21"/>
        <v>2.214425167</v>
      </c>
      <c r="L419" s="327">
        <f t="shared" si="4"/>
        <v>2.820325412</v>
      </c>
      <c r="M419" s="321" t="str">
        <f t="shared" si="5"/>
        <v>iviangita</v>
      </c>
      <c r="N419" s="176">
        <f>IFERROR(__xludf.DUMMYFUNCTION("""COMPUTED_VALUE"""),8.0)</f>
        <v>8</v>
      </c>
      <c r="O419" s="176"/>
      <c r="P419" s="176"/>
      <c r="Q419" s="176"/>
      <c r="R419" s="176"/>
      <c r="S419" s="176"/>
      <c r="T419" s="176"/>
      <c r="U419" s="176"/>
      <c r="V419" s="176"/>
      <c r="W419" s="176"/>
      <c r="X419" s="176"/>
      <c r="Y419" s="176"/>
      <c r="Z419" s="176"/>
    </row>
    <row r="420">
      <c r="A420" s="226" t="s">
        <v>10</v>
      </c>
      <c r="B420" s="226" t="s">
        <v>845</v>
      </c>
      <c r="C420" s="250" t="s">
        <v>3526</v>
      </c>
      <c r="D420" s="268" t="s">
        <v>495</v>
      </c>
      <c r="E420" s="361">
        <v>44169.0</v>
      </c>
      <c r="F420" s="250" t="s">
        <v>496</v>
      </c>
      <c r="G420" s="171">
        <v>100.0</v>
      </c>
      <c r="H420" s="171">
        <v>100.0</v>
      </c>
      <c r="I420" s="171">
        <v>80.0</v>
      </c>
      <c r="J420" s="325">
        <f t="shared" si="16"/>
        <v>0.003287353431</v>
      </c>
      <c r="K420" s="326">
        <f t="shared" si="21"/>
        <v>2.575093521</v>
      </c>
      <c r="L420" s="327">
        <f t="shared" si="4"/>
        <v>2.820325412</v>
      </c>
      <c r="M420" s="321" t="str">
        <f t="shared" si="5"/>
        <v>iviangita</v>
      </c>
      <c r="N420" s="176">
        <f>IFERROR(__xludf.DUMMYFUNCTION("""COMPUTED_VALUE"""),9.0)</f>
        <v>9</v>
      </c>
      <c r="O420" s="176"/>
      <c r="P420" s="176"/>
      <c r="Q420" s="176"/>
      <c r="R420" s="176"/>
      <c r="S420" s="176"/>
      <c r="T420" s="176"/>
      <c r="U420" s="176"/>
      <c r="V420" s="176"/>
      <c r="W420" s="176"/>
      <c r="X420" s="176"/>
      <c r="Y420" s="176"/>
      <c r="Z420" s="176"/>
    </row>
    <row r="421">
      <c r="A421" s="240" t="s">
        <v>10</v>
      </c>
      <c r="B421" s="240" t="s">
        <v>534</v>
      </c>
      <c r="C421" s="221" t="s">
        <v>741</v>
      </c>
      <c r="D421" s="336"/>
      <c r="E421" s="255"/>
      <c r="F421" s="254"/>
      <c r="G421" s="222"/>
      <c r="H421" s="222"/>
      <c r="I421" s="222"/>
      <c r="J421" s="325">
        <f t="shared" si="16"/>
        <v>0</v>
      </c>
      <c r="K421" s="337">
        <f>-0.85*R421</f>
        <v>-15.981844</v>
      </c>
      <c r="L421" s="327">
        <f t="shared" si="4"/>
        <v>2.820325412</v>
      </c>
      <c r="M421" s="321" t="str">
        <f t="shared" si="5"/>
        <v>iviangita</v>
      </c>
      <c r="N421" s="209">
        <f>IFERROR(__xludf.DUMMYFUNCTION("""COMPUTED_VALUE"""),10.0)</f>
        <v>10</v>
      </c>
      <c r="O421" s="209"/>
      <c r="P421" s="209"/>
      <c r="Q421" s="209"/>
      <c r="R421" s="209">
        <v>18.802169413641863</v>
      </c>
      <c r="S421" s="209"/>
      <c r="T421" s="209"/>
      <c r="U421" s="209"/>
      <c r="V421" s="209"/>
      <c r="W421" s="209"/>
      <c r="X421" s="209"/>
      <c r="Y421" s="176"/>
      <c r="Z421" s="176"/>
    </row>
    <row r="422">
      <c r="A422" s="226" t="s">
        <v>29</v>
      </c>
      <c r="B422" s="226" t="s">
        <v>590</v>
      </c>
      <c r="C422" s="250" t="s">
        <v>3339</v>
      </c>
      <c r="D422" s="268" t="s">
        <v>495</v>
      </c>
      <c r="E422" s="251">
        <v>44159.0</v>
      </c>
      <c r="F422" s="250" t="s">
        <v>496</v>
      </c>
      <c r="G422" s="171">
        <v>20.0</v>
      </c>
      <c r="H422" s="171">
        <v>60.0</v>
      </c>
      <c r="I422" s="171">
        <v>30.0</v>
      </c>
      <c r="J422" s="325">
        <f t="shared" si="16"/>
        <v>0.001283215058</v>
      </c>
      <c r="K422" s="326">
        <f t="shared" ref="K422:K433" si="22">J422*$J$1</f>
        <v>1.005185129</v>
      </c>
      <c r="L422" s="327">
        <f t="shared" si="4"/>
        <v>2.723530052</v>
      </c>
      <c r="M422" s="321" t="str">
        <f t="shared" si="5"/>
        <v>jeffemmett</v>
      </c>
      <c r="N422" s="176">
        <f>IFERROR(__xludf.DUMMYFUNCTION("""COMPUTED_VALUE"""),1.0)</f>
        <v>1</v>
      </c>
      <c r="O422" s="176"/>
      <c r="P422" s="176"/>
      <c r="Q422" s="176"/>
      <c r="R422" s="176"/>
      <c r="S422" s="176"/>
      <c r="T422" s="176"/>
      <c r="U422" s="176"/>
      <c r="V422" s="176"/>
      <c r="W422" s="176"/>
      <c r="X422" s="176"/>
      <c r="Y422" s="176"/>
      <c r="Z422" s="176"/>
    </row>
    <row r="423">
      <c r="A423" s="226" t="s">
        <v>29</v>
      </c>
      <c r="B423" s="226" t="s">
        <v>519</v>
      </c>
      <c r="C423" s="250" t="s">
        <v>3490</v>
      </c>
      <c r="D423" s="268" t="s">
        <v>495</v>
      </c>
      <c r="E423" s="251">
        <v>44161.0</v>
      </c>
      <c r="F423" s="250" t="s">
        <v>496</v>
      </c>
      <c r="G423" s="236">
        <v>100.0</v>
      </c>
      <c r="H423" s="171">
        <v>100.0</v>
      </c>
      <c r="I423" s="171">
        <v>100.0</v>
      </c>
      <c r="J423" s="325">
        <f t="shared" si="16"/>
        <v>0.003570968962</v>
      </c>
      <c r="K423" s="326">
        <f t="shared" si="22"/>
        <v>2.79725902</v>
      </c>
      <c r="L423" s="327">
        <f t="shared" si="4"/>
        <v>2.723530052</v>
      </c>
      <c r="M423" s="321" t="str">
        <f t="shared" si="5"/>
        <v>jeffemmett</v>
      </c>
      <c r="N423" s="176">
        <f>IFERROR(__xludf.DUMMYFUNCTION("""COMPUTED_VALUE"""),2.0)</f>
        <v>2</v>
      </c>
      <c r="O423" s="176"/>
      <c r="P423" s="176"/>
      <c r="Q423" s="176"/>
      <c r="R423" s="176"/>
      <c r="S423" s="176"/>
      <c r="T423" s="176"/>
      <c r="U423" s="176"/>
      <c r="V423" s="176"/>
      <c r="W423" s="176"/>
      <c r="X423" s="176"/>
      <c r="Y423" s="176"/>
      <c r="Z423" s="176"/>
    </row>
    <row r="424">
      <c r="A424" s="226" t="s">
        <v>29</v>
      </c>
      <c r="B424" s="226" t="s">
        <v>519</v>
      </c>
      <c r="C424" s="250" t="s">
        <v>3395</v>
      </c>
      <c r="D424" s="268" t="s">
        <v>495</v>
      </c>
      <c r="E424" s="251">
        <v>44161.0</v>
      </c>
      <c r="F424" s="250" t="s">
        <v>496</v>
      </c>
      <c r="G424" s="171">
        <v>50.0</v>
      </c>
      <c r="H424" s="171">
        <v>60.0</v>
      </c>
      <c r="I424" s="171">
        <v>80.0</v>
      </c>
      <c r="J424" s="325">
        <f t="shared" si="16"/>
        <v>0.002317711152</v>
      </c>
      <c r="K424" s="326">
        <f t="shared" si="22"/>
        <v>1.815540403</v>
      </c>
      <c r="L424" s="327">
        <f t="shared" si="4"/>
        <v>2.723530052</v>
      </c>
      <c r="M424" s="321" t="str">
        <f t="shared" si="5"/>
        <v>jeffemmett</v>
      </c>
      <c r="N424" s="176">
        <f>IFERROR(__xludf.DUMMYFUNCTION("""COMPUTED_VALUE"""),3.0)</f>
        <v>3</v>
      </c>
      <c r="O424" s="176"/>
      <c r="P424" s="176"/>
      <c r="Q424" s="176"/>
      <c r="R424" s="176"/>
      <c r="S424" s="176"/>
      <c r="T424" s="176"/>
      <c r="U424" s="176"/>
      <c r="V424" s="176"/>
      <c r="W424" s="176"/>
      <c r="X424" s="176"/>
      <c r="Y424" s="176"/>
      <c r="Z424" s="176"/>
    </row>
    <row r="425">
      <c r="A425" s="226" t="s">
        <v>29</v>
      </c>
      <c r="B425" s="226" t="s">
        <v>10</v>
      </c>
      <c r="C425" s="250" t="s">
        <v>3369</v>
      </c>
      <c r="D425" s="268" t="s">
        <v>495</v>
      </c>
      <c r="E425" s="251">
        <v>44162.0</v>
      </c>
      <c r="F425" s="250" t="s">
        <v>496</v>
      </c>
      <c r="G425" s="171">
        <v>50.0</v>
      </c>
      <c r="H425" s="171">
        <v>60.0</v>
      </c>
      <c r="I425" s="171">
        <v>30.0</v>
      </c>
      <c r="J425" s="325">
        <f t="shared" si="16"/>
        <v>0.001608672325</v>
      </c>
      <c r="K425" s="326">
        <f t="shared" si="22"/>
        <v>1.260126655</v>
      </c>
      <c r="L425" s="327">
        <f t="shared" si="4"/>
        <v>2.723530052</v>
      </c>
      <c r="M425" s="321" t="str">
        <f t="shared" si="5"/>
        <v>jeffemmett</v>
      </c>
      <c r="N425" s="176">
        <f>IFERROR(__xludf.DUMMYFUNCTION("""COMPUTED_VALUE"""),4.0)</f>
        <v>4</v>
      </c>
      <c r="O425" s="176"/>
      <c r="P425" s="176"/>
      <c r="Q425" s="176"/>
      <c r="R425" s="176"/>
      <c r="S425" s="176"/>
      <c r="T425" s="176"/>
      <c r="U425" s="176"/>
      <c r="V425" s="176"/>
      <c r="W425" s="176"/>
      <c r="X425" s="176"/>
      <c r="Y425" s="176"/>
      <c r="Z425" s="176"/>
    </row>
    <row r="426">
      <c r="A426" s="226" t="s">
        <v>29</v>
      </c>
      <c r="B426" s="226" t="s">
        <v>10</v>
      </c>
      <c r="C426" s="250" t="s">
        <v>3527</v>
      </c>
      <c r="D426" s="268" t="s">
        <v>495</v>
      </c>
      <c r="E426" s="251">
        <v>44162.0</v>
      </c>
      <c r="F426" s="250" t="s">
        <v>496</v>
      </c>
      <c r="G426" s="171">
        <v>100.0</v>
      </c>
      <c r="H426" s="171">
        <v>100.0</v>
      </c>
      <c r="I426" s="171">
        <v>100.0</v>
      </c>
      <c r="J426" s="325">
        <f t="shared" si="16"/>
        <v>0.003570968962</v>
      </c>
      <c r="K426" s="326">
        <f t="shared" si="22"/>
        <v>2.79725902</v>
      </c>
      <c r="L426" s="327">
        <f t="shared" si="4"/>
        <v>2.723530052</v>
      </c>
      <c r="M426" s="321" t="str">
        <f t="shared" si="5"/>
        <v>jeffemmett</v>
      </c>
      <c r="N426" s="176">
        <f>IFERROR(__xludf.DUMMYFUNCTION("""COMPUTED_VALUE"""),5.0)</f>
        <v>5</v>
      </c>
      <c r="O426" s="176"/>
      <c r="P426" s="176"/>
      <c r="Q426" s="176"/>
      <c r="R426" s="176"/>
      <c r="S426" s="176"/>
      <c r="T426" s="176"/>
      <c r="U426" s="176"/>
      <c r="V426" s="176"/>
      <c r="W426" s="176"/>
      <c r="X426" s="176"/>
      <c r="Y426" s="176"/>
      <c r="Z426" s="176"/>
    </row>
    <row r="427">
      <c r="A427" s="226" t="s">
        <v>29</v>
      </c>
      <c r="B427" s="226" t="s">
        <v>10</v>
      </c>
      <c r="C427" s="250" t="s">
        <v>3482</v>
      </c>
      <c r="D427" s="268" t="s">
        <v>495</v>
      </c>
      <c r="E427" s="251">
        <v>44162.0</v>
      </c>
      <c r="F427" s="250" t="s">
        <v>496</v>
      </c>
      <c r="G427" s="171">
        <v>100.0</v>
      </c>
      <c r="H427" s="171">
        <v>100.0</v>
      </c>
      <c r="I427" s="171">
        <v>50.0</v>
      </c>
      <c r="J427" s="325">
        <f t="shared" si="16"/>
        <v>0.002861930135</v>
      </c>
      <c r="K427" s="326">
        <f t="shared" si="22"/>
        <v>2.241845272</v>
      </c>
      <c r="L427" s="327">
        <f t="shared" si="4"/>
        <v>2.723530052</v>
      </c>
      <c r="M427" s="321" t="str">
        <f t="shared" si="5"/>
        <v>jeffemmett</v>
      </c>
      <c r="N427" s="176">
        <f>IFERROR(__xludf.DUMMYFUNCTION("""COMPUTED_VALUE"""),6.0)</f>
        <v>6</v>
      </c>
      <c r="O427" s="176"/>
      <c r="P427" s="176"/>
      <c r="Q427" s="176"/>
      <c r="R427" s="176"/>
      <c r="S427" s="176"/>
      <c r="T427" s="176"/>
      <c r="U427" s="176"/>
      <c r="V427" s="176"/>
      <c r="W427" s="176"/>
      <c r="X427" s="176"/>
      <c r="Y427" s="176"/>
      <c r="Z427" s="176"/>
    </row>
    <row r="428">
      <c r="A428" s="226" t="s">
        <v>29</v>
      </c>
      <c r="B428" s="226" t="s">
        <v>10</v>
      </c>
      <c r="C428" s="250" t="s">
        <v>3345</v>
      </c>
      <c r="D428" s="268" t="s">
        <v>495</v>
      </c>
      <c r="E428" s="251">
        <v>44163.0</v>
      </c>
      <c r="F428" s="250" t="s">
        <v>496</v>
      </c>
      <c r="G428" s="171">
        <v>40.0</v>
      </c>
      <c r="H428" s="171">
        <v>30.0</v>
      </c>
      <c r="I428" s="171">
        <v>30.0</v>
      </c>
      <c r="J428" s="325">
        <f t="shared" si="16"/>
        <v>0.001179776444</v>
      </c>
      <c r="K428" s="326">
        <f t="shared" si="22"/>
        <v>0.9241582148</v>
      </c>
      <c r="L428" s="327">
        <f t="shared" si="4"/>
        <v>2.723530052</v>
      </c>
      <c r="M428" s="321" t="str">
        <f t="shared" si="5"/>
        <v>jeffemmett</v>
      </c>
      <c r="N428" s="176">
        <f>IFERROR(__xludf.DUMMYFUNCTION("""COMPUTED_VALUE"""),7.0)</f>
        <v>7</v>
      </c>
      <c r="O428" s="176"/>
      <c r="P428" s="176"/>
      <c r="Q428" s="176"/>
      <c r="R428" s="176"/>
      <c r="S428" s="176"/>
      <c r="T428" s="176"/>
      <c r="U428" s="176"/>
      <c r="V428" s="176"/>
      <c r="W428" s="176"/>
      <c r="X428" s="176"/>
      <c r="Y428" s="176"/>
      <c r="Z428" s="176"/>
    </row>
    <row r="429">
      <c r="A429" s="226" t="s">
        <v>29</v>
      </c>
      <c r="B429" s="226" t="s">
        <v>590</v>
      </c>
      <c r="C429" s="250" t="s">
        <v>3397</v>
      </c>
      <c r="D429" s="268" t="s">
        <v>495</v>
      </c>
      <c r="E429" s="361">
        <v>44166.0</v>
      </c>
      <c r="F429" s="250" t="s">
        <v>496</v>
      </c>
      <c r="G429" s="171">
        <v>30.0</v>
      </c>
      <c r="H429" s="171">
        <v>60.0</v>
      </c>
      <c r="I429" s="171">
        <v>30.0</v>
      </c>
      <c r="J429" s="325">
        <f t="shared" si="16"/>
        <v>0.001391700814</v>
      </c>
      <c r="K429" s="326">
        <f t="shared" si="22"/>
        <v>1.090165637</v>
      </c>
      <c r="L429" s="327">
        <f t="shared" si="4"/>
        <v>2.723530052</v>
      </c>
      <c r="M429" s="321" t="str">
        <f t="shared" si="5"/>
        <v>jeffemmett</v>
      </c>
      <c r="N429" s="176">
        <f>IFERROR(__xludf.DUMMYFUNCTION("""COMPUTED_VALUE"""),8.0)</f>
        <v>8</v>
      </c>
      <c r="O429" s="176"/>
      <c r="P429" s="176"/>
      <c r="Q429" s="176"/>
      <c r="R429" s="176"/>
      <c r="S429" s="176"/>
      <c r="T429" s="176"/>
      <c r="U429" s="176"/>
      <c r="V429" s="176"/>
      <c r="W429" s="176"/>
      <c r="X429" s="176"/>
      <c r="Y429" s="176"/>
      <c r="Z429" s="176"/>
    </row>
    <row r="430">
      <c r="A430" s="226" t="s">
        <v>29</v>
      </c>
      <c r="B430" s="226" t="s">
        <v>25</v>
      </c>
      <c r="C430" s="250" t="s">
        <v>3353</v>
      </c>
      <c r="D430" s="268" t="s">
        <v>495</v>
      </c>
      <c r="E430" s="361">
        <v>44168.0</v>
      </c>
      <c r="F430" s="250" t="s">
        <v>496</v>
      </c>
      <c r="G430" s="171">
        <v>30.0</v>
      </c>
      <c r="H430" s="171">
        <v>30.0</v>
      </c>
      <c r="I430" s="171">
        <v>25.0</v>
      </c>
      <c r="J430" s="325">
        <f t="shared" si="16"/>
        <v>0.001000386806</v>
      </c>
      <c r="K430" s="326">
        <f t="shared" si="22"/>
        <v>0.7836363313</v>
      </c>
      <c r="L430" s="327">
        <f t="shared" si="4"/>
        <v>2.723530052</v>
      </c>
      <c r="M430" s="321" t="str">
        <f t="shared" si="5"/>
        <v>jeffemmett</v>
      </c>
      <c r="N430" s="176">
        <f>IFERROR(__xludf.DUMMYFUNCTION("""COMPUTED_VALUE"""),9.0)</f>
        <v>9</v>
      </c>
      <c r="O430" s="176"/>
      <c r="P430" s="176"/>
      <c r="Q430" s="176"/>
      <c r="R430" s="176"/>
      <c r="S430" s="176"/>
      <c r="T430" s="176"/>
      <c r="U430" s="176"/>
      <c r="V430" s="176"/>
      <c r="W430" s="176"/>
      <c r="X430" s="176"/>
      <c r="Y430" s="176"/>
      <c r="Z430" s="176"/>
    </row>
    <row r="431">
      <c r="A431" s="226" t="s">
        <v>29</v>
      </c>
      <c r="B431" s="226" t="s">
        <v>10</v>
      </c>
      <c r="C431" s="250" t="s">
        <v>3528</v>
      </c>
      <c r="D431" s="268" t="s">
        <v>495</v>
      </c>
      <c r="E431" s="361">
        <v>44169.0</v>
      </c>
      <c r="F431" s="250" t="s">
        <v>496</v>
      </c>
      <c r="G431" s="171">
        <v>25.0</v>
      </c>
      <c r="H431" s="171">
        <v>30.0</v>
      </c>
      <c r="I431" s="171">
        <v>30.0</v>
      </c>
      <c r="J431" s="325">
        <f t="shared" si="16"/>
        <v>0.001017047811</v>
      </c>
      <c r="K431" s="326">
        <f t="shared" si="22"/>
        <v>0.7966874517</v>
      </c>
      <c r="L431" s="327">
        <f t="shared" si="4"/>
        <v>2.723530052</v>
      </c>
      <c r="M431" s="321" t="str">
        <f t="shared" si="5"/>
        <v>jeffemmett</v>
      </c>
      <c r="N431" s="176">
        <f>IFERROR(__xludf.DUMMYFUNCTION("""COMPUTED_VALUE"""),10.0)</f>
        <v>10</v>
      </c>
      <c r="O431" s="176"/>
      <c r="P431" s="176"/>
      <c r="Q431" s="176"/>
      <c r="R431" s="176"/>
      <c r="S431" s="176"/>
      <c r="T431" s="176"/>
      <c r="U431" s="176"/>
      <c r="V431" s="176"/>
      <c r="W431" s="176"/>
      <c r="X431" s="176"/>
      <c r="Y431" s="176"/>
      <c r="Z431" s="176"/>
    </row>
    <row r="432">
      <c r="A432" s="226" t="s">
        <v>29</v>
      </c>
      <c r="B432" s="226" t="s">
        <v>10</v>
      </c>
      <c r="C432" s="250" t="s">
        <v>3356</v>
      </c>
      <c r="D432" s="268" t="s">
        <v>495</v>
      </c>
      <c r="E432" s="361">
        <v>44169.0</v>
      </c>
      <c r="F432" s="250" t="s">
        <v>496</v>
      </c>
      <c r="G432" s="171">
        <v>45.0</v>
      </c>
      <c r="H432" s="171">
        <v>45.0</v>
      </c>
      <c r="I432" s="171">
        <v>40.0</v>
      </c>
      <c r="J432" s="325">
        <f t="shared" si="16"/>
        <v>0.00153603215</v>
      </c>
      <c r="K432" s="326">
        <f t="shared" si="22"/>
        <v>1.203225184</v>
      </c>
      <c r="L432" s="327">
        <f t="shared" si="4"/>
        <v>2.723530052</v>
      </c>
      <c r="M432" s="321" t="str">
        <f t="shared" si="5"/>
        <v>jeffemmett</v>
      </c>
      <c r="N432" s="176">
        <f>IFERROR(__xludf.DUMMYFUNCTION("""COMPUTED_VALUE"""),11.0)</f>
        <v>11</v>
      </c>
      <c r="O432" s="176"/>
      <c r="P432" s="176"/>
      <c r="Q432" s="176"/>
      <c r="R432" s="176"/>
      <c r="S432" s="176"/>
      <c r="T432" s="176"/>
      <c r="U432" s="176"/>
      <c r="V432" s="176"/>
      <c r="W432" s="176"/>
      <c r="X432" s="176"/>
      <c r="Y432" s="176"/>
      <c r="Z432" s="176"/>
    </row>
    <row r="433">
      <c r="A433" s="226" t="s">
        <v>29</v>
      </c>
      <c r="B433" s="226" t="s">
        <v>845</v>
      </c>
      <c r="C433" s="250" t="s">
        <v>3357</v>
      </c>
      <c r="D433" s="268" t="s">
        <v>495</v>
      </c>
      <c r="E433" s="361">
        <v>44169.0</v>
      </c>
      <c r="F433" s="250" t="s">
        <v>496</v>
      </c>
      <c r="G433" s="171">
        <v>60.0</v>
      </c>
      <c r="H433" s="171">
        <v>45.0</v>
      </c>
      <c r="I433" s="171">
        <v>50.0</v>
      </c>
      <c r="J433" s="325">
        <f t="shared" si="16"/>
        <v>0.001840568549</v>
      </c>
      <c r="K433" s="326">
        <f t="shared" si="22"/>
        <v>1.441778697</v>
      </c>
      <c r="L433" s="327">
        <f t="shared" si="4"/>
        <v>2.723530052</v>
      </c>
      <c r="M433" s="321" t="str">
        <f t="shared" si="5"/>
        <v>jeffemmett</v>
      </c>
      <c r="N433" s="176">
        <f>IFERROR(__xludf.DUMMYFUNCTION("""COMPUTED_VALUE"""),12.0)</f>
        <v>12</v>
      </c>
      <c r="O433" s="176"/>
      <c r="P433" s="176"/>
      <c r="Q433" s="176"/>
      <c r="R433" s="176"/>
      <c r="S433" s="176"/>
      <c r="T433" s="176"/>
      <c r="U433" s="176"/>
      <c r="V433" s="176"/>
      <c r="W433" s="176"/>
      <c r="X433" s="176"/>
      <c r="Y433" s="176"/>
      <c r="Z433" s="176"/>
    </row>
    <row r="434">
      <c r="A434" s="343" t="s">
        <v>29</v>
      </c>
      <c r="B434" s="253" t="s">
        <v>534</v>
      </c>
      <c r="C434" s="256" t="s">
        <v>684</v>
      </c>
      <c r="D434" s="343"/>
      <c r="E434" s="344"/>
      <c r="F434" s="343"/>
      <c r="G434" s="253"/>
      <c r="H434" s="253"/>
      <c r="I434" s="253"/>
      <c r="J434" s="325">
        <f t="shared" si="16"/>
        <v>0</v>
      </c>
      <c r="K434" s="337">
        <f>-0.85*R434</f>
        <v>-15.43333696</v>
      </c>
      <c r="L434" s="327">
        <f t="shared" si="4"/>
        <v>2.723530052</v>
      </c>
      <c r="M434" s="321" t="str">
        <f t="shared" si="5"/>
        <v>jeffemmett</v>
      </c>
      <c r="N434" s="343">
        <f>IFERROR(__xludf.DUMMYFUNCTION("""COMPUTED_VALUE"""),13.0)</f>
        <v>13</v>
      </c>
      <c r="O434" s="343"/>
      <c r="P434" s="343"/>
      <c r="Q434" s="343"/>
      <c r="R434" s="343">
        <v>18.15686701513158</v>
      </c>
      <c r="S434" s="343"/>
      <c r="T434" s="343"/>
      <c r="U434" s="343"/>
      <c r="V434" s="343"/>
      <c r="W434" s="343"/>
      <c r="X434" s="343"/>
      <c r="Y434" s="226"/>
      <c r="Z434" s="226"/>
    </row>
    <row r="435">
      <c r="A435" s="226" t="s">
        <v>213</v>
      </c>
      <c r="B435" s="226" t="s">
        <v>590</v>
      </c>
      <c r="C435" s="250" t="s">
        <v>3529</v>
      </c>
      <c r="D435" s="268" t="s">
        <v>495</v>
      </c>
      <c r="E435" s="251">
        <v>44158.0</v>
      </c>
      <c r="F435" s="368" t="s">
        <v>592</v>
      </c>
      <c r="G435" s="268">
        <v>100.0</v>
      </c>
      <c r="H435" s="236">
        <v>90.0</v>
      </c>
      <c r="I435" s="236">
        <v>100.0</v>
      </c>
      <c r="J435" s="325">
        <f t="shared" si="16"/>
        <v>0.003464165587</v>
      </c>
      <c r="K435" s="326">
        <f t="shared" ref="K435:K448" si="23">J435*$J$1</f>
        <v>2.713596376</v>
      </c>
      <c r="L435" s="327">
        <f t="shared" si="4"/>
        <v>2.713596376</v>
      </c>
      <c r="M435" s="321" t="str">
        <f t="shared" si="5"/>
        <v>tech_digger</v>
      </c>
      <c r="N435" s="176">
        <f>IFERROR(__xludf.DUMMYFUNCTION("""COMPUTED_VALUE"""),1.0)</f>
        <v>1</v>
      </c>
      <c r="O435" s="176"/>
      <c r="P435" s="176"/>
      <c r="Q435" s="176"/>
      <c r="R435" s="176"/>
      <c r="S435" s="176"/>
      <c r="T435" s="176"/>
      <c r="U435" s="176"/>
      <c r="V435" s="176"/>
      <c r="W435" s="176"/>
      <c r="X435" s="176"/>
      <c r="Y435" s="176"/>
      <c r="Z435" s="176"/>
    </row>
    <row r="436">
      <c r="A436" s="249" t="s">
        <v>54</v>
      </c>
      <c r="B436" s="226" t="s">
        <v>18</v>
      </c>
      <c r="C436" s="219" t="s">
        <v>3530</v>
      </c>
      <c r="D436" s="268" t="s">
        <v>495</v>
      </c>
      <c r="E436" s="251">
        <v>44155.0</v>
      </c>
      <c r="F436" s="368" t="s">
        <v>499</v>
      </c>
      <c r="G436" s="236">
        <v>60.0</v>
      </c>
      <c r="H436" s="236">
        <v>70.0</v>
      </c>
      <c r="I436" s="236">
        <v>60.0</v>
      </c>
      <c r="J436" s="325">
        <f t="shared" si="16"/>
        <v>0.002249384752</v>
      </c>
      <c r="K436" s="326">
        <f t="shared" si="23"/>
        <v>1.762018056</v>
      </c>
      <c r="L436" s="327">
        <f t="shared" si="4"/>
        <v>2.686176271</v>
      </c>
      <c r="M436" s="321" t="str">
        <f t="shared" si="5"/>
        <v>hbesso31</v>
      </c>
      <c r="N436" s="209">
        <f>IFERROR(__xludf.DUMMYFUNCTION("""COMPUTED_VALUE"""),1.0)</f>
        <v>1</v>
      </c>
      <c r="O436" s="209"/>
      <c r="P436" s="209"/>
      <c r="Q436" s="209"/>
      <c r="R436" s="209"/>
      <c r="S436" s="209"/>
      <c r="T436" s="209"/>
      <c r="U436" s="209"/>
      <c r="V436" s="209"/>
      <c r="W436" s="209"/>
      <c r="X436" s="209"/>
      <c r="Y436" s="176"/>
      <c r="Z436" s="176"/>
    </row>
    <row r="437">
      <c r="A437" s="343" t="s">
        <v>54</v>
      </c>
      <c r="B437" s="343" t="s">
        <v>590</v>
      </c>
      <c r="C437" s="254" t="s">
        <v>3531</v>
      </c>
      <c r="D437" s="336" t="s">
        <v>495</v>
      </c>
      <c r="E437" s="255">
        <v>44155.0</v>
      </c>
      <c r="F437" s="372" t="s">
        <v>496</v>
      </c>
      <c r="G437" s="222"/>
      <c r="H437" s="222"/>
      <c r="I437" s="222"/>
      <c r="J437" s="325">
        <f t="shared" si="16"/>
        <v>0</v>
      </c>
      <c r="K437" s="326">
        <f t="shared" si="23"/>
        <v>0</v>
      </c>
      <c r="L437" s="327">
        <f t="shared" si="4"/>
        <v>2.686176271</v>
      </c>
      <c r="M437" s="321" t="str">
        <f t="shared" si="5"/>
        <v>hbesso31</v>
      </c>
      <c r="N437" s="176">
        <f>IFERROR(__xludf.DUMMYFUNCTION("""COMPUTED_VALUE"""),2.0)</f>
        <v>2</v>
      </c>
      <c r="O437" s="176"/>
      <c r="P437" s="176"/>
      <c r="Q437" s="176"/>
      <c r="R437" s="176"/>
      <c r="S437" s="176"/>
      <c r="T437" s="176"/>
      <c r="U437" s="176"/>
      <c r="V437" s="176"/>
      <c r="W437" s="176"/>
      <c r="X437" s="176"/>
      <c r="Y437" s="176"/>
      <c r="Z437" s="176"/>
    </row>
    <row r="438">
      <c r="A438" s="226" t="s">
        <v>54</v>
      </c>
      <c r="B438" s="226" t="s">
        <v>10</v>
      </c>
      <c r="C438" s="250" t="s">
        <v>3345</v>
      </c>
      <c r="D438" s="268" t="s">
        <v>495</v>
      </c>
      <c r="E438" s="251">
        <v>44163.0</v>
      </c>
      <c r="F438" s="368" t="s">
        <v>496</v>
      </c>
      <c r="G438" s="268">
        <v>40.0</v>
      </c>
      <c r="H438" s="236">
        <v>30.0</v>
      </c>
      <c r="I438" s="236">
        <v>30.0</v>
      </c>
      <c r="J438" s="325">
        <f t="shared" si="16"/>
        <v>0.001179776444</v>
      </c>
      <c r="K438" s="326">
        <f t="shared" si="23"/>
        <v>0.9241582148</v>
      </c>
      <c r="L438" s="327">
        <f t="shared" si="4"/>
        <v>2.686176271</v>
      </c>
      <c r="M438" s="321" t="str">
        <f t="shared" si="5"/>
        <v>hbesso31</v>
      </c>
      <c r="N438" s="176">
        <f>IFERROR(__xludf.DUMMYFUNCTION("""COMPUTED_VALUE"""),3.0)</f>
        <v>3</v>
      </c>
      <c r="O438" s="176"/>
      <c r="P438" s="176"/>
      <c r="Q438" s="176"/>
      <c r="R438" s="176"/>
      <c r="S438" s="176"/>
      <c r="T438" s="176"/>
      <c r="U438" s="176"/>
      <c r="V438" s="176"/>
      <c r="W438" s="176"/>
      <c r="X438" s="176"/>
      <c r="Y438" s="176"/>
      <c r="Z438" s="176"/>
    </row>
    <row r="439">
      <c r="A439" s="226" t="s">
        <v>190</v>
      </c>
      <c r="B439" s="226" t="s">
        <v>590</v>
      </c>
      <c r="C439" s="250" t="s">
        <v>3532</v>
      </c>
      <c r="D439" s="268" t="s">
        <v>495</v>
      </c>
      <c r="E439" s="361">
        <v>44168.0</v>
      </c>
      <c r="F439" s="250" t="s">
        <v>496</v>
      </c>
      <c r="G439" s="171">
        <v>1.0</v>
      </c>
      <c r="H439" s="171">
        <v>1.0</v>
      </c>
      <c r="I439" s="171">
        <v>10.0</v>
      </c>
      <c r="J439" s="325">
        <f t="shared" si="16"/>
        <v>0.0001633366785</v>
      </c>
      <c r="K439" s="326">
        <f t="shared" si="23"/>
        <v>0.1279470648</v>
      </c>
      <c r="L439" s="327">
        <f t="shared" si="4"/>
        <v>2.421337886</v>
      </c>
      <c r="M439" s="321" t="str">
        <f t="shared" si="5"/>
        <v>alexholman</v>
      </c>
      <c r="N439" s="176">
        <f>IFERROR(__xludf.DUMMYFUNCTION("""COMPUTED_VALUE"""),1.0)</f>
        <v>1</v>
      </c>
      <c r="O439" s="176"/>
      <c r="P439" s="176"/>
      <c r="Q439" s="176"/>
      <c r="R439" s="176"/>
      <c r="S439" s="176"/>
      <c r="T439" s="176"/>
      <c r="U439" s="176"/>
      <c r="V439" s="176"/>
      <c r="W439" s="176"/>
      <c r="X439" s="176"/>
      <c r="Y439" s="176"/>
      <c r="Z439" s="176"/>
    </row>
    <row r="440">
      <c r="A440" s="226" t="s">
        <v>190</v>
      </c>
      <c r="B440" s="226" t="s">
        <v>590</v>
      </c>
      <c r="C440" s="250" t="s">
        <v>3533</v>
      </c>
      <c r="D440" s="268" t="s">
        <v>495</v>
      </c>
      <c r="E440" s="361">
        <v>44168.0</v>
      </c>
      <c r="F440" s="250" t="s">
        <v>496</v>
      </c>
      <c r="G440" s="171">
        <v>30.0</v>
      </c>
      <c r="H440" s="171">
        <v>60.0</v>
      </c>
      <c r="I440" s="171">
        <v>30.0</v>
      </c>
      <c r="J440" s="325">
        <f t="shared" si="16"/>
        <v>0.001391700814</v>
      </c>
      <c r="K440" s="326">
        <f t="shared" si="23"/>
        <v>1.090165637</v>
      </c>
      <c r="L440" s="327">
        <f t="shared" si="4"/>
        <v>2.421337886</v>
      </c>
      <c r="M440" s="321" t="str">
        <f t="shared" si="5"/>
        <v>alexholman</v>
      </c>
      <c r="N440" s="176">
        <f>IFERROR(__xludf.DUMMYFUNCTION("""COMPUTED_VALUE"""),2.0)</f>
        <v>2</v>
      </c>
      <c r="O440" s="176"/>
      <c r="P440" s="176"/>
      <c r="Q440" s="176"/>
      <c r="R440" s="176"/>
      <c r="S440" s="176"/>
      <c r="T440" s="176"/>
      <c r="U440" s="176"/>
      <c r="V440" s="176"/>
      <c r="W440" s="176"/>
      <c r="X440" s="176"/>
      <c r="Y440" s="176"/>
      <c r="Z440" s="176"/>
    </row>
    <row r="441">
      <c r="A441" s="226" t="s">
        <v>190</v>
      </c>
      <c r="B441" s="226" t="s">
        <v>10</v>
      </c>
      <c r="C441" s="250" t="s">
        <v>3356</v>
      </c>
      <c r="D441" s="268" t="s">
        <v>495</v>
      </c>
      <c r="E441" s="361">
        <v>44169.0</v>
      </c>
      <c r="F441" s="250" t="s">
        <v>496</v>
      </c>
      <c r="G441" s="171">
        <v>45.0</v>
      </c>
      <c r="H441" s="171">
        <v>45.0</v>
      </c>
      <c r="I441" s="171">
        <v>40.0</v>
      </c>
      <c r="J441" s="325">
        <f t="shared" si="16"/>
        <v>0.00153603215</v>
      </c>
      <c r="K441" s="326">
        <f t="shared" si="23"/>
        <v>1.203225184</v>
      </c>
      <c r="L441" s="327">
        <f t="shared" si="4"/>
        <v>2.421337886</v>
      </c>
      <c r="M441" s="321" t="str">
        <f t="shared" si="5"/>
        <v>alexholman</v>
      </c>
      <c r="N441" s="176">
        <f>IFERROR(__xludf.DUMMYFUNCTION("""COMPUTED_VALUE"""),3.0)</f>
        <v>3</v>
      </c>
      <c r="O441" s="176"/>
      <c r="P441" s="176"/>
      <c r="Q441" s="176"/>
      <c r="R441" s="176"/>
      <c r="S441" s="176"/>
      <c r="T441" s="176"/>
      <c r="U441" s="176"/>
      <c r="V441" s="176"/>
      <c r="W441" s="176"/>
      <c r="X441" s="176"/>
      <c r="Y441" s="176"/>
      <c r="Z441" s="176"/>
    </row>
    <row r="442">
      <c r="A442" s="226" t="s">
        <v>61</v>
      </c>
      <c r="B442" s="226" t="s">
        <v>6</v>
      </c>
      <c r="C442" s="250" t="s">
        <v>3364</v>
      </c>
      <c r="D442" s="268" t="s">
        <v>495</v>
      </c>
      <c r="E442" s="251">
        <v>44159.0</v>
      </c>
      <c r="F442" s="368" t="s">
        <v>496</v>
      </c>
      <c r="G442" s="268">
        <v>30.0</v>
      </c>
      <c r="H442" s="236">
        <v>60.0</v>
      </c>
      <c r="I442" s="236">
        <v>50.0</v>
      </c>
      <c r="J442" s="325">
        <f t="shared" si="16"/>
        <v>0.001675316344</v>
      </c>
      <c r="K442" s="326">
        <f t="shared" si="23"/>
        <v>1.312331136</v>
      </c>
      <c r="L442" s="327">
        <f t="shared" si="4"/>
        <v>2.30806055</v>
      </c>
      <c r="M442" s="321" t="str">
        <f t="shared" si="5"/>
        <v>fabimol</v>
      </c>
      <c r="N442" s="176">
        <f>IFERROR(__xludf.DUMMYFUNCTION("""COMPUTED_VALUE"""),1.0)</f>
        <v>1</v>
      </c>
      <c r="O442" s="176"/>
      <c r="P442" s="176"/>
      <c r="Q442" s="176"/>
      <c r="R442" s="176"/>
      <c r="S442" s="176"/>
      <c r="T442" s="176"/>
      <c r="U442" s="176"/>
      <c r="V442" s="176"/>
      <c r="W442" s="176"/>
      <c r="X442" s="176"/>
      <c r="Y442" s="176"/>
      <c r="Z442" s="176"/>
    </row>
    <row r="443">
      <c r="A443" s="226" t="s">
        <v>61</v>
      </c>
      <c r="B443" s="226" t="s">
        <v>6</v>
      </c>
      <c r="C443" s="250" t="s">
        <v>3518</v>
      </c>
      <c r="D443" s="268" t="s">
        <v>495</v>
      </c>
      <c r="E443" s="251">
        <v>44159.0</v>
      </c>
      <c r="F443" s="368" t="s">
        <v>496</v>
      </c>
      <c r="G443" s="268">
        <v>30.0</v>
      </c>
      <c r="H443" s="236">
        <v>50.0</v>
      </c>
      <c r="I443" s="236">
        <v>50.0</v>
      </c>
      <c r="J443" s="325">
        <f t="shared" si="16"/>
        <v>0.001568512969</v>
      </c>
      <c r="K443" s="326">
        <f t="shared" si="23"/>
        <v>1.228668493</v>
      </c>
      <c r="L443" s="327">
        <f t="shared" si="4"/>
        <v>2.30806055</v>
      </c>
      <c r="M443" s="321" t="str">
        <f t="shared" si="5"/>
        <v>fabimol</v>
      </c>
      <c r="N443" s="176">
        <f>IFERROR(__xludf.DUMMYFUNCTION("""COMPUTED_VALUE"""),2.0)</f>
        <v>2</v>
      </c>
      <c r="O443" s="176"/>
      <c r="P443" s="176"/>
      <c r="Q443" s="176"/>
      <c r="R443" s="176"/>
      <c r="S443" s="176"/>
      <c r="T443" s="176"/>
      <c r="U443" s="176"/>
      <c r="V443" s="176"/>
      <c r="W443" s="176"/>
      <c r="X443" s="176"/>
      <c r="Y443" s="176"/>
      <c r="Z443" s="176"/>
    </row>
    <row r="444">
      <c r="A444" s="226" t="s">
        <v>61</v>
      </c>
      <c r="B444" s="226" t="s">
        <v>10</v>
      </c>
      <c r="C444" s="250" t="s">
        <v>3534</v>
      </c>
      <c r="D444" s="268" t="s">
        <v>495</v>
      </c>
      <c r="E444" s="251">
        <v>44161.0</v>
      </c>
      <c r="F444" s="368" t="s">
        <v>2586</v>
      </c>
      <c r="G444" s="268">
        <v>100.0</v>
      </c>
      <c r="H444" s="236">
        <v>150.0</v>
      </c>
      <c r="I444" s="236">
        <v>100.0</v>
      </c>
      <c r="J444" s="325">
        <f t="shared" si="16"/>
        <v>0.004104985837</v>
      </c>
      <c r="K444" s="326">
        <f t="shared" si="23"/>
        <v>3.215572239</v>
      </c>
      <c r="L444" s="327">
        <f t="shared" si="4"/>
        <v>2.30806055</v>
      </c>
      <c r="M444" s="321" t="str">
        <f t="shared" si="5"/>
        <v>fabimol</v>
      </c>
      <c r="N444" s="176">
        <f>IFERROR(__xludf.DUMMYFUNCTION("""COMPUTED_VALUE"""),3.0)</f>
        <v>3</v>
      </c>
      <c r="O444" s="176"/>
      <c r="P444" s="176"/>
      <c r="Q444" s="176"/>
      <c r="R444" s="176"/>
      <c r="S444" s="176"/>
      <c r="T444" s="176"/>
      <c r="U444" s="176"/>
      <c r="V444" s="176"/>
      <c r="W444" s="176"/>
      <c r="X444" s="176"/>
      <c r="Y444" s="176"/>
      <c r="Z444" s="176"/>
    </row>
    <row r="445">
      <c r="A445" s="226" t="s">
        <v>61</v>
      </c>
      <c r="B445" s="226" t="s">
        <v>1175</v>
      </c>
      <c r="C445" s="250" t="s">
        <v>3535</v>
      </c>
      <c r="D445" s="268" t="s">
        <v>495</v>
      </c>
      <c r="E445" s="251">
        <v>44163.0</v>
      </c>
      <c r="F445" s="368" t="s">
        <v>2586</v>
      </c>
      <c r="G445" s="268">
        <v>100.0</v>
      </c>
      <c r="H445" s="236">
        <v>120.0</v>
      </c>
      <c r="I445" s="236">
        <v>100.0</v>
      </c>
      <c r="J445" s="325">
        <f t="shared" si="16"/>
        <v>0.003784575712</v>
      </c>
      <c r="K445" s="326">
        <f t="shared" si="23"/>
        <v>2.964584308</v>
      </c>
      <c r="L445" s="327">
        <f t="shared" si="4"/>
        <v>2.30806055</v>
      </c>
      <c r="M445" s="321" t="str">
        <f t="shared" si="5"/>
        <v>fabimol</v>
      </c>
      <c r="N445" s="176">
        <f>IFERROR(__xludf.DUMMYFUNCTION("""COMPUTED_VALUE"""),4.0)</f>
        <v>4</v>
      </c>
      <c r="O445" s="176"/>
      <c r="P445" s="176"/>
      <c r="Q445" s="176"/>
      <c r="R445" s="176"/>
      <c r="S445" s="176"/>
      <c r="T445" s="176"/>
      <c r="U445" s="176"/>
      <c r="V445" s="176"/>
      <c r="W445" s="176"/>
      <c r="X445" s="176"/>
      <c r="Y445" s="176"/>
      <c r="Z445" s="176"/>
    </row>
    <row r="446">
      <c r="A446" s="226" t="s">
        <v>61</v>
      </c>
      <c r="B446" s="226" t="s">
        <v>10</v>
      </c>
      <c r="C446" s="250" t="s">
        <v>3345</v>
      </c>
      <c r="D446" s="268" t="s">
        <v>495</v>
      </c>
      <c r="E446" s="251">
        <v>44163.0</v>
      </c>
      <c r="F446" s="368" t="s">
        <v>496</v>
      </c>
      <c r="G446" s="268">
        <v>40.0</v>
      </c>
      <c r="H446" s="236">
        <v>30.0</v>
      </c>
      <c r="I446" s="236">
        <v>30.0</v>
      </c>
      <c r="J446" s="325">
        <f t="shared" si="16"/>
        <v>0.001179776444</v>
      </c>
      <c r="K446" s="326">
        <f t="shared" si="23"/>
        <v>0.9241582148</v>
      </c>
      <c r="L446" s="327">
        <f t="shared" si="4"/>
        <v>2.30806055</v>
      </c>
      <c r="M446" s="321" t="str">
        <f t="shared" si="5"/>
        <v>fabimol</v>
      </c>
      <c r="N446" s="176">
        <f>IFERROR(__xludf.DUMMYFUNCTION("""COMPUTED_VALUE"""),5.0)</f>
        <v>5</v>
      </c>
      <c r="O446" s="176"/>
      <c r="P446" s="176"/>
      <c r="Q446" s="176"/>
      <c r="R446" s="176"/>
      <c r="S446" s="176"/>
      <c r="T446" s="176"/>
      <c r="U446" s="176"/>
      <c r="V446" s="176"/>
      <c r="W446" s="176"/>
      <c r="X446" s="176"/>
      <c r="Y446" s="176"/>
      <c r="Z446" s="176"/>
    </row>
    <row r="447">
      <c r="A447" s="226" t="s">
        <v>61</v>
      </c>
      <c r="B447" s="226" t="s">
        <v>1175</v>
      </c>
      <c r="C447" s="250" t="s">
        <v>3536</v>
      </c>
      <c r="D447" s="268" t="s">
        <v>495</v>
      </c>
      <c r="E447" s="361">
        <v>44168.0</v>
      </c>
      <c r="F447" s="250" t="s">
        <v>2586</v>
      </c>
      <c r="G447" s="171">
        <v>200.0</v>
      </c>
      <c r="H447" s="171">
        <v>180.0</v>
      </c>
      <c r="I447" s="171">
        <v>120.0</v>
      </c>
      <c r="J447" s="325">
        <f t="shared" si="16"/>
        <v>0.005793869051</v>
      </c>
      <c r="K447" s="326">
        <f t="shared" si="23"/>
        <v>4.538530757</v>
      </c>
      <c r="L447" s="327">
        <f t="shared" si="4"/>
        <v>2.30806055</v>
      </c>
      <c r="M447" s="321" t="str">
        <f t="shared" si="5"/>
        <v>fabimol</v>
      </c>
      <c r="N447" s="176">
        <f>IFERROR(__xludf.DUMMYFUNCTION("""COMPUTED_VALUE"""),6.0)</f>
        <v>6</v>
      </c>
      <c r="O447" s="176"/>
      <c r="P447" s="176"/>
      <c r="Q447" s="176"/>
      <c r="R447" s="176"/>
      <c r="S447" s="176"/>
      <c r="T447" s="176"/>
      <c r="U447" s="176"/>
      <c r="V447" s="176"/>
      <c r="W447" s="176"/>
      <c r="X447" s="176"/>
      <c r="Y447" s="176"/>
      <c r="Z447" s="176"/>
    </row>
    <row r="448">
      <c r="A448" s="226" t="s">
        <v>61</v>
      </c>
      <c r="B448" s="226" t="s">
        <v>10</v>
      </c>
      <c r="C448" s="250" t="s">
        <v>3356</v>
      </c>
      <c r="D448" s="268" t="s">
        <v>495</v>
      </c>
      <c r="E448" s="361">
        <v>44169.0</v>
      </c>
      <c r="F448" s="250" t="s">
        <v>496</v>
      </c>
      <c r="G448" s="171">
        <v>45.0</v>
      </c>
      <c r="H448" s="171">
        <v>45.0</v>
      </c>
      <c r="I448" s="171">
        <v>40.0</v>
      </c>
      <c r="J448" s="325">
        <f t="shared" si="16"/>
        <v>0.00153603215</v>
      </c>
      <c r="K448" s="326">
        <f t="shared" si="23"/>
        <v>1.203225184</v>
      </c>
      <c r="L448" s="327">
        <f t="shared" si="4"/>
        <v>2.30806055</v>
      </c>
      <c r="M448" s="321" t="str">
        <f t="shared" si="5"/>
        <v>fabimol</v>
      </c>
      <c r="N448" s="176">
        <f>IFERROR(__xludf.DUMMYFUNCTION("""COMPUTED_VALUE"""),7.0)</f>
        <v>7</v>
      </c>
      <c r="O448" s="176"/>
      <c r="P448" s="176"/>
      <c r="Q448" s="176"/>
      <c r="R448" s="176"/>
      <c r="S448" s="176"/>
      <c r="T448" s="176"/>
      <c r="U448" s="176"/>
      <c r="V448" s="176"/>
      <c r="W448" s="176"/>
      <c r="X448" s="176"/>
      <c r="Y448" s="176"/>
      <c r="Z448" s="176"/>
    </row>
    <row r="449">
      <c r="A449" s="362" t="s">
        <v>61</v>
      </c>
      <c r="B449" s="240" t="s">
        <v>534</v>
      </c>
      <c r="C449" s="346" t="s">
        <v>2452</v>
      </c>
      <c r="D449" s="336"/>
      <c r="E449" s="255"/>
      <c r="F449" s="254"/>
      <c r="G449" s="222"/>
      <c r="H449" s="222"/>
      <c r="I449" s="222"/>
      <c r="J449" s="325">
        <f t="shared" si="16"/>
        <v>0</v>
      </c>
      <c r="K449" s="337">
        <f>-0.85*R449</f>
        <v>-13.07900978</v>
      </c>
      <c r="L449" s="327">
        <f t="shared" si="4"/>
        <v>2.30806055</v>
      </c>
      <c r="M449" s="321" t="str">
        <f t="shared" si="5"/>
        <v>fabimol</v>
      </c>
      <c r="N449" s="209">
        <f>IFERROR(__xludf.DUMMYFUNCTION("""COMPUTED_VALUE"""),8.0)</f>
        <v>8</v>
      </c>
      <c r="O449" s="176"/>
      <c r="P449" s="176"/>
      <c r="Q449" s="176"/>
      <c r="R449" s="176">
        <v>15.387070331364484</v>
      </c>
      <c r="S449" s="176"/>
      <c r="T449" s="176"/>
      <c r="U449" s="176"/>
      <c r="V449" s="176"/>
      <c r="W449" s="176"/>
      <c r="X449" s="176"/>
      <c r="Y449" s="176"/>
      <c r="Z449" s="176"/>
    </row>
    <row r="450">
      <c r="A450" s="226" t="s">
        <v>49</v>
      </c>
      <c r="B450" s="226" t="s">
        <v>1577</v>
      </c>
      <c r="C450" s="250" t="s">
        <v>3537</v>
      </c>
      <c r="D450" s="268" t="s">
        <v>495</v>
      </c>
      <c r="E450" s="251">
        <v>44159.0</v>
      </c>
      <c r="F450" s="250" t="s">
        <v>496</v>
      </c>
      <c r="G450" s="171">
        <v>10.0</v>
      </c>
      <c r="H450" s="171">
        <v>40.0</v>
      </c>
      <c r="I450" s="171">
        <v>50.0</v>
      </c>
      <c r="J450" s="325">
        <f t="shared" si="16"/>
        <v>0.001244738083</v>
      </c>
      <c r="K450" s="326">
        <f t="shared" ref="K450:K463" si="24">J450*$J$1</f>
        <v>0.9750448315</v>
      </c>
      <c r="L450" s="327">
        <f t="shared" si="4"/>
        <v>2.283602708</v>
      </c>
      <c r="M450" s="321" t="str">
        <f t="shared" si="5"/>
        <v>knobsdao</v>
      </c>
      <c r="N450" s="176">
        <f>IFERROR(__xludf.DUMMYFUNCTION("""COMPUTED_VALUE"""),1.0)</f>
        <v>1</v>
      </c>
      <c r="O450" s="176"/>
      <c r="P450" s="176"/>
      <c r="Q450" s="176"/>
      <c r="R450" s="176"/>
      <c r="S450" s="176"/>
      <c r="T450" s="176"/>
      <c r="U450" s="176"/>
      <c r="V450" s="176"/>
      <c r="W450" s="176"/>
      <c r="X450" s="176"/>
      <c r="Y450" s="176"/>
      <c r="Z450" s="176"/>
    </row>
    <row r="451">
      <c r="A451" s="226" t="s">
        <v>49</v>
      </c>
      <c r="B451" s="226" t="s">
        <v>590</v>
      </c>
      <c r="C451" s="250" t="s">
        <v>3339</v>
      </c>
      <c r="D451" s="268" t="s">
        <v>495</v>
      </c>
      <c r="E451" s="251">
        <v>44159.0</v>
      </c>
      <c r="F451" s="250" t="s">
        <v>496</v>
      </c>
      <c r="G451" s="171">
        <v>20.0</v>
      </c>
      <c r="H451" s="171">
        <v>60.0</v>
      </c>
      <c r="I451" s="171">
        <v>30.0</v>
      </c>
      <c r="J451" s="325">
        <f t="shared" si="16"/>
        <v>0.001283215058</v>
      </c>
      <c r="K451" s="326">
        <f t="shared" si="24"/>
        <v>1.005185129</v>
      </c>
      <c r="L451" s="327">
        <f t="shared" si="4"/>
        <v>2.283602708</v>
      </c>
      <c r="M451" s="321" t="str">
        <f t="shared" si="5"/>
        <v>knobsdao</v>
      </c>
      <c r="N451" s="176">
        <f>IFERROR(__xludf.DUMMYFUNCTION("""COMPUTED_VALUE"""),2.0)</f>
        <v>2</v>
      </c>
      <c r="O451" s="176"/>
      <c r="P451" s="176"/>
      <c r="Q451" s="176"/>
      <c r="R451" s="176"/>
      <c r="S451" s="176"/>
      <c r="T451" s="176"/>
      <c r="U451" s="176"/>
      <c r="V451" s="176"/>
      <c r="W451" s="176"/>
      <c r="X451" s="176"/>
      <c r="Y451" s="176"/>
      <c r="Z451" s="176"/>
    </row>
    <row r="452">
      <c r="A452" s="226" t="s">
        <v>49</v>
      </c>
      <c r="B452" s="226" t="s">
        <v>5</v>
      </c>
      <c r="C452" s="250" t="s">
        <v>3340</v>
      </c>
      <c r="D452" s="268" t="s">
        <v>495</v>
      </c>
      <c r="E452" s="251">
        <v>44160.0</v>
      </c>
      <c r="F452" s="250" t="s">
        <v>496</v>
      </c>
      <c r="G452" s="171">
        <v>20.0</v>
      </c>
      <c r="H452" s="171">
        <v>60.0</v>
      </c>
      <c r="I452" s="171">
        <v>20.0</v>
      </c>
      <c r="J452" s="325">
        <f t="shared" si="16"/>
        <v>0.001141407292</v>
      </c>
      <c r="K452" s="326">
        <f t="shared" si="24"/>
        <v>0.894102379</v>
      </c>
      <c r="L452" s="327">
        <f t="shared" si="4"/>
        <v>2.283602708</v>
      </c>
      <c r="M452" s="321" t="str">
        <f t="shared" si="5"/>
        <v>knobsdao</v>
      </c>
      <c r="N452" s="176">
        <f>IFERROR(__xludf.DUMMYFUNCTION("""COMPUTED_VALUE"""),3.0)</f>
        <v>3</v>
      </c>
      <c r="O452" s="176"/>
      <c r="P452" s="176"/>
      <c r="Q452" s="176"/>
      <c r="R452" s="176"/>
      <c r="S452" s="176"/>
      <c r="T452" s="176"/>
      <c r="U452" s="176"/>
      <c r="V452" s="176"/>
      <c r="W452" s="176"/>
      <c r="X452" s="176"/>
      <c r="Y452" s="176"/>
      <c r="Z452" s="176"/>
    </row>
    <row r="453">
      <c r="A453" s="226" t="s">
        <v>49</v>
      </c>
      <c r="B453" s="226" t="s">
        <v>5</v>
      </c>
      <c r="C453" s="250" t="s">
        <v>3383</v>
      </c>
      <c r="D453" s="268" t="s">
        <v>495</v>
      </c>
      <c r="E453" s="251">
        <v>44161.0</v>
      </c>
      <c r="F453" s="250" t="s">
        <v>496</v>
      </c>
      <c r="G453" s="171">
        <v>30.0</v>
      </c>
      <c r="H453" s="171">
        <v>60.0</v>
      </c>
      <c r="I453" s="171">
        <v>30.0</v>
      </c>
      <c r="J453" s="325">
        <f t="shared" si="16"/>
        <v>0.001391700814</v>
      </c>
      <c r="K453" s="326">
        <f t="shared" si="24"/>
        <v>1.090165637</v>
      </c>
      <c r="L453" s="327">
        <f t="shared" si="4"/>
        <v>2.283602708</v>
      </c>
      <c r="M453" s="321" t="str">
        <f t="shared" si="5"/>
        <v>knobsdao</v>
      </c>
      <c r="N453" s="176">
        <f>IFERROR(__xludf.DUMMYFUNCTION("""COMPUTED_VALUE"""),4.0)</f>
        <v>4</v>
      </c>
      <c r="O453" s="176"/>
      <c r="P453" s="176"/>
      <c r="Q453" s="176"/>
      <c r="R453" s="176"/>
      <c r="S453" s="176"/>
      <c r="T453" s="176"/>
      <c r="U453" s="176"/>
      <c r="V453" s="176"/>
      <c r="W453" s="176"/>
      <c r="X453" s="176"/>
      <c r="Y453" s="176"/>
      <c r="Z453" s="176"/>
    </row>
    <row r="454">
      <c r="A454" s="226" t="s">
        <v>49</v>
      </c>
      <c r="B454" s="226" t="s">
        <v>10</v>
      </c>
      <c r="C454" s="250" t="s">
        <v>3345</v>
      </c>
      <c r="D454" s="268" t="s">
        <v>495</v>
      </c>
      <c r="E454" s="251">
        <v>44163.0</v>
      </c>
      <c r="F454" s="250" t="s">
        <v>496</v>
      </c>
      <c r="G454" s="171">
        <v>40.0</v>
      </c>
      <c r="H454" s="171">
        <v>30.0</v>
      </c>
      <c r="I454" s="171">
        <v>30.0</v>
      </c>
      <c r="J454" s="325">
        <f t="shared" si="16"/>
        <v>0.001179776444</v>
      </c>
      <c r="K454" s="326">
        <f t="shared" si="24"/>
        <v>0.9241582148</v>
      </c>
      <c r="L454" s="327">
        <f t="shared" si="4"/>
        <v>2.283602708</v>
      </c>
      <c r="M454" s="321" t="str">
        <f t="shared" si="5"/>
        <v>knobsdao</v>
      </c>
      <c r="N454" s="176">
        <f>IFERROR(__xludf.DUMMYFUNCTION("""COMPUTED_VALUE"""),5.0)</f>
        <v>5</v>
      </c>
      <c r="O454" s="176"/>
      <c r="P454" s="176"/>
      <c r="Q454" s="176"/>
      <c r="R454" s="176"/>
      <c r="S454" s="176"/>
      <c r="T454" s="176"/>
      <c r="U454" s="176"/>
      <c r="V454" s="176"/>
      <c r="W454" s="176"/>
      <c r="X454" s="176"/>
      <c r="Y454" s="176"/>
      <c r="Z454" s="176"/>
    </row>
    <row r="455">
      <c r="A455" s="226" t="s">
        <v>49</v>
      </c>
      <c r="B455" s="226" t="s">
        <v>845</v>
      </c>
      <c r="C455" s="250" t="s">
        <v>3538</v>
      </c>
      <c r="D455" s="268" t="s">
        <v>495</v>
      </c>
      <c r="E455" s="361">
        <v>44166.0</v>
      </c>
      <c r="F455" s="250" t="s">
        <v>496</v>
      </c>
      <c r="G455" s="171">
        <v>50.0</v>
      </c>
      <c r="H455" s="171">
        <v>50.0</v>
      </c>
      <c r="I455" s="171">
        <v>50.0</v>
      </c>
      <c r="J455" s="325">
        <f t="shared" si="16"/>
        <v>0.001785484481</v>
      </c>
      <c r="K455" s="326">
        <f t="shared" si="24"/>
        <v>1.39862951</v>
      </c>
      <c r="L455" s="327">
        <f t="shared" si="4"/>
        <v>2.283602708</v>
      </c>
      <c r="M455" s="321" t="str">
        <f t="shared" si="5"/>
        <v>knobsdao</v>
      </c>
      <c r="N455" s="176">
        <f>IFERROR(__xludf.DUMMYFUNCTION("""COMPUTED_VALUE"""),6.0)</f>
        <v>6</v>
      </c>
      <c r="O455" s="176"/>
      <c r="P455" s="176"/>
      <c r="Q455" s="176"/>
      <c r="R455" s="176"/>
      <c r="S455" s="176"/>
      <c r="T455" s="176"/>
      <c r="U455" s="176"/>
      <c r="V455" s="176"/>
      <c r="W455" s="176"/>
      <c r="X455" s="176"/>
      <c r="Y455" s="176"/>
      <c r="Z455" s="176"/>
    </row>
    <row r="456">
      <c r="A456" s="226" t="s">
        <v>49</v>
      </c>
      <c r="B456" s="226" t="s">
        <v>18</v>
      </c>
      <c r="C456" s="250" t="s">
        <v>3347</v>
      </c>
      <c r="D456" s="268" t="s">
        <v>495</v>
      </c>
      <c r="E456" s="361">
        <v>44166.0</v>
      </c>
      <c r="F456" s="250" t="s">
        <v>496</v>
      </c>
      <c r="G456" s="171">
        <v>20.0</v>
      </c>
      <c r="H456" s="171">
        <v>60.0</v>
      </c>
      <c r="I456" s="171">
        <v>40.0</v>
      </c>
      <c r="J456" s="325">
        <f t="shared" si="16"/>
        <v>0.001425022823</v>
      </c>
      <c r="K456" s="326">
        <f t="shared" si="24"/>
        <v>1.116267878</v>
      </c>
      <c r="L456" s="327">
        <f t="shared" si="4"/>
        <v>2.283602708</v>
      </c>
      <c r="M456" s="321" t="str">
        <f t="shared" si="5"/>
        <v>knobsdao</v>
      </c>
      <c r="N456" s="176">
        <f>IFERROR(__xludf.DUMMYFUNCTION("""COMPUTED_VALUE"""),7.0)</f>
        <v>7</v>
      </c>
      <c r="O456" s="176"/>
      <c r="P456" s="176"/>
      <c r="Q456" s="176"/>
      <c r="R456" s="176"/>
      <c r="S456" s="176"/>
      <c r="T456" s="176"/>
      <c r="U456" s="176"/>
      <c r="V456" s="176"/>
      <c r="W456" s="176"/>
      <c r="X456" s="176"/>
      <c r="Y456" s="176"/>
      <c r="Z456" s="176"/>
    </row>
    <row r="457">
      <c r="A457" s="226" t="s">
        <v>49</v>
      </c>
      <c r="B457" s="226" t="s">
        <v>18</v>
      </c>
      <c r="C457" s="250" t="s">
        <v>3348</v>
      </c>
      <c r="D457" s="268" t="s">
        <v>495</v>
      </c>
      <c r="E457" s="361">
        <v>44166.0</v>
      </c>
      <c r="F457" s="250" t="s">
        <v>496</v>
      </c>
      <c r="G457" s="171">
        <v>30.0</v>
      </c>
      <c r="H457" s="171">
        <v>60.0</v>
      </c>
      <c r="I457" s="171">
        <v>40.0</v>
      </c>
      <c r="J457" s="325">
        <f t="shared" si="16"/>
        <v>0.001533508579</v>
      </c>
      <c r="K457" s="326">
        <f t="shared" si="24"/>
        <v>1.201248387</v>
      </c>
      <c r="L457" s="327">
        <f t="shared" si="4"/>
        <v>2.283602708</v>
      </c>
      <c r="M457" s="321" t="str">
        <f t="shared" si="5"/>
        <v>knobsdao</v>
      </c>
      <c r="N457" s="176">
        <f>IFERROR(__xludf.DUMMYFUNCTION("""COMPUTED_VALUE"""),8.0)</f>
        <v>8</v>
      </c>
      <c r="O457" s="176"/>
      <c r="P457" s="176"/>
      <c r="Q457" s="176"/>
      <c r="R457" s="176"/>
      <c r="S457" s="176"/>
      <c r="T457" s="176"/>
      <c r="U457" s="176"/>
      <c r="V457" s="176"/>
      <c r="W457" s="176"/>
      <c r="X457" s="176"/>
      <c r="Y457" s="176"/>
      <c r="Z457" s="176"/>
    </row>
    <row r="458">
      <c r="A458" s="226" t="s">
        <v>49</v>
      </c>
      <c r="B458" s="226" t="s">
        <v>590</v>
      </c>
      <c r="C458" s="250" t="s">
        <v>3350</v>
      </c>
      <c r="D458" s="268" t="s">
        <v>495</v>
      </c>
      <c r="E458" s="361">
        <v>44166.0</v>
      </c>
      <c r="F458" s="250" t="s">
        <v>496</v>
      </c>
      <c r="G458" s="171">
        <v>20.0</v>
      </c>
      <c r="H458" s="171">
        <v>60.0</v>
      </c>
      <c r="I458" s="171">
        <v>40.0</v>
      </c>
      <c r="J458" s="325">
        <f t="shared" si="16"/>
        <v>0.001425022823</v>
      </c>
      <c r="K458" s="326">
        <f t="shared" si="24"/>
        <v>1.116267878</v>
      </c>
      <c r="L458" s="327">
        <f t="shared" si="4"/>
        <v>2.283602708</v>
      </c>
      <c r="M458" s="321" t="str">
        <f t="shared" si="5"/>
        <v>knobsdao</v>
      </c>
      <c r="N458" s="176">
        <f>IFERROR(__xludf.DUMMYFUNCTION("""COMPUTED_VALUE"""),9.0)</f>
        <v>9</v>
      </c>
      <c r="O458" s="176"/>
      <c r="P458" s="176"/>
      <c r="Q458" s="176"/>
      <c r="R458" s="176"/>
      <c r="S458" s="176"/>
      <c r="T458" s="176"/>
      <c r="U458" s="176"/>
      <c r="V458" s="176"/>
      <c r="W458" s="176"/>
      <c r="X458" s="176"/>
      <c r="Y458" s="176"/>
      <c r="Z458" s="176"/>
    </row>
    <row r="459">
      <c r="A459" s="226" t="s">
        <v>49</v>
      </c>
      <c r="B459" s="226" t="s">
        <v>590</v>
      </c>
      <c r="C459" s="250" t="s">
        <v>3397</v>
      </c>
      <c r="D459" s="268" t="s">
        <v>495</v>
      </c>
      <c r="E459" s="361">
        <v>44166.0</v>
      </c>
      <c r="F459" s="250" t="s">
        <v>496</v>
      </c>
      <c r="G459" s="171">
        <v>20.0</v>
      </c>
      <c r="H459" s="171">
        <v>60.0</v>
      </c>
      <c r="I459" s="171">
        <v>30.0</v>
      </c>
      <c r="J459" s="325">
        <f t="shared" si="16"/>
        <v>0.001283215058</v>
      </c>
      <c r="K459" s="326">
        <f t="shared" si="24"/>
        <v>1.005185129</v>
      </c>
      <c r="L459" s="327">
        <f t="shared" si="4"/>
        <v>2.283602708</v>
      </c>
      <c r="M459" s="321" t="str">
        <f t="shared" si="5"/>
        <v>knobsdao</v>
      </c>
      <c r="N459" s="176">
        <f>IFERROR(__xludf.DUMMYFUNCTION("""COMPUTED_VALUE"""),10.0)</f>
        <v>10</v>
      </c>
      <c r="O459" s="176"/>
      <c r="P459" s="176"/>
      <c r="Q459" s="176"/>
      <c r="R459" s="176"/>
      <c r="S459" s="176"/>
      <c r="T459" s="176"/>
      <c r="U459" s="176"/>
      <c r="V459" s="176"/>
      <c r="W459" s="176"/>
      <c r="X459" s="176"/>
      <c r="Y459" s="176"/>
      <c r="Z459" s="176"/>
    </row>
    <row r="460">
      <c r="A460" s="226" t="s">
        <v>49</v>
      </c>
      <c r="B460" s="226" t="s">
        <v>5</v>
      </c>
      <c r="C460" s="250" t="s">
        <v>3390</v>
      </c>
      <c r="D460" s="268" t="s">
        <v>495</v>
      </c>
      <c r="E460" s="361">
        <v>44167.0</v>
      </c>
      <c r="F460" s="250" t="s">
        <v>496</v>
      </c>
      <c r="G460" s="171">
        <v>20.0</v>
      </c>
      <c r="H460" s="171">
        <v>60.0</v>
      </c>
      <c r="I460" s="171">
        <v>40.0</v>
      </c>
      <c r="J460" s="325">
        <f t="shared" si="16"/>
        <v>0.001425022823</v>
      </c>
      <c r="K460" s="326">
        <f t="shared" si="24"/>
        <v>1.116267878</v>
      </c>
      <c r="L460" s="327">
        <f t="shared" si="4"/>
        <v>2.283602708</v>
      </c>
      <c r="M460" s="321" t="str">
        <f t="shared" si="5"/>
        <v>knobsdao</v>
      </c>
      <c r="N460" s="176">
        <f>IFERROR(__xludf.DUMMYFUNCTION("""COMPUTED_VALUE"""),11.0)</f>
        <v>11</v>
      </c>
      <c r="O460" s="176"/>
      <c r="P460" s="176"/>
      <c r="Q460" s="176"/>
      <c r="R460" s="176"/>
      <c r="S460" s="176"/>
      <c r="T460" s="176"/>
      <c r="U460" s="176"/>
      <c r="V460" s="176"/>
      <c r="W460" s="176"/>
      <c r="X460" s="176"/>
      <c r="Y460" s="176"/>
      <c r="Z460" s="176"/>
    </row>
    <row r="461">
      <c r="A461" s="226" t="s">
        <v>49</v>
      </c>
      <c r="B461" s="226" t="s">
        <v>10</v>
      </c>
      <c r="C461" s="250" t="s">
        <v>3456</v>
      </c>
      <c r="D461" s="268" t="s">
        <v>495</v>
      </c>
      <c r="E461" s="361">
        <v>44169.0</v>
      </c>
      <c r="F461" s="250" t="s">
        <v>496</v>
      </c>
      <c r="G461" s="171">
        <v>45.0</v>
      </c>
      <c r="H461" s="171">
        <v>40.0</v>
      </c>
      <c r="I461" s="171">
        <v>40.0</v>
      </c>
      <c r="J461" s="325">
        <f t="shared" si="16"/>
        <v>0.001482630463</v>
      </c>
      <c r="K461" s="326">
        <f t="shared" si="24"/>
        <v>1.161393862</v>
      </c>
      <c r="L461" s="327">
        <f t="shared" si="4"/>
        <v>2.283602708</v>
      </c>
      <c r="M461" s="321" t="str">
        <f t="shared" si="5"/>
        <v>knobsdao</v>
      </c>
      <c r="N461" s="176">
        <f>IFERROR(__xludf.DUMMYFUNCTION("""COMPUTED_VALUE"""),12.0)</f>
        <v>12</v>
      </c>
      <c r="O461" s="176"/>
      <c r="P461" s="176"/>
      <c r="Q461" s="176"/>
      <c r="R461" s="176"/>
      <c r="S461" s="176"/>
      <c r="T461" s="176"/>
      <c r="U461" s="176"/>
      <c r="V461" s="176"/>
      <c r="W461" s="176"/>
      <c r="X461" s="176"/>
      <c r="Y461" s="176"/>
      <c r="Z461" s="176"/>
    </row>
    <row r="462">
      <c r="A462" s="226" t="s">
        <v>49</v>
      </c>
      <c r="B462" s="226" t="s">
        <v>10</v>
      </c>
      <c r="C462" s="250" t="s">
        <v>3356</v>
      </c>
      <c r="D462" s="268" t="s">
        <v>495</v>
      </c>
      <c r="E462" s="361">
        <v>44169.0</v>
      </c>
      <c r="F462" s="250" t="s">
        <v>496</v>
      </c>
      <c r="G462" s="171">
        <v>45.0</v>
      </c>
      <c r="H462" s="171">
        <v>45.0</v>
      </c>
      <c r="I462" s="171">
        <v>40.0</v>
      </c>
      <c r="J462" s="325">
        <f t="shared" si="16"/>
        <v>0.00153603215</v>
      </c>
      <c r="K462" s="326">
        <f t="shared" si="24"/>
        <v>1.203225184</v>
      </c>
      <c r="L462" s="327">
        <f t="shared" si="4"/>
        <v>2.283602708</v>
      </c>
      <c r="M462" s="321" t="str">
        <f t="shared" si="5"/>
        <v>knobsdao</v>
      </c>
      <c r="N462" s="176">
        <f>IFERROR(__xludf.DUMMYFUNCTION("""COMPUTED_VALUE"""),13.0)</f>
        <v>13</v>
      </c>
      <c r="O462" s="176"/>
      <c r="P462" s="176"/>
      <c r="Q462" s="176"/>
      <c r="R462" s="176"/>
      <c r="S462" s="176"/>
      <c r="T462" s="176"/>
      <c r="U462" s="176"/>
      <c r="V462" s="176"/>
      <c r="W462" s="176"/>
      <c r="X462" s="176"/>
      <c r="Y462" s="176"/>
      <c r="Z462" s="176"/>
    </row>
    <row r="463">
      <c r="A463" s="226" t="s">
        <v>49</v>
      </c>
      <c r="B463" s="226" t="s">
        <v>5</v>
      </c>
      <c r="C463" s="250" t="s">
        <v>3403</v>
      </c>
      <c r="D463" s="268" t="s">
        <v>495</v>
      </c>
      <c r="E463" s="361">
        <v>44169.0</v>
      </c>
      <c r="F463" s="250" t="s">
        <v>496</v>
      </c>
      <c r="G463" s="171">
        <v>10.0</v>
      </c>
      <c r="H463" s="171">
        <v>45.0</v>
      </c>
      <c r="I463" s="171">
        <v>50.0</v>
      </c>
      <c r="J463" s="325">
        <f t="shared" si="16"/>
        <v>0.00129813977</v>
      </c>
      <c r="K463" s="326">
        <f t="shared" si="24"/>
        <v>1.016876153</v>
      </c>
      <c r="L463" s="327">
        <f t="shared" si="4"/>
        <v>2.283602708</v>
      </c>
      <c r="M463" s="321" t="str">
        <f t="shared" si="5"/>
        <v>knobsdao</v>
      </c>
      <c r="N463" s="176">
        <f>IFERROR(__xludf.DUMMYFUNCTION("""COMPUTED_VALUE"""),14.0)</f>
        <v>14</v>
      </c>
      <c r="O463" s="176"/>
      <c r="P463" s="176"/>
      <c r="Q463" s="176"/>
      <c r="R463" s="176"/>
      <c r="S463" s="176"/>
      <c r="T463" s="176"/>
      <c r="U463" s="176"/>
      <c r="V463" s="176"/>
      <c r="W463" s="176"/>
      <c r="X463" s="176"/>
      <c r="Y463" s="176"/>
      <c r="Z463" s="176"/>
    </row>
    <row r="464">
      <c r="A464" s="240" t="s">
        <v>49</v>
      </c>
      <c r="B464" s="240" t="s">
        <v>534</v>
      </c>
      <c r="C464" s="221" t="s">
        <v>684</v>
      </c>
      <c r="D464" s="336"/>
      <c r="E464" s="255"/>
      <c r="F464" s="254"/>
      <c r="G464" s="222"/>
      <c r="H464" s="222"/>
      <c r="I464" s="222"/>
      <c r="J464" s="325">
        <f t="shared" si="16"/>
        <v>0</v>
      </c>
      <c r="K464" s="337">
        <f>-0.85*R464</f>
        <v>-12.94041534</v>
      </c>
      <c r="L464" s="327">
        <f t="shared" si="4"/>
        <v>2.283602708</v>
      </c>
      <c r="M464" s="321" t="str">
        <f t="shared" si="5"/>
        <v>knobsdao</v>
      </c>
      <c r="N464" s="209">
        <f>IFERROR(__xludf.DUMMYFUNCTION("""COMPUTED_VALUE"""),15.0)</f>
        <v>15</v>
      </c>
      <c r="O464" s="209"/>
      <c r="P464" s="209"/>
      <c r="Q464" s="209"/>
      <c r="R464" s="209">
        <v>15.224018051145396</v>
      </c>
      <c r="S464" s="209"/>
      <c r="T464" s="209"/>
      <c r="U464" s="209"/>
      <c r="V464" s="209"/>
      <c r="W464" s="209"/>
      <c r="X464" s="209"/>
      <c r="Y464" s="176"/>
      <c r="Z464" s="176"/>
    </row>
    <row r="465">
      <c r="A465" s="226" t="s">
        <v>59</v>
      </c>
      <c r="B465" s="226" t="s">
        <v>590</v>
      </c>
      <c r="C465" s="250" t="s">
        <v>3339</v>
      </c>
      <c r="D465" s="268" t="s">
        <v>495</v>
      </c>
      <c r="E465" s="251">
        <v>44159.0</v>
      </c>
      <c r="F465" s="373" t="s">
        <v>496</v>
      </c>
      <c r="G465" s="171">
        <v>20.0</v>
      </c>
      <c r="H465" s="171">
        <v>60.0</v>
      </c>
      <c r="I465" s="171">
        <v>30.0</v>
      </c>
      <c r="J465" s="325">
        <f t="shared" si="16"/>
        <v>0.001283215058</v>
      </c>
      <c r="K465" s="326">
        <f t="shared" ref="K465:K469" si="25">J465*$J$1</f>
        <v>1.005185129</v>
      </c>
      <c r="L465" s="327">
        <f t="shared" si="4"/>
        <v>2.184188795</v>
      </c>
      <c r="M465" s="321" t="str">
        <f t="shared" si="5"/>
        <v>krisjones</v>
      </c>
      <c r="N465" s="176">
        <f>IFERROR(__xludf.DUMMYFUNCTION("""COMPUTED_VALUE"""),1.0)</f>
        <v>1</v>
      </c>
      <c r="O465" s="176"/>
      <c r="P465" s="176"/>
      <c r="Q465" s="176"/>
      <c r="R465" s="176"/>
      <c r="S465" s="176"/>
      <c r="T465" s="176"/>
      <c r="U465" s="176"/>
      <c r="V465" s="176"/>
      <c r="W465" s="176"/>
      <c r="X465" s="176"/>
      <c r="Y465" s="176"/>
      <c r="Z465" s="176"/>
    </row>
    <row r="466">
      <c r="A466" s="226" t="s">
        <v>59</v>
      </c>
      <c r="B466" s="226" t="s">
        <v>868</v>
      </c>
      <c r="C466" s="250" t="s">
        <v>3432</v>
      </c>
      <c r="D466" s="268" t="s">
        <v>495</v>
      </c>
      <c r="E466" s="251">
        <v>44161.0</v>
      </c>
      <c r="F466" s="373" t="s">
        <v>496</v>
      </c>
      <c r="G466" s="171">
        <v>150.0</v>
      </c>
      <c r="H466" s="171">
        <v>110.0</v>
      </c>
      <c r="I466" s="171">
        <v>100.0</v>
      </c>
      <c r="J466" s="325">
        <f t="shared" si="16"/>
        <v>0.004220201116</v>
      </c>
      <c r="K466" s="326">
        <f t="shared" si="25"/>
        <v>3.305824208</v>
      </c>
      <c r="L466" s="327">
        <f t="shared" si="4"/>
        <v>2.184188795</v>
      </c>
      <c r="M466" s="321" t="str">
        <f t="shared" si="5"/>
        <v>krisjones</v>
      </c>
      <c r="N466" s="176">
        <f>IFERROR(__xludf.DUMMYFUNCTION("""COMPUTED_VALUE"""),2.0)</f>
        <v>2</v>
      </c>
      <c r="O466" s="176"/>
      <c r="P466" s="176"/>
      <c r="Q466" s="176"/>
      <c r="R466" s="176"/>
      <c r="S466" s="176"/>
      <c r="T466" s="176"/>
      <c r="U466" s="176"/>
      <c r="V466" s="176"/>
      <c r="W466" s="176"/>
      <c r="X466" s="176"/>
      <c r="Y466" s="176"/>
      <c r="Z466" s="176"/>
    </row>
    <row r="467">
      <c r="A467" s="226" t="s">
        <v>59</v>
      </c>
      <c r="B467" s="226" t="s">
        <v>10</v>
      </c>
      <c r="C467" s="250" t="s">
        <v>3345</v>
      </c>
      <c r="D467" s="268" t="s">
        <v>495</v>
      </c>
      <c r="E467" s="251">
        <v>44163.0</v>
      </c>
      <c r="F467" s="373" t="s">
        <v>496</v>
      </c>
      <c r="G467" s="171">
        <v>40.0</v>
      </c>
      <c r="H467" s="171">
        <v>30.0</v>
      </c>
      <c r="I467" s="171">
        <v>30.0</v>
      </c>
      <c r="J467" s="325">
        <f t="shared" si="16"/>
        <v>0.001179776444</v>
      </c>
      <c r="K467" s="326">
        <f t="shared" si="25"/>
        <v>0.9241582148</v>
      </c>
      <c r="L467" s="327">
        <f t="shared" si="4"/>
        <v>2.184188795</v>
      </c>
      <c r="M467" s="321" t="str">
        <f t="shared" si="5"/>
        <v>krisjones</v>
      </c>
      <c r="N467" s="176">
        <f>IFERROR(__xludf.DUMMYFUNCTION("""COMPUTED_VALUE"""),3.0)</f>
        <v>3</v>
      </c>
      <c r="O467" s="176"/>
      <c r="P467" s="176"/>
      <c r="Q467" s="176"/>
      <c r="R467" s="176"/>
      <c r="S467" s="176"/>
      <c r="T467" s="176"/>
      <c r="U467" s="176"/>
      <c r="V467" s="176"/>
      <c r="W467" s="176"/>
      <c r="X467" s="176"/>
      <c r="Y467" s="176"/>
      <c r="Z467" s="176"/>
    </row>
    <row r="468">
      <c r="A468" s="226" t="s">
        <v>59</v>
      </c>
      <c r="B468" s="226" t="s">
        <v>590</v>
      </c>
      <c r="C468" s="250" t="s">
        <v>3397</v>
      </c>
      <c r="D468" s="268" t="s">
        <v>495</v>
      </c>
      <c r="E468" s="361">
        <v>44166.0</v>
      </c>
      <c r="F468" s="250" t="s">
        <v>496</v>
      </c>
      <c r="G468" s="171">
        <v>40.0</v>
      </c>
      <c r="H468" s="171">
        <v>60.0</v>
      </c>
      <c r="I468" s="171">
        <v>30.0</v>
      </c>
      <c r="J468" s="325">
        <f t="shared" si="16"/>
        <v>0.001500186569</v>
      </c>
      <c r="K468" s="326">
        <f t="shared" si="25"/>
        <v>1.175146146</v>
      </c>
      <c r="L468" s="327">
        <f t="shared" si="4"/>
        <v>2.184188795</v>
      </c>
      <c r="M468" s="321" t="str">
        <f t="shared" si="5"/>
        <v>krisjones</v>
      </c>
      <c r="N468" s="176">
        <f>IFERROR(__xludf.DUMMYFUNCTION("""COMPUTED_VALUE"""),4.0)</f>
        <v>4</v>
      </c>
      <c r="O468" s="176"/>
      <c r="P468" s="176"/>
      <c r="Q468" s="176"/>
      <c r="R468" s="176"/>
      <c r="S468" s="176"/>
      <c r="T468" s="176"/>
      <c r="U468" s="176"/>
      <c r="V468" s="176"/>
      <c r="W468" s="176"/>
      <c r="X468" s="176"/>
      <c r="Y468" s="176"/>
      <c r="Z468" s="176"/>
    </row>
    <row r="469">
      <c r="A469" s="226" t="s">
        <v>59</v>
      </c>
      <c r="B469" s="226" t="s">
        <v>5</v>
      </c>
      <c r="C469" s="250" t="s">
        <v>3403</v>
      </c>
      <c r="D469" s="268" t="s">
        <v>495</v>
      </c>
      <c r="E469" s="361">
        <v>44169.0</v>
      </c>
      <c r="F469" s="250" t="s">
        <v>496</v>
      </c>
      <c r="G469" s="171">
        <v>500.0</v>
      </c>
      <c r="H469" s="171">
        <v>400.0</v>
      </c>
      <c r="I469" s="171">
        <v>50.0</v>
      </c>
      <c r="J469" s="325">
        <f t="shared" si="16"/>
        <v>0.01040546162</v>
      </c>
      <c r="K469" s="326">
        <f t="shared" si="25"/>
        <v>8.150944934</v>
      </c>
      <c r="L469" s="327">
        <f t="shared" si="4"/>
        <v>2.184188795</v>
      </c>
      <c r="M469" s="321" t="str">
        <f t="shared" si="5"/>
        <v>krisjones</v>
      </c>
      <c r="N469" s="176">
        <f>IFERROR(__xludf.DUMMYFUNCTION("""COMPUTED_VALUE"""),5.0)</f>
        <v>5</v>
      </c>
      <c r="O469" s="176"/>
      <c r="P469" s="176"/>
      <c r="Q469" s="176"/>
      <c r="R469" s="176"/>
      <c r="S469" s="176"/>
      <c r="T469" s="176"/>
      <c r="U469" s="176"/>
      <c r="V469" s="176"/>
      <c r="W469" s="176"/>
      <c r="X469" s="176"/>
      <c r="Y469" s="176"/>
      <c r="Z469" s="176"/>
    </row>
    <row r="470">
      <c r="A470" s="240" t="s">
        <v>59</v>
      </c>
      <c r="B470" s="240" t="s">
        <v>534</v>
      </c>
      <c r="C470" s="349" t="s">
        <v>810</v>
      </c>
      <c r="D470" s="336"/>
      <c r="E470" s="340"/>
      <c r="F470" s="254"/>
      <c r="G470" s="222"/>
      <c r="H470" s="222"/>
      <c r="I470" s="222"/>
      <c r="J470" s="325">
        <f t="shared" si="16"/>
        <v>0</v>
      </c>
      <c r="K470" s="337">
        <f>-0.85*R470</f>
        <v>-12.37706984</v>
      </c>
      <c r="L470" s="327">
        <f t="shared" si="4"/>
        <v>2.184188795</v>
      </c>
      <c r="M470" s="321" t="str">
        <f t="shared" si="5"/>
        <v>krisjones</v>
      </c>
      <c r="N470" s="209">
        <f>IFERROR(__xludf.DUMMYFUNCTION("""COMPUTED_VALUE"""),6.0)</f>
        <v>6</v>
      </c>
      <c r="O470" s="209"/>
      <c r="P470" s="209"/>
      <c r="Q470" s="209"/>
      <c r="R470" s="209">
        <v>14.561258630642886</v>
      </c>
      <c r="S470" s="209"/>
      <c r="T470" s="209"/>
      <c r="U470" s="209"/>
      <c r="V470" s="209"/>
      <c r="W470" s="209"/>
      <c r="X470" s="209"/>
      <c r="Y470" s="176"/>
      <c r="Z470" s="176"/>
    </row>
    <row r="471">
      <c r="A471" s="226" t="s">
        <v>85</v>
      </c>
      <c r="B471" s="226" t="s">
        <v>6</v>
      </c>
      <c r="C471" s="250" t="s">
        <v>3364</v>
      </c>
      <c r="D471" s="268" t="s">
        <v>495</v>
      </c>
      <c r="E471" s="251">
        <v>44159.0</v>
      </c>
      <c r="F471" s="368" t="s">
        <v>496</v>
      </c>
      <c r="G471" s="268">
        <v>30.0</v>
      </c>
      <c r="H471" s="236">
        <v>69.0</v>
      </c>
      <c r="I471" s="236">
        <v>50.0</v>
      </c>
      <c r="J471" s="325">
        <f t="shared" si="16"/>
        <v>0.001771439382</v>
      </c>
      <c r="K471" s="326">
        <f t="shared" ref="K471:K475" si="26">J471*$J$1</f>
        <v>1.387627516</v>
      </c>
      <c r="L471" s="327">
        <f t="shared" si="4"/>
        <v>2.119555574</v>
      </c>
      <c r="M471" s="321" t="str">
        <f t="shared" si="5"/>
        <v>vivszaid</v>
      </c>
      <c r="N471" s="176">
        <f>IFERROR(__xludf.DUMMYFUNCTION("""COMPUTED_VALUE"""),1.0)</f>
        <v>1</v>
      </c>
      <c r="O471" s="176"/>
      <c r="P471" s="176"/>
      <c r="Q471" s="176"/>
      <c r="R471" s="176"/>
      <c r="S471" s="176"/>
      <c r="T471" s="176"/>
      <c r="U471" s="176"/>
      <c r="V471" s="176"/>
      <c r="W471" s="176"/>
      <c r="X471" s="176"/>
      <c r="Y471" s="176"/>
      <c r="Z471" s="176"/>
    </row>
    <row r="472">
      <c r="A472" s="226" t="s">
        <v>85</v>
      </c>
      <c r="B472" s="226" t="s">
        <v>6</v>
      </c>
      <c r="C472" s="250" t="s">
        <v>3539</v>
      </c>
      <c r="D472" s="268" t="s">
        <v>495</v>
      </c>
      <c r="E472" s="251">
        <v>44159.0</v>
      </c>
      <c r="F472" s="368" t="s">
        <v>496</v>
      </c>
      <c r="G472" s="236">
        <v>200.0</v>
      </c>
      <c r="H472" s="236">
        <v>110.0</v>
      </c>
      <c r="I472" s="236">
        <v>50.0</v>
      </c>
      <c r="J472" s="325">
        <f t="shared" si="16"/>
        <v>0.004053591068</v>
      </c>
      <c r="K472" s="326">
        <f t="shared" si="26"/>
        <v>3.175313003</v>
      </c>
      <c r="L472" s="327">
        <f t="shared" si="4"/>
        <v>2.119555574</v>
      </c>
      <c r="M472" s="321" t="str">
        <f t="shared" si="5"/>
        <v>vivszaid</v>
      </c>
      <c r="N472" s="176">
        <f>IFERROR(__xludf.DUMMYFUNCTION("""COMPUTED_VALUE"""),2.0)</f>
        <v>2</v>
      </c>
      <c r="O472" s="176"/>
      <c r="P472" s="176"/>
      <c r="Q472" s="176"/>
      <c r="R472" s="176"/>
      <c r="S472" s="176"/>
      <c r="T472" s="176"/>
      <c r="U472" s="176"/>
      <c r="V472" s="176"/>
      <c r="W472" s="176"/>
      <c r="X472" s="176"/>
      <c r="Y472" s="176"/>
      <c r="Z472" s="176"/>
    </row>
    <row r="473">
      <c r="A473" s="226" t="s">
        <v>85</v>
      </c>
      <c r="B473" s="226" t="s">
        <v>6</v>
      </c>
      <c r="C473" s="250" t="s">
        <v>3540</v>
      </c>
      <c r="D473" s="268" t="s">
        <v>495</v>
      </c>
      <c r="E473" s="251">
        <v>44159.0</v>
      </c>
      <c r="F473" s="368" t="s">
        <v>496</v>
      </c>
      <c r="G473" s="268">
        <v>40.0</v>
      </c>
      <c r="H473" s="236">
        <v>500.0</v>
      </c>
      <c r="I473" s="236">
        <v>80.0</v>
      </c>
      <c r="J473" s="325">
        <f t="shared" si="16"/>
        <v>0.006908573896</v>
      </c>
      <c r="K473" s="326">
        <f t="shared" si="26"/>
        <v>5.411716218</v>
      </c>
      <c r="L473" s="327">
        <f t="shared" si="4"/>
        <v>2.119555574</v>
      </c>
      <c r="M473" s="321" t="str">
        <f t="shared" si="5"/>
        <v>vivszaid</v>
      </c>
      <c r="N473" s="176">
        <f>IFERROR(__xludf.DUMMYFUNCTION("""COMPUTED_VALUE"""),3.0)</f>
        <v>3</v>
      </c>
      <c r="O473" s="176"/>
      <c r="P473" s="176"/>
      <c r="Q473" s="176"/>
      <c r="R473" s="176"/>
      <c r="S473" s="176"/>
      <c r="T473" s="176"/>
      <c r="U473" s="176"/>
      <c r="V473" s="176"/>
      <c r="W473" s="176"/>
      <c r="X473" s="176"/>
      <c r="Y473" s="176"/>
      <c r="Z473" s="176"/>
    </row>
    <row r="474">
      <c r="A474" s="226" t="s">
        <v>85</v>
      </c>
      <c r="B474" s="226" t="s">
        <v>10</v>
      </c>
      <c r="C474" s="250" t="s">
        <v>3345</v>
      </c>
      <c r="D474" s="268" t="s">
        <v>495</v>
      </c>
      <c r="E474" s="251">
        <v>44163.0</v>
      </c>
      <c r="F474" s="368" t="s">
        <v>496</v>
      </c>
      <c r="G474" s="268">
        <v>40.0</v>
      </c>
      <c r="H474" s="236">
        <v>30.0</v>
      </c>
      <c r="I474" s="236">
        <v>30.0</v>
      </c>
      <c r="J474" s="325">
        <f t="shared" si="16"/>
        <v>0.001179776444</v>
      </c>
      <c r="K474" s="326">
        <f t="shared" si="26"/>
        <v>0.9241582148</v>
      </c>
      <c r="L474" s="327">
        <f t="shared" si="4"/>
        <v>2.119555574</v>
      </c>
      <c r="M474" s="321" t="str">
        <f t="shared" si="5"/>
        <v>vivszaid</v>
      </c>
      <c r="N474" s="176">
        <f>IFERROR(__xludf.DUMMYFUNCTION("""COMPUTED_VALUE"""),4.0)</f>
        <v>4</v>
      </c>
      <c r="O474" s="176"/>
      <c r="P474" s="176"/>
      <c r="Q474" s="176"/>
      <c r="R474" s="176"/>
      <c r="S474" s="176"/>
      <c r="T474" s="176"/>
      <c r="U474" s="176"/>
      <c r="V474" s="176"/>
      <c r="W474" s="176"/>
      <c r="X474" s="176"/>
      <c r="Y474" s="176"/>
      <c r="Z474" s="176"/>
    </row>
    <row r="475">
      <c r="A475" s="226" t="s">
        <v>85</v>
      </c>
      <c r="B475" s="226" t="s">
        <v>6</v>
      </c>
      <c r="C475" s="250" t="s">
        <v>3541</v>
      </c>
      <c r="D475" s="268" t="s">
        <v>495</v>
      </c>
      <c r="E475" s="251">
        <v>44163.0</v>
      </c>
      <c r="F475" s="368" t="s">
        <v>2586</v>
      </c>
      <c r="G475" s="236">
        <v>200.0</v>
      </c>
      <c r="H475" s="236">
        <v>130.0</v>
      </c>
      <c r="I475" s="236">
        <v>40.0</v>
      </c>
      <c r="J475" s="325">
        <f t="shared" si="16"/>
        <v>0.004125390053</v>
      </c>
      <c r="K475" s="326">
        <f t="shared" si="26"/>
        <v>3.231555541</v>
      </c>
      <c r="L475" s="327">
        <f t="shared" si="4"/>
        <v>2.119555574</v>
      </c>
      <c r="M475" s="321" t="str">
        <f t="shared" si="5"/>
        <v>vivszaid</v>
      </c>
      <c r="N475" s="176">
        <f>IFERROR(__xludf.DUMMYFUNCTION("""COMPUTED_VALUE"""),5.0)</f>
        <v>5</v>
      </c>
      <c r="O475" s="176"/>
      <c r="P475" s="176"/>
      <c r="Q475" s="176"/>
      <c r="R475" s="176"/>
      <c r="S475" s="176"/>
      <c r="T475" s="176"/>
      <c r="U475" s="176"/>
      <c r="V475" s="176"/>
      <c r="W475" s="176"/>
      <c r="X475" s="176"/>
      <c r="Y475" s="176"/>
      <c r="Z475" s="176"/>
    </row>
    <row r="476">
      <c r="A476" s="240" t="s">
        <v>85</v>
      </c>
      <c r="B476" s="240" t="s">
        <v>534</v>
      </c>
      <c r="C476" s="346" t="s">
        <v>2386</v>
      </c>
      <c r="D476" s="336"/>
      <c r="E476" s="255"/>
      <c r="F476" s="254"/>
      <c r="G476" s="222"/>
      <c r="H476" s="222"/>
      <c r="I476" s="222"/>
      <c r="J476" s="325">
        <f t="shared" si="16"/>
        <v>0</v>
      </c>
      <c r="K476" s="337">
        <f>-0.85*R476</f>
        <v>-12.01081492</v>
      </c>
      <c r="L476" s="327">
        <f t="shared" si="4"/>
        <v>2.119555574</v>
      </c>
      <c r="M476" s="321" t="str">
        <f t="shared" si="5"/>
        <v>vivszaid</v>
      </c>
      <c r="N476" s="209">
        <f>IFERROR(__xludf.DUMMYFUNCTION("""COMPUTED_VALUE"""),6.0)</f>
        <v>6</v>
      </c>
      <c r="O476" s="176"/>
      <c r="P476" s="176"/>
      <c r="Q476" s="176"/>
      <c r="R476" s="176">
        <v>14.130370493717818</v>
      </c>
      <c r="S476" s="176"/>
      <c r="T476" s="176"/>
      <c r="U476" s="176"/>
      <c r="V476" s="176"/>
      <c r="W476" s="176"/>
      <c r="X476" s="176"/>
      <c r="Y476" s="176"/>
      <c r="Z476" s="176"/>
    </row>
    <row r="477">
      <c r="A477" s="226" t="s">
        <v>180</v>
      </c>
      <c r="B477" s="226" t="s">
        <v>10</v>
      </c>
      <c r="C477" s="250" t="s">
        <v>3542</v>
      </c>
      <c r="D477" s="268" t="s">
        <v>495</v>
      </c>
      <c r="E477" s="251">
        <v>44162.0</v>
      </c>
      <c r="F477" s="368" t="s">
        <v>496</v>
      </c>
      <c r="G477" s="268">
        <v>100.0</v>
      </c>
      <c r="H477" s="236">
        <v>60.0</v>
      </c>
      <c r="I477" s="236">
        <v>50.0</v>
      </c>
      <c r="J477" s="325">
        <f t="shared" si="16"/>
        <v>0.002434716635</v>
      </c>
      <c r="K477" s="326">
        <f t="shared" ref="K477:K483" si="27">J477*$J$1</f>
        <v>1.907194697</v>
      </c>
      <c r="L477" s="327">
        <f t="shared" si="4"/>
        <v>1.907194697</v>
      </c>
      <c r="M477" s="321" t="str">
        <f t="shared" si="5"/>
        <v>bierlingm</v>
      </c>
      <c r="N477" s="176">
        <f>IFERROR(__xludf.DUMMYFUNCTION("""COMPUTED_VALUE"""),1.0)</f>
        <v>1</v>
      </c>
      <c r="O477" s="176"/>
      <c r="P477" s="176"/>
      <c r="Q477" s="176"/>
      <c r="R477" s="176"/>
      <c r="S477" s="176"/>
      <c r="T477" s="176"/>
      <c r="U477" s="176"/>
      <c r="V477" s="176"/>
      <c r="W477" s="176"/>
      <c r="X477" s="176"/>
      <c r="Y477" s="176"/>
      <c r="Z477" s="176"/>
    </row>
    <row r="478">
      <c r="A478" s="226" t="s">
        <v>62</v>
      </c>
      <c r="B478" s="226" t="s">
        <v>6</v>
      </c>
      <c r="C478" s="250" t="s">
        <v>3364</v>
      </c>
      <c r="D478" s="268" t="s">
        <v>495</v>
      </c>
      <c r="E478" s="251">
        <v>44159.0</v>
      </c>
      <c r="F478" s="368" t="s">
        <v>496</v>
      </c>
      <c r="G478" s="268">
        <v>30.0</v>
      </c>
      <c r="H478" s="236">
        <v>60.0</v>
      </c>
      <c r="I478" s="236">
        <v>50.0</v>
      </c>
      <c r="J478" s="325">
        <f t="shared" si="16"/>
        <v>0.001675316344</v>
      </c>
      <c r="K478" s="326">
        <f t="shared" si="27"/>
        <v>1.312331136</v>
      </c>
      <c r="L478" s="327">
        <f t="shared" si="4"/>
        <v>1.668758291</v>
      </c>
      <c r="M478" s="321" t="str">
        <f t="shared" si="5"/>
        <v>fiorebotta</v>
      </c>
      <c r="N478" s="176">
        <f>IFERROR(__xludf.DUMMYFUNCTION("""COMPUTED_VALUE"""),1.0)</f>
        <v>1</v>
      </c>
      <c r="O478" s="176"/>
      <c r="P478" s="176"/>
      <c r="Q478" s="176"/>
      <c r="R478" s="176"/>
      <c r="S478" s="176"/>
      <c r="T478" s="176"/>
      <c r="U478" s="176"/>
      <c r="V478" s="176"/>
      <c r="W478" s="176"/>
      <c r="X478" s="176"/>
      <c r="Y478" s="176"/>
      <c r="Z478" s="176"/>
    </row>
    <row r="479">
      <c r="A479" s="226" t="s">
        <v>62</v>
      </c>
      <c r="B479" s="226" t="s">
        <v>6</v>
      </c>
      <c r="C479" s="250" t="s">
        <v>3543</v>
      </c>
      <c r="D479" s="268" t="s">
        <v>495</v>
      </c>
      <c r="E479" s="251">
        <v>44159.0</v>
      </c>
      <c r="F479" s="368" t="s">
        <v>496</v>
      </c>
      <c r="G479" s="268">
        <v>30.0</v>
      </c>
      <c r="H479" s="236">
        <v>100.0</v>
      </c>
      <c r="I479" s="236">
        <v>50.0</v>
      </c>
      <c r="J479" s="325">
        <f t="shared" si="16"/>
        <v>0.002102529844</v>
      </c>
      <c r="K479" s="326">
        <f t="shared" si="27"/>
        <v>1.646981711</v>
      </c>
      <c r="L479" s="327">
        <f t="shared" si="4"/>
        <v>1.668758291</v>
      </c>
      <c r="M479" s="321" t="str">
        <f t="shared" si="5"/>
        <v>fiorebotta</v>
      </c>
      <c r="N479" s="176">
        <f>IFERROR(__xludf.DUMMYFUNCTION("""COMPUTED_VALUE"""),2.0)</f>
        <v>2</v>
      </c>
      <c r="O479" s="176"/>
      <c r="P479" s="176"/>
      <c r="Q479" s="176"/>
      <c r="R479" s="176"/>
      <c r="S479" s="176"/>
      <c r="T479" s="176"/>
      <c r="U479" s="176"/>
      <c r="V479" s="176"/>
      <c r="W479" s="176"/>
      <c r="X479" s="176"/>
      <c r="Y479" s="176"/>
      <c r="Z479" s="176"/>
    </row>
    <row r="480">
      <c r="A480" s="226" t="s">
        <v>62</v>
      </c>
      <c r="B480" s="226" t="s">
        <v>6</v>
      </c>
      <c r="C480" s="250" t="s">
        <v>3539</v>
      </c>
      <c r="D480" s="268" t="s">
        <v>495</v>
      </c>
      <c r="E480" s="251">
        <v>44159.0</v>
      </c>
      <c r="F480" s="368" t="s">
        <v>496</v>
      </c>
      <c r="G480" s="268">
        <v>30.0</v>
      </c>
      <c r="H480" s="236">
        <v>110.0</v>
      </c>
      <c r="I480" s="236">
        <v>50.0</v>
      </c>
      <c r="J480" s="325">
        <f t="shared" si="16"/>
        <v>0.002209333219</v>
      </c>
      <c r="K480" s="326">
        <f t="shared" si="27"/>
        <v>1.730644355</v>
      </c>
      <c r="L480" s="327">
        <f t="shared" si="4"/>
        <v>1.668758291</v>
      </c>
      <c r="M480" s="321" t="str">
        <f t="shared" si="5"/>
        <v>fiorebotta</v>
      </c>
      <c r="N480" s="176">
        <f>IFERROR(__xludf.DUMMYFUNCTION("""COMPUTED_VALUE"""),3.0)</f>
        <v>3</v>
      </c>
      <c r="O480" s="176"/>
      <c r="P480" s="176"/>
      <c r="Q480" s="176"/>
      <c r="R480" s="176"/>
      <c r="S480" s="176"/>
      <c r="T480" s="176"/>
      <c r="U480" s="176"/>
      <c r="V480" s="176"/>
      <c r="W480" s="176"/>
      <c r="X480" s="176"/>
      <c r="Y480" s="176"/>
      <c r="Z480" s="176"/>
    </row>
    <row r="481">
      <c r="A481" s="226" t="s">
        <v>62</v>
      </c>
      <c r="B481" s="226" t="s">
        <v>10</v>
      </c>
      <c r="C481" s="250" t="s">
        <v>3544</v>
      </c>
      <c r="D481" s="268" t="s">
        <v>495</v>
      </c>
      <c r="E481" s="251">
        <v>44162.0</v>
      </c>
      <c r="F481" s="368" t="s">
        <v>496</v>
      </c>
      <c r="G481" s="268">
        <v>100.0</v>
      </c>
      <c r="H481" s="236">
        <v>150.0</v>
      </c>
      <c r="I481" s="236">
        <v>100.0</v>
      </c>
      <c r="J481" s="325">
        <f t="shared" si="16"/>
        <v>0.004104985837</v>
      </c>
      <c r="K481" s="326">
        <f t="shared" si="27"/>
        <v>3.215572239</v>
      </c>
      <c r="L481" s="327">
        <f t="shared" si="4"/>
        <v>1.668758291</v>
      </c>
      <c r="M481" s="321" t="str">
        <f t="shared" si="5"/>
        <v>fiorebotta</v>
      </c>
      <c r="N481" s="176">
        <f>IFERROR(__xludf.DUMMYFUNCTION("""COMPUTED_VALUE"""),4.0)</f>
        <v>4</v>
      </c>
      <c r="O481" s="176"/>
      <c r="P481" s="176"/>
      <c r="Q481" s="176"/>
      <c r="R481" s="176"/>
      <c r="S481" s="176"/>
      <c r="T481" s="176"/>
      <c r="U481" s="176"/>
      <c r="V481" s="176"/>
      <c r="W481" s="176"/>
      <c r="X481" s="176"/>
      <c r="Y481" s="176"/>
      <c r="Z481" s="176"/>
    </row>
    <row r="482">
      <c r="A482" s="226" t="s">
        <v>62</v>
      </c>
      <c r="B482" s="226" t="s">
        <v>6</v>
      </c>
      <c r="C482" s="250" t="s">
        <v>3373</v>
      </c>
      <c r="D482" s="268" t="s">
        <v>495</v>
      </c>
      <c r="E482" s="251">
        <v>44165.0</v>
      </c>
      <c r="F482" s="368" t="s">
        <v>496</v>
      </c>
      <c r="G482" s="268">
        <v>30.0</v>
      </c>
      <c r="H482" s="236">
        <v>60.0</v>
      </c>
      <c r="I482" s="236">
        <v>50.0</v>
      </c>
      <c r="J482" s="325">
        <f t="shared" si="16"/>
        <v>0.001675316344</v>
      </c>
      <c r="K482" s="326">
        <f t="shared" si="27"/>
        <v>1.312331136</v>
      </c>
      <c r="L482" s="327">
        <f t="shared" si="4"/>
        <v>1.668758291</v>
      </c>
      <c r="M482" s="321" t="str">
        <f t="shared" si="5"/>
        <v>fiorebotta</v>
      </c>
      <c r="N482" s="176">
        <f>IFERROR(__xludf.DUMMYFUNCTION("""COMPUTED_VALUE"""),5.0)</f>
        <v>5</v>
      </c>
      <c r="O482" s="176"/>
      <c r="P482" s="176"/>
      <c r="Q482" s="176"/>
      <c r="R482" s="176"/>
      <c r="S482" s="176"/>
      <c r="T482" s="176"/>
      <c r="U482" s="176"/>
      <c r="V482" s="176"/>
      <c r="W482" s="176"/>
      <c r="X482" s="176"/>
      <c r="Y482" s="176"/>
      <c r="Z482" s="176"/>
    </row>
    <row r="483">
      <c r="A483" s="226" t="s">
        <v>62</v>
      </c>
      <c r="B483" s="226" t="s">
        <v>62</v>
      </c>
      <c r="C483" s="250" t="s">
        <v>3545</v>
      </c>
      <c r="D483" s="268" t="s">
        <v>495</v>
      </c>
      <c r="E483" s="361">
        <v>44168.0</v>
      </c>
      <c r="F483" s="250" t="s">
        <v>2586</v>
      </c>
      <c r="G483" s="171">
        <v>100.0</v>
      </c>
      <c r="H483" s="171">
        <v>60.0</v>
      </c>
      <c r="I483" s="171">
        <v>50.0</v>
      </c>
      <c r="J483" s="325">
        <f t="shared" si="16"/>
        <v>0.002434716635</v>
      </c>
      <c r="K483" s="326">
        <f t="shared" si="27"/>
        <v>1.907194697</v>
      </c>
      <c r="L483" s="327">
        <f t="shared" si="4"/>
        <v>1.668758291</v>
      </c>
      <c r="M483" s="321" t="str">
        <f t="shared" si="5"/>
        <v>fiorebotta</v>
      </c>
      <c r="N483" s="176">
        <f>IFERROR(__xludf.DUMMYFUNCTION("""COMPUTED_VALUE"""),6.0)</f>
        <v>6</v>
      </c>
      <c r="O483" s="176"/>
      <c r="P483" s="176"/>
      <c r="Q483" s="176"/>
      <c r="R483" s="176"/>
      <c r="S483" s="176"/>
      <c r="T483" s="176"/>
      <c r="U483" s="176"/>
      <c r="V483" s="176"/>
      <c r="W483" s="176"/>
      <c r="X483" s="176"/>
      <c r="Y483" s="176"/>
      <c r="Z483" s="176"/>
    </row>
    <row r="484">
      <c r="A484" s="362" t="s">
        <v>62</v>
      </c>
      <c r="B484" s="240" t="s">
        <v>534</v>
      </c>
      <c r="C484" s="346" t="s">
        <v>2386</v>
      </c>
      <c r="D484" s="336"/>
      <c r="E484" s="255"/>
      <c r="F484" s="254"/>
      <c r="G484" s="222"/>
      <c r="H484" s="222"/>
      <c r="I484" s="222"/>
      <c r="J484" s="325">
        <f t="shared" si="16"/>
        <v>0</v>
      </c>
      <c r="K484" s="337">
        <f>-0.85*R484</f>
        <v>-9.456296984</v>
      </c>
      <c r="L484" s="327">
        <f t="shared" si="4"/>
        <v>1.668758291</v>
      </c>
      <c r="M484" s="321" t="str">
        <f t="shared" si="5"/>
        <v>fiorebotta</v>
      </c>
      <c r="N484" s="209">
        <f>IFERROR(__xludf.DUMMYFUNCTION("""COMPUTED_VALUE"""),7.0)</f>
        <v>7</v>
      </c>
      <c r="O484" s="176"/>
      <c r="P484" s="176"/>
      <c r="Q484" s="176"/>
      <c r="R484" s="176">
        <v>11.125055275694283</v>
      </c>
      <c r="S484" s="176"/>
      <c r="T484" s="176"/>
      <c r="U484" s="176"/>
      <c r="V484" s="176"/>
      <c r="W484" s="176"/>
      <c r="X484" s="176"/>
      <c r="Y484" s="176"/>
      <c r="Z484" s="176"/>
    </row>
    <row r="485">
      <c r="A485" s="226" t="s">
        <v>105</v>
      </c>
      <c r="B485" s="226" t="s">
        <v>5</v>
      </c>
      <c r="C485" s="250" t="s">
        <v>3378</v>
      </c>
      <c r="D485" s="268" t="s">
        <v>495</v>
      </c>
      <c r="E485" s="361">
        <v>44169.0</v>
      </c>
      <c r="F485" s="250" t="s">
        <v>496</v>
      </c>
      <c r="G485" s="171">
        <v>60.0</v>
      </c>
      <c r="H485" s="171">
        <v>60.0</v>
      </c>
      <c r="I485" s="171">
        <v>50.0</v>
      </c>
      <c r="J485" s="325">
        <f t="shared" si="16"/>
        <v>0.002000773612</v>
      </c>
      <c r="K485" s="326">
        <f t="shared" ref="K485:K492" si="28">J485*$J$1</f>
        <v>1.567272663</v>
      </c>
      <c r="L485" s="327">
        <f t="shared" si="4"/>
        <v>1.567272663</v>
      </c>
      <c r="M485" s="321" t="str">
        <f t="shared" si="5"/>
        <v>marinam00</v>
      </c>
      <c r="N485" s="176">
        <f>IFERROR(__xludf.DUMMYFUNCTION("""COMPUTED_VALUE"""),1.0)</f>
        <v>1</v>
      </c>
      <c r="O485" s="176"/>
      <c r="P485" s="176"/>
      <c r="Q485" s="176"/>
      <c r="R485" s="176"/>
      <c r="S485" s="176"/>
      <c r="T485" s="176"/>
      <c r="U485" s="176"/>
      <c r="V485" s="176"/>
      <c r="W485" s="176"/>
      <c r="X485" s="176"/>
      <c r="Y485" s="176"/>
      <c r="Z485" s="176"/>
    </row>
    <row r="486">
      <c r="A486" s="226" t="s">
        <v>109</v>
      </c>
      <c r="B486" s="226" t="s">
        <v>845</v>
      </c>
      <c r="C486" s="250" t="s">
        <v>3357</v>
      </c>
      <c r="D486" s="268" t="s">
        <v>495</v>
      </c>
      <c r="E486" s="361">
        <v>44169.0</v>
      </c>
      <c r="F486" s="250" t="s">
        <v>496</v>
      </c>
      <c r="G486" s="171">
        <v>60.0</v>
      </c>
      <c r="H486" s="171">
        <v>45.0</v>
      </c>
      <c r="I486" s="171">
        <v>50.0</v>
      </c>
      <c r="J486" s="325">
        <f t="shared" si="16"/>
        <v>0.001840568549</v>
      </c>
      <c r="K486" s="326">
        <f t="shared" si="28"/>
        <v>1.441778697</v>
      </c>
      <c r="L486" s="327">
        <f t="shared" si="4"/>
        <v>1.441778697</v>
      </c>
      <c r="M486" s="321" t="str">
        <f t="shared" si="5"/>
        <v>chriscyber</v>
      </c>
      <c r="N486" s="176">
        <f>IFERROR(__xludf.DUMMYFUNCTION("""COMPUTED_VALUE"""),1.0)</f>
        <v>1</v>
      </c>
      <c r="O486" s="176"/>
      <c r="P486" s="176"/>
      <c r="Q486" s="176"/>
      <c r="R486" s="176"/>
      <c r="S486" s="176"/>
      <c r="T486" s="176"/>
      <c r="U486" s="176"/>
      <c r="V486" s="176"/>
      <c r="W486" s="176"/>
      <c r="X486" s="176"/>
      <c r="Y486" s="176"/>
      <c r="Z486" s="176"/>
    </row>
    <row r="487">
      <c r="A487" s="226" t="s">
        <v>87</v>
      </c>
      <c r="B487" s="226" t="s">
        <v>590</v>
      </c>
      <c r="C487" s="250" t="s">
        <v>3546</v>
      </c>
      <c r="D487" s="268" t="s">
        <v>495</v>
      </c>
      <c r="E487" s="251">
        <v>44162.0</v>
      </c>
      <c r="F487" s="368" t="s">
        <v>496</v>
      </c>
      <c r="G487" s="268">
        <v>50.0</v>
      </c>
      <c r="H487" s="236">
        <v>40.0</v>
      </c>
      <c r="I487" s="236">
        <v>50.0</v>
      </c>
      <c r="J487" s="325">
        <f t="shared" si="16"/>
        <v>0.001678681106</v>
      </c>
      <c r="K487" s="326">
        <f t="shared" si="28"/>
        <v>1.314966866</v>
      </c>
      <c r="L487" s="327">
        <f t="shared" si="4"/>
        <v>1.314966866</v>
      </c>
      <c r="M487" s="321" t="str">
        <f t="shared" si="5"/>
        <v>abchewey</v>
      </c>
      <c r="N487" s="176">
        <f>IFERROR(__xludf.DUMMYFUNCTION("""COMPUTED_VALUE"""),1.0)</f>
        <v>1</v>
      </c>
      <c r="O487" s="176"/>
      <c r="P487" s="176"/>
      <c r="Q487" s="176"/>
      <c r="R487" s="176"/>
      <c r="S487" s="176"/>
      <c r="T487" s="176"/>
      <c r="U487" s="176"/>
      <c r="V487" s="176"/>
      <c r="W487" s="176"/>
      <c r="X487" s="176"/>
      <c r="Y487" s="176"/>
      <c r="Z487" s="176"/>
    </row>
    <row r="488">
      <c r="A488" s="226" t="s">
        <v>122</v>
      </c>
      <c r="B488" s="226" t="s">
        <v>867</v>
      </c>
      <c r="C488" s="250" t="s">
        <v>3547</v>
      </c>
      <c r="D488" s="268" t="s">
        <v>495</v>
      </c>
      <c r="E488" s="251">
        <v>44159.0</v>
      </c>
      <c r="F488" s="368" t="s">
        <v>496</v>
      </c>
      <c r="G488" s="268">
        <v>100.0</v>
      </c>
      <c r="H488" s="236">
        <v>100.0</v>
      </c>
      <c r="I488" s="236">
        <v>100.0</v>
      </c>
      <c r="J488" s="325">
        <f t="shared" si="16"/>
        <v>0.003570968962</v>
      </c>
      <c r="K488" s="326">
        <f t="shared" si="28"/>
        <v>2.79725902</v>
      </c>
      <c r="L488" s="327">
        <f t="shared" si="4"/>
        <v>1.290917975</v>
      </c>
      <c r="M488" s="321" t="str">
        <f t="shared" si="5"/>
        <v>anthonyoliai</v>
      </c>
      <c r="N488" s="176">
        <f>IFERROR(__xludf.DUMMYFUNCTION("""COMPUTED_VALUE"""),1.0)</f>
        <v>1</v>
      </c>
      <c r="O488" s="176"/>
      <c r="P488" s="176"/>
      <c r="Q488" s="176"/>
      <c r="R488" s="176"/>
      <c r="S488" s="176"/>
      <c r="T488" s="176"/>
      <c r="U488" s="176"/>
      <c r="V488" s="176"/>
      <c r="W488" s="176"/>
      <c r="X488" s="176"/>
      <c r="Y488" s="176"/>
      <c r="Z488" s="176"/>
    </row>
    <row r="489">
      <c r="A489" s="226" t="s">
        <v>122</v>
      </c>
      <c r="B489" s="226" t="s">
        <v>6</v>
      </c>
      <c r="C489" s="250" t="s">
        <v>3364</v>
      </c>
      <c r="D489" s="268" t="s">
        <v>495</v>
      </c>
      <c r="E489" s="251">
        <v>44159.0</v>
      </c>
      <c r="F489" s="368" t="s">
        <v>496</v>
      </c>
      <c r="G489" s="268">
        <v>30.0</v>
      </c>
      <c r="H489" s="236">
        <v>60.0</v>
      </c>
      <c r="I489" s="236">
        <v>50.0</v>
      </c>
      <c r="J489" s="325">
        <f t="shared" si="16"/>
        <v>0.001675316344</v>
      </c>
      <c r="K489" s="326">
        <f t="shared" si="28"/>
        <v>1.312331136</v>
      </c>
      <c r="L489" s="327">
        <f t="shared" si="4"/>
        <v>1.290917975</v>
      </c>
      <c r="M489" s="321" t="str">
        <f t="shared" si="5"/>
        <v>anthonyoliai</v>
      </c>
      <c r="N489" s="176">
        <f>IFERROR(__xludf.DUMMYFUNCTION("""COMPUTED_VALUE"""),2.0)</f>
        <v>2</v>
      </c>
      <c r="O489" s="176"/>
      <c r="P489" s="176"/>
      <c r="Q489" s="176"/>
      <c r="R489" s="176"/>
      <c r="S489" s="176"/>
      <c r="T489" s="176"/>
      <c r="U489" s="176"/>
      <c r="V489" s="176"/>
      <c r="W489" s="176"/>
      <c r="X489" s="176"/>
      <c r="Y489" s="176"/>
      <c r="Z489" s="176"/>
    </row>
    <row r="490">
      <c r="A490" s="226" t="s">
        <v>122</v>
      </c>
      <c r="B490" s="226" t="s">
        <v>6</v>
      </c>
      <c r="C490" s="250" t="s">
        <v>3548</v>
      </c>
      <c r="D490" s="268" t="s">
        <v>495</v>
      </c>
      <c r="E490" s="251">
        <v>44159.0</v>
      </c>
      <c r="F490" s="368" t="s">
        <v>496</v>
      </c>
      <c r="G490" s="268">
        <v>50.0</v>
      </c>
      <c r="H490" s="236">
        <v>90.0</v>
      </c>
      <c r="I490" s="236">
        <v>50.0</v>
      </c>
      <c r="J490" s="325">
        <f t="shared" si="16"/>
        <v>0.002212697981</v>
      </c>
      <c r="K490" s="326">
        <f t="shared" si="28"/>
        <v>1.733280085</v>
      </c>
      <c r="L490" s="327">
        <f t="shared" si="4"/>
        <v>1.290917975</v>
      </c>
      <c r="M490" s="321" t="str">
        <f t="shared" si="5"/>
        <v>anthonyoliai</v>
      </c>
      <c r="N490" s="176">
        <f>IFERROR(__xludf.DUMMYFUNCTION("""COMPUTED_VALUE"""),3.0)</f>
        <v>3</v>
      </c>
      <c r="O490" s="176"/>
      <c r="P490" s="176"/>
      <c r="Q490" s="176"/>
      <c r="R490" s="176"/>
      <c r="S490" s="176"/>
      <c r="T490" s="176"/>
      <c r="U490" s="176"/>
      <c r="V490" s="176"/>
      <c r="W490" s="176"/>
      <c r="X490" s="176"/>
      <c r="Y490" s="176"/>
      <c r="Z490" s="176"/>
    </row>
    <row r="491">
      <c r="A491" s="226" t="s">
        <v>122</v>
      </c>
      <c r="B491" s="226" t="s">
        <v>3050</v>
      </c>
      <c r="C491" s="250" t="s">
        <v>3549</v>
      </c>
      <c r="D491" s="268" t="s">
        <v>495</v>
      </c>
      <c r="E491" s="251">
        <v>44164.0</v>
      </c>
      <c r="F491" s="368" t="s">
        <v>2586</v>
      </c>
      <c r="G491" s="268">
        <v>20.0</v>
      </c>
      <c r="H491" s="236">
        <v>100.0</v>
      </c>
      <c r="I491" s="236">
        <v>40.0</v>
      </c>
      <c r="J491" s="325">
        <f t="shared" si="16"/>
        <v>0.001852236323</v>
      </c>
      <c r="K491" s="326">
        <f t="shared" si="28"/>
        <v>1.450918453</v>
      </c>
      <c r="L491" s="327">
        <f t="shared" si="4"/>
        <v>1.290917975</v>
      </c>
      <c r="M491" s="321" t="str">
        <f t="shared" si="5"/>
        <v>anthonyoliai</v>
      </c>
      <c r="N491" s="176">
        <f>IFERROR(__xludf.DUMMYFUNCTION("""COMPUTED_VALUE"""),4.0)</f>
        <v>4</v>
      </c>
      <c r="O491" s="176"/>
      <c r="P491" s="176"/>
      <c r="Q491" s="176"/>
      <c r="R491" s="176"/>
      <c r="S491" s="176"/>
      <c r="T491" s="176"/>
      <c r="U491" s="176"/>
      <c r="V491" s="176"/>
      <c r="W491" s="176"/>
      <c r="X491" s="176"/>
      <c r="Y491" s="176"/>
      <c r="Z491" s="176"/>
    </row>
    <row r="492">
      <c r="A492" s="226" t="s">
        <v>122</v>
      </c>
      <c r="B492" s="226" t="s">
        <v>6</v>
      </c>
      <c r="C492" s="250" t="s">
        <v>3373</v>
      </c>
      <c r="D492" s="268" t="s">
        <v>495</v>
      </c>
      <c r="E492" s="251">
        <v>44165.0</v>
      </c>
      <c r="F492" s="368" t="s">
        <v>496</v>
      </c>
      <c r="G492" s="268">
        <v>30.0</v>
      </c>
      <c r="H492" s="236">
        <v>60.0</v>
      </c>
      <c r="I492" s="236">
        <v>50.0</v>
      </c>
      <c r="J492" s="325">
        <f t="shared" si="16"/>
        <v>0.001675316344</v>
      </c>
      <c r="K492" s="326">
        <f t="shared" si="28"/>
        <v>1.312331136</v>
      </c>
      <c r="L492" s="327">
        <f t="shared" si="4"/>
        <v>1.290917975</v>
      </c>
      <c r="M492" s="321" t="str">
        <f t="shared" si="5"/>
        <v>anthonyoliai</v>
      </c>
      <c r="N492" s="176">
        <f>IFERROR(__xludf.DUMMYFUNCTION("""COMPUTED_VALUE"""),5.0)</f>
        <v>5</v>
      </c>
      <c r="O492" s="176"/>
      <c r="P492" s="176"/>
      <c r="Q492" s="176"/>
      <c r="R492" s="176"/>
      <c r="S492" s="176"/>
      <c r="T492" s="176"/>
      <c r="U492" s="176"/>
      <c r="V492" s="176"/>
      <c r="W492" s="176"/>
      <c r="X492" s="176"/>
      <c r="Y492" s="176"/>
      <c r="Z492" s="176"/>
    </row>
    <row r="493">
      <c r="A493" s="362" t="s">
        <v>122</v>
      </c>
      <c r="B493" s="240" t="s">
        <v>534</v>
      </c>
      <c r="C493" s="346" t="s">
        <v>2452</v>
      </c>
      <c r="D493" s="336"/>
      <c r="E493" s="255"/>
      <c r="F493" s="254"/>
      <c r="G493" s="222"/>
      <c r="H493" s="222"/>
      <c r="I493" s="222"/>
      <c r="J493" s="325">
        <f t="shared" si="16"/>
        <v>0</v>
      </c>
      <c r="K493" s="337">
        <f>-0.85*R493</f>
        <v>-7.315201857</v>
      </c>
      <c r="L493" s="327">
        <f t="shared" si="4"/>
        <v>1.290917975</v>
      </c>
      <c r="M493" s="321" t="str">
        <f t="shared" si="5"/>
        <v>anthonyoliai</v>
      </c>
      <c r="N493" s="209">
        <f>IFERROR(__xludf.DUMMYFUNCTION("""COMPUTED_VALUE"""),6.0)</f>
        <v>6</v>
      </c>
      <c r="O493" s="176"/>
      <c r="P493" s="176"/>
      <c r="Q493" s="176"/>
      <c r="R493" s="176">
        <v>8.606119831199203</v>
      </c>
      <c r="S493" s="176"/>
      <c r="T493" s="176"/>
      <c r="U493" s="176"/>
      <c r="V493" s="176"/>
      <c r="W493" s="176"/>
      <c r="X493" s="176"/>
      <c r="Y493" s="176"/>
      <c r="Z493" s="176"/>
    </row>
    <row r="494">
      <c r="A494" s="226" t="s">
        <v>169</v>
      </c>
      <c r="B494" s="226" t="s">
        <v>10</v>
      </c>
      <c r="C494" s="250" t="s">
        <v>3550</v>
      </c>
      <c r="D494" s="268" t="s">
        <v>495</v>
      </c>
      <c r="E494" s="361">
        <v>44169.0</v>
      </c>
      <c r="F494" s="250" t="s">
        <v>496</v>
      </c>
      <c r="G494" s="171">
        <v>46.0</v>
      </c>
      <c r="H494" s="171">
        <v>46.0</v>
      </c>
      <c r="I494" s="171">
        <v>45.0</v>
      </c>
      <c r="J494" s="325">
        <f t="shared" si="16"/>
        <v>0.001628464946</v>
      </c>
      <c r="K494" s="326">
        <f t="shared" ref="K494:K508" si="29">J494*$J$1</f>
        <v>1.275630874</v>
      </c>
      <c r="L494" s="327">
        <f t="shared" si="4"/>
        <v>1.275630874</v>
      </c>
      <c r="M494" s="321" t="str">
        <f t="shared" si="5"/>
        <v>officialnico</v>
      </c>
      <c r="N494" s="176">
        <f>IFERROR(__xludf.DUMMYFUNCTION("""COMPUTED_VALUE"""),1.0)</f>
        <v>1</v>
      </c>
      <c r="O494" s="176"/>
      <c r="P494" s="176"/>
      <c r="Q494" s="176"/>
      <c r="R494" s="176"/>
      <c r="S494" s="176"/>
      <c r="T494" s="176"/>
      <c r="U494" s="176"/>
      <c r="V494" s="176"/>
      <c r="W494" s="176"/>
      <c r="X494" s="176"/>
      <c r="Y494" s="176"/>
      <c r="Z494" s="176"/>
    </row>
    <row r="495">
      <c r="A495" s="226" t="s">
        <v>150</v>
      </c>
      <c r="B495" s="226" t="s">
        <v>10</v>
      </c>
      <c r="C495" s="250" t="s">
        <v>3356</v>
      </c>
      <c r="D495" s="268" t="s">
        <v>495</v>
      </c>
      <c r="E495" s="361">
        <v>44169.0</v>
      </c>
      <c r="F495" s="250" t="s">
        <v>496</v>
      </c>
      <c r="G495" s="171">
        <v>45.0</v>
      </c>
      <c r="H495" s="171">
        <v>45.0</v>
      </c>
      <c r="I495" s="171">
        <v>40.0</v>
      </c>
      <c r="J495" s="325">
        <f t="shared" si="16"/>
        <v>0.00153603215</v>
      </c>
      <c r="K495" s="326">
        <f t="shared" si="29"/>
        <v>1.203225184</v>
      </c>
      <c r="L495" s="327">
        <f t="shared" si="4"/>
        <v>1.203225184</v>
      </c>
      <c r="M495" s="321" t="str">
        <f t="shared" si="5"/>
        <v>glefevre</v>
      </c>
      <c r="N495" s="176">
        <f>IFERROR(__xludf.DUMMYFUNCTION("""COMPUTED_VALUE"""),1.0)</f>
        <v>1</v>
      </c>
      <c r="O495" s="176"/>
      <c r="P495" s="176"/>
      <c r="Q495" s="176"/>
      <c r="R495" s="176"/>
      <c r="S495" s="176"/>
      <c r="T495" s="176"/>
      <c r="U495" s="176"/>
      <c r="V495" s="176"/>
      <c r="W495" s="176"/>
      <c r="X495" s="176"/>
      <c r="Y495" s="176"/>
      <c r="Z495" s="176"/>
    </row>
    <row r="496">
      <c r="A496" s="226" t="s">
        <v>235</v>
      </c>
      <c r="B496" s="226" t="s">
        <v>10</v>
      </c>
      <c r="C496" s="250" t="s">
        <v>3356</v>
      </c>
      <c r="D496" s="268" t="s">
        <v>495</v>
      </c>
      <c r="E496" s="361">
        <v>44169.0</v>
      </c>
      <c r="F496" s="250" t="s">
        <v>496</v>
      </c>
      <c r="G496" s="171">
        <v>45.0</v>
      </c>
      <c r="H496" s="171">
        <v>45.0</v>
      </c>
      <c r="I496" s="171">
        <v>40.0</v>
      </c>
      <c r="J496" s="325">
        <f t="shared" si="16"/>
        <v>0.00153603215</v>
      </c>
      <c r="K496" s="326">
        <f t="shared" si="29"/>
        <v>1.203225184</v>
      </c>
      <c r="L496" s="327">
        <f t="shared" si="4"/>
        <v>1.203225184</v>
      </c>
      <c r="M496" s="321" t="str">
        <f t="shared" si="5"/>
        <v>witwiki3</v>
      </c>
      <c r="N496" s="176">
        <f>IFERROR(__xludf.DUMMYFUNCTION("""COMPUTED_VALUE"""),1.0)</f>
        <v>1</v>
      </c>
      <c r="O496" s="176"/>
      <c r="P496" s="176"/>
      <c r="Q496" s="176"/>
      <c r="R496" s="176"/>
      <c r="S496" s="176"/>
      <c r="T496" s="176"/>
      <c r="U496" s="176"/>
      <c r="V496" s="176"/>
      <c r="W496" s="176"/>
      <c r="X496" s="176"/>
      <c r="Y496" s="176"/>
      <c r="Z496" s="176"/>
    </row>
    <row r="497">
      <c r="A497" s="226" t="s">
        <v>82</v>
      </c>
      <c r="B497" s="226" t="s">
        <v>5</v>
      </c>
      <c r="C497" s="250" t="s">
        <v>3340</v>
      </c>
      <c r="D497" s="268" t="s">
        <v>495</v>
      </c>
      <c r="E497" s="251">
        <v>44160.0</v>
      </c>
      <c r="F497" s="368" t="s">
        <v>496</v>
      </c>
      <c r="G497" s="236">
        <v>50.0</v>
      </c>
      <c r="H497" s="236">
        <v>60.0</v>
      </c>
      <c r="I497" s="236">
        <v>20.0</v>
      </c>
      <c r="J497" s="325">
        <f t="shared" si="16"/>
        <v>0.00146686456</v>
      </c>
      <c r="K497" s="326">
        <f t="shared" si="29"/>
        <v>1.149043905</v>
      </c>
      <c r="L497" s="327">
        <f t="shared" si="4"/>
        <v>1.149043905</v>
      </c>
      <c r="M497" s="321" t="str">
        <f t="shared" si="5"/>
        <v>elihanover</v>
      </c>
      <c r="N497" s="176">
        <f>IFERROR(__xludf.DUMMYFUNCTION("""COMPUTED_VALUE"""),1.0)</f>
        <v>1</v>
      </c>
      <c r="O497" s="176"/>
      <c r="P497" s="176"/>
      <c r="Q497" s="176"/>
      <c r="R497" s="176"/>
      <c r="S497" s="176"/>
      <c r="T497" s="176"/>
      <c r="U497" s="176"/>
      <c r="V497" s="176"/>
      <c r="W497" s="176"/>
      <c r="X497" s="176"/>
      <c r="Y497" s="176"/>
      <c r="Z497" s="176"/>
    </row>
    <row r="498">
      <c r="A498" s="226" t="s">
        <v>284</v>
      </c>
      <c r="B498" s="226" t="s">
        <v>590</v>
      </c>
      <c r="C498" s="250" t="s">
        <v>3551</v>
      </c>
      <c r="D498" s="268" t="s">
        <v>495</v>
      </c>
      <c r="E498" s="361">
        <v>44169.0</v>
      </c>
      <c r="F498" s="250" t="s">
        <v>496</v>
      </c>
      <c r="G498" s="171">
        <v>1.0</v>
      </c>
      <c r="H498" s="171">
        <v>1.0</v>
      </c>
      <c r="I498" s="171">
        <v>10.0</v>
      </c>
      <c r="J498" s="325">
        <f t="shared" si="16"/>
        <v>0.0001633366785</v>
      </c>
      <c r="K498" s="326">
        <f t="shared" si="29"/>
        <v>0.1279470648</v>
      </c>
      <c r="L498" s="327">
        <f t="shared" si="4"/>
        <v>1.137085788</v>
      </c>
      <c r="M498" s="321" t="str">
        <f t="shared" si="5"/>
        <v>vasileios_panagiotidis</v>
      </c>
      <c r="N498" s="176">
        <f>IFERROR(__xludf.DUMMYFUNCTION("""COMPUTED_VALUE"""),1.0)</f>
        <v>1</v>
      </c>
      <c r="O498" s="176"/>
      <c r="P498" s="176"/>
      <c r="Q498" s="176"/>
      <c r="R498" s="176"/>
      <c r="S498" s="176"/>
      <c r="T498" s="176"/>
      <c r="U498" s="176"/>
      <c r="V498" s="176"/>
      <c r="W498" s="176"/>
      <c r="X498" s="176"/>
      <c r="Y498" s="176"/>
      <c r="Z498" s="176"/>
    </row>
    <row r="499">
      <c r="A499" s="226" t="s">
        <v>284</v>
      </c>
      <c r="B499" s="226" t="s">
        <v>3120</v>
      </c>
      <c r="C499" s="250" t="s">
        <v>3552</v>
      </c>
      <c r="D499" s="268" t="s">
        <v>495</v>
      </c>
      <c r="E499" s="361">
        <v>44169.0</v>
      </c>
      <c r="F499" s="250" t="s">
        <v>496</v>
      </c>
      <c r="G499" s="171">
        <v>50.0</v>
      </c>
      <c r="H499" s="171">
        <v>30.0</v>
      </c>
      <c r="I499" s="171">
        <v>30.0</v>
      </c>
      <c r="J499" s="325">
        <f t="shared" si="16"/>
        <v>0.0012882622</v>
      </c>
      <c r="K499" s="326">
        <f t="shared" si="29"/>
        <v>1.009138724</v>
      </c>
      <c r="L499" s="327">
        <f t="shared" si="4"/>
        <v>1.137085788</v>
      </c>
      <c r="M499" s="321" t="str">
        <f t="shared" si="5"/>
        <v>vasileios_panagiotidis</v>
      </c>
      <c r="N499" s="176">
        <f>IFERROR(__xludf.DUMMYFUNCTION("""COMPUTED_VALUE"""),2.0)</f>
        <v>2</v>
      </c>
      <c r="O499" s="176"/>
      <c r="P499" s="176"/>
      <c r="Q499" s="176"/>
      <c r="R499" s="176"/>
      <c r="S499" s="176"/>
      <c r="T499" s="176"/>
      <c r="U499" s="176"/>
      <c r="V499" s="176"/>
      <c r="W499" s="176"/>
      <c r="X499" s="176"/>
      <c r="Y499" s="176"/>
      <c r="Z499" s="176"/>
    </row>
    <row r="500">
      <c r="A500" s="226" t="s">
        <v>111</v>
      </c>
      <c r="B500" s="226" t="s">
        <v>519</v>
      </c>
      <c r="C500" s="250" t="s">
        <v>3359</v>
      </c>
      <c r="D500" s="268" t="s">
        <v>495</v>
      </c>
      <c r="E500" s="251">
        <v>44160.0</v>
      </c>
      <c r="F500" s="368" t="s">
        <v>521</v>
      </c>
      <c r="G500" s="268">
        <v>30.0</v>
      </c>
      <c r="H500" s="236">
        <v>60.0</v>
      </c>
      <c r="I500" s="236">
        <v>30.0</v>
      </c>
      <c r="J500" s="325">
        <f t="shared" si="16"/>
        <v>0.001391700814</v>
      </c>
      <c r="K500" s="326">
        <f t="shared" si="29"/>
        <v>1.090165637</v>
      </c>
      <c r="L500" s="327">
        <f t="shared" si="4"/>
        <v>1.090165637</v>
      </c>
      <c r="M500" s="321" t="str">
        <f t="shared" si="5"/>
        <v>simunstrukan</v>
      </c>
      <c r="N500" s="176">
        <f>IFERROR(__xludf.DUMMYFUNCTION("""COMPUTED_VALUE"""),1.0)</f>
        <v>1</v>
      </c>
      <c r="O500" s="176"/>
      <c r="P500" s="176"/>
      <c r="Q500" s="176"/>
      <c r="R500" s="176"/>
      <c r="S500" s="176"/>
      <c r="T500" s="176"/>
      <c r="U500" s="176"/>
      <c r="V500" s="176"/>
      <c r="W500" s="176"/>
      <c r="X500" s="176"/>
      <c r="Y500" s="176"/>
      <c r="Z500" s="176"/>
    </row>
    <row r="501">
      <c r="A501" s="226" t="s">
        <v>35</v>
      </c>
      <c r="B501" s="226" t="s">
        <v>519</v>
      </c>
      <c r="C501" s="250" t="s">
        <v>3359</v>
      </c>
      <c r="D501" s="268" t="s">
        <v>495</v>
      </c>
      <c r="E501" s="251">
        <v>44160.0</v>
      </c>
      <c r="F501" s="368" t="s">
        <v>521</v>
      </c>
      <c r="G501" s="268">
        <v>30.0</v>
      </c>
      <c r="H501" s="236">
        <v>60.0</v>
      </c>
      <c r="I501" s="236">
        <v>30.0</v>
      </c>
      <c r="J501" s="325">
        <f t="shared" si="16"/>
        <v>0.001391700814</v>
      </c>
      <c r="K501" s="326">
        <f t="shared" si="29"/>
        <v>1.090165637</v>
      </c>
      <c r="L501" s="327">
        <f t="shared" si="4"/>
        <v>1.090165637</v>
      </c>
      <c r="M501" s="321" t="str">
        <f t="shared" si="5"/>
        <v>vitormarthendal</v>
      </c>
      <c r="N501" s="176">
        <f>IFERROR(__xludf.DUMMYFUNCTION("""COMPUTED_VALUE"""),1.0)</f>
        <v>1</v>
      </c>
      <c r="O501" s="176"/>
      <c r="P501" s="176"/>
      <c r="Q501" s="176"/>
      <c r="R501" s="176"/>
      <c r="S501" s="176"/>
      <c r="T501" s="176"/>
      <c r="U501" s="176"/>
      <c r="V501" s="176"/>
      <c r="W501" s="176"/>
      <c r="X501" s="176"/>
      <c r="Y501" s="176"/>
      <c r="Z501" s="176"/>
    </row>
    <row r="502">
      <c r="A502" s="226" t="s">
        <v>290</v>
      </c>
      <c r="B502" s="226" t="s">
        <v>590</v>
      </c>
      <c r="C502" s="250" t="s">
        <v>3553</v>
      </c>
      <c r="D502" s="268" t="s">
        <v>495</v>
      </c>
      <c r="E502" s="251">
        <v>44161.0</v>
      </c>
      <c r="F502" s="368" t="s">
        <v>496</v>
      </c>
      <c r="G502" s="268">
        <v>1.0</v>
      </c>
      <c r="H502" s="236">
        <v>1.0</v>
      </c>
      <c r="I502" s="236">
        <v>10.0</v>
      </c>
      <c r="J502" s="325">
        <f t="shared" si="16"/>
        <v>0.0001633366785</v>
      </c>
      <c r="K502" s="326">
        <f t="shared" si="29"/>
        <v>0.1279470648</v>
      </c>
      <c r="L502" s="327">
        <f t="shared" si="4"/>
        <v>1.05210528</v>
      </c>
      <c r="M502" s="321" t="str">
        <f t="shared" si="5"/>
        <v>revxzx</v>
      </c>
      <c r="N502" s="176">
        <f>IFERROR(__xludf.DUMMYFUNCTION("""COMPUTED_VALUE"""),1.0)</f>
        <v>1</v>
      </c>
      <c r="O502" s="176"/>
      <c r="P502" s="176"/>
      <c r="Q502" s="176"/>
      <c r="R502" s="176"/>
      <c r="S502" s="176"/>
      <c r="T502" s="176"/>
      <c r="U502" s="176"/>
      <c r="V502" s="176"/>
      <c r="W502" s="176"/>
      <c r="X502" s="176"/>
      <c r="Y502" s="176"/>
      <c r="Z502" s="176"/>
    </row>
    <row r="503">
      <c r="A503" s="226" t="s">
        <v>290</v>
      </c>
      <c r="B503" s="226" t="s">
        <v>10</v>
      </c>
      <c r="C503" s="250" t="s">
        <v>3345</v>
      </c>
      <c r="D503" s="268" t="s">
        <v>495</v>
      </c>
      <c r="E503" s="251">
        <v>44163.0</v>
      </c>
      <c r="F503" s="368" t="s">
        <v>496</v>
      </c>
      <c r="G503" s="268">
        <v>40.0</v>
      </c>
      <c r="H503" s="236">
        <v>30.0</v>
      </c>
      <c r="I503" s="236">
        <v>30.0</v>
      </c>
      <c r="J503" s="325">
        <f t="shared" si="16"/>
        <v>0.001179776444</v>
      </c>
      <c r="K503" s="326">
        <f t="shared" si="29"/>
        <v>0.9241582148</v>
      </c>
      <c r="L503" s="327">
        <f t="shared" si="4"/>
        <v>1.05210528</v>
      </c>
      <c r="M503" s="321" t="str">
        <f t="shared" si="5"/>
        <v>revxzx</v>
      </c>
      <c r="N503" s="176">
        <f>IFERROR(__xludf.DUMMYFUNCTION("""COMPUTED_VALUE"""),2.0)</f>
        <v>2</v>
      </c>
      <c r="O503" s="176"/>
      <c r="P503" s="176"/>
      <c r="Q503" s="176"/>
      <c r="R503" s="176"/>
      <c r="S503" s="176"/>
      <c r="T503" s="176"/>
      <c r="U503" s="176"/>
      <c r="V503" s="176"/>
      <c r="W503" s="176"/>
      <c r="X503" s="176"/>
      <c r="Y503" s="176"/>
      <c r="Z503" s="176"/>
    </row>
    <row r="504">
      <c r="A504" s="226" t="s">
        <v>55</v>
      </c>
      <c r="B504" s="226" t="s">
        <v>590</v>
      </c>
      <c r="C504" s="250" t="s">
        <v>3339</v>
      </c>
      <c r="D504" s="268" t="s">
        <v>495</v>
      </c>
      <c r="E504" s="251">
        <v>44159.0</v>
      </c>
      <c r="F504" s="368" t="s">
        <v>496</v>
      </c>
      <c r="G504" s="268">
        <v>20.0</v>
      </c>
      <c r="H504" s="236">
        <v>60.0</v>
      </c>
      <c r="I504" s="236">
        <v>30.0</v>
      </c>
      <c r="J504" s="325">
        <f t="shared" si="16"/>
        <v>0.001283215058</v>
      </c>
      <c r="K504" s="326">
        <f t="shared" si="29"/>
        <v>1.005185129</v>
      </c>
      <c r="L504" s="327">
        <f t="shared" si="4"/>
        <v>0.9695880757</v>
      </c>
      <c r="M504" s="321" t="str">
        <f t="shared" si="5"/>
        <v>atacas</v>
      </c>
      <c r="N504" s="176">
        <f>IFERROR(__xludf.DUMMYFUNCTION("""COMPUTED_VALUE"""),1.0)</f>
        <v>1</v>
      </c>
      <c r="O504" s="176"/>
      <c r="P504" s="176"/>
      <c r="Q504" s="176"/>
      <c r="R504" s="176"/>
      <c r="S504" s="176"/>
      <c r="T504" s="176"/>
      <c r="U504" s="176"/>
      <c r="V504" s="176"/>
      <c r="W504" s="176"/>
      <c r="X504" s="176"/>
      <c r="Y504" s="176"/>
      <c r="Z504" s="176"/>
    </row>
    <row r="505">
      <c r="A505" s="226" t="s">
        <v>55</v>
      </c>
      <c r="B505" s="226" t="s">
        <v>5</v>
      </c>
      <c r="C505" s="250" t="s">
        <v>3340</v>
      </c>
      <c r="D505" s="268" t="s">
        <v>495</v>
      </c>
      <c r="E505" s="251">
        <v>44160.0</v>
      </c>
      <c r="F505" s="368" t="s">
        <v>496</v>
      </c>
      <c r="G505" s="268">
        <v>20.0</v>
      </c>
      <c r="H505" s="236">
        <v>60.0</v>
      </c>
      <c r="I505" s="236">
        <v>20.0</v>
      </c>
      <c r="J505" s="325">
        <f t="shared" si="16"/>
        <v>0.001141407292</v>
      </c>
      <c r="K505" s="326">
        <f t="shared" si="29"/>
        <v>0.894102379</v>
      </c>
      <c r="L505" s="327">
        <f t="shared" si="4"/>
        <v>0.9695880757</v>
      </c>
      <c r="M505" s="321" t="str">
        <f t="shared" si="5"/>
        <v>atacas</v>
      </c>
      <c r="N505" s="176">
        <f>IFERROR(__xludf.DUMMYFUNCTION("""COMPUTED_VALUE"""),2.0)</f>
        <v>2</v>
      </c>
      <c r="O505" s="176"/>
      <c r="P505" s="176"/>
      <c r="Q505" s="176"/>
      <c r="R505" s="176"/>
      <c r="S505" s="176"/>
      <c r="T505" s="176"/>
      <c r="U505" s="176"/>
      <c r="V505" s="176"/>
      <c r="W505" s="176"/>
      <c r="X505" s="176"/>
      <c r="Y505" s="176"/>
      <c r="Z505" s="176"/>
    </row>
    <row r="506">
      <c r="A506" s="226" t="s">
        <v>55</v>
      </c>
      <c r="B506" s="226" t="s">
        <v>18</v>
      </c>
      <c r="C506" s="250" t="s">
        <v>3372</v>
      </c>
      <c r="D506" s="268" t="s">
        <v>495</v>
      </c>
      <c r="E506" s="251">
        <v>44165.0</v>
      </c>
      <c r="F506" s="368" t="s">
        <v>496</v>
      </c>
      <c r="G506" s="268">
        <v>100.0</v>
      </c>
      <c r="H506" s="236">
        <v>60.0</v>
      </c>
      <c r="I506" s="236">
        <v>50.0</v>
      </c>
      <c r="J506" s="325">
        <f t="shared" si="16"/>
        <v>0.002434716635</v>
      </c>
      <c r="K506" s="326">
        <f t="shared" si="29"/>
        <v>1.907194697</v>
      </c>
      <c r="L506" s="327">
        <f t="shared" si="4"/>
        <v>0.9695880757</v>
      </c>
      <c r="M506" s="321" t="str">
        <f t="shared" si="5"/>
        <v>atacas</v>
      </c>
      <c r="N506" s="176">
        <f>IFERROR(__xludf.DUMMYFUNCTION("""COMPUTED_VALUE"""),3.0)</f>
        <v>3</v>
      </c>
      <c r="O506" s="176"/>
      <c r="P506" s="176"/>
      <c r="Q506" s="176"/>
      <c r="R506" s="176"/>
      <c r="S506" s="176"/>
      <c r="T506" s="176"/>
      <c r="U506" s="176"/>
      <c r="V506" s="176"/>
      <c r="W506" s="176"/>
      <c r="X506" s="176"/>
      <c r="Y506" s="176"/>
      <c r="Z506" s="176"/>
    </row>
    <row r="507">
      <c r="A507" s="226" t="s">
        <v>55</v>
      </c>
      <c r="B507" s="226" t="s">
        <v>18</v>
      </c>
      <c r="C507" s="250" t="s">
        <v>3347</v>
      </c>
      <c r="D507" s="268" t="s">
        <v>495</v>
      </c>
      <c r="E507" s="361">
        <v>44166.0</v>
      </c>
      <c r="F507" s="250" t="s">
        <v>496</v>
      </c>
      <c r="G507" s="171">
        <v>60.0</v>
      </c>
      <c r="H507" s="171">
        <v>60.0</v>
      </c>
      <c r="I507" s="171">
        <v>40.0</v>
      </c>
      <c r="J507" s="325">
        <f t="shared" si="16"/>
        <v>0.001858965846</v>
      </c>
      <c r="K507" s="326">
        <f t="shared" si="29"/>
        <v>1.456189913</v>
      </c>
      <c r="L507" s="327">
        <f t="shared" si="4"/>
        <v>0.9695880757</v>
      </c>
      <c r="M507" s="321" t="str">
        <f t="shared" si="5"/>
        <v>atacas</v>
      </c>
      <c r="N507" s="176">
        <f>IFERROR(__xludf.DUMMYFUNCTION("""COMPUTED_VALUE"""),4.0)</f>
        <v>4</v>
      </c>
      <c r="O507" s="176"/>
      <c r="P507" s="176"/>
      <c r="Q507" s="176"/>
      <c r="R507" s="176"/>
      <c r="S507" s="176"/>
      <c r="T507" s="176"/>
      <c r="U507" s="176"/>
      <c r="V507" s="176"/>
      <c r="W507" s="176"/>
      <c r="X507" s="176"/>
      <c r="Y507" s="176"/>
      <c r="Z507" s="176"/>
    </row>
    <row r="508">
      <c r="A508" s="226" t="s">
        <v>55</v>
      </c>
      <c r="B508" s="226" t="s">
        <v>18</v>
      </c>
      <c r="C508" s="250" t="s">
        <v>3348</v>
      </c>
      <c r="D508" s="268" t="s">
        <v>495</v>
      </c>
      <c r="E508" s="361">
        <v>44166.0</v>
      </c>
      <c r="F508" s="250" t="s">
        <v>496</v>
      </c>
      <c r="G508" s="171">
        <v>30.0</v>
      </c>
      <c r="H508" s="171">
        <v>60.0</v>
      </c>
      <c r="I508" s="171">
        <v>40.0</v>
      </c>
      <c r="J508" s="325">
        <f t="shared" si="16"/>
        <v>0.001533508579</v>
      </c>
      <c r="K508" s="326">
        <f t="shared" si="29"/>
        <v>1.201248387</v>
      </c>
      <c r="L508" s="327">
        <f t="shared" si="4"/>
        <v>0.9695880757</v>
      </c>
      <c r="M508" s="321" t="str">
        <f t="shared" si="5"/>
        <v>atacas</v>
      </c>
      <c r="N508" s="176">
        <f>IFERROR(__xludf.DUMMYFUNCTION("""COMPUTED_VALUE"""),5.0)</f>
        <v>5</v>
      </c>
      <c r="O508" s="176"/>
      <c r="P508" s="176"/>
      <c r="Q508" s="176"/>
      <c r="R508" s="176"/>
      <c r="S508" s="176"/>
      <c r="T508" s="176"/>
      <c r="U508" s="176"/>
      <c r="V508" s="176"/>
      <c r="W508" s="176"/>
      <c r="X508" s="176"/>
      <c r="Y508" s="176"/>
      <c r="Z508" s="176"/>
    </row>
    <row r="509">
      <c r="A509" s="240" t="s">
        <v>55</v>
      </c>
      <c r="B509" s="240" t="s">
        <v>534</v>
      </c>
      <c r="C509" s="221" t="s">
        <v>810</v>
      </c>
      <c r="D509" s="336"/>
      <c r="E509" s="255"/>
      <c r="F509" s="254"/>
      <c r="G509" s="209"/>
      <c r="H509" s="222"/>
      <c r="I509" s="222"/>
      <c r="J509" s="325">
        <f t="shared" si="16"/>
        <v>0</v>
      </c>
      <c r="K509" s="337">
        <f>-0.85*R509</f>
        <v>-5.494332429</v>
      </c>
      <c r="L509" s="327">
        <f t="shared" si="4"/>
        <v>0.9695880757</v>
      </c>
      <c r="M509" s="321" t="str">
        <f t="shared" si="5"/>
        <v>atacas</v>
      </c>
      <c r="N509" s="209">
        <f>IFERROR(__xludf.DUMMYFUNCTION("""COMPUTED_VALUE"""),6.0)</f>
        <v>6</v>
      </c>
      <c r="O509" s="176"/>
      <c r="P509" s="176"/>
      <c r="Q509" s="176"/>
      <c r="R509" s="176">
        <v>6.463920504925881</v>
      </c>
      <c r="S509" s="176"/>
      <c r="T509" s="176"/>
      <c r="U509" s="176"/>
      <c r="V509" s="176"/>
      <c r="W509" s="176"/>
      <c r="X509" s="176"/>
      <c r="Y509" s="176"/>
      <c r="Z509" s="176"/>
    </row>
    <row r="510">
      <c r="A510" s="226" t="s">
        <v>113</v>
      </c>
      <c r="B510" s="226" t="s">
        <v>10</v>
      </c>
      <c r="C510" s="250" t="s">
        <v>3345</v>
      </c>
      <c r="D510" s="268" t="s">
        <v>495</v>
      </c>
      <c r="E510" s="251">
        <v>44163.0</v>
      </c>
      <c r="F510" s="368" t="s">
        <v>496</v>
      </c>
      <c r="G510" s="268">
        <v>40.0</v>
      </c>
      <c r="H510" s="236">
        <v>30.0</v>
      </c>
      <c r="I510" s="236">
        <v>30.0</v>
      </c>
      <c r="J510" s="325">
        <f t="shared" si="16"/>
        <v>0.001179776444</v>
      </c>
      <c r="K510" s="326">
        <f t="shared" ref="K510:K513" si="30">J510*$J$1</f>
        <v>0.9241582148</v>
      </c>
      <c r="L510" s="327">
        <f t="shared" si="4"/>
        <v>0.9241582148</v>
      </c>
      <c r="M510" s="321" t="str">
        <f t="shared" si="5"/>
        <v>luukweber</v>
      </c>
      <c r="N510" s="176">
        <f>IFERROR(__xludf.DUMMYFUNCTION("""COMPUTED_VALUE"""),1.0)</f>
        <v>1</v>
      </c>
      <c r="O510" s="176"/>
      <c r="P510" s="176"/>
      <c r="Q510" s="176"/>
      <c r="R510" s="176"/>
      <c r="S510" s="176"/>
      <c r="T510" s="176"/>
      <c r="U510" s="176"/>
      <c r="V510" s="176"/>
      <c r="W510" s="176"/>
      <c r="X510" s="176"/>
      <c r="Y510" s="176"/>
      <c r="Z510" s="176"/>
    </row>
    <row r="511">
      <c r="A511" s="226" t="s">
        <v>77</v>
      </c>
      <c r="B511" s="226" t="s">
        <v>519</v>
      </c>
      <c r="C511" s="250" t="s">
        <v>3554</v>
      </c>
      <c r="D511" s="268" t="s">
        <v>495</v>
      </c>
      <c r="E511" s="361">
        <v>44167.0</v>
      </c>
      <c r="F511" s="250" t="s">
        <v>499</v>
      </c>
      <c r="G511" s="171">
        <v>10.0</v>
      </c>
      <c r="H511" s="171">
        <v>40.0</v>
      </c>
      <c r="I511" s="171">
        <v>40.0</v>
      </c>
      <c r="J511" s="325">
        <f t="shared" si="16"/>
        <v>0.001102930317</v>
      </c>
      <c r="K511" s="326">
        <f t="shared" si="30"/>
        <v>0.8639620819</v>
      </c>
      <c r="L511" s="327">
        <f t="shared" si="4"/>
        <v>0.8639620819</v>
      </c>
      <c r="M511" s="321" t="str">
        <f t="shared" si="5"/>
        <v>krrisis</v>
      </c>
      <c r="N511" s="176">
        <f>IFERROR(__xludf.DUMMYFUNCTION("""COMPUTED_VALUE"""),1.0)</f>
        <v>1</v>
      </c>
      <c r="O511" s="176"/>
      <c r="P511" s="176"/>
      <c r="Q511" s="176"/>
      <c r="R511" s="176"/>
      <c r="S511" s="176"/>
      <c r="T511" s="176"/>
      <c r="U511" s="176"/>
      <c r="V511" s="176"/>
      <c r="W511" s="176"/>
      <c r="X511" s="176"/>
      <c r="Y511" s="176"/>
      <c r="Z511" s="176"/>
    </row>
    <row r="512">
      <c r="A512" s="226" t="s">
        <v>133</v>
      </c>
      <c r="B512" s="226" t="s">
        <v>590</v>
      </c>
      <c r="C512" s="250" t="s">
        <v>3555</v>
      </c>
      <c r="D512" s="268" t="s">
        <v>495</v>
      </c>
      <c r="E512" s="251">
        <v>44162.0</v>
      </c>
      <c r="F512" s="368" t="s">
        <v>496</v>
      </c>
      <c r="G512" s="268">
        <v>50.0</v>
      </c>
      <c r="H512" s="236">
        <v>30.0</v>
      </c>
      <c r="I512" s="236">
        <v>10.0</v>
      </c>
      <c r="J512" s="325">
        <f t="shared" si="16"/>
        <v>0.001004646669</v>
      </c>
      <c r="K512" s="326">
        <f t="shared" si="30"/>
        <v>0.7869732244</v>
      </c>
      <c r="L512" s="327">
        <f t="shared" si="4"/>
        <v>0.7869732244</v>
      </c>
      <c r="M512" s="321" t="str">
        <f t="shared" si="5"/>
        <v>sbilbao</v>
      </c>
      <c r="N512" s="176">
        <f>IFERROR(__xludf.DUMMYFUNCTION("""COMPUTED_VALUE"""),1.0)</f>
        <v>1</v>
      </c>
      <c r="O512" s="176"/>
      <c r="P512" s="176"/>
      <c r="Q512" s="176"/>
      <c r="R512" s="176"/>
      <c r="S512" s="176"/>
      <c r="T512" s="176"/>
      <c r="U512" s="176"/>
      <c r="V512" s="176"/>
      <c r="W512" s="176"/>
      <c r="X512" s="176"/>
      <c r="Y512" s="176"/>
      <c r="Z512" s="176"/>
    </row>
    <row r="513">
      <c r="A513" s="226" t="s">
        <v>318</v>
      </c>
      <c r="B513" s="226" t="s">
        <v>590</v>
      </c>
      <c r="C513" s="250" t="s">
        <v>3555</v>
      </c>
      <c r="D513" s="268" t="s">
        <v>495</v>
      </c>
      <c r="E513" s="251">
        <v>44162.0</v>
      </c>
      <c r="F513" s="368" t="s">
        <v>496</v>
      </c>
      <c r="G513" s="268">
        <v>50.0</v>
      </c>
      <c r="H513" s="236">
        <v>30.0</v>
      </c>
      <c r="I513" s="236">
        <v>10.0</v>
      </c>
      <c r="J513" s="325">
        <f t="shared" si="16"/>
        <v>0.001004646669</v>
      </c>
      <c r="K513" s="326">
        <f t="shared" si="30"/>
        <v>0.7869732244</v>
      </c>
      <c r="L513" s="327">
        <f t="shared" si="4"/>
        <v>0.7869732244</v>
      </c>
      <c r="M513" s="321" t="str">
        <f t="shared" si="5"/>
        <v>cryptononymouseconomist</v>
      </c>
      <c r="N513" s="176">
        <f>IFERROR(__xludf.DUMMYFUNCTION("""COMPUTED_VALUE"""),1.0)</f>
        <v>1</v>
      </c>
      <c r="O513" s="176"/>
      <c r="P513" s="176"/>
      <c r="Q513" s="176"/>
      <c r="R513" s="176"/>
      <c r="S513" s="176"/>
      <c r="T513" s="176"/>
      <c r="U513" s="176"/>
      <c r="V513" s="176"/>
      <c r="W513" s="176"/>
      <c r="X513" s="176"/>
      <c r="Y513" s="176"/>
      <c r="Z513" s="176"/>
    </row>
    <row r="514">
      <c r="A514" s="226"/>
      <c r="B514" s="226"/>
      <c r="C514" s="368"/>
      <c r="D514" s="268"/>
      <c r="E514" s="361"/>
      <c r="F514" s="250"/>
      <c r="G514" s="176"/>
      <c r="H514" s="243"/>
      <c r="I514" s="243"/>
      <c r="J514" s="325"/>
      <c r="K514" s="326"/>
      <c r="L514" s="327"/>
      <c r="M514" s="321"/>
      <c r="N514" s="176"/>
      <c r="O514" s="171" t="s">
        <v>1702</v>
      </c>
      <c r="P514" s="171">
        <v>27.0</v>
      </c>
      <c r="Q514" s="171" t="s">
        <v>3556</v>
      </c>
      <c r="R514" s="171">
        <v>29.0</v>
      </c>
      <c r="S514" s="171" t="s">
        <v>3557</v>
      </c>
      <c r="T514" s="171">
        <v>27.0</v>
      </c>
      <c r="U514" s="176"/>
      <c r="V514" s="176"/>
      <c r="W514" s="176"/>
      <c r="X514" s="176"/>
      <c r="Y514" s="176"/>
      <c r="Z514" s="176"/>
    </row>
  </sheetData>
  <autoFilter ref="$A$3:$Z$514">
    <sortState ref="A3:Z514">
      <sortCondition descending="1" ref="L3:L514"/>
    </sortState>
  </autoFilter>
  <hyperlinks>
    <hyperlink r:id="rId1" ref="C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5" t="s">
        <v>3558</v>
      </c>
      <c r="B1" s="2">
        <f>sum(B3:B936)</f>
        <v>513.6786139</v>
      </c>
    </row>
    <row r="2">
      <c r="A2" s="246" t="s">
        <v>388</v>
      </c>
      <c r="B2" s="247" t="s">
        <v>2</v>
      </c>
    </row>
    <row r="3">
      <c r="A3" s="5" t="s">
        <v>7</v>
      </c>
      <c r="B3" s="6">
        <v>44.041118083044445</v>
      </c>
    </row>
    <row r="4">
      <c r="A4" s="5" t="s">
        <v>6</v>
      </c>
      <c r="B4" s="6">
        <v>42.78739171863654</v>
      </c>
    </row>
    <row r="5">
      <c r="A5" s="5" t="s">
        <v>3</v>
      </c>
      <c r="B5" s="6">
        <v>34.70047282747634</v>
      </c>
    </row>
    <row r="6">
      <c r="A6" s="5" t="s">
        <v>5</v>
      </c>
      <c r="B6" s="6">
        <v>30.673431072965496</v>
      </c>
    </row>
    <row r="7">
      <c r="A7" s="5" t="s">
        <v>13</v>
      </c>
      <c r="B7" s="6">
        <v>25.572982542516456</v>
      </c>
    </row>
    <row r="8">
      <c r="A8" s="5" t="s">
        <v>11</v>
      </c>
      <c r="B8" s="6">
        <v>25.189506609657528</v>
      </c>
    </row>
    <row r="9">
      <c r="A9" s="5" t="s">
        <v>8</v>
      </c>
      <c r="B9" s="6">
        <v>25.10575950462024</v>
      </c>
    </row>
    <row r="10">
      <c r="A10" s="5" t="s">
        <v>4</v>
      </c>
      <c r="B10" s="6">
        <v>24.626142006596112</v>
      </c>
    </row>
    <row r="11">
      <c r="A11" s="5" t="s">
        <v>17</v>
      </c>
      <c r="B11" s="6">
        <v>21.80544170796547</v>
      </c>
    </row>
    <row r="12">
      <c r="A12" s="5" t="s">
        <v>9</v>
      </c>
      <c r="B12" s="6">
        <v>19.908573412256672</v>
      </c>
    </row>
    <row r="13">
      <c r="A13" s="5" t="s">
        <v>15</v>
      </c>
      <c r="B13" s="6">
        <v>18.448345442975334</v>
      </c>
    </row>
    <row r="14">
      <c r="A14" s="5" t="s">
        <v>19</v>
      </c>
      <c r="B14" s="6">
        <v>14.936810615695066</v>
      </c>
    </row>
    <row r="15">
      <c r="A15" s="5" t="s">
        <v>25</v>
      </c>
      <c r="B15" s="6">
        <v>10.215349625981561</v>
      </c>
    </row>
    <row r="16">
      <c r="A16" s="5" t="s">
        <v>33</v>
      </c>
      <c r="B16" s="6">
        <v>9.872026388672863</v>
      </c>
    </row>
    <row r="17">
      <c r="A17" s="5" t="s">
        <v>18</v>
      </c>
      <c r="B17" s="6">
        <v>9.052678764218797</v>
      </c>
    </row>
    <row r="18">
      <c r="A18" s="5" t="s">
        <v>30</v>
      </c>
      <c r="B18" s="6">
        <v>7.799750855453382</v>
      </c>
    </row>
    <row r="19">
      <c r="A19" s="5" t="s">
        <v>79</v>
      </c>
      <c r="B19" s="6">
        <v>7.507153120495838</v>
      </c>
    </row>
    <row r="20">
      <c r="A20" s="5" t="s">
        <v>14</v>
      </c>
      <c r="B20" s="6">
        <v>7.361391983284705</v>
      </c>
    </row>
    <row r="21">
      <c r="A21" s="5" t="s">
        <v>47</v>
      </c>
      <c r="B21" s="6">
        <v>6.866994652483662</v>
      </c>
    </row>
    <row r="22">
      <c r="A22" s="5" t="s">
        <v>76</v>
      </c>
      <c r="B22" s="6">
        <v>6.385529321131655</v>
      </c>
    </row>
    <row r="23">
      <c r="A23" s="5" t="s">
        <v>70</v>
      </c>
      <c r="B23" s="6">
        <v>6.321996295136923</v>
      </c>
    </row>
    <row r="24">
      <c r="A24" s="5" t="s">
        <v>24</v>
      </c>
      <c r="B24" s="6">
        <v>6.112816725529752</v>
      </c>
    </row>
    <row r="25">
      <c r="A25" s="5" t="s">
        <v>78</v>
      </c>
      <c r="B25" s="6">
        <v>5.51085539672937</v>
      </c>
    </row>
    <row r="26">
      <c r="A26" s="5" t="s">
        <v>42</v>
      </c>
      <c r="B26" s="6">
        <v>4.87977065641538</v>
      </c>
    </row>
    <row r="27">
      <c r="A27" s="5" t="s">
        <v>52</v>
      </c>
      <c r="B27" s="6">
        <v>4.480970353618187</v>
      </c>
    </row>
    <row r="28">
      <c r="A28" s="5" t="s">
        <v>84</v>
      </c>
      <c r="B28" s="6">
        <v>4.4253867481902995</v>
      </c>
    </row>
    <row r="29">
      <c r="A29" s="5" t="s">
        <v>16</v>
      </c>
      <c r="B29" s="6">
        <v>4.36522237143177</v>
      </c>
    </row>
    <row r="30">
      <c r="A30" s="5" t="s">
        <v>73</v>
      </c>
      <c r="B30" s="6">
        <v>4.2344444601461895</v>
      </c>
    </row>
    <row r="31">
      <c r="A31" s="5" t="s">
        <v>28</v>
      </c>
      <c r="B31" s="6">
        <v>4.180010376687356</v>
      </c>
    </row>
    <row r="32">
      <c r="A32" s="5" t="s">
        <v>68</v>
      </c>
      <c r="B32" s="6">
        <v>4.1553750734682415</v>
      </c>
    </row>
    <row r="33">
      <c r="A33" s="129" t="s">
        <v>71</v>
      </c>
      <c r="B33" s="6">
        <v>3.9854140560164995</v>
      </c>
    </row>
    <row r="34">
      <c r="A34" s="5" t="s">
        <v>72</v>
      </c>
      <c r="B34" s="6">
        <v>3.6076987554999738</v>
      </c>
    </row>
    <row r="35">
      <c r="A35" s="5" t="s">
        <v>26</v>
      </c>
      <c r="B35" s="6">
        <v>3.581596514667812</v>
      </c>
    </row>
    <row r="36">
      <c r="A36" s="5" t="s">
        <v>22</v>
      </c>
      <c r="B36" s="6">
        <v>3.4913316753153074</v>
      </c>
    </row>
    <row r="37">
      <c r="A37" s="5" t="s">
        <v>41</v>
      </c>
      <c r="B37" s="6">
        <v>3.3412359646375585</v>
      </c>
    </row>
    <row r="38">
      <c r="A38" s="5" t="s">
        <v>39</v>
      </c>
      <c r="B38" s="6">
        <v>3.244394671034728</v>
      </c>
    </row>
    <row r="39">
      <c r="A39" s="5" t="s">
        <v>117</v>
      </c>
      <c r="B39" s="6">
        <v>3.09245978190169</v>
      </c>
    </row>
    <row r="40">
      <c r="A40" s="5" t="s">
        <v>43</v>
      </c>
      <c r="B40" s="6">
        <v>2.8272186135850035</v>
      </c>
    </row>
    <row r="41">
      <c r="A41" s="5" t="s">
        <v>10</v>
      </c>
      <c r="B41" s="6">
        <v>2.82032541204628</v>
      </c>
    </row>
    <row r="42">
      <c r="A42" s="5" t="s">
        <v>29</v>
      </c>
      <c r="B42" s="6">
        <v>2.723530052269737</v>
      </c>
    </row>
    <row r="43">
      <c r="A43" s="5" t="s">
        <v>213</v>
      </c>
      <c r="B43" s="6">
        <v>2.713596376494914</v>
      </c>
    </row>
    <row r="44">
      <c r="A44" s="5" t="s">
        <v>54</v>
      </c>
      <c r="B44" s="6">
        <v>2.6861762706764236</v>
      </c>
    </row>
    <row r="45">
      <c r="A45" s="5" t="s">
        <v>190</v>
      </c>
      <c r="B45" s="6">
        <v>2.4213378864200257</v>
      </c>
    </row>
    <row r="46">
      <c r="A46" s="5" t="s">
        <v>61</v>
      </c>
      <c r="B46" s="6">
        <v>2.3080605497046722</v>
      </c>
    </row>
    <row r="47">
      <c r="A47" s="5" t="s">
        <v>49</v>
      </c>
      <c r="B47" s="6">
        <v>2.2836027076718093</v>
      </c>
    </row>
    <row r="48">
      <c r="A48" s="5" t="s">
        <v>59</v>
      </c>
      <c r="B48" s="6">
        <v>2.184188794596434</v>
      </c>
    </row>
    <row r="49">
      <c r="A49" s="5" t="s">
        <v>85</v>
      </c>
      <c r="B49" s="6">
        <v>2.1195555740576726</v>
      </c>
    </row>
    <row r="50">
      <c r="A50" s="5" t="s">
        <v>180</v>
      </c>
      <c r="B50" s="6">
        <v>1.907194697486125</v>
      </c>
    </row>
    <row r="51">
      <c r="A51" s="5" t="s">
        <v>62</v>
      </c>
      <c r="B51" s="6">
        <v>1.668758291354143</v>
      </c>
    </row>
    <row r="52">
      <c r="A52" s="5" t="s">
        <v>105</v>
      </c>
      <c r="B52" s="6">
        <v>1.567272662582641</v>
      </c>
    </row>
    <row r="53">
      <c r="A53" s="5" t="s">
        <v>109</v>
      </c>
      <c r="B53" s="6">
        <v>1.441778696973328</v>
      </c>
    </row>
    <row r="54">
      <c r="A54" s="5" t="s">
        <v>87</v>
      </c>
      <c r="B54" s="6">
        <v>1.314966866377686</v>
      </c>
    </row>
    <row r="55">
      <c r="A55" s="5" t="s">
        <v>122</v>
      </c>
      <c r="B55" s="6">
        <v>1.2909179746798811</v>
      </c>
    </row>
    <row r="56">
      <c r="A56" s="5" t="s">
        <v>169</v>
      </c>
      <c r="B56" s="6">
        <v>1.2756308743520466</v>
      </c>
    </row>
    <row r="57">
      <c r="A57" s="5" t="s">
        <v>150</v>
      </c>
      <c r="B57" s="6">
        <v>1.203225184326489</v>
      </c>
    </row>
    <row r="58">
      <c r="A58" s="5" t="s">
        <v>235</v>
      </c>
      <c r="B58" s="6">
        <v>1.203225184326489</v>
      </c>
    </row>
    <row r="59">
      <c r="A59" s="5" t="s">
        <v>82</v>
      </c>
      <c r="B59" s="6">
        <v>1.1490439051826726</v>
      </c>
    </row>
    <row r="60">
      <c r="A60" s="5" t="s">
        <v>284</v>
      </c>
      <c r="B60" s="6">
        <v>1.1370857883266525</v>
      </c>
    </row>
    <row r="61">
      <c r="A61" s="5" t="s">
        <v>111</v>
      </c>
      <c r="B61" s="6">
        <v>1.0901656372889632</v>
      </c>
    </row>
    <row r="62">
      <c r="A62" s="5" t="s">
        <v>35</v>
      </c>
      <c r="B62" s="6">
        <v>1.0901656372889632</v>
      </c>
    </row>
    <row r="63">
      <c r="A63" s="5" t="s">
        <v>290</v>
      </c>
      <c r="B63" s="6">
        <v>1.0521052796007817</v>
      </c>
    </row>
    <row r="64">
      <c r="A64" s="5" t="s">
        <v>55</v>
      </c>
      <c r="B64" s="6">
        <v>0.9695880757388826</v>
      </c>
    </row>
    <row r="65">
      <c r="A65" s="5" t="s">
        <v>113</v>
      </c>
      <c r="B65" s="6">
        <v>0.9241582147962079</v>
      </c>
    </row>
    <row r="66">
      <c r="A66" s="5" t="s">
        <v>77</v>
      </c>
      <c r="B66" s="6">
        <v>0.8639620819161694</v>
      </c>
    </row>
    <row r="67">
      <c r="A67" s="5" t="s">
        <v>133</v>
      </c>
      <c r="B67" s="6">
        <v>0.7869732244060138</v>
      </c>
    </row>
    <row r="68">
      <c r="A68" s="5" t="s">
        <v>318</v>
      </c>
      <c r="B68" s="6">
        <v>0.7869732244060138</v>
      </c>
    </row>
    <row r="69">
      <c r="A69" s="5"/>
      <c r="B69" s="6"/>
    </row>
    <row r="70">
      <c r="A70" s="5"/>
      <c r="B70" s="6"/>
    </row>
    <row r="71">
      <c r="A71" s="5"/>
      <c r="B71" s="6"/>
    </row>
    <row r="72">
      <c r="A72" s="5"/>
      <c r="B72" s="6"/>
    </row>
    <row r="73">
      <c r="A73" s="5"/>
      <c r="B73" s="6"/>
    </row>
    <row r="74">
      <c r="A74" s="5"/>
      <c r="B74" s="6"/>
    </row>
    <row r="75">
      <c r="A75" s="5"/>
      <c r="B75" s="6"/>
    </row>
    <row r="76">
      <c r="A76" s="5"/>
      <c r="B76" s="6"/>
    </row>
    <row r="77">
      <c r="A77" s="5"/>
      <c r="B77" s="6"/>
    </row>
    <row r="78">
      <c r="A78" s="5"/>
      <c r="B78" s="6"/>
    </row>
    <row r="79">
      <c r="A79" s="5"/>
      <c r="B79" s="6"/>
    </row>
    <row r="80">
      <c r="A80" s="5"/>
      <c r="B80" s="6"/>
    </row>
    <row r="81">
      <c r="A81" s="5"/>
      <c r="B81" s="6"/>
    </row>
    <row r="82">
      <c r="A82" s="5"/>
      <c r="B82" s="6"/>
    </row>
    <row r="83">
      <c r="A83" s="5"/>
      <c r="B83" s="6"/>
    </row>
    <row r="84">
      <c r="A84" s="5"/>
      <c r="B84" s="6"/>
    </row>
    <row r="85">
      <c r="A85" s="5"/>
      <c r="B85" s="6"/>
    </row>
    <row r="86">
      <c r="A86" s="5"/>
      <c r="B86" s="6"/>
    </row>
    <row r="87">
      <c r="A87" s="5"/>
      <c r="B87" s="6"/>
    </row>
    <row r="88">
      <c r="A88" s="5"/>
      <c r="B88" s="6"/>
    </row>
    <row r="89">
      <c r="A89" s="5"/>
      <c r="B89" s="6"/>
    </row>
    <row r="90">
      <c r="A90" s="5"/>
      <c r="B90" s="6"/>
    </row>
    <row r="91">
      <c r="A91" s="5"/>
      <c r="B91" s="6"/>
    </row>
    <row r="92">
      <c r="A92" s="5"/>
      <c r="B92" s="6"/>
    </row>
    <row r="93">
      <c r="A93" s="5"/>
      <c r="B93" s="6"/>
    </row>
    <row r="94">
      <c r="A94" s="5"/>
      <c r="B94" s="6"/>
    </row>
    <row r="95">
      <c r="A95" s="5"/>
      <c r="B95" s="6"/>
    </row>
    <row r="96">
      <c r="A96" s="5"/>
      <c r="B96" s="6"/>
    </row>
    <row r="97">
      <c r="A97" s="5"/>
      <c r="B97" s="6"/>
    </row>
    <row r="98">
      <c r="A98" s="5"/>
      <c r="B98" s="6"/>
    </row>
    <row r="99">
      <c r="A99" s="5"/>
      <c r="B99" s="6"/>
    </row>
    <row r="100">
      <c r="A100" s="5"/>
      <c r="B100" s="6"/>
    </row>
    <row r="101">
      <c r="A101" s="5"/>
      <c r="B101" s="6"/>
    </row>
    <row r="102">
      <c r="A102" s="5"/>
      <c r="B102" s="6"/>
    </row>
    <row r="103">
      <c r="A103" s="5"/>
      <c r="B103" s="6"/>
    </row>
    <row r="104">
      <c r="A104" s="5"/>
      <c r="B104" s="6"/>
    </row>
    <row r="105">
      <c r="A105" s="5"/>
      <c r="B105" s="6"/>
    </row>
    <row r="106">
      <c r="A106" s="5"/>
      <c r="B106" s="6"/>
    </row>
    <row r="107">
      <c r="A107" s="5"/>
      <c r="B107" s="6"/>
    </row>
    <row r="108">
      <c r="A108" s="5"/>
      <c r="B108" s="6"/>
    </row>
    <row r="109">
      <c r="A109" s="5"/>
      <c r="B109" s="6"/>
    </row>
    <row r="110">
      <c r="A110" s="5"/>
      <c r="B110" s="6"/>
    </row>
    <row r="111">
      <c r="A111" s="5"/>
      <c r="B111" s="6"/>
    </row>
    <row r="112">
      <c r="A112" s="5"/>
      <c r="B112" s="6"/>
    </row>
    <row r="113">
      <c r="A113" s="5"/>
      <c r="B113" s="6"/>
    </row>
    <row r="114">
      <c r="A114" s="5"/>
      <c r="B114" s="6"/>
    </row>
    <row r="115">
      <c r="A115" s="5"/>
      <c r="B115" s="6"/>
    </row>
    <row r="116">
      <c r="A116" s="5"/>
      <c r="B116" s="6"/>
    </row>
    <row r="117">
      <c r="A117" s="5"/>
      <c r="B117" s="6"/>
    </row>
    <row r="118">
      <c r="A118" s="5"/>
      <c r="B118" s="6"/>
    </row>
    <row r="119">
      <c r="A119" s="5"/>
      <c r="B119" s="6"/>
    </row>
    <row r="120">
      <c r="A120" s="5"/>
      <c r="B120" s="6"/>
    </row>
    <row r="121">
      <c r="A121" s="5"/>
      <c r="B121" s="6"/>
    </row>
    <row r="122">
      <c r="A122" s="5"/>
      <c r="B122" s="6"/>
    </row>
    <row r="123">
      <c r="A123" s="5"/>
      <c r="B123" s="6"/>
    </row>
    <row r="124">
      <c r="A124" s="5"/>
      <c r="B124" s="6"/>
    </row>
    <row r="125">
      <c r="A125" s="5"/>
      <c r="B125" s="6"/>
    </row>
    <row r="126">
      <c r="A126" s="5"/>
      <c r="B126" s="6"/>
    </row>
    <row r="127">
      <c r="A127" s="5"/>
      <c r="B127" s="6"/>
    </row>
    <row r="128">
      <c r="A128" s="5"/>
      <c r="B128" s="6"/>
    </row>
    <row r="129">
      <c r="A129" s="5"/>
      <c r="B129" s="6"/>
    </row>
    <row r="130">
      <c r="A130" s="5"/>
      <c r="B130" s="6"/>
    </row>
    <row r="131">
      <c r="A131" s="5"/>
      <c r="B131" s="6"/>
    </row>
    <row r="132">
      <c r="A132" s="5"/>
      <c r="B132" s="6"/>
    </row>
    <row r="133">
      <c r="A133" s="5"/>
      <c r="B133" s="6"/>
    </row>
    <row r="134">
      <c r="A134" s="5"/>
      <c r="B134" s="6"/>
    </row>
    <row r="135">
      <c r="A135" s="5"/>
      <c r="B135" s="6"/>
    </row>
    <row r="136">
      <c r="A136" s="5"/>
      <c r="B136" s="6"/>
    </row>
    <row r="137">
      <c r="A137" s="5"/>
      <c r="B137" s="6"/>
    </row>
    <row r="138">
      <c r="A138" s="5"/>
      <c r="B138" s="6"/>
    </row>
    <row r="139">
      <c r="A139" s="5"/>
      <c r="B139" s="6"/>
    </row>
    <row r="140">
      <c r="A140" s="5"/>
      <c r="B140" s="6"/>
    </row>
    <row r="141">
      <c r="A141" s="5"/>
      <c r="B141" s="6"/>
    </row>
    <row r="142">
      <c r="A142" s="5"/>
      <c r="B142" s="6"/>
    </row>
    <row r="143">
      <c r="A143" s="5"/>
      <c r="B143" s="6"/>
    </row>
    <row r="144">
      <c r="A144" s="5"/>
      <c r="B144" s="6"/>
    </row>
    <row r="145">
      <c r="A145" s="5"/>
      <c r="B145" s="6"/>
    </row>
    <row r="146">
      <c r="A146" s="5"/>
      <c r="B146" s="6"/>
    </row>
    <row r="147">
      <c r="A147" s="5"/>
      <c r="B147" s="6"/>
    </row>
    <row r="148">
      <c r="A148" s="5"/>
      <c r="B148" s="6"/>
    </row>
    <row r="149">
      <c r="A149" s="5"/>
      <c r="B149" s="6"/>
    </row>
    <row r="150">
      <c r="A150" s="5"/>
      <c r="B150" s="6"/>
    </row>
    <row r="151">
      <c r="A151" s="5"/>
      <c r="B151" s="6"/>
    </row>
    <row r="152">
      <c r="A152" s="5"/>
      <c r="B152" s="6"/>
    </row>
    <row r="153">
      <c r="A153" s="5"/>
      <c r="B153" s="6"/>
    </row>
    <row r="154">
      <c r="A154" s="5"/>
      <c r="B154" s="6"/>
    </row>
    <row r="155">
      <c r="A155" s="5"/>
      <c r="B155" s="6"/>
    </row>
    <row r="156">
      <c r="A156" s="5"/>
      <c r="B156" s="6"/>
    </row>
    <row r="157">
      <c r="A157" s="5"/>
      <c r="B157" s="6"/>
    </row>
    <row r="158">
      <c r="A158" s="5"/>
      <c r="B158" s="6"/>
    </row>
    <row r="159">
      <c r="A159" s="5"/>
      <c r="B159" s="6"/>
    </row>
    <row r="160">
      <c r="A160" s="5"/>
      <c r="B160" s="6"/>
    </row>
    <row r="161">
      <c r="A161" s="5"/>
      <c r="B161" s="6"/>
    </row>
    <row r="162">
      <c r="A162" s="5"/>
      <c r="B162" s="6"/>
    </row>
    <row r="163">
      <c r="A163" s="5"/>
      <c r="B163" s="6"/>
    </row>
    <row r="164">
      <c r="A164" s="5"/>
      <c r="B164" s="6"/>
    </row>
    <row r="165">
      <c r="A165" s="5"/>
      <c r="B165" s="6"/>
    </row>
    <row r="166">
      <c r="A166" s="5"/>
      <c r="B166" s="6"/>
    </row>
    <row r="167">
      <c r="A167" s="5"/>
      <c r="B167" s="6"/>
    </row>
    <row r="168">
      <c r="A168" s="5"/>
      <c r="B168" s="6"/>
    </row>
    <row r="169">
      <c r="A169" s="5"/>
      <c r="B169" s="6"/>
    </row>
    <row r="170">
      <c r="A170" s="5"/>
      <c r="B170" s="6"/>
    </row>
    <row r="171">
      <c r="A171" s="5"/>
      <c r="B171" s="6"/>
    </row>
    <row r="172">
      <c r="A172" s="5"/>
      <c r="B172" s="6"/>
    </row>
    <row r="173">
      <c r="A173" s="5"/>
      <c r="B173" s="6"/>
    </row>
    <row r="174">
      <c r="A174" s="5"/>
      <c r="B174" s="6"/>
    </row>
    <row r="175">
      <c r="A175" s="5"/>
      <c r="B175" s="6"/>
    </row>
    <row r="176">
      <c r="A176" s="5"/>
      <c r="B176" s="6"/>
    </row>
    <row r="177">
      <c r="A177" s="5"/>
      <c r="B177" s="6"/>
    </row>
    <row r="178">
      <c r="A178" s="5"/>
      <c r="B178" s="6"/>
    </row>
    <row r="179">
      <c r="A179" s="5"/>
      <c r="B179" s="6"/>
    </row>
    <row r="180">
      <c r="A180" s="5"/>
      <c r="B180" s="6"/>
    </row>
    <row r="181">
      <c r="A181" s="5"/>
      <c r="B181" s="6"/>
    </row>
    <row r="182">
      <c r="A182" s="5"/>
      <c r="B182" s="6"/>
    </row>
    <row r="183">
      <c r="A183" s="5"/>
      <c r="B183" s="6"/>
    </row>
    <row r="184">
      <c r="A184" s="5"/>
      <c r="B184" s="6"/>
    </row>
    <row r="185">
      <c r="A185" s="5"/>
      <c r="B185" s="6"/>
    </row>
    <row r="186">
      <c r="A186" s="5"/>
      <c r="B186" s="6"/>
    </row>
    <row r="187">
      <c r="A187" s="5"/>
      <c r="B187" s="6"/>
    </row>
    <row r="188">
      <c r="A188" s="5"/>
      <c r="B188" s="6"/>
    </row>
    <row r="189">
      <c r="A189" s="5"/>
      <c r="B189" s="6"/>
    </row>
    <row r="190">
      <c r="A190" s="5"/>
      <c r="B190" s="6"/>
    </row>
    <row r="191">
      <c r="A191" s="5"/>
      <c r="B191" s="6"/>
    </row>
    <row r="192">
      <c r="A192" s="5"/>
      <c r="B192" s="6"/>
    </row>
    <row r="193">
      <c r="A193" s="5"/>
      <c r="B193" s="6"/>
    </row>
    <row r="194">
      <c r="A194" s="5"/>
      <c r="B194" s="6"/>
    </row>
    <row r="195">
      <c r="A195" s="5"/>
      <c r="B195" s="6"/>
    </row>
    <row r="196">
      <c r="A196" s="5"/>
      <c r="B196" s="6"/>
    </row>
    <row r="197">
      <c r="A197" s="5"/>
      <c r="B197" s="6"/>
    </row>
    <row r="198">
      <c r="A198" s="5"/>
      <c r="B198" s="6"/>
    </row>
    <row r="199">
      <c r="A199" s="5"/>
      <c r="B199" s="6"/>
    </row>
    <row r="200">
      <c r="A200" s="5"/>
      <c r="B200" s="6"/>
    </row>
    <row r="201">
      <c r="A201" s="5"/>
      <c r="B201" s="6"/>
    </row>
    <row r="202">
      <c r="A202" s="5"/>
      <c r="B202" s="6"/>
    </row>
    <row r="203">
      <c r="A203" s="5"/>
      <c r="B203" s="6"/>
    </row>
    <row r="204">
      <c r="A204" s="5"/>
      <c r="B204" s="6"/>
    </row>
    <row r="205">
      <c r="A205" s="5"/>
      <c r="B205" s="6"/>
    </row>
    <row r="206">
      <c r="A206" s="5"/>
      <c r="B206" s="6"/>
    </row>
    <row r="207">
      <c r="A207" s="5"/>
      <c r="B207" s="6"/>
    </row>
    <row r="208">
      <c r="A208" s="5"/>
      <c r="B208" s="6"/>
    </row>
    <row r="209">
      <c r="A209" s="5"/>
      <c r="B209" s="6"/>
    </row>
    <row r="210">
      <c r="A210" s="5"/>
      <c r="B210" s="6"/>
    </row>
    <row r="211">
      <c r="A211" s="5"/>
      <c r="B211" s="6"/>
    </row>
    <row r="212">
      <c r="A212" s="5"/>
      <c r="B212" s="6"/>
    </row>
    <row r="213">
      <c r="A213" s="5"/>
      <c r="B213" s="6"/>
    </row>
    <row r="214">
      <c r="A214" s="5"/>
      <c r="B214" s="6"/>
    </row>
    <row r="215">
      <c r="A215" s="5"/>
      <c r="B215" s="6"/>
    </row>
    <row r="216">
      <c r="A216" s="5"/>
      <c r="B216" s="6"/>
    </row>
    <row r="217">
      <c r="A217" s="5"/>
      <c r="B217" s="6"/>
    </row>
    <row r="218">
      <c r="A218" s="5"/>
      <c r="B218" s="6"/>
    </row>
    <row r="219">
      <c r="A219" s="5"/>
      <c r="B219" s="6"/>
    </row>
    <row r="220">
      <c r="A220" s="5"/>
      <c r="B220" s="6"/>
    </row>
    <row r="221">
      <c r="A221" s="5"/>
      <c r="B221" s="6"/>
    </row>
    <row r="222">
      <c r="A222" s="5"/>
      <c r="B222" s="6"/>
    </row>
    <row r="223">
      <c r="A223" s="5"/>
      <c r="B223" s="6"/>
    </row>
    <row r="224">
      <c r="A224" s="5"/>
      <c r="B224" s="6"/>
    </row>
    <row r="225">
      <c r="A225" s="5"/>
      <c r="B225" s="6"/>
    </row>
    <row r="226">
      <c r="A226" s="5"/>
      <c r="B226" s="6"/>
    </row>
    <row r="227">
      <c r="A227" s="5"/>
      <c r="B227" s="6"/>
    </row>
    <row r="228">
      <c r="A228" s="5"/>
      <c r="B228" s="6"/>
    </row>
    <row r="229">
      <c r="A229" s="5"/>
      <c r="B229" s="6"/>
    </row>
    <row r="230">
      <c r="A230" s="5"/>
      <c r="B230" s="6"/>
    </row>
    <row r="231">
      <c r="A231" s="5"/>
      <c r="B231" s="6"/>
    </row>
    <row r="232">
      <c r="A232" s="5"/>
      <c r="B232" s="6"/>
    </row>
    <row r="233">
      <c r="A233" s="5"/>
      <c r="B233" s="6"/>
    </row>
    <row r="234">
      <c r="A234" s="5"/>
      <c r="B234" s="6"/>
    </row>
    <row r="235">
      <c r="A235" s="5"/>
      <c r="B235" s="6"/>
    </row>
    <row r="236">
      <c r="A236" s="5"/>
      <c r="B236" s="6"/>
    </row>
    <row r="237">
      <c r="A237" s="5"/>
      <c r="B237" s="6"/>
    </row>
    <row r="238">
      <c r="A238" s="5"/>
      <c r="B238" s="6"/>
    </row>
    <row r="239">
      <c r="A239" s="5"/>
      <c r="B239" s="6"/>
    </row>
    <row r="240">
      <c r="A240" s="5"/>
      <c r="B240" s="6"/>
    </row>
    <row r="241">
      <c r="A241" s="5"/>
      <c r="B241" s="6"/>
    </row>
    <row r="242">
      <c r="A242" s="5"/>
      <c r="B242" s="6"/>
    </row>
    <row r="243">
      <c r="A243" s="5"/>
      <c r="B243" s="6"/>
    </row>
    <row r="244">
      <c r="A244" s="5"/>
      <c r="B244" s="6"/>
    </row>
    <row r="245">
      <c r="A245" s="5"/>
      <c r="B245" s="6"/>
    </row>
    <row r="246">
      <c r="A246" s="5"/>
      <c r="B246" s="6"/>
    </row>
    <row r="247">
      <c r="A247" s="5"/>
      <c r="B247" s="6"/>
    </row>
    <row r="248">
      <c r="A248" s="5"/>
      <c r="B248" s="6"/>
    </row>
    <row r="249">
      <c r="A249" s="5"/>
      <c r="B249" s="6"/>
    </row>
    <row r="250">
      <c r="A250" s="5"/>
      <c r="B250" s="6"/>
    </row>
    <row r="251">
      <c r="A251" s="5"/>
      <c r="B251" s="6"/>
    </row>
    <row r="252">
      <c r="A252" s="5"/>
      <c r="B252" s="6"/>
    </row>
    <row r="253">
      <c r="A253" s="5"/>
      <c r="B253" s="6"/>
    </row>
    <row r="254">
      <c r="A254" s="5"/>
      <c r="B254" s="6"/>
    </row>
    <row r="255">
      <c r="A255" s="5"/>
      <c r="B255" s="6"/>
    </row>
    <row r="256">
      <c r="A256" s="5"/>
      <c r="B256" s="6"/>
    </row>
    <row r="257">
      <c r="A257" s="5"/>
      <c r="B257" s="6"/>
    </row>
    <row r="258">
      <c r="A258" s="5"/>
      <c r="B258" s="6"/>
    </row>
    <row r="259">
      <c r="A259" s="5"/>
      <c r="B259" s="6"/>
    </row>
    <row r="260">
      <c r="A260" s="5"/>
      <c r="B260" s="6"/>
    </row>
    <row r="261">
      <c r="A261" s="5"/>
      <c r="B261" s="6"/>
    </row>
    <row r="262">
      <c r="A262" s="5"/>
      <c r="B262" s="6"/>
    </row>
    <row r="263">
      <c r="A263" s="5"/>
      <c r="B263" s="6"/>
    </row>
    <row r="264">
      <c r="A264" s="5"/>
      <c r="B264" s="6"/>
    </row>
    <row r="265">
      <c r="A265" s="5"/>
      <c r="B265" s="6"/>
    </row>
    <row r="266">
      <c r="A266" s="5"/>
      <c r="B266" s="6"/>
    </row>
    <row r="267">
      <c r="A267" s="5"/>
      <c r="B267" s="6"/>
    </row>
    <row r="268">
      <c r="A268" s="5"/>
      <c r="B268" s="6"/>
    </row>
    <row r="269">
      <c r="A269" s="5"/>
      <c r="B269" s="6"/>
    </row>
    <row r="270">
      <c r="A270" s="5"/>
      <c r="B270" s="6"/>
    </row>
    <row r="271">
      <c r="A271" s="5"/>
      <c r="B271" s="6"/>
    </row>
    <row r="272">
      <c r="A272" s="5"/>
      <c r="B272" s="6"/>
    </row>
    <row r="273">
      <c r="A273" s="5"/>
      <c r="B273" s="6"/>
    </row>
    <row r="274">
      <c r="A274" s="5"/>
      <c r="B274" s="6"/>
    </row>
    <row r="275">
      <c r="A275" s="5"/>
      <c r="B275" s="6"/>
    </row>
    <row r="276">
      <c r="A276" s="5"/>
      <c r="B276" s="6"/>
    </row>
    <row r="277">
      <c r="A277" s="5"/>
      <c r="B277" s="6"/>
    </row>
    <row r="278">
      <c r="A278" s="5"/>
      <c r="B278" s="6"/>
    </row>
    <row r="279">
      <c r="A279" s="5"/>
      <c r="B279" s="6"/>
    </row>
    <row r="280">
      <c r="A280" s="5"/>
      <c r="B280" s="6"/>
    </row>
    <row r="281">
      <c r="A281" s="5"/>
      <c r="B281" s="6"/>
    </row>
    <row r="282">
      <c r="A282" s="5"/>
      <c r="B282" s="6"/>
    </row>
    <row r="283">
      <c r="A283" s="5"/>
      <c r="B283" s="6"/>
    </row>
    <row r="284">
      <c r="A284" s="5"/>
      <c r="B284" s="6"/>
    </row>
    <row r="285">
      <c r="A285" s="5"/>
      <c r="B285" s="6"/>
    </row>
    <row r="286">
      <c r="A286" s="5"/>
      <c r="B286" s="6"/>
    </row>
    <row r="287">
      <c r="A287" s="5"/>
      <c r="B287" s="6"/>
    </row>
    <row r="288">
      <c r="A288" s="5"/>
      <c r="B288" s="6"/>
    </row>
    <row r="289">
      <c r="A289" s="5"/>
      <c r="B289" s="6"/>
    </row>
    <row r="290">
      <c r="A290" s="5"/>
      <c r="B290" s="6"/>
    </row>
    <row r="291">
      <c r="A291" s="5"/>
      <c r="B291" s="6"/>
    </row>
    <row r="292">
      <c r="A292" s="5"/>
      <c r="B292" s="6"/>
    </row>
    <row r="293">
      <c r="A293" s="5"/>
      <c r="B293" s="6"/>
    </row>
    <row r="294">
      <c r="A294" s="5"/>
      <c r="B294" s="6"/>
    </row>
    <row r="295">
      <c r="A295" s="5"/>
      <c r="B295" s="6"/>
    </row>
    <row r="296">
      <c r="A296" s="5"/>
      <c r="B296" s="6"/>
    </row>
    <row r="297">
      <c r="A297" s="5"/>
      <c r="B297" s="6"/>
    </row>
    <row r="298">
      <c r="A298" s="5"/>
      <c r="B298" s="6"/>
    </row>
    <row r="299">
      <c r="A299" s="5"/>
      <c r="B299" s="6"/>
    </row>
    <row r="300">
      <c r="A300" s="5"/>
      <c r="B300" s="6"/>
    </row>
    <row r="301">
      <c r="A301" s="5"/>
      <c r="B301" s="6"/>
    </row>
    <row r="302">
      <c r="A302" s="5"/>
      <c r="B302" s="6"/>
    </row>
    <row r="303">
      <c r="A303" s="5"/>
      <c r="B303" s="6"/>
    </row>
    <row r="304">
      <c r="A304" s="5"/>
      <c r="B304" s="6"/>
    </row>
    <row r="305">
      <c r="A305" s="5"/>
      <c r="B305" s="6"/>
    </row>
    <row r="306">
      <c r="A306" s="5"/>
      <c r="B306" s="6"/>
    </row>
    <row r="307">
      <c r="A307" s="5"/>
      <c r="B307" s="6"/>
    </row>
    <row r="308">
      <c r="A308" s="5"/>
      <c r="B308" s="6"/>
    </row>
    <row r="309">
      <c r="A309" s="5"/>
      <c r="B309" s="6"/>
    </row>
    <row r="310">
      <c r="A310" s="5"/>
      <c r="B310" s="6"/>
    </row>
    <row r="311">
      <c r="A311" s="5"/>
      <c r="B311" s="6"/>
    </row>
    <row r="312">
      <c r="A312" s="5"/>
      <c r="B312" s="6"/>
    </row>
    <row r="313">
      <c r="A313" s="5"/>
      <c r="B313" s="6"/>
    </row>
    <row r="314">
      <c r="A314" s="5"/>
      <c r="B314" s="6"/>
    </row>
    <row r="315">
      <c r="A315" s="5"/>
      <c r="B315" s="6"/>
    </row>
    <row r="316">
      <c r="A316" s="5"/>
      <c r="B316" s="6"/>
    </row>
    <row r="317">
      <c r="A317" s="5"/>
      <c r="B317" s="6"/>
    </row>
    <row r="318">
      <c r="A318" s="5"/>
      <c r="B318" s="6"/>
    </row>
    <row r="319">
      <c r="A319" s="5"/>
      <c r="B319" s="6"/>
    </row>
    <row r="320">
      <c r="A320" s="5"/>
      <c r="B320" s="6"/>
    </row>
    <row r="321">
      <c r="A321" s="5"/>
      <c r="B321" s="6"/>
    </row>
    <row r="322">
      <c r="A322" s="5"/>
      <c r="B322" s="6"/>
    </row>
    <row r="323">
      <c r="A323" s="5"/>
      <c r="B323" s="6"/>
    </row>
    <row r="324">
      <c r="A324" s="5"/>
      <c r="B324" s="6"/>
    </row>
    <row r="325">
      <c r="A325" s="5"/>
      <c r="B325" s="6"/>
    </row>
    <row r="326">
      <c r="A326" s="5"/>
      <c r="B326" s="6"/>
    </row>
    <row r="327">
      <c r="A327" s="5"/>
      <c r="B327" s="6"/>
    </row>
    <row r="328">
      <c r="A328" s="5"/>
      <c r="B328" s="6"/>
    </row>
    <row r="329">
      <c r="A329" s="5"/>
      <c r="B329" s="6"/>
    </row>
    <row r="330">
      <c r="A330" s="5"/>
      <c r="B330" s="6"/>
    </row>
    <row r="331">
      <c r="A331" s="5"/>
      <c r="B331" s="6"/>
    </row>
    <row r="332">
      <c r="A332" s="5"/>
      <c r="B332" s="6"/>
    </row>
    <row r="333">
      <c r="A333" s="5"/>
      <c r="B333" s="6"/>
    </row>
    <row r="334">
      <c r="A334" s="5"/>
      <c r="B334" s="6"/>
    </row>
    <row r="335">
      <c r="A335" s="5"/>
      <c r="B335" s="6"/>
    </row>
    <row r="336">
      <c r="A336" s="5"/>
      <c r="B336" s="6"/>
    </row>
    <row r="337">
      <c r="A337" s="5"/>
      <c r="B337" s="6"/>
    </row>
    <row r="338">
      <c r="A338" s="5"/>
      <c r="B338" s="6"/>
    </row>
    <row r="339">
      <c r="A339" s="5"/>
      <c r="B339" s="6"/>
    </row>
    <row r="340">
      <c r="A340" s="5"/>
      <c r="B340" s="6"/>
    </row>
    <row r="341">
      <c r="A341" s="5"/>
      <c r="B341" s="6"/>
    </row>
    <row r="342">
      <c r="A342" s="5"/>
      <c r="B342" s="6"/>
    </row>
    <row r="343">
      <c r="A343" s="5"/>
      <c r="B343" s="6"/>
    </row>
    <row r="344">
      <c r="A344" s="5"/>
      <c r="B344" s="6"/>
    </row>
    <row r="345">
      <c r="A345" s="5"/>
      <c r="B345" s="6"/>
    </row>
    <row r="346">
      <c r="A346" s="5"/>
      <c r="B346" s="6"/>
    </row>
    <row r="347">
      <c r="A347" s="5"/>
      <c r="B347" s="6"/>
    </row>
    <row r="348">
      <c r="A348" s="5"/>
      <c r="B348" s="6"/>
    </row>
    <row r="349">
      <c r="A349" s="5"/>
      <c r="B349" s="6"/>
    </row>
    <row r="350">
      <c r="A350" s="5"/>
      <c r="B350" s="6"/>
    </row>
    <row r="351">
      <c r="A351" s="5"/>
      <c r="B351" s="6"/>
    </row>
    <row r="352">
      <c r="A352" s="5"/>
      <c r="B352" s="6"/>
    </row>
    <row r="353">
      <c r="A353" s="5"/>
      <c r="B353" s="6"/>
    </row>
    <row r="354">
      <c r="A354" s="5"/>
      <c r="B354" s="6"/>
    </row>
    <row r="355">
      <c r="A355" s="5"/>
      <c r="B355" s="6"/>
    </row>
    <row r="356">
      <c r="A356" s="5"/>
      <c r="B356" s="6"/>
    </row>
    <row r="357">
      <c r="A357" s="5"/>
      <c r="B357" s="6"/>
    </row>
    <row r="358">
      <c r="A358" s="5"/>
      <c r="B358" s="6"/>
    </row>
    <row r="359">
      <c r="A359" s="5"/>
      <c r="B359" s="6"/>
    </row>
    <row r="360">
      <c r="A360" s="5"/>
      <c r="B360" s="6"/>
    </row>
    <row r="361">
      <c r="A361" s="5"/>
      <c r="B361" s="6"/>
    </row>
    <row r="362">
      <c r="A362" s="5"/>
      <c r="B362" s="6"/>
    </row>
    <row r="363">
      <c r="A363" s="5"/>
      <c r="B363" s="6"/>
    </row>
    <row r="364">
      <c r="A364" s="5"/>
      <c r="B364" s="6"/>
    </row>
    <row r="365">
      <c r="A365" s="5"/>
      <c r="B365" s="6"/>
    </row>
    <row r="366">
      <c r="A366" s="5"/>
      <c r="B366" s="6"/>
    </row>
    <row r="367">
      <c r="A367" s="5"/>
      <c r="B367" s="6"/>
    </row>
    <row r="368">
      <c r="A368" s="5"/>
      <c r="B368" s="6"/>
    </row>
    <row r="369">
      <c r="A369" s="5"/>
      <c r="B369" s="6"/>
    </row>
    <row r="370">
      <c r="A370" s="5"/>
      <c r="B370" s="6"/>
    </row>
    <row r="371">
      <c r="A371" s="5"/>
      <c r="B371" s="6"/>
    </row>
    <row r="372">
      <c r="A372" s="5"/>
      <c r="B372" s="6"/>
    </row>
    <row r="373">
      <c r="A373" s="5"/>
      <c r="B373" s="6"/>
    </row>
    <row r="374">
      <c r="A374" s="5"/>
      <c r="B374" s="6"/>
    </row>
    <row r="375">
      <c r="A375" s="5"/>
      <c r="B375" s="6"/>
    </row>
    <row r="376">
      <c r="A376" s="5"/>
      <c r="B376" s="6"/>
    </row>
    <row r="377">
      <c r="A377" s="5"/>
      <c r="B377" s="6"/>
    </row>
    <row r="378">
      <c r="A378" s="5"/>
      <c r="B378" s="6"/>
    </row>
    <row r="379">
      <c r="A379" s="5"/>
      <c r="B379" s="6"/>
    </row>
    <row r="380">
      <c r="A380" s="5"/>
      <c r="B380" s="6"/>
    </row>
    <row r="381">
      <c r="A381" s="5"/>
      <c r="B381" s="6"/>
    </row>
    <row r="382">
      <c r="A382" s="5"/>
      <c r="B382" s="6"/>
    </row>
    <row r="383">
      <c r="A383" s="5"/>
      <c r="B383" s="6"/>
    </row>
    <row r="384">
      <c r="A384" s="5"/>
      <c r="B384" s="6"/>
    </row>
    <row r="385">
      <c r="A385" s="5"/>
      <c r="B385" s="6"/>
    </row>
    <row r="386">
      <c r="A386" s="5"/>
      <c r="B386" s="6"/>
    </row>
    <row r="387">
      <c r="A387" s="5"/>
      <c r="B387" s="6"/>
    </row>
    <row r="388">
      <c r="A388" s="5"/>
      <c r="B388" s="6"/>
    </row>
    <row r="389">
      <c r="A389" s="5"/>
      <c r="B389" s="6"/>
    </row>
    <row r="390">
      <c r="A390" s="5"/>
      <c r="B390" s="6"/>
    </row>
    <row r="391">
      <c r="A391" s="5"/>
      <c r="B391" s="6"/>
    </row>
    <row r="392">
      <c r="A392" s="5"/>
      <c r="B392" s="6"/>
    </row>
    <row r="393">
      <c r="A393" s="5"/>
      <c r="B393" s="6"/>
    </row>
    <row r="394">
      <c r="A394" s="5"/>
      <c r="B394" s="6"/>
    </row>
    <row r="395">
      <c r="A395" s="5"/>
      <c r="B395" s="6"/>
    </row>
    <row r="396">
      <c r="A396" s="5"/>
      <c r="B396" s="6"/>
    </row>
    <row r="397">
      <c r="A397" s="5"/>
      <c r="B397" s="6"/>
    </row>
    <row r="398">
      <c r="A398" s="5"/>
      <c r="B398" s="6"/>
    </row>
    <row r="399">
      <c r="A399" s="5"/>
      <c r="B399" s="6"/>
    </row>
    <row r="400">
      <c r="A400" s="5"/>
      <c r="B400" s="6"/>
    </row>
    <row r="401">
      <c r="A401" s="5"/>
      <c r="B401" s="6"/>
    </row>
    <row r="402">
      <c r="A402" s="5"/>
      <c r="B402" s="6"/>
    </row>
    <row r="403">
      <c r="A403" s="5"/>
      <c r="B403" s="6"/>
    </row>
    <row r="404">
      <c r="A404" s="5"/>
      <c r="B404" s="6"/>
    </row>
    <row r="405">
      <c r="A405" s="5"/>
      <c r="B405" s="6"/>
    </row>
    <row r="406">
      <c r="A406" s="5"/>
      <c r="B406" s="6"/>
    </row>
    <row r="407">
      <c r="A407" s="5"/>
      <c r="B407" s="6"/>
    </row>
    <row r="408">
      <c r="A408" s="5"/>
      <c r="B408" s="6"/>
    </row>
    <row r="409">
      <c r="A409" s="5"/>
      <c r="B409" s="6"/>
    </row>
    <row r="410">
      <c r="A410" s="5"/>
      <c r="B410" s="6"/>
    </row>
    <row r="411">
      <c r="A411" s="5"/>
      <c r="B411" s="6"/>
    </row>
    <row r="412">
      <c r="A412" s="5"/>
      <c r="B412" s="6"/>
    </row>
    <row r="413">
      <c r="A413" s="5"/>
      <c r="B413" s="6"/>
    </row>
    <row r="414">
      <c r="A414" s="5"/>
      <c r="B414" s="6"/>
    </row>
    <row r="415">
      <c r="A415" s="5"/>
      <c r="B415" s="6"/>
    </row>
    <row r="416">
      <c r="A416" s="5"/>
      <c r="B416" s="6"/>
    </row>
    <row r="417">
      <c r="A417" s="5"/>
      <c r="B417" s="6"/>
    </row>
    <row r="418">
      <c r="A418" s="5"/>
      <c r="B418" s="6"/>
    </row>
    <row r="419">
      <c r="A419" s="5"/>
      <c r="B419" s="6"/>
    </row>
    <row r="420">
      <c r="A420" s="5"/>
      <c r="B420" s="6"/>
    </row>
    <row r="421">
      <c r="A421" s="5"/>
      <c r="B421" s="6"/>
    </row>
    <row r="422">
      <c r="A422" s="5"/>
      <c r="B422" s="6"/>
    </row>
    <row r="423">
      <c r="A423" s="5"/>
      <c r="B423" s="6"/>
    </row>
    <row r="424">
      <c r="A424" s="5"/>
      <c r="B424" s="6"/>
    </row>
    <row r="425">
      <c r="A425" s="5"/>
      <c r="B425" s="6"/>
    </row>
    <row r="426">
      <c r="A426" s="5"/>
      <c r="B426" s="6"/>
    </row>
    <row r="427">
      <c r="A427" s="5"/>
      <c r="B427" s="6"/>
    </row>
    <row r="428">
      <c r="A428" s="5"/>
      <c r="B428" s="6"/>
    </row>
    <row r="429">
      <c r="A429" s="5"/>
      <c r="B429" s="6"/>
    </row>
    <row r="430">
      <c r="A430" s="5"/>
      <c r="B430" s="6"/>
    </row>
    <row r="431">
      <c r="A431" s="5"/>
      <c r="B431" s="6"/>
    </row>
    <row r="432">
      <c r="A432" s="5"/>
      <c r="B432" s="6"/>
    </row>
    <row r="433">
      <c r="A433" s="5"/>
      <c r="B433" s="6"/>
    </row>
    <row r="434">
      <c r="A434" s="5"/>
      <c r="B434" s="6"/>
    </row>
    <row r="435">
      <c r="A435" s="5"/>
      <c r="B435" s="6"/>
    </row>
    <row r="436">
      <c r="A436" s="5"/>
      <c r="B436" s="6"/>
    </row>
    <row r="437">
      <c r="A437" s="5"/>
      <c r="B437" s="6"/>
    </row>
    <row r="438">
      <c r="A438" s="5"/>
      <c r="B438" s="6"/>
    </row>
    <row r="439">
      <c r="A439" s="5"/>
      <c r="B439" s="6"/>
    </row>
    <row r="440">
      <c r="A440" s="5"/>
      <c r="B440" s="6"/>
    </row>
    <row r="441">
      <c r="A441" s="5"/>
      <c r="B441" s="6"/>
    </row>
    <row r="442">
      <c r="A442" s="5"/>
      <c r="B442" s="6"/>
    </row>
    <row r="443">
      <c r="A443" s="5"/>
      <c r="B443" s="6"/>
    </row>
    <row r="444">
      <c r="A444" s="5"/>
      <c r="B444" s="6"/>
    </row>
    <row r="445">
      <c r="A445" s="5"/>
      <c r="B445" s="6"/>
    </row>
    <row r="446">
      <c r="A446" s="5"/>
      <c r="B446" s="6"/>
    </row>
    <row r="447">
      <c r="A447" s="5"/>
      <c r="B447" s="6"/>
    </row>
    <row r="448">
      <c r="A448" s="5"/>
      <c r="B448" s="6"/>
    </row>
    <row r="449">
      <c r="A449" s="5"/>
      <c r="B449" s="6"/>
    </row>
    <row r="450">
      <c r="A450" s="5"/>
      <c r="B450" s="6"/>
    </row>
    <row r="451">
      <c r="A451" s="5"/>
      <c r="B451" s="6"/>
    </row>
    <row r="452">
      <c r="A452" s="5"/>
      <c r="B452" s="6"/>
    </row>
    <row r="453">
      <c r="A453" s="5"/>
      <c r="B453" s="6"/>
    </row>
    <row r="454">
      <c r="A454" s="5"/>
      <c r="B454" s="6"/>
    </row>
    <row r="455">
      <c r="A455" s="5"/>
      <c r="B455" s="6"/>
    </row>
    <row r="456">
      <c r="A456" s="5"/>
      <c r="B456" s="6"/>
    </row>
    <row r="457">
      <c r="A457" s="5"/>
      <c r="B457" s="6"/>
    </row>
    <row r="458">
      <c r="A458" s="5"/>
      <c r="B458" s="6"/>
    </row>
    <row r="459">
      <c r="A459" s="5"/>
      <c r="B459" s="6"/>
    </row>
    <row r="460">
      <c r="A460" s="5"/>
      <c r="B460" s="6"/>
    </row>
    <row r="461">
      <c r="A461" s="5"/>
      <c r="B461" s="6"/>
    </row>
    <row r="462">
      <c r="A462" s="5"/>
      <c r="B462" s="6"/>
    </row>
    <row r="463">
      <c r="A463" s="5"/>
      <c r="B463" s="6"/>
    </row>
    <row r="464">
      <c r="A464" s="5"/>
      <c r="B464" s="6"/>
    </row>
    <row r="465">
      <c r="A465" s="5"/>
      <c r="B465" s="6"/>
    </row>
    <row r="466">
      <c r="A466" s="5"/>
      <c r="B466" s="6"/>
    </row>
    <row r="467">
      <c r="A467" s="5"/>
      <c r="B467" s="6"/>
    </row>
    <row r="468">
      <c r="A468" s="5"/>
      <c r="B468" s="6"/>
    </row>
    <row r="469">
      <c r="A469" s="5"/>
      <c r="B469" s="6"/>
    </row>
    <row r="470">
      <c r="A470" s="5"/>
      <c r="B470" s="6"/>
    </row>
    <row r="471">
      <c r="A471" s="5"/>
      <c r="B471" s="6"/>
    </row>
    <row r="472">
      <c r="A472" s="5"/>
      <c r="B472" s="6"/>
    </row>
    <row r="473">
      <c r="A473" s="5"/>
      <c r="B473" s="6"/>
    </row>
    <row r="474">
      <c r="A474" s="5"/>
      <c r="B474" s="6"/>
    </row>
    <row r="475">
      <c r="A475" s="5"/>
      <c r="B475" s="6"/>
    </row>
    <row r="476">
      <c r="A476" s="5"/>
      <c r="B476" s="6"/>
    </row>
    <row r="477">
      <c r="A477" s="5"/>
      <c r="B477" s="6"/>
    </row>
    <row r="478">
      <c r="A478" s="5"/>
      <c r="B478" s="6"/>
    </row>
    <row r="479">
      <c r="A479" s="5"/>
      <c r="B479" s="6"/>
    </row>
    <row r="480">
      <c r="A480" s="5"/>
      <c r="B480" s="6"/>
    </row>
    <row r="481">
      <c r="A481" s="5"/>
      <c r="B481" s="6"/>
    </row>
    <row r="482">
      <c r="A482" s="5"/>
      <c r="B482" s="6"/>
    </row>
    <row r="483">
      <c r="A483" s="5"/>
      <c r="B483" s="6"/>
    </row>
    <row r="484">
      <c r="A484" s="5"/>
      <c r="B484" s="6"/>
    </row>
    <row r="485">
      <c r="A485" s="5"/>
      <c r="B485" s="6"/>
    </row>
    <row r="486">
      <c r="A486" s="5"/>
      <c r="B486" s="6"/>
    </row>
    <row r="487">
      <c r="A487" s="5"/>
      <c r="B487" s="6"/>
    </row>
    <row r="488">
      <c r="A488" s="5"/>
      <c r="B488" s="6"/>
    </row>
    <row r="489">
      <c r="A489" s="5"/>
      <c r="B489" s="6"/>
    </row>
    <row r="490">
      <c r="A490" s="5"/>
      <c r="B490" s="6"/>
    </row>
    <row r="491">
      <c r="A491" s="5"/>
      <c r="B491" s="6"/>
    </row>
    <row r="492">
      <c r="A492" s="5"/>
      <c r="B492" s="6"/>
    </row>
    <row r="493">
      <c r="A493" s="5"/>
      <c r="B493" s="6"/>
    </row>
    <row r="494">
      <c r="A494" s="5"/>
      <c r="B494" s="6"/>
    </row>
    <row r="495">
      <c r="A495" s="5"/>
      <c r="B495" s="6"/>
    </row>
    <row r="496">
      <c r="A496" s="5"/>
      <c r="B496" s="6"/>
    </row>
    <row r="497">
      <c r="A497" s="5"/>
      <c r="B497" s="6"/>
    </row>
    <row r="498">
      <c r="A498" s="5"/>
      <c r="B498" s="6"/>
    </row>
    <row r="499">
      <c r="A499" s="5"/>
      <c r="B499" s="6"/>
    </row>
    <row r="500">
      <c r="A500" s="5"/>
      <c r="B500" s="6"/>
    </row>
    <row r="501">
      <c r="A501" s="5"/>
      <c r="B501" s="6"/>
    </row>
    <row r="502">
      <c r="A502" s="5"/>
      <c r="B502" s="6"/>
    </row>
    <row r="503">
      <c r="A503" s="5"/>
      <c r="B503" s="6"/>
    </row>
    <row r="504">
      <c r="A504" s="5"/>
      <c r="B504" s="6"/>
    </row>
    <row r="505">
      <c r="A505" s="5"/>
      <c r="B505" s="6"/>
    </row>
    <row r="506">
      <c r="A506" s="5"/>
      <c r="B506" s="6"/>
    </row>
    <row r="507">
      <c r="A507" s="5"/>
      <c r="B507" s="6"/>
    </row>
    <row r="508">
      <c r="A508" s="5"/>
      <c r="B508" s="6"/>
    </row>
    <row r="509">
      <c r="A509" s="5"/>
      <c r="B509" s="6"/>
    </row>
    <row r="510">
      <c r="A510" s="5"/>
      <c r="B510" s="6"/>
    </row>
    <row r="511">
      <c r="A511" s="5"/>
      <c r="B511" s="6"/>
    </row>
    <row r="512">
      <c r="A512" s="5"/>
      <c r="B512" s="6"/>
    </row>
    <row r="513">
      <c r="A513" s="5"/>
      <c r="B513" s="6"/>
    </row>
    <row r="514">
      <c r="A514" s="5"/>
      <c r="B514" s="6"/>
    </row>
    <row r="515">
      <c r="A515" s="5"/>
      <c r="B515" s="6"/>
    </row>
    <row r="516">
      <c r="A516" s="5"/>
      <c r="B516" s="6"/>
    </row>
    <row r="517">
      <c r="A517" s="5"/>
      <c r="B517" s="6"/>
    </row>
    <row r="518">
      <c r="A518" s="5"/>
      <c r="B518" s="6"/>
    </row>
    <row r="519">
      <c r="A519" s="5"/>
      <c r="B519" s="6"/>
    </row>
    <row r="520">
      <c r="A520" s="5"/>
      <c r="B520" s="6"/>
    </row>
    <row r="521">
      <c r="A521" s="5"/>
      <c r="B521" s="6"/>
    </row>
    <row r="522">
      <c r="A522" s="5"/>
      <c r="B522" s="6"/>
    </row>
    <row r="523">
      <c r="A523" s="5"/>
      <c r="B523" s="6"/>
    </row>
    <row r="524">
      <c r="A524" s="5"/>
      <c r="B524" s="6"/>
    </row>
    <row r="525">
      <c r="A525" s="5"/>
      <c r="B525" s="6"/>
    </row>
    <row r="526">
      <c r="A526" s="5"/>
      <c r="B526" s="6"/>
    </row>
    <row r="527">
      <c r="A527" s="5"/>
      <c r="B527" s="6"/>
    </row>
    <row r="528">
      <c r="A528" s="5"/>
      <c r="B528" s="6"/>
    </row>
    <row r="529">
      <c r="A529" s="5"/>
      <c r="B529" s="6"/>
    </row>
    <row r="530">
      <c r="A530" s="5"/>
      <c r="B530" s="6"/>
    </row>
    <row r="531">
      <c r="A531" s="5"/>
      <c r="B531" s="6"/>
    </row>
    <row r="532">
      <c r="A532" s="5"/>
      <c r="B532" s="6"/>
    </row>
    <row r="533">
      <c r="A533" s="5"/>
      <c r="B533" s="6"/>
    </row>
    <row r="534">
      <c r="A534" s="5"/>
      <c r="B534" s="6"/>
    </row>
    <row r="535">
      <c r="A535" s="5"/>
      <c r="B535" s="6"/>
    </row>
    <row r="536">
      <c r="A536" s="5"/>
      <c r="B536" s="6"/>
    </row>
    <row r="537">
      <c r="A537" s="5"/>
      <c r="B537" s="6"/>
    </row>
    <row r="538">
      <c r="A538" s="5"/>
      <c r="B538" s="6"/>
    </row>
    <row r="539">
      <c r="A539" s="5"/>
      <c r="B539" s="6"/>
    </row>
    <row r="540">
      <c r="A540" s="5"/>
      <c r="B540" s="6"/>
    </row>
    <row r="541">
      <c r="A541" s="5"/>
      <c r="B541" s="6"/>
    </row>
    <row r="542">
      <c r="A542" s="5"/>
      <c r="B542" s="6"/>
    </row>
    <row r="543">
      <c r="A543" s="5"/>
      <c r="B543" s="6"/>
    </row>
    <row r="544">
      <c r="A544" s="5"/>
      <c r="B544" s="6"/>
    </row>
    <row r="545">
      <c r="A545" s="5"/>
      <c r="B545" s="6"/>
    </row>
    <row r="546">
      <c r="A546" s="5"/>
      <c r="B546" s="6"/>
    </row>
    <row r="547">
      <c r="A547" s="5"/>
      <c r="B547" s="6"/>
    </row>
    <row r="548">
      <c r="A548" s="5"/>
      <c r="B548" s="6"/>
    </row>
    <row r="549">
      <c r="A549" s="5"/>
      <c r="B549" s="6"/>
    </row>
    <row r="550">
      <c r="A550" s="5"/>
      <c r="B550" s="6"/>
    </row>
    <row r="551">
      <c r="A551" s="5"/>
      <c r="B551" s="6"/>
    </row>
    <row r="552">
      <c r="A552" s="5"/>
      <c r="B552" s="6"/>
    </row>
    <row r="553">
      <c r="A553" s="5"/>
      <c r="B553" s="6"/>
    </row>
    <row r="554">
      <c r="A554" s="5"/>
      <c r="B554" s="6"/>
    </row>
    <row r="555">
      <c r="A555" s="5"/>
      <c r="B555" s="6"/>
    </row>
    <row r="556">
      <c r="A556" s="5"/>
      <c r="B556" s="6"/>
    </row>
    <row r="557">
      <c r="A557" s="5"/>
      <c r="B557" s="6"/>
    </row>
    <row r="558">
      <c r="A558" s="5"/>
      <c r="B558" s="6"/>
    </row>
    <row r="559">
      <c r="A559" s="5"/>
      <c r="B559" s="6"/>
    </row>
    <row r="560">
      <c r="A560" s="5"/>
      <c r="B560" s="6"/>
    </row>
    <row r="561">
      <c r="A561" s="5"/>
      <c r="B561" s="6"/>
    </row>
    <row r="562">
      <c r="A562" s="5"/>
      <c r="B562" s="6"/>
    </row>
    <row r="563">
      <c r="A563" s="5"/>
      <c r="B563" s="6"/>
    </row>
    <row r="564">
      <c r="A564" s="5"/>
      <c r="B564" s="6"/>
    </row>
    <row r="565">
      <c r="A565" s="5"/>
      <c r="B565" s="6"/>
    </row>
    <row r="566">
      <c r="A566" s="5"/>
      <c r="B566" s="6"/>
    </row>
    <row r="567">
      <c r="A567" s="5"/>
      <c r="B567" s="6"/>
    </row>
    <row r="568">
      <c r="A568" s="5"/>
      <c r="B568" s="6"/>
    </row>
    <row r="569">
      <c r="A569" s="5"/>
      <c r="B569" s="6"/>
    </row>
    <row r="570">
      <c r="A570" s="5"/>
      <c r="B570" s="6"/>
    </row>
    <row r="571">
      <c r="A571" s="5"/>
      <c r="B571" s="6"/>
    </row>
    <row r="572">
      <c r="A572" s="5"/>
      <c r="B572" s="6"/>
    </row>
    <row r="573">
      <c r="A573" s="5"/>
      <c r="B573" s="6"/>
    </row>
    <row r="574">
      <c r="A574" s="5"/>
      <c r="B574" s="6"/>
    </row>
    <row r="575">
      <c r="A575" s="5"/>
      <c r="B575" s="6"/>
    </row>
    <row r="576">
      <c r="A576" s="5"/>
      <c r="B576" s="6"/>
    </row>
    <row r="577">
      <c r="A577" s="5"/>
      <c r="B577" s="6"/>
    </row>
    <row r="578">
      <c r="A578" s="5"/>
      <c r="B578" s="6"/>
    </row>
    <row r="579">
      <c r="A579" s="5"/>
      <c r="B579" s="6"/>
    </row>
    <row r="580">
      <c r="A580" s="5"/>
      <c r="B580" s="6"/>
    </row>
    <row r="581">
      <c r="A581" s="5"/>
      <c r="B581" s="6"/>
    </row>
    <row r="582">
      <c r="A582" s="5"/>
      <c r="B582" s="6"/>
    </row>
    <row r="583">
      <c r="A583" s="5"/>
      <c r="B583" s="6"/>
    </row>
    <row r="584">
      <c r="A584" s="5"/>
      <c r="B584" s="6"/>
    </row>
    <row r="585">
      <c r="A585" s="5"/>
      <c r="B585" s="6"/>
    </row>
    <row r="586">
      <c r="A586" s="5"/>
      <c r="B586" s="6"/>
    </row>
    <row r="587">
      <c r="A587" s="5"/>
      <c r="B587" s="6"/>
    </row>
    <row r="588">
      <c r="A588" s="5"/>
      <c r="B588" s="6"/>
    </row>
    <row r="589">
      <c r="A589" s="5"/>
      <c r="B589" s="6"/>
    </row>
    <row r="590">
      <c r="A590" s="5"/>
      <c r="B590" s="6"/>
    </row>
    <row r="591">
      <c r="A591" s="5"/>
      <c r="B591" s="6"/>
    </row>
    <row r="592">
      <c r="A592" s="5"/>
      <c r="B592" s="6"/>
    </row>
    <row r="593">
      <c r="A593" s="5"/>
      <c r="B593" s="6"/>
    </row>
    <row r="594">
      <c r="A594" s="5"/>
      <c r="B594" s="6"/>
    </row>
    <row r="595">
      <c r="A595" s="5"/>
      <c r="B595" s="6"/>
    </row>
    <row r="596">
      <c r="A596" s="5"/>
      <c r="B596" s="6"/>
    </row>
    <row r="597">
      <c r="A597" s="5"/>
      <c r="B597" s="6"/>
    </row>
    <row r="598">
      <c r="A598" s="5"/>
      <c r="B598" s="6"/>
    </row>
    <row r="599">
      <c r="A599" s="5"/>
      <c r="B599" s="6"/>
    </row>
    <row r="600">
      <c r="A600" s="5"/>
      <c r="B600" s="6"/>
    </row>
    <row r="601">
      <c r="A601" s="5"/>
      <c r="B601" s="6"/>
    </row>
    <row r="602">
      <c r="A602" s="5"/>
      <c r="B602" s="6"/>
    </row>
    <row r="603">
      <c r="A603" s="5"/>
      <c r="B603" s="6"/>
    </row>
    <row r="604">
      <c r="A604" s="5"/>
      <c r="B604" s="6"/>
    </row>
    <row r="605">
      <c r="A605" s="5"/>
      <c r="B605" s="6"/>
    </row>
    <row r="606">
      <c r="A606" s="5"/>
      <c r="B606" s="6"/>
    </row>
    <row r="607">
      <c r="A607" s="5"/>
      <c r="B607" s="6"/>
    </row>
    <row r="608">
      <c r="A608" s="5"/>
      <c r="B608" s="6"/>
    </row>
    <row r="609">
      <c r="A609" s="5"/>
      <c r="B609" s="6"/>
    </row>
    <row r="610">
      <c r="A610" s="5"/>
      <c r="B610" s="6"/>
    </row>
    <row r="611">
      <c r="A611" s="5"/>
      <c r="B611" s="6"/>
    </row>
    <row r="612">
      <c r="A612" s="5"/>
      <c r="B612" s="6"/>
    </row>
    <row r="613">
      <c r="A613" s="5"/>
      <c r="B613" s="6"/>
    </row>
    <row r="614">
      <c r="A614" s="5"/>
      <c r="B614" s="6"/>
    </row>
    <row r="615">
      <c r="A615" s="5"/>
      <c r="B615" s="6"/>
    </row>
    <row r="616">
      <c r="A616" s="5"/>
      <c r="B616" s="6"/>
    </row>
    <row r="617">
      <c r="A617" s="5"/>
      <c r="B617" s="6"/>
    </row>
    <row r="618">
      <c r="A618" s="5"/>
      <c r="B618" s="6"/>
    </row>
    <row r="619">
      <c r="A619" s="5"/>
      <c r="B619" s="6"/>
    </row>
    <row r="620">
      <c r="A620" s="5"/>
      <c r="B620" s="6"/>
    </row>
    <row r="621">
      <c r="A621" s="5"/>
      <c r="B621" s="6"/>
    </row>
    <row r="622">
      <c r="A622" s="5"/>
      <c r="B622" s="6"/>
    </row>
    <row r="623">
      <c r="A623" s="5"/>
      <c r="B623" s="6"/>
    </row>
    <row r="624">
      <c r="A624" s="5"/>
      <c r="B624" s="6"/>
    </row>
    <row r="625">
      <c r="A625" s="5"/>
      <c r="B625" s="6"/>
    </row>
    <row r="626">
      <c r="A626" s="5"/>
      <c r="B626" s="6"/>
    </row>
    <row r="627">
      <c r="A627" s="5"/>
      <c r="B627" s="6"/>
    </row>
    <row r="628">
      <c r="A628" s="5"/>
      <c r="B628" s="6"/>
    </row>
    <row r="629">
      <c r="A629" s="5"/>
      <c r="B629" s="6"/>
    </row>
    <row r="630">
      <c r="A630" s="5"/>
      <c r="B630" s="6"/>
    </row>
    <row r="631">
      <c r="A631" s="5"/>
      <c r="B631" s="6"/>
    </row>
    <row r="632">
      <c r="A632" s="5"/>
      <c r="B632" s="6"/>
    </row>
    <row r="633">
      <c r="A633" s="5"/>
      <c r="B633" s="6"/>
    </row>
    <row r="634">
      <c r="A634" s="5"/>
      <c r="B634" s="6"/>
    </row>
    <row r="635">
      <c r="A635" s="5"/>
      <c r="B635" s="6"/>
    </row>
    <row r="636">
      <c r="A636" s="5"/>
      <c r="B636" s="6"/>
    </row>
    <row r="637">
      <c r="A637" s="5"/>
      <c r="B637" s="6"/>
    </row>
    <row r="638">
      <c r="A638" s="5"/>
      <c r="B638" s="6"/>
    </row>
    <row r="639">
      <c r="A639" s="5"/>
      <c r="B639" s="6"/>
    </row>
    <row r="640">
      <c r="A640" s="5"/>
      <c r="B640" s="6"/>
    </row>
    <row r="641">
      <c r="A641" s="5"/>
      <c r="B641" s="6"/>
    </row>
    <row r="642">
      <c r="A642" s="5"/>
      <c r="B642" s="6"/>
    </row>
    <row r="643">
      <c r="A643" s="5"/>
      <c r="B643" s="6"/>
    </row>
    <row r="644">
      <c r="A644" s="5"/>
      <c r="B644" s="6"/>
    </row>
    <row r="645">
      <c r="A645" s="5"/>
      <c r="B645" s="6"/>
    </row>
    <row r="646">
      <c r="A646" s="5"/>
      <c r="B646" s="6"/>
    </row>
    <row r="647">
      <c r="A647" s="5"/>
      <c r="B647" s="6"/>
    </row>
    <row r="648">
      <c r="A648" s="5"/>
      <c r="B648" s="6"/>
    </row>
    <row r="649">
      <c r="A649" s="5"/>
      <c r="B649" s="6"/>
    </row>
    <row r="650">
      <c r="A650" s="5"/>
      <c r="B650" s="6"/>
    </row>
    <row r="651">
      <c r="A651" s="5"/>
      <c r="B651" s="6"/>
    </row>
    <row r="652">
      <c r="A652" s="5"/>
      <c r="B652" s="6"/>
    </row>
    <row r="653">
      <c r="A653" s="5"/>
      <c r="B653" s="6"/>
    </row>
    <row r="654">
      <c r="A654" s="5"/>
      <c r="B654" s="6"/>
    </row>
    <row r="655">
      <c r="A655" s="5"/>
      <c r="B655" s="6"/>
    </row>
    <row r="656">
      <c r="A656" s="5"/>
      <c r="B656" s="6"/>
    </row>
    <row r="657">
      <c r="A657" s="5"/>
      <c r="B657" s="6"/>
    </row>
    <row r="658">
      <c r="A658" s="5"/>
      <c r="B658" s="6"/>
    </row>
    <row r="659">
      <c r="A659" s="5"/>
      <c r="B659" s="6"/>
    </row>
    <row r="660">
      <c r="A660" s="5"/>
      <c r="B660" s="6"/>
    </row>
    <row r="661">
      <c r="A661" s="5"/>
      <c r="B661" s="6"/>
    </row>
    <row r="662">
      <c r="A662" s="5"/>
      <c r="B662" s="6"/>
    </row>
    <row r="663">
      <c r="A663" s="5"/>
      <c r="B663" s="6"/>
    </row>
    <row r="664">
      <c r="A664" s="5"/>
      <c r="B664" s="6"/>
    </row>
    <row r="665">
      <c r="A665" s="5"/>
      <c r="B665" s="6"/>
    </row>
    <row r="666">
      <c r="A666" s="5"/>
      <c r="B666" s="6"/>
    </row>
    <row r="667">
      <c r="A667" s="5"/>
      <c r="B667" s="6"/>
    </row>
    <row r="668">
      <c r="A668" s="5"/>
      <c r="B668" s="6"/>
    </row>
    <row r="669">
      <c r="A669" s="5"/>
      <c r="B669" s="6"/>
    </row>
    <row r="670">
      <c r="A670" s="5"/>
      <c r="B670" s="6"/>
    </row>
    <row r="671">
      <c r="A671" s="5"/>
      <c r="B671" s="6"/>
    </row>
    <row r="672">
      <c r="A672" s="5"/>
      <c r="B672" s="6"/>
    </row>
    <row r="673">
      <c r="A673" s="5"/>
      <c r="B673" s="6"/>
    </row>
    <row r="674">
      <c r="A674" s="5"/>
      <c r="B674" s="6"/>
    </row>
    <row r="675">
      <c r="A675" s="5"/>
      <c r="B675" s="6"/>
    </row>
    <row r="676">
      <c r="A676" s="5"/>
      <c r="B676" s="6"/>
    </row>
    <row r="677">
      <c r="A677" s="5"/>
      <c r="B677" s="6"/>
    </row>
    <row r="678">
      <c r="A678" s="5"/>
      <c r="B678" s="6"/>
    </row>
    <row r="679">
      <c r="A679" s="5"/>
      <c r="B679" s="6"/>
    </row>
    <row r="680">
      <c r="A680" s="5"/>
      <c r="B680" s="6"/>
    </row>
    <row r="681">
      <c r="A681" s="5"/>
      <c r="B681" s="6"/>
    </row>
    <row r="682">
      <c r="A682" s="5"/>
      <c r="B682" s="6"/>
    </row>
    <row r="683">
      <c r="A683" s="5"/>
      <c r="B683" s="6"/>
    </row>
    <row r="684">
      <c r="A684" s="5"/>
      <c r="B684" s="6"/>
    </row>
    <row r="685">
      <c r="A685" s="5"/>
      <c r="B685" s="6"/>
    </row>
    <row r="686">
      <c r="A686" s="5"/>
      <c r="B686" s="6"/>
    </row>
    <row r="687">
      <c r="A687" s="5"/>
      <c r="B687" s="6"/>
    </row>
    <row r="688">
      <c r="A688" s="5"/>
      <c r="B688" s="6"/>
    </row>
    <row r="689">
      <c r="A689" s="5"/>
      <c r="B689" s="6"/>
    </row>
    <row r="690">
      <c r="A690" s="5"/>
      <c r="B690" s="6"/>
    </row>
    <row r="691">
      <c r="A691" s="5"/>
      <c r="B691" s="6"/>
    </row>
    <row r="692">
      <c r="A692" s="5"/>
      <c r="B692" s="6"/>
    </row>
    <row r="693">
      <c r="A693" s="5"/>
      <c r="B693" s="6"/>
    </row>
    <row r="694">
      <c r="A694" s="5"/>
      <c r="B694" s="6"/>
    </row>
    <row r="695">
      <c r="A695" s="5"/>
      <c r="B695" s="6"/>
    </row>
    <row r="696">
      <c r="A696" s="5"/>
      <c r="B696" s="6"/>
    </row>
    <row r="697">
      <c r="A697" s="5"/>
      <c r="B697" s="6"/>
    </row>
    <row r="698">
      <c r="A698" s="5"/>
      <c r="B698" s="6"/>
    </row>
    <row r="699">
      <c r="A699" s="5"/>
      <c r="B699" s="6"/>
    </row>
    <row r="700">
      <c r="A700" s="5"/>
      <c r="B700" s="6"/>
    </row>
    <row r="701">
      <c r="A701" s="5"/>
      <c r="B701" s="6"/>
    </row>
    <row r="702">
      <c r="A702" s="5"/>
      <c r="B702" s="6"/>
    </row>
    <row r="703">
      <c r="A703" s="5"/>
      <c r="B703" s="6"/>
    </row>
    <row r="704">
      <c r="A704" s="5"/>
      <c r="B704" s="6"/>
    </row>
    <row r="705">
      <c r="A705" s="5"/>
      <c r="B705" s="6"/>
    </row>
    <row r="706">
      <c r="A706" s="5"/>
      <c r="B706" s="6"/>
    </row>
    <row r="707">
      <c r="A707" s="5"/>
      <c r="B707" s="6"/>
    </row>
    <row r="708">
      <c r="A708" s="5"/>
      <c r="B708" s="6"/>
    </row>
    <row r="709">
      <c r="A709" s="5"/>
      <c r="B709" s="6"/>
    </row>
    <row r="710">
      <c r="A710" s="5"/>
      <c r="B710" s="6"/>
    </row>
    <row r="711">
      <c r="A711" s="5"/>
      <c r="B711" s="6"/>
    </row>
    <row r="712">
      <c r="A712" s="5"/>
      <c r="B712" s="6"/>
    </row>
    <row r="713">
      <c r="A713" s="5"/>
      <c r="B713" s="6"/>
    </row>
    <row r="714">
      <c r="A714" s="5"/>
      <c r="B714" s="6"/>
    </row>
    <row r="715">
      <c r="A715" s="5"/>
      <c r="B715" s="6"/>
    </row>
    <row r="716">
      <c r="A716" s="5"/>
      <c r="B716" s="6"/>
    </row>
    <row r="717">
      <c r="A717" s="5"/>
      <c r="B717" s="6"/>
    </row>
    <row r="718">
      <c r="A718" s="5"/>
      <c r="B718" s="6"/>
    </row>
    <row r="719">
      <c r="A719" s="5"/>
      <c r="B719" s="6"/>
    </row>
    <row r="720">
      <c r="A720" s="5"/>
      <c r="B720" s="6"/>
    </row>
    <row r="721">
      <c r="A721" s="5"/>
      <c r="B721" s="6"/>
    </row>
    <row r="722">
      <c r="A722" s="5"/>
      <c r="B722" s="6"/>
    </row>
    <row r="723">
      <c r="A723" s="5"/>
      <c r="B723" s="6"/>
    </row>
    <row r="724">
      <c r="A724" s="5"/>
      <c r="B724" s="6"/>
    </row>
    <row r="725">
      <c r="A725" s="5"/>
      <c r="B725" s="6"/>
    </row>
    <row r="726">
      <c r="A726" s="5"/>
      <c r="B726" s="6"/>
    </row>
    <row r="727">
      <c r="A727" s="5"/>
      <c r="B727" s="6"/>
    </row>
    <row r="728">
      <c r="A728" s="5"/>
      <c r="B728" s="6"/>
    </row>
    <row r="729">
      <c r="A729" s="5"/>
      <c r="B729" s="6"/>
    </row>
    <row r="730">
      <c r="A730" s="5"/>
      <c r="B730" s="6"/>
    </row>
    <row r="731">
      <c r="A731" s="5"/>
      <c r="B731" s="6"/>
    </row>
    <row r="732">
      <c r="A732" s="5"/>
      <c r="B732" s="6"/>
    </row>
    <row r="733">
      <c r="A733" s="5"/>
      <c r="B733" s="6"/>
    </row>
    <row r="734">
      <c r="A734" s="5"/>
      <c r="B734" s="6"/>
    </row>
    <row r="735">
      <c r="A735" s="5"/>
      <c r="B735" s="6"/>
    </row>
    <row r="736">
      <c r="A736" s="5"/>
      <c r="B736" s="6"/>
    </row>
    <row r="737">
      <c r="A737" s="5"/>
      <c r="B737" s="6"/>
    </row>
    <row r="738">
      <c r="A738" s="5"/>
      <c r="B738" s="6"/>
    </row>
    <row r="739">
      <c r="A739" s="5"/>
      <c r="B739" s="6"/>
    </row>
    <row r="740">
      <c r="A740" s="5"/>
      <c r="B740" s="6"/>
    </row>
    <row r="741">
      <c r="A741" s="5"/>
      <c r="B741" s="6"/>
    </row>
    <row r="742">
      <c r="A742" s="5"/>
      <c r="B742" s="6"/>
    </row>
    <row r="743">
      <c r="A743" s="5"/>
      <c r="B743" s="6"/>
    </row>
    <row r="744">
      <c r="A744" s="5"/>
      <c r="B744" s="6"/>
    </row>
    <row r="745">
      <c r="A745" s="5"/>
      <c r="B745" s="6"/>
    </row>
    <row r="746">
      <c r="A746" s="5"/>
      <c r="B746" s="6"/>
    </row>
    <row r="747">
      <c r="A747" s="5"/>
      <c r="B747" s="6"/>
    </row>
    <row r="748">
      <c r="A748" s="5"/>
      <c r="B748" s="6"/>
    </row>
    <row r="749">
      <c r="A749" s="5"/>
      <c r="B749" s="6"/>
    </row>
    <row r="750">
      <c r="A750" s="5"/>
      <c r="B750" s="6"/>
    </row>
    <row r="751">
      <c r="A751" s="5"/>
      <c r="B751" s="6"/>
    </row>
    <row r="752">
      <c r="A752" s="5"/>
      <c r="B752" s="6"/>
    </row>
    <row r="753">
      <c r="A753" s="5"/>
      <c r="B753" s="6"/>
    </row>
    <row r="754">
      <c r="A754" s="5"/>
      <c r="B754" s="6"/>
    </row>
    <row r="755">
      <c r="A755" s="5"/>
      <c r="B755" s="6"/>
    </row>
    <row r="756">
      <c r="A756" s="5"/>
      <c r="B756" s="6"/>
    </row>
    <row r="757">
      <c r="A757" s="5"/>
      <c r="B757" s="6"/>
    </row>
    <row r="758">
      <c r="A758" s="5"/>
      <c r="B758" s="6"/>
    </row>
    <row r="759">
      <c r="A759" s="5"/>
      <c r="B759" s="6"/>
    </row>
    <row r="760">
      <c r="A760" s="5"/>
      <c r="B760" s="6"/>
    </row>
    <row r="761">
      <c r="A761" s="5"/>
      <c r="B761" s="6"/>
    </row>
    <row r="762">
      <c r="A762" s="5"/>
      <c r="B762" s="6"/>
    </row>
    <row r="763">
      <c r="A763" s="5"/>
      <c r="B763" s="6"/>
    </row>
    <row r="764">
      <c r="A764" s="5"/>
      <c r="B764" s="6"/>
    </row>
    <row r="765">
      <c r="A765" s="5"/>
      <c r="B765" s="6"/>
    </row>
    <row r="766">
      <c r="A766" s="5"/>
      <c r="B766" s="6"/>
    </row>
    <row r="767">
      <c r="A767" s="5"/>
      <c r="B767" s="6"/>
    </row>
    <row r="768">
      <c r="A768" s="5"/>
      <c r="B768" s="6"/>
    </row>
    <row r="769">
      <c r="A769" s="5"/>
      <c r="B769" s="6"/>
    </row>
    <row r="770">
      <c r="A770" s="5"/>
      <c r="B770" s="6"/>
    </row>
    <row r="771">
      <c r="A771" s="5"/>
      <c r="B771" s="6"/>
    </row>
    <row r="772">
      <c r="A772" s="5"/>
      <c r="B772" s="6"/>
    </row>
    <row r="773">
      <c r="A773" s="5"/>
      <c r="B773" s="6"/>
    </row>
    <row r="774">
      <c r="A774" s="5"/>
      <c r="B774" s="6"/>
    </row>
    <row r="775">
      <c r="A775" s="5"/>
      <c r="B775" s="6"/>
    </row>
    <row r="776">
      <c r="A776" s="5"/>
      <c r="B776" s="6"/>
    </row>
    <row r="777">
      <c r="A777" s="5"/>
      <c r="B777" s="6"/>
    </row>
    <row r="778">
      <c r="A778" s="5"/>
      <c r="B778" s="6"/>
    </row>
    <row r="779">
      <c r="A779" s="5"/>
      <c r="B779" s="6"/>
    </row>
    <row r="780">
      <c r="A780" s="5"/>
      <c r="B780" s="6"/>
    </row>
    <row r="781">
      <c r="A781" s="5"/>
      <c r="B781" s="6"/>
    </row>
    <row r="782">
      <c r="A782" s="5"/>
      <c r="B782" s="6"/>
    </row>
    <row r="783">
      <c r="A783" s="5"/>
      <c r="B783" s="6"/>
    </row>
    <row r="784">
      <c r="A784" s="5"/>
      <c r="B784" s="6"/>
    </row>
    <row r="785">
      <c r="A785" s="5"/>
      <c r="B785" s="6"/>
    </row>
    <row r="786">
      <c r="A786" s="5"/>
      <c r="B786" s="6"/>
    </row>
    <row r="787">
      <c r="A787" s="5"/>
      <c r="B787" s="6"/>
    </row>
    <row r="788">
      <c r="A788" s="5"/>
      <c r="B788" s="6"/>
    </row>
    <row r="789">
      <c r="A789" s="5"/>
      <c r="B789" s="6"/>
    </row>
    <row r="790">
      <c r="A790" s="5"/>
      <c r="B790" s="6"/>
    </row>
    <row r="791">
      <c r="A791" s="5"/>
      <c r="B791" s="6"/>
    </row>
    <row r="792">
      <c r="A792" s="5"/>
      <c r="B792" s="6"/>
    </row>
    <row r="793">
      <c r="A793" s="5"/>
      <c r="B793" s="6"/>
    </row>
    <row r="794">
      <c r="A794" s="5"/>
      <c r="B794" s="6"/>
    </row>
    <row r="795">
      <c r="A795" s="5"/>
      <c r="B795" s="6"/>
    </row>
    <row r="796">
      <c r="A796" s="5"/>
      <c r="B796" s="6"/>
    </row>
    <row r="797">
      <c r="A797" s="5"/>
      <c r="B797" s="6"/>
    </row>
    <row r="798">
      <c r="A798" s="5"/>
      <c r="B798" s="6"/>
    </row>
    <row r="799">
      <c r="A799" s="5"/>
      <c r="B799" s="6"/>
    </row>
    <row r="800">
      <c r="A800" s="5"/>
      <c r="B800" s="6"/>
    </row>
    <row r="801">
      <c r="A801" s="5"/>
      <c r="B801" s="6"/>
    </row>
    <row r="802">
      <c r="A802" s="5"/>
      <c r="B802" s="6"/>
    </row>
    <row r="803">
      <c r="A803" s="5"/>
      <c r="B803" s="6"/>
    </row>
    <row r="804">
      <c r="A804" s="5"/>
      <c r="B804" s="6"/>
    </row>
    <row r="805">
      <c r="A805" s="5"/>
      <c r="B805" s="6"/>
    </row>
    <row r="806">
      <c r="A806" s="5"/>
      <c r="B806" s="6"/>
    </row>
    <row r="807">
      <c r="A807" s="5"/>
      <c r="B807" s="6"/>
    </row>
    <row r="808">
      <c r="A808" s="5"/>
      <c r="B808" s="6"/>
    </row>
    <row r="809">
      <c r="A809" s="5"/>
      <c r="B809" s="6"/>
    </row>
    <row r="810">
      <c r="A810" s="5"/>
      <c r="B810" s="6"/>
    </row>
    <row r="811">
      <c r="A811" s="5"/>
      <c r="B811" s="6"/>
    </row>
    <row r="812">
      <c r="A812" s="5"/>
      <c r="B812" s="6"/>
    </row>
    <row r="813">
      <c r="A813" s="5"/>
      <c r="B813" s="6"/>
    </row>
    <row r="814">
      <c r="A814" s="5"/>
      <c r="B814" s="6"/>
    </row>
    <row r="815">
      <c r="A815" s="5"/>
      <c r="B815" s="6"/>
    </row>
    <row r="816">
      <c r="A816" s="5"/>
      <c r="B816" s="6"/>
    </row>
    <row r="817">
      <c r="A817" s="5"/>
      <c r="B817" s="6"/>
    </row>
    <row r="818">
      <c r="A818" s="5"/>
      <c r="B818" s="6"/>
    </row>
    <row r="819">
      <c r="A819" s="5"/>
      <c r="B819" s="6"/>
    </row>
    <row r="820">
      <c r="A820" s="5"/>
      <c r="B820" s="6"/>
    </row>
    <row r="821">
      <c r="A821" s="5"/>
      <c r="B821" s="6"/>
    </row>
    <row r="822">
      <c r="A822" s="5"/>
      <c r="B822" s="6"/>
    </row>
    <row r="823">
      <c r="A823" s="5"/>
      <c r="B823" s="6"/>
    </row>
    <row r="824">
      <c r="A824" s="5"/>
      <c r="B824" s="6"/>
    </row>
    <row r="825">
      <c r="A825" s="5"/>
      <c r="B825" s="6"/>
    </row>
    <row r="826">
      <c r="A826" s="5"/>
      <c r="B826" s="6"/>
    </row>
    <row r="827">
      <c r="A827" s="5"/>
      <c r="B827" s="6"/>
    </row>
    <row r="828">
      <c r="A828" s="5"/>
      <c r="B828" s="6"/>
    </row>
    <row r="829">
      <c r="A829" s="5"/>
      <c r="B829" s="6"/>
    </row>
    <row r="830">
      <c r="A830" s="5"/>
      <c r="B830" s="6"/>
    </row>
    <row r="831">
      <c r="A831" s="5"/>
      <c r="B831" s="6"/>
    </row>
    <row r="832">
      <c r="A832" s="5"/>
      <c r="B832" s="6"/>
    </row>
    <row r="833">
      <c r="A833" s="5"/>
      <c r="B833" s="6"/>
    </row>
    <row r="834">
      <c r="A834" s="5"/>
      <c r="B834" s="6"/>
    </row>
    <row r="835">
      <c r="A835" s="5"/>
      <c r="B835" s="6"/>
    </row>
    <row r="836">
      <c r="A836" s="5"/>
      <c r="B836" s="6"/>
    </row>
    <row r="837">
      <c r="A837" s="5"/>
      <c r="B837" s="6"/>
    </row>
    <row r="838">
      <c r="A838" s="5"/>
      <c r="B838" s="6"/>
    </row>
    <row r="839">
      <c r="A839" s="5"/>
      <c r="B839" s="6"/>
    </row>
    <row r="840">
      <c r="A840" s="5"/>
      <c r="B840" s="6"/>
    </row>
    <row r="841">
      <c r="A841" s="5"/>
      <c r="B841" s="6"/>
    </row>
    <row r="842">
      <c r="A842" s="5"/>
      <c r="B842" s="6"/>
    </row>
    <row r="843">
      <c r="A843" s="5"/>
      <c r="B843" s="6"/>
    </row>
    <row r="844">
      <c r="A844" s="5"/>
      <c r="B844" s="6"/>
    </row>
    <row r="845">
      <c r="A845" s="5"/>
      <c r="B845" s="6"/>
    </row>
    <row r="846">
      <c r="A846" s="5"/>
      <c r="B846" s="6"/>
    </row>
    <row r="847">
      <c r="A847" s="5"/>
      <c r="B847" s="6"/>
    </row>
    <row r="848">
      <c r="A848" s="5"/>
      <c r="B848" s="6"/>
    </row>
    <row r="849">
      <c r="A849" s="5"/>
      <c r="B849" s="6"/>
    </row>
    <row r="850">
      <c r="A850" s="5"/>
      <c r="B850" s="6"/>
    </row>
    <row r="851">
      <c r="A851" s="5"/>
      <c r="B851" s="6"/>
    </row>
    <row r="852">
      <c r="A852" s="5"/>
      <c r="B852" s="6"/>
    </row>
    <row r="853">
      <c r="A853" s="5"/>
      <c r="B853" s="6"/>
    </row>
    <row r="854">
      <c r="A854" s="5"/>
      <c r="B854" s="6"/>
    </row>
    <row r="855">
      <c r="A855" s="5"/>
      <c r="B855" s="6"/>
    </row>
    <row r="856">
      <c r="A856" s="5"/>
      <c r="B856" s="6"/>
    </row>
    <row r="857">
      <c r="A857" s="5"/>
      <c r="B857" s="6"/>
    </row>
    <row r="858">
      <c r="A858" s="5"/>
      <c r="B858" s="6"/>
    </row>
    <row r="859">
      <c r="A859" s="5"/>
      <c r="B859" s="6"/>
    </row>
    <row r="860">
      <c r="A860" s="5"/>
      <c r="B860" s="6"/>
    </row>
    <row r="861">
      <c r="A861" s="5"/>
      <c r="B861" s="6"/>
    </row>
    <row r="862">
      <c r="A862" s="5"/>
      <c r="B862" s="6"/>
    </row>
    <row r="863">
      <c r="A863" s="5"/>
      <c r="B863" s="6"/>
    </row>
    <row r="864">
      <c r="A864" s="5"/>
      <c r="B864" s="6"/>
    </row>
    <row r="865">
      <c r="A865" s="5"/>
      <c r="B865" s="6"/>
    </row>
    <row r="866">
      <c r="A866" s="5"/>
      <c r="B866" s="6"/>
    </row>
    <row r="867">
      <c r="A867" s="5"/>
      <c r="B867" s="6"/>
    </row>
    <row r="868">
      <c r="A868" s="5"/>
      <c r="B868" s="6"/>
    </row>
    <row r="869">
      <c r="A869" s="5"/>
      <c r="B869" s="6"/>
    </row>
    <row r="870">
      <c r="A870" s="5"/>
      <c r="B870" s="6"/>
    </row>
    <row r="871">
      <c r="A871" s="5"/>
      <c r="B871" s="6"/>
    </row>
    <row r="872">
      <c r="A872" s="5"/>
      <c r="B872" s="6"/>
    </row>
    <row r="873">
      <c r="A873" s="5"/>
      <c r="B873" s="6"/>
    </row>
    <row r="874">
      <c r="A874" s="5"/>
      <c r="B874" s="6"/>
    </row>
    <row r="875">
      <c r="A875" s="5"/>
      <c r="B875" s="6"/>
    </row>
    <row r="876">
      <c r="A876" s="5"/>
      <c r="B876" s="6"/>
    </row>
    <row r="877">
      <c r="A877" s="5"/>
      <c r="B877" s="6"/>
    </row>
    <row r="878">
      <c r="A878" s="5"/>
      <c r="B878" s="6"/>
    </row>
    <row r="879">
      <c r="A879" s="5"/>
      <c r="B879" s="6"/>
    </row>
    <row r="880">
      <c r="A880" s="5"/>
      <c r="B880" s="6"/>
    </row>
    <row r="881">
      <c r="A881" s="5"/>
      <c r="B881" s="6"/>
    </row>
    <row r="882">
      <c r="A882" s="5"/>
      <c r="B882" s="6"/>
    </row>
    <row r="883">
      <c r="A883" s="5"/>
      <c r="B883" s="6"/>
    </row>
    <row r="884">
      <c r="A884" s="5"/>
      <c r="B884" s="6"/>
    </row>
    <row r="885">
      <c r="A885" s="5"/>
      <c r="B885" s="6"/>
    </row>
    <row r="886">
      <c r="A886" s="5"/>
      <c r="B886" s="6"/>
    </row>
    <row r="887">
      <c r="A887" s="5"/>
      <c r="B887" s="6"/>
    </row>
    <row r="888">
      <c r="A888" s="5"/>
      <c r="B888" s="6"/>
    </row>
    <row r="889">
      <c r="A889" s="5"/>
      <c r="B889" s="6"/>
    </row>
    <row r="890">
      <c r="A890" s="5"/>
      <c r="B890" s="6"/>
    </row>
    <row r="891">
      <c r="A891" s="5"/>
      <c r="B891" s="6"/>
    </row>
    <row r="892">
      <c r="A892" s="5"/>
      <c r="B892" s="6"/>
    </row>
    <row r="893">
      <c r="A893" s="5"/>
      <c r="B893" s="6"/>
    </row>
    <row r="894">
      <c r="A894" s="5"/>
      <c r="B894" s="6"/>
    </row>
    <row r="895">
      <c r="A895" s="5"/>
      <c r="B895" s="6"/>
    </row>
    <row r="896">
      <c r="A896" s="5"/>
      <c r="B896" s="6"/>
    </row>
    <row r="897">
      <c r="A897" s="5"/>
      <c r="B897" s="6"/>
    </row>
    <row r="898">
      <c r="A898" s="5"/>
      <c r="B898" s="6"/>
    </row>
    <row r="899">
      <c r="A899" s="5"/>
      <c r="B899" s="6"/>
    </row>
    <row r="900">
      <c r="A900" s="5"/>
      <c r="B900" s="6"/>
    </row>
    <row r="901">
      <c r="A901" s="5"/>
      <c r="B901" s="6"/>
    </row>
    <row r="902">
      <c r="A902" s="5"/>
      <c r="B902" s="6"/>
    </row>
    <row r="903">
      <c r="A903" s="5"/>
      <c r="B903" s="6"/>
    </row>
    <row r="904">
      <c r="A904" s="5"/>
      <c r="B904" s="6"/>
    </row>
    <row r="905">
      <c r="A905" s="5"/>
      <c r="B905" s="6"/>
    </row>
    <row r="906">
      <c r="A906" s="5"/>
      <c r="B906" s="6"/>
    </row>
    <row r="907">
      <c r="A907" s="5"/>
      <c r="B907" s="6"/>
    </row>
    <row r="908">
      <c r="A908" s="5"/>
      <c r="B908" s="6"/>
    </row>
    <row r="909">
      <c r="A909" s="5"/>
      <c r="B909" s="6"/>
    </row>
    <row r="910">
      <c r="A910" s="5"/>
      <c r="B910" s="6"/>
    </row>
    <row r="911">
      <c r="A911" s="5"/>
      <c r="B911" s="6"/>
    </row>
    <row r="912">
      <c r="A912" s="5"/>
      <c r="B912" s="6"/>
    </row>
    <row r="913">
      <c r="A913" s="5"/>
      <c r="B913" s="6"/>
    </row>
    <row r="914">
      <c r="A914" s="5"/>
      <c r="B914" s="6"/>
    </row>
    <row r="915">
      <c r="A915" s="5"/>
      <c r="B915" s="6"/>
    </row>
    <row r="916">
      <c r="A916" s="5"/>
      <c r="B916" s="6"/>
    </row>
    <row r="917">
      <c r="A917" s="5"/>
      <c r="B917" s="6"/>
    </row>
    <row r="918">
      <c r="A918" s="5"/>
      <c r="B918" s="6"/>
    </row>
    <row r="919">
      <c r="A919" s="5"/>
      <c r="B919" s="6"/>
    </row>
    <row r="920">
      <c r="A920" s="5"/>
      <c r="B920" s="6"/>
    </row>
    <row r="921">
      <c r="A921" s="5"/>
      <c r="B921" s="6"/>
    </row>
    <row r="922">
      <c r="A922" s="5"/>
      <c r="B922" s="6"/>
    </row>
    <row r="923">
      <c r="A923" s="5"/>
      <c r="B923" s="6"/>
    </row>
    <row r="924">
      <c r="A924" s="5"/>
      <c r="B924" s="6"/>
    </row>
    <row r="925">
      <c r="A925" s="5"/>
      <c r="B925" s="6"/>
    </row>
    <row r="926">
      <c r="A926" s="5"/>
      <c r="B926" s="6"/>
    </row>
    <row r="927">
      <c r="A927" s="5"/>
      <c r="B927" s="6"/>
    </row>
    <row r="928">
      <c r="A928" s="5"/>
      <c r="B928" s="6"/>
    </row>
    <row r="929">
      <c r="A929" s="5"/>
      <c r="B929" s="6"/>
    </row>
    <row r="930">
      <c r="A930" s="5"/>
      <c r="B930" s="6"/>
    </row>
    <row r="931">
      <c r="A931" s="5"/>
      <c r="B931" s="6"/>
    </row>
    <row r="932">
      <c r="A932" s="5"/>
      <c r="B932" s="6"/>
    </row>
    <row r="933">
      <c r="A933" s="5"/>
      <c r="B933" s="6"/>
    </row>
    <row r="934">
      <c r="A934" s="5"/>
      <c r="B934" s="6"/>
    </row>
    <row r="935">
      <c r="A935" s="5"/>
      <c r="B935" s="6"/>
    </row>
    <row r="936">
      <c r="A936" s="5"/>
      <c r="B936" s="6"/>
    </row>
  </sheetData>
  <autoFilter ref="$A$2:$Y$95">
    <sortState ref="A2:Y95">
      <sortCondition descending="1" ref="B2:B9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8.43"/>
    <col customWidth="1" min="8" max="8" width="8.71"/>
    <col customWidth="1" min="9" max="9" width="8.86"/>
    <col customWidth="1" min="13" max="13" width="16.0"/>
  </cols>
  <sheetData>
    <row r="1">
      <c r="A1" s="133"/>
      <c r="B1" s="359"/>
      <c r="C1" s="360"/>
      <c r="D1" s="136"/>
      <c r="E1" s="323"/>
      <c r="F1" s="366"/>
      <c r="G1" s="138" t="s">
        <v>416</v>
      </c>
      <c r="H1" s="139">
        <f>8*35*2</f>
        <v>560</v>
      </c>
      <c r="I1" s="139">
        <v>500.0</v>
      </c>
      <c r="J1" s="374">
        <f>AVERAGE(H1:I1)</f>
        <v>530</v>
      </c>
      <c r="K1" s="375" t="s">
        <v>416</v>
      </c>
      <c r="L1" s="376"/>
      <c r="M1" s="133"/>
      <c r="N1" s="145"/>
      <c r="O1" s="145"/>
      <c r="P1" s="145"/>
      <c r="Q1" s="145"/>
      <c r="R1" s="145"/>
      <c r="S1" s="145"/>
      <c r="T1" s="145"/>
      <c r="U1" s="145"/>
      <c r="V1" s="145"/>
    </row>
    <row r="2">
      <c r="A2" s="146"/>
      <c r="B2" s="134" t="s">
        <v>2487</v>
      </c>
      <c r="C2" s="234" t="s">
        <v>421</v>
      </c>
      <c r="D2" s="148"/>
      <c r="E2" s="323"/>
      <c r="F2" s="366"/>
      <c r="G2" s="149" t="s">
        <v>422</v>
      </c>
      <c r="H2" s="139">
        <f t="shared" ref="H2:J2" si="1">sum(H4:H288)</f>
        <v>26112</v>
      </c>
      <c r="I2" s="139">
        <f t="shared" si="1"/>
        <v>21530</v>
      </c>
      <c r="J2" s="377">
        <f t="shared" si="1"/>
        <v>1</v>
      </c>
      <c r="K2" s="378">
        <f>sum(K4:K389)</f>
        <v>397.2999803</v>
      </c>
      <c r="L2" s="379" t="s">
        <v>416</v>
      </c>
      <c r="M2" s="380"/>
      <c r="N2" s="153" t="s">
        <v>423</v>
      </c>
      <c r="O2" s="145"/>
      <c r="P2" s="145"/>
      <c r="Q2" s="145"/>
      <c r="R2" s="145"/>
      <c r="S2" s="145"/>
      <c r="T2" s="145"/>
      <c r="U2" s="145"/>
      <c r="V2" s="145"/>
    </row>
    <row r="3">
      <c r="A3" s="381" t="s">
        <v>424</v>
      </c>
      <c r="B3" s="381" t="s">
        <v>425</v>
      </c>
      <c r="C3" s="235" t="s">
        <v>426</v>
      </c>
      <c r="D3" s="382"/>
      <c r="E3" s="383" t="s">
        <v>427</v>
      </c>
      <c r="F3" s="384" t="s">
        <v>428</v>
      </c>
      <c r="G3" s="385" t="s">
        <v>3559</v>
      </c>
      <c r="H3" s="386" t="s">
        <v>1926</v>
      </c>
      <c r="I3" s="385" t="s">
        <v>3560</v>
      </c>
      <c r="J3" s="387" t="s">
        <v>432</v>
      </c>
      <c r="K3" s="388" t="s">
        <v>3336</v>
      </c>
      <c r="L3" s="389" t="s">
        <v>3337</v>
      </c>
      <c r="M3" s="381" t="s">
        <v>424</v>
      </c>
      <c r="N3" s="390" t="s">
        <v>3561</v>
      </c>
      <c r="O3" s="387"/>
    </row>
    <row r="4">
      <c r="A4" s="226" t="s">
        <v>4</v>
      </c>
      <c r="B4" s="226" t="s">
        <v>519</v>
      </c>
      <c r="C4" s="250" t="s">
        <v>3562</v>
      </c>
      <c r="D4" s="268" t="s">
        <v>495</v>
      </c>
      <c r="E4" s="251">
        <v>44147.0</v>
      </c>
      <c r="F4" s="250" t="s">
        <v>496</v>
      </c>
      <c r="G4" s="243"/>
      <c r="H4" s="171">
        <v>200.0</v>
      </c>
      <c r="I4" s="171">
        <v>200.0</v>
      </c>
      <c r="J4" s="391">
        <f t="shared" ref="J4:J165" si="2">(H4/$H$2+I4/$I$2)/2</f>
        <v>0.008474338702</v>
      </c>
      <c r="K4" s="392">
        <f t="shared" ref="K4:K165" si="3">J4*$J$1</f>
        <v>4.491399512</v>
      </c>
      <c r="L4" s="327">
        <f t="shared" ref="L4:L165" si="4">dsum($A$3:$K$355,"Cred per Praise",{$A$3;A4})</f>
        <v>38.82888035</v>
      </c>
      <c r="M4" s="321" t="str">
        <f t="shared" ref="M4:M376" si="5">A4</f>
        <v>santigs67</v>
      </c>
      <c r="N4" s="176">
        <f>IFERROR(__xludf.DUMMYFUNCTION("query(iferror(sort({row(A4:A389)-row(A4)+2-match(sort(A4:A389),sort(A4:A389),0),SORT(ROW(A4:A389)+2-row(A4)+2,A4:A389,1)},2,1),),""Select Col1"")"),1.0)</f>
        <v>1</v>
      </c>
      <c r="O4" s="176"/>
      <c r="P4" s="176"/>
      <c r="Q4" s="176"/>
      <c r="R4" s="176"/>
      <c r="S4" s="176"/>
      <c r="T4" s="176"/>
      <c r="U4" s="176"/>
      <c r="V4" s="176"/>
      <c r="W4" s="176"/>
      <c r="X4" s="176"/>
      <c r="Y4" s="176"/>
      <c r="Z4" s="176"/>
    </row>
    <row r="5">
      <c r="A5" s="226" t="s">
        <v>4</v>
      </c>
      <c r="B5" s="226" t="s">
        <v>590</v>
      </c>
      <c r="C5" s="250" t="s">
        <v>3563</v>
      </c>
      <c r="D5" s="268" t="s">
        <v>495</v>
      </c>
      <c r="E5" s="251">
        <v>44147.0</v>
      </c>
      <c r="F5" s="250" t="s">
        <v>496</v>
      </c>
      <c r="G5" s="243"/>
      <c r="H5" s="171">
        <v>300.0</v>
      </c>
      <c r="I5" s="171">
        <v>100.0</v>
      </c>
      <c r="J5" s="391">
        <f t="shared" si="2"/>
        <v>0.008066826214</v>
      </c>
      <c r="K5" s="392">
        <f t="shared" si="3"/>
        <v>4.275417893</v>
      </c>
      <c r="L5" s="327">
        <f t="shared" si="4"/>
        <v>38.82888035</v>
      </c>
      <c r="M5" s="321" t="str">
        <f t="shared" si="5"/>
        <v>santigs67</v>
      </c>
      <c r="N5" s="176">
        <f>IFERROR(__xludf.DUMMYFUNCTION("""COMPUTED_VALUE"""),2.0)</f>
        <v>2</v>
      </c>
      <c r="O5" s="176"/>
      <c r="P5" s="176"/>
      <c r="Q5" s="176"/>
      <c r="R5" s="176"/>
      <c r="S5" s="176"/>
      <c r="T5" s="176"/>
      <c r="U5" s="176"/>
      <c r="V5" s="176"/>
      <c r="W5" s="176"/>
      <c r="X5" s="176"/>
      <c r="Y5" s="176"/>
      <c r="Z5" s="176"/>
    </row>
    <row r="6">
      <c r="A6" s="226" t="s">
        <v>4</v>
      </c>
      <c r="B6" s="226" t="s">
        <v>590</v>
      </c>
      <c r="C6" s="250" t="s">
        <v>3564</v>
      </c>
      <c r="D6" s="268" t="s">
        <v>495</v>
      </c>
      <c r="E6" s="251">
        <v>44148.0</v>
      </c>
      <c r="F6" s="250" t="s">
        <v>496</v>
      </c>
      <c r="G6" s="176"/>
      <c r="H6" s="171">
        <v>300.0</v>
      </c>
      <c r="I6" s="171">
        <v>100.0</v>
      </c>
      <c r="J6" s="391">
        <f t="shared" si="2"/>
        <v>0.008066826214</v>
      </c>
      <c r="K6" s="392">
        <f t="shared" si="3"/>
        <v>4.275417893</v>
      </c>
      <c r="L6" s="327">
        <f t="shared" si="4"/>
        <v>38.82888035</v>
      </c>
      <c r="M6" s="321" t="str">
        <f t="shared" si="5"/>
        <v>santigs67</v>
      </c>
      <c r="N6" s="176">
        <f>IFERROR(__xludf.DUMMYFUNCTION("""COMPUTED_VALUE"""),3.0)</f>
        <v>3</v>
      </c>
      <c r="O6" s="176"/>
      <c r="P6" s="176"/>
      <c r="Q6" s="176"/>
      <c r="R6" s="176"/>
      <c r="S6" s="176"/>
      <c r="T6" s="176"/>
      <c r="U6" s="176"/>
      <c r="V6" s="176"/>
      <c r="W6" s="176"/>
      <c r="X6" s="176"/>
      <c r="Y6" s="176"/>
      <c r="Z6" s="176"/>
    </row>
    <row r="7">
      <c r="A7" s="226" t="s">
        <v>4</v>
      </c>
      <c r="B7" s="226" t="s">
        <v>590</v>
      </c>
      <c r="C7" s="250" t="s">
        <v>3565</v>
      </c>
      <c r="D7" s="268" t="s">
        <v>495</v>
      </c>
      <c r="E7" s="251">
        <v>44148.0</v>
      </c>
      <c r="F7" s="250" t="s">
        <v>496</v>
      </c>
      <c r="G7" s="176"/>
      <c r="H7" s="171">
        <v>150.0</v>
      </c>
      <c r="I7" s="171">
        <v>80.0</v>
      </c>
      <c r="J7" s="391">
        <f t="shared" si="2"/>
        <v>0.004730115383</v>
      </c>
      <c r="K7" s="392">
        <f t="shared" si="3"/>
        <v>2.506961153</v>
      </c>
      <c r="L7" s="327">
        <f t="shared" si="4"/>
        <v>38.82888035</v>
      </c>
      <c r="M7" s="321" t="str">
        <f t="shared" si="5"/>
        <v>santigs67</v>
      </c>
      <c r="N7" s="176">
        <f>IFERROR(__xludf.DUMMYFUNCTION("""COMPUTED_VALUE"""),4.0)</f>
        <v>4</v>
      </c>
      <c r="O7" s="176"/>
      <c r="P7" s="176"/>
      <c r="Q7" s="176"/>
      <c r="R7" s="176"/>
      <c r="S7" s="176"/>
      <c r="T7" s="176"/>
      <c r="U7" s="176"/>
      <c r="V7" s="176"/>
      <c r="W7" s="176"/>
      <c r="X7" s="176"/>
      <c r="Y7" s="176"/>
      <c r="Z7" s="176"/>
    </row>
    <row r="8">
      <c r="A8" s="249" t="s">
        <v>4</v>
      </c>
      <c r="B8" s="249" t="s">
        <v>1228</v>
      </c>
      <c r="C8" s="219" t="s">
        <v>3566</v>
      </c>
      <c r="D8" s="268" t="s">
        <v>495</v>
      </c>
      <c r="E8" s="361">
        <v>44141.0</v>
      </c>
      <c r="F8" s="250" t="s">
        <v>496</v>
      </c>
      <c r="G8" s="243"/>
      <c r="H8" s="171">
        <v>120.0</v>
      </c>
      <c r="I8" s="393">
        <v>100.0</v>
      </c>
      <c r="J8" s="391">
        <f t="shared" si="2"/>
        <v>0.004620135037</v>
      </c>
      <c r="K8" s="392">
        <f t="shared" si="3"/>
        <v>2.44867157</v>
      </c>
      <c r="L8" s="327">
        <f t="shared" si="4"/>
        <v>38.82888035</v>
      </c>
      <c r="M8" s="321" t="str">
        <f t="shared" si="5"/>
        <v>santigs67</v>
      </c>
      <c r="N8" s="176">
        <f>IFERROR(__xludf.DUMMYFUNCTION("""COMPUTED_VALUE"""),5.0)</f>
        <v>5</v>
      </c>
      <c r="O8" s="176"/>
      <c r="P8" s="176"/>
      <c r="Q8" s="176"/>
      <c r="R8" s="176"/>
      <c r="S8" s="176"/>
      <c r="T8" s="176"/>
      <c r="U8" s="176"/>
      <c r="V8" s="176"/>
      <c r="W8" s="176"/>
      <c r="X8" s="176"/>
      <c r="Y8" s="176"/>
      <c r="Z8" s="176"/>
    </row>
    <row r="9">
      <c r="A9" s="226" t="s">
        <v>4</v>
      </c>
      <c r="B9" s="226" t="s">
        <v>868</v>
      </c>
      <c r="C9" s="250" t="s">
        <v>3567</v>
      </c>
      <c r="D9" s="268" t="s">
        <v>495</v>
      </c>
      <c r="E9" s="251">
        <v>44148.0</v>
      </c>
      <c r="F9" s="250" t="s">
        <v>496</v>
      </c>
      <c r="G9" s="176"/>
      <c r="H9" s="171">
        <v>100.0</v>
      </c>
      <c r="I9" s="171">
        <v>100.0</v>
      </c>
      <c r="J9" s="391">
        <f t="shared" si="2"/>
        <v>0.004237169351</v>
      </c>
      <c r="K9" s="392">
        <f t="shared" si="3"/>
        <v>2.245699756</v>
      </c>
      <c r="L9" s="327">
        <f t="shared" si="4"/>
        <v>38.82888035</v>
      </c>
      <c r="M9" s="321" t="str">
        <f t="shared" si="5"/>
        <v>santigs67</v>
      </c>
      <c r="N9" s="176">
        <f>IFERROR(__xludf.DUMMYFUNCTION("""COMPUTED_VALUE"""),6.0)</f>
        <v>6</v>
      </c>
      <c r="O9" s="176"/>
      <c r="P9" s="176"/>
      <c r="Q9" s="176"/>
      <c r="R9" s="176"/>
      <c r="S9" s="176"/>
      <c r="T9" s="176"/>
      <c r="U9" s="176"/>
      <c r="V9" s="176"/>
      <c r="W9" s="176"/>
      <c r="X9" s="176"/>
      <c r="Y9" s="176"/>
      <c r="Z9" s="176"/>
    </row>
    <row r="10">
      <c r="A10" s="226" t="s">
        <v>4</v>
      </c>
      <c r="B10" s="226" t="s">
        <v>868</v>
      </c>
      <c r="C10" s="250" t="s">
        <v>3568</v>
      </c>
      <c r="D10" s="268" t="s">
        <v>495</v>
      </c>
      <c r="E10" s="251">
        <v>44148.0</v>
      </c>
      <c r="F10" s="250" t="s">
        <v>496</v>
      </c>
      <c r="G10" s="176"/>
      <c r="H10" s="171">
        <v>100.0</v>
      </c>
      <c r="I10" s="171">
        <v>100.0</v>
      </c>
      <c r="J10" s="391">
        <f t="shared" si="2"/>
        <v>0.004237169351</v>
      </c>
      <c r="K10" s="392">
        <f t="shared" si="3"/>
        <v>2.245699756</v>
      </c>
      <c r="L10" s="327">
        <f t="shared" si="4"/>
        <v>38.82888035</v>
      </c>
      <c r="M10" s="321" t="str">
        <f t="shared" si="5"/>
        <v>santigs67</v>
      </c>
      <c r="N10" s="176">
        <f>IFERROR(__xludf.DUMMYFUNCTION("""COMPUTED_VALUE"""),7.0)</f>
        <v>7</v>
      </c>
      <c r="O10" s="176"/>
      <c r="P10" s="176"/>
      <c r="Q10" s="176"/>
      <c r="R10" s="176"/>
      <c r="S10" s="176"/>
      <c r="T10" s="176"/>
      <c r="U10" s="176"/>
      <c r="V10" s="176"/>
      <c r="W10" s="176"/>
      <c r="X10" s="176"/>
      <c r="Y10" s="176"/>
      <c r="Z10" s="176"/>
    </row>
    <row r="11">
      <c r="A11" s="226" t="s">
        <v>4</v>
      </c>
      <c r="B11" s="226" t="s">
        <v>519</v>
      </c>
      <c r="C11" s="250" t="s">
        <v>3569</v>
      </c>
      <c r="D11" s="268" t="s">
        <v>495</v>
      </c>
      <c r="E11" s="361">
        <v>44141.0</v>
      </c>
      <c r="F11" s="250" t="s">
        <v>496</v>
      </c>
      <c r="G11" s="243"/>
      <c r="H11" s="171">
        <v>100.0</v>
      </c>
      <c r="I11" s="171">
        <v>80.0</v>
      </c>
      <c r="J11" s="391">
        <f t="shared" si="2"/>
        <v>0.003772701167</v>
      </c>
      <c r="K11" s="392">
        <f t="shared" si="3"/>
        <v>1.999531619</v>
      </c>
      <c r="L11" s="327">
        <f t="shared" si="4"/>
        <v>38.82888035</v>
      </c>
      <c r="M11" s="321" t="str">
        <f t="shared" si="5"/>
        <v>santigs67</v>
      </c>
      <c r="N11" s="176">
        <f>IFERROR(__xludf.DUMMYFUNCTION("""COMPUTED_VALUE"""),8.0)</f>
        <v>8</v>
      </c>
      <c r="O11" s="176"/>
      <c r="P11" s="176"/>
      <c r="Q11" s="176"/>
      <c r="R11" s="176"/>
      <c r="S11" s="176"/>
      <c r="T11" s="176"/>
      <c r="U11" s="176"/>
      <c r="V11" s="176"/>
      <c r="W11" s="176"/>
      <c r="X11" s="176"/>
      <c r="Y11" s="176"/>
      <c r="Z11" s="176"/>
    </row>
    <row r="12">
      <c r="A12" s="226" t="s">
        <v>4</v>
      </c>
      <c r="B12" s="226" t="s">
        <v>18</v>
      </c>
      <c r="C12" s="250" t="s">
        <v>3570</v>
      </c>
      <c r="D12" s="268" t="s">
        <v>495</v>
      </c>
      <c r="E12" s="251">
        <v>44147.0</v>
      </c>
      <c r="F12" s="250" t="s">
        <v>496</v>
      </c>
      <c r="G12" s="243"/>
      <c r="H12" s="171">
        <v>60.0</v>
      </c>
      <c r="I12" s="171">
        <v>100.0</v>
      </c>
      <c r="J12" s="391">
        <f t="shared" si="2"/>
        <v>0.003471237978</v>
      </c>
      <c r="K12" s="392">
        <f t="shared" si="3"/>
        <v>1.839756129</v>
      </c>
      <c r="L12" s="327">
        <f t="shared" si="4"/>
        <v>38.82888035</v>
      </c>
      <c r="M12" s="321" t="str">
        <f t="shared" si="5"/>
        <v>santigs67</v>
      </c>
      <c r="N12" s="176">
        <f>IFERROR(__xludf.DUMMYFUNCTION("""COMPUTED_VALUE"""),9.0)</f>
        <v>9</v>
      </c>
      <c r="O12" s="176"/>
      <c r="P12" s="176"/>
      <c r="Q12" s="176"/>
      <c r="R12" s="176"/>
      <c r="S12" s="176"/>
      <c r="T12" s="176"/>
      <c r="U12" s="176"/>
      <c r="V12" s="176"/>
      <c r="W12" s="176"/>
      <c r="X12" s="176"/>
      <c r="Y12" s="176"/>
      <c r="Z12" s="176"/>
    </row>
    <row r="13">
      <c r="A13" s="226" t="s">
        <v>4</v>
      </c>
      <c r="B13" s="226" t="s">
        <v>590</v>
      </c>
      <c r="C13" s="250" t="s">
        <v>3571</v>
      </c>
      <c r="D13" s="268" t="s">
        <v>495</v>
      </c>
      <c r="E13" s="251">
        <v>44155.0</v>
      </c>
      <c r="F13" s="250" t="s">
        <v>496</v>
      </c>
      <c r="G13" s="176"/>
      <c r="H13" s="171">
        <v>100.0</v>
      </c>
      <c r="I13" s="171">
        <v>60.0</v>
      </c>
      <c r="J13" s="391">
        <f t="shared" si="2"/>
        <v>0.003308232983</v>
      </c>
      <c r="K13" s="392">
        <f t="shared" si="3"/>
        <v>1.753363481</v>
      </c>
      <c r="L13" s="327">
        <f t="shared" si="4"/>
        <v>38.82888035</v>
      </c>
      <c r="M13" s="321" t="str">
        <f t="shared" si="5"/>
        <v>santigs67</v>
      </c>
      <c r="N13" s="176">
        <f>IFERROR(__xludf.DUMMYFUNCTION("""COMPUTED_VALUE"""),10.0)</f>
        <v>10</v>
      </c>
      <c r="O13" s="176"/>
      <c r="P13" s="176"/>
      <c r="Q13" s="176"/>
      <c r="R13" s="176"/>
      <c r="S13" s="176"/>
      <c r="T13" s="176"/>
      <c r="U13" s="176"/>
      <c r="V13" s="176"/>
      <c r="W13" s="176"/>
      <c r="X13" s="176"/>
      <c r="Y13" s="176"/>
      <c r="Z13" s="176"/>
    </row>
    <row r="14">
      <c r="A14" s="226" t="s">
        <v>4</v>
      </c>
      <c r="B14" s="226" t="s">
        <v>1228</v>
      </c>
      <c r="C14" s="250" t="s">
        <v>3572</v>
      </c>
      <c r="D14" s="268" t="s">
        <v>495</v>
      </c>
      <c r="E14" s="251">
        <v>44147.0</v>
      </c>
      <c r="F14" s="250" t="s">
        <v>496</v>
      </c>
      <c r="G14" s="243"/>
      <c r="H14" s="171">
        <v>100.0</v>
      </c>
      <c r="I14" s="171">
        <v>30.0</v>
      </c>
      <c r="J14" s="391">
        <f t="shared" si="2"/>
        <v>0.002611530707</v>
      </c>
      <c r="K14" s="392">
        <f t="shared" si="3"/>
        <v>1.384111275</v>
      </c>
      <c r="L14" s="327">
        <f t="shared" si="4"/>
        <v>38.82888035</v>
      </c>
      <c r="M14" s="321" t="str">
        <f t="shared" si="5"/>
        <v>santigs67</v>
      </c>
      <c r="N14" s="176">
        <f>IFERROR(__xludf.DUMMYFUNCTION("""COMPUTED_VALUE"""),11.0)</f>
        <v>11</v>
      </c>
      <c r="O14" s="176"/>
      <c r="P14" s="176"/>
      <c r="Q14" s="176"/>
      <c r="R14" s="176"/>
      <c r="S14" s="176"/>
      <c r="T14" s="176"/>
      <c r="U14" s="176"/>
      <c r="V14" s="176"/>
      <c r="W14" s="176"/>
      <c r="X14" s="176"/>
      <c r="Y14" s="176"/>
      <c r="Z14" s="176"/>
    </row>
    <row r="15">
      <c r="A15" s="226" t="s">
        <v>4</v>
      </c>
      <c r="B15" s="226" t="s">
        <v>5</v>
      </c>
      <c r="C15" s="250" t="s">
        <v>3573</v>
      </c>
      <c r="D15" s="268" t="s">
        <v>495</v>
      </c>
      <c r="E15" s="251">
        <v>44147.0</v>
      </c>
      <c r="F15" s="250" t="s">
        <v>496</v>
      </c>
      <c r="G15" s="176"/>
      <c r="H15" s="171">
        <v>60.0</v>
      </c>
      <c r="I15" s="171">
        <v>60.0</v>
      </c>
      <c r="J15" s="391">
        <f t="shared" si="2"/>
        <v>0.002542301611</v>
      </c>
      <c r="K15" s="392">
        <f t="shared" si="3"/>
        <v>1.347419854</v>
      </c>
      <c r="L15" s="327">
        <f t="shared" si="4"/>
        <v>38.82888035</v>
      </c>
      <c r="M15" s="321" t="str">
        <f t="shared" si="5"/>
        <v>santigs67</v>
      </c>
      <c r="N15" s="176">
        <f>IFERROR(__xludf.DUMMYFUNCTION("""COMPUTED_VALUE"""),12.0)</f>
        <v>12</v>
      </c>
      <c r="O15" s="176"/>
      <c r="P15" s="176"/>
      <c r="Q15" s="176"/>
      <c r="R15" s="176"/>
      <c r="S15" s="176"/>
      <c r="T15" s="176"/>
      <c r="U15" s="176"/>
      <c r="V15" s="176"/>
      <c r="W15" s="176"/>
      <c r="X15" s="176"/>
      <c r="Y15" s="176"/>
      <c r="Z15" s="176"/>
    </row>
    <row r="16">
      <c r="A16" s="226" t="s">
        <v>4</v>
      </c>
      <c r="B16" s="226" t="s">
        <v>5</v>
      </c>
      <c r="C16" s="250" t="s">
        <v>3574</v>
      </c>
      <c r="D16" s="268" t="s">
        <v>495</v>
      </c>
      <c r="E16" s="251">
        <v>44145.0</v>
      </c>
      <c r="F16" s="250" t="s">
        <v>496</v>
      </c>
      <c r="G16" s="243"/>
      <c r="H16" s="171">
        <v>30.0</v>
      </c>
      <c r="I16" s="171">
        <v>80.0</v>
      </c>
      <c r="J16" s="391">
        <f t="shared" si="2"/>
        <v>0.002432321265</v>
      </c>
      <c r="K16" s="392">
        <f t="shared" si="3"/>
        <v>1.289130271</v>
      </c>
      <c r="L16" s="327">
        <f t="shared" si="4"/>
        <v>38.82888035</v>
      </c>
      <c r="M16" s="321" t="str">
        <f t="shared" si="5"/>
        <v>santigs67</v>
      </c>
      <c r="N16" s="176">
        <f>IFERROR(__xludf.DUMMYFUNCTION("""COMPUTED_VALUE"""),13.0)</f>
        <v>13</v>
      </c>
      <c r="O16" s="176"/>
      <c r="P16" s="176"/>
      <c r="Q16" s="176"/>
      <c r="R16" s="176"/>
      <c r="S16" s="176"/>
      <c r="T16" s="176"/>
      <c r="U16" s="176"/>
      <c r="V16" s="176"/>
      <c r="W16" s="176"/>
      <c r="X16" s="176"/>
      <c r="Y16" s="176"/>
      <c r="Z16" s="176"/>
    </row>
    <row r="17">
      <c r="A17" s="226" t="s">
        <v>4</v>
      </c>
      <c r="B17" s="226" t="s">
        <v>18</v>
      </c>
      <c r="C17" s="250" t="s">
        <v>3575</v>
      </c>
      <c r="D17" s="268" t="s">
        <v>495</v>
      </c>
      <c r="E17" s="361">
        <v>44141.0</v>
      </c>
      <c r="F17" s="250" t="s">
        <v>496</v>
      </c>
      <c r="G17" s="243"/>
      <c r="H17" s="171">
        <v>60.0</v>
      </c>
      <c r="I17" s="171">
        <v>50.0</v>
      </c>
      <c r="J17" s="391">
        <f t="shared" si="2"/>
        <v>0.002310067519</v>
      </c>
      <c r="K17" s="392">
        <f t="shared" si="3"/>
        <v>1.224335785</v>
      </c>
      <c r="L17" s="327">
        <f t="shared" si="4"/>
        <v>38.82888035</v>
      </c>
      <c r="M17" s="321" t="str">
        <f t="shared" si="5"/>
        <v>santigs67</v>
      </c>
      <c r="N17" s="176">
        <f>IFERROR(__xludf.DUMMYFUNCTION("""COMPUTED_VALUE"""),14.0)</f>
        <v>14</v>
      </c>
      <c r="O17" s="176"/>
      <c r="P17" s="176"/>
      <c r="Q17" s="176"/>
      <c r="R17" s="176"/>
      <c r="S17" s="176"/>
      <c r="T17" s="176"/>
      <c r="U17" s="176"/>
      <c r="V17" s="176"/>
      <c r="W17" s="176"/>
      <c r="X17" s="176"/>
      <c r="Y17" s="176"/>
      <c r="Z17" s="176"/>
    </row>
    <row r="18">
      <c r="A18" s="249" t="s">
        <v>4</v>
      </c>
      <c r="B18" s="249" t="s">
        <v>590</v>
      </c>
      <c r="C18" s="250" t="s">
        <v>3576</v>
      </c>
      <c r="D18" s="268" t="s">
        <v>495</v>
      </c>
      <c r="E18" s="251">
        <v>44147.0</v>
      </c>
      <c r="F18" s="250" t="s">
        <v>496</v>
      </c>
      <c r="G18" s="243"/>
      <c r="H18" s="171">
        <v>45.0</v>
      </c>
      <c r="I18" s="171">
        <v>45.0</v>
      </c>
      <c r="J18" s="391">
        <f t="shared" si="2"/>
        <v>0.001906726208</v>
      </c>
      <c r="K18" s="392">
        <f t="shared" si="3"/>
        <v>1.01056489</v>
      </c>
      <c r="L18" s="327">
        <f t="shared" si="4"/>
        <v>38.82888035</v>
      </c>
      <c r="M18" s="321" t="str">
        <f t="shared" si="5"/>
        <v>santigs67</v>
      </c>
      <c r="N18" s="176">
        <f>IFERROR(__xludf.DUMMYFUNCTION("""COMPUTED_VALUE"""),15.0)</f>
        <v>15</v>
      </c>
      <c r="O18" s="176"/>
      <c r="P18" s="176"/>
      <c r="Q18" s="176"/>
      <c r="R18" s="176"/>
      <c r="S18" s="176"/>
      <c r="T18" s="176"/>
      <c r="U18" s="176"/>
      <c r="V18" s="176"/>
      <c r="W18" s="176"/>
      <c r="X18" s="176"/>
      <c r="Y18" s="176"/>
      <c r="Z18" s="176"/>
    </row>
    <row r="19">
      <c r="A19" s="226" t="s">
        <v>4</v>
      </c>
      <c r="B19" s="226" t="s">
        <v>5</v>
      </c>
      <c r="C19" s="250" t="s">
        <v>3577</v>
      </c>
      <c r="D19" s="268" t="s">
        <v>495</v>
      </c>
      <c r="E19" s="361">
        <v>44143.0</v>
      </c>
      <c r="F19" s="250" t="s">
        <v>496</v>
      </c>
      <c r="G19" s="243"/>
      <c r="H19" s="171">
        <v>30.0</v>
      </c>
      <c r="I19" s="171">
        <v>50.0</v>
      </c>
      <c r="J19" s="391">
        <f t="shared" si="2"/>
        <v>0.001735618989</v>
      </c>
      <c r="K19" s="392">
        <f t="shared" si="3"/>
        <v>0.9198780643</v>
      </c>
      <c r="L19" s="327">
        <f t="shared" si="4"/>
        <v>38.82888035</v>
      </c>
      <c r="M19" s="321" t="str">
        <f t="shared" si="5"/>
        <v>santigs67</v>
      </c>
      <c r="N19" s="176">
        <f>IFERROR(__xludf.DUMMYFUNCTION("""COMPUTED_VALUE"""),16.0)</f>
        <v>16</v>
      </c>
      <c r="O19" s="176"/>
      <c r="P19" s="176"/>
      <c r="Q19" s="176"/>
      <c r="R19" s="176"/>
      <c r="S19" s="176"/>
      <c r="T19" s="176"/>
      <c r="U19" s="176"/>
      <c r="V19" s="176"/>
      <c r="W19" s="176"/>
      <c r="X19" s="176"/>
      <c r="Y19" s="176"/>
      <c r="Z19" s="176"/>
    </row>
    <row r="20">
      <c r="A20" s="226" t="s">
        <v>4</v>
      </c>
      <c r="B20" s="226" t="s">
        <v>18</v>
      </c>
      <c r="C20" s="250" t="s">
        <v>3578</v>
      </c>
      <c r="D20" s="268" t="s">
        <v>495</v>
      </c>
      <c r="E20" s="251">
        <v>44152.0</v>
      </c>
      <c r="F20" s="250" t="s">
        <v>496</v>
      </c>
      <c r="G20" s="176"/>
      <c r="H20" s="171">
        <v>45.0</v>
      </c>
      <c r="I20" s="171">
        <v>30.0</v>
      </c>
      <c r="J20" s="391">
        <f t="shared" si="2"/>
        <v>0.00155837507</v>
      </c>
      <c r="K20" s="392">
        <f t="shared" si="3"/>
        <v>0.8259387871</v>
      </c>
      <c r="L20" s="327">
        <f t="shared" si="4"/>
        <v>38.82888035</v>
      </c>
      <c r="M20" s="321" t="str">
        <f t="shared" si="5"/>
        <v>santigs67</v>
      </c>
      <c r="N20" s="176">
        <f>IFERROR(__xludf.DUMMYFUNCTION("""COMPUTED_VALUE"""),17.0)</f>
        <v>17</v>
      </c>
      <c r="O20" s="176"/>
      <c r="P20" s="176"/>
      <c r="Q20" s="176"/>
      <c r="R20" s="176"/>
      <c r="S20" s="176"/>
      <c r="T20" s="176"/>
      <c r="U20" s="176"/>
      <c r="V20" s="176"/>
      <c r="W20" s="176"/>
      <c r="X20" s="176"/>
      <c r="Y20" s="176"/>
      <c r="Z20" s="176"/>
    </row>
    <row r="21">
      <c r="A21" s="226" t="s">
        <v>4</v>
      </c>
      <c r="B21" s="226" t="s">
        <v>590</v>
      </c>
      <c r="C21" s="250" t="s">
        <v>3579</v>
      </c>
      <c r="D21" s="268" t="s">
        <v>495</v>
      </c>
      <c r="E21" s="251">
        <v>44153.0</v>
      </c>
      <c r="F21" s="250" t="s">
        <v>496</v>
      </c>
      <c r="G21" s="176"/>
      <c r="H21" s="171">
        <v>45.0</v>
      </c>
      <c r="I21" s="171">
        <v>30.0</v>
      </c>
      <c r="J21" s="391">
        <f t="shared" si="2"/>
        <v>0.00155837507</v>
      </c>
      <c r="K21" s="392">
        <f t="shared" si="3"/>
        <v>0.8259387871</v>
      </c>
      <c r="L21" s="327">
        <f t="shared" si="4"/>
        <v>38.82888035</v>
      </c>
      <c r="M21" s="321" t="str">
        <f t="shared" si="5"/>
        <v>santigs67</v>
      </c>
      <c r="N21" s="176">
        <f>IFERROR(__xludf.DUMMYFUNCTION("""COMPUTED_VALUE"""),18.0)</f>
        <v>18</v>
      </c>
      <c r="O21" s="176"/>
      <c r="P21" s="176"/>
      <c r="Q21" s="176"/>
      <c r="R21" s="176"/>
      <c r="S21" s="176"/>
      <c r="T21" s="176"/>
      <c r="U21" s="176"/>
      <c r="V21" s="176"/>
      <c r="W21" s="176"/>
      <c r="X21" s="176"/>
      <c r="Y21" s="176"/>
      <c r="Z21" s="176"/>
    </row>
    <row r="22">
      <c r="A22" s="226" t="s">
        <v>4</v>
      </c>
      <c r="B22" s="226" t="s">
        <v>5</v>
      </c>
      <c r="C22" s="250" t="s">
        <v>3580</v>
      </c>
      <c r="D22" s="268" t="s">
        <v>495</v>
      </c>
      <c r="E22" s="251">
        <v>44145.0</v>
      </c>
      <c r="F22" s="250" t="s">
        <v>496</v>
      </c>
      <c r="G22" s="243"/>
      <c r="H22" s="171">
        <v>30.0</v>
      </c>
      <c r="I22" s="171">
        <v>30.0</v>
      </c>
      <c r="J22" s="391">
        <f t="shared" si="2"/>
        <v>0.001271150805</v>
      </c>
      <c r="K22" s="392">
        <f t="shared" si="3"/>
        <v>0.6737099268</v>
      </c>
      <c r="L22" s="327">
        <f t="shared" si="4"/>
        <v>38.82888035</v>
      </c>
      <c r="M22" s="321" t="str">
        <f t="shared" si="5"/>
        <v>santigs67</v>
      </c>
      <c r="N22" s="176">
        <f>IFERROR(__xludf.DUMMYFUNCTION("""COMPUTED_VALUE"""),19.0)</f>
        <v>19</v>
      </c>
      <c r="O22" s="176"/>
      <c r="P22" s="176"/>
      <c r="Q22" s="176"/>
      <c r="R22" s="176"/>
      <c r="S22" s="176"/>
      <c r="T22" s="176"/>
      <c r="U22" s="176"/>
      <c r="V22" s="176"/>
      <c r="W22" s="176"/>
      <c r="X22" s="176"/>
      <c r="Y22" s="176"/>
      <c r="Z22" s="176"/>
    </row>
    <row r="23">
      <c r="A23" s="226" t="s">
        <v>4</v>
      </c>
      <c r="B23" s="226" t="s">
        <v>18</v>
      </c>
      <c r="C23" s="250" t="s">
        <v>3581</v>
      </c>
      <c r="D23" s="268" t="s">
        <v>495</v>
      </c>
      <c r="E23" s="251">
        <v>44147.0</v>
      </c>
      <c r="F23" s="250" t="s">
        <v>496</v>
      </c>
      <c r="G23" s="243"/>
      <c r="H23" s="171">
        <v>30.0</v>
      </c>
      <c r="I23" s="171">
        <v>30.0</v>
      </c>
      <c r="J23" s="391">
        <f t="shared" si="2"/>
        <v>0.001271150805</v>
      </c>
      <c r="K23" s="392">
        <f t="shared" si="3"/>
        <v>0.6737099268</v>
      </c>
      <c r="L23" s="327">
        <f t="shared" si="4"/>
        <v>38.82888035</v>
      </c>
      <c r="M23" s="321" t="str">
        <f t="shared" si="5"/>
        <v>santigs67</v>
      </c>
      <c r="N23" s="176">
        <f>IFERROR(__xludf.DUMMYFUNCTION("""COMPUTED_VALUE"""),20.0)</f>
        <v>20</v>
      </c>
      <c r="O23" s="176"/>
      <c r="P23" s="176"/>
      <c r="Q23" s="176"/>
      <c r="R23" s="176"/>
      <c r="S23" s="176"/>
      <c r="T23" s="176"/>
      <c r="U23" s="176"/>
      <c r="V23" s="176"/>
      <c r="W23" s="176"/>
      <c r="X23" s="176"/>
      <c r="Y23" s="176"/>
      <c r="Z23" s="176"/>
    </row>
    <row r="24">
      <c r="A24" s="226" t="s">
        <v>4</v>
      </c>
      <c r="B24" s="226" t="s">
        <v>590</v>
      </c>
      <c r="C24" s="250" t="s">
        <v>3582</v>
      </c>
      <c r="D24" s="268" t="s">
        <v>495</v>
      </c>
      <c r="E24" s="251">
        <v>44152.0</v>
      </c>
      <c r="F24" s="250" t="s">
        <v>496</v>
      </c>
      <c r="G24" s="176"/>
      <c r="H24" s="171">
        <v>20.0</v>
      </c>
      <c r="I24" s="171">
        <v>30.0</v>
      </c>
      <c r="J24" s="391">
        <f t="shared" si="2"/>
        <v>0.001079667962</v>
      </c>
      <c r="K24" s="392">
        <f t="shared" si="3"/>
        <v>0.5722240199</v>
      </c>
      <c r="L24" s="327">
        <f t="shared" si="4"/>
        <v>38.82888035</v>
      </c>
      <c r="M24" s="321" t="str">
        <f t="shared" si="5"/>
        <v>santigs67</v>
      </c>
      <c r="N24" s="176">
        <f>IFERROR(__xludf.DUMMYFUNCTION("""COMPUTED_VALUE"""),21.0)</f>
        <v>21</v>
      </c>
      <c r="O24" s="176"/>
      <c r="P24" s="176"/>
      <c r="Q24" s="176"/>
      <c r="R24" s="176"/>
      <c r="S24" s="176"/>
      <c r="T24" s="176"/>
      <c r="U24" s="176"/>
      <c r="V24" s="176"/>
      <c r="W24" s="176"/>
      <c r="X24" s="176"/>
      <c r="Y24" s="176"/>
      <c r="Z24" s="176"/>
    </row>
    <row r="25">
      <c r="A25" s="226" t="s">
        <v>3</v>
      </c>
      <c r="B25" s="226" t="s">
        <v>519</v>
      </c>
      <c r="C25" s="250" t="s">
        <v>3583</v>
      </c>
      <c r="D25" s="268" t="s">
        <v>495</v>
      </c>
      <c r="E25" s="251">
        <v>44147.0</v>
      </c>
      <c r="F25" s="250" t="s">
        <v>496</v>
      </c>
      <c r="G25" s="243"/>
      <c r="H25" s="171">
        <v>100.0</v>
      </c>
      <c r="I25" s="171">
        <v>150.0</v>
      </c>
      <c r="J25" s="391">
        <f t="shared" si="2"/>
        <v>0.005398339811</v>
      </c>
      <c r="K25" s="392">
        <f t="shared" si="3"/>
        <v>2.8611201</v>
      </c>
      <c r="L25" s="327">
        <f t="shared" si="4"/>
        <v>34.64636</v>
      </c>
      <c r="M25" s="321" t="str">
        <f t="shared" si="5"/>
        <v>zeptimusq</v>
      </c>
      <c r="N25" s="176">
        <f>IFERROR(__xludf.DUMMYFUNCTION("""COMPUTED_VALUE"""),1.0)</f>
        <v>1</v>
      </c>
      <c r="O25" s="176"/>
      <c r="P25" s="176"/>
      <c r="Q25" s="176"/>
      <c r="R25" s="176"/>
      <c r="S25" s="176"/>
      <c r="T25" s="176"/>
      <c r="U25" s="176"/>
      <c r="V25" s="176"/>
      <c r="W25" s="176"/>
      <c r="X25" s="176"/>
      <c r="Y25" s="209"/>
      <c r="Z25" s="209"/>
    </row>
    <row r="26">
      <c r="A26" s="226" t="s">
        <v>3</v>
      </c>
      <c r="B26" s="226" t="s">
        <v>519</v>
      </c>
      <c r="C26" s="250" t="s">
        <v>3584</v>
      </c>
      <c r="D26" s="268" t="s">
        <v>495</v>
      </c>
      <c r="E26" s="251">
        <v>44154.0</v>
      </c>
      <c r="F26" s="250" t="s">
        <v>496</v>
      </c>
      <c r="G26" s="176"/>
      <c r="H26" s="171">
        <v>150.0</v>
      </c>
      <c r="I26" s="171">
        <v>100.0</v>
      </c>
      <c r="J26" s="391">
        <f t="shared" si="2"/>
        <v>0.005194583567</v>
      </c>
      <c r="K26" s="392">
        <f t="shared" si="3"/>
        <v>2.75312929</v>
      </c>
      <c r="L26" s="327">
        <f t="shared" si="4"/>
        <v>34.64636</v>
      </c>
      <c r="M26" s="321" t="str">
        <f t="shared" si="5"/>
        <v>zeptimusq</v>
      </c>
      <c r="N26" s="176">
        <f>IFERROR(__xludf.DUMMYFUNCTION("""COMPUTED_VALUE"""),2.0)</f>
        <v>2</v>
      </c>
      <c r="O26" s="176"/>
      <c r="P26" s="176"/>
      <c r="Q26" s="176"/>
      <c r="R26" s="176"/>
      <c r="S26" s="176"/>
      <c r="T26" s="176"/>
      <c r="U26" s="176"/>
      <c r="V26" s="176"/>
      <c r="W26" s="176"/>
      <c r="X26" s="176"/>
      <c r="Y26" s="176"/>
      <c r="Z26" s="176"/>
    </row>
    <row r="27">
      <c r="A27" s="226" t="s">
        <v>3</v>
      </c>
      <c r="B27" s="226" t="s">
        <v>868</v>
      </c>
      <c r="C27" s="250" t="s">
        <v>3585</v>
      </c>
      <c r="D27" s="268" t="s">
        <v>495</v>
      </c>
      <c r="E27" s="251">
        <v>44153.0</v>
      </c>
      <c r="F27" s="250" t="s">
        <v>496</v>
      </c>
      <c r="G27" s="176"/>
      <c r="H27" s="171">
        <v>120.0</v>
      </c>
      <c r="I27" s="171">
        <v>80.0</v>
      </c>
      <c r="J27" s="391">
        <f t="shared" si="2"/>
        <v>0.004155666853</v>
      </c>
      <c r="K27" s="392">
        <f t="shared" si="3"/>
        <v>2.202503432</v>
      </c>
      <c r="L27" s="327">
        <f t="shared" si="4"/>
        <v>34.64636</v>
      </c>
      <c r="M27" s="321" t="str">
        <f t="shared" si="5"/>
        <v>zeptimusq</v>
      </c>
      <c r="N27" s="176">
        <f>IFERROR(__xludf.DUMMYFUNCTION("""COMPUTED_VALUE"""),3.0)</f>
        <v>3</v>
      </c>
      <c r="O27" s="176"/>
      <c r="P27" s="176"/>
      <c r="Q27" s="176"/>
      <c r="R27" s="176"/>
      <c r="S27" s="176"/>
      <c r="T27" s="176"/>
      <c r="U27" s="176"/>
      <c r="V27" s="176"/>
      <c r="W27" s="176"/>
      <c r="X27" s="176"/>
      <c r="Y27" s="176"/>
      <c r="Z27" s="176"/>
    </row>
    <row r="28">
      <c r="A28" s="226" t="s">
        <v>3</v>
      </c>
      <c r="B28" s="226" t="s">
        <v>519</v>
      </c>
      <c r="C28" s="250" t="s">
        <v>3586</v>
      </c>
      <c r="D28" s="268" t="s">
        <v>495</v>
      </c>
      <c r="E28" s="361">
        <v>44142.0</v>
      </c>
      <c r="F28" s="250" t="s">
        <v>496</v>
      </c>
      <c r="G28" s="243"/>
      <c r="H28" s="171">
        <v>125.0</v>
      </c>
      <c r="I28" s="171">
        <v>60.0</v>
      </c>
      <c r="J28" s="391">
        <f t="shared" si="2"/>
        <v>0.003786940091</v>
      </c>
      <c r="K28" s="392">
        <f t="shared" si="3"/>
        <v>2.007078248</v>
      </c>
      <c r="L28" s="327">
        <f t="shared" si="4"/>
        <v>34.64636</v>
      </c>
      <c r="M28" s="321" t="str">
        <f t="shared" si="5"/>
        <v>zeptimusq</v>
      </c>
      <c r="N28" s="176">
        <f>IFERROR(__xludf.DUMMYFUNCTION("""COMPUTED_VALUE"""),4.0)</f>
        <v>4</v>
      </c>
      <c r="O28" s="176"/>
      <c r="P28" s="176"/>
      <c r="Q28" s="176"/>
      <c r="R28" s="176"/>
      <c r="S28" s="176"/>
      <c r="T28" s="176"/>
      <c r="U28" s="176"/>
      <c r="V28" s="176"/>
      <c r="W28" s="176"/>
      <c r="X28" s="176"/>
      <c r="Y28" s="176"/>
      <c r="Z28" s="176"/>
    </row>
    <row r="29">
      <c r="A29" s="226" t="s">
        <v>3</v>
      </c>
      <c r="B29" s="226" t="s">
        <v>1228</v>
      </c>
      <c r="C29" s="250" t="s">
        <v>3566</v>
      </c>
      <c r="D29" s="268" t="s">
        <v>495</v>
      </c>
      <c r="E29" s="361">
        <v>44141.0</v>
      </c>
      <c r="F29" s="250" t="s">
        <v>496</v>
      </c>
      <c r="G29" s="243"/>
      <c r="H29" s="171">
        <v>120.0</v>
      </c>
      <c r="I29" s="171">
        <v>60.0</v>
      </c>
      <c r="J29" s="391">
        <f t="shared" si="2"/>
        <v>0.003691198669</v>
      </c>
      <c r="K29" s="392">
        <f t="shared" si="3"/>
        <v>1.956335295</v>
      </c>
      <c r="L29" s="327">
        <f t="shared" si="4"/>
        <v>34.64636</v>
      </c>
      <c r="M29" s="321" t="str">
        <f t="shared" si="5"/>
        <v>zeptimusq</v>
      </c>
      <c r="N29" s="176">
        <f>IFERROR(__xludf.DUMMYFUNCTION("""COMPUTED_VALUE"""),5.0)</f>
        <v>5</v>
      </c>
      <c r="O29" s="176"/>
      <c r="P29" s="176"/>
      <c r="Q29" s="176"/>
      <c r="R29" s="176"/>
      <c r="S29" s="176"/>
      <c r="T29" s="176"/>
      <c r="U29" s="176"/>
      <c r="V29" s="176"/>
      <c r="W29" s="176"/>
      <c r="X29" s="176"/>
      <c r="Y29" s="176"/>
      <c r="Z29" s="176"/>
    </row>
    <row r="30">
      <c r="A30" s="226" t="s">
        <v>3</v>
      </c>
      <c r="B30" s="226" t="s">
        <v>1228</v>
      </c>
      <c r="C30" s="250" t="s">
        <v>3572</v>
      </c>
      <c r="D30" s="268" t="s">
        <v>495</v>
      </c>
      <c r="E30" s="251">
        <v>44147.0</v>
      </c>
      <c r="F30" s="250" t="s">
        <v>496</v>
      </c>
      <c r="G30" s="243"/>
      <c r="H30" s="171">
        <v>100.0</v>
      </c>
      <c r="I30" s="171">
        <v>60.0</v>
      </c>
      <c r="J30" s="391">
        <f t="shared" si="2"/>
        <v>0.003308232983</v>
      </c>
      <c r="K30" s="392">
        <f t="shared" si="3"/>
        <v>1.753363481</v>
      </c>
      <c r="L30" s="327">
        <f t="shared" si="4"/>
        <v>34.64636</v>
      </c>
      <c r="M30" s="321" t="str">
        <f t="shared" si="5"/>
        <v>zeptimusq</v>
      </c>
      <c r="N30" s="176">
        <f>IFERROR(__xludf.DUMMYFUNCTION("""COMPUTED_VALUE"""),6.0)</f>
        <v>6</v>
      </c>
      <c r="O30" s="176"/>
      <c r="P30" s="176"/>
      <c r="Q30" s="176"/>
      <c r="R30" s="176"/>
      <c r="S30" s="176"/>
      <c r="T30" s="176"/>
      <c r="U30" s="176"/>
      <c r="V30" s="176"/>
      <c r="W30" s="176"/>
      <c r="X30" s="176"/>
      <c r="Y30" s="176"/>
      <c r="Z30" s="176"/>
    </row>
    <row r="31">
      <c r="A31" s="226" t="s">
        <v>3</v>
      </c>
      <c r="B31" s="226" t="s">
        <v>1228</v>
      </c>
      <c r="C31" s="250" t="s">
        <v>3587</v>
      </c>
      <c r="D31" s="268" t="s">
        <v>495</v>
      </c>
      <c r="E31" s="251">
        <v>44154.0</v>
      </c>
      <c r="F31" s="250" t="s">
        <v>496</v>
      </c>
      <c r="G31" s="176"/>
      <c r="H31" s="171">
        <v>100.0</v>
      </c>
      <c r="I31" s="171">
        <v>40.0</v>
      </c>
      <c r="J31" s="391">
        <f t="shared" si="2"/>
        <v>0.002843764799</v>
      </c>
      <c r="K31" s="392">
        <f t="shared" si="3"/>
        <v>1.507195344</v>
      </c>
      <c r="L31" s="327">
        <f t="shared" si="4"/>
        <v>34.64636</v>
      </c>
      <c r="M31" s="321" t="str">
        <f t="shared" si="5"/>
        <v>zeptimusq</v>
      </c>
      <c r="N31" s="176">
        <f>IFERROR(__xludf.DUMMYFUNCTION("""COMPUTED_VALUE"""),7.0)</f>
        <v>7</v>
      </c>
      <c r="O31" s="176"/>
      <c r="P31" s="176"/>
      <c r="Q31" s="176"/>
      <c r="R31" s="176"/>
      <c r="S31" s="176"/>
      <c r="T31" s="176"/>
      <c r="U31" s="176"/>
      <c r="V31" s="176"/>
      <c r="W31" s="176"/>
      <c r="X31" s="176"/>
      <c r="Y31" s="176"/>
      <c r="Z31" s="176"/>
    </row>
    <row r="32">
      <c r="A32" s="226" t="s">
        <v>3</v>
      </c>
      <c r="B32" s="226" t="s">
        <v>590</v>
      </c>
      <c r="C32" s="250" t="s">
        <v>3588</v>
      </c>
      <c r="D32" s="268" t="s">
        <v>495</v>
      </c>
      <c r="E32" s="361">
        <v>44144.0</v>
      </c>
      <c r="F32" s="250" t="s">
        <v>496</v>
      </c>
      <c r="G32" s="243"/>
      <c r="H32" s="171">
        <v>60.0</v>
      </c>
      <c r="I32" s="171">
        <v>60.0</v>
      </c>
      <c r="J32" s="391">
        <f t="shared" si="2"/>
        <v>0.002542301611</v>
      </c>
      <c r="K32" s="392">
        <f t="shared" si="3"/>
        <v>1.347419854</v>
      </c>
      <c r="L32" s="327">
        <f t="shared" si="4"/>
        <v>34.64636</v>
      </c>
      <c r="M32" s="321" t="str">
        <f t="shared" si="5"/>
        <v>zeptimusq</v>
      </c>
      <c r="N32" s="176">
        <f>IFERROR(__xludf.DUMMYFUNCTION("""COMPUTED_VALUE"""),8.0)</f>
        <v>8</v>
      </c>
      <c r="O32" s="176"/>
      <c r="P32" s="176"/>
      <c r="Q32" s="176"/>
      <c r="R32" s="176"/>
      <c r="S32" s="176"/>
      <c r="T32" s="176"/>
      <c r="U32" s="176"/>
      <c r="V32" s="176"/>
      <c r="W32" s="176"/>
      <c r="X32" s="176"/>
      <c r="Y32" s="176"/>
      <c r="Z32" s="176"/>
    </row>
    <row r="33">
      <c r="A33" s="226" t="s">
        <v>3</v>
      </c>
      <c r="B33" s="226" t="s">
        <v>18</v>
      </c>
      <c r="C33" s="250" t="s">
        <v>3581</v>
      </c>
      <c r="D33" s="268" t="s">
        <v>495</v>
      </c>
      <c r="E33" s="251">
        <v>44147.0</v>
      </c>
      <c r="F33" s="250" t="s">
        <v>496</v>
      </c>
      <c r="G33" s="243"/>
      <c r="H33" s="171">
        <v>60.0</v>
      </c>
      <c r="I33" s="171">
        <v>60.0</v>
      </c>
      <c r="J33" s="391">
        <f t="shared" si="2"/>
        <v>0.002542301611</v>
      </c>
      <c r="K33" s="392">
        <f t="shared" si="3"/>
        <v>1.347419854</v>
      </c>
      <c r="L33" s="327">
        <f t="shared" si="4"/>
        <v>34.64636</v>
      </c>
      <c r="M33" s="321" t="str">
        <f t="shared" si="5"/>
        <v>zeptimusq</v>
      </c>
      <c r="N33" s="176">
        <f>IFERROR(__xludf.DUMMYFUNCTION("""COMPUTED_VALUE"""),9.0)</f>
        <v>9</v>
      </c>
      <c r="O33" s="176"/>
      <c r="P33" s="176"/>
      <c r="Q33" s="176"/>
      <c r="R33" s="176"/>
      <c r="S33" s="176"/>
      <c r="T33" s="176"/>
      <c r="U33" s="176"/>
      <c r="V33" s="176"/>
      <c r="W33" s="176"/>
      <c r="X33" s="176"/>
      <c r="Y33" s="176"/>
      <c r="Z33" s="176"/>
    </row>
    <row r="34">
      <c r="A34" s="226" t="s">
        <v>3</v>
      </c>
      <c r="B34" s="226" t="s">
        <v>5</v>
      </c>
      <c r="C34" s="250" t="s">
        <v>3573</v>
      </c>
      <c r="D34" s="268" t="s">
        <v>495</v>
      </c>
      <c r="E34" s="251">
        <v>44147.0</v>
      </c>
      <c r="F34" s="250" t="s">
        <v>496</v>
      </c>
      <c r="G34" s="176"/>
      <c r="H34" s="171">
        <v>60.0</v>
      </c>
      <c r="I34" s="171">
        <v>60.0</v>
      </c>
      <c r="J34" s="391">
        <f t="shared" si="2"/>
        <v>0.002542301611</v>
      </c>
      <c r="K34" s="392">
        <f t="shared" si="3"/>
        <v>1.347419854</v>
      </c>
      <c r="L34" s="327">
        <f t="shared" si="4"/>
        <v>34.64636</v>
      </c>
      <c r="M34" s="321" t="str">
        <f t="shared" si="5"/>
        <v>zeptimusq</v>
      </c>
      <c r="N34" s="176">
        <f>IFERROR(__xludf.DUMMYFUNCTION("""COMPUTED_VALUE"""),10.0)</f>
        <v>10</v>
      </c>
      <c r="O34" s="176"/>
      <c r="P34" s="176"/>
      <c r="Q34" s="176"/>
      <c r="R34" s="176"/>
      <c r="S34" s="176"/>
      <c r="T34" s="176"/>
      <c r="U34" s="176"/>
      <c r="V34" s="176"/>
      <c r="W34" s="176"/>
      <c r="X34" s="176"/>
      <c r="Y34" s="176"/>
      <c r="Z34" s="176"/>
    </row>
    <row r="35">
      <c r="A35" s="226" t="s">
        <v>3</v>
      </c>
      <c r="B35" s="226" t="s">
        <v>6</v>
      </c>
      <c r="C35" s="250" t="s">
        <v>3589</v>
      </c>
      <c r="D35" s="268" t="s">
        <v>495</v>
      </c>
      <c r="E35" s="251">
        <v>44151.0</v>
      </c>
      <c r="F35" s="250" t="s">
        <v>496</v>
      </c>
      <c r="G35" s="176"/>
      <c r="H35" s="171">
        <v>60.0</v>
      </c>
      <c r="I35" s="171">
        <v>60.0</v>
      </c>
      <c r="J35" s="391">
        <f t="shared" si="2"/>
        <v>0.002542301611</v>
      </c>
      <c r="K35" s="392">
        <f t="shared" si="3"/>
        <v>1.347419854</v>
      </c>
      <c r="L35" s="327">
        <f t="shared" si="4"/>
        <v>34.64636</v>
      </c>
      <c r="M35" s="321" t="str">
        <f t="shared" si="5"/>
        <v>zeptimusq</v>
      </c>
      <c r="N35" s="176">
        <f>IFERROR(__xludf.DUMMYFUNCTION("""COMPUTED_VALUE"""),11.0)</f>
        <v>11</v>
      </c>
      <c r="O35" s="176"/>
      <c r="P35" s="176"/>
      <c r="Q35" s="176"/>
      <c r="R35" s="176"/>
      <c r="S35" s="176"/>
      <c r="T35" s="176"/>
      <c r="U35" s="176"/>
      <c r="V35" s="176"/>
      <c r="W35" s="176"/>
      <c r="X35" s="176"/>
      <c r="Y35" s="176"/>
      <c r="Z35" s="176"/>
    </row>
    <row r="36">
      <c r="A36" s="226" t="s">
        <v>3</v>
      </c>
      <c r="B36" s="226" t="s">
        <v>18</v>
      </c>
      <c r="C36" s="250" t="s">
        <v>3575</v>
      </c>
      <c r="D36" s="268" t="s">
        <v>495</v>
      </c>
      <c r="E36" s="361">
        <v>44141.0</v>
      </c>
      <c r="F36" s="250" t="s">
        <v>496</v>
      </c>
      <c r="G36" s="243"/>
      <c r="H36" s="171">
        <v>60.0</v>
      </c>
      <c r="I36" s="171">
        <v>50.0</v>
      </c>
      <c r="J36" s="391">
        <f t="shared" si="2"/>
        <v>0.002310067519</v>
      </c>
      <c r="K36" s="392">
        <f t="shared" si="3"/>
        <v>1.224335785</v>
      </c>
      <c r="L36" s="327">
        <f t="shared" si="4"/>
        <v>34.64636</v>
      </c>
      <c r="M36" s="321" t="str">
        <f t="shared" si="5"/>
        <v>zeptimusq</v>
      </c>
      <c r="N36" s="176">
        <f>IFERROR(__xludf.DUMMYFUNCTION("""COMPUTED_VALUE"""),12.0)</f>
        <v>12</v>
      </c>
      <c r="O36" s="176"/>
      <c r="P36" s="176"/>
      <c r="Q36" s="176"/>
      <c r="R36" s="176"/>
      <c r="S36" s="176"/>
      <c r="T36" s="176"/>
      <c r="U36" s="176"/>
      <c r="V36" s="176"/>
      <c r="W36" s="176"/>
      <c r="X36" s="176"/>
      <c r="Y36" s="176"/>
      <c r="Z36" s="176"/>
    </row>
    <row r="37">
      <c r="A37" s="226" t="s">
        <v>3</v>
      </c>
      <c r="B37" s="226" t="s">
        <v>590</v>
      </c>
      <c r="C37" s="250" t="s">
        <v>3590</v>
      </c>
      <c r="D37" s="268" t="s">
        <v>495</v>
      </c>
      <c r="E37" s="361">
        <v>44144.0</v>
      </c>
      <c r="F37" s="250" t="s">
        <v>496</v>
      </c>
      <c r="G37" s="243"/>
      <c r="H37" s="171">
        <v>60.0</v>
      </c>
      <c r="I37" s="171">
        <v>50.0</v>
      </c>
      <c r="J37" s="391">
        <f t="shared" si="2"/>
        <v>0.002310067519</v>
      </c>
      <c r="K37" s="392">
        <f t="shared" si="3"/>
        <v>1.224335785</v>
      </c>
      <c r="L37" s="327">
        <f t="shared" si="4"/>
        <v>34.64636</v>
      </c>
      <c r="M37" s="321" t="str">
        <f t="shared" si="5"/>
        <v>zeptimusq</v>
      </c>
      <c r="N37" s="176">
        <f>IFERROR(__xludf.DUMMYFUNCTION("""COMPUTED_VALUE"""),13.0)</f>
        <v>13</v>
      </c>
      <c r="O37" s="176"/>
      <c r="P37" s="176"/>
      <c r="Q37" s="176"/>
      <c r="R37" s="176"/>
      <c r="S37" s="176"/>
      <c r="T37" s="176"/>
      <c r="U37" s="176"/>
      <c r="V37" s="176"/>
      <c r="W37" s="176"/>
      <c r="X37" s="176"/>
      <c r="Y37" s="176"/>
      <c r="Z37" s="176"/>
    </row>
    <row r="38">
      <c r="A38" s="226" t="s">
        <v>3</v>
      </c>
      <c r="B38" s="226" t="s">
        <v>590</v>
      </c>
      <c r="C38" s="250" t="s">
        <v>3591</v>
      </c>
      <c r="D38" s="268" t="s">
        <v>495</v>
      </c>
      <c r="E38" s="251">
        <v>44147.0</v>
      </c>
      <c r="F38" s="250" t="s">
        <v>496</v>
      </c>
      <c r="G38" s="176"/>
      <c r="H38" s="171">
        <v>45.0</v>
      </c>
      <c r="I38" s="171">
        <v>60.0</v>
      </c>
      <c r="J38" s="391">
        <f t="shared" si="2"/>
        <v>0.002255077346</v>
      </c>
      <c r="K38" s="392">
        <f t="shared" si="3"/>
        <v>1.195190993</v>
      </c>
      <c r="L38" s="327">
        <f t="shared" si="4"/>
        <v>34.64636</v>
      </c>
      <c r="M38" s="321" t="str">
        <f t="shared" si="5"/>
        <v>zeptimusq</v>
      </c>
      <c r="N38" s="176">
        <f>IFERROR(__xludf.DUMMYFUNCTION("""COMPUTED_VALUE"""),14.0)</f>
        <v>14</v>
      </c>
      <c r="O38" s="176"/>
      <c r="P38" s="176"/>
      <c r="Q38" s="176"/>
      <c r="R38" s="176"/>
      <c r="S38" s="176"/>
      <c r="T38" s="176"/>
      <c r="U38" s="176"/>
      <c r="V38" s="176"/>
      <c r="W38" s="176"/>
      <c r="X38" s="176"/>
      <c r="Y38" s="176"/>
      <c r="Z38" s="176"/>
    </row>
    <row r="39">
      <c r="A39" s="226" t="s">
        <v>3</v>
      </c>
      <c r="B39" s="226" t="s">
        <v>590</v>
      </c>
      <c r="C39" s="250" t="s">
        <v>3579</v>
      </c>
      <c r="D39" s="268" t="s">
        <v>495</v>
      </c>
      <c r="E39" s="251">
        <v>44153.0</v>
      </c>
      <c r="F39" s="250" t="s">
        <v>496</v>
      </c>
      <c r="G39" s="176"/>
      <c r="H39" s="171">
        <v>45.0</v>
      </c>
      <c r="I39" s="171">
        <v>60.0</v>
      </c>
      <c r="J39" s="391">
        <f t="shared" si="2"/>
        <v>0.002255077346</v>
      </c>
      <c r="K39" s="392">
        <f t="shared" si="3"/>
        <v>1.195190993</v>
      </c>
      <c r="L39" s="327">
        <f t="shared" si="4"/>
        <v>34.64636</v>
      </c>
      <c r="M39" s="321" t="str">
        <f t="shared" si="5"/>
        <v>zeptimusq</v>
      </c>
      <c r="N39" s="176">
        <f>IFERROR(__xludf.DUMMYFUNCTION("""COMPUTED_VALUE"""),15.0)</f>
        <v>15</v>
      </c>
      <c r="O39" s="176"/>
      <c r="P39" s="176"/>
      <c r="Q39" s="176"/>
      <c r="R39" s="176"/>
      <c r="S39" s="176"/>
      <c r="T39" s="176"/>
      <c r="U39" s="176"/>
      <c r="V39" s="176"/>
      <c r="W39" s="176"/>
      <c r="X39" s="176"/>
      <c r="Y39" s="176"/>
      <c r="Z39" s="176"/>
    </row>
    <row r="40">
      <c r="A40" s="226" t="s">
        <v>3</v>
      </c>
      <c r="B40" s="226" t="s">
        <v>18</v>
      </c>
      <c r="C40" s="250" t="s">
        <v>3592</v>
      </c>
      <c r="D40" s="268" t="s">
        <v>495</v>
      </c>
      <c r="E40" s="251">
        <v>44145.0</v>
      </c>
      <c r="F40" s="250" t="s">
        <v>496</v>
      </c>
      <c r="G40" s="243"/>
      <c r="H40" s="171">
        <v>40.0</v>
      </c>
      <c r="I40" s="171">
        <v>60.0</v>
      </c>
      <c r="J40" s="391">
        <f t="shared" si="2"/>
        <v>0.002159335924</v>
      </c>
      <c r="K40" s="392">
        <f t="shared" si="3"/>
        <v>1.14444804</v>
      </c>
      <c r="L40" s="327">
        <f t="shared" si="4"/>
        <v>34.64636</v>
      </c>
      <c r="M40" s="321" t="str">
        <f t="shared" si="5"/>
        <v>zeptimusq</v>
      </c>
      <c r="N40" s="176">
        <f>IFERROR(__xludf.DUMMYFUNCTION("""COMPUTED_VALUE"""),16.0)</f>
        <v>16</v>
      </c>
      <c r="O40" s="176"/>
      <c r="P40" s="176"/>
      <c r="Q40" s="176"/>
      <c r="R40" s="176"/>
      <c r="S40" s="176"/>
      <c r="T40" s="176"/>
      <c r="U40" s="176"/>
      <c r="V40" s="176"/>
      <c r="W40" s="176"/>
      <c r="X40" s="176"/>
      <c r="Y40" s="176"/>
      <c r="Z40" s="176"/>
    </row>
    <row r="41">
      <c r="A41" s="226" t="s">
        <v>3</v>
      </c>
      <c r="B41" s="226" t="s">
        <v>519</v>
      </c>
      <c r="C41" s="250" t="s">
        <v>3593</v>
      </c>
      <c r="D41" s="268" t="s">
        <v>495</v>
      </c>
      <c r="E41" s="251">
        <v>44154.0</v>
      </c>
      <c r="F41" s="250" t="s">
        <v>496</v>
      </c>
      <c r="G41" s="176"/>
      <c r="H41" s="171">
        <v>50.0</v>
      </c>
      <c r="I41" s="171">
        <v>50.0</v>
      </c>
      <c r="J41" s="391">
        <f t="shared" si="2"/>
        <v>0.002118584676</v>
      </c>
      <c r="K41" s="392">
        <f t="shared" si="3"/>
        <v>1.122849878</v>
      </c>
      <c r="L41" s="327">
        <f t="shared" si="4"/>
        <v>34.64636</v>
      </c>
      <c r="M41" s="321" t="str">
        <f t="shared" si="5"/>
        <v>zeptimusq</v>
      </c>
      <c r="N41" s="176">
        <f>IFERROR(__xludf.DUMMYFUNCTION("""COMPUTED_VALUE"""),17.0)</f>
        <v>17</v>
      </c>
      <c r="O41" s="176"/>
      <c r="P41" s="176"/>
      <c r="Q41" s="176"/>
      <c r="R41" s="176"/>
      <c r="S41" s="176"/>
      <c r="T41" s="176"/>
      <c r="U41" s="176"/>
      <c r="V41" s="176"/>
      <c r="W41" s="176"/>
      <c r="X41" s="176"/>
      <c r="Y41" s="176"/>
      <c r="Z41" s="176"/>
    </row>
    <row r="42">
      <c r="A42" s="226" t="s">
        <v>3</v>
      </c>
      <c r="B42" s="226" t="s">
        <v>18</v>
      </c>
      <c r="C42" s="250" t="s">
        <v>3594</v>
      </c>
      <c r="D42" s="268" t="s">
        <v>495</v>
      </c>
      <c r="E42" s="251">
        <v>44152.0</v>
      </c>
      <c r="F42" s="250" t="s">
        <v>496</v>
      </c>
      <c r="G42" s="176"/>
      <c r="H42" s="171">
        <v>45.0</v>
      </c>
      <c r="I42" s="171">
        <v>50.0</v>
      </c>
      <c r="J42" s="391">
        <f t="shared" si="2"/>
        <v>0.002022843254</v>
      </c>
      <c r="K42" s="392">
        <f t="shared" si="3"/>
        <v>1.072106925</v>
      </c>
      <c r="L42" s="327">
        <f t="shared" si="4"/>
        <v>34.64636</v>
      </c>
      <c r="M42" s="321" t="str">
        <f t="shared" si="5"/>
        <v>zeptimusq</v>
      </c>
      <c r="N42" s="176">
        <f>IFERROR(__xludf.DUMMYFUNCTION("""COMPUTED_VALUE"""),18.0)</f>
        <v>18</v>
      </c>
      <c r="O42" s="176"/>
      <c r="P42" s="176"/>
      <c r="Q42" s="176"/>
      <c r="R42" s="176"/>
      <c r="S42" s="176"/>
      <c r="T42" s="176"/>
      <c r="U42" s="176"/>
      <c r="V42" s="176"/>
      <c r="W42" s="176"/>
      <c r="X42" s="176"/>
      <c r="Y42" s="176"/>
      <c r="Z42" s="176"/>
    </row>
    <row r="43">
      <c r="A43" s="226" t="s">
        <v>3</v>
      </c>
      <c r="B43" s="226" t="s">
        <v>18</v>
      </c>
      <c r="C43" s="250" t="s">
        <v>3578</v>
      </c>
      <c r="D43" s="268" t="s">
        <v>495</v>
      </c>
      <c r="E43" s="251">
        <v>44152.0</v>
      </c>
      <c r="F43" s="250" t="s">
        <v>496</v>
      </c>
      <c r="G43" s="176"/>
      <c r="H43" s="171">
        <v>45.0</v>
      </c>
      <c r="I43" s="171">
        <v>50.0</v>
      </c>
      <c r="J43" s="391">
        <f t="shared" si="2"/>
        <v>0.002022843254</v>
      </c>
      <c r="K43" s="392">
        <f t="shared" si="3"/>
        <v>1.072106925</v>
      </c>
      <c r="L43" s="327">
        <f t="shared" si="4"/>
        <v>34.64636</v>
      </c>
      <c r="M43" s="321" t="str">
        <f t="shared" si="5"/>
        <v>zeptimusq</v>
      </c>
      <c r="N43" s="176">
        <f>IFERROR(__xludf.DUMMYFUNCTION("""COMPUTED_VALUE"""),19.0)</f>
        <v>19</v>
      </c>
      <c r="O43" s="176"/>
      <c r="P43" s="176"/>
      <c r="Q43" s="176"/>
      <c r="R43" s="176"/>
      <c r="S43" s="176"/>
      <c r="T43" s="176"/>
      <c r="U43" s="176"/>
      <c r="V43" s="176"/>
      <c r="W43" s="176"/>
      <c r="X43" s="176"/>
      <c r="Y43" s="176"/>
      <c r="Z43" s="176"/>
    </row>
    <row r="44">
      <c r="A44" s="249" t="s">
        <v>3</v>
      </c>
      <c r="B44" s="249" t="s">
        <v>5</v>
      </c>
      <c r="C44" s="219" t="s">
        <v>3580</v>
      </c>
      <c r="D44" s="268" t="s">
        <v>495</v>
      </c>
      <c r="E44" s="251">
        <v>44145.0</v>
      </c>
      <c r="F44" s="250" t="s">
        <v>496</v>
      </c>
      <c r="G44" s="243"/>
      <c r="H44" s="171">
        <v>30.0</v>
      </c>
      <c r="I44" s="171">
        <v>60.0</v>
      </c>
      <c r="J44" s="391">
        <f t="shared" si="2"/>
        <v>0.001967853081</v>
      </c>
      <c r="K44" s="392">
        <f t="shared" si="3"/>
        <v>1.042962133</v>
      </c>
      <c r="L44" s="327">
        <f t="shared" si="4"/>
        <v>34.64636</v>
      </c>
      <c r="M44" s="321" t="str">
        <f t="shared" si="5"/>
        <v>zeptimusq</v>
      </c>
      <c r="N44" s="176">
        <f>IFERROR(__xludf.DUMMYFUNCTION("""COMPUTED_VALUE"""),20.0)</f>
        <v>20</v>
      </c>
      <c r="O44" s="176"/>
      <c r="P44" s="176"/>
      <c r="Q44" s="176"/>
      <c r="R44" s="176"/>
      <c r="S44" s="176"/>
      <c r="T44" s="176"/>
      <c r="U44" s="176"/>
      <c r="V44" s="176"/>
      <c r="W44" s="176"/>
      <c r="X44" s="176"/>
      <c r="Y44" s="176"/>
      <c r="Z44" s="176"/>
    </row>
    <row r="45">
      <c r="A45" s="226" t="s">
        <v>3</v>
      </c>
      <c r="B45" s="226" t="s">
        <v>590</v>
      </c>
      <c r="C45" s="250" t="s">
        <v>3571</v>
      </c>
      <c r="D45" s="268" t="s">
        <v>495</v>
      </c>
      <c r="E45" s="251">
        <v>44155.0</v>
      </c>
      <c r="F45" s="250" t="s">
        <v>496</v>
      </c>
      <c r="G45" s="176"/>
      <c r="H45" s="171">
        <v>30.0</v>
      </c>
      <c r="I45" s="171">
        <v>60.0</v>
      </c>
      <c r="J45" s="391">
        <f t="shared" si="2"/>
        <v>0.001967853081</v>
      </c>
      <c r="K45" s="392">
        <f t="shared" si="3"/>
        <v>1.042962133</v>
      </c>
      <c r="L45" s="327">
        <f t="shared" si="4"/>
        <v>34.64636</v>
      </c>
      <c r="M45" s="321" t="str">
        <f t="shared" si="5"/>
        <v>zeptimusq</v>
      </c>
      <c r="N45" s="176">
        <f>IFERROR(__xludf.DUMMYFUNCTION("""COMPUTED_VALUE"""),21.0)</f>
        <v>21</v>
      </c>
      <c r="O45" s="176"/>
      <c r="P45" s="176"/>
      <c r="Q45" s="176"/>
      <c r="R45" s="176"/>
      <c r="S45" s="176"/>
      <c r="T45" s="176"/>
      <c r="U45" s="176"/>
      <c r="V45" s="176"/>
      <c r="W45" s="176"/>
      <c r="X45" s="176"/>
      <c r="Y45" s="176"/>
      <c r="Z45" s="176"/>
    </row>
    <row r="46">
      <c r="A46" s="226" t="s">
        <v>3</v>
      </c>
      <c r="B46" s="226" t="s">
        <v>590</v>
      </c>
      <c r="C46" s="250" t="s">
        <v>3582</v>
      </c>
      <c r="D46" s="268" t="s">
        <v>495</v>
      </c>
      <c r="E46" s="251">
        <v>44152.0</v>
      </c>
      <c r="F46" s="250" t="s">
        <v>496</v>
      </c>
      <c r="G46" s="176"/>
      <c r="H46" s="171">
        <v>20.0</v>
      </c>
      <c r="I46" s="171">
        <v>50.0</v>
      </c>
      <c r="J46" s="391">
        <f t="shared" si="2"/>
        <v>0.001544136146</v>
      </c>
      <c r="K46" s="392">
        <f t="shared" si="3"/>
        <v>0.8183921574</v>
      </c>
      <c r="L46" s="327">
        <f t="shared" si="4"/>
        <v>34.64636</v>
      </c>
      <c r="M46" s="321" t="str">
        <f t="shared" si="5"/>
        <v>zeptimusq</v>
      </c>
      <c r="N46" s="176">
        <f>IFERROR(__xludf.DUMMYFUNCTION("""COMPUTED_VALUE"""),22.0)</f>
        <v>22</v>
      </c>
      <c r="O46" s="176"/>
      <c r="P46" s="176"/>
      <c r="Q46" s="176"/>
      <c r="R46" s="176"/>
      <c r="S46" s="176"/>
      <c r="T46" s="176"/>
      <c r="U46" s="176"/>
      <c r="V46" s="176"/>
      <c r="W46" s="176"/>
      <c r="X46" s="176"/>
      <c r="Y46" s="176"/>
      <c r="Z46" s="176"/>
    </row>
    <row r="47">
      <c r="A47" s="226" t="s">
        <v>3</v>
      </c>
      <c r="B47" s="226" t="s">
        <v>5</v>
      </c>
      <c r="C47" s="250" t="s">
        <v>3574</v>
      </c>
      <c r="D47" s="268" t="s">
        <v>495</v>
      </c>
      <c r="E47" s="251">
        <v>44145.0</v>
      </c>
      <c r="F47" s="250" t="s">
        <v>496</v>
      </c>
      <c r="G47" s="243"/>
      <c r="H47" s="171">
        <v>30.0</v>
      </c>
      <c r="I47" s="171">
        <v>30.0</v>
      </c>
      <c r="J47" s="391">
        <f t="shared" si="2"/>
        <v>0.001271150805</v>
      </c>
      <c r="K47" s="392">
        <f t="shared" si="3"/>
        <v>0.6737099268</v>
      </c>
      <c r="L47" s="327">
        <f t="shared" si="4"/>
        <v>34.64636</v>
      </c>
      <c r="M47" s="321" t="str">
        <f t="shared" si="5"/>
        <v>zeptimusq</v>
      </c>
      <c r="N47" s="176">
        <f>IFERROR(__xludf.DUMMYFUNCTION("""COMPUTED_VALUE"""),23.0)</f>
        <v>23</v>
      </c>
      <c r="O47" s="176"/>
      <c r="P47" s="176"/>
      <c r="Q47" s="176"/>
      <c r="R47" s="176"/>
      <c r="S47" s="176"/>
      <c r="T47" s="176"/>
      <c r="U47" s="176"/>
      <c r="V47" s="176"/>
      <c r="W47" s="176"/>
      <c r="X47" s="176"/>
      <c r="Y47" s="176"/>
      <c r="Z47" s="176"/>
    </row>
    <row r="48">
      <c r="A48" s="226" t="s">
        <v>3</v>
      </c>
      <c r="B48" s="226" t="s">
        <v>868</v>
      </c>
      <c r="C48" s="250" t="s">
        <v>3568</v>
      </c>
      <c r="D48" s="268" t="s">
        <v>495</v>
      </c>
      <c r="E48" s="251">
        <v>44148.0</v>
      </c>
      <c r="F48" s="250" t="s">
        <v>496</v>
      </c>
      <c r="G48" s="176"/>
      <c r="H48" s="171">
        <v>30.0</v>
      </c>
      <c r="I48" s="171">
        <v>30.0</v>
      </c>
      <c r="J48" s="391">
        <f t="shared" si="2"/>
        <v>0.001271150805</v>
      </c>
      <c r="K48" s="392">
        <f t="shared" si="3"/>
        <v>0.6737099268</v>
      </c>
      <c r="L48" s="327">
        <f t="shared" si="4"/>
        <v>34.64636</v>
      </c>
      <c r="M48" s="321" t="str">
        <f t="shared" si="5"/>
        <v>zeptimusq</v>
      </c>
      <c r="N48" s="176">
        <f>IFERROR(__xludf.DUMMYFUNCTION("""COMPUTED_VALUE"""),24.0)</f>
        <v>24</v>
      </c>
      <c r="O48" s="176"/>
      <c r="P48" s="176"/>
      <c r="Q48" s="176"/>
      <c r="R48" s="176"/>
      <c r="S48" s="176"/>
      <c r="T48" s="176"/>
      <c r="U48" s="176"/>
      <c r="V48" s="176"/>
      <c r="W48" s="176"/>
      <c r="X48" s="176"/>
      <c r="Y48" s="176"/>
      <c r="Z48" s="176"/>
    </row>
    <row r="49">
      <c r="A49" s="226" t="s">
        <v>3</v>
      </c>
      <c r="B49" s="226" t="s">
        <v>70</v>
      </c>
      <c r="C49" s="250" t="s">
        <v>3595</v>
      </c>
      <c r="D49" s="268" t="s">
        <v>495</v>
      </c>
      <c r="E49" s="251">
        <v>44154.0</v>
      </c>
      <c r="F49" s="250" t="s">
        <v>496</v>
      </c>
      <c r="G49" s="176"/>
      <c r="H49" s="171">
        <v>30.0</v>
      </c>
      <c r="I49" s="171">
        <v>10.0</v>
      </c>
      <c r="J49" s="391">
        <f t="shared" si="2"/>
        <v>0.0008066826214</v>
      </c>
      <c r="K49" s="392">
        <f t="shared" si="3"/>
        <v>0.4275417893</v>
      </c>
      <c r="L49" s="327">
        <f t="shared" si="4"/>
        <v>34.64636</v>
      </c>
      <c r="M49" s="321" t="str">
        <f t="shared" si="5"/>
        <v>zeptimusq</v>
      </c>
      <c r="N49" s="176">
        <f>IFERROR(__xludf.DUMMYFUNCTION("""COMPUTED_VALUE"""),25.0)</f>
        <v>25</v>
      </c>
      <c r="O49" s="176"/>
      <c r="P49" s="176"/>
      <c r="Q49" s="176"/>
      <c r="R49" s="176"/>
      <c r="S49" s="176"/>
      <c r="T49" s="176"/>
      <c r="U49" s="176"/>
      <c r="V49" s="176"/>
      <c r="W49" s="176"/>
      <c r="X49" s="176"/>
      <c r="Y49" s="176"/>
      <c r="Z49" s="176"/>
    </row>
    <row r="50">
      <c r="A50" s="226" t="s">
        <v>3</v>
      </c>
      <c r="B50" s="226" t="s">
        <v>5</v>
      </c>
      <c r="C50" s="250" t="s">
        <v>3596</v>
      </c>
      <c r="D50" s="268" t="s">
        <v>495</v>
      </c>
      <c r="E50" s="251">
        <v>44145.0</v>
      </c>
      <c r="F50" s="250" t="s">
        <v>496</v>
      </c>
      <c r="G50" s="243"/>
      <c r="H50" s="171">
        <v>10.0</v>
      </c>
      <c r="I50" s="171">
        <v>15.0</v>
      </c>
      <c r="J50" s="391">
        <f t="shared" si="2"/>
        <v>0.0005398339811</v>
      </c>
      <c r="K50" s="392">
        <f t="shared" si="3"/>
        <v>0.28611201</v>
      </c>
      <c r="L50" s="327">
        <f t="shared" si="4"/>
        <v>34.64636</v>
      </c>
      <c r="M50" s="321" t="str">
        <f t="shared" si="5"/>
        <v>zeptimusq</v>
      </c>
      <c r="N50" s="176">
        <f>IFERROR(__xludf.DUMMYFUNCTION("""COMPUTED_VALUE"""),26.0)</f>
        <v>26</v>
      </c>
      <c r="O50" s="176"/>
      <c r="P50" s="176"/>
      <c r="Q50" s="176"/>
      <c r="R50" s="176"/>
      <c r="S50" s="176"/>
      <c r="T50" s="176"/>
      <c r="U50" s="176"/>
      <c r="V50" s="176"/>
      <c r="W50" s="176"/>
      <c r="X50" s="176"/>
      <c r="Y50" s="176"/>
      <c r="Z50" s="176"/>
    </row>
    <row r="51">
      <c r="A51" s="226" t="s">
        <v>3</v>
      </c>
      <c r="B51" s="226" t="s">
        <v>590</v>
      </c>
      <c r="C51" s="250" t="s">
        <v>3597</v>
      </c>
      <c r="D51" s="268" t="s">
        <v>495</v>
      </c>
      <c r="E51" s="361">
        <v>44144.0</v>
      </c>
      <c r="F51" s="250" t="s">
        <v>496</v>
      </c>
      <c r="G51" s="171" t="s">
        <v>3598</v>
      </c>
      <c r="H51" s="171">
        <v>0.0</v>
      </c>
      <c r="I51" s="171">
        <v>0.0</v>
      </c>
      <c r="J51" s="391">
        <f t="shared" si="2"/>
        <v>0</v>
      </c>
      <c r="K51" s="392">
        <f t="shared" si="3"/>
        <v>0</v>
      </c>
      <c r="L51" s="327">
        <f t="shared" si="4"/>
        <v>34.64636</v>
      </c>
      <c r="M51" s="321" t="str">
        <f t="shared" si="5"/>
        <v>zeptimusq</v>
      </c>
      <c r="N51" s="176">
        <f>IFERROR(__xludf.DUMMYFUNCTION("""COMPUTED_VALUE"""),27.0)</f>
        <v>27</v>
      </c>
      <c r="O51" s="176"/>
      <c r="P51" s="176"/>
      <c r="Q51" s="176"/>
      <c r="R51" s="176"/>
      <c r="S51" s="176"/>
      <c r="T51" s="176"/>
      <c r="U51" s="176"/>
      <c r="V51" s="176"/>
      <c r="W51" s="176"/>
      <c r="X51" s="176"/>
      <c r="Y51" s="176"/>
      <c r="Z51" s="176"/>
    </row>
    <row r="52">
      <c r="A52" s="226" t="s">
        <v>3</v>
      </c>
      <c r="B52" s="226" t="s">
        <v>519</v>
      </c>
      <c r="C52" s="250" t="s">
        <v>3599</v>
      </c>
      <c r="D52" s="268" t="s">
        <v>495</v>
      </c>
      <c r="E52" s="251">
        <v>44145.0</v>
      </c>
      <c r="F52" s="250" t="s">
        <v>496</v>
      </c>
      <c r="G52" s="171" t="s">
        <v>3361</v>
      </c>
      <c r="H52" s="171">
        <v>0.0</v>
      </c>
      <c r="I52" s="171">
        <v>0.0</v>
      </c>
      <c r="J52" s="391">
        <f t="shared" si="2"/>
        <v>0</v>
      </c>
      <c r="K52" s="392">
        <f t="shared" si="3"/>
        <v>0</v>
      </c>
      <c r="L52" s="327">
        <f t="shared" si="4"/>
        <v>34.64636</v>
      </c>
      <c r="M52" s="321" t="str">
        <f t="shared" si="5"/>
        <v>zeptimusq</v>
      </c>
      <c r="N52" s="176">
        <f>IFERROR(__xludf.DUMMYFUNCTION("""COMPUTED_VALUE"""),28.0)</f>
        <v>28</v>
      </c>
      <c r="O52" s="176"/>
      <c r="P52" s="176"/>
      <c r="Q52" s="176"/>
      <c r="R52" s="176"/>
      <c r="S52" s="176"/>
      <c r="T52" s="176"/>
      <c r="U52" s="176"/>
      <c r="V52" s="176"/>
      <c r="W52" s="176"/>
      <c r="X52" s="176"/>
      <c r="Y52" s="176"/>
      <c r="Z52" s="176"/>
    </row>
    <row r="53">
      <c r="A53" s="226" t="s">
        <v>5</v>
      </c>
      <c r="B53" s="226" t="s">
        <v>590</v>
      </c>
      <c r="C53" s="250" t="s">
        <v>3600</v>
      </c>
      <c r="D53" s="268" t="s">
        <v>495</v>
      </c>
      <c r="E53" s="251">
        <v>44151.0</v>
      </c>
      <c r="F53" s="250" t="s">
        <v>496</v>
      </c>
      <c r="G53" s="176"/>
      <c r="H53" s="171">
        <v>400.0</v>
      </c>
      <c r="I53" s="171">
        <v>300.0</v>
      </c>
      <c r="J53" s="391">
        <f t="shared" si="2"/>
        <v>0.01462633648</v>
      </c>
      <c r="K53" s="392">
        <f t="shared" si="3"/>
        <v>7.751958337</v>
      </c>
      <c r="L53" s="327">
        <f t="shared" si="4"/>
        <v>20.79315191</v>
      </c>
      <c r="M53" s="321" t="str">
        <f t="shared" si="5"/>
        <v>cranders71</v>
      </c>
      <c r="N53" s="176">
        <f>IFERROR(__xludf.DUMMYFUNCTION("""COMPUTED_VALUE"""),1.0)</f>
        <v>1</v>
      </c>
      <c r="O53" s="176"/>
      <c r="P53" s="176"/>
      <c r="Q53" s="176"/>
      <c r="R53" s="176"/>
      <c r="S53" s="176"/>
      <c r="T53" s="176"/>
      <c r="U53" s="176"/>
      <c r="V53" s="176"/>
      <c r="W53" s="176"/>
      <c r="X53" s="176"/>
      <c r="Y53" s="176"/>
      <c r="Z53" s="176"/>
    </row>
    <row r="54">
      <c r="A54" s="226" t="s">
        <v>5</v>
      </c>
      <c r="B54" s="226" t="s">
        <v>590</v>
      </c>
      <c r="C54" s="250" t="s">
        <v>3601</v>
      </c>
      <c r="D54" s="268" t="s">
        <v>495</v>
      </c>
      <c r="E54" s="251">
        <v>44147.0</v>
      </c>
      <c r="F54" s="250" t="s">
        <v>496</v>
      </c>
      <c r="G54" s="176"/>
      <c r="H54" s="171">
        <v>300.0</v>
      </c>
      <c r="I54" s="171">
        <v>150.0</v>
      </c>
      <c r="J54" s="391">
        <f t="shared" si="2"/>
        <v>0.009227996674</v>
      </c>
      <c r="K54" s="392">
        <f t="shared" si="3"/>
        <v>4.890838237</v>
      </c>
      <c r="L54" s="327">
        <f t="shared" si="4"/>
        <v>20.79315191</v>
      </c>
      <c r="M54" s="321" t="str">
        <f t="shared" si="5"/>
        <v>cranders71</v>
      </c>
      <c r="N54" s="176">
        <f>IFERROR(__xludf.DUMMYFUNCTION("""COMPUTED_VALUE"""),2.0)</f>
        <v>2</v>
      </c>
      <c r="O54" s="176"/>
      <c r="P54" s="176"/>
      <c r="Q54" s="176"/>
      <c r="R54" s="176"/>
      <c r="S54" s="176"/>
      <c r="T54" s="176"/>
      <c r="U54" s="176"/>
      <c r="V54" s="176"/>
      <c r="W54" s="176"/>
      <c r="X54" s="176"/>
      <c r="Y54" s="176"/>
      <c r="Z54" s="176"/>
    </row>
    <row r="55">
      <c r="A55" s="226" t="s">
        <v>5</v>
      </c>
      <c r="B55" s="226" t="s">
        <v>18</v>
      </c>
      <c r="C55" s="250" t="s">
        <v>3581</v>
      </c>
      <c r="D55" s="268" t="s">
        <v>495</v>
      </c>
      <c r="E55" s="251">
        <v>44147.0</v>
      </c>
      <c r="F55" s="250" t="s">
        <v>496</v>
      </c>
      <c r="G55" s="243"/>
      <c r="H55" s="171">
        <v>120.0</v>
      </c>
      <c r="I55" s="171">
        <v>80.0</v>
      </c>
      <c r="J55" s="391">
        <f t="shared" si="2"/>
        <v>0.004155666853</v>
      </c>
      <c r="K55" s="392">
        <f t="shared" si="3"/>
        <v>2.202503432</v>
      </c>
      <c r="L55" s="327">
        <f t="shared" si="4"/>
        <v>20.79315191</v>
      </c>
      <c r="M55" s="321" t="str">
        <f t="shared" si="5"/>
        <v>cranders71</v>
      </c>
      <c r="N55" s="176">
        <f>IFERROR(__xludf.DUMMYFUNCTION("""COMPUTED_VALUE"""),3.0)</f>
        <v>3</v>
      </c>
      <c r="O55" s="176"/>
      <c r="P55" s="176"/>
      <c r="Q55" s="176"/>
      <c r="R55" s="176"/>
      <c r="S55" s="176"/>
      <c r="T55" s="176"/>
      <c r="U55" s="176"/>
      <c r="V55" s="176"/>
      <c r="W55" s="176"/>
      <c r="X55" s="176"/>
      <c r="Y55" s="176"/>
      <c r="Z55" s="176"/>
    </row>
    <row r="56">
      <c r="A56" s="226" t="s">
        <v>5</v>
      </c>
      <c r="B56" s="226" t="s">
        <v>18</v>
      </c>
      <c r="C56" s="250" t="s">
        <v>3602</v>
      </c>
      <c r="D56" s="268" t="s">
        <v>495</v>
      </c>
      <c r="E56" s="251">
        <v>44147.0</v>
      </c>
      <c r="F56" s="250" t="s">
        <v>496</v>
      </c>
      <c r="G56" s="243"/>
      <c r="H56" s="171">
        <v>100.0</v>
      </c>
      <c r="I56" s="171">
        <v>60.0</v>
      </c>
      <c r="J56" s="391">
        <f t="shared" si="2"/>
        <v>0.003308232983</v>
      </c>
      <c r="K56" s="392">
        <f t="shared" si="3"/>
        <v>1.753363481</v>
      </c>
      <c r="L56" s="327">
        <f t="shared" si="4"/>
        <v>20.79315191</v>
      </c>
      <c r="M56" s="321" t="str">
        <f t="shared" si="5"/>
        <v>cranders71</v>
      </c>
      <c r="N56" s="176">
        <f>IFERROR(__xludf.DUMMYFUNCTION("""COMPUTED_VALUE"""),4.0)</f>
        <v>4</v>
      </c>
      <c r="O56" s="176"/>
      <c r="P56" s="176"/>
      <c r="Q56" s="176"/>
      <c r="R56" s="176"/>
      <c r="S56" s="176"/>
      <c r="T56" s="176"/>
      <c r="U56" s="176"/>
      <c r="V56" s="176"/>
      <c r="W56" s="176"/>
      <c r="X56" s="176"/>
      <c r="Y56" s="176"/>
      <c r="Z56" s="176"/>
    </row>
    <row r="57">
      <c r="A57" s="226" t="s">
        <v>5</v>
      </c>
      <c r="B57" s="226" t="s">
        <v>590</v>
      </c>
      <c r="C57" s="250" t="s">
        <v>3571</v>
      </c>
      <c r="D57" s="268" t="s">
        <v>495</v>
      </c>
      <c r="E57" s="251">
        <v>44155.0</v>
      </c>
      <c r="F57" s="250" t="s">
        <v>496</v>
      </c>
      <c r="G57" s="176"/>
      <c r="H57" s="171">
        <v>70.0</v>
      </c>
      <c r="I57" s="171">
        <v>60.0</v>
      </c>
      <c r="J57" s="391">
        <f t="shared" si="2"/>
        <v>0.002733784454</v>
      </c>
      <c r="K57" s="392">
        <f t="shared" si="3"/>
        <v>1.44890576</v>
      </c>
      <c r="L57" s="327">
        <f t="shared" si="4"/>
        <v>20.79315191</v>
      </c>
      <c r="M57" s="321" t="str">
        <f t="shared" si="5"/>
        <v>cranders71</v>
      </c>
      <c r="N57" s="176">
        <f>IFERROR(__xludf.DUMMYFUNCTION("""COMPUTED_VALUE"""),5.0)</f>
        <v>5</v>
      </c>
      <c r="O57" s="176"/>
      <c r="P57" s="176"/>
      <c r="Q57" s="176"/>
      <c r="R57" s="176"/>
      <c r="S57" s="176"/>
      <c r="T57" s="176"/>
      <c r="U57" s="176"/>
      <c r="V57" s="176"/>
      <c r="W57" s="176"/>
      <c r="X57" s="176"/>
      <c r="Y57" s="176"/>
      <c r="Z57" s="176"/>
    </row>
    <row r="58">
      <c r="A58" s="226" t="s">
        <v>5</v>
      </c>
      <c r="B58" s="226" t="s">
        <v>18</v>
      </c>
      <c r="C58" s="250" t="s">
        <v>3578</v>
      </c>
      <c r="D58" s="268" t="s">
        <v>495</v>
      </c>
      <c r="E58" s="251">
        <v>44152.0</v>
      </c>
      <c r="F58" s="250" t="s">
        <v>496</v>
      </c>
      <c r="G58" s="176"/>
      <c r="H58" s="171">
        <v>45.0</v>
      </c>
      <c r="I58" s="171">
        <v>30.0</v>
      </c>
      <c r="J58" s="391">
        <f t="shared" si="2"/>
        <v>0.00155837507</v>
      </c>
      <c r="K58" s="392">
        <f t="shared" si="3"/>
        <v>0.8259387871</v>
      </c>
      <c r="L58" s="327">
        <f t="shared" si="4"/>
        <v>20.79315191</v>
      </c>
      <c r="M58" s="321" t="str">
        <f t="shared" si="5"/>
        <v>cranders71</v>
      </c>
      <c r="N58" s="176">
        <f>IFERROR(__xludf.DUMMYFUNCTION("""COMPUTED_VALUE"""),6.0)</f>
        <v>6</v>
      </c>
      <c r="O58" s="176"/>
      <c r="P58" s="176"/>
      <c r="Q58" s="176"/>
      <c r="R58" s="176"/>
      <c r="S58" s="176"/>
      <c r="T58" s="176"/>
      <c r="U58" s="176"/>
      <c r="V58" s="176"/>
      <c r="W58" s="176"/>
      <c r="X58" s="176"/>
      <c r="Y58" s="176"/>
      <c r="Z58" s="176"/>
    </row>
    <row r="59">
      <c r="A59" s="226" t="s">
        <v>5</v>
      </c>
      <c r="B59" s="226" t="s">
        <v>18</v>
      </c>
      <c r="C59" s="250" t="s">
        <v>3575</v>
      </c>
      <c r="D59" s="268" t="s">
        <v>495</v>
      </c>
      <c r="E59" s="361">
        <v>44141.0</v>
      </c>
      <c r="F59" s="250" t="s">
        <v>496</v>
      </c>
      <c r="G59" s="243"/>
      <c r="H59" s="171">
        <v>30.0</v>
      </c>
      <c r="I59" s="171">
        <v>30.0</v>
      </c>
      <c r="J59" s="391">
        <f t="shared" si="2"/>
        <v>0.001271150805</v>
      </c>
      <c r="K59" s="392">
        <f t="shared" si="3"/>
        <v>0.6737099268</v>
      </c>
      <c r="L59" s="327">
        <f t="shared" si="4"/>
        <v>20.79315191</v>
      </c>
      <c r="M59" s="321" t="str">
        <f t="shared" si="5"/>
        <v>cranders71</v>
      </c>
      <c r="N59" s="176">
        <f>IFERROR(__xludf.DUMMYFUNCTION("""COMPUTED_VALUE"""),7.0)</f>
        <v>7</v>
      </c>
      <c r="O59" s="176"/>
      <c r="P59" s="176"/>
      <c r="Q59" s="176"/>
      <c r="R59" s="176"/>
      <c r="S59" s="176"/>
      <c r="T59" s="176"/>
      <c r="U59" s="176"/>
      <c r="V59" s="176"/>
      <c r="W59" s="176"/>
      <c r="X59" s="176"/>
      <c r="Y59" s="176"/>
      <c r="Z59" s="176"/>
    </row>
    <row r="60">
      <c r="A60" s="226" t="s">
        <v>5</v>
      </c>
      <c r="B60" s="226" t="s">
        <v>868</v>
      </c>
      <c r="C60" s="250" t="s">
        <v>3568</v>
      </c>
      <c r="D60" s="268" t="s">
        <v>495</v>
      </c>
      <c r="E60" s="251">
        <v>44148.0</v>
      </c>
      <c r="F60" s="250" t="s">
        <v>496</v>
      </c>
      <c r="G60" s="176"/>
      <c r="H60" s="171">
        <v>30.0</v>
      </c>
      <c r="I60" s="171">
        <v>30.0</v>
      </c>
      <c r="J60" s="391">
        <f t="shared" si="2"/>
        <v>0.001271150805</v>
      </c>
      <c r="K60" s="392">
        <f t="shared" si="3"/>
        <v>0.6737099268</v>
      </c>
      <c r="L60" s="327">
        <f t="shared" si="4"/>
        <v>20.79315191</v>
      </c>
      <c r="M60" s="321" t="str">
        <f t="shared" si="5"/>
        <v>cranders71</v>
      </c>
      <c r="N60" s="176">
        <f>IFERROR(__xludf.DUMMYFUNCTION("""COMPUTED_VALUE"""),8.0)</f>
        <v>8</v>
      </c>
      <c r="O60" s="176"/>
      <c r="P60" s="176"/>
      <c r="Q60" s="176"/>
      <c r="R60" s="176"/>
      <c r="S60" s="176"/>
      <c r="T60" s="176"/>
      <c r="U60" s="176"/>
      <c r="V60" s="176"/>
      <c r="W60" s="176"/>
      <c r="X60" s="176"/>
      <c r="Y60" s="176"/>
      <c r="Z60" s="176"/>
    </row>
    <row r="61">
      <c r="A61" s="226" t="s">
        <v>5</v>
      </c>
      <c r="B61" s="226" t="s">
        <v>590</v>
      </c>
      <c r="C61" s="250" t="s">
        <v>3582</v>
      </c>
      <c r="D61" s="268" t="s">
        <v>495</v>
      </c>
      <c r="E61" s="251">
        <v>44152.0</v>
      </c>
      <c r="F61" s="250" t="s">
        <v>496</v>
      </c>
      <c r="G61" s="176"/>
      <c r="H61" s="171">
        <v>20.0</v>
      </c>
      <c r="I61" s="171">
        <v>30.0</v>
      </c>
      <c r="J61" s="391">
        <f t="shared" si="2"/>
        <v>0.001079667962</v>
      </c>
      <c r="K61" s="392">
        <f t="shared" si="3"/>
        <v>0.5722240199</v>
      </c>
      <c r="L61" s="327">
        <f t="shared" si="4"/>
        <v>20.79315191</v>
      </c>
      <c r="M61" s="321" t="str">
        <f t="shared" si="5"/>
        <v>cranders71</v>
      </c>
      <c r="N61" s="176">
        <f>IFERROR(__xludf.DUMMYFUNCTION("""COMPUTED_VALUE"""),9.0)</f>
        <v>9</v>
      </c>
      <c r="O61" s="176"/>
      <c r="P61" s="176"/>
      <c r="Q61" s="176"/>
      <c r="R61" s="176"/>
      <c r="S61" s="176"/>
      <c r="T61" s="176"/>
      <c r="U61" s="176"/>
      <c r="V61" s="176"/>
      <c r="W61" s="176"/>
      <c r="X61" s="176"/>
      <c r="Y61" s="176"/>
      <c r="Z61" s="176"/>
    </row>
    <row r="62">
      <c r="A62" s="226" t="s">
        <v>5</v>
      </c>
      <c r="B62" s="226" t="s">
        <v>845</v>
      </c>
      <c r="C62" s="250" t="s">
        <v>3603</v>
      </c>
      <c r="D62" s="268" t="s">
        <v>495</v>
      </c>
      <c r="E62" s="251">
        <v>44152.0</v>
      </c>
      <c r="F62" s="250" t="s">
        <v>496</v>
      </c>
      <c r="G62" s="171" t="s">
        <v>3361</v>
      </c>
      <c r="H62" s="171">
        <v>0.0</v>
      </c>
      <c r="I62" s="171">
        <v>0.0</v>
      </c>
      <c r="J62" s="391">
        <f t="shared" si="2"/>
        <v>0</v>
      </c>
      <c r="K62" s="392">
        <f t="shared" si="3"/>
        <v>0</v>
      </c>
      <c r="L62" s="327">
        <f t="shared" si="4"/>
        <v>20.79315191</v>
      </c>
      <c r="M62" s="321" t="str">
        <f t="shared" si="5"/>
        <v>cranders71</v>
      </c>
      <c r="N62" s="176">
        <f>IFERROR(__xludf.DUMMYFUNCTION("""COMPUTED_VALUE"""),10.0)</f>
        <v>10</v>
      </c>
      <c r="O62" s="176"/>
      <c r="P62" s="176"/>
      <c r="Q62" s="176"/>
      <c r="R62" s="176"/>
      <c r="S62" s="176"/>
      <c r="T62" s="176"/>
      <c r="U62" s="176"/>
      <c r="V62" s="176"/>
      <c r="W62" s="176"/>
      <c r="X62" s="176"/>
      <c r="Y62" s="176"/>
      <c r="Z62" s="176"/>
    </row>
    <row r="63">
      <c r="A63" s="226" t="s">
        <v>33</v>
      </c>
      <c r="B63" s="226" t="s">
        <v>590</v>
      </c>
      <c r="C63" s="250" t="s">
        <v>3604</v>
      </c>
      <c r="D63" s="268" t="s">
        <v>495</v>
      </c>
      <c r="E63" s="251">
        <v>44153.0</v>
      </c>
      <c r="F63" s="250" t="s">
        <v>496</v>
      </c>
      <c r="G63" s="176"/>
      <c r="H63" s="171">
        <v>300.0</v>
      </c>
      <c r="I63" s="171">
        <v>200.0</v>
      </c>
      <c r="J63" s="391">
        <f t="shared" si="2"/>
        <v>0.01038916713</v>
      </c>
      <c r="K63" s="392">
        <f t="shared" si="3"/>
        <v>5.506258581</v>
      </c>
      <c r="L63" s="327">
        <f t="shared" si="4"/>
        <v>20.07299321</v>
      </c>
      <c r="M63" s="321" t="str">
        <f t="shared" si="5"/>
        <v>vegayp</v>
      </c>
      <c r="N63" s="176">
        <f>IFERROR(__xludf.DUMMYFUNCTION("""COMPUTED_VALUE"""),1.0)</f>
        <v>1</v>
      </c>
      <c r="O63" s="176"/>
      <c r="P63" s="176"/>
      <c r="Q63" s="176"/>
      <c r="R63" s="176"/>
      <c r="S63" s="176"/>
      <c r="T63" s="176"/>
      <c r="U63" s="176"/>
      <c r="V63" s="176"/>
      <c r="W63" s="176"/>
      <c r="X63" s="176"/>
      <c r="Y63" s="176"/>
      <c r="Z63" s="176"/>
    </row>
    <row r="64">
      <c r="A64" s="226" t="s">
        <v>33</v>
      </c>
      <c r="B64" s="226" t="s">
        <v>590</v>
      </c>
      <c r="C64" s="250" t="s">
        <v>3605</v>
      </c>
      <c r="D64" s="268" t="s">
        <v>495</v>
      </c>
      <c r="E64" s="251">
        <v>44148.0</v>
      </c>
      <c r="F64" s="250" t="s">
        <v>496</v>
      </c>
      <c r="G64" s="176"/>
      <c r="H64" s="171">
        <v>300.0</v>
      </c>
      <c r="I64" s="171">
        <v>100.0</v>
      </c>
      <c r="J64" s="391">
        <f t="shared" si="2"/>
        <v>0.008066826214</v>
      </c>
      <c r="K64" s="392">
        <f t="shared" si="3"/>
        <v>4.275417893</v>
      </c>
      <c r="L64" s="327">
        <f t="shared" si="4"/>
        <v>20.07299321</v>
      </c>
      <c r="M64" s="321" t="str">
        <f t="shared" si="5"/>
        <v>vegayp</v>
      </c>
      <c r="N64" s="176">
        <f>IFERROR(__xludf.DUMMYFUNCTION("""COMPUTED_VALUE"""),2.0)</f>
        <v>2</v>
      </c>
      <c r="O64" s="176"/>
      <c r="P64" s="176"/>
      <c r="Q64" s="176"/>
      <c r="R64" s="176"/>
      <c r="S64" s="176"/>
      <c r="T64" s="176"/>
      <c r="U64" s="176"/>
      <c r="V64" s="176"/>
      <c r="W64" s="176"/>
      <c r="X64" s="176"/>
      <c r="Y64" s="176"/>
      <c r="Z64" s="176"/>
    </row>
    <row r="65">
      <c r="A65" s="226" t="s">
        <v>33</v>
      </c>
      <c r="B65" s="226" t="s">
        <v>18</v>
      </c>
      <c r="C65" s="250" t="s">
        <v>3581</v>
      </c>
      <c r="D65" s="268" t="s">
        <v>495</v>
      </c>
      <c r="E65" s="251">
        <v>44147.0</v>
      </c>
      <c r="F65" s="250" t="s">
        <v>496</v>
      </c>
      <c r="G65" s="243"/>
      <c r="H65" s="171">
        <v>120.0</v>
      </c>
      <c r="I65" s="171">
        <v>80.0</v>
      </c>
      <c r="J65" s="391">
        <f t="shared" si="2"/>
        <v>0.004155666853</v>
      </c>
      <c r="K65" s="392">
        <f t="shared" si="3"/>
        <v>2.202503432</v>
      </c>
      <c r="L65" s="327">
        <f t="shared" si="4"/>
        <v>20.07299321</v>
      </c>
      <c r="M65" s="321" t="str">
        <f t="shared" si="5"/>
        <v>vegayp</v>
      </c>
      <c r="N65" s="176">
        <f>IFERROR(__xludf.DUMMYFUNCTION("""COMPUTED_VALUE"""),3.0)</f>
        <v>3</v>
      </c>
      <c r="O65" s="176"/>
      <c r="P65" s="176"/>
      <c r="Q65" s="176"/>
      <c r="R65" s="176"/>
      <c r="S65" s="176"/>
      <c r="T65" s="176"/>
      <c r="U65" s="176"/>
      <c r="V65" s="176"/>
      <c r="W65" s="176"/>
      <c r="X65" s="176"/>
      <c r="Y65" s="176"/>
      <c r="Z65" s="176"/>
    </row>
    <row r="66">
      <c r="A66" s="226" t="s">
        <v>33</v>
      </c>
      <c r="B66" s="226" t="s">
        <v>590</v>
      </c>
      <c r="C66" s="250" t="s">
        <v>3579</v>
      </c>
      <c r="D66" s="268" t="s">
        <v>495</v>
      </c>
      <c r="E66" s="251">
        <v>44153.0</v>
      </c>
      <c r="F66" s="250" t="s">
        <v>496</v>
      </c>
      <c r="G66" s="176"/>
      <c r="H66" s="171">
        <v>120.0</v>
      </c>
      <c r="I66" s="171">
        <v>80.0</v>
      </c>
      <c r="J66" s="391">
        <f t="shared" si="2"/>
        <v>0.004155666853</v>
      </c>
      <c r="K66" s="392">
        <f t="shared" si="3"/>
        <v>2.202503432</v>
      </c>
      <c r="L66" s="327">
        <f t="shared" si="4"/>
        <v>20.07299321</v>
      </c>
      <c r="M66" s="321" t="str">
        <f t="shared" si="5"/>
        <v>vegayp</v>
      </c>
      <c r="N66" s="176">
        <f>IFERROR(__xludf.DUMMYFUNCTION("""COMPUTED_VALUE"""),4.0)</f>
        <v>4</v>
      </c>
      <c r="O66" s="176"/>
      <c r="P66" s="176"/>
      <c r="Q66" s="176"/>
      <c r="R66" s="176"/>
      <c r="S66" s="176"/>
      <c r="T66" s="176"/>
      <c r="U66" s="176"/>
      <c r="V66" s="176"/>
      <c r="W66" s="176"/>
      <c r="X66" s="176"/>
      <c r="Y66" s="176"/>
      <c r="Z66" s="176"/>
    </row>
    <row r="67">
      <c r="A67" s="226" t="s">
        <v>33</v>
      </c>
      <c r="B67" s="226" t="s">
        <v>590</v>
      </c>
      <c r="C67" s="250" t="s">
        <v>3606</v>
      </c>
      <c r="D67" s="268" t="s">
        <v>495</v>
      </c>
      <c r="E67" s="251">
        <v>44153.0</v>
      </c>
      <c r="F67" s="250" t="s">
        <v>496</v>
      </c>
      <c r="G67" s="176"/>
      <c r="H67" s="171">
        <v>100.0</v>
      </c>
      <c r="I67" s="171">
        <v>80.0</v>
      </c>
      <c r="J67" s="391">
        <f t="shared" si="2"/>
        <v>0.003772701167</v>
      </c>
      <c r="K67" s="392">
        <f t="shared" si="3"/>
        <v>1.999531619</v>
      </c>
      <c r="L67" s="327">
        <f t="shared" si="4"/>
        <v>20.07299321</v>
      </c>
      <c r="M67" s="321" t="str">
        <f t="shared" si="5"/>
        <v>vegayp</v>
      </c>
      <c r="N67" s="176">
        <f>IFERROR(__xludf.DUMMYFUNCTION("""COMPUTED_VALUE"""),5.0)</f>
        <v>5</v>
      </c>
      <c r="O67" s="176"/>
      <c r="P67" s="176"/>
      <c r="Q67" s="176"/>
      <c r="R67" s="176"/>
      <c r="S67" s="176"/>
      <c r="T67" s="176"/>
      <c r="U67" s="176"/>
      <c r="V67" s="176"/>
      <c r="W67" s="176"/>
      <c r="X67" s="176"/>
      <c r="Y67" s="176"/>
      <c r="Z67" s="176"/>
    </row>
    <row r="68">
      <c r="A68" s="226" t="s">
        <v>33</v>
      </c>
      <c r="B68" s="226" t="s">
        <v>5</v>
      </c>
      <c r="C68" s="250" t="s">
        <v>3607</v>
      </c>
      <c r="D68" s="268" t="s">
        <v>495</v>
      </c>
      <c r="E68" s="251">
        <v>44151.0</v>
      </c>
      <c r="F68" s="250" t="s">
        <v>496</v>
      </c>
      <c r="G68" s="176"/>
      <c r="H68" s="171">
        <v>100.0</v>
      </c>
      <c r="I68" s="171">
        <v>60.0</v>
      </c>
      <c r="J68" s="391">
        <f t="shared" si="2"/>
        <v>0.003308232983</v>
      </c>
      <c r="K68" s="392">
        <f t="shared" si="3"/>
        <v>1.753363481</v>
      </c>
      <c r="L68" s="327">
        <f t="shared" si="4"/>
        <v>20.07299321</v>
      </c>
      <c r="M68" s="321" t="str">
        <f t="shared" si="5"/>
        <v>vegayp</v>
      </c>
      <c r="N68" s="176">
        <f>IFERROR(__xludf.DUMMYFUNCTION("""COMPUTED_VALUE"""),6.0)</f>
        <v>6</v>
      </c>
      <c r="O68" s="176"/>
      <c r="P68" s="176"/>
      <c r="Q68" s="176"/>
      <c r="R68" s="176"/>
      <c r="S68" s="176"/>
      <c r="T68" s="176"/>
      <c r="U68" s="176"/>
      <c r="V68" s="176"/>
      <c r="W68" s="176"/>
      <c r="X68" s="176"/>
      <c r="Y68" s="176"/>
      <c r="Z68" s="176"/>
    </row>
    <row r="69">
      <c r="A69" s="226" t="s">
        <v>33</v>
      </c>
      <c r="B69" s="226" t="s">
        <v>5</v>
      </c>
      <c r="C69" s="250" t="s">
        <v>3608</v>
      </c>
      <c r="D69" s="268" t="s">
        <v>495</v>
      </c>
      <c r="E69" s="251">
        <v>44152.0</v>
      </c>
      <c r="F69" s="250" t="s">
        <v>496</v>
      </c>
      <c r="G69" s="176"/>
      <c r="H69" s="171">
        <v>60.0</v>
      </c>
      <c r="I69" s="171">
        <v>60.0</v>
      </c>
      <c r="J69" s="391">
        <f t="shared" si="2"/>
        <v>0.002542301611</v>
      </c>
      <c r="K69" s="392">
        <f t="shared" si="3"/>
        <v>1.347419854</v>
      </c>
      <c r="L69" s="327">
        <f t="shared" si="4"/>
        <v>20.07299321</v>
      </c>
      <c r="M69" s="321" t="str">
        <f t="shared" si="5"/>
        <v>vegayp</v>
      </c>
      <c r="N69" s="176">
        <f>IFERROR(__xludf.DUMMYFUNCTION("""COMPUTED_VALUE"""),7.0)</f>
        <v>7</v>
      </c>
      <c r="O69" s="176"/>
      <c r="P69" s="176"/>
      <c r="Q69" s="176"/>
      <c r="R69" s="176"/>
      <c r="S69" s="176"/>
      <c r="T69" s="176"/>
      <c r="U69" s="176"/>
      <c r="V69" s="176"/>
      <c r="W69" s="176"/>
      <c r="X69" s="176"/>
      <c r="Y69" s="176"/>
      <c r="Z69" s="176"/>
    </row>
    <row r="70">
      <c r="A70" s="226" t="s">
        <v>33</v>
      </c>
      <c r="B70" s="226" t="s">
        <v>590</v>
      </c>
      <c r="C70" s="250" t="s">
        <v>3571</v>
      </c>
      <c r="D70" s="268" t="s">
        <v>495</v>
      </c>
      <c r="E70" s="251">
        <v>44155.0</v>
      </c>
      <c r="F70" s="250" t="s">
        <v>496</v>
      </c>
      <c r="G70" s="176"/>
      <c r="H70" s="171">
        <v>30.0</v>
      </c>
      <c r="I70" s="171">
        <v>30.0</v>
      </c>
      <c r="J70" s="391">
        <f t="shared" si="2"/>
        <v>0.001271150805</v>
      </c>
      <c r="K70" s="392">
        <f t="shared" si="3"/>
        <v>0.6737099268</v>
      </c>
      <c r="L70" s="327">
        <f t="shared" si="4"/>
        <v>20.07299321</v>
      </c>
      <c r="M70" s="321" t="str">
        <f t="shared" si="5"/>
        <v>vegayp</v>
      </c>
      <c r="N70" s="176">
        <f>IFERROR(__xludf.DUMMYFUNCTION("""COMPUTED_VALUE"""),8.0)</f>
        <v>8</v>
      </c>
      <c r="O70" s="176"/>
      <c r="P70" s="176"/>
      <c r="Q70" s="176"/>
      <c r="R70" s="176"/>
      <c r="S70" s="176"/>
      <c r="T70" s="176"/>
      <c r="U70" s="176"/>
      <c r="V70" s="176"/>
      <c r="W70" s="176"/>
      <c r="X70" s="176"/>
      <c r="Y70" s="176"/>
      <c r="Z70" s="176"/>
    </row>
    <row r="71">
      <c r="A71" s="226" t="s">
        <v>33</v>
      </c>
      <c r="B71" s="226" t="s">
        <v>5</v>
      </c>
      <c r="C71" s="250" t="s">
        <v>3609</v>
      </c>
      <c r="D71" s="268" t="s">
        <v>495</v>
      </c>
      <c r="E71" s="251">
        <v>44151.0</v>
      </c>
      <c r="F71" s="250" t="s">
        <v>496</v>
      </c>
      <c r="G71" s="176"/>
      <c r="H71" s="171">
        <v>5.0</v>
      </c>
      <c r="I71" s="171">
        <v>5.0</v>
      </c>
      <c r="J71" s="391">
        <f t="shared" si="2"/>
        <v>0.0002118584676</v>
      </c>
      <c r="K71" s="392">
        <f t="shared" si="3"/>
        <v>0.1122849878</v>
      </c>
      <c r="L71" s="327">
        <f t="shared" si="4"/>
        <v>20.07299321</v>
      </c>
      <c r="M71" s="321" t="str">
        <f t="shared" si="5"/>
        <v>vegayp</v>
      </c>
      <c r="N71" s="176">
        <f>IFERROR(__xludf.DUMMYFUNCTION("""COMPUTED_VALUE"""),9.0)</f>
        <v>9</v>
      </c>
      <c r="O71" s="176"/>
      <c r="P71" s="176"/>
      <c r="Q71" s="176"/>
      <c r="R71" s="176"/>
      <c r="S71" s="176"/>
      <c r="T71" s="176"/>
      <c r="U71" s="176"/>
      <c r="V71" s="176"/>
      <c r="W71" s="176"/>
      <c r="X71" s="176"/>
      <c r="Y71" s="176"/>
      <c r="Z71" s="176"/>
    </row>
    <row r="72">
      <c r="A72" s="226" t="s">
        <v>33</v>
      </c>
      <c r="B72" s="226" t="s">
        <v>845</v>
      </c>
      <c r="C72" s="250" t="s">
        <v>3603</v>
      </c>
      <c r="D72" s="268" t="s">
        <v>495</v>
      </c>
      <c r="E72" s="251">
        <v>44152.0</v>
      </c>
      <c r="F72" s="250" t="s">
        <v>496</v>
      </c>
      <c r="G72" s="171" t="s">
        <v>3361</v>
      </c>
      <c r="H72" s="171">
        <v>0.0</v>
      </c>
      <c r="I72" s="171">
        <v>0.0</v>
      </c>
      <c r="J72" s="391">
        <f t="shared" si="2"/>
        <v>0</v>
      </c>
      <c r="K72" s="392">
        <f t="shared" si="3"/>
        <v>0</v>
      </c>
      <c r="L72" s="327">
        <f t="shared" si="4"/>
        <v>20.07299321</v>
      </c>
      <c r="M72" s="321" t="str">
        <f t="shared" si="5"/>
        <v>vegayp</v>
      </c>
      <c r="N72" s="176">
        <f>IFERROR(__xludf.DUMMYFUNCTION("""COMPUTED_VALUE"""),10.0)</f>
        <v>10</v>
      </c>
      <c r="O72" s="176"/>
      <c r="P72" s="176"/>
      <c r="Q72" s="176"/>
      <c r="R72" s="176"/>
      <c r="S72" s="176"/>
      <c r="T72" s="176"/>
      <c r="U72" s="176"/>
      <c r="V72" s="176"/>
      <c r="W72" s="176"/>
      <c r="X72" s="176"/>
      <c r="Y72" s="176"/>
      <c r="Z72" s="176"/>
    </row>
    <row r="73">
      <c r="A73" s="226" t="s">
        <v>7</v>
      </c>
      <c r="B73" s="226" t="s">
        <v>519</v>
      </c>
      <c r="C73" s="250" t="s">
        <v>3610</v>
      </c>
      <c r="D73" s="268" t="s">
        <v>495</v>
      </c>
      <c r="E73" s="251">
        <v>44147.0</v>
      </c>
      <c r="F73" s="250" t="s">
        <v>496</v>
      </c>
      <c r="G73" s="243"/>
      <c r="H73" s="171">
        <v>300.0</v>
      </c>
      <c r="I73" s="171">
        <v>250.0</v>
      </c>
      <c r="J73" s="391">
        <f t="shared" si="2"/>
        <v>0.01155033759</v>
      </c>
      <c r="K73" s="392">
        <f t="shared" si="3"/>
        <v>6.121678924</v>
      </c>
      <c r="L73" s="327">
        <f t="shared" si="4"/>
        <v>17.13965926</v>
      </c>
      <c r="M73" s="321" t="str">
        <f t="shared" si="5"/>
        <v>ygganderson</v>
      </c>
      <c r="N73" s="176">
        <f>IFERROR(__xludf.DUMMYFUNCTION("""COMPUTED_VALUE"""),1.0)</f>
        <v>1</v>
      </c>
      <c r="O73" s="176"/>
      <c r="P73" s="176"/>
      <c r="Q73" s="176"/>
      <c r="R73" s="176"/>
      <c r="S73" s="176"/>
      <c r="T73" s="176"/>
      <c r="U73" s="176"/>
      <c r="V73" s="176"/>
      <c r="W73" s="176"/>
      <c r="X73" s="176"/>
      <c r="Y73" s="176"/>
      <c r="Z73" s="176"/>
    </row>
    <row r="74">
      <c r="A74" s="226" t="s">
        <v>7</v>
      </c>
      <c r="B74" s="226" t="s">
        <v>867</v>
      </c>
      <c r="C74" s="250" t="s">
        <v>3611</v>
      </c>
      <c r="D74" s="268" t="s">
        <v>495</v>
      </c>
      <c r="E74" s="251">
        <v>44146.0</v>
      </c>
      <c r="F74" s="250" t="s">
        <v>496</v>
      </c>
      <c r="G74" s="243"/>
      <c r="H74" s="171">
        <v>100.0</v>
      </c>
      <c r="I74" s="171">
        <v>150.0</v>
      </c>
      <c r="J74" s="391">
        <f t="shared" si="2"/>
        <v>0.005398339811</v>
      </c>
      <c r="K74" s="392">
        <f t="shared" si="3"/>
        <v>2.8611201</v>
      </c>
      <c r="L74" s="327">
        <f t="shared" si="4"/>
        <v>17.13965926</v>
      </c>
      <c r="M74" s="321" t="str">
        <f t="shared" si="5"/>
        <v>ygganderson</v>
      </c>
      <c r="N74" s="176">
        <f>IFERROR(__xludf.DUMMYFUNCTION("""COMPUTED_VALUE"""),2.0)</f>
        <v>2</v>
      </c>
      <c r="O74" s="176"/>
      <c r="P74" s="176"/>
      <c r="Q74" s="176"/>
      <c r="R74" s="176"/>
      <c r="S74" s="176"/>
      <c r="T74" s="176"/>
      <c r="U74" s="176"/>
      <c r="V74" s="176"/>
      <c r="W74" s="176"/>
      <c r="X74" s="176"/>
      <c r="Y74" s="176"/>
      <c r="Z74" s="176"/>
    </row>
    <row r="75">
      <c r="A75" s="226" t="s">
        <v>7</v>
      </c>
      <c r="B75" s="226" t="s">
        <v>1228</v>
      </c>
      <c r="C75" s="250" t="s">
        <v>3572</v>
      </c>
      <c r="D75" s="268" t="s">
        <v>495</v>
      </c>
      <c r="E75" s="251">
        <v>44147.0</v>
      </c>
      <c r="F75" s="250" t="s">
        <v>496</v>
      </c>
      <c r="G75" s="243"/>
      <c r="H75" s="171">
        <v>100.0</v>
      </c>
      <c r="I75" s="171">
        <v>60.0</v>
      </c>
      <c r="J75" s="391">
        <f t="shared" si="2"/>
        <v>0.003308232983</v>
      </c>
      <c r="K75" s="392">
        <f t="shared" si="3"/>
        <v>1.753363481</v>
      </c>
      <c r="L75" s="327">
        <f t="shared" si="4"/>
        <v>17.13965926</v>
      </c>
      <c r="M75" s="321" t="str">
        <f t="shared" si="5"/>
        <v>ygganderson</v>
      </c>
      <c r="N75" s="176">
        <f>IFERROR(__xludf.DUMMYFUNCTION("""COMPUTED_VALUE"""),3.0)</f>
        <v>3</v>
      </c>
      <c r="O75" s="176"/>
      <c r="P75" s="176"/>
      <c r="Q75" s="176"/>
      <c r="R75" s="176"/>
      <c r="S75" s="176"/>
      <c r="T75" s="176"/>
      <c r="U75" s="176"/>
      <c r="V75" s="176"/>
      <c r="W75" s="176"/>
      <c r="X75" s="176"/>
      <c r="Y75" s="176"/>
      <c r="Z75" s="176"/>
    </row>
    <row r="76">
      <c r="A76" s="226" t="s">
        <v>7</v>
      </c>
      <c r="B76" s="226" t="s">
        <v>519</v>
      </c>
      <c r="C76" s="250" t="s">
        <v>3593</v>
      </c>
      <c r="D76" s="268" t="s">
        <v>495</v>
      </c>
      <c r="E76" s="251">
        <v>44154.0</v>
      </c>
      <c r="F76" s="250" t="s">
        <v>496</v>
      </c>
      <c r="G76" s="176"/>
      <c r="H76" s="171">
        <v>100.0</v>
      </c>
      <c r="I76" s="171">
        <v>60.0</v>
      </c>
      <c r="J76" s="391">
        <f t="shared" si="2"/>
        <v>0.003308232983</v>
      </c>
      <c r="K76" s="392">
        <f t="shared" si="3"/>
        <v>1.753363481</v>
      </c>
      <c r="L76" s="327">
        <f t="shared" si="4"/>
        <v>17.13965926</v>
      </c>
      <c r="M76" s="321" t="str">
        <f t="shared" si="5"/>
        <v>ygganderson</v>
      </c>
      <c r="N76" s="176">
        <f>IFERROR(__xludf.DUMMYFUNCTION("""COMPUTED_VALUE"""),4.0)</f>
        <v>4</v>
      </c>
      <c r="O76" s="176"/>
      <c r="P76" s="176"/>
      <c r="Q76" s="176"/>
      <c r="R76" s="176"/>
      <c r="S76" s="176"/>
      <c r="T76" s="176"/>
      <c r="U76" s="176"/>
      <c r="V76" s="176"/>
      <c r="W76" s="176"/>
      <c r="X76" s="176"/>
      <c r="Y76" s="176"/>
      <c r="Z76" s="176"/>
    </row>
    <row r="77">
      <c r="A77" s="226" t="s">
        <v>7</v>
      </c>
      <c r="B77" s="226" t="s">
        <v>6</v>
      </c>
      <c r="C77" s="250" t="s">
        <v>3612</v>
      </c>
      <c r="D77" s="268" t="s">
        <v>495</v>
      </c>
      <c r="E77" s="251">
        <v>44151.0</v>
      </c>
      <c r="F77" s="250" t="s">
        <v>496</v>
      </c>
      <c r="G77" s="176"/>
      <c r="H77" s="171">
        <v>45.0</v>
      </c>
      <c r="I77" s="171">
        <v>100.0</v>
      </c>
      <c r="J77" s="391">
        <f t="shared" si="2"/>
        <v>0.003184013714</v>
      </c>
      <c r="K77" s="392">
        <f t="shared" si="3"/>
        <v>1.687527268</v>
      </c>
      <c r="L77" s="327">
        <f t="shared" si="4"/>
        <v>17.13965926</v>
      </c>
      <c r="M77" s="321" t="str">
        <f t="shared" si="5"/>
        <v>ygganderson</v>
      </c>
      <c r="N77" s="176">
        <f>IFERROR(__xludf.DUMMYFUNCTION("""COMPUTED_VALUE"""),5.0)</f>
        <v>5</v>
      </c>
      <c r="O77" s="176"/>
      <c r="P77" s="176"/>
      <c r="Q77" s="176"/>
      <c r="R77" s="176"/>
      <c r="S77" s="176"/>
      <c r="T77" s="176"/>
      <c r="U77" s="176"/>
      <c r="V77" s="176"/>
      <c r="W77" s="176"/>
      <c r="X77" s="176"/>
      <c r="Y77" s="176"/>
      <c r="Z77" s="176"/>
    </row>
    <row r="78">
      <c r="A78" s="226" t="s">
        <v>7</v>
      </c>
      <c r="B78" s="226" t="s">
        <v>18</v>
      </c>
      <c r="C78" s="250" t="s">
        <v>3581</v>
      </c>
      <c r="D78" s="268" t="s">
        <v>495</v>
      </c>
      <c r="E78" s="251">
        <v>44147.0</v>
      </c>
      <c r="F78" s="250" t="s">
        <v>496</v>
      </c>
      <c r="G78" s="243"/>
      <c r="H78" s="171">
        <v>30.0</v>
      </c>
      <c r="I78" s="171">
        <v>30.0</v>
      </c>
      <c r="J78" s="391">
        <f t="shared" si="2"/>
        <v>0.001271150805</v>
      </c>
      <c r="K78" s="392">
        <f t="shared" si="3"/>
        <v>0.6737099268</v>
      </c>
      <c r="L78" s="327">
        <f t="shared" si="4"/>
        <v>17.13965926</v>
      </c>
      <c r="M78" s="321" t="str">
        <f t="shared" si="5"/>
        <v>ygganderson</v>
      </c>
      <c r="N78" s="176">
        <f>IFERROR(__xludf.DUMMYFUNCTION("""COMPUTED_VALUE"""),6.0)</f>
        <v>6</v>
      </c>
      <c r="O78" s="176"/>
      <c r="P78" s="176"/>
      <c r="Q78" s="176"/>
      <c r="R78" s="176"/>
      <c r="S78" s="176"/>
      <c r="T78" s="176"/>
      <c r="U78" s="176"/>
      <c r="V78" s="176"/>
      <c r="W78" s="176"/>
      <c r="X78" s="176"/>
      <c r="Y78" s="176"/>
      <c r="Z78" s="176"/>
    </row>
    <row r="79">
      <c r="A79" s="226" t="s">
        <v>7</v>
      </c>
      <c r="B79" s="226" t="s">
        <v>5</v>
      </c>
      <c r="C79" s="250" t="s">
        <v>3573</v>
      </c>
      <c r="D79" s="268" t="s">
        <v>495</v>
      </c>
      <c r="E79" s="251">
        <v>44147.0</v>
      </c>
      <c r="F79" s="250" t="s">
        <v>496</v>
      </c>
      <c r="G79" s="176"/>
      <c r="H79" s="171">
        <v>30.0</v>
      </c>
      <c r="I79" s="171">
        <v>30.0</v>
      </c>
      <c r="J79" s="391">
        <f t="shared" si="2"/>
        <v>0.001271150805</v>
      </c>
      <c r="K79" s="392">
        <f t="shared" si="3"/>
        <v>0.6737099268</v>
      </c>
      <c r="L79" s="327">
        <f t="shared" si="4"/>
        <v>17.13965926</v>
      </c>
      <c r="M79" s="321" t="str">
        <f t="shared" si="5"/>
        <v>ygganderson</v>
      </c>
      <c r="N79" s="176">
        <f>IFERROR(__xludf.DUMMYFUNCTION("""COMPUTED_VALUE"""),7.0)</f>
        <v>7</v>
      </c>
      <c r="O79" s="176"/>
      <c r="P79" s="176"/>
      <c r="Q79" s="176"/>
      <c r="R79" s="176"/>
      <c r="S79" s="176"/>
      <c r="T79" s="176"/>
      <c r="U79" s="176"/>
      <c r="V79" s="176"/>
      <c r="W79" s="176"/>
      <c r="X79" s="176"/>
      <c r="Y79" s="176"/>
      <c r="Z79" s="176"/>
    </row>
    <row r="80">
      <c r="A80" s="165" t="s">
        <v>7</v>
      </c>
      <c r="B80" s="226" t="s">
        <v>590</v>
      </c>
      <c r="C80" s="250" t="s">
        <v>3582</v>
      </c>
      <c r="D80" s="268" t="s">
        <v>495</v>
      </c>
      <c r="E80" s="251">
        <v>44152.0</v>
      </c>
      <c r="F80" s="250" t="s">
        <v>496</v>
      </c>
      <c r="G80" s="176"/>
      <c r="H80" s="171">
        <v>20.0</v>
      </c>
      <c r="I80" s="171">
        <v>60.0</v>
      </c>
      <c r="J80" s="391">
        <f t="shared" si="2"/>
        <v>0.001776370238</v>
      </c>
      <c r="K80" s="392">
        <f t="shared" si="3"/>
        <v>0.9414762262</v>
      </c>
      <c r="L80" s="327">
        <f t="shared" si="4"/>
        <v>17.13965926</v>
      </c>
      <c r="M80" s="321" t="str">
        <f t="shared" si="5"/>
        <v>ygganderson</v>
      </c>
      <c r="N80" s="176">
        <f>IFERROR(__xludf.DUMMYFUNCTION("""COMPUTED_VALUE"""),8.0)</f>
        <v>8</v>
      </c>
      <c r="O80" s="176"/>
      <c r="P80" s="176"/>
      <c r="Q80" s="176"/>
      <c r="R80" s="176"/>
      <c r="S80" s="176"/>
      <c r="T80" s="176"/>
      <c r="U80" s="176"/>
      <c r="V80" s="176"/>
      <c r="W80" s="176"/>
      <c r="X80" s="176"/>
      <c r="Y80" s="176"/>
      <c r="Z80" s="176"/>
    </row>
    <row r="81">
      <c r="A81" s="165" t="s">
        <v>7</v>
      </c>
      <c r="B81" s="226" t="s">
        <v>590</v>
      </c>
      <c r="C81" s="250" t="s">
        <v>3571</v>
      </c>
      <c r="D81" s="268" t="s">
        <v>495</v>
      </c>
      <c r="E81" s="251">
        <v>44155.0</v>
      </c>
      <c r="F81" s="250" t="s">
        <v>496</v>
      </c>
      <c r="G81" s="176"/>
      <c r="H81" s="171">
        <v>30.0</v>
      </c>
      <c r="I81" s="171">
        <v>30.0</v>
      </c>
      <c r="J81" s="391">
        <f t="shared" si="2"/>
        <v>0.001271150805</v>
      </c>
      <c r="K81" s="392">
        <f t="shared" si="3"/>
        <v>0.6737099268</v>
      </c>
      <c r="L81" s="327">
        <f t="shared" si="4"/>
        <v>17.13965926</v>
      </c>
      <c r="M81" s="321" t="str">
        <f t="shared" si="5"/>
        <v>ygganderson</v>
      </c>
      <c r="N81" s="176">
        <f>IFERROR(__xludf.DUMMYFUNCTION("""COMPUTED_VALUE"""),9.0)</f>
        <v>9</v>
      </c>
      <c r="O81" s="176"/>
      <c r="P81" s="176"/>
      <c r="Q81" s="176"/>
      <c r="R81" s="176"/>
      <c r="S81" s="176"/>
      <c r="T81" s="176"/>
      <c r="U81" s="176"/>
      <c r="V81" s="176"/>
      <c r="W81" s="176"/>
      <c r="X81" s="176"/>
      <c r="Y81" s="176"/>
      <c r="Z81" s="176"/>
    </row>
    <row r="82">
      <c r="A82" s="226" t="s">
        <v>11</v>
      </c>
      <c r="B82" s="226" t="s">
        <v>868</v>
      </c>
      <c r="C82" s="250" t="s">
        <v>3613</v>
      </c>
      <c r="D82" s="268" t="s">
        <v>495</v>
      </c>
      <c r="E82" s="251">
        <v>44148.0</v>
      </c>
      <c r="F82" s="250" t="s">
        <v>496</v>
      </c>
      <c r="G82" s="176"/>
      <c r="H82" s="171">
        <v>200.0</v>
      </c>
      <c r="I82" s="171">
        <v>150.0</v>
      </c>
      <c r="J82" s="391">
        <f t="shared" si="2"/>
        <v>0.007313168242</v>
      </c>
      <c r="K82" s="392">
        <f t="shared" si="3"/>
        <v>3.875979168</v>
      </c>
      <c r="L82" s="327">
        <f t="shared" si="4"/>
        <v>15.93145846</v>
      </c>
      <c r="M82" s="321" t="str">
        <f t="shared" si="5"/>
        <v>mateodaza</v>
      </c>
      <c r="N82" s="176">
        <f>IFERROR(__xludf.DUMMYFUNCTION("""COMPUTED_VALUE"""),1.0)</f>
        <v>1</v>
      </c>
      <c r="O82" s="176"/>
      <c r="P82" s="176"/>
      <c r="Q82" s="176"/>
      <c r="R82" s="176"/>
      <c r="S82" s="176"/>
      <c r="T82" s="176"/>
      <c r="U82" s="176"/>
      <c r="V82" s="176"/>
      <c r="W82" s="176"/>
      <c r="X82" s="176"/>
      <c r="Y82" s="176"/>
      <c r="Z82" s="176"/>
    </row>
    <row r="83">
      <c r="A83" s="226" t="s">
        <v>11</v>
      </c>
      <c r="B83" s="226" t="s">
        <v>18</v>
      </c>
      <c r="C83" s="250" t="s">
        <v>3570</v>
      </c>
      <c r="D83" s="268" t="s">
        <v>495</v>
      </c>
      <c r="E83" s="251">
        <v>44147.0</v>
      </c>
      <c r="F83" s="250" t="s">
        <v>496</v>
      </c>
      <c r="G83" s="243"/>
      <c r="H83" s="171">
        <v>60.0</v>
      </c>
      <c r="I83" s="171">
        <v>100.0</v>
      </c>
      <c r="J83" s="391">
        <f t="shared" si="2"/>
        <v>0.003471237978</v>
      </c>
      <c r="K83" s="392">
        <f t="shared" si="3"/>
        <v>1.839756129</v>
      </c>
      <c r="L83" s="327">
        <f t="shared" si="4"/>
        <v>15.93145846</v>
      </c>
      <c r="M83" s="321" t="str">
        <f t="shared" si="5"/>
        <v>mateodaza</v>
      </c>
      <c r="N83" s="176">
        <f>IFERROR(__xludf.DUMMYFUNCTION("""COMPUTED_VALUE"""),2.0)</f>
        <v>2</v>
      </c>
      <c r="O83" s="176"/>
      <c r="P83" s="176"/>
      <c r="Q83" s="176"/>
      <c r="R83" s="176"/>
      <c r="S83" s="176"/>
      <c r="T83" s="176"/>
      <c r="U83" s="176"/>
      <c r="V83" s="176"/>
      <c r="W83" s="176"/>
      <c r="X83" s="176"/>
      <c r="Y83" s="176"/>
      <c r="Z83" s="176"/>
    </row>
    <row r="84">
      <c r="A84" s="226" t="s">
        <v>11</v>
      </c>
      <c r="B84" s="226" t="s">
        <v>590</v>
      </c>
      <c r="C84" s="250" t="s">
        <v>3571</v>
      </c>
      <c r="D84" s="268" t="s">
        <v>495</v>
      </c>
      <c r="E84" s="251">
        <v>44155.0</v>
      </c>
      <c r="F84" s="250" t="s">
        <v>496</v>
      </c>
      <c r="G84" s="176"/>
      <c r="H84" s="171">
        <v>100.0</v>
      </c>
      <c r="I84" s="171">
        <v>60.0</v>
      </c>
      <c r="J84" s="391">
        <f t="shared" si="2"/>
        <v>0.003308232983</v>
      </c>
      <c r="K84" s="392">
        <f t="shared" si="3"/>
        <v>1.753363481</v>
      </c>
      <c r="L84" s="327">
        <f t="shared" si="4"/>
        <v>15.93145846</v>
      </c>
      <c r="M84" s="321" t="str">
        <f t="shared" si="5"/>
        <v>mateodaza</v>
      </c>
      <c r="N84" s="176">
        <f>IFERROR(__xludf.DUMMYFUNCTION("""COMPUTED_VALUE"""),3.0)</f>
        <v>3</v>
      </c>
      <c r="O84" s="176"/>
      <c r="P84" s="176"/>
      <c r="Q84" s="176"/>
      <c r="R84" s="176"/>
      <c r="S84" s="176"/>
      <c r="T84" s="176"/>
      <c r="U84" s="176"/>
      <c r="V84" s="176"/>
      <c r="W84" s="176"/>
      <c r="X84" s="176"/>
      <c r="Y84" s="176"/>
      <c r="Z84" s="176"/>
    </row>
    <row r="85">
      <c r="A85" s="226" t="s">
        <v>11</v>
      </c>
      <c r="B85" s="226" t="s">
        <v>1228</v>
      </c>
      <c r="C85" s="250" t="s">
        <v>3566</v>
      </c>
      <c r="D85" s="268" t="s">
        <v>495</v>
      </c>
      <c r="E85" s="361">
        <v>44141.0</v>
      </c>
      <c r="F85" s="250" t="s">
        <v>496</v>
      </c>
      <c r="G85" s="243"/>
      <c r="H85" s="171">
        <v>120.0</v>
      </c>
      <c r="I85" s="171">
        <v>40.0</v>
      </c>
      <c r="J85" s="391">
        <f t="shared" si="2"/>
        <v>0.003226730486</v>
      </c>
      <c r="K85" s="392">
        <f t="shared" si="3"/>
        <v>1.710167157</v>
      </c>
      <c r="L85" s="327">
        <f t="shared" si="4"/>
        <v>15.93145846</v>
      </c>
      <c r="M85" s="321" t="str">
        <f t="shared" si="5"/>
        <v>mateodaza</v>
      </c>
      <c r="N85" s="176">
        <f>IFERROR(__xludf.DUMMYFUNCTION("""COMPUTED_VALUE"""),4.0)</f>
        <v>4</v>
      </c>
      <c r="O85" s="176"/>
      <c r="P85" s="176"/>
      <c r="Q85" s="176"/>
      <c r="R85" s="176"/>
      <c r="S85" s="176"/>
      <c r="T85" s="176"/>
      <c r="U85" s="176"/>
      <c r="V85" s="176"/>
      <c r="W85" s="176"/>
      <c r="X85" s="176"/>
      <c r="Y85" s="176"/>
      <c r="Z85" s="176"/>
    </row>
    <row r="86">
      <c r="A86" s="226" t="s">
        <v>11</v>
      </c>
      <c r="B86" s="226" t="s">
        <v>1228</v>
      </c>
      <c r="C86" s="250" t="s">
        <v>3587</v>
      </c>
      <c r="D86" s="268" t="s">
        <v>495</v>
      </c>
      <c r="E86" s="251">
        <v>44154.0</v>
      </c>
      <c r="F86" s="250" t="s">
        <v>496</v>
      </c>
      <c r="G86" s="176"/>
      <c r="H86" s="171">
        <v>100.0</v>
      </c>
      <c r="I86" s="171">
        <v>40.0</v>
      </c>
      <c r="J86" s="391">
        <f t="shared" si="2"/>
        <v>0.002843764799</v>
      </c>
      <c r="K86" s="392">
        <f t="shared" si="3"/>
        <v>1.507195344</v>
      </c>
      <c r="L86" s="327">
        <f t="shared" si="4"/>
        <v>15.93145846</v>
      </c>
      <c r="M86" s="321" t="str">
        <f t="shared" si="5"/>
        <v>mateodaza</v>
      </c>
      <c r="N86" s="176">
        <f>IFERROR(__xludf.DUMMYFUNCTION("""COMPUTED_VALUE"""),5.0)</f>
        <v>5</v>
      </c>
      <c r="O86" s="176"/>
      <c r="P86" s="176"/>
      <c r="Q86" s="176"/>
      <c r="R86" s="176"/>
      <c r="S86" s="176"/>
      <c r="T86" s="176"/>
      <c r="U86" s="176"/>
      <c r="V86" s="176"/>
      <c r="W86" s="176"/>
      <c r="X86" s="176"/>
      <c r="Y86" s="176"/>
      <c r="Z86" s="176"/>
    </row>
    <row r="87">
      <c r="A87" s="226" t="s">
        <v>11</v>
      </c>
      <c r="B87" s="226" t="s">
        <v>1228</v>
      </c>
      <c r="C87" s="250" t="s">
        <v>3572</v>
      </c>
      <c r="D87" s="268" t="s">
        <v>495</v>
      </c>
      <c r="E87" s="251">
        <v>44147.0</v>
      </c>
      <c r="F87" s="250" t="s">
        <v>496</v>
      </c>
      <c r="G87" s="243"/>
      <c r="H87" s="171">
        <v>100.0</v>
      </c>
      <c r="I87" s="171">
        <v>30.0</v>
      </c>
      <c r="J87" s="391">
        <f t="shared" si="2"/>
        <v>0.002611530707</v>
      </c>
      <c r="K87" s="392">
        <f t="shared" si="3"/>
        <v>1.384111275</v>
      </c>
      <c r="L87" s="327">
        <f t="shared" si="4"/>
        <v>15.93145846</v>
      </c>
      <c r="M87" s="321" t="str">
        <f t="shared" si="5"/>
        <v>mateodaza</v>
      </c>
      <c r="N87" s="176">
        <f>IFERROR(__xludf.DUMMYFUNCTION("""COMPUTED_VALUE"""),6.0)</f>
        <v>6</v>
      </c>
      <c r="O87" s="176"/>
      <c r="P87" s="176"/>
      <c r="Q87" s="176"/>
      <c r="R87" s="176"/>
      <c r="S87" s="176"/>
      <c r="T87" s="176"/>
      <c r="U87" s="176"/>
      <c r="V87" s="176"/>
      <c r="W87" s="176"/>
      <c r="X87" s="176"/>
      <c r="Y87" s="176"/>
      <c r="Z87" s="176"/>
    </row>
    <row r="88">
      <c r="A88" s="226" t="s">
        <v>11</v>
      </c>
      <c r="B88" s="226" t="s">
        <v>5</v>
      </c>
      <c r="C88" s="250" t="s">
        <v>3574</v>
      </c>
      <c r="D88" s="268" t="s">
        <v>495</v>
      </c>
      <c r="E88" s="251">
        <v>44145.0</v>
      </c>
      <c r="F88" s="250" t="s">
        <v>496</v>
      </c>
      <c r="G88" s="243"/>
      <c r="H88" s="171">
        <v>30.0</v>
      </c>
      <c r="I88" s="171">
        <v>80.0</v>
      </c>
      <c r="J88" s="391">
        <f t="shared" si="2"/>
        <v>0.002432321265</v>
      </c>
      <c r="K88" s="392">
        <f t="shared" si="3"/>
        <v>1.289130271</v>
      </c>
      <c r="L88" s="327">
        <f t="shared" si="4"/>
        <v>15.93145846</v>
      </c>
      <c r="M88" s="321" t="str">
        <f t="shared" si="5"/>
        <v>mateodaza</v>
      </c>
      <c r="N88" s="176">
        <f>IFERROR(__xludf.DUMMYFUNCTION("""COMPUTED_VALUE"""),7.0)</f>
        <v>7</v>
      </c>
      <c r="O88" s="176"/>
      <c r="P88" s="176"/>
      <c r="Q88" s="176"/>
      <c r="R88" s="176"/>
      <c r="S88" s="176"/>
      <c r="T88" s="176"/>
      <c r="U88" s="176"/>
      <c r="V88" s="176"/>
      <c r="W88" s="176"/>
      <c r="X88" s="176"/>
      <c r="Y88" s="176"/>
      <c r="Z88" s="176"/>
    </row>
    <row r="89">
      <c r="A89" s="226" t="s">
        <v>11</v>
      </c>
      <c r="B89" s="226" t="s">
        <v>18</v>
      </c>
      <c r="C89" s="250" t="s">
        <v>3594</v>
      </c>
      <c r="D89" s="268" t="s">
        <v>495</v>
      </c>
      <c r="E89" s="251">
        <v>44152.0</v>
      </c>
      <c r="F89" s="250" t="s">
        <v>496</v>
      </c>
      <c r="G89" s="176"/>
      <c r="H89" s="171">
        <v>45.0</v>
      </c>
      <c r="I89" s="171">
        <v>50.0</v>
      </c>
      <c r="J89" s="391">
        <f t="shared" si="2"/>
        <v>0.002022843254</v>
      </c>
      <c r="K89" s="392">
        <f t="shared" si="3"/>
        <v>1.072106925</v>
      </c>
      <c r="L89" s="327">
        <f t="shared" si="4"/>
        <v>15.93145846</v>
      </c>
      <c r="M89" s="321" t="str">
        <f t="shared" si="5"/>
        <v>mateodaza</v>
      </c>
      <c r="N89" s="176">
        <f>IFERROR(__xludf.DUMMYFUNCTION("""COMPUTED_VALUE"""),8.0)</f>
        <v>8</v>
      </c>
      <c r="O89" s="176"/>
      <c r="P89" s="176"/>
      <c r="Q89" s="176"/>
      <c r="R89" s="176"/>
      <c r="S89" s="176"/>
      <c r="T89" s="176"/>
      <c r="U89" s="176"/>
      <c r="V89" s="176"/>
      <c r="W89" s="176"/>
      <c r="X89" s="176"/>
      <c r="Y89" s="176"/>
      <c r="Z89" s="176"/>
    </row>
    <row r="90">
      <c r="A90" s="226" t="s">
        <v>11</v>
      </c>
      <c r="B90" s="226" t="s">
        <v>18</v>
      </c>
      <c r="C90" s="250" t="s">
        <v>3578</v>
      </c>
      <c r="D90" s="268" t="s">
        <v>495</v>
      </c>
      <c r="E90" s="251">
        <v>44152.0</v>
      </c>
      <c r="F90" s="250" t="s">
        <v>496</v>
      </c>
      <c r="G90" s="176"/>
      <c r="H90" s="171">
        <v>45.0</v>
      </c>
      <c r="I90" s="171">
        <v>30.0</v>
      </c>
      <c r="J90" s="391">
        <f t="shared" si="2"/>
        <v>0.00155837507</v>
      </c>
      <c r="K90" s="392">
        <f t="shared" si="3"/>
        <v>0.8259387871</v>
      </c>
      <c r="L90" s="327">
        <f t="shared" si="4"/>
        <v>15.93145846</v>
      </c>
      <c r="M90" s="321" t="str">
        <f t="shared" si="5"/>
        <v>mateodaza</v>
      </c>
      <c r="N90" s="176">
        <f>IFERROR(__xludf.DUMMYFUNCTION("""COMPUTED_VALUE"""),9.0)</f>
        <v>9</v>
      </c>
      <c r="O90" s="176"/>
      <c r="P90" s="176"/>
      <c r="Q90" s="176"/>
      <c r="R90" s="176"/>
      <c r="S90" s="176"/>
      <c r="T90" s="176"/>
      <c r="U90" s="176"/>
      <c r="V90" s="176"/>
      <c r="W90" s="176"/>
      <c r="X90" s="176"/>
      <c r="Y90" s="176"/>
      <c r="Z90" s="176"/>
    </row>
    <row r="91">
      <c r="A91" s="226" t="s">
        <v>11</v>
      </c>
      <c r="B91" s="226" t="s">
        <v>5</v>
      </c>
      <c r="C91" s="250" t="s">
        <v>3573</v>
      </c>
      <c r="D91" s="268" t="s">
        <v>495</v>
      </c>
      <c r="E91" s="251">
        <v>44147.0</v>
      </c>
      <c r="F91" s="250" t="s">
        <v>496</v>
      </c>
      <c r="G91" s="176"/>
      <c r="H91" s="171">
        <v>30.0</v>
      </c>
      <c r="I91" s="171">
        <v>30.0</v>
      </c>
      <c r="J91" s="391">
        <f t="shared" si="2"/>
        <v>0.001271150805</v>
      </c>
      <c r="K91" s="392">
        <f t="shared" si="3"/>
        <v>0.6737099268</v>
      </c>
      <c r="L91" s="327">
        <f t="shared" si="4"/>
        <v>15.93145846</v>
      </c>
      <c r="M91" s="321" t="str">
        <f t="shared" si="5"/>
        <v>mateodaza</v>
      </c>
      <c r="N91" s="176">
        <f>IFERROR(__xludf.DUMMYFUNCTION("""COMPUTED_VALUE"""),10.0)</f>
        <v>10</v>
      </c>
      <c r="O91" s="176"/>
      <c r="P91" s="176"/>
      <c r="Q91" s="176"/>
      <c r="R91" s="176"/>
      <c r="S91" s="176"/>
      <c r="T91" s="176"/>
      <c r="U91" s="176"/>
      <c r="V91" s="176"/>
      <c r="W91" s="176"/>
      <c r="X91" s="176"/>
      <c r="Y91" s="176"/>
      <c r="Z91" s="176"/>
    </row>
    <row r="92">
      <c r="A92" s="226" t="s">
        <v>52</v>
      </c>
      <c r="B92" s="226" t="s">
        <v>519</v>
      </c>
      <c r="C92" s="250" t="s">
        <v>3614</v>
      </c>
      <c r="D92" s="268" t="s">
        <v>495</v>
      </c>
      <c r="E92" s="251">
        <v>44152.0</v>
      </c>
      <c r="F92" s="250" t="s">
        <v>499</v>
      </c>
      <c r="G92" s="176"/>
      <c r="H92" s="171">
        <v>300.0</v>
      </c>
      <c r="I92" s="171">
        <v>250.0</v>
      </c>
      <c r="J92" s="391">
        <f t="shared" si="2"/>
        <v>0.01155033759</v>
      </c>
      <c r="K92" s="392">
        <f t="shared" si="3"/>
        <v>6.121678924</v>
      </c>
      <c r="L92" s="327">
        <f t="shared" si="4"/>
        <v>15.64430473</v>
      </c>
      <c r="M92" s="321" t="str">
        <f t="shared" si="5"/>
        <v>randomshinichi</v>
      </c>
      <c r="N92" s="176">
        <f>IFERROR(__xludf.DUMMYFUNCTION("""COMPUTED_VALUE"""),1.0)</f>
        <v>1</v>
      </c>
      <c r="O92" s="176"/>
      <c r="P92" s="176"/>
      <c r="Q92" s="176"/>
      <c r="R92" s="176"/>
      <c r="S92" s="176"/>
      <c r="T92" s="176"/>
      <c r="U92" s="176"/>
      <c r="V92" s="176"/>
      <c r="W92" s="176"/>
      <c r="X92" s="176"/>
      <c r="Y92" s="176"/>
      <c r="Z92" s="176"/>
    </row>
    <row r="93">
      <c r="A93" s="226" t="s">
        <v>52</v>
      </c>
      <c r="B93" s="226" t="s">
        <v>590</v>
      </c>
      <c r="C93" s="250" t="s">
        <v>3615</v>
      </c>
      <c r="D93" s="268" t="s">
        <v>495</v>
      </c>
      <c r="E93" s="251">
        <v>44151.0</v>
      </c>
      <c r="F93" s="250" t="s">
        <v>496</v>
      </c>
      <c r="G93" s="176"/>
      <c r="H93" s="171">
        <v>200.0</v>
      </c>
      <c r="I93" s="171">
        <v>150.0</v>
      </c>
      <c r="J93" s="391">
        <f t="shared" si="2"/>
        <v>0.007313168242</v>
      </c>
      <c r="K93" s="392">
        <f t="shared" si="3"/>
        <v>3.875979168</v>
      </c>
      <c r="L93" s="327">
        <f t="shared" si="4"/>
        <v>15.64430473</v>
      </c>
      <c r="M93" s="321" t="str">
        <f t="shared" si="5"/>
        <v>randomshinichi</v>
      </c>
      <c r="N93" s="176">
        <f>IFERROR(__xludf.DUMMYFUNCTION("""COMPUTED_VALUE"""),2.0)</f>
        <v>2</v>
      </c>
      <c r="O93" s="176"/>
      <c r="P93" s="176"/>
      <c r="Q93" s="176"/>
      <c r="R93" s="176"/>
      <c r="S93" s="176"/>
      <c r="T93" s="176"/>
      <c r="U93" s="176"/>
      <c r="V93" s="176"/>
      <c r="W93" s="176"/>
      <c r="X93" s="176"/>
      <c r="Y93" s="176"/>
      <c r="Z93" s="176"/>
    </row>
    <row r="94">
      <c r="A94" s="226" t="s">
        <v>52</v>
      </c>
      <c r="B94" s="226" t="s">
        <v>519</v>
      </c>
      <c r="C94" s="250" t="s">
        <v>3616</v>
      </c>
      <c r="D94" s="268" t="s">
        <v>495</v>
      </c>
      <c r="E94" s="361">
        <v>44143.0</v>
      </c>
      <c r="F94" s="250" t="s">
        <v>521</v>
      </c>
      <c r="G94" s="243"/>
      <c r="H94" s="171">
        <v>100.0</v>
      </c>
      <c r="I94" s="171">
        <v>100.0</v>
      </c>
      <c r="J94" s="391">
        <f t="shared" si="2"/>
        <v>0.004237169351</v>
      </c>
      <c r="K94" s="392">
        <f t="shared" si="3"/>
        <v>2.245699756</v>
      </c>
      <c r="L94" s="327">
        <f t="shared" si="4"/>
        <v>15.64430473</v>
      </c>
      <c r="M94" s="321" t="str">
        <f t="shared" si="5"/>
        <v>randomshinichi</v>
      </c>
      <c r="N94" s="176">
        <f>IFERROR(__xludf.DUMMYFUNCTION("""COMPUTED_VALUE"""),3.0)</f>
        <v>3</v>
      </c>
      <c r="O94" s="176"/>
      <c r="P94" s="176"/>
      <c r="Q94" s="176"/>
      <c r="R94" s="176"/>
      <c r="S94" s="176"/>
      <c r="T94" s="176"/>
      <c r="U94" s="176"/>
      <c r="V94" s="176"/>
      <c r="W94" s="176"/>
      <c r="X94" s="176"/>
      <c r="Y94" s="176"/>
      <c r="Z94" s="176"/>
    </row>
    <row r="95">
      <c r="A95" s="226" t="s">
        <v>52</v>
      </c>
      <c r="B95" s="226" t="s">
        <v>519</v>
      </c>
      <c r="C95" s="250" t="s">
        <v>3617</v>
      </c>
      <c r="D95" s="268" t="s">
        <v>495</v>
      </c>
      <c r="E95" s="251">
        <v>44152.0</v>
      </c>
      <c r="F95" s="250" t="s">
        <v>521</v>
      </c>
      <c r="G95" s="176"/>
      <c r="H95" s="171">
        <v>100.0</v>
      </c>
      <c r="I95" s="171">
        <v>100.0</v>
      </c>
      <c r="J95" s="391">
        <f t="shared" si="2"/>
        <v>0.004237169351</v>
      </c>
      <c r="K95" s="392">
        <f t="shared" si="3"/>
        <v>2.245699756</v>
      </c>
      <c r="L95" s="327">
        <f t="shared" si="4"/>
        <v>15.64430473</v>
      </c>
      <c r="M95" s="321" t="str">
        <f t="shared" si="5"/>
        <v>randomshinichi</v>
      </c>
      <c r="N95" s="176">
        <f>IFERROR(__xludf.DUMMYFUNCTION("""COMPUTED_VALUE"""),4.0)</f>
        <v>4</v>
      </c>
      <c r="O95" s="176"/>
      <c r="P95" s="176"/>
      <c r="Q95" s="176"/>
      <c r="R95" s="176"/>
      <c r="S95" s="176"/>
      <c r="T95" s="176"/>
      <c r="U95" s="176"/>
      <c r="V95" s="176"/>
      <c r="W95" s="176"/>
      <c r="X95" s="176"/>
      <c r="Y95" s="176"/>
      <c r="Z95" s="176"/>
    </row>
    <row r="96">
      <c r="A96" s="226" t="s">
        <v>52</v>
      </c>
      <c r="B96" s="226" t="s">
        <v>590</v>
      </c>
      <c r="C96" s="250" t="s">
        <v>3582</v>
      </c>
      <c r="D96" s="268" t="s">
        <v>495</v>
      </c>
      <c r="E96" s="251">
        <v>44152.0</v>
      </c>
      <c r="F96" s="250" t="s">
        <v>496</v>
      </c>
      <c r="G96" s="176"/>
      <c r="H96" s="171">
        <v>20.0</v>
      </c>
      <c r="I96" s="171">
        <v>30.0</v>
      </c>
      <c r="J96" s="391">
        <f t="shared" si="2"/>
        <v>0.001079667962</v>
      </c>
      <c r="K96" s="392">
        <f t="shared" si="3"/>
        <v>0.5722240199</v>
      </c>
      <c r="L96" s="327">
        <f t="shared" si="4"/>
        <v>15.64430473</v>
      </c>
      <c r="M96" s="321" t="str">
        <f t="shared" si="5"/>
        <v>randomshinichi</v>
      </c>
      <c r="N96" s="176">
        <f>IFERROR(__xludf.DUMMYFUNCTION("""COMPUTED_VALUE"""),5.0)</f>
        <v>5</v>
      </c>
      <c r="O96" s="176"/>
      <c r="P96" s="176"/>
      <c r="Q96" s="176"/>
      <c r="R96" s="176"/>
      <c r="S96" s="176"/>
      <c r="T96" s="176"/>
      <c r="U96" s="176"/>
      <c r="V96" s="176"/>
      <c r="W96" s="176"/>
      <c r="X96" s="176"/>
      <c r="Y96" s="176"/>
      <c r="Z96" s="176"/>
    </row>
    <row r="97">
      <c r="A97" s="226" t="s">
        <v>52</v>
      </c>
      <c r="B97" s="226" t="s">
        <v>519</v>
      </c>
      <c r="C97" s="250" t="s">
        <v>2329</v>
      </c>
      <c r="D97" s="268" t="s">
        <v>495</v>
      </c>
      <c r="E97" s="251">
        <v>44154.0</v>
      </c>
      <c r="F97" s="250" t="s">
        <v>521</v>
      </c>
      <c r="G97" s="176"/>
      <c r="H97" s="171">
        <v>10.0</v>
      </c>
      <c r="I97" s="171">
        <v>30.0</v>
      </c>
      <c r="J97" s="391">
        <f t="shared" si="2"/>
        <v>0.000888185119</v>
      </c>
      <c r="K97" s="392">
        <f t="shared" si="3"/>
        <v>0.4707381131</v>
      </c>
      <c r="L97" s="327">
        <f t="shared" si="4"/>
        <v>15.64430473</v>
      </c>
      <c r="M97" s="321" t="str">
        <f t="shared" si="5"/>
        <v>randomshinichi</v>
      </c>
      <c r="N97" s="176">
        <f>IFERROR(__xludf.DUMMYFUNCTION("""COMPUTED_VALUE"""),6.0)</f>
        <v>6</v>
      </c>
      <c r="O97" s="176"/>
      <c r="P97" s="176"/>
      <c r="Q97" s="176"/>
      <c r="R97" s="176"/>
      <c r="S97" s="176"/>
      <c r="T97" s="176"/>
      <c r="U97" s="176"/>
      <c r="V97" s="176"/>
      <c r="W97" s="176"/>
      <c r="X97" s="176"/>
      <c r="Y97" s="176"/>
      <c r="Z97" s="176"/>
    </row>
    <row r="98">
      <c r="A98" s="226" t="s">
        <v>52</v>
      </c>
      <c r="B98" s="226" t="s">
        <v>5</v>
      </c>
      <c r="C98" s="250" t="s">
        <v>3618</v>
      </c>
      <c r="D98" s="268" t="s">
        <v>495</v>
      </c>
      <c r="E98" s="251">
        <v>44145.0</v>
      </c>
      <c r="F98" s="250" t="s">
        <v>496</v>
      </c>
      <c r="G98" s="243"/>
      <c r="H98" s="171">
        <v>5.0</v>
      </c>
      <c r="I98" s="171">
        <v>5.0</v>
      </c>
      <c r="J98" s="391">
        <f t="shared" si="2"/>
        <v>0.0002118584676</v>
      </c>
      <c r="K98" s="392">
        <f t="shared" si="3"/>
        <v>0.1122849878</v>
      </c>
      <c r="L98" s="327">
        <f t="shared" si="4"/>
        <v>15.64430473</v>
      </c>
      <c r="M98" s="321" t="str">
        <f t="shared" si="5"/>
        <v>randomshinichi</v>
      </c>
      <c r="N98" s="176">
        <f>IFERROR(__xludf.DUMMYFUNCTION("""COMPUTED_VALUE"""),7.0)</f>
        <v>7</v>
      </c>
      <c r="O98" s="176"/>
      <c r="P98" s="176"/>
      <c r="Q98" s="176"/>
      <c r="R98" s="176"/>
      <c r="S98" s="176"/>
      <c r="T98" s="176"/>
      <c r="U98" s="176"/>
      <c r="V98" s="176"/>
      <c r="W98" s="176"/>
      <c r="X98" s="176"/>
      <c r="Y98" s="176"/>
      <c r="Z98" s="176"/>
    </row>
    <row r="99">
      <c r="A99" s="226" t="s">
        <v>17</v>
      </c>
      <c r="B99" s="226" t="s">
        <v>519</v>
      </c>
      <c r="C99" s="250" t="s">
        <v>3610</v>
      </c>
      <c r="D99" s="268" t="s">
        <v>495</v>
      </c>
      <c r="E99" s="251">
        <v>44147.0</v>
      </c>
      <c r="F99" s="250" t="s">
        <v>496</v>
      </c>
      <c r="G99" s="243"/>
      <c r="H99" s="171">
        <v>300.0</v>
      </c>
      <c r="I99" s="171">
        <v>250.0</v>
      </c>
      <c r="J99" s="391">
        <f t="shared" si="2"/>
        <v>0.01155033759</v>
      </c>
      <c r="K99" s="392">
        <f t="shared" si="3"/>
        <v>6.121678924</v>
      </c>
      <c r="L99" s="327">
        <f t="shared" si="4"/>
        <v>15.46293107</v>
      </c>
      <c r="M99" s="321" t="str">
        <f t="shared" si="5"/>
        <v>tonga2020</v>
      </c>
      <c r="N99" s="176">
        <f>IFERROR(__xludf.DUMMYFUNCTION("""COMPUTED_VALUE"""),1.0)</f>
        <v>1</v>
      </c>
      <c r="O99" s="176"/>
      <c r="P99" s="176"/>
      <c r="Q99" s="176"/>
      <c r="R99" s="176"/>
      <c r="S99" s="176"/>
      <c r="T99" s="176"/>
      <c r="U99" s="176"/>
      <c r="V99" s="176"/>
      <c r="W99" s="176"/>
      <c r="X99" s="176"/>
      <c r="Y99" s="176"/>
      <c r="Z99" s="176"/>
    </row>
    <row r="100">
      <c r="A100" s="226" t="s">
        <v>17</v>
      </c>
      <c r="B100" s="226" t="s">
        <v>519</v>
      </c>
      <c r="C100" s="250" t="s">
        <v>3619</v>
      </c>
      <c r="D100" s="268" t="s">
        <v>495</v>
      </c>
      <c r="E100" s="251">
        <v>44145.0</v>
      </c>
      <c r="F100" s="250" t="s">
        <v>496</v>
      </c>
      <c r="G100" s="243"/>
      <c r="H100" s="171">
        <v>100.0</v>
      </c>
      <c r="I100" s="171">
        <v>100.0</v>
      </c>
      <c r="J100" s="391">
        <f t="shared" si="2"/>
        <v>0.004237169351</v>
      </c>
      <c r="K100" s="392">
        <f t="shared" si="3"/>
        <v>2.245699756</v>
      </c>
      <c r="L100" s="327">
        <f t="shared" si="4"/>
        <v>15.46293107</v>
      </c>
      <c r="M100" s="321" t="str">
        <f t="shared" si="5"/>
        <v>tonga2020</v>
      </c>
      <c r="N100" s="176">
        <f>IFERROR(__xludf.DUMMYFUNCTION("""COMPUTED_VALUE"""),2.0)</f>
        <v>2</v>
      </c>
      <c r="O100" s="176"/>
      <c r="P100" s="176"/>
      <c r="Q100" s="176"/>
      <c r="R100" s="176"/>
      <c r="S100" s="176"/>
      <c r="T100" s="176"/>
      <c r="U100" s="176"/>
      <c r="V100" s="176"/>
      <c r="W100" s="176"/>
      <c r="X100" s="176"/>
      <c r="Y100" s="176"/>
      <c r="Z100" s="176"/>
    </row>
    <row r="101">
      <c r="A101" s="226" t="s">
        <v>17</v>
      </c>
      <c r="B101" s="226" t="s">
        <v>590</v>
      </c>
      <c r="C101" s="250" t="s">
        <v>3620</v>
      </c>
      <c r="D101" s="268" t="s">
        <v>495</v>
      </c>
      <c r="E101" s="251">
        <v>44147.0</v>
      </c>
      <c r="F101" s="250" t="s">
        <v>496</v>
      </c>
      <c r="G101" s="243"/>
      <c r="H101" s="171">
        <v>60.0</v>
      </c>
      <c r="I101" s="171">
        <v>60.0</v>
      </c>
      <c r="J101" s="391">
        <f t="shared" si="2"/>
        <v>0.002542301611</v>
      </c>
      <c r="K101" s="392">
        <f t="shared" si="3"/>
        <v>1.347419854</v>
      </c>
      <c r="L101" s="327">
        <f t="shared" si="4"/>
        <v>15.46293107</v>
      </c>
      <c r="M101" s="321" t="str">
        <f t="shared" si="5"/>
        <v>tonga2020</v>
      </c>
      <c r="N101" s="176">
        <f>IFERROR(__xludf.DUMMYFUNCTION("""COMPUTED_VALUE"""),3.0)</f>
        <v>3</v>
      </c>
      <c r="O101" s="176"/>
      <c r="P101" s="176"/>
      <c r="Q101" s="176"/>
      <c r="R101" s="176"/>
      <c r="S101" s="176"/>
      <c r="T101" s="176"/>
      <c r="U101" s="176"/>
      <c r="V101" s="176"/>
      <c r="W101" s="176"/>
      <c r="X101" s="176"/>
      <c r="Y101" s="176"/>
      <c r="Z101" s="176"/>
    </row>
    <row r="102">
      <c r="A102" s="226" t="s">
        <v>17</v>
      </c>
      <c r="B102" s="226" t="s">
        <v>18</v>
      </c>
      <c r="C102" s="250" t="s">
        <v>3594</v>
      </c>
      <c r="D102" s="268" t="s">
        <v>495</v>
      </c>
      <c r="E102" s="251">
        <v>44152.0</v>
      </c>
      <c r="F102" s="250" t="s">
        <v>496</v>
      </c>
      <c r="G102" s="176"/>
      <c r="H102" s="171">
        <v>45.0</v>
      </c>
      <c r="I102" s="171">
        <v>50.0</v>
      </c>
      <c r="J102" s="391">
        <f t="shared" si="2"/>
        <v>0.002022843254</v>
      </c>
      <c r="K102" s="392">
        <f t="shared" si="3"/>
        <v>1.072106925</v>
      </c>
      <c r="L102" s="327">
        <f t="shared" si="4"/>
        <v>15.46293107</v>
      </c>
      <c r="M102" s="321" t="str">
        <f t="shared" si="5"/>
        <v>tonga2020</v>
      </c>
      <c r="N102" s="176">
        <f>IFERROR(__xludf.DUMMYFUNCTION("""COMPUTED_VALUE"""),4.0)</f>
        <v>4</v>
      </c>
      <c r="O102" s="176"/>
      <c r="P102" s="176"/>
      <c r="Q102" s="176"/>
      <c r="R102" s="176"/>
      <c r="S102" s="176"/>
      <c r="T102" s="176"/>
      <c r="U102" s="176"/>
      <c r="V102" s="176"/>
      <c r="W102" s="176"/>
      <c r="X102" s="176"/>
      <c r="Y102" s="176"/>
      <c r="Z102" s="176"/>
    </row>
    <row r="103">
      <c r="A103" s="226" t="s">
        <v>17</v>
      </c>
      <c r="B103" s="226" t="s">
        <v>18</v>
      </c>
      <c r="C103" s="250" t="s">
        <v>3578</v>
      </c>
      <c r="D103" s="268" t="s">
        <v>495</v>
      </c>
      <c r="E103" s="251">
        <v>44152.0</v>
      </c>
      <c r="F103" s="250" t="s">
        <v>496</v>
      </c>
      <c r="G103" s="176"/>
      <c r="H103" s="171">
        <v>45.0</v>
      </c>
      <c r="I103" s="171">
        <v>30.0</v>
      </c>
      <c r="J103" s="391">
        <f t="shared" si="2"/>
        <v>0.00155837507</v>
      </c>
      <c r="K103" s="392">
        <f t="shared" si="3"/>
        <v>0.8259387871</v>
      </c>
      <c r="L103" s="327">
        <f t="shared" si="4"/>
        <v>15.46293107</v>
      </c>
      <c r="M103" s="321" t="str">
        <f t="shared" si="5"/>
        <v>tonga2020</v>
      </c>
      <c r="N103" s="176">
        <f>IFERROR(__xludf.DUMMYFUNCTION("""COMPUTED_VALUE"""),5.0)</f>
        <v>5</v>
      </c>
      <c r="O103" s="176"/>
      <c r="P103" s="176"/>
      <c r="Q103" s="176"/>
      <c r="R103" s="176"/>
      <c r="S103" s="176"/>
      <c r="T103" s="176"/>
      <c r="U103" s="176"/>
      <c r="V103" s="176"/>
      <c r="W103" s="176"/>
      <c r="X103" s="176"/>
      <c r="Y103" s="176"/>
      <c r="Z103" s="176"/>
    </row>
    <row r="104">
      <c r="A104" s="226" t="s">
        <v>17</v>
      </c>
      <c r="B104" s="226" t="s">
        <v>590</v>
      </c>
      <c r="C104" s="250" t="s">
        <v>3590</v>
      </c>
      <c r="D104" s="268" t="s">
        <v>495</v>
      </c>
      <c r="E104" s="361">
        <v>44144.0</v>
      </c>
      <c r="F104" s="250" t="s">
        <v>496</v>
      </c>
      <c r="G104" s="243"/>
      <c r="H104" s="171">
        <v>30.0</v>
      </c>
      <c r="I104" s="171">
        <v>30.0</v>
      </c>
      <c r="J104" s="391">
        <f t="shared" si="2"/>
        <v>0.001271150805</v>
      </c>
      <c r="K104" s="392">
        <f t="shared" si="3"/>
        <v>0.6737099268</v>
      </c>
      <c r="L104" s="327">
        <f t="shared" si="4"/>
        <v>15.46293107</v>
      </c>
      <c r="M104" s="321" t="str">
        <f t="shared" si="5"/>
        <v>tonga2020</v>
      </c>
      <c r="N104" s="176">
        <f>IFERROR(__xludf.DUMMYFUNCTION("""COMPUTED_VALUE"""),6.0)</f>
        <v>6</v>
      </c>
      <c r="O104" s="176"/>
      <c r="P104" s="176"/>
      <c r="Q104" s="176"/>
      <c r="R104" s="176"/>
      <c r="S104" s="176"/>
      <c r="T104" s="176"/>
      <c r="U104" s="176"/>
      <c r="V104" s="176"/>
      <c r="W104" s="176"/>
      <c r="X104" s="176"/>
      <c r="Y104" s="176"/>
      <c r="Z104" s="176"/>
    </row>
    <row r="105">
      <c r="A105" s="226" t="s">
        <v>17</v>
      </c>
      <c r="B105" s="226" t="s">
        <v>5</v>
      </c>
      <c r="C105" s="250" t="s">
        <v>3573</v>
      </c>
      <c r="D105" s="268" t="s">
        <v>495</v>
      </c>
      <c r="E105" s="251">
        <v>44147.0</v>
      </c>
      <c r="F105" s="250" t="s">
        <v>496</v>
      </c>
      <c r="G105" s="176"/>
      <c r="H105" s="171">
        <v>30.0</v>
      </c>
      <c r="I105" s="171">
        <v>30.0</v>
      </c>
      <c r="J105" s="391">
        <f t="shared" si="2"/>
        <v>0.001271150805</v>
      </c>
      <c r="K105" s="392">
        <f t="shared" si="3"/>
        <v>0.6737099268</v>
      </c>
      <c r="L105" s="327">
        <f t="shared" si="4"/>
        <v>15.46293107</v>
      </c>
      <c r="M105" s="321" t="str">
        <f t="shared" si="5"/>
        <v>tonga2020</v>
      </c>
      <c r="N105" s="176">
        <f>IFERROR(__xludf.DUMMYFUNCTION("""COMPUTED_VALUE"""),7.0)</f>
        <v>7</v>
      </c>
      <c r="O105" s="176"/>
      <c r="P105" s="176"/>
      <c r="Q105" s="176"/>
      <c r="R105" s="176"/>
      <c r="S105" s="176"/>
      <c r="T105" s="176"/>
      <c r="U105" s="176"/>
      <c r="V105" s="176"/>
      <c r="W105" s="176"/>
      <c r="X105" s="176"/>
      <c r="Y105" s="176"/>
      <c r="Z105" s="176"/>
    </row>
    <row r="106">
      <c r="A106" s="226" t="s">
        <v>17</v>
      </c>
      <c r="B106" s="226" t="s">
        <v>590</v>
      </c>
      <c r="C106" s="250" t="s">
        <v>3571</v>
      </c>
      <c r="D106" s="268" t="s">
        <v>495</v>
      </c>
      <c r="E106" s="251">
        <v>44155.0</v>
      </c>
      <c r="F106" s="250" t="s">
        <v>496</v>
      </c>
      <c r="G106" s="176"/>
      <c r="H106" s="171">
        <v>30.0</v>
      </c>
      <c r="I106" s="171">
        <v>30.0</v>
      </c>
      <c r="J106" s="391">
        <f t="shared" si="2"/>
        <v>0.001271150805</v>
      </c>
      <c r="K106" s="392">
        <f t="shared" si="3"/>
        <v>0.6737099268</v>
      </c>
      <c r="L106" s="327">
        <f t="shared" si="4"/>
        <v>15.46293107</v>
      </c>
      <c r="M106" s="321" t="str">
        <f t="shared" si="5"/>
        <v>tonga2020</v>
      </c>
      <c r="N106" s="176">
        <f>IFERROR(__xludf.DUMMYFUNCTION("""COMPUTED_VALUE"""),8.0)</f>
        <v>8</v>
      </c>
      <c r="O106" s="176"/>
      <c r="P106" s="176"/>
      <c r="Q106" s="176"/>
      <c r="R106" s="176"/>
      <c r="S106" s="176"/>
      <c r="T106" s="176"/>
      <c r="U106" s="176"/>
      <c r="V106" s="176"/>
      <c r="W106" s="176"/>
      <c r="X106" s="176"/>
      <c r="Y106" s="176"/>
      <c r="Z106" s="176"/>
    </row>
    <row r="107">
      <c r="A107" s="226" t="s">
        <v>17</v>
      </c>
      <c r="B107" s="226" t="s">
        <v>6</v>
      </c>
      <c r="C107" s="250" t="s">
        <v>3589</v>
      </c>
      <c r="D107" s="268" t="s">
        <v>495</v>
      </c>
      <c r="E107" s="251">
        <v>44151.0</v>
      </c>
      <c r="F107" s="250" t="s">
        <v>496</v>
      </c>
      <c r="G107" s="176"/>
      <c r="H107" s="171">
        <v>20.0</v>
      </c>
      <c r="I107" s="171">
        <v>30.0</v>
      </c>
      <c r="J107" s="391">
        <f t="shared" si="2"/>
        <v>0.001079667962</v>
      </c>
      <c r="K107" s="392">
        <f t="shared" si="3"/>
        <v>0.5722240199</v>
      </c>
      <c r="L107" s="327">
        <f t="shared" si="4"/>
        <v>15.46293107</v>
      </c>
      <c r="M107" s="321" t="str">
        <f t="shared" si="5"/>
        <v>tonga2020</v>
      </c>
      <c r="N107" s="176">
        <f>IFERROR(__xludf.DUMMYFUNCTION("""COMPUTED_VALUE"""),9.0)</f>
        <v>9</v>
      </c>
      <c r="O107" s="176"/>
      <c r="P107" s="176"/>
      <c r="Q107" s="176"/>
      <c r="R107" s="176"/>
      <c r="S107" s="176"/>
      <c r="T107" s="176"/>
      <c r="U107" s="176"/>
      <c r="V107" s="176"/>
      <c r="W107" s="176"/>
      <c r="X107" s="176"/>
      <c r="Y107" s="176"/>
      <c r="Z107" s="176"/>
    </row>
    <row r="108">
      <c r="A108" s="226" t="s">
        <v>17</v>
      </c>
      <c r="B108" s="226" t="s">
        <v>590</v>
      </c>
      <c r="C108" s="250" t="s">
        <v>3582</v>
      </c>
      <c r="D108" s="268" t="s">
        <v>495</v>
      </c>
      <c r="E108" s="251">
        <v>44152.0</v>
      </c>
      <c r="F108" s="250" t="s">
        <v>496</v>
      </c>
      <c r="G108" s="176"/>
      <c r="H108" s="171">
        <v>20.0</v>
      </c>
      <c r="I108" s="171">
        <v>30.0</v>
      </c>
      <c r="J108" s="391">
        <f t="shared" si="2"/>
        <v>0.001079667962</v>
      </c>
      <c r="K108" s="392">
        <f t="shared" si="3"/>
        <v>0.5722240199</v>
      </c>
      <c r="L108" s="327">
        <f t="shared" si="4"/>
        <v>15.46293107</v>
      </c>
      <c r="M108" s="321" t="str">
        <f t="shared" si="5"/>
        <v>tonga2020</v>
      </c>
      <c r="N108" s="176">
        <f>IFERROR(__xludf.DUMMYFUNCTION("""COMPUTED_VALUE"""),10.0)</f>
        <v>10</v>
      </c>
      <c r="O108" s="176"/>
      <c r="P108" s="176"/>
      <c r="Q108" s="176"/>
      <c r="R108" s="176"/>
      <c r="S108" s="176"/>
      <c r="T108" s="176"/>
      <c r="U108" s="176"/>
      <c r="V108" s="176"/>
      <c r="W108" s="176"/>
      <c r="X108" s="176"/>
      <c r="Y108" s="176"/>
      <c r="Z108" s="176"/>
    </row>
    <row r="109">
      <c r="A109" s="226" t="s">
        <v>17</v>
      </c>
      <c r="B109" s="226" t="s">
        <v>18</v>
      </c>
      <c r="C109" s="250" t="s">
        <v>3621</v>
      </c>
      <c r="D109" s="268" t="s">
        <v>495</v>
      </c>
      <c r="E109" s="251">
        <v>44152.0</v>
      </c>
      <c r="F109" s="250" t="s">
        <v>496</v>
      </c>
      <c r="G109" s="176"/>
      <c r="H109" s="171">
        <v>20.0</v>
      </c>
      <c r="I109" s="171">
        <v>30.0</v>
      </c>
      <c r="J109" s="391">
        <f t="shared" si="2"/>
        <v>0.001079667962</v>
      </c>
      <c r="K109" s="392">
        <f t="shared" si="3"/>
        <v>0.5722240199</v>
      </c>
      <c r="L109" s="327">
        <f t="shared" si="4"/>
        <v>15.46293107</v>
      </c>
      <c r="M109" s="321" t="str">
        <f t="shared" si="5"/>
        <v>tonga2020</v>
      </c>
      <c r="N109" s="176">
        <f>IFERROR(__xludf.DUMMYFUNCTION("""COMPUTED_VALUE"""),11.0)</f>
        <v>11</v>
      </c>
      <c r="O109" s="176"/>
      <c r="P109" s="176"/>
      <c r="Q109" s="176"/>
      <c r="R109" s="176"/>
      <c r="S109" s="176"/>
      <c r="T109" s="176"/>
      <c r="U109" s="176"/>
      <c r="V109" s="176"/>
      <c r="W109" s="176"/>
      <c r="X109" s="176"/>
      <c r="Y109" s="176"/>
      <c r="Z109" s="176"/>
    </row>
    <row r="110">
      <c r="A110" s="226" t="s">
        <v>17</v>
      </c>
      <c r="B110" s="226" t="s">
        <v>5</v>
      </c>
      <c r="C110" s="250" t="s">
        <v>3622</v>
      </c>
      <c r="D110" s="268" t="s">
        <v>495</v>
      </c>
      <c r="E110" s="251">
        <v>44151.0</v>
      </c>
      <c r="F110" s="250" t="s">
        <v>496</v>
      </c>
      <c r="G110" s="176"/>
      <c r="H110" s="171">
        <v>5.0</v>
      </c>
      <c r="I110" s="171">
        <v>5.0</v>
      </c>
      <c r="J110" s="391">
        <f t="shared" si="2"/>
        <v>0.0002118584676</v>
      </c>
      <c r="K110" s="392">
        <f t="shared" si="3"/>
        <v>0.1122849878</v>
      </c>
      <c r="L110" s="327">
        <f t="shared" si="4"/>
        <v>15.46293107</v>
      </c>
      <c r="M110" s="321" t="str">
        <f t="shared" si="5"/>
        <v>tonga2020</v>
      </c>
      <c r="N110" s="176">
        <f>IFERROR(__xludf.DUMMYFUNCTION("""COMPUTED_VALUE"""),12.0)</f>
        <v>12</v>
      </c>
      <c r="O110" s="176"/>
      <c r="P110" s="176"/>
      <c r="Q110" s="176"/>
      <c r="R110" s="176"/>
      <c r="S110" s="176"/>
      <c r="T110" s="176"/>
      <c r="U110" s="176"/>
      <c r="V110" s="176"/>
      <c r="W110" s="176"/>
      <c r="X110" s="176"/>
      <c r="Y110" s="176"/>
      <c r="Z110" s="176"/>
    </row>
    <row r="111">
      <c r="A111" s="226" t="s">
        <v>56</v>
      </c>
      <c r="B111" s="226" t="s">
        <v>868</v>
      </c>
      <c r="C111" s="250" t="s">
        <v>3623</v>
      </c>
      <c r="D111" s="268" t="s">
        <v>495</v>
      </c>
      <c r="E111" s="251">
        <v>44148.0</v>
      </c>
      <c r="F111" s="250" t="s">
        <v>496</v>
      </c>
      <c r="G111" s="176"/>
      <c r="H111" s="171">
        <v>500.0</v>
      </c>
      <c r="I111" s="171">
        <v>300.0</v>
      </c>
      <c r="J111" s="391">
        <f t="shared" si="2"/>
        <v>0.01654116492</v>
      </c>
      <c r="K111" s="392">
        <f t="shared" si="3"/>
        <v>8.766817405</v>
      </c>
      <c r="L111" s="327">
        <f t="shared" si="4"/>
        <v>15.46176208</v>
      </c>
      <c r="M111" s="321" t="str">
        <f t="shared" si="5"/>
        <v>rosamoc</v>
      </c>
      <c r="N111" s="176">
        <f>IFERROR(__xludf.DUMMYFUNCTION("""COMPUTED_VALUE"""),1.0)</f>
        <v>1</v>
      </c>
      <c r="O111" s="176"/>
      <c r="P111" s="176"/>
      <c r="Q111" s="176"/>
      <c r="R111" s="176"/>
      <c r="S111" s="176"/>
      <c r="T111" s="176"/>
      <c r="U111" s="176"/>
      <c r="V111" s="176"/>
      <c r="W111" s="176"/>
      <c r="X111" s="176"/>
      <c r="Y111" s="176"/>
      <c r="Z111" s="176"/>
    </row>
    <row r="112">
      <c r="A112" s="226" t="s">
        <v>56</v>
      </c>
      <c r="B112" s="226" t="s">
        <v>590</v>
      </c>
      <c r="C112" s="250" t="s">
        <v>3624</v>
      </c>
      <c r="D112" s="268" t="s">
        <v>495</v>
      </c>
      <c r="E112" s="251">
        <v>44151.0</v>
      </c>
      <c r="F112" s="250" t="s">
        <v>496</v>
      </c>
      <c r="G112" s="176"/>
      <c r="H112" s="171">
        <v>300.0</v>
      </c>
      <c r="I112" s="171">
        <v>100.0</v>
      </c>
      <c r="J112" s="391">
        <f t="shared" si="2"/>
        <v>0.008066826214</v>
      </c>
      <c r="K112" s="392">
        <f t="shared" si="3"/>
        <v>4.275417893</v>
      </c>
      <c r="L112" s="327">
        <f t="shared" si="4"/>
        <v>15.46176208</v>
      </c>
      <c r="M112" s="321" t="str">
        <f t="shared" si="5"/>
        <v>rosamoc</v>
      </c>
      <c r="N112" s="176">
        <f>IFERROR(__xludf.DUMMYFUNCTION("""COMPUTED_VALUE"""),2.0)</f>
        <v>2</v>
      </c>
      <c r="O112" s="176"/>
      <c r="P112" s="176"/>
      <c r="Q112" s="176"/>
      <c r="R112" s="176"/>
      <c r="S112" s="176"/>
      <c r="T112" s="176"/>
      <c r="U112" s="176"/>
      <c r="V112" s="176"/>
      <c r="W112" s="176"/>
      <c r="X112" s="176"/>
      <c r="Y112" s="176"/>
      <c r="Z112" s="176"/>
    </row>
    <row r="113">
      <c r="A113" s="226" t="s">
        <v>56</v>
      </c>
      <c r="B113" s="226" t="s">
        <v>1577</v>
      </c>
      <c r="C113" s="250" t="s">
        <v>3625</v>
      </c>
      <c r="D113" s="268" t="s">
        <v>495</v>
      </c>
      <c r="E113" s="251">
        <v>44152.0</v>
      </c>
      <c r="F113" s="250" t="s">
        <v>496</v>
      </c>
      <c r="G113" s="176"/>
      <c r="H113" s="171">
        <v>100.0</v>
      </c>
      <c r="I113" s="171">
        <v>100.0</v>
      </c>
      <c r="J113" s="391">
        <f t="shared" si="2"/>
        <v>0.004237169351</v>
      </c>
      <c r="K113" s="392">
        <f t="shared" si="3"/>
        <v>2.245699756</v>
      </c>
      <c r="L113" s="327">
        <f t="shared" si="4"/>
        <v>15.46176208</v>
      </c>
      <c r="M113" s="321" t="str">
        <f t="shared" si="5"/>
        <v>rosamoc</v>
      </c>
      <c r="N113" s="176">
        <f>IFERROR(__xludf.DUMMYFUNCTION("""COMPUTED_VALUE"""),3.0)</f>
        <v>3</v>
      </c>
      <c r="O113" s="176"/>
      <c r="P113" s="176"/>
      <c r="Q113" s="176"/>
      <c r="R113" s="176"/>
      <c r="S113" s="176"/>
      <c r="T113" s="176"/>
      <c r="U113" s="176"/>
      <c r="V113" s="176"/>
      <c r="W113" s="176"/>
      <c r="X113" s="176"/>
      <c r="Y113" s="176"/>
      <c r="Z113" s="176"/>
    </row>
    <row r="114">
      <c r="A114" s="226" t="s">
        <v>56</v>
      </c>
      <c r="B114" s="226" t="s">
        <v>590</v>
      </c>
      <c r="C114" s="250" t="s">
        <v>3325</v>
      </c>
      <c r="D114" s="268" t="s">
        <v>495</v>
      </c>
      <c r="E114" s="251">
        <v>44151.0</v>
      </c>
      <c r="F114" s="250" t="s">
        <v>496</v>
      </c>
      <c r="G114" s="176"/>
      <c r="H114" s="171">
        <v>5.0</v>
      </c>
      <c r="I114" s="171">
        <v>10.0</v>
      </c>
      <c r="J114" s="391">
        <f t="shared" si="2"/>
        <v>0.0003279755135</v>
      </c>
      <c r="K114" s="392">
        <f t="shared" si="3"/>
        <v>0.1738270222</v>
      </c>
      <c r="L114" s="327">
        <f t="shared" si="4"/>
        <v>15.46176208</v>
      </c>
      <c r="M114" s="321" t="str">
        <f t="shared" si="5"/>
        <v>rosamoc</v>
      </c>
      <c r="N114" s="176">
        <f>IFERROR(__xludf.DUMMYFUNCTION("""COMPUTED_VALUE"""),4.0)</f>
        <v>4</v>
      </c>
      <c r="O114" s="176"/>
      <c r="P114" s="176"/>
      <c r="Q114" s="176"/>
      <c r="R114" s="176"/>
      <c r="S114" s="176"/>
      <c r="T114" s="176"/>
      <c r="U114" s="176"/>
      <c r="V114" s="176"/>
      <c r="W114" s="176"/>
      <c r="X114" s="176"/>
      <c r="Y114" s="176"/>
      <c r="Z114" s="176"/>
    </row>
    <row r="115">
      <c r="A115" s="226" t="s">
        <v>87</v>
      </c>
      <c r="B115" s="226" t="s">
        <v>18</v>
      </c>
      <c r="C115" s="250" t="s">
        <v>3626</v>
      </c>
      <c r="D115" s="268" t="s">
        <v>495</v>
      </c>
      <c r="E115" s="251">
        <v>44148.0</v>
      </c>
      <c r="F115" s="250" t="s">
        <v>496</v>
      </c>
      <c r="G115" s="176"/>
      <c r="H115" s="171">
        <v>200.0</v>
      </c>
      <c r="I115" s="171">
        <v>250.0</v>
      </c>
      <c r="J115" s="391">
        <f t="shared" si="2"/>
        <v>0.009635509162</v>
      </c>
      <c r="K115" s="392">
        <f t="shared" si="3"/>
        <v>5.106819856</v>
      </c>
      <c r="L115" s="327">
        <f t="shared" si="4"/>
        <v>12.74219903</v>
      </c>
      <c r="M115" s="321" t="str">
        <f t="shared" si="5"/>
        <v>abchewey</v>
      </c>
      <c r="N115" s="176">
        <f>IFERROR(__xludf.DUMMYFUNCTION("""COMPUTED_VALUE"""),1.0)</f>
        <v>1</v>
      </c>
      <c r="O115" s="176"/>
      <c r="P115" s="176"/>
      <c r="Q115" s="176"/>
      <c r="R115" s="176"/>
      <c r="S115" s="176"/>
      <c r="T115" s="176"/>
      <c r="U115" s="176"/>
      <c r="V115" s="176"/>
      <c r="W115" s="176"/>
      <c r="X115" s="176"/>
      <c r="Y115" s="176"/>
      <c r="Z115" s="176"/>
    </row>
    <row r="116">
      <c r="A116" s="226" t="s">
        <v>87</v>
      </c>
      <c r="B116" s="226" t="s">
        <v>5</v>
      </c>
      <c r="C116" s="250" t="s">
        <v>3607</v>
      </c>
      <c r="D116" s="268" t="s">
        <v>495</v>
      </c>
      <c r="E116" s="251">
        <v>44151.0</v>
      </c>
      <c r="F116" s="250" t="s">
        <v>496</v>
      </c>
      <c r="G116" s="176"/>
      <c r="H116" s="171">
        <v>100.0</v>
      </c>
      <c r="I116" s="171">
        <v>80.0</v>
      </c>
      <c r="J116" s="391">
        <f t="shared" si="2"/>
        <v>0.003772701167</v>
      </c>
      <c r="K116" s="392">
        <f t="shared" si="3"/>
        <v>1.999531619</v>
      </c>
      <c r="L116" s="327">
        <f t="shared" si="4"/>
        <v>12.74219903</v>
      </c>
      <c r="M116" s="321" t="str">
        <f t="shared" si="5"/>
        <v>abchewey</v>
      </c>
      <c r="N116" s="176">
        <f>IFERROR(__xludf.DUMMYFUNCTION("""COMPUTED_VALUE"""),2.0)</f>
        <v>2</v>
      </c>
      <c r="O116" s="176"/>
      <c r="P116" s="176"/>
      <c r="Q116" s="176"/>
      <c r="R116" s="176"/>
      <c r="S116" s="176"/>
      <c r="T116" s="176"/>
      <c r="U116" s="176"/>
      <c r="V116" s="176"/>
      <c r="W116" s="176"/>
      <c r="X116" s="176"/>
      <c r="Y116" s="176"/>
      <c r="Z116" s="176"/>
    </row>
    <row r="117">
      <c r="A117" s="226" t="s">
        <v>87</v>
      </c>
      <c r="B117" s="226" t="s">
        <v>590</v>
      </c>
      <c r="C117" s="250" t="s">
        <v>3606</v>
      </c>
      <c r="D117" s="268" t="s">
        <v>495</v>
      </c>
      <c r="E117" s="251">
        <v>44153.0</v>
      </c>
      <c r="F117" s="250" t="s">
        <v>496</v>
      </c>
      <c r="G117" s="176"/>
      <c r="H117" s="171">
        <v>100.0</v>
      </c>
      <c r="I117" s="171">
        <v>80.0</v>
      </c>
      <c r="J117" s="391">
        <f t="shared" si="2"/>
        <v>0.003772701167</v>
      </c>
      <c r="K117" s="392">
        <f t="shared" si="3"/>
        <v>1.999531619</v>
      </c>
      <c r="L117" s="327">
        <f t="shared" si="4"/>
        <v>12.74219903</v>
      </c>
      <c r="M117" s="321" t="str">
        <f t="shared" si="5"/>
        <v>abchewey</v>
      </c>
      <c r="N117" s="176">
        <f>IFERROR(__xludf.DUMMYFUNCTION("""COMPUTED_VALUE"""),3.0)</f>
        <v>3</v>
      </c>
      <c r="O117" s="176"/>
      <c r="P117" s="176"/>
      <c r="Q117" s="176"/>
      <c r="R117" s="176"/>
      <c r="S117" s="176"/>
      <c r="T117" s="176"/>
      <c r="U117" s="176"/>
      <c r="V117" s="176"/>
      <c r="W117" s="176"/>
      <c r="X117" s="176"/>
      <c r="Y117" s="176"/>
      <c r="Z117" s="176"/>
    </row>
    <row r="118">
      <c r="A118" s="226" t="s">
        <v>87</v>
      </c>
      <c r="B118" s="226" t="s">
        <v>519</v>
      </c>
      <c r="C118" s="250" t="s">
        <v>3627</v>
      </c>
      <c r="D118" s="268" t="s">
        <v>495</v>
      </c>
      <c r="E118" s="251">
        <v>44147.0</v>
      </c>
      <c r="F118" s="250" t="s">
        <v>496</v>
      </c>
      <c r="G118" s="243"/>
      <c r="H118" s="171">
        <v>60.0</v>
      </c>
      <c r="I118" s="171">
        <v>60.0</v>
      </c>
      <c r="J118" s="391">
        <f t="shared" si="2"/>
        <v>0.002542301611</v>
      </c>
      <c r="K118" s="392">
        <f t="shared" si="3"/>
        <v>1.347419854</v>
      </c>
      <c r="L118" s="327">
        <f t="shared" si="4"/>
        <v>12.74219903</v>
      </c>
      <c r="M118" s="321" t="str">
        <f t="shared" si="5"/>
        <v>abchewey</v>
      </c>
      <c r="N118" s="176">
        <f>IFERROR(__xludf.DUMMYFUNCTION("""COMPUTED_VALUE"""),4.0)</f>
        <v>4</v>
      </c>
      <c r="O118" s="176"/>
      <c r="P118" s="176"/>
      <c r="Q118" s="176"/>
      <c r="R118" s="176"/>
      <c r="S118" s="176"/>
      <c r="T118" s="176"/>
      <c r="U118" s="176"/>
      <c r="V118" s="176"/>
      <c r="W118" s="176"/>
      <c r="X118" s="176"/>
      <c r="Y118" s="176"/>
      <c r="Z118" s="176"/>
    </row>
    <row r="119">
      <c r="A119" s="226" t="s">
        <v>87</v>
      </c>
      <c r="B119" s="226" t="s">
        <v>5</v>
      </c>
      <c r="C119" s="250" t="s">
        <v>3573</v>
      </c>
      <c r="D119" s="268" t="s">
        <v>495</v>
      </c>
      <c r="E119" s="251">
        <v>44147.0</v>
      </c>
      <c r="F119" s="250" t="s">
        <v>496</v>
      </c>
      <c r="G119" s="176"/>
      <c r="H119" s="171">
        <v>30.0</v>
      </c>
      <c r="I119" s="171">
        <v>60.0</v>
      </c>
      <c r="J119" s="391">
        <f t="shared" si="2"/>
        <v>0.001967853081</v>
      </c>
      <c r="K119" s="392">
        <f t="shared" si="3"/>
        <v>1.042962133</v>
      </c>
      <c r="L119" s="327">
        <f t="shared" si="4"/>
        <v>12.74219903</v>
      </c>
      <c r="M119" s="321" t="str">
        <f t="shared" si="5"/>
        <v>abchewey</v>
      </c>
      <c r="N119" s="176">
        <f>IFERROR(__xludf.DUMMYFUNCTION("""COMPUTED_VALUE"""),5.0)</f>
        <v>5</v>
      </c>
      <c r="O119" s="176"/>
      <c r="P119" s="176"/>
      <c r="Q119" s="176"/>
      <c r="R119" s="176"/>
      <c r="S119" s="176"/>
      <c r="T119" s="176"/>
      <c r="U119" s="176"/>
      <c r="V119" s="176"/>
      <c r="W119" s="176"/>
      <c r="X119" s="176"/>
      <c r="Y119" s="176"/>
      <c r="Z119" s="176"/>
    </row>
    <row r="120">
      <c r="A120" s="226" t="s">
        <v>87</v>
      </c>
      <c r="B120" s="226" t="s">
        <v>590</v>
      </c>
      <c r="C120" s="250" t="s">
        <v>3571</v>
      </c>
      <c r="D120" s="268" t="s">
        <v>495</v>
      </c>
      <c r="E120" s="251">
        <v>44155.0</v>
      </c>
      <c r="F120" s="250" t="s">
        <v>496</v>
      </c>
      <c r="G120" s="176"/>
      <c r="H120" s="171">
        <v>30.0</v>
      </c>
      <c r="I120" s="171">
        <v>30.0</v>
      </c>
      <c r="J120" s="391">
        <f t="shared" si="2"/>
        <v>0.001271150805</v>
      </c>
      <c r="K120" s="392">
        <f t="shared" si="3"/>
        <v>0.6737099268</v>
      </c>
      <c r="L120" s="327">
        <f t="shared" si="4"/>
        <v>12.74219903</v>
      </c>
      <c r="M120" s="321" t="str">
        <f t="shared" si="5"/>
        <v>abchewey</v>
      </c>
      <c r="N120" s="176">
        <f>IFERROR(__xludf.DUMMYFUNCTION("""COMPUTED_VALUE"""),6.0)</f>
        <v>6</v>
      </c>
      <c r="O120" s="176"/>
      <c r="P120" s="176"/>
      <c r="Q120" s="176"/>
      <c r="R120" s="176"/>
      <c r="S120" s="176"/>
      <c r="T120" s="176"/>
      <c r="U120" s="176"/>
      <c r="V120" s="176"/>
      <c r="W120" s="176"/>
      <c r="X120" s="176"/>
      <c r="Y120" s="176"/>
      <c r="Z120" s="176"/>
    </row>
    <row r="121">
      <c r="A121" s="226" t="s">
        <v>87</v>
      </c>
      <c r="B121" s="226" t="s">
        <v>6</v>
      </c>
      <c r="C121" s="250" t="s">
        <v>3589</v>
      </c>
      <c r="D121" s="268" t="s">
        <v>495</v>
      </c>
      <c r="E121" s="251">
        <v>44151.0</v>
      </c>
      <c r="F121" s="250" t="s">
        <v>496</v>
      </c>
      <c r="G121" s="176"/>
      <c r="H121" s="171">
        <v>20.0</v>
      </c>
      <c r="I121" s="171">
        <v>30.0</v>
      </c>
      <c r="J121" s="391">
        <f t="shared" si="2"/>
        <v>0.001079667962</v>
      </c>
      <c r="K121" s="392">
        <f t="shared" si="3"/>
        <v>0.5722240199</v>
      </c>
      <c r="L121" s="327">
        <f t="shared" si="4"/>
        <v>12.74219903</v>
      </c>
      <c r="M121" s="321" t="str">
        <f t="shared" si="5"/>
        <v>abchewey</v>
      </c>
      <c r="N121" s="176">
        <f>IFERROR(__xludf.DUMMYFUNCTION("""COMPUTED_VALUE"""),7.0)</f>
        <v>7</v>
      </c>
      <c r="O121" s="176"/>
      <c r="P121" s="176"/>
      <c r="Q121" s="176"/>
      <c r="R121" s="176"/>
      <c r="S121" s="176"/>
      <c r="T121" s="176"/>
      <c r="U121" s="176"/>
      <c r="V121" s="176"/>
      <c r="W121" s="176"/>
      <c r="X121" s="176"/>
      <c r="Y121" s="176"/>
      <c r="Z121" s="176"/>
    </row>
    <row r="122">
      <c r="A122" s="226" t="s">
        <v>78</v>
      </c>
      <c r="B122" s="226" t="s">
        <v>590</v>
      </c>
      <c r="C122" s="250" t="s">
        <v>3628</v>
      </c>
      <c r="D122" s="268" t="s">
        <v>495</v>
      </c>
      <c r="E122" s="251">
        <v>44155.0</v>
      </c>
      <c r="F122" s="250" t="s">
        <v>592</v>
      </c>
      <c r="G122" s="176"/>
      <c r="H122" s="171">
        <v>500.0</v>
      </c>
      <c r="I122" s="171">
        <v>500.0</v>
      </c>
      <c r="J122" s="391">
        <f t="shared" si="2"/>
        <v>0.02118584676</v>
      </c>
      <c r="K122" s="392">
        <f t="shared" si="3"/>
        <v>11.22849878</v>
      </c>
      <c r="L122" s="327">
        <f t="shared" si="4"/>
        <v>11.22849878</v>
      </c>
      <c r="M122" s="321" t="str">
        <f t="shared" si="5"/>
        <v>jonathanbsci</v>
      </c>
      <c r="N122" s="176">
        <f>IFERROR(__xludf.DUMMYFUNCTION("""COMPUTED_VALUE"""),1.0)</f>
        <v>1</v>
      </c>
      <c r="O122" s="176"/>
      <c r="P122" s="176"/>
      <c r="Q122" s="176"/>
      <c r="R122" s="176"/>
      <c r="S122" s="176"/>
      <c r="T122" s="176"/>
      <c r="U122" s="176"/>
      <c r="V122" s="176"/>
      <c r="W122" s="176"/>
      <c r="X122" s="176"/>
      <c r="Y122" s="176"/>
      <c r="Z122" s="176"/>
    </row>
    <row r="123">
      <c r="A123" s="226" t="s">
        <v>9</v>
      </c>
      <c r="B123" s="226" t="s">
        <v>519</v>
      </c>
      <c r="C123" s="250" t="s">
        <v>3629</v>
      </c>
      <c r="D123" s="268" t="s">
        <v>495</v>
      </c>
      <c r="E123" s="251">
        <v>44147.0</v>
      </c>
      <c r="F123" s="250" t="s">
        <v>496</v>
      </c>
      <c r="G123" s="243"/>
      <c r="H123" s="171">
        <v>200.0</v>
      </c>
      <c r="I123" s="171">
        <v>150.0</v>
      </c>
      <c r="J123" s="391">
        <f t="shared" si="2"/>
        <v>0.007313168242</v>
      </c>
      <c r="K123" s="392">
        <f t="shared" si="3"/>
        <v>3.875979168</v>
      </c>
      <c r="L123" s="327">
        <f t="shared" si="4"/>
        <v>8.512060911</v>
      </c>
      <c r="M123" s="321" t="str">
        <f t="shared" si="5"/>
        <v>akrtws</v>
      </c>
      <c r="N123" s="176">
        <f>IFERROR(__xludf.DUMMYFUNCTION("""COMPUTED_VALUE"""),1.0)</f>
        <v>1</v>
      </c>
      <c r="O123" s="176"/>
      <c r="P123" s="176"/>
      <c r="Q123" s="176"/>
      <c r="R123" s="176"/>
      <c r="S123" s="176"/>
      <c r="T123" s="176"/>
      <c r="U123" s="176"/>
      <c r="V123" s="176"/>
      <c r="W123" s="176"/>
      <c r="X123" s="176"/>
      <c r="Y123" s="176"/>
      <c r="Z123" s="176"/>
    </row>
    <row r="124">
      <c r="A124" s="226" t="s">
        <v>9</v>
      </c>
      <c r="B124" s="226" t="s">
        <v>519</v>
      </c>
      <c r="C124" s="250" t="s">
        <v>3630</v>
      </c>
      <c r="D124" s="268" t="s">
        <v>495</v>
      </c>
      <c r="E124" s="251">
        <v>44147.0</v>
      </c>
      <c r="F124" s="250" t="s">
        <v>496</v>
      </c>
      <c r="G124" s="243"/>
      <c r="H124" s="171">
        <v>100.0</v>
      </c>
      <c r="I124" s="171">
        <v>150.0</v>
      </c>
      <c r="J124" s="391">
        <f t="shared" si="2"/>
        <v>0.005398339811</v>
      </c>
      <c r="K124" s="392">
        <f t="shared" si="3"/>
        <v>2.8611201</v>
      </c>
      <c r="L124" s="327">
        <f t="shared" si="4"/>
        <v>8.512060911</v>
      </c>
      <c r="M124" s="321" t="str">
        <f t="shared" si="5"/>
        <v>akrtws</v>
      </c>
      <c r="N124" s="176">
        <f>IFERROR(__xludf.DUMMYFUNCTION("""COMPUTED_VALUE"""),2.0)</f>
        <v>2</v>
      </c>
      <c r="O124" s="176"/>
      <c r="P124" s="176"/>
      <c r="Q124" s="176"/>
      <c r="R124" s="176"/>
      <c r="S124" s="176"/>
      <c r="T124" s="176"/>
      <c r="U124" s="176"/>
      <c r="V124" s="176"/>
      <c r="W124" s="176"/>
      <c r="X124" s="176"/>
      <c r="Y124" s="176"/>
      <c r="Z124" s="176"/>
    </row>
    <row r="125">
      <c r="A125" s="226" t="s">
        <v>9</v>
      </c>
      <c r="B125" s="226" t="s">
        <v>519</v>
      </c>
      <c r="C125" s="250" t="s">
        <v>3631</v>
      </c>
      <c r="D125" s="268" t="s">
        <v>495</v>
      </c>
      <c r="E125" s="251">
        <v>44147.0</v>
      </c>
      <c r="F125" s="250" t="s">
        <v>496</v>
      </c>
      <c r="G125" s="243"/>
      <c r="H125" s="171">
        <v>60.0</v>
      </c>
      <c r="I125" s="171">
        <v>40.0</v>
      </c>
      <c r="J125" s="391">
        <f t="shared" si="2"/>
        <v>0.002077833427</v>
      </c>
      <c r="K125" s="392">
        <f t="shared" si="3"/>
        <v>1.101251716</v>
      </c>
      <c r="L125" s="327">
        <f t="shared" si="4"/>
        <v>8.512060911</v>
      </c>
      <c r="M125" s="321" t="str">
        <f t="shared" si="5"/>
        <v>akrtws</v>
      </c>
      <c r="N125" s="176">
        <f>IFERROR(__xludf.DUMMYFUNCTION("""COMPUTED_VALUE"""),3.0)</f>
        <v>3</v>
      </c>
      <c r="O125" s="176"/>
      <c r="P125" s="176"/>
      <c r="Q125" s="176"/>
      <c r="R125" s="176"/>
      <c r="S125" s="176"/>
      <c r="T125" s="176"/>
      <c r="U125" s="176"/>
      <c r="V125" s="176"/>
      <c r="W125" s="176"/>
      <c r="X125" s="176"/>
      <c r="Y125" s="176"/>
      <c r="Z125" s="176"/>
    </row>
    <row r="126">
      <c r="A126" s="226" t="s">
        <v>9</v>
      </c>
      <c r="B126" s="226" t="s">
        <v>29</v>
      </c>
      <c r="C126" s="250" t="s">
        <v>3632</v>
      </c>
      <c r="D126" s="268" t="s">
        <v>495</v>
      </c>
      <c r="E126" s="251">
        <v>44154.0</v>
      </c>
      <c r="F126" s="250" t="s">
        <v>592</v>
      </c>
      <c r="G126" s="176"/>
      <c r="H126" s="171">
        <v>30.0</v>
      </c>
      <c r="I126" s="171">
        <v>30.0</v>
      </c>
      <c r="J126" s="391">
        <f t="shared" si="2"/>
        <v>0.001271150805</v>
      </c>
      <c r="K126" s="392">
        <f t="shared" si="3"/>
        <v>0.6737099268</v>
      </c>
      <c r="L126" s="327">
        <f t="shared" si="4"/>
        <v>8.512060911</v>
      </c>
      <c r="M126" s="321" t="str">
        <f t="shared" si="5"/>
        <v>akrtws</v>
      </c>
      <c r="N126" s="176">
        <f>IFERROR(__xludf.DUMMYFUNCTION("""COMPUTED_VALUE"""),4.0)</f>
        <v>4</v>
      </c>
      <c r="O126" s="176"/>
      <c r="P126" s="176"/>
      <c r="Q126" s="176"/>
      <c r="R126" s="176"/>
      <c r="S126" s="176"/>
      <c r="T126" s="176"/>
      <c r="U126" s="176"/>
      <c r="V126" s="176"/>
      <c r="W126" s="176"/>
      <c r="X126" s="176"/>
      <c r="Y126" s="176"/>
      <c r="Z126" s="176"/>
    </row>
    <row r="127">
      <c r="A127" s="226" t="s">
        <v>60</v>
      </c>
      <c r="B127" s="226" t="s">
        <v>18</v>
      </c>
      <c r="C127" s="250" t="s">
        <v>3633</v>
      </c>
      <c r="D127" s="268" t="s">
        <v>495</v>
      </c>
      <c r="E127" s="251">
        <v>44153.0</v>
      </c>
      <c r="F127" s="250" t="s">
        <v>496</v>
      </c>
      <c r="G127" s="176"/>
      <c r="H127" s="171">
        <v>450.0</v>
      </c>
      <c r="I127" s="171">
        <v>300.0</v>
      </c>
      <c r="J127" s="391">
        <f t="shared" si="2"/>
        <v>0.0155837507</v>
      </c>
      <c r="K127" s="392">
        <f t="shared" si="3"/>
        <v>8.259387871</v>
      </c>
      <c r="L127" s="327">
        <f t="shared" si="4"/>
        <v>8.371672859</v>
      </c>
      <c r="M127" s="321" t="str">
        <f t="shared" si="5"/>
        <v>niranb</v>
      </c>
      <c r="N127" s="176">
        <f>IFERROR(__xludf.DUMMYFUNCTION("""COMPUTED_VALUE"""),1.0)</f>
        <v>1</v>
      </c>
      <c r="O127" s="176"/>
      <c r="P127" s="176"/>
      <c r="Q127" s="176"/>
      <c r="R127" s="176"/>
      <c r="S127" s="176"/>
      <c r="T127" s="176"/>
      <c r="U127" s="176"/>
      <c r="V127" s="176"/>
      <c r="W127" s="176"/>
      <c r="X127" s="176"/>
      <c r="Y127" s="176"/>
      <c r="Z127" s="176"/>
    </row>
    <row r="128">
      <c r="A128" s="226" t="s">
        <v>60</v>
      </c>
      <c r="B128" s="226" t="s">
        <v>590</v>
      </c>
      <c r="C128" s="250" t="s">
        <v>3634</v>
      </c>
      <c r="D128" s="268" t="s">
        <v>495</v>
      </c>
      <c r="E128" s="251">
        <v>44153.0</v>
      </c>
      <c r="F128" s="250" t="s">
        <v>496</v>
      </c>
      <c r="G128" s="176"/>
      <c r="H128" s="171">
        <v>5.0</v>
      </c>
      <c r="I128" s="171">
        <v>5.0</v>
      </c>
      <c r="J128" s="391">
        <f t="shared" si="2"/>
        <v>0.0002118584676</v>
      </c>
      <c r="K128" s="392">
        <f t="shared" si="3"/>
        <v>0.1122849878</v>
      </c>
      <c r="L128" s="327">
        <f t="shared" si="4"/>
        <v>8.371672859</v>
      </c>
      <c r="M128" s="321" t="str">
        <f t="shared" si="5"/>
        <v>niranb</v>
      </c>
      <c r="N128" s="176">
        <f>IFERROR(__xludf.DUMMYFUNCTION("""COMPUTED_VALUE"""),2.0)</f>
        <v>2</v>
      </c>
      <c r="O128" s="176"/>
      <c r="P128" s="176"/>
      <c r="Q128" s="176"/>
      <c r="R128" s="176"/>
      <c r="S128" s="176"/>
      <c r="T128" s="176"/>
      <c r="U128" s="176"/>
      <c r="V128" s="176"/>
      <c r="W128" s="176"/>
      <c r="X128" s="176"/>
      <c r="Y128" s="176"/>
      <c r="Z128" s="176"/>
    </row>
    <row r="129">
      <c r="A129" s="226" t="s">
        <v>8</v>
      </c>
      <c r="B129" s="226" t="s">
        <v>590</v>
      </c>
      <c r="C129" s="250" t="s">
        <v>3571</v>
      </c>
      <c r="D129" s="268" t="s">
        <v>495</v>
      </c>
      <c r="E129" s="251">
        <v>44155.0</v>
      </c>
      <c r="F129" s="250" t="s">
        <v>496</v>
      </c>
      <c r="G129" s="176"/>
      <c r="H129" s="171">
        <v>250.0</v>
      </c>
      <c r="I129" s="171">
        <v>100.0</v>
      </c>
      <c r="J129" s="391">
        <f t="shared" si="2"/>
        <v>0.007109411998</v>
      </c>
      <c r="K129" s="392">
        <f t="shared" si="3"/>
        <v>3.767988359</v>
      </c>
      <c r="L129" s="327">
        <f t="shared" si="4"/>
        <v>7.911733827</v>
      </c>
      <c r="M129" s="321" t="str">
        <f t="shared" si="5"/>
        <v>solsista</v>
      </c>
      <c r="N129" s="176">
        <f>IFERROR(__xludf.DUMMYFUNCTION("""COMPUTED_VALUE"""),1.0)</f>
        <v>1</v>
      </c>
      <c r="O129" s="176"/>
      <c r="P129" s="176"/>
      <c r="Q129" s="176"/>
      <c r="R129" s="176"/>
      <c r="S129" s="176"/>
      <c r="T129" s="176"/>
      <c r="U129" s="176"/>
      <c r="V129" s="176"/>
      <c r="W129" s="176"/>
      <c r="X129" s="176"/>
      <c r="Y129" s="176"/>
      <c r="Z129" s="176"/>
    </row>
    <row r="130">
      <c r="A130" s="226" t="s">
        <v>8</v>
      </c>
      <c r="B130" s="226" t="s">
        <v>519</v>
      </c>
      <c r="C130" s="250" t="s">
        <v>3630</v>
      </c>
      <c r="D130" s="268" t="s">
        <v>495</v>
      </c>
      <c r="E130" s="251">
        <v>44147.0</v>
      </c>
      <c r="F130" s="250" t="s">
        <v>496</v>
      </c>
      <c r="G130" s="243"/>
      <c r="H130" s="171">
        <v>100.0</v>
      </c>
      <c r="I130" s="171">
        <v>100.0</v>
      </c>
      <c r="J130" s="391">
        <f t="shared" si="2"/>
        <v>0.004237169351</v>
      </c>
      <c r="K130" s="392">
        <f t="shared" si="3"/>
        <v>2.245699756</v>
      </c>
      <c r="L130" s="327">
        <f t="shared" si="4"/>
        <v>7.911733827</v>
      </c>
      <c r="M130" s="321" t="str">
        <f t="shared" si="5"/>
        <v>solsista</v>
      </c>
      <c r="N130" s="176">
        <f>IFERROR(__xludf.DUMMYFUNCTION("""COMPUTED_VALUE"""),2.0)</f>
        <v>2</v>
      </c>
      <c r="O130" s="176"/>
      <c r="P130" s="176"/>
      <c r="Q130" s="176"/>
      <c r="R130" s="176"/>
      <c r="S130" s="176"/>
      <c r="T130" s="176"/>
      <c r="U130" s="176"/>
      <c r="V130" s="176"/>
      <c r="W130" s="176"/>
      <c r="X130" s="176"/>
      <c r="Y130" s="176"/>
      <c r="Z130" s="176"/>
    </row>
    <row r="131">
      <c r="A131" s="226" t="s">
        <v>8</v>
      </c>
      <c r="B131" s="226" t="s">
        <v>519</v>
      </c>
      <c r="C131" s="250" t="s">
        <v>3635</v>
      </c>
      <c r="D131" s="268" t="s">
        <v>495</v>
      </c>
      <c r="E131" s="361">
        <v>44143.0</v>
      </c>
      <c r="F131" s="250" t="s">
        <v>521</v>
      </c>
      <c r="G131" s="243"/>
      <c r="H131" s="171">
        <v>60.0</v>
      </c>
      <c r="I131" s="171">
        <v>50.0</v>
      </c>
      <c r="J131" s="391">
        <f t="shared" si="2"/>
        <v>0.002310067519</v>
      </c>
      <c r="K131" s="392">
        <f t="shared" si="3"/>
        <v>1.224335785</v>
      </c>
      <c r="L131" s="327">
        <f t="shared" si="4"/>
        <v>7.911733827</v>
      </c>
      <c r="M131" s="321" t="str">
        <f t="shared" si="5"/>
        <v>solsista</v>
      </c>
      <c r="N131" s="176">
        <f>IFERROR(__xludf.DUMMYFUNCTION("""COMPUTED_VALUE"""),3.0)</f>
        <v>3</v>
      </c>
      <c r="O131" s="176"/>
      <c r="P131" s="176"/>
      <c r="Q131" s="176"/>
      <c r="R131" s="176"/>
      <c r="S131" s="176"/>
      <c r="T131" s="176"/>
      <c r="U131" s="176"/>
      <c r="V131" s="176"/>
      <c r="W131" s="176"/>
      <c r="X131" s="176"/>
      <c r="Y131" s="176"/>
      <c r="Z131" s="176"/>
    </row>
    <row r="132">
      <c r="A132" s="226" t="s">
        <v>8</v>
      </c>
      <c r="B132" s="226" t="s">
        <v>29</v>
      </c>
      <c r="C132" s="250" t="s">
        <v>3632</v>
      </c>
      <c r="D132" s="268" t="s">
        <v>495</v>
      </c>
      <c r="E132" s="251">
        <v>44154.0</v>
      </c>
      <c r="F132" s="250" t="s">
        <v>592</v>
      </c>
      <c r="G132" s="176"/>
      <c r="H132" s="171">
        <v>30.0</v>
      </c>
      <c r="I132" s="171">
        <v>30.0</v>
      </c>
      <c r="J132" s="391">
        <f t="shared" si="2"/>
        <v>0.001271150805</v>
      </c>
      <c r="K132" s="392">
        <f t="shared" si="3"/>
        <v>0.6737099268</v>
      </c>
      <c r="L132" s="327">
        <f t="shared" si="4"/>
        <v>7.911733827</v>
      </c>
      <c r="M132" s="321" t="str">
        <f t="shared" si="5"/>
        <v>solsista</v>
      </c>
      <c r="N132" s="176">
        <f>IFERROR(__xludf.DUMMYFUNCTION("""COMPUTED_VALUE"""),4.0)</f>
        <v>4</v>
      </c>
      <c r="O132" s="176"/>
      <c r="P132" s="176"/>
      <c r="Q132" s="176"/>
      <c r="R132" s="176"/>
      <c r="S132" s="176"/>
      <c r="T132" s="176"/>
      <c r="U132" s="176"/>
      <c r="V132" s="176"/>
      <c r="W132" s="176"/>
      <c r="X132" s="176"/>
      <c r="Y132" s="176"/>
      <c r="Z132" s="176"/>
    </row>
    <row r="133">
      <c r="A133" s="226" t="s">
        <v>105</v>
      </c>
      <c r="B133" s="226" t="s">
        <v>868</v>
      </c>
      <c r="C133" s="250" t="s">
        <v>3568</v>
      </c>
      <c r="D133" s="268" t="s">
        <v>495</v>
      </c>
      <c r="E133" s="251">
        <v>44148.0</v>
      </c>
      <c r="F133" s="250" t="s">
        <v>496</v>
      </c>
      <c r="G133" s="176"/>
      <c r="H133" s="171">
        <v>150.0</v>
      </c>
      <c r="I133" s="171">
        <v>100.0</v>
      </c>
      <c r="J133" s="391">
        <f t="shared" si="2"/>
        <v>0.005194583567</v>
      </c>
      <c r="K133" s="392">
        <f t="shared" si="3"/>
        <v>2.75312929</v>
      </c>
      <c r="L133" s="327">
        <f t="shared" si="4"/>
        <v>7.81024792</v>
      </c>
      <c r="M133" s="321" t="str">
        <f t="shared" si="5"/>
        <v>marinam00</v>
      </c>
      <c r="N133" s="176">
        <f>IFERROR(__xludf.DUMMYFUNCTION("""COMPUTED_VALUE"""),1.0)</f>
        <v>1</v>
      </c>
      <c r="O133" s="176"/>
      <c r="P133" s="176"/>
      <c r="Q133" s="176"/>
      <c r="R133" s="176"/>
      <c r="S133" s="176"/>
      <c r="T133" s="176"/>
      <c r="U133" s="176"/>
      <c r="V133" s="176"/>
      <c r="W133" s="176"/>
      <c r="X133" s="176"/>
      <c r="Y133" s="176"/>
      <c r="Z133" s="176"/>
    </row>
    <row r="134">
      <c r="A134" s="226" t="s">
        <v>105</v>
      </c>
      <c r="B134" s="226" t="s">
        <v>18</v>
      </c>
      <c r="C134" s="250" t="s">
        <v>3575</v>
      </c>
      <c r="D134" s="268" t="s">
        <v>495</v>
      </c>
      <c r="E134" s="361">
        <v>44141.0</v>
      </c>
      <c r="F134" s="250" t="s">
        <v>496</v>
      </c>
      <c r="G134" s="243"/>
      <c r="H134" s="171">
        <v>140.0</v>
      </c>
      <c r="I134" s="171">
        <v>80.0</v>
      </c>
      <c r="J134" s="391">
        <f t="shared" si="2"/>
        <v>0.00453863254</v>
      </c>
      <c r="K134" s="392">
        <f t="shared" si="3"/>
        <v>2.405475246</v>
      </c>
      <c r="L134" s="327">
        <f t="shared" si="4"/>
        <v>7.81024792</v>
      </c>
      <c r="M134" s="321" t="str">
        <f t="shared" si="5"/>
        <v>marinam00</v>
      </c>
      <c r="N134" s="176">
        <f>IFERROR(__xludf.DUMMYFUNCTION("""COMPUTED_VALUE"""),2.0)</f>
        <v>2</v>
      </c>
      <c r="O134" s="176"/>
      <c r="P134" s="176"/>
      <c r="Q134" s="176"/>
      <c r="R134" s="176"/>
      <c r="S134" s="176"/>
      <c r="T134" s="176"/>
      <c r="U134" s="176"/>
      <c r="V134" s="176"/>
      <c r="W134" s="176"/>
      <c r="X134" s="176"/>
      <c r="Y134" s="176"/>
      <c r="Z134" s="176"/>
    </row>
    <row r="135">
      <c r="A135" s="226" t="s">
        <v>105</v>
      </c>
      <c r="B135" s="226" t="s">
        <v>868</v>
      </c>
      <c r="C135" s="250" t="s">
        <v>3585</v>
      </c>
      <c r="D135" s="268" t="s">
        <v>495</v>
      </c>
      <c r="E135" s="251">
        <v>44153.0</v>
      </c>
      <c r="F135" s="250" t="s">
        <v>496</v>
      </c>
      <c r="G135" s="176"/>
      <c r="H135" s="171">
        <v>120.0</v>
      </c>
      <c r="I135" s="171">
        <v>80.0</v>
      </c>
      <c r="J135" s="391">
        <f t="shared" si="2"/>
        <v>0.004155666853</v>
      </c>
      <c r="K135" s="392">
        <f t="shared" si="3"/>
        <v>2.202503432</v>
      </c>
      <c r="L135" s="327">
        <f t="shared" si="4"/>
        <v>7.81024792</v>
      </c>
      <c r="M135" s="321" t="str">
        <f t="shared" si="5"/>
        <v>marinam00</v>
      </c>
      <c r="N135" s="176">
        <f>IFERROR(__xludf.DUMMYFUNCTION("""COMPUTED_VALUE"""),3.0)</f>
        <v>3</v>
      </c>
      <c r="O135" s="176"/>
      <c r="P135" s="176"/>
      <c r="Q135" s="176"/>
      <c r="R135" s="176"/>
      <c r="S135" s="176"/>
      <c r="T135" s="176"/>
      <c r="U135" s="176"/>
      <c r="V135" s="176"/>
      <c r="W135" s="176"/>
      <c r="X135" s="176"/>
      <c r="Y135" s="176"/>
      <c r="Z135" s="176"/>
    </row>
    <row r="136">
      <c r="A136" s="226" t="s">
        <v>105</v>
      </c>
      <c r="B136" s="226" t="s">
        <v>590</v>
      </c>
      <c r="C136" s="250" t="s">
        <v>3636</v>
      </c>
      <c r="D136" s="268" t="s">
        <v>495</v>
      </c>
      <c r="E136" s="361">
        <v>44141.0</v>
      </c>
      <c r="F136" s="250" t="s">
        <v>496</v>
      </c>
      <c r="G136" s="243"/>
      <c r="H136" s="171">
        <v>20.0</v>
      </c>
      <c r="I136" s="171">
        <v>20.0</v>
      </c>
      <c r="J136" s="391">
        <f t="shared" si="2"/>
        <v>0.0008474338702</v>
      </c>
      <c r="K136" s="392">
        <f t="shared" si="3"/>
        <v>0.4491399512</v>
      </c>
      <c r="L136" s="327">
        <f t="shared" si="4"/>
        <v>7.81024792</v>
      </c>
      <c r="M136" s="321" t="str">
        <f t="shared" si="5"/>
        <v>marinam00</v>
      </c>
      <c r="N136" s="176">
        <f>IFERROR(__xludf.DUMMYFUNCTION("""COMPUTED_VALUE"""),4.0)</f>
        <v>4</v>
      </c>
      <c r="O136" s="176"/>
      <c r="P136" s="176"/>
      <c r="Q136" s="176"/>
      <c r="R136" s="176"/>
      <c r="S136" s="176"/>
      <c r="T136" s="176"/>
      <c r="U136" s="176"/>
      <c r="V136" s="176"/>
      <c r="W136" s="176"/>
      <c r="X136" s="176"/>
      <c r="Y136" s="176"/>
      <c r="Z136" s="176"/>
    </row>
    <row r="137">
      <c r="A137" s="226" t="s">
        <v>83</v>
      </c>
      <c r="B137" s="226" t="s">
        <v>868</v>
      </c>
      <c r="C137" s="250" t="s">
        <v>3568</v>
      </c>
      <c r="D137" s="268" t="s">
        <v>495</v>
      </c>
      <c r="E137" s="251">
        <v>44148.0</v>
      </c>
      <c r="F137" s="250" t="s">
        <v>496</v>
      </c>
      <c r="G137" s="176"/>
      <c r="H137" s="171">
        <v>150.0</v>
      </c>
      <c r="I137" s="171">
        <v>100.0</v>
      </c>
      <c r="J137" s="391">
        <f t="shared" si="2"/>
        <v>0.005194583567</v>
      </c>
      <c r="K137" s="392">
        <f t="shared" si="3"/>
        <v>2.75312929</v>
      </c>
      <c r="L137" s="327">
        <f t="shared" si="4"/>
        <v>7.361107969</v>
      </c>
      <c r="M137" s="321" t="str">
        <f t="shared" si="5"/>
        <v>anjablaj</v>
      </c>
      <c r="N137" s="176">
        <f>IFERROR(__xludf.DUMMYFUNCTION("""COMPUTED_VALUE"""),1.0)</f>
        <v>1</v>
      </c>
      <c r="O137" s="176"/>
      <c r="P137" s="176"/>
      <c r="Q137" s="176"/>
      <c r="R137" s="176"/>
      <c r="S137" s="176"/>
      <c r="T137" s="176"/>
      <c r="U137" s="176"/>
      <c r="V137" s="176"/>
      <c r="W137" s="176"/>
      <c r="X137" s="176"/>
      <c r="Y137" s="176"/>
      <c r="Z137" s="176"/>
    </row>
    <row r="138">
      <c r="A138" s="226" t="s">
        <v>83</v>
      </c>
      <c r="B138" s="226" t="s">
        <v>18</v>
      </c>
      <c r="C138" s="250" t="s">
        <v>3575</v>
      </c>
      <c r="D138" s="268" t="s">
        <v>495</v>
      </c>
      <c r="E138" s="361">
        <v>44141.0</v>
      </c>
      <c r="F138" s="250" t="s">
        <v>496</v>
      </c>
      <c r="G138" s="243"/>
      <c r="H138" s="171">
        <v>140.0</v>
      </c>
      <c r="I138" s="171">
        <v>80.0</v>
      </c>
      <c r="J138" s="391">
        <f t="shared" si="2"/>
        <v>0.00453863254</v>
      </c>
      <c r="K138" s="392">
        <f t="shared" si="3"/>
        <v>2.405475246</v>
      </c>
      <c r="L138" s="327">
        <f t="shared" si="4"/>
        <v>7.361107969</v>
      </c>
      <c r="M138" s="321" t="str">
        <f t="shared" si="5"/>
        <v>anjablaj</v>
      </c>
      <c r="N138" s="176">
        <f>IFERROR(__xludf.DUMMYFUNCTION("""COMPUTED_VALUE"""),2.0)</f>
        <v>2</v>
      </c>
      <c r="O138" s="176"/>
      <c r="P138" s="176"/>
      <c r="Q138" s="176"/>
      <c r="R138" s="176"/>
      <c r="S138" s="176"/>
      <c r="T138" s="176"/>
      <c r="U138" s="176"/>
      <c r="V138" s="176"/>
      <c r="W138" s="176"/>
      <c r="X138" s="176"/>
      <c r="Y138" s="176"/>
      <c r="Z138" s="176"/>
    </row>
    <row r="139">
      <c r="A139" s="226" t="s">
        <v>83</v>
      </c>
      <c r="B139" s="226" t="s">
        <v>868</v>
      </c>
      <c r="C139" s="250" t="s">
        <v>3585</v>
      </c>
      <c r="D139" s="268" t="s">
        <v>495</v>
      </c>
      <c r="E139" s="251">
        <v>44153.0</v>
      </c>
      <c r="F139" s="250" t="s">
        <v>496</v>
      </c>
      <c r="G139" s="176"/>
      <c r="H139" s="171">
        <v>120.0</v>
      </c>
      <c r="I139" s="171">
        <v>80.0</v>
      </c>
      <c r="J139" s="391">
        <f t="shared" si="2"/>
        <v>0.004155666853</v>
      </c>
      <c r="K139" s="392">
        <f t="shared" si="3"/>
        <v>2.202503432</v>
      </c>
      <c r="L139" s="327">
        <f t="shared" si="4"/>
        <v>7.361107969</v>
      </c>
      <c r="M139" s="321" t="str">
        <f t="shared" si="5"/>
        <v>anjablaj</v>
      </c>
      <c r="N139" s="176">
        <f>IFERROR(__xludf.DUMMYFUNCTION("""COMPUTED_VALUE"""),3.0)</f>
        <v>3</v>
      </c>
      <c r="O139" s="176"/>
      <c r="P139" s="176"/>
      <c r="Q139" s="176"/>
      <c r="R139" s="176"/>
      <c r="S139" s="176"/>
      <c r="T139" s="176"/>
      <c r="U139" s="176"/>
      <c r="V139" s="176"/>
      <c r="W139" s="176"/>
      <c r="X139" s="176"/>
      <c r="Y139" s="176"/>
      <c r="Z139" s="176"/>
    </row>
    <row r="140">
      <c r="A140" s="226" t="s">
        <v>42</v>
      </c>
      <c r="B140" s="226" t="s">
        <v>590</v>
      </c>
      <c r="C140" s="250" t="s">
        <v>3637</v>
      </c>
      <c r="D140" s="268" t="s">
        <v>495</v>
      </c>
      <c r="E140" s="251">
        <v>44154.0</v>
      </c>
      <c r="F140" s="250" t="s">
        <v>496</v>
      </c>
      <c r="G140" s="176"/>
      <c r="H140" s="171">
        <v>200.0</v>
      </c>
      <c r="I140" s="171">
        <v>150.0</v>
      </c>
      <c r="J140" s="391">
        <f t="shared" si="2"/>
        <v>0.007313168242</v>
      </c>
      <c r="K140" s="392">
        <f t="shared" si="3"/>
        <v>3.875979168</v>
      </c>
      <c r="L140" s="327">
        <f t="shared" si="4"/>
        <v>7.325458275</v>
      </c>
      <c r="M140" s="321" t="str">
        <f t="shared" si="5"/>
        <v>tannra</v>
      </c>
      <c r="N140" s="176">
        <f>IFERROR(__xludf.DUMMYFUNCTION("""COMPUTED_VALUE"""),1.0)</f>
        <v>1</v>
      </c>
      <c r="O140" s="176"/>
      <c r="P140" s="176"/>
      <c r="Q140" s="176"/>
      <c r="R140" s="176"/>
      <c r="S140" s="176"/>
      <c r="T140" s="176"/>
      <c r="U140" s="176"/>
      <c r="V140" s="176"/>
      <c r="W140" s="176"/>
      <c r="X140" s="176"/>
      <c r="Y140" s="176"/>
      <c r="Z140" s="176"/>
    </row>
    <row r="141">
      <c r="A141" s="226" t="s">
        <v>42</v>
      </c>
      <c r="B141" s="226" t="s">
        <v>590</v>
      </c>
      <c r="C141" s="250" t="s">
        <v>3571</v>
      </c>
      <c r="D141" s="268" t="s">
        <v>495</v>
      </c>
      <c r="E141" s="251">
        <v>44155.0</v>
      </c>
      <c r="F141" s="250" t="s">
        <v>496</v>
      </c>
      <c r="G141" s="176"/>
      <c r="H141" s="171">
        <v>250.0</v>
      </c>
      <c r="I141" s="171">
        <v>60.0</v>
      </c>
      <c r="J141" s="391">
        <f t="shared" si="2"/>
        <v>0.00618047563</v>
      </c>
      <c r="K141" s="392">
        <f t="shared" si="3"/>
        <v>3.275652084</v>
      </c>
      <c r="L141" s="327">
        <f t="shared" si="4"/>
        <v>7.325458275</v>
      </c>
      <c r="M141" s="321" t="str">
        <f t="shared" si="5"/>
        <v>tannra</v>
      </c>
      <c r="N141" s="176">
        <f>IFERROR(__xludf.DUMMYFUNCTION("""COMPUTED_VALUE"""),2.0)</f>
        <v>2</v>
      </c>
      <c r="O141" s="176"/>
      <c r="P141" s="176"/>
      <c r="Q141" s="176"/>
      <c r="R141" s="176"/>
      <c r="S141" s="176"/>
      <c r="T141" s="176"/>
      <c r="U141" s="176"/>
      <c r="V141" s="176"/>
      <c r="W141" s="176"/>
      <c r="X141" s="176"/>
      <c r="Y141" s="176"/>
      <c r="Z141" s="176"/>
    </row>
    <row r="142">
      <c r="A142" s="226" t="s">
        <v>42</v>
      </c>
      <c r="B142" s="226" t="s">
        <v>590</v>
      </c>
      <c r="C142" s="250" t="s">
        <v>3638</v>
      </c>
      <c r="D142" s="268" t="s">
        <v>495</v>
      </c>
      <c r="E142" s="251">
        <v>44154.0</v>
      </c>
      <c r="F142" s="250" t="s">
        <v>496</v>
      </c>
      <c r="G142" s="176"/>
      <c r="H142" s="171">
        <v>5.0</v>
      </c>
      <c r="I142" s="171">
        <v>10.0</v>
      </c>
      <c r="J142" s="391">
        <f t="shared" si="2"/>
        <v>0.0003279755135</v>
      </c>
      <c r="K142" s="392">
        <f t="shared" si="3"/>
        <v>0.1738270222</v>
      </c>
      <c r="L142" s="327">
        <f t="shared" si="4"/>
        <v>7.325458275</v>
      </c>
      <c r="M142" s="321" t="str">
        <f t="shared" si="5"/>
        <v>tannra</v>
      </c>
      <c r="N142" s="176">
        <f>IFERROR(__xludf.DUMMYFUNCTION("""COMPUTED_VALUE"""),3.0)</f>
        <v>3</v>
      </c>
      <c r="O142" s="176"/>
      <c r="P142" s="176"/>
      <c r="Q142" s="176"/>
      <c r="R142" s="176"/>
      <c r="S142" s="176"/>
      <c r="T142" s="176"/>
      <c r="U142" s="176"/>
      <c r="V142" s="176"/>
      <c r="W142" s="176"/>
      <c r="X142" s="176"/>
      <c r="Y142" s="176"/>
      <c r="Z142" s="176"/>
    </row>
    <row r="143">
      <c r="A143" s="226" t="s">
        <v>132</v>
      </c>
      <c r="B143" s="226" t="s">
        <v>18</v>
      </c>
      <c r="C143" s="250" t="s">
        <v>3639</v>
      </c>
      <c r="D143" s="268" t="s">
        <v>495</v>
      </c>
      <c r="E143" s="251">
        <v>44145.0</v>
      </c>
      <c r="F143" s="250" t="s">
        <v>496</v>
      </c>
      <c r="G143" s="243"/>
      <c r="H143" s="171">
        <v>300.0</v>
      </c>
      <c r="I143" s="171">
        <v>300.0</v>
      </c>
      <c r="J143" s="391">
        <f t="shared" si="2"/>
        <v>0.01271150805</v>
      </c>
      <c r="K143" s="392">
        <f t="shared" si="3"/>
        <v>6.737099268</v>
      </c>
      <c r="L143" s="327">
        <f t="shared" si="4"/>
        <v>7.164641057</v>
      </c>
      <c r="M143" s="321" t="str">
        <f t="shared" si="5"/>
        <v>aaron_soskin</v>
      </c>
      <c r="N143" s="176">
        <f>IFERROR(__xludf.DUMMYFUNCTION("""COMPUTED_VALUE"""),1.0)</f>
        <v>1</v>
      </c>
      <c r="O143" s="176"/>
      <c r="P143" s="176"/>
      <c r="Q143" s="176"/>
      <c r="R143" s="176"/>
      <c r="S143" s="176"/>
      <c r="T143" s="176"/>
      <c r="U143" s="176"/>
      <c r="V143" s="176"/>
      <c r="W143" s="176"/>
      <c r="X143" s="176"/>
      <c r="Y143" s="176"/>
      <c r="Z143" s="176"/>
    </row>
    <row r="144">
      <c r="A144" s="226" t="s">
        <v>132</v>
      </c>
      <c r="B144" s="226" t="s">
        <v>5</v>
      </c>
      <c r="C144" s="250" t="s">
        <v>3640</v>
      </c>
      <c r="D144" s="268" t="s">
        <v>495</v>
      </c>
      <c r="E144" s="251">
        <v>44145.0</v>
      </c>
      <c r="F144" s="250" t="s">
        <v>496</v>
      </c>
      <c r="G144" s="243"/>
      <c r="H144" s="171">
        <v>30.0</v>
      </c>
      <c r="I144" s="171">
        <v>10.0</v>
      </c>
      <c r="J144" s="391">
        <f t="shared" si="2"/>
        <v>0.0008066826214</v>
      </c>
      <c r="K144" s="392">
        <f t="shared" si="3"/>
        <v>0.4275417893</v>
      </c>
      <c r="L144" s="327">
        <f t="shared" si="4"/>
        <v>7.164641057</v>
      </c>
      <c r="M144" s="321" t="str">
        <f t="shared" si="5"/>
        <v>aaron_soskin</v>
      </c>
      <c r="N144" s="176">
        <f>IFERROR(__xludf.DUMMYFUNCTION("""COMPUTED_VALUE"""),2.0)</f>
        <v>2</v>
      </c>
      <c r="O144" s="176"/>
      <c r="P144" s="176"/>
      <c r="Q144" s="176"/>
      <c r="R144" s="176"/>
      <c r="S144" s="176"/>
      <c r="T144" s="176"/>
      <c r="U144" s="176"/>
      <c r="V144" s="176"/>
      <c r="W144" s="176"/>
      <c r="X144" s="176"/>
      <c r="Y144" s="176"/>
      <c r="Z144" s="176"/>
    </row>
    <row r="145">
      <c r="A145" s="226" t="s">
        <v>14</v>
      </c>
      <c r="B145" s="226" t="s">
        <v>590</v>
      </c>
      <c r="C145" s="250" t="s">
        <v>3641</v>
      </c>
      <c r="D145" s="268" t="s">
        <v>495</v>
      </c>
      <c r="E145" s="251">
        <v>44147.0</v>
      </c>
      <c r="F145" s="250" t="s">
        <v>496</v>
      </c>
      <c r="G145" s="243"/>
      <c r="H145" s="171">
        <v>500.0</v>
      </c>
      <c r="I145" s="171">
        <v>300.0</v>
      </c>
      <c r="J145" s="391">
        <f t="shared" si="2"/>
        <v>0.01654116492</v>
      </c>
      <c r="K145" s="392">
        <f t="shared" si="3"/>
        <v>8.766817405</v>
      </c>
      <c r="L145" s="327">
        <f t="shared" si="4"/>
        <v>6.744975941</v>
      </c>
      <c r="M145" s="321" t="str">
        <f t="shared" si="5"/>
        <v>jessicazartler</v>
      </c>
      <c r="N145" s="176">
        <f>IFERROR(__xludf.DUMMYFUNCTION("""COMPUTED_VALUE"""),1.0)</f>
        <v>1</v>
      </c>
      <c r="O145" s="176"/>
      <c r="P145" s="176"/>
      <c r="Q145" s="176"/>
      <c r="R145" s="176"/>
      <c r="S145" s="176"/>
      <c r="T145" s="176"/>
      <c r="U145" s="176"/>
      <c r="V145" s="176"/>
      <c r="W145" s="176"/>
      <c r="X145" s="176"/>
      <c r="Y145" s="176"/>
      <c r="Z145" s="176"/>
    </row>
    <row r="146">
      <c r="A146" s="226" t="s">
        <v>14</v>
      </c>
      <c r="B146" s="226" t="s">
        <v>519</v>
      </c>
      <c r="C146" s="250" t="s">
        <v>3642</v>
      </c>
      <c r="D146" s="268" t="s">
        <v>495</v>
      </c>
      <c r="E146" s="251">
        <v>44147.0</v>
      </c>
      <c r="F146" s="250" t="s">
        <v>496</v>
      </c>
      <c r="G146" s="243"/>
      <c r="H146" s="171">
        <v>200.0</v>
      </c>
      <c r="I146" s="171">
        <v>200.0</v>
      </c>
      <c r="J146" s="391">
        <f t="shared" si="2"/>
        <v>0.008474338702</v>
      </c>
      <c r="K146" s="392">
        <f t="shared" si="3"/>
        <v>4.491399512</v>
      </c>
      <c r="L146" s="327">
        <f t="shared" si="4"/>
        <v>6.744975941</v>
      </c>
      <c r="M146" s="321" t="str">
        <f t="shared" si="5"/>
        <v>jessicazartler</v>
      </c>
      <c r="N146" s="176">
        <f>IFERROR(__xludf.DUMMYFUNCTION("""COMPUTED_VALUE"""),2.0)</f>
        <v>2</v>
      </c>
      <c r="O146" s="176"/>
      <c r="P146" s="176"/>
      <c r="Q146" s="176"/>
      <c r="R146" s="176"/>
      <c r="S146" s="176"/>
      <c r="T146" s="176"/>
      <c r="U146" s="176"/>
      <c r="V146" s="176"/>
      <c r="W146" s="176"/>
      <c r="X146" s="176"/>
      <c r="Y146" s="176"/>
      <c r="Z146" s="176"/>
    </row>
    <row r="147">
      <c r="A147" s="226" t="s">
        <v>14</v>
      </c>
      <c r="B147" s="226" t="s">
        <v>845</v>
      </c>
      <c r="C147" s="250" t="s">
        <v>3643</v>
      </c>
      <c r="D147" s="268" t="s">
        <v>495</v>
      </c>
      <c r="E147" s="251">
        <v>44152.0</v>
      </c>
      <c r="F147" s="250" t="s">
        <v>496</v>
      </c>
      <c r="G147" s="176"/>
      <c r="H147" s="171">
        <v>200.0</v>
      </c>
      <c r="I147" s="171">
        <v>200.0</v>
      </c>
      <c r="J147" s="391">
        <f t="shared" si="2"/>
        <v>0.008474338702</v>
      </c>
      <c r="K147" s="392">
        <f t="shared" si="3"/>
        <v>4.491399512</v>
      </c>
      <c r="L147" s="327">
        <f t="shared" si="4"/>
        <v>6.744975941</v>
      </c>
      <c r="M147" s="321" t="str">
        <f t="shared" si="5"/>
        <v>jessicazartler</v>
      </c>
      <c r="N147" s="176">
        <f>IFERROR(__xludf.DUMMYFUNCTION("""COMPUTED_VALUE"""),3.0)</f>
        <v>3</v>
      </c>
      <c r="O147" s="176"/>
      <c r="P147" s="176"/>
      <c r="Q147" s="176"/>
      <c r="R147" s="176"/>
      <c r="S147" s="176"/>
      <c r="T147" s="176"/>
      <c r="U147" s="176"/>
      <c r="V147" s="176"/>
      <c r="W147" s="176"/>
      <c r="X147" s="176"/>
      <c r="Y147" s="176"/>
      <c r="Z147" s="176"/>
    </row>
    <row r="148">
      <c r="A148" s="226" t="s">
        <v>14</v>
      </c>
      <c r="B148" s="226" t="s">
        <v>519</v>
      </c>
      <c r="C148" s="250" t="s">
        <v>3629</v>
      </c>
      <c r="D148" s="268" t="s">
        <v>495</v>
      </c>
      <c r="E148" s="251">
        <v>44147.0</v>
      </c>
      <c r="F148" s="250" t="s">
        <v>496</v>
      </c>
      <c r="G148" s="243"/>
      <c r="H148" s="171">
        <v>200.0</v>
      </c>
      <c r="I148" s="171">
        <v>150.0</v>
      </c>
      <c r="J148" s="391">
        <f t="shared" si="2"/>
        <v>0.007313168242</v>
      </c>
      <c r="K148" s="392">
        <f t="shared" si="3"/>
        <v>3.875979168</v>
      </c>
      <c r="L148" s="327">
        <f t="shared" si="4"/>
        <v>6.744975941</v>
      </c>
      <c r="M148" s="321" t="str">
        <f t="shared" si="5"/>
        <v>jessicazartler</v>
      </c>
      <c r="N148" s="176">
        <f>IFERROR(__xludf.DUMMYFUNCTION("""COMPUTED_VALUE"""),4.0)</f>
        <v>4</v>
      </c>
      <c r="O148" s="176"/>
      <c r="P148" s="176"/>
      <c r="Q148" s="176"/>
      <c r="R148" s="176"/>
      <c r="S148" s="176"/>
      <c r="T148" s="176"/>
      <c r="U148" s="176"/>
      <c r="V148" s="176"/>
      <c r="W148" s="176"/>
      <c r="X148" s="176"/>
      <c r="Y148" s="176"/>
      <c r="Z148" s="176"/>
    </row>
    <row r="149">
      <c r="A149" s="226" t="s">
        <v>14</v>
      </c>
      <c r="B149" s="226" t="s">
        <v>5</v>
      </c>
      <c r="C149" s="250" t="s">
        <v>3580</v>
      </c>
      <c r="D149" s="268" t="s">
        <v>495</v>
      </c>
      <c r="E149" s="251">
        <v>44145.0</v>
      </c>
      <c r="F149" s="250" t="s">
        <v>496</v>
      </c>
      <c r="G149" s="243"/>
      <c r="H149" s="171">
        <v>120.0</v>
      </c>
      <c r="I149" s="171">
        <v>100.0</v>
      </c>
      <c r="J149" s="391">
        <f t="shared" si="2"/>
        <v>0.004620135037</v>
      </c>
      <c r="K149" s="392">
        <f t="shared" si="3"/>
        <v>2.44867157</v>
      </c>
      <c r="L149" s="327">
        <f t="shared" si="4"/>
        <v>6.744975941</v>
      </c>
      <c r="M149" s="321" t="str">
        <f t="shared" si="5"/>
        <v>jessicazartler</v>
      </c>
      <c r="N149" s="176">
        <f>IFERROR(__xludf.DUMMYFUNCTION("""COMPUTED_VALUE"""),5.0)</f>
        <v>5</v>
      </c>
      <c r="O149" s="176"/>
      <c r="P149" s="176"/>
      <c r="Q149" s="176"/>
      <c r="R149" s="176"/>
      <c r="S149" s="176"/>
      <c r="T149" s="176"/>
      <c r="U149" s="176"/>
      <c r="V149" s="176"/>
      <c r="W149" s="176"/>
      <c r="X149" s="176"/>
      <c r="Y149" s="176"/>
      <c r="Z149" s="176"/>
    </row>
    <row r="150">
      <c r="A150" s="226" t="s">
        <v>14</v>
      </c>
      <c r="B150" s="226" t="s">
        <v>590</v>
      </c>
      <c r="C150" s="250" t="s">
        <v>3582</v>
      </c>
      <c r="D150" s="268" t="s">
        <v>495</v>
      </c>
      <c r="E150" s="251">
        <v>44152.0</v>
      </c>
      <c r="F150" s="250" t="s">
        <v>496</v>
      </c>
      <c r="G150" s="176"/>
      <c r="H150" s="171">
        <v>120.0</v>
      </c>
      <c r="I150" s="171">
        <v>100.0</v>
      </c>
      <c r="J150" s="391">
        <f t="shared" si="2"/>
        <v>0.004620135037</v>
      </c>
      <c r="K150" s="392">
        <f t="shared" si="3"/>
        <v>2.44867157</v>
      </c>
      <c r="L150" s="327">
        <f t="shared" si="4"/>
        <v>6.744975941</v>
      </c>
      <c r="M150" s="321" t="str">
        <f t="shared" si="5"/>
        <v>jessicazartler</v>
      </c>
      <c r="N150" s="176">
        <f>IFERROR(__xludf.DUMMYFUNCTION("""COMPUTED_VALUE"""),6.0)</f>
        <v>6</v>
      </c>
      <c r="O150" s="176"/>
      <c r="P150" s="176"/>
      <c r="Q150" s="176"/>
      <c r="R150" s="176"/>
      <c r="S150" s="176"/>
      <c r="T150" s="176"/>
      <c r="U150" s="176"/>
      <c r="V150" s="176"/>
      <c r="W150" s="176"/>
      <c r="X150" s="176"/>
      <c r="Y150" s="176"/>
      <c r="Z150" s="176"/>
    </row>
    <row r="151">
      <c r="A151" s="226" t="s">
        <v>14</v>
      </c>
      <c r="B151" s="226" t="s">
        <v>18</v>
      </c>
      <c r="C151" s="250" t="s">
        <v>3581</v>
      </c>
      <c r="D151" s="268" t="s">
        <v>495</v>
      </c>
      <c r="E151" s="251">
        <v>44147.0</v>
      </c>
      <c r="F151" s="250" t="s">
        <v>496</v>
      </c>
      <c r="G151" s="243"/>
      <c r="H151" s="171">
        <v>100.0</v>
      </c>
      <c r="I151" s="171">
        <v>100.0</v>
      </c>
      <c r="J151" s="391">
        <f t="shared" si="2"/>
        <v>0.004237169351</v>
      </c>
      <c r="K151" s="392">
        <f t="shared" si="3"/>
        <v>2.245699756</v>
      </c>
      <c r="L151" s="327">
        <f t="shared" si="4"/>
        <v>6.744975941</v>
      </c>
      <c r="M151" s="321" t="str">
        <f t="shared" si="5"/>
        <v>jessicazartler</v>
      </c>
      <c r="N151" s="176">
        <f>IFERROR(__xludf.DUMMYFUNCTION("""COMPUTED_VALUE"""),7.0)</f>
        <v>7</v>
      </c>
      <c r="O151" s="176"/>
      <c r="P151" s="176"/>
      <c r="Q151" s="176"/>
      <c r="R151" s="176"/>
      <c r="S151" s="176"/>
      <c r="T151" s="176"/>
      <c r="U151" s="176"/>
      <c r="V151" s="176"/>
      <c r="W151" s="176"/>
      <c r="X151" s="176"/>
      <c r="Y151" s="176"/>
      <c r="Z151" s="176"/>
    </row>
    <row r="152">
      <c r="A152" s="226" t="s">
        <v>14</v>
      </c>
      <c r="B152" s="226" t="s">
        <v>18</v>
      </c>
      <c r="C152" s="250" t="s">
        <v>3644</v>
      </c>
      <c r="D152" s="268" t="s">
        <v>495</v>
      </c>
      <c r="E152" s="251">
        <v>44148.0</v>
      </c>
      <c r="F152" s="250" t="s">
        <v>496</v>
      </c>
      <c r="G152" s="176"/>
      <c r="H152" s="171">
        <v>100.0</v>
      </c>
      <c r="I152" s="171">
        <v>100.0</v>
      </c>
      <c r="J152" s="391">
        <f t="shared" si="2"/>
        <v>0.004237169351</v>
      </c>
      <c r="K152" s="392">
        <f t="shared" si="3"/>
        <v>2.245699756</v>
      </c>
      <c r="L152" s="327">
        <f t="shared" si="4"/>
        <v>6.744975941</v>
      </c>
      <c r="M152" s="321" t="str">
        <f t="shared" si="5"/>
        <v>jessicazartler</v>
      </c>
      <c r="N152" s="176">
        <f>IFERROR(__xludf.DUMMYFUNCTION("""COMPUTED_VALUE"""),8.0)</f>
        <v>8</v>
      </c>
      <c r="O152" s="176"/>
      <c r="P152" s="176"/>
      <c r="Q152" s="176"/>
      <c r="R152" s="176"/>
      <c r="S152" s="176"/>
      <c r="T152" s="176"/>
      <c r="U152" s="176"/>
      <c r="V152" s="176"/>
      <c r="W152" s="176"/>
      <c r="X152" s="176"/>
      <c r="Y152" s="176"/>
      <c r="Z152" s="176"/>
    </row>
    <row r="153">
      <c r="A153" s="226" t="s">
        <v>14</v>
      </c>
      <c r="B153" s="226" t="s">
        <v>590</v>
      </c>
      <c r="C153" s="250" t="s">
        <v>3645</v>
      </c>
      <c r="D153" s="268" t="s">
        <v>495</v>
      </c>
      <c r="E153" s="251">
        <v>44153.0</v>
      </c>
      <c r="F153" s="250" t="s">
        <v>496</v>
      </c>
      <c r="G153" s="176"/>
      <c r="H153" s="171">
        <v>100.0</v>
      </c>
      <c r="I153" s="171">
        <v>80.0</v>
      </c>
      <c r="J153" s="391">
        <f t="shared" si="2"/>
        <v>0.003772701167</v>
      </c>
      <c r="K153" s="392">
        <f t="shared" si="3"/>
        <v>1.999531619</v>
      </c>
      <c r="L153" s="327">
        <f t="shared" si="4"/>
        <v>6.744975941</v>
      </c>
      <c r="M153" s="321" t="str">
        <f t="shared" si="5"/>
        <v>jessicazartler</v>
      </c>
      <c r="N153" s="176">
        <f>IFERROR(__xludf.DUMMYFUNCTION("""COMPUTED_VALUE"""),9.0)</f>
        <v>9</v>
      </c>
      <c r="O153" s="176"/>
      <c r="P153" s="176"/>
      <c r="Q153" s="176"/>
      <c r="R153" s="176"/>
      <c r="S153" s="176"/>
      <c r="T153" s="176"/>
      <c r="U153" s="176"/>
      <c r="V153" s="176"/>
      <c r="W153" s="176"/>
      <c r="X153" s="176"/>
      <c r="Y153" s="176"/>
      <c r="Z153" s="176"/>
    </row>
    <row r="154">
      <c r="A154" s="226" t="s">
        <v>14</v>
      </c>
      <c r="B154" s="226" t="s">
        <v>519</v>
      </c>
      <c r="C154" s="250" t="s">
        <v>3646</v>
      </c>
      <c r="D154" s="268" t="s">
        <v>495</v>
      </c>
      <c r="E154" s="251">
        <v>44147.0</v>
      </c>
      <c r="F154" s="250" t="s">
        <v>496</v>
      </c>
      <c r="G154" s="243"/>
      <c r="H154" s="171">
        <v>100.0</v>
      </c>
      <c r="I154" s="171">
        <v>70.0</v>
      </c>
      <c r="J154" s="391">
        <f t="shared" si="2"/>
        <v>0.003540467075</v>
      </c>
      <c r="K154" s="392">
        <f t="shared" si="3"/>
        <v>1.87644755</v>
      </c>
      <c r="L154" s="327">
        <f t="shared" si="4"/>
        <v>6.744975941</v>
      </c>
      <c r="M154" s="321" t="str">
        <f t="shared" si="5"/>
        <v>jessicazartler</v>
      </c>
      <c r="N154" s="176">
        <f>IFERROR(__xludf.DUMMYFUNCTION("""COMPUTED_VALUE"""),10.0)</f>
        <v>10</v>
      </c>
      <c r="O154" s="176"/>
      <c r="P154" s="176"/>
      <c r="Q154" s="176"/>
      <c r="R154" s="176"/>
      <c r="S154" s="176"/>
      <c r="T154" s="176"/>
      <c r="U154" s="176"/>
      <c r="V154" s="176"/>
      <c r="W154" s="176"/>
      <c r="X154" s="176"/>
      <c r="Y154" s="176"/>
      <c r="Z154" s="176"/>
    </row>
    <row r="155">
      <c r="A155" s="226" t="s">
        <v>14</v>
      </c>
      <c r="B155" s="226" t="s">
        <v>1228</v>
      </c>
      <c r="C155" s="250" t="s">
        <v>3566</v>
      </c>
      <c r="D155" s="268" t="s">
        <v>495</v>
      </c>
      <c r="E155" s="361">
        <v>44141.0</v>
      </c>
      <c r="F155" s="250" t="s">
        <v>496</v>
      </c>
      <c r="G155" s="243"/>
      <c r="H155" s="171">
        <v>120.0</v>
      </c>
      <c r="I155" s="171">
        <v>50.0</v>
      </c>
      <c r="J155" s="391">
        <f t="shared" si="2"/>
        <v>0.003458964577</v>
      </c>
      <c r="K155" s="392">
        <f t="shared" si="3"/>
        <v>1.833251226</v>
      </c>
      <c r="L155" s="327">
        <f t="shared" si="4"/>
        <v>6.744975941</v>
      </c>
      <c r="M155" s="321" t="str">
        <f t="shared" si="5"/>
        <v>jessicazartler</v>
      </c>
      <c r="N155" s="176">
        <f>IFERROR(__xludf.DUMMYFUNCTION("""COMPUTED_VALUE"""),11.0)</f>
        <v>11</v>
      </c>
      <c r="O155" s="176"/>
      <c r="P155" s="176"/>
      <c r="Q155" s="176"/>
      <c r="R155" s="176"/>
      <c r="S155" s="176"/>
      <c r="T155" s="176"/>
      <c r="U155" s="176"/>
      <c r="V155" s="176"/>
      <c r="W155" s="176"/>
      <c r="X155" s="176"/>
      <c r="Y155" s="176"/>
      <c r="Z155" s="176"/>
    </row>
    <row r="156">
      <c r="A156" s="226" t="s">
        <v>14</v>
      </c>
      <c r="B156" s="226" t="s">
        <v>590</v>
      </c>
      <c r="C156" s="250" t="s">
        <v>3571</v>
      </c>
      <c r="D156" s="268" t="s">
        <v>495</v>
      </c>
      <c r="E156" s="251">
        <v>44155.0</v>
      </c>
      <c r="F156" s="250" t="s">
        <v>496</v>
      </c>
      <c r="G156" s="176"/>
      <c r="H156" s="171">
        <v>100.0</v>
      </c>
      <c r="I156" s="171">
        <v>60.0</v>
      </c>
      <c r="J156" s="391">
        <f t="shared" si="2"/>
        <v>0.003308232983</v>
      </c>
      <c r="K156" s="392">
        <f t="shared" si="3"/>
        <v>1.753363481</v>
      </c>
      <c r="L156" s="327">
        <f t="shared" si="4"/>
        <v>6.744975941</v>
      </c>
      <c r="M156" s="321" t="str">
        <f t="shared" si="5"/>
        <v>jessicazartler</v>
      </c>
      <c r="N156" s="176">
        <f>IFERROR(__xludf.DUMMYFUNCTION("""COMPUTED_VALUE"""),12.0)</f>
        <v>12</v>
      </c>
      <c r="O156" s="176"/>
      <c r="P156" s="176"/>
      <c r="Q156" s="176"/>
      <c r="R156" s="176"/>
      <c r="S156" s="176"/>
      <c r="T156" s="176"/>
      <c r="U156" s="176"/>
      <c r="V156" s="176"/>
      <c r="W156" s="176"/>
      <c r="X156" s="176"/>
      <c r="Y156" s="176"/>
      <c r="Z156" s="176"/>
    </row>
    <row r="157">
      <c r="A157" s="226" t="s">
        <v>14</v>
      </c>
      <c r="B157" s="226" t="s">
        <v>590</v>
      </c>
      <c r="C157" s="250" t="s">
        <v>3579</v>
      </c>
      <c r="D157" s="268" t="s">
        <v>495</v>
      </c>
      <c r="E157" s="251">
        <v>44153.0</v>
      </c>
      <c r="F157" s="250" t="s">
        <v>496</v>
      </c>
      <c r="G157" s="176"/>
      <c r="H157" s="171">
        <v>45.0</v>
      </c>
      <c r="I157" s="171">
        <v>80.0</v>
      </c>
      <c r="J157" s="391">
        <f t="shared" si="2"/>
        <v>0.00271954553</v>
      </c>
      <c r="K157" s="392">
        <f t="shared" si="3"/>
        <v>1.441359131</v>
      </c>
      <c r="L157" s="327">
        <f t="shared" si="4"/>
        <v>6.744975941</v>
      </c>
      <c r="M157" s="321" t="str">
        <f t="shared" si="5"/>
        <v>jessicazartler</v>
      </c>
      <c r="N157" s="176">
        <f>IFERROR(__xludf.DUMMYFUNCTION("""COMPUTED_VALUE"""),13.0)</f>
        <v>13</v>
      </c>
      <c r="O157" s="176"/>
      <c r="P157" s="176"/>
      <c r="Q157" s="176"/>
      <c r="R157" s="176"/>
      <c r="S157" s="176"/>
      <c r="T157" s="176"/>
      <c r="U157" s="176"/>
      <c r="V157" s="176"/>
      <c r="W157" s="176"/>
      <c r="X157" s="176"/>
      <c r="Y157" s="176"/>
      <c r="Z157" s="176"/>
    </row>
    <row r="158">
      <c r="A158" s="226" t="s">
        <v>14</v>
      </c>
      <c r="B158" s="226" t="s">
        <v>1228</v>
      </c>
      <c r="C158" s="250" t="s">
        <v>3572</v>
      </c>
      <c r="D158" s="268" t="s">
        <v>495</v>
      </c>
      <c r="E158" s="251">
        <v>44147.0</v>
      </c>
      <c r="F158" s="250" t="s">
        <v>496</v>
      </c>
      <c r="G158" s="243"/>
      <c r="H158" s="171">
        <v>100.0</v>
      </c>
      <c r="I158" s="171">
        <v>30.0</v>
      </c>
      <c r="J158" s="391">
        <f t="shared" si="2"/>
        <v>0.002611530707</v>
      </c>
      <c r="K158" s="392">
        <f t="shared" si="3"/>
        <v>1.384111275</v>
      </c>
      <c r="L158" s="327">
        <f t="shared" si="4"/>
        <v>6.744975941</v>
      </c>
      <c r="M158" s="321" t="str">
        <f t="shared" si="5"/>
        <v>jessicazartler</v>
      </c>
      <c r="N158" s="176">
        <f>IFERROR(__xludf.DUMMYFUNCTION("""COMPUTED_VALUE"""),14.0)</f>
        <v>14</v>
      </c>
      <c r="O158" s="176"/>
      <c r="P158" s="176"/>
      <c r="Q158" s="176"/>
      <c r="R158" s="176"/>
      <c r="S158" s="176"/>
      <c r="T158" s="176"/>
      <c r="U158" s="176"/>
      <c r="V158" s="176"/>
      <c r="W158" s="176"/>
      <c r="X158" s="176"/>
      <c r="Y158" s="209"/>
      <c r="Z158" s="209"/>
    </row>
    <row r="159">
      <c r="A159" s="226" t="s">
        <v>14</v>
      </c>
      <c r="B159" s="226" t="s">
        <v>5</v>
      </c>
      <c r="C159" s="250" t="s">
        <v>3573</v>
      </c>
      <c r="D159" s="268" t="s">
        <v>495</v>
      </c>
      <c r="E159" s="251">
        <v>44147.0</v>
      </c>
      <c r="F159" s="250" t="s">
        <v>496</v>
      </c>
      <c r="G159" s="176"/>
      <c r="H159" s="171">
        <v>60.0</v>
      </c>
      <c r="I159" s="171">
        <v>60.0</v>
      </c>
      <c r="J159" s="391">
        <f t="shared" si="2"/>
        <v>0.002542301611</v>
      </c>
      <c r="K159" s="392">
        <f t="shared" si="3"/>
        <v>1.347419854</v>
      </c>
      <c r="L159" s="327">
        <f t="shared" si="4"/>
        <v>6.744975941</v>
      </c>
      <c r="M159" s="321" t="str">
        <f t="shared" si="5"/>
        <v>jessicazartler</v>
      </c>
      <c r="N159" s="176">
        <f>IFERROR(__xludf.DUMMYFUNCTION("""COMPUTED_VALUE"""),15.0)</f>
        <v>15</v>
      </c>
      <c r="O159" s="176"/>
      <c r="P159" s="176"/>
      <c r="Q159" s="176"/>
      <c r="R159" s="176"/>
      <c r="S159" s="176"/>
      <c r="T159" s="176"/>
      <c r="U159" s="176"/>
      <c r="V159" s="176"/>
      <c r="W159" s="176"/>
      <c r="X159" s="176"/>
      <c r="Y159" s="176"/>
      <c r="Z159" s="176"/>
    </row>
    <row r="160">
      <c r="A160" s="226" t="s">
        <v>14</v>
      </c>
      <c r="B160" s="226" t="s">
        <v>5</v>
      </c>
      <c r="C160" s="250" t="s">
        <v>3607</v>
      </c>
      <c r="D160" s="268" t="s">
        <v>495</v>
      </c>
      <c r="E160" s="251">
        <v>44151.0</v>
      </c>
      <c r="F160" s="250" t="s">
        <v>496</v>
      </c>
      <c r="G160" s="176"/>
      <c r="H160" s="171">
        <v>45.0</v>
      </c>
      <c r="I160" s="171">
        <v>50.0</v>
      </c>
      <c r="J160" s="391">
        <f t="shared" si="2"/>
        <v>0.002022843254</v>
      </c>
      <c r="K160" s="392">
        <f t="shared" si="3"/>
        <v>1.072106925</v>
      </c>
      <c r="L160" s="327">
        <f t="shared" si="4"/>
        <v>6.744975941</v>
      </c>
      <c r="M160" s="321" t="str">
        <f t="shared" si="5"/>
        <v>jessicazartler</v>
      </c>
      <c r="N160" s="176">
        <f>IFERROR(__xludf.DUMMYFUNCTION("""COMPUTED_VALUE"""),16.0)</f>
        <v>16</v>
      </c>
      <c r="O160" s="176"/>
      <c r="P160" s="176"/>
      <c r="Q160" s="176"/>
      <c r="R160" s="176"/>
      <c r="S160" s="176"/>
      <c r="T160" s="176"/>
      <c r="U160" s="176"/>
      <c r="V160" s="176"/>
      <c r="W160" s="176"/>
      <c r="X160" s="176"/>
      <c r="Y160" s="176"/>
      <c r="Z160" s="176"/>
    </row>
    <row r="161">
      <c r="A161" s="226" t="s">
        <v>14</v>
      </c>
      <c r="B161" s="226" t="s">
        <v>18</v>
      </c>
      <c r="C161" s="250" t="s">
        <v>3647</v>
      </c>
      <c r="D161" s="268" t="s">
        <v>495</v>
      </c>
      <c r="E161" s="251">
        <v>44152.0</v>
      </c>
      <c r="F161" s="250" t="s">
        <v>496</v>
      </c>
      <c r="G161" s="176"/>
      <c r="H161" s="171">
        <v>30.0</v>
      </c>
      <c r="I161" s="171">
        <v>50.0</v>
      </c>
      <c r="J161" s="391">
        <f t="shared" si="2"/>
        <v>0.001735618989</v>
      </c>
      <c r="K161" s="392">
        <f t="shared" si="3"/>
        <v>0.9198780643</v>
      </c>
      <c r="L161" s="327">
        <f t="shared" si="4"/>
        <v>6.744975941</v>
      </c>
      <c r="M161" s="321" t="str">
        <f t="shared" si="5"/>
        <v>jessicazartler</v>
      </c>
      <c r="N161" s="176">
        <f>IFERROR(__xludf.DUMMYFUNCTION("""COMPUTED_VALUE"""),17.0)</f>
        <v>17</v>
      </c>
      <c r="O161" s="176"/>
      <c r="P161" s="176"/>
      <c r="Q161" s="176"/>
      <c r="R161" s="176"/>
      <c r="S161" s="176"/>
      <c r="T161" s="176"/>
      <c r="U161" s="176"/>
      <c r="V161" s="176"/>
      <c r="W161" s="176"/>
      <c r="X161" s="176"/>
      <c r="Y161" s="176"/>
      <c r="Z161" s="176"/>
    </row>
    <row r="162">
      <c r="A162" s="226" t="s">
        <v>14</v>
      </c>
      <c r="B162" s="226" t="s">
        <v>18</v>
      </c>
      <c r="C162" s="250" t="s">
        <v>3578</v>
      </c>
      <c r="D162" s="268" t="s">
        <v>495</v>
      </c>
      <c r="E162" s="251">
        <v>44152.0</v>
      </c>
      <c r="F162" s="250" t="s">
        <v>496</v>
      </c>
      <c r="G162" s="176"/>
      <c r="H162" s="171">
        <v>45.0</v>
      </c>
      <c r="I162" s="171">
        <v>30.0</v>
      </c>
      <c r="J162" s="391">
        <f t="shared" si="2"/>
        <v>0.00155837507</v>
      </c>
      <c r="K162" s="392">
        <f t="shared" si="3"/>
        <v>0.8259387871</v>
      </c>
      <c r="L162" s="327">
        <f t="shared" si="4"/>
        <v>6.744975941</v>
      </c>
      <c r="M162" s="321" t="str">
        <f t="shared" si="5"/>
        <v>jessicazartler</v>
      </c>
      <c r="N162" s="176">
        <f>IFERROR(__xludf.DUMMYFUNCTION("""COMPUTED_VALUE"""),18.0)</f>
        <v>18</v>
      </c>
      <c r="O162" s="176"/>
      <c r="P162" s="176"/>
      <c r="Q162" s="176"/>
      <c r="R162" s="176"/>
      <c r="S162" s="176"/>
      <c r="T162" s="176"/>
      <c r="U162" s="176"/>
      <c r="V162" s="176"/>
      <c r="W162" s="176"/>
      <c r="X162" s="176"/>
      <c r="Y162" s="176"/>
      <c r="Z162" s="176"/>
    </row>
    <row r="163">
      <c r="A163" s="226" t="s">
        <v>14</v>
      </c>
      <c r="B163" s="226" t="s">
        <v>590</v>
      </c>
      <c r="C163" s="250" t="s">
        <v>3590</v>
      </c>
      <c r="D163" s="268" t="s">
        <v>495</v>
      </c>
      <c r="E163" s="361">
        <v>44144.0</v>
      </c>
      <c r="F163" s="250" t="s">
        <v>496</v>
      </c>
      <c r="G163" s="243"/>
      <c r="H163" s="171">
        <v>30.0</v>
      </c>
      <c r="I163" s="171">
        <v>30.0</v>
      </c>
      <c r="J163" s="391">
        <f t="shared" si="2"/>
        <v>0.001271150805</v>
      </c>
      <c r="K163" s="392">
        <f t="shared" si="3"/>
        <v>0.6737099268</v>
      </c>
      <c r="L163" s="327">
        <f t="shared" si="4"/>
        <v>6.744975941</v>
      </c>
      <c r="M163" s="321" t="str">
        <f t="shared" si="5"/>
        <v>jessicazartler</v>
      </c>
      <c r="N163" s="176">
        <f>IFERROR(__xludf.DUMMYFUNCTION("""COMPUTED_VALUE"""),19.0)</f>
        <v>19</v>
      </c>
      <c r="O163" s="176"/>
      <c r="P163" s="176"/>
      <c r="Q163" s="176"/>
      <c r="R163" s="176"/>
      <c r="S163" s="176"/>
      <c r="T163" s="176"/>
      <c r="U163" s="176"/>
      <c r="V163" s="176"/>
      <c r="W163" s="176"/>
      <c r="X163" s="176"/>
      <c r="Y163" s="176"/>
      <c r="Z163" s="176"/>
    </row>
    <row r="164">
      <c r="A164" s="226" t="s">
        <v>14</v>
      </c>
      <c r="B164" s="226" t="s">
        <v>5</v>
      </c>
      <c r="C164" s="250" t="s">
        <v>3574</v>
      </c>
      <c r="D164" s="268" t="s">
        <v>495</v>
      </c>
      <c r="E164" s="251">
        <v>44145.0</v>
      </c>
      <c r="F164" s="250" t="s">
        <v>496</v>
      </c>
      <c r="G164" s="243"/>
      <c r="H164" s="171">
        <v>30.0</v>
      </c>
      <c r="I164" s="171">
        <v>30.0</v>
      </c>
      <c r="J164" s="391">
        <f t="shared" si="2"/>
        <v>0.001271150805</v>
      </c>
      <c r="K164" s="392">
        <f t="shared" si="3"/>
        <v>0.6737099268</v>
      </c>
      <c r="L164" s="327">
        <f t="shared" si="4"/>
        <v>6.744975941</v>
      </c>
      <c r="M164" s="321" t="str">
        <f t="shared" si="5"/>
        <v>jessicazartler</v>
      </c>
      <c r="N164" s="176">
        <f>IFERROR(__xludf.DUMMYFUNCTION("""COMPUTED_VALUE"""),20.0)</f>
        <v>20</v>
      </c>
      <c r="O164" s="176"/>
      <c r="P164" s="176"/>
      <c r="Q164" s="176"/>
      <c r="R164" s="176"/>
      <c r="S164" s="176"/>
      <c r="T164" s="176"/>
      <c r="U164" s="176"/>
      <c r="V164" s="176"/>
      <c r="W164" s="176"/>
      <c r="X164" s="176"/>
      <c r="Y164" s="176"/>
      <c r="Z164" s="176"/>
    </row>
    <row r="165">
      <c r="A165" s="226" t="s">
        <v>14</v>
      </c>
      <c r="B165" s="226" t="s">
        <v>5</v>
      </c>
      <c r="C165" s="250" t="s">
        <v>3648</v>
      </c>
      <c r="D165" s="268" t="s">
        <v>495</v>
      </c>
      <c r="E165" s="251">
        <v>44155.0</v>
      </c>
      <c r="F165" s="250" t="s">
        <v>496</v>
      </c>
      <c r="G165" s="176"/>
      <c r="H165" s="171">
        <v>30.0</v>
      </c>
      <c r="I165" s="171">
        <v>30.0</v>
      </c>
      <c r="J165" s="391">
        <f t="shared" si="2"/>
        <v>0.001271150805</v>
      </c>
      <c r="K165" s="392">
        <f t="shared" si="3"/>
        <v>0.6737099268</v>
      </c>
      <c r="L165" s="327">
        <f t="shared" si="4"/>
        <v>6.744975941</v>
      </c>
      <c r="M165" s="321" t="str">
        <f t="shared" si="5"/>
        <v>jessicazartler</v>
      </c>
      <c r="N165" s="176">
        <f>IFERROR(__xludf.DUMMYFUNCTION("""COMPUTED_VALUE"""),21.0)</f>
        <v>21</v>
      </c>
      <c r="O165" s="176"/>
      <c r="P165" s="176"/>
      <c r="Q165" s="176"/>
      <c r="R165" s="176"/>
      <c r="S165" s="176"/>
      <c r="T165" s="176"/>
      <c r="U165" s="176"/>
      <c r="V165" s="176"/>
      <c r="W165" s="176"/>
      <c r="X165" s="176"/>
      <c r="Y165" s="176"/>
      <c r="Z165" s="176"/>
    </row>
    <row r="166">
      <c r="A166" s="240" t="s">
        <v>14</v>
      </c>
      <c r="B166" s="240" t="s">
        <v>18</v>
      </c>
      <c r="C166" s="221" t="s">
        <v>781</v>
      </c>
      <c r="D166" s="336"/>
      <c r="E166" s="255"/>
      <c r="F166" s="254"/>
      <c r="G166" s="222"/>
      <c r="H166" s="222"/>
      <c r="I166" s="222"/>
      <c r="J166" s="394"/>
      <c r="K166" s="395">
        <f>47.934*-0.85</f>
        <v>-40.7439</v>
      </c>
      <c r="L166" s="327">
        <f t="array" ref="L166">dsum($A$3:$K$556,"Cred per Praise",{$A$3;A166})</f>
        <v>6.744975941</v>
      </c>
      <c r="M166" s="321" t="str">
        <f t="shared" si="5"/>
        <v>jessicazartler</v>
      </c>
      <c r="N166" s="209">
        <f>IFERROR(__xludf.DUMMYFUNCTION("""COMPUTED_VALUE"""),22.0)</f>
        <v>22</v>
      </c>
      <c r="O166" s="209"/>
      <c r="P166" s="209"/>
      <c r="Q166" s="209"/>
      <c r="R166" s="209"/>
      <c r="S166" s="209"/>
      <c r="T166" s="209"/>
      <c r="U166" s="209"/>
      <c r="V166" s="209"/>
      <c r="W166" s="209"/>
      <c r="X166" s="209"/>
      <c r="Y166" s="176"/>
      <c r="Z166" s="176"/>
    </row>
    <row r="167">
      <c r="A167" s="226" t="s">
        <v>24</v>
      </c>
      <c r="B167" s="226" t="s">
        <v>590</v>
      </c>
      <c r="C167" s="250" t="s">
        <v>3628</v>
      </c>
      <c r="D167" s="268" t="s">
        <v>495</v>
      </c>
      <c r="E167" s="251">
        <v>44155.0</v>
      </c>
      <c r="F167" s="250" t="s">
        <v>592</v>
      </c>
      <c r="G167" s="176"/>
      <c r="H167" s="171">
        <v>300.0</v>
      </c>
      <c r="I167" s="171">
        <v>300.0</v>
      </c>
      <c r="J167" s="391">
        <f t="shared" ref="J167:J205" si="6">(H167/$H$2+I167/$I$2)/2</f>
        <v>0.01271150805</v>
      </c>
      <c r="K167" s="392">
        <f t="shared" ref="K167:K205" si="7">J167*$J$1</f>
        <v>6.737099268</v>
      </c>
      <c r="L167" s="327">
        <f t="shared" ref="L167:L205" si="8">dsum($A$3:$K$355,"Cred per Praise",{$A$3;A167})</f>
        <v>6.737099268</v>
      </c>
      <c r="M167" s="321" t="str">
        <f t="shared" si="5"/>
        <v>danlessa</v>
      </c>
      <c r="N167" s="176">
        <f>IFERROR(__xludf.DUMMYFUNCTION("""COMPUTED_VALUE"""),1.0)</f>
        <v>1</v>
      </c>
      <c r="O167" s="176"/>
      <c r="P167" s="176"/>
      <c r="Q167" s="176"/>
      <c r="R167" s="176"/>
      <c r="S167" s="176"/>
      <c r="T167" s="176"/>
      <c r="U167" s="176"/>
      <c r="V167" s="176"/>
      <c r="W167" s="176"/>
      <c r="X167" s="176"/>
      <c r="Y167" s="176"/>
      <c r="Z167" s="176"/>
    </row>
    <row r="168">
      <c r="A168" s="226" t="s">
        <v>47</v>
      </c>
      <c r="B168" s="226" t="s">
        <v>590</v>
      </c>
      <c r="C168" s="250" t="s">
        <v>3628</v>
      </c>
      <c r="D168" s="268" t="s">
        <v>495</v>
      </c>
      <c r="E168" s="251">
        <v>44155.0</v>
      </c>
      <c r="F168" s="250" t="s">
        <v>592</v>
      </c>
      <c r="G168" s="176"/>
      <c r="H168" s="171">
        <v>300.0</v>
      </c>
      <c r="I168" s="171">
        <v>300.0</v>
      </c>
      <c r="J168" s="391">
        <f t="shared" si="6"/>
        <v>0.01271150805</v>
      </c>
      <c r="K168" s="392">
        <f t="shared" si="7"/>
        <v>6.737099268</v>
      </c>
      <c r="L168" s="327">
        <f t="shared" si="8"/>
        <v>6.737099268</v>
      </c>
      <c r="M168" s="321" t="str">
        <f t="shared" si="5"/>
        <v>benjaminscholtz</v>
      </c>
      <c r="N168" s="176">
        <f>IFERROR(__xludf.DUMMYFUNCTION("""COMPUTED_VALUE"""),1.0)</f>
        <v>1</v>
      </c>
      <c r="O168" s="176"/>
      <c r="P168" s="176"/>
      <c r="Q168" s="176"/>
      <c r="R168" s="176"/>
      <c r="S168" s="176"/>
      <c r="T168" s="176"/>
      <c r="U168" s="176"/>
      <c r="V168" s="176"/>
      <c r="W168" s="176"/>
      <c r="X168" s="176"/>
      <c r="Y168" s="176"/>
      <c r="Z168" s="176"/>
    </row>
    <row r="169">
      <c r="A169" s="226" t="s">
        <v>68</v>
      </c>
      <c r="B169" s="226" t="s">
        <v>590</v>
      </c>
      <c r="C169" s="250" t="s">
        <v>3628</v>
      </c>
      <c r="D169" s="268" t="s">
        <v>495</v>
      </c>
      <c r="E169" s="251">
        <v>44155.0</v>
      </c>
      <c r="F169" s="250" t="s">
        <v>592</v>
      </c>
      <c r="G169" s="176"/>
      <c r="H169" s="171">
        <v>300.0</v>
      </c>
      <c r="I169" s="171">
        <v>300.0</v>
      </c>
      <c r="J169" s="391">
        <f t="shared" si="6"/>
        <v>0.01271150805</v>
      </c>
      <c r="K169" s="392">
        <f t="shared" si="7"/>
        <v>6.737099268</v>
      </c>
      <c r="L169" s="327">
        <f t="shared" si="8"/>
        <v>6.737099268</v>
      </c>
      <c r="M169" s="321" t="str">
        <f t="shared" si="5"/>
        <v>tylerdmace</v>
      </c>
      <c r="N169" s="176">
        <f>IFERROR(__xludf.DUMMYFUNCTION("""COMPUTED_VALUE"""),1.0)</f>
        <v>1</v>
      </c>
      <c r="O169" s="176"/>
      <c r="P169" s="176"/>
      <c r="Q169" s="176"/>
      <c r="R169" s="176"/>
      <c r="S169" s="176"/>
      <c r="T169" s="176"/>
      <c r="U169" s="176"/>
      <c r="V169" s="176"/>
      <c r="W169" s="176"/>
      <c r="X169" s="176"/>
      <c r="Y169" s="176"/>
      <c r="Z169" s="176"/>
    </row>
    <row r="170">
      <c r="A170" s="226" t="s">
        <v>39</v>
      </c>
      <c r="B170" s="226" t="s">
        <v>1228</v>
      </c>
      <c r="C170" s="250" t="s">
        <v>3566</v>
      </c>
      <c r="D170" s="268" t="s">
        <v>495</v>
      </c>
      <c r="E170" s="361">
        <v>44141.0</v>
      </c>
      <c r="F170" s="250" t="s">
        <v>496</v>
      </c>
      <c r="G170" s="243"/>
      <c r="H170" s="171">
        <v>120.0</v>
      </c>
      <c r="I170" s="171">
        <v>50.0</v>
      </c>
      <c r="J170" s="391">
        <f t="shared" si="6"/>
        <v>0.003458964577</v>
      </c>
      <c r="K170" s="392">
        <f t="shared" si="7"/>
        <v>1.833251226</v>
      </c>
      <c r="L170" s="327">
        <f t="shared" si="8"/>
        <v>6.578365505</v>
      </c>
      <c r="M170" s="321" t="str">
        <f t="shared" si="5"/>
        <v>manualzuru</v>
      </c>
      <c r="N170" s="176">
        <f>IFERROR(__xludf.DUMMYFUNCTION("""COMPUTED_VALUE"""),1.0)</f>
        <v>1</v>
      </c>
      <c r="O170" s="176"/>
      <c r="P170" s="176"/>
      <c r="Q170" s="176"/>
      <c r="R170" s="176"/>
      <c r="S170" s="176"/>
      <c r="T170" s="176"/>
      <c r="U170" s="176"/>
      <c r="V170" s="176"/>
      <c r="W170" s="176"/>
      <c r="X170" s="176"/>
      <c r="Y170" s="176"/>
      <c r="Z170" s="176"/>
    </row>
    <row r="171">
      <c r="A171" s="226" t="s">
        <v>39</v>
      </c>
      <c r="B171" s="226" t="s">
        <v>590</v>
      </c>
      <c r="C171" s="250" t="s">
        <v>3649</v>
      </c>
      <c r="D171" s="268" t="s">
        <v>495</v>
      </c>
      <c r="E171" s="251">
        <v>44153.0</v>
      </c>
      <c r="F171" s="250" t="s">
        <v>496</v>
      </c>
      <c r="G171" s="176"/>
      <c r="H171" s="171">
        <v>60.0</v>
      </c>
      <c r="I171" s="171">
        <v>100.0</v>
      </c>
      <c r="J171" s="391">
        <f t="shared" si="6"/>
        <v>0.003471237978</v>
      </c>
      <c r="K171" s="392">
        <f t="shared" si="7"/>
        <v>1.839756129</v>
      </c>
      <c r="L171" s="327">
        <f t="shared" si="8"/>
        <v>6.578365505</v>
      </c>
      <c r="M171" s="321" t="str">
        <f t="shared" si="5"/>
        <v>manualzuru</v>
      </c>
      <c r="N171" s="176">
        <f>IFERROR(__xludf.DUMMYFUNCTION("""COMPUTED_VALUE"""),2.0)</f>
        <v>2</v>
      </c>
      <c r="O171" s="176"/>
      <c r="P171" s="176"/>
      <c r="Q171" s="176"/>
      <c r="R171" s="176"/>
      <c r="S171" s="176"/>
      <c r="T171" s="176"/>
      <c r="U171" s="176"/>
      <c r="V171" s="176"/>
      <c r="W171" s="176"/>
      <c r="X171" s="176"/>
      <c r="Y171" s="176"/>
      <c r="Z171" s="176"/>
    </row>
    <row r="172">
      <c r="A172" s="226" t="s">
        <v>39</v>
      </c>
      <c r="B172" s="226" t="s">
        <v>1228</v>
      </c>
      <c r="C172" s="250" t="s">
        <v>3572</v>
      </c>
      <c r="D172" s="268" t="s">
        <v>495</v>
      </c>
      <c r="E172" s="251">
        <v>44147.0</v>
      </c>
      <c r="F172" s="250" t="s">
        <v>496</v>
      </c>
      <c r="G172" s="243"/>
      <c r="H172" s="171">
        <v>100.0</v>
      </c>
      <c r="I172" s="171">
        <v>30.0</v>
      </c>
      <c r="J172" s="391">
        <f t="shared" si="6"/>
        <v>0.002611530707</v>
      </c>
      <c r="K172" s="392">
        <f t="shared" si="7"/>
        <v>1.384111275</v>
      </c>
      <c r="L172" s="327">
        <f t="shared" si="8"/>
        <v>6.578365505</v>
      </c>
      <c r="M172" s="321" t="str">
        <f t="shared" si="5"/>
        <v>manualzuru</v>
      </c>
      <c r="N172" s="176">
        <f>IFERROR(__xludf.DUMMYFUNCTION("""COMPUTED_VALUE"""),3.0)</f>
        <v>3</v>
      </c>
      <c r="O172" s="176"/>
      <c r="P172" s="176"/>
      <c r="Q172" s="176"/>
      <c r="R172" s="176"/>
      <c r="S172" s="176"/>
      <c r="T172" s="176"/>
      <c r="U172" s="176"/>
      <c r="V172" s="176"/>
      <c r="W172" s="176"/>
      <c r="X172" s="176"/>
      <c r="Y172" s="176"/>
      <c r="Z172" s="176"/>
    </row>
    <row r="173">
      <c r="A173" s="226" t="s">
        <v>39</v>
      </c>
      <c r="B173" s="226" t="s">
        <v>18</v>
      </c>
      <c r="C173" s="250" t="s">
        <v>3578</v>
      </c>
      <c r="D173" s="268" t="s">
        <v>495</v>
      </c>
      <c r="E173" s="251">
        <v>44152.0</v>
      </c>
      <c r="F173" s="250" t="s">
        <v>496</v>
      </c>
      <c r="G173" s="176"/>
      <c r="H173" s="171">
        <v>45.0</v>
      </c>
      <c r="I173" s="171">
        <v>30.0</v>
      </c>
      <c r="J173" s="391">
        <f t="shared" si="6"/>
        <v>0.00155837507</v>
      </c>
      <c r="K173" s="392">
        <f t="shared" si="7"/>
        <v>0.8259387871</v>
      </c>
      <c r="L173" s="327">
        <f t="shared" si="8"/>
        <v>6.578365505</v>
      </c>
      <c r="M173" s="321" t="str">
        <f t="shared" si="5"/>
        <v>manualzuru</v>
      </c>
      <c r="N173" s="176">
        <f>IFERROR(__xludf.DUMMYFUNCTION("""COMPUTED_VALUE"""),4.0)</f>
        <v>4</v>
      </c>
      <c r="O173" s="176"/>
      <c r="P173" s="176"/>
      <c r="Q173" s="176"/>
      <c r="R173" s="176"/>
      <c r="S173" s="176"/>
      <c r="T173" s="176"/>
      <c r="U173" s="176"/>
      <c r="V173" s="176"/>
      <c r="W173" s="176"/>
      <c r="X173" s="176"/>
      <c r="Y173" s="176"/>
      <c r="Z173" s="176"/>
    </row>
    <row r="174">
      <c r="A174" s="226" t="s">
        <v>39</v>
      </c>
      <c r="B174" s="226" t="s">
        <v>590</v>
      </c>
      <c r="C174" s="250" t="s">
        <v>3582</v>
      </c>
      <c r="D174" s="268" t="s">
        <v>495</v>
      </c>
      <c r="E174" s="251">
        <v>44152.0</v>
      </c>
      <c r="F174" s="250" t="s">
        <v>496</v>
      </c>
      <c r="G174" s="176"/>
      <c r="H174" s="171">
        <v>20.0</v>
      </c>
      <c r="I174" s="171">
        <v>40.0</v>
      </c>
      <c r="J174" s="391">
        <f t="shared" si="6"/>
        <v>0.001311902054</v>
      </c>
      <c r="K174" s="392">
        <f t="shared" si="7"/>
        <v>0.6953080887</v>
      </c>
      <c r="L174" s="327">
        <f t="shared" si="8"/>
        <v>6.578365505</v>
      </c>
      <c r="M174" s="321" t="str">
        <f t="shared" si="5"/>
        <v>manualzuru</v>
      </c>
      <c r="N174" s="176">
        <f>IFERROR(__xludf.DUMMYFUNCTION("""COMPUTED_VALUE"""),5.0)</f>
        <v>5</v>
      </c>
      <c r="O174" s="176"/>
      <c r="P174" s="176"/>
      <c r="Q174" s="176"/>
      <c r="R174" s="176"/>
      <c r="S174" s="176"/>
      <c r="T174" s="176"/>
      <c r="U174" s="176"/>
      <c r="V174" s="176"/>
      <c r="W174" s="176"/>
      <c r="X174" s="176"/>
      <c r="Y174" s="176"/>
      <c r="Z174" s="176"/>
    </row>
    <row r="175">
      <c r="A175" s="226" t="s">
        <v>38</v>
      </c>
      <c r="B175" s="226" t="s">
        <v>519</v>
      </c>
      <c r="C175" s="250" t="s">
        <v>3646</v>
      </c>
      <c r="D175" s="268" t="s">
        <v>495</v>
      </c>
      <c r="E175" s="251">
        <v>44147.0</v>
      </c>
      <c r="F175" s="250" t="s">
        <v>496</v>
      </c>
      <c r="G175" s="243"/>
      <c r="H175" s="171">
        <v>100.0</v>
      </c>
      <c r="I175" s="171">
        <v>100.0</v>
      </c>
      <c r="J175" s="391">
        <f t="shared" si="6"/>
        <v>0.004237169351</v>
      </c>
      <c r="K175" s="392">
        <f t="shared" si="7"/>
        <v>2.245699756</v>
      </c>
      <c r="L175" s="327">
        <f t="shared" si="8"/>
        <v>6.576673288</v>
      </c>
      <c r="M175" s="321" t="str">
        <f t="shared" si="5"/>
        <v>danibelle</v>
      </c>
      <c r="N175" s="176">
        <f>IFERROR(__xludf.DUMMYFUNCTION("""COMPUTED_VALUE"""),1.0)</f>
        <v>1</v>
      </c>
      <c r="O175" s="176"/>
      <c r="P175" s="176"/>
      <c r="Q175" s="176"/>
      <c r="R175" s="176"/>
      <c r="S175" s="176"/>
      <c r="T175" s="176"/>
      <c r="U175" s="176"/>
      <c r="V175" s="176"/>
      <c r="W175" s="176"/>
      <c r="X175" s="176"/>
      <c r="Y175" s="176"/>
      <c r="Z175" s="176"/>
    </row>
    <row r="176">
      <c r="A176" s="226" t="s">
        <v>38</v>
      </c>
      <c r="B176" s="226" t="s">
        <v>519</v>
      </c>
      <c r="C176" s="250" t="s">
        <v>3650</v>
      </c>
      <c r="D176" s="268" t="s">
        <v>495</v>
      </c>
      <c r="E176" s="251">
        <v>44152.0</v>
      </c>
      <c r="F176" s="250" t="s">
        <v>521</v>
      </c>
      <c r="G176" s="176"/>
      <c r="H176" s="171">
        <v>100.0</v>
      </c>
      <c r="I176" s="171">
        <v>100.0</v>
      </c>
      <c r="J176" s="391">
        <f t="shared" si="6"/>
        <v>0.004237169351</v>
      </c>
      <c r="K176" s="392">
        <f t="shared" si="7"/>
        <v>2.245699756</v>
      </c>
      <c r="L176" s="327">
        <f t="shared" si="8"/>
        <v>6.576673288</v>
      </c>
      <c r="M176" s="321" t="str">
        <f t="shared" si="5"/>
        <v>danibelle</v>
      </c>
      <c r="N176" s="176">
        <f>IFERROR(__xludf.DUMMYFUNCTION("""COMPUTED_VALUE"""),2.0)</f>
        <v>2</v>
      </c>
      <c r="O176" s="176"/>
      <c r="P176" s="176"/>
      <c r="Q176" s="176"/>
      <c r="R176" s="176"/>
      <c r="S176" s="176"/>
      <c r="T176" s="176"/>
      <c r="U176" s="176"/>
      <c r="V176" s="176"/>
      <c r="W176" s="176"/>
      <c r="X176" s="176"/>
      <c r="Y176" s="176"/>
      <c r="Z176" s="176"/>
    </row>
    <row r="177">
      <c r="A177" s="226" t="s">
        <v>38</v>
      </c>
      <c r="B177" s="226" t="s">
        <v>18</v>
      </c>
      <c r="C177" s="250" t="s">
        <v>3594</v>
      </c>
      <c r="D177" s="268" t="s">
        <v>495</v>
      </c>
      <c r="E177" s="251">
        <v>44152.0</v>
      </c>
      <c r="F177" s="250" t="s">
        <v>496</v>
      </c>
      <c r="G177" s="176"/>
      <c r="H177" s="171">
        <v>45.0</v>
      </c>
      <c r="I177" s="171">
        <v>50.0</v>
      </c>
      <c r="J177" s="391">
        <f t="shared" si="6"/>
        <v>0.002022843254</v>
      </c>
      <c r="K177" s="392">
        <f t="shared" si="7"/>
        <v>1.072106925</v>
      </c>
      <c r="L177" s="327">
        <f t="shared" si="8"/>
        <v>6.576673288</v>
      </c>
      <c r="M177" s="321" t="str">
        <f t="shared" si="5"/>
        <v>danibelle</v>
      </c>
      <c r="N177" s="176">
        <f>IFERROR(__xludf.DUMMYFUNCTION("""COMPUTED_VALUE"""),3.0)</f>
        <v>3</v>
      </c>
      <c r="O177" s="176"/>
      <c r="P177" s="176"/>
      <c r="Q177" s="176"/>
      <c r="R177" s="176"/>
      <c r="S177" s="176"/>
      <c r="T177" s="176"/>
      <c r="U177" s="176"/>
      <c r="V177" s="176"/>
      <c r="W177" s="176"/>
      <c r="X177" s="176"/>
      <c r="Y177" s="176"/>
      <c r="Z177" s="176"/>
    </row>
    <row r="178">
      <c r="A178" s="226" t="s">
        <v>38</v>
      </c>
      <c r="B178" s="226" t="s">
        <v>519</v>
      </c>
      <c r="C178" s="250" t="s">
        <v>2329</v>
      </c>
      <c r="D178" s="268" t="s">
        <v>495</v>
      </c>
      <c r="E178" s="251">
        <v>44154.0</v>
      </c>
      <c r="F178" s="250" t="s">
        <v>521</v>
      </c>
      <c r="G178" s="176"/>
      <c r="H178" s="171">
        <v>10.0</v>
      </c>
      <c r="I178" s="171">
        <v>30.0</v>
      </c>
      <c r="J178" s="391">
        <f t="shared" si="6"/>
        <v>0.000888185119</v>
      </c>
      <c r="K178" s="392">
        <f t="shared" si="7"/>
        <v>0.4707381131</v>
      </c>
      <c r="L178" s="327">
        <f t="shared" si="8"/>
        <v>6.576673288</v>
      </c>
      <c r="M178" s="321" t="str">
        <f t="shared" si="5"/>
        <v>danibelle</v>
      </c>
      <c r="N178" s="176">
        <f>IFERROR(__xludf.DUMMYFUNCTION("""COMPUTED_VALUE"""),4.0)</f>
        <v>4</v>
      </c>
      <c r="O178" s="176"/>
      <c r="P178" s="176"/>
      <c r="Q178" s="176"/>
      <c r="R178" s="176"/>
      <c r="S178" s="176"/>
      <c r="T178" s="176"/>
      <c r="U178" s="176"/>
      <c r="V178" s="176"/>
      <c r="W178" s="176"/>
      <c r="X178" s="176"/>
      <c r="Y178" s="176"/>
      <c r="Z178" s="176"/>
    </row>
    <row r="179">
      <c r="A179" s="226" t="s">
        <v>38</v>
      </c>
      <c r="B179" s="226" t="s">
        <v>70</v>
      </c>
      <c r="C179" s="250" t="s">
        <v>3651</v>
      </c>
      <c r="D179" s="268" t="s">
        <v>495</v>
      </c>
      <c r="E179" s="251">
        <v>44154.0</v>
      </c>
      <c r="F179" s="250" t="s">
        <v>496</v>
      </c>
      <c r="G179" s="176"/>
      <c r="H179" s="171">
        <v>10.0</v>
      </c>
      <c r="I179" s="171">
        <v>30.0</v>
      </c>
      <c r="J179" s="391">
        <f t="shared" si="6"/>
        <v>0.000888185119</v>
      </c>
      <c r="K179" s="392">
        <f t="shared" si="7"/>
        <v>0.4707381131</v>
      </c>
      <c r="L179" s="327">
        <f t="shared" si="8"/>
        <v>6.576673288</v>
      </c>
      <c r="M179" s="321" t="str">
        <f t="shared" si="5"/>
        <v>danibelle</v>
      </c>
      <c r="N179" s="176">
        <f>IFERROR(__xludf.DUMMYFUNCTION("""COMPUTED_VALUE"""),5.0)</f>
        <v>5</v>
      </c>
      <c r="O179" s="176"/>
      <c r="P179" s="176"/>
      <c r="Q179" s="176"/>
      <c r="R179" s="176"/>
      <c r="S179" s="176"/>
      <c r="T179" s="176"/>
      <c r="U179" s="176"/>
      <c r="V179" s="176"/>
      <c r="W179" s="176"/>
      <c r="X179" s="176"/>
      <c r="Y179" s="176"/>
      <c r="Z179" s="176"/>
    </row>
    <row r="180">
      <c r="A180" s="226" t="s">
        <v>38</v>
      </c>
      <c r="B180" s="226" t="s">
        <v>5</v>
      </c>
      <c r="C180" s="250" t="s">
        <v>3652</v>
      </c>
      <c r="D180" s="268" t="s">
        <v>495</v>
      </c>
      <c r="E180" s="251">
        <v>44147.0</v>
      </c>
      <c r="F180" s="250" t="s">
        <v>496</v>
      </c>
      <c r="G180" s="243"/>
      <c r="H180" s="171">
        <v>1.0</v>
      </c>
      <c r="I180" s="171">
        <v>5.0</v>
      </c>
      <c r="J180" s="391">
        <f t="shared" si="6"/>
        <v>0.0001352653303</v>
      </c>
      <c r="K180" s="392">
        <f t="shared" si="7"/>
        <v>0.07169062506</v>
      </c>
      <c r="L180" s="327">
        <f t="shared" si="8"/>
        <v>6.576673288</v>
      </c>
      <c r="M180" s="321" t="str">
        <f t="shared" si="5"/>
        <v>danibelle</v>
      </c>
      <c r="N180" s="176">
        <f>IFERROR(__xludf.DUMMYFUNCTION("""COMPUTED_VALUE"""),6.0)</f>
        <v>6</v>
      </c>
      <c r="O180" s="176"/>
      <c r="P180" s="176"/>
      <c r="Q180" s="176"/>
      <c r="R180" s="176"/>
      <c r="S180" s="176"/>
      <c r="T180" s="176"/>
      <c r="U180" s="176"/>
      <c r="V180" s="176"/>
      <c r="W180" s="176"/>
      <c r="X180" s="176"/>
      <c r="Y180" s="176"/>
      <c r="Z180" s="176"/>
    </row>
    <row r="181">
      <c r="A181" s="226" t="s">
        <v>71</v>
      </c>
      <c r="B181" s="226" t="s">
        <v>1228</v>
      </c>
      <c r="C181" s="250" t="s">
        <v>3566</v>
      </c>
      <c r="D181" s="268" t="s">
        <v>495</v>
      </c>
      <c r="E181" s="361">
        <v>44141.0</v>
      </c>
      <c r="F181" s="250" t="s">
        <v>496</v>
      </c>
      <c r="G181" s="243"/>
      <c r="H181" s="171">
        <v>120.0</v>
      </c>
      <c r="I181" s="171">
        <v>50.0</v>
      </c>
      <c r="J181" s="391">
        <f t="shared" si="6"/>
        <v>0.003458964577</v>
      </c>
      <c r="K181" s="392">
        <f t="shared" si="7"/>
        <v>1.833251226</v>
      </c>
      <c r="L181" s="327">
        <f t="shared" si="8"/>
        <v>5.759973348</v>
      </c>
      <c r="M181" s="321" t="str">
        <f t="shared" si="5"/>
        <v>quartagiulio</v>
      </c>
      <c r="N181" s="176">
        <f>IFERROR(__xludf.DUMMYFUNCTION("""COMPUTED_VALUE"""),1.0)</f>
        <v>1</v>
      </c>
      <c r="O181" s="176"/>
      <c r="P181" s="176"/>
      <c r="Q181" s="176"/>
      <c r="R181" s="176"/>
      <c r="S181" s="176"/>
      <c r="T181" s="176"/>
      <c r="U181" s="176"/>
      <c r="V181" s="176"/>
      <c r="W181" s="176"/>
      <c r="X181" s="176"/>
      <c r="Y181" s="176"/>
      <c r="Z181" s="176"/>
    </row>
    <row r="182">
      <c r="A182" s="226" t="s">
        <v>71</v>
      </c>
      <c r="B182" s="226" t="s">
        <v>1228</v>
      </c>
      <c r="C182" s="250" t="s">
        <v>3572</v>
      </c>
      <c r="D182" s="268" t="s">
        <v>495</v>
      </c>
      <c r="E182" s="251">
        <v>44147.0</v>
      </c>
      <c r="F182" s="250" t="s">
        <v>496</v>
      </c>
      <c r="G182" s="243"/>
      <c r="H182" s="171">
        <v>100.0</v>
      </c>
      <c r="I182" s="171">
        <v>40.0</v>
      </c>
      <c r="J182" s="391">
        <f t="shared" si="6"/>
        <v>0.002843764799</v>
      </c>
      <c r="K182" s="392">
        <f t="shared" si="7"/>
        <v>1.507195344</v>
      </c>
      <c r="L182" s="327">
        <f t="shared" si="8"/>
        <v>5.759973348</v>
      </c>
      <c r="M182" s="321" t="str">
        <f t="shared" si="5"/>
        <v>quartagiulio</v>
      </c>
      <c r="N182" s="176">
        <f>IFERROR(__xludf.DUMMYFUNCTION("""COMPUTED_VALUE"""),2.0)</f>
        <v>2</v>
      </c>
      <c r="O182" s="176"/>
      <c r="P182" s="176"/>
      <c r="Q182" s="176"/>
      <c r="R182" s="176"/>
      <c r="S182" s="176"/>
      <c r="T182" s="176"/>
      <c r="U182" s="176"/>
      <c r="V182" s="176"/>
      <c r="W182" s="176"/>
      <c r="X182" s="176"/>
      <c r="Y182" s="176"/>
      <c r="Z182" s="176"/>
    </row>
    <row r="183">
      <c r="A183" s="226" t="s">
        <v>71</v>
      </c>
      <c r="B183" s="226" t="s">
        <v>18</v>
      </c>
      <c r="C183" s="250" t="s">
        <v>3594</v>
      </c>
      <c r="D183" s="268" t="s">
        <v>495</v>
      </c>
      <c r="E183" s="251">
        <v>44152.0</v>
      </c>
      <c r="F183" s="250" t="s">
        <v>496</v>
      </c>
      <c r="G183" s="176"/>
      <c r="H183" s="171">
        <v>45.0</v>
      </c>
      <c r="I183" s="171">
        <v>50.0</v>
      </c>
      <c r="J183" s="391">
        <f t="shared" si="6"/>
        <v>0.002022843254</v>
      </c>
      <c r="K183" s="392">
        <f t="shared" si="7"/>
        <v>1.072106925</v>
      </c>
      <c r="L183" s="327">
        <f t="shared" si="8"/>
        <v>5.759973348</v>
      </c>
      <c r="M183" s="321" t="str">
        <f t="shared" si="5"/>
        <v>quartagiulio</v>
      </c>
      <c r="N183" s="176">
        <f>IFERROR(__xludf.DUMMYFUNCTION("""COMPUTED_VALUE"""),3.0)</f>
        <v>3</v>
      </c>
      <c r="O183" s="176"/>
      <c r="P183" s="176"/>
      <c r="Q183" s="176"/>
      <c r="R183" s="176"/>
      <c r="S183" s="176"/>
      <c r="T183" s="176"/>
      <c r="U183" s="176"/>
      <c r="V183" s="176"/>
      <c r="W183" s="176"/>
      <c r="X183" s="176"/>
      <c r="Y183" s="176"/>
      <c r="Z183" s="176"/>
    </row>
    <row r="184">
      <c r="A184" s="226" t="s">
        <v>71</v>
      </c>
      <c r="B184" s="226" t="s">
        <v>18</v>
      </c>
      <c r="C184" s="250" t="s">
        <v>3575</v>
      </c>
      <c r="D184" s="268" t="s">
        <v>495</v>
      </c>
      <c r="E184" s="361">
        <v>44141.0</v>
      </c>
      <c r="F184" s="250" t="s">
        <v>496</v>
      </c>
      <c r="G184" s="243"/>
      <c r="H184" s="171">
        <v>30.0</v>
      </c>
      <c r="I184" s="171">
        <v>30.0</v>
      </c>
      <c r="J184" s="391">
        <f t="shared" si="6"/>
        <v>0.001271150805</v>
      </c>
      <c r="K184" s="392">
        <f t="shared" si="7"/>
        <v>0.6737099268</v>
      </c>
      <c r="L184" s="327">
        <f t="shared" si="8"/>
        <v>5.759973348</v>
      </c>
      <c r="M184" s="321" t="str">
        <f t="shared" si="5"/>
        <v>quartagiulio</v>
      </c>
      <c r="N184" s="176">
        <f>IFERROR(__xludf.DUMMYFUNCTION("""COMPUTED_VALUE"""),4.0)</f>
        <v>4</v>
      </c>
      <c r="O184" s="176"/>
      <c r="P184" s="176"/>
      <c r="Q184" s="176"/>
      <c r="R184" s="176"/>
      <c r="S184" s="176"/>
      <c r="T184" s="176"/>
      <c r="U184" s="176"/>
      <c r="V184" s="176"/>
      <c r="W184" s="176"/>
      <c r="X184" s="176"/>
      <c r="Y184" s="176"/>
      <c r="Z184" s="176"/>
    </row>
    <row r="185">
      <c r="A185" s="226" t="s">
        <v>71</v>
      </c>
      <c r="B185" s="226" t="s">
        <v>5</v>
      </c>
      <c r="C185" s="250" t="s">
        <v>3573</v>
      </c>
      <c r="D185" s="268" t="s">
        <v>495</v>
      </c>
      <c r="E185" s="251">
        <v>44147.0</v>
      </c>
      <c r="F185" s="250" t="s">
        <v>496</v>
      </c>
      <c r="G185" s="176"/>
      <c r="H185" s="171">
        <v>30.0</v>
      </c>
      <c r="I185" s="171">
        <v>30.0</v>
      </c>
      <c r="J185" s="391">
        <f t="shared" si="6"/>
        <v>0.001271150805</v>
      </c>
      <c r="K185" s="392">
        <f t="shared" si="7"/>
        <v>0.6737099268</v>
      </c>
      <c r="L185" s="327">
        <f t="shared" si="8"/>
        <v>5.759973348</v>
      </c>
      <c r="M185" s="321" t="str">
        <f t="shared" si="5"/>
        <v>quartagiulio</v>
      </c>
      <c r="N185" s="176">
        <f>IFERROR(__xludf.DUMMYFUNCTION("""COMPUTED_VALUE"""),5.0)</f>
        <v>5</v>
      </c>
      <c r="O185" s="176"/>
      <c r="P185" s="176"/>
      <c r="Q185" s="176"/>
      <c r="R185" s="176"/>
      <c r="S185" s="176"/>
      <c r="T185" s="176"/>
      <c r="U185" s="176"/>
      <c r="V185" s="176"/>
      <c r="W185" s="176"/>
      <c r="X185" s="176"/>
      <c r="Y185" s="176"/>
      <c r="Z185" s="176"/>
    </row>
    <row r="186">
      <c r="A186" s="226" t="s">
        <v>49</v>
      </c>
      <c r="B186" s="226" t="s">
        <v>18</v>
      </c>
      <c r="C186" s="250" t="s">
        <v>3594</v>
      </c>
      <c r="D186" s="268" t="s">
        <v>495</v>
      </c>
      <c r="E186" s="251">
        <v>44152.0</v>
      </c>
      <c r="F186" s="250" t="s">
        <v>496</v>
      </c>
      <c r="G186" s="176"/>
      <c r="H186" s="171">
        <v>45.0</v>
      </c>
      <c r="I186" s="171">
        <v>50.0</v>
      </c>
      <c r="J186" s="391">
        <f t="shared" si="6"/>
        <v>0.002022843254</v>
      </c>
      <c r="K186" s="392">
        <f t="shared" si="7"/>
        <v>1.072106925</v>
      </c>
      <c r="L186" s="327">
        <f t="shared" si="8"/>
        <v>5.215852392</v>
      </c>
      <c r="M186" s="321" t="str">
        <f t="shared" si="5"/>
        <v>knobsdao</v>
      </c>
      <c r="N186" s="176">
        <f>IFERROR(__xludf.DUMMYFUNCTION("""COMPUTED_VALUE"""),1.0)</f>
        <v>1</v>
      </c>
      <c r="O186" s="176"/>
      <c r="P186" s="176"/>
      <c r="Q186" s="176"/>
      <c r="R186" s="176"/>
      <c r="S186" s="176"/>
      <c r="T186" s="176"/>
      <c r="U186" s="176"/>
      <c r="V186" s="176"/>
      <c r="W186" s="176"/>
      <c r="X186" s="176"/>
      <c r="Y186" s="176"/>
      <c r="Z186" s="176"/>
    </row>
    <row r="187">
      <c r="A187" s="226" t="s">
        <v>49</v>
      </c>
      <c r="B187" s="226" t="s">
        <v>18</v>
      </c>
      <c r="C187" s="250" t="s">
        <v>3578</v>
      </c>
      <c r="D187" s="268" t="s">
        <v>495</v>
      </c>
      <c r="E187" s="251">
        <v>44152.0</v>
      </c>
      <c r="F187" s="250" t="s">
        <v>496</v>
      </c>
      <c r="G187" s="176"/>
      <c r="H187" s="171">
        <v>45.0</v>
      </c>
      <c r="I187" s="171">
        <v>30.0</v>
      </c>
      <c r="J187" s="391">
        <f t="shared" si="6"/>
        <v>0.00155837507</v>
      </c>
      <c r="K187" s="392">
        <f t="shared" si="7"/>
        <v>0.8259387871</v>
      </c>
      <c r="L187" s="327">
        <f t="shared" si="8"/>
        <v>5.215852392</v>
      </c>
      <c r="M187" s="321" t="str">
        <f t="shared" si="5"/>
        <v>knobsdao</v>
      </c>
      <c r="N187" s="176">
        <f>IFERROR(__xludf.DUMMYFUNCTION("""COMPUTED_VALUE"""),2.0)</f>
        <v>2</v>
      </c>
      <c r="O187" s="176"/>
      <c r="P187" s="176"/>
      <c r="Q187" s="176"/>
      <c r="R187" s="176"/>
      <c r="S187" s="176"/>
      <c r="T187" s="176"/>
      <c r="U187" s="176"/>
      <c r="V187" s="176"/>
      <c r="W187" s="176"/>
      <c r="X187" s="176"/>
      <c r="Y187" s="176"/>
      <c r="Z187" s="176"/>
    </row>
    <row r="188">
      <c r="A188" s="226" t="s">
        <v>49</v>
      </c>
      <c r="B188" s="226" t="s">
        <v>590</v>
      </c>
      <c r="C188" s="250" t="s">
        <v>3579</v>
      </c>
      <c r="D188" s="268" t="s">
        <v>495</v>
      </c>
      <c r="E188" s="251">
        <v>44153.0</v>
      </c>
      <c r="F188" s="250" t="s">
        <v>496</v>
      </c>
      <c r="G188" s="176"/>
      <c r="H188" s="171">
        <v>45.0</v>
      </c>
      <c r="I188" s="171">
        <v>30.0</v>
      </c>
      <c r="J188" s="391">
        <f t="shared" si="6"/>
        <v>0.00155837507</v>
      </c>
      <c r="K188" s="392">
        <f t="shared" si="7"/>
        <v>0.8259387871</v>
      </c>
      <c r="L188" s="327">
        <f t="shared" si="8"/>
        <v>5.215852392</v>
      </c>
      <c r="M188" s="321" t="str">
        <f t="shared" si="5"/>
        <v>knobsdao</v>
      </c>
      <c r="N188" s="176">
        <f>IFERROR(__xludf.DUMMYFUNCTION("""COMPUTED_VALUE"""),3.0)</f>
        <v>3</v>
      </c>
      <c r="O188" s="176"/>
      <c r="P188" s="176"/>
      <c r="Q188" s="176"/>
      <c r="R188" s="176"/>
      <c r="S188" s="176"/>
      <c r="T188" s="176"/>
      <c r="U188" s="176"/>
      <c r="V188" s="176"/>
      <c r="W188" s="176"/>
      <c r="X188" s="176"/>
      <c r="Y188" s="176"/>
      <c r="Z188" s="176"/>
    </row>
    <row r="189">
      <c r="A189" s="226" t="s">
        <v>49</v>
      </c>
      <c r="B189" s="226" t="s">
        <v>5</v>
      </c>
      <c r="C189" s="250" t="s">
        <v>3573</v>
      </c>
      <c r="D189" s="268" t="s">
        <v>495</v>
      </c>
      <c r="E189" s="251">
        <v>44147.0</v>
      </c>
      <c r="F189" s="250" t="s">
        <v>496</v>
      </c>
      <c r="G189" s="176"/>
      <c r="H189" s="171">
        <v>30.0</v>
      </c>
      <c r="I189" s="171">
        <v>30.0</v>
      </c>
      <c r="J189" s="391">
        <f t="shared" si="6"/>
        <v>0.001271150805</v>
      </c>
      <c r="K189" s="392">
        <f t="shared" si="7"/>
        <v>0.6737099268</v>
      </c>
      <c r="L189" s="327">
        <f t="shared" si="8"/>
        <v>5.215852392</v>
      </c>
      <c r="M189" s="321" t="str">
        <f t="shared" si="5"/>
        <v>knobsdao</v>
      </c>
      <c r="N189" s="176">
        <f>IFERROR(__xludf.DUMMYFUNCTION("""COMPUTED_VALUE"""),4.0)</f>
        <v>4</v>
      </c>
      <c r="O189" s="176"/>
      <c r="P189" s="176"/>
      <c r="Q189" s="176"/>
      <c r="R189" s="176"/>
      <c r="S189" s="176"/>
      <c r="T189" s="176"/>
      <c r="U189" s="176"/>
      <c r="V189" s="176"/>
      <c r="W189" s="176"/>
      <c r="X189" s="176"/>
      <c r="Y189" s="176"/>
      <c r="Z189" s="176"/>
    </row>
    <row r="190">
      <c r="A190" s="226" t="s">
        <v>49</v>
      </c>
      <c r="B190" s="226" t="s">
        <v>590</v>
      </c>
      <c r="C190" s="250" t="s">
        <v>3571</v>
      </c>
      <c r="D190" s="268" t="s">
        <v>495</v>
      </c>
      <c r="E190" s="251">
        <v>44155.0</v>
      </c>
      <c r="F190" s="250" t="s">
        <v>496</v>
      </c>
      <c r="G190" s="176"/>
      <c r="H190" s="171">
        <v>30.0</v>
      </c>
      <c r="I190" s="171">
        <v>30.0</v>
      </c>
      <c r="J190" s="391">
        <f t="shared" si="6"/>
        <v>0.001271150805</v>
      </c>
      <c r="K190" s="392">
        <f t="shared" si="7"/>
        <v>0.6737099268</v>
      </c>
      <c r="L190" s="327">
        <f t="shared" si="8"/>
        <v>5.215852392</v>
      </c>
      <c r="M190" s="321" t="str">
        <f t="shared" si="5"/>
        <v>knobsdao</v>
      </c>
      <c r="N190" s="176">
        <f>IFERROR(__xludf.DUMMYFUNCTION("""COMPUTED_VALUE"""),5.0)</f>
        <v>5</v>
      </c>
      <c r="O190" s="176"/>
      <c r="P190" s="176"/>
      <c r="Q190" s="176"/>
      <c r="R190" s="176"/>
      <c r="S190" s="176"/>
      <c r="T190" s="176"/>
      <c r="U190" s="176"/>
      <c r="V190" s="176"/>
      <c r="W190" s="176"/>
      <c r="X190" s="176"/>
      <c r="Y190" s="176"/>
      <c r="Z190" s="176"/>
    </row>
    <row r="191">
      <c r="A191" s="226" t="s">
        <v>49</v>
      </c>
      <c r="B191" s="226" t="s">
        <v>5</v>
      </c>
      <c r="C191" s="250" t="s">
        <v>3607</v>
      </c>
      <c r="D191" s="268" t="s">
        <v>495</v>
      </c>
      <c r="E191" s="251">
        <v>44151.0</v>
      </c>
      <c r="F191" s="250" t="s">
        <v>496</v>
      </c>
      <c r="G191" s="176"/>
      <c r="H191" s="171">
        <v>20.0</v>
      </c>
      <c r="I191" s="171">
        <v>30.0</v>
      </c>
      <c r="J191" s="391">
        <f t="shared" si="6"/>
        <v>0.001079667962</v>
      </c>
      <c r="K191" s="392">
        <f t="shared" si="7"/>
        <v>0.5722240199</v>
      </c>
      <c r="L191" s="327">
        <f t="shared" si="8"/>
        <v>5.215852392</v>
      </c>
      <c r="M191" s="321" t="str">
        <f t="shared" si="5"/>
        <v>knobsdao</v>
      </c>
      <c r="N191" s="176">
        <f>IFERROR(__xludf.DUMMYFUNCTION("""COMPUTED_VALUE"""),6.0)</f>
        <v>6</v>
      </c>
      <c r="O191" s="176"/>
      <c r="P191" s="176"/>
      <c r="Q191" s="176"/>
      <c r="R191" s="176"/>
      <c r="S191" s="176"/>
      <c r="T191" s="176"/>
      <c r="U191" s="176"/>
      <c r="V191" s="176"/>
      <c r="W191" s="176"/>
      <c r="X191" s="176"/>
      <c r="Y191" s="176"/>
      <c r="Z191" s="176"/>
    </row>
    <row r="192">
      <c r="A192" s="226" t="s">
        <v>49</v>
      </c>
      <c r="B192" s="226" t="s">
        <v>590</v>
      </c>
      <c r="C192" s="250" t="s">
        <v>3582</v>
      </c>
      <c r="D192" s="268" t="s">
        <v>495</v>
      </c>
      <c r="E192" s="251">
        <v>44152.0</v>
      </c>
      <c r="F192" s="250" t="s">
        <v>496</v>
      </c>
      <c r="G192" s="176"/>
      <c r="H192" s="171">
        <v>20.0</v>
      </c>
      <c r="I192" s="171">
        <v>30.0</v>
      </c>
      <c r="J192" s="391">
        <f t="shared" si="6"/>
        <v>0.001079667962</v>
      </c>
      <c r="K192" s="392">
        <f t="shared" si="7"/>
        <v>0.5722240199</v>
      </c>
      <c r="L192" s="327">
        <f t="shared" si="8"/>
        <v>5.215852392</v>
      </c>
      <c r="M192" s="321" t="str">
        <f t="shared" si="5"/>
        <v>knobsdao</v>
      </c>
      <c r="N192" s="176">
        <f>IFERROR(__xludf.DUMMYFUNCTION("""COMPUTED_VALUE"""),7.0)</f>
        <v>7</v>
      </c>
      <c r="O192" s="176"/>
      <c r="P192" s="176"/>
      <c r="Q192" s="176"/>
      <c r="R192" s="176"/>
      <c r="S192" s="176"/>
      <c r="T192" s="176"/>
      <c r="U192" s="176"/>
      <c r="V192" s="176"/>
      <c r="W192" s="176"/>
      <c r="X192" s="176"/>
      <c r="Y192" s="176"/>
      <c r="Z192" s="176"/>
    </row>
    <row r="193">
      <c r="A193" s="226" t="s">
        <v>123</v>
      </c>
      <c r="B193" s="226" t="s">
        <v>519</v>
      </c>
      <c r="C193" s="250" t="s">
        <v>3653</v>
      </c>
      <c r="D193" s="268" t="s">
        <v>495</v>
      </c>
      <c r="E193" s="251">
        <v>44152.0</v>
      </c>
      <c r="F193" s="250" t="s">
        <v>521</v>
      </c>
      <c r="G193" s="176"/>
      <c r="H193" s="171">
        <v>200.0</v>
      </c>
      <c r="I193" s="171">
        <v>200.0</v>
      </c>
      <c r="J193" s="391">
        <f t="shared" si="6"/>
        <v>0.008474338702</v>
      </c>
      <c r="K193" s="392">
        <f t="shared" si="7"/>
        <v>4.491399512</v>
      </c>
      <c r="L193" s="327">
        <f t="shared" si="8"/>
        <v>4.962137625</v>
      </c>
      <c r="M193" s="321" t="str">
        <f t="shared" si="5"/>
        <v>lbagic</v>
      </c>
      <c r="N193" s="176">
        <f>IFERROR(__xludf.DUMMYFUNCTION("""COMPUTED_VALUE"""),1.0)</f>
        <v>1</v>
      </c>
      <c r="O193" s="176"/>
      <c r="P193" s="176"/>
      <c r="Q193" s="176"/>
      <c r="R193" s="176"/>
      <c r="S193" s="176"/>
      <c r="T193" s="176"/>
      <c r="U193" s="176"/>
      <c r="V193" s="176"/>
      <c r="W193" s="176"/>
      <c r="X193" s="176"/>
      <c r="Y193" s="176"/>
      <c r="Z193" s="176"/>
    </row>
    <row r="194">
      <c r="A194" s="226" t="s">
        <v>111</v>
      </c>
      <c r="B194" s="226" t="s">
        <v>519</v>
      </c>
      <c r="C194" s="250" t="s">
        <v>3653</v>
      </c>
      <c r="D194" s="268" t="s">
        <v>495</v>
      </c>
      <c r="E194" s="251">
        <v>44152.0</v>
      </c>
      <c r="F194" s="250" t="s">
        <v>521</v>
      </c>
      <c r="G194" s="176"/>
      <c r="H194" s="171">
        <v>200.0</v>
      </c>
      <c r="I194" s="171">
        <v>200.0</v>
      </c>
      <c r="J194" s="391">
        <f t="shared" si="6"/>
        <v>0.008474338702</v>
      </c>
      <c r="K194" s="392">
        <f t="shared" si="7"/>
        <v>4.491399512</v>
      </c>
      <c r="L194" s="327">
        <f t="shared" si="8"/>
        <v>4.962137625</v>
      </c>
      <c r="M194" s="321" t="str">
        <f t="shared" si="5"/>
        <v>simunstrukan</v>
      </c>
      <c r="N194" s="176">
        <f>IFERROR(__xludf.DUMMYFUNCTION("""COMPUTED_VALUE"""),1.0)</f>
        <v>1</v>
      </c>
      <c r="O194" s="176"/>
      <c r="P194" s="176"/>
      <c r="Q194" s="176"/>
      <c r="R194" s="176"/>
      <c r="S194" s="176"/>
      <c r="T194" s="176"/>
      <c r="U194" s="176"/>
      <c r="V194" s="176"/>
      <c r="W194" s="176"/>
      <c r="X194" s="176"/>
      <c r="Y194" s="176"/>
      <c r="Z194" s="176"/>
    </row>
    <row r="195">
      <c r="A195" s="226" t="s">
        <v>111</v>
      </c>
      <c r="B195" s="226" t="s">
        <v>519</v>
      </c>
      <c r="C195" s="250" t="s">
        <v>2329</v>
      </c>
      <c r="D195" s="268" t="s">
        <v>495</v>
      </c>
      <c r="E195" s="251">
        <v>44154.0</v>
      </c>
      <c r="F195" s="250" t="s">
        <v>521</v>
      </c>
      <c r="G195" s="176"/>
      <c r="H195" s="171">
        <v>10.0</v>
      </c>
      <c r="I195" s="171">
        <v>30.0</v>
      </c>
      <c r="J195" s="391">
        <f t="shared" si="6"/>
        <v>0.000888185119</v>
      </c>
      <c r="K195" s="392">
        <f t="shared" si="7"/>
        <v>0.4707381131</v>
      </c>
      <c r="L195" s="327">
        <f t="shared" si="8"/>
        <v>4.962137625</v>
      </c>
      <c r="M195" s="321" t="str">
        <f t="shared" si="5"/>
        <v>simunstrukan</v>
      </c>
      <c r="N195" s="176">
        <f>IFERROR(__xludf.DUMMYFUNCTION("""COMPUTED_VALUE"""),2.0)</f>
        <v>2</v>
      </c>
      <c r="O195" s="176"/>
      <c r="P195" s="176"/>
      <c r="Q195" s="176"/>
      <c r="R195" s="176"/>
      <c r="S195" s="176"/>
      <c r="T195" s="176"/>
      <c r="U195" s="176"/>
      <c r="V195" s="176"/>
      <c r="W195" s="176"/>
      <c r="X195" s="176"/>
      <c r="Y195" s="176"/>
      <c r="Z195" s="176"/>
    </row>
    <row r="196">
      <c r="A196" s="226" t="s">
        <v>123</v>
      </c>
      <c r="B196" s="226" t="s">
        <v>519</v>
      </c>
      <c r="C196" s="250" t="s">
        <v>2329</v>
      </c>
      <c r="D196" s="268" t="s">
        <v>495</v>
      </c>
      <c r="E196" s="251">
        <v>44154.0</v>
      </c>
      <c r="F196" s="250" t="s">
        <v>521</v>
      </c>
      <c r="G196" s="176"/>
      <c r="H196" s="171">
        <v>10.0</v>
      </c>
      <c r="I196" s="171">
        <v>30.0</v>
      </c>
      <c r="J196" s="391">
        <f t="shared" si="6"/>
        <v>0.000888185119</v>
      </c>
      <c r="K196" s="392">
        <f t="shared" si="7"/>
        <v>0.4707381131</v>
      </c>
      <c r="L196" s="327">
        <f t="shared" si="8"/>
        <v>4.962137625</v>
      </c>
      <c r="M196" s="321" t="str">
        <f t="shared" si="5"/>
        <v>lbagic</v>
      </c>
      <c r="N196" s="176">
        <f>IFERROR(__xludf.DUMMYFUNCTION("""COMPUTED_VALUE"""),2.0)</f>
        <v>2</v>
      </c>
      <c r="O196" s="176"/>
      <c r="P196" s="176"/>
      <c r="Q196" s="176"/>
      <c r="R196" s="176"/>
      <c r="S196" s="176"/>
      <c r="T196" s="176"/>
      <c r="U196" s="176"/>
      <c r="V196" s="176"/>
      <c r="W196" s="176"/>
      <c r="X196" s="176"/>
      <c r="Y196" s="176"/>
      <c r="Z196" s="176"/>
    </row>
    <row r="197">
      <c r="A197" s="226" t="s">
        <v>15</v>
      </c>
      <c r="B197" s="226" t="s">
        <v>18</v>
      </c>
      <c r="C197" s="250" t="s">
        <v>3592</v>
      </c>
      <c r="D197" s="268" t="s">
        <v>495</v>
      </c>
      <c r="E197" s="251">
        <v>44145.0</v>
      </c>
      <c r="F197" s="250" t="s">
        <v>496</v>
      </c>
      <c r="G197" s="243"/>
      <c r="H197" s="171">
        <v>1000.0</v>
      </c>
      <c r="I197" s="171">
        <v>500.0</v>
      </c>
      <c r="J197" s="391">
        <f t="shared" si="6"/>
        <v>0.03075998891</v>
      </c>
      <c r="K197" s="392">
        <f t="shared" si="7"/>
        <v>16.30279412</v>
      </c>
      <c r="L197" s="327">
        <f t="shared" si="8"/>
        <v>4.646234939</v>
      </c>
      <c r="M197" s="321" t="str">
        <f t="shared" si="5"/>
        <v>juankbell</v>
      </c>
      <c r="N197" s="176">
        <f>IFERROR(__xludf.DUMMYFUNCTION("""COMPUTED_VALUE"""),1.0)</f>
        <v>1</v>
      </c>
      <c r="O197" s="176"/>
      <c r="P197" s="176"/>
      <c r="Q197" s="176"/>
      <c r="R197" s="176"/>
      <c r="S197" s="176"/>
      <c r="T197" s="176"/>
      <c r="U197" s="176"/>
      <c r="V197" s="176"/>
      <c r="W197" s="176"/>
      <c r="X197" s="176"/>
      <c r="Y197" s="176"/>
      <c r="Z197" s="176"/>
    </row>
    <row r="198">
      <c r="A198" s="226" t="s">
        <v>15</v>
      </c>
      <c r="B198" s="226" t="s">
        <v>519</v>
      </c>
      <c r="C198" s="250" t="s">
        <v>3654</v>
      </c>
      <c r="D198" s="268" t="s">
        <v>495</v>
      </c>
      <c r="E198" s="251">
        <v>44147.0</v>
      </c>
      <c r="F198" s="250" t="s">
        <v>496</v>
      </c>
      <c r="G198" s="243"/>
      <c r="H198" s="171">
        <v>500.0</v>
      </c>
      <c r="I198" s="171">
        <v>200.0</v>
      </c>
      <c r="J198" s="391">
        <f t="shared" si="6"/>
        <v>0.014218824</v>
      </c>
      <c r="K198" s="392">
        <f t="shared" si="7"/>
        <v>7.535976718</v>
      </c>
      <c r="L198" s="327">
        <f t="shared" si="8"/>
        <v>4.646234939</v>
      </c>
      <c r="M198" s="321" t="str">
        <f t="shared" si="5"/>
        <v>juankbell</v>
      </c>
      <c r="N198" s="176">
        <f>IFERROR(__xludf.DUMMYFUNCTION("""COMPUTED_VALUE"""),2.0)</f>
        <v>2</v>
      </c>
      <c r="O198" s="176"/>
      <c r="P198" s="176"/>
      <c r="Q198" s="176"/>
      <c r="R198" s="176"/>
      <c r="S198" s="176"/>
      <c r="T198" s="176"/>
      <c r="U198" s="176"/>
      <c r="V198" s="176"/>
      <c r="W198" s="176"/>
      <c r="X198" s="176"/>
      <c r="Y198" s="176"/>
      <c r="Z198" s="176"/>
    </row>
    <row r="199">
      <c r="A199" s="226" t="s">
        <v>15</v>
      </c>
      <c r="B199" s="226" t="s">
        <v>18</v>
      </c>
      <c r="C199" s="250" t="s">
        <v>3655</v>
      </c>
      <c r="D199" s="268" t="s">
        <v>495</v>
      </c>
      <c r="E199" s="251">
        <v>44148.0</v>
      </c>
      <c r="F199" s="250" t="s">
        <v>496</v>
      </c>
      <c r="G199" s="176"/>
      <c r="H199" s="171">
        <v>150.0</v>
      </c>
      <c r="I199" s="171">
        <v>100.0</v>
      </c>
      <c r="J199" s="391">
        <f t="shared" si="6"/>
        <v>0.005194583567</v>
      </c>
      <c r="K199" s="392">
        <f t="shared" si="7"/>
        <v>2.75312929</v>
      </c>
      <c r="L199" s="327">
        <f t="shared" si="8"/>
        <v>4.646234939</v>
      </c>
      <c r="M199" s="321" t="str">
        <f t="shared" si="5"/>
        <v>juankbell</v>
      </c>
      <c r="N199" s="176">
        <f>IFERROR(__xludf.DUMMYFUNCTION("""COMPUTED_VALUE"""),3.0)</f>
        <v>3</v>
      </c>
      <c r="O199" s="176"/>
      <c r="P199" s="176"/>
      <c r="Q199" s="176"/>
      <c r="R199" s="176"/>
      <c r="S199" s="176"/>
      <c r="T199" s="176"/>
      <c r="U199" s="176"/>
      <c r="V199" s="176"/>
      <c r="W199" s="176"/>
      <c r="X199" s="176"/>
      <c r="Y199" s="176"/>
      <c r="Z199" s="176"/>
    </row>
    <row r="200">
      <c r="A200" s="226" t="s">
        <v>15</v>
      </c>
      <c r="B200" s="226" t="s">
        <v>590</v>
      </c>
      <c r="C200" s="250" t="s">
        <v>3571</v>
      </c>
      <c r="D200" s="268" t="s">
        <v>495</v>
      </c>
      <c r="E200" s="251">
        <v>44155.0</v>
      </c>
      <c r="F200" s="250" t="s">
        <v>496</v>
      </c>
      <c r="G200" s="176"/>
      <c r="H200" s="171">
        <v>100.0</v>
      </c>
      <c r="I200" s="171">
        <v>60.0</v>
      </c>
      <c r="J200" s="391">
        <f t="shared" si="6"/>
        <v>0.003308232983</v>
      </c>
      <c r="K200" s="392">
        <f t="shared" si="7"/>
        <v>1.753363481</v>
      </c>
      <c r="L200" s="327">
        <f t="shared" si="8"/>
        <v>4.646234939</v>
      </c>
      <c r="M200" s="321" t="str">
        <f t="shared" si="5"/>
        <v>juankbell</v>
      </c>
      <c r="N200" s="176">
        <f>IFERROR(__xludf.DUMMYFUNCTION("""COMPUTED_VALUE"""),4.0)</f>
        <v>4</v>
      </c>
      <c r="O200" s="176"/>
      <c r="P200" s="176"/>
      <c r="Q200" s="176"/>
      <c r="R200" s="176"/>
      <c r="S200" s="176"/>
      <c r="T200" s="176"/>
      <c r="U200" s="176"/>
      <c r="V200" s="176"/>
      <c r="W200" s="176"/>
      <c r="X200" s="176"/>
      <c r="Y200" s="176"/>
      <c r="Z200" s="176"/>
    </row>
    <row r="201">
      <c r="A201" s="226" t="s">
        <v>15</v>
      </c>
      <c r="B201" s="226" t="s">
        <v>5</v>
      </c>
      <c r="C201" s="250" t="s">
        <v>3573</v>
      </c>
      <c r="D201" s="268" t="s">
        <v>495</v>
      </c>
      <c r="E201" s="251">
        <v>44147.0</v>
      </c>
      <c r="F201" s="250" t="s">
        <v>496</v>
      </c>
      <c r="G201" s="176"/>
      <c r="H201" s="171">
        <v>60.0</v>
      </c>
      <c r="I201" s="171">
        <v>60.0</v>
      </c>
      <c r="J201" s="391">
        <f t="shared" si="6"/>
        <v>0.002542301611</v>
      </c>
      <c r="K201" s="392">
        <f t="shared" si="7"/>
        <v>1.347419854</v>
      </c>
      <c r="L201" s="327">
        <f t="shared" si="8"/>
        <v>4.646234939</v>
      </c>
      <c r="M201" s="321" t="str">
        <f t="shared" si="5"/>
        <v>juankbell</v>
      </c>
      <c r="N201" s="176">
        <f>IFERROR(__xludf.DUMMYFUNCTION("""COMPUTED_VALUE"""),5.0)</f>
        <v>5</v>
      </c>
      <c r="O201" s="176"/>
      <c r="P201" s="176"/>
      <c r="Q201" s="176"/>
      <c r="R201" s="176"/>
      <c r="S201" s="176"/>
      <c r="T201" s="176"/>
      <c r="U201" s="176"/>
      <c r="V201" s="176"/>
      <c r="W201" s="176"/>
      <c r="X201" s="176"/>
      <c r="Y201" s="176"/>
      <c r="Z201" s="176"/>
    </row>
    <row r="202">
      <c r="A202" s="226" t="s">
        <v>15</v>
      </c>
      <c r="B202" s="226" t="s">
        <v>18</v>
      </c>
      <c r="C202" s="250" t="s">
        <v>3594</v>
      </c>
      <c r="D202" s="268" t="s">
        <v>495</v>
      </c>
      <c r="E202" s="251">
        <v>44152.0</v>
      </c>
      <c r="F202" s="250" t="s">
        <v>496</v>
      </c>
      <c r="G202" s="176"/>
      <c r="H202" s="171">
        <v>45.0</v>
      </c>
      <c r="I202" s="171">
        <v>50.0</v>
      </c>
      <c r="J202" s="391">
        <f t="shared" si="6"/>
        <v>0.002022843254</v>
      </c>
      <c r="K202" s="392">
        <f t="shared" si="7"/>
        <v>1.072106925</v>
      </c>
      <c r="L202" s="327">
        <f t="shared" si="8"/>
        <v>4.646234939</v>
      </c>
      <c r="M202" s="321" t="str">
        <f t="shared" si="5"/>
        <v>juankbell</v>
      </c>
      <c r="N202" s="176">
        <f>IFERROR(__xludf.DUMMYFUNCTION("""COMPUTED_VALUE"""),6.0)</f>
        <v>6</v>
      </c>
      <c r="O202" s="176"/>
      <c r="P202" s="176"/>
      <c r="Q202" s="176"/>
      <c r="R202" s="176"/>
      <c r="S202" s="176"/>
      <c r="T202" s="176"/>
      <c r="U202" s="176"/>
      <c r="V202" s="176"/>
      <c r="W202" s="176"/>
      <c r="X202" s="176"/>
      <c r="Y202" s="176"/>
      <c r="Z202" s="176"/>
    </row>
    <row r="203">
      <c r="A203" s="226" t="s">
        <v>15</v>
      </c>
      <c r="B203" s="226" t="s">
        <v>18</v>
      </c>
      <c r="C203" s="250" t="s">
        <v>3578</v>
      </c>
      <c r="D203" s="268" t="s">
        <v>495</v>
      </c>
      <c r="E203" s="251">
        <v>44152.0</v>
      </c>
      <c r="F203" s="250" t="s">
        <v>496</v>
      </c>
      <c r="G203" s="176"/>
      <c r="H203" s="171">
        <v>45.0</v>
      </c>
      <c r="I203" s="171">
        <v>30.0</v>
      </c>
      <c r="J203" s="391">
        <f t="shared" si="6"/>
        <v>0.00155837507</v>
      </c>
      <c r="K203" s="392">
        <f t="shared" si="7"/>
        <v>0.8259387871</v>
      </c>
      <c r="L203" s="327">
        <f t="shared" si="8"/>
        <v>4.646234939</v>
      </c>
      <c r="M203" s="321" t="str">
        <f t="shared" si="5"/>
        <v>juankbell</v>
      </c>
      <c r="N203" s="176">
        <f>IFERROR(__xludf.DUMMYFUNCTION("""COMPUTED_VALUE"""),7.0)</f>
        <v>7</v>
      </c>
      <c r="O203" s="176"/>
      <c r="P203" s="176"/>
      <c r="Q203" s="176"/>
      <c r="R203" s="176"/>
      <c r="S203" s="176"/>
      <c r="T203" s="176"/>
      <c r="U203" s="176"/>
      <c r="V203" s="176"/>
      <c r="W203" s="176"/>
      <c r="X203" s="176"/>
      <c r="Y203" s="176"/>
      <c r="Z203" s="176"/>
    </row>
    <row r="204">
      <c r="A204" s="226" t="s">
        <v>15</v>
      </c>
      <c r="B204" s="226" t="s">
        <v>18</v>
      </c>
      <c r="C204" s="250" t="s">
        <v>3621</v>
      </c>
      <c r="D204" s="268" t="s">
        <v>495</v>
      </c>
      <c r="E204" s="251">
        <v>44152.0</v>
      </c>
      <c r="F204" s="250" t="s">
        <v>496</v>
      </c>
      <c r="G204" s="176"/>
      <c r="H204" s="171">
        <v>40.0</v>
      </c>
      <c r="I204" s="171">
        <v>30.0</v>
      </c>
      <c r="J204" s="391">
        <f t="shared" si="6"/>
        <v>0.001462633648</v>
      </c>
      <c r="K204" s="392">
        <f t="shared" si="7"/>
        <v>0.7751958337</v>
      </c>
      <c r="L204" s="327">
        <f t="shared" si="8"/>
        <v>4.646234939</v>
      </c>
      <c r="M204" s="321" t="str">
        <f t="shared" si="5"/>
        <v>juankbell</v>
      </c>
      <c r="N204" s="176">
        <f>IFERROR(__xludf.DUMMYFUNCTION("""COMPUTED_VALUE"""),8.0)</f>
        <v>8</v>
      </c>
      <c r="O204" s="176"/>
      <c r="P204" s="176"/>
      <c r="Q204" s="176"/>
      <c r="R204" s="176"/>
      <c r="S204" s="176"/>
      <c r="T204" s="176"/>
      <c r="U204" s="176"/>
      <c r="V204" s="176"/>
      <c r="W204" s="176"/>
      <c r="X204" s="176"/>
      <c r="Y204" s="176"/>
      <c r="Z204" s="176"/>
    </row>
    <row r="205">
      <c r="A205" s="226" t="s">
        <v>15</v>
      </c>
      <c r="B205" s="226" t="s">
        <v>5</v>
      </c>
      <c r="C205" s="250" t="s">
        <v>3574</v>
      </c>
      <c r="D205" s="268" t="s">
        <v>495</v>
      </c>
      <c r="E205" s="251">
        <v>44145.0</v>
      </c>
      <c r="F205" s="250" t="s">
        <v>496</v>
      </c>
      <c r="G205" s="243"/>
      <c r="H205" s="171">
        <v>30.0</v>
      </c>
      <c r="I205" s="171">
        <v>30.0</v>
      </c>
      <c r="J205" s="391">
        <f t="shared" si="6"/>
        <v>0.001271150805</v>
      </c>
      <c r="K205" s="392">
        <f t="shared" si="7"/>
        <v>0.6737099268</v>
      </c>
      <c r="L205" s="327">
        <f t="shared" si="8"/>
        <v>4.646234939</v>
      </c>
      <c r="M205" s="321" t="str">
        <f t="shared" si="5"/>
        <v>juankbell</v>
      </c>
      <c r="N205" s="176">
        <f>IFERROR(__xludf.DUMMYFUNCTION("""COMPUTED_VALUE"""),9.0)</f>
        <v>9</v>
      </c>
      <c r="O205" s="176"/>
      <c r="P205" s="176"/>
      <c r="Q205" s="176"/>
      <c r="R205" s="176"/>
      <c r="S205" s="176"/>
      <c r="T205" s="176"/>
      <c r="U205" s="176"/>
      <c r="V205" s="176"/>
      <c r="W205" s="176"/>
      <c r="X205" s="176"/>
      <c r="Y205" s="176"/>
      <c r="Z205" s="176"/>
    </row>
    <row r="206">
      <c r="A206" s="240" t="s">
        <v>15</v>
      </c>
      <c r="B206" s="240" t="s">
        <v>519</v>
      </c>
      <c r="C206" s="221" t="s">
        <v>3246</v>
      </c>
      <c r="D206" s="336"/>
      <c r="E206" s="255"/>
      <c r="F206" s="254"/>
      <c r="G206" s="222"/>
      <c r="H206" s="222"/>
      <c r="I206" s="222"/>
      <c r="J206" s="394"/>
      <c r="K206" s="395">
        <f>33.404*-0.85</f>
        <v>-28.3934</v>
      </c>
      <c r="L206" s="327">
        <f t="array" ref="L206">dsum($A$3:$K$557,"Cred per Praise",{$A$3;A206})</f>
        <v>4.646234939</v>
      </c>
      <c r="M206" s="321" t="str">
        <f t="shared" si="5"/>
        <v>juankbell</v>
      </c>
      <c r="N206" s="209">
        <f>IFERROR(__xludf.DUMMYFUNCTION("""COMPUTED_VALUE"""),10.0)</f>
        <v>10</v>
      </c>
      <c r="O206" s="209"/>
      <c r="P206" s="209"/>
      <c r="Q206" s="209"/>
      <c r="R206" s="209"/>
      <c r="S206" s="209"/>
      <c r="T206" s="209"/>
      <c r="U206" s="209"/>
      <c r="V206" s="209"/>
      <c r="W206" s="209"/>
      <c r="X206" s="209"/>
      <c r="Y206" s="176"/>
      <c r="Z206" s="176"/>
    </row>
    <row r="207">
      <c r="A207" s="226" t="s">
        <v>6</v>
      </c>
      <c r="B207" s="226" t="s">
        <v>18</v>
      </c>
      <c r="C207" s="250" t="s">
        <v>3656</v>
      </c>
      <c r="D207" s="268" t="s">
        <v>495</v>
      </c>
      <c r="E207" s="251">
        <v>44152.0</v>
      </c>
      <c r="F207" s="250" t="s">
        <v>496</v>
      </c>
      <c r="G207" s="176"/>
      <c r="H207" s="171">
        <v>400.0</v>
      </c>
      <c r="I207" s="171">
        <v>350.0</v>
      </c>
      <c r="J207" s="391">
        <f t="shared" ref="J207:J218" si="9">(H207/$H$2+I207/$I$2)/2</f>
        <v>0.01578750694</v>
      </c>
      <c r="K207" s="392">
        <f t="shared" ref="K207:K218" si="10">J207*$J$1</f>
        <v>8.36737868</v>
      </c>
      <c r="L207" s="327">
        <f t="shared" ref="L207:L218" si="11">dsum($A$3:$K$355,"Cred per Praise",{$A$3;A207})</f>
        <v>4.533590518</v>
      </c>
      <c r="M207" s="321" t="str">
        <f t="shared" si="5"/>
        <v>sembrestels</v>
      </c>
      <c r="N207" s="176">
        <f>IFERROR(__xludf.DUMMYFUNCTION("""COMPUTED_VALUE"""),1.0)</f>
        <v>1</v>
      </c>
      <c r="O207" s="176"/>
      <c r="P207" s="176"/>
      <c r="Q207" s="176"/>
      <c r="R207" s="176"/>
      <c r="S207" s="176"/>
      <c r="T207" s="176"/>
      <c r="U207" s="176"/>
      <c r="V207" s="176"/>
      <c r="W207" s="176"/>
      <c r="X207" s="176"/>
      <c r="Y207" s="176"/>
      <c r="Z207" s="176"/>
    </row>
    <row r="208">
      <c r="A208" s="226" t="s">
        <v>6</v>
      </c>
      <c r="B208" s="249" t="s">
        <v>519</v>
      </c>
      <c r="C208" s="219" t="s">
        <v>3619</v>
      </c>
      <c r="D208" s="268" t="s">
        <v>495</v>
      </c>
      <c r="E208" s="251">
        <v>44145.0</v>
      </c>
      <c r="F208" s="250" t="s">
        <v>496</v>
      </c>
      <c r="G208" s="243"/>
      <c r="H208" s="171">
        <v>250.0</v>
      </c>
      <c r="I208" s="171">
        <v>250.0</v>
      </c>
      <c r="J208" s="391">
        <f t="shared" si="9"/>
        <v>0.01059292338</v>
      </c>
      <c r="K208" s="392">
        <f t="shared" si="10"/>
        <v>5.61424939</v>
      </c>
      <c r="L208" s="327">
        <f t="shared" si="11"/>
        <v>4.533590518</v>
      </c>
      <c r="M208" s="321" t="str">
        <f t="shared" si="5"/>
        <v>sembrestels</v>
      </c>
      <c r="N208" s="243">
        <f>IFERROR(__xludf.DUMMYFUNCTION("""COMPUTED_VALUE"""),2.0)</f>
        <v>2</v>
      </c>
      <c r="O208" s="176"/>
      <c r="P208" s="176"/>
      <c r="Q208" s="176"/>
      <c r="R208" s="176"/>
      <c r="S208" s="176"/>
      <c r="T208" s="176"/>
      <c r="U208" s="176"/>
      <c r="V208" s="176"/>
      <c r="W208" s="176"/>
      <c r="X208" s="176"/>
      <c r="Y208" s="176"/>
      <c r="Z208" s="176"/>
    </row>
    <row r="209">
      <c r="A209" s="226" t="s">
        <v>6</v>
      </c>
      <c r="B209" s="226" t="s">
        <v>590</v>
      </c>
      <c r="C209" s="250" t="s">
        <v>3565</v>
      </c>
      <c r="D209" s="268" t="s">
        <v>495</v>
      </c>
      <c r="E209" s="251">
        <v>44148.0</v>
      </c>
      <c r="F209" s="250" t="s">
        <v>496</v>
      </c>
      <c r="G209" s="176"/>
      <c r="H209" s="171">
        <v>150.0</v>
      </c>
      <c r="I209" s="171">
        <v>150.0</v>
      </c>
      <c r="J209" s="391">
        <f t="shared" si="9"/>
        <v>0.006355754027</v>
      </c>
      <c r="K209" s="392">
        <f t="shared" si="10"/>
        <v>3.368549634</v>
      </c>
      <c r="L209" s="327">
        <f t="shared" si="11"/>
        <v>4.533590518</v>
      </c>
      <c r="M209" s="321" t="str">
        <f t="shared" si="5"/>
        <v>sembrestels</v>
      </c>
      <c r="N209" s="176">
        <f>IFERROR(__xludf.DUMMYFUNCTION("""COMPUTED_VALUE"""),3.0)</f>
        <v>3</v>
      </c>
      <c r="O209" s="176"/>
      <c r="P209" s="176"/>
      <c r="Q209" s="176"/>
      <c r="R209" s="176"/>
      <c r="S209" s="176"/>
      <c r="T209" s="176"/>
      <c r="U209" s="176"/>
      <c r="V209" s="176"/>
      <c r="W209" s="176"/>
      <c r="X209" s="176"/>
      <c r="Y209" s="176"/>
      <c r="Z209" s="176"/>
    </row>
    <row r="210">
      <c r="A210" s="226" t="s">
        <v>6</v>
      </c>
      <c r="B210" s="226" t="s">
        <v>519</v>
      </c>
      <c r="C210" s="250" t="s">
        <v>3657</v>
      </c>
      <c r="D210" s="268" t="s">
        <v>495</v>
      </c>
      <c r="E210" s="251">
        <v>44147.0</v>
      </c>
      <c r="F210" s="250" t="s">
        <v>496</v>
      </c>
      <c r="G210" s="243"/>
      <c r="H210" s="171">
        <v>100.0</v>
      </c>
      <c r="I210" s="171">
        <v>100.0</v>
      </c>
      <c r="J210" s="391">
        <f t="shared" si="9"/>
        <v>0.004237169351</v>
      </c>
      <c r="K210" s="392">
        <f t="shared" si="10"/>
        <v>2.245699756</v>
      </c>
      <c r="L210" s="327">
        <f t="shared" si="11"/>
        <v>4.533590518</v>
      </c>
      <c r="M210" s="321" t="str">
        <f t="shared" si="5"/>
        <v>sembrestels</v>
      </c>
      <c r="N210" s="176">
        <f>IFERROR(__xludf.DUMMYFUNCTION("""COMPUTED_VALUE"""),4.0)</f>
        <v>4</v>
      </c>
      <c r="O210" s="176"/>
      <c r="P210" s="176"/>
      <c r="Q210" s="176"/>
      <c r="R210" s="176"/>
      <c r="S210" s="176"/>
      <c r="T210" s="176"/>
      <c r="U210" s="176"/>
      <c r="V210" s="176"/>
      <c r="W210" s="176"/>
      <c r="X210" s="176"/>
      <c r="Y210" s="176"/>
      <c r="Z210" s="176"/>
    </row>
    <row r="211">
      <c r="A211" s="226" t="s">
        <v>6</v>
      </c>
      <c r="B211" s="226" t="s">
        <v>519</v>
      </c>
      <c r="C211" s="250" t="s">
        <v>3658</v>
      </c>
      <c r="D211" s="268" t="s">
        <v>495</v>
      </c>
      <c r="E211" s="251">
        <v>44147.0</v>
      </c>
      <c r="F211" s="250" t="s">
        <v>496</v>
      </c>
      <c r="G211" s="243"/>
      <c r="H211" s="171">
        <v>100.0</v>
      </c>
      <c r="I211" s="171">
        <v>100.0</v>
      </c>
      <c r="J211" s="391">
        <f t="shared" si="9"/>
        <v>0.004237169351</v>
      </c>
      <c r="K211" s="392">
        <f t="shared" si="10"/>
        <v>2.245699756</v>
      </c>
      <c r="L211" s="327">
        <f t="shared" si="11"/>
        <v>4.533590518</v>
      </c>
      <c r="M211" s="321" t="str">
        <f t="shared" si="5"/>
        <v>sembrestels</v>
      </c>
      <c r="N211" s="176">
        <f>IFERROR(__xludf.DUMMYFUNCTION("""COMPUTED_VALUE"""),5.0)</f>
        <v>5</v>
      </c>
      <c r="O211" s="176"/>
      <c r="P211" s="176"/>
      <c r="Q211" s="176"/>
      <c r="R211" s="176"/>
      <c r="S211" s="176"/>
      <c r="T211" s="176"/>
      <c r="U211" s="176"/>
      <c r="V211" s="176"/>
      <c r="W211" s="176"/>
      <c r="X211" s="176"/>
      <c r="Y211" s="176"/>
      <c r="Z211" s="176"/>
    </row>
    <row r="212">
      <c r="A212" s="226" t="s">
        <v>6</v>
      </c>
      <c r="B212" s="226" t="s">
        <v>867</v>
      </c>
      <c r="C212" s="250" t="s">
        <v>3659</v>
      </c>
      <c r="D212" s="268" t="s">
        <v>495</v>
      </c>
      <c r="E212" s="251">
        <v>44151.0</v>
      </c>
      <c r="F212" s="250" t="s">
        <v>496</v>
      </c>
      <c r="G212" s="176"/>
      <c r="H212" s="171">
        <v>100.0</v>
      </c>
      <c r="I212" s="171">
        <v>100.0</v>
      </c>
      <c r="J212" s="391">
        <f t="shared" si="9"/>
        <v>0.004237169351</v>
      </c>
      <c r="K212" s="392">
        <f t="shared" si="10"/>
        <v>2.245699756</v>
      </c>
      <c r="L212" s="327">
        <f t="shared" si="11"/>
        <v>4.533590518</v>
      </c>
      <c r="M212" s="321" t="str">
        <f t="shared" si="5"/>
        <v>sembrestels</v>
      </c>
      <c r="N212" s="176">
        <f>IFERROR(__xludf.DUMMYFUNCTION("""COMPUTED_VALUE"""),6.0)</f>
        <v>6</v>
      </c>
      <c r="O212" s="176"/>
      <c r="P212" s="176"/>
      <c r="Q212" s="176"/>
      <c r="R212" s="176"/>
      <c r="S212" s="176"/>
      <c r="T212" s="176"/>
      <c r="U212" s="176"/>
      <c r="V212" s="176"/>
      <c r="W212" s="176"/>
      <c r="X212" s="176"/>
      <c r="Y212" s="176"/>
      <c r="Z212" s="176"/>
    </row>
    <row r="213">
      <c r="A213" s="226" t="s">
        <v>6</v>
      </c>
      <c r="B213" s="226" t="s">
        <v>590</v>
      </c>
      <c r="C213" s="250" t="s">
        <v>3590</v>
      </c>
      <c r="D213" s="268" t="s">
        <v>495</v>
      </c>
      <c r="E213" s="361">
        <v>44144.0</v>
      </c>
      <c r="F213" s="250" t="s">
        <v>496</v>
      </c>
      <c r="G213" s="243"/>
      <c r="H213" s="171">
        <v>100.0</v>
      </c>
      <c r="I213" s="171">
        <v>80.0</v>
      </c>
      <c r="J213" s="391">
        <f t="shared" si="9"/>
        <v>0.003772701167</v>
      </c>
      <c r="K213" s="392">
        <f t="shared" si="10"/>
        <v>1.999531619</v>
      </c>
      <c r="L213" s="327">
        <f t="shared" si="11"/>
        <v>4.533590518</v>
      </c>
      <c r="M213" s="321" t="str">
        <f t="shared" si="5"/>
        <v>sembrestels</v>
      </c>
      <c r="N213" s="176">
        <f>IFERROR(__xludf.DUMMYFUNCTION("""COMPUTED_VALUE"""),7.0)</f>
        <v>7</v>
      </c>
      <c r="O213" s="176"/>
      <c r="P213" s="176"/>
      <c r="Q213" s="176"/>
      <c r="R213" s="176"/>
      <c r="S213" s="176"/>
      <c r="T213" s="176"/>
      <c r="U213" s="176"/>
      <c r="V213" s="176"/>
      <c r="W213" s="176"/>
      <c r="X213" s="176"/>
      <c r="Y213" s="176"/>
      <c r="Z213" s="176"/>
    </row>
    <row r="214">
      <c r="A214" s="226" t="s">
        <v>6</v>
      </c>
      <c r="B214" s="226" t="s">
        <v>5</v>
      </c>
      <c r="C214" s="250" t="s">
        <v>3573</v>
      </c>
      <c r="D214" s="268" t="s">
        <v>495</v>
      </c>
      <c r="E214" s="251">
        <v>44147.0</v>
      </c>
      <c r="F214" s="250" t="s">
        <v>496</v>
      </c>
      <c r="G214" s="176"/>
      <c r="H214" s="171">
        <v>100.0</v>
      </c>
      <c r="I214" s="171">
        <v>80.0</v>
      </c>
      <c r="J214" s="391">
        <f t="shared" si="9"/>
        <v>0.003772701167</v>
      </c>
      <c r="K214" s="392">
        <f t="shared" si="10"/>
        <v>1.999531619</v>
      </c>
      <c r="L214" s="327">
        <f t="shared" si="11"/>
        <v>4.533590518</v>
      </c>
      <c r="M214" s="321" t="str">
        <f t="shared" si="5"/>
        <v>sembrestels</v>
      </c>
      <c r="N214" s="176">
        <f>IFERROR(__xludf.DUMMYFUNCTION("""COMPUTED_VALUE"""),8.0)</f>
        <v>8</v>
      </c>
      <c r="O214" s="176"/>
      <c r="P214" s="176"/>
      <c r="Q214" s="176"/>
      <c r="R214" s="176"/>
      <c r="S214" s="176"/>
      <c r="T214" s="176"/>
      <c r="U214" s="176"/>
      <c r="V214" s="176"/>
      <c r="W214" s="176"/>
      <c r="X214" s="176"/>
      <c r="Y214" s="176"/>
      <c r="Z214" s="176"/>
    </row>
    <row r="215">
      <c r="A215" s="226" t="s">
        <v>6</v>
      </c>
      <c r="B215" s="226" t="s">
        <v>590</v>
      </c>
      <c r="C215" s="250" t="s">
        <v>3571</v>
      </c>
      <c r="D215" s="268" t="s">
        <v>495</v>
      </c>
      <c r="E215" s="251">
        <v>44155.0</v>
      </c>
      <c r="F215" s="250" t="s">
        <v>496</v>
      </c>
      <c r="G215" s="176"/>
      <c r="H215" s="171">
        <v>100.0</v>
      </c>
      <c r="I215" s="171">
        <v>60.0</v>
      </c>
      <c r="J215" s="391">
        <f t="shared" si="9"/>
        <v>0.003308232983</v>
      </c>
      <c r="K215" s="392">
        <f t="shared" si="10"/>
        <v>1.753363481</v>
      </c>
      <c r="L215" s="327">
        <f t="shared" si="11"/>
        <v>4.533590518</v>
      </c>
      <c r="M215" s="321" t="str">
        <f t="shared" si="5"/>
        <v>sembrestels</v>
      </c>
      <c r="N215" s="176">
        <f>IFERROR(__xludf.DUMMYFUNCTION("""COMPUTED_VALUE"""),9.0)</f>
        <v>9</v>
      </c>
      <c r="O215" s="176"/>
      <c r="P215" s="176"/>
      <c r="Q215" s="176"/>
      <c r="R215" s="176"/>
      <c r="S215" s="176"/>
      <c r="T215" s="176"/>
      <c r="U215" s="176"/>
      <c r="V215" s="176"/>
      <c r="W215" s="176"/>
      <c r="X215" s="176"/>
      <c r="Y215" s="176"/>
      <c r="Z215" s="176"/>
    </row>
    <row r="216">
      <c r="A216" s="226" t="s">
        <v>6</v>
      </c>
      <c r="B216" s="226" t="s">
        <v>5</v>
      </c>
      <c r="C216" s="250" t="s">
        <v>3607</v>
      </c>
      <c r="D216" s="268" t="s">
        <v>495</v>
      </c>
      <c r="E216" s="251">
        <v>44151.0</v>
      </c>
      <c r="F216" s="250" t="s">
        <v>496</v>
      </c>
      <c r="G216" s="176"/>
      <c r="H216" s="171">
        <v>45.0</v>
      </c>
      <c r="I216" s="171">
        <v>30.0</v>
      </c>
      <c r="J216" s="391">
        <f t="shared" si="9"/>
        <v>0.00155837507</v>
      </c>
      <c r="K216" s="392">
        <f t="shared" si="10"/>
        <v>0.8259387871</v>
      </c>
      <c r="L216" s="327">
        <f t="shared" si="11"/>
        <v>4.533590518</v>
      </c>
      <c r="M216" s="321" t="str">
        <f t="shared" si="5"/>
        <v>sembrestels</v>
      </c>
      <c r="N216" s="176">
        <f>IFERROR(__xludf.DUMMYFUNCTION("""COMPUTED_VALUE"""),10.0)</f>
        <v>10</v>
      </c>
      <c r="O216" s="176"/>
      <c r="P216" s="176"/>
      <c r="Q216" s="176"/>
      <c r="R216" s="176"/>
      <c r="S216" s="176"/>
      <c r="T216" s="176"/>
      <c r="U216" s="176"/>
      <c r="V216" s="176"/>
      <c r="W216" s="176"/>
      <c r="X216" s="176"/>
      <c r="Y216" s="176"/>
      <c r="Z216" s="176"/>
    </row>
    <row r="217">
      <c r="A217" s="226" t="s">
        <v>6</v>
      </c>
      <c r="B217" s="226" t="s">
        <v>5</v>
      </c>
      <c r="C217" s="250" t="s">
        <v>3580</v>
      </c>
      <c r="D217" s="268" t="s">
        <v>495</v>
      </c>
      <c r="E217" s="251">
        <v>44145.0</v>
      </c>
      <c r="F217" s="250" t="s">
        <v>496</v>
      </c>
      <c r="G217" s="243"/>
      <c r="H217" s="171">
        <v>30.0</v>
      </c>
      <c r="I217" s="171">
        <v>30.0</v>
      </c>
      <c r="J217" s="391">
        <f t="shared" si="9"/>
        <v>0.001271150805</v>
      </c>
      <c r="K217" s="392">
        <f t="shared" si="10"/>
        <v>0.6737099268</v>
      </c>
      <c r="L217" s="327">
        <f t="shared" si="11"/>
        <v>4.533590518</v>
      </c>
      <c r="M217" s="321" t="str">
        <f t="shared" si="5"/>
        <v>sembrestels</v>
      </c>
      <c r="N217" s="176">
        <f>IFERROR(__xludf.DUMMYFUNCTION("""COMPUTED_VALUE"""),11.0)</f>
        <v>11</v>
      </c>
      <c r="O217" s="176"/>
      <c r="P217" s="176"/>
      <c r="Q217" s="176"/>
      <c r="R217" s="176"/>
      <c r="S217" s="176"/>
      <c r="T217" s="176"/>
      <c r="U217" s="176"/>
      <c r="V217" s="176"/>
      <c r="W217" s="176"/>
      <c r="X217" s="176"/>
      <c r="Y217" s="176"/>
      <c r="Z217" s="176"/>
    </row>
    <row r="218">
      <c r="A218" s="226" t="s">
        <v>6</v>
      </c>
      <c r="B218" s="226" t="s">
        <v>519</v>
      </c>
      <c r="C218" s="250" t="s">
        <v>2329</v>
      </c>
      <c r="D218" s="268" t="s">
        <v>495</v>
      </c>
      <c r="E218" s="251">
        <v>44154.0</v>
      </c>
      <c r="F218" s="250" t="s">
        <v>521</v>
      </c>
      <c r="G218" s="176"/>
      <c r="H218" s="171">
        <v>10.0</v>
      </c>
      <c r="I218" s="171">
        <v>30.0</v>
      </c>
      <c r="J218" s="391">
        <f t="shared" si="9"/>
        <v>0.000888185119</v>
      </c>
      <c r="K218" s="392">
        <f t="shared" si="10"/>
        <v>0.4707381131</v>
      </c>
      <c r="L218" s="327">
        <f t="shared" si="11"/>
        <v>4.533590518</v>
      </c>
      <c r="M218" s="321" t="str">
        <f t="shared" si="5"/>
        <v>sembrestels</v>
      </c>
      <c r="N218" s="176">
        <f>IFERROR(__xludf.DUMMYFUNCTION("""COMPUTED_VALUE"""),12.0)</f>
        <v>12</v>
      </c>
      <c r="O218" s="176"/>
      <c r="P218" s="176"/>
      <c r="Q218" s="176"/>
      <c r="R218" s="176"/>
      <c r="S218" s="176"/>
      <c r="T218" s="176"/>
      <c r="U218" s="176"/>
      <c r="V218" s="176"/>
      <c r="W218" s="176"/>
      <c r="X218" s="176"/>
      <c r="Y218" s="176"/>
      <c r="Z218" s="176"/>
    </row>
    <row r="219">
      <c r="A219" s="343" t="s">
        <v>6</v>
      </c>
      <c r="B219" s="240" t="s">
        <v>18</v>
      </c>
      <c r="C219" s="221" t="s">
        <v>3660</v>
      </c>
      <c r="D219" s="336"/>
      <c r="E219" s="255"/>
      <c r="F219" s="254"/>
      <c r="G219" s="222"/>
      <c r="H219" s="222"/>
      <c r="I219" s="222"/>
      <c r="J219" s="394"/>
      <c r="K219" s="396">
        <f>32.09*-0.85</f>
        <v>-27.2765</v>
      </c>
      <c r="L219" s="327">
        <f t="array" ref="L219">dsum($A$3:$K$555,"Cred per Praise",{$A$3;A219})</f>
        <v>4.533590518</v>
      </c>
      <c r="M219" s="321" t="str">
        <f t="shared" si="5"/>
        <v>sembrestels</v>
      </c>
      <c r="N219" s="153">
        <f>IFERROR(__xludf.DUMMYFUNCTION("""COMPUTED_VALUE"""),13.0)</f>
        <v>13</v>
      </c>
      <c r="O219" s="209"/>
      <c r="P219" s="209"/>
      <c r="Q219" s="209"/>
      <c r="R219" s="209"/>
      <c r="S219" s="209"/>
      <c r="T219" s="209"/>
      <c r="U219" s="209"/>
      <c r="V219" s="209"/>
      <c r="W219" s="209"/>
      <c r="X219" s="209"/>
      <c r="Y219" s="176"/>
      <c r="Z219" s="176"/>
    </row>
    <row r="220">
      <c r="A220" s="226" t="s">
        <v>54</v>
      </c>
      <c r="B220" s="226" t="s">
        <v>590</v>
      </c>
      <c r="C220" s="250" t="s">
        <v>3661</v>
      </c>
      <c r="D220" s="268" t="s">
        <v>495</v>
      </c>
      <c r="E220" s="251">
        <v>44149.0</v>
      </c>
      <c r="F220" s="250" t="s">
        <v>496</v>
      </c>
      <c r="G220" s="176"/>
      <c r="H220" s="171">
        <v>100.0</v>
      </c>
      <c r="I220" s="171">
        <v>100.0</v>
      </c>
      <c r="J220" s="391">
        <f t="shared" ref="J220:J256" si="12">(H220/$H$2+I220/$I$2)/2</f>
        <v>0.004237169351</v>
      </c>
      <c r="K220" s="392">
        <f t="shared" ref="K220:K241" si="13">J220*$J$1</f>
        <v>2.245699756</v>
      </c>
      <c r="L220" s="327">
        <f t="shared" ref="L220:L256" si="14">dsum($A$3:$K$355,"Cred per Praise",{$A$3;A220})</f>
        <v>3.629811031</v>
      </c>
      <c r="M220" s="321" t="str">
        <f t="shared" si="5"/>
        <v>hbesso31</v>
      </c>
      <c r="N220" s="176">
        <f>IFERROR(__xludf.DUMMYFUNCTION("""COMPUTED_VALUE"""),1.0)</f>
        <v>1</v>
      </c>
      <c r="O220" s="176"/>
      <c r="P220" s="176"/>
      <c r="Q220" s="176"/>
      <c r="R220" s="176"/>
      <c r="S220" s="176"/>
      <c r="T220" s="176"/>
      <c r="U220" s="176"/>
      <c r="V220" s="176"/>
      <c r="W220" s="176"/>
      <c r="X220" s="176"/>
      <c r="Y220" s="176"/>
      <c r="Z220" s="176"/>
    </row>
    <row r="221">
      <c r="A221" s="249" t="s">
        <v>54</v>
      </c>
      <c r="B221" s="249" t="s">
        <v>1228</v>
      </c>
      <c r="C221" s="219" t="s">
        <v>3572</v>
      </c>
      <c r="D221" s="268" t="s">
        <v>495</v>
      </c>
      <c r="E221" s="251">
        <v>44147.0</v>
      </c>
      <c r="F221" s="250" t="s">
        <v>496</v>
      </c>
      <c r="G221" s="243"/>
      <c r="H221" s="171">
        <v>100.0</v>
      </c>
      <c r="I221" s="171">
        <v>30.0</v>
      </c>
      <c r="J221" s="391">
        <f t="shared" si="12"/>
        <v>0.002611530707</v>
      </c>
      <c r="K221" s="392">
        <f t="shared" si="13"/>
        <v>1.384111275</v>
      </c>
      <c r="L221" s="327">
        <f t="shared" si="14"/>
        <v>3.629811031</v>
      </c>
      <c r="M221" s="321" t="str">
        <f t="shared" si="5"/>
        <v>hbesso31</v>
      </c>
      <c r="N221" s="176">
        <f>IFERROR(__xludf.DUMMYFUNCTION("""COMPUTED_VALUE"""),2.0)</f>
        <v>2</v>
      </c>
      <c r="O221" s="176"/>
      <c r="P221" s="176"/>
      <c r="Q221" s="176"/>
      <c r="R221" s="176"/>
      <c r="S221" s="176"/>
      <c r="T221" s="176"/>
      <c r="U221" s="176"/>
      <c r="V221" s="176"/>
      <c r="W221" s="176"/>
      <c r="X221" s="176"/>
      <c r="Y221" s="176"/>
      <c r="Z221" s="176"/>
    </row>
    <row r="222">
      <c r="A222" s="226" t="s">
        <v>26</v>
      </c>
      <c r="B222" s="226" t="s">
        <v>519</v>
      </c>
      <c r="C222" s="250" t="s">
        <v>3662</v>
      </c>
      <c r="D222" s="268" t="s">
        <v>495</v>
      </c>
      <c r="E222" s="361">
        <v>44142.0</v>
      </c>
      <c r="F222" s="250" t="s">
        <v>521</v>
      </c>
      <c r="G222" s="243"/>
      <c r="H222" s="171">
        <v>100.0</v>
      </c>
      <c r="I222" s="171">
        <v>100.0</v>
      </c>
      <c r="J222" s="391">
        <f t="shared" si="12"/>
        <v>0.004237169351</v>
      </c>
      <c r="K222" s="392">
        <f t="shared" si="13"/>
        <v>2.245699756</v>
      </c>
      <c r="L222" s="327">
        <f t="shared" si="14"/>
        <v>3.390147796</v>
      </c>
      <c r="M222" s="321" t="str">
        <f t="shared" si="5"/>
        <v>sgonzt</v>
      </c>
      <c r="N222" s="176">
        <f>IFERROR(__xludf.DUMMYFUNCTION("""COMPUTED_VALUE"""),1.0)</f>
        <v>1</v>
      </c>
      <c r="O222" s="176"/>
      <c r="P222" s="176"/>
      <c r="Q222" s="176"/>
      <c r="R222" s="176"/>
      <c r="S222" s="176"/>
      <c r="T222" s="176"/>
      <c r="U222" s="176"/>
      <c r="V222" s="176"/>
      <c r="W222" s="176"/>
      <c r="X222" s="176"/>
      <c r="Y222" s="176"/>
      <c r="Z222" s="176"/>
    </row>
    <row r="223">
      <c r="A223" s="226" t="s">
        <v>26</v>
      </c>
      <c r="B223" s="226" t="s">
        <v>519</v>
      </c>
      <c r="C223" s="250" t="s">
        <v>3663</v>
      </c>
      <c r="D223" s="268" t="s">
        <v>495</v>
      </c>
      <c r="E223" s="251">
        <v>44152.0</v>
      </c>
      <c r="F223" s="250" t="s">
        <v>521</v>
      </c>
      <c r="G223" s="176"/>
      <c r="H223" s="171">
        <v>30.0</v>
      </c>
      <c r="I223" s="171">
        <v>30.0</v>
      </c>
      <c r="J223" s="391">
        <f t="shared" si="12"/>
        <v>0.001271150805</v>
      </c>
      <c r="K223" s="392">
        <f t="shared" si="13"/>
        <v>0.6737099268</v>
      </c>
      <c r="L223" s="327">
        <f t="shared" si="14"/>
        <v>3.390147796</v>
      </c>
      <c r="M223" s="321" t="str">
        <f t="shared" si="5"/>
        <v>sgonzt</v>
      </c>
      <c r="N223" s="176">
        <f>IFERROR(__xludf.DUMMYFUNCTION("""COMPUTED_VALUE"""),2.0)</f>
        <v>2</v>
      </c>
      <c r="O223" s="176"/>
      <c r="P223" s="176"/>
      <c r="Q223" s="176"/>
      <c r="R223" s="176"/>
      <c r="S223" s="176"/>
      <c r="T223" s="176"/>
      <c r="U223" s="176"/>
      <c r="V223" s="176"/>
      <c r="W223" s="176"/>
      <c r="X223" s="176"/>
      <c r="Y223" s="176"/>
      <c r="Z223" s="176"/>
    </row>
    <row r="224">
      <c r="A224" s="226" t="s">
        <v>26</v>
      </c>
      <c r="B224" s="226" t="s">
        <v>519</v>
      </c>
      <c r="C224" s="250" t="s">
        <v>2329</v>
      </c>
      <c r="D224" s="268" t="s">
        <v>495</v>
      </c>
      <c r="E224" s="251">
        <v>44154.0</v>
      </c>
      <c r="F224" s="250" t="s">
        <v>521</v>
      </c>
      <c r="G224" s="176"/>
      <c r="H224" s="171">
        <v>10.0</v>
      </c>
      <c r="I224" s="171">
        <v>30.0</v>
      </c>
      <c r="J224" s="391">
        <f t="shared" si="12"/>
        <v>0.000888185119</v>
      </c>
      <c r="K224" s="392">
        <f t="shared" si="13"/>
        <v>0.4707381131</v>
      </c>
      <c r="L224" s="327">
        <f t="shared" si="14"/>
        <v>3.390147796</v>
      </c>
      <c r="M224" s="321" t="str">
        <f t="shared" si="5"/>
        <v>sgonzt</v>
      </c>
      <c r="N224" s="176">
        <f>IFERROR(__xludf.DUMMYFUNCTION("""COMPUTED_VALUE"""),3.0)</f>
        <v>3</v>
      </c>
      <c r="O224" s="176"/>
      <c r="P224" s="176"/>
      <c r="Q224" s="176"/>
      <c r="R224" s="176"/>
      <c r="S224" s="176"/>
      <c r="T224" s="176"/>
      <c r="U224" s="176"/>
      <c r="V224" s="176"/>
      <c r="W224" s="176"/>
      <c r="X224" s="176"/>
      <c r="Y224" s="176"/>
      <c r="Z224" s="176"/>
    </row>
    <row r="225">
      <c r="A225" s="226" t="s">
        <v>103</v>
      </c>
      <c r="B225" s="226" t="s">
        <v>1228</v>
      </c>
      <c r="C225" s="250" t="s">
        <v>3566</v>
      </c>
      <c r="D225" s="268" t="s">
        <v>495</v>
      </c>
      <c r="E225" s="361">
        <v>44141.0</v>
      </c>
      <c r="F225" s="250" t="s">
        <v>496</v>
      </c>
      <c r="G225" s="243"/>
      <c r="H225" s="171">
        <v>120.0</v>
      </c>
      <c r="I225" s="171">
        <v>40.0</v>
      </c>
      <c r="J225" s="391">
        <f t="shared" si="12"/>
        <v>0.003226730486</v>
      </c>
      <c r="K225" s="392">
        <f t="shared" si="13"/>
        <v>1.710167157</v>
      </c>
      <c r="L225" s="327">
        <f t="shared" si="14"/>
        <v>3.094278432</v>
      </c>
      <c r="M225" s="321" t="str">
        <f t="shared" si="5"/>
        <v>dulcedu</v>
      </c>
      <c r="N225" s="176">
        <f>IFERROR(__xludf.DUMMYFUNCTION("""COMPUTED_VALUE"""),1.0)</f>
        <v>1</v>
      </c>
      <c r="O225" s="176"/>
      <c r="P225" s="176"/>
      <c r="Q225" s="176"/>
      <c r="R225" s="176"/>
      <c r="S225" s="176"/>
      <c r="T225" s="176"/>
      <c r="U225" s="176"/>
      <c r="V225" s="176"/>
      <c r="W225" s="176"/>
      <c r="X225" s="176"/>
      <c r="Y225" s="176"/>
      <c r="Z225" s="176"/>
    </row>
    <row r="226">
      <c r="A226" s="226" t="s">
        <v>103</v>
      </c>
      <c r="B226" s="226" t="s">
        <v>1228</v>
      </c>
      <c r="C226" s="250" t="s">
        <v>3572</v>
      </c>
      <c r="D226" s="268" t="s">
        <v>495</v>
      </c>
      <c r="E226" s="251">
        <v>44147.0</v>
      </c>
      <c r="F226" s="250" t="s">
        <v>496</v>
      </c>
      <c r="G226" s="243"/>
      <c r="H226" s="171">
        <v>100.0</v>
      </c>
      <c r="I226" s="171">
        <v>30.0</v>
      </c>
      <c r="J226" s="391">
        <f t="shared" si="12"/>
        <v>0.002611530707</v>
      </c>
      <c r="K226" s="392">
        <f t="shared" si="13"/>
        <v>1.384111275</v>
      </c>
      <c r="L226" s="327">
        <f t="shared" si="14"/>
        <v>3.094278432</v>
      </c>
      <c r="M226" s="321" t="str">
        <f t="shared" si="5"/>
        <v>dulcedu</v>
      </c>
      <c r="N226" s="176">
        <f>IFERROR(__xludf.DUMMYFUNCTION("""COMPUTED_VALUE"""),2.0)</f>
        <v>2</v>
      </c>
      <c r="O226" s="176"/>
      <c r="P226" s="176"/>
      <c r="Q226" s="176"/>
      <c r="R226" s="176"/>
      <c r="S226" s="176"/>
      <c r="T226" s="176"/>
      <c r="U226" s="176"/>
      <c r="V226" s="176"/>
      <c r="W226" s="176"/>
      <c r="X226" s="176"/>
      <c r="Y226" s="176"/>
      <c r="Z226" s="176"/>
    </row>
    <row r="227">
      <c r="A227" s="226" t="s">
        <v>95</v>
      </c>
      <c r="B227" s="226" t="s">
        <v>519</v>
      </c>
      <c r="C227" s="250" t="s">
        <v>3619</v>
      </c>
      <c r="D227" s="268" t="s">
        <v>495</v>
      </c>
      <c r="E227" s="251">
        <v>44145.0</v>
      </c>
      <c r="F227" s="250" t="s">
        <v>496</v>
      </c>
      <c r="G227" s="243"/>
      <c r="H227" s="171">
        <v>100.0</v>
      </c>
      <c r="I227" s="171">
        <v>100.0</v>
      </c>
      <c r="J227" s="391">
        <f t="shared" si="12"/>
        <v>0.004237169351</v>
      </c>
      <c r="K227" s="392">
        <f t="shared" si="13"/>
        <v>2.245699756</v>
      </c>
      <c r="L227" s="327">
        <f t="shared" si="14"/>
        <v>2.919409683</v>
      </c>
      <c r="M227" s="321" t="str">
        <f t="shared" si="5"/>
        <v>aidanbrodieo</v>
      </c>
      <c r="N227" s="176">
        <f>IFERROR(__xludf.DUMMYFUNCTION("""COMPUTED_VALUE"""),1.0)</f>
        <v>1</v>
      </c>
      <c r="O227" s="176"/>
      <c r="P227" s="176"/>
      <c r="Q227" s="176"/>
      <c r="R227" s="176"/>
      <c r="S227" s="176"/>
      <c r="T227" s="176"/>
      <c r="U227" s="176"/>
      <c r="V227" s="176"/>
      <c r="W227" s="176"/>
      <c r="X227" s="176"/>
      <c r="Y227" s="176"/>
      <c r="Z227" s="176"/>
    </row>
    <row r="228">
      <c r="A228" s="226" t="s">
        <v>95</v>
      </c>
      <c r="B228" s="226" t="s">
        <v>590</v>
      </c>
      <c r="C228" s="250" t="s">
        <v>3571</v>
      </c>
      <c r="D228" s="268" t="s">
        <v>495</v>
      </c>
      <c r="E228" s="251">
        <v>44155.0</v>
      </c>
      <c r="F228" s="250" t="s">
        <v>496</v>
      </c>
      <c r="G228" s="176"/>
      <c r="H228" s="171">
        <v>30.0</v>
      </c>
      <c r="I228" s="171">
        <v>30.0</v>
      </c>
      <c r="J228" s="391">
        <f t="shared" si="12"/>
        <v>0.001271150805</v>
      </c>
      <c r="K228" s="392">
        <f t="shared" si="13"/>
        <v>0.6737099268</v>
      </c>
      <c r="L228" s="327">
        <f t="shared" si="14"/>
        <v>2.919409683</v>
      </c>
      <c r="M228" s="321" t="str">
        <f t="shared" si="5"/>
        <v>aidanbrodieo</v>
      </c>
      <c r="N228" s="176">
        <f>IFERROR(__xludf.DUMMYFUNCTION("""COMPUTED_VALUE"""),2.0)</f>
        <v>2</v>
      </c>
      <c r="O228" s="176"/>
      <c r="P228" s="176"/>
      <c r="Q228" s="176"/>
      <c r="R228" s="176"/>
      <c r="S228" s="176"/>
      <c r="T228" s="176"/>
      <c r="U228" s="176"/>
      <c r="V228" s="176"/>
      <c r="W228" s="176"/>
      <c r="X228" s="176"/>
      <c r="Y228" s="176"/>
      <c r="Z228" s="176"/>
    </row>
    <row r="229">
      <c r="A229" s="226" t="s">
        <v>147</v>
      </c>
      <c r="B229" s="226" t="s">
        <v>519</v>
      </c>
      <c r="C229" s="250" t="s">
        <v>3664</v>
      </c>
      <c r="D229" s="268" t="s">
        <v>495</v>
      </c>
      <c r="E229" s="251">
        <v>44148.0</v>
      </c>
      <c r="F229" s="250" t="s">
        <v>499</v>
      </c>
      <c r="G229" s="176"/>
      <c r="H229" s="171">
        <v>150.0</v>
      </c>
      <c r="I229" s="171">
        <v>80.0</v>
      </c>
      <c r="J229" s="391">
        <f t="shared" si="12"/>
        <v>0.004730115383</v>
      </c>
      <c r="K229" s="392">
        <f t="shared" si="13"/>
        <v>2.506961153</v>
      </c>
      <c r="L229" s="327">
        <f t="shared" si="14"/>
        <v>2.506961153</v>
      </c>
      <c r="M229" s="321" t="str">
        <f t="shared" si="5"/>
        <v>castall</v>
      </c>
      <c r="N229" s="176">
        <f>IFERROR(__xludf.DUMMYFUNCTION("""COMPUTED_VALUE"""),1.0)</f>
        <v>1</v>
      </c>
      <c r="O229" s="176"/>
      <c r="P229" s="176"/>
      <c r="Q229" s="176"/>
      <c r="R229" s="176"/>
      <c r="S229" s="176"/>
      <c r="T229" s="176"/>
      <c r="U229" s="176"/>
      <c r="V229" s="176"/>
      <c r="W229" s="176"/>
      <c r="X229" s="176"/>
      <c r="Y229" s="176"/>
      <c r="Z229" s="176"/>
    </row>
    <row r="230">
      <c r="A230" s="226" t="s">
        <v>72</v>
      </c>
      <c r="B230" s="226" t="s">
        <v>6</v>
      </c>
      <c r="C230" s="250" t="s">
        <v>3665</v>
      </c>
      <c r="D230" s="268" t="s">
        <v>495</v>
      </c>
      <c r="E230" s="361">
        <v>44144.0</v>
      </c>
      <c r="F230" s="250" t="s">
        <v>496</v>
      </c>
      <c r="G230" s="243"/>
      <c r="H230" s="171">
        <v>45.0</v>
      </c>
      <c r="I230" s="171">
        <v>40.0</v>
      </c>
      <c r="J230" s="391">
        <f t="shared" si="12"/>
        <v>0.001790609162</v>
      </c>
      <c r="K230" s="392">
        <f t="shared" si="13"/>
        <v>0.9490228558</v>
      </c>
      <c r="L230" s="327">
        <f t="shared" si="14"/>
        <v>2.44867157</v>
      </c>
      <c r="M230" s="321" t="str">
        <f t="shared" si="5"/>
        <v>daithic</v>
      </c>
      <c r="N230" s="176">
        <f>IFERROR(__xludf.DUMMYFUNCTION("""COMPUTED_VALUE"""),1.0)</f>
        <v>1</v>
      </c>
      <c r="O230" s="176"/>
      <c r="P230" s="176"/>
      <c r="Q230" s="176"/>
      <c r="R230" s="176"/>
      <c r="S230" s="176"/>
      <c r="T230" s="176"/>
      <c r="U230" s="176"/>
      <c r="V230" s="176"/>
      <c r="W230" s="176"/>
      <c r="X230" s="176"/>
      <c r="Y230" s="176"/>
      <c r="Z230" s="176"/>
    </row>
    <row r="231">
      <c r="A231" s="226" t="s">
        <v>72</v>
      </c>
      <c r="B231" s="226" t="s">
        <v>590</v>
      </c>
      <c r="C231" s="250" t="s">
        <v>3579</v>
      </c>
      <c r="D231" s="268" t="s">
        <v>495</v>
      </c>
      <c r="E231" s="251">
        <v>44153.0</v>
      </c>
      <c r="F231" s="250" t="s">
        <v>496</v>
      </c>
      <c r="G231" s="176"/>
      <c r="H231" s="171">
        <v>45.0</v>
      </c>
      <c r="I231" s="171">
        <v>30.0</v>
      </c>
      <c r="J231" s="391">
        <f t="shared" si="12"/>
        <v>0.00155837507</v>
      </c>
      <c r="K231" s="392">
        <f t="shared" si="13"/>
        <v>0.8259387871</v>
      </c>
      <c r="L231" s="327">
        <f t="shared" si="14"/>
        <v>2.44867157</v>
      </c>
      <c r="M231" s="321" t="str">
        <f t="shared" si="5"/>
        <v>daithic</v>
      </c>
      <c r="N231" s="176">
        <f>IFERROR(__xludf.DUMMYFUNCTION("""COMPUTED_VALUE"""),2.0)</f>
        <v>2</v>
      </c>
      <c r="O231" s="176"/>
      <c r="P231" s="176"/>
      <c r="Q231" s="176"/>
      <c r="R231" s="176"/>
      <c r="S231" s="176"/>
      <c r="T231" s="176"/>
      <c r="U231" s="176"/>
      <c r="V231" s="176"/>
      <c r="W231" s="176"/>
      <c r="X231" s="176"/>
      <c r="Y231" s="176"/>
      <c r="Z231" s="176"/>
    </row>
    <row r="232">
      <c r="A232" s="226" t="s">
        <v>72</v>
      </c>
      <c r="B232" s="226" t="s">
        <v>590</v>
      </c>
      <c r="C232" s="250" t="s">
        <v>3571</v>
      </c>
      <c r="D232" s="268" t="s">
        <v>495</v>
      </c>
      <c r="E232" s="251">
        <v>44155.0</v>
      </c>
      <c r="F232" s="250" t="s">
        <v>496</v>
      </c>
      <c r="G232" s="176"/>
      <c r="H232" s="171">
        <v>30.0</v>
      </c>
      <c r="I232" s="171">
        <v>30.0</v>
      </c>
      <c r="J232" s="391">
        <f t="shared" si="12"/>
        <v>0.001271150805</v>
      </c>
      <c r="K232" s="392">
        <f t="shared" si="13"/>
        <v>0.6737099268</v>
      </c>
      <c r="L232" s="327">
        <f t="shared" si="14"/>
        <v>2.44867157</v>
      </c>
      <c r="M232" s="321" t="str">
        <f t="shared" si="5"/>
        <v>daithic</v>
      </c>
      <c r="N232" s="176">
        <f>IFERROR(__xludf.DUMMYFUNCTION("""COMPUTED_VALUE"""),3.0)</f>
        <v>3</v>
      </c>
      <c r="O232" s="176"/>
      <c r="P232" s="176"/>
      <c r="Q232" s="176"/>
      <c r="R232" s="176"/>
      <c r="S232" s="176"/>
      <c r="T232" s="176"/>
      <c r="U232" s="176"/>
      <c r="V232" s="176"/>
      <c r="W232" s="176"/>
      <c r="X232" s="176"/>
      <c r="Y232" s="176"/>
      <c r="Z232" s="176"/>
    </row>
    <row r="233">
      <c r="A233" s="226" t="s">
        <v>28</v>
      </c>
      <c r="B233" s="226" t="s">
        <v>519</v>
      </c>
      <c r="C233" s="250" t="s">
        <v>3666</v>
      </c>
      <c r="D233" s="268" t="s">
        <v>495</v>
      </c>
      <c r="E233" s="361">
        <v>44144.0</v>
      </c>
      <c r="F233" s="250" t="s">
        <v>499</v>
      </c>
      <c r="G233" s="243"/>
      <c r="H233" s="171">
        <v>200.0</v>
      </c>
      <c r="I233" s="171">
        <v>200.0</v>
      </c>
      <c r="J233" s="391">
        <f t="shared" si="12"/>
        <v>0.008474338702</v>
      </c>
      <c r="K233" s="392">
        <f t="shared" si="13"/>
        <v>4.491399512</v>
      </c>
      <c r="L233" s="327">
        <f t="shared" si="14"/>
        <v>2.247182055</v>
      </c>
      <c r="M233" s="321" t="str">
        <f t="shared" si="5"/>
        <v>tam2140</v>
      </c>
      <c r="N233" s="176">
        <f>IFERROR(__xludf.DUMMYFUNCTION("""COMPUTED_VALUE"""),1.0)</f>
        <v>1</v>
      </c>
      <c r="O233" s="176"/>
      <c r="P233" s="176"/>
      <c r="Q233" s="176"/>
      <c r="R233" s="176"/>
      <c r="S233" s="176"/>
      <c r="T233" s="176"/>
      <c r="U233" s="176"/>
      <c r="V233" s="176"/>
      <c r="W233" s="176"/>
      <c r="X233" s="176"/>
      <c r="Y233" s="176"/>
      <c r="Z233" s="176"/>
    </row>
    <row r="234">
      <c r="A234" s="226" t="s">
        <v>28</v>
      </c>
      <c r="B234" s="226" t="s">
        <v>18</v>
      </c>
      <c r="C234" s="250" t="s">
        <v>3655</v>
      </c>
      <c r="D234" s="268" t="s">
        <v>495</v>
      </c>
      <c r="E234" s="251">
        <v>44148.0</v>
      </c>
      <c r="F234" s="250" t="s">
        <v>496</v>
      </c>
      <c r="G234" s="176"/>
      <c r="H234" s="171">
        <v>150.0</v>
      </c>
      <c r="I234" s="171">
        <v>150.0</v>
      </c>
      <c r="J234" s="391">
        <f t="shared" si="12"/>
        <v>0.006355754027</v>
      </c>
      <c r="K234" s="392">
        <f t="shared" si="13"/>
        <v>3.368549634</v>
      </c>
      <c r="L234" s="327">
        <f t="shared" si="14"/>
        <v>2.247182055</v>
      </c>
      <c r="M234" s="321" t="str">
        <f t="shared" si="5"/>
        <v>tam2140</v>
      </c>
      <c r="N234" s="176">
        <f>IFERROR(__xludf.DUMMYFUNCTION("""COMPUTED_VALUE"""),2.0)</f>
        <v>2</v>
      </c>
      <c r="O234" s="176"/>
      <c r="P234" s="176"/>
      <c r="Q234" s="176"/>
      <c r="R234" s="176"/>
      <c r="S234" s="176"/>
      <c r="T234" s="176"/>
      <c r="U234" s="176"/>
      <c r="V234" s="176"/>
      <c r="W234" s="176"/>
      <c r="X234" s="176"/>
      <c r="Y234" s="176"/>
      <c r="Z234" s="176"/>
    </row>
    <row r="235">
      <c r="A235" s="226" t="s">
        <v>28</v>
      </c>
      <c r="B235" s="226" t="s">
        <v>5</v>
      </c>
      <c r="C235" s="250" t="s">
        <v>3608</v>
      </c>
      <c r="D235" s="268" t="s">
        <v>495</v>
      </c>
      <c r="E235" s="251">
        <v>44152.0</v>
      </c>
      <c r="F235" s="250" t="s">
        <v>496</v>
      </c>
      <c r="G235" s="176"/>
      <c r="H235" s="171">
        <v>120.0</v>
      </c>
      <c r="I235" s="171">
        <v>150.0</v>
      </c>
      <c r="J235" s="391">
        <f t="shared" si="12"/>
        <v>0.005781305497</v>
      </c>
      <c r="K235" s="392">
        <f t="shared" si="13"/>
        <v>3.064091913</v>
      </c>
      <c r="L235" s="327">
        <f t="shared" si="14"/>
        <v>2.247182055</v>
      </c>
      <c r="M235" s="321" t="str">
        <f t="shared" si="5"/>
        <v>tam2140</v>
      </c>
      <c r="N235" s="176">
        <f>IFERROR(__xludf.DUMMYFUNCTION("""COMPUTED_VALUE"""),3.0)</f>
        <v>3</v>
      </c>
      <c r="O235" s="176"/>
      <c r="P235" s="176"/>
      <c r="Q235" s="176"/>
      <c r="R235" s="176"/>
      <c r="S235" s="176"/>
      <c r="T235" s="176"/>
      <c r="U235" s="176"/>
      <c r="V235" s="176"/>
      <c r="W235" s="176"/>
      <c r="X235" s="176"/>
      <c r="Y235" s="176"/>
      <c r="Z235" s="176"/>
    </row>
    <row r="236">
      <c r="A236" s="226" t="s">
        <v>28</v>
      </c>
      <c r="B236" s="226" t="s">
        <v>5</v>
      </c>
      <c r="C236" s="250" t="s">
        <v>3580</v>
      </c>
      <c r="D236" s="268" t="s">
        <v>495</v>
      </c>
      <c r="E236" s="251">
        <v>44145.0</v>
      </c>
      <c r="F236" s="250" t="s">
        <v>496</v>
      </c>
      <c r="G236" s="243"/>
      <c r="H236" s="171">
        <v>30.0</v>
      </c>
      <c r="I236" s="171">
        <v>100.0</v>
      </c>
      <c r="J236" s="391">
        <f t="shared" si="12"/>
        <v>0.002896789449</v>
      </c>
      <c r="K236" s="392">
        <f t="shared" si="13"/>
        <v>1.535298408</v>
      </c>
      <c r="L236" s="327">
        <f t="shared" si="14"/>
        <v>2.247182055</v>
      </c>
      <c r="M236" s="321" t="str">
        <f t="shared" si="5"/>
        <v>tam2140</v>
      </c>
      <c r="N236" s="176">
        <f>IFERROR(__xludf.DUMMYFUNCTION("""COMPUTED_VALUE"""),4.0)</f>
        <v>4</v>
      </c>
      <c r="O236" s="176"/>
      <c r="P236" s="176"/>
      <c r="Q236" s="176"/>
      <c r="R236" s="176"/>
      <c r="S236" s="176"/>
      <c r="T236" s="176"/>
      <c r="U236" s="176"/>
      <c r="V236" s="176"/>
      <c r="W236" s="176"/>
      <c r="X236" s="176"/>
      <c r="Y236" s="176"/>
      <c r="Z236" s="176"/>
    </row>
    <row r="237">
      <c r="A237" s="226" t="s">
        <v>28</v>
      </c>
      <c r="B237" s="226" t="s">
        <v>18</v>
      </c>
      <c r="C237" s="250" t="s">
        <v>3578</v>
      </c>
      <c r="D237" s="268" t="s">
        <v>495</v>
      </c>
      <c r="E237" s="251">
        <v>44152.0</v>
      </c>
      <c r="F237" s="250" t="s">
        <v>496</v>
      </c>
      <c r="G237" s="176"/>
      <c r="H237" s="171">
        <v>45.0</v>
      </c>
      <c r="I237" s="171">
        <v>30.0</v>
      </c>
      <c r="J237" s="391">
        <f t="shared" si="12"/>
        <v>0.00155837507</v>
      </c>
      <c r="K237" s="392">
        <f t="shared" si="13"/>
        <v>0.8259387871</v>
      </c>
      <c r="L237" s="327">
        <f t="shared" si="14"/>
        <v>2.247182055</v>
      </c>
      <c r="M237" s="321" t="str">
        <f t="shared" si="5"/>
        <v>tam2140</v>
      </c>
      <c r="N237" s="176">
        <f>IFERROR(__xludf.DUMMYFUNCTION("""COMPUTED_VALUE"""),5.0)</f>
        <v>5</v>
      </c>
      <c r="O237" s="176"/>
      <c r="P237" s="176"/>
      <c r="Q237" s="176"/>
      <c r="R237" s="176"/>
      <c r="S237" s="176"/>
      <c r="T237" s="176"/>
      <c r="U237" s="176"/>
      <c r="V237" s="176"/>
      <c r="W237" s="176"/>
      <c r="X237" s="176"/>
      <c r="Y237" s="176"/>
      <c r="Z237" s="176"/>
    </row>
    <row r="238">
      <c r="A238" s="226" t="s">
        <v>28</v>
      </c>
      <c r="B238" s="226" t="s">
        <v>18</v>
      </c>
      <c r="C238" s="250" t="s">
        <v>3581</v>
      </c>
      <c r="D238" s="268" t="s">
        <v>495</v>
      </c>
      <c r="E238" s="251">
        <v>44147.0</v>
      </c>
      <c r="F238" s="250" t="s">
        <v>496</v>
      </c>
      <c r="G238" s="243"/>
      <c r="H238" s="171">
        <v>30.0</v>
      </c>
      <c r="I238" s="171">
        <v>30.0</v>
      </c>
      <c r="J238" s="391">
        <f t="shared" si="12"/>
        <v>0.001271150805</v>
      </c>
      <c r="K238" s="392">
        <f t="shared" si="13"/>
        <v>0.6737099268</v>
      </c>
      <c r="L238" s="327">
        <f t="shared" si="14"/>
        <v>2.247182055</v>
      </c>
      <c r="M238" s="321" t="str">
        <f t="shared" si="5"/>
        <v>tam2140</v>
      </c>
      <c r="N238" s="176">
        <f>IFERROR(__xludf.DUMMYFUNCTION("""COMPUTED_VALUE"""),6.0)</f>
        <v>6</v>
      </c>
      <c r="O238" s="176"/>
      <c r="P238" s="176"/>
      <c r="Q238" s="176"/>
      <c r="R238" s="176"/>
      <c r="S238" s="176"/>
      <c r="T238" s="176"/>
      <c r="U238" s="176"/>
      <c r="V238" s="176"/>
      <c r="W238" s="176"/>
      <c r="X238" s="176"/>
      <c r="Y238" s="176"/>
      <c r="Z238" s="176"/>
    </row>
    <row r="239">
      <c r="A239" s="226" t="s">
        <v>28</v>
      </c>
      <c r="B239" s="226" t="s">
        <v>5</v>
      </c>
      <c r="C239" s="250" t="s">
        <v>3573</v>
      </c>
      <c r="D239" s="268" t="s">
        <v>495</v>
      </c>
      <c r="E239" s="251">
        <v>44147.0</v>
      </c>
      <c r="F239" s="250" t="s">
        <v>496</v>
      </c>
      <c r="G239" s="176"/>
      <c r="H239" s="171">
        <v>30.0</v>
      </c>
      <c r="I239" s="171">
        <v>30.0</v>
      </c>
      <c r="J239" s="391">
        <f t="shared" si="12"/>
        <v>0.001271150805</v>
      </c>
      <c r="K239" s="392">
        <f t="shared" si="13"/>
        <v>0.6737099268</v>
      </c>
      <c r="L239" s="327">
        <f t="shared" si="14"/>
        <v>2.247182055</v>
      </c>
      <c r="M239" s="321" t="str">
        <f t="shared" si="5"/>
        <v>tam2140</v>
      </c>
      <c r="N239" s="176">
        <f>IFERROR(__xludf.DUMMYFUNCTION("""COMPUTED_VALUE"""),7.0)</f>
        <v>7</v>
      </c>
      <c r="O239" s="176"/>
      <c r="P239" s="176"/>
      <c r="Q239" s="176"/>
      <c r="R239" s="176"/>
      <c r="S239" s="176"/>
      <c r="T239" s="176"/>
      <c r="U239" s="176"/>
      <c r="V239" s="176"/>
      <c r="W239" s="176"/>
      <c r="X239" s="176"/>
      <c r="Y239" s="176"/>
      <c r="Z239" s="176"/>
    </row>
    <row r="240">
      <c r="A240" s="226" t="s">
        <v>28</v>
      </c>
      <c r="B240" s="226" t="s">
        <v>590</v>
      </c>
      <c r="C240" s="250" t="s">
        <v>3571</v>
      </c>
      <c r="D240" s="268" t="s">
        <v>495</v>
      </c>
      <c r="E240" s="251">
        <v>44155.0</v>
      </c>
      <c r="F240" s="250" t="s">
        <v>496</v>
      </c>
      <c r="G240" s="176"/>
      <c r="H240" s="171">
        <v>30.0</v>
      </c>
      <c r="I240" s="171">
        <v>30.0</v>
      </c>
      <c r="J240" s="391">
        <f t="shared" si="12"/>
        <v>0.001271150805</v>
      </c>
      <c r="K240" s="392">
        <f t="shared" si="13"/>
        <v>0.6737099268</v>
      </c>
      <c r="L240" s="327">
        <f t="shared" si="14"/>
        <v>2.247182055</v>
      </c>
      <c r="M240" s="321" t="str">
        <f t="shared" si="5"/>
        <v>tam2140</v>
      </c>
      <c r="N240" s="176">
        <f>IFERROR(__xludf.DUMMYFUNCTION("""COMPUTED_VALUE"""),8.0)</f>
        <v>8</v>
      </c>
      <c r="O240" s="176"/>
      <c r="P240" s="176"/>
      <c r="Q240" s="176"/>
      <c r="R240" s="176"/>
      <c r="S240" s="176"/>
      <c r="T240" s="176"/>
      <c r="U240" s="176"/>
      <c r="V240" s="176"/>
      <c r="W240" s="176"/>
      <c r="X240" s="176"/>
      <c r="Y240" s="176"/>
      <c r="Z240" s="176"/>
    </row>
    <row r="241">
      <c r="A241" s="226" t="s">
        <v>28</v>
      </c>
      <c r="B241" s="226" t="s">
        <v>590</v>
      </c>
      <c r="C241" s="250" t="s">
        <v>3582</v>
      </c>
      <c r="D241" s="268" t="s">
        <v>495</v>
      </c>
      <c r="E241" s="251">
        <v>44152.0</v>
      </c>
      <c r="F241" s="250" t="s">
        <v>496</v>
      </c>
      <c r="G241" s="176"/>
      <c r="H241" s="171">
        <v>20.0</v>
      </c>
      <c r="I241" s="171">
        <v>30.0</v>
      </c>
      <c r="J241" s="391">
        <f t="shared" si="12"/>
        <v>0.001079667962</v>
      </c>
      <c r="K241" s="392">
        <f t="shared" si="13"/>
        <v>0.5722240199</v>
      </c>
      <c r="L241" s="327">
        <f t="shared" si="14"/>
        <v>2.247182055</v>
      </c>
      <c r="M241" s="321" t="str">
        <f t="shared" si="5"/>
        <v>tam2140</v>
      </c>
      <c r="N241" s="176">
        <f>IFERROR(__xludf.DUMMYFUNCTION("""COMPUTED_VALUE"""),9.0)</f>
        <v>9</v>
      </c>
      <c r="O241" s="176"/>
      <c r="P241" s="176"/>
      <c r="Q241" s="176"/>
      <c r="R241" s="176"/>
      <c r="S241" s="176"/>
      <c r="T241" s="176"/>
      <c r="U241" s="176"/>
      <c r="V241" s="176"/>
      <c r="W241" s="176"/>
      <c r="X241" s="176"/>
      <c r="Y241" s="176"/>
      <c r="Z241" s="176"/>
    </row>
    <row r="242">
      <c r="A242" s="240" t="s">
        <v>28</v>
      </c>
      <c r="B242" s="240" t="s">
        <v>519</v>
      </c>
      <c r="C242" s="221" t="s">
        <v>781</v>
      </c>
      <c r="D242" s="336"/>
      <c r="E242" s="340"/>
      <c r="F242" s="254"/>
      <c r="G242" s="312"/>
      <c r="H242" s="222"/>
      <c r="I242" s="222"/>
      <c r="J242" s="394">
        <f t="shared" si="12"/>
        <v>0</v>
      </c>
      <c r="K242" s="395">
        <f>16.037*-0.85</f>
        <v>-13.63145</v>
      </c>
      <c r="L242" s="327">
        <f t="shared" si="14"/>
        <v>2.247182055</v>
      </c>
      <c r="M242" s="321" t="str">
        <f t="shared" si="5"/>
        <v>tam2140</v>
      </c>
      <c r="N242" s="209">
        <f>IFERROR(__xludf.DUMMYFUNCTION("""COMPUTED_VALUE"""),10.0)</f>
        <v>10</v>
      </c>
      <c r="O242" s="209"/>
      <c r="P242" s="209"/>
      <c r="Q242" s="209"/>
      <c r="R242" s="209"/>
      <c r="S242" s="209"/>
      <c r="T242" s="209"/>
      <c r="U242" s="209"/>
      <c r="V242" s="209"/>
      <c r="W242" s="209"/>
      <c r="X242" s="209"/>
      <c r="Y242" s="176"/>
      <c r="Z242" s="176"/>
    </row>
    <row r="243">
      <c r="A243" s="226" t="s">
        <v>79</v>
      </c>
      <c r="B243" s="226" t="s">
        <v>18</v>
      </c>
      <c r="C243" s="250" t="s">
        <v>3667</v>
      </c>
      <c r="D243" s="268" t="s">
        <v>495</v>
      </c>
      <c r="E243" s="251">
        <v>44153.0</v>
      </c>
      <c r="F243" s="250" t="s">
        <v>496</v>
      </c>
      <c r="G243" s="176"/>
      <c r="H243" s="171">
        <v>100.0</v>
      </c>
      <c r="I243" s="171">
        <v>100.0</v>
      </c>
      <c r="J243" s="391">
        <f t="shared" si="12"/>
        <v>0.004237169351</v>
      </c>
      <c r="K243" s="392">
        <f t="shared" ref="K243:K256" si="15">J243*$J$1</f>
        <v>2.245699756</v>
      </c>
      <c r="L243" s="327">
        <f t="shared" si="14"/>
        <v>2.357984744</v>
      </c>
      <c r="M243" s="321" t="str">
        <f t="shared" si="5"/>
        <v>burrrata</v>
      </c>
      <c r="N243" s="176">
        <f>IFERROR(__xludf.DUMMYFUNCTION("""COMPUTED_VALUE"""),1.0)</f>
        <v>1</v>
      </c>
      <c r="O243" s="176"/>
      <c r="P243" s="176"/>
      <c r="Q243" s="176"/>
      <c r="R243" s="176"/>
      <c r="S243" s="176"/>
      <c r="T243" s="176"/>
      <c r="U243" s="176"/>
      <c r="V243" s="176"/>
      <c r="W243" s="176"/>
      <c r="X243" s="176"/>
      <c r="Y243" s="176"/>
      <c r="Z243" s="176"/>
    </row>
    <row r="244">
      <c r="A244" s="226" t="s">
        <v>79</v>
      </c>
      <c r="B244" s="226" t="s">
        <v>590</v>
      </c>
      <c r="C244" s="250" t="s">
        <v>3668</v>
      </c>
      <c r="D244" s="268" t="s">
        <v>495</v>
      </c>
      <c r="E244" s="251">
        <v>44153.0</v>
      </c>
      <c r="F244" s="250" t="s">
        <v>496</v>
      </c>
      <c r="G244" s="176"/>
      <c r="H244" s="171">
        <v>5.0</v>
      </c>
      <c r="I244" s="171">
        <v>5.0</v>
      </c>
      <c r="J244" s="391">
        <f t="shared" si="12"/>
        <v>0.0002118584676</v>
      </c>
      <c r="K244" s="392">
        <f t="shared" si="15"/>
        <v>0.1122849878</v>
      </c>
      <c r="L244" s="327">
        <f t="shared" si="14"/>
        <v>2.357984744</v>
      </c>
      <c r="M244" s="321" t="str">
        <f t="shared" si="5"/>
        <v>burrrata</v>
      </c>
      <c r="N244" s="176">
        <f>IFERROR(__xludf.DUMMYFUNCTION("""COMPUTED_VALUE"""),2.0)</f>
        <v>2</v>
      </c>
      <c r="O244" s="176"/>
      <c r="P244" s="176"/>
      <c r="Q244" s="176"/>
      <c r="R244" s="176"/>
      <c r="S244" s="176"/>
      <c r="T244" s="176"/>
      <c r="U244" s="176"/>
      <c r="V244" s="176"/>
      <c r="W244" s="176"/>
      <c r="X244" s="176"/>
      <c r="Y244" s="176"/>
      <c r="Z244" s="176"/>
    </row>
    <row r="245">
      <c r="A245" s="226" t="s">
        <v>77</v>
      </c>
      <c r="B245" s="226" t="s">
        <v>18</v>
      </c>
      <c r="C245" s="250" t="s">
        <v>3669</v>
      </c>
      <c r="D245" s="268" t="s">
        <v>495</v>
      </c>
      <c r="E245" s="251">
        <v>44147.0</v>
      </c>
      <c r="F245" s="250" t="s">
        <v>499</v>
      </c>
      <c r="G245" s="243"/>
      <c r="H245" s="171">
        <v>100.0</v>
      </c>
      <c r="I245" s="171">
        <v>100.0</v>
      </c>
      <c r="J245" s="391">
        <f t="shared" si="12"/>
        <v>0.004237169351</v>
      </c>
      <c r="K245" s="392">
        <f t="shared" si="15"/>
        <v>2.245699756</v>
      </c>
      <c r="L245" s="327">
        <f t="shared" si="14"/>
        <v>2.245699756</v>
      </c>
      <c r="M245" s="321" t="str">
        <f t="shared" si="5"/>
        <v>krrisis</v>
      </c>
      <c r="N245" s="176">
        <f>IFERROR(__xludf.DUMMYFUNCTION("""COMPUTED_VALUE"""),1.0)</f>
        <v>1</v>
      </c>
      <c r="O245" s="176"/>
      <c r="P245" s="176"/>
      <c r="Q245" s="176"/>
      <c r="R245" s="176"/>
      <c r="S245" s="176"/>
      <c r="T245" s="176"/>
      <c r="U245" s="176"/>
      <c r="V245" s="176"/>
      <c r="W245" s="176"/>
      <c r="X245" s="176"/>
      <c r="Y245" s="176"/>
      <c r="Z245" s="176"/>
    </row>
    <row r="246">
      <c r="A246" s="226" t="s">
        <v>228</v>
      </c>
      <c r="B246" s="226" t="s">
        <v>18</v>
      </c>
      <c r="C246" s="219" t="s">
        <v>3669</v>
      </c>
      <c r="D246" s="268" t="s">
        <v>495</v>
      </c>
      <c r="E246" s="251">
        <v>44147.0</v>
      </c>
      <c r="F246" s="250" t="s">
        <v>499</v>
      </c>
      <c r="G246" s="243"/>
      <c r="H246" s="171">
        <v>100.0</v>
      </c>
      <c r="I246" s="171">
        <v>100.0</v>
      </c>
      <c r="J246" s="391">
        <f t="shared" si="12"/>
        <v>0.004237169351</v>
      </c>
      <c r="K246" s="392">
        <f t="shared" si="15"/>
        <v>2.245699756</v>
      </c>
      <c r="L246" s="327">
        <f t="shared" si="14"/>
        <v>2.245699756</v>
      </c>
      <c r="M246" s="321" t="str">
        <f t="shared" si="5"/>
        <v>flakoubay</v>
      </c>
      <c r="N246" s="176">
        <f>IFERROR(__xludf.DUMMYFUNCTION("""COMPUTED_VALUE"""),1.0)</f>
        <v>1</v>
      </c>
      <c r="O246" s="176"/>
      <c r="P246" s="176"/>
      <c r="Q246" s="176"/>
      <c r="R246" s="176"/>
      <c r="S246" s="176"/>
      <c r="T246" s="176"/>
      <c r="U246" s="176"/>
      <c r="V246" s="176"/>
      <c r="W246" s="176"/>
      <c r="X246" s="176"/>
      <c r="Y246" s="176"/>
      <c r="Z246" s="176"/>
    </row>
    <row r="247">
      <c r="A247" s="226" t="s">
        <v>65</v>
      </c>
      <c r="B247" s="226" t="s">
        <v>868</v>
      </c>
      <c r="C247" s="250" t="s">
        <v>3567</v>
      </c>
      <c r="D247" s="268" t="s">
        <v>495</v>
      </c>
      <c r="E247" s="251">
        <v>44148.0</v>
      </c>
      <c r="F247" s="250" t="s">
        <v>496</v>
      </c>
      <c r="G247" s="176"/>
      <c r="H247" s="171">
        <v>100.0</v>
      </c>
      <c r="I247" s="171">
        <v>100.0</v>
      </c>
      <c r="J247" s="391">
        <f t="shared" si="12"/>
        <v>0.004237169351</v>
      </c>
      <c r="K247" s="392">
        <f t="shared" si="15"/>
        <v>2.245699756</v>
      </c>
      <c r="L247" s="327">
        <f t="shared" si="14"/>
        <v>2.245699756</v>
      </c>
      <c r="M247" s="321" t="str">
        <f t="shared" si="5"/>
        <v>loie_giveth</v>
      </c>
      <c r="N247" s="176">
        <f>IFERROR(__xludf.DUMMYFUNCTION("""COMPUTED_VALUE"""),1.0)</f>
        <v>1</v>
      </c>
      <c r="O247" s="176"/>
      <c r="P247" s="176"/>
      <c r="Q247" s="176"/>
      <c r="R247" s="176"/>
      <c r="S247" s="176"/>
      <c r="T247" s="176"/>
      <c r="U247" s="176"/>
      <c r="V247" s="176"/>
      <c r="W247" s="176"/>
      <c r="X247" s="176"/>
      <c r="Y247" s="176"/>
      <c r="Z247" s="176"/>
    </row>
    <row r="248">
      <c r="A248" s="226" t="s">
        <v>150</v>
      </c>
      <c r="B248" s="226" t="s">
        <v>590</v>
      </c>
      <c r="C248" s="250" t="s">
        <v>3670</v>
      </c>
      <c r="D248" s="268" t="s">
        <v>495</v>
      </c>
      <c r="E248" s="251">
        <v>44147.0</v>
      </c>
      <c r="F248" s="250" t="s">
        <v>496</v>
      </c>
      <c r="G248" s="243"/>
      <c r="H248" s="171">
        <v>30.0</v>
      </c>
      <c r="I248" s="171">
        <v>30.0</v>
      </c>
      <c r="J248" s="391">
        <f t="shared" si="12"/>
        <v>0.001271150805</v>
      </c>
      <c r="K248" s="392">
        <f t="shared" si="15"/>
        <v>0.6737099268</v>
      </c>
      <c r="L248" s="327">
        <f t="shared" si="14"/>
        <v>2.092820405</v>
      </c>
      <c r="M248" s="321" t="str">
        <f t="shared" si="5"/>
        <v>glefevre</v>
      </c>
      <c r="N248" s="176">
        <f>IFERROR(__xludf.DUMMYFUNCTION("""COMPUTED_VALUE"""),1.0)</f>
        <v>1</v>
      </c>
      <c r="O248" s="176"/>
      <c r="P248" s="176"/>
      <c r="Q248" s="176"/>
      <c r="R248" s="176"/>
      <c r="S248" s="176"/>
      <c r="T248" s="176"/>
      <c r="U248" s="176"/>
      <c r="V248" s="176"/>
      <c r="W248" s="176"/>
      <c r="X248" s="176"/>
      <c r="Y248" s="176"/>
      <c r="Z248" s="176"/>
    </row>
    <row r="249">
      <c r="A249" s="226" t="s">
        <v>150</v>
      </c>
      <c r="B249" s="226" t="s">
        <v>5</v>
      </c>
      <c r="C249" s="250" t="s">
        <v>3573</v>
      </c>
      <c r="D249" s="268" t="s">
        <v>495</v>
      </c>
      <c r="E249" s="251">
        <v>44147.0</v>
      </c>
      <c r="F249" s="250" t="s">
        <v>496</v>
      </c>
      <c r="G249" s="176"/>
      <c r="H249" s="171">
        <v>30.0</v>
      </c>
      <c r="I249" s="171">
        <v>30.0</v>
      </c>
      <c r="J249" s="391">
        <f t="shared" si="12"/>
        <v>0.001271150805</v>
      </c>
      <c r="K249" s="392">
        <f t="shared" si="15"/>
        <v>0.6737099268</v>
      </c>
      <c r="L249" s="327">
        <f t="shared" si="14"/>
        <v>2.092820405</v>
      </c>
      <c r="M249" s="321" t="str">
        <f t="shared" si="5"/>
        <v>glefevre</v>
      </c>
      <c r="N249" s="176">
        <f>IFERROR(__xludf.DUMMYFUNCTION("""COMPUTED_VALUE"""),2.0)</f>
        <v>2</v>
      </c>
      <c r="O249" s="176"/>
      <c r="P249" s="176"/>
      <c r="Q249" s="176"/>
      <c r="R249" s="176"/>
      <c r="S249" s="176"/>
      <c r="T249" s="176"/>
      <c r="U249" s="176"/>
      <c r="V249" s="176"/>
      <c r="W249" s="176"/>
      <c r="X249" s="176"/>
      <c r="Y249" s="176"/>
      <c r="Z249" s="176"/>
    </row>
    <row r="250">
      <c r="A250" s="226" t="s">
        <v>150</v>
      </c>
      <c r="B250" s="226" t="s">
        <v>590</v>
      </c>
      <c r="C250" s="250" t="s">
        <v>3571</v>
      </c>
      <c r="D250" s="268" t="s">
        <v>495</v>
      </c>
      <c r="E250" s="251">
        <v>44155.0</v>
      </c>
      <c r="F250" s="250" t="s">
        <v>496</v>
      </c>
      <c r="G250" s="176"/>
      <c r="H250" s="171">
        <v>30.0</v>
      </c>
      <c r="I250" s="171">
        <v>30.0</v>
      </c>
      <c r="J250" s="391">
        <f t="shared" si="12"/>
        <v>0.001271150805</v>
      </c>
      <c r="K250" s="392">
        <f t="shared" si="15"/>
        <v>0.6737099268</v>
      </c>
      <c r="L250" s="327">
        <f t="shared" si="14"/>
        <v>2.092820405</v>
      </c>
      <c r="M250" s="321" t="str">
        <f t="shared" si="5"/>
        <v>glefevre</v>
      </c>
      <c r="N250" s="176">
        <f>IFERROR(__xludf.DUMMYFUNCTION("""COMPUTED_VALUE"""),3.0)</f>
        <v>3</v>
      </c>
      <c r="O250" s="176"/>
      <c r="P250" s="176"/>
      <c r="Q250" s="176"/>
      <c r="R250" s="176"/>
      <c r="S250" s="176"/>
      <c r="T250" s="176"/>
      <c r="U250" s="176"/>
      <c r="V250" s="176"/>
      <c r="W250" s="176"/>
      <c r="X250" s="176"/>
      <c r="Y250" s="176"/>
      <c r="Z250" s="176"/>
    </row>
    <row r="251">
      <c r="A251" s="226" t="s">
        <v>150</v>
      </c>
      <c r="B251" s="226" t="s">
        <v>5</v>
      </c>
      <c r="C251" s="250" t="s">
        <v>3671</v>
      </c>
      <c r="D251" s="268" t="s">
        <v>495</v>
      </c>
      <c r="E251" s="251">
        <v>44147.0</v>
      </c>
      <c r="F251" s="250" t="s">
        <v>496</v>
      </c>
      <c r="G251" s="243"/>
      <c r="H251" s="171">
        <v>1.0</v>
      </c>
      <c r="I251" s="171">
        <v>5.0</v>
      </c>
      <c r="J251" s="391">
        <f t="shared" si="12"/>
        <v>0.0001352653303</v>
      </c>
      <c r="K251" s="392">
        <f t="shared" si="15"/>
        <v>0.07169062506</v>
      </c>
      <c r="L251" s="327">
        <f t="shared" si="14"/>
        <v>2.092820405</v>
      </c>
      <c r="M251" s="321" t="str">
        <f t="shared" si="5"/>
        <v>glefevre</v>
      </c>
      <c r="N251" s="176">
        <f>IFERROR(__xludf.DUMMYFUNCTION("""COMPUTED_VALUE"""),4.0)</f>
        <v>4</v>
      </c>
      <c r="O251" s="176"/>
      <c r="P251" s="176"/>
      <c r="Q251" s="176"/>
      <c r="R251" s="176"/>
      <c r="S251" s="176"/>
      <c r="T251" s="176"/>
      <c r="U251" s="176"/>
      <c r="V251" s="176"/>
      <c r="W251" s="176"/>
      <c r="X251" s="176"/>
      <c r="Y251" s="176"/>
      <c r="Z251" s="176"/>
    </row>
    <row r="252">
      <c r="A252" s="226" t="s">
        <v>30</v>
      </c>
      <c r="B252" s="226" t="s">
        <v>519</v>
      </c>
      <c r="C252" s="250" t="s">
        <v>3619</v>
      </c>
      <c r="D252" s="268" t="s">
        <v>495</v>
      </c>
      <c r="E252" s="251">
        <v>44145.0</v>
      </c>
      <c r="F252" s="250" t="s">
        <v>496</v>
      </c>
      <c r="G252" s="243"/>
      <c r="H252" s="171">
        <v>100.0</v>
      </c>
      <c r="I252" s="171">
        <v>100.0</v>
      </c>
      <c r="J252" s="391">
        <f t="shared" si="12"/>
        <v>0.004237169351</v>
      </c>
      <c r="K252" s="392">
        <f t="shared" si="15"/>
        <v>2.245699756</v>
      </c>
      <c r="L252" s="327">
        <f t="shared" si="14"/>
        <v>1.839986461</v>
      </c>
      <c r="M252" s="321" t="str">
        <f t="shared" si="5"/>
        <v>paulo_c2d</v>
      </c>
      <c r="N252" s="176">
        <f>IFERROR(__xludf.DUMMYFUNCTION("""COMPUTED_VALUE"""),1.0)</f>
        <v>1</v>
      </c>
      <c r="O252" s="176"/>
      <c r="P252" s="176"/>
      <c r="Q252" s="176"/>
      <c r="R252" s="176"/>
      <c r="S252" s="176"/>
      <c r="T252" s="176"/>
      <c r="U252" s="176"/>
      <c r="V252" s="176"/>
      <c r="W252" s="176"/>
      <c r="X252" s="176"/>
      <c r="Y252" s="176"/>
      <c r="Z252" s="176"/>
    </row>
    <row r="253">
      <c r="A253" s="226" t="s">
        <v>30</v>
      </c>
      <c r="B253" s="226" t="s">
        <v>6</v>
      </c>
      <c r="C253" s="250" t="s">
        <v>3589</v>
      </c>
      <c r="D253" s="268" t="s">
        <v>495</v>
      </c>
      <c r="E253" s="251">
        <v>44151.0</v>
      </c>
      <c r="F253" s="250" t="s">
        <v>496</v>
      </c>
      <c r="G253" s="176"/>
      <c r="H253" s="171">
        <v>45.0</v>
      </c>
      <c r="I253" s="171">
        <v>50.0</v>
      </c>
      <c r="J253" s="391">
        <f t="shared" si="12"/>
        <v>0.002022843254</v>
      </c>
      <c r="K253" s="392">
        <f t="shared" si="15"/>
        <v>1.072106925</v>
      </c>
      <c r="L253" s="327">
        <f t="shared" si="14"/>
        <v>1.839986461</v>
      </c>
      <c r="M253" s="321" t="str">
        <f t="shared" si="5"/>
        <v>paulo_c2d</v>
      </c>
      <c r="N253" s="176">
        <f>IFERROR(__xludf.DUMMYFUNCTION("""COMPUTED_VALUE"""),2.0)</f>
        <v>2</v>
      </c>
      <c r="O253" s="176"/>
      <c r="P253" s="176"/>
      <c r="Q253" s="176"/>
      <c r="R253" s="176"/>
      <c r="S253" s="176"/>
      <c r="T253" s="176"/>
      <c r="U253" s="176"/>
      <c r="V253" s="176"/>
      <c r="W253" s="176"/>
      <c r="X253" s="176"/>
      <c r="Y253" s="176"/>
      <c r="Z253" s="176"/>
    </row>
    <row r="254">
      <c r="A254" s="226" t="s">
        <v>30</v>
      </c>
      <c r="B254" s="226" t="s">
        <v>590</v>
      </c>
      <c r="C254" s="250" t="s">
        <v>3590</v>
      </c>
      <c r="D254" s="268" t="s">
        <v>495</v>
      </c>
      <c r="E254" s="361">
        <v>44144.0</v>
      </c>
      <c r="F254" s="250" t="s">
        <v>496</v>
      </c>
      <c r="G254" s="243"/>
      <c r="H254" s="171">
        <v>30.0</v>
      </c>
      <c r="I254" s="171">
        <v>30.0</v>
      </c>
      <c r="J254" s="391">
        <f t="shared" si="12"/>
        <v>0.001271150805</v>
      </c>
      <c r="K254" s="392">
        <f t="shared" si="15"/>
        <v>0.6737099268</v>
      </c>
      <c r="L254" s="327">
        <f t="shared" si="14"/>
        <v>1.839986461</v>
      </c>
      <c r="M254" s="321" t="str">
        <f t="shared" si="5"/>
        <v>paulo_c2d</v>
      </c>
      <c r="N254" s="176">
        <f>IFERROR(__xludf.DUMMYFUNCTION("""COMPUTED_VALUE"""),3.0)</f>
        <v>3</v>
      </c>
      <c r="O254" s="176"/>
      <c r="P254" s="176"/>
      <c r="Q254" s="176"/>
      <c r="R254" s="176"/>
      <c r="S254" s="176"/>
      <c r="T254" s="176"/>
      <c r="U254" s="176"/>
      <c r="V254" s="176"/>
      <c r="W254" s="176"/>
      <c r="X254" s="176"/>
      <c r="Y254" s="176"/>
      <c r="Z254" s="176"/>
    </row>
    <row r="255">
      <c r="A255" s="226" t="s">
        <v>30</v>
      </c>
      <c r="B255" s="226" t="s">
        <v>5</v>
      </c>
      <c r="C255" s="250" t="s">
        <v>3573</v>
      </c>
      <c r="D255" s="268" t="s">
        <v>495</v>
      </c>
      <c r="E255" s="251">
        <v>44147.0</v>
      </c>
      <c r="F255" s="250" t="s">
        <v>496</v>
      </c>
      <c r="G255" s="176"/>
      <c r="H255" s="171">
        <v>30.0</v>
      </c>
      <c r="I255" s="171">
        <v>30.0</v>
      </c>
      <c r="J255" s="391">
        <f t="shared" si="12"/>
        <v>0.001271150805</v>
      </c>
      <c r="K255" s="392">
        <f t="shared" si="15"/>
        <v>0.6737099268</v>
      </c>
      <c r="L255" s="327">
        <f t="shared" si="14"/>
        <v>1.839986461</v>
      </c>
      <c r="M255" s="321" t="str">
        <f t="shared" si="5"/>
        <v>paulo_c2d</v>
      </c>
      <c r="N255" s="176">
        <f>IFERROR(__xludf.DUMMYFUNCTION("""COMPUTED_VALUE"""),4.0)</f>
        <v>4</v>
      </c>
      <c r="O255" s="176"/>
      <c r="P255" s="176"/>
      <c r="Q255" s="176"/>
      <c r="R255" s="176"/>
      <c r="S255" s="176"/>
      <c r="T255" s="176"/>
      <c r="U255" s="176"/>
      <c r="V255" s="176"/>
      <c r="W255" s="176"/>
      <c r="X255" s="176"/>
      <c r="Y255" s="176"/>
      <c r="Z255" s="176"/>
    </row>
    <row r="256">
      <c r="A256" s="226" t="s">
        <v>30</v>
      </c>
      <c r="B256" s="226" t="s">
        <v>590</v>
      </c>
      <c r="C256" s="250" t="s">
        <v>3571</v>
      </c>
      <c r="D256" s="268" t="s">
        <v>495</v>
      </c>
      <c r="E256" s="251">
        <v>44155.0</v>
      </c>
      <c r="F256" s="250" t="s">
        <v>496</v>
      </c>
      <c r="G256" s="176"/>
      <c r="H256" s="171">
        <v>30.0</v>
      </c>
      <c r="I256" s="171">
        <v>30.0</v>
      </c>
      <c r="J256" s="391">
        <f t="shared" si="12"/>
        <v>0.001271150805</v>
      </c>
      <c r="K256" s="392">
        <f t="shared" si="15"/>
        <v>0.6737099268</v>
      </c>
      <c r="L256" s="327">
        <f t="shared" si="14"/>
        <v>1.839986461</v>
      </c>
      <c r="M256" s="321" t="str">
        <f t="shared" si="5"/>
        <v>paulo_c2d</v>
      </c>
      <c r="N256" s="176">
        <f>IFERROR(__xludf.DUMMYFUNCTION("""COMPUTED_VALUE"""),5.0)</f>
        <v>5</v>
      </c>
      <c r="O256" s="176"/>
      <c r="P256" s="176"/>
      <c r="Q256" s="176"/>
      <c r="R256" s="176"/>
      <c r="S256" s="176"/>
      <c r="T256" s="176"/>
      <c r="U256" s="176"/>
      <c r="V256" s="176"/>
      <c r="W256" s="176"/>
      <c r="X256" s="176"/>
      <c r="Y256" s="176"/>
      <c r="Z256" s="176"/>
    </row>
    <row r="257">
      <c r="A257" s="240" t="s">
        <v>30</v>
      </c>
      <c r="B257" s="240" t="s">
        <v>18</v>
      </c>
      <c r="C257" s="397" t="s">
        <v>3660</v>
      </c>
      <c r="D257" s="336"/>
      <c r="E257" s="255"/>
      <c r="F257" s="254"/>
      <c r="G257" s="222"/>
      <c r="H257" s="222"/>
      <c r="I257" s="222"/>
      <c r="J257" s="394"/>
      <c r="K257" s="396">
        <f>5.383*-0.65</f>
        <v>-3.49895</v>
      </c>
      <c r="L257" s="327">
        <f t="array" ref="L257">dsum($A$3:$K$553,"Cred per Praise",{$A$3;A257})</f>
        <v>1.839986461</v>
      </c>
      <c r="M257" s="321" t="str">
        <f t="shared" si="5"/>
        <v>paulo_c2d</v>
      </c>
      <c r="N257" s="209">
        <f>IFERROR(__xludf.DUMMYFUNCTION("""COMPUTED_VALUE"""),6.0)</f>
        <v>6</v>
      </c>
      <c r="O257" s="209"/>
      <c r="P257" s="209"/>
      <c r="Q257" s="209"/>
      <c r="R257" s="209"/>
      <c r="S257" s="209"/>
      <c r="T257" s="209"/>
      <c r="U257" s="209"/>
      <c r="V257" s="209"/>
      <c r="W257" s="209"/>
      <c r="X257" s="209"/>
      <c r="Y257" s="176"/>
      <c r="Z257" s="176"/>
    </row>
    <row r="258">
      <c r="A258" s="226" t="s">
        <v>85</v>
      </c>
      <c r="B258" s="226" t="s">
        <v>6</v>
      </c>
      <c r="C258" s="250" t="s">
        <v>3672</v>
      </c>
      <c r="D258" s="268" t="s">
        <v>495</v>
      </c>
      <c r="E258" s="361">
        <v>44144.0</v>
      </c>
      <c r="F258" s="250" t="s">
        <v>496</v>
      </c>
      <c r="G258" s="243"/>
      <c r="H258" s="171">
        <v>100.0</v>
      </c>
      <c r="I258" s="171">
        <v>150.0</v>
      </c>
      <c r="J258" s="391">
        <f t="shared" ref="J258:J264" si="16">(H258/$H$2+I258/$I$2)/2</f>
        <v>0.005398339811</v>
      </c>
      <c r="K258" s="392">
        <f t="shared" ref="K258:K264" si="17">J258*$J$1</f>
        <v>2.8611201</v>
      </c>
      <c r="L258" s="327">
        <f t="shared" ref="L258:L264" si="18">dsum($A$3:$K$355,"Cred per Praise",{$A$3;A258})</f>
        <v>1.757914284</v>
      </c>
      <c r="M258" s="321" t="str">
        <f t="shared" si="5"/>
        <v>vivszaid</v>
      </c>
      <c r="N258" s="176">
        <f>IFERROR(__xludf.DUMMYFUNCTION("""COMPUTED_VALUE"""),1.0)</f>
        <v>1</v>
      </c>
      <c r="O258" s="176"/>
      <c r="P258" s="176"/>
      <c r="Q258" s="176"/>
      <c r="R258" s="176"/>
      <c r="S258" s="176"/>
      <c r="T258" s="176"/>
      <c r="U258" s="176"/>
      <c r="V258" s="176"/>
      <c r="W258" s="176"/>
      <c r="X258" s="176"/>
      <c r="Y258" s="176"/>
      <c r="Z258" s="176"/>
    </row>
    <row r="259">
      <c r="A259" s="226" t="s">
        <v>85</v>
      </c>
      <c r="B259" s="226" t="s">
        <v>519</v>
      </c>
      <c r="C259" s="250" t="s">
        <v>3619</v>
      </c>
      <c r="D259" s="268" t="s">
        <v>495</v>
      </c>
      <c r="E259" s="251">
        <v>44145.0</v>
      </c>
      <c r="F259" s="250" t="s">
        <v>496</v>
      </c>
      <c r="G259" s="243"/>
      <c r="H259" s="171">
        <v>100.0</v>
      </c>
      <c r="I259" s="171">
        <v>100.0</v>
      </c>
      <c r="J259" s="391">
        <f t="shared" si="16"/>
        <v>0.004237169351</v>
      </c>
      <c r="K259" s="392">
        <f t="shared" si="17"/>
        <v>2.245699756</v>
      </c>
      <c r="L259" s="327">
        <f t="shared" si="18"/>
        <v>1.757914284</v>
      </c>
      <c r="M259" s="321" t="str">
        <f t="shared" si="5"/>
        <v>vivszaid</v>
      </c>
      <c r="N259" s="176">
        <f>IFERROR(__xludf.DUMMYFUNCTION("""COMPUTED_VALUE"""),2.0)</f>
        <v>2</v>
      </c>
      <c r="O259" s="176"/>
      <c r="P259" s="176"/>
      <c r="Q259" s="176"/>
      <c r="R259" s="176"/>
      <c r="S259" s="176"/>
      <c r="T259" s="176"/>
      <c r="U259" s="176"/>
      <c r="V259" s="176"/>
      <c r="W259" s="176"/>
      <c r="X259" s="176"/>
      <c r="Y259" s="176"/>
      <c r="Z259" s="176"/>
    </row>
    <row r="260">
      <c r="A260" s="226" t="s">
        <v>85</v>
      </c>
      <c r="B260" s="226" t="s">
        <v>519</v>
      </c>
      <c r="C260" s="250" t="s">
        <v>3657</v>
      </c>
      <c r="D260" s="268" t="s">
        <v>495</v>
      </c>
      <c r="E260" s="251">
        <v>44147.0</v>
      </c>
      <c r="F260" s="250" t="s">
        <v>496</v>
      </c>
      <c r="G260" s="243"/>
      <c r="H260" s="171">
        <v>100.0</v>
      </c>
      <c r="I260" s="171">
        <v>100.0</v>
      </c>
      <c r="J260" s="391">
        <f t="shared" si="16"/>
        <v>0.004237169351</v>
      </c>
      <c r="K260" s="392">
        <f t="shared" si="17"/>
        <v>2.245699756</v>
      </c>
      <c r="L260" s="327">
        <f t="shared" si="18"/>
        <v>1.757914284</v>
      </c>
      <c r="M260" s="321" t="str">
        <f t="shared" si="5"/>
        <v>vivszaid</v>
      </c>
      <c r="N260" s="176">
        <f>IFERROR(__xludf.DUMMYFUNCTION("""COMPUTED_VALUE"""),3.0)</f>
        <v>3</v>
      </c>
      <c r="O260" s="176"/>
      <c r="P260" s="176"/>
      <c r="Q260" s="176"/>
      <c r="R260" s="176"/>
      <c r="S260" s="176"/>
      <c r="T260" s="176"/>
      <c r="U260" s="176"/>
      <c r="V260" s="176"/>
      <c r="W260" s="176"/>
      <c r="X260" s="176"/>
      <c r="Y260" s="176"/>
      <c r="Z260" s="176"/>
    </row>
    <row r="261">
      <c r="A261" s="226" t="s">
        <v>85</v>
      </c>
      <c r="B261" s="226" t="s">
        <v>519</v>
      </c>
      <c r="C261" s="250" t="s">
        <v>3673</v>
      </c>
      <c r="D261" s="268" t="s">
        <v>495</v>
      </c>
      <c r="E261" s="251">
        <v>44147.0</v>
      </c>
      <c r="F261" s="250" t="s">
        <v>496</v>
      </c>
      <c r="G261" s="243"/>
      <c r="H261" s="171">
        <v>100.0</v>
      </c>
      <c r="I261" s="171">
        <v>100.0</v>
      </c>
      <c r="J261" s="391">
        <f t="shared" si="16"/>
        <v>0.004237169351</v>
      </c>
      <c r="K261" s="392">
        <f t="shared" si="17"/>
        <v>2.245699756</v>
      </c>
      <c r="L261" s="327">
        <f t="shared" si="18"/>
        <v>1.757914284</v>
      </c>
      <c r="M261" s="321" t="str">
        <f t="shared" si="5"/>
        <v>vivszaid</v>
      </c>
      <c r="N261" s="176">
        <f>IFERROR(__xludf.DUMMYFUNCTION("""COMPUTED_VALUE"""),4.0)</f>
        <v>4</v>
      </c>
      <c r="O261" s="176"/>
      <c r="P261" s="176"/>
      <c r="Q261" s="176"/>
      <c r="R261" s="176"/>
      <c r="S261" s="176"/>
      <c r="T261" s="176"/>
      <c r="U261" s="176"/>
      <c r="V261" s="176"/>
      <c r="W261" s="176"/>
      <c r="X261" s="176"/>
      <c r="Y261" s="176"/>
      <c r="Z261" s="176"/>
    </row>
    <row r="262">
      <c r="A262" s="226" t="s">
        <v>85</v>
      </c>
      <c r="B262" s="226" t="s">
        <v>6</v>
      </c>
      <c r="C262" s="250" t="s">
        <v>3589</v>
      </c>
      <c r="D262" s="268" t="s">
        <v>495</v>
      </c>
      <c r="E262" s="251">
        <v>44151.0</v>
      </c>
      <c r="F262" s="250" t="s">
        <v>496</v>
      </c>
      <c r="G262" s="176"/>
      <c r="H262" s="171">
        <v>45.0</v>
      </c>
      <c r="I262" s="171">
        <v>50.0</v>
      </c>
      <c r="J262" s="391">
        <f t="shared" si="16"/>
        <v>0.002022843254</v>
      </c>
      <c r="K262" s="392">
        <f t="shared" si="17"/>
        <v>1.072106925</v>
      </c>
      <c r="L262" s="327">
        <f t="shared" si="18"/>
        <v>1.757914284</v>
      </c>
      <c r="M262" s="321" t="str">
        <f t="shared" si="5"/>
        <v>vivszaid</v>
      </c>
      <c r="N262" s="176">
        <f>IFERROR(__xludf.DUMMYFUNCTION("""COMPUTED_VALUE"""),5.0)</f>
        <v>5</v>
      </c>
      <c r="O262" s="176"/>
      <c r="P262" s="176"/>
      <c r="Q262" s="176"/>
      <c r="R262" s="176"/>
      <c r="S262" s="176"/>
      <c r="T262" s="176"/>
      <c r="U262" s="176"/>
      <c r="V262" s="176"/>
      <c r="W262" s="176"/>
      <c r="X262" s="176"/>
      <c r="Y262" s="176"/>
      <c r="Z262" s="176"/>
    </row>
    <row r="263">
      <c r="A263" s="226" t="s">
        <v>85</v>
      </c>
      <c r="B263" s="226" t="s">
        <v>590</v>
      </c>
      <c r="C263" s="250" t="s">
        <v>3590</v>
      </c>
      <c r="D263" s="268" t="s">
        <v>495</v>
      </c>
      <c r="E263" s="361">
        <v>44144.0</v>
      </c>
      <c r="F263" s="250" t="s">
        <v>496</v>
      </c>
      <c r="G263" s="243"/>
      <c r="H263" s="171">
        <v>30.0</v>
      </c>
      <c r="I263" s="171">
        <v>50.0</v>
      </c>
      <c r="J263" s="391">
        <f t="shared" si="16"/>
        <v>0.001735618989</v>
      </c>
      <c r="K263" s="392">
        <f t="shared" si="17"/>
        <v>0.9198780643</v>
      </c>
      <c r="L263" s="327">
        <f t="shared" si="18"/>
        <v>1.757914284</v>
      </c>
      <c r="M263" s="321" t="str">
        <f t="shared" si="5"/>
        <v>vivszaid</v>
      </c>
      <c r="N263" s="176">
        <f>IFERROR(__xludf.DUMMYFUNCTION("""COMPUTED_VALUE"""),6.0)</f>
        <v>6</v>
      </c>
      <c r="O263" s="176"/>
      <c r="P263" s="176"/>
      <c r="Q263" s="176"/>
      <c r="R263" s="176"/>
      <c r="S263" s="176"/>
      <c r="T263" s="176"/>
      <c r="U263" s="176"/>
      <c r="V263" s="176"/>
      <c r="W263" s="176"/>
      <c r="X263" s="176"/>
      <c r="Y263" s="176"/>
      <c r="Z263" s="176"/>
    </row>
    <row r="264">
      <c r="A264" s="226" t="s">
        <v>85</v>
      </c>
      <c r="B264" s="226" t="s">
        <v>590</v>
      </c>
      <c r="C264" s="250" t="s">
        <v>3571</v>
      </c>
      <c r="D264" s="268" t="s">
        <v>495</v>
      </c>
      <c r="E264" s="251">
        <v>44155.0</v>
      </c>
      <c r="F264" s="250" t="s">
        <v>496</v>
      </c>
      <c r="G264" s="176"/>
      <c r="H264" s="171">
        <v>30.0</v>
      </c>
      <c r="I264" s="171">
        <v>30.0</v>
      </c>
      <c r="J264" s="391">
        <f t="shared" si="16"/>
        <v>0.001271150805</v>
      </c>
      <c r="K264" s="392">
        <f t="shared" si="17"/>
        <v>0.6737099268</v>
      </c>
      <c r="L264" s="327">
        <f t="shared" si="18"/>
        <v>1.757914284</v>
      </c>
      <c r="M264" s="321" t="str">
        <f t="shared" si="5"/>
        <v>vivszaid</v>
      </c>
      <c r="N264" s="176">
        <f>IFERROR(__xludf.DUMMYFUNCTION("""COMPUTED_VALUE"""),7.0)</f>
        <v>7</v>
      </c>
      <c r="O264" s="176"/>
      <c r="P264" s="176"/>
      <c r="Q264" s="176"/>
      <c r="R264" s="176"/>
      <c r="S264" s="176"/>
      <c r="T264" s="176"/>
      <c r="U264" s="176"/>
      <c r="V264" s="176"/>
      <c r="W264" s="176"/>
      <c r="X264" s="176"/>
      <c r="Y264" s="176"/>
      <c r="Z264" s="176"/>
    </row>
    <row r="265">
      <c r="A265" s="240" t="s">
        <v>85</v>
      </c>
      <c r="B265" s="240" t="s">
        <v>18</v>
      </c>
      <c r="C265" s="221" t="s">
        <v>3674</v>
      </c>
      <c r="D265" s="336"/>
      <c r="E265" s="255"/>
      <c r="F265" s="254"/>
      <c r="G265" s="222"/>
      <c r="H265" s="222"/>
      <c r="I265" s="222"/>
      <c r="J265" s="394"/>
      <c r="K265" s="396">
        <f>12.36*-0.85</f>
        <v>-10.506</v>
      </c>
      <c r="L265" s="327">
        <f t="array" ref="L265">dsum($A$3:$K$533,"Cred per Praise",{$A$3;A265})</f>
        <v>1.757914284</v>
      </c>
      <c r="M265" s="321" t="str">
        <f t="shared" si="5"/>
        <v>vivszaid</v>
      </c>
      <c r="N265" s="209">
        <f>IFERROR(__xludf.DUMMYFUNCTION("""COMPUTED_VALUE"""),8.0)</f>
        <v>8</v>
      </c>
      <c r="O265" s="176"/>
      <c r="P265" s="176"/>
      <c r="Q265" s="176"/>
      <c r="R265" s="176"/>
      <c r="S265" s="176"/>
      <c r="T265" s="176"/>
      <c r="U265" s="176"/>
      <c r="V265" s="176"/>
      <c r="W265" s="176"/>
      <c r="X265" s="176"/>
      <c r="Y265" s="176"/>
      <c r="Z265" s="176"/>
    </row>
    <row r="266">
      <c r="A266" s="226" t="s">
        <v>35</v>
      </c>
      <c r="B266" s="226" t="s">
        <v>519</v>
      </c>
      <c r="C266" s="250" t="s">
        <v>3663</v>
      </c>
      <c r="D266" s="268" t="s">
        <v>495</v>
      </c>
      <c r="E266" s="251">
        <v>44152.0</v>
      </c>
      <c r="F266" s="250" t="s">
        <v>521</v>
      </c>
      <c r="G266" s="176"/>
      <c r="H266" s="171">
        <v>60.0</v>
      </c>
      <c r="I266" s="171">
        <v>60.0</v>
      </c>
      <c r="J266" s="391">
        <f t="shared" ref="J266:J275" si="19">(H266/$H$2+I266/$I$2)/2</f>
        <v>0.002542301611</v>
      </c>
      <c r="K266" s="392">
        <f t="shared" ref="K266:K275" si="20">J266*$J$1</f>
        <v>1.347419854</v>
      </c>
      <c r="L266" s="327">
        <f t="shared" ref="L266:L275" si="21">dsum($A$3:$K$355,"Cred per Praise",{$A$3;A266})</f>
        <v>1.818157967</v>
      </c>
      <c r="M266" s="321" t="str">
        <f t="shared" si="5"/>
        <v>vitormarthendal</v>
      </c>
      <c r="N266" s="176">
        <f>IFERROR(__xludf.DUMMYFUNCTION("""COMPUTED_VALUE"""),1.0)</f>
        <v>1</v>
      </c>
      <c r="O266" s="176"/>
      <c r="P266" s="176"/>
      <c r="Q266" s="176"/>
      <c r="R266" s="176"/>
      <c r="S266" s="176"/>
      <c r="T266" s="176"/>
      <c r="U266" s="176"/>
      <c r="V266" s="176"/>
      <c r="W266" s="176"/>
      <c r="X266" s="176"/>
      <c r="Y266" s="176"/>
      <c r="Z266" s="176"/>
    </row>
    <row r="267">
      <c r="A267" s="226" t="s">
        <v>35</v>
      </c>
      <c r="B267" s="226" t="s">
        <v>519</v>
      </c>
      <c r="C267" s="250" t="s">
        <v>2329</v>
      </c>
      <c r="D267" s="268" t="s">
        <v>495</v>
      </c>
      <c r="E267" s="251">
        <v>44154.0</v>
      </c>
      <c r="F267" s="250" t="s">
        <v>521</v>
      </c>
      <c r="G267" s="176"/>
      <c r="H267" s="171">
        <v>10.0</v>
      </c>
      <c r="I267" s="171">
        <v>30.0</v>
      </c>
      <c r="J267" s="391">
        <f t="shared" si="19"/>
        <v>0.000888185119</v>
      </c>
      <c r="K267" s="392">
        <f t="shared" si="20"/>
        <v>0.4707381131</v>
      </c>
      <c r="L267" s="327">
        <f t="shared" si="21"/>
        <v>1.818157967</v>
      </c>
      <c r="M267" s="321" t="str">
        <f t="shared" si="5"/>
        <v>vitormarthendal</v>
      </c>
      <c r="N267" s="176">
        <f>IFERROR(__xludf.DUMMYFUNCTION("""COMPUTED_VALUE"""),2.0)</f>
        <v>2</v>
      </c>
      <c r="O267" s="176"/>
      <c r="P267" s="176"/>
      <c r="Q267" s="176"/>
      <c r="R267" s="176"/>
      <c r="S267" s="176"/>
      <c r="T267" s="176"/>
      <c r="U267" s="176"/>
      <c r="V267" s="176"/>
      <c r="W267" s="176"/>
      <c r="X267" s="176"/>
      <c r="Y267" s="176"/>
      <c r="Z267" s="176"/>
    </row>
    <row r="268">
      <c r="A268" s="226" t="s">
        <v>41</v>
      </c>
      <c r="B268" s="226" t="s">
        <v>590</v>
      </c>
      <c r="C268" s="250" t="s">
        <v>3675</v>
      </c>
      <c r="D268" s="268" t="s">
        <v>495</v>
      </c>
      <c r="E268" s="251">
        <v>44147.0</v>
      </c>
      <c r="F268" s="250" t="s">
        <v>496</v>
      </c>
      <c r="G268" s="243"/>
      <c r="H268" s="171">
        <v>45.0</v>
      </c>
      <c r="I268" s="171">
        <v>45.0</v>
      </c>
      <c r="J268" s="391">
        <f t="shared" si="19"/>
        <v>0.001906726208</v>
      </c>
      <c r="K268" s="392">
        <f t="shared" si="20"/>
        <v>1.01056489</v>
      </c>
      <c r="L268" s="327">
        <f t="shared" si="21"/>
        <v>1.684274817</v>
      </c>
      <c r="M268" s="321" t="str">
        <f t="shared" si="5"/>
        <v>blairv</v>
      </c>
      <c r="N268" s="176">
        <f>IFERROR(__xludf.DUMMYFUNCTION("""COMPUTED_VALUE"""),1.0)</f>
        <v>1</v>
      </c>
      <c r="O268" s="176"/>
      <c r="P268" s="176"/>
      <c r="Q268" s="176"/>
      <c r="R268" s="176"/>
      <c r="S268" s="176"/>
      <c r="T268" s="176"/>
      <c r="U268" s="176"/>
      <c r="V268" s="176"/>
      <c r="W268" s="176"/>
      <c r="X268" s="176"/>
      <c r="Y268" s="176"/>
      <c r="Z268" s="176"/>
    </row>
    <row r="269">
      <c r="A269" s="226" t="s">
        <v>41</v>
      </c>
      <c r="B269" s="226" t="s">
        <v>5</v>
      </c>
      <c r="C269" s="250" t="s">
        <v>3580</v>
      </c>
      <c r="D269" s="268" t="s">
        <v>495</v>
      </c>
      <c r="E269" s="251">
        <v>44145.0</v>
      </c>
      <c r="F269" s="250" t="s">
        <v>496</v>
      </c>
      <c r="G269" s="243"/>
      <c r="H269" s="171">
        <v>30.0</v>
      </c>
      <c r="I269" s="171">
        <v>30.0</v>
      </c>
      <c r="J269" s="391">
        <f t="shared" si="19"/>
        <v>0.001271150805</v>
      </c>
      <c r="K269" s="392">
        <f t="shared" si="20"/>
        <v>0.6737099268</v>
      </c>
      <c r="L269" s="327">
        <f t="shared" si="21"/>
        <v>1.684274817</v>
      </c>
      <c r="M269" s="321" t="str">
        <f t="shared" si="5"/>
        <v>blairv</v>
      </c>
      <c r="N269" s="176">
        <f>IFERROR(__xludf.DUMMYFUNCTION("""COMPUTED_VALUE"""),2.0)</f>
        <v>2</v>
      </c>
      <c r="O269" s="176"/>
      <c r="P269" s="176"/>
      <c r="Q269" s="176"/>
      <c r="R269" s="176"/>
      <c r="S269" s="176"/>
      <c r="T269" s="176"/>
      <c r="U269" s="176"/>
      <c r="V269" s="176"/>
      <c r="W269" s="176"/>
      <c r="X269" s="176"/>
      <c r="Y269" s="176"/>
      <c r="Z269" s="176"/>
    </row>
    <row r="270">
      <c r="A270" s="226" t="s">
        <v>40</v>
      </c>
      <c r="B270" s="226" t="s">
        <v>590</v>
      </c>
      <c r="C270" s="250" t="s">
        <v>3590</v>
      </c>
      <c r="D270" s="268" t="s">
        <v>495</v>
      </c>
      <c r="E270" s="361">
        <v>44144.0</v>
      </c>
      <c r="F270" s="250" t="s">
        <v>496</v>
      </c>
      <c r="G270" s="243"/>
      <c r="H270" s="171">
        <v>80.0</v>
      </c>
      <c r="I270" s="171">
        <v>50.0</v>
      </c>
      <c r="J270" s="391">
        <f t="shared" si="19"/>
        <v>0.002693033205</v>
      </c>
      <c r="K270" s="392">
        <f t="shared" si="20"/>
        <v>1.427307599</v>
      </c>
      <c r="L270" s="327">
        <f t="shared" si="21"/>
        <v>1.427307599</v>
      </c>
      <c r="M270" s="321" t="str">
        <f t="shared" si="5"/>
        <v>lkngtn</v>
      </c>
      <c r="N270" s="176">
        <f>IFERROR(__xludf.DUMMYFUNCTION("""COMPUTED_VALUE"""),1.0)</f>
        <v>1</v>
      </c>
      <c r="O270" s="176"/>
      <c r="P270" s="176"/>
      <c r="Q270" s="176"/>
      <c r="R270" s="176"/>
      <c r="S270" s="176"/>
      <c r="T270" s="176"/>
      <c r="U270" s="176"/>
      <c r="V270" s="176"/>
      <c r="W270" s="176"/>
      <c r="X270" s="176"/>
      <c r="Y270" s="176"/>
      <c r="Z270" s="176"/>
    </row>
    <row r="271">
      <c r="A271" s="226" t="s">
        <v>122</v>
      </c>
      <c r="B271" s="226" t="s">
        <v>519</v>
      </c>
      <c r="C271" s="250" t="s">
        <v>3676</v>
      </c>
      <c r="D271" s="268" t="s">
        <v>495</v>
      </c>
      <c r="E271" s="251">
        <v>44147.0</v>
      </c>
      <c r="F271" s="250" t="s">
        <v>496</v>
      </c>
      <c r="G271" s="243"/>
      <c r="H271" s="171">
        <v>60.0</v>
      </c>
      <c r="I271" s="171">
        <v>50.0</v>
      </c>
      <c r="J271" s="391">
        <f t="shared" si="19"/>
        <v>0.002310067519</v>
      </c>
      <c r="K271" s="392">
        <f t="shared" si="20"/>
        <v>1.224335785</v>
      </c>
      <c r="L271" s="327">
        <f t="shared" si="21"/>
        <v>1.363418446</v>
      </c>
      <c r="M271" s="321" t="str">
        <f t="shared" si="5"/>
        <v>anthonyoliai</v>
      </c>
      <c r="N271" s="176">
        <f>IFERROR(__xludf.DUMMYFUNCTION("""COMPUTED_VALUE"""),1.0)</f>
        <v>1</v>
      </c>
      <c r="O271" s="176"/>
      <c r="P271" s="176"/>
      <c r="Q271" s="176"/>
      <c r="R271" s="176"/>
      <c r="S271" s="176"/>
      <c r="T271" s="176"/>
      <c r="U271" s="176"/>
      <c r="V271" s="176"/>
      <c r="W271" s="176"/>
      <c r="X271" s="176"/>
      <c r="Y271" s="176"/>
      <c r="Z271" s="176"/>
    </row>
    <row r="272">
      <c r="A272" s="226" t="s">
        <v>122</v>
      </c>
      <c r="B272" s="226" t="s">
        <v>6</v>
      </c>
      <c r="C272" s="250" t="s">
        <v>3589</v>
      </c>
      <c r="D272" s="268" t="s">
        <v>495</v>
      </c>
      <c r="E272" s="251">
        <v>44151.0</v>
      </c>
      <c r="F272" s="250" t="s">
        <v>496</v>
      </c>
      <c r="G272" s="176"/>
      <c r="H272" s="171">
        <v>45.0</v>
      </c>
      <c r="I272" s="171">
        <v>30.0</v>
      </c>
      <c r="J272" s="391">
        <f t="shared" si="19"/>
        <v>0.00155837507</v>
      </c>
      <c r="K272" s="392">
        <f t="shared" si="20"/>
        <v>0.8259387871</v>
      </c>
      <c r="L272" s="327">
        <f t="shared" si="21"/>
        <v>1.363418446</v>
      </c>
      <c r="M272" s="321" t="str">
        <f t="shared" si="5"/>
        <v>anthonyoliai</v>
      </c>
      <c r="N272" s="176">
        <f>IFERROR(__xludf.DUMMYFUNCTION("""COMPUTED_VALUE"""),2.0)</f>
        <v>2</v>
      </c>
      <c r="O272" s="176"/>
      <c r="P272" s="176"/>
      <c r="Q272" s="176"/>
      <c r="R272" s="176"/>
      <c r="S272" s="176"/>
      <c r="T272" s="176"/>
      <c r="U272" s="176"/>
      <c r="V272" s="176"/>
      <c r="W272" s="176"/>
      <c r="X272" s="176"/>
      <c r="Y272" s="176"/>
      <c r="Z272" s="176"/>
    </row>
    <row r="273">
      <c r="A273" s="226" t="s">
        <v>122</v>
      </c>
      <c r="B273" s="226" t="s">
        <v>5</v>
      </c>
      <c r="C273" s="250" t="s">
        <v>3573</v>
      </c>
      <c r="D273" s="268" t="s">
        <v>495</v>
      </c>
      <c r="E273" s="251">
        <v>44147.0</v>
      </c>
      <c r="F273" s="250" t="s">
        <v>496</v>
      </c>
      <c r="G273" s="176"/>
      <c r="H273" s="171">
        <v>30.0</v>
      </c>
      <c r="I273" s="171">
        <v>30.0</v>
      </c>
      <c r="J273" s="391">
        <f t="shared" si="19"/>
        <v>0.001271150805</v>
      </c>
      <c r="K273" s="392">
        <f t="shared" si="20"/>
        <v>0.6737099268</v>
      </c>
      <c r="L273" s="327">
        <f t="shared" si="21"/>
        <v>1.363418446</v>
      </c>
      <c r="M273" s="321" t="str">
        <f t="shared" si="5"/>
        <v>anthonyoliai</v>
      </c>
      <c r="N273" s="176">
        <f>IFERROR(__xludf.DUMMYFUNCTION("""COMPUTED_VALUE"""),3.0)</f>
        <v>3</v>
      </c>
      <c r="O273" s="176"/>
      <c r="P273" s="176"/>
      <c r="Q273" s="176"/>
      <c r="R273" s="176"/>
      <c r="S273" s="176"/>
      <c r="T273" s="176"/>
      <c r="U273" s="176"/>
      <c r="V273" s="176"/>
      <c r="W273" s="176"/>
      <c r="X273" s="176"/>
      <c r="Y273" s="176"/>
      <c r="Z273" s="176"/>
    </row>
    <row r="274">
      <c r="A274" s="226" t="s">
        <v>122</v>
      </c>
      <c r="B274" s="226" t="s">
        <v>590</v>
      </c>
      <c r="C274" s="250" t="s">
        <v>3571</v>
      </c>
      <c r="D274" s="268" t="s">
        <v>495</v>
      </c>
      <c r="E274" s="251">
        <v>44155.0</v>
      </c>
      <c r="F274" s="250" t="s">
        <v>496</v>
      </c>
      <c r="G274" s="176"/>
      <c r="H274" s="171">
        <v>30.0</v>
      </c>
      <c r="I274" s="171">
        <v>30.0</v>
      </c>
      <c r="J274" s="391">
        <f t="shared" si="19"/>
        <v>0.001271150805</v>
      </c>
      <c r="K274" s="392">
        <f t="shared" si="20"/>
        <v>0.6737099268</v>
      </c>
      <c r="L274" s="327">
        <f t="shared" si="21"/>
        <v>1.363418446</v>
      </c>
      <c r="M274" s="321" t="str">
        <f t="shared" si="5"/>
        <v>anthonyoliai</v>
      </c>
      <c r="N274" s="176">
        <f>IFERROR(__xludf.DUMMYFUNCTION("""COMPUTED_VALUE"""),4.0)</f>
        <v>4</v>
      </c>
      <c r="O274" s="176"/>
      <c r="P274" s="176"/>
      <c r="Q274" s="176"/>
      <c r="R274" s="176"/>
      <c r="S274" s="176"/>
      <c r="T274" s="176"/>
      <c r="U274" s="176"/>
      <c r="V274" s="176"/>
      <c r="W274" s="176"/>
      <c r="X274" s="176"/>
      <c r="Y274" s="176"/>
      <c r="Z274" s="176"/>
    </row>
    <row r="275">
      <c r="A275" s="226" t="s">
        <v>122</v>
      </c>
      <c r="B275" s="226" t="s">
        <v>519</v>
      </c>
      <c r="C275" s="250" t="s">
        <v>3677</v>
      </c>
      <c r="D275" s="268" t="s">
        <v>495</v>
      </c>
      <c r="E275" s="361">
        <v>44141.0</v>
      </c>
      <c r="F275" s="250" t="s">
        <v>496</v>
      </c>
      <c r="G275" s="243"/>
      <c r="H275" s="171">
        <v>20.0</v>
      </c>
      <c r="I275" s="171">
        <v>30.0</v>
      </c>
      <c r="J275" s="391">
        <f t="shared" si="19"/>
        <v>0.001079667962</v>
      </c>
      <c r="K275" s="392">
        <f t="shared" si="20"/>
        <v>0.5722240199</v>
      </c>
      <c r="L275" s="327">
        <f t="shared" si="21"/>
        <v>1.363418446</v>
      </c>
      <c r="M275" s="321" t="str">
        <f t="shared" si="5"/>
        <v>anthonyoliai</v>
      </c>
      <c r="N275" s="176">
        <f>IFERROR(__xludf.DUMMYFUNCTION("""COMPUTED_VALUE"""),5.0)</f>
        <v>5</v>
      </c>
      <c r="O275" s="176"/>
      <c r="P275" s="176"/>
      <c r="Q275" s="176"/>
      <c r="R275" s="176"/>
      <c r="S275" s="176"/>
      <c r="T275" s="176"/>
      <c r="U275" s="176"/>
      <c r="V275" s="176"/>
      <c r="W275" s="176"/>
      <c r="X275" s="176"/>
      <c r="Y275" s="176"/>
      <c r="Z275" s="176"/>
    </row>
    <row r="276">
      <c r="A276" s="362" t="s">
        <v>122</v>
      </c>
      <c r="B276" s="240" t="s">
        <v>18</v>
      </c>
      <c r="C276" s="397" t="s">
        <v>3660</v>
      </c>
      <c r="D276" s="336"/>
      <c r="E276" s="255"/>
      <c r="F276" s="254"/>
      <c r="G276" s="222"/>
      <c r="H276" s="222"/>
      <c r="I276" s="222"/>
      <c r="J276" s="394"/>
      <c r="K276" s="395">
        <f>4.01*-0.65</f>
        <v>-2.6065</v>
      </c>
      <c r="L276" s="327">
        <f t="array" ref="L276">dsum($A$3:$K$533,"Cred per Praise",{$A$3;A276})</f>
        <v>1.363418446</v>
      </c>
      <c r="M276" s="321" t="str">
        <f t="shared" si="5"/>
        <v>anthonyoliai</v>
      </c>
      <c r="N276" s="209">
        <f>IFERROR(__xludf.DUMMYFUNCTION("""COMPUTED_VALUE"""),6.0)</f>
        <v>6</v>
      </c>
      <c r="O276" s="176"/>
      <c r="P276" s="176"/>
      <c r="Q276" s="176"/>
      <c r="R276" s="176"/>
      <c r="S276" s="176"/>
      <c r="T276" s="176"/>
      <c r="U276" s="176"/>
      <c r="V276" s="176"/>
      <c r="W276" s="176"/>
      <c r="X276" s="176"/>
      <c r="Y276" s="176"/>
      <c r="Z276" s="176"/>
    </row>
    <row r="277">
      <c r="A277" s="226" t="s">
        <v>43</v>
      </c>
      <c r="B277" s="226" t="s">
        <v>519</v>
      </c>
      <c r="C277" s="250" t="s">
        <v>3678</v>
      </c>
      <c r="D277" s="268" t="s">
        <v>495</v>
      </c>
      <c r="E277" s="251">
        <v>44152.0</v>
      </c>
      <c r="F277" s="250" t="s">
        <v>521</v>
      </c>
      <c r="G277" s="176"/>
      <c r="H277" s="171">
        <v>200.0</v>
      </c>
      <c r="I277" s="171">
        <v>200.0</v>
      </c>
      <c r="J277" s="391">
        <f t="shared" ref="J277:J280" si="22">(H277/$H$2+I277/$I$2)/2</f>
        <v>0.008474338702</v>
      </c>
      <c r="K277" s="392">
        <f t="shared" ref="K277:K280" si="23">J277*$J$1</f>
        <v>4.491399512</v>
      </c>
      <c r="L277" s="327">
        <f t="shared" ref="L277:L280" si="24">dsum($A$3:$K$355,"Cred per Praise",{$A$3;A277})</f>
        <v>1.205331745</v>
      </c>
      <c r="M277" s="321" t="str">
        <f t="shared" si="5"/>
        <v>markop</v>
      </c>
      <c r="N277" s="176">
        <f>IFERROR(__xludf.DUMMYFUNCTION("""COMPUTED_VALUE"""),1.0)</f>
        <v>1</v>
      </c>
      <c r="O277" s="176"/>
      <c r="P277" s="176"/>
      <c r="Q277" s="176"/>
      <c r="R277" s="176"/>
      <c r="S277" s="176"/>
      <c r="T277" s="176"/>
      <c r="U277" s="176"/>
      <c r="V277" s="176"/>
      <c r="W277" s="176"/>
      <c r="X277" s="176"/>
      <c r="Y277" s="176"/>
      <c r="Z277" s="176"/>
    </row>
    <row r="278">
      <c r="A278" s="226" t="s">
        <v>43</v>
      </c>
      <c r="B278" s="226" t="s">
        <v>590</v>
      </c>
      <c r="C278" s="250" t="s">
        <v>3679</v>
      </c>
      <c r="D278" s="268" t="s">
        <v>495</v>
      </c>
      <c r="E278" s="251">
        <v>44152.0</v>
      </c>
      <c r="F278" s="250" t="s">
        <v>496</v>
      </c>
      <c r="G278" s="176"/>
      <c r="H278" s="171">
        <v>60.0</v>
      </c>
      <c r="I278" s="171">
        <v>100.0</v>
      </c>
      <c r="J278" s="391">
        <f t="shared" si="22"/>
        <v>0.003471237978</v>
      </c>
      <c r="K278" s="392">
        <f t="shared" si="23"/>
        <v>1.839756129</v>
      </c>
      <c r="L278" s="327">
        <f t="shared" si="24"/>
        <v>1.205331745</v>
      </c>
      <c r="M278" s="321" t="str">
        <f t="shared" si="5"/>
        <v>markop</v>
      </c>
      <c r="N278" s="176">
        <f>IFERROR(__xludf.DUMMYFUNCTION("""COMPUTED_VALUE"""),2.0)</f>
        <v>2</v>
      </c>
      <c r="O278" s="176"/>
      <c r="P278" s="176"/>
      <c r="Q278" s="176"/>
      <c r="R278" s="176"/>
      <c r="S278" s="176"/>
      <c r="T278" s="176"/>
      <c r="U278" s="176"/>
      <c r="V278" s="176"/>
      <c r="W278" s="176"/>
      <c r="X278" s="176"/>
      <c r="Y278" s="176"/>
      <c r="Z278" s="176"/>
    </row>
    <row r="279">
      <c r="A279" s="226" t="s">
        <v>43</v>
      </c>
      <c r="B279" s="226" t="s">
        <v>519</v>
      </c>
      <c r="C279" s="250" t="s">
        <v>3680</v>
      </c>
      <c r="D279" s="268" t="s">
        <v>495</v>
      </c>
      <c r="E279" s="361">
        <v>44143.0</v>
      </c>
      <c r="F279" s="250" t="s">
        <v>521</v>
      </c>
      <c r="G279" s="243"/>
      <c r="H279" s="171">
        <v>60.0</v>
      </c>
      <c r="I279" s="171">
        <v>80.0</v>
      </c>
      <c r="J279" s="391">
        <f t="shared" si="22"/>
        <v>0.003006769795</v>
      </c>
      <c r="K279" s="392">
        <f t="shared" si="23"/>
        <v>1.593587991</v>
      </c>
      <c r="L279" s="327">
        <f t="shared" si="24"/>
        <v>1.205331745</v>
      </c>
      <c r="M279" s="321" t="str">
        <f t="shared" si="5"/>
        <v>markop</v>
      </c>
      <c r="N279" s="176">
        <f>IFERROR(__xludf.DUMMYFUNCTION("""COMPUTED_VALUE"""),3.0)</f>
        <v>3</v>
      </c>
      <c r="O279" s="176"/>
      <c r="P279" s="176"/>
      <c r="Q279" s="176"/>
      <c r="R279" s="176"/>
      <c r="S279" s="176"/>
      <c r="T279" s="176"/>
      <c r="U279" s="176"/>
      <c r="V279" s="176"/>
      <c r="W279" s="176"/>
      <c r="X279" s="176"/>
      <c r="Y279" s="176"/>
      <c r="Z279" s="176"/>
    </row>
    <row r="280">
      <c r="A280" s="226" t="s">
        <v>43</v>
      </c>
      <c r="B280" s="226" t="s">
        <v>519</v>
      </c>
      <c r="C280" s="250" t="s">
        <v>2329</v>
      </c>
      <c r="D280" s="268" t="s">
        <v>495</v>
      </c>
      <c r="E280" s="251">
        <v>44154.0</v>
      </c>
      <c r="F280" s="250" t="s">
        <v>521</v>
      </c>
      <c r="G280" s="176"/>
      <c r="H280" s="171">
        <v>10.0</v>
      </c>
      <c r="I280" s="171">
        <v>30.0</v>
      </c>
      <c r="J280" s="391">
        <f t="shared" si="22"/>
        <v>0.000888185119</v>
      </c>
      <c r="K280" s="392">
        <f t="shared" si="23"/>
        <v>0.4707381131</v>
      </c>
      <c r="L280" s="327">
        <f t="shared" si="24"/>
        <v>1.205331745</v>
      </c>
      <c r="M280" s="321" t="str">
        <f t="shared" si="5"/>
        <v>markop</v>
      </c>
      <c r="N280" s="176">
        <f>IFERROR(__xludf.DUMMYFUNCTION("""COMPUTED_VALUE"""),4.0)</f>
        <v>4</v>
      </c>
      <c r="O280" s="176"/>
      <c r="P280" s="176"/>
      <c r="Q280" s="176"/>
      <c r="R280" s="176"/>
      <c r="S280" s="176"/>
      <c r="T280" s="176"/>
      <c r="U280" s="176"/>
      <c r="V280" s="176"/>
      <c r="W280" s="176"/>
      <c r="X280" s="176"/>
      <c r="Y280" s="176"/>
      <c r="Z280" s="176"/>
    </row>
    <row r="281">
      <c r="A281" s="343" t="s">
        <v>43</v>
      </c>
      <c r="B281" s="343" t="s">
        <v>519</v>
      </c>
      <c r="C281" s="221" t="s">
        <v>794</v>
      </c>
      <c r="D281" s="336"/>
      <c r="E281" s="255"/>
      <c r="F281" s="254"/>
      <c r="G281" s="222"/>
      <c r="H281" s="222"/>
      <c r="I281" s="222"/>
      <c r="J281" s="394"/>
      <c r="K281" s="396">
        <f>8.459*-0.85</f>
        <v>-7.19015</v>
      </c>
      <c r="L281" s="327">
        <f t="array" ref="L281">dsum($A$3:$K$533,"Cred per Praise",{$A$3;A281})</f>
        <v>1.205331745</v>
      </c>
      <c r="M281" s="321" t="str">
        <f t="shared" si="5"/>
        <v>markop</v>
      </c>
      <c r="N281" s="209">
        <f>IFERROR(__xludf.DUMMYFUNCTION("""COMPUTED_VALUE"""),5.0)</f>
        <v>5</v>
      </c>
      <c r="O281" s="209"/>
      <c r="P281" s="209"/>
      <c r="Q281" s="209"/>
      <c r="R281" s="209"/>
      <c r="S281" s="209"/>
      <c r="T281" s="209"/>
      <c r="U281" s="209"/>
      <c r="V281" s="209"/>
      <c r="W281" s="209"/>
      <c r="X281" s="209"/>
      <c r="Y281" s="176"/>
      <c r="Z281" s="176"/>
    </row>
    <row r="282">
      <c r="A282" s="226" t="s">
        <v>70</v>
      </c>
      <c r="B282" s="226" t="s">
        <v>868</v>
      </c>
      <c r="C282" s="250" t="s">
        <v>3681</v>
      </c>
      <c r="D282" s="268" t="s">
        <v>495</v>
      </c>
      <c r="E282" s="251">
        <v>44148.0</v>
      </c>
      <c r="F282" s="250" t="s">
        <v>496</v>
      </c>
      <c r="G282" s="176"/>
      <c r="H282" s="171">
        <v>100.0</v>
      </c>
      <c r="I282" s="171">
        <v>200.0</v>
      </c>
      <c r="J282" s="391">
        <f t="shared" ref="J282:J286" si="25">(H282/$H$2+I282/$I$2)/2</f>
        <v>0.006559510271</v>
      </c>
      <c r="K282" s="392">
        <f t="shared" ref="K282:K286" si="26">J282*$J$1</f>
        <v>3.476540443</v>
      </c>
      <c r="L282" s="327">
        <f t="shared" ref="L282:L295" si="27">dsum($A$3:$K$355,"Cred per Praise",{$A$3;A282})</f>
        <v>1.173711769</v>
      </c>
      <c r="M282" s="321" t="str">
        <f t="shared" si="5"/>
        <v>rubenrussel7</v>
      </c>
      <c r="N282" s="176">
        <f>IFERROR(__xludf.DUMMYFUNCTION("""COMPUTED_VALUE"""),1.0)</f>
        <v>1</v>
      </c>
      <c r="O282" s="176"/>
      <c r="P282" s="176"/>
      <c r="Q282" s="176"/>
      <c r="R282" s="176"/>
      <c r="S282" s="176"/>
      <c r="T282" s="176"/>
      <c r="U282" s="176"/>
      <c r="V282" s="176"/>
      <c r="W282" s="176"/>
      <c r="X282" s="176"/>
      <c r="Y282" s="176"/>
      <c r="Z282" s="176"/>
    </row>
    <row r="283">
      <c r="A283" s="226" t="s">
        <v>70</v>
      </c>
      <c r="B283" s="226" t="s">
        <v>845</v>
      </c>
      <c r="C283" s="250" t="s">
        <v>3682</v>
      </c>
      <c r="D283" s="268" t="s">
        <v>495</v>
      </c>
      <c r="E283" s="251">
        <v>44152.0</v>
      </c>
      <c r="F283" s="250" t="s">
        <v>496</v>
      </c>
      <c r="G283" s="176"/>
      <c r="H283" s="171">
        <v>60.0</v>
      </c>
      <c r="I283" s="171">
        <v>100.0</v>
      </c>
      <c r="J283" s="391">
        <f t="shared" si="25"/>
        <v>0.003471237978</v>
      </c>
      <c r="K283" s="392">
        <f t="shared" si="26"/>
        <v>1.839756129</v>
      </c>
      <c r="L283" s="327">
        <f t="shared" si="27"/>
        <v>1.173711769</v>
      </c>
      <c r="M283" s="321" t="str">
        <f t="shared" si="5"/>
        <v>rubenrussel7</v>
      </c>
      <c r="N283" s="176">
        <f>IFERROR(__xludf.DUMMYFUNCTION("""COMPUTED_VALUE"""),2.0)</f>
        <v>2</v>
      </c>
      <c r="O283" s="176"/>
      <c r="P283" s="176"/>
      <c r="Q283" s="176"/>
      <c r="R283" s="176"/>
      <c r="S283" s="176"/>
      <c r="T283" s="176"/>
      <c r="U283" s="176"/>
      <c r="V283" s="176"/>
      <c r="W283" s="176"/>
      <c r="X283" s="176"/>
      <c r="Y283" s="176"/>
      <c r="Z283" s="176"/>
    </row>
    <row r="284">
      <c r="A284" s="226" t="s">
        <v>70</v>
      </c>
      <c r="B284" s="226" t="s">
        <v>1228</v>
      </c>
      <c r="C284" s="250" t="s">
        <v>3587</v>
      </c>
      <c r="D284" s="268" t="s">
        <v>495</v>
      </c>
      <c r="E284" s="251">
        <v>44154.0</v>
      </c>
      <c r="F284" s="250" t="s">
        <v>496</v>
      </c>
      <c r="G284" s="176"/>
      <c r="H284" s="171">
        <v>100.0</v>
      </c>
      <c r="I284" s="171">
        <v>40.0</v>
      </c>
      <c r="J284" s="391">
        <f t="shared" si="25"/>
        <v>0.002843764799</v>
      </c>
      <c r="K284" s="392">
        <f t="shared" si="26"/>
        <v>1.507195344</v>
      </c>
      <c r="L284" s="327">
        <f t="shared" si="27"/>
        <v>1.173711769</v>
      </c>
      <c r="M284" s="321" t="str">
        <f t="shared" si="5"/>
        <v>rubenrussel7</v>
      </c>
      <c r="N284" s="176">
        <f>IFERROR(__xludf.DUMMYFUNCTION("""COMPUTED_VALUE"""),3.0)</f>
        <v>3</v>
      </c>
      <c r="O284" s="176"/>
      <c r="P284" s="176"/>
      <c r="Q284" s="176"/>
      <c r="R284" s="176"/>
      <c r="S284" s="176"/>
      <c r="T284" s="176"/>
      <c r="U284" s="176"/>
      <c r="V284" s="176"/>
      <c r="W284" s="176"/>
      <c r="X284" s="176"/>
      <c r="Y284" s="176"/>
      <c r="Z284" s="176"/>
    </row>
    <row r="285">
      <c r="A285" s="226" t="s">
        <v>70</v>
      </c>
      <c r="B285" s="226" t="s">
        <v>5</v>
      </c>
      <c r="C285" s="250" t="s">
        <v>3573</v>
      </c>
      <c r="D285" s="268" t="s">
        <v>495</v>
      </c>
      <c r="E285" s="251">
        <v>44147.0</v>
      </c>
      <c r="F285" s="250" t="s">
        <v>496</v>
      </c>
      <c r="G285" s="176"/>
      <c r="H285" s="171">
        <v>30.0</v>
      </c>
      <c r="I285" s="171">
        <v>30.0</v>
      </c>
      <c r="J285" s="391">
        <f t="shared" si="25"/>
        <v>0.001271150805</v>
      </c>
      <c r="K285" s="392">
        <f t="shared" si="26"/>
        <v>0.6737099268</v>
      </c>
      <c r="L285" s="327">
        <f t="shared" si="27"/>
        <v>1.173711769</v>
      </c>
      <c r="M285" s="321" t="str">
        <f t="shared" si="5"/>
        <v>rubenrussel7</v>
      </c>
      <c r="N285" s="176">
        <f>IFERROR(__xludf.DUMMYFUNCTION("""COMPUTED_VALUE"""),4.0)</f>
        <v>4</v>
      </c>
      <c r="O285" s="176"/>
      <c r="P285" s="176"/>
      <c r="Q285" s="176"/>
      <c r="R285" s="176"/>
      <c r="S285" s="176"/>
      <c r="T285" s="176"/>
      <c r="U285" s="176"/>
      <c r="V285" s="176"/>
      <c r="W285" s="176"/>
      <c r="X285" s="176"/>
      <c r="Y285" s="176"/>
      <c r="Z285" s="176"/>
    </row>
    <row r="286">
      <c r="A286" s="226" t="s">
        <v>70</v>
      </c>
      <c r="B286" s="226" t="s">
        <v>590</v>
      </c>
      <c r="C286" s="250" t="s">
        <v>3571</v>
      </c>
      <c r="D286" s="268" t="s">
        <v>495</v>
      </c>
      <c r="E286" s="251">
        <v>44155.0</v>
      </c>
      <c r="F286" s="250" t="s">
        <v>496</v>
      </c>
      <c r="G286" s="176"/>
      <c r="H286" s="171">
        <v>30.0</v>
      </c>
      <c r="I286" s="171">
        <v>30.0</v>
      </c>
      <c r="J286" s="391">
        <f t="shared" si="25"/>
        <v>0.001271150805</v>
      </c>
      <c r="K286" s="392">
        <f t="shared" si="26"/>
        <v>0.6737099268</v>
      </c>
      <c r="L286" s="327">
        <f t="shared" si="27"/>
        <v>1.173711769</v>
      </c>
      <c r="M286" s="321" t="str">
        <f t="shared" si="5"/>
        <v>rubenrussel7</v>
      </c>
      <c r="N286" s="176">
        <f>IFERROR(__xludf.DUMMYFUNCTION("""COMPUTED_VALUE"""),5.0)</f>
        <v>5</v>
      </c>
      <c r="O286" s="176"/>
      <c r="P286" s="176"/>
      <c r="Q286" s="176"/>
      <c r="R286" s="176"/>
      <c r="S286" s="176"/>
      <c r="T286" s="176"/>
      <c r="U286" s="176"/>
      <c r="V286" s="176"/>
      <c r="W286" s="176"/>
      <c r="X286" s="176"/>
      <c r="Y286" s="176"/>
      <c r="Z286" s="176"/>
    </row>
    <row r="287">
      <c r="A287" s="240" t="s">
        <v>70</v>
      </c>
      <c r="B287" s="240" t="s">
        <v>519</v>
      </c>
      <c r="C287" s="221" t="s">
        <v>3683</v>
      </c>
      <c r="D287" s="336"/>
      <c r="E287" s="255"/>
      <c r="F287" s="254"/>
      <c r="G287" s="222"/>
      <c r="H287" s="222"/>
      <c r="I287" s="222"/>
      <c r="J287" s="394"/>
      <c r="K287" s="395">
        <f>8.232*-0.85</f>
        <v>-6.9972</v>
      </c>
      <c r="L287" s="327">
        <f t="shared" si="27"/>
        <v>1.173711769</v>
      </c>
      <c r="M287" s="321" t="str">
        <f t="shared" si="5"/>
        <v>rubenrussel7</v>
      </c>
      <c r="N287" s="209">
        <f>IFERROR(__xludf.DUMMYFUNCTION("""COMPUTED_VALUE"""),6.0)</f>
        <v>6</v>
      </c>
      <c r="O287" s="209"/>
      <c r="P287" s="209"/>
      <c r="Q287" s="209"/>
      <c r="R287" s="209"/>
      <c r="S287" s="209"/>
      <c r="T287" s="209"/>
      <c r="U287" s="209"/>
      <c r="V287" s="209"/>
      <c r="W287" s="209"/>
      <c r="X287" s="209"/>
      <c r="Y287" s="176"/>
      <c r="Z287" s="176"/>
    </row>
    <row r="288">
      <c r="A288" s="226" t="s">
        <v>55</v>
      </c>
      <c r="B288" s="226" t="s">
        <v>18</v>
      </c>
      <c r="C288" s="250" t="s">
        <v>3684</v>
      </c>
      <c r="D288" s="268" t="s">
        <v>495</v>
      </c>
      <c r="E288" s="251">
        <v>44152.0</v>
      </c>
      <c r="F288" s="250" t="s">
        <v>496</v>
      </c>
      <c r="G288" s="176"/>
      <c r="H288" s="171">
        <v>100.0</v>
      </c>
      <c r="I288" s="171">
        <v>150.0</v>
      </c>
      <c r="J288" s="391">
        <f t="shared" ref="J288:J291" si="28">(H288/$H$2+I288/$I$2)/2</f>
        <v>0.005398339811</v>
      </c>
      <c r="K288" s="392">
        <f t="shared" ref="K288:K291" si="29">J288*$J$1</f>
        <v>2.8611201</v>
      </c>
      <c r="L288" s="327">
        <f t="shared" si="27"/>
        <v>1.055436769</v>
      </c>
      <c r="M288" s="321" t="str">
        <f t="shared" si="5"/>
        <v>atacas</v>
      </c>
      <c r="N288" s="176">
        <f>IFERROR(__xludf.DUMMYFUNCTION("""COMPUTED_VALUE"""),1.0)</f>
        <v>1</v>
      </c>
      <c r="O288" s="176"/>
      <c r="P288" s="176"/>
      <c r="Q288" s="176"/>
      <c r="R288" s="176"/>
      <c r="S288" s="176"/>
      <c r="T288" s="176"/>
      <c r="U288" s="176"/>
      <c r="V288" s="176"/>
      <c r="W288" s="176"/>
      <c r="X288" s="176"/>
      <c r="Y288" s="176"/>
      <c r="Z288" s="176"/>
    </row>
    <row r="289">
      <c r="A289" s="226" t="s">
        <v>55</v>
      </c>
      <c r="B289" s="226" t="s">
        <v>18</v>
      </c>
      <c r="C289" s="250" t="s">
        <v>3594</v>
      </c>
      <c r="D289" s="268" t="s">
        <v>495</v>
      </c>
      <c r="E289" s="251">
        <v>44152.0</v>
      </c>
      <c r="F289" s="250" t="s">
        <v>496</v>
      </c>
      <c r="G289" s="176"/>
      <c r="H289" s="171">
        <v>45.0</v>
      </c>
      <c r="I289" s="171">
        <v>200.0</v>
      </c>
      <c r="J289" s="391">
        <f t="shared" si="28"/>
        <v>0.005506354633</v>
      </c>
      <c r="K289" s="392">
        <f t="shared" si="29"/>
        <v>2.918367956</v>
      </c>
      <c r="L289" s="327">
        <f t="shared" si="27"/>
        <v>1.055436769</v>
      </c>
      <c r="M289" s="321" t="str">
        <f t="shared" si="5"/>
        <v>atacas</v>
      </c>
      <c r="N289" s="176">
        <f>IFERROR(__xludf.DUMMYFUNCTION("""COMPUTED_VALUE"""),2.0)</f>
        <v>2</v>
      </c>
      <c r="O289" s="176"/>
      <c r="P289" s="176"/>
      <c r="Q289" s="176"/>
      <c r="R289" s="176"/>
      <c r="S289" s="176"/>
      <c r="T289" s="176"/>
      <c r="U289" s="176"/>
      <c r="V289" s="176"/>
      <c r="W289" s="176"/>
      <c r="X289" s="176"/>
      <c r="Y289" s="176"/>
      <c r="Z289" s="176"/>
    </row>
    <row r="290">
      <c r="A290" s="226" t="s">
        <v>55</v>
      </c>
      <c r="B290" s="226" t="s">
        <v>18</v>
      </c>
      <c r="C290" s="250" t="s">
        <v>3578</v>
      </c>
      <c r="D290" s="268" t="s">
        <v>495</v>
      </c>
      <c r="E290" s="251">
        <v>44152.0</v>
      </c>
      <c r="F290" s="250" t="s">
        <v>496</v>
      </c>
      <c r="G290" s="176"/>
      <c r="H290" s="171">
        <v>45.0</v>
      </c>
      <c r="I290" s="171">
        <v>30.0</v>
      </c>
      <c r="J290" s="391">
        <f t="shared" si="28"/>
        <v>0.00155837507</v>
      </c>
      <c r="K290" s="392">
        <f t="shared" si="29"/>
        <v>0.8259387871</v>
      </c>
      <c r="L290" s="327">
        <f t="shared" si="27"/>
        <v>1.055436769</v>
      </c>
      <c r="M290" s="321" t="str">
        <f t="shared" si="5"/>
        <v>atacas</v>
      </c>
      <c r="N290" s="176">
        <f>IFERROR(__xludf.DUMMYFUNCTION("""COMPUTED_VALUE"""),3.0)</f>
        <v>3</v>
      </c>
      <c r="O290" s="176"/>
      <c r="P290" s="176"/>
      <c r="Q290" s="176"/>
      <c r="R290" s="176"/>
      <c r="S290" s="176"/>
      <c r="T290" s="176"/>
      <c r="U290" s="176"/>
      <c r="V290" s="176"/>
      <c r="W290" s="176"/>
      <c r="X290" s="176"/>
      <c r="Y290" s="176"/>
      <c r="Z290" s="176"/>
    </row>
    <row r="291">
      <c r="A291" s="226" t="s">
        <v>55</v>
      </c>
      <c r="B291" s="226" t="s">
        <v>5</v>
      </c>
      <c r="C291" s="250" t="s">
        <v>3574</v>
      </c>
      <c r="D291" s="268" t="s">
        <v>495</v>
      </c>
      <c r="E291" s="251">
        <v>44145.0</v>
      </c>
      <c r="F291" s="250" t="s">
        <v>496</v>
      </c>
      <c r="G291" s="243"/>
      <c r="H291" s="171">
        <v>30.0</v>
      </c>
      <c r="I291" s="171">
        <v>30.0</v>
      </c>
      <c r="J291" s="391">
        <f t="shared" si="28"/>
        <v>0.001271150805</v>
      </c>
      <c r="K291" s="392">
        <f t="shared" si="29"/>
        <v>0.6737099268</v>
      </c>
      <c r="L291" s="327">
        <f t="shared" si="27"/>
        <v>1.055436769</v>
      </c>
      <c r="M291" s="321" t="str">
        <f t="shared" si="5"/>
        <v>atacas</v>
      </c>
      <c r="N291" s="176">
        <f>IFERROR(__xludf.DUMMYFUNCTION("""COMPUTED_VALUE"""),4.0)</f>
        <v>4</v>
      </c>
      <c r="O291" s="176"/>
      <c r="P291" s="176"/>
      <c r="Q291" s="176"/>
      <c r="R291" s="176"/>
      <c r="S291" s="176"/>
      <c r="T291" s="176"/>
      <c r="U291" s="176"/>
      <c r="V291" s="176"/>
      <c r="W291" s="176"/>
      <c r="X291" s="176"/>
      <c r="Y291" s="176"/>
      <c r="Z291" s="176"/>
    </row>
    <row r="292">
      <c r="A292" s="240" t="s">
        <v>55</v>
      </c>
      <c r="B292" s="240" t="s">
        <v>18</v>
      </c>
      <c r="C292" s="221" t="s">
        <v>810</v>
      </c>
      <c r="D292" s="336"/>
      <c r="E292" s="255"/>
      <c r="F292" s="254"/>
      <c r="G292" s="209"/>
      <c r="H292" s="222"/>
      <c r="I292" s="222"/>
      <c r="J292" s="394"/>
      <c r="K292" s="395">
        <f>7.322*-0.85</f>
        <v>-6.2237</v>
      </c>
      <c r="L292" s="327">
        <f t="shared" si="27"/>
        <v>1.055436769</v>
      </c>
      <c r="M292" s="321" t="str">
        <f t="shared" si="5"/>
        <v>atacas</v>
      </c>
      <c r="N292" s="209">
        <f>IFERROR(__xludf.DUMMYFUNCTION("""COMPUTED_VALUE"""),5.0)</f>
        <v>5</v>
      </c>
      <c r="O292" s="176"/>
      <c r="P292" s="176"/>
      <c r="Q292" s="176"/>
      <c r="R292" s="176"/>
      <c r="S292" s="176"/>
      <c r="T292" s="176"/>
      <c r="U292" s="176"/>
      <c r="V292" s="176"/>
      <c r="W292" s="176"/>
      <c r="X292" s="176"/>
      <c r="Y292" s="176"/>
      <c r="Z292" s="176"/>
    </row>
    <row r="293">
      <c r="A293" s="226" t="s">
        <v>62</v>
      </c>
      <c r="B293" s="226" t="s">
        <v>519</v>
      </c>
      <c r="C293" s="250" t="s">
        <v>3673</v>
      </c>
      <c r="D293" s="268" t="s">
        <v>495</v>
      </c>
      <c r="E293" s="251">
        <v>44147.0</v>
      </c>
      <c r="F293" s="250" t="s">
        <v>496</v>
      </c>
      <c r="G293" s="243"/>
      <c r="H293" s="171">
        <v>100.0</v>
      </c>
      <c r="I293" s="171">
        <v>100.0</v>
      </c>
      <c r="J293" s="391">
        <f t="shared" ref="J293:J295" si="30">(H293/$H$2+I293/$I$2)/2</f>
        <v>0.004237169351</v>
      </c>
      <c r="K293" s="392">
        <f t="shared" ref="K293:K295" si="31">J293*$J$1</f>
        <v>2.245699756</v>
      </c>
      <c r="L293" s="327">
        <f t="shared" si="27"/>
        <v>1.093523531</v>
      </c>
      <c r="M293" s="321" t="str">
        <f t="shared" si="5"/>
        <v>fiorebotta</v>
      </c>
      <c r="N293" s="176">
        <f>IFERROR(__xludf.DUMMYFUNCTION("""COMPUTED_VALUE"""),1.0)</f>
        <v>1</v>
      </c>
      <c r="O293" s="176"/>
      <c r="P293" s="176"/>
      <c r="Q293" s="176"/>
      <c r="R293" s="176"/>
      <c r="S293" s="176"/>
      <c r="T293" s="176"/>
      <c r="U293" s="176"/>
      <c r="V293" s="176"/>
      <c r="W293" s="176"/>
      <c r="X293" s="176"/>
      <c r="Y293" s="176"/>
      <c r="Z293" s="176"/>
    </row>
    <row r="294">
      <c r="A294" s="226" t="s">
        <v>62</v>
      </c>
      <c r="B294" s="226" t="s">
        <v>6</v>
      </c>
      <c r="C294" s="250" t="s">
        <v>3589</v>
      </c>
      <c r="D294" s="268" t="s">
        <v>495</v>
      </c>
      <c r="E294" s="251">
        <v>44151.0</v>
      </c>
      <c r="F294" s="250" t="s">
        <v>496</v>
      </c>
      <c r="G294" s="176"/>
      <c r="H294" s="171">
        <v>45.0</v>
      </c>
      <c r="I294" s="171">
        <v>30.0</v>
      </c>
      <c r="J294" s="391">
        <f t="shared" si="30"/>
        <v>0.00155837507</v>
      </c>
      <c r="K294" s="392">
        <f t="shared" si="31"/>
        <v>0.8259387871</v>
      </c>
      <c r="L294" s="327">
        <f t="shared" si="27"/>
        <v>1.093523531</v>
      </c>
      <c r="M294" s="321" t="str">
        <f t="shared" si="5"/>
        <v>fiorebotta</v>
      </c>
      <c r="N294" s="176">
        <f>IFERROR(__xludf.DUMMYFUNCTION("""COMPUTED_VALUE"""),2.0)</f>
        <v>2</v>
      </c>
      <c r="O294" s="176"/>
      <c r="P294" s="176"/>
      <c r="Q294" s="176"/>
      <c r="R294" s="176"/>
      <c r="S294" s="176"/>
      <c r="T294" s="176"/>
      <c r="U294" s="176"/>
      <c r="V294" s="176"/>
      <c r="W294" s="176"/>
      <c r="X294" s="176"/>
      <c r="Y294" s="176"/>
      <c r="Z294" s="176"/>
    </row>
    <row r="295">
      <c r="A295" s="226" t="s">
        <v>62</v>
      </c>
      <c r="B295" s="226" t="s">
        <v>5</v>
      </c>
      <c r="C295" s="250" t="s">
        <v>3685</v>
      </c>
      <c r="D295" s="268" t="s">
        <v>495</v>
      </c>
      <c r="E295" s="251">
        <v>44151.0</v>
      </c>
      <c r="F295" s="250" t="s">
        <v>496</v>
      </c>
      <c r="G295" s="176"/>
      <c r="H295" s="171">
        <v>5.0</v>
      </c>
      <c r="I295" s="171">
        <v>5.0</v>
      </c>
      <c r="J295" s="391">
        <f t="shared" si="30"/>
        <v>0.0002118584676</v>
      </c>
      <c r="K295" s="392">
        <f t="shared" si="31"/>
        <v>0.1122849878</v>
      </c>
      <c r="L295" s="327">
        <f t="shared" si="27"/>
        <v>1.093523531</v>
      </c>
      <c r="M295" s="321" t="str">
        <f t="shared" si="5"/>
        <v>fiorebotta</v>
      </c>
      <c r="N295" s="176">
        <f>IFERROR(__xludf.DUMMYFUNCTION("""COMPUTED_VALUE"""),3.0)</f>
        <v>3</v>
      </c>
      <c r="O295" s="176"/>
      <c r="P295" s="176"/>
      <c r="Q295" s="176"/>
      <c r="R295" s="176"/>
      <c r="S295" s="176"/>
      <c r="T295" s="176"/>
      <c r="U295" s="176"/>
      <c r="V295" s="176"/>
      <c r="W295" s="176"/>
      <c r="X295" s="176"/>
      <c r="Y295" s="176"/>
      <c r="Z295" s="176"/>
    </row>
    <row r="296">
      <c r="A296" s="362" t="s">
        <v>62</v>
      </c>
      <c r="B296" s="240" t="s">
        <v>18</v>
      </c>
      <c r="C296" s="397" t="s">
        <v>3686</v>
      </c>
      <c r="D296" s="336"/>
      <c r="E296" s="255"/>
      <c r="F296" s="254"/>
      <c r="G296" s="222"/>
      <c r="H296" s="222"/>
      <c r="I296" s="222"/>
      <c r="J296" s="394"/>
      <c r="K296" s="395">
        <f>3.216*-0.65</f>
        <v>-2.0904</v>
      </c>
      <c r="L296" s="327">
        <f t="array" ref="L296">dsum($A$3:$K$533,"Cred per Praise",{$A$3;A296})</f>
        <v>1.093523531</v>
      </c>
      <c r="M296" s="321" t="str">
        <f t="shared" si="5"/>
        <v>fiorebotta</v>
      </c>
      <c r="N296" s="209">
        <f>IFERROR(__xludf.DUMMYFUNCTION("""COMPUTED_VALUE"""),4.0)</f>
        <v>4</v>
      </c>
      <c r="O296" s="176"/>
      <c r="P296" s="176"/>
      <c r="Q296" s="176"/>
      <c r="R296" s="176"/>
      <c r="S296" s="176"/>
      <c r="T296" s="176"/>
      <c r="U296" s="176"/>
      <c r="V296" s="176"/>
      <c r="W296" s="176"/>
      <c r="X296" s="176"/>
      <c r="Y296" s="176"/>
      <c r="Z296" s="176"/>
    </row>
    <row r="297">
      <c r="A297" s="249" t="s">
        <v>110</v>
      </c>
      <c r="B297" s="249" t="s">
        <v>18</v>
      </c>
      <c r="C297" s="219" t="s">
        <v>3581</v>
      </c>
      <c r="D297" s="268" t="s">
        <v>495</v>
      </c>
      <c r="E297" s="251">
        <v>44147.0</v>
      </c>
      <c r="F297" s="250" t="s">
        <v>496</v>
      </c>
      <c r="G297" s="243"/>
      <c r="H297" s="171">
        <v>45.0</v>
      </c>
      <c r="I297" s="171">
        <v>50.0</v>
      </c>
      <c r="J297" s="391">
        <f t="shared" ref="J297:J302" si="32">(H297/$H$2+I297/$I$2)/2</f>
        <v>0.002022843254</v>
      </c>
      <c r="K297" s="392">
        <f t="shared" ref="K297:K302" si="33">J297*$J$1</f>
        <v>1.072106925</v>
      </c>
      <c r="L297" s="327">
        <f t="shared" ref="L297:L302" si="34">dsum($A$3:$K$355,"Cred per Praise",{$A$3;A297})</f>
        <v>1.072106925</v>
      </c>
      <c r="M297" s="321" t="str">
        <f t="shared" si="5"/>
        <v>jonassft</v>
      </c>
      <c r="N297" s="176">
        <f>IFERROR(__xludf.DUMMYFUNCTION("""COMPUTED_VALUE"""),1.0)</f>
        <v>1</v>
      </c>
      <c r="O297" s="176"/>
      <c r="P297" s="176"/>
      <c r="Q297" s="176"/>
      <c r="R297" s="176"/>
      <c r="S297" s="176"/>
      <c r="T297" s="176"/>
      <c r="U297" s="176"/>
      <c r="V297" s="176"/>
      <c r="W297" s="176"/>
      <c r="X297" s="176"/>
      <c r="Y297" s="176"/>
      <c r="Z297" s="176"/>
    </row>
    <row r="298">
      <c r="A298" s="226" t="s">
        <v>29</v>
      </c>
      <c r="B298" s="226" t="s">
        <v>18</v>
      </c>
      <c r="C298" s="250" t="s">
        <v>3655</v>
      </c>
      <c r="D298" s="268" t="s">
        <v>495</v>
      </c>
      <c r="E298" s="251">
        <v>44148.0</v>
      </c>
      <c r="F298" s="250" t="s">
        <v>496</v>
      </c>
      <c r="G298" s="176"/>
      <c r="H298" s="171">
        <v>150.0</v>
      </c>
      <c r="I298" s="171">
        <v>150.0</v>
      </c>
      <c r="J298" s="391">
        <f t="shared" si="32"/>
        <v>0.006355754027</v>
      </c>
      <c r="K298" s="392">
        <f t="shared" si="33"/>
        <v>3.368549634</v>
      </c>
      <c r="L298" s="327">
        <f t="shared" si="34"/>
        <v>0.8590963879</v>
      </c>
      <c r="M298" s="321" t="str">
        <f t="shared" si="5"/>
        <v>jeffemmett</v>
      </c>
      <c r="N298" s="176">
        <f>IFERROR(__xludf.DUMMYFUNCTION("""COMPUTED_VALUE"""),1.0)</f>
        <v>1</v>
      </c>
      <c r="O298" s="176"/>
      <c r="P298" s="176"/>
      <c r="Q298" s="176"/>
      <c r="R298" s="176"/>
      <c r="S298" s="176"/>
      <c r="T298" s="176"/>
      <c r="U298" s="176"/>
      <c r="V298" s="176"/>
      <c r="W298" s="176"/>
      <c r="X298" s="176"/>
      <c r="Y298" s="176"/>
      <c r="Z298" s="176"/>
    </row>
    <row r="299">
      <c r="A299" s="226" t="s">
        <v>29</v>
      </c>
      <c r="B299" s="226" t="s">
        <v>18</v>
      </c>
      <c r="C299" s="250" t="s">
        <v>3578</v>
      </c>
      <c r="D299" s="268" t="s">
        <v>495</v>
      </c>
      <c r="E299" s="251">
        <v>44152.0</v>
      </c>
      <c r="F299" s="250" t="s">
        <v>496</v>
      </c>
      <c r="G299" s="176"/>
      <c r="H299" s="171">
        <v>45.0</v>
      </c>
      <c r="I299" s="171">
        <v>30.0</v>
      </c>
      <c r="J299" s="391">
        <f t="shared" si="32"/>
        <v>0.00155837507</v>
      </c>
      <c r="K299" s="392">
        <f t="shared" si="33"/>
        <v>0.8259387871</v>
      </c>
      <c r="L299" s="327">
        <f t="shared" si="34"/>
        <v>0.8590963879</v>
      </c>
      <c r="M299" s="321" t="str">
        <f t="shared" si="5"/>
        <v>jeffemmett</v>
      </c>
      <c r="N299" s="176">
        <f>IFERROR(__xludf.DUMMYFUNCTION("""COMPUTED_VALUE"""),2.0)</f>
        <v>2</v>
      </c>
      <c r="O299" s="176"/>
      <c r="P299" s="176"/>
      <c r="Q299" s="176"/>
      <c r="R299" s="176"/>
      <c r="S299" s="176"/>
      <c r="T299" s="176"/>
      <c r="U299" s="176"/>
      <c r="V299" s="176"/>
      <c r="W299" s="176"/>
      <c r="X299" s="176"/>
      <c r="Y299" s="176"/>
      <c r="Z299" s="176"/>
    </row>
    <row r="300">
      <c r="A300" s="226" t="s">
        <v>29</v>
      </c>
      <c r="B300" s="226" t="s">
        <v>5</v>
      </c>
      <c r="C300" s="250" t="s">
        <v>3573</v>
      </c>
      <c r="D300" s="268" t="s">
        <v>495</v>
      </c>
      <c r="E300" s="251">
        <v>44147.0</v>
      </c>
      <c r="F300" s="250" t="s">
        <v>496</v>
      </c>
      <c r="G300" s="176"/>
      <c r="H300" s="171">
        <v>30.0</v>
      </c>
      <c r="I300" s="171">
        <v>30.0</v>
      </c>
      <c r="J300" s="391">
        <f t="shared" si="32"/>
        <v>0.001271150805</v>
      </c>
      <c r="K300" s="392">
        <f t="shared" si="33"/>
        <v>0.6737099268</v>
      </c>
      <c r="L300" s="327">
        <f t="shared" si="34"/>
        <v>0.8590963879</v>
      </c>
      <c r="M300" s="321" t="str">
        <f t="shared" si="5"/>
        <v>jeffemmett</v>
      </c>
      <c r="N300" s="176">
        <f>IFERROR(__xludf.DUMMYFUNCTION("""COMPUTED_VALUE"""),3.0)</f>
        <v>3</v>
      </c>
      <c r="O300" s="176"/>
      <c r="P300" s="176"/>
      <c r="Q300" s="176"/>
      <c r="R300" s="176"/>
      <c r="S300" s="176"/>
      <c r="T300" s="176"/>
      <c r="U300" s="176"/>
      <c r="V300" s="176"/>
      <c r="W300" s="176"/>
      <c r="X300" s="176"/>
      <c r="Y300" s="176"/>
      <c r="Z300" s="176"/>
    </row>
    <row r="301">
      <c r="A301" s="226" t="s">
        <v>29</v>
      </c>
      <c r="B301" s="226" t="s">
        <v>5</v>
      </c>
      <c r="C301" s="250" t="s">
        <v>3607</v>
      </c>
      <c r="D301" s="268" t="s">
        <v>495</v>
      </c>
      <c r="E301" s="251">
        <v>44151.0</v>
      </c>
      <c r="F301" s="250" t="s">
        <v>496</v>
      </c>
      <c r="G301" s="176"/>
      <c r="H301" s="171">
        <v>20.0</v>
      </c>
      <c r="I301" s="171">
        <v>30.0</v>
      </c>
      <c r="J301" s="391">
        <f t="shared" si="32"/>
        <v>0.001079667962</v>
      </c>
      <c r="K301" s="392">
        <f t="shared" si="33"/>
        <v>0.5722240199</v>
      </c>
      <c r="L301" s="327">
        <f t="shared" si="34"/>
        <v>0.8590963879</v>
      </c>
      <c r="M301" s="321" t="str">
        <f t="shared" si="5"/>
        <v>jeffemmett</v>
      </c>
      <c r="N301" s="176">
        <f>IFERROR(__xludf.DUMMYFUNCTION("""COMPUTED_VALUE"""),4.0)</f>
        <v>4</v>
      </c>
      <c r="O301" s="176"/>
      <c r="P301" s="176"/>
      <c r="Q301" s="176"/>
      <c r="R301" s="176"/>
      <c r="S301" s="176"/>
      <c r="T301" s="176"/>
      <c r="U301" s="176"/>
      <c r="V301" s="176"/>
      <c r="W301" s="176"/>
      <c r="X301" s="176"/>
      <c r="Y301" s="176"/>
      <c r="Z301" s="176"/>
    </row>
    <row r="302">
      <c r="A302" s="226" t="s">
        <v>29</v>
      </c>
      <c r="B302" s="226" t="s">
        <v>590</v>
      </c>
      <c r="C302" s="250" t="s">
        <v>3582</v>
      </c>
      <c r="D302" s="268" t="s">
        <v>495</v>
      </c>
      <c r="E302" s="251">
        <v>44152.0</v>
      </c>
      <c r="F302" s="250" t="s">
        <v>496</v>
      </c>
      <c r="G302" s="176"/>
      <c r="H302" s="171">
        <v>20.0</v>
      </c>
      <c r="I302" s="171">
        <v>30.0</v>
      </c>
      <c r="J302" s="391">
        <f t="shared" si="32"/>
        <v>0.001079667962</v>
      </c>
      <c r="K302" s="392">
        <f t="shared" si="33"/>
        <v>0.5722240199</v>
      </c>
      <c r="L302" s="327">
        <f t="shared" si="34"/>
        <v>0.8590963879</v>
      </c>
      <c r="M302" s="321" t="str">
        <f t="shared" si="5"/>
        <v>jeffemmett</v>
      </c>
      <c r="N302" s="176">
        <f>IFERROR(__xludf.DUMMYFUNCTION("""COMPUTED_VALUE"""),5.0)</f>
        <v>5</v>
      </c>
      <c r="O302" s="176"/>
      <c r="P302" s="176"/>
      <c r="Q302" s="176"/>
      <c r="R302" s="176"/>
      <c r="S302" s="176"/>
      <c r="T302" s="176"/>
      <c r="U302" s="176"/>
      <c r="V302" s="176"/>
      <c r="W302" s="176"/>
      <c r="X302" s="176"/>
      <c r="Y302" s="176"/>
      <c r="Z302" s="176"/>
    </row>
    <row r="303">
      <c r="A303" s="343" t="s">
        <v>29</v>
      </c>
      <c r="B303" s="343" t="s">
        <v>519</v>
      </c>
      <c r="C303" s="221" t="s">
        <v>684</v>
      </c>
      <c r="D303" s="336"/>
      <c r="E303" s="255"/>
      <c r="F303" s="254"/>
      <c r="G303" s="222"/>
      <c r="H303" s="222"/>
      <c r="I303" s="222"/>
      <c r="J303" s="394"/>
      <c r="K303" s="395">
        <f>6.063*-0.85</f>
        <v>-5.15355</v>
      </c>
      <c r="L303" s="327">
        <f t="array" ref="L303">dsum($A$3:$K$533,"Cred per Praise",{$A$3;A303})</f>
        <v>0.8590963879</v>
      </c>
      <c r="M303" s="321" t="str">
        <f t="shared" si="5"/>
        <v>jeffemmett</v>
      </c>
      <c r="N303" s="209">
        <f>IFERROR(__xludf.DUMMYFUNCTION("""COMPUTED_VALUE"""),6.0)</f>
        <v>6</v>
      </c>
      <c r="O303" s="209"/>
      <c r="P303" s="209"/>
      <c r="Q303" s="209"/>
      <c r="R303" s="209"/>
      <c r="S303" s="209"/>
      <c r="T303" s="209"/>
      <c r="U303" s="209"/>
      <c r="V303" s="209"/>
      <c r="W303" s="209"/>
      <c r="X303" s="209"/>
      <c r="Y303" s="176"/>
      <c r="Z303" s="176"/>
    </row>
    <row r="304">
      <c r="A304" s="226" t="s">
        <v>186</v>
      </c>
      <c r="B304" s="226" t="s">
        <v>29</v>
      </c>
      <c r="C304" s="250" t="s">
        <v>3687</v>
      </c>
      <c r="D304" s="268" t="s">
        <v>495</v>
      </c>
      <c r="E304" s="251">
        <v>44147.0</v>
      </c>
      <c r="F304" s="250" t="s">
        <v>499</v>
      </c>
      <c r="G304" s="243"/>
      <c r="H304" s="171">
        <v>30.0</v>
      </c>
      <c r="I304" s="171">
        <v>30.0</v>
      </c>
      <c r="J304" s="391">
        <f t="shared" ref="J304:J314" si="35">(H304/$H$2+I304/$I$2)/2</f>
        <v>0.001271150805</v>
      </c>
      <c r="K304" s="392">
        <f t="shared" ref="K304:K314" si="36">J304*$J$1</f>
        <v>0.6737099268</v>
      </c>
      <c r="L304" s="327">
        <f t="shared" ref="L304:L314" si="37">dsum($A$3:$K$355,"Cred per Praise",{$A$3;A304})</f>
        <v>0.847536949</v>
      </c>
      <c r="M304" s="321" t="str">
        <f t="shared" si="5"/>
        <v>gcrewe</v>
      </c>
      <c r="N304" s="176">
        <f>IFERROR(__xludf.DUMMYFUNCTION("""COMPUTED_VALUE"""),1.0)</f>
        <v>1</v>
      </c>
      <c r="O304" s="176"/>
      <c r="P304" s="176"/>
      <c r="Q304" s="176"/>
      <c r="R304" s="176"/>
      <c r="S304" s="176"/>
      <c r="T304" s="176"/>
      <c r="U304" s="176"/>
      <c r="V304" s="176"/>
      <c r="W304" s="176"/>
      <c r="X304" s="176"/>
      <c r="Y304" s="176"/>
      <c r="Z304" s="176"/>
    </row>
    <row r="305">
      <c r="A305" s="226" t="s">
        <v>186</v>
      </c>
      <c r="B305" s="226" t="s">
        <v>519</v>
      </c>
      <c r="C305" s="250" t="s">
        <v>3688</v>
      </c>
      <c r="D305" s="268" t="s">
        <v>495</v>
      </c>
      <c r="E305" s="251">
        <v>44147.0</v>
      </c>
      <c r="F305" s="250" t="s">
        <v>521</v>
      </c>
      <c r="G305" s="176"/>
      <c r="H305" s="171">
        <v>5.0</v>
      </c>
      <c r="I305" s="171">
        <v>10.0</v>
      </c>
      <c r="J305" s="391">
        <f t="shared" si="35"/>
        <v>0.0003279755135</v>
      </c>
      <c r="K305" s="392">
        <f t="shared" si="36"/>
        <v>0.1738270222</v>
      </c>
      <c r="L305" s="327">
        <f t="shared" si="37"/>
        <v>0.847536949</v>
      </c>
      <c r="M305" s="321" t="str">
        <f t="shared" si="5"/>
        <v>gcrewe</v>
      </c>
      <c r="N305" s="176">
        <f>IFERROR(__xludf.DUMMYFUNCTION("""COMPUTED_VALUE"""),2.0)</f>
        <v>2</v>
      </c>
      <c r="O305" s="176"/>
      <c r="P305" s="176"/>
      <c r="Q305" s="176"/>
      <c r="R305" s="176"/>
      <c r="S305" s="176"/>
      <c r="T305" s="176"/>
      <c r="U305" s="176"/>
      <c r="V305" s="176"/>
      <c r="W305" s="176"/>
      <c r="X305" s="176"/>
      <c r="Y305" s="176"/>
      <c r="Z305" s="176"/>
    </row>
    <row r="306">
      <c r="A306" s="226" t="s">
        <v>315</v>
      </c>
      <c r="B306" s="226" t="s">
        <v>590</v>
      </c>
      <c r="C306" s="250" t="s">
        <v>3689</v>
      </c>
      <c r="D306" s="268" t="s">
        <v>495</v>
      </c>
      <c r="E306" s="251">
        <v>44152.0</v>
      </c>
      <c r="F306" s="250" t="s">
        <v>499</v>
      </c>
      <c r="G306" s="176"/>
      <c r="H306" s="171">
        <v>30.0</v>
      </c>
      <c r="I306" s="171">
        <v>40.0</v>
      </c>
      <c r="J306" s="391">
        <f t="shared" si="35"/>
        <v>0.001503384897</v>
      </c>
      <c r="K306" s="392">
        <f t="shared" si="36"/>
        <v>0.7967939956</v>
      </c>
      <c r="L306" s="327">
        <f t="shared" si="37"/>
        <v>0.7967939956</v>
      </c>
      <c r="M306" s="321" t="str">
        <f t="shared" si="5"/>
        <v>monsterplayaus</v>
      </c>
      <c r="N306" s="176">
        <f>IFERROR(__xludf.DUMMYFUNCTION("""COMPUTED_VALUE"""),1.0)</f>
        <v>1</v>
      </c>
      <c r="O306" s="176"/>
      <c r="P306" s="176"/>
      <c r="Q306" s="176"/>
      <c r="R306" s="176"/>
      <c r="S306" s="176"/>
      <c r="T306" s="176"/>
      <c r="U306" s="176"/>
      <c r="V306" s="176"/>
      <c r="W306" s="176"/>
      <c r="X306" s="176"/>
      <c r="Y306" s="176"/>
      <c r="Z306" s="176"/>
    </row>
    <row r="307">
      <c r="A307" s="226" t="s">
        <v>76</v>
      </c>
      <c r="B307" s="226" t="s">
        <v>519</v>
      </c>
      <c r="C307" s="250" t="s">
        <v>3690</v>
      </c>
      <c r="D307" s="268" t="s">
        <v>495</v>
      </c>
      <c r="E307" s="251">
        <v>44147.0</v>
      </c>
      <c r="F307" s="250" t="s">
        <v>496</v>
      </c>
      <c r="G307" s="243"/>
      <c r="H307" s="171">
        <v>30.0</v>
      </c>
      <c r="I307" s="171">
        <v>30.0</v>
      </c>
      <c r="J307" s="391">
        <f t="shared" si="35"/>
        <v>0.001271150805</v>
      </c>
      <c r="K307" s="392">
        <f t="shared" si="36"/>
        <v>0.6737099268</v>
      </c>
      <c r="L307" s="327">
        <f t="shared" si="37"/>
        <v>0.6737099268</v>
      </c>
      <c r="M307" s="321" t="str">
        <f t="shared" si="5"/>
        <v>fabianvb</v>
      </c>
      <c r="N307" s="176">
        <f>IFERROR(__xludf.DUMMYFUNCTION("""COMPUTED_VALUE"""),1.0)</f>
        <v>1</v>
      </c>
      <c r="O307" s="176"/>
      <c r="P307" s="176"/>
      <c r="Q307" s="176"/>
      <c r="R307" s="176"/>
      <c r="S307" s="176"/>
      <c r="T307" s="176"/>
      <c r="U307" s="176"/>
      <c r="V307" s="176"/>
      <c r="W307" s="176"/>
      <c r="X307" s="176"/>
      <c r="Y307" s="176"/>
      <c r="Z307" s="176"/>
    </row>
    <row r="308">
      <c r="A308" s="226" t="s">
        <v>109</v>
      </c>
      <c r="B308" s="226" t="s">
        <v>29</v>
      </c>
      <c r="C308" s="250" t="s">
        <v>3632</v>
      </c>
      <c r="D308" s="268" t="s">
        <v>495</v>
      </c>
      <c r="E308" s="251">
        <v>44154.0</v>
      </c>
      <c r="F308" s="250" t="s">
        <v>592</v>
      </c>
      <c r="G308" s="176"/>
      <c r="H308" s="171">
        <v>30.0</v>
      </c>
      <c r="I308" s="171">
        <v>30.0</v>
      </c>
      <c r="J308" s="391">
        <f t="shared" si="35"/>
        <v>0.001271150805</v>
      </c>
      <c r="K308" s="392">
        <f t="shared" si="36"/>
        <v>0.6737099268</v>
      </c>
      <c r="L308" s="327">
        <f t="shared" si="37"/>
        <v>0.6737099268</v>
      </c>
      <c r="M308" s="321" t="str">
        <f t="shared" si="5"/>
        <v>chriscyber</v>
      </c>
      <c r="N308" s="176">
        <f>IFERROR(__xludf.DUMMYFUNCTION("""COMPUTED_VALUE"""),1.0)</f>
        <v>1</v>
      </c>
      <c r="O308" s="176"/>
      <c r="P308" s="176"/>
      <c r="Q308" s="176"/>
      <c r="R308" s="176"/>
      <c r="S308" s="176"/>
      <c r="T308" s="176"/>
      <c r="U308" s="176"/>
      <c r="V308" s="176"/>
      <c r="W308" s="176"/>
      <c r="X308" s="176"/>
      <c r="Y308" s="176"/>
      <c r="Z308" s="176"/>
    </row>
    <row r="309">
      <c r="A309" s="226" t="s">
        <v>272</v>
      </c>
      <c r="B309" s="226" t="s">
        <v>590</v>
      </c>
      <c r="C309" s="250" t="s">
        <v>3571</v>
      </c>
      <c r="D309" s="268" t="s">
        <v>495</v>
      </c>
      <c r="E309" s="251">
        <v>44155.0</v>
      </c>
      <c r="F309" s="250" t="s">
        <v>496</v>
      </c>
      <c r="G309" s="176"/>
      <c r="H309" s="171">
        <v>30.0</v>
      </c>
      <c r="I309" s="171">
        <v>30.0</v>
      </c>
      <c r="J309" s="391">
        <f t="shared" si="35"/>
        <v>0.001271150805</v>
      </c>
      <c r="K309" s="392">
        <f t="shared" si="36"/>
        <v>0.6737099268</v>
      </c>
      <c r="L309" s="327">
        <f t="shared" si="37"/>
        <v>0.6737099268</v>
      </c>
      <c r="M309" s="321" t="str">
        <f t="shared" si="5"/>
        <v>lalogarza</v>
      </c>
      <c r="N309" s="176">
        <f>IFERROR(__xludf.DUMMYFUNCTION("""COMPUTED_VALUE"""),1.0)</f>
        <v>1</v>
      </c>
      <c r="O309" s="176"/>
      <c r="P309" s="176"/>
      <c r="Q309" s="176"/>
      <c r="R309" s="176"/>
      <c r="S309" s="176"/>
      <c r="T309" s="176"/>
      <c r="U309" s="176"/>
      <c r="V309" s="176"/>
      <c r="W309" s="176"/>
      <c r="X309" s="176"/>
      <c r="Y309" s="176"/>
      <c r="Z309" s="176"/>
    </row>
    <row r="310">
      <c r="A310" s="226" t="s">
        <v>131</v>
      </c>
      <c r="B310" s="226" t="s">
        <v>590</v>
      </c>
      <c r="C310" s="250" t="s">
        <v>3571</v>
      </c>
      <c r="D310" s="268" t="s">
        <v>495</v>
      </c>
      <c r="E310" s="251">
        <v>44155.0</v>
      </c>
      <c r="F310" s="250" t="s">
        <v>496</v>
      </c>
      <c r="G310" s="176"/>
      <c r="H310" s="171">
        <v>30.0</v>
      </c>
      <c r="I310" s="171">
        <v>30.0</v>
      </c>
      <c r="J310" s="391">
        <f t="shared" si="35"/>
        <v>0.001271150805</v>
      </c>
      <c r="K310" s="392">
        <f t="shared" si="36"/>
        <v>0.6737099268</v>
      </c>
      <c r="L310" s="327">
        <f t="shared" si="37"/>
        <v>0.6737099268</v>
      </c>
      <c r="M310" s="321" t="str">
        <f t="shared" si="5"/>
        <v>unquale</v>
      </c>
      <c r="N310" s="176">
        <f>IFERROR(__xludf.DUMMYFUNCTION("""COMPUTED_VALUE"""),1.0)</f>
        <v>1</v>
      </c>
      <c r="O310" s="176"/>
      <c r="P310" s="176"/>
      <c r="Q310" s="176"/>
      <c r="R310" s="176"/>
      <c r="S310" s="176"/>
      <c r="T310" s="176"/>
      <c r="U310" s="176"/>
      <c r="V310" s="176"/>
      <c r="W310" s="176"/>
      <c r="X310" s="176"/>
      <c r="Y310" s="176"/>
      <c r="Z310" s="176"/>
    </row>
    <row r="311">
      <c r="A311" s="226" t="s">
        <v>59</v>
      </c>
      <c r="B311" s="226" t="s">
        <v>868</v>
      </c>
      <c r="C311" s="250" t="s">
        <v>3567</v>
      </c>
      <c r="D311" s="268" t="s">
        <v>495</v>
      </c>
      <c r="E311" s="251">
        <v>44148.0</v>
      </c>
      <c r="F311" s="250" t="s">
        <v>496</v>
      </c>
      <c r="G311" s="176"/>
      <c r="H311" s="171">
        <v>100.0</v>
      </c>
      <c r="I311" s="171">
        <v>100.0</v>
      </c>
      <c r="J311" s="391">
        <f t="shared" si="35"/>
        <v>0.004237169351</v>
      </c>
      <c r="K311" s="392">
        <f t="shared" si="36"/>
        <v>2.245699756</v>
      </c>
      <c r="L311" s="327">
        <f t="shared" si="37"/>
        <v>0.6041795365</v>
      </c>
      <c r="M311" s="321" t="str">
        <f t="shared" si="5"/>
        <v>krisjones</v>
      </c>
      <c r="N311" s="176">
        <f>IFERROR(__xludf.DUMMYFUNCTION("""COMPUTED_VALUE"""),1.0)</f>
        <v>1</v>
      </c>
      <c r="O311" s="176"/>
      <c r="P311" s="176"/>
      <c r="Q311" s="176"/>
      <c r="R311" s="176"/>
      <c r="S311" s="176"/>
      <c r="T311" s="176"/>
      <c r="U311" s="176"/>
      <c r="V311" s="176"/>
      <c r="W311" s="176"/>
      <c r="X311" s="176"/>
      <c r="Y311" s="176"/>
      <c r="Z311" s="176"/>
    </row>
    <row r="312">
      <c r="A312" s="226" t="s">
        <v>59</v>
      </c>
      <c r="B312" s="226" t="s">
        <v>5</v>
      </c>
      <c r="C312" s="250" t="s">
        <v>3573</v>
      </c>
      <c r="D312" s="268" t="s">
        <v>495</v>
      </c>
      <c r="E312" s="251">
        <v>44147.0</v>
      </c>
      <c r="F312" s="250" t="s">
        <v>496</v>
      </c>
      <c r="G312" s="176"/>
      <c r="H312" s="171">
        <v>30.0</v>
      </c>
      <c r="I312" s="171">
        <v>30.0</v>
      </c>
      <c r="J312" s="391">
        <f t="shared" si="35"/>
        <v>0.001271150805</v>
      </c>
      <c r="K312" s="392">
        <f t="shared" si="36"/>
        <v>0.6737099268</v>
      </c>
      <c r="L312" s="327">
        <f t="shared" si="37"/>
        <v>0.6041795365</v>
      </c>
      <c r="M312" s="321" t="str">
        <f t="shared" si="5"/>
        <v>krisjones</v>
      </c>
      <c r="N312" s="176">
        <f>IFERROR(__xludf.DUMMYFUNCTION("""COMPUTED_VALUE"""),2.0)</f>
        <v>2</v>
      </c>
      <c r="O312" s="176"/>
      <c r="P312" s="176"/>
      <c r="Q312" s="176"/>
      <c r="R312" s="176"/>
      <c r="S312" s="176"/>
      <c r="T312" s="176"/>
      <c r="U312" s="176"/>
      <c r="V312" s="176"/>
      <c r="W312" s="176"/>
      <c r="X312" s="176"/>
      <c r="Y312" s="176"/>
      <c r="Z312" s="176"/>
    </row>
    <row r="313">
      <c r="A313" s="226" t="s">
        <v>59</v>
      </c>
      <c r="B313" s="226" t="s">
        <v>29</v>
      </c>
      <c r="C313" s="250" t="s">
        <v>3632</v>
      </c>
      <c r="D313" s="268" t="s">
        <v>495</v>
      </c>
      <c r="E313" s="251">
        <v>44154.0</v>
      </c>
      <c r="F313" s="250" t="s">
        <v>592</v>
      </c>
      <c r="G313" s="176"/>
      <c r="H313" s="171">
        <v>30.0</v>
      </c>
      <c r="I313" s="171">
        <v>30.0</v>
      </c>
      <c r="J313" s="391">
        <f t="shared" si="35"/>
        <v>0.001271150805</v>
      </c>
      <c r="K313" s="392">
        <f t="shared" si="36"/>
        <v>0.6737099268</v>
      </c>
      <c r="L313" s="327">
        <f t="shared" si="37"/>
        <v>0.6041795365</v>
      </c>
      <c r="M313" s="321" t="str">
        <f t="shared" si="5"/>
        <v>krisjones</v>
      </c>
      <c r="N313" s="176">
        <f>IFERROR(__xludf.DUMMYFUNCTION("""COMPUTED_VALUE"""),3.0)</f>
        <v>3</v>
      </c>
      <c r="O313" s="176"/>
      <c r="P313" s="176"/>
      <c r="Q313" s="176"/>
      <c r="R313" s="176"/>
      <c r="S313" s="176"/>
      <c r="T313" s="176"/>
      <c r="U313" s="176"/>
      <c r="V313" s="176"/>
      <c r="W313" s="176"/>
      <c r="X313" s="176"/>
      <c r="Y313" s="176"/>
      <c r="Z313" s="176"/>
    </row>
    <row r="314">
      <c r="A314" s="226" t="s">
        <v>59</v>
      </c>
      <c r="B314" s="226" t="s">
        <v>590</v>
      </c>
      <c r="C314" s="250" t="s">
        <v>3571</v>
      </c>
      <c r="D314" s="268" t="s">
        <v>495</v>
      </c>
      <c r="E314" s="251">
        <v>44155.0</v>
      </c>
      <c r="F314" s="250" t="s">
        <v>496</v>
      </c>
      <c r="G314" s="176"/>
      <c r="H314" s="171">
        <v>30.0</v>
      </c>
      <c r="I314" s="171">
        <v>30.0</v>
      </c>
      <c r="J314" s="391">
        <f t="shared" si="35"/>
        <v>0.001271150805</v>
      </c>
      <c r="K314" s="392">
        <f t="shared" si="36"/>
        <v>0.6737099268</v>
      </c>
      <c r="L314" s="327">
        <f t="shared" si="37"/>
        <v>0.6041795365</v>
      </c>
      <c r="M314" s="321" t="str">
        <f t="shared" si="5"/>
        <v>krisjones</v>
      </c>
      <c r="N314" s="176">
        <f>IFERROR(__xludf.DUMMYFUNCTION("""COMPUTED_VALUE"""),4.0)</f>
        <v>4</v>
      </c>
      <c r="O314" s="176"/>
      <c r="P314" s="176"/>
      <c r="Q314" s="176"/>
      <c r="R314" s="176"/>
      <c r="S314" s="176"/>
      <c r="T314" s="176"/>
      <c r="U314" s="176"/>
      <c r="V314" s="176"/>
      <c r="W314" s="176"/>
      <c r="X314" s="176"/>
      <c r="Y314" s="176"/>
      <c r="Z314" s="176"/>
    </row>
    <row r="315">
      <c r="A315" s="240" t="s">
        <v>59</v>
      </c>
      <c r="B315" s="240" t="s">
        <v>519</v>
      </c>
      <c r="C315" s="398" t="s">
        <v>810</v>
      </c>
      <c r="D315" s="336"/>
      <c r="E315" s="340"/>
      <c r="F315" s="254"/>
      <c r="G315" s="222"/>
      <c r="H315" s="222"/>
      <c r="I315" s="222"/>
      <c r="J315" s="394"/>
      <c r="K315" s="395">
        <f>4.309*-0.85</f>
        <v>-3.66265</v>
      </c>
      <c r="L315" s="327">
        <f t="array" ref="L315">dsum($A$3:$K$533,"Cred per Praise",{$A$3;A315})</f>
        <v>0.6041795365</v>
      </c>
      <c r="M315" s="321" t="str">
        <f t="shared" si="5"/>
        <v>krisjones</v>
      </c>
      <c r="N315" s="209">
        <f>IFERROR(__xludf.DUMMYFUNCTION("""COMPUTED_VALUE"""),5.0)</f>
        <v>5</v>
      </c>
      <c r="O315" s="209"/>
      <c r="P315" s="209"/>
      <c r="Q315" s="209"/>
      <c r="R315" s="209"/>
      <c r="S315" s="209"/>
      <c r="T315" s="209"/>
      <c r="U315" s="209"/>
      <c r="V315" s="209"/>
      <c r="W315" s="209"/>
      <c r="X315" s="209"/>
      <c r="Y315" s="176"/>
      <c r="Z315" s="176"/>
    </row>
    <row r="316">
      <c r="A316" s="226" t="s">
        <v>117</v>
      </c>
      <c r="B316" s="226" t="s">
        <v>845</v>
      </c>
      <c r="C316" s="250" t="s">
        <v>3691</v>
      </c>
      <c r="D316" s="268" t="s">
        <v>495</v>
      </c>
      <c r="E316" s="251">
        <v>44148.0</v>
      </c>
      <c r="F316" s="250" t="s">
        <v>496</v>
      </c>
      <c r="G316" s="176"/>
      <c r="H316" s="171">
        <v>100.0</v>
      </c>
      <c r="I316" s="171">
        <v>150.0</v>
      </c>
      <c r="J316" s="391">
        <f t="shared" ref="J316:J317" si="38">(H316/$H$2+I316/$I$2)/2</f>
        <v>0.005398339811</v>
      </c>
      <c r="K316" s="392">
        <f t="shared" ref="K316:K317" si="39">J316*$J$1</f>
        <v>2.8611201</v>
      </c>
      <c r="L316" s="327">
        <f t="shared" ref="L316:L317" si="40">dsum($A$3:$K$355,"Cred per Praise",{$A$3;A316})</f>
        <v>0.5635699778</v>
      </c>
      <c r="M316" s="321" t="str">
        <f t="shared" si="5"/>
        <v>gfriis</v>
      </c>
      <c r="N316" s="176">
        <f>IFERROR(__xludf.DUMMYFUNCTION("""COMPUTED_VALUE"""),1.0)</f>
        <v>1</v>
      </c>
      <c r="O316" s="176"/>
      <c r="P316" s="176"/>
      <c r="Q316" s="176"/>
      <c r="R316" s="176"/>
      <c r="S316" s="176"/>
      <c r="T316" s="176"/>
      <c r="U316" s="176"/>
      <c r="V316" s="176"/>
      <c r="W316" s="176"/>
      <c r="X316" s="176"/>
      <c r="Y316" s="176"/>
      <c r="Z316" s="176"/>
    </row>
    <row r="317">
      <c r="A317" s="226" t="s">
        <v>117</v>
      </c>
      <c r="B317" s="226" t="s">
        <v>845</v>
      </c>
      <c r="C317" s="250" t="s">
        <v>3692</v>
      </c>
      <c r="D317" s="268" t="s">
        <v>495</v>
      </c>
      <c r="E317" s="251">
        <v>44152.0</v>
      </c>
      <c r="F317" s="250" t="s">
        <v>496</v>
      </c>
      <c r="G317" s="176"/>
      <c r="H317" s="171">
        <v>50.0</v>
      </c>
      <c r="I317" s="171">
        <v>50.0</v>
      </c>
      <c r="J317" s="391">
        <f t="shared" si="38"/>
        <v>0.002118584676</v>
      </c>
      <c r="K317" s="392">
        <f t="shared" si="39"/>
        <v>1.122849878</v>
      </c>
      <c r="L317" s="327">
        <f t="shared" si="40"/>
        <v>0.5635699778</v>
      </c>
      <c r="M317" s="321" t="str">
        <f t="shared" si="5"/>
        <v>gfriis</v>
      </c>
      <c r="N317" s="176">
        <f>IFERROR(__xludf.DUMMYFUNCTION("""COMPUTED_VALUE"""),2.0)</f>
        <v>2</v>
      </c>
      <c r="O317" s="176"/>
      <c r="P317" s="176"/>
      <c r="Q317" s="176"/>
      <c r="R317" s="176"/>
      <c r="S317" s="176"/>
      <c r="T317" s="176"/>
      <c r="U317" s="176"/>
      <c r="V317" s="176"/>
      <c r="W317" s="176"/>
      <c r="X317" s="176"/>
      <c r="Y317" s="176"/>
      <c r="Z317" s="176"/>
    </row>
    <row r="318">
      <c r="A318" s="343" t="s">
        <v>117</v>
      </c>
      <c r="B318" s="343" t="s">
        <v>519</v>
      </c>
      <c r="C318" s="221" t="s">
        <v>684</v>
      </c>
      <c r="D318" s="336"/>
      <c r="E318" s="255"/>
      <c r="F318" s="254"/>
      <c r="G318" s="222"/>
      <c r="H318" s="222"/>
      <c r="I318" s="222"/>
      <c r="J318" s="394"/>
      <c r="K318" s="395">
        <f>4.024*-0.85</f>
        <v>-3.4204</v>
      </c>
      <c r="L318" s="327">
        <f t="array" ref="L318">dsum($A$3:$K$533,"Cred per Praise",{$A$3;A318})</f>
        <v>0.5635699778</v>
      </c>
      <c r="M318" s="321" t="str">
        <f t="shared" si="5"/>
        <v>gfriis</v>
      </c>
      <c r="N318" s="209">
        <f>IFERROR(__xludf.DUMMYFUNCTION("""COMPUTED_VALUE"""),3.0)</f>
        <v>3</v>
      </c>
      <c r="O318" s="209"/>
      <c r="P318" s="209"/>
      <c r="Q318" s="209"/>
      <c r="R318" s="209"/>
      <c r="S318" s="209"/>
      <c r="T318" s="209"/>
      <c r="U318" s="209"/>
      <c r="V318" s="209"/>
      <c r="W318" s="209"/>
      <c r="X318" s="209"/>
      <c r="Y318" s="176"/>
      <c r="Z318" s="176"/>
    </row>
    <row r="319">
      <c r="A319" s="226" t="s">
        <v>82</v>
      </c>
      <c r="B319" s="226" t="s">
        <v>5</v>
      </c>
      <c r="C319" s="250" t="s">
        <v>3607</v>
      </c>
      <c r="D319" s="268" t="s">
        <v>495</v>
      </c>
      <c r="E319" s="251">
        <v>44151.0</v>
      </c>
      <c r="F319" s="250" t="s">
        <v>496</v>
      </c>
      <c r="G319" s="176"/>
      <c r="H319" s="171">
        <v>20.0</v>
      </c>
      <c r="I319" s="171">
        <v>30.0</v>
      </c>
      <c r="J319" s="391">
        <f t="shared" ref="J319:J322" si="41">(H319/$H$2+I319/$I$2)/2</f>
        <v>0.001079667962</v>
      </c>
      <c r="K319" s="392">
        <f t="shared" ref="K319:K322" si="42">J319*$J$1</f>
        <v>0.5722240199</v>
      </c>
      <c r="L319" s="327">
        <f t="shared" ref="L319:L322" si="43">dsum($A$3:$K$355,"Cred per Praise",{$A$3;A319})</f>
        <v>0.5722240199</v>
      </c>
      <c r="M319" s="321" t="str">
        <f t="shared" si="5"/>
        <v>elihanover</v>
      </c>
      <c r="N319" s="176">
        <f>IFERROR(__xludf.DUMMYFUNCTION("""COMPUTED_VALUE"""),1.0)</f>
        <v>1</v>
      </c>
      <c r="O319" s="176"/>
      <c r="P319" s="176"/>
      <c r="Q319" s="176"/>
      <c r="R319" s="176"/>
      <c r="S319" s="176"/>
      <c r="T319" s="176"/>
      <c r="U319" s="176"/>
      <c r="V319" s="176"/>
      <c r="W319" s="176"/>
      <c r="X319" s="176"/>
      <c r="Y319" s="176"/>
      <c r="Z319" s="176"/>
    </row>
    <row r="320">
      <c r="A320" s="226" t="s">
        <v>61</v>
      </c>
      <c r="B320" s="226" t="s">
        <v>519</v>
      </c>
      <c r="C320" s="250" t="s">
        <v>3619</v>
      </c>
      <c r="D320" s="268" t="s">
        <v>495</v>
      </c>
      <c r="E320" s="251">
        <v>44145.0</v>
      </c>
      <c r="F320" s="250" t="s">
        <v>496</v>
      </c>
      <c r="G320" s="243"/>
      <c r="H320" s="171">
        <v>100.0</v>
      </c>
      <c r="I320" s="171">
        <v>100.0</v>
      </c>
      <c r="J320" s="391">
        <f t="shared" si="41"/>
        <v>0.004237169351</v>
      </c>
      <c r="K320" s="392">
        <f t="shared" si="42"/>
        <v>2.245699756</v>
      </c>
      <c r="L320" s="327">
        <f t="shared" si="43"/>
        <v>0.5084696097</v>
      </c>
      <c r="M320" s="321" t="str">
        <f t="shared" si="5"/>
        <v>fabimol</v>
      </c>
      <c r="N320" s="176">
        <f>IFERROR(__xludf.DUMMYFUNCTION("""COMPUTED_VALUE"""),1.0)</f>
        <v>1</v>
      </c>
      <c r="O320" s="176"/>
      <c r="P320" s="176"/>
      <c r="Q320" s="176"/>
      <c r="R320" s="176"/>
      <c r="S320" s="176"/>
      <c r="T320" s="176"/>
      <c r="U320" s="176"/>
      <c r="V320" s="176"/>
      <c r="W320" s="176"/>
      <c r="X320" s="176"/>
      <c r="Y320" s="176"/>
      <c r="Z320" s="176"/>
    </row>
    <row r="321">
      <c r="A321" s="226" t="s">
        <v>61</v>
      </c>
      <c r="B321" s="226" t="s">
        <v>590</v>
      </c>
      <c r="C321" s="250" t="s">
        <v>3590</v>
      </c>
      <c r="D321" s="268" t="s">
        <v>495</v>
      </c>
      <c r="E321" s="361">
        <v>44144.0</v>
      </c>
      <c r="F321" s="250" t="s">
        <v>496</v>
      </c>
      <c r="G321" s="243"/>
      <c r="H321" s="171">
        <v>30.0</v>
      </c>
      <c r="I321" s="171">
        <v>30.0</v>
      </c>
      <c r="J321" s="391">
        <f t="shared" si="41"/>
        <v>0.001271150805</v>
      </c>
      <c r="K321" s="392">
        <f t="shared" si="42"/>
        <v>0.6737099268</v>
      </c>
      <c r="L321" s="327">
        <f t="shared" si="43"/>
        <v>0.5084696097</v>
      </c>
      <c r="M321" s="321" t="str">
        <f t="shared" si="5"/>
        <v>fabimol</v>
      </c>
      <c r="N321" s="176">
        <f>IFERROR(__xludf.DUMMYFUNCTION("""COMPUTED_VALUE"""),2.0)</f>
        <v>2</v>
      </c>
      <c r="O321" s="176"/>
      <c r="P321" s="176"/>
      <c r="Q321" s="176"/>
      <c r="R321" s="176"/>
      <c r="S321" s="176"/>
      <c r="T321" s="176"/>
      <c r="U321" s="176"/>
      <c r="V321" s="176"/>
      <c r="W321" s="176"/>
      <c r="X321" s="176"/>
      <c r="Y321" s="176"/>
      <c r="Z321" s="176"/>
    </row>
    <row r="322">
      <c r="A322" s="226" t="s">
        <v>61</v>
      </c>
      <c r="B322" s="226" t="s">
        <v>5</v>
      </c>
      <c r="C322" s="250" t="s">
        <v>3573</v>
      </c>
      <c r="D322" s="268" t="s">
        <v>495</v>
      </c>
      <c r="E322" s="251">
        <v>44147.0</v>
      </c>
      <c r="F322" s="250" t="s">
        <v>496</v>
      </c>
      <c r="G322" s="176"/>
      <c r="H322" s="171">
        <v>30.0</v>
      </c>
      <c r="I322" s="171">
        <v>30.0</v>
      </c>
      <c r="J322" s="391">
        <f t="shared" si="41"/>
        <v>0.001271150805</v>
      </c>
      <c r="K322" s="392">
        <f t="shared" si="42"/>
        <v>0.6737099268</v>
      </c>
      <c r="L322" s="327">
        <f t="shared" si="43"/>
        <v>0.5084696097</v>
      </c>
      <c r="M322" s="321" t="str">
        <f t="shared" si="5"/>
        <v>fabimol</v>
      </c>
      <c r="N322" s="176">
        <f>IFERROR(__xludf.DUMMYFUNCTION("""COMPUTED_VALUE"""),3.0)</f>
        <v>3</v>
      </c>
      <c r="O322" s="176"/>
      <c r="P322" s="176"/>
      <c r="Q322" s="176"/>
      <c r="R322" s="176"/>
      <c r="S322" s="176"/>
      <c r="T322" s="176"/>
      <c r="U322" s="176"/>
      <c r="V322" s="176"/>
      <c r="W322" s="176"/>
      <c r="X322" s="176"/>
      <c r="Y322" s="176"/>
      <c r="Z322" s="176"/>
    </row>
    <row r="323">
      <c r="A323" s="362" t="s">
        <v>61</v>
      </c>
      <c r="B323" s="240" t="s">
        <v>18</v>
      </c>
      <c r="C323" s="397" t="s">
        <v>3660</v>
      </c>
      <c r="D323" s="336"/>
      <c r="E323" s="255"/>
      <c r="F323" s="254"/>
      <c r="G323" s="222"/>
      <c r="H323" s="222"/>
      <c r="I323" s="222"/>
      <c r="J323" s="394"/>
      <c r="K323" s="395">
        <f>3.629*-0.85</f>
        <v>-3.08465</v>
      </c>
      <c r="L323" s="327">
        <f t="array" ref="L323">dsum($A$3:$K$533,"Cred per Praise",{$A$3;A323})</f>
        <v>0.5084696097</v>
      </c>
      <c r="M323" s="321" t="str">
        <f t="shared" si="5"/>
        <v>fabimol</v>
      </c>
      <c r="N323" s="209">
        <f>IFERROR(__xludf.DUMMYFUNCTION("""COMPUTED_VALUE"""),4.0)</f>
        <v>4</v>
      </c>
      <c r="O323" s="176"/>
      <c r="P323" s="176"/>
      <c r="Q323" s="176"/>
      <c r="R323" s="176"/>
      <c r="S323" s="176"/>
      <c r="T323" s="176"/>
      <c r="U323" s="176"/>
      <c r="V323" s="176"/>
      <c r="W323" s="176"/>
      <c r="X323" s="176"/>
      <c r="Y323" s="176"/>
      <c r="Z323" s="176"/>
    </row>
    <row r="324">
      <c r="A324" s="226" t="s">
        <v>10</v>
      </c>
      <c r="B324" s="226" t="s">
        <v>519</v>
      </c>
      <c r="C324" s="250" t="s">
        <v>3693</v>
      </c>
      <c r="D324" s="268" t="s">
        <v>495</v>
      </c>
      <c r="E324" s="251">
        <v>44147.0</v>
      </c>
      <c r="F324" s="250" t="s">
        <v>496</v>
      </c>
      <c r="G324" s="243"/>
      <c r="H324" s="171">
        <v>60.0</v>
      </c>
      <c r="I324" s="171">
        <v>80.0</v>
      </c>
      <c r="J324" s="391">
        <f>(H324/$H$2+I324/$I$2)/2</f>
        <v>0.003006769795</v>
      </c>
      <c r="K324" s="392">
        <f>J324*$J$1</f>
        <v>1.593587991</v>
      </c>
      <c r="L324" s="327">
        <f t="array" ref="L324">dsum($A$3:$K$355,"Cred per Praise",{$A$3;A324})</f>
        <v>0.2250879911</v>
      </c>
      <c r="M324" s="321" t="str">
        <f t="shared" si="5"/>
        <v>iviangita</v>
      </c>
      <c r="N324" s="176">
        <f>IFERROR(__xludf.DUMMYFUNCTION("""COMPUTED_VALUE"""),1.0)</f>
        <v>1</v>
      </c>
      <c r="O324" s="176"/>
      <c r="P324" s="176"/>
      <c r="Q324" s="176"/>
      <c r="R324" s="176"/>
      <c r="S324" s="176"/>
      <c r="T324" s="176"/>
      <c r="U324" s="176"/>
      <c r="V324" s="176"/>
      <c r="W324" s="176"/>
      <c r="X324" s="176"/>
      <c r="Y324" s="176"/>
      <c r="Z324" s="176"/>
    </row>
    <row r="325">
      <c r="A325" s="240" t="s">
        <v>10</v>
      </c>
      <c r="B325" s="240" t="s">
        <v>519</v>
      </c>
      <c r="C325" s="221" t="s">
        <v>781</v>
      </c>
      <c r="D325" s="336"/>
      <c r="E325" s="255"/>
      <c r="F325" s="254"/>
      <c r="G325" s="222"/>
      <c r="H325" s="222"/>
      <c r="I325" s="222"/>
      <c r="J325" s="394"/>
      <c r="K325" s="395">
        <f>1.61*-0.85</f>
        <v>-1.3685</v>
      </c>
      <c r="L325" s="327">
        <f t="array" ref="L325">dsum($A$3:$K$533,"Cred per Praise",{$A$3;A325})</f>
        <v>0.2250879911</v>
      </c>
      <c r="M325" s="321" t="str">
        <f t="shared" si="5"/>
        <v>iviangita</v>
      </c>
      <c r="N325" s="209">
        <f>IFERROR(__xludf.DUMMYFUNCTION("""COMPUTED_VALUE"""),2.0)</f>
        <v>2</v>
      </c>
      <c r="O325" s="209"/>
      <c r="P325" s="209"/>
      <c r="Q325" s="209"/>
      <c r="R325" s="209"/>
      <c r="S325" s="209"/>
      <c r="T325" s="209"/>
      <c r="U325" s="209"/>
      <c r="V325" s="209"/>
      <c r="W325" s="209"/>
      <c r="X325" s="209"/>
      <c r="Y325" s="176"/>
      <c r="Z325" s="176"/>
    </row>
    <row r="326">
      <c r="A326" s="226" t="s">
        <v>377</v>
      </c>
      <c r="B326" s="226" t="s">
        <v>5</v>
      </c>
      <c r="C326" s="250" t="s">
        <v>3622</v>
      </c>
      <c r="D326" s="268" t="s">
        <v>495</v>
      </c>
      <c r="E326" s="251">
        <v>44151.0</v>
      </c>
      <c r="F326" s="250" t="s">
        <v>496</v>
      </c>
      <c r="G326" s="176"/>
      <c r="H326" s="171">
        <v>5.0</v>
      </c>
      <c r="I326" s="171">
        <v>5.0</v>
      </c>
      <c r="J326" s="391">
        <f t="shared" ref="J326:J376" si="44">(H326/$H$2+I326/$I$2)/2</f>
        <v>0.0002118584676</v>
      </c>
      <c r="K326" s="392">
        <f t="shared" ref="K326:K376" si="45">J326*$J$1</f>
        <v>0.1122849878</v>
      </c>
      <c r="L326" s="327">
        <f t="shared" ref="L326:L376" si="46">dsum($A$3:$K$355,"Cred per Praise",{$A$3;A326})</f>
        <v>0.1122849878</v>
      </c>
      <c r="M326" s="321" t="str">
        <f t="shared" si="5"/>
        <v>marveloushelper</v>
      </c>
      <c r="N326" s="176">
        <f>IFERROR(__xludf.DUMMYFUNCTION("""COMPUTED_VALUE"""),1.0)</f>
        <v>1</v>
      </c>
      <c r="O326" s="176"/>
      <c r="P326" s="176"/>
      <c r="Q326" s="176"/>
      <c r="R326" s="176"/>
      <c r="S326" s="176"/>
      <c r="T326" s="176"/>
      <c r="U326" s="176"/>
      <c r="V326" s="176"/>
      <c r="W326" s="176"/>
      <c r="X326" s="176"/>
      <c r="Y326" s="176"/>
      <c r="Z326" s="176"/>
    </row>
    <row r="327">
      <c r="A327" s="226" t="s">
        <v>16</v>
      </c>
      <c r="B327" s="226" t="s">
        <v>18</v>
      </c>
      <c r="C327" s="250" t="s">
        <v>3575</v>
      </c>
      <c r="D327" s="268" t="s">
        <v>495</v>
      </c>
      <c r="E327" s="361">
        <v>44141.0</v>
      </c>
      <c r="F327" s="250" t="s">
        <v>496</v>
      </c>
      <c r="G327" s="243"/>
      <c r="H327" s="171">
        <v>0.0</v>
      </c>
      <c r="I327" s="171">
        <v>0.0</v>
      </c>
      <c r="J327" s="391">
        <f t="shared" si="44"/>
        <v>0</v>
      </c>
      <c r="K327" s="392">
        <f t="shared" si="45"/>
        <v>0</v>
      </c>
      <c r="L327" s="327">
        <f t="shared" si="46"/>
        <v>0</v>
      </c>
      <c r="M327" s="321" t="str">
        <f t="shared" si="5"/>
        <v>griffgreen</v>
      </c>
      <c r="N327" s="176">
        <f>IFERROR(__xludf.DUMMYFUNCTION("""COMPUTED_VALUE"""),1.0)</f>
        <v>1</v>
      </c>
      <c r="O327" s="176"/>
      <c r="P327" s="176"/>
      <c r="Q327" s="176"/>
      <c r="R327" s="176"/>
      <c r="S327" s="176"/>
      <c r="T327" s="176"/>
      <c r="U327" s="176"/>
      <c r="V327" s="176"/>
      <c r="W327" s="176"/>
      <c r="X327" s="176"/>
      <c r="Y327" s="176"/>
      <c r="Z327" s="176"/>
    </row>
    <row r="328">
      <c r="A328" s="226" t="s">
        <v>18</v>
      </c>
      <c r="B328" s="226" t="s">
        <v>18</v>
      </c>
      <c r="C328" s="250" t="s">
        <v>3575</v>
      </c>
      <c r="D328" s="268" t="s">
        <v>495</v>
      </c>
      <c r="E328" s="361">
        <v>44141.0</v>
      </c>
      <c r="F328" s="250" t="s">
        <v>496</v>
      </c>
      <c r="G328" s="243"/>
      <c r="H328" s="171">
        <v>0.0</v>
      </c>
      <c r="I328" s="171">
        <v>0.0</v>
      </c>
      <c r="J328" s="391">
        <f t="shared" si="44"/>
        <v>0</v>
      </c>
      <c r="K328" s="392">
        <f t="shared" si="45"/>
        <v>0</v>
      </c>
      <c r="L328" s="327">
        <f t="shared" si="46"/>
        <v>0</v>
      </c>
      <c r="M328" s="321" t="str">
        <f t="shared" si="5"/>
        <v>liviade</v>
      </c>
      <c r="N328" s="176">
        <f>IFERROR(__xludf.DUMMYFUNCTION("""COMPUTED_VALUE"""),1.0)</f>
        <v>1</v>
      </c>
      <c r="O328" s="176"/>
      <c r="P328" s="176"/>
      <c r="Q328" s="176"/>
      <c r="R328" s="176"/>
      <c r="S328" s="176"/>
      <c r="T328" s="176"/>
      <c r="U328" s="176"/>
      <c r="V328" s="176"/>
      <c r="W328" s="176"/>
      <c r="X328" s="176"/>
      <c r="Y328" s="176"/>
      <c r="Z328" s="176"/>
    </row>
    <row r="329">
      <c r="A329" s="226" t="s">
        <v>18</v>
      </c>
      <c r="B329" s="226" t="s">
        <v>1228</v>
      </c>
      <c r="C329" s="250" t="s">
        <v>3566</v>
      </c>
      <c r="D329" s="268" t="s">
        <v>495</v>
      </c>
      <c r="E329" s="361">
        <v>44141.0</v>
      </c>
      <c r="F329" s="250" t="s">
        <v>496</v>
      </c>
      <c r="G329" s="243"/>
      <c r="H329" s="171">
        <v>0.0</v>
      </c>
      <c r="I329" s="171">
        <v>0.0</v>
      </c>
      <c r="J329" s="391">
        <f t="shared" si="44"/>
        <v>0</v>
      </c>
      <c r="K329" s="392">
        <f t="shared" si="45"/>
        <v>0</v>
      </c>
      <c r="L329" s="327">
        <f t="shared" si="46"/>
        <v>0</v>
      </c>
      <c r="M329" s="321" t="str">
        <f t="shared" si="5"/>
        <v>liviade</v>
      </c>
      <c r="N329" s="176">
        <f>IFERROR(__xludf.DUMMYFUNCTION("""COMPUTED_VALUE"""),2.0)</f>
        <v>2</v>
      </c>
      <c r="O329" s="176"/>
      <c r="P329" s="176"/>
      <c r="Q329" s="176"/>
      <c r="R329" s="176"/>
      <c r="S329" s="176"/>
      <c r="T329" s="176"/>
      <c r="U329" s="176"/>
      <c r="V329" s="176"/>
      <c r="W329" s="176"/>
      <c r="X329" s="176"/>
      <c r="Y329" s="176"/>
      <c r="Z329" s="176"/>
    </row>
    <row r="330">
      <c r="A330" s="226" t="s">
        <v>16</v>
      </c>
      <c r="B330" s="226" t="s">
        <v>1228</v>
      </c>
      <c r="C330" s="250" t="s">
        <v>3566</v>
      </c>
      <c r="D330" s="268" t="s">
        <v>495</v>
      </c>
      <c r="E330" s="361">
        <v>44141.0</v>
      </c>
      <c r="F330" s="250" t="s">
        <v>496</v>
      </c>
      <c r="G330" s="243"/>
      <c r="H330" s="171">
        <v>0.0</v>
      </c>
      <c r="I330" s="171">
        <v>0.0</v>
      </c>
      <c r="J330" s="391">
        <f t="shared" si="44"/>
        <v>0</v>
      </c>
      <c r="K330" s="392">
        <f t="shared" si="45"/>
        <v>0</v>
      </c>
      <c r="L330" s="327">
        <f t="shared" si="46"/>
        <v>0</v>
      </c>
      <c r="M330" s="321" t="str">
        <f t="shared" si="5"/>
        <v>griffgreen</v>
      </c>
      <c r="N330" s="176">
        <f>IFERROR(__xludf.DUMMYFUNCTION("""COMPUTED_VALUE"""),2.0)</f>
        <v>2</v>
      </c>
      <c r="O330" s="176"/>
      <c r="P330" s="176"/>
      <c r="Q330" s="176"/>
      <c r="R330" s="176"/>
      <c r="S330" s="176"/>
      <c r="T330" s="176"/>
      <c r="U330" s="176"/>
      <c r="V330" s="176"/>
      <c r="W330" s="176"/>
      <c r="X330" s="176"/>
      <c r="Y330" s="176"/>
      <c r="Z330" s="176"/>
    </row>
    <row r="331">
      <c r="A331" s="226" t="s">
        <v>16</v>
      </c>
      <c r="B331" s="226" t="s">
        <v>590</v>
      </c>
      <c r="C331" s="250" t="s">
        <v>3590</v>
      </c>
      <c r="D331" s="268" t="s">
        <v>495</v>
      </c>
      <c r="E331" s="361">
        <v>44144.0</v>
      </c>
      <c r="F331" s="250" t="s">
        <v>496</v>
      </c>
      <c r="G331" s="243"/>
      <c r="H331" s="171">
        <v>0.0</v>
      </c>
      <c r="I331" s="171">
        <v>0.0</v>
      </c>
      <c r="J331" s="391">
        <f t="shared" si="44"/>
        <v>0</v>
      </c>
      <c r="K331" s="392">
        <f t="shared" si="45"/>
        <v>0</v>
      </c>
      <c r="L331" s="327">
        <f t="shared" si="46"/>
        <v>0</v>
      </c>
      <c r="M331" s="321" t="str">
        <f t="shared" si="5"/>
        <v>griffgreen</v>
      </c>
      <c r="N331" s="176">
        <f>IFERROR(__xludf.DUMMYFUNCTION("""COMPUTED_VALUE"""),3.0)</f>
        <v>3</v>
      </c>
      <c r="O331" s="176"/>
      <c r="P331" s="176"/>
      <c r="Q331" s="176"/>
      <c r="R331" s="176"/>
      <c r="S331" s="176"/>
      <c r="T331" s="176"/>
      <c r="U331" s="176"/>
      <c r="V331" s="176"/>
      <c r="W331" s="176"/>
      <c r="X331" s="176"/>
      <c r="Y331" s="176"/>
      <c r="Z331" s="176"/>
    </row>
    <row r="332">
      <c r="A332" s="226" t="s">
        <v>18</v>
      </c>
      <c r="B332" s="226" t="s">
        <v>18</v>
      </c>
      <c r="C332" s="250" t="s">
        <v>3592</v>
      </c>
      <c r="D332" s="268" t="s">
        <v>495</v>
      </c>
      <c r="E332" s="251">
        <v>44145.0</v>
      </c>
      <c r="F332" s="250" t="s">
        <v>496</v>
      </c>
      <c r="G332" s="243"/>
      <c r="H332" s="171">
        <v>0.0</v>
      </c>
      <c r="I332" s="171">
        <v>0.0</v>
      </c>
      <c r="J332" s="391">
        <f t="shared" si="44"/>
        <v>0</v>
      </c>
      <c r="K332" s="392">
        <f t="shared" si="45"/>
        <v>0</v>
      </c>
      <c r="L332" s="327">
        <f t="shared" si="46"/>
        <v>0</v>
      </c>
      <c r="M332" s="321" t="str">
        <f t="shared" si="5"/>
        <v>liviade</v>
      </c>
      <c r="N332" s="176">
        <f>IFERROR(__xludf.DUMMYFUNCTION("""COMPUTED_VALUE"""),3.0)</f>
        <v>3</v>
      </c>
      <c r="O332" s="176"/>
      <c r="P332" s="176"/>
      <c r="Q332" s="176"/>
      <c r="R332" s="176"/>
      <c r="S332" s="176"/>
      <c r="T332" s="176"/>
      <c r="U332" s="176"/>
      <c r="V332" s="176"/>
      <c r="W332" s="176"/>
      <c r="X332" s="176"/>
      <c r="Y332" s="176"/>
      <c r="Z332" s="176"/>
    </row>
    <row r="333">
      <c r="A333" s="226" t="s">
        <v>16</v>
      </c>
      <c r="B333" s="226" t="s">
        <v>519</v>
      </c>
      <c r="C333" s="250" t="s">
        <v>3619</v>
      </c>
      <c r="D333" s="268" t="s">
        <v>495</v>
      </c>
      <c r="E333" s="251">
        <v>44145.0</v>
      </c>
      <c r="F333" s="250" t="s">
        <v>496</v>
      </c>
      <c r="G333" s="243"/>
      <c r="H333" s="171">
        <v>0.0</v>
      </c>
      <c r="I333" s="171">
        <v>0.0</v>
      </c>
      <c r="J333" s="391">
        <f t="shared" si="44"/>
        <v>0</v>
      </c>
      <c r="K333" s="392">
        <f t="shared" si="45"/>
        <v>0</v>
      </c>
      <c r="L333" s="327">
        <f t="shared" si="46"/>
        <v>0</v>
      </c>
      <c r="M333" s="321" t="str">
        <f t="shared" si="5"/>
        <v>griffgreen</v>
      </c>
      <c r="N333" s="176">
        <f>IFERROR(__xludf.DUMMYFUNCTION("""COMPUTED_VALUE"""),4.0)</f>
        <v>4</v>
      </c>
      <c r="O333" s="176"/>
      <c r="P333" s="176"/>
      <c r="Q333" s="176"/>
      <c r="R333" s="176"/>
      <c r="S333" s="176"/>
      <c r="T333" s="176"/>
      <c r="U333" s="176"/>
      <c r="V333" s="176"/>
      <c r="W333" s="176"/>
      <c r="X333" s="176"/>
      <c r="Y333" s="176"/>
      <c r="Z333" s="176"/>
    </row>
    <row r="334">
      <c r="A334" s="226" t="s">
        <v>18</v>
      </c>
      <c r="B334" s="226" t="s">
        <v>5</v>
      </c>
      <c r="C334" s="250" t="s">
        <v>3580</v>
      </c>
      <c r="D334" s="268" t="s">
        <v>495</v>
      </c>
      <c r="E334" s="251">
        <v>44145.0</v>
      </c>
      <c r="F334" s="250" t="s">
        <v>496</v>
      </c>
      <c r="G334" s="243"/>
      <c r="H334" s="171">
        <v>0.0</v>
      </c>
      <c r="I334" s="171">
        <v>0.0</v>
      </c>
      <c r="J334" s="391">
        <f t="shared" si="44"/>
        <v>0</v>
      </c>
      <c r="K334" s="392">
        <f t="shared" si="45"/>
        <v>0</v>
      </c>
      <c r="L334" s="327">
        <f t="shared" si="46"/>
        <v>0</v>
      </c>
      <c r="M334" s="321" t="str">
        <f t="shared" si="5"/>
        <v>liviade</v>
      </c>
      <c r="N334" s="176">
        <f>IFERROR(__xludf.DUMMYFUNCTION("""COMPUTED_VALUE"""),4.0)</f>
        <v>4</v>
      </c>
      <c r="O334" s="176"/>
      <c r="P334" s="176"/>
      <c r="Q334" s="176"/>
      <c r="R334" s="176"/>
      <c r="S334" s="176"/>
      <c r="T334" s="176"/>
      <c r="U334" s="176"/>
      <c r="V334" s="176"/>
      <c r="W334" s="176"/>
      <c r="X334" s="176"/>
      <c r="Y334" s="176"/>
      <c r="Z334" s="176"/>
    </row>
    <row r="335">
      <c r="A335" s="226" t="s">
        <v>16</v>
      </c>
      <c r="B335" s="226" t="s">
        <v>5</v>
      </c>
      <c r="C335" s="250" t="s">
        <v>3580</v>
      </c>
      <c r="D335" s="268" t="s">
        <v>495</v>
      </c>
      <c r="E335" s="251">
        <v>44145.0</v>
      </c>
      <c r="F335" s="250" t="s">
        <v>496</v>
      </c>
      <c r="G335" s="243"/>
      <c r="H335" s="171">
        <v>0.0</v>
      </c>
      <c r="I335" s="171">
        <v>0.0</v>
      </c>
      <c r="J335" s="391">
        <f t="shared" si="44"/>
        <v>0</v>
      </c>
      <c r="K335" s="392">
        <f t="shared" si="45"/>
        <v>0</v>
      </c>
      <c r="L335" s="327">
        <f t="shared" si="46"/>
        <v>0</v>
      </c>
      <c r="M335" s="321" t="str">
        <f t="shared" si="5"/>
        <v>griffgreen</v>
      </c>
      <c r="N335" s="176">
        <f>IFERROR(__xludf.DUMMYFUNCTION("""COMPUTED_VALUE"""),5.0)</f>
        <v>5</v>
      </c>
      <c r="O335" s="176"/>
      <c r="P335" s="176"/>
      <c r="Q335" s="176"/>
      <c r="R335" s="176"/>
      <c r="S335" s="176"/>
      <c r="T335" s="176"/>
      <c r="U335" s="176"/>
      <c r="V335" s="176"/>
      <c r="W335" s="176"/>
      <c r="X335" s="176"/>
      <c r="Y335" s="176"/>
      <c r="Z335" s="176"/>
    </row>
    <row r="336">
      <c r="A336" s="226" t="s">
        <v>18</v>
      </c>
      <c r="B336" s="226" t="s">
        <v>5</v>
      </c>
      <c r="C336" s="250" t="s">
        <v>3574</v>
      </c>
      <c r="D336" s="268" t="s">
        <v>495</v>
      </c>
      <c r="E336" s="251">
        <v>44145.0</v>
      </c>
      <c r="F336" s="250" t="s">
        <v>496</v>
      </c>
      <c r="G336" s="243"/>
      <c r="H336" s="171">
        <v>0.0</v>
      </c>
      <c r="I336" s="171">
        <v>0.0</v>
      </c>
      <c r="J336" s="391">
        <f t="shared" si="44"/>
        <v>0</v>
      </c>
      <c r="K336" s="392">
        <f t="shared" si="45"/>
        <v>0</v>
      </c>
      <c r="L336" s="327">
        <f t="shared" si="46"/>
        <v>0</v>
      </c>
      <c r="M336" s="321" t="str">
        <f t="shared" si="5"/>
        <v>liviade</v>
      </c>
      <c r="N336" s="176">
        <f>IFERROR(__xludf.DUMMYFUNCTION("""COMPUTED_VALUE"""),5.0)</f>
        <v>5</v>
      </c>
      <c r="O336" s="176"/>
      <c r="P336" s="176"/>
      <c r="Q336" s="176"/>
      <c r="R336" s="176"/>
      <c r="S336" s="176"/>
      <c r="T336" s="176"/>
      <c r="U336" s="176"/>
      <c r="V336" s="176"/>
      <c r="W336" s="176"/>
      <c r="X336" s="176"/>
      <c r="Y336" s="176"/>
      <c r="Z336" s="176"/>
    </row>
    <row r="337">
      <c r="A337" s="226" t="s">
        <v>16</v>
      </c>
      <c r="B337" s="226" t="s">
        <v>5</v>
      </c>
      <c r="C337" s="250" t="s">
        <v>3574</v>
      </c>
      <c r="D337" s="268" t="s">
        <v>495</v>
      </c>
      <c r="E337" s="251">
        <v>44145.0</v>
      </c>
      <c r="F337" s="250" t="s">
        <v>496</v>
      </c>
      <c r="G337" s="243"/>
      <c r="H337" s="171">
        <v>0.0</v>
      </c>
      <c r="I337" s="171">
        <v>0.0</v>
      </c>
      <c r="J337" s="391">
        <f t="shared" si="44"/>
        <v>0</v>
      </c>
      <c r="K337" s="392">
        <f t="shared" si="45"/>
        <v>0</v>
      </c>
      <c r="L337" s="327">
        <f t="shared" si="46"/>
        <v>0</v>
      </c>
      <c r="M337" s="321" t="str">
        <f t="shared" si="5"/>
        <v>griffgreen</v>
      </c>
      <c r="N337" s="176">
        <f>IFERROR(__xludf.DUMMYFUNCTION("""COMPUTED_VALUE"""),6.0)</f>
        <v>6</v>
      </c>
      <c r="O337" s="176"/>
      <c r="P337" s="176"/>
      <c r="Q337" s="176"/>
      <c r="R337" s="176"/>
      <c r="S337" s="176"/>
      <c r="T337" s="176"/>
      <c r="U337" s="176"/>
      <c r="V337" s="176"/>
      <c r="W337" s="176"/>
      <c r="X337" s="176"/>
      <c r="Y337" s="176"/>
      <c r="Z337" s="176"/>
    </row>
    <row r="338">
      <c r="A338" s="226" t="s">
        <v>16</v>
      </c>
      <c r="B338" s="226" t="s">
        <v>519</v>
      </c>
      <c r="C338" s="250" t="s">
        <v>3610</v>
      </c>
      <c r="D338" s="268" t="s">
        <v>495</v>
      </c>
      <c r="E338" s="251">
        <v>44147.0</v>
      </c>
      <c r="F338" s="250" t="s">
        <v>496</v>
      </c>
      <c r="G338" s="243"/>
      <c r="H338" s="171">
        <v>0.0</v>
      </c>
      <c r="I338" s="171">
        <v>0.0</v>
      </c>
      <c r="J338" s="391">
        <f t="shared" si="44"/>
        <v>0</v>
      </c>
      <c r="K338" s="392">
        <f t="shared" si="45"/>
        <v>0</v>
      </c>
      <c r="L338" s="327">
        <f t="shared" si="46"/>
        <v>0</v>
      </c>
      <c r="M338" s="321" t="str">
        <f t="shared" si="5"/>
        <v>griffgreen</v>
      </c>
      <c r="N338" s="176">
        <f>IFERROR(__xludf.DUMMYFUNCTION("""COMPUTED_VALUE"""),7.0)</f>
        <v>7</v>
      </c>
      <c r="O338" s="176"/>
      <c r="P338" s="176"/>
      <c r="Q338" s="176"/>
      <c r="R338" s="176"/>
      <c r="S338" s="176"/>
      <c r="T338" s="176"/>
      <c r="U338" s="176"/>
      <c r="V338" s="176"/>
      <c r="W338" s="176"/>
      <c r="X338" s="176"/>
      <c r="Y338" s="176"/>
      <c r="Z338" s="176"/>
    </row>
    <row r="339">
      <c r="A339" s="226" t="s">
        <v>16</v>
      </c>
      <c r="B339" s="226" t="s">
        <v>18</v>
      </c>
      <c r="C339" s="250" t="s">
        <v>3581</v>
      </c>
      <c r="D339" s="268" t="s">
        <v>495</v>
      </c>
      <c r="E339" s="251">
        <v>44147.0</v>
      </c>
      <c r="F339" s="250" t="s">
        <v>496</v>
      </c>
      <c r="G339" s="243"/>
      <c r="H339" s="171">
        <v>0.0</v>
      </c>
      <c r="I339" s="171">
        <v>0.0</v>
      </c>
      <c r="J339" s="391">
        <f t="shared" si="44"/>
        <v>0</v>
      </c>
      <c r="K339" s="392">
        <f t="shared" si="45"/>
        <v>0</v>
      </c>
      <c r="L339" s="327">
        <f t="shared" si="46"/>
        <v>0</v>
      </c>
      <c r="M339" s="321" t="str">
        <f t="shared" si="5"/>
        <v>griffgreen</v>
      </c>
      <c r="N339" s="176">
        <f>IFERROR(__xludf.DUMMYFUNCTION("""COMPUTED_VALUE"""),8.0)</f>
        <v>8</v>
      </c>
      <c r="O339" s="176"/>
      <c r="P339" s="176"/>
      <c r="Q339" s="176"/>
      <c r="R339" s="176"/>
      <c r="S339" s="176"/>
      <c r="T339" s="176"/>
      <c r="U339" s="176"/>
      <c r="V339" s="176"/>
      <c r="W339" s="176"/>
      <c r="X339" s="176"/>
      <c r="Y339" s="176"/>
      <c r="Z339" s="176"/>
    </row>
    <row r="340">
      <c r="A340" s="226" t="s">
        <v>16</v>
      </c>
      <c r="B340" s="226" t="s">
        <v>519</v>
      </c>
      <c r="C340" s="250" t="s">
        <v>3694</v>
      </c>
      <c r="D340" s="268" t="s">
        <v>495</v>
      </c>
      <c r="E340" s="251">
        <v>44147.0</v>
      </c>
      <c r="F340" s="250" t="s">
        <v>496</v>
      </c>
      <c r="G340" s="243"/>
      <c r="H340" s="171">
        <v>0.0</v>
      </c>
      <c r="I340" s="243"/>
      <c r="J340" s="391">
        <f t="shared" si="44"/>
        <v>0</v>
      </c>
      <c r="K340" s="392">
        <f t="shared" si="45"/>
        <v>0</v>
      </c>
      <c r="L340" s="327">
        <f t="shared" si="46"/>
        <v>0</v>
      </c>
      <c r="M340" s="321" t="str">
        <f t="shared" si="5"/>
        <v>griffgreen</v>
      </c>
      <c r="N340" s="176">
        <f>IFERROR(__xludf.DUMMYFUNCTION("""COMPUTED_VALUE"""),9.0)</f>
        <v>9</v>
      </c>
      <c r="O340" s="176"/>
      <c r="P340" s="176"/>
      <c r="Q340" s="176"/>
      <c r="R340" s="176"/>
      <c r="S340" s="176"/>
      <c r="T340" s="176"/>
      <c r="U340" s="176"/>
      <c r="V340" s="176"/>
      <c r="W340" s="176"/>
      <c r="X340" s="176"/>
      <c r="Y340" s="176"/>
      <c r="Z340" s="176"/>
    </row>
    <row r="341">
      <c r="A341" s="226" t="s">
        <v>16</v>
      </c>
      <c r="B341" s="226" t="s">
        <v>519</v>
      </c>
      <c r="C341" s="250" t="s">
        <v>3629</v>
      </c>
      <c r="D341" s="268" t="s">
        <v>495</v>
      </c>
      <c r="E341" s="251">
        <v>44147.0</v>
      </c>
      <c r="F341" s="250" t="s">
        <v>496</v>
      </c>
      <c r="G341" s="243"/>
      <c r="H341" s="243"/>
      <c r="I341" s="243"/>
      <c r="J341" s="391">
        <f t="shared" si="44"/>
        <v>0</v>
      </c>
      <c r="K341" s="392">
        <f t="shared" si="45"/>
        <v>0</v>
      </c>
      <c r="L341" s="327">
        <f t="shared" si="46"/>
        <v>0</v>
      </c>
      <c r="M341" s="321" t="str">
        <f t="shared" si="5"/>
        <v>griffgreen</v>
      </c>
      <c r="N341" s="176">
        <f>IFERROR(__xludf.DUMMYFUNCTION("""COMPUTED_VALUE"""),10.0)</f>
        <v>10</v>
      </c>
      <c r="O341" s="176"/>
      <c r="P341" s="176"/>
      <c r="Q341" s="176"/>
      <c r="R341" s="176"/>
      <c r="S341" s="176"/>
      <c r="T341" s="176"/>
      <c r="U341" s="176"/>
      <c r="V341" s="176"/>
      <c r="W341" s="176"/>
      <c r="X341" s="176"/>
      <c r="Y341" s="176"/>
      <c r="Z341" s="176"/>
    </row>
    <row r="342">
      <c r="A342" s="226" t="s">
        <v>18</v>
      </c>
      <c r="B342" s="226" t="s">
        <v>519</v>
      </c>
      <c r="C342" s="250" t="s">
        <v>3629</v>
      </c>
      <c r="D342" s="268" t="s">
        <v>495</v>
      </c>
      <c r="E342" s="251">
        <v>44147.0</v>
      </c>
      <c r="F342" s="250" t="s">
        <v>496</v>
      </c>
      <c r="G342" s="243"/>
      <c r="H342" s="243"/>
      <c r="I342" s="243"/>
      <c r="J342" s="391">
        <f t="shared" si="44"/>
        <v>0</v>
      </c>
      <c r="K342" s="392">
        <f t="shared" si="45"/>
        <v>0</v>
      </c>
      <c r="L342" s="327">
        <f t="shared" si="46"/>
        <v>0</v>
      </c>
      <c r="M342" s="321" t="str">
        <f t="shared" si="5"/>
        <v>liviade</v>
      </c>
      <c r="N342" s="176">
        <f>IFERROR(__xludf.DUMMYFUNCTION("""COMPUTED_VALUE"""),6.0)</f>
        <v>6</v>
      </c>
      <c r="O342" s="176"/>
      <c r="P342" s="176"/>
      <c r="Q342" s="176"/>
      <c r="R342" s="176"/>
      <c r="S342" s="176"/>
      <c r="T342" s="176"/>
      <c r="U342" s="176"/>
      <c r="V342" s="176"/>
      <c r="W342" s="176"/>
      <c r="X342" s="176"/>
      <c r="Y342" s="176"/>
      <c r="Z342" s="176"/>
    </row>
    <row r="343">
      <c r="A343" s="226" t="s">
        <v>16</v>
      </c>
      <c r="B343" s="226" t="s">
        <v>519</v>
      </c>
      <c r="C343" s="250" t="s">
        <v>3646</v>
      </c>
      <c r="D343" s="268" t="s">
        <v>495</v>
      </c>
      <c r="E343" s="251">
        <v>44147.0</v>
      </c>
      <c r="F343" s="250" t="s">
        <v>496</v>
      </c>
      <c r="G343" s="243"/>
      <c r="H343" s="243"/>
      <c r="I343" s="243"/>
      <c r="J343" s="391">
        <f t="shared" si="44"/>
        <v>0</v>
      </c>
      <c r="K343" s="392">
        <f t="shared" si="45"/>
        <v>0</v>
      </c>
      <c r="L343" s="327">
        <f t="shared" si="46"/>
        <v>0</v>
      </c>
      <c r="M343" s="321" t="str">
        <f t="shared" si="5"/>
        <v>griffgreen</v>
      </c>
      <c r="N343" s="176">
        <f>IFERROR(__xludf.DUMMYFUNCTION("""COMPUTED_VALUE"""),11.0)</f>
        <v>11</v>
      </c>
      <c r="O343" s="176"/>
      <c r="P343" s="176"/>
      <c r="Q343" s="176"/>
      <c r="R343" s="176"/>
      <c r="S343" s="176"/>
      <c r="T343" s="176"/>
      <c r="U343" s="176"/>
      <c r="V343" s="176"/>
      <c r="W343" s="176"/>
      <c r="X343" s="176"/>
      <c r="Y343" s="176"/>
      <c r="Z343" s="176"/>
    </row>
    <row r="344">
      <c r="A344" s="226" t="s">
        <v>18</v>
      </c>
      <c r="B344" s="226" t="s">
        <v>519</v>
      </c>
      <c r="C344" s="250" t="s">
        <v>3646</v>
      </c>
      <c r="D344" s="268" t="s">
        <v>495</v>
      </c>
      <c r="E344" s="251">
        <v>44147.0</v>
      </c>
      <c r="F344" s="250" t="s">
        <v>496</v>
      </c>
      <c r="G344" s="243"/>
      <c r="H344" s="243"/>
      <c r="I344" s="243"/>
      <c r="J344" s="391">
        <f t="shared" si="44"/>
        <v>0</v>
      </c>
      <c r="K344" s="392">
        <f t="shared" si="45"/>
        <v>0</v>
      </c>
      <c r="L344" s="327">
        <f t="shared" si="46"/>
        <v>0</v>
      </c>
      <c r="M344" s="321" t="str">
        <f t="shared" si="5"/>
        <v>liviade</v>
      </c>
      <c r="N344" s="176">
        <f>IFERROR(__xludf.DUMMYFUNCTION("""COMPUTED_VALUE"""),7.0)</f>
        <v>7</v>
      </c>
      <c r="O344" s="176"/>
      <c r="P344" s="176"/>
      <c r="Q344" s="176"/>
      <c r="R344" s="176"/>
      <c r="S344" s="176"/>
      <c r="T344" s="176"/>
      <c r="U344" s="176"/>
      <c r="V344" s="176"/>
      <c r="W344" s="176"/>
      <c r="X344" s="176"/>
      <c r="Y344" s="176"/>
      <c r="Z344" s="176"/>
    </row>
    <row r="345">
      <c r="A345" s="226" t="s">
        <v>18</v>
      </c>
      <c r="B345" s="226" t="s">
        <v>1228</v>
      </c>
      <c r="C345" s="250" t="s">
        <v>3695</v>
      </c>
      <c r="D345" s="268" t="s">
        <v>495</v>
      </c>
      <c r="E345" s="251">
        <v>44147.0</v>
      </c>
      <c r="F345" s="250" t="s">
        <v>496</v>
      </c>
      <c r="G345" s="243"/>
      <c r="H345" s="243"/>
      <c r="I345" s="243"/>
      <c r="J345" s="391">
        <f t="shared" si="44"/>
        <v>0</v>
      </c>
      <c r="K345" s="392">
        <f t="shared" si="45"/>
        <v>0</v>
      </c>
      <c r="L345" s="327">
        <f t="shared" si="46"/>
        <v>0</v>
      </c>
      <c r="M345" s="321" t="str">
        <f t="shared" si="5"/>
        <v>liviade</v>
      </c>
      <c r="N345" s="176">
        <f>IFERROR(__xludf.DUMMYFUNCTION("""COMPUTED_VALUE"""),8.0)</f>
        <v>8</v>
      </c>
      <c r="O345" s="176"/>
      <c r="P345" s="176"/>
      <c r="Q345" s="176"/>
      <c r="R345" s="176"/>
      <c r="S345" s="176"/>
      <c r="T345" s="176"/>
      <c r="U345" s="176"/>
      <c r="V345" s="176"/>
      <c r="W345" s="176"/>
      <c r="X345" s="176"/>
      <c r="Y345" s="176"/>
      <c r="Z345" s="176"/>
    </row>
    <row r="346">
      <c r="A346" s="249" t="s">
        <v>16</v>
      </c>
      <c r="B346" s="249" t="s">
        <v>1228</v>
      </c>
      <c r="C346" s="219" t="s">
        <v>3695</v>
      </c>
      <c r="D346" s="268" t="s">
        <v>495</v>
      </c>
      <c r="E346" s="251">
        <v>44147.0</v>
      </c>
      <c r="F346" s="250" t="s">
        <v>496</v>
      </c>
      <c r="G346" s="243"/>
      <c r="H346" s="243"/>
      <c r="I346" s="243"/>
      <c r="J346" s="391">
        <f t="shared" si="44"/>
        <v>0</v>
      </c>
      <c r="K346" s="392">
        <f t="shared" si="45"/>
        <v>0</v>
      </c>
      <c r="L346" s="327">
        <f t="shared" si="46"/>
        <v>0</v>
      </c>
      <c r="M346" s="321" t="str">
        <f t="shared" si="5"/>
        <v>griffgreen</v>
      </c>
      <c r="N346" s="176">
        <f>IFERROR(__xludf.DUMMYFUNCTION("""COMPUTED_VALUE"""),12.0)</f>
        <v>12</v>
      </c>
      <c r="O346" s="176"/>
      <c r="P346" s="176"/>
      <c r="Q346" s="176"/>
      <c r="R346" s="176"/>
      <c r="S346" s="176"/>
      <c r="T346" s="176"/>
      <c r="U346" s="176"/>
      <c r="V346" s="176"/>
      <c r="W346" s="176"/>
      <c r="X346" s="176"/>
      <c r="Y346" s="176"/>
      <c r="Z346" s="176"/>
    </row>
    <row r="347">
      <c r="A347" s="226" t="s">
        <v>16</v>
      </c>
      <c r="B347" s="226" t="s">
        <v>1228</v>
      </c>
      <c r="C347" s="250" t="s">
        <v>3696</v>
      </c>
      <c r="D347" s="268" t="s">
        <v>495</v>
      </c>
      <c r="E347" s="251">
        <v>44147.0</v>
      </c>
      <c r="F347" s="250" t="s">
        <v>496</v>
      </c>
      <c r="G347" s="243"/>
      <c r="H347" s="243"/>
      <c r="I347" s="243"/>
      <c r="J347" s="391">
        <f t="shared" si="44"/>
        <v>0</v>
      </c>
      <c r="K347" s="392">
        <f t="shared" si="45"/>
        <v>0</v>
      </c>
      <c r="L347" s="327">
        <f t="shared" si="46"/>
        <v>0</v>
      </c>
      <c r="M347" s="321" t="str">
        <f t="shared" si="5"/>
        <v>griffgreen</v>
      </c>
      <c r="N347" s="176">
        <f>IFERROR(__xludf.DUMMYFUNCTION("""COMPUTED_VALUE"""),13.0)</f>
        <v>13</v>
      </c>
      <c r="O347" s="176"/>
      <c r="P347" s="176"/>
      <c r="Q347" s="176"/>
      <c r="R347" s="176"/>
      <c r="S347" s="176"/>
      <c r="T347" s="176"/>
      <c r="U347" s="176"/>
      <c r="V347" s="176"/>
      <c r="W347" s="176"/>
      <c r="X347" s="176"/>
      <c r="Y347" s="176"/>
      <c r="Z347" s="176"/>
    </row>
    <row r="348">
      <c r="A348" s="249" t="s">
        <v>18</v>
      </c>
      <c r="B348" s="226" t="s">
        <v>1228</v>
      </c>
      <c r="C348" s="219" t="s">
        <v>3572</v>
      </c>
      <c r="D348" s="268" t="s">
        <v>495</v>
      </c>
      <c r="E348" s="251">
        <v>44147.0</v>
      </c>
      <c r="F348" s="250" t="s">
        <v>496</v>
      </c>
      <c r="G348" s="243"/>
      <c r="H348" s="243"/>
      <c r="I348" s="243"/>
      <c r="J348" s="391">
        <f t="shared" si="44"/>
        <v>0</v>
      </c>
      <c r="K348" s="392">
        <f t="shared" si="45"/>
        <v>0</v>
      </c>
      <c r="L348" s="327">
        <f t="shared" si="46"/>
        <v>0</v>
      </c>
      <c r="M348" s="321" t="str">
        <f t="shared" si="5"/>
        <v>liviade</v>
      </c>
      <c r="N348" s="176">
        <f>IFERROR(__xludf.DUMMYFUNCTION("""COMPUTED_VALUE"""),9.0)</f>
        <v>9</v>
      </c>
      <c r="O348" s="176"/>
      <c r="P348" s="176"/>
      <c r="Q348" s="176"/>
      <c r="R348" s="176"/>
      <c r="S348" s="176"/>
      <c r="T348" s="176"/>
      <c r="U348" s="176"/>
      <c r="V348" s="176"/>
      <c r="W348" s="176"/>
      <c r="X348" s="176"/>
      <c r="Y348" s="176"/>
      <c r="Z348" s="176"/>
    </row>
    <row r="349">
      <c r="A349" s="226" t="s">
        <v>16</v>
      </c>
      <c r="B349" s="226" t="s">
        <v>1228</v>
      </c>
      <c r="C349" s="250" t="s">
        <v>3572</v>
      </c>
      <c r="D349" s="268" t="s">
        <v>495</v>
      </c>
      <c r="E349" s="251">
        <v>44147.0</v>
      </c>
      <c r="F349" s="250" t="s">
        <v>496</v>
      </c>
      <c r="G349" s="243"/>
      <c r="H349" s="243"/>
      <c r="I349" s="243"/>
      <c r="J349" s="391">
        <f t="shared" si="44"/>
        <v>0</v>
      </c>
      <c r="K349" s="392">
        <f t="shared" si="45"/>
        <v>0</v>
      </c>
      <c r="L349" s="327">
        <f t="shared" si="46"/>
        <v>0</v>
      </c>
      <c r="M349" s="321" t="str">
        <f t="shared" si="5"/>
        <v>griffgreen</v>
      </c>
      <c r="N349" s="176">
        <f>IFERROR(__xludf.DUMMYFUNCTION("""COMPUTED_VALUE"""),14.0)</f>
        <v>14</v>
      </c>
      <c r="O349" s="176"/>
      <c r="P349" s="176"/>
      <c r="Q349" s="176"/>
      <c r="R349" s="176"/>
      <c r="S349" s="176"/>
      <c r="T349" s="176"/>
      <c r="U349" s="176"/>
      <c r="V349" s="176"/>
      <c r="W349" s="176"/>
      <c r="X349" s="176"/>
      <c r="Y349" s="176"/>
      <c r="Z349" s="176"/>
    </row>
    <row r="350">
      <c r="A350" s="226" t="s">
        <v>18</v>
      </c>
      <c r="B350" s="226" t="s">
        <v>590</v>
      </c>
      <c r="C350" s="250" t="s">
        <v>3641</v>
      </c>
      <c r="D350" s="268" t="s">
        <v>495</v>
      </c>
      <c r="E350" s="251">
        <v>44147.0</v>
      </c>
      <c r="F350" s="250" t="s">
        <v>496</v>
      </c>
      <c r="G350" s="243"/>
      <c r="H350" s="243"/>
      <c r="I350" s="243"/>
      <c r="J350" s="391">
        <f t="shared" si="44"/>
        <v>0</v>
      </c>
      <c r="K350" s="392">
        <f t="shared" si="45"/>
        <v>0</v>
      </c>
      <c r="L350" s="327">
        <f t="shared" si="46"/>
        <v>0</v>
      </c>
      <c r="M350" s="321" t="str">
        <f t="shared" si="5"/>
        <v>liviade</v>
      </c>
      <c r="N350" s="176">
        <f>IFERROR(__xludf.DUMMYFUNCTION("""COMPUTED_VALUE"""),10.0)</f>
        <v>10</v>
      </c>
      <c r="O350" s="176"/>
      <c r="P350" s="176"/>
      <c r="Q350" s="176"/>
      <c r="R350" s="176"/>
      <c r="S350" s="176"/>
      <c r="T350" s="176"/>
      <c r="U350" s="176"/>
      <c r="V350" s="176"/>
      <c r="W350" s="176"/>
      <c r="X350" s="176"/>
      <c r="Y350" s="176"/>
      <c r="Z350" s="176"/>
    </row>
    <row r="351">
      <c r="A351" s="226" t="s">
        <v>16</v>
      </c>
      <c r="B351" s="226" t="s">
        <v>590</v>
      </c>
      <c r="C351" s="250" t="s">
        <v>3641</v>
      </c>
      <c r="D351" s="268" t="s">
        <v>495</v>
      </c>
      <c r="E351" s="251">
        <v>44147.0</v>
      </c>
      <c r="F351" s="250" t="s">
        <v>496</v>
      </c>
      <c r="G351" s="243"/>
      <c r="H351" s="243"/>
      <c r="I351" s="243"/>
      <c r="J351" s="391">
        <f t="shared" si="44"/>
        <v>0</v>
      </c>
      <c r="K351" s="392">
        <f t="shared" si="45"/>
        <v>0</v>
      </c>
      <c r="L351" s="327">
        <f t="shared" si="46"/>
        <v>0</v>
      </c>
      <c r="M351" s="321" t="str">
        <f t="shared" si="5"/>
        <v>griffgreen</v>
      </c>
      <c r="N351" s="176">
        <f>IFERROR(__xludf.DUMMYFUNCTION("""COMPUTED_VALUE"""),15.0)</f>
        <v>15</v>
      </c>
      <c r="O351" s="176"/>
      <c r="P351" s="176"/>
      <c r="Q351" s="176"/>
      <c r="R351" s="176"/>
      <c r="S351" s="176"/>
      <c r="T351" s="176"/>
      <c r="U351" s="176"/>
      <c r="V351" s="176"/>
      <c r="W351" s="176"/>
      <c r="X351" s="176"/>
      <c r="Y351" s="176"/>
      <c r="Z351" s="176"/>
    </row>
    <row r="352">
      <c r="A352" s="226" t="s">
        <v>18</v>
      </c>
      <c r="B352" s="226" t="s">
        <v>590</v>
      </c>
      <c r="C352" s="219" t="s">
        <v>3576</v>
      </c>
      <c r="D352" s="268" t="s">
        <v>495</v>
      </c>
      <c r="E352" s="251">
        <v>44147.0</v>
      </c>
      <c r="F352" s="250" t="s">
        <v>496</v>
      </c>
      <c r="G352" s="243"/>
      <c r="H352" s="243"/>
      <c r="I352" s="243"/>
      <c r="J352" s="391">
        <f t="shared" si="44"/>
        <v>0</v>
      </c>
      <c r="K352" s="392">
        <f t="shared" si="45"/>
        <v>0</v>
      </c>
      <c r="L352" s="327">
        <f t="shared" si="46"/>
        <v>0</v>
      </c>
      <c r="M352" s="321" t="str">
        <f t="shared" si="5"/>
        <v>liviade</v>
      </c>
      <c r="N352" s="176">
        <f>IFERROR(__xludf.DUMMYFUNCTION("""COMPUTED_VALUE"""),11.0)</f>
        <v>11</v>
      </c>
      <c r="O352" s="176"/>
      <c r="P352" s="176"/>
      <c r="Q352" s="176"/>
      <c r="R352" s="176"/>
      <c r="S352" s="176"/>
      <c r="T352" s="176"/>
      <c r="U352" s="176"/>
      <c r="V352" s="176"/>
      <c r="W352" s="176"/>
      <c r="X352" s="176"/>
      <c r="Y352" s="176"/>
      <c r="Z352" s="176"/>
    </row>
    <row r="353">
      <c r="A353" s="226" t="s">
        <v>16</v>
      </c>
      <c r="B353" s="226" t="s">
        <v>5</v>
      </c>
      <c r="C353" s="250" t="s">
        <v>3573</v>
      </c>
      <c r="D353" s="268" t="s">
        <v>495</v>
      </c>
      <c r="E353" s="251">
        <v>44147.0</v>
      </c>
      <c r="F353" s="250" t="s">
        <v>496</v>
      </c>
      <c r="G353" s="176"/>
      <c r="H353" s="176"/>
      <c r="I353" s="176"/>
      <c r="J353" s="391">
        <f t="shared" si="44"/>
        <v>0</v>
      </c>
      <c r="K353" s="392">
        <f t="shared" si="45"/>
        <v>0</v>
      </c>
      <c r="L353" s="327">
        <f t="shared" si="46"/>
        <v>0</v>
      </c>
      <c r="M353" s="321" t="str">
        <f t="shared" si="5"/>
        <v>griffgreen</v>
      </c>
      <c r="N353" s="176">
        <f>IFERROR(__xludf.DUMMYFUNCTION("""COMPUTED_VALUE"""),16.0)</f>
        <v>16</v>
      </c>
      <c r="O353" s="176"/>
      <c r="P353" s="176"/>
      <c r="Q353" s="176"/>
      <c r="R353" s="176"/>
      <c r="S353" s="176"/>
      <c r="T353" s="176"/>
      <c r="U353" s="176"/>
      <c r="V353" s="176"/>
      <c r="W353" s="176"/>
      <c r="X353" s="176"/>
      <c r="Y353" s="176"/>
      <c r="Z353" s="176"/>
    </row>
    <row r="354">
      <c r="A354" s="226" t="s">
        <v>18</v>
      </c>
      <c r="B354" s="226" t="s">
        <v>5</v>
      </c>
      <c r="C354" s="250" t="s">
        <v>3573</v>
      </c>
      <c r="D354" s="268" t="s">
        <v>495</v>
      </c>
      <c r="E354" s="251">
        <v>44147.0</v>
      </c>
      <c r="F354" s="250" t="s">
        <v>496</v>
      </c>
      <c r="G354" s="176"/>
      <c r="H354" s="176"/>
      <c r="I354" s="176"/>
      <c r="J354" s="391">
        <f t="shared" si="44"/>
        <v>0</v>
      </c>
      <c r="K354" s="392">
        <f t="shared" si="45"/>
        <v>0</v>
      </c>
      <c r="L354" s="327">
        <f t="shared" si="46"/>
        <v>0</v>
      </c>
      <c r="M354" s="321" t="str">
        <f t="shared" si="5"/>
        <v>liviade</v>
      </c>
      <c r="N354" s="176">
        <f>IFERROR(__xludf.DUMMYFUNCTION("""COMPUTED_VALUE"""),12.0)</f>
        <v>12</v>
      </c>
      <c r="O354" s="176"/>
      <c r="P354" s="176"/>
      <c r="Q354" s="176"/>
      <c r="R354" s="176"/>
      <c r="S354" s="176"/>
      <c r="T354" s="176"/>
      <c r="U354" s="176"/>
      <c r="V354" s="176"/>
      <c r="W354" s="176"/>
      <c r="X354" s="176"/>
      <c r="Y354" s="176"/>
      <c r="Z354" s="176"/>
    </row>
    <row r="355">
      <c r="A355" s="226" t="s">
        <v>16</v>
      </c>
      <c r="B355" s="226" t="s">
        <v>868</v>
      </c>
      <c r="C355" s="250" t="s">
        <v>3567</v>
      </c>
      <c r="D355" s="268" t="s">
        <v>495</v>
      </c>
      <c r="E355" s="251">
        <v>44148.0</v>
      </c>
      <c r="F355" s="250" t="s">
        <v>496</v>
      </c>
      <c r="G355" s="176"/>
      <c r="H355" s="176"/>
      <c r="I355" s="176"/>
      <c r="J355" s="391">
        <f t="shared" si="44"/>
        <v>0</v>
      </c>
      <c r="K355" s="392">
        <f t="shared" si="45"/>
        <v>0</v>
      </c>
      <c r="L355" s="327">
        <f t="shared" si="46"/>
        <v>0</v>
      </c>
      <c r="M355" s="321" t="str">
        <f t="shared" si="5"/>
        <v>griffgreen</v>
      </c>
      <c r="N355" s="176">
        <f>IFERROR(__xludf.DUMMYFUNCTION("""COMPUTED_VALUE"""),17.0)</f>
        <v>17</v>
      </c>
      <c r="O355" s="176"/>
      <c r="P355" s="176"/>
      <c r="Q355" s="176"/>
      <c r="R355" s="176"/>
      <c r="S355" s="176"/>
      <c r="T355" s="176"/>
      <c r="U355" s="176"/>
      <c r="V355" s="176"/>
      <c r="W355" s="176"/>
      <c r="X355" s="176"/>
      <c r="Y355" s="176"/>
      <c r="Z355" s="176"/>
    </row>
    <row r="356">
      <c r="A356" s="226" t="s">
        <v>16</v>
      </c>
      <c r="B356" s="226" t="s">
        <v>868</v>
      </c>
      <c r="C356" s="250" t="s">
        <v>3568</v>
      </c>
      <c r="D356" s="268" t="s">
        <v>495</v>
      </c>
      <c r="E356" s="251">
        <v>44148.0</v>
      </c>
      <c r="F356" s="250" t="s">
        <v>496</v>
      </c>
      <c r="G356" s="176"/>
      <c r="H356" s="176"/>
      <c r="I356" s="176"/>
      <c r="J356" s="391">
        <f t="shared" si="44"/>
        <v>0</v>
      </c>
      <c r="K356" s="392">
        <f t="shared" si="45"/>
        <v>0</v>
      </c>
      <c r="L356" s="327">
        <f t="shared" si="46"/>
        <v>0</v>
      </c>
      <c r="M356" s="321" t="str">
        <f t="shared" si="5"/>
        <v>griffgreen</v>
      </c>
      <c r="N356" s="176">
        <f>IFERROR(__xludf.DUMMYFUNCTION("""COMPUTED_VALUE"""),18.0)</f>
        <v>18</v>
      </c>
      <c r="O356" s="176"/>
      <c r="P356" s="176"/>
      <c r="Q356" s="176"/>
      <c r="R356" s="176"/>
      <c r="S356" s="176"/>
      <c r="T356" s="176"/>
      <c r="U356" s="176"/>
      <c r="V356" s="176"/>
      <c r="W356" s="176"/>
      <c r="X356" s="176"/>
      <c r="Y356" s="176"/>
      <c r="Z356" s="176"/>
    </row>
    <row r="357">
      <c r="A357" s="226" t="s">
        <v>18</v>
      </c>
      <c r="B357" s="226" t="s">
        <v>590</v>
      </c>
      <c r="C357" s="250" t="s">
        <v>3565</v>
      </c>
      <c r="D357" s="268" t="s">
        <v>495</v>
      </c>
      <c r="E357" s="251">
        <v>44148.0</v>
      </c>
      <c r="F357" s="250" t="s">
        <v>496</v>
      </c>
      <c r="G357" s="176"/>
      <c r="H357" s="176"/>
      <c r="I357" s="176"/>
      <c r="J357" s="391">
        <f t="shared" si="44"/>
        <v>0</v>
      </c>
      <c r="K357" s="392">
        <f t="shared" si="45"/>
        <v>0</v>
      </c>
      <c r="L357" s="327">
        <f t="shared" si="46"/>
        <v>0</v>
      </c>
      <c r="M357" s="321" t="str">
        <f t="shared" si="5"/>
        <v>liviade</v>
      </c>
      <c r="N357" s="176">
        <f>IFERROR(__xludf.DUMMYFUNCTION("""COMPUTED_VALUE"""),13.0)</f>
        <v>13</v>
      </c>
      <c r="O357" s="176"/>
      <c r="P357" s="176"/>
      <c r="Q357" s="176"/>
      <c r="R357" s="176"/>
      <c r="S357" s="176"/>
      <c r="T357" s="176"/>
      <c r="U357" s="176"/>
      <c r="V357" s="176"/>
      <c r="W357" s="176"/>
      <c r="X357" s="176"/>
      <c r="Y357" s="176"/>
      <c r="Z357" s="176"/>
    </row>
    <row r="358">
      <c r="A358" s="226" t="s">
        <v>18</v>
      </c>
      <c r="B358" s="226" t="s">
        <v>590</v>
      </c>
      <c r="C358" s="250" t="s">
        <v>3697</v>
      </c>
      <c r="D358" s="268" t="s">
        <v>495</v>
      </c>
      <c r="E358" s="251">
        <v>44148.0</v>
      </c>
      <c r="F358" s="250" t="s">
        <v>496</v>
      </c>
      <c r="G358" s="176"/>
      <c r="H358" s="176"/>
      <c r="I358" s="176"/>
      <c r="J358" s="391">
        <f t="shared" si="44"/>
        <v>0</v>
      </c>
      <c r="K358" s="392">
        <f t="shared" si="45"/>
        <v>0</v>
      </c>
      <c r="L358" s="327">
        <f t="shared" si="46"/>
        <v>0</v>
      </c>
      <c r="M358" s="321" t="str">
        <f t="shared" si="5"/>
        <v>liviade</v>
      </c>
      <c r="N358" s="176">
        <f>IFERROR(__xludf.DUMMYFUNCTION("""COMPUTED_VALUE"""),14.0)</f>
        <v>14</v>
      </c>
      <c r="O358" s="176"/>
      <c r="P358" s="176"/>
      <c r="Q358" s="176"/>
      <c r="R358" s="176"/>
      <c r="S358" s="176"/>
      <c r="T358" s="176"/>
      <c r="U358" s="176"/>
      <c r="V358" s="176"/>
      <c r="W358" s="176"/>
      <c r="X358" s="176"/>
      <c r="Y358" s="176"/>
      <c r="Z358" s="176"/>
    </row>
    <row r="359">
      <c r="A359" s="226" t="s">
        <v>16</v>
      </c>
      <c r="B359" s="226" t="s">
        <v>590</v>
      </c>
      <c r="C359" s="250" t="s">
        <v>3698</v>
      </c>
      <c r="D359" s="268" t="s">
        <v>495</v>
      </c>
      <c r="E359" s="251">
        <v>44148.0</v>
      </c>
      <c r="F359" s="250" t="s">
        <v>496</v>
      </c>
      <c r="G359" s="176"/>
      <c r="H359" s="176"/>
      <c r="I359" s="176"/>
      <c r="J359" s="391">
        <f t="shared" si="44"/>
        <v>0</v>
      </c>
      <c r="K359" s="392">
        <f t="shared" si="45"/>
        <v>0</v>
      </c>
      <c r="L359" s="327">
        <f t="shared" si="46"/>
        <v>0</v>
      </c>
      <c r="M359" s="321" t="str">
        <f t="shared" si="5"/>
        <v>griffgreen</v>
      </c>
      <c r="N359" s="176">
        <f>IFERROR(__xludf.DUMMYFUNCTION("""COMPUTED_VALUE"""),19.0)</f>
        <v>19</v>
      </c>
      <c r="O359" s="176"/>
      <c r="P359" s="176"/>
      <c r="Q359" s="176"/>
      <c r="R359" s="176"/>
      <c r="S359" s="176"/>
      <c r="T359" s="176"/>
      <c r="U359" s="176"/>
      <c r="V359" s="176"/>
      <c r="W359" s="176"/>
      <c r="X359" s="176"/>
      <c r="Y359" s="176"/>
      <c r="Z359" s="176"/>
    </row>
    <row r="360">
      <c r="A360" s="226" t="s">
        <v>16</v>
      </c>
      <c r="B360" s="226" t="s">
        <v>5</v>
      </c>
      <c r="C360" s="250" t="s">
        <v>3607</v>
      </c>
      <c r="D360" s="268" t="s">
        <v>495</v>
      </c>
      <c r="E360" s="251">
        <v>44151.0</v>
      </c>
      <c r="F360" s="250" t="s">
        <v>496</v>
      </c>
      <c r="G360" s="176"/>
      <c r="H360" s="176"/>
      <c r="I360" s="176"/>
      <c r="J360" s="391">
        <f t="shared" si="44"/>
        <v>0</v>
      </c>
      <c r="K360" s="392">
        <f t="shared" si="45"/>
        <v>0</v>
      </c>
      <c r="L360" s="327">
        <f t="shared" si="46"/>
        <v>0</v>
      </c>
      <c r="M360" s="321" t="str">
        <f t="shared" si="5"/>
        <v>griffgreen</v>
      </c>
      <c r="N360" s="176">
        <f>IFERROR(__xludf.DUMMYFUNCTION("""COMPUTED_VALUE"""),20.0)</f>
        <v>20</v>
      </c>
      <c r="O360" s="176"/>
      <c r="P360" s="176"/>
      <c r="Q360" s="176"/>
      <c r="R360" s="176"/>
      <c r="S360" s="176"/>
      <c r="T360" s="176"/>
      <c r="U360" s="176"/>
      <c r="V360" s="176"/>
      <c r="W360" s="176"/>
      <c r="X360" s="176"/>
      <c r="Y360" s="176"/>
      <c r="Z360" s="176"/>
    </row>
    <row r="361">
      <c r="A361" s="226" t="s">
        <v>18</v>
      </c>
      <c r="B361" s="226" t="s">
        <v>5</v>
      </c>
      <c r="C361" s="250" t="s">
        <v>3607</v>
      </c>
      <c r="D361" s="268" t="s">
        <v>495</v>
      </c>
      <c r="E361" s="251">
        <v>44151.0</v>
      </c>
      <c r="F361" s="250" t="s">
        <v>496</v>
      </c>
      <c r="G361" s="176"/>
      <c r="H361" s="176"/>
      <c r="I361" s="176"/>
      <c r="J361" s="391">
        <f t="shared" si="44"/>
        <v>0</v>
      </c>
      <c r="K361" s="392">
        <f t="shared" si="45"/>
        <v>0</v>
      </c>
      <c r="L361" s="327">
        <f t="shared" si="46"/>
        <v>0</v>
      </c>
      <c r="M361" s="321" t="str">
        <f t="shared" si="5"/>
        <v>liviade</v>
      </c>
      <c r="N361" s="176">
        <f>IFERROR(__xludf.DUMMYFUNCTION("""COMPUTED_VALUE"""),15.0)</f>
        <v>15</v>
      </c>
      <c r="O361" s="176"/>
      <c r="P361" s="176"/>
      <c r="Q361" s="176"/>
      <c r="R361" s="176"/>
      <c r="S361" s="176"/>
      <c r="T361" s="176"/>
      <c r="U361" s="176"/>
      <c r="V361" s="176"/>
      <c r="W361" s="176"/>
      <c r="X361" s="176"/>
      <c r="Y361" s="176"/>
      <c r="Z361" s="176"/>
    </row>
    <row r="362">
      <c r="A362" s="226" t="s">
        <v>18</v>
      </c>
      <c r="B362" s="226" t="s">
        <v>590</v>
      </c>
      <c r="C362" s="250" t="s">
        <v>3582</v>
      </c>
      <c r="D362" s="268" t="s">
        <v>495</v>
      </c>
      <c r="E362" s="251">
        <v>44152.0</v>
      </c>
      <c r="F362" s="250" t="s">
        <v>496</v>
      </c>
      <c r="G362" s="176"/>
      <c r="H362" s="176"/>
      <c r="I362" s="176"/>
      <c r="J362" s="391">
        <f t="shared" si="44"/>
        <v>0</v>
      </c>
      <c r="K362" s="392">
        <f t="shared" si="45"/>
        <v>0</v>
      </c>
      <c r="L362" s="327">
        <f t="shared" si="46"/>
        <v>0</v>
      </c>
      <c r="M362" s="321" t="str">
        <f t="shared" si="5"/>
        <v>liviade</v>
      </c>
      <c r="N362" s="176">
        <f>IFERROR(__xludf.DUMMYFUNCTION("""COMPUTED_VALUE"""),16.0)</f>
        <v>16</v>
      </c>
      <c r="O362" s="176"/>
      <c r="P362" s="176"/>
      <c r="Q362" s="176"/>
      <c r="R362" s="176"/>
      <c r="S362" s="176"/>
      <c r="T362" s="176"/>
      <c r="U362" s="176"/>
      <c r="V362" s="176"/>
      <c r="W362" s="176"/>
      <c r="X362" s="176"/>
      <c r="Y362" s="176"/>
      <c r="Z362" s="176"/>
    </row>
    <row r="363">
      <c r="A363" s="226" t="s">
        <v>16</v>
      </c>
      <c r="B363" s="226" t="s">
        <v>590</v>
      </c>
      <c r="C363" s="250" t="s">
        <v>3582</v>
      </c>
      <c r="D363" s="268" t="s">
        <v>495</v>
      </c>
      <c r="E363" s="251">
        <v>44152.0</v>
      </c>
      <c r="F363" s="250" t="s">
        <v>496</v>
      </c>
      <c r="G363" s="176"/>
      <c r="H363" s="176"/>
      <c r="I363" s="176"/>
      <c r="J363" s="391">
        <f t="shared" si="44"/>
        <v>0</v>
      </c>
      <c r="K363" s="392">
        <f t="shared" si="45"/>
        <v>0</v>
      </c>
      <c r="L363" s="327">
        <f t="shared" si="46"/>
        <v>0</v>
      </c>
      <c r="M363" s="321" t="str">
        <f t="shared" si="5"/>
        <v>griffgreen</v>
      </c>
      <c r="N363" s="176">
        <f>IFERROR(__xludf.DUMMYFUNCTION("""COMPUTED_VALUE"""),21.0)</f>
        <v>21</v>
      </c>
      <c r="O363" s="176"/>
      <c r="P363" s="176"/>
      <c r="Q363" s="176"/>
      <c r="R363" s="176"/>
      <c r="S363" s="176"/>
      <c r="T363" s="176"/>
      <c r="U363" s="176"/>
      <c r="V363" s="176"/>
      <c r="W363" s="176"/>
      <c r="X363" s="176"/>
      <c r="Y363" s="176"/>
      <c r="Z363" s="176"/>
    </row>
    <row r="364">
      <c r="A364" s="226" t="s">
        <v>16</v>
      </c>
      <c r="B364" s="226" t="s">
        <v>5</v>
      </c>
      <c r="C364" s="250" t="s">
        <v>3608</v>
      </c>
      <c r="D364" s="268" t="s">
        <v>495</v>
      </c>
      <c r="E364" s="251">
        <v>44152.0</v>
      </c>
      <c r="F364" s="250" t="s">
        <v>496</v>
      </c>
      <c r="G364" s="176"/>
      <c r="H364" s="176"/>
      <c r="I364" s="176"/>
      <c r="J364" s="391">
        <f t="shared" si="44"/>
        <v>0</v>
      </c>
      <c r="K364" s="392">
        <f t="shared" si="45"/>
        <v>0</v>
      </c>
      <c r="L364" s="327">
        <f t="shared" si="46"/>
        <v>0</v>
      </c>
      <c r="M364" s="321" t="str">
        <f t="shared" si="5"/>
        <v>griffgreen</v>
      </c>
      <c r="N364" s="176">
        <f>IFERROR(__xludf.DUMMYFUNCTION("""COMPUTED_VALUE"""),22.0)</f>
        <v>22</v>
      </c>
      <c r="O364" s="176"/>
      <c r="P364" s="176"/>
      <c r="Q364" s="176"/>
      <c r="R364" s="176"/>
      <c r="S364" s="176"/>
      <c r="T364" s="176"/>
      <c r="U364" s="176"/>
      <c r="V364" s="176"/>
      <c r="W364" s="176"/>
      <c r="X364" s="176"/>
      <c r="Y364" s="176"/>
      <c r="Z364" s="176"/>
    </row>
    <row r="365">
      <c r="A365" s="226" t="s">
        <v>18</v>
      </c>
      <c r="B365" s="226" t="s">
        <v>18</v>
      </c>
      <c r="C365" s="250" t="s">
        <v>3684</v>
      </c>
      <c r="D365" s="268" t="s">
        <v>495</v>
      </c>
      <c r="E365" s="251">
        <v>44152.0</v>
      </c>
      <c r="F365" s="250" t="s">
        <v>496</v>
      </c>
      <c r="G365" s="176"/>
      <c r="H365" s="176"/>
      <c r="I365" s="176"/>
      <c r="J365" s="391">
        <f t="shared" si="44"/>
        <v>0</v>
      </c>
      <c r="K365" s="392">
        <f t="shared" si="45"/>
        <v>0</v>
      </c>
      <c r="L365" s="327">
        <f t="shared" si="46"/>
        <v>0</v>
      </c>
      <c r="M365" s="321" t="str">
        <f t="shared" si="5"/>
        <v>liviade</v>
      </c>
      <c r="N365" s="176">
        <f>IFERROR(__xludf.DUMMYFUNCTION("""COMPUTED_VALUE"""),17.0)</f>
        <v>17</v>
      </c>
      <c r="O365" s="176"/>
      <c r="P365" s="176"/>
      <c r="Q365" s="176"/>
      <c r="R365" s="176"/>
      <c r="S365" s="176"/>
      <c r="T365" s="176"/>
      <c r="U365" s="176"/>
      <c r="V365" s="176"/>
      <c r="W365" s="176"/>
      <c r="X365" s="176"/>
      <c r="Y365" s="176"/>
      <c r="Z365" s="176"/>
    </row>
    <row r="366">
      <c r="A366" s="226" t="s">
        <v>16</v>
      </c>
      <c r="B366" s="226" t="s">
        <v>18</v>
      </c>
      <c r="C366" s="250" t="s">
        <v>3699</v>
      </c>
      <c r="D366" s="268" t="s">
        <v>495</v>
      </c>
      <c r="E366" s="251">
        <v>44152.0</v>
      </c>
      <c r="F366" s="250" t="s">
        <v>496</v>
      </c>
      <c r="G366" s="176"/>
      <c r="H366" s="176"/>
      <c r="I366" s="176"/>
      <c r="J366" s="391">
        <f t="shared" si="44"/>
        <v>0</v>
      </c>
      <c r="K366" s="392">
        <f t="shared" si="45"/>
        <v>0</v>
      </c>
      <c r="L366" s="327">
        <f t="shared" si="46"/>
        <v>0</v>
      </c>
      <c r="M366" s="321" t="str">
        <f t="shared" si="5"/>
        <v>griffgreen</v>
      </c>
      <c r="N366" s="176">
        <f>IFERROR(__xludf.DUMMYFUNCTION("""COMPUTED_VALUE"""),23.0)</f>
        <v>23</v>
      </c>
      <c r="O366" s="176"/>
      <c r="P366" s="176"/>
      <c r="Q366" s="176"/>
      <c r="R366" s="176"/>
      <c r="S366" s="176"/>
      <c r="T366" s="176"/>
      <c r="U366" s="176"/>
      <c r="V366" s="176"/>
      <c r="W366" s="176"/>
      <c r="X366" s="176"/>
      <c r="Y366" s="176"/>
      <c r="Z366" s="176"/>
    </row>
    <row r="367">
      <c r="A367" s="226" t="s">
        <v>16</v>
      </c>
      <c r="B367" s="226" t="s">
        <v>18</v>
      </c>
      <c r="C367" s="250" t="s">
        <v>3578</v>
      </c>
      <c r="D367" s="268" t="s">
        <v>495</v>
      </c>
      <c r="E367" s="251">
        <v>44152.0</v>
      </c>
      <c r="F367" s="250" t="s">
        <v>496</v>
      </c>
      <c r="G367" s="176"/>
      <c r="H367" s="176"/>
      <c r="I367" s="176"/>
      <c r="J367" s="391">
        <f t="shared" si="44"/>
        <v>0</v>
      </c>
      <c r="K367" s="392">
        <f t="shared" si="45"/>
        <v>0</v>
      </c>
      <c r="L367" s="327">
        <f t="shared" si="46"/>
        <v>0</v>
      </c>
      <c r="M367" s="321" t="str">
        <f t="shared" si="5"/>
        <v>griffgreen</v>
      </c>
      <c r="N367" s="176">
        <f>IFERROR(__xludf.DUMMYFUNCTION("""COMPUTED_VALUE"""),24.0)</f>
        <v>24</v>
      </c>
      <c r="O367" s="176"/>
      <c r="P367" s="176"/>
      <c r="Q367" s="176"/>
      <c r="R367" s="176"/>
      <c r="S367" s="176"/>
      <c r="T367" s="176"/>
      <c r="U367" s="176"/>
      <c r="V367" s="176"/>
      <c r="W367" s="176"/>
      <c r="X367" s="176"/>
      <c r="Y367" s="176"/>
      <c r="Z367" s="176"/>
    </row>
    <row r="368">
      <c r="A368" s="226" t="s">
        <v>16</v>
      </c>
      <c r="B368" s="226" t="s">
        <v>18</v>
      </c>
      <c r="C368" s="250" t="s">
        <v>3656</v>
      </c>
      <c r="D368" s="268" t="s">
        <v>495</v>
      </c>
      <c r="E368" s="251">
        <v>44152.0</v>
      </c>
      <c r="F368" s="250" t="s">
        <v>496</v>
      </c>
      <c r="G368" s="176"/>
      <c r="H368" s="176"/>
      <c r="I368" s="176"/>
      <c r="J368" s="391">
        <f t="shared" si="44"/>
        <v>0</v>
      </c>
      <c r="K368" s="392">
        <f t="shared" si="45"/>
        <v>0</v>
      </c>
      <c r="L368" s="327">
        <f t="shared" si="46"/>
        <v>0</v>
      </c>
      <c r="M368" s="321" t="str">
        <f t="shared" si="5"/>
        <v>griffgreen</v>
      </c>
      <c r="N368" s="176">
        <f>IFERROR(__xludf.DUMMYFUNCTION("""COMPUTED_VALUE"""),25.0)</f>
        <v>25</v>
      </c>
      <c r="O368" s="176"/>
      <c r="P368" s="176"/>
      <c r="Q368" s="176"/>
      <c r="R368" s="176"/>
      <c r="S368" s="176"/>
      <c r="T368" s="176"/>
      <c r="U368" s="176"/>
      <c r="V368" s="176"/>
      <c r="W368" s="176"/>
      <c r="X368" s="176"/>
      <c r="Y368" s="176"/>
      <c r="Z368" s="176"/>
    </row>
    <row r="369">
      <c r="A369" s="226" t="s">
        <v>18</v>
      </c>
      <c r="B369" s="226" t="s">
        <v>845</v>
      </c>
      <c r="C369" s="250" t="s">
        <v>3700</v>
      </c>
      <c r="D369" s="268" t="s">
        <v>495</v>
      </c>
      <c r="E369" s="251">
        <v>44152.0</v>
      </c>
      <c r="F369" s="250" t="s">
        <v>496</v>
      </c>
      <c r="G369" s="176"/>
      <c r="H369" s="176"/>
      <c r="I369" s="176"/>
      <c r="J369" s="391">
        <f t="shared" si="44"/>
        <v>0</v>
      </c>
      <c r="K369" s="392">
        <f t="shared" si="45"/>
        <v>0</v>
      </c>
      <c r="L369" s="327">
        <f t="shared" si="46"/>
        <v>0</v>
      </c>
      <c r="M369" s="321" t="str">
        <f t="shared" si="5"/>
        <v>liviade</v>
      </c>
      <c r="N369" s="176">
        <f>IFERROR(__xludf.DUMMYFUNCTION("""COMPUTED_VALUE"""),18.0)</f>
        <v>18</v>
      </c>
      <c r="O369" s="176"/>
      <c r="P369" s="176"/>
      <c r="Q369" s="176"/>
      <c r="R369" s="176"/>
      <c r="S369" s="176"/>
      <c r="T369" s="176"/>
      <c r="U369" s="176"/>
      <c r="V369" s="176"/>
      <c r="W369" s="176"/>
      <c r="X369" s="176"/>
      <c r="Y369" s="176"/>
      <c r="Z369" s="176"/>
    </row>
    <row r="370">
      <c r="A370" s="226" t="s">
        <v>16</v>
      </c>
      <c r="B370" s="226" t="s">
        <v>868</v>
      </c>
      <c r="C370" s="250" t="s">
        <v>3585</v>
      </c>
      <c r="D370" s="268" t="s">
        <v>495</v>
      </c>
      <c r="E370" s="251">
        <v>44153.0</v>
      </c>
      <c r="F370" s="250" t="s">
        <v>496</v>
      </c>
      <c r="G370" s="176"/>
      <c r="H370" s="176"/>
      <c r="I370" s="176"/>
      <c r="J370" s="391">
        <f t="shared" si="44"/>
        <v>0</v>
      </c>
      <c r="K370" s="392">
        <f t="shared" si="45"/>
        <v>0</v>
      </c>
      <c r="L370" s="327">
        <f t="shared" si="46"/>
        <v>0</v>
      </c>
      <c r="M370" s="321" t="str">
        <f t="shared" si="5"/>
        <v>griffgreen</v>
      </c>
      <c r="N370" s="176">
        <f>IFERROR(__xludf.DUMMYFUNCTION("""COMPUTED_VALUE"""),26.0)</f>
        <v>26</v>
      </c>
      <c r="O370" s="176"/>
      <c r="P370" s="176"/>
      <c r="Q370" s="176"/>
      <c r="R370" s="176"/>
      <c r="S370" s="176"/>
      <c r="T370" s="176"/>
      <c r="U370" s="176"/>
      <c r="V370" s="176"/>
      <c r="W370" s="176"/>
      <c r="X370" s="176"/>
      <c r="Y370" s="176"/>
      <c r="Z370" s="176"/>
    </row>
    <row r="371">
      <c r="A371" s="226" t="s">
        <v>16</v>
      </c>
      <c r="B371" s="226" t="s">
        <v>590</v>
      </c>
      <c r="C371" s="250" t="s">
        <v>3579</v>
      </c>
      <c r="D371" s="268" t="s">
        <v>495</v>
      </c>
      <c r="E371" s="251">
        <v>44153.0</v>
      </c>
      <c r="F371" s="250" t="s">
        <v>496</v>
      </c>
      <c r="G371" s="176"/>
      <c r="H371" s="176"/>
      <c r="I371" s="176"/>
      <c r="J371" s="391">
        <f t="shared" si="44"/>
        <v>0</v>
      </c>
      <c r="K371" s="392">
        <f t="shared" si="45"/>
        <v>0</v>
      </c>
      <c r="L371" s="327">
        <f t="shared" si="46"/>
        <v>0</v>
      </c>
      <c r="M371" s="321" t="str">
        <f t="shared" si="5"/>
        <v>griffgreen</v>
      </c>
      <c r="N371" s="176">
        <f>IFERROR(__xludf.DUMMYFUNCTION("""COMPUTED_VALUE"""),27.0)</f>
        <v>27</v>
      </c>
      <c r="O371" s="176"/>
      <c r="P371" s="176"/>
      <c r="Q371" s="176"/>
      <c r="R371" s="176"/>
      <c r="S371" s="176"/>
      <c r="T371" s="176"/>
      <c r="U371" s="176"/>
      <c r="V371" s="176"/>
      <c r="W371" s="176"/>
      <c r="X371" s="176"/>
      <c r="Y371" s="176"/>
      <c r="Z371" s="176"/>
    </row>
    <row r="372">
      <c r="A372" s="226" t="s">
        <v>18</v>
      </c>
      <c r="B372" s="226" t="s">
        <v>590</v>
      </c>
      <c r="C372" s="250" t="s">
        <v>3701</v>
      </c>
      <c r="D372" s="268" t="s">
        <v>495</v>
      </c>
      <c r="E372" s="251">
        <v>44153.0</v>
      </c>
      <c r="F372" s="250" t="s">
        <v>496</v>
      </c>
      <c r="G372" s="176"/>
      <c r="H372" s="176"/>
      <c r="I372" s="176"/>
      <c r="J372" s="391">
        <f t="shared" si="44"/>
        <v>0</v>
      </c>
      <c r="K372" s="392">
        <f t="shared" si="45"/>
        <v>0</v>
      </c>
      <c r="L372" s="327">
        <f t="shared" si="46"/>
        <v>0</v>
      </c>
      <c r="M372" s="321" t="str">
        <f t="shared" si="5"/>
        <v>liviade</v>
      </c>
      <c r="N372" s="176">
        <f>IFERROR(__xludf.DUMMYFUNCTION("""COMPUTED_VALUE"""),19.0)</f>
        <v>19</v>
      </c>
      <c r="O372" s="176"/>
      <c r="P372" s="176"/>
      <c r="Q372" s="176"/>
      <c r="R372" s="176"/>
      <c r="S372" s="176"/>
      <c r="T372" s="176"/>
      <c r="U372" s="176"/>
      <c r="V372" s="176"/>
      <c r="W372" s="176"/>
      <c r="X372" s="176"/>
      <c r="Y372" s="176"/>
      <c r="Z372" s="176"/>
    </row>
    <row r="373">
      <c r="A373" s="226" t="s">
        <v>18</v>
      </c>
      <c r="B373" s="226" t="s">
        <v>1228</v>
      </c>
      <c r="C373" s="250" t="s">
        <v>3587</v>
      </c>
      <c r="D373" s="268" t="s">
        <v>495</v>
      </c>
      <c r="E373" s="251">
        <v>44154.0</v>
      </c>
      <c r="F373" s="250" t="s">
        <v>496</v>
      </c>
      <c r="G373" s="176"/>
      <c r="H373" s="176"/>
      <c r="I373" s="176"/>
      <c r="J373" s="391">
        <f t="shared" si="44"/>
        <v>0</v>
      </c>
      <c r="K373" s="392">
        <f t="shared" si="45"/>
        <v>0</v>
      </c>
      <c r="L373" s="327">
        <f t="shared" si="46"/>
        <v>0</v>
      </c>
      <c r="M373" s="321" t="str">
        <f t="shared" si="5"/>
        <v>liviade</v>
      </c>
      <c r="N373" s="176">
        <f>IFERROR(__xludf.DUMMYFUNCTION("""COMPUTED_VALUE"""),20.0)</f>
        <v>20</v>
      </c>
      <c r="O373" s="176"/>
      <c r="P373" s="176"/>
      <c r="Q373" s="176"/>
      <c r="R373" s="176"/>
      <c r="S373" s="176"/>
      <c r="T373" s="176"/>
      <c r="U373" s="176"/>
      <c r="V373" s="176"/>
      <c r="W373" s="176"/>
      <c r="X373" s="176"/>
      <c r="Y373" s="176"/>
      <c r="Z373" s="176"/>
    </row>
    <row r="374">
      <c r="A374" s="226" t="s">
        <v>16</v>
      </c>
      <c r="B374" s="226" t="s">
        <v>1228</v>
      </c>
      <c r="C374" s="250" t="s">
        <v>3587</v>
      </c>
      <c r="D374" s="268" t="s">
        <v>495</v>
      </c>
      <c r="E374" s="251">
        <v>44154.0</v>
      </c>
      <c r="F374" s="250" t="s">
        <v>496</v>
      </c>
      <c r="G374" s="176"/>
      <c r="H374" s="176"/>
      <c r="I374" s="176"/>
      <c r="J374" s="391">
        <f t="shared" si="44"/>
        <v>0</v>
      </c>
      <c r="K374" s="392">
        <f t="shared" si="45"/>
        <v>0</v>
      </c>
      <c r="L374" s="327">
        <f t="shared" si="46"/>
        <v>0</v>
      </c>
      <c r="M374" s="321" t="str">
        <f t="shared" si="5"/>
        <v>griffgreen</v>
      </c>
      <c r="N374" s="176">
        <f>IFERROR(__xludf.DUMMYFUNCTION("""COMPUTED_VALUE"""),28.0)</f>
        <v>28</v>
      </c>
      <c r="O374" s="176"/>
      <c r="P374" s="176"/>
      <c r="Q374" s="176"/>
      <c r="R374" s="176"/>
      <c r="S374" s="176"/>
      <c r="T374" s="176"/>
      <c r="U374" s="176"/>
      <c r="V374" s="176"/>
      <c r="W374" s="176"/>
      <c r="X374" s="176"/>
      <c r="Y374" s="176"/>
      <c r="Z374" s="176"/>
    </row>
    <row r="375">
      <c r="A375" s="226" t="s">
        <v>16</v>
      </c>
      <c r="B375" s="226" t="s">
        <v>590</v>
      </c>
      <c r="C375" s="250" t="s">
        <v>3571</v>
      </c>
      <c r="D375" s="268" t="s">
        <v>495</v>
      </c>
      <c r="E375" s="251">
        <v>44155.0</v>
      </c>
      <c r="F375" s="250" t="s">
        <v>496</v>
      </c>
      <c r="G375" s="176"/>
      <c r="H375" s="176"/>
      <c r="I375" s="176"/>
      <c r="J375" s="391">
        <f t="shared" si="44"/>
        <v>0</v>
      </c>
      <c r="K375" s="392">
        <f t="shared" si="45"/>
        <v>0</v>
      </c>
      <c r="L375" s="327">
        <f t="shared" si="46"/>
        <v>0</v>
      </c>
      <c r="M375" s="321" t="str">
        <f t="shared" si="5"/>
        <v>griffgreen</v>
      </c>
      <c r="N375" s="176">
        <f>IFERROR(__xludf.DUMMYFUNCTION("""COMPUTED_VALUE"""),29.0)</f>
        <v>29</v>
      </c>
      <c r="O375" s="176"/>
      <c r="P375" s="176"/>
      <c r="Q375" s="176"/>
      <c r="R375" s="176"/>
      <c r="S375" s="176"/>
      <c r="T375" s="176"/>
      <c r="U375" s="176"/>
      <c r="V375" s="176"/>
      <c r="W375" s="176"/>
      <c r="X375" s="176"/>
      <c r="Y375" s="176"/>
      <c r="Z375" s="176"/>
    </row>
    <row r="376">
      <c r="A376" s="226" t="s">
        <v>18</v>
      </c>
      <c r="B376" s="226" t="s">
        <v>590</v>
      </c>
      <c r="C376" s="250" t="s">
        <v>3571</v>
      </c>
      <c r="D376" s="268" t="s">
        <v>495</v>
      </c>
      <c r="E376" s="251">
        <v>44155.0</v>
      </c>
      <c r="F376" s="250" t="s">
        <v>496</v>
      </c>
      <c r="G376" s="176"/>
      <c r="H376" s="176"/>
      <c r="I376" s="176"/>
      <c r="J376" s="391">
        <f t="shared" si="44"/>
        <v>0</v>
      </c>
      <c r="K376" s="392">
        <f t="shared" si="45"/>
        <v>0</v>
      </c>
      <c r="L376" s="327">
        <f t="shared" si="46"/>
        <v>0</v>
      </c>
      <c r="M376" s="321" t="str">
        <f t="shared" si="5"/>
        <v>liviade</v>
      </c>
      <c r="N376" s="176">
        <f>IFERROR(__xludf.DUMMYFUNCTION("""COMPUTED_VALUE"""),21.0)</f>
        <v>21</v>
      </c>
      <c r="O376" s="176"/>
      <c r="P376" s="176"/>
      <c r="Q376" s="176"/>
      <c r="R376" s="176"/>
      <c r="S376" s="176"/>
      <c r="T376" s="176"/>
      <c r="U376" s="176"/>
      <c r="V376" s="176"/>
      <c r="W376" s="176"/>
      <c r="X376" s="176"/>
      <c r="Y376" s="176"/>
      <c r="Z376" s="176"/>
    </row>
    <row r="377">
      <c r="A377" s="240"/>
      <c r="B377" s="343"/>
      <c r="C377" s="221"/>
      <c r="D377" s="336"/>
      <c r="E377" s="255"/>
      <c r="F377" s="254"/>
      <c r="G377" s="222"/>
      <c r="H377" s="222"/>
      <c r="I377" s="222"/>
      <c r="J377" s="391"/>
      <c r="K377" s="392"/>
      <c r="L377" s="327"/>
      <c r="M377" s="321"/>
      <c r="N377" s="209"/>
      <c r="O377" s="209"/>
      <c r="P377" s="209"/>
      <c r="Q377" s="209"/>
      <c r="R377" s="209"/>
      <c r="S377" s="209"/>
      <c r="T377" s="209"/>
      <c r="U377" s="209"/>
      <c r="V377" s="209"/>
      <c r="W377" s="209"/>
      <c r="X377" s="209"/>
      <c r="Y377" s="176"/>
      <c r="Z377" s="176"/>
    </row>
    <row r="378">
      <c r="A378" s="226"/>
      <c r="B378" s="226"/>
      <c r="C378" s="250"/>
      <c r="D378" s="268"/>
      <c r="E378" s="251"/>
      <c r="F378" s="250"/>
      <c r="G378" s="176"/>
      <c r="H378" s="171"/>
      <c r="I378" s="171"/>
      <c r="J378" s="391"/>
      <c r="K378" s="392"/>
      <c r="L378" s="327"/>
      <c r="M378" s="321"/>
      <c r="N378" s="176"/>
      <c r="O378" s="176"/>
      <c r="P378" s="176"/>
      <c r="Q378" s="176"/>
      <c r="R378" s="176"/>
      <c r="S378" s="176"/>
      <c r="T378" s="176"/>
      <c r="U378" s="176"/>
      <c r="V378" s="176"/>
      <c r="W378" s="176"/>
      <c r="X378" s="176"/>
      <c r="Y378" s="176"/>
      <c r="Z378" s="176"/>
    </row>
    <row r="379">
      <c r="A379" s="226"/>
      <c r="B379" s="226"/>
      <c r="C379" s="250"/>
      <c r="D379" s="268"/>
      <c r="E379" s="251"/>
      <c r="F379" s="250"/>
      <c r="G379" s="176"/>
      <c r="H379" s="171"/>
      <c r="I379" s="171"/>
      <c r="J379" s="391"/>
      <c r="K379" s="392"/>
      <c r="L379" s="327"/>
      <c r="M379" s="321"/>
      <c r="N379" s="176"/>
      <c r="O379" s="176"/>
      <c r="P379" s="176"/>
      <c r="Q379" s="176"/>
      <c r="R379" s="176"/>
      <c r="S379" s="176"/>
      <c r="T379" s="176"/>
      <c r="U379" s="176"/>
      <c r="V379" s="176"/>
      <c r="W379" s="176"/>
      <c r="X379" s="176"/>
      <c r="Y379" s="176"/>
      <c r="Z379" s="176"/>
    </row>
    <row r="380">
      <c r="A380" s="226"/>
      <c r="B380" s="226"/>
      <c r="C380" s="250"/>
      <c r="D380" s="268"/>
      <c r="E380" s="251"/>
      <c r="F380" s="250"/>
      <c r="G380" s="176"/>
      <c r="H380" s="171"/>
      <c r="I380" s="171"/>
      <c r="J380" s="391"/>
      <c r="K380" s="392"/>
      <c r="L380" s="327"/>
      <c r="M380" s="321"/>
      <c r="N380" s="176"/>
      <c r="O380" s="176"/>
      <c r="P380" s="176"/>
      <c r="Q380" s="176"/>
      <c r="R380" s="176"/>
      <c r="S380" s="176"/>
      <c r="T380" s="176"/>
      <c r="U380" s="176"/>
      <c r="V380" s="176"/>
      <c r="W380" s="176"/>
      <c r="X380" s="176"/>
      <c r="Y380" s="176"/>
      <c r="Z380" s="176"/>
    </row>
    <row r="381">
      <c r="A381" s="226"/>
      <c r="B381" s="226"/>
      <c r="C381" s="250"/>
      <c r="D381" s="268"/>
      <c r="E381" s="251"/>
      <c r="F381" s="250"/>
      <c r="G381" s="176"/>
      <c r="H381" s="171"/>
      <c r="I381" s="171"/>
      <c r="J381" s="391"/>
      <c r="K381" s="392"/>
      <c r="L381" s="327"/>
      <c r="M381" s="321"/>
      <c r="N381" s="176"/>
      <c r="O381" s="176"/>
      <c r="P381" s="176"/>
      <c r="Q381" s="176"/>
      <c r="R381" s="176"/>
      <c r="S381" s="176"/>
      <c r="T381" s="176"/>
      <c r="U381" s="176"/>
      <c r="V381" s="176"/>
      <c r="W381" s="176"/>
      <c r="X381" s="176"/>
      <c r="Y381" s="176"/>
      <c r="Z381" s="176"/>
    </row>
    <row r="382">
      <c r="A382" s="226"/>
      <c r="B382" s="226"/>
      <c r="C382" s="250"/>
      <c r="D382" s="268"/>
      <c r="E382" s="251"/>
      <c r="F382" s="250"/>
      <c r="G382" s="176"/>
      <c r="H382" s="171"/>
      <c r="I382" s="171"/>
      <c r="J382" s="391"/>
      <c r="K382" s="392"/>
      <c r="L382" s="327"/>
      <c r="M382" s="321"/>
      <c r="N382" s="176"/>
      <c r="O382" s="176"/>
      <c r="P382" s="176"/>
      <c r="Q382" s="176"/>
      <c r="R382" s="176"/>
      <c r="S382" s="176"/>
      <c r="T382" s="176"/>
      <c r="U382" s="176"/>
      <c r="V382" s="176"/>
      <c r="W382" s="176"/>
      <c r="X382" s="176"/>
      <c r="Y382" s="176"/>
      <c r="Z382" s="176"/>
    </row>
    <row r="383">
      <c r="A383" s="226"/>
      <c r="B383" s="226"/>
      <c r="C383" s="250"/>
      <c r="D383" s="268"/>
      <c r="E383" s="251"/>
      <c r="F383" s="250"/>
      <c r="G383" s="176"/>
      <c r="H383" s="171"/>
      <c r="I383" s="171"/>
      <c r="J383" s="391"/>
      <c r="K383" s="392"/>
      <c r="L383" s="327"/>
      <c r="M383" s="321"/>
      <c r="N383" s="176"/>
      <c r="O383" s="176"/>
      <c r="P383" s="176"/>
      <c r="Q383" s="176"/>
      <c r="R383" s="176"/>
      <c r="S383" s="176"/>
      <c r="T383" s="176"/>
      <c r="U383" s="176"/>
      <c r="V383" s="176"/>
      <c r="W383" s="176"/>
      <c r="X383" s="176"/>
      <c r="Y383" s="176"/>
      <c r="Z383" s="176"/>
    </row>
    <row r="384">
      <c r="A384" s="226"/>
      <c r="B384" s="226"/>
      <c r="C384" s="250"/>
      <c r="D384" s="268"/>
      <c r="E384" s="251"/>
      <c r="F384" s="250"/>
      <c r="G384" s="176"/>
      <c r="H384" s="171"/>
      <c r="I384" s="171"/>
      <c r="J384" s="391"/>
      <c r="K384" s="392"/>
      <c r="L384" s="327"/>
      <c r="M384" s="321"/>
      <c r="N384" s="176"/>
      <c r="O384" s="176"/>
      <c r="P384" s="176"/>
      <c r="Q384" s="176"/>
      <c r="R384" s="176"/>
      <c r="S384" s="176"/>
      <c r="T384" s="176"/>
      <c r="U384" s="176"/>
      <c r="V384" s="176"/>
      <c r="W384" s="176"/>
      <c r="X384" s="176"/>
      <c r="Y384" s="176"/>
      <c r="Z384" s="176"/>
    </row>
    <row r="385">
      <c r="A385" s="226"/>
      <c r="B385" s="226"/>
      <c r="C385" s="250"/>
      <c r="D385" s="268"/>
      <c r="E385" s="251"/>
      <c r="F385" s="250"/>
      <c r="G385" s="176"/>
      <c r="H385" s="171"/>
      <c r="I385" s="171"/>
      <c r="J385" s="391"/>
      <c r="K385" s="392"/>
      <c r="L385" s="327"/>
      <c r="M385" s="321"/>
      <c r="N385" s="176"/>
      <c r="O385" s="176"/>
      <c r="P385" s="176"/>
      <c r="Q385" s="176"/>
      <c r="R385" s="176"/>
      <c r="S385" s="176"/>
      <c r="T385" s="176"/>
      <c r="U385" s="176"/>
      <c r="V385" s="176"/>
      <c r="W385" s="176"/>
      <c r="X385" s="176"/>
      <c r="Y385" s="176"/>
      <c r="Z385" s="176"/>
    </row>
    <row r="386">
      <c r="A386" s="226"/>
      <c r="B386" s="226"/>
      <c r="C386" s="250"/>
      <c r="D386" s="268"/>
      <c r="E386" s="251"/>
      <c r="F386" s="250"/>
      <c r="G386" s="176"/>
      <c r="H386" s="171"/>
      <c r="I386" s="171"/>
      <c r="J386" s="391"/>
      <c r="K386" s="392"/>
      <c r="L386" s="327"/>
      <c r="M386" s="321"/>
      <c r="N386" s="176"/>
      <c r="O386" s="176"/>
      <c r="P386" s="176"/>
      <c r="Q386" s="176"/>
      <c r="R386" s="176"/>
      <c r="S386" s="176"/>
      <c r="T386" s="176"/>
      <c r="U386" s="176"/>
      <c r="V386" s="176"/>
      <c r="W386" s="176"/>
      <c r="X386" s="176"/>
      <c r="Y386" s="176"/>
      <c r="Z386" s="176"/>
    </row>
    <row r="387">
      <c r="A387" s="226"/>
      <c r="B387" s="226"/>
      <c r="C387" s="250"/>
      <c r="D387" s="268"/>
      <c r="E387" s="251"/>
      <c r="F387" s="250"/>
      <c r="G387" s="176"/>
      <c r="H387" s="171"/>
      <c r="I387" s="171"/>
      <c r="J387" s="391"/>
      <c r="K387" s="392"/>
      <c r="L387" s="327"/>
      <c r="M387" s="321"/>
      <c r="N387" s="176"/>
      <c r="O387" s="176"/>
      <c r="P387" s="176"/>
      <c r="Q387" s="176"/>
      <c r="R387" s="176"/>
      <c r="S387" s="176"/>
      <c r="T387" s="176"/>
      <c r="U387" s="176"/>
      <c r="V387" s="176"/>
      <c r="W387" s="176"/>
      <c r="X387" s="176"/>
      <c r="Y387" s="176"/>
      <c r="Z387" s="176"/>
    </row>
    <row r="388">
      <c r="A388" s="226"/>
      <c r="B388" s="226"/>
      <c r="C388" s="250"/>
      <c r="D388" s="268"/>
      <c r="E388" s="251"/>
      <c r="F388" s="250"/>
      <c r="G388" s="176"/>
      <c r="H388" s="171"/>
      <c r="I388" s="171"/>
      <c r="J388" s="391"/>
      <c r="K388" s="392"/>
      <c r="L388" s="327"/>
      <c r="M388" s="321"/>
      <c r="N388" s="176"/>
      <c r="O388" s="176"/>
      <c r="P388" s="176"/>
      <c r="Q388" s="176"/>
      <c r="R388" s="176"/>
      <c r="S388" s="176"/>
      <c r="T388" s="176"/>
      <c r="U388" s="176"/>
      <c r="V388" s="176"/>
      <c r="W388" s="176"/>
      <c r="X388" s="176"/>
      <c r="Y388" s="176"/>
      <c r="Z388" s="176"/>
    </row>
    <row r="389">
      <c r="A389" s="226"/>
      <c r="B389" s="226"/>
      <c r="C389" s="250"/>
      <c r="D389" s="268"/>
      <c r="E389" s="251"/>
      <c r="F389" s="250"/>
      <c r="G389" s="176"/>
      <c r="H389" s="171"/>
      <c r="I389" s="171"/>
      <c r="J389" s="391"/>
      <c r="K389" s="392"/>
      <c r="L389" s="327"/>
      <c r="M389" s="321"/>
      <c r="N389" s="176"/>
      <c r="O389" s="176"/>
      <c r="P389" s="176"/>
      <c r="Q389" s="176"/>
      <c r="R389" s="176"/>
      <c r="S389" s="176"/>
      <c r="T389" s="176"/>
      <c r="U389" s="176"/>
      <c r="V389" s="176"/>
      <c r="W389" s="176"/>
      <c r="X389" s="176"/>
      <c r="Y389" s="176"/>
      <c r="Z389" s="176"/>
    </row>
  </sheetData>
  <autoFilter ref="$A$3:$X$377">
    <sortState ref="A3:X377">
      <sortCondition descending="1" ref="L3:L377"/>
      <sortCondition descending="1" ref="K3:K377"/>
      <sortCondition descending="1" ref="E3:E377"/>
      <sortCondition descending="1" ref="A3:A377"/>
      <sortCondition descending="1" ref="N3:N377"/>
    </sortState>
  </autoFilter>
  <hyperlinks>
    <hyperlink r:id="rId1" ref="C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5" t="s">
        <v>3558</v>
      </c>
      <c r="B1" s="2">
        <f>sum(B3:B935)</f>
        <v>404.5596023</v>
      </c>
    </row>
    <row r="2">
      <c r="A2" s="399" t="s">
        <v>388</v>
      </c>
      <c r="B2" s="400" t="s">
        <v>2</v>
      </c>
    </row>
    <row r="3">
      <c r="A3" s="18" t="s">
        <v>4</v>
      </c>
      <c r="B3" s="401">
        <v>38.828880347787624</v>
      </c>
    </row>
    <row r="4">
      <c r="A4" s="18" t="s">
        <v>3</v>
      </c>
      <c r="B4" s="401">
        <v>34.64636000453652</v>
      </c>
    </row>
    <row r="5">
      <c r="A5" s="18" t="s">
        <v>5</v>
      </c>
      <c r="B5" s="401">
        <v>20.7931519082755</v>
      </c>
    </row>
    <row r="6">
      <c r="A6" s="18" t="s">
        <v>33</v>
      </c>
      <c r="B6" s="401">
        <v>20.072993206441307</v>
      </c>
    </row>
    <row r="7">
      <c r="A7" s="18" t="s">
        <v>7</v>
      </c>
      <c r="B7" s="401">
        <v>17.139659261216675</v>
      </c>
    </row>
    <row r="8">
      <c r="A8" s="18" t="s">
        <v>11</v>
      </c>
      <c r="B8" s="401">
        <v>15.931458462826606</v>
      </c>
    </row>
    <row r="9">
      <c r="A9" s="18" t="s">
        <v>52</v>
      </c>
      <c r="B9" s="401">
        <v>15.644304725707629</v>
      </c>
    </row>
    <row r="10">
      <c r="A10" s="18" t="s">
        <v>17</v>
      </c>
      <c r="B10" s="401">
        <v>15.462931073860684</v>
      </c>
    </row>
    <row r="11">
      <c r="A11" s="18" t="s">
        <v>56</v>
      </c>
      <c r="B11" s="401">
        <v>15.46176207688428</v>
      </c>
    </row>
    <row r="12">
      <c r="A12" s="18" t="s">
        <v>87</v>
      </c>
      <c r="B12" s="401">
        <v>12.742199026324416</v>
      </c>
    </row>
    <row r="13">
      <c r="A13" s="18" t="s">
        <v>78</v>
      </c>
      <c r="B13" s="401">
        <v>11.228498780201816</v>
      </c>
    </row>
    <row r="14">
      <c r="A14" s="18" t="s">
        <v>9</v>
      </c>
      <c r="B14" s="401">
        <v>8.512060911074833</v>
      </c>
    </row>
    <row r="15">
      <c r="A15" s="18" t="s">
        <v>60</v>
      </c>
      <c r="B15" s="401">
        <v>8.371672858864285</v>
      </c>
    </row>
    <row r="16">
      <c r="A16" s="18" t="s">
        <v>8</v>
      </c>
      <c r="B16" s="401">
        <v>7.911733826716938</v>
      </c>
    </row>
    <row r="17">
      <c r="A17" s="18" t="s">
        <v>105</v>
      </c>
      <c r="B17" s="401">
        <v>7.810247919854193</v>
      </c>
    </row>
    <row r="18">
      <c r="A18" s="18" t="s">
        <v>83</v>
      </c>
      <c r="B18" s="401">
        <v>7.36110796864612</v>
      </c>
    </row>
    <row r="19">
      <c r="A19" s="18" t="s">
        <v>42</v>
      </c>
      <c r="B19" s="401">
        <v>7.325458274563309</v>
      </c>
    </row>
    <row r="20">
      <c r="A20" s="18" t="s">
        <v>132</v>
      </c>
      <c r="B20" s="401">
        <v>7.164641057450616</v>
      </c>
    </row>
    <row r="21">
      <c r="A21" s="18" t="s">
        <v>14</v>
      </c>
      <c r="B21" s="401">
        <v>6.744975940747288</v>
      </c>
    </row>
    <row r="22">
      <c r="A22" s="18" t="s">
        <v>24</v>
      </c>
      <c r="B22" s="401">
        <v>6.7370992681210895</v>
      </c>
    </row>
    <row r="23">
      <c r="A23" s="18" t="s">
        <v>47</v>
      </c>
      <c r="B23" s="401">
        <v>6.7370992681210895</v>
      </c>
    </row>
    <row r="24">
      <c r="A24" s="18" t="s">
        <v>68</v>
      </c>
      <c r="B24" s="401">
        <v>6.7370992681210895</v>
      </c>
    </row>
    <row r="25">
      <c r="A25" s="18" t="s">
        <v>39</v>
      </c>
      <c r="B25" s="401">
        <v>6.578365505296988</v>
      </c>
    </row>
    <row r="26">
      <c r="A26" s="18" t="s">
        <v>38</v>
      </c>
      <c r="B26" s="401">
        <v>6.576673287899694</v>
      </c>
    </row>
    <row r="27">
      <c r="A27" s="18" t="s">
        <v>71</v>
      </c>
      <c r="B27" s="401">
        <v>5.75997334786504</v>
      </c>
    </row>
    <row r="28">
      <c r="A28" s="18" t="s">
        <v>49</v>
      </c>
      <c r="B28" s="401">
        <v>5.215852392324209</v>
      </c>
    </row>
    <row r="29">
      <c r="A29" s="18" t="s">
        <v>123</v>
      </c>
      <c r="B29" s="401">
        <v>4.962137625167346</v>
      </c>
    </row>
    <row r="30">
      <c r="A30" s="18" t="s">
        <v>111</v>
      </c>
      <c r="B30" s="401">
        <v>4.962137625167346</v>
      </c>
    </row>
    <row r="31">
      <c r="A31" s="18" t="s">
        <v>15</v>
      </c>
      <c r="B31" s="401">
        <v>4.646234938537656</v>
      </c>
    </row>
    <row r="32">
      <c r="A32" s="18" t="s">
        <v>6</v>
      </c>
      <c r="B32" s="401">
        <v>4.533590517933252</v>
      </c>
    </row>
    <row r="33">
      <c r="A33" s="110" t="s">
        <v>18</v>
      </c>
      <c r="B33" s="401">
        <v>3.6298110308916876</v>
      </c>
    </row>
    <row r="34">
      <c r="A34" s="18" t="s">
        <v>54</v>
      </c>
      <c r="B34" s="401">
        <v>3.6298110308916876</v>
      </c>
    </row>
    <row r="35">
      <c r="A35" s="110" t="s">
        <v>16</v>
      </c>
      <c r="B35" s="401">
        <v>3.6298110308916876</v>
      </c>
    </row>
    <row r="36">
      <c r="A36" s="18" t="s">
        <v>26</v>
      </c>
      <c r="B36" s="401">
        <v>3.390147795939091</v>
      </c>
    </row>
    <row r="37">
      <c r="A37" s="18" t="s">
        <v>103</v>
      </c>
      <c r="B37" s="401">
        <v>3.0942784321694305</v>
      </c>
    </row>
    <row r="38">
      <c r="A38" s="18" t="s">
        <v>95</v>
      </c>
      <c r="B38" s="401">
        <v>2.9194096828524723</v>
      </c>
    </row>
    <row r="39">
      <c r="A39" s="18" t="s">
        <v>147</v>
      </c>
      <c r="B39" s="401">
        <v>2.506961152871506</v>
      </c>
    </row>
    <row r="40">
      <c r="A40" s="18" t="s">
        <v>72</v>
      </c>
      <c r="B40" s="401">
        <v>2.448671569765853</v>
      </c>
    </row>
    <row r="41">
      <c r="A41" s="18" t="s">
        <v>28</v>
      </c>
      <c r="B41" s="401">
        <v>2.247182055106645</v>
      </c>
    </row>
    <row r="42">
      <c r="A42" s="18" t="s">
        <v>79</v>
      </c>
      <c r="B42" s="401">
        <v>2.3579847438423815</v>
      </c>
    </row>
    <row r="43">
      <c r="A43" s="18" t="s">
        <v>77</v>
      </c>
      <c r="B43" s="401">
        <v>2.2456997560403633</v>
      </c>
    </row>
    <row r="44">
      <c r="A44" s="18" t="s">
        <v>228</v>
      </c>
      <c r="B44" s="401">
        <v>2.2456997560403633</v>
      </c>
    </row>
    <row r="45">
      <c r="A45" s="18" t="s">
        <v>65</v>
      </c>
      <c r="B45" s="401">
        <v>2.2456997560403633</v>
      </c>
    </row>
    <row r="46">
      <c r="A46" s="18" t="s">
        <v>150</v>
      </c>
      <c r="B46" s="401">
        <v>2.092820405493247</v>
      </c>
    </row>
    <row r="47">
      <c r="A47" s="18" t="s">
        <v>30</v>
      </c>
      <c r="B47" s="401">
        <v>1.8399864610654988</v>
      </c>
    </row>
    <row r="48">
      <c r="A48" s="18" t="s">
        <v>85</v>
      </c>
      <c r="B48" s="401">
        <v>1.7579142835635189</v>
      </c>
    </row>
    <row r="49">
      <c r="A49" s="18" t="s">
        <v>35</v>
      </c>
      <c r="B49" s="401">
        <v>1.8181579667108367</v>
      </c>
    </row>
    <row r="50">
      <c r="A50" s="18" t="s">
        <v>41</v>
      </c>
      <c r="B50" s="401">
        <v>1.6842748170302724</v>
      </c>
    </row>
    <row r="51">
      <c r="A51" s="18" t="s">
        <v>40</v>
      </c>
      <c r="B51" s="401">
        <v>1.427307598608417</v>
      </c>
    </row>
    <row r="52">
      <c r="A52" s="18" t="s">
        <v>122</v>
      </c>
      <c r="B52" s="401">
        <v>1.363418445562735</v>
      </c>
    </row>
    <row r="53">
      <c r="A53" s="18" t="s">
        <v>43</v>
      </c>
      <c r="B53" s="401">
        <v>1.2053317448635301</v>
      </c>
    </row>
    <row r="54">
      <c r="A54" s="18" t="s">
        <v>70</v>
      </c>
      <c r="B54" s="401">
        <v>1.1737117692594925</v>
      </c>
    </row>
    <row r="55">
      <c r="A55" s="18" t="s">
        <v>55</v>
      </c>
      <c r="B55" s="401">
        <v>1.0554367693733324</v>
      </c>
    </row>
    <row r="56">
      <c r="A56" s="18" t="s">
        <v>62</v>
      </c>
      <c r="B56" s="401">
        <v>1.093523530948608</v>
      </c>
    </row>
    <row r="57">
      <c r="A57" s="18" t="s">
        <v>110</v>
      </c>
      <c r="B57" s="401">
        <v>1.072106924588809</v>
      </c>
    </row>
    <row r="58">
      <c r="A58" s="18" t="s">
        <v>29</v>
      </c>
      <c r="B58" s="401">
        <v>0.8590963878776101</v>
      </c>
    </row>
    <row r="59">
      <c r="A59" s="18" t="s">
        <v>186</v>
      </c>
      <c r="B59" s="401">
        <v>0.8475369489847727</v>
      </c>
    </row>
    <row r="60">
      <c r="A60" s="18" t="s">
        <v>315</v>
      </c>
      <c r="B60" s="401">
        <v>0.7967939955534002</v>
      </c>
    </row>
    <row r="61">
      <c r="A61" s="18" t="s">
        <v>76</v>
      </c>
      <c r="B61" s="401">
        <v>0.673709926812109</v>
      </c>
    </row>
    <row r="62">
      <c r="A62" s="18" t="s">
        <v>109</v>
      </c>
      <c r="B62" s="401">
        <v>0.673709926812109</v>
      </c>
    </row>
    <row r="63">
      <c r="A63" s="18" t="s">
        <v>272</v>
      </c>
      <c r="B63" s="401">
        <v>0.673709926812109</v>
      </c>
    </row>
    <row r="64">
      <c r="A64" s="18" t="s">
        <v>131</v>
      </c>
      <c r="B64" s="401">
        <v>0.673709926812109</v>
      </c>
    </row>
    <row r="65">
      <c r="A65" s="18" t="s">
        <v>59</v>
      </c>
      <c r="B65" s="401">
        <v>0.60417953647669</v>
      </c>
    </row>
    <row r="66">
      <c r="A66" s="18" t="s">
        <v>117</v>
      </c>
      <c r="B66" s="401">
        <v>0.5635699777670009</v>
      </c>
    </row>
    <row r="67">
      <c r="A67" s="18" t="s">
        <v>82</v>
      </c>
      <c r="B67" s="401">
        <v>0.5722240199493639</v>
      </c>
    </row>
    <row r="68">
      <c r="A68" s="18" t="s">
        <v>61</v>
      </c>
      <c r="B68" s="401">
        <v>0.5084696096645813</v>
      </c>
    </row>
    <row r="69">
      <c r="A69" s="18" t="s">
        <v>10</v>
      </c>
      <c r="B69" s="401">
        <v>0.22508799110680044</v>
      </c>
    </row>
    <row r="70">
      <c r="A70" s="18" t="s">
        <v>377</v>
      </c>
      <c r="B70" s="401">
        <v>0.11228498780201816</v>
      </c>
    </row>
    <row r="71">
      <c r="B71" s="401"/>
    </row>
    <row r="72">
      <c r="B72" s="401"/>
    </row>
    <row r="73">
      <c r="B73" s="401"/>
    </row>
    <row r="74">
      <c r="B74" s="401"/>
    </row>
    <row r="75">
      <c r="B75" s="401"/>
    </row>
    <row r="76">
      <c r="B76" s="401"/>
    </row>
    <row r="77">
      <c r="B77" s="401"/>
    </row>
    <row r="78">
      <c r="B78" s="401"/>
    </row>
    <row r="79">
      <c r="B79" s="401"/>
    </row>
    <row r="80">
      <c r="B80" s="401"/>
    </row>
    <row r="81">
      <c r="B81" s="401"/>
    </row>
    <row r="82">
      <c r="B82" s="401"/>
    </row>
    <row r="83">
      <c r="B83" s="401"/>
    </row>
    <row r="84">
      <c r="B84" s="401"/>
    </row>
    <row r="85">
      <c r="B85" s="401"/>
    </row>
    <row r="86">
      <c r="B86" s="401"/>
    </row>
    <row r="87">
      <c r="B87" s="401"/>
    </row>
    <row r="88">
      <c r="B88" s="401"/>
    </row>
    <row r="89">
      <c r="B89" s="401"/>
    </row>
    <row r="90">
      <c r="B90" s="401"/>
    </row>
    <row r="91">
      <c r="B91" s="401"/>
    </row>
    <row r="92">
      <c r="B92" s="401"/>
    </row>
    <row r="93">
      <c r="B93" s="401"/>
    </row>
    <row r="94">
      <c r="B94" s="401"/>
    </row>
    <row r="95">
      <c r="B95" s="401"/>
    </row>
    <row r="96">
      <c r="B96" s="401"/>
    </row>
    <row r="97">
      <c r="B97" s="401"/>
    </row>
    <row r="98">
      <c r="B98" s="401"/>
    </row>
    <row r="99">
      <c r="B99" s="401"/>
    </row>
    <row r="100">
      <c r="B100" s="401"/>
    </row>
    <row r="101">
      <c r="B101" s="401"/>
    </row>
    <row r="102">
      <c r="B102" s="401"/>
    </row>
    <row r="103">
      <c r="B103" s="401"/>
    </row>
    <row r="104">
      <c r="B104" s="401"/>
    </row>
    <row r="105">
      <c r="B105" s="401"/>
    </row>
    <row r="106">
      <c r="B106" s="401"/>
    </row>
    <row r="107">
      <c r="B107" s="401"/>
    </row>
    <row r="108">
      <c r="B108" s="401"/>
    </row>
    <row r="109">
      <c r="B109" s="401"/>
    </row>
    <row r="110">
      <c r="B110" s="401"/>
    </row>
    <row r="111">
      <c r="B111" s="401"/>
    </row>
    <row r="112">
      <c r="B112" s="401"/>
    </row>
    <row r="113">
      <c r="B113" s="401"/>
    </row>
    <row r="114">
      <c r="B114" s="401"/>
    </row>
    <row r="115">
      <c r="B115" s="401"/>
    </row>
    <row r="116">
      <c r="B116" s="401"/>
    </row>
    <row r="117">
      <c r="B117" s="401"/>
    </row>
    <row r="118">
      <c r="B118" s="401"/>
    </row>
    <row r="119">
      <c r="B119" s="401"/>
    </row>
    <row r="120">
      <c r="B120" s="401"/>
    </row>
    <row r="121">
      <c r="B121" s="401"/>
    </row>
    <row r="122">
      <c r="B122" s="401"/>
    </row>
    <row r="123">
      <c r="B123" s="401"/>
    </row>
    <row r="124">
      <c r="B124" s="401"/>
    </row>
    <row r="125">
      <c r="B125" s="401"/>
    </row>
    <row r="126">
      <c r="B126" s="401"/>
    </row>
    <row r="127">
      <c r="B127" s="401"/>
    </row>
    <row r="128">
      <c r="B128" s="401"/>
    </row>
    <row r="129">
      <c r="B129" s="401"/>
    </row>
    <row r="130">
      <c r="B130" s="401"/>
    </row>
    <row r="131">
      <c r="B131" s="401"/>
    </row>
    <row r="132">
      <c r="B132" s="401"/>
    </row>
    <row r="133">
      <c r="B133" s="401"/>
    </row>
    <row r="134">
      <c r="B134" s="401"/>
    </row>
    <row r="135">
      <c r="B135" s="401"/>
    </row>
    <row r="136">
      <c r="B136" s="401"/>
    </row>
    <row r="137">
      <c r="B137" s="401"/>
    </row>
    <row r="138">
      <c r="B138" s="401"/>
    </row>
    <row r="139">
      <c r="B139" s="401"/>
    </row>
    <row r="140">
      <c r="B140" s="401"/>
    </row>
    <row r="141">
      <c r="B141" s="401"/>
    </row>
    <row r="142">
      <c r="B142" s="401"/>
    </row>
    <row r="143">
      <c r="B143" s="401"/>
    </row>
    <row r="144">
      <c r="B144" s="401"/>
    </row>
    <row r="145">
      <c r="B145" s="401"/>
    </row>
    <row r="146">
      <c r="B146" s="401"/>
    </row>
    <row r="147">
      <c r="B147" s="401"/>
    </row>
    <row r="148">
      <c r="B148" s="401"/>
    </row>
    <row r="149">
      <c r="B149" s="401"/>
    </row>
    <row r="150">
      <c r="B150" s="401"/>
    </row>
    <row r="151">
      <c r="B151" s="401"/>
    </row>
    <row r="152">
      <c r="B152" s="401"/>
    </row>
    <row r="153">
      <c r="B153" s="401"/>
    </row>
    <row r="154">
      <c r="B154" s="401"/>
    </row>
    <row r="155">
      <c r="B155" s="401"/>
    </row>
    <row r="156">
      <c r="B156" s="401"/>
    </row>
    <row r="157">
      <c r="B157" s="401"/>
    </row>
    <row r="158">
      <c r="B158" s="401"/>
    </row>
    <row r="159">
      <c r="B159" s="401"/>
    </row>
    <row r="160">
      <c r="B160" s="401"/>
    </row>
    <row r="161">
      <c r="B161" s="401"/>
    </row>
    <row r="162">
      <c r="B162" s="401"/>
    </row>
    <row r="163">
      <c r="B163" s="401"/>
    </row>
    <row r="164">
      <c r="B164" s="401"/>
    </row>
    <row r="165">
      <c r="B165" s="401"/>
    </row>
    <row r="166">
      <c r="B166" s="401"/>
    </row>
    <row r="167">
      <c r="B167" s="401"/>
    </row>
    <row r="168">
      <c r="B168" s="401"/>
    </row>
    <row r="169">
      <c r="B169" s="401"/>
    </row>
    <row r="170">
      <c r="B170" s="401"/>
    </row>
    <row r="171">
      <c r="B171" s="401"/>
    </row>
    <row r="172">
      <c r="B172" s="401"/>
    </row>
    <row r="173">
      <c r="B173" s="401"/>
    </row>
    <row r="174">
      <c r="B174" s="401"/>
    </row>
    <row r="175">
      <c r="B175" s="401"/>
    </row>
    <row r="176">
      <c r="B176" s="401"/>
    </row>
    <row r="177">
      <c r="B177" s="401"/>
    </row>
    <row r="178">
      <c r="B178" s="401"/>
    </row>
    <row r="179">
      <c r="B179" s="401"/>
    </row>
    <row r="180">
      <c r="B180" s="401"/>
    </row>
    <row r="181">
      <c r="B181" s="401"/>
    </row>
    <row r="182">
      <c r="B182" s="401"/>
    </row>
    <row r="183">
      <c r="B183" s="401"/>
    </row>
    <row r="184">
      <c r="B184" s="401"/>
    </row>
    <row r="185">
      <c r="B185" s="401"/>
    </row>
    <row r="186">
      <c r="B186" s="401"/>
    </row>
    <row r="187">
      <c r="B187" s="401"/>
    </row>
    <row r="188">
      <c r="B188" s="401"/>
    </row>
    <row r="189">
      <c r="B189" s="401"/>
    </row>
    <row r="190">
      <c r="B190" s="401"/>
    </row>
    <row r="191">
      <c r="B191" s="401"/>
    </row>
    <row r="192">
      <c r="B192" s="401"/>
    </row>
    <row r="193">
      <c r="B193" s="401"/>
    </row>
    <row r="194">
      <c r="B194" s="401"/>
    </row>
    <row r="195">
      <c r="B195" s="401"/>
    </row>
    <row r="196">
      <c r="B196" s="401"/>
    </row>
    <row r="197">
      <c r="B197" s="401"/>
    </row>
    <row r="198">
      <c r="B198" s="401"/>
    </row>
    <row r="199">
      <c r="B199" s="401"/>
    </row>
    <row r="200">
      <c r="B200" s="401"/>
    </row>
    <row r="201">
      <c r="B201" s="401"/>
    </row>
    <row r="202">
      <c r="B202" s="401"/>
    </row>
    <row r="203">
      <c r="B203" s="401"/>
    </row>
    <row r="204">
      <c r="B204" s="401"/>
    </row>
    <row r="205">
      <c r="B205" s="401"/>
    </row>
    <row r="206">
      <c r="B206" s="401"/>
    </row>
    <row r="207">
      <c r="B207" s="401"/>
    </row>
    <row r="208">
      <c r="B208" s="401"/>
    </row>
    <row r="209">
      <c r="B209" s="401"/>
    </row>
    <row r="210">
      <c r="B210" s="401"/>
    </row>
    <row r="211">
      <c r="B211" s="401"/>
    </row>
    <row r="212">
      <c r="B212" s="401"/>
    </row>
    <row r="213">
      <c r="B213" s="401"/>
    </row>
    <row r="214">
      <c r="B214" s="401"/>
    </row>
    <row r="215">
      <c r="B215" s="401"/>
    </row>
    <row r="216">
      <c r="B216" s="401"/>
    </row>
    <row r="217">
      <c r="B217" s="401"/>
    </row>
    <row r="218">
      <c r="B218" s="401"/>
    </row>
    <row r="219">
      <c r="B219" s="401"/>
    </row>
    <row r="220">
      <c r="B220" s="401"/>
    </row>
    <row r="221">
      <c r="B221" s="401"/>
    </row>
    <row r="222">
      <c r="B222" s="401"/>
    </row>
    <row r="223">
      <c r="B223" s="401"/>
    </row>
    <row r="224">
      <c r="B224" s="401"/>
    </row>
    <row r="225">
      <c r="B225" s="401"/>
    </row>
    <row r="226">
      <c r="B226" s="401"/>
    </row>
    <row r="227">
      <c r="B227" s="401"/>
    </row>
    <row r="228">
      <c r="B228" s="401"/>
    </row>
    <row r="229">
      <c r="B229" s="401"/>
    </row>
    <row r="230">
      <c r="B230" s="401"/>
    </row>
    <row r="231">
      <c r="B231" s="401"/>
    </row>
    <row r="232">
      <c r="B232" s="401"/>
    </row>
    <row r="233">
      <c r="B233" s="401"/>
    </row>
    <row r="234">
      <c r="B234" s="401"/>
    </row>
    <row r="235">
      <c r="B235" s="401"/>
    </row>
    <row r="236">
      <c r="B236" s="401"/>
    </row>
    <row r="237">
      <c r="B237" s="401"/>
    </row>
    <row r="238">
      <c r="B238" s="401"/>
    </row>
    <row r="239">
      <c r="B239" s="401"/>
    </row>
    <row r="240">
      <c r="B240" s="401"/>
    </row>
    <row r="241">
      <c r="B241" s="401"/>
    </row>
    <row r="242">
      <c r="B242" s="401"/>
    </row>
    <row r="243">
      <c r="B243" s="401"/>
    </row>
    <row r="244">
      <c r="B244" s="401"/>
    </row>
    <row r="245">
      <c r="B245" s="401"/>
    </row>
    <row r="246">
      <c r="B246" s="401"/>
    </row>
    <row r="247">
      <c r="B247" s="401"/>
    </row>
    <row r="248">
      <c r="B248" s="401"/>
    </row>
    <row r="249">
      <c r="B249" s="401"/>
    </row>
    <row r="250">
      <c r="B250" s="401"/>
    </row>
    <row r="251">
      <c r="B251" s="401"/>
    </row>
    <row r="252">
      <c r="B252" s="401"/>
    </row>
    <row r="253">
      <c r="B253" s="401"/>
    </row>
    <row r="254">
      <c r="B254" s="401"/>
    </row>
    <row r="255">
      <c r="B255" s="401"/>
    </row>
    <row r="256">
      <c r="B256" s="401"/>
    </row>
    <row r="257">
      <c r="B257" s="401"/>
    </row>
    <row r="258">
      <c r="B258" s="401"/>
    </row>
    <row r="259">
      <c r="B259" s="401"/>
    </row>
    <row r="260">
      <c r="B260" s="401"/>
    </row>
    <row r="261">
      <c r="B261" s="401"/>
    </row>
    <row r="262">
      <c r="B262" s="401"/>
    </row>
    <row r="263">
      <c r="B263" s="401"/>
    </row>
    <row r="264">
      <c r="B264" s="401"/>
    </row>
    <row r="265">
      <c r="B265" s="401"/>
    </row>
    <row r="266">
      <c r="B266" s="401"/>
    </row>
    <row r="267">
      <c r="B267" s="401"/>
    </row>
    <row r="268">
      <c r="B268" s="401"/>
    </row>
    <row r="269">
      <c r="B269" s="401"/>
    </row>
    <row r="270">
      <c r="B270" s="401"/>
    </row>
    <row r="271">
      <c r="B271" s="401"/>
    </row>
    <row r="272">
      <c r="B272" s="401"/>
    </row>
    <row r="273">
      <c r="B273" s="401"/>
    </row>
    <row r="274">
      <c r="B274" s="401"/>
    </row>
    <row r="275">
      <c r="B275" s="401"/>
    </row>
    <row r="276">
      <c r="B276" s="401"/>
    </row>
    <row r="277">
      <c r="B277" s="401"/>
    </row>
    <row r="278">
      <c r="B278" s="401"/>
    </row>
    <row r="279">
      <c r="B279" s="401"/>
    </row>
    <row r="280">
      <c r="B280" s="401"/>
    </row>
    <row r="281">
      <c r="B281" s="401"/>
    </row>
    <row r="282">
      <c r="B282" s="401"/>
    </row>
    <row r="283">
      <c r="B283" s="401"/>
    </row>
    <row r="284">
      <c r="B284" s="401"/>
    </row>
    <row r="285">
      <c r="B285" s="401"/>
    </row>
    <row r="286">
      <c r="B286" s="401"/>
    </row>
    <row r="287">
      <c r="B287" s="401"/>
    </row>
    <row r="288">
      <c r="B288" s="401"/>
    </row>
    <row r="289">
      <c r="B289" s="401"/>
    </row>
    <row r="290">
      <c r="B290" s="401"/>
    </row>
    <row r="291">
      <c r="B291" s="401"/>
    </row>
    <row r="292">
      <c r="B292" s="401"/>
    </row>
    <row r="293">
      <c r="B293" s="401"/>
    </row>
    <row r="294">
      <c r="B294" s="401"/>
    </row>
    <row r="295">
      <c r="B295" s="401"/>
    </row>
    <row r="296">
      <c r="B296" s="401"/>
    </row>
    <row r="297">
      <c r="B297" s="401"/>
    </row>
    <row r="298">
      <c r="B298" s="401"/>
    </row>
    <row r="299">
      <c r="B299" s="401"/>
    </row>
    <row r="300">
      <c r="B300" s="401"/>
    </row>
    <row r="301">
      <c r="B301" s="401"/>
    </row>
    <row r="302">
      <c r="B302" s="401"/>
    </row>
    <row r="303">
      <c r="B303" s="401"/>
    </row>
    <row r="304">
      <c r="B304" s="401"/>
    </row>
    <row r="305">
      <c r="B305" s="401"/>
    </row>
    <row r="306">
      <c r="B306" s="401"/>
    </row>
    <row r="307">
      <c r="B307" s="401"/>
    </row>
    <row r="308">
      <c r="B308" s="401"/>
    </row>
    <row r="309">
      <c r="B309" s="401"/>
    </row>
    <row r="310">
      <c r="B310" s="401"/>
    </row>
    <row r="311">
      <c r="B311" s="401"/>
    </row>
    <row r="312">
      <c r="B312" s="401"/>
    </row>
    <row r="313">
      <c r="B313" s="401"/>
    </row>
    <row r="314">
      <c r="B314" s="401"/>
    </row>
    <row r="315">
      <c r="B315" s="401"/>
    </row>
    <row r="316">
      <c r="B316" s="401"/>
    </row>
    <row r="317">
      <c r="B317" s="401"/>
    </row>
    <row r="318">
      <c r="B318" s="401"/>
    </row>
    <row r="319">
      <c r="B319" s="401"/>
    </row>
    <row r="320">
      <c r="B320" s="401"/>
    </row>
    <row r="321">
      <c r="B321" s="401"/>
    </row>
    <row r="322">
      <c r="B322" s="401"/>
    </row>
    <row r="323">
      <c r="B323" s="401"/>
    </row>
    <row r="324">
      <c r="B324" s="401"/>
    </row>
    <row r="325">
      <c r="B325" s="401"/>
    </row>
    <row r="326">
      <c r="B326" s="401"/>
    </row>
    <row r="327">
      <c r="B327" s="401"/>
    </row>
    <row r="328">
      <c r="B328" s="401"/>
    </row>
    <row r="329">
      <c r="B329" s="401"/>
    </row>
    <row r="330">
      <c r="B330" s="401"/>
    </row>
    <row r="331">
      <c r="B331" s="401"/>
    </row>
    <row r="332">
      <c r="B332" s="401"/>
    </row>
    <row r="333">
      <c r="B333" s="401"/>
    </row>
    <row r="334">
      <c r="B334" s="401"/>
    </row>
    <row r="335">
      <c r="B335" s="401"/>
    </row>
    <row r="336">
      <c r="B336" s="401"/>
    </row>
    <row r="337">
      <c r="B337" s="401"/>
    </row>
    <row r="338">
      <c r="B338" s="401"/>
    </row>
    <row r="339">
      <c r="B339" s="401"/>
    </row>
    <row r="340">
      <c r="B340" s="401"/>
    </row>
    <row r="341">
      <c r="B341" s="401"/>
    </row>
    <row r="342">
      <c r="B342" s="401"/>
    </row>
    <row r="343">
      <c r="B343" s="401"/>
    </row>
    <row r="344">
      <c r="B344" s="401"/>
    </row>
    <row r="345">
      <c r="B345" s="401"/>
    </row>
    <row r="346">
      <c r="B346" s="401"/>
    </row>
    <row r="347">
      <c r="B347" s="401"/>
    </row>
    <row r="348">
      <c r="B348" s="401"/>
    </row>
    <row r="349">
      <c r="B349" s="401"/>
    </row>
    <row r="350">
      <c r="B350" s="401"/>
    </row>
    <row r="351">
      <c r="B351" s="401"/>
    </row>
    <row r="352">
      <c r="B352" s="401"/>
    </row>
    <row r="353">
      <c r="B353" s="401"/>
    </row>
    <row r="354">
      <c r="B354" s="401"/>
    </row>
    <row r="355">
      <c r="B355" s="401"/>
    </row>
    <row r="356">
      <c r="B356" s="401"/>
    </row>
    <row r="357">
      <c r="B357" s="401"/>
    </row>
    <row r="358">
      <c r="B358" s="401"/>
    </row>
    <row r="359">
      <c r="B359" s="401"/>
    </row>
    <row r="360">
      <c r="B360" s="401"/>
    </row>
    <row r="361">
      <c r="B361" s="401"/>
    </row>
    <row r="362">
      <c r="B362" s="401"/>
    </row>
    <row r="363">
      <c r="B363" s="401"/>
    </row>
    <row r="364">
      <c r="B364" s="401"/>
    </row>
    <row r="365">
      <c r="B365" s="401"/>
    </row>
    <row r="366">
      <c r="B366" s="401"/>
    </row>
    <row r="367">
      <c r="B367" s="401"/>
    </row>
    <row r="368">
      <c r="B368" s="401"/>
    </row>
    <row r="369">
      <c r="B369" s="401"/>
    </row>
    <row r="370">
      <c r="B370" s="401"/>
    </row>
    <row r="371">
      <c r="B371" s="401"/>
    </row>
    <row r="372">
      <c r="B372" s="401"/>
    </row>
    <row r="373">
      <c r="B373" s="401"/>
    </row>
    <row r="374">
      <c r="B374" s="401"/>
    </row>
    <row r="375">
      <c r="B375" s="401"/>
    </row>
    <row r="376">
      <c r="B376" s="401"/>
    </row>
    <row r="377">
      <c r="B377" s="401"/>
    </row>
    <row r="378">
      <c r="B378" s="401"/>
    </row>
    <row r="379">
      <c r="B379" s="401"/>
    </row>
    <row r="380">
      <c r="B380" s="401"/>
    </row>
    <row r="381">
      <c r="B381" s="401"/>
    </row>
    <row r="382">
      <c r="B382" s="401"/>
    </row>
    <row r="383">
      <c r="B383" s="401"/>
    </row>
    <row r="384">
      <c r="B384" s="401"/>
    </row>
    <row r="385">
      <c r="B385" s="401"/>
    </row>
    <row r="386">
      <c r="B386" s="401"/>
    </row>
    <row r="387">
      <c r="B387" s="401"/>
    </row>
    <row r="388">
      <c r="B388" s="401"/>
    </row>
    <row r="389">
      <c r="B389" s="401"/>
    </row>
    <row r="390">
      <c r="B390" s="401"/>
    </row>
    <row r="391">
      <c r="B391" s="401"/>
    </row>
    <row r="392">
      <c r="B392" s="401"/>
    </row>
    <row r="393">
      <c r="B393" s="401"/>
    </row>
    <row r="394">
      <c r="B394" s="401"/>
    </row>
    <row r="395">
      <c r="B395" s="401"/>
    </row>
    <row r="396">
      <c r="B396" s="401"/>
    </row>
    <row r="397">
      <c r="B397" s="401"/>
    </row>
    <row r="398">
      <c r="B398" s="401"/>
    </row>
    <row r="399">
      <c r="B399" s="401"/>
    </row>
    <row r="400">
      <c r="B400" s="401"/>
    </row>
    <row r="401">
      <c r="B401" s="401"/>
    </row>
    <row r="402">
      <c r="B402" s="401"/>
    </row>
    <row r="403">
      <c r="B403" s="401"/>
    </row>
    <row r="404">
      <c r="B404" s="401"/>
    </row>
    <row r="405">
      <c r="B405" s="401"/>
    </row>
    <row r="406">
      <c r="B406" s="401"/>
    </row>
    <row r="407">
      <c r="B407" s="401"/>
    </row>
    <row r="408">
      <c r="B408" s="401"/>
    </row>
    <row r="409">
      <c r="B409" s="401"/>
    </row>
    <row r="410">
      <c r="B410" s="401"/>
    </row>
    <row r="411">
      <c r="B411" s="401"/>
    </row>
    <row r="412">
      <c r="B412" s="401"/>
    </row>
    <row r="413">
      <c r="B413" s="401"/>
    </row>
    <row r="414">
      <c r="B414" s="401"/>
    </row>
    <row r="415">
      <c r="B415" s="401"/>
    </row>
    <row r="416">
      <c r="B416" s="401"/>
    </row>
    <row r="417">
      <c r="B417" s="401"/>
    </row>
    <row r="418">
      <c r="B418" s="401"/>
    </row>
    <row r="419">
      <c r="B419" s="401"/>
    </row>
    <row r="420">
      <c r="B420" s="401"/>
    </row>
    <row r="421">
      <c r="B421" s="401"/>
    </row>
    <row r="422">
      <c r="B422" s="401"/>
    </row>
    <row r="423">
      <c r="B423" s="401"/>
    </row>
    <row r="424">
      <c r="B424" s="401"/>
    </row>
    <row r="425">
      <c r="B425" s="401"/>
    </row>
    <row r="426">
      <c r="B426" s="401"/>
    </row>
    <row r="427">
      <c r="B427" s="401"/>
    </row>
    <row r="428">
      <c r="B428" s="401"/>
    </row>
    <row r="429">
      <c r="B429" s="401"/>
    </row>
    <row r="430">
      <c r="B430" s="401"/>
    </row>
    <row r="431">
      <c r="B431" s="401"/>
    </row>
    <row r="432">
      <c r="B432" s="401"/>
    </row>
    <row r="433">
      <c r="B433" s="401"/>
    </row>
    <row r="434">
      <c r="B434" s="401"/>
    </row>
    <row r="435">
      <c r="B435" s="401"/>
    </row>
    <row r="436">
      <c r="B436" s="401"/>
    </row>
    <row r="437">
      <c r="B437" s="401"/>
    </row>
    <row r="438">
      <c r="B438" s="401"/>
    </row>
    <row r="439">
      <c r="B439" s="401"/>
    </row>
    <row r="440">
      <c r="B440" s="401"/>
    </row>
    <row r="441">
      <c r="B441" s="401"/>
    </row>
    <row r="442">
      <c r="B442" s="401"/>
    </row>
    <row r="443">
      <c r="B443" s="401"/>
    </row>
    <row r="444">
      <c r="B444" s="401"/>
    </row>
    <row r="445">
      <c r="B445" s="401"/>
    </row>
    <row r="446">
      <c r="B446" s="401"/>
    </row>
    <row r="447">
      <c r="B447" s="401"/>
    </row>
    <row r="448">
      <c r="B448" s="401"/>
    </row>
    <row r="449">
      <c r="B449" s="401"/>
    </row>
    <row r="450">
      <c r="B450" s="401"/>
    </row>
    <row r="451">
      <c r="B451" s="401"/>
    </row>
    <row r="452">
      <c r="B452" s="401"/>
    </row>
    <row r="453">
      <c r="B453" s="401"/>
    </row>
    <row r="454">
      <c r="B454" s="401"/>
    </row>
    <row r="455">
      <c r="B455" s="401"/>
    </row>
    <row r="456">
      <c r="B456" s="401"/>
    </row>
    <row r="457">
      <c r="B457" s="401"/>
    </row>
    <row r="458">
      <c r="B458" s="401"/>
    </row>
    <row r="459">
      <c r="B459" s="401"/>
    </row>
    <row r="460">
      <c r="B460" s="401"/>
    </row>
    <row r="461">
      <c r="B461" s="401"/>
    </row>
    <row r="462">
      <c r="B462" s="401"/>
    </row>
    <row r="463">
      <c r="B463" s="401"/>
    </row>
    <row r="464">
      <c r="B464" s="401"/>
    </row>
    <row r="465">
      <c r="B465" s="401"/>
    </row>
    <row r="466">
      <c r="B466" s="401"/>
    </row>
    <row r="467">
      <c r="B467" s="401"/>
    </row>
    <row r="468">
      <c r="B468" s="401"/>
    </row>
    <row r="469">
      <c r="B469" s="401"/>
    </row>
    <row r="470">
      <c r="B470" s="401"/>
    </row>
    <row r="471">
      <c r="B471" s="401"/>
    </row>
    <row r="472">
      <c r="B472" s="401"/>
    </row>
    <row r="473">
      <c r="B473" s="401"/>
    </row>
    <row r="474">
      <c r="B474" s="401"/>
    </row>
    <row r="475">
      <c r="B475" s="401"/>
    </row>
    <row r="476">
      <c r="B476" s="401"/>
    </row>
    <row r="477">
      <c r="B477" s="401"/>
    </row>
    <row r="478">
      <c r="B478" s="401"/>
    </row>
    <row r="479">
      <c r="B479" s="401"/>
    </row>
    <row r="480">
      <c r="B480" s="401"/>
    </row>
    <row r="481">
      <c r="B481" s="401"/>
    </row>
    <row r="482">
      <c r="B482" s="401"/>
    </row>
    <row r="483">
      <c r="B483" s="401"/>
    </row>
    <row r="484">
      <c r="B484" s="401"/>
    </row>
    <row r="485">
      <c r="B485" s="401"/>
    </row>
    <row r="486">
      <c r="B486" s="401"/>
    </row>
    <row r="487">
      <c r="B487" s="401"/>
    </row>
    <row r="488">
      <c r="B488" s="401"/>
    </row>
    <row r="489">
      <c r="B489" s="401"/>
    </row>
    <row r="490">
      <c r="B490" s="401"/>
    </row>
    <row r="491">
      <c r="B491" s="401"/>
    </row>
    <row r="492">
      <c r="B492" s="401"/>
    </row>
    <row r="493">
      <c r="B493" s="401"/>
    </row>
    <row r="494">
      <c r="B494" s="401"/>
    </row>
    <row r="495">
      <c r="B495" s="401"/>
    </row>
    <row r="496">
      <c r="B496" s="401"/>
    </row>
    <row r="497">
      <c r="B497" s="401"/>
    </row>
    <row r="498">
      <c r="B498" s="401"/>
    </row>
    <row r="499">
      <c r="B499" s="401"/>
    </row>
    <row r="500">
      <c r="B500" s="401"/>
    </row>
    <row r="501">
      <c r="B501" s="401"/>
    </row>
    <row r="502">
      <c r="B502" s="401"/>
    </row>
    <row r="503">
      <c r="B503" s="401"/>
    </row>
    <row r="504">
      <c r="B504" s="401"/>
    </row>
    <row r="505">
      <c r="B505" s="401"/>
    </row>
    <row r="506">
      <c r="B506" s="401"/>
    </row>
    <row r="507">
      <c r="B507" s="401"/>
    </row>
    <row r="508">
      <c r="B508" s="401"/>
    </row>
    <row r="509">
      <c r="B509" s="401"/>
    </row>
    <row r="510">
      <c r="B510" s="401"/>
    </row>
    <row r="511">
      <c r="B511" s="401"/>
    </row>
    <row r="512">
      <c r="B512" s="401"/>
    </row>
    <row r="513">
      <c r="B513" s="401"/>
    </row>
    <row r="514">
      <c r="B514" s="401"/>
    </row>
    <row r="515">
      <c r="B515" s="401"/>
    </row>
    <row r="516">
      <c r="B516" s="401"/>
    </row>
    <row r="517">
      <c r="B517" s="401"/>
    </row>
    <row r="518">
      <c r="B518" s="401"/>
    </row>
    <row r="519">
      <c r="B519" s="401"/>
    </row>
    <row r="520">
      <c r="B520" s="401"/>
    </row>
    <row r="521">
      <c r="B521" s="401"/>
    </row>
    <row r="522">
      <c r="B522" s="401"/>
    </row>
    <row r="523">
      <c r="B523" s="401"/>
    </row>
    <row r="524">
      <c r="B524" s="401"/>
    </row>
    <row r="525">
      <c r="B525" s="401"/>
    </row>
    <row r="526">
      <c r="B526" s="401"/>
    </row>
    <row r="527">
      <c r="B527" s="401"/>
    </row>
    <row r="528">
      <c r="B528" s="401"/>
    </row>
    <row r="529">
      <c r="B529" s="401"/>
    </row>
    <row r="530">
      <c r="B530" s="401"/>
    </row>
    <row r="531">
      <c r="B531" s="401"/>
    </row>
    <row r="532">
      <c r="B532" s="401"/>
    </row>
    <row r="533">
      <c r="B533" s="401"/>
    </row>
    <row r="534">
      <c r="B534" s="401"/>
    </row>
    <row r="535">
      <c r="B535" s="401"/>
    </row>
    <row r="536">
      <c r="B536" s="401"/>
    </row>
    <row r="537">
      <c r="B537" s="401"/>
    </row>
    <row r="538">
      <c r="B538" s="401"/>
    </row>
    <row r="539">
      <c r="B539" s="401"/>
    </row>
    <row r="540">
      <c r="B540" s="401"/>
    </row>
    <row r="541">
      <c r="B541" s="401"/>
    </row>
    <row r="542">
      <c r="B542" s="401"/>
    </row>
    <row r="543">
      <c r="B543" s="401"/>
    </row>
    <row r="544">
      <c r="B544" s="401"/>
    </row>
    <row r="545">
      <c r="B545" s="401"/>
    </row>
    <row r="546">
      <c r="B546" s="401"/>
    </row>
    <row r="547">
      <c r="B547" s="401"/>
    </row>
    <row r="548">
      <c r="B548" s="401"/>
    </row>
    <row r="549">
      <c r="B549" s="401"/>
    </row>
    <row r="550">
      <c r="B550" s="401"/>
    </row>
    <row r="551">
      <c r="B551" s="401"/>
    </row>
    <row r="552">
      <c r="B552" s="401"/>
    </row>
    <row r="553">
      <c r="B553" s="401"/>
    </row>
    <row r="554">
      <c r="B554" s="401"/>
    </row>
    <row r="555">
      <c r="B555" s="401"/>
    </row>
    <row r="556">
      <c r="B556" s="401"/>
    </row>
    <row r="557">
      <c r="B557" s="401"/>
    </row>
    <row r="558">
      <c r="B558" s="401"/>
    </row>
    <row r="559">
      <c r="B559" s="401"/>
    </row>
    <row r="560">
      <c r="B560" s="401"/>
    </row>
    <row r="561">
      <c r="B561" s="401"/>
    </row>
    <row r="562">
      <c r="B562" s="401"/>
    </row>
    <row r="563">
      <c r="B563" s="401"/>
    </row>
    <row r="564">
      <c r="B564" s="401"/>
    </row>
    <row r="565">
      <c r="B565" s="401"/>
    </row>
    <row r="566">
      <c r="B566" s="401"/>
    </row>
    <row r="567">
      <c r="B567" s="401"/>
    </row>
    <row r="568">
      <c r="B568" s="401"/>
    </row>
    <row r="569">
      <c r="B569" s="401"/>
    </row>
    <row r="570">
      <c r="B570" s="401"/>
    </row>
    <row r="571">
      <c r="B571" s="401"/>
    </row>
    <row r="572">
      <c r="B572" s="401"/>
    </row>
    <row r="573">
      <c r="B573" s="401"/>
    </row>
    <row r="574">
      <c r="B574" s="401"/>
    </row>
    <row r="575">
      <c r="B575" s="401"/>
    </row>
    <row r="576">
      <c r="B576" s="401"/>
    </row>
    <row r="577">
      <c r="B577" s="401"/>
    </row>
    <row r="578">
      <c r="B578" s="401"/>
    </row>
    <row r="579">
      <c r="B579" s="401"/>
    </row>
    <row r="580">
      <c r="B580" s="401"/>
    </row>
    <row r="581">
      <c r="B581" s="401"/>
    </row>
    <row r="582">
      <c r="B582" s="401"/>
    </row>
    <row r="583">
      <c r="B583" s="401"/>
    </row>
    <row r="584">
      <c r="B584" s="401"/>
    </row>
    <row r="585">
      <c r="B585" s="401"/>
    </row>
    <row r="586">
      <c r="B586" s="401"/>
    </row>
    <row r="587">
      <c r="B587" s="401"/>
    </row>
    <row r="588">
      <c r="B588" s="401"/>
    </row>
    <row r="589">
      <c r="B589" s="401"/>
    </row>
    <row r="590">
      <c r="B590" s="401"/>
    </row>
    <row r="591">
      <c r="B591" s="401"/>
    </row>
    <row r="592">
      <c r="B592" s="401"/>
    </row>
    <row r="593">
      <c r="B593" s="401"/>
    </row>
    <row r="594">
      <c r="B594" s="401"/>
    </row>
    <row r="595">
      <c r="B595" s="401"/>
    </row>
    <row r="596">
      <c r="B596" s="401"/>
    </row>
    <row r="597">
      <c r="B597" s="401"/>
    </row>
    <row r="598">
      <c r="B598" s="401"/>
    </row>
    <row r="599">
      <c r="B599" s="401"/>
    </row>
    <row r="600">
      <c r="B600" s="401"/>
    </row>
    <row r="601">
      <c r="B601" s="401"/>
    </row>
    <row r="602">
      <c r="B602" s="401"/>
    </row>
    <row r="603">
      <c r="B603" s="401"/>
    </row>
    <row r="604">
      <c r="B604" s="401"/>
    </row>
    <row r="605">
      <c r="B605" s="401"/>
    </row>
    <row r="606">
      <c r="B606" s="401"/>
    </row>
    <row r="607">
      <c r="B607" s="401"/>
    </row>
    <row r="608">
      <c r="B608" s="401"/>
    </row>
    <row r="609">
      <c r="B609" s="401"/>
    </row>
    <row r="610">
      <c r="B610" s="401"/>
    </row>
    <row r="611">
      <c r="B611" s="401"/>
    </row>
    <row r="612">
      <c r="B612" s="401"/>
    </row>
    <row r="613">
      <c r="B613" s="401"/>
    </row>
    <row r="614">
      <c r="B614" s="401"/>
    </row>
    <row r="615">
      <c r="B615" s="401"/>
    </row>
    <row r="616">
      <c r="B616" s="401"/>
    </row>
    <row r="617">
      <c r="B617" s="401"/>
    </row>
    <row r="618">
      <c r="B618" s="401"/>
    </row>
    <row r="619">
      <c r="B619" s="401"/>
    </row>
    <row r="620">
      <c r="B620" s="401"/>
    </row>
    <row r="621">
      <c r="B621" s="401"/>
    </row>
    <row r="622">
      <c r="B622" s="401"/>
    </row>
    <row r="623">
      <c r="B623" s="401"/>
    </row>
    <row r="624">
      <c r="B624" s="401"/>
    </row>
    <row r="625">
      <c r="B625" s="401"/>
    </row>
    <row r="626">
      <c r="B626" s="401"/>
    </row>
    <row r="627">
      <c r="B627" s="401"/>
    </row>
    <row r="628">
      <c r="B628" s="401"/>
    </row>
    <row r="629">
      <c r="B629" s="401"/>
    </row>
    <row r="630">
      <c r="B630" s="401"/>
    </row>
    <row r="631">
      <c r="B631" s="401"/>
    </row>
    <row r="632">
      <c r="B632" s="401"/>
    </row>
    <row r="633">
      <c r="B633" s="401"/>
    </row>
    <row r="634">
      <c r="B634" s="401"/>
    </row>
    <row r="635">
      <c r="B635" s="401"/>
    </row>
    <row r="636">
      <c r="B636" s="401"/>
    </row>
    <row r="637">
      <c r="B637" s="401"/>
    </row>
    <row r="638">
      <c r="B638" s="401"/>
    </row>
    <row r="639">
      <c r="B639" s="401"/>
    </row>
    <row r="640">
      <c r="B640" s="401"/>
    </row>
    <row r="641">
      <c r="B641" s="401"/>
    </row>
    <row r="642">
      <c r="B642" s="401"/>
    </row>
    <row r="643">
      <c r="B643" s="401"/>
    </row>
    <row r="644">
      <c r="B644" s="401"/>
    </row>
    <row r="645">
      <c r="B645" s="401"/>
    </row>
    <row r="646">
      <c r="B646" s="401"/>
    </row>
    <row r="647">
      <c r="B647" s="401"/>
    </row>
    <row r="648">
      <c r="B648" s="401"/>
    </row>
    <row r="649">
      <c r="B649" s="401"/>
    </row>
    <row r="650">
      <c r="B650" s="401"/>
    </row>
    <row r="651">
      <c r="B651" s="401"/>
    </row>
    <row r="652">
      <c r="B652" s="401"/>
    </row>
    <row r="653">
      <c r="B653" s="401"/>
    </row>
    <row r="654">
      <c r="B654" s="401"/>
    </row>
    <row r="655">
      <c r="B655" s="401"/>
    </row>
    <row r="656">
      <c r="B656" s="401"/>
    </row>
    <row r="657">
      <c r="B657" s="401"/>
    </row>
    <row r="658">
      <c r="B658" s="401"/>
    </row>
    <row r="659">
      <c r="B659" s="401"/>
    </row>
    <row r="660">
      <c r="B660" s="401"/>
    </row>
    <row r="661">
      <c r="B661" s="401"/>
    </row>
    <row r="662">
      <c r="B662" s="401"/>
    </row>
    <row r="663">
      <c r="B663" s="401"/>
    </row>
    <row r="664">
      <c r="B664" s="401"/>
    </row>
    <row r="665">
      <c r="B665" s="401"/>
    </row>
    <row r="666">
      <c r="B666" s="401"/>
    </row>
    <row r="667">
      <c r="B667" s="401"/>
    </row>
    <row r="668">
      <c r="B668" s="401"/>
    </row>
    <row r="669">
      <c r="B669" s="401"/>
    </row>
    <row r="670">
      <c r="B670" s="401"/>
    </row>
    <row r="671">
      <c r="B671" s="401"/>
    </row>
    <row r="672">
      <c r="B672" s="401"/>
    </row>
    <row r="673">
      <c r="B673" s="401"/>
    </row>
    <row r="674">
      <c r="B674" s="401"/>
    </row>
    <row r="675">
      <c r="B675" s="401"/>
    </row>
    <row r="676">
      <c r="B676" s="401"/>
    </row>
    <row r="677">
      <c r="B677" s="401"/>
    </row>
    <row r="678">
      <c r="B678" s="401"/>
    </row>
    <row r="679">
      <c r="B679" s="401"/>
    </row>
    <row r="680">
      <c r="B680" s="401"/>
    </row>
    <row r="681">
      <c r="B681" s="401"/>
    </row>
    <row r="682">
      <c r="B682" s="401"/>
    </row>
    <row r="683">
      <c r="B683" s="401"/>
    </row>
    <row r="684">
      <c r="B684" s="401"/>
    </row>
    <row r="685">
      <c r="B685" s="401"/>
    </row>
    <row r="686">
      <c r="B686" s="401"/>
    </row>
    <row r="687">
      <c r="B687" s="401"/>
    </row>
    <row r="688">
      <c r="B688" s="401"/>
    </row>
    <row r="689">
      <c r="B689" s="401"/>
    </row>
    <row r="690">
      <c r="B690" s="401"/>
    </row>
    <row r="691">
      <c r="B691" s="401"/>
    </row>
    <row r="692">
      <c r="B692" s="401"/>
    </row>
    <row r="693">
      <c r="B693" s="401"/>
    </row>
    <row r="694">
      <c r="B694" s="401"/>
    </row>
    <row r="695">
      <c r="B695" s="401"/>
    </row>
    <row r="696">
      <c r="B696" s="401"/>
    </row>
    <row r="697">
      <c r="B697" s="401"/>
    </row>
    <row r="698">
      <c r="B698" s="401"/>
    </row>
    <row r="699">
      <c r="B699" s="401"/>
    </row>
    <row r="700">
      <c r="B700" s="401"/>
    </row>
    <row r="701">
      <c r="B701" s="401"/>
    </row>
    <row r="702">
      <c r="B702" s="401"/>
    </row>
    <row r="703">
      <c r="B703" s="401"/>
    </row>
    <row r="704">
      <c r="B704" s="401"/>
    </row>
    <row r="705">
      <c r="B705" s="401"/>
    </row>
    <row r="706">
      <c r="B706" s="401"/>
    </row>
    <row r="707">
      <c r="B707" s="401"/>
    </row>
    <row r="708">
      <c r="B708" s="401"/>
    </row>
    <row r="709">
      <c r="B709" s="401"/>
    </row>
    <row r="710">
      <c r="B710" s="401"/>
    </row>
    <row r="711">
      <c r="B711" s="401"/>
    </row>
    <row r="712">
      <c r="B712" s="401"/>
    </row>
    <row r="713">
      <c r="B713" s="401"/>
    </row>
    <row r="714">
      <c r="B714" s="401"/>
    </row>
    <row r="715">
      <c r="B715" s="401"/>
    </row>
    <row r="716">
      <c r="B716" s="401"/>
    </row>
    <row r="717">
      <c r="B717" s="401"/>
    </row>
    <row r="718">
      <c r="B718" s="401"/>
    </row>
    <row r="719">
      <c r="B719" s="401"/>
    </row>
    <row r="720">
      <c r="B720" s="401"/>
    </row>
    <row r="721">
      <c r="B721" s="401"/>
    </row>
    <row r="722">
      <c r="B722" s="401"/>
    </row>
    <row r="723">
      <c r="B723" s="401"/>
    </row>
    <row r="724">
      <c r="B724" s="401"/>
    </row>
    <row r="725">
      <c r="B725" s="401"/>
    </row>
    <row r="726">
      <c r="B726" s="401"/>
    </row>
    <row r="727">
      <c r="B727" s="401"/>
    </row>
    <row r="728">
      <c r="B728" s="401"/>
    </row>
    <row r="729">
      <c r="B729" s="401"/>
    </row>
    <row r="730">
      <c r="B730" s="401"/>
    </row>
    <row r="731">
      <c r="B731" s="401"/>
    </row>
    <row r="732">
      <c r="B732" s="401"/>
    </row>
    <row r="733">
      <c r="B733" s="401"/>
    </row>
    <row r="734">
      <c r="B734" s="401"/>
    </row>
    <row r="735">
      <c r="B735" s="401"/>
    </row>
    <row r="736">
      <c r="B736" s="401"/>
    </row>
    <row r="737">
      <c r="B737" s="401"/>
    </row>
    <row r="738">
      <c r="B738" s="401"/>
    </row>
    <row r="739">
      <c r="B739" s="401"/>
    </row>
    <row r="740">
      <c r="B740" s="401"/>
    </row>
    <row r="741">
      <c r="B741" s="401"/>
    </row>
    <row r="742">
      <c r="B742" s="401"/>
    </row>
    <row r="743">
      <c r="B743" s="401"/>
    </row>
    <row r="744">
      <c r="B744" s="401"/>
    </row>
    <row r="745">
      <c r="B745" s="401"/>
    </row>
    <row r="746">
      <c r="B746" s="401"/>
    </row>
    <row r="747">
      <c r="B747" s="401"/>
    </row>
    <row r="748">
      <c r="B748" s="401"/>
    </row>
    <row r="749">
      <c r="B749" s="401"/>
    </row>
    <row r="750">
      <c r="B750" s="401"/>
    </row>
    <row r="751">
      <c r="B751" s="401"/>
    </row>
    <row r="752">
      <c r="B752" s="401"/>
    </row>
    <row r="753">
      <c r="B753" s="401"/>
    </row>
    <row r="754">
      <c r="B754" s="401"/>
    </row>
    <row r="755">
      <c r="B755" s="401"/>
    </row>
    <row r="756">
      <c r="B756" s="401"/>
    </row>
    <row r="757">
      <c r="B757" s="401"/>
    </row>
    <row r="758">
      <c r="B758" s="401"/>
    </row>
    <row r="759">
      <c r="B759" s="401"/>
    </row>
    <row r="760">
      <c r="B760" s="401"/>
    </row>
    <row r="761">
      <c r="B761" s="401"/>
    </row>
    <row r="762">
      <c r="B762" s="401"/>
    </row>
    <row r="763">
      <c r="B763" s="401"/>
    </row>
    <row r="764">
      <c r="B764" s="401"/>
    </row>
    <row r="765">
      <c r="B765" s="401"/>
    </row>
    <row r="766">
      <c r="B766" s="401"/>
    </row>
    <row r="767">
      <c r="B767" s="401"/>
    </row>
    <row r="768">
      <c r="B768" s="401"/>
    </row>
    <row r="769">
      <c r="B769" s="401"/>
    </row>
    <row r="770">
      <c r="B770" s="401"/>
    </row>
    <row r="771">
      <c r="B771" s="401"/>
    </row>
    <row r="772">
      <c r="B772" s="401"/>
    </row>
    <row r="773">
      <c r="B773" s="401"/>
    </row>
    <row r="774">
      <c r="B774" s="401"/>
    </row>
    <row r="775">
      <c r="B775" s="401"/>
    </row>
    <row r="776">
      <c r="B776" s="401"/>
    </row>
    <row r="777">
      <c r="B777" s="401"/>
    </row>
    <row r="778">
      <c r="B778" s="401"/>
    </row>
    <row r="779">
      <c r="B779" s="401"/>
    </row>
    <row r="780">
      <c r="B780" s="401"/>
    </row>
    <row r="781">
      <c r="B781" s="401"/>
    </row>
    <row r="782">
      <c r="B782" s="401"/>
    </row>
    <row r="783">
      <c r="B783" s="401"/>
    </row>
    <row r="784">
      <c r="B784" s="401"/>
    </row>
    <row r="785">
      <c r="B785" s="401"/>
    </row>
    <row r="786">
      <c r="B786" s="401"/>
    </row>
    <row r="787">
      <c r="B787" s="401"/>
    </row>
    <row r="788">
      <c r="B788" s="401"/>
    </row>
    <row r="789">
      <c r="B789" s="401"/>
    </row>
    <row r="790">
      <c r="B790" s="401"/>
    </row>
    <row r="791">
      <c r="B791" s="401"/>
    </row>
    <row r="792">
      <c r="B792" s="401"/>
    </row>
    <row r="793">
      <c r="B793" s="401"/>
    </row>
    <row r="794">
      <c r="B794" s="401"/>
    </row>
    <row r="795">
      <c r="B795" s="401"/>
    </row>
    <row r="796">
      <c r="B796" s="401"/>
    </row>
    <row r="797">
      <c r="B797" s="401"/>
    </row>
    <row r="798">
      <c r="B798" s="401"/>
    </row>
    <row r="799">
      <c r="B799" s="401"/>
    </row>
    <row r="800">
      <c r="B800" s="401"/>
    </row>
    <row r="801">
      <c r="B801" s="401"/>
    </row>
    <row r="802">
      <c r="B802" s="401"/>
    </row>
    <row r="803">
      <c r="B803" s="401"/>
    </row>
    <row r="804">
      <c r="B804" s="401"/>
    </row>
    <row r="805">
      <c r="B805" s="401"/>
    </row>
    <row r="806">
      <c r="B806" s="401"/>
    </row>
    <row r="807">
      <c r="B807" s="401"/>
    </row>
    <row r="808">
      <c r="B808" s="401"/>
    </row>
    <row r="809">
      <c r="B809" s="401"/>
    </row>
    <row r="810">
      <c r="B810" s="401"/>
    </row>
    <row r="811">
      <c r="B811" s="401"/>
    </row>
    <row r="812">
      <c r="B812" s="401"/>
    </row>
    <row r="813">
      <c r="B813" s="401"/>
    </row>
    <row r="814">
      <c r="B814" s="401"/>
    </row>
    <row r="815">
      <c r="B815" s="401"/>
    </row>
    <row r="816">
      <c r="B816" s="401"/>
    </row>
    <row r="817">
      <c r="B817" s="401"/>
    </row>
    <row r="818">
      <c r="B818" s="401"/>
    </row>
    <row r="819">
      <c r="B819" s="401"/>
    </row>
    <row r="820">
      <c r="B820" s="401"/>
    </row>
    <row r="821">
      <c r="B821" s="401"/>
    </row>
    <row r="822">
      <c r="B822" s="401"/>
    </row>
    <row r="823">
      <c r="B823" s="401"/>
    </row>
    <row r="824">
      <c r="B824" s="401"/>
    </row>
    <row r="825">
      <c r="B825" s="401"/>
    </row>
    <row r="826">
      <c r="B826" s="401"/>
    </row>
    <row r="827">
      <c r="B827" s="401"/>
    </row>
    <row r="828">
      <c r="B828" s="401"/>
    </row>
    <row r="829">
      <c r="B829" s="401"/>
    </row>
    <row r="830">
      <c r="B830" s="401"/>
    </row>
    <row r="831">
      <c r="B831" s="401"/>
    </row>
    <row r="832">
      <c r="B832" s="401"/>
    </row>
    <row r="833">
      <c r="B833" s="401"/>
    </row>
    <row r="834">
      <c r="B834" s="401"/>
    </row>
    <row r="835">
      <c r="B835" s="401"/>
    </row>
    <row r="836">
      <c r="B836" s="401"/>
    </row>
    <row r="837">
      <c r="B837" s="401"/>
    </row>
    <row r="838">
      <c r="B838" s="401"/>
    </row>
    <row r="839">
      <c r="B839" s="401"/>
    </row>
    <row r="840">
      <c r="B840" s="401"/>
    </row>
    <row r="841">
      <c r="B841" s="401"/>
    </row>
    <row r="842">
      <c r="B842" s="401"/>
    </row>
    <row r="843">
      <c r="B843" s="401"/>
    </row>
    <row r="844">
      <c r="B844" s="401"/>
    </row>
    <row r="845">
      <c r="B845" s="401"/>
    </row>
    <row r="846">
      <c r="B846" s="401"/>
    </row>
    <row r="847">
      <c r="B847" s="401"/>
    </row>
    <row r="848">
      <c r="B848" s="401"/>
    </row>
    <row r="849">
      <c r="B849" s="401"/>
    </row>
    <row r="850">
      <c r="B850" s="401"/>
    </row>
    <row r="851">
      <c r="B851" s="401"/>
    </row>
    <row r="852">
      <c r="B852" s="401"/>
    </row>
    <row r="853">
      <c r="B853" s="401"/>
    </row>
    <row r="854">
      <c r="B854" s="401"/>
    </row>
    <row r="855">
      <c r="B855" s="401"/>
    </row>
    <row r="856">
      <c r="B856" s="401"/>
    </row>
    <row r="857">
      <c r="B857" s="401"/>
    </row>
    <row r="858">
      <c r="B858" s="401"/>
    </row>
    <row r="859">
      <c r="B859" s="401"/>
    </row>
    <row r="860">
      <c r="B860" s="401"/>
    </row>
    <row r="861">
      <c r="B861" s="401"/>
    </row>
    <row r="862">
      <c r="B862" s="401"/>
    </row>
    <row r="863">
      <c r="B863" s="401"/>
    </row>
    <row r="864">
      <c r="B864" s="401"/>
    </row>
    <row r="865">
      <c r="B865" s="401"/>
    </row>
    <row r="866">
      <c r="B866" s="401"/>
    </row>
    <row r="867">
      <c r="B867" s="401"/>
    </row>
    <row r="868">
      <c r="B868" s="401"/>
    </row>
    <row r="869">
      <c r="B869" s="401"/>
    </row>
    <row r="870">
      <c r="B870" s="401"/>
    </row>
    <row r="871">
      <c r="B871" s="401"/>
    </row>
    <row r="872">
      <c r="B872" s="401"/>
    </row>
    <row r="873">
      <c r="B873" s="401"/>
    </row>
    <row r="874">
      <c r="B874" s="401"/>
    </row>
    <row r="875">
      <c r="B875" s="401"/>
    </row>
    <row r="876">
      <c r="B876" s="401"/>
    </row>
    <row r="877">
      <c r="B877" s="401"/>
    </row>
    <row r="878">
      <c r="B878" s="401"/>
    </row>
    <row r="879">
      <c r="B879" s="401"/>
    </row>
    <row r="880">
      <c r="B880" s="401"/>
    </row>
    <row r="881">
      <c r="B881" s="401"/>
    </row>
    <row r="882">
      <c r="B882" s="401"/>
    </row>
    <row r="883">
      <c r="B883" s="401"/>
    </row>
    <row r="884">
      <c r="B884" s="401"/>
    </row>
    <row r="885">
      <c r="B885" s="401"/>
    </row>
    <row r="886">
      <c r="B886" s="401"/>
    </row>
    <row r="887">
      <c r="B887" s="401"/>
    </row>
    <row r="888">
      <c r="B888" s="401"/>
    </row>
    <row r="889">
      <c r="B889" s="401"/>
    </row>
    <row r="890">
      <c r="B890" s="401"/>
    </row>
    <row r="891">
      <c r="B891" s="401"/>
    </row>
    <row r="892">
      <c r="B892" s="401"/>
    </row>
    <row r="893">
      <c r="B893" s="401"/>
    </row>
    <row r="894">
      <c r="B894" s="401"/>
    </row>
    <row r="895">
      <c r="B895" s="401"/>
    </row>
    <row r="896">
      <c r="B896" s="401"/>
    </row>
    <row r="897">
      <c r="B897" s="401"/>
    </row>
    <row r="898">
      <c r="B898" s="401"/>
    </row>
    <row r="899">
      <c r="B899" s="401"/>
    </row>
    <row r="900">
      <c r="B900" s="401"/>
    </row>
    <row r="901">
      <c r="B901" s="401"/>
    </row>
    <row r="902">
      <c r="B902" s="401"/>
    </row>
    <row r="903">
      <c r="B903" s="401"/>
    </row>
    <row r="904">
      <c r="B904" s="401"/>
    </row>
    <row r="905">
      <c r="B905" s="401"/>
    </row>
    <row r="906">
      <c r="B906" s="401"/>
    </row>
    <row r="907">
      <c r="B907" s="401"/>
    </row>
    <row r="908">
      <c r="B908" s="401"/>
    </row>
    <row r="909">
      <c r="B909" s="401"/>
    </row>
    <row r="910">
      <c r="B910" s="401"/>
    </row>
    <row r="911">
      <c r="B911" s="401"/>
    </row>
    <row r="912">
      <c r="B912" s="401"/>
    </row>
    <row r="913">
      <c r="B913" s="401"/>
    </row>
    <row r="914">
      <c r="B914" s="401"/>
    </row>
    <row r="915">
      <c r="B915" s="401"/>
    </row>
    <row r="916">
      <c r="B916" s="401"/>
    </row>
    <row r="917">
      <c r="B917" s="401"/>
    </row>
    <row r="918">
      <c r="B918" s="401"/>
    </row>
    <row r="919">
      <c r="B919" s="401"/>
    </row>
    <row r="920">
      <c r="B920" s="401"/>
    </row>
    <row r="921">
      <c r="B921" s="401"/>
    </row>
    <row r="922">
      <c r="B922" s="401"/>
    </row>
    <row r="923">
      <c r="B923" s="401"/>
    </row>
    <row r="924">
      <c r="B924" s="401"/>
    </row>
    <row r="925">
      <c r="B925" s="401"/>
    </row>
    <row r="926">
      <c r="B926" s="401"/>
    </row>
    <row r="927">
      <c r="B927" s="401"/>
    </row>
    <row r="928">
      <c r="B928" s="401"/>
    </row>
    <row r="929">
      <c r="B929" s="401"/>
    </row>
    <row r="930">
      <c r="B930" s="401"/>
    </row>
    <row r="931">
      <c r="B931" s="401"/>
    </row>
    <row r="932">
      <c r="B932" s="401"/>
    </row>
    <row r="933">
      <c r="B933" s="401"/>
    </row>
    <row r="934">
      <c r="B934" s="401"/>
    </row>
    <row r="935">
      <c r="B935" s="401"/>
    </row>
  </sheetData>
  <autoFilter ref="$A$2:$Y$94">
    <sortState ref="A2:Y94">
      <sortCondition descending="1" ref="B2:B94"/>
    </sortState>
  </autoFil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8.43"/>
    <col customWidth="1" min="8" max="8" width="8.71"/>
    <col customWidth="1" min="9" max="9" width="8.86"/>
    <col customWidth="1" min="13" max="13" width="16.0"/>
  </cols>
  <sheetData>
    <row r="1">
      <c r="A1" s="133"/>
      <c r="B1" s="359"/>
      <c r="C1" s="360"/>
      <c r="D1" s="136"/>
      <c r="E1" s="323"/>
      <c r="F1" s="366"/>
      <c r="G1" s="138" t="s">
        <v>416</v>
      </c>
      <c r="H1" s="139">
        <v>345.0</v>
      </c>
      <c r="I1" s="139">
        <v>430.0</v>
      </c>
      <c r="J1" s="374">
        <f>AVERAGE(H1:I1)</f>
        <v>387.5</v>
      </c>
      <c r="K1" s="375" t="s">
        <v>416</v>
      </c>
      <c r="L1" s="376"/>
      <c r="M1" s="133"/>
      <c r="N1" s="145"/>
      <c r="O1" s="145"/>
      <c r="P1" s="145"/>
      <c r="Q1" s="145"/>
      <c r="R1" s="145"/>
      <c r="S1" s="145"/>
      <c r="T1" s="145"/>
      <c r="U1" s="145"/>
      <c r="V1" s="145"/>
    </row>
    <row r="2">
      <c r="A2" s="146"/>
      <c r="B2" s="134" t="s">
        <v>2487</v>
      </c>
      <c r="C2" s="234" t="s">
        <v>421</v>
      </c>
      <c r="D2" s="148"/>
      <c r="E2" s="323"/>
      <c r="F2" s="366"/>
      <c r="G2" s="149" t="s">
        <v>422</v>
      </c>
      <c r="H2" s="139">
        <f t="shared" ref="H2:J2" si="1">sum(H5:H513)</f>
        <v>15639</v>
      </c>
      <c r="I2" s="139">
        <f t="shared" si="1"/>
        <v>15915</v>
      </c>
      <c r="J2" s="377">
        <f t="shared" si="1"/>
        <v>1</v>
      </c>
      <c r="K2" s="378">
        <f>sum(K4:K544)</f>
        <v>271.576275</v>
      </c>
      <c r="L2" s="379" t="s">
        <v>416</v>
      </c>
      <c r="M2" s="146"/>
      <c r="N2" s="153" t="s">
        <v>423</v>
      </c>
      <c r="O2" s="145"/>
      <c r="P2" s="145"/>
      <c r="Q2" s="145"/>
      <c r="R2" s="145"/>
      <c r="S2" s="145"/>
      <c r="T2" s="145"/>
      <c r="U2" s="145"/>
      <c r="V2" s="145"/>
    </row>
    <row r="3">
      <c r="A3" s="381" t="s">
        <v>424</v>
      </c>
      <c r="B3" s="381" t="s">
        <v>425</v>
      </c>
      <c r="C3" s="235" t="s">
        <v>426</v>
      </c>
      <c r="D3" s="382"/>
      <c r="E3" s="383" t="s">
        <v>427</v>
      </c>
      <c r="F3" s="384" t="s">
        <v>428</v>
      </c>
      <c r="G3" s="385" t="s">
        <v>3559</v>
      </c>
      <c r="H3" s="386" t="s">
        <v>1926</v>
      </c>
      <c r="I3" s="385" t="s">
        <v>3560</v>
      </c>
      <c r="J3" s="387" t="s">
        <v>432</v>
      </c>
      <c r="K3" s="388" t="s">
        <v>3336</v>
      </c>
      <c r="L3" s="389" t="s">
        <v>3337</v>
      </c>
      <c r="M3" s="381" t="s">
        <v>424</v>
      </c>
      <c r="N3" s="390" t="s">
        <v>3561</v>
      </c>
      <c r="O3" s="387"/>
    </row>
    <row r="4">
      <c r="A4" s="240" t="s">
        <v>14</v>
      </c>
      <c r="B4" s="240" t="s">
        <v>18</v>
      </c>
      <c r="C4" s="221" t="s">
        <v>3702</v>
      </c>
      <c r="D4" s="336"/>
      <c r="E4" s="255"/>
      <c r="F4" s="254"/>
      <c r="G4" s="222"/>
      <c r="H4" s="222"/>
      <c r="I4" s="222"/>
      <c r="J4" s="394"/>
      <c r="K4" s="395">
        <f>39.907*(0.325-1)</f>
        <v>-26.937225</v>
      </c>
      <c r="L4" s="327">
        <f t="shared" ref="L4:L332" si="2">dsum($A$3:$K$529,"Cred per Praise",{$A$3;A4})</f>
        <v>13.35353141</v>
      </c>
      <c r="M4" s="321" t="str">
        <f t="shared" ref="M4:M332" si="3">A4</f>
        <v>jessicazartler</v>
      </c>
      <c r="N4" s="209"/>
      <c r="O4" s="209"/>
      <c r="P4" s="209"/>
      <c r="Q4" s="209"/>
      <c r="R4" s="209"/>
      <c r="S4" s="209"/>
      <c r="T4" s="209"/>
      <c r="U4" s="209"/>
      <c r="V4" s="209"/>
      <c r="W4" s="209"/>
      <c r="X4" s="209"/>
      <c r="Y4" s="209"/>
      <c r="Z4" s="209"/>
    </row>
    <row r="5">
      <c r="A5" s="240" t="s">
        <v>15</v>
      </c>
      <c r="B5" s="240" t="s">
        <v>519</v>
      </c>
      <c r="C5" s="221" t="s">
        <v>3246</v>
      </c>
      <c r="D5" s="336"/>
      <c r="E5" s="255"/>
      <c r="F5" s="254"/>
      <c r="G5" s="222"/>
      <c r="H5" s="222"/>
      <c r="I5" s="222"/>
      <c r="J5" s="394"/>
      <c r="K5" s="395">
        <f>16.184*-0.5</f>
        <v>-8.092</v>
      </c>
      <c r="L5" s="327">
        <f t="shared" si="2"/>
        <v>8.249880955</v>
      </c>
      <c r="M5" s="321" t="str">
        <f t="shared" si="3"/>
        <v>juankbell</v>
      </c>
      <c r="N5" s="209"/>
      <c r="O5" s="209"/>
      <c r="P5" s="209"/>
      <c r="Q5" s="209"/>
      <c r="R5" s="209"/>
      <c r="S5" s="209"/>
      <c r="T5" s="209"/>
      <c r="U5" s="209"/>
      <c r="V5" s="209"/>
      <c r="W5" s="209"/>
      <c r="X5" s="209"/>
      <c r="Y5" s="176"/>
      <c r="Z5" s="176"/>
    </row>
    <row r="6">
      <c r="A6" s="343" t="s">
        <v>6</v>
      </c>
      <c r="B6" s="240" t="s">
        <v>18</v>
      </c>
      <c r="C6" s="221" t="s">
        <v>2452</v>
      </c>
      <c r="D6" s="336"/>
      <c r="E6" s="255"/>
      <c r="F6" s="254"/>
      <c r="G6" s="222"/>
      <c r="H6" s="222"/>
      <c r="I6" s="222"/>
      <c r="J6" s="394"/>
      <c r="K6" s="396">
        <f>41.481*-0.85</f>
        <v>-35.25885</v>
      </c>
      <c r="L6" s="327">
        <f t="shared" si="2"/>
        <v>6.617755611</v>
      </c>
      <c r="M6" s="321" t="str">
        <f t="shared" si="3"/>
        <v>sembrestels</v>
      </c>
      <c r="N6" s="153"/>
      <c r="O6" s="209"/>
      <c r="P6" s="209"/>
      <c r="Q6" s="209"/>
      <c r="R6" s="209"/>
      <c r="S6" s="209"/>
      <c r="T6" s="209"/>
      <c r="U6" s="209"/>
      <c r="V6" s="209"/>
      <c r="W6" s="209"/>
      <c r="X6" s="209"/>
      <c r="Y6" s="176"/>
      <c r="Z6" s="176"/>
    </row>
    <row r="7">
      <c r="A7" s="240" t="s">
        <v>70</v>
      </c>
      <c r="B7" s="240" t="s">
        <v>519</v>
      </c>
      <c r="C7" s="221" t="s">
        <v>3683</v>
      </c>
      <c r="D7" s="336"/>
      <c r="E7" s="255"/>
      <c r="F7" s="254"/>
      <c r="G7" s="222"/>
      <c r="H7" s="222"/>
      <c r="I7" s="222"/>
      <c r="J7" s="394"/>
      <c r="K7" s="395">
        <f>-4.26*0.85</f>
        <v>-3.621</v>
      </c>
      <c r="L7" s="327">
        <f t="shared" si="2"/>
        <v>6.205253923</v>
      </c>
      <c r="M7" s="321" t="str">
        <f t="shared" si="3"/>
        <v>rubenrussel7</v>
      </c>
      <c r="N7" s="209"/>
      <c r="O7" s="209"/>
      <c r="P7" s="209"/>
      <c r="Q7" s="209"/>
      <c r="R7" s="209"/>
      <c r="S7" s="209"/>
      <c r="T7" s="209"/>
      <c r="U7" s="209"/>
      <c r="V7" s="209"/>
      <c r="W7" s="209"/>
      <c r="X7" s="209"/>
      <c r="Y7" s="176"/>
      <c r="Z7" s="176"/>
    </row>
    <row r="8">
      <c r="A8" s="240" t="s">
        <v>30</v>
      </c>
      <c r="B8" s="240" t="s">
        <v>18</v>
      </c>
      <c r="C8" s="397" t="s">
        <v>2452</v>
      </c>
      <c r="D8" s="336"/>
      <c r="E8" s="255"/>
      <c r="F8" s="254"/>
      <c r="G8" s="222"/>
      <c r="H8" s="222"/>
      <c r="I8" s="222"/>
      <c r="J8" s="394"/>
      <c r="K8" s="396">
        <f>15.69*-0.85</f>
        <v>-13.3365</v>
      </c>
      <c r="L8" s="327">
        <f t="shared" si="2"/>
        <v>2.501230976</v>
      </c>
      <c r="M8" s="321" t="str">
        <f t="shared" si="3"/>
        <v>paulo_c2d</v>
      </c>
      <c r="N8" s="209"/>
      <c r="O8" s="209"/>
      <c r="P8" s="209"/>
      <c r="Q8" s="209"/>
      <c r="R8" s="209"/>
      <c r="S8" s="209"/>
      <c r="T8" s="209"/>
      <c r="U8" s="209"/>
      <c r="V8" s="209"/>
      <c r="W8" s="209"/>
      <c r="X8" s="209"/>
      <c r="Y8" s="176"/>
      <c r="Z8" s="176"/>
    </row>
    <row r="9">
      <c r="A9" s="343" t="s">
        <v>43</v>
      </c>
      <c r="B9" s="343" t="s">
        <v>519</v>
      </c>
      <c r="C9" s="221" t="s">
        <v>794</v>
      </c>
      <c r="D9" s="336"/>
      <c r="E9" s="255"/>
      <c r="F9" s="254"/>
      <c r="G9" s="222"/>
      <c r="H9" s="222"/>
      <c r="I9" s="222"/>
      <c r="J9" s="394"/>
      <c r="K9" s="396">
        <f>9.358*-0.85</f>
        <v>-7.9543</v>
      </c>
      <c r="L9" s="327">
        <f t="shared" si="2"/>
        <v>1.487395943</v>
      </c>
      <c r="M9" s="321" t="str">
        <f t="shared" si="3"/>
        <v>markop</v>
      </c>
      <c r="N9" s="209"/>
      <c r="O9" s="209"/>
      <c r="P9" s="209"/>
      <c r="Q9" s="209"/>
      <c r="R9" s="209"/>
      <c r="S9" s="209"/>
      <c r="T9" s="209"/>
      <c r="U9" s="209"/>
      <c r="V9" s="209"/>
      <c r="W9" s="209"/>
      <c r="X9" s="209"/>
      <c r="Y9" s="176"/>
      <c r="Z9" s="176"/>
    </row>
    <row r="10">
      <c r="A10" s="240" t="s">
        <v>85</v>
      </c>
      <c r="B10" s="240" t="s">
        <v>18</v>
      </c>
      <c r="C10" s="221" t="s">
        <v>3703</v>
      </c>
      <c r="D10" s="336"/>
      <c r="E10" s="255"/>
      <c r="F10" s="254"/>
      <c r="G10" s="222"/>
      <c r="H10" s="222"/>
      <c r="I10" s="222"/>
      <c r="J10" s="394"/>
      <c r="K10" s="396">
        <f>9.126*-0.85</f>
        <v>-7.7571</v>
      </c>
      <c r="L10" s="327">
        <f t="shared" si="2"/>
        <v>1.457228693</v>
      </c>
      <c r="M10" s="321" t="str">
        <f t="shared" si="3"/>
        <v>vivszaid</v>
      </c>
      <c r="N10" s="209"/>
      <c r="O10" s="176"/>
      <c r="P10" s="176"/>
      <c r="Q10" s="176"/>
      <c r="R10" s="176"/>
      <c r="S10" s="176"/>
      <c r="T10" s="176"/>
      <c r="U10" s="176"/>
      <c r="V10" s="176"/>
      <c r="W10" s="176"/>
      <c r="X10" s="176"/>
      <c r="Y10" s="176"/>
      <c r="Z10" s="176"/>
    </row>
    <row r="11">
      <c r="A11" s="240" t="s">
        <v>50</v>
      </c>
      <c r="B11" s="343"/>
      <c r="C11" s="221" t="s">
        <v>3704</v>
      </c>
      <c r="D11" s="336"/>
      <c r="E11" s="255"/>
      <c r="F11" s="254"/>
      <c r="G11" s="222"/>
      <c r="H11" s="222"/>
      <c r="I11" s="222"/>
      <c r="J11" s="394"/>
      <c r="K11" s="395">
        <f>2.125*-0.5</f>
        <v>-1.0625</v>
      </c>
      <c r="L11" s="327">
        <f t="shared" si="2"/>
        <v>1.079775432</v>
      </c>
      <c r="M11" s="321" t="str">
        <f t="shared" si="3"/>
        <v>geleeroyale</v>
      </c>
      <c r="N11" s="209"/>
      <c r="O11" s="209"/>
      <c r="P11" s="209"/>
      <c r="Q11" s="209"/>
      <c r="R11" s="209"/>
      <c r="S11" s="209"/>
      <c r="T11" s="209"/>
      <c r="U11" s="209"/>
      <c r="V11" s="209"/>
      <c r="W11" s="209"/>
      <c r="X11" s="209"/>
      <c r="Y11" s="176"/>
      <c r="Z11" s="176"/>
    </row>
    <row r="12">
      <c r="A12" s="362" t="s">
        <v>122</v>
      </c>
      <c r="B12" s="240" t="s">
        <v>18</v>
      </c>
      <c r="C12" s="221" t="s">
        <v>2452</v>
      </c>
      <c r="D12" s="336"/>
      <c r="E12" s="255"/>
      <c r="F12" s="254"/>
      <c r="G12" s="222"/>
      <c r="H12" s="222"/>
      <c r="I12" s="222"/>
      <c r="J12" s="394"/>
      <c r="K12" s="395"/>
      <c r="L12" s="327">
        <f t="shared" si="2"/>
        <v>0.6129994801</v>
      </c>
      <c r="M12" s="321" t="str">
        <f t="shared" si="3"/>
        <v>anthonyoliai</v>
      </c>
      <c r="N12" s="209"/>
      <c r="O12" s="176"/>
      <c r="P12" s="176"/>
      <c r="Q12" s="176"/>
      <c r="R12" s="176"/>
      <c r="S12" s="176"/>
      <c r="T12" s="176"/>
      <c r="U12" s="176"/>
      <c r="V12" s="176"/>
      <c r="W12" s="176"/>
      <c r="X12" s="176"/>
      <c r="Y12" s="176"/>
      <c r="Z12" s="176"/>
    </row>
    <row r="13">
      <c r="A13" s="240" t="s">
        <v>10</v>
      </c>
      <c r="B13" s="240" t="s">
        <v>519</v>
      </c>
      <c r="C13" s="221" t="s">
        <v>684</v>
      </c>
      <c r="D13" s="336"/>
      <c r="E13" s="255"/>
      <c r="F13" s="254"/>
      <c r="G13" s="222"/>
      <c r="H13" s="222"/>
      <c r="I13" s="222"/>
      <c r="J13" s="394"/>
      <c r="K13" s="395">
        <f>6.59*-0.85</f>
        <v>-5.6015</v>
      </c>
      <c r="L13" s="327">
        <f t="shared" si="2"/>
        <v>0.714328294</v>
      </c>
      <c r="M13" s="321" t="str">
        <f t="shared" si="3"/>
        <v>iviangita</v>
      </c>
      <c r="N13" s="209"/>
      <c r="O13" s="209"/>
      <c r="P13" s="209"/>
      <c r="Q13" s="209"/>
      <c r="R13" s="209"/>
      <c r="S13" s="209"/>
      <c r="T13" s="209"/>
      <c r="U13" s="209"/>
      <c r="V13" s="209"/>
      <c r="W13" s="209"/>
      <c r="X13" s="209"/>
      <c r="Y13" s="176"/>
      <c r="Z13" s="176"/>
    </row>
    <row r="14">
      <c r="A14" s="343" t="s">
        <v>117</v>
      </c>
      <c r="B14" s="343" t="s">
        <v>519</v>
      </c>
      <c r="C14" s="221" t="s">
        <v>684</v>
      </c>
      <c r="D14" s="336"/>
      <c r="E14" s="255"/>
      <c r="F14" s="254"/>
      <c r="G14" s="222"/>
      <c r="H14" s="222"/>
      <c r="I14" s="222"/>
      <c r="J14" s="394"/>
      <c r="K14" s="395">
        <f>2.797*-0.85</f>
        <v>-2.37745</v>
      </c>
      <c r="L14" s="327">
        <f t="shared" si="2"/>
        <v>0.4451406572</v>
      </c>
      <c r="M14" s="321" t="str">
        <f t="shared" si="3"/>
        <v>gfriis</v>
      </c>
      <c r="N14" s="209"/>
      <c r="O14" s="209"/>
      <c r="P14" s="209"/>
      <c r="Q14" s="209"/>
      <c r="R14" s="209"/>
      <c r="S14" s="209"/>
      <c r="T14" s="209"/>
      <c r="U14" s="209"/>
      <c r="V14" s="209"/>
      <c r="W14" s="209"/>
      <c r="X14" s="209"/>
      <c r="Y14" s="176"/>
      <c r="Z14" s="176"/>
    </row>
    <row r="15">
      <c r="A15" s="343" t="s">
        <v>29</v>
      </c>
      <c r="B15" s="343" t="s">
        <v>519</v>
      </c>
      <c r="C15" s="221" t="s">
        <v>684</v>
      </c>
      <c r="D15" s="336"/>
      <c r="E15" s="255"/>
      <c r="F15" s="254"/>
      <c r="G15" s="222"/>
      <c r="H15" s="222"/>
      <c r="I15" s="222"/>
      <c r="J15" s="394"/>
      <c r="K15" s="395">
        <f>2.794*-0.85</f>
        <v>-2.3749</v>
      </c>
      <c r="L15" s="327">
        <f t="shared" si="2"/>
        <v>0.443393659</v>
      </c>
      <c r="M15" s="321" t="str">
        <f t="shared" si="3"/>
        <v>jeffemmett</v>
      </c>
      <c r="N15" s="209"/>
      <c r="O15" s="209"/>
      <c r="P15" s="209"/>
      <c r="Q15" s="209"/>
      <c r="R15" s="209"/>
      <c r="S15" s="209"/>
      <c r="T15" s="209"/>
      <c r="U15" s="209"/>
      <c r="V15" s="209"/>
      <c r="W15" s="209"/>
      <c r="X15" s="209"/>
      <c r="Y15" s="176"/>
      <c r="Z15" s="176"/>
    </row>
    <row r="16">
      <c r="A16" s="240" t="s">
        <v>59</v>
      </c>
      <c r="B16" s="240" t="s">
        <v>519</v>
      </c>
      <c r="C16" s="254"/>
      <c r="D16" s="336"/>
      <c r="E16" s="340"/>
      <c r="F16" s="254"/>
      <c r="G16" s="222"/>
      <c r="H16" s="222"/>
      <c r="I16" s="222"/>
      <c r="J16" s="394"/>
      <c r="K16" s="395">
        <f>1.824*-0.85</f>
        <v>-1.5504</v>
      </c>
      <c r="L16" s="327">
        <f t="shared" si="2"/>
        <v>0.2907469393</v>
      </c>
      <c r="M16" s="321" t="str">
        <f t="shared" si="3"/>
        <v>krisjones</v>
      </c>
      <c r="N16" s="209"/>
      <c r="O16" s="209"/>
      <c r="P16" s="209"/>
      <c r="Q16" s="209"/>
      <c r="R16" s="209"/>
      <c r="S16" s="209"/>
      <c r="T16" s="209"/>
      <c r="U16" s="209"/>
      <c r="V16" s="209"/>
      <c r="W16" s="209"/>
      <c r="X16" s="209"/>
      <c r="Y16" s="176"/>
      <c r="Z16" s="176"/>
    </row>
    <row r="17">
      <c r="A17" s="226" t="s">
        <v>4</v>
      </c>
      <c r="B17" s="226" t="s">
        <v>590</v>
      </c>
      <c r="C17" s="250" t="s">
        <v>3705</v>
      </c>
      <c r="D17" s="268" t="s">
        <v>495</v>
      </c>
      <c r="E17" s="251">
        <v>44131.0</v>
      </c>
      <c r="F17" s="250" t="s">
        <v>496</v>
      </c>
      <c r="G17" s="171">
        <v>1.0</v>
      </c>
      <c r="H17" s="171">
        <v>30.0</v>
      </c>
      <c r="I17" s="171">
        <v>40.0</v>
      </c>
      <c r="J17" s="391">
        <f t="shared" ref="J17:J332" si="4">(H17/$H$2+I17/$I$2)/2</f>
        <v>0.002215816702</v>
      </c>
      <c r="K17" s="392">
        <f t="shared" ref="K17:K332" si="5">J17*$J$1</f>
        <v>0.8586289719</v>
      </c>
      <c r="L17" s="327">
        <f t="shared" si="2"/>
        <v>34.65846609</v>
      </c>
      <c r="M17" s="321" t="str">
        <f t="shared" si="3"/>
        <v>santigs67</v>
      </c>
      <c r="N17" s="176">
        <f>IFERROR(__xludf.DUMMYFUNCTION("query(iferror(sort({row(A17:A544)-row(A17)+2-match(sort(A17:A544),sort(A17:A544),0),SORT(ROW(A17:A544)+2-row(A17)+2,A17:A544,1)},2,1),),""Select Col1"")"),1.0)</f>
        <v>1</v>
      </c>
      <c r="O17" s="176"/>
      <c r="P17" s="176"/>
      <c r="Q17" s="176"/>
      <c r="R17" s="176"/>
      <c r="S17" s="176"/>
      <c r="T17" s="176"/>
      <c r="U17" s="176"/>
      <c r="V17" s="176"/>
      <c r="W17" s="176"/>
      <c r="X17" s="176"/>
      <c r="Y17" s="209"/>
      <c r="Z17" s="209"/>
    </row>
    <row r="18">
      <c r="A18" s="226" t="s">
        <v>3</v>
      </c>
      <c r="B18" s="226" t="s">
        <v>590</v>
      </c>
      <c r="C18" s="250" t="s">
        <v>3706</v>
      </c>
      <c r="D18" s="268" t="s">
        <v>495</v>
      </c>
      <c r="E18" s="251">
        <v>44129.0</v>
      </c>
      <c r="F18" s="250" t="s">
        <v>496</v>
      </c>
      <c r="G18" s="171">
        <v>1.0</v>
      </c>
      <c r="H18" s="171">
        <v>100.0</v>
      </c>
      <c r="I18" s="171">
        <v>100.0</v>
      </c>
      <c r="J18" s="391">
        <f t="shared" si="4"/>
        <v>0.006338825596</v>
      </c>
      <c r="K18" s="392">
        <f t="shared" si="5"/>
        <v>2.456294918</v>
      </c>
      <c r="L18" s="327">
        <f t="shared" si="2"/>
        <v>18.0440994</v>
      </c>
      <c r="M18" s="321" t="str">
        <f t="shared" si="3"/>
        <v>zeptimusq</v>
      </c>
      <c r="N18" s="176">
        <f>IFERROR(__xludf.DUMMYFUNCTION("""COMPUTED_VALUE"""),1.0)</f>
        <v>1</v>
      </c>
      <c r="O18" s="176"/>
      <c r="P18" s="176"/>
      <c r="Q18" s="176"/>
      <c r="R18" s="176"/>
      <c r="S18" s="176"/>
      <c r="T18" s="176"/>
      <c r="U18" s="176"/>
      <c r="V18" s="176"/>
      <c r="W18" s="176"/>
      <c r="X18" s="176"/>
      <c r="Y18" s="176"/>
      <c r="Z18" s="176"/>
    </row>
    <row r="19">
      <c r="A19" s="226" t="s">
        <v>6</v>
      </c>
      <c r="B19" s="226" t="s">
        <v>519</v>
      </c>
      <c r="C19" s="250" t="s">
        <v>3707</v>
      </c>
      <c r="D19" s="268" t="s">
        <v>495</v>
      </c>
      <c r="E19" s="251">
        <v>44132.0</v>
      </c>
      <c r="F19" s="250" t="s">
        <v>496</v>
      </c>
      <c r="G19" s="171">
        <v>1.0</v>
      </c>
      <c r="H19" s="171">
        <v>1000.0</v>
      </c>
      <c r="I19" s="171">
        <v>1000.0</v>
      </c>
      <c r="J19" s="391">
        <f t="shared" si="4"/>
        <v>0.06338825596</v>
      </c>
      <c r="K19" s="392">
        <f t="shared" si="5"/>
        <v>24.56294918</v>
      </c>
      <c r="L19" s="327">
        <f t="shared" si="2"/>
        <v>6.617755611</v>
      </c>
      <c r="M19" s="321" t="str">
        <f t="shared" si="3"/>
        <v>sembrestels</v>
      </c>
      <c r="N19" s="176">
        <f>IFERROR(__xludf.DUMMYFUNCTION("""COMPUTED_VALUE"""),1.0)</f>
        <v>1</v>
      </c>
      <c r="O19" s="176"/>
      <c r="P19" s="176"/>
      <c r="Q19" s="176"/>
      <c r="R19" s="176"/>
      <c r="S19" s="176"/>
      <c r="T19" s="176"/>
      <c r="U19" s="176"/>
      <c r="V19" s="176"/>
      <c r="W19" s="176"/>
      <c r="X19" s="176"/>
      <c r="Y19" s="176"/>
      <c r="Z19" s="176"/>
    </row>
    <row r="20">
      <c r="A20" s="226" t="s">
        <v>6</v>
      </c>
      <c r="B20" s="226" t="s">
        <v>519</v>
      </c>
      <c r="C20" s="250" t="s">
        <v>2329</v>
      </c>
      <c r="D20" s="268" t="s">
        <v>495</v>
      </c>
      <c r="E20" s="251">
        <v>44132.0</v>
      </c>
      <c r="F20" s="250" t="s">
        <v>521</v>
      </c>
      <c r="G20" s="171">
        <v>3.0</v>
      </c>
      <c r="H20" s="171">
        <v>10.0</v>
      </c>
      <c r="I20" s="171">
        <v>10.0</v>
      </c>
      <c r="J20" s="391">
        <f t="shared" si="4"/>
        <v>0.0006338825596</v>
      </c>
      <c r="K20" s="392">
        <f t="shared" si="5"/>
        <v>0.2456294918</v>
      </c>
      <c r="L20" s="327">
        <f t="shared" si="2"/>
        <v>6.617755611</v>
      </c>
      <c r="M20" s="321" t="str">
        <f t="shared" si="3"/>
        <v>sembrestels</v>
      </c>
      <c r="N20" s="176">
        <f>IFERROR(__xludf.DUMMYFUNCTION("""COMPUTED_VALUE"""),2.0)</f>
        <v>2</v>
      </c>
      <c r="O20" s="176"/>
      <c r="P20" s="176"/>
      <c r="Q20" s="176"/>
      <c r="R20" s="176"/>
      <c r="S20" s="176"/>
      <c r="T20" s="176"/>
      <c r="U20" s="176"/>
      <c r="V20" s="176"/>
      <c r="W20" s="176"/>
      <c r="X20" s="176"/>
      <c r="Y20" s="176"/>
      <c r="Z20" s="176"/>
    </row>
    <row r="21">
      <c r="A21" s="226" t="s">
        <v>6</v>
      </c>
      <c r="B21" s="226" t="s">
        <v>18</v>
      </c>
      <c r="C21" s="250" t="s">
        <v>3708</v>
      </c>
      <c r="D21" s="268" t="s">
        <v>495</v>
      </c>
      <c r="E21" s="251">
        <v>44132.0</v>
      </c>
      <c r="F21" s="250" t="s">
        <v>496</v>
      </c>
      <c r="G21" s="171">
        <v>1.0</v>
      </c>
      <c r="H21" s="171">
        <v>100.0</v>
      </c>
      <c r="I21" s="171">
        <v>80.0</v>
      </c>
      <c r="J21" s="391">
        <f t="shared" si="4"/>
        <v>0.00571048755</v>
      </c>
      <c r="K21" s="392">
        <f t="shared" si="5"/>
        <v>2.212813926</v>
      </c>
      <c r="L21" s="327">
        <f t="shared" si="2"/>
        <v>6.617755611</v>
      </c>
      <c r="M21" s="321" t="str">
        <f t="shared" si="3"/>
        <v>sembrestels</v>
      </c>
      <c r="N21" s="176">
        <f>IFERROR(__xludf.DUMMYFUNCTION("""COMPUTED_VALUE"""),3.0)</f>
        <v>3</v>
      </c>
      <c r="O21" s="176"/>
      <c r="P21" s="176"/>
      <c r="Q21" s="176"/>
      <c r="R21" s="176"/>
      <c r="S21" s="176"/>
      <c r="T21" s="176"/>
      <c r="U21" s="176"/>
      <c r="V21" s="176"/>
      <c r="W21" s="176"/>
      <c r="X21" s="176"/>
      <c r="Y21" s="176"/>
      <c r="Z21" s="176"/>
    </row>
    <row r="22">
      <c r="A22" s="226" t="s">
        <v>6</v>
      </c>
      <c r="B22" s="226" t="s">
        <v>5</v>
      </c>
      <c r="C22" s="250" t="s">
        <v>3709</v>
      </c>
      <c r="D22" s="268" t="s">
        <v>495</v>
      </c>
      <c r="E22" s="251">
        <v>44133.0</v>
      </c>
      <c r="F22" s="250" t="s">
        <v>496</v>
      </c>
      <c r="G22" s="171">
        <v>1.0</v>
      </c>
      <c r="H22" s="171">
        <v>40.0</v>
      </c>
      <c r="I22" s="171">
        <v>40.0</v>
      </c>
      <c r="J22" s="391">
        <f t="shared" si="4"/>
        <v>0.002535530238</v>
      </c>
      <c r="K22" s="392">
        <f t="shared" si="5"/>
        <v>0.9825179674</v>
      </c>
      <c r="L22" s="327">
        <f t="shared" si="2"/>
        <v>6.617755611</v>
      </c>
      <c r="M22" s="321" t="str">
        <f t="shared" si="3"/>
        <v>sembrestels</v>
      </c>
      <c r="N22" s="176">
        <f>IFERROR(__xludf.DUMMYFUNCTION("""COMPUTED_VALUE"""),4.0)</f>
        <v>4</v>
      </c>
      <c r="O22" s="176"/>
      <c r="P22" s="176"/>
      <c r="Q22" s="176"/>
      <c r="R22" s="176"/>
      <c r="S22" s="176"/>
      <c r="T22" s="176"/>
      <c r="U22" s="176"/>
      <c r="V22" s="176"/>
      <c r="W22" s="176"/>
      <c r="X22" s="176"/>
      <c r="Y22" s="176"/>
      <c r="Z22" s="176"/>
    </row>
    <row r="23">
      <c r="A23" s="226" t="s">
        <v>6</v>
      </c>
      <c r="B23" s="226" t="s">
        <v>590</v>
      </c>
      <c r="C23" s="250" t="s">
        <v>3710</v>
      </c>
      <c r="D23" s="268" t="s">
        <v>495</v>
      </c>
      <c r="E23" s="251">
        <v>44133.0</v>
      </c>
      <c r="F23" s="250" t="s">
        <v>496</v>
      </c>
      <c r="G23" s="171">
        <v>1.0</v>
      </c>
      <c r="H23" s="171">
        <v>30.0</v>
      </c>
      <c r="I23" s="171">
        <v>30.0</v>
      </c>
      <c r="J23" s="391">
        <f t="shared" si="4"/>
        <v>0.001901647679</v>
      </c>
      <c r="K23" s="392">
        <f t="shared" si="5"/>
        <v>0.7368884755</v>
      </c>
      <c r="L23" s="327">
        <f t="shared" si="2"/>
        <v>6.617755611</v>
      </c>
      <c r="M23" s="321" t="str">
        <f t="shared" si="3"/>
        <v>sembrestels</v>
      </c>
      <c r="N23" s="176">
        <f>IFERROR(__xludf.DUMMYFUNCTION("""COMPUTED_VALUE"""),5.0)</f>
        <v>5</v>
      </c>
      <c r="O23" s="176"/>
      <c r="P23" s="176"/>
      <c r="Q23" s="176"/>
      <c r="R23" s="176"/>
      <c r="S23" s="176"/>
      <c r="T23" s="176"/>
      <c r="U23" s="176"/>
      <c r="V23" s="176"/>
      <c r="W23" s="176"/>
      <c r="X23" s="176"/>
      <c r="Y23" s="176"/>
      <c r="Z23" s="176"/>
    </row>
    <row r="24">
      <c r="A24" s="226" t="s">
        <v>6</v>
      </c>
      <c r="B24" s="226" t="s">
        <v>519</v>
      </c>
      <c r="C24" s="250" t="s">
        <v>3711</v>
      </c>
      <c r="D24" s="268" t="s">
        <v>495</v>
      </c>
      <c r="E24" s="251">
        <v>44134.0</v>
      </c>
      <c r="F24" s="250" t="s">
        <v>496</v>
      </c>
      <c r="G24" s="171">
        <v>1.0</v>
      </c>
      <c r="H24" s="171">
        <v>30.0</v>
      </c>
      <c r="I24" s="171">
        <v>40.0</v>
      </c>
      <c r="J24" s="391">
        <f t="shared" si="4"/>
        <v>0.002215816702</v>
      </c>
      <c r="K24" s="392">
        <f t="shared" si="5"/>
        <v>0.8586289719</v>
      </c>
      <c r="L24" s="327">
        <f t="shared" si="2"/>
        <v>6.617755611</v>
      </c>
      <c r="M24" s="321" t="str">
        <f t="shared" si="3"/>
        <v>sembrestels</v>
      </c>
      <c r="N24" s="176">
        <f>IFERROR(__xludf.DUMMYFUNCTION("""COMPUTED_VALUE"""),6.0)</f>
        <v>6</v>
      </c>
      <c r="O24" s="176"/>
      <c r="P24" s="176"/>
      <c r="Q24" s="176"/>
      <c r="R24" s="176"/>
      <c r="S24" s="176"/>
      <c r="T24" s="176"/>
      <c r="U24" s="176"/>
      <c r="V24" s="176"/>
      <c r="W24" s="176"/>
      <c r="X24" s="176"/>
      <c r="Y24" s="176"/>
      <c r="Z24" s="176"/>
    </row>
    <row r="25">
      <c r="A25" s="226" t="s">
        <v>6</v>
      </c>
      <c r="B25" s="226" t="s">
        <v>18</v>
      </c>
      <c r="C25" s="250" t="s">
        <v>3712</v>
      </c>
      <c r="D25" s="268" t="s">
        <v>495</v>
      </c>
      <c r="E25" s="251">
        <v>44134.0</v>
      </c>
      <c r="F25" s="250" t="s">
        <v>496</v>
      </c>
      <c r="G25" s="171">
        <v>1.0</v>
      </c>
      <c r="H25" s="171">
        <v>30.0</v>
      </c>
      <c r="I25" s="171">
        <v>40.0</v>
      </c>
      <c r="J25" s="391">
        <f t="shared" si="4"/>
        <v>0.002215816702</v>
      </c>
      <c r="K25" s="392">
        <f t="shared" si="5"/>
        <v>0.8586289719</v>
      </c>
      <c r="L25" s="327">
        <f t="shared" si="2"/>
        <v>6.617755611</v>
      </c>
      <c r="M25" s="321" t="str">
        <f t="shared" si="3"/>
        <v>sembrestels</v>
      </c>
      <c r="N25" s="176">
        <f>IFERROR(__xludf.DUMMYFUNCTION("""COMPUTED_VALUE"""),7.0)</f>
        <v>7</v>
      </c>
      <c r="O25" s="176"/>
      <c r="P25" s="176"/>
      <c r="Q25" s="176"/>
      <c r="R25" s="176"/>
      <c r="S25" s="176"/>
      <c r="T25" s="176"/>
      <c r="U25" s="176"/>
      <c r="V25" s="176"/>
      <c r="W25" s="176"/>
      <c r="X25" s="176"/>
      <c r="Y25" s="176"/>
      <c r="Z25" s="176"/>
    </row>
    <row r="26">
      <c r="A26" s="226" t="s">
        <v>6</v>
      </c>
      <c r="B26" s="226" t="s">
        <v>519</v>
      </c>
      <c r="C26" s="250" t="s">
        <v>3713</v>
      </c>
      <c r="D26" s="268" t="s">
        <v>495</v>
      </c>
      <c r="E26" s="251">
        <v>44135.0</v>
      </c>
      <c r="F26" s="250" t="s">
        <v>496</v>
      </c>
      <c r="G26" s="171">
        <v>1.0</v>
      </c>
      <c r="H26" s="171">
        <v>200.0</v>
      </c>
      <c r="I26" s="171">
        <v>200.0</v>
      </c>
      <c r="J26" s="391">
        <f t="shared" si="4"/>
        <v>0.01267765119</v>
      </c>
      <c r="K26" s="392">
        <f t="shared" si="5"/>
        <v>4.912589837</v>
      </c>
      <c r="L26" s="327">
        <f t="shared" si="2"/>
        <v>6.617755611</v>
      </c>
      <c r="M26" s="321" t="str">
        <f t="shared" si="3"/>
        <v>sembrestels</v>
      </c>
      <c r="N26" s="176">
        <f>IFERROR(__xludf.DUMMYFUNCTION("""COMPUTED_VALUE"""),8.0)</f>
        <v>8</v>
      </c>
      <c r="O26" s="176"/>
      <c r="P26" s="176"/>
      <c r="Q26" s="176"/>
      <c r="R26" s="176"/>
      <c r="S26" s="176"/>
      <c r="T26" s="176"/>
      <c r="U26" s="176"/>
      <c r="V26" s="176"/>
      <c r="W26" s="176"/>
      <c r="X26" s="176"/>
      <c r="Y26" s="176"/>
      <c r="Z26" s="176"/>
    </row>
    <row r="27">
      <c r="A27" s="226" t="s">
        <v>6</v>
      </c>
      <c r="B27" s="226" t="s">
        <v>18</v>
      </c>
      <c r="C27" s="250" t="s">
        <v>3714</v>
      </c>
      <c r="D27" s="268" t="s">
        <v>495</v>
      </c>
      <c r="E27" s="361">
        <v>44137.0</v>
      </c>
      <c r="F27" s="250" t="s">
        <v>496</v>
      </c>
      <c r="G27" s="171">
        <v>1.0</v>
      </c>
      <c r="H27" s="171">
        <v>30.0</v>
      </c>
      <c r="I27" s="171">
        <v>70.0</v>
      </c>
      <c r="J27" s="391">
        <f t="shared" si="4"/>
        <v>0.003158323771</v>
      </c>
      <c r="K27" s="392">
        <f t="shared" si="5"/>
        <v>1.223850461</v>
      </c>
      <c r="L27" s="327">
        <f t="shared" si="2"/>
        <v>6.617755611</v>
      </c>
      <c r="M27" s="321" t="str">
        <f t="shared" si="3"/>
        <v>sembrestels</v>
      </c>
      <c r="N27" s="176">
        <f>IFERROR(__xludf.DUMMYFUNCTION("""COMPUTED_VALUE"""),9.0)</f>
        <v>9</v>
      </c>
      <c r="O27" s="176"/>
      <c r="P27" s="176"/>
      <c r="Q27" s="176"/>
      <c r="R27" s="176"/>
      <c r="S27" s="176"/>
      <c r="T27" s="176"/>
      <c r="U27" s="176"/>
      <c r="V27" s="176"/>
      <c r="W27" s="176"/>
      <c r="X27" s="176"/>
      <c r="Y27" s="176"/>
      <c r="Z27" s="176"/>
    </row>
    <row r="28">
      <c r="A28" s="226" t="s">
        <v>6</v>
      </c>
      <c r="B28" s="226" t="s">
        <v>519</v>
      </c>
      <c r="C28" s="250" t="s">
        <v>2329</v>
      </c>
      <c r="D28" s="268" t="s">
        <v>495</v>
      </c>
      <c r="E28" s="361">
        <v>44139.0</v>
      </c>
      <c r="F28" s="250" t="s">
        <v>521</v>
      </c>
      <c r="G28" s="171">
        <v>3.0</v>
      </c>
      <c r="H28" s="171">
        <v>20.0</v>
      </c>
      <c r="I28" s="171">
        <v>20.0</v>
      </c>
      <c r="J28" s="391">
        <f t="shared" si="4"/>
        <v>0.001267765119</v>
      </c>
      <c r="K28" s="392">
        <f t="shared" si="5"/>
        <v>0.4912589837</v>
      </c>
      <c r="L28" s="327">
        <f t="shared" si="2"/>
        <v>6.617755611</v>
      </c>
      <c r="M28" s="321" t="str">
        <f t="shared" si="3"/>
        <v>sembrestels</v>
      </c>
      <c r="N28" s="176">
        <f>IFERROR(__xludf.DUMMYFUNCTION("""COMPUTED_VALUE"""),10.0)</f>
        <v>10</v>
      </c>
      <c r="O28" s="176"/>
      <c r="P28" s="176"/>
      <c r="Q28" s="176"/>
      <c r="R28" s="176"/>
      <c r="S28" s="176"/>
      <c r="T28" s="176"/>
      <c r="U28" s="176"/>
      <c r="V28" s="176"/>
      <c r="W28" s="176"/>
      <c r="X28" s="176"/>
      <c r="Y28" s="176"/>
      <c r="Z28" s="176"/>
    </row>
    <row r="29">
      <c r="A29" s="226" t="s">
        <v>6</v>
      </c>
      <c r="B29" s="226" t="s">
        <v>5</v>
      </c>
      <c r="C29" s="250" t="s">
        <v>3715</v>
      </c>
      <c r="D29" s="268" t="s">
        <v>495</v>
      </c>
      <c r="E29" s="361">
        <v>44141.0</v>
      </c>
      <c r="F29" s="250" t="s">
        <v>496</v>
      </c>
      <c r="G29" s="171">
        <v>1.0</v>
      </c>
      <c r="H29" s="171">
        <v>50.0</v>
      </c>
      <c r="I29" s="171">
        <v>40.0</v>
      </c>
      <c r="J29" s="391">
        <f t="shared" si="4"/>
        <v>0.002855243775</v>
      </c>
      <c r="K29" s="392">
        <f t="shared" si="5"/>
        <v>1.106406963</v>
      </c>
      <c r="L29" s="327">
        <f t="shared" si="2"/>
        <v>6.617755611</v>
      </c>
      <c r="M29" s="321" t="str">
        <f t="shared" si="3"/>
        <v>sembrestels</v>
      </c>
      <c r="N29" s="176">
        <f>IFERROR(__xludf.DUMMYFUNCTION("""COMPUTED_VALUE"""),11.0)</f>
        <v>11</v>
      </c>
      <c r="O29" s="176"/>
      <c r="P29" s="176"/>
      <c r="Q29" s="176"/>
      <c r="R29" s="176"/>
      <c r="S29" s="176"/>
      <c r="T29" s="176"/>
      <c r="U29" s="176"/>
      <c r="V29" s="176"/>
      <c r="W29" s="176"/>
      <c r="X29" s="176"/>
      <c r="Y29" s="176"/>
      <c r="Z29" s="176"/>
    </row>
    <row r="30">
      <c r="A30" s="226" t="s">
        <v>5</v>
      </c>
      <c r="B30" s="226" t="s">
        <v>590</v>
      </c>
      <c r="C30" s="250" t="s">
        <v>3716</v>
      </c>
      <c r="D30" s="268" t="s">
        <v>495</v>
      </c>
      <c r="E30" s="251">
        <v>44127.0</v>
      </c>
      <c r="F30" s="250" t="s">
        <v>496</v>
      </c>
      <c r="G30" s="171">
        <v>1.0</v>
      </c>
      <c r="H30" s="171">
        <v>40.0</v>
      </c>
      <c r="I30" s="171">
        <v>40.0</v>
      </c>
      <c r="J30" s="391">
        <f t="shared" si="4"/>
        <v>0.002535530238</v>
      </c>
      <c r="K30" s="392">
        <f t="shared" si="5"/>
        <v>0.9825179674</v>
      </c>
      <c r="L30" s="327">
        <f t="shared" si="2"/>
        <v>17.56895416</v>
      </c>
      <c r="M30" s="321" t="str">
        <f t="shared" si="3"/>
        <v>cranders71</v>
      </c>
      <c r="N30" s="321">
        <f>IFERROR(__xludf.DUMMYFUNCTION("""COMPUTED_VALUE"""),1.0)</f>
        <v>1</v>
      </c>
      <c r="O30" s="176"/>
      <c r="P30" s="176"/>
      <c r="Q30" s="176"/>
      <c r="R30" s="176"/>
      <c r="S30" s="176"/>
      <c r="T30" s="176"/>
      <c r="U30" s="176"/>
      <c r="V30" s="176"/>
      <c r="W30" s="176"/>
      <c r="X30" s="176"/>
      <c r="Y30" s="176"/>
      <c r="Z30" s="176"/>
    </row>
    <row r="31">
      <c r="A31" s="226" t="s">
        <v>39</v>
      </c>
      <c r="B31" s="226" t="s">
        <v>519</v>
      </c>
      <c r="C31" s="250" t="s">
        <v>3717</v>
      </c>
      <c r="D31" s="268" t="s">
        <v>495</v>
      </c>
      <c r="E31" s="251">
        <v>44127.0</v>
      </c>
      <c r="F31" s="250" t="s">
        <v>499</v>
      </c>
      <c r="G31" s="171">
        <v>1.0</v>
      </c>
      <c r="H31" s="171">
        <v>130.0</v>
      </c>
      <c r="I31" s="171">
        <v>150.0</v>
      </c>
      <c r="J31" s="391">
        <f t="shared" si="4"/>
        <v>0.008868811321</v>
      </c>
      <c r="K31" s="392">
        <f t="shared" si="5"/>
        <v>3.436664387</v>
      </c>
      <c r="L31" s="327">
        <f t="shared" si="2"/>
        <v>14.71735877</v>
      </c>
      <c r="M31" s="321" t="str">
        <f t="shared" si="3"/>
        <v>manualzuru</v>
      </c>
      <c r="N31" s="176">
        <f>IFERROR(__xludf.DUMMYFUNCTION("""COMPUTED_VALUE"""),1.0)</f>
        <v>1</v>
      </c>
      <c r="O31" s="176"/>
      <c r="P31" s="176"/>
      <c r="Q31" s="176"/>
      <c r="R31" s="176"/>
      <c r="S31" s="176"/>
      <c r="T31" s="176"/>
      <c r="U31" s="176"/>
      <c r="V31" s="176"/>
      <c r="W31" s="176"/>
      <c r="X31" s="176"/>
      <c r="Y31" s="176"/>
      <c r="Z31" s="176"/>
    </row>
    <row r="32">
      <c r="A32" s="226" t="s">
        <v>14</v>
      </c>
      <c r="B32" s="226" t="s">
        <v>18</v>
      </c>
      <c r="C32" s="250" t="s">
        <v>3718</v>
      </c>
      <c r="D32" s="268" t="s">
        <v>495</v>
      </c>
      <c r="E32" s="251">
        <v>44131.0</v>
      </c>
      <c r="F32" s="250" t="s">
        <v>496</v>
      </c>
      <c r="G32" s="171">
        <v>1.0</v>
      </c>
      <c r="H32" s="171">
        <v>50.0</v>
      </c>
      <c r="I32" s="171">
        <v>40.0</v>
      </c>
      <c r="J32" s="391">
        <f t="shared" si="4"/>
        <v>0.002855243775</v>
      </c>
      <c r="K32" s="392">
        <f t="shared" si="5"/>
        <v>1.106406963</v>
      </c>
      <c r="L32" s="327">
        <f t="shared" si="2"/>
        <v>13.35353141</v>
      </c>
      <c r="M32" s="321" t="str">
        <f t="shared" si="3"/>
        <v>jessicazartler</v>
      </c>
      <c r="N32" s="176">
        <f>IFERROR(__xludf.DUMMYFUNCTION("""COMPUTED_VALUE"""),1.0)</f>
        <v>1</v>
      </c>
      <c r="O32" s="176"/>
      <c r="P32" s="176"/>
      <c r="Q32" s="176"/>
      <c r="R32" s="176"/>
      <c r="S32" s="176"/>
      <c r="T32" s="176"/>
      <c r="U32" s="176"/>
      <c r="V32" s="176"/>
      <c r="W32" s="176"/>
      <c r="X32" s="176"/>
      <c r="Y32" s="176"/>
      <c r="Z32" s="176"/>
    </row>
    <row r="33">
      <c r="A33" s="226" t="s">
        <v>14</v>
      </c>
      <c r="B33" s="226" t="s">
        <v>519</v>
      </c>
      <c r="C33" s="250" t="s">
        <v>3719</v>
      </c>
      <c r="D33" s="268" t="s">
        <v>495</v>
      </c>
      <c r="E33" s="251">
        <v>44132.0</v>
      </c>
      <c r="F33" s="250" t="s">
        <v>496</v>
      </c>
      <c r="G33" s="171">
        <v>1.0</v>
      </c>
      <c r="H33" s="171">
        <v>40.0</v>
      </c>
      <c r="I33" s="171">
        <v>40.0</v>
      </c>
      <c r="J33" s="391">
        <f t="shared" si="4"/>
        <v>0.002535530238</v>
      </c>
      <c r="K33" s="392">
        <f t="shared" si="5"/>
        <v>0.9825179674</v>
      </c>
      <c r="L33" s="327">
        <f t="shared" si="2"/>
        <v>13.35353141</v>
      </c>
      <c r="M33" s="321" t="str">
        <f t="shared" si="3"/>
        <v>jessicazartler</v>
      </c>
      <c r="N33" s="176">
        <f>IFERROR(__xludf.DUMMYFUNCTION("""COMPUTED_VALUE"""),2.0)</f>
        <v>2</v>
      </c>
      <c r="O33" s="176"/>
      <c r="P33" s="176"/>
      <c r="Q33" s="176"/>
      <c r="R33" s="176"/>
      <c r="S33" s="176"/>
      <c r="T33" s="176"/>
      <c r="U33" s="176"/>
      <c r="V33" s="176"/>
      <c r="W33" s="176"/>
      <c r="X33" s="176"/>
      <c r="Y33" s="176"/>
      <c r="Z33" s="176"/>
    </row>
    <row r="34">
      <c r="A34" s="226" t="s">
        <v>14</v>
      </c>
      <c r="B34" s="226" t="s">
        <v>18</v>
      </c>
      <c r="C34" s="250" t="s">
        <v>3708</v>
      </c>
      <c r="D34" s="268" t="s">
        <v>495</v>
      </c>
      <c r="E34" s="251">
        <v>44132.0</v>
      </c>
      <c r="F34" s="250" t="s">
        <v>496</v>
      </c>
      <c r="G34" s="171">
        <v>1.0</v>
      </c>
      <c r="H34" s="171">
        <v>20.0</v>
      </c>
      <c r="I34" s="171">
        <v>30.0</v>
      </c>
      <c r="J34" s="391">
        <f t="shared" si="4"/>
        <v>0.001581934142</v>
      </c>
      <c r="K34" s="392">
        <f t="shared" si="5"/>
        <v>0.6129994801</v>
      </c>
      <c r="L34" s="327">
        <f t="shared" si="2"/>
        <v>13.35353141</v>
      </c>
      <c r="M34" s="321" t="str">
        <f t="shared" si="3"/>
        <v>jessicazartler</v>
      </c>
      <c r="N34" s="176">
        <f>IFERROR(__xludf.DUMMYFUNCTION("""COMPUTED_VALUE"""),3.0)</f>
        <v>3</v>
      </c>
      <c r="O34" s="176"/>
      <c r="P34" s="176"/>
      <c r="Q34" s="176"/>
      <c r="R34" s="176"/>
      <c r="S34" s="176"/>
      <c r="T34" s="176"/>
      <c r="U34" s="176"/>
      <c r="V34" s="176"/>
      <c r="W34" s="176"/>
      <c r="X34" s="176"/>
      <c r="Y34" s="176"/>
      <c r="Z34" s="176"/>
    </row>
    <row r="35">
      <c r="A35" s="226" t="s">
        <v>14</v>
      </c>
      <c r="B35" s="226" t="s">
        <v>18</v>
      </c>
      <c r="C35" s="250" t="s">
        <v>3720</v>
      </c>
      <c r="D35" s="268" t="s">
        <v>495</v>
      </c>
      <c r="E35" s="251">
        <v>44132.0</v>
      </c>
      <c r="F35" s="250" t="s">
        <v>496</v>
      </c>
      <c r="G35" s="171">
        <v>1.0</v>
      </c>
      <c r="H35" s="171">
        <v>300.0</v>
      </c>
      <c r="I35" s="171">
        <v>300.0</v>
      </c>
      <c r="J35" s="391">
        <f t="shared" si="4"/>
        <v>0.01901647679</v>
      </c>
      <c r="K35" s="392">
        <f t="shared" si="5"/>
        <v>7.368884755</v>
      </c>
      <c r="L35" s="327">
        <f t="shared" si="2"/>
        <v>13.35353141</v>
      </c>
      <c r="M35" s="321" t="str">
        <f t="shared" si="3"/>
        <v>jessicazartler</v>
      </c>
      <c r="N35" s="176">
        <f>IFERROR(__xludf.DUMMYFUNCTION("""COMPUTED_VALUE"""),4.0)</f>
        <v>4</v>
      </c>
      <c r="O35" s="176"/>
      <c r="P35" s="176"/>
      <c r="Q35" s="176"/>
      <c r="R35" s="176"/>
      <c r="S35" s="176"/>
      <c r="T35" s="176"/>
      <c r="U35" s="176"/>
      <c r="V35" s="176"/>
      <c r="W35" s="176"/>
      <c r="X35" s="176"/>
      <c r="Y35" s="176"/>
      <c r="Z35" s="176"/>
    </row>
    <row r="36">
      <c r="A36" s="226" t="s">
        <v>14</v>
      </c>
      <c r="B36" s="226" t="s">
        <v>5</v>
      </c>
      <c r="C36" s="250" t="s">
        <v>3721</v>
      </c>
      <c r="D36" s="268" t="s">
        <v>495</v>
      </c>
      <c r="E36" s="251">
        <v>44133.0</v>
      </c>
      <c r="F36" s="250" t="s">
        <v>496</v>
      </c>
      <c r="G36" s="171">
        <v>3.0</v>
      </c>
      <c r="H36" s="171">
        <v>10.0</v>
      </c>
      <c r="I36" s="171">
        <v>30.0</v>
      </c>
      <c r="J36" s="391">
        <f t="shared" si="4"/>
        <v>0.001262220605</v>
      </c>
      <c r="K36" s="392">
        <f t="shared" si="5"/>
        <v>0.4891104846</v>
      </c>
      <c r="L36" s="327">
        <f t="shared" si="2"/>
        <v>13.35353141</v>
      </c>
      <c r="M36" s="321" t="str">
        <f t="shared" si="3"/>
        <v>jessicazartler</v>
      </c>
      <c r="N36" s="176">
        <f>IFERROR(__xludf.DUMMYFUNCTION("""COMPUTED_VALUE"""),5.0)</f>
        <v>5</v>
      </c>
      <c r="O36" s="176"/>
      <c r="P36" s="176"/>
      <c r="Q36" s="176"/>
      <c r="R36" s="176"/>
      <c r="S36" s="176"/>
      <c r="T36" s="176"/>
      <c r="U36" s="176"/>
      <c r="V36" s="176"/>
      <c r="W36" s="176"/>
      <c r="X36" s="176"/>
      <c r="Y36" s="176"/>
      <c r="Z36" s="176"/>
    </row>
    <row r="37">
      <c r="A37" s="226" t="s">
        <v>14</v>
      </c>
      <c r="B37" s="226" t="s">
        <v>5</v>
      </c>
      <c r="C37" s="250" t="s">
        <v>3709</v>
      </c>
      <c r="D37" s="268" t="s">
        <v>495</v>
      </c>
      <c r="E37" s="251">
        <v>44133.0</v>
      </c>
      <c r="F37" s="250" t="s">
        <v>496</v>
      </c>
      <c r="G37" s="171">
        <v>1.0</v>
      </c>
      <c r="H37" s="171">
        <v>20.0</v>
      </c>
      <c r="I37" s="171">
        <v>40.0</v>
      </c>
      <c r="J37" s="391">
        <f t="shared" si="4"/>
        <v>0.001896103165</v>
      </c>
      <c r="K37" s="392">
        <f t="shared" si="5"/>
        <v>0.7347399765</v>
      </c>
      <c r="L37" s="327">
        <f t="shared" si="2"/>
        <v>13.35353141</v>
      </c>
      <c r="M37" s="321" t="str">
        <f t="shared" si="3"/>
        <v>jessicazartler</v>
      </c>
      <c r="N37" s="176">
        <f>IFERROR(__xludf.DUMMYFUNCTION("""COMPUTED_VALUE"""),6.0)</f>
        <v>6</v>
      </c>
      <c r="O37" s="176"/>
      <c r="P37" s="176"/>
      <c r="Q37" s="176"/>
      <c r="R37" s="176"/>
      <c r="S37" s="176"/>
      <c r="T37" s="176"/>
      <c r="U37" s="176"/>
      <c r="V37" s="176"/>
      <c r="W37" s="176"/>
      <c r="X37" s="176"/>
      <c r="Y37" s="176"/>
      <c r="Z37" s="176"/>
    </row>
    <row r="38">
      <c r="A38" s="226" t="s">
        <v>14</v>
      </c>
      <c r="B38" s="226" t="s">
        <v>519</v>
      </c>
      <c r="C38" s="250" t="s">
        <v>3711</v>
      </c>
      <c r="D38" s="268" t="s">
        <v>495</v>
      </c>
      <c r="E38" s="251">
        <v>44134.0</v>
      </c>
      <c r="F38" s="250" t="s">
        <v>496</v>
      </c>
      <c r="G38" s="171">
        <v>1.0</v>
      </c>
      <c r="H38" s="171">
        <v>30.0</v>
      </c>
      <c r="I38" s="171">
        <v>40.0</v>
      </c>
      <c r="J38" s="391">
        <f t="shared" si="4"/>
        <v>0.002215816702</v>
      </c>
      <c r="K38" s="392">
        <f t="shared" si="5"/>
        <v>0.8586289719</v>
      </c>
      <c r="L38" s="327">
        <f t="shared" si="2"/>
        <v>13.35353141</v>
      </c>
      <c r="M38" s="321" t="str">
        <f t="shared" si="3"/>
        <v>jessicazartler</v>
      </c>
      <c r="N38" s="176">
        <f>IFERROR(__xludf.DUMMYFUNCTION("""COMPUTED_VALUE"""),7.0)</f>
        <v>7</v>
      </c>
      <c r="O38" s="176"/>
      <c r="P38" s="176"/>
      <c r="Q38" s="176"/>
      <c r="R38" s="176"/>
      <c r="S38" s="176"/>
      <c r="T38" s="176"/>
      <c r="U38" s="176"/>
      <c r="V38" s="176"/>
      <c r="W38" s="176"/>
      <c r="X38" s="176"/>
      <c r="Y38" s="176"/>
      <c r="Z38" s="176"/>
    </row>
    <row r="39">
      <c r="A39" s="226" t="s">
        <v>14</v>
      </c>
      <c r="B39" s="226" t="s">
        <v>18</v>
      </c>
      <c r="C39" s="250" t="s">
        <v>3722</v>
      </c>
      <c r="D39" s="268" t="s">
        <v>495</v>
      </c>
      <c r="E39" s="251">
        <v>44134.0</v>
      </c>
      <c r="F39" s="250" t="s">
        <v>496</v>
      </c>
      <c r="G39" s="171">
        <v>1.0</v>
      </c>
      <c r="H39" s="171">
        <v>200.0</v>
      </c>
      <c r="I39" s="393">
        <v>300.0</v>
      </c>
      <c r="J39" s="391">
        <f t="shared" si="4"/>
        <v>0.01581934142</v>
      </c>
      <c r="K39" s="392">
        <f t="shared" si="5"/>
        <v>6.129994801</v>
      </c>
      <c r="L39" s="327">
        <f t="shared" si="2"/>
        <v>13.35353141</v>
      </c>
      <c r="M39" s="321" t="str">
        <f t="shared" si="3"/>
        <v>jessicazartler</v>
      </c>
      <c r="N39" s="176">
        <f>IFERROR(__xludf.DUMMYFUNCTION("""COMPUTED_VALUE"""),8.0)</f>
        <v>8</v>
      </c>
      <c r="O39" s="176"/>
      <c r="P39" s="176"/>
      <c r="Q39" s="176"/>
      <c r="R39" s="176"/>
      <c r="S39" s="176"/>
      <c r="T39" s="176"/>
      <c r="U39" s="176"/>
      <c r="V39" s="176"/>
      <c r="W39" s="176"/>
      <c r="X39" s="176"/>
      <c r="Y39" s="176"/>
      <c r="Z39" s="176"/>
    </row>
    <row r="40">
      <c r="A40" s="226" t="s">
        <v>14</v>
      </c>
      <c r="B40" s="226" t="s">
        <v>5</v>
      </c>
      <c r="C40" s="250" t="s">
        <v>3723</v>
      </c>
      <c r="D40" s="268" t="s">
        <v>495</v>
      </c>
      <c r="E40" s="251">
        <v>44134.0</v>
      </c>
      <c r="F40" s="250" t="s">
        <v>496</v>
      </c>
      <c r="G40" s="171">
        <v>1.0</v>
      </c>
      <c r="H40" s="171">
        <v>100.0</v>
      </c>
      <c r="I40" s="171">
        <v>100.0</v>
      </c>
      <c r="J40" s="391">
        <f t="shared" si="4"/>
        <v>0.006338825596</v>
      </c>
      <c r="K40" s="392">
        <f t="shared" si="5"/>
        <v>2.456294918</v>
      </c>
      <c r="L40" s="327">
        <f t="shared" si="2"/>
        <v>13.35353141</v>
      </c>
      <c r="M40" s="321" t="str">
        <f t="shared" si="3"/>
        <v>jessicazartler</v>
      </c>
      <c r="N40" s="176">
        <f>IFERROR(__xludf.DUMMYFUNCTION("""COMPUTED_VALUE"""),9.0)</f>
        <v>9</v>
      </c>
      <c r="O40" s="176"/>
      <c r="P40" s="176"/>
      <c r="Q40" s="176"/>
      <c r="R40" s="176"/>
      <c r="S40" s="176"/>
      <c r="T40" s="176"/>
      <c r="U40" s="176"/>
      <c r="V40" s="176"/>
      <c r="W40" s="176"/>
      <c r="X40" s="176"/>
      <c r="Y40" s="176"/>
      <c r="Z40" s="176"/>
    </row>
    <row r="41">
      <c r="A41" s="226" t="s">
        <v>14</v>
      </c>
      <c r="B41" s="226" t="s">
        <v>6</v>
      </c>
      <c r="C41" s="250" t="s">
        <v>3724</v>
      </c>
      <c r="D41" s="268" t="s">
        <v>495</v>
      </c>
      <c r="E41" s="251">
        <v>44134.0</v>
      </c>
      <c r="F41" s="250" t="s">
        <v>496</v>
      </c>
      <c r="G41" s="171" t="s">
        <v>3725</v>
      </c>
      <c r="H41" s="171">
        <v>0.0</v>
      </c>
      <c r="I41" s="171">
        <v>0.0</v>
      </c>
      <c r="J41" s="391">
        <f t="shared" si="4"/>
        <v>0</v>
      </c>
      <c r="K41" s="392">
        <f t="shared" si="5"/>
        <v>0</v>
      </c>
      <c r="L41" s="327">
        <f t="shared" si="2"/>
        <v>13.35353141</v>
      </c>
      <c r="M41" s="321" t="str">
        <f t="shared" si="3"/>
        <v>jessicazartler</v>
      </c>
      <c r="N41" s="176">
        <f>IFERROR(__xludf.DUMMYFUNCTION("""COMPUTED_VALUE"""),10.0)</f>
        <v>10</v>
      </c>
      <c r="O41" s="176"/>
      <c r="P41" s="176"/>
      <c r="Q41" s="176"/>
      <c r="R41" s="176"/>
      <c r="S41" s="176"/>
      <c r="T41" s="176"/>
      <c r="U41" s="176"/>
      <c r="V41" s="176"/>
      <c r="W41" s="176"/>
      <c r="X41" s="176"/>
      <c r="Y41" s="176"/>
      <c r="Z41" s="176"/>
    </row>
    <row r="42">
      <c r="A42" s="226" t="s">
        <v>14</v>
      </c>
      <c r="B42" s="226" t="s">
        <v>519</v>
      </c>
      <c r="C42" s="250" t="s">
        <v>3726</v>
      </c>
      <c r="D42" s="268" t="s">
        <v>495</v>
      </c>
      <c r="E42" s="251">
        <v>44135.0</v>
      </c>
      <c r="F42" s="250" t="s">
        <v>496</v>
      </c>
      <c r="G42" s="171">
        <v>1.0</v>
      </c>
      <c r="H42" s="171">
        <v>200.0</v>
      </c>
      <c r="I42" s="171">
        <v>150.0</v>
      </c>
      <c r="J42" s="391">
        <f t="shared" si="4"/>
        <v>0.01110680608</v>
      </c>
      <c r="K42" s="392">
        <f t="shared" si="5"/>
        <v>4.303887355</v>
      </c>
      <c r="L42" s="327">
        <f t="shared" si="2"/>
        <v>13.35353141</v>
      </c>
      <c r="M42" s="321" t="str">
        <f t="shared" si="3"/>
        <v>jessicazartler</v>
      </c>
      <c r="N42" s="176">
        <f>IFERROR(__xludf.DUMMYFUNCTION("""COMPUTED_VALUE"""),11.0)</f>
        <v>11</v>
      </c>
      <c r="O42" s="176"/>
      <c r="P42" s="176"/>
      <c r="Q42" s="176"/>
      <c r="R42" s="176"/>
      <c r="S42" s="176"/>
      <c r="T42" s="176"/>
      <c r="U42" s="176"/>
      <c r="V42" s="176"/>
      <c r="W42" s="176"/>
      <c r="X42" s="176"/>
      <c r="Y42" s="176"/>
      <c r="Z42" s="176"/>
    </row>
    <row r="43">
      <c r="A43" s="226" t="s">
        <v>14</v>
      </c>
      <c r="B43" s="226" t="s">
        <v>18</v>
      </c>
      <c r="C43" s="250" t="s">
        <v>3727</v>
      </c>
      <c r="D43" s="268" t="s">
        <v>495</v>
      </c>
      <c r="E43" s="361">
        <v>44138.0</v>
      </c>
      <c r="F43" s="250" t="s">
        <v>496</v>
      </c>
      <c r="G43" s="171">
        <v>1.0</v>
      </c>
      <c r="H43" s="171">
        <v>20.0</v>
      </c>
      <c r="I43" s="171">
        <v>100.0</v>
      </c>
      <c r="J43" s="391">
        <f t="shared" si="4"/>
        <v>0.003781117303</v>
      </c>
      <c r="K43" s="392">
        <f t="shared" si="5"/>
        <v>1.465182955</v>
      </c>
      <c r="L43" s="327">
        <f t="shared" si="2"/>
        <v>13.35353141</v>
      </c>
      <c r="M43" s="321" t="str">
        <f t="shared" si="3"/>
        <v>jessicazartler</v>
      </c>
      <c r="N43" s="176">
        <f>IFERROR(__xludf.DUMMYFUNCTION("""COMPUTED_VALUE"""),12.0)</f>
        <v>12</v>
      </c>
      <c r="O43" s="176"/>
      <c r="P43" s="176"/>
      <c r="Q43" s="176"/>
      <c r="R43" s="176"/>
      <c r="S43" s="176"/>
      <c r="T43" s="176"/>
      <c r="U43" s="176"/>
      <c r="V43" s="176"/>
      <c r="W43" s="176"/>
      <c r="X43" s="176"/>
      <c r="Y43" s="176"/>
      <c r="Z43" s="176"/>
    </row>
    <row r="44">
      <c r="A44" s="226" t="s">
        <v>14</v>
      </c>
      <c r="B44" s="226" t="s">
        <v>5</v>
      </c>
      <c r="C44" s="250" t="s">
        <v>3728</v>
      </c>
      <c r="D44" s="268" t="s">
        <v>495</v>
      </c>
      <c r="E44" s="361">
        <v>44138.0</v>
      </c>
      <c r="F44" s="250" t="s">
        <v>496</v>
      </c>
      <c r="G44" s="171">
        <v>1.0</v>
      </c>
      <c r="H44" s="171">
        <v>60.0</v>
      </c>
      <c r="I44" s="171">
        <v>30.0</v>
      </c>
      <c r="J44" s="391">
        <f t="shared" si="4"/>
        <v>0.002860788289</v>
      </c>
      <c r="K44" s="392">
        <f t="shared" si="5"/>
        <v>1.108555462</v>
      </c>
      <c r="L44" s="327">
        <f t="shared" si="2"/>
        <v>13.35353141</v>
      </c>
      <c r="M44" s="321" t="str">
        <f t="shared" si="3"/>
        <v>jessicazartler</v>
      </c>
      <c r="N44" s="176">
        <f>IFERROR(__xludf.DUMMYFUNCTION("""COMPUTED_VALUE"""),13.0)</f>
        <v>13</v>
      </c>
      <c r="O44" s="176"/>
      <c r="P44" s="176"/>
      <c r="Q44" s="176"/>
      <c r="R44" s="176"/>
      <c r="S44" s="176"/>
      <c r="T44" s="176"/>
      <c r="U44" s="176"/>
      <c r="V44" s="176"/>
      <c r="W44" s="176"/>
      <c r="X44" s="176"/>
      <c r="Y44" s="176"/>
      <c r="Z44" s="176"/>
    </row>
    <row r="45">
      <c r="A45" s="226" t="s">
        <v>14</v>
      </c>
      <c r="B45" s="226" t="s">
        <v>5</v>
      </c>
      <c r="C45" s="250" t="s">
        <v>3729</v>
      </c>
      <c r="D45" s="268" t="s">
        <v>495</v>
      </c>
      <c r="E45" s="361">
        <v>44138.0</v>
      </c>
      <c r="F45" s="250" t="s">
        <v>496</v>
      </c>
      <c r="G45" s="171">
        <v>1.0</v>
      </c>
      <c r="H45" s="171">
        <v>100.0</v>
      </c>
      <c r="I45" s="171">
        <v>40.0</v>
      </c>
      <c r="J45" s="391">
        <f t="shared" si="4"/>
        <v>0.004453811458</v>
      </c>
      <c r="K45" s="392">
        <f t="shared" si="5"/>
        <v>1.72585194</v>
      </c>
      <c r="L45" s="327">
        <f t="shared" si="2"/>
        <v>13.35353141</v>
      </c>
      <c r="M45" s="321" t="str">
        <f t="shared" si="3"/>
        <v>jessicazartler</v>
      </c>
      <c r="N45" s="176">
        <f>IFERROR(__xludf.DUMMYFUNCTION("""COMPUTED_VALUE"""),14.0)</f>
        <v>14</v>
      </c>
      <c r="O45" s="176"/>
      <c r="P45" s="176"/>
      <c r="Q45" s="176"/>
      <c r="R45" s="176"/>
      <c r="S45" s="176"/>
      <c r="T45" s="176"/>
      <c r="U45" s="176"/>
      <c r="V45" s="176"/>
      <c r="W45" s="176"/>
      <c r="X45" s="176"/>
      <c r="Y45" s="176"/>
      <c r="Z45" s="176"/>
    </row>
    <row r="46">
      <c r="A46" s="226" t="s">
        <v>14</v>
      </c>
      <c r="B46" s="226" t="s">
        <v>5</v>
      </c>
      <c r="C46" s="250" t="s">
        <v>3730</v>
      </c>
      <c r="D46" s="268" t="s">
        <v>495</v>
      </c>
      <c r="E46" s="361">
        <v>44138.0</v>
      </c>
      <c r="F46" s="250" t="s">
        <v>496</v>
      </c>
      <c r="G46" s="171">
        <v>1.0</v>
      </c>
      <c r="H46" s="171">
        <v>30.0</v>
      </c>
      <c r="I46" s="171">
        <v>40.0</v>
      </c>
      <c r="J46" s="391">
        <f t="shared" si="4"/>
        <v>0.002215816702</v>
      </c>
      <c r="K46" s="392">
        <f t="shared" si="5"/>
        <v>0.8586289719</v>
      </c>
      <c r="L46" s="327">
        <f t="shared" si="2"/>
        <v>13.35353141</v>
      </c>
      <c r="M46" s="321" t="str">
        <f t="shared" si="3"/>
        <v>jessicazartler</v>
      </c>
      <c r="N46" s="176">
        <f>IFERROR(__xludf.DUMMYFUNCTION("""COMPUTED_VALUE"""),15.0)</f>
        <v>15</v>
      </c>
      <c r="O46" s="176"/>
      <c r="P46" s="176"/>
      <c r="Q46" s="176"/>
      <c r="R46" s="176"/>
      <c r="S46" s="176"/>
      <c r="T46" s="176"/>
      <c r="U46" s="176"/>
      <c r="V46" s="176"/>
      <c r="W46" s="176"/>
      <c r="X46" s="176"/>
      <c r="Y46" s="176"/>
      <c r="Z46" s="176"/>
    </row>
    <row r="47">
      <c r="A47" s="226" t="s">
        <v>14</v>
      </c>
      <c r="B47" s="226" t="s">
        <v>1577</v>
      </c>
      <c r="C47" s="250" t="s">
        <v>3731</v>
      </c>
      <c r="D47" s="268" t="s">
        <v>495</v>
      </c>
      <c r="E47" s="361">
        <v>44138.0</v>
      </c>
      <c r="F47" s="250" t="s">
        <v>496</v>
      </c>
      <c r="G47" s="171">
        <v>1.0</v>
      </c>
      <c r="H47" s="171">
        <v>100.0</v>
      </c>
      <c r="I47" s="171">
        <v>100.0</v>
      </c>
      <c r="J47" s="391">
        <f t="shared" si="4"/>
        <v>0.006338825596</v>
      </c>
      <c r="K47" s="392">
        <f t="shared" si="5"/>
        <v>2.456294918</v>
      </c>
      <c r="L47" s="327">
        <f t="shared" si="2"/>
        <v>13.35353141</v>
      </c>
      <c r="M47" s="321" t="str">
        <f t="shared" si="3"/>
        <v>jessicazartler</v>
      </c>
      <c r="N47" s="176">
        <f>IFERROR(__xludf.DUMMYFUNCTION("""COMPUTED_VALUE"""),16.0)</f>
        <v>16</v>
      </c>
      <c r="O47" s="176"/>
      <c r="P47" s="176"/>
      <c r="Q47" s="176"/>
      <c r="R47" s="176"/>
      <c r="S47" s="176"/>
      <c r="T47" s="176"/>
      <c r="U47" s="176"/>
      <c r="V47" s="176"/>
      <c r="W47" s="176"/>
      <c r="X47" s="176"/>
      <c r="Y47" s="176"/>
      <c r="Z47" s="176"/>
    </row>
    <row r="48">
      <c r="A48" s="226" t="s">
        <v>14</v>
      </c>
      <c r="B48" s="226" t="s">
        <v>519</v>
      </c>
      <c r="C48" s="250" t="s">
        <v>3732</v>
      </c>
      <c r="D48" s="268" t="s">
        <v>495</v>
      </c>
      <c r="E48" s="361">
        <v>44138.0</v>
      </c>
      <c r="F48" s="250" t="s">
        <v>496</v>
      </c>
      <c r="G48" s="171">
        <v>1.0</v>
      </c>
      <c r="H48" s="171">
        <v>100.0</v>
      </c>
      <c r="I48" s="171">
        <v>40.0</v>
      </c>
      <c r="J48" s="391">
        <f t="shared" si="4"/>
        <v>0.004453811458</v>
      </c>
      <c r="K48" s="392">
        <f t="shared" si="5"/>
        <v>1.72585194</v>
      </c>
      <c r="L48" s="327">
        <f t="shared" si="2"/>
        <v>13.35353141</v>
      </c>
      <c r="M48" s="321" t="str">
        <f t="shared" si="3"/>
        <v>jessicazartler</v>
      </c>
      <c r="N48" s="176">
        <f>IFERROR(__xludf.DUMMYFUNCTION("""COMPUTED_VALUE"""),17.0)</f>
        <v>17</v>
      </c>
      <c r="O48" s="176"/>
      <c r="P48" s="176"/>
      <c r="Q48" s="176"/>
      <c r="R48" s="176"/>
      <c r="S48" s="176"/>
      <c r="T48" s="176"/>
      <c r="U48" s="176"/>
      <c r="V48" s="176"/>
      <c r="W48" s="176"/>
      <c r="X48" s="176"/>
      <c r="Y48" s="176"/>
      <c r="Z48" s="176"/>
    </row>
    <row r="49">
      <c r="A49" s="226" t="s">
        <v>14</v>
      </c>
      <c r="B49" s="226" t="s">
        <v>29</v>
      </c>
      <c r="C49" s="250" t="s">
        <v>3733</v>
      </c>
      <c r="D49" s="268" t="s">
        <v>495</v>
      </c>
      <c r="E49" s="361">
        <v>44140.0</v>
      </c>
      <c r="F49" s="250" t="s">
        <v>592</v>
      </c>
      <c r="G49" s="171">
        <v>3.0</v>
      </c>
      <c r="H49" s="171">
        <v>100.0</v>
      </c>
      <c r="I49" s="171">
        <v>20.0</v>
      </c>
      <c r="J49" s="391">
        <f t="shared" si="4"/>
        <v>0.003825473413</v>
      </c>
      <c r="K49" s="392">
        <f t="shared" si="5"/>
        <v>1.482370947</v>
      </c>
      <c r="L49" s="327">
        <f t="shared" si="2"/>
        <v>13.35353141</v>
      </c>
      <c r="M49" s="321" t="str">
        <f t="shared" si="3"/>
        <v>jessicazartler</v>
      </c>
      <c r="N49" s="176">
        <f>IFERROR(__xludf.DUMMYFUNCTION("""COMPUTED_VALUE"""),18.0)</f>
        <v>18</v>
      </c>
      <c r="O49" s="176"/>
      <c r="P49" s="176"/>
      <c r="Q49" s="176"/>
      <c r="R49" s="176"/>
      <c r="S49" s="176"/>
      <c r="T49" s="176"/>
      <c r="U49" s="176"/>
      <c r="V49" s="176"/>
      <c r="W49" s="176"/>
      <c r="X49" s="176"/>
      <c r="Y49" s="176"/>
      <c r="Z49" s="176"/>
    </row>
    <row r="50">
      <c r="A50" s="226" t="s">
        <v>14</v>
      </c>
      <c r="B50" s="226" t="s">
        <v>519</v>
      </c>
      <c r="C50" s="250" t="s">
        <v>3734</v>
      </c>
      <c r="D50" s="268" t="s">
        <v>495</v>
      </c>
      <c r="E50" s="361">
        <v>44140.0</v>
      </c>
      <c r="F50" s="250" t="s">
        <v>499</v>
      </c>
      <c r="G50" s="171">
        <v>3.0</v>
      </c>
      <c r="H50" s="171">
        <v>5.0</v>
      </c>
      <c r="I50" s="171">
        <v>5.0</v>
      </c>
      <c r="J50" s="391">
        <f t="shared" si="4"/>
        <v>0.0003169412798</v>
      </c>
      <c r="K50" s="392">
        <f t="shared" si="5"/>
        <v>0.1228147459</v>
      </c>
      <c r="L50" s="327">
        <f t="shared" si="2"/>
        <v>13.35353141</v>
      </c>
      <c r="M50" s="321" t="str">
        <f t="shared" si="3"/>
        <v>jessicazartler</v>
      </c>
      <c r="N50" s="176">
        <f>IFERROR(__xludf.DUMMYFUNCTION("""COMPUTED_VALUE"""),19.0)</f>
        <v>19</v>
      </c>
      <c r="O50" s="176"/>
      <c r="P50" s="176"/>
      <c r="Q50" s="176"/>
      <c r="R50" s="176"/>
      <c r="S50" s="176"/>
      <c r="T50" s="176"/>
      <c r="U50" s="176"/>
      <c r="V50" s="176"/>
      <c r="W50" s="176"/>
      <c r="X50" s="176"/>
      <c r="Y50" s="176"/>
      <c r="Z50" s="176"/>
    </row>
    <row r="51">
      <c r="A51" s="226" t="s">
        <v>14</v>
      </c>
      <c r="B51" s="226" t="s">
        <v>5</v>
      </c>
      <c r="C51" s="250" t="s">
        <v>3715</v>
      </c>
      <c r="D51" s="268" t="s">
        <v>495</v>
      </c>
      <c r="E51" s="361">
        <v>44141.0</v>
      </c>
      <c r="F51" s="250" t="s">
        <v>496</v>
      </c>
      <c r="G51" s="171">
        <v>1.0</v>
      </c>
      <c r="H51" s="171">
        <v>70.0</v>
      </c>
      <c r="I51" s="171">
        <v>40.0</v>
      </c>
      <c r="J51" s="391">
        <f t="shared" si="4"/>
        <v>0.003494670848</v>
      </c>
      <c r="K51" s="392">
        <f t="shared" si="5"/>
        <v>1.354184954</v>
      </c>
      <c r="L51" s="327">
        <f t="shared" si="2"/>
        <v>13.35353141</v>
      </c>
      <c r="M51" s="321" t="str">
        <f t="shared" si="3"/>
        <v>jessicazartler</v>
      </c>
      <c r="N51" s="176">
        <f>IFERROR(__xludf.DUMMYFUNCTION("""COMPUTED_VALUE"""),20.0)</f>
        <v>20</v>
      </c>
      <c r="O51" s="176"/>
      <c r="P51" s="176"/>
      <c r="Q51" s="176"/>
      <c r="R51" s="176"/>
      <c r="S51" s="176"/>
      <c r="T51" s="176"/>
      <c r="U51" s="176"/>
      <c r="V51" s="176"/>
      <c r="W51" s="176"/>
      <c r="X51" s="176"/>
      <c r="Y51" s="176"/>
      <c r="Z51" s="176"/>
    </row>
    <row r="52">
      <c r="A52" s="226" t="s">
        <v>14</v>
      </c>
      <c r="B52" s="226" t="s">
        <v>1577</v>
      </c>
      <c r="C52" s="250" t="s">
        <v>3735</v>
      </c>
      <c r="D52" s="268" t="s">
        <v>495</v>
      </c>
      <c r="E52" s="251">
        <v>44131.0</v>
      </c>
      <c r="F52" s="250" t="s">
        <v>496</v>
      </c>
      <c r="G52" s="171">
        <v>1.0</v>
      </c>
      <c r="H52" s="171">
        <v>120.0</v>
      </c>
      <c r="I52" s="171">
        <v>120.0</v>
      </c>
      <c r="J52" s="391">
        <f t="shared" si="4"/>
        <v>0.007606590715</v>
      </c>
      <c r="K52" s="392">
        <f t="shared" si="5"/>
        <v>2.947553902</v>
      </c>
      <c r="L52" s="327">
        <f t="shared" si="2"/>
        <v>13.35353141</v>
      </c>
      <c r="M52" s="321" t="str">
        <f t="shared" si="3"/>
        <v>jessicazartler</v>
      </c>
      <c r="N52" s="176">
        <f>IFERROR(__xludf.DUMMYFUNCTION("""COMPUTED_VALUE"""),21.0)</f>
        <v>21</v>
      </c>
      <c r="O52" s="176"/>
      <c r="P52" s="176"/>
      <c r="Q52" s="176"/>
      <c r="R52" s="176"/>
      <c r="S52" s="176"/>
      <c r="T52" s="176"/>
      <c r="U52" s="176"/>
      <c r="V52" s="176"/>
      <c r="W52" s="176"/>
      <c r="X52" s="176"/>
      <c r="Y52" s="176"/>
      <c r="Z52" s="176"/>
    </row>
    <row r="53">
      <c r="A53" s="226" t="s">
        <v>4</v>
      </c>
      <c r="B53" s="226" t="s">
        <v>590</v>
      </c>
      <c r="C53" s="250" t="s">
        <v>3736</v>
      </c>
      <c r="D53" s="268" t="s">
        <v>495</v>
      </c>
      <c r="E53" s="251">
        <v>44131.0</v>
      </c>
      <c r="F53" s="250" t="s">
        <v>496</v>
      </c>
      <c r="G53" s="171">
        <v>1.0</v>
      </c>
      <c r="H53" s="171">
        <v>300.0</v>
      </c>
      <c r="I53" s="171">
        <v>350.0</v>
      </c>
      <c r="J53" s="391">
        <f t="shared" si="4"/>
        <v>0.0205873219</v>
      </c>
      <c r="K53" s="392">
        <f t="shared" si="5"/>
        <v>7.977587237</v>
      </c>
      <c r="L53" s="327">
        <f t="shared" si="2"/>
        <v>34.65846609</v>
      </c>
      <c r="M53" s="321" t="str">
        <f t="shared" si="3"/>
        <v>santigs67</v>
      </c>
      <c r="N53" s="176">
        <f>IFERROR(__xludf.DUMMYFUNCTION("""COMPUTED_VALUE"""),2.0)</f>
        <v>2</v>
      </c>
      <c r="O53" s="176"/>
      <c r="P53" s="176"/>
      <c r="Q53" s="176"/>
      <c r="R53" s="176"/>
      <c r="S53" s="176"/>
      <c r="T53" s="176"/>
      <c r="U53" s="176"/>
      <c r="V53" s="176"/>
      <c r="W53" s="176"/>
      <c r="X53" s="176"/>
      <c r="Y53" s="176"/>
      <c r="Z53" s="176"/>
    </row>
    <row r="54">
      <c r="A54" s="226" t="s">
        <v>4</v>
      </c>
      <c r="B54" s="226" t="s">
        <v>18</v>
      </c>
      <c r="C54" s="250" t="s">
        <v>3718</v>
      </c>
      <c r="D54" s="268" t="s">
        <v>495</v>
      </c>
      <c r="E54" s="251">
        <v>44131.0</v>
      </c>
      <c r="F54" s="250" t="s">
        <v>496</v>
      </c>
      <c r="G54" s="171">
        <v>1.0</v>
      </c>
      <c r="H54" s="171">
        <v>20.0</v>
      </c>
      <c r="I54" s="171">
        <v>40.0</v>
      </c>
      <c r="J54" s="391">
        <f t="shared" si="4"/>
        <v>0.001896103165</v>
      </c>
      <c r="K54" s="392">
        <f t="shared" si="5"/>
        <v>0.7347399765</v>
      </c>
      <c r="L54" s="327">
        <f t="shared" si="2"/>
        <v>34.65846609</v>
      </c>
      <c r="M54" s="321" t="str">
        <f t="shared" si="3"/>
        <v>santigs67</v>
      </c>
      <c r="N54" s="176">
        <f>IFERROR(__xludf.DUMMYFUNCTION("""COMPUTED_VALUE"""),3.0)</f>
        <v>3</v>
      </c>
      <c r="O54" s="176"/>
      <c r="P54" s="176"/>
      <c r="Q54" s="176"/>
      <c r="R54" s="176"/>
      <c r="S54" s="176"/>
      <c r="T54" s="176"/>
      <c r="U54" s="176"/>
      <c r="V54" s="176"/>
      <c r="W54" s="176"/>
      <c r="X54" s="176"/>
      <c r="Y54" s="176"/>
      <c r="Z54" s="176"/>
    </row>
    <row r="55">
      <c r="A55" s="226" t="s">
        <v>4</v>
      </c>
      <c r="B55" s="226" t="s">
        <v>519</v>
      </c>
      <c r="C55" s="250" t="s">
        <v>3719</v>
      </c>
      <c r="D55" s="268" t="s">
        <v>495</v>
      </c>
      <c r="E55" s="251">
        <v>44132.0</v>
      </c>
      <c r="F55" s="250" t="s">
        <v>496</v>
      </c>
      <c r="G55" s="171">
        <v>1.0</v>
      </c>
      <c r="H55" s="171">
        <v>40.0</v>
      </c>
      <c r="I55" s="171">
        <v>40.0</v>
      </c>
      <c r="J55" s="391">
        <f t="shared" si="4"/>
        <v>0.002535530238</v>
      </c>
      <c r="K55" s="392">
        <f t="shared" si="5"/>
        <v>0.9825179674</v>
      </c>
      <c r="L55" s="327">
        <f t="shared" si="2"/>
        <v>34.65846609</v>
      </c>
      <c r="M55" s="321" t="str">
        <f t="shared" si="3"/>
        <v>santigs67</v>
      </c>
      <c r="N55" s="176">
        <f>IFERROR(__xludf.DUMMYFUNCTION("""COMPUTED_VALUE"""),4.0)</f>
        <v>4</v>
      </c>
      <c r="O55" s="176"/>
      <c r="P55" s="176"/>
      <c r="Q55" s="176"/>
      <c r="R55" s="176"/>
      <c r="S55" s="176"/>
      <c r="T55" s="176"/>
      <c r="U55" s="176"/>
      <c r="V55" s="176"/>
      <c r="W55" s="176"/>
      <c r="X55" s="176"/>
      <c r="Y55" s="176"/>
      <c r="Z55" s="176"/>
    </row>
    <row r="56">
      <c r="A56" s="226" t="s">
        <v>4</v>
      </c>
      <c r="B56" s="226" t="s">
        <v>18</v>
      </c>
      <c r="C56" s="250" t="s">
        <v>3708</v>
      </c>
      <c r="D56" s="268" t="s">
        <v>495</v>
      </c>
      <c r="E56" s="251">
        <v>44132.0</v>
      </c>
      <c r="F56" s="250" t="s">
        <v>496</v>
      </c>
      <c r="G56" s="171">
        <v>1.0</v>
      </c>
      <c r="H56" s="171">
        <v>20.0</v>
      </c>
      <c r="I56" s="171">
        <v>30.0</v>
      </c>
      <c r="J56" s="391">
        <f t="shared" si="4"/>
        <v>0.001581934142</v>
      </c>
      <c r="K56" s="392">
        <f t="shared" si="5"/>
        <v>0.6129994801</v>
      </c>
      <c r="L56" s="327">
        <f t="shared" si="2"/>
        <v>34.65846609</v>
      </c>
      <c r="M56" s="321" t="str">
        <f t="shared" si="3"/>
        <v>santigs67</v>
      </c>
      <c r="N56" s="176">
        <f>IFERROR(__xludf.DUMMYFUNCTION("""COMPUTED_VALUE"""),5.0)</f>
        <v>5</v>
      </c>
      <c r="O56" s="176"/>
      <c r="P56" s="176"/>
      <c r="Q56" s="176"/>
      <c r="R56" s="176"/>
      <c r="S56" s="176"/>
      <c r="T56" s="176"/>
      <c r="U56" s="176"/>
      <c r="V56" s="176"/>
      <c r="W56" s="176"/>
      <c r="X56" s="176"/>
      <c r="Y56" s="176"/>
      <c r="Z56" s="176"/>
    </row>
    <row r="57">
      <c r="A57" s="226" t="s">
        <v>4</v>
      </c>
      <c r="B57" s="226" t="s">
        <v>5</v>
      </c>
      <c r="C57" s="250" t="s">
        <v>3709</v>
      </c>
      <c r="D57" s="268" t="s">
        <v>495</v>
      </c>
      <c r="E57" s="251">
        <v>44133.0</v>
      </c>
      <c r="F57" s="250" t="s">
        <v>496</v>
      </c>
      <c r="G57" s="171">
        <v>1.0</v>
      </c>
      <c r="H57" s="171">
        <v>40.0</v>
      </c>
      <c r="I57" s="171">
        <v>40.0</v>
      </c>
      <c r="J57" s="391">
        <f t="shared" si="4"/>
        <v>0.002535530238</v>
      </c>
      <c r="K57" s="392">
        <f t="shared" si="5"/>
        <v>0.9825179674</v>
      </c>
      <c r="L57" s="327">
        <f t="shared" si="2"/>
        <v>34.65846609</v>
      </c>
      <c r="M57" s="321" t="str">
        <f t="shared" si="3"/>
        <v>santigs67</v>
      </c>
      <c r="N57" s="176">
        <f>IFERROR(__xludf.DUMMYFUNCTION("""COMPUTED_VALUE"""),6.0)</f>
        <v>6</v>
      </c>
      <c r="O57" s="176"/>
      <c r="P57" s="176"/>
      <c r="Q57" s="176"/>
      <c r="R57" s="176"/>
      <c r="S57" s="176"/>
      <c r="T57" s="176"/>
      <c r="U57" s="176"/>
      <c r="V57" s="176"/>
      <c r="W57" s="176"/>
      <c r="X57" s="176"/>
      <c r="Y57" s="176"/>
      <c r="Z57" s="176"/>
    </row>
    <row r="58">
      <c r="A58" s="226" t="s">
        <v>4</v>
      </c>
      <c r="B58" s="226" t="s">
        <v>519</v>
      </c>
      <c r="C58" s="250" t="s">
        <v>3711</v>
      </c>
      <c r="D58" s="268" t="s">
        <v>495</v>
      </c>
      <c r="E58" s="251">
        <v>44134.0</v>
      </c>
      <c r="F58" s="250" t="s">
        <v>496</v>
      </c>
      <c r="G58" s="171">
        <v>1.0</v>
      </c>
      <c r="H58" s="171">
        <v>30.0</v>
      </c>
      <c r="I58" s="171">
        <v>40.0</v>
      </c>
      <c r="J58" s="391">
        <f t="shared" si="4"/>
        <v>0.002215816702</v>
      </c>
      <c r="K58" s="392">
        <f t="shared" si="5"/>
        <v>0.8586289719</v>
      </c>
      <c r="L58" s="327">
        <f t="shared" si="2"/>
        <v>34.65846609</v>
      </c>
      <c r="M58" s="321" t="str">
        <f t="shared" si="3"/>
        <v>santigs67</v>
      </c>
      <c r="N58" s="176">
        <f>IFERROR(__xludf.DUMMYFUNCTION("""COMPUTED_VALUE"""),7.0)</f>
        <v>7</v>
      </c>
      <c r="O58" s="176"/>
      <c r="P58" s="176"/>
      <c r="Q58" s="176"/>
      <c r="R58" s="176"/>
      <c r="S58" s="176"/>
      <c r="T58" s="176"/>
      <c r="U58" s="176"/>
      <c r="V58" s="176"/>
      <c r="W58" s="176"/>
      <c r="X58" s="176"/>
      <c r="Y58" s="176"/>
      <c r="Z58" s="176"/>
    </row>
    <row r="59">
      <c r="A59" s="226" t="s">
        <v>4</v>
      </c>
      <c r="B59" s="226" t="s">
        <v>18</v>
      </c>
      <c r="C59" s="250" t="s">
        <v>3737</v>
      </c>
      <c r="D59" s="268" t="s">
        <v>495</v>
      </c>
      <c r="E59" s="251">
        <v>44134.0</v>
      </c>
      <c r="F59" s="250" t="s">
        <v>496</v>
      </c>
      <c r="G59" s="171">
        <v>1.0</v>
      </c>
      <c r="H59" s="171">
        <v>400.0</v>
      </c>
      <c r="I59" s="171">
        <v>300.0</v>
      </c>
      <c r="J59" s="391">
        <f t="shared" si="4"/>
        <v>0.02221361215</v>
      </c>
      <c r="K59" s="392">
        <f t="shared" si="5"/>
        <v>8.60777471</v>
      </c>
      <c r="L59" s="327">
        <f t="shared" si="2"/>
        <v>34.65846609</v>
      </c>
      <c r="M59" s="321" t="str">
        <f t="shared" si="3"/>
        <v>santigs67</v>
      </c>
      <c r="N59" s="176">
        <f>IFERROR(__xludf.DUMMYFUNCTION("""COMPUTED_VALUE"""),8.0)</f>
        <v>8</v>
      </c>
      <c r="O59" s="176"/>
      <c r="P59" s="176"/>
      <c r="Q59" s="176"/>
      <c r="R59" s="176"/>
      <c r="S59" s="176"/>
      <c r="T59" s="176"/>
      <c r="U59" s="176"/>
      <c r="V59" s="176"/>
      <c r="W59" s="176"/>
      <c r="X59" s="176"/>
      <c r="Y59" s="176"/>
      <c r="Z59" s="176"/>
    </row>
    <row r="60">
      <c r="A60" s="226" t="s">
        <v>4</v>
      </c>
      <c r="B60" s="226" t="s">
        <v>590</v>
      </c>
      <c r="C60" s="250" t="s">
        <v>3738</v>
      </c>
      <c r="D60" s="268" t="s">
        <v>495</v>
      </c>
      <c r="E60" s="251">
        <v>44134.0</v>
      </c>
      <c r="F60" s="250" t="s">
        <v>496</v>
      </c>
      <c r="G60" s="171" t="s">
        <v>3725</v>
      </c>
      <c r="H60" s="171">
        <v>0.0</v>
      </c>
      <c r="I60" s="171">
        <v>0.0</v>
      </c>
      <c r="J60" s="391">
        <f t="shared" si="4"/>
        <v>0</v>
      </c>
      <c r="K60" s="392">
        <f t="shared" si="5"/>
        <v>0</v>
      </c>
      <c r="L60" s="327">
        <f t="shared" si="2"/>
        <v>34.65846609</v>
      </c>
      <c r="M60" s="321" t="str">
        <f t="shared" si="3"/>
        <v>santigs67</v>
      </c>
      <c r="N60" s="176">
        <f>IFERROR(__xludf.DUMMYFUNCTION("""COMPUTED_VALUE"""),9.0)</f>
        <v>9</v>
      </c>
      <c r="O60" s="176"/>
      <c r="P60" s="176"/>
      <c r="Q60" s="176"/>
      <c r="R60" s="176"/>
      <c r="S60" s="176"/>
      <c r="T60" s="176"/>
      <c r="U60" s="176"/>
      <c r="V60" s="176"/>
      <c r="W60" s="176"/>
      <c r="X60" s="176"/>
      <c r="Y60" s="176"/>
      <c r="Z60" s="176"/>
    </row>
    <row r="61">
      <c r="A61" s="226" t="s">
        <v>4</v>
      </c>
      <c r="B61" s="226" t="s">
        <v>18</v>
      </c>
      <c r="C61" s="250" t="s">
        <v>3739</v>
      </c>
      <c r="D61" s="268" t="s">
        <v>495</v>
      </c>
      <c r="E61" s="251">
        <v>44134.0</v>
      </c>
      <c r="F61" s="250" t="s">
        <v>496</v>
      </c>
      <c r="G61" s="171">
        <v>1.0</v>
      </c>
      <c r="H61" s="171">
        <v>300.0</v>
      </c>
      <c r="I61" s="171">
        <v>100.0</v>
      </c>
      <c r="J61" s="391">
        <f t="shared" si="4"/>
        <v>0.01273309633</v>
      </c>
      <c r="K61" s="392">
        <f t="shared" si="5"/>
        <v>4.934074828</v>
      </c>
      <c r="L61" s="327">
        <f t="shared" si="2"/>
        <v>34.65846609</v>
      </c>
      <c r="M61" s="321" t="str">
        <f t="shared" si="3"/>
        <v>santigs67</v>
      </c>
      <c r="N61" s="176">
        <f>IFERROR(__xludf.DUMMYFUNCTION("""COMPUTED_VALUE"""),10.0)</f>
        <v>10</v>
      </c>
      <c r="O61" s="176"/>
      <c r="P61" s="176"/>
      <c r="Q61" s="176"/>
      <c r="R61" s="176"/>
      <c r="S61" s="176"/>
      <c r="T61" s="176"/>
      <c r="U61" s="176"/>
      <c r="V61" s="176"/>
      <c r="W61" s="176"/>
      <c r="X61" s="176"/>
      <c r="Y61" s="176"/>
      <c r="Z61" s="176"/>
    </row>
    <row r="62">
      <c r="A62" s="226" t="s">
        <v>4</v>
      </c>
      <c r="B62" s="226" t="s">
        <v>519</v>
      </c>
      <c r="C62" s="250" t="s">
        <v>3740</v>
      </c>
      <c r="D62" s="268" t="s">
        <v>495</v>
      </c>
      <c r="E62" s="251">
        <v>44135.0</v>
      </c>
      <c r="F62" s="250" t="s">
        <v>496</v>
      </c>
      <c r="G62" s="171">
        <v>1.0</v>
      </c>
      <c r="H62" s="171">
        <v>120.0</v>
      </c>
      <c r="I62" s="171">
        <v>150.0</v>
      </c>
      <c r="J62" s="391">
        <f t="shared" si="4"/>
        <v>0.008549097784</v>
      </c>
      <c r="K62" s="392">
        <f t="shared" si="5"/>
        <v>3.312775391</v>
      </c>
      <c r="L62" s="327">
        <f t="shared" si="2"/>
        <v>34.65846609</v>
      </c>
      <c r="M62" s="321" t="str">
        <f t="shared" si="3"/>
        <v>santigs67</v>
      </c>
      <c r="N62" s="176">
        <f>IFERROR(__xludf.DUMMYFUNCTION("""COMPUTED_VALUE"""),11.0)</f>
        <v>11</v>
      </c>
      <c r="O62" s="176"/>
      <c r="P62" s="176"/>
      <c r="Q62" s="176"/>
      <c r="R62" s="176"/>
      <c r="S62" s="176"/>
      <c r="T62" s="176"/>
      <c r="U62" s="176"/>
      <c r="V62" s="176"/>
      <c r="W62" s="176"/>
      <c r="X62" s="176"/>
      <c r="Y62" s="176"/>
      <c r="Z62" s="176"/>
    </row>
    <row r="63">
      <c r="A63" s="226" t="s">
        <v>4</v>
      </c>
      <c r="B63" s="226" t="s">
        <v>5</v>
      </c>
      <c r="C63" s="250" t="s">
        <v>3729</v>
      </c>
      <c r="D63" s="268" t="s">
        <v>495</v>
      </c>
      <c r="E63" s="361">
        <v>44138.0</v>
      </c>
      <c r="F63" s="250" t="s">
        <v>496</v>
      </c>
      <c r="G63" s="171">
        <v>1.0</v>
      </c>
      <c r="H63" s="171">
        <v>40.0</v>
      </c>
      <c r="I63" s="171">
        <v>40.0</v>
      </c>
      <c r="J63" s="391">
        <f t="shared" si="4"/>
        <v>0.002535530238</v>
      </c>
      <c r="K63" s="392">
        <f t="shared" si="5"/>
        <v>0.9825179674</v>
      </c>
      <c r="L63" s="327">
        <f t="shared" si="2"/>
        <v>34.65846609</v>
      </c>
      <c r="M63" s="321" t="str">
        <f t="shared" si="3"/>
        <v>santigs67</v>
      </c>
      <c r="N63" s="176">
        <f>IFERROR(__xludf.DUMMYFUNCTION("""COMPUTED_VALUE"""),12.0)</f>
        <v>12</v>
      </c>
      <c r="O63" s="176"/>
      <c r="P63" s="176"/>
      <c r="Q63" s="176"/>
      <c r="R63" s="176"/>
      <c r="S63" s="176"/>
      <c r="T63" s="176"/>
      <c r="U63" s="176"/>
      <c r="V63" s="176"/>
      <c r="W63" s="176"/>
      <c r="X63" s="176"/>
      <c r="Y63" s="176"/>
      <c r="Z63" s="176"/>
    </row>
    <row r="64">
      <c r="A64" s="226" t="s">
        <v>4</v>
      </c>
      <c r="B64" s="226" t="s">
        <v>5</v>
      </c>
      <c r="C64" s="250" t="s">
        <v>3730</v>
      </c>
      <c r="D64" s="268" t="s">
        <v>495</v>
      </c>
      <c r="E64" s="361">
        <v>44138.0</v>
      </c>
      <c r="F64" s="250" t="s">
        <v>496</v>
      </c>
      <c r="G64" s="171">
        <v>1.0</v>
      </c>
      <c r="H64" s="171">
        <v>30.0</v>
      </c>
      <c r="I64" s="171">
        <v>40.0</v>
      </c>
      <c r="J64" s="391">
        <f t="shared" si="4"/>
        <v>0.002215816702</v>
      </c>
      <c r="K64" s="392">
        <f t="shared" si="5"/>
        <v>0.8586289719</v>
      </c>
      <c r="L64" s="327">
        <f t="shared" si="2"/>
        <v>34.65846609</v>
      </c>
      <c r="M64" s="321" t="str">
        <f t="shared" si="3"/>
        <v>santigs67</v>
      </c>
      <c r="N64" s="176">
        <f>IFERROR(__xludf.DUMMYFUNCTION("""COMPUTED_VALUE"""),13.0)</f>
        <v>13</v>
      </c>
      <c r="O64" s="176"/>
      <c r="P64" s="176"/>
      <c r="Q64" s="176"/>
      <c r="R64" s="176"/>
      <c r="S64" s="176"/>
      <c r="T64" s="176"/>
      <c r="U64" s="176"/>
      <c r="V64" s="176"/>
      <c r="W64" s="176"/>
      <c r="X64" s="176"/>
      <c r="Y64" s="176"/>
      <c r="Z64" s="176"/>
    </row>
    <row r="65">
      <c r="A65" s="226" t="s">
        <v>4</v>
      </c>
      <c r="B65" s="226" t="s">
        <v>519</v>
      </c>
      <c r="C65" s="250" t="s">
        <v>3732</v>
      </c>
      <c r="D65" s="268" t="s">
        <v>495</v>
      </c>
      <c r="E65" s="361">
        <v>44138.0</v>
      </c>
      <c r="F65" s="250" t="s">
        <v>496</v>
      </c>
      <c r="G65" s="171">
        <v>1.0</v>
      </c>
      <c r="H65" s="171">
        <v>100.0</v>
      </c>
      <c r="I65" s="171">
        <v>40.0</v>
      </c>
      <c r="J65" s="391">
        <f t="shared" si="4"/>
        <v>0.004453811458</v>
      </c>
      <c r="K65" s="392">
        <f t="shared" si="5"/>
        <v>1.72585194</v>
      </c>
      <c r="L65" s="327">
        <f t="shared" si="2"/>
        <v>34.65846609</v>
      </c>
      <c r="M65" s="321" t="str">
        <f t="shared" si="3"/>
        <v>santigs67</v>
      </c>
      <c r="N65" s="176">
        <f>IFERROR(__xludf.DUMMYFUNCTION("""COMPUTED_VALUE"""),14.0)</f>
        <v>14</v>
      </c>
      <c r="O65" s="176"/>
      <c r="P65" s="176"/>
      <c r="Q65" s="176"/>
      <c r="R65" s="176"/>
      <c r="S65" s="176"/>
      <c r="T65" s="176"/>
      <c r="U65" s="176"/>
      <c r="V65" s="176"/>
      <c r="W65" s="176"/>
      <c r="X65" s="176"/>
      <c r="Y65" s="176"/>
      <c r="Z65" s="176"/>
    </row>
    <row r="66">
      <c r="A66" s="226" t="s">
        <v>4</v>
      </c>
      <c r="B66" s="226" t="s">
        <v>519</v>
      </c>
      <c r="C66" s="250" t="s">
        <v>3734</v>
      </c>
      <c r="D66" s="268" t="s">
        <v>495</v>
      </c>
      <c r="E66" s="361">
        <v>44140.0</v>
      </c>
      <c r="F66" s="250" t="s">
        <v>499</v>
      </c>
      <c r="G66" s="171">
        <v>3.0</v>
      </c>
      <c r="H66" s="171">
        <v>5.0</v>
      </c>
      <c r="I66" s="171">
        <v>5.0</v>
      </c>
      <c r="J66" s="391">
        <f t="shared" si="4"/>
        <v>0.0003169412798</v>
      </c>
      <c r="K66" s="392">
        <f t="shared" si="5"/>
        <v>0.1228147459</v>
      </c>
      <c r="L66" s="327">
        <f t="shared" si="2"/>
        <v>34.65846609</v>
      </c>
      <c r="M66" s="321" t="str">
        <f t="shared" si="3"/>
        <v>santigs67</v>
      </c>
      <c r="N66" s="176">
        <f>IFERROR(__xludf.DUMMYFUNCTION("""COMPUTED_VALUE"""),15.0)</f>
        <v>15</v>
      </c>
      <c r="O66" s="176"/>
      <c r="P66" s="176"/>
      <c r="Q66" s="176"/>
      <c r="R66" s="176"/>
      <c r="S66" s="176"/>
      <c r="T66" s="176"/>
      <c r="U66" s="176"/>
      <c r="V66" s="176"/>
      <c r="W66" s="176"/>
      <c r="X66" s="176"/>
      <c r="Y66" s="176"/>
      <c r="Z66" s="176"/>
    </row>
    <row r="67">
      <c r="A67" s="226" t="s">
        <v>4</v>
      </c>
      <c r="B67" s="226" t="s">
        <v>5</v>
      </c>
      <c r="C67" s="250" t="s">
        <v>3715</v>
      </c>
      <c r="D67" s="268" t="s">
        <v>495</v>
      </c>
      <c r="E67" s="361">
        <v>44141.0</v>
      </c>
      <c r="F67" s="250" t="s">
        <v>496</v>
      </c>
      <c r="G67" s="171">
        <v>1.0</v>
      </c>
      <c r="H67" s="171">
        <v>50.0</v>
      </c>
      <c r="I67" s="171">
        <v>40.0</v>
      </c>
      <c r="J67" s="391">
        <f t="shared" si="4"/>
        <v>0.002855243775</v>
      </c>
      <c r="K67" s="392">
        <f t="shared" si="5"/>
        <v>1.106406963</v>
      </c>
      <c r="L67" s="327">
        <f t="shared" si="2"/>
        <v>34.65846609</v>
      </c>
      <c r="M67" s="321" t="str">
        <f t="shared" si="3"/>
        <v>santigs67</v>
      </c>
      <c r="N67" s="176">
        <f>IFERROR(__xludf.DUMMYFUNCTION("""COMPUTED_VALUE"""),16.0)</f>
        <v>16</v>
      </c>
      <c r="O67" s="176"/>
      <c r="P67" s="176"/>
      <c r="Q67" s="176"/>
      <c r="R67" s="176"/>
      <c r="S67" s="176"/>
      <c r="T67" s="176"/>
      <c r="U67" s="176"/>
      <c r="V67" s="176"/>
      <c r="W67" s="176"/>
      <c r="X67" s="176"/>
      <c r="Y67" s="176"/>
      <c r="Z67" s="176"/>
    </row>
    <row r="68">
      <c r="A68" s="226" t="s">
        <v>82</v>
      </c>
      <c r="B68" s="226" t="s">
        <v>18</v>
      </c>
      <c r="C68" s="250" t="s">
        <v>3741</v>
      </c>
      <c r="D68" s="268" t="s">
        <v>495</v>
      </c>
      <c r="E68" s="251">
        <v>44134.0</v>
      </c>
      <c r="F68" s="250" t="s">
        <v>496</v>
      </c>
      <c r="G68" s="171">
        <v>1.0</v>
      </c>
      <c r="H68" s="171">
        <v>100.0</v>
      </c>
      <c r="I68" s="171">
        <v>200.0</v>
      </c>
      <c r="J68" s="391">
        <f t="shared" si="4"/>
        <v>0.009480515825</v>
      </c>
      <c r="K68" s="392">
        <f t="shared" si="5"/>
        <v>3.673699882</v>
      </c>
      <c r="L68" s="327">
        <f t="shared" si="2"/>
        <v>12.28147459</v>
      </c>
      <c r="M68" s="321" t="str">
        <f t="shared" si="3"/>
        <v>elihanover</v>
      </c>
      <c r="N68" s="176">
        <f>IFERROR(__xludf.DUMMYFUNCTION("""COMPUTED_VALUE"""),1.0)</f>
        <v>1</v>
      </c>
      <c r="O68" s="176"/>
      <c r="P68" s="176"/>
      <c r="Q68" s="176"/>
      <c r="R68" s="176"/>
      <c r="S68" s="176"/>
      <c r="T68" s="176"/>
      <c r="U68" s="176"/>
      <c r="V68" s="176"/>
      <c r="W68" s="176"/>
      <c r="X68" s="176"/>
      <c r="Y68" s="176"/>
      <c r="Z68" s="176"/>
    </row>
    <row r="69">
      <c r="A69" s="226" t="s">
        <v>3</v>
      </c>
      <c r="B69" s="226" t="s">
        <v>590</v>
      </c>
      <c r="C69" s="250" t="s">
        <v>3742</v>
      </c>
      <c r="D69" s="268" t="s">
        <v>495</v>
      </c>
      <c r="E69" s="251">
        <v>44131.0</v>
      </c>
      <c r="F69" s="250" t="s">
        <v>496</v>
      </c>
      <c r="G69" s="171">
        <v>1.0</v>
      </c>
      <c r="H69" s="171">
        <v>60.0</v>
      </c>
      <c r="I69" s="171">
        <v>60.0</v>
      </c>
      <c r="J69" s="391">
        <f t="shared" si="4"/>
        <v>0.003803295358</v>
      </c>
      <c r="K69" s="392">
        <f t="shared" si="5"/>
        <v>1.473776951</v>
      </c>
      <c r="L69" s="327">
        <f t="shared" si="2"/>
        <v>18.0440994</v>
      </c>
      <c r="M69" s="321" t="str">
        <f t="shared" si="3"/>
        <v>zeptimusq</v>
      </c>
      <c r="N69" s="176">
        <f>IFERROR(__xludf.DUMMYFUNCTION("""COMPUTED_VALUE"""),2.0)</f>
        <v>2</v>
      </c>
      <c r="O69" s="176"/>
      <c r="P69" s="176"/>
      <c r="Q69" s="176"/>
      <c r="R69" s="176"/>
      <c r="S69" s="176"/>
      <c r="T69" s="176"/>
      <c r="U69" s="176"/>
      <c r="V69" s="176"/>
      <c r="W69" s="176"/>
      <c r="X69" s="176"/>
      <c r="Y69" s="176"/>
      <c r="Z69" s="176"/>
    </row>
    <row r="70">
      <c r="A70" s="226" t="s">
        <v>3</v>
      </c>
      <c r="B70" s="226" t="s">
        <v>590</v>
      </c>
      <c r="C70" s="250" t="s">
        <v>3705</v>
      </c>
      <c r="D70" s="268" t="s">
        <v>495</v>
      </c>
      <c r="E70" s="251">
        <v>44131.0</v>
      </c>
      <c r="F70" s="250" t="s">
        <v>496</v>
      </c>
      <c r="G70" s="171">
        <v>1.0</v>
      </c>
      <c r="H70" s="171">
        <v>30.0</v>
      </c>
      <c r="I70" s="171">
        <v>40.0</v>
      </c>
      <c r="J70" s="391">
        <f t="shared" si="4"/>
        <v>0.002215816702</v>
      </c>
      <c r="K70" s="392">
        <f t="shared" si="5"/>
        <v>0.8586289719</v>
      </c>
      <c r="L70" s="327">
        <f t="shared" si="2"/>
        <v>18.0440994</v>
      </c>
      <c r="M70" s="321" t="str">
        <f t="shared" si="3"/>
        <v>zeptimusq</v>
      </c>
      <c r="N70" s="176">
        <f>IFERROR(__xludf.DUMMYFUNCTION("""COMPUTED_VALUE"""),3.0)</f>
        <v>3</v>
      </c>
      <c r="O70" s="176"/>
      <c r="P70" s="176"/>
      <c r="Q70" s="176"/>
      <c r="R70" s="176"/>
      <c r="S70" s="176"/>
      <c r="T70" s="176"/>
      <c r="U70" s="176"/>
      <c r="V70" s="176"/>
      <c r="W70" s="176"/>
      <c r="X70" s="176"/>
      <c r="Y70" s="176"/>
      <c r="Z70" s="176"/>
    </row>
    <row r="71">
      <c r="A71" s="226" t="s">
        <v>3</v>
      </c>
      <c r="B71" s="226" t="s">
        <v>18</v>
      </c>
      <c r="C71" s="250" t="s">
        <v>3718</v>
      </c>
      <c r="D71" s="268" t="s">
        <v>495</v>
      </c>
      <c r="E71" s="251">
        <v>44131.0</v>
      </c>
      <c r="F71" s="250" t="s">
        <v>496</v>
      </c>
      <c r="G71" s="171">
        <v>1.0</v>
      </c>
      <c r="H71" s="171">
        <v>20.0</v>
      </c>
      <c r="I71" s="171">
        <v>40.0</v>
      </c>
      <c r="J71" s="391">
        <f t="shared" si="4"/>
        <v>0.001896103165</v>
      </c>
      <c r="K71" s="392">
        <f t="shared" si="5"/>
        <v>0.7347399765</v>
      </c>
      <c r="L71" s="327">
        <f t="shared" si="2"/>
        <v>18.0440994</v>
      </c>
      <c r="M71" s="321" t="str">
        <f t="shared" si="3"/>
        <v>zeptimusq</v>
      </c>
      <c r="N71" s="176">
        <f>IFERROR(__xludf.DUMMYFUNCTION("""COMPUTED_VALUE"""),4.0)</f>
        <v>4</v>
      </c>
      <c r="O71" s="176"/>
      <c r="P71" s="176"/>
      <c r="Q71" s="176"/>
      <c r="R71" s="176"/>
      <c r="S71" s="176"/>
      <c r="T71" s="176"/>
      <c r="U71" s="176"/>
      <c r="V71" s="176"/>
      <c r="W71" s="176"/>
      <c r="X71" s="176"/>
      <c r="Y71" s="176"/>
      <c r="Z71" s="176"/>
    </row>
    <row r="72">
      <c r="A72" s="226" t="s">
        <v>3</v>
      </c>
      <c r="B72" s="226" t="s">
        <v>10</v>
      </c>
      <c r="C72" s="250" t="s">
        <v>3743</v>
      </c>
      <c r="D72" s="268" t="s">
        <v>495</v>
      </c>
      <c r="E72" s="251">
        <v>44133.0</v>
      </c>
      <c r="F72" s="250" t="s">
        <v>496</v>
      </c>
      <c r="G72" s="171">
        <v>1.0</v>
      </c>
      <c r="H72" s="171">
        <v>60.0</v>
      </c>
      <c r="I72" s="171">
        <v>100.0</v>
      </c>
      <c r="J72" s="391">
        <f t="shared" si="4"/>
        <v>0.005059971449</v>
      </c>
      <c r="K72" s="392">
        <f t="shared" si="5"/>
        <v>1.960738937</v>
      </c>
      <c r="L72" s="327">
        <f t="shared" si="2"/>
        <v>18.0440994</v>
      </c>
      <c r="M72" s="321" t="str">
        <f t="shared" si="3"/>
        <v>zeptimusq</v>
      </c>
      <c r="N72" s="176">
        <f>IFERROR(__xludf.DUMMYFUNCTION("""COMPUTED_VALUE"""),5.0)</f>
        <v>5</v>
      </c>
      <c r="O72" s="176"/>
      <c r="P72" s="176"/>
      <c r="Q72" s="176"/>
      <c r="R72" s="176"/>
      <c r="S72" s="176"/>
      <c r="T72" s="176"/>
      <c r="U72" s="176"/>
      <c r="V72" s="176"/>
      <c r="W72" s="176"/>
      <c r="X72" s="176"/>
      <c r="Y72" s="176"/>
      <c r="Z72" s="176"/>
    </row>
    <row r="73">
      <c r="A73" s="226" t="s">
        <v>3</v>
      </c>
      <c r="B73" s="226" t="s">
        <v>5</v>
      </c>
      <c r="C73" s="250" t="s">
        <v>3709</v>
      </c>
      <c r="D73" s="268" t="s">
        <v>495</v>
      </c>
      <c r="E73" s="251">
        <v>44133.0</v>
      </c>
      <c r="F73" s="250" t="s">
        <v>496</v>
      </c>
      <c r="G73" s="171">
        <v>1.0</v>
      </c>
      <c r="H73" s="171">
        <v>20.0</v>
      </c>
      <c r="I73" s="171">
        <v>30.0</v>
      </c>
      <c r="J73" s="391">
        <f t="shared" si="4"/>
        <v>0.001581934142</v>
      </c>
      <c r="K73" s="392">
        <f t="shared" si="5"/>
        <v>0.6129994801</v>
      </c>
      <c r="L73" s="327">
        <f t="shared" si="2"/>
        <v>18.0440994</v>
      </c>
      <c r="M73" s="321" t="str">
        <f t="shared" si="3"/>
        <v>zeptimusq</v>
      </c>
      <c r="N73" s="176">
        <f>IFERROR(__xludf.DUMMYFUNCTION("""COMPUTED_VALUE"""),6.0)</f>
        <v>6</v>
      </c>
      <c r="O73" s="176"/>
      <c r="P73" s="176"/>
      <c r="Q73" s="176"/>
      <c r="R73" s="176"/>
      <c r="S73" s="176"/>
      <c r="T73" s="176"/>
      <c r="U73" s="176"/>
      <c r="V73" s="176"/>
      <c r="W73" s="176"/>
      <c r="X73" s="176"/>
      <c r="Y73" s="176"/>
      <c r="Z73" s="176"/>
    </row>
    <row r="74">
      <c r="A74" s="226" t="s">
        <v>3</v>
      </c>
      <c r="B74" s="226" t="s">
        <v>519</v>
      </c>
      <c r="C74" s="250" t="s">
        <v>3711</v>
      </c>
      <c r="D74" s="268" t="s">
        <v>495</v>
      </c>
      <c r="E74" s="251">
        <v>44134.0</v>
      </c>
      <c r="F74" s="250" t="s">
        <v>496</v>
      </c>
      <c r="G74" s="171">
        <v>1.0</v>
      </c>
      <c r="H74" s="171">
        <v>30.0</v>
      </c>
      <c r="I74" s="171">
        <v>40.0</v>
      </c>
      <c r="J74" s="391">
        <f t="shared" si="4"/>
        <v>0.002215816702</v>
      </c>
      <c r="K74" s="392">
        <f t="shared" si="5"/>
        <v>0.8586289719</v>
      </c>
      <c r="L74" s="327">
        <f t="shared" si="2"/>
        <v>18.0440994</v>
      </c>
      <c r="M74" s="321" t="str">
        <f t="shared" si="3"/>
        <v>zeptimusq</v>
      </c>
      <c r="N74" s="176">
        <f>IFERROR(__xludf.DUMMYFUNCTION("""COMPUTED_VALUE"""),7.0)</f>
        <v>7</v>
      </c>
      <c r="O74" s="176"/>
      <c r="P74" s="176"/>
      <c r="Q74" s="176"/>
      <c r="R74" s="176"/>
      <c r="S74" s="176"/>
      <c r="T74" s="176"/>
      <c r="U74" s="176"/>
      <c r="V74" s="176"/>
      <c r="W74" s="176"/>
      <c r="X74" s="176"/>
      <c r="Y74" s="176"/>
      <c r="Z74" s="176"/>
    </row>
    <row r="75">
      <c r="A75" s="226" t="s">
        <v>3</v>
      </c>
      <c r="B75" s="226" t="s">
        <v>18</v>
      </c>
      <c r="C75" s="250" t="s">
        <v>3744</v>
      </c>
      <c r="D75" s="268" t="s">
        <v>495</v>
      </c>
      <c r="E75" s="251">
        <v>44134.0</v>
      </c>
      <c r="F75" s="250" t="s">
        <v>496</v>
      </c>
      <c r="G75" s="171">
        <v>1.0</v>
      </c>
      <c r="H75" s="171">
        <v>80.0</v>
      </c>
      <c r="I75" s="171">
        <v>60.0</v>
      </c>
      <c r="J75" s="391">
        <f t="shared" si="4"/>
        <v>0.004442722431</v>
      </c>
      <c r="K75" s="392">
        <f t="shared" si="5"/>
        <v>1.721554942</v>
      </c>
      <c r="L75" s="327">
        <f t="shared" si="2"/>
        <v>18.0440994</v>
      </c>
      <c r="M75" s="321" t="str">
        <f t="shared" si="3"/>
        <v>zeptimusq</v>
      </c>
      <c r="N75" s="176">
        <f>IFERROR(__xludf.DUMMYFUNCTION("""COMPUTED_VALUE"""),8.0)</f>
        <v>8</v>
      </c>
      <c r="O75" s="176"/>
      <c r="P75" s="176"/>
      <c r="Q75" s="176"/>
      <c r="R75" s="176"/>
      <c r="S75" s="176"/>
      <c r="T75" s="176"/>
      <c r="U75" s="176"/>
      <c r="V75" s="176"/>
      <c r="W75" s="176"/>
      <c r="X75" s="176"/>
      <c r="Y75" s="176"/>
      <c r="Z75" s="176"/>
    </row>
    <row r="76">
      <c r="A76" s="226" t="s">
        <v>3</v>
      </c>
      <c r="B76" s="226" t="s">
        <v>10</v>
      </c>
      <c r="C76" s="250" t="s">
        <v>3745</v>
      </c>
      <c r="D76" s="268" t="s">
        <v>495</v>
      </c>
      <c r="E76" s="361">
        <v>44136.0</v>
      </c>
      <c r="F76" s="250" t="s">
        <v>496</v>
      </c>
      <c r="G76" s="171">
        <v>1.0</v>
      </c>
      <c r="H76" s="171">
        <v>80.0</v>
      </c>
      <c r="I76" s="171">
        <v>80.0</v>
      </c>
      <c r="J76" s="391">
        <f t="shared" si="4"/>
        <v>0.005071060477</v>
      </c>
      <c r="K76" s="392">
        <f t="shared" si="5"/>
        <v>1.965035935</v>
      </c>
      <c r="L76" s="327">
        <f t="shared" si="2"/>
        <v>18.0440994</v>
      </c>
      <c r="M76" s="321" t="str">
        <f t="shared" si="3"/>
        <v>zeptimusq</v>
      </c>
      <c r="N76" s="176">
        <f>IFERROR(__xludf.DUMMYFUNCTION("""COMPUTED_VALUE"""),9.0)</f>
        <v>9</v>
      </c>
      <c r="O76" s="176"/>
      <c r="P76" s="176"/>
      <c r="Q76" s="176"/>
      <c r="R76" s="176"/>
      <c r="S76" s="176"/>
      <c r="T76" s="176"/>
      <c r="U76" s="176"/>
      <c r="V76" s="176"/>
      <c r="W76" s="176"/>
      <c r="X76" s="176"/>
      <c r="Y76" s="176"/>
      <c r="Z76" s="176"/>
    </row>
    <row r="77">
      <c r="A77" s="226" t="s">
        <v>3</v>
      </c>
      <c r="B77" s="226" t="s">
        <v>18</v>
      </c>
      <c r="C77" s="250" t="s">
        <v>3746</v>
      </c>
      <c r="D77" s="268" t="s">
        <v>495</v>
      </c>
      <c r="E77" s="361">
        <v>44137.0</v>
      </c>
      <c r="F77" s="250" t="s">
        <v>496</v>
      </c>
      <c r="G77" s="171">
        <v>1.0</v>
      </c>
      <c r="H77" s="171">
        <v>40.0</v>
      </c>
      <c r="I77" s="171">
        <v>40.0</v>
      </c>
      <c r="J77" s="391">
        <f t="shared" si="4"/>
        <v>0.002535530238</v>
      </c>
      <c r="K77" s="392">
        <f t="shared" si="5"/>
        <v>0.9825179674</v>
      </c>
      <c r="L77" s="327">
        <f t="shared" si="2"/>
        <v>18.0440994</v>
      </c>
      <c r="M77" s="321" t="str">
        <f t="shared" si="3"/>
        <v>zeptimusq</v>
      </c>
      <c r="N77" s="176">
        <f>IFERROR(__xludf.DUMMYFUNCTION("""COMPUTED_VALUE"""),10.0)</f>
        <v>10</v>
      </c>
      <c r="O77" s="176"/>
      <c r="P77" s="176"/>
      <c r="Q77" s="176"/>
      <c r="R77" s="176"/>
      <c r="S77" s="176"/>
      <c r="T77" s="176"/>
      <c r="U77" s="176"/>
      <c r="V77" s="176"/>
      <c r="W77" s="176"/>
      <c r="X77" s="176"/>
      <c r="Y77" s="176"/>
      <c r="Z77" s="176"/>
    </row>
    <row r="78">
      <c r="A78" s="226" t="s">
        <v>3</v>
      </c>
      <c r="B78" s="226" t="s">
        <v>519</v>
      </c>
      <c r="C78" s="250" t="s">
        <v>3747</v>
      </c>
      <c r="D78" s="268" t="s">
        <v>495</v>
      </c>
      <c r="E78" s="361">
        <v>44138.0</v>
      </c>
      <c r="F78" s="250" t="s">
        <v>499</v>
      </c>
      <c r="G78" s="171">
        <v>1.0</v>
      </c>
      <c r="H78" s="171">
        <v>70.0</v>
      </c>
      <c r="I78" s="171">
        <v>70.0</v>
      </c>
      <c r="J78" s="391">
        <f t="shared" si="4"/>
        <v>0.004437177917</v>
      </c>
      <c r="K78" s="392">
        <f t="shared" si="5"/>
        <v>1.719406443</v>
      </c>
      <c r="L78" s="327">
        <f t="shared" si="2"/>
        <v>18.0440994</v>
      </c>
      <c r="M78" s="321" t="str">
        <f t="shared" si="3"/>
        <v>zeptimusq</v>
      </c>
      <c r="N78" s="176">
        <f>IFERROR(__xludf.DUMMYFUNCTION("""COMPUTED_VALUE"""),11.0)</f>
        <v>11</v>
      </c>
      <c r="O78" s="176"/>
      <c r="P78" s="176"/>
      <c r="Q78" s="176"/>
      <c r="R78" s="176"/>
      <c r="S78" s="176"/>
      <c r="T78" s="176"/>
      <c r="U78" s="176"/>
      <c r="V78" s="176"/>
      <c r="W78" s="176"/>
      <c r="X78" s="176"/>
      <c r="Y78" s="176"/>
      <c r="Z78" s="176"/>
    </row>
    <row r="79">
      <c r="A79" s="226" t="s">
        <v>3</v>
      </c>
      <c r="B79" s="226" t="s">
        <v>5</v>
      </c>
      <c r="C79" s="250" t="s">
        <v>3729</v>
      </c>
      <c r="D79" s="268" t="s">
        <v>495</v>
      </c>
      <c r="E79" s="361">
        <v>44138.0</v>
      </c>
      <c r="F79" s="250" t="s">
        <v>496</v>
      </c>
      <c r="G79" s="171">
        <v>1.0</v>
      </c>
      <c r="H79" s="171">
        <v>40.0</v>
      </c>
      <c r="I79" s="171">
        <v>40.0</v>
      </c>
      <c r="J79" s="391">
        <f t="shared" si="4"/>
        <v>0.002535530238</v>
      </c>
      <c r="K79" s="392">
        <f t="shared" si="5"/>
        <v>0.9825179674</v>
      </c>
      <c r="L79" s="327">
        <f t="shared" si="2"/>
        <v>18.0440994</v>
      </c>
      <c r="M79" s="321" t="str">
        <f t="shared" si="3"/>
        <v>zeptimusq</v>
      </c>
      <c r="N79" s="176">
        <f>IFERROR(__xludf.DUMMYFUNCTION("""COMPUTED_VALUE"""),12.0)</f>
        <v>12</v>
      </c>
      <c r="O79" s="176"/>
      <c r="P79" s="176"/>
      <c r="Q79" s="176"/>
      <c r="R79" s="176"/>
      <c r="S79" s="176"/>
      <c r="T79" s="176"/>
      <c r="U79" s="176"/>
      <c r="V79" s="176"/>
      <c r="W79" s="176"/>
      <c r="X79" s="176"/>
      <c r="Y79" s="176"/>
      <c r="Z79" s="176"/>
    </row>
    <row r="80">
      <c r="A80" s="226" t="s">
        <v>3</v>
      </c>
      <c r="B80" s="226" t="s">
        <v>5</v>
      </c>
      <c r="C80" s="250" t="s">
        <v>3730</v>
      </c>
      <c r="D80" s="268" t="s">
        <v>495</v>
      </c>
      <c r="E80" s="361">
        <v>44138.0</v>
      </c>
      <c r="F80" s="250" t="s">
        <v>496</v>
      </c>
      <c r="G80" s="171">
        <v>1.0</v>
      </c>
      <c r="H80" s="171">
        <v>30.0</v>
      </c>
      <c r="I80" s="171">
        <v>40.0</v>
      </c>
      <c r="J80" s="391">
        <f t="shared" si="4"/>
        <v>0.002215816702</v>
      </c>
      <c r="K80" s="392">
        <f t="shared" si="5"/>
        <v>0.8586289719</v>
      </c>
      <c r="L80" s="327">
        <f t="shared" si="2"/>
        <v>18.0440994</v>
      </c>
      <c r="M80" s="321" t="str">
        <f t="shared" si="3"/>
        <v>zeptimusq</v>
      </c>
      <c r="N80" s="176">
        <f>IFERROR(__xludf.DUMMYFUNCTION("""COMPUTED_VALUE"""),13.0)</f>
        <v>13</v>
      </c>
      <c r="O80" s="176"/>
      <c r="P80" s="176"/>
      <c r="Q80" s="176"/>
      <c r="R80" s="176"/>
      <c r="S80" s="176"/>
      <c r="T80" s="176"/>
      <c r="U80" s="176"/>
      <c r="V80" s="176"/>
      <c r="W80" s="176"/>
      <c r="X80" s="176"/>
      <c r="Y80" s="176"/>
      <c r="Z80" s="176"/>
    </row>
    <row r="81">
      <c r="A81" s="226" t="s">
        <v>3</v>
      </c>
      <c r="B81" s="226" t="s">
        <v>5</v>
      </c>
      <c r="C81" s="250" t="s">
        <v>3715</v>
      </c>
      <c r="D81" s="268" t="s">
        <v>495</v>
      </c>
      <c r="E81" s="361">
        <v>44141.0</v>
      </c>
      <c r="F81" s="250" t="s">
        <v>496</v>
      </c>
      <c r="G81" s="171">
        <v>1.0</v>
      </c>
      <c r="H81" s="171">
        <v>30.0</v>
      </c>
      <c r="I81" s="171">
        <v>40.0</v>
      </c>
      <c r="J81" s="391">
        <f t="shared" si="4"/>
        <v>0.002215816702</v>
      </c>
      <c r="K81" s="392">
        <f t="shared" si="5"/>
        <v>0.8586289719</v>
      </c>
      <c r="L81" s="327">
        <f t="shared" si="2"/>
        <v>18.0440994</v>
      </c>
      <c r="M81" s="321" t="str">
        <f t="shared" si="3"/>
        <v>zeptimusq</v>
      </c>
      <c r="N81" s="176">
        <f>IFERROR(__xludf.DUMMYFUNCTION("""COMPUTED_VALUE"""),14.0)</f>
        <v>14</v>
      </c>
      <c r="O81" s="176"/>
      <c r="P81" s="176"/>
      <c r="Q81" s="176"/>
      <c r="R81" s="176"/>
      <c r="S81" s="176"/>
      <c r="T81" s="176"/>
      <c r="U81" s="176"/>
      <c r="V81" s="176"/>
      <c r="W81" s="176"/>
      <c r="X81" s="176"/>
      <c r="Y81" s="176"/>
      <c r="Z81" s="176"/>
    </row>
    <row r="82">
      <c r="A82" s="226" t="s">
        <v>103</v>
      </c>
      <c r="B82" s="226" t="s">
        <v>590</v>
      </c>
      <c r="C82" s="250" t="s">
        <v>3748</v>
      </c>
      <c r="D82" s="268" t="s">
        <v>495</v>
      </c>
      <c r="E82" s="251">
        <v>44131.0</v>
      </c>
      <c r="F82" s="250" t="s">
        <v>496</v>
      </c>
      <c r="G82" s="171">
        <v>1.0</v>
      </c>
      <c r="H82" s="171">
        <v>30.0</v>
      </c>
      <c r="I82" s="171">
        <v>40.0</v>
      </c>
      <c r="J82" s="391">
        <f t="shared" si="4"/>
        <v>0.002215816702</v>
      </c>
      <c r="K82" s="392">
        <f t="shared" si="5"/>
        <v>0.8586289719</v>
      </c>
      <c r="L82" s="327">
        <f t="shared" si="2"/>
        <v>11.41640012</v>
      </c>
      <c r="M82" s="321" t="str">
        <f t="shared" si="3"/>
        <v>dulcedu</v>
      </c>
      <c r="N82" s="176">
        <f>IFERROR(__xludf.DUMMYFUNCTION("""COMPUTED_VALUE"""),1.0)</f>
        <v>1</v>
      </c>
      <c r="O82" s="176"/>
      <c r="P82" s="176"/>
      <c r="Q82" s="176"/>
      <c r="R82" s="176"/>
      <c r="S82" s="176"/>
      <c r="T82" s="176"/>
      <c r="U82" s="176"/>
      <c r="V82" s="176"/>
      <c r="W82" s="176"/>
      <c r="X82" s="176"/>
      <c r="Y82" s="176"/>
      <c r="Z82" s="176"/>
    </row>
    <row r="83">
      <c r="A83" s="226" t="s">
        <v>5</v>
      </c>
      <c r="B83" s="226" t="s">
        <v>590</v>
      </c>
      <c r="C83" s="250" t="s">
        <v>3705</v>
      </c>
      <c r="D83" s="268" t="s">
        <v>495</v>
      </c>
      <c r="E83" s="251">
        <v>44131.0</v>
      </c>
      <c r="F83" s="250" t="s">
        <v>496</v>
      </c>
      <c r="G83" s="171">
        <v>1.0</v>
      </c>
      <c r="H83" s="171">
        <v>20.0</v>
      </c>
      <c r="I83" s="171">
        <v>40.0</v>
      </c>
      <c r="J83" s="391">
        <f t="shared" si="4"/>
        <v>0.001896103165</v>
      </c>
      <c r="K83" s="392">
        <f t="shared" si="5"/>
        <v>0.7347399765</v>
      </c>
      <c r="L83" s="327">
        <f t="shared" si="2"/>
        <v>17.56895416</v>
      </c>
      <c r="M83" s="321" t="str">
        <f t="shared" si="3"/>
        <v>cranders71</v>
      </c>
      <c r="N83" s="176">
        <f>IFERROR(__xludf.DUMMYFUNCTION("""COMPUTED_VALUE"""),2.0)</f>
        <v>2</v>
      </c>
      <c r="O83" s="176"/>
      <c r="P83" s="176"/>
      <c r="Q83" s="176"/>
      <c r="R83" s="176"/>
      <c r="S83" s="176"/>
      <c r="T83" s="176"/>
      <c r="U83" s="176"/>
      <c r="V83" s="176"/>
      <c r="W83" s="176"/>
      <c r="X83" s="176"/>
      <c r="Y83" s="209"/>
      <c r="Z83" s="209"/>
    </row>
    <row r="84">
      <c r="A84" s="226" t="s">
        <v>5</v>
      </c>
      <c r="B84" s="226" t="s">
        <v>590</v>
      </c>
      <c r="C84" s="250" t="s">
        <v>3749</v>
      </c>
      <c r="D84" s="268" t="s">
        <v>495</v>
      </c>
      <c r="E84" s="251">
        <v>44131.0</v>
      </c>
      <c r="F84" s="250" t="s">
        <v>496</v>
      </c>
      <c r="G84" s="171">
        <v>1.0</v>
      </c>
      <c r="H84" s="171">
        <v>40.0</v>
      </c>
      <c r="I84" s="171">
        <v>40.0</v>
      </c>
      <c r="J84" s="391">
        <f t="shared" si="4"/>
        <v>0.002535530238</v>
      </c>
      <c r="K84" s="392">
        <f t="shared" si="5"/>
        <v>0.9825179674</v>
      </c>
      <c r="L84" s="327">
        <f t="shared" si="2"/>
        <v>17.56895416</v>
      </c>
      <c r="M84" s="321" t="str">
        <f t="shared" si="3"/>
        <v>cranders71</v>
      </c>
      <c r="N84" s="176">
        <f>IFERROR(__xludf.DUMMYFUNCTION("""COMPUTED_VALUE"""),3.0)</f>
        <v>3</v>
      </c>
      <c r="O84" s="176"/>
      <c r="P84" s="176"/>
      <c r="Q84" s="176"/>
      <c r="R84" s="176"/>
      <c r="S84" s="176"/>
      <c r="T84" s="176"/>
      <c r="U84" s="176"/>
      <c r="V84" s="176"/>
      <c r="W84" s="176"/>
      <c r="X84" s="176"/>
      <c r="Y84" s="176"/>
      <c r="Z84" s="176"/>
    </row>
    <row r="85">
      <c r="A85" s="226" t="s">
        <v>5</v>
      </c>
      <c r="B85" s="226" t="s">
        <v>18</v>
      </c>
      <c r="C85" s="250" t="s">
        <v>3718</v>
      </c>
      <c r="D85" s="268" t="s">
        <v>495</v>
      </c>
      <c r="E85" s="251">
        <v>44131.0</v>
      </c>
      <c r="F85" s="250" t="s">
        <v>496</v>
      </c>
      <c r="G85" s="171">
        <v>1.0</v>
      </c>
      <c r="H85" s="171">
        <v>20.0</v>
      </c>
      <c r="I85" s="171">
        <v>40.0</v>
      </c>
      <c r="J85" s="391">
        <f t="shared" si="4"/>
        <v>0.001896103165</v>
      </c>
      <c r="K85" s="392">
        <f t="shared" si="5"/>
        <v>0.7347399765</v>
      </c>
      <c r="L85" s="327">
        <f t="shared" si="2"/>
        <v>17.56895416</v>
      </c>
      <c r="M85" s="321" t="str">
        <f t="shared" si="3"/>
        <v>cranders71</v>
      </c>
      <c r="N85" s="176">
        <f>IFERROR(__xludf.DUMMYFUNCTION("""COMPUTED_VALUE"""),4.0)</f>
        <v>4</v>
      </c>
      <c r="O85" s="176"/>
      <c r="P85" s="176"/>
      <c r="Q85" s="176"/>
      <c r="R85" s="176"/>
      <c r="S85" s="176"/>
      <c r="T85" s="176"/>
      <c r="U85" s="176"/>
      <c r="V85" s="176"/>
      <c r="W85" s="176"/>
      <c r="X85" s="176"/>
      <c r="Y85" s="176"/>
      <c r="Z85" s="176"/>
    </row>
    <row r="86">
      <c r="A86" s="226" t="s">
        <v>5</v>
      </c>
      <c r="B86" s="226" t="s">
        <v>519</v>
      </c>
      <c r="C86" s="250" t="s">
        <v>3719</v>
      </c>
      <c r="D86" s="268" t="s">
        <v>495</v>
      </c>
      <c r="E86" s="251">
        <v>44132.0</v>
      </c>
      <c r="F86" s="250" t="s">
        <v>496</v>
      </c>
      <c r="G86" s="171">
        <v>1.0</v>
      </c>
      <c r="H86" s="171">
        <v>40.0</v>
      </c>
      <c r="I86" s="171">
        <v>40.0</v>
      </c>
      <c r="J86" s="391">
        <f t="shared" si="4"/>
        <v>0.002535530238</v>
      </c>
      <c r="K86" s="392">
        <f t="shared" si="5"/>
        <v>0.9825179674</v>
      </c>
      <c r="L86" s="327">
        <f t="shared" si="2"/>
        <v>17.56895416</v>
      </c>
      <c r="M86" s="321" t="str">
        <f t="shared" si="3"/>
        <v>cranders71</v>
      </c>
      <c r="N86" s="176">
        <f>IFERROR(__xludf.DUMMYFUNCTION("""COMPUTED_VALUE"""),5.0)</f>
        <v>5</v>
      </c>
      <c r="O86" s="176"/>
      <c r="P86" s="176"/>
      <c r="Q86" s="176"/>
      <c r="R86" s="176"/>
      <c r="S86" s="176"/>
      <c r="T86" s="176"/>
      <c r="U86" s="176"/>
      <c r="V86" s="176"/>
      <c r="W86" s="176"/>
      <c r="X86" s="176"/>
      <c r="Y86" s="176"/>
      <c r="Z86" s="176"/>
    </row>
    <row r="87">
      <c r="A87" s="226" t="s">
        <v>5</v>
      </c>
      <c r="B87" s="226" t="s">
        <v>18</v>
      </c>
      <c r="C87" s="250" t="s">
        <v>3708</v>
      </c>
      <c r="D87" s="268" t="s">
        <v>495</v>
      </c>
      <c r="E87" s="251">
        <v>44132.0</v>
      </c>
      <c r="F87" s="250" t="s">
        <v>496</v>
      </c>
      <c r="G87" s="171">
        <v>1.0</v>
      </c>
      <c r="H87" s="171">
        <v>30.0</v>
      </c>
      <c r="I87" s="171">
        <v>30.0</v>
      </c>
      <c r="J87" s="391">
        <f t="shared" si="4"/>
        <v>0.001901647679</v>
      </c>
      <c r="K87" s="392">
        <f t="shared" si="5"/>
        <v>0.7368884755</v>
      </c>
      <c r="L87" s="327">
        <f t="shared" si="2"/>
        <v>17.56895416</v>
      </c>
      <c r="M87" s="321" t="str">
        <f t="shared" si="3"/>
        <v>cranders71</v>
      </c>
      <c r="N87" s="176">
        <f>IFERROR(__xludf.DUMMYFUNCTION("""COMPUTED_VALUE"""),6.0)</f>
        <v>6</v>
      </c>
      <c r="O87" s="176"/>
      <c r="P87" s="176"/>
      <c r="Q87" s="176"/>
      <c r="R87" s="176"/>
      <c r="S87" s="176"/>
      <c r="T87" s="176"/>
      <c r="U87" s="176"/>
      <c r="V87" s="176"/>
      <c r="W87" s="176"/>
      <c r="X87" s="176"/>
      <c r="Y87" s="176"/>
      <c r="Z87" s="176"/>
    </row>
    <row r="88">
      <c r="A88" s="226" t="s">
        <v>5</v>
      </c>
      <c r="B88" s="226" t="s">
        <v>519</v>
      </c>
      <c r="C88" s="250" t="s">
        <v>3711</v>
      </c>
      <c r="D88" s="268" t="s">
        <v>495</v>
      </c>
      <c r="E88" s="251">
        <v>44134.0</v>
      </c>
      <c r="F88" s="250" t="s">
        <v>496</v>
      </c>
      <c r="G88" s="171">
        <v>1.0</v>
      </c>
      <c r="H88" s="171">
        <v>30.0</v>
      </c>
      <c r="I88" s="171">
        <v>40.0</v>
      </c>
      <c r="J88" s="391">
        <f t="shared" si="4"/>
        <v>0.002215816702</v>
      </c>
      <c r="K88" s="392">
        <f t="shared" si="5"/>
        <v>0.8586289719</v>
      </c>
      <c r="L88" s="327">
        <f t="shared" si="2"/>
        <v>17.56895416</v>
      </c>
      <c r="M88" s="321" t="str">
        <f t="shared" si="3"/>
        <v>cranders71</v>
      </c>
      <c r="N88" s="176">
        <f>IFERROR(__xludf.DUMMYFUNCTION("""COMPUTED_VALUE"""),7.0)</f>
        <v>7</v>
      </c>
      <c r="O88" s="176"/>
      <c r="P88" s="176"/>
      <c r="Q88" s="176"/>
      <c r="R88" s="176"/>
      <c r="S88" s="176"/>
      <c r="T88" s="176"/>
      <c r="U88" s="176"/>
      <c r="V88" s="176"/>
      <c r="W88" s="176"/>
      <c r="X88" s="176"/>
      <c r="Y88" s="176"/>
      <c r="Z88" s="176"/>
    </row>
    <row r="89">
      <c r="A89" s="226" t="s">
        <v>5</v>
      </c>
      <c r="B89" s="226" t="s">
        <v>519</v>
      </c>
      <c r="C89" s="250" t="s">
        <v>3740</v>
      </c>
      <c r="D89" s="268" t="s">
        <v>495</v>
      </c>
      <c r="E89" s="251">
        <v>44135.0</v>
      </c>
      <c r="F89" s="250" t="s">
        <v>496</v>
      </c>
      <c r="G89" s="171">
        <v>1.0</v>
      </c>
      <c r="H89" s="171">
        <v>100.0</v>
      </c>
      <c r="I89" s="171">
        <v>100.0</v>
      </c>
      <c r="J89" s="391">
        <f t="shared" si="4"/>
        <v>0.006338825596</v>
      </c>
      <c r="K89" s="392">
        <f t="shared" si="5"/>
        <v>2.456294918</v>
      </c>
      <c r="L89" s="327">
        <f t="shared" si="2"/>
        <v>17.56895416</v>
      </c>
      <c r="M89" s="321" t="str">
        <f t="shared" si="3"/>
        <v>cranders71</v>
      </c>
      <c r="N89" s="176">
        <f>IFERROR(__xludf.DUMMYFUNCTION("""COMPUTED_VALUE"""),8.0)</f>
        <v>8</v>
      </c>
      <c r="O89" s="176"/>
      <c r="P89" s="176"/>
      <c r="Q89" s="176"/>
      <c r="R89" s="176"/>
      <c r="S89" s="176"/>
      <c r="T89" s="176"/>
      <c r="U89" s="176"/>
      <c r="V89" s="176"/>
      <c r="W89" s="176"/>
      <c r="X89" s="176"/>
      <c r="Y89" s="176"/>
      <c r="Z89" s="176"/>
    </row>
    <row r="90">
      <c r="A90" s="226" t="s">
        <v>5</v>
      </c>
      <c r="B90" s="226" t="s">
        <v>590</v>
      </c>
      <c r="C90" s="250" t="s">
        <v>3750</v>
      </c>
      <c r="D90" s="268" t="s">
        <v>495</v>
      </c>
      <c r="E90" s="361">
        <v>44138.0</v>
      </c>
      <c r="F90" s="250" t="s">
        <v>496</v>
      </c>
      <c r="G90" s="171">
        <v>1.0</v>
      </c>
      <c r="H90" s="171">
        <v>100.0</v>
      </c>
      <c r="I90" s="171">
        <v>100.0</v>
      </c>
      <c r="J90" s="391">
        <f t="shared" si="4"/>
        <v>0.006338825596</v>
      </c>
      <c r="K90" s="392">
        <f t="shared" si="5"/>
        <v>2.456294918</v>
      </c>
      <c r="L90" s="327">
        <f t="shared" si="2"/>
        <v>17.56895416</v>
      </c>
      <c r="M90" s="321" t="str">
        <f t="shared" si="3"/>
        <v>cranders71</v>
      </c>
      <c r="N90" s="176">
        <f>IFERROR(__xludf.DUMMYFUNCTION("""COMPUTED_VALUE"""),9.0)</f>
        <v>9</v>
      </c>
      <c r="O90" s="176"/>
      <c r="P90" s="176"/>
      <c r="Q90" s="176"/>
      <c r="R90" s="176"/>
      <c r="S90" s="176"/>
      <c r="T90" s="176"/>
      <c r="U90" s="176"/>
      <c r="V90" s="176"/>
      <c r="W90" s="176"/>
      <c r="X90" s="176"/>
      <c r="Y90" s="176"/>
      <c r="Z90" s="176"/>
    </row>
    <row r="91">
      <c r="A91" s="226" t="s">
        <v>5</v>
      </c>
      <c r="B91" s="226" t="s">
        <v>18</v>
      </c>
      <c r="C91" s="250" t="s">
        <v>3751</v>
      </c>
      <c r="D91" s="268" t="s">
        <v>495</v>
      </c>
      <c r="E91" s="361">
        <v>44138.0</v>
      </c>
      <c r="F91" s="250" t="s">
        <v>496</v>
      </c>
      <c r="G91" s="171" t="s">
        <v>3752</v>
      </c>
      <c r="H91" s="171">
        <v>0.0</v>
      </c>
      <c r="I91" s="171">
        <v>0.0</v>
      </c>
      <c r="J91" s="391">
        <f t="shared" si="4"/>
        <v>0</v>
      </c>
      <c r="K91" s="392">
        <f t="shared" si="5"/>
        <v>0</v>
      </c>
      <c r="L91" s="327">
        <f t="shared" si="2"/>
        <v>17.56895416</v>
      </c>
      <c r="M91" s="321" t="str">
        <f t="shared" si="3"/>
        <v>cranders71</v>
      </c>
      <c r="N91" s="176">
        <f>IFERROR(__xludf.DUMMYFUNCTION("""COMPUTED_VALUE"""),10.0)</f>
        <v>10</v>
      </c>
      <c r="O91" s="176"/>
      <c r="P91" s="176"/>
      <c r="Q91" s="176"/>
      <c r="R91" s="176"/>
      <c r="S91" s="176"/>
      <c r="T91" s="176"/>
      <c r="U91" s="176"/>
      <c r="V91" s="176"/>
      <c r="W91" s="176"/>
      <c r="X91" s="176"/>
      <c r="Y91" s="176"/>
      <c r="Z91" s="176"/>
    </row>
    <row r="92">
      <c r="A92" s="226" t="s">
        <v>5</v>
      </c>
      <c r="B92" s="226" t="s">
        <v>519</v>
      </c>
      <c r="C92" s="250" t="s">
        <v>3732</v>
      </c>
      <c r="D92" s="268" t="s">
        <v>495</v>
      </c>
      <c r="E92" s="361">
        <v>44138.0</v>
      </c>
      <c r="F92" s="250" t="s">
        <v>496</v>
      </c>
      <c r="G92" s="171">
        <v>1.0</v>
      </c>
      <c r="H92" s="171">
        <v>100.0</v>
      </c>
      <c r="I92" s="171">
        <v>40.0</v>
      </c>
      <c r="J92" s="391">
        <f t="shared" si="4"/>
        <v>0.004453811458</v>
      </c>
      <c r="K92" s="392">
        <f t="shared" si="5"/>
        <v>1.72585194</v>
      </c>
      <c r="L92" s="327">
        <f t="shared" si="2"/>
        <v>17.56895416</v>
      </c>
      <c r="M92" s="321" t="str">
        <f t="shared" si="3"/>
        <v>cranders71</v>
      </c>
      <c r="N92" s="176">
        <f>IFERROR(__xludf.DUMMYFUNCTION("""COMPUTED_VALUE"""),11.0)</f>
        <v>11</v>
      </c>
      <c r="O92" s="176"/>
      <c r="P92" s="176"/>
      <c r="Q92" s="176"/>
      <c r="R92" s="176"/>
      <c r="S92" s="176"/>
      <c r="T92" s="176"/>
      <c r="U92" s="176"/>
      <c r="V92" s="176"/>
      <c r="W92" s="176"/>
      <c r="X92" s="176"/>
      <c r="Y92" s="176"/>
      <c r="Z92" s="176"/>
    </row>
    <row r="93">
      <c r="A93" s="226" t="s">
        <v>5</v>
      </c>
      <c r="B93" s="226" t="s">
        <v>519</v>
      </c>
      <c r="C93" s="250" t="s">
        <v>2329</v>
      </c>
      <c r="D93" s="268" t="s">
        <v>495</v>
      </c>
      <c r="E93" s="361">
        <v>44139.0</v>
      </c>
      <c r="F93" s="250" t="s">
        <v>521</v>
      </c>
      <c r="G93" s="171">
        <v>3.0</v>
      </c>
      <c r="H93" s="171">
        <v>20.0</v>
      </c>
      <c r="I93" s="171">
        <v>20.0</v>
      </c>
      <c r="J93" s="391">
        <f t="shared" si="4"/>
        <v>0.001267765119</v>
      </c>
      <c r="K93" s="392">
        <f t="shared" si="5"/>
        <v>0.4912589837</v>
      </c>
      <c r="L93" s="327">
        <f t="shared" si="2"/>
        <v>17.56895416</v>
      </c>
      <c r="M93" s="321" t="str">
        <f t="shared" si="3"/>
        <v>cranders71</v>
      </c>
      <c r="N93" s="176">
        <f>IFERROR(__xludf.DUMMYFUNCTION("""COMPUTED_VALUE"""),12.0)</f>
        <v>12</v>
      </c>
      <c r="O93" s="176"/>
      <c r="P93" s="176"/>
      <c r="Q93" s="176"/>
      <c r="R93" s="176"/>
      <c r="S93" s="176"/>
      <c r="T93" s="176"/>
      <c r="U93" s="176"/>
      <c r="V93" s="176"/>
      <c r="W93" s="176"/>
      <c r="X93" s="176"/>
      <c r="Y93" s="176"/>
      <c r="Z93" s="176"/>
    </row>
    <row r="94">
      <c r="A94" s="226" t="s">
        <v>5</v>
      </c>
      <c r="B94" s="226" t="s">
        <v>519</v>
      </c>
      <c r="C94" s="250" t="s">
        <v>3734</v>
      </c>
      <c r="D94" s="268" t="s">
        <v>495</v>
      </c>
      <c r="E94" s="361">
        <v>44140.0</v>
      </c>
      <c r="F94" s="250" t="s">
        <v>499</v>
      </c>
      <c r="G94" s="171">
        <v>3.0</v>
      </c>
      <c r="H94" s="171">
        <v>5.0</v>
      </c>
      <c r="I94" s="171">
        <v>5.0</v>
      </c>
      <c r="J94" s="391">
        <f t="shared" si="4"/>
        <v>0.0003169412798</v>
      </c>
      <c r="K94" s="392">
        <f t="shared" si="5"/>
        <v>0.1228147459</v>
      </c>
      <c r="L94" s="327">
        <f t="shared" si="2"/>
        <v>17.56895416</v>
      </c>
      <c r="M94" s="321" t="str">
        <f t="shared" si="3"/>
        <v>cranders71</v>
      </c>
      <c r="N94" s="176">
        <f>IFERROR(__xludf.DUMMYFUNCTION("""COMPUTED_VALUE"""),13.0)</f>
        <v>13</v>
      </c>
      <c r="O94" s="176"/>
      <c r="P94" s="176"/>
      <c r="Q94" s="176"/>
      <c r="R94" s="176"/>
      <c r="S94" s="176"/>
      <c r="T94" s="176"/>
      <c r="U94" s="176"/>
      <c r="V94" s="176"/>
      <c r="W94" s="176"/>
      <c r="X94" s="176"/>
      <c r="Y94" s="176"/>
      <c r="Z94" s="176"/>
    </row>
    <row r="95">
      <c r="A95" s="226" t="s">
        <v>5</v>
      </c>
      <c r="B95" s="226" t="s">
        <v>18</v>
      </c>
      <c r="C95" s="250" t="s">
        <v>3753</v>
      </c>
      <c r="D95" s="268" t="s">
        <v>495</v>
      </c>
      <c r="E95" s="361">
        <v>44140.0</v>
      </c>
      <c r="F95" s="250" t="s">
        <v>496</v>
      </c>
      <c r="G95" s="171">
        <v>1.0</v>
      </c>
      <c r="H95" s="171">
        <v>200.0</v>
      </c>
      <c r="I95" s="171">
        <v>150.0</v>
      </c>
      <c r="J95" s="391">
        <f t="shared" si="4"/>
        <v>0.01110680608</v>
      </c>
      <c r="K95" s="392">
        <f t="shared" si="5"/>
        <v>4.303887355</v>
      </c>
      <c r="L95" s="327">
        <f t="shared" si="2"/>
        <v>17.56895416</v>
      </c>
      <c r="M95" s="321" t="str">
        <f t="shared" si="3"/>
        <v>cranders71</v>
      </c>
      <c r="N95" s="176">
        <f>IFERROR(__xludf.DUMMYFUNCTION("""COMPUTED_VALUE"""),14.0)</f>
        <v>14</v>
      </c>
      <c r="O95" s="176"/>
      <c r="P95" s="176"/>
      <c r="Q95" s="176"/>
      <c r="R95" s="176"/>
      <c r="S95" s="176"/>
      <c r="T95" s="176"/>
      <c r="U95" s="176"/>
      <c r="V95" s="176"/>
      <c r="W95" s="176"/>
      <c r="X95" s="176"/>
      <c r="Y95" s="209"/>
      <c r="Z95" s="209"/>
    </row>
    <row r="96">
      <c r="A96" s="226" t="s">
        <v>72</v>
      </c>
      <c r="B96" s="226" t="s">
        <v>519</v>
      </c>
      <c r="C96" s="250" t="s">
        <v>3754</v>
      </c>
      <c r="D96" s="268" t="s">
        <v>495</v>
      </c>
      <c r="E96" s="251">
        <v>44131.0</v>
      </c>
      <c r="F96" s="250" t="s">
        <v>496</v>
      </c>
      <c r="G96" s="171">
        <v>1.0</v>
      </c>
      <c r="H96" s="171">
        <v>150.0</v>
      </c>
      <c r="I96" s="171">
        <v>150.0</v>
      </c>
      <c r="J96" s="391">
        <f t="shared" si="4"/>
        <v>0.009508238394</v>
      </c>
      <c r="K96" s="392">
        <f t="shared" si="5"/>
        <v>3.684442378</v>
      </c>
      <c r="L96" s="327">
        <f t="shared" si="2"/>
        <v>9.69699368</v>
      </c>
      <c r="M96" s="321" t="str">
        <f t="shared" si="3"/>
        <v>daithic</v>
      </c>
      <c r="N96" s="176">
        <f>IFERROR(__xludf.DUMMYFUNCTION("""COMPUTED_VALUE"""),1.0)</f>
        <v>1</v>
      </c>
      <c r="O96" s="176"/>
      <c r="P96" s="176"/>
      <c r="Q96" s="176"/>
      <c r="R96" s="176"/>
      <c r="S96" s="176"/>
      <c r="T96" s="176"/>
      <c r="U96" s="176"/>
      <c r="V96" s="176"/>
      <c r="W96" s="176"/>
      <c r="X96" s="176"/>
      <c r="Y96" s="176"/>
      <c r="Z96" s="176"/>
    </row>
    <row r="97">
      <c r="A97" s="226" t="s">
        <v>15</v>
      </c>
      <c r="B97" s="226" t="s">
        <v>18</v>
      </c>
      <c r="C97" s="250" t="s">
        <v>3755</v>
      </c>
      <c r="D97" s="268" t="s">
        <v>495</v>
      </c>
      <c r="E97" s="251">
        <v>44133.0</v>
      </c>
      <c r="F97" s="250" t="s">
        <v>496</v>
      </c>
      <c r="G97" s="171">
        <v>1.0</v>
      </c>
      <c r="H97" s="171">
        <v>100.0</v>
      </c>
      <c r="I97" s="171">
        <v>150.0</v>
      </c>
      <c r="J97" s="391">
        <f t="shared" si="4"/>
        <v>0.007909670711</v>
      </c>
      <c r="K97" s="392">
        <f t="shared" si="5"/>
        <v>3.0649974</v>
      </c>
      <c r="L97" s="327">
        <f t="shared" si="2"/>
        <v>8.249880955</v>
      </c>
      <c r="M97" s="321" t="str">
        <f t="shared" si="3"/>
        <v>juankbell</v>
      </c>
      <c r="N97" s="176">
        <f>IFERROR(__xludf.DUMMYFUNCTION("""COMPUTED_VALUE"""),1.0)</f>
        <v>1</v>
      </c>
      <c r="O97" s="176"/>
      <c r="P97" s="176"/>
      <c r="Q97" s="176"/>
      <c r="R97" s="176"/>
      <c r="S97" s="176"/>
      <c r="T97" s="176"/>
      <c r="U97" s="176"/>
      <c r="V97" s="176"/>
      <c r="W97" s="176"/>
      <c r="X97" s="176"/>
      <c r="Y97" s="176"/>
      <c r="Z97" s="176"/>
    </row>
    <row r="98">
      <c r="A98" s="226" t="s">
        <v>15</v>
      </c>
      <c r="B98" s="226" t="s">
        <v>5</v>
      </c>
      <c r="C98" s="250" t="s">
        <v>3709</v>
      </c>
      <c r="D98" s="268" t="s">
        <v>495</v>
      </c>
      <c r="E98" s="251">
        <v>44133.0</v>
      </c>
      <c r="F98" s="250" t="s">
        <v>496</v>
      </c>
      <c r="G98" s="171">
        <v>1.0</v>
      </c>
      <c r="H98" s="171">
        <v>50.0</v>
      </c>
      <c r="I98" s="171">
        <v>40.0</v>
      </c>
      <c r="J98" s="391">
        <f t="shared" si="4"/>
        <v>0.002855243775</v>
      </c>
      <c r="K98" s="392">
        <f t="shared" si="5"/>
        <v>1.106406963</v>
      </c>
      <c r="L98" s="327">
        <f t="shared" si="2"/>
        <v>8.249880955</v>
      </c>
      <c r="M98" s="321" t="str">
        <f t="shared" si="3"/>
        <v>juankbell</v>
      </c>
      <c r="N98" s="176">
        <f>IFERROR(__xludf.DUMMYFUNCTION("""COMPUTED_VALUE"""),2.0)</f>
        <v>2</v>
      </c>
      <c r="O98" s="176"/>
      <c r="P98" s="176"/>
      <c r="Q98" s="176"/>
      <c r="R98" s="176"/>
      <c r="S98" s="176"/>
      <c r="T98" s="176"/>
      <c r="U98" s="176"/>
      <c r="V98" s="176"/>
      <c r="W98" s="176"/>
      <c r="X98" s="176"/>
      <c r="Y98" s="176"/>
      <c r="Z98" s="176"/>
    </row>
    <row r="99">
      <c r="A99" s="226" t="s">
        <v>15</v>
      </c>
      <c r="B99" s="226" t="s">
        <v>519</v>
      </c>
      <c r="C99" s="250" t="s">
        <v>3711</v>
      </c>
      <c r="D99" s="268" t="s">
        <v>495</v>
      </c>
      <c r="E99" s="251">
        <v>44134.0</v>
      </c>
      <c r="F99" s="250" t="s">
        <v>496</v>
      </c>
      <c r="G99" s="171">
        <v>1.0</v>
      </c>
      <c r="H99" s="171">
        <v>30.0</v>
      </c>
      <c r="I99" s="171">
        <v>40.0</v>
      </c>
      <c r="J99" s="391">
        <f t="shared" si="4"/>
        <v>0.002215816702</v>
      </c>
      <c r="K99" s="392">
        <f t="shared" si="5"/>
        <v>0.8586289719</v>
      </c>
      <c r="L99" s="327">
        <f t="shared" si="2"/>
        <v>8.249880955</v>
      </c>
      <c r="M99" s="321" t="str">
        <f t="shared" si="3"/>
        <v>juankbell</v>
      </c>
      <c r="N99" s="176">
        <f>IFERROR(__xludf.DUMMYFUNCTION("""COMPUTED_VALUE"""),3.0)</f>
        <v>3</v>
      </c>
      <c r="O99" s="176"/>
      <c r="P99" s="176"/>
      <c r="Q99" s="176"/>
      <c r="R99" s="176"/>
      <c r="S99" s="176"/>
      <c r="T99" s="176"/>
      <c r="U99" s="176"/>
      <c r="V99" s="176"/>
      <c r="W99" s="176"/>
      <c r="X99" s="176"/>
      <c r="Y99" s="176"/>
      <c r="Z99" s="176"/>
    </row>
    <row r="100">
      <c r="A100" s="226" t="s">
        <v>15</v>
      </c>
      <c r="B100" s="226" t="s">
        <v>519</v>
      </c>
      <c r="C100" s="250" t="s">
        <v>3756</v>
      </c>
      <c r="D100" s="268" t="s">
        <v>495</v>
      </c>
      <c r="E100" s="251">
        <v>44135.0</v>
      </c>
      <c r="F100" s="250" t="s">
        <v>496</v>
      </c>
      <c r="G100" s="171">
        <v>1.0</v>
      </c>
      <c r="H100" s="171">
        <v>300.0</v>
      </c>
      <c r="I100" s="171">
        <v>200.0</v>
      </c>
      <c r="J100" s="391">
        <f t="shared" si="4"/>
        <v>0.01587478656</v>
      </c>
      <c r="K100" s="392">
        <f t="shared" si="5"/>
        <v>6.151479792</v>
      </c>
      <c r="L100" s="327">
        <f t="shared" si="2"/>
        <v>8.249880955</v>
      </c>
      <c r="M100" s="321" t="str">
        <f t="shared" si="3"/>
        <v>juankbell</v>
      </c>
      <c r="N100" s="176">
        <f>IFERROR(__xludf.DUMMYFUNCTION("""COMPUTED_VALUE"""),4.0)</f>
        <v>4</v>
      </c>
      <c r="O100" s="176"/>
      <c r="P100" s="176"/>
      <c r="Q100" s="176"/>
      <c r="R100" s="176"/>
      <c r="S100" s="176"/>
      <c r="T100" s="176"/>
      <c r="U100" s="176"/>
      <c r="V100" s="176"/>
      <c r="W100" s="176"/>
      <c r="X100" s="176"/>
      <c r="Y100" s="176"/>
      <c r="Z100" s="176"/>
    </row>
    <row r="101">
      <c r="A101" s="226" t="s">
        <v>15</v>
      </c>
      <c r="B101" s="226" t="s">
        <v>18</v>
      </c>
      <c r="C101" s="250" t="s">
        <v>3746</v>
      </c>
      <c r="D101" s="268" t="s">
        <v>495</v>
      </c>
      <c r="E101" s="361">
        <v>44137.0</v>
      </c>
      <c r="F101" s="250" t="s">
        <v>496</v>
      </c>
      <c r="G101" s="171">
        <v>1.0</v>
      </c>
      <c r="H101" s="171">
        <v>120.0</v>
      </c>
      <c r="I101" s="171">
        <v>80.0</v>
      </c>
      <c r="J101" s="391">
        <f t="shared" si="4"/>
        <v>0.006349914624</v>
      </c>
      <c r="K101" s="392">
        <f t="shared" si="5"/>
        <v>2.460591917</v>
      </c>
      <c r="L101" s="327">
        <f t="shared" si="2"/>
        <v>8.249880955</v>
      </c>
      <c r="M101" s="321" t="str">
        <f t="shared" si="3"/>
        <v>juankbell</v>
      </c>
      <c r="N101" s="176">
        <f>IFERROR(__xludf.DUMMYFUNCTION("""COMPUTED_VALUE"""),5.0)</f>
        <v>5</v>
      </c>
      <c r="O101" s="176"/>
      <c r="P101" s="176"/>
      <c r="Q101" s="176"/>
      <c r="R101" s="176"/>
      <c r="S101" s="176"/>
      <c r="T101" s="176"/>
      <c r="U101" s="176"/>
      <c r="V101" s="176"/>
      <c r="W101" s="176"/>
      <c r="X101" s="176"/>
      <c r="Y101" s="176"/>
      <c r="Z101" s="176"/>
    </row>
    <row r="102">
      <c r="A102" s="226" t="s">
        <v>15</v>
      </c>
      <c r="B102" s="226" t="s">
        <v>18</v>
      </c>
      <c r="C102" s="250" t="s">
        <v>3757</v>
      </c>
      <c r="D102" s="268" t="s">
        <v>495</v>
      </c>
      <c r="E102" s="361">
        <v>44137.0</v>
      </c>
      <c r="F102" s="250" t="s">
        <v>496</v>
      </c>
      <c r="G102" s="171" t="s">
        <v>3752</v>
      </c>
      <c r="H102" s="171">
        <v>0.0</v>
      </c>
      <c r="I102" s="171">
        <v>0.0</v>
      </c>
      <c r="J102" s="391">
        <f t="shared" si="4"/>
        <v>0</v>
      </c>
      <c r="K102" s="392">
        <f t="shared" si="5"/>
        <v>0</v>
      </c>
      <c r="L102" s="327">
        <f t="shared" si="2"/>
        <v>8.249880955</v>
      </c>
      <c r="M102" s="321" t="str">
        <f t="shared" si="3"/>
        <v>juankbell</v>
      </c>
      <c r="N102" s="176">
        <f>IFERROR(__xludf.DUMMYFUNCTION("""COMPUTED_VALUE"""),6.0)</f>
        <v>6</v>
      </c>
      <c r="O102" s="176"/>
      <c r="P102" s="176"/>
      <c r="Q102" s="176"/>
      <c r="R102" s="176"/>
      <c r="S102" s="176"/>
      <c r="T102" s="176"/>
      <c r="U102" s="176"/>
      <c r="V102" s="176"/>
      <c r="W102" s="176"/>
      <c r="X102" s="176"/>
      <c r="Y102" s="176"/>
      <c r="Z102" s="176"/>
    </row>
    <row r="103">
      <c r="A103" s="226" t="s">
        <v>15</v>
      </c>
      <c r="B103" s="226" t="s">
        <v>5</v>
      </c>
      <c r="C103" s="250" t="s">
        <v>3730</v>
      </c>
      <c r="D103" s="268" t="s">
        <v>495</v>
      </c>
      <c r="E103" s="361">
        <v>44138.0</v>
      </c>
      <c r="F103" s="250" t="s">
        <v>496</v>
      </c>
      <c r="G103" s="171">
        <v>1.0</v>
      </c>
      <c r="H103" s="171">
        <v>30.0</v>
      </c>
      <c r="I103" s="171">
        <v>40.0</v>
      </c>
      <c r="J103" s="391">
        <f t="shared" si="4"/>
        <v>0.002215816702</v>
      </c>
      <c r="K103" s="392">
        <f t="shared" si="5"/>
        <v>0.8586289719</v>
      </c>
      <c r="L103" s="327">
        <f t="shared" si="2"/>
        <v>8.249880955</v>
      </c>
      <c r="M103" s="321" t="str">
        <f t="shared" si="3"/>
        <v>juankbell</v>
      </c>
      <c r="N103" s="176">
        <f>IFERROR(__xludf.DUMMYFUNCTION("""COMPUTED_VALUE"""),7.0)</f>
        <v>7</v>
      </c>
      <c r="O103" s="176"/>
      <c r="P103" s="176"/>
      <c r="Q103" s="176"/>
      <c r="R103" s="176"/>
      <c r="S103" s="176"/>
      <c r="T103" s="176"/>
      <c r="U103" s="176"/>
      <c r="V103" s="176"/>
      <c r="W103" s="176"/>
      <c r="X103" s="176"/>
      <c r="Y103" s="176"/>
      <c r="Z103" s="176"/>
    </row>
    <row r="104">
      <c r="A104" s="226" t="s">
        <v>15</v>
      </c>
      <c r="B104" s="226" t="s">
        <v>5</v>
      </c>
      <c r="C104" s="250" t="s">
        <v>3715</v>
      </c>
      <c r="D104" s="268" t="s">
        <v>495</v>
      </c>
      <c r="E104" s="361">
        <v>44141.0</v>
      </c>
      <c r="F104" s="250" t="s">
        <v>496</v>
      </c>
      <c r="G104" s="171">
        <v>1.0</v>
      </c>
      <c r="H104" s="171">
        <v>50.0</v>
      </c>
      <c r="I104" s="171">
        <v>40.0</v>
      </c>
      <c r="J104" s="391">
        <f t="shared" si="4"/>
        <v>0.002855243775</v>
      </c>
      <c r="K104" s="392">
        <f t="shared" si="5"/>
        <v>1.106406963</v>
      </c>
      <c r="L104" s="327">
        <f t="shared" si="2"/>
        <v>8.249880955</v>
      </c>
      <c r="M104" s="321" t="str">
        <f t="shared" si="3"/>
        <v>juankbell</v>
      </c>
      <c r="N104" s="176">
        <f>IFERROR(__xludf.DUMMYFUNCTION("""COMPUTED_VALUE"""),8.0)</f>
        <v>8</v>
      </c>
      <c r="O104" s="176"/>
      <c r="P104" s="176"/>
      <c r="Q104" s="176"/>
      <c r="R104" s="176"/>
      <c r="S104" s="176"/>
      <c r="T104" s="176"/>
      <c r="U104" s="176"/>
      <c r="V104" s="176"/>
      <c r="W104" s="176"/>
      <c r="X104" s="176"/>
      <c r="Y104" s="176"/>
      <c r="Z104" s="176"/>
    </row>
    <row r="105">
      <c r="A105" s="226" t="s">
        <v>9</v>
      </c>
      <c r="B105" s="226" t="s">
        <v>5</v>
      </c>
      <c r="C105" s="250" t="s">
        <v>3721</v>
      </c>
      <c r="D105" s="268" t="s">
        <v>495</v>
      </c>
      <c r="E105" s="251">
        <v>44133.0</v>
      </c>
      <c r="F105" s="250" t="s">
        <v>496</v>
      </c>
      <c r="G105" s="171">
        <v>3.0</v>
      </c>
      <c r="H105" s="171">
        <v>10.0</v>
      </c>
      <c r="I105" s="171">
        <v>60.0</v>
      </c>
      <c r="J105" s="391">
        <f t="shared" si="4"/>
        <v>0.002204727674</v>
      </c>
      <c r="K105" s="392">
        <f t="shared" si="5"/>
        <v>0.8543319738</v>
      </c>
      <c r="L105" s="327">
        <f t="shared" si="2"/>
        <v>8.610997459</v>
      </c>
      <c r="M105" s="321" t="str">
        <f t="shared" si="3"/>
        <v>akrtws</v>
      </c>
      <c r="N105" s="176">
        <f>IFERROR(__xludf.DUMMYFUNCTION("""COMPUTED_VALUE"""),1.0)</f>
        <v>1</v>
      </c>
      <c r="O105" s="176"/>
      <c r="P105" s="176"/>
      <c r="Q105" s="176"/>
      <c r="R105" s="176"/>
      <c r="S105" s="176"/>
      <c r="T105" s="176"/>
      <c r="U105" s="176"/>
      <c r="V105" s="176"/>
      <c r="W105" s="176"/>
      <c r="X105" s="176"/>
      <c r="Y105" s="176"/>
      <c r="Z105" s="176"/>
    </row>
    <row r="106">
      <c r="A106" s="226" t="s">
        <v>82</v>
      </c>
      <c r="B106" s="226" t="s">
        <v>18</v>
      </c>
      <c r="C106" s="250" t="s">
        <v>3758</v>
      </c>
      <c r="D106" s="268" t="s">
        <v>495</v>
      </c>
      <c r="E106" s="251">
        <v>44134.0</v>
      </c>
      <c r="F106" s="250" t="s">
        <v>496</v>
      </c>
      <c r="G106" s="171">
        <v>1.0</v>
      </c>
      <c r="H106" s="171">
        <v>400.0</v>
      </c>
      <c r="I106" s="171">
        <v>300.0</v>
      </c>
      <c r="J106" s="391">
        <f t="shared" si="4"/>
        <v>0.02221361215</v>
      </c>
      <c r="K106" s="392">
        <f t="shared" si="5"/>
        <v>8.60777471</v>
      </c>
      <c r="L106" s="327">
        <f t="shared" si="2"/>
        <v>12.28147459</v>
      </c>
      <c r="M106" s="321" t="str">
        <f t="shared" si="3"/>
        <v>elihanover</v>
      </c>
      <c r="N106" s="176">
        <f>IFERROR(__xludf.DUMMYFUNCTION("""COMPUTED_VALUE"""),2.0)</f>
        <v>2</v>
      </c>
      <c r="O106" s="176"/>
      <c r="P106" s="176"/>
      <c r="Q106" s="176"/>
      <c r="R106" s="176"/>
      <c r="S106" s="176"/>
      <c r="T106" s="176"/>
      <c r="U106" s="176"/>
      <c r="V106" s="176"/>
      <c r="W106" s="176"/>
      <c r="X106" s="176"/>
      <c r="Y106" s="176"/>
      <c r="Z106" s="176"/>
    </row>
    <row r="107">
      <c r="A107" s="226" t="s">
        <v>15</v>
      </c>
      <c r="B107" s="226" t="s">
        <v>18</v>
      </c>
      <c r="C107" s="250" t="s">
        <v>3718</v>
      </c>
      <c r="D107" s="268" t="s">
        <v>495</v>
      </c>
      <c r="E107" s="251">
        <v>44131.0</v>
      </c>
      <c r="F107" s="250" t="s">
        <v>496</v>
      </c>
      <c r="G107" s="171">
        <v>1.0</v>
      </c>
      <c r="H107" s="171">
        <v>20.0</v>
      </c>
      <c r="I107" s="171">
        <v>40.0</v>
      </c>
      <c r="J107" s="391">
        <f t="shared" si="4"/>
        <v>0.001896103165</v>
      </c>
      <c r="K107" s="392">
        <f t="shared" si="5"/>
        <v>0.7347399765</v>
      </c>
      <c r="L107" s="327">
        <f t="shared" si="2"/>
        <v>8.249880955</v>
      </c>
      <c r="M107" s="321" t="str">
        <f t="shared" si="3"/>
        <v>juankbell</v>
      </c>
      <c r="N107" s="176">
        <f>IFERROR(__xludf.DUMMYFUNCTION("""COMPUTED_VALUE"""),9.0)</f>
        <v>9</v>
      </c>
      <c r="O107" s="176"/>
      <c r="P107" s="176"/>
      <c r="Q107" s="176"/>
      <c r="R107" s="176"/>
      <c r="S107" s="176"/>
      <c r="T107" s="176"/>
      <c r="U107" s="176"/>
      <c r="V107" s="176"/>
      <c r="W107" s="176"/>
      <c r="X107" s="176"/>
      <c r="Y107" s="176"/>
      <c r="Z107" s="176"/>
    </row>
    <row r="108">
      <c r="A108" s="226" t="s">
        <v>54</v>
      </c>
      <c r="B108" s="226" t="s">
        <v>590</v>
      </c>
      <c r="C108" s="250" t="s">
        <v>3705</v>
      </c>
      <c r="D108" s="268" t="s">
        <v>495</v>
      </c>
      <c r="E108" s="251">
        <v>44131.0</v>
      </c>
      <c r="F108" s="250" t="s">
        <v>496</v>
      </c>
      <c r="G108" s="171">
        <v>1.0</v>
      </c>
      <c r="H108" s="171">
        <v>20.0</v>
      </c>
      <c r="I108" s="171">
        <v>40.0</v>
      </c>
      <c r="J108" s="391">
        <f t="shared" si="4"/>
        <v>0.001896103165</v>
      </c>
      <c r="K108" s="392">
        <f t="shared" si="5"/>
        <v>0.7347399765</v>
      </c>
      <c r="L108" s="327">
        <f t="shared" si="2"/>
        <v>8.100401983</v>
      </c>
      <c r="M108" s="321" t="str">
        <f t="shared" si="3"/>
        <v>hbesso31</v>
      </c>
      <c r="N108" s="176">
        <f>IFERROR(__xludf.DUMMYFUNCTION("""COMPUTED_VALUE"""),1.0)</f>
        <v>1</v>
      </c>
      <c r="O108" s="176"/>
      <c r="P108" s="176"/>
      <c r="Q108" s="176"/>
      <c r="R108" s="176"/>
      <c r="S108" s="176"/>
      <c r="T108" s="176"/>
      <c r="U108" s="176"/>
      <c r="V108" s="176"/>
      <c r="W108" s="176"/>
      <c r="X108" s="176"/>
      <c r="Y108" s="176"/>
      <c r="Z108" s="176"/>
    </row>
    <row r="109">
      <c r="A109" s="226" t="s">
        <v>30</v>
      </c>
      <c r="B109" s="226" t="s">
        <v>6</v>
      </c>
      <c r="C109" s="250" t="s">
        <v>3759</v>
      </c>
      <c r="D109" s="268" t="s">
        <v>495</v>
      </c>
      <c r="E109" s="251">
        <v>44132.0</v>
      </c>
      <c r="F109" s="250" t="s">
        <v>496</v>
      </c>
      <c r="G109" s="171">
        <v>3.0</v>
      </c>
      <c r="H109" s="171">
        <v>120.0</v>
      </c>
      <c r="I109" s="171">
        <v>120.0</v>
      </c>
      <c r="J109" s="391">
        <f t="shared" si="4"/>
        <v>0.007606590715</v>
      </c>
      <c r="K109" s="392">
        <f t="shared" si="5"/>
        <v>2.947553902</v>
      </c>
      <c r="L109" s="327">
        <f t="shared" si="2"/>
        <v>2.501230976</v>
      </c>
      <c r="M109" s="321" t="str">
        <f t="shared" si="3"/>
        <v>paulo_c2d</v>
      </c>
      <c r="N109" s="176">
        <f>IFERROR(__xludf.DUMMYFUNCTION("""COMPUTED_VALUE"""),1.0)</f>
        <v>1</v>
      </c>
      <c r="O109" s="176"/>
      <c r="P109" s="176"/>
      <c r="Q109" s="176"/>
      <c r="R109" s="176"/>
      <c r="S109" s="176"/>
      <c r="T109" s="176"/>
      <c r="U109" s="176"/>
      <c r="V109" s="176"/>
      <c r="W109" s="176"/>
      <c r="X109" s="176"/>
      <c r="Y109" s="176"/>
      <c r="Z109" s="176"/>
    </row>
    <row r="110">
      <c r="A110" s="226" t="s">
        <v>30</v>
      </c>
      <c r="B110" s="226" t="s">
        <v>5</v>
      </c>
      <c r="C110" s="250" t="s">
        <v>3709</v>
      </c>
      <c r="D110" s="268" t="s">
        <v>495</v>
      </c>
      <c r="E110" s="251">
        <v>44133.0</v>
      </c>
      <c r="F110" s="250" t="s">
        <v>496</v>
      </c>
      <c r="G110" s="171">
        <v>1.0</v>
      </c>
      <c r="H110" s="171">
        <v>20.0</v>
      </c>
      <c r="I110" s="171">
        <v>20.0</v>
      </c>
      <c r="J110" s="391">
        <f t="shared" si="4"/>
        <v>0.001267765119</v>
      </c>
      <c r="K110" s="392">
        <f t="shared" si="5"/>
        <v>0.4912589837</v>
      </c>
      <c r="L110" s="327">
        <f t="shared" si="2"/>
        <v>2.501230976</v>
      </c>
      <c r="M110" s="321" t="str">
        <f t="shared" si="3"/>
        <v>paulo_c2d</v>
      </c>
      <c r="N110" s="176">
        <f>IFERROR(__xludf.DUMMYFUNCTION("""COMPUTED_VALUE"""),2.0)</f>
        <v>2</v>
      </c>
      <c r="O110" s="176"/>
      <c r="P110" s="176"/>
      <c r="Q110" s="176"/>
      <c r="R110" s="176"/>
      <c r="S110" s="176"/>
      <c r="T110" s="176"/>
      <c r="U110" s="176"/>
      <c r="V110" s="176"/>
      <c r="W110" s="176"/>
      <c r="X110" s="176"/>
      <c r="Y110" s="176"/>
      <c r="Z110" s="176"/>
    </row>
    <row r="111">
      <c r="A111" s="226" t="s">
        <v>30</v>
      </c>
      <c r="B111" s="226" t="s">
        <v>6</v>
      </c>
      <c r="C111" s="250" t="s">
        <v>3760</v>
      </c>
      <c r="D111" s="268" t="s">
        <v>495</v>
      </c>
      <c r="E111" s="251">
        <v>44133.0</v>
      </c>
      <c r="F111" s="250" t="s">
        <v>496</v>
      </c>
      <c r="G111" s="171">
        <v>1.0</v>
      </c>
      <c r="H111" s="171">
        <v>200.0</v>
      </c>
      <c r="I111" s="171">
        <v>200.0</v>
      </c>
      <c r="J111" s="391">
        <f t="shared" si="4"/>
        <v>0.01267765119</v>
      </c>
      <c r="K111" s="392">
        <f t="shared" si="5"/>
        <v>4.912589837</v>
      </c>
      <c r="L111" s="327">
        <f t="shared" si="2"/>
        <v>2.501230976</v>
      </c>
      <c r="M111" s="321" t="str">
        <f t="shared" si="3"/>
        <v>paulo_c2d</v>
      </c>
      <c r="N111" s="176">
        <f>IFERROR(__xludf.DUMMYFUNCTION("""COMPUTED_VALUE"""),3.0)</f>
        <v>3</v>
      </c>
      <c r="O111" s="176"/>
      <c r="P111" s="176"/>
      <c r="Q111" s="176"/>
      <c r="R111" s="176"/>
      <c r="S111" s="176"/>
      <c r="T111" s="176"/>
      <c r="U111" s="176"/>
      <c r="V111" s="176"/>
      <c r="W111" s="176"/>
      <c r="X111" s="176"/>
      <c r="Y111" s="176"/>
      <c r="Z111" s="176"/>
    </row>
    <row r="112">
      <c r="A112" s="226" t="s">
        <v>30</v>
      </c>
      <c r="B112" s="226" t="s">
        <v>519</v>
      </c>
      <c r="C112" s="250" t="s">
        <v>3711</v>
      </c>
      <c r="D112" s="268" t="s">
        <v>495</v>
      </c>
      <c r="E112" s="251">
        <v>44134.0</v>
      </c>
      <c r="F112" s="250" t="s">
        <v>496</v>
      </c>
      <c r="G112" s="171">
        <v>1.0</v>
      </c>
      <c r="H112" s="171">
        <v>30.0</v>
      </c>
      <c r="I112" s="171">
        <v>40.0</v>
      </c>
      <c r="J112" s="391">
        <f t="shared" si="4"/>
        <v>0.002215816702</v>
      </c>
      <c r="K112" s="392">
        <f t="shared" si="5"/>
        <v>0.8586289719</v>
      </c>
      <c r="L112" s="327">
        <f t="shared" si="2"/>
        <v>2.501230976</v>
      </c>
      <c r="M112" s="321" t="str">
        <f t="shared" si="3"/>
        <v>paulo_c2d</v>
      </c>
      <c r="N112" s="176">
        <f>IFERROR(__xludf.DUMMYFUNCTION("""COMPUTED_VALUE"""),4.0)</f>
        <v>4</v>
      </c>
      <c r="O112" s="176"/>
      <c r="P112" s="176"/>
      <c r="Q112" s="176"/>
      <c r="R112" s="176"/>
      <c r="S112" s="176"/>
      <c r="T112" s="176"/>
      <c r="U112" s="176"/>
      <c r="V112" s="176"/>
      <c r="W112" s="176"/>
      <c r="X112" s="176"/>
      <c r="Y112" s="176"/>
      <c r="Z112" s="176"/>
    </row>
    <row r="113">
      <c r="A113" s="226" t="s">
        <v>30</v>
      </c>
      <c r="B113" s="226" t="s">
        <v>519</v>
      </c>
      <c r="C113" s="250" t="s">
        <v>3761</v>
      </c>
      <c r="D113" s="268" t="s">
        <v>495</v>
      </c>
      <c r="E113" s="251">
        <v>44135.0</v>
      </c>
      <c r="F113" s="250" t="s">
        <v>496</v>
      </c>
      <c r="G113" s="171">
        <v>1.0</v>
      </c>
      <c r="H113" s="171">
        <v>100.0</v>
      </c>
      <c r="I113" s="171">
        <v>100.0</v>
      </c>
      <c r="J113" s="391">
        <f t="shared" si="4"/>
        <v>0.006338825596</v>
      </c>
      <c r="K113" s="392">
        <f t="shared" si="5"/>
        <v>2.456294918</v>
      </c>
      <c r="L113" s="327">
        <f t="shared" si="2"/>
        <v>2.501230976</v>
      </c>
      <c r="M113" s="321" t="str">
        <f t="shared" si="3"/>
        <v>paulo_c2d</v>
      </c>
      <c r="N113" s="176">
        <f>IFERROR(__xludf.DUMMYFUNCTION("""COMPUTED_VALUE"""),5.0)</f>
        <v>5</v>
      </c>
      <c r="O113" s="176"/>
      <c r="P113" s="176"/>
      <c r="Q113" s="176"/>
      <c r="R113" s="176"/>
      <c r="S113" s="176"/>
      <c r="T113" s="176"/>
      <c r="U113" s="176"/>
      <c r="V113" s="176"/>
      <c r="W113" s="176"/>
      <c r="X113" s="176"/>
      <c r="Y113" s="176"/>
      <c r="Z113" s="176"/>
    </row>
    <row r="114">
      <c r="A114" s="226" t="s">
        <v>30</v>
      </c>
      <c r="B114" s="226" t="s">
        <v>5</v>
      </c>
      <c r="C114" s="250" t="s">
        <v>3715</v>
      </c>
      <c r="D114" s="268" t="s">
        <v>495</v>
      </c>
      <c r="E114" s="361">
        <v>44141.0</v>
      </c>
      <c r="F114" s="250" t="s">
        <v>496</v>
      </c>
      <c r="G114" s="171">
        <v>1.0</v>
      </c>
      <c r="H114" s="171">
        <v>30.0</v>
      </c>
      <c r="I114" s="171">
        <v>40.0</v>
      </c>
      <c r="J114" s="391">
        <f t="shared" si="4"/>
        <v>0.002215816702</v>
      </c>
      <c r="K114" s="392">
        <f t="shared" si="5"/>
        <v>0.8586289719</v>
      </c>
      <c r="L114" s="327">
        <f t="shared" si="2"/>
        <v>2.501230976</v>
      </c>
      <c r="M114" s="321" t="str">
        <f t="shared" si="3"/>
        <v>paulo_c2d</v>
      </c>
      <c r="N114" s="176">
        <f>IFERROR(__xludf.DUMMYFUNCTION("""COMPUTED_VALUE"""),6.0)</f>
        <v>6</v>
      </c>
      <c r="O114" s="176"/>
      <c r="P114" s="176"/>
      <c r="Q114" s="176"/>
      <c r="R114" s="176"/>
      <c r="S114" s="176"/>
      <c r="T114" s="176"/>
      <c r="U114" s="176"/>
      <c r="V114" s="176"/>
      <c r="W114" s="176"/>
      <c r="X114" s="176"/>
      <c r="Y114" s="176"/>
      <c r="Z114" s="176"/>
    </row>
    <row r="115">
      <c r="A115" s="226" t="s">
        <v>2410</v>
      </c>
      <c r="B115" s="226" t="s">
        <v>590</v>
      </c>
      <c r="C115" s="250" t="s">
        <v>3742</v>
      </c>
      <c r="D115" s="268" t="s">
        <v>495</v>
      </c>
      <c r="E115" s="251">
        <v>44131.0</v>
      </c>
      <c r="F115" s="250" t="s">
        <v>496</v>
      </c>
      <c r="G115" s="171">
        <v>1.0</v>
      </c>
      <c r="H115" s="171">
        <v>60.0</v>
      </c>
      <c r="I115" s="171">
        <v>60.0</v>
      </c>
      <c r="J115" s="391">
        <f t="shared" si="4"/>
        <v>0.003803295358</v>
      </c>
      <c r="K115" s="392">
        <f t="shared" si="5"/>
        <v>1.473776951</v>
      </c>
      <c r="L115" s="327">
        <f t="shared" si="2"/>
        <v>7.597326255</v>
      </c>
      <c r="M115" s="321" t="str">
        <f t="shared" si="3"/>
        <v>ygg_anderson</v>
      </c>
      <c r="N115" s="176">
        <f>IFERROR(__xludf.DUMMYFUNCTION("""COMPUTED_VALUE"""),1.0)</f>
        <v>1</v>
      </c>
      <c r="O115" s="176"/>
      <c r="P115" s="176"/>
      <c r="Q115" s="176"/>
      <c r="R115" s="176"/>
      <c r="S115" s="176"/>
      <c r="T115" s="176"/>
      <c r="U115" s="176"/>
      <c r="V115" s="176"/>
      <c r="W115" s="176"/>
      <c r="X115" s="176"/>
      <c r="Y115" s="176"/>
      <c r="Z115" s="176"/>
    </row>
    <row r="116">
      <c r="A116" s="226" t="s">
        <v>39</v>
      </c>
      <c r="B116" s="226" t="s">
        <v>868</v>
      </c>
      <c r="C116" s="250" t="s">
        <v>3762</v>
      </c>
      <c r="D116" s="268" t="s">
        <v>495</v>
      </c>
      <c r="E116" s="251">
        <v>44128.0</v>
      </c>
      <c r="F116" s="250" t="s">
        <v>496</v>
      </c>
      <c r="G116" s="171" t="s">
        <v>3725</v>
      </c>
      <c r="H116" s="171">
        <v>0.0</v>
      </c>
      <c r="I116" s="171">
        <v>0.0</v>
      </c>
      <c r="J116" s="391">
        <f t="shared" si="4"/>
        <v>0</v>
      </c>
      <c r="K116" s="392">
        <f t="shared" si="5"/>
        <v>0</v>
      </c>
      <c r="L116" s="327">
        <f t="shared" si="2"/>
        <v>14.71735877</v>
      </c>
      <c r="M116" s="321" t="str">
        <f t="shared" si="3"/>
        <v>manualzuru</v>
      </c>
      <c r="N116" s="176">
        <f>IFERROR(__xludf.DUMMYFUNCTION("""COMPUTED_VALUE"""),2.0)</f>
        <v>2</v>
      </c>
      <c r="O116" s="176"/>
      <c r="P116" s="176"/>
      <c r="Q116" s="176"/>
      <c r="R116" s="176"/>
      <c r="S116" s="176"/>
      <c r="T116" s="176"/>
      <c r="U116" s="176"/>
      <c r="V116" s="176"/>
      <c r="W116" s="176"/>
      <c r="X116" s="176"/>
      <c r="Y116" s="176"/>
      <c r="Z116" s="176"/>
    </row>
    <row r="117">
      <c r="A117" s="226" t="s">
        <v>39</v>
      </c>
      <c r="B117" s="226" t="s">
        <v>590</v>
      </c>
      <c r="C117" s="250" t="s">
        <v>3705</v>
      </c>
      <c r="D117" s="268" t="s">
        <v>495</v>
      </c>
      <c r="E117" s="251">
        <v>44131.0</v>
      </c>
      <c r="F117" s="250" t="s">
        <v>496</v>
      </c>
      <c r="G117" s="171">
        <v>1.0</v>
      </c>
      <c r="H117" s="171">
        <v>80.0</v>
      </c>
      <c r="I117" s="171">
        <v>60.0</v>
      </c>
      <c r="J117" s="391">
        <f t="shared" si="4"/>
        <v>0.004442722431</v>
      </c>
      <c r="K117" s="392">
        <f t="shared" si="5"/>
        <v>1.721554942</v>
      </c>
      <c r="L117" s="327">
        <f t="shared" si="2"/>
        <v>14.71735877</v>
      </c>
      <c r="M117" s="321" t="str">
        <f t="shared" si="3"/>
        <v>manualzuru</v>
      </c>
      <c r="N117" s="176">
        <f>IFERROR(__xludf.DUMMYFUNCTION("""COMPUTED_VALUE"""),3.0)</f>
        <v>3</v>
      </c>
      <c r="O117" s="176"/>
      <c r="P117" s="176"/>
      <c r="Q117" s="176"/>
      <c r="R117" s="176"/>
      <c r="S117" s="176"/>
      <c r="T117" s="176"/>
      <c r="U117" s="176"/>
      <c r="V117" s="176"/>
      <c r="W117" s="176"/>
      <c r="X117" s="176"/>
      <c r="Y117" s="209"/>
      <c r="Z117" s="209"/>
    </row>
    <row r="118">
      <c r="A118" s="226" t="s">
        <v>39</v>
      </c>
      <c r="B118" s="226" t="s">
        <v>590</v>
      </c>
      <c r="C118" s="250" t="s">
        <v>3763</v>
      </c>
      <c r="D118" s="268" t="s">
        <v>495</v>
      </c>
      <c r="E118" s="251">
        <v>44131.0</v>
      </c>
      <c r="F118" s="250" t="s">
        <v>496</v>
      </c>
      <c r="G118" s="171">
        <v>1.0</v>
      </c>
      <c r="H118" s="171">
        <v>100.0</v>
      </c>
      <c r="I118" s="171">
        <v>100.0</v>
      </c>
      <c r="J118" s="391">
        <f t="shared" si="4"/>
        <v>0.006338825596</v>
      </c>
      <c r="K118" s="392">
        <f t="shared" si="5"/>
        <v>2.456294918</v>
      </c>
      <c r="L118" s="327">
        <f t="shared" si="2"/>
        <v>14.71735877</v>
      </c>
      <c r="M118" s="321" t="str">
        <f t="shared" si="3"/>
        <v>manualzuru</v>
      </c>
      <c r="N118" s="176">
        <f>IFERROR(__xludf.DUMMYFUNCTION("""COMPUTED_VALUE"""),4.0)</f>
        <v>4</v>
      </c>
      <c r="O118" s="176"/>
      <c r="P118" s="176"/>
      <c r="Q118" s="176"/>
      <c r="R118" s="176"/>
      <c r="S118" s="176"/>
      <c r="T118" s="176"/>
      <c r="U118" s="176"/>
      <c r="V118" s="176"/>
      <c r="W118" s="176"/>
      <c r="X118" s="176"/>
      <c r="Y118" s="176"/>
      <c r="Z118" s="176"/>
    </row>
    <row r="119">
      <c r="A119" s="226" t="s">
        <v>39</v>
      </c>
      <c r="B119" s="226" t="s">
        <v>18</v>
      </c>
      <c r="C119" s="250" t="s">
        <v>3718</v>
      </c>
      <c r="D119" s="268" t="s">
        <v>495</v>
      </c>
      <c r="E119" s="251">
        <v>44131.0</v>
      </c>
      <c r="F119" s="250" t="s">
        <v>496</v>
      </c>
      <c r="G119" s="171">
        <v>1.0</v>
      </c>
      <c r="H119" s="171">
        <v>20.0</v>
      </c>
      <c r="I119" s="171">
        <v>40.0</v>
      </c>
      <c r="J119" s="391">
        <f t="shared" si="4"/>
        <v>0.001896103165</v>
      </c>
      <c r="K119" s="392">
        <f t="shared" si="5"/>
        <v>0.7347399765</v>
      </c>
      <c r="L119" s="327">
        <f t="shared" si="2"/>
        <v>14.71735877</v>
      </c>
      <c r="M119" s="321" t="str">
        <f t="shared" si="3"/>
        <v>manualzuru</v>
      </c>
      <c r="N119" s="176">
        <f>IFERROR(__xludf.DUMMYFUNCTION("""COMPUTED_VALUE"""),5.0)</f>
        <v>5</v>
      </c>
      <c r="O119" s="176"/>
      <c r="P119" s="176"/>
      <c r="Q119" s="176"/>
      <c r="R119" s="176"/>
      <c r="S119" s="176"/>
      <c r="T119" s="176"/>
      <c r="U119" s="176"/>
      <c r="V119" s="176"/>
      <c r="W119" s="176"/>
      <c r="X119" s="176"/>
      <c r="Y119" s="176"/>
      <c r="Z119" s="176"/>
    </row>
    <row r="120">
      <c r="A120" s="226" t="s">
        <v>39</v>
      </c>
      <c r="B120" s="226" t="s">
        <v>590</v>
      </c>
      <c r="C120" s="250" t="s">
        <v>3764</v>
      </c>
      <c r="D120" s="268" t="s">
        <v>495</v>
      </c>
      <c r="E120" s="361">
        <v>44137.0</v>
      </c>
      <c r="F120" s="250" t="s">
        <v>496</v>
      </c>
      <c r="G120" s="171">
        <v>1.0</v>
      </c>
      <c r="H120" s="171">
        <v>100.0</v>
      </c>
      <c r="I120" s="171">
        <v>300.0</v>
      </c>
      <c r="J120" s="391">
        <f t="shared" si="4"/>
        <v>0.01262220605</v>
      </c>
      <c r="K120" s="392">
        <f t="shared" si="5"/>
        <v>4.891104846</v>
      </c>
      <c r="L120" s="327">
        <f t="shared" si="2"/>
        <v>14.71735877</v>
      </c>
      <c r="M120" s="321" t="str">
        <f t="shared" si="3"/>
        <v>manualzuru</v>
      </c>
      <c r="N120" s="176">
        <f>IFERROR(__xludf.DUMMYFUNCTION("""COMPUTED_VALUE"""),6.0)</f>
        <v>6</v>
      </c>
      <c r="O120" s="176"/>
      <c r="P120" s="176"/>
      <c r="Q120" s="176"/>
      <c r="R120" s="176"/>
      <c r="S120" s="176"/>
      <c r="T120" s="176"/>
      <c r="U120" s="176"/>
      <c r="V120" s="176"/>
      <c r="W120" s="176"/>
      <c r="X120" s="176"/>
      <c r="Y120" s="176"/>
      <c r="Z120" s="176"/>
    </row>
    <row r="121">
      <c r="A121" s="226" t="s">
        <v>39</v>
      </c>
      <c r="B121" s="226" t="s">
        <v>5</v>
      </c>
      <c r="C121" s="250" t="s">
        <v>3729</v>
      </c>
      <c r="D121" s="268" t="s">
        <v>495</v>
      </c>
      <c r="E121" s="361">
        <v>44138.0</v>
      </c>
      <c r="F121" s="250" t="s">
        <v>496</v>
      </c>
      <c r="G121" s="171">
        <v>1.0</v>
      </c>
      <c r="H121" s="171">
        <v>70.0</v>
      </c>
      <c r="I121" s="171">
        <v>40.0</v>
      </c>
      <c r="J121" s="391">
        <f t="shared" si="4"/>
        <v>0.003494670848</v>
      </c>
      <c r="K121" s="392">
        <f t="shared" si="5"/>
        <v>1.354184954</v>
      </c>
      <c r="L121" s="327">
        <f t="shared" si="2"/>
        <v>14.71735877</v>
      </c>
      <c r="M121" s="321" t="str">
        <f t="shared" si="3"/>
        <v>manualzuru</v>
      </c>
      <c r="N121" s="176">
        <f>IFERROR(__xludf.DUMMYFUNCTION("""COMPUTED_VALUE"""),7.0)</f>
        <v>7</v>
      </c>
      <c r="O121" s="176"/>
      <c r="P121" s="176"/>
      <c r="Q121" s="176"/>
      <c r="R121" s="176"/>
      <c r="S121" s="176"/>
      <c r="T121" s="176"/>
      <c r="U121" s="176"/>
      <c r="V121" s="176"/>
      <c r="W121" s="176"/>
      <c r="X121" s="176"/>
      <c r="Y121" s="176"/>
      <c r="Z121" s="176"/>
    </row>
    <row r="122">
      <c r="A122" s="226" t="s">
        <v>39</v>
      </c>
      <c r="B122" s="226" t="s">
        <v>519</v>
      </c>
      <c r="C122" s="250" t="s">
        <v>3734</v>
      </c>
      <c r="D122" s="268" t="s">
        <v>495</v>
      </c>
      <c r="E122" s="361">
        <v>44140.0</v>
      </c>
      <c r="F122" s="250" t="s">
        <v>499</v>
      </c>
      <c r="G122" s="171">
        <v>3.0</v>
      </c>
      <c r="H122" s="171">
        <v>5.0</v>
      </c>
      <c r="I122" s="171">
        <v>5.0</v>
      </c>
      <c r="J122" s="391">
        <f t="shared" si="4"/>
        <v>0.0003169412798</v>
      </c>
      <c r="K122" s="392">
        <f t="shared" si="5"/>
        <v>0.1228147459</v>
      </c>
      <c r="L122" s="327">
        <f t="shared" si="2"/>
        <v>14.71735877</v>
      </c>
      <c r="M122" s="321" t="str">
        <f t="shared" si="3"/>
        <v>manualzuru</v>
      </c>
      <c r="N122" s="176">
        <f>IFERROR(__xludf.DUMMYFUNCTION("""COMPUTED_VALUE"""),8.0)</f>
        <v>8</v>
      </c>
      <c r="O122" s="176"/>
      <c r="P122" s="176"/>
      <c r="Q122" s="176"/>
      <c r="R122" s="176"/>
      <c r="S122" s="176"/>
      <c r="T122" s="176"/>
      <c r="U122" s="176"/>
      <c r="V122" s="176"/>
      <c r="W122" s="176"/>
      <c r="X122" s="176"/>
      <c r="Y122" s="176"/>
      <c r="Z122" s="176"/>
    </row>
    <row r="123">
      <c r="A123" s="226" t="s">
        <v>103</v>
      </c>
      <c r="B123" s="226" t="s">
        <v>519</v>
      </c>
      <c r="C123" s="250" t="s">
        <v>3765</v>
      </c>
      <c r="D123" s="268" t="s">
        <v>495</v>
      </c>
      <c r="E123" s="251">
        <v>44131.0</v>
      </c>
      <c r="F123" s="250" t="s">
        <v>496</v>
      </c>
      <c r="G123" s="171">
        <v>1.0</v>
      </c>
      <c r="H123" s="171">
        <v>10.0</v>
      </c>
      <c r="I123" s="171">
        <v>20.0</v>
      </c>
      <c r="J123" s="391">
        <f t="shared" si="4"/>
        <v>0.0009480515825</v>
      </c>
      <c r="K123" s="392">
        <f t="shared" si="5"/>
        <v>0.3673699882</v>
      </c>
      <c r="L123" s="327">
        <f t="shared" si="2"/>
        <v>11.41640012</v>
      </c>
      <c r="M123" s="321" t="str">
        <f t="shared" si="3"/>
        <v>dulcedu</v>
      </c>
      <c r="N123" s="176">
        <f>IFERROR(__xludf.DUMMYFUNCTION("""COMPUTED_VALUE"""),2.0)</f>
        <v>2</v>
      </c>
      <c r="O123" s="176"/>
      <c r="P123" s="176"/>
      <c r="Q123" s="176"/>
      <c r="R123" s="176"/>
      <c r="S123" s="176"/>
      <c r="T123" s="176"/>
      <c r="U123" s="176"/>
      <c r="V123" s="176"/>
      <c r="W123" s="176"/>
      <c r="X123" s="176"/>
      <c r="Y123" s="176"/>
      <c r="Z123" s="176"/>
    </row>
    <row r="124">
      <c r="A124" s="226" t="s">
        <v>103</v>
      </c>
      <c r="B124" s="226" t="s">
        <v>18</v>
      </c>
      <c r="C124" s="250" t="s">
        <v>3718</v>
      </c>
      <c r="D124" s="268" t="s">
        <v>495</v>
      </c>
      <c r="E124" s="251">
        <v>44131.0</v>
      </c>
      <c r="F124" s="250" t="s">
        <v>496</v>
      </c>
      <c r="G124" s="171">
        <v>1.0</v>
      </c>
      <c r="H124" s="171">
        <v>20.0</v>
      </c>
      <c r="I124" s="171">
        <v>40.0</v>
      </c>
      <c r="J124" s="391">
        <f t="shared" si="4"/>
        <v>0.001896103165</v>
      </c>
      <c r="K124" s="392">
        <f t="shared" si="5"/>
        <v>0.7347399765</v>
      </c>
      <c r="L124" s="327">
        <f t="shared" si="2"/>
        <v>11.41640012</v>
      </c>
      <c r="M124" s="321" t="str">
        <f t="shared" si="3"/>
        <v>dulcedu</v>
      </c>
      <c r="N124" s="176">
        <f>IFERROR(__xludf.DUMMYFUNCTION("""COMPUTED_VALUE"""),3.0)</f>
        <v>3</v>
      </c>
      <c r="O124" s="176"/>
      <c r="P124" s="176"/>
      <c r="Q124" s="176"/>
      <c r="R124" s="176"/>
      <c r="S124" s="176"/>
      <c r="T124" s="176"/>
      <c r="U124" s="176"/>
      <c r="V124" s="176"/>
      <c r="W124" s="176"/>
      <c r="X124" s="176"/>
      <c r="Y124" s="176"/>
      <c r="Z124" s="176"/>
    </row>
    <row r="125">
      <c r="A125" s="226" t="s">
        <v>103</v>
      </c>
      <c r="B125" s="226" t="s">
        <v>5</v>
      </c>
      <c r="C125" s="250" t="s">
        <v>3709</v>
      </c>
      <c r="D125" s="268" t="s">
        <v>495</v>
      </c>
      <c r="E125" s="251">
        <v>44133.0</v>
      </c>
      <c r="F125" s="250" t="s">
        <v>496</v>
      </c>
      <c r="G125" s="171">
        <v>1.0</v>
      </c>
      <c r="H125" s="171">
        <v>20.0</v>
      </c>
      <c r="I125" s="171">
        <v>30.0</v>
      </c>
      <c r="J125" s="391">
        <f t="shared" si="4"/>
        <v>0.001581934142</v>
      </c>
      <c r="K125" s="392">
        <f t="shared" si="5"/>
        <v>0.6129994801</v>
      </c>
      <c r="L125" s="327">
        <f t="shared" si="2"/>
        <v>11.41640012</v>
      </c>
      <c r="M125" s="321" t="str">
        <f t="shared" si="3"/>
        <v>dulcedu</v>
      </c>
      <c r="N125" s="176">
        <f>IFERROR(__xludf.DUMMYFUNCTION("""COMPUTED_VALUE"""),4.0)</f>
        <v>4</v>
      </c>
      <c r="O125" s="176"/>
      <c r="P125" s="176"/>
      <c r="Q125" s="176"/>
      <c r="R125" s="176"/>
      <c r="S125" s="176"/>
      <c r="T125" s="176"/>
      <c r="U125" s="176"/>
      <c r="V125" s="176"/>
      <c r="W125" s="176"/>
      <c r="X125" s="176"/>
      <c r="Y125" s="176"/>
      <c r="Z125" s="176"/>
    </row>
    <row r="126">
      <c r="A126" s="226" t="s">
        <v>103</v>
      </c>
      <c r="B126" s="226" t="s">
        <v>18</v>
      </c>
      <c r="C126" s="250" t="s">
        <v>3741</v>
      </c>
      <c r="D126" s="268" t="s">
        <v>495</v>
      </c>
      <c r="E126" s="251">
        <v>44134.0</v>
      </c>
      <c r="F126" s="250" t="s">
        <v>496</v>
      </c>
      <c r="G126" s="171">
        <v>1.0</v>
      </c>
      <c r="H126" s="171">
        <v>300.0</v>
      </c>
      <c r="I126" s="171">
        <v>300.0</v>
      </c>
      <c r="J126" s="391">
        <f t="shared" si="4"/>
        <v>0.01901647679</v>
      </c>
      <c r="K126" s="392">
        <f t="shared" si="5"/>
        <v>7.368884755</v>
      </c>
      <c r="L126" s="327">
        <f t="shared" si="2"/>
        <v>11.41640012</v>
      </c>
      <c r="M126" s="321" t="str">
        <f t="shared" si="3"/>
        <v>dulcedu</v>
      </c>
      <c r="N126" s="176">
        <f>IFERROR(__xludf.DUMMYFUNCTION("""COMPUTED_VALUE"""),5.0)</f>
        <v>5</v>
      </c>
      <c r="O126" s="176"/>
      <c r="P126" s="176"/>
      <c r="Q126" s="176"/>
      <c r="R126" s="176"/>
      <c r="S126" s="176"/>
      <c r="T126" s="176"/>
      <c r="U126" s="176"/>
      <c r="V126" s="176"/>
      <c r="W126" s="176"/>
      <c r="X126" s="176"/>
      <c r="Y126" s="176"/>
      <c r="Z126" s="176"/>
    </row>
    <row r="127">
      <c r="A127" s="226" t="s">
        <v>103</v>
      </c>
      <c r="B127" s="226" t="s">
        <v>18</v>
      </c>
      <c r="C127" s="250" t="s">
        <v>3766</v>
      </c>
      <c r="D127" s="268" t="s">
        <v>495</v>
      </c>
      <c r="E127" s="361">
        <v>44138.0</v>
      </c>
      <c r="F127" s="250" t="s">
        <v>496</v>
      </c>
      <c r="G127" s="171">
        <v>1.0</v>
      </c>
      <c r="H127" s="171">
        <v>60.0</v>
      </c>
      <c r="I127" s="171">
        <v>60.0</v>
      </c>
      <c r="J127" s="391">
        <f t="shared" si="4"/>
        <v>0.003803295358</v>
      </c>
      <c r="K127" s="392">
        <f t="shared" si="5"/>
        <v>1.473776951</v>
      </c>
      <c r="L127" s="327">
        <f t="shared" si="2"/>
        <v>11.41640012</v>
      </c>
      <c r="M127" s="321" t="str">
        <f t="shared" si="3"/>
        <v>dulcedu</v>
      </c>
      <c r="N127" s="176">
        <f>IFERROR(__xludf.DUMMYFUNCTION("""COMPUTED_VALUE"""),6.0)</f>
        <v>6</v>
      </c>
      <c r="O127" s="176"/>
      <c r="P127" s="176"/>
      <c r="Q127" s="176"/>
      <c r="R127" s="176"/>
      <c r="S127" s="176"/>
      <c r="T127" s="176"/>
      <c r="U127" s="176"/>
      <c r="V127" s="176"/>
      <c r="W127" s="176"/>
      <c r="X127" s="176"/>
      <c r="Y127" s="176"/>
      <c r="Z127" s="176"/>
    </row>
    <row r="128">
      <c r="A128" s="226" t="s">
        <v>17</v>
      </c>
      <c r="B128" s="226" t="s">
        <v>590</v>
      </c>
      <c r="C128" s="250" t="s">
        <v>3767</v>
      </c>
      <c r="D128" s="268" t="s">
        <v>495</v>
      </c>
      <c r="E128" s="251">
        <v>44131.0</v>
      </c>
      <c r="F128" s="250" t="s">
        <v>496</v>
      </c>
      <c r="G128" s="171">
        <v>1.0</v>
      </c>
      <c r="H128" s="171">
        <v>60.0</v>
      </c>
      <c r="I128" s="171">
        <v>80.0</v>
      </c>
      <c r="J128" s="391">
        <f t="shared" si="4"/>
        <v>0.004431633404</v>
      </c>
      <c r="K128" s="392">
        <f t="shared" si="5"/>
        <v>1.717257944</v>
      </c>
      <c r="L128" s="327">
        <f t="shared" si="2"/>
        <v>7.486328254</v>
      </c>
      <c r="M128" s="321" t="str">
        <f t="shared" si="3"/>
        <v>tonga2020</v>
      </c>
      <c r="N128" s="176">
        <f>IFERROR(__xludf.DUMMYFUNCTION("""COMPUTED_VALUE"""),1.0)</f>
        <v>1</v>
      </c>
      <c r="O128" s="176"/>
      <c r="P128" s="176"/>
      <c r="Q128" s="176"/>
      <c r="R128" s="176"/>
      <c r="S128" s="176"/>
      <c r="T128" s="176"/>
      <c r="U128" s="176"/>
      <c r="V128" s="176"/>
      <c r="W128" s="176"/>
      <c r="X128" s="176"/>
      <c r="Y128" s="176"/>
      <c r="Z128" s="176"/>
    </row>
    <row r="129">
      <c r="A129" s="226" t="s">
        <v>110</v>
      </c>
      <c r="B129" s="226" t="s">
        <v>18</v>
      </c>
      <c r="C129" s="250" t="s">
        <v>3741</v>
      </c>
      <c r="D129" s="268" t="s">
        <v>495</v>
      </c>
      <c r="E129" s="251">
        <v>44134.0</v>
      </c>
      <c r="F129" s="250" t="s">
        <v>496</v>
      </c>
      <c r="G129" s="171">
        <v>1.0</v>
      </c>
      <c r="H129" s="171">
        <v>300.0</v>
      </c>
      <c r="I129" s="171">
        <v>300.0</v>
      </c>
      <c r="J129" s="391">
        <f t="shared" si="4"/>
        <v>0.01901647679</v>
      </c>
      <c r="K129" s="392">
        <f t="shared" si="5"/>
        <v>7.368884755</v>
      </c>
      <c r="L129" s="327">
        <f t="shared" si="2"/>
        <v>7.368884755</v>
      </c>
      <c r="M129" s="321" t="str">
        <f t="shared" si="3"/>
        <v>jonassft</v>
      </c>
      <c r="N129" s="176">
        <f>IFERROR(__xludf.DUMMYFUNCTION("""COMPUTED_VALUE"""),1.0)</f>
        <v>1</v>
      </c>
      <c r="O129" s="176"/>
      <c r="P129" s="176"/>
      <c r="Q129" s="176"/>
      <c r="R129" s="176"/>
      <c r="S129" s="176"/>
      <c r="T129" s="176"/>
      <c r="U129" s="176"/>
      <c r="V129" s="176"/>
      <c r="W129" s="176"/>
      <c r="X129" s="176"/>
      <c r="Y129" s="176"/>
      <c r="Z129" s="176"/>
    </row>
    <row r="130">
      <c r="A130" s="226" t="s">
        <v>70</v>
      </c>
      <c r="B130" s="226" t="s">
        <v>18</v>
      </c>
      <c r="C130" s="250" t="s">
        <v>3718</v>
      </c>
      <c r="D130" s="268" t="s">
        <v>495</v>
      </c>
      <c r="E130" s="251">
        <v>44131.0</v>
      </c>
      <c r="F130" s="250" t="s">
        <v>496</v>
      </c>
      <c r="G130" s="171">
        <v>1.0</v>
      </c>
      <c r="H130" s="171">
        <v>20.0</v>
      </c>
      <c r="I130" s="171">
        <v>40.0</v>
      </c>
      <c r="J130" s="391">
        <f t="shared" si="4"/>
        <v>0.001896103165</v>
      </c>
      <c r="K130" s="392">
        <f t="shared" si="5"/>
        <v>0.7347399765</v>
      </c>
      <c r="L130" s="327">
        <f t="shared" si="2"/>
        <v>6.205253923</v>
      </c>
      <c r="M130" s="321" t="str">
        <f t="shared" si="3"/>
        <v>rubenrussel7</v>
      </c>
      <c r="N130" s="176">
        <f>IFERROR(__xludf.DUMMYFUNCTION("""COMPUTED_VALUE"""),1.0)</f>
        <v>1</v>
      </c>
      <c r="O130" s="176"/>
      <c r="P130" s="176"/>
      <c r="Q130" s="176"/>
      <c r="R130" s="176"/>
      <c r="S130" s="176"/>
      <c r="T130" s="176"/>
      <c r="U130" s="176"/>
      <c r="V130" s="176"/>
      <c r="W130" s="176"/>
      <c r="X130" s="176"/>
      <c r="Y130" s="176"/>
      <c r="Z130" s="176"/>
    </row>
    <row r="131">
      <c r="A131" s="226" t="s">
        <v>70</v>
      </c>
      <c r="B131" s="226" t="s">
        <v>5</v>
      </c>
      <c r="C131" s="250" t="s">
        <v>3721</v>
      </c>
      <c r="D131" s="268" t="s">
        <v>495</v>
      </c>
      <c r="E131" s="251">
        <v>44133.0</v>
      </c>
      <c r="F131" s="250" t="s">
        <v>496</v>
      </c>
      <c r="G131" s="171">
        <v>3.0</v>
      </c>
      <c r="H131" s="171">
        <v>10.0</v>
      </c>
      <c r="I131" s="171">
        <v>30.0</v>
      </c>
      <c r="J131" s="391">
        <f t="shared" si="4"/>
        <v>0.001262220605</v>
      </c>
      <c r="K131" s="392">
        <f t="shared" si="5"/>
        <v>0.4891104846</v>
      </c>
      <c r="L131" s="327">
        <f t="shared" si="2"/>
        <v>6.205253923</v>
      </c>
      <c r="M131" s="321" t="str">
        <f t="shared" si="3"/>
        <v>rubenrussel7</v>
      </c>
      <c r="N131" s="176">
        <f>IFERROR(__xludf.DUMMYFUNCTION("""COMPUTED_VALUE"""),2.0)</f>
        <v>2</v>
      </c>
      <c r="O131" s="176"/>
      <c r="P131" s="176"/>
      <c r="Q131" s="176"/>
      <c r="R131" s="176"/>
      <c r="S131" s="176"/>
      <c r="T131" s="176"/>
      <c r="U131" s="176"/>
      <c r="V131" s="176"/>
      <c r="W131" s="176"/>
      <c r="X131" s="176"/>
      <c r="Y131" s="209"/>
      <c r="Z131" s="209"/>
    </row>
    <row r="132">
      <c r="A132" s="226" t="s">
        <v>70</v>
      </c>
      <c r="B132" s="226" t="s">
        <v>5</v>
      </c>
      <c r="C132" s="250" t="s">
        <v>3709</v>
      </c>
      <c r="D132" s="268" t="s">
        <v>495</v>
      </c>
      <c r="E132" s="251">
        <v>44133.0</v>
      </c>
      <c r="F132" s="250" t="s">
        <v>496</v>
      </c>
      <c r="G132" s="171">
        <v>1.0</v>
      </c>
      <c r="H132" s="171">
        <v>20.0</v>
      </c>
      <c r="I132" s="171">
        <v>30.0</v>
      </c>
      <c r="J132" s="391">
        <f t="shared" si="4"/>
        <v>0.001581934142</v>
      </c>
      <c r="K132" s="392">
        <f t="shared" si="5"/>
        <v>0.6129994801</v>
      </c>
      <c r="L132" s="327">
        <f t="shared" si="2"/>
        <v>6.205253923</v>
      </c>
      <c r="M132" s="321" t="str">
        <f t="shared" si="3"/>
        <v>rubenrussel7</v>
      </c>
      <c r="N132" s="176">
        <f>IFERROR(__xludf.DUMMYFUNCTION("""COMPUTED_VALUE"""),3.0)</f>
        <v>3</v>
      </c>
      <c r="O132" s="176"/>
      <c r="P132" s="176"/>
      <c r="Q132" s="176"/>
      <c r="R132" s="176"/>
      <c r="S132" s="176"/>
      <c r="T132" s="176"/>
      <c r="U132" s="176"/>
      <c r="V132" s="176"/>
      <c r="W132" s="176"/>
      <c r="X132" s="176"/>
      <c r="Y132" s="176"/>
      <c r="Z132" s="176"/>
    </row>
    <row r="133">
      <c r="A133" s="226" t="s">
        <v>70</v>
      </c>
      <c r="B133" s="226" t="s">
        <v>18</v>
      </c>
      <c r="C133" s="250" t="s">
        <v>3766</v>
      </c>
      <c r="D133" s="268" t="s">
        <v>495</v>
      </c>
      <c r="E133" s="361">
        <v>44138.0</v>
      </c>
      <c r="F133" s="250" t="s">
        <v>496</v>
      </c>
      <c r="G133" s="171">
        <v>1.0</v>
      </c>
      <c r="H133" s="171">
        <v>60.0</v>
      </c>
      <c r="I133" s="171">
        <v>60.0</v>
      </c>
      <c r="J133" s="391">
        <f t="shared" si="4"/>
        <v>0.003803295358</v>
      </c>
      <c r="K133" s="392">
        <f t="shared" si="5"/>
        <v>1.473776951</v>
      </c>
      <c r="L133" s="327">
        <f t="shared" si="2"/>
        <v>6.205253923</v>
      </c>
      <c r="M133" s="321" t="str">
        <f t="shared" si="3"/>
        <v>rubenrussel7</v>
      </c>
      <c r="N133" s="176">
        <f>IFERROR(__xludf.DUMMYFUNCTION("""COMPUTED_VALUE"""),4.0)</f>
        <v>4</v>
      </c>
      <c r="O133" s="176"/>
      <c r="P133" s="176"/>
      <c r="Q133" s="176"/>
      <c r="R133" s="176"/>
      <c r="S133" s="176"/>
      <c r="T133" s="176"/>
      <c r="U133" s="176"/>
      <c r="V133" s="176"/>
      <c r="W133" s="176"/>
      <c r="X133" s="176"/>
      <c r="Y133" s="176"/>
      <c r="Z133" s="176"/>
    </row>
    <row r="134">
      <c r="A134" s="226" t="s">
        <v>70</v>
      </c>
      <c r="B134" s="226" t="s">
        <v>519</v>
      </c>
      <c r="C134" s="250" t="s">
        <v>3734</v>
      </c>
      <c r="D134" s="268" t="s">
        <v>495</v>
      </c>
      <c r="E134" s="361">
        <v>44140.0</v>
      </c>
      <c r="F134" s="250" t="s">
        <v>499</v>
      </c>
      <c r="G134" s="171">
        <v>3.0</v>
      </c>
      <c r="H134" s="171">
        <v>5.0</v>
      </c>
      <c r="I134" s="171">
        <v>5.0</v>
      </c>
      <c r="J134" s="391">
        <f t="shared" si="4"/>
        <v>0.0003169412798</v>
      </c>
      <c r="K134" s="392">
        <f t="shared" si="5"/>
        <v>0.1228147459</v>
      </c>
      <c r="L134" s="327">
        <f t="shared" si="2"/>
        <v>6.205253923</v>
      </c>
      <c r="M134" s="321" t="str">
        <f t="shared" si="3"/>
        <v>rubenrussel7</v>
      </c>
      <c r="N134" s="176">
        <f>IFERROR(__xludf.DUMMYFUNCTION("""COMPUTED_VALUE"""),5.0)</f>
        <v>5</v>
      </c>
      <c r="O134" s="176"/>
      <c r="P134" s="176"/>
      <c r="Q134" s="176"/>
      <c r="R134" s="176"/>
      <c r="S134" s="176"/>
      <c r="T134" s="176"/>
      <c r="U134" s="176"/>
      <c r="V134" s="176"/>
      <c r="W134" s="176"/>
      <c r="X134" s="176"/>
      <c r="Y134" s="176"/>
      <c r="Z134" s="176"/>
    </row>
    <row r="135">
      <c r="A135" s="226" t="s">
        <v>70</v>
      </c>
      <c r="B135" s="226" t="s">
        <v>18</v>
      </c>
      <c r="C135" s="250" t="s">
        <v>3768</v>
      </c>
      <c r="D135" s="268" t="s">
        <v>495</v>
      </c>
      <c r="E135" s="361">
        <v>44141.0</v>
      </c>
      <c r="F135" s="250" t="s">
        <v>496</v>
      </c>
      <c r="G135" s="171">
        <v>1.0</v>
      </c>
      <c r="H135" s="171">
        <v>200.0</v>
      </c>
      <c r="I135" s="171">
        <v>150.0</v>
      </c>
      <c r="J135" s="391">
        <f t="shared" si="4"/>
        <v>0.01110680608</v>
      </c>
      <c r="K135" s="392">
        <f t="shared" si="5"/>
        <v>4.303887355</v>
      </c>
      <c r="L135" s="327">
        <f t="shared" si="2"/>
        <v>6.205253923</v>
      </c>
      <c r="M135" s="321" t="str">
        <f t="shared" si="3"/>
        <v>rubenrussel7</v>
      </c>
      <c r="N135" s="176">
        <f>IFERROR(__xludf.DUMMYFUNCTION("""COMPUTED_VALUE"""),6.0)</f>
        <v>6</v>
      </c>
      <c r="O135" s="176"/>
      <c r="P135" s="176"/>
      <c r="Q135" s="176"/>
      <c r="R135" s="176"/>
      <c r="S135" s="176"/>
      <c r="T135" s="176"/>
      <c r="U135" s="176"/>
      <c r="V135" s="176"/>
      <c r="W135" s="176"/>
      <c r="X135" s="176"/>
      <c r="Y135" s="176"/>
      <c r="Z135" s="176"/>
    </row>
    <row r="136">
      <c r="A136" s="226" t="s">
        <v>70</v>
      </c>
      <c r="B136" s="226" t="s">
        <v>5</v>
      </c>
      <c r="C136" s="250" t="s">
        <v>3715</v>
      </c>
      <c r="D136" s="268" t="s">
        <v>495</v>
      </c>
      <c r="E136" s="361">
        <v>44141.0</v>
      </c>
      <c r="F136" s="250" t="s">
        <v>496</v>
      </c>
      <c r="G136" s="171">
        <v>1.0</v>
      </c>
      <c r="H136" s="171">
        <v>30.0</v>
      </c>
      <c r="I136" s="176"/>
      <c r="J136" s="391">
        <f t="shared" si="4"/>
        <v>0.00095914061</v>
      </c>
      <c r="K136" s="392">
        <f t="shared" si="5"/>
        <v>0.3716669864</v>
      </c>
      <c r="L136" s="327">
        <f t="shared" si="2"/>
        <v>6.205253923</v>
      </c>
      <c r="M136" s="321" t="str">
        <f t="shared" si="3"/>
        <v>rubenrussel7</v>
      </c>
      <c r="N136" s="176">
        <f>IFERROR(__xludf.DUMMYFUNCTION("""COMPUTED_VALUE"""),7.0)</f>
        <v>7</v>
      </c>
      <c r="O136" s="176"/>
      <c r="P136" s="176"/>
      <c r="Q136" s="176"/>
      <c r="R136" s="176"/>
      <c r="S136" s="176"/>
      <c r="T136" s="176"/>
      <c r="U136" s="176"/>
      <c r="V136" s="176"/>
      <c r="W136" s="176"/>
      <c r="X136" s="176"/>
      <c r="Y136" s="176"/>
      <c r="Z136" s="176"/>
    </row>
    <row r="137">
      <c r="A137" s="226" t="s">
        <v>6</v>
      </c>
      <c r="B137" s="226" t="s">
        <v>519</v>
      </c>
      <c r="C137" s="250" t="s">
        <v>3769</v>
      </c>
      <c r="D137" s="268" t="s">
        <v>495</v>
      </c>
      <c r="E137" s="251">
        <v>44129.0</v>
      </c>
      <c r="F137" s="250" t="s">
        <v>496</v>
      </c>
      <c r="G137" s="171">
        <v>1.0</v>
      </c>
      <c r="H137" s="171">
        <v>150.0</v>
      </c>
      <c r="I137" s="171">
        <v>150.0</v>
      </c>
      <c r="J137" s="391">
        <f t="shared" si="4"/>
        <v>0.009508238394</v>
      </c>
      <c r="K137" s="392">
        <f t="shared" si="5"/>
        <v>3.684442378</v>
      </c>
      <c r="L137" s="327">
        <f t="shared" si="2"/>
        <v>6.617755611</v>
      </c>
      <c r="M137" s="321" t="str">
        <f t="shared" si="3"/>
        <v>sembrestels</v>
      </c>
      <c r="N137" s="176">
        <f>IFERROR(__xludf.DUMMYFUNCTION("""COMPUTED_VALUE"""),12.0)</f>
        <v>12</v>
      </c>
      <c r="O137" s="176"/>
      <c r="P137" s="176"/>
      <c r="Q137" s="176"/>
      <c r="R137" s="176"/>
      <c r="S137" s="176"/>
      <c r="T137" s="176"/>
      <c r="U137" s="176"/>
      <c r="V137" s="176"/>
      <c r="W137" s="176"/>
      <c r="X137" s="176"/>
      <c r="Y137" s="176"/>
      <c r="Z137" s="176"/>
    </row>
    <row r="138">
      <c r="A138" s="226" t="s">
        <v>72</v>
      </c>
      <c r="B138" s="226" t="s">
        <v>18</v>
      </c>
      <c r="C138" s="250" t="s">
        <v>3708</v>
      </c>
      <c r="D138" s="268" t="s">
        <v>495</v>
      </c>
      <c r="E138" s="251">
        <v>44132.0</v>
      </c>
      <c r="F138" s="250" t="s">
        <v>496</v>
      </c>
      <c r="G138" s="171">
        <v>1.0</v>
      </c>
      <c r="H138" s="171">
        <v>50.0</v>
      </c>
      <c r="I138" s="171">
        <v>40.0</v>
      </c>
      <c r="J138" s="391">
        <f t="shared" si="4"/>
        <v>0.002855243775</v>
      </c>
      <c r="K138" s="392">
        <f t="shared" si="5"/>
        <v>1.106406963</v>
      </c>
      <c r="L138" s="327">
        <f t="shared" si="2"/>
        <v>9.69699368</v>
      </c>
      <c r="M138" s="321" t="str">
        <f t="shared" si="3"/>
        <v>daithic</v>
      </c>
      <c r="N138" s="176">
        <f>IFERROR(__xludf.DUMMYFUNCTION("""COMPUTED_VALUE"""),2.0)</f>
        <v>2</v>
      </c>
      <c r="O138" s="176"/>
      <c r="P138" s="176"/>
      <c r="Q138" s="176"/>
      <c r="R138" s="176"/>
      <c r="S138" s="176"/>
      <c r="T138" s="176"/>
      <c r="U138" s="176"/>
      <c r="V138" s="176"/>
      <c r="W138" s="176"/>
      <c r="X138" s="176"/>
      <c r="Y138" s="176"/>
      <c r="Z138" s="176"/>
    </row>
    <row r="139">
      <c r="A139" s="226" t="s">
        <v>72</v>
      </c>
      <c r="B139" s="226" t="s">
        <v>519</v>
      </c>
      <c r="C139" s="250" t="s">
        <v>3711</v>
      </c>
      <c r="D139" s="268" t="s">
        <v>495</v>
      </c>
      <c r="E139" s="251">
        <v>44134.0</v>
      </c>
      <c r="F139" s="250" t="s">
        <v>496</v>
      </c>
      <c r="G139" s="171">
        <v>1.0</v>
      </c>
      <c r="H139" s="171">
        <v>30.0</v>
      </c>
      <c r="I139" s="171">
        <v>40.0</v>
      </c>
      <c r="J139" s="391">
        <f t="shared" si="4"/>
        <v>0.002215816702</v>
      </c>
      <c r="K139" s="392">
        <f t="shared" si="5"/>
        <v>0.8586289719</v>
      </c>
      <c r="L139" s="327">
        <f t="shared" si="2"/>
        <v>9.69699368</v>
      </c>
      <c r="M139" s="321" t="str">
        <f t="shared" si="3"/>
        <v>daithic</v>
      </c>
      <c r="N139" s="176">
        <f>IFERROR(__xludf.DUMMYFUNCTION("""COMPUTED_VALUE"""),3.0)</f>
        <v>3</v>
      </c>
      <c r="O139" s="176"/>
      <c r="P139" s="176"/>
      <c r="Q139" s="176"/>
      <c r="R139" s="176"/>
      <c r="S139" s="176"/>
      <c r="T139" s="176"/>
      <c r="U139" s="176"/>
      <c r="V139" s="176"/>
      <c r="W139" s="176"/>
      <c r="X139" s="176"/>
      <c r="Y139" s="176"/>
      <c r="Z139" s="176"/>
    </row>
    <row r="140">
      <c r="A140" s="226" t="s">
        <v>72</v>
      </c>
      <c r="B140" s="226" t="s">
        <v>5</v>
      </c>
      <c r="C140" s="250" t="s">
        <v>3770</v>
      </c>
      <c r="D140" s="268" t="s">
        <v>495</v>
      </c>
      <c r="E140" s="361">
        <v>44138.0</v>
      </c>
      <c r="F140" s="250" t="s">
        <v>496</v>
      </c>
      <c r="G140" s="171">
        <v>1.0</v>
      </c>
      <c r="H140" s="171">
        <v>100.0</v>
      </c>
      <c r="I140" s="171">
        <v>150.0</v>
      </c>
      <c r="J140" s="391">
        <f t="shared" si="4"/>
        <v>0.007909670711</v>
      </c>
      <c r="K140" s="392">
        <f t="shared" si="5"/>
        <v>3.0649974</v>
      </c>
      <c r="L140" s="327">
        <f t="shared" si="2"/>
        <v>9.69699368</v>
      </c>
      <c r="M140" s="321" t="str">
        <f t="shared" si="3"/>
        <v>daithic</v>
      </c>
      <c r="N140" s="176">
        <f>IFERROR(__xludf.DUMMYFUNCTION("""COMPUTED_VALUE"""),4.0)</f>
        <v>4</v>
      </c>
      <c r="O140" s="176"/>
      <c r="P140" s="176"/>
      <c r="Q140" s="176"/>
      <c r="R140" s="176"/>
      <c r="S140" s="176"/>
      <c r="T140" s="176"/>
      <c r="U140" s="176"/>
      <c r="V140" s="176"/>
      <c r="W140" s="176"/>
      <c r="X140" s="176"/>
      <c r="Y140" s="176"/>
      <c r="Z140" s="176"/>
    </row>
    <row r="141">
      <c r="A141" s="226" t="s">
        <v>72</v>
      </c>
      <c r="B141" s="226" t="s">
        <v>5</v>
      </c>
      <c r="C141" s="250" t="s">
        <v>3729</v>
      </c>
      <c r="D141" s="268" t="s">
        <v>495</v>
      </c>
      <c r="E141" s="361">
        <v>44138.0</v>
      </c>
      <c r="F141" s="250" t="s">
        <v>496</v>
      </c>
      <c r="G141" s="171">
        <v>1.0</v>
      </c>
      <c r="H141" s="171">
        <v>40.0</v>
      </c>
      <c r="I141" s="171">
        <v>40.0</v>
      </c>
      <c r="J141" s="391">
        <f t="shared" si="4"/>
        <v>0.002535530238</v>
      </c>
      <c r="K141" s="392">
        <f t="shared" si="5"/>
        <v>0.9825179674</v>
      </c>
      <c r="L141" s="327">
        <f t="shared" si="2"/>
        <v>9.69699368</v>
      </c>
      <c r="M141" s="321" t="str">
        <f t="shared" si="3"/>
        <v>daithic</v>
      </c>
      <c r="N141" s="176">
        <f>IFERROR(__xludf.DUMMYFUNCTION("""COMPUTED_VALUE"""),5.0)</f>
        <v>5</v>
      </c>
      <c r="O141" s="176"/>
      <c r="P141" s="176"/>
      <c r="Q141" s="176"/>
      <c r="R141" s="176"/>
      <c r="S141" s="176"/>
      <c r="T141" s="176"/>
      <c r="U141" s="176"/>
      <c r="V141" s="176"/>
      <c r="W141" s="176"/>
      <c r="X141" s="176"/>
      <c r="Y141" s="176"/>
      <c r="Z141" s="176"/>
    </row>
    <row r="142">
      <c r="A142" s="226" t="s">
        <v>70</v>
      </c>
      <c r="B142" s="226" t="s">
        <v>590</v>
      </c>
      <c r="C142" s="250" t="s">
        <v>3771</v>
      </c>
      <c r="D142" s="268" t="s">
        <v>495</v>
      </c>
      <c r="E142" s="251">
        <v>44131.0</v>
      </c>
      <c r="F142" s="250" t="s">
        <v>496</v>
      </c>
      <c r="G142" s="171">
        <v>1.0</v>
      </c>
      <c r="H142" s="171">
        <v>60.0</v>
      </c>
      <c r="I142" s="171">
        <v>80.0</v>
      </c>
      <c r="J142" s="391">
        <f t="shared" si="4"/>
        <v>0.004431633404</v>
      </c>
      <c r="K142" s="392">
        <f t="shared" si="5"/>
        <v>1.717257944</v>
      </c>
      <c r="L142" s="327">
        <f t="shared" si="2"/>
        <v>6.205253923</v>
      </c>
      <c r="M142" s="321" t="str">
        <f t="shared" si="3"/>
        <v>rubenrussel7</v>
      </c>
      <c r="N142" s="176">
        <f>IFERROR(__xludf.DUMMYFUNCTION("""COMPUTED_VALUE"""),8.0)</f>
        <v>8</v>
      </c>
      <c r="O142" s="176"/>
      <c r="P142" s="176"/>
      <c r="Q142" s="176"/>
      <c r="R142" s="176"/>
      <c r="S142" s="176"/>
      <c r="T142" s="176"/>
      <c r="U142" s="176"/>
      <c r="V142" s="176"/>
      <c r="W142" s="176"/>
      <c r="X142" s="176"/>
      <c r="Y142" s="176"/>
      <c r="Z142" s="176"/>
    </row>
    <row r="143">
      <c r="A143" s="226" t="s">
        <v>71</v>
      </c>
      <c r="B143" s="226" t="s">
        <v>18</v>
      </c>
      <c r="C143" s="250" t="s">
        <v>3755</v>
      </c>
      <c r="D143" s="268" t="s">
        <v>495</v>
      </c>
      <c r="E143" s="251">
        <v>44133.0</v>
      </c>
      <c r="F143" s="250" t="s">
        <v>496</v>
      </c>
      <c r="G143" s="171">
        <v>1.0</v>
      </c>
      <c r="H143" s="171">
        <v>40.0</v>
      </c>
      <c r="I143" s="171">
        <v>70.0</v>
      </c>
      <c r="J143" s="391">
        <f t="shared" si="4"/>
        <v>0.003478037307</v>
      </c>
      <c r="K143" s="392">
        <f t="shared" si="5"/>
        <v>1.347739457</v>
      </c>
      <c r="L143" s="327">
        <f t="shared" si="2"/>
        <v>6.136440298</v>
      </c>
      <c r="M143" s="321" t="str">
        <f t="shared" si="3"/>
        <v>quartagiulio</v>
      </c>
      <c r="N143" s="176">
        <f>IFERROR(__xludf.DUMMYFUNCTION("""COMPUTED_VALUE"""),1.0)</f>
        <v>1</v>
      </c>
      <c r="O143" s="176"/>
      <c r="P143" s="176"/>
      <c r="Q143" s="176"/>
      <c r="R143" s="176"/>
      <c r="S143" s="176"/>
      <c r="T143" s="176"/>
      <c r="U143" s="176"/>
      <c r="V143" s="176"/>
      <c r="W143" s="176"/>
      <c r="X143" s="176"/>
      <c r="Y143" s="176"/>
      <c r="Z143" s="176"/>
    </row>
    <row r="144">
      <c r="A144" s="226" t="s">
        <v>43</v>
      </c>
      <c r="B144" s="226" t="s">
        <v>590</v>
      </c>
      <c r="C144" s="250" t="s">
        <v>3772</v>
      </c>
      <c r="D144" s="268" t="s">
        <v>495</v>
      </c>
      <c r="E144" s="251">
        <v>44134.0</v>
      </c>
      <c r="F144" s="250" t="s">
        <v>496</v>
      </c>
      <c r="G144" s="171">
        <v>1.0</v>
      </c>
      <c r="H144" s="171">
        <v>200.0</v>
      </c>
      <c r="I144" s="171">
        <v>200.0</v>
      </c>
      <c r="J144" s="391">
        <f t="shared" si="4"/>
        <v>0.01267765119</v>
      </c>
      <c r="K144" s="392">
        <f t="shared" si="5"/>
        <v>4.912589837</v>
      </c>
      <c r="L144" s="327">
        <f t="shared" si="2"/>
        <v>1.487395943</v>
      </c>
      <c r="M144" s="321" t="str">
        <f t="shared" si="3"/>
        <v>markop</v>
      </c>
      <c r="N144" s="176">
        <f>IFERROR(__xludf.DUMMYFUNCTION("""COMPUTED_VALUE"""),1.0)</f>
        <v>1</v>
      </c>
      <c r="O144" s="176"/>
      <c r="P144" s="176"/>
      <c r="Q144" s="176"/>
      <c r="R144" s="176"/>
      <c r="S144" s="176"/>
      <c r="T144" s="176"/>
      <c r="U144" s="176"/>
      <c r="V144" s="176"/>
      <c r="W144" s="176"/>
      <c r="X144" s="176"/>
      <c r="Y144" s="176"/>
      <c r="Z144" s="176"/>
    </row>
    <row r="145">
      <c r="A145" s="226" t="s">
        <v>43</v>
      </c>
      <c r="B145" s="226" t="s">
        <v>519</v>
      </c>
      <c r="C145" s="250" t="s">
        <v>3773</v>
      </c>
      <c r="D145" s="268" t="s">
        <v>495</v>
      </c>
      <c r="E145" s="251">
        <v>44135.0</v>
      </c>
      <c r="F145" s="250" t="s">
        <v>496</v>
      </c>
      <c r="G145" s="171">
        <v>1.0</v>
      </c>
      <c r="H145" s="171">
        <v>30.0</v>
      </c>
      <c r="I145" s="171">
        <v>150.0</v>
      </c>
      <c r="J145" s="391">
        <f t="shared" si="4"/>
        <v>0.005671675954</v>
      </c>
      <c r="K145" s="392">
        <f t="shared" si="5"/>
        <v>2.197774432</v>
      </c>
      <c r="L145" s="327">
        <f t="shared" si="2"/>
        <v>1.487395943</v>
      </c>
      <c r="M145" s="321" t="str">
        <f t="shared" si="3"/>
        <v>markop</v>
      </c>
      <c r="N145" s="176">
        <f>IFERROR(__xludf.DUMMYFUNCTION("""COMPUTED_VALUE"""),2.0)</f>
        <v>2</v>
      </c>
      <c r="O145" s="176"/>
      <c r="P145" s="176"/>
      <c r="Q145" s="176"/>
      <c r="R145" s="176"/>
      <c r="S145" s="176"/>
      <c r="T145" s="176"/>
      <c r="U145" s="176"/>
      <c r="V145" s="176"/>
      <c r="W145" s="176"/>
      <c r="X145" s="176"/>
      <c r="Y145" s="176"/>
      <c r="Z145" s="176"/>
    </row>
    <row r="146">
      <c r="A146" s="226" t="s">
        <v>43</v>
      </c>
      <c r="B146" s="226" t="s">
        <v>1577</v>
      </c>
      <c r="C146" s="250" t="s">
        <v>3774</v>
      </c>
      <c r="D146" s="268" t="s">
        <v>495</v>
      </c>
      <c r="E146" s="361">
        <v>44137.0</v>
      </c>
      <c r="F146" s="250" t="s">
        <v>496</v>
      </c>
      <c r="G146" s="171">
        <v>1.0</v>
      </c>
      <c r="H146" s="171">
        <v>50.0</v>
      </c>
      <c r="I146" s="171">
        <v>70.0</v>
      </c>
      <c r="J146" s="391">
        <f t="shared" si="4"/>
        <v>0.003797750844</v>
      </c>
      <c r="K146" s="392">
        <f t="shared" si="5"/>
        <v>1.471628452</v>
      </c>
      <c r="L146" s="327">
        <f t="shared" si="2"/>
        <v>1.487395943</v>
      </c>
      <c r="M146" s="321" t="str">
        <f t="shared" si="3"/>
        <v>markop</v>
      </c>
      <c r="N146" s="176">
        <f>IFERROR(__xludf.DUMMYFUNCTION("""COMPUTED_VALUE"""),3.0)</f>
        <v>3</v>
      </c>
      <c r="O146" s="176"/>
      <c r="P146" s="176"/>
      <c r="Q146" s="176"/>
      <c r="R146" s="176"/>
      <c r="S146" s="176"/>
      <c r="T146" s="176"/>
      <c r="U146" s="176"/>
      <c r="V146" s="176"/>
      <c r="W146" s="176"/>
      <c r="X146" s="176"/>
      <c r="Y146" s="176"/>
      <c r="Z146" s="176"/>
    </row>
    <row r="147">
      <c r="A147" s="226" t="s">
        <v>43</v>
      </c>
      <c r="B147" s="226" t="s">
        <v>519</v>
      </c>
      <c r="C147" s="250" t="s">
        <v>2329</v>
      </c>
      <c r="D147" s="268" t="s">
        <v>495</v>
      </c>
      <c r="E147" s="361">
        <v>44139.0</v>
      </c>
      <c r="F147" s="250" t="s">
        <v>521</v>
      </c>
      <c r="G147" s="171">
        <v>3.0</v>
      </c>
      <c r="H147" s="171">
        <v>20.0</v>
      </c>
      <c r="I147" s="171">
        <v>20.0</v>
      </c>
      <c r="J147" s="391">
        <f t="shared" si="4"/>
        <v>0.001267765119</v>
      </c>
      <c r="K147" s="392">
        <f t="shared" si="5"/>
        <v>0.4912589837</v>
      </c>
      <c r="L147" s="327">
        <f t="shared" si="2"/>
        <v>1.487395943</v>
      </c>
      <c r="M147" s="321" t="str">
        <f t="shared" si="3"/>
        <v>markop</v>
      </c>
      <c r="N147" s="176">
        <f>IFERROR(__xludf.DUMMYFUNCTION("""COMPUTED_VALUE"""),4.0)</f>
        <v>4</v>
      </c>
      <c r="O147" s="176"/>
      <c r="P147" s="176"/>
      <c r="Q147" s="176"/>
      <c r="R147" s="176"/>
      <c r="S147" s="176"/>
      <c r="T147" s="176"/>
      <c r="U147" s="176"/>
      <c r="V147" s="176"/>
      <c r="W147" s="176"/>
      <c r="X147" s="176"/>
      <c r="Y147" s="176"/>
      <c r="Z147" s="176"/>
    </row>
    <row r="148">
      <c r="A148" s="226" t="s">
        <v>43</v>
      </c>
      <c r="B148" s="226" t="s">
        <v>519</v>
      </c>
      <c r="C148" s="250" t="s">
        <v>3734</v>
      </c>
      <c r="D148" s="268" t="s">
        <v>495</v>
      </c>
      <c r="E148" s="361">
        <v>44140.0</v>
      </c>
      <c r="F148" s="250" t="s">
        <v>499</v>
      </c>
      <c r="G148" s="171">
        <v>3.0</v>
      </c>
      <c r="H148" s="171">
        <v>5.0</v>
      </c>
      <c r="I148" s="171">
        <v>5.0</v>
      </c>
      <c r="J148" s="391">
        <f t="shared" si="4"/>
        <v>0.0003169412798</v>
      </c>
      <c r="K148" s="392">
        <f t="shared" si="5"/>
        <v>0.1228147459</v>
      </c>
      <c r="L148" s="327">
        <f t="shared" si="2"/>
        <v>1.487395943</v>
      </c>
      <c r="M148" s="321" t="str">
        <f t="shared" si="3"/>
        <v>markop</v>
      </c>
      <c r="N148" s="176">
        <f>IFERROR(__xludf.DUMMYFUNCTION("""COMPUTED_VALUE"""),5.0)</f>
        <v>5</v>
      </c>
      <c r="O148" s="176"/>
      <c r="P148" s="176"/>
      <c r="Q148" s="176"/>
      <c r="R148" s="176"/>
      <c r="S148" s="176"/>
      <c r="T148" s="176"/>
      <c r="U148" s="176"/>
      <c r="V148" s="176"/>
      <c r="W148" s="176"/>
      <c r="X148" s="176"/>
      <c r="Y148" s="176"/>
      <c r="Z148" s="176"/>
    </row>
    <row r="149">
      <c r="A149" s="226" t="s">
        <v>87</v>
      </c>
      <c r="B149" s="226" t="s">
        <v>5</v>
      </c>
      <c r="C149" s="250" t="s">
        <v>3775</v>
      </c>
      <c r="D149" s="268" t="s">
        <v>495</v>
      </c>
      <c r="E149" s="251">
        <v>44135.0</v>
      </c>
      <c r="F149" s="250" t="s">
        <v>496</v>
      </c>
      <c r="G149" s="171">
        <v>1.0</v>
      </c>
      <c r="H149" s="171">
        <v>1.0</v>
      </c>
      <c r="I149" s="171">
        <v>5.0</v>
      </c>
      <c r="J149" s="391">
        <f t="shared" si="4"/>
        <v>0.0001890558651</v>
      </c>
      <c r="K149" s="392">
        <f t="shared" si="5"/>
        <v>0.07325914774</v>
      </c>
      <c r="L149" s="327">
        <f t="shared" si="2"/>
        <v>4.990145983</v>
      </c>
      <c r="M149" s="321" t="str">
        <f t="shared" si="3"/>
        <v>abchewey</v>
      </c>
      <c r="N149" s="176">
        <f>IFERROR(__xludf.DUMMYFUNCTION("""COMPUTED_VALUE"""),1.0)</f>
        <v>1</v>
      </c>
      <c r="O149" s="176"/>
      <c r="P149" s="176"/>
      <c r="Q149" s="176"/>
      <c r="R149" s="176"/>
      <c r="S149" s="176"/>
      <c r="T149" s="176"/>
      <c r="U149" s="176"/>
      <c r="V149" s="176"/>
      <c r="W149" s="176"/>
      <c r="X149" s="176"/>
      <c r="Y149" s="176"/>
      <c r="Z149" s="176"/>
    </row>
    <row r="150">
      <c r="A150" s="226" t="s">
        <v>41</v>
      </c>
      <c r="B150" s="226" t="s">
        <v>590</v>
      </c>
      <c r="C150" s="250" t="s">
        <v>3776</v>
      </c>
      <c r="D150" s="268" t="s">
        <v>495</v>
      </c>
      <c r="E150" s="251">
        <v>44130.0</v>
      </c>
      <c r="F150" s="250" t="s">
        <v>496</v>
      </c>
      <c r="G150" s="171">
        <v>1.0</v>
      </c>
      <c r="H150" s="171">
        <v>120.0</v>
      </c>
      <c r="I150" s="171">
        <v>70.0</v>
      </c>
      <c r="J150" s="391">
        <f t="shared" si="4"/>
        <v>0.006035745601</v>
      </c>
      <c r="K150" s="392">
        <f t="shared" si="5"/>
        <v>2.33885142</v>
      </c>
      <c r="L150" s="327">
        <f t="shared" si="2"/>
        <v>4.17999836</v>
      </c>
      <c r="M150" s="321" t="str">
        <f t="shared" si="3"/>
        <v>blairv</v>
      </c>
      <c r="N150" s="176">
        <f>IFERROR(__xludf.DUMMYFUNCTION("""COMPUTED_VALUE"""),1.0)</f>
        <v>1</v>
      </c>
      <c r="O150" s="176"/>
      <c r="P150" s="176"/>
      <c r="Q150" s="176"/>
      <c r="R150" s="176"/>
      <c r="S150" s="176"/>
      <c r="T150" s="176"/>
      <c r="U150" s="176"/>
      <c r="V150" s="176"/>
      <c r="W150" s="176"/>
      <c r="X150" s="176"/>
      <c r="Y150" s="176"/>
      <c r="Z150" s="176"/>
    </row>
    <row r="151">
      <c r="A151" s="226" t="s">
        <v>85</v>
      </c>
      <c r="B151" s="226" t="s">
        <v>5</v>
      </c>
      <c r="C151" s="250" t="s">
        <v>3709</v>
      </c>
      <c r="D151" s="268" t="s">
        <v>495</v>
      </c>
      <c r="E151" s="251">
        <v>44133.0</v>
      </c>
      <c r="F151" s="250" t="s">
        <v>496</v>
      </c>
      <c r="G151" s="171">
        <v>1.0</v>
      </c>
      <c r="H151" s="171">
        <v>50.0</v>
      </c>
      <c r="I151" s="171">
        <v>40.0</v>
      </c>
      <c r="J151" s="391">
        <f t="shared" si="4"/>
        <v>0.002855243775</v>
      </c>
      <c r="K151" s="392">
        <f t="shared" si="5"/>
        <v>1.106406963</v>
      </c>
      <c r="L151" s="327">
        <f t="shared" si="2"/>
        <v>1.457228693</v>
      </c>
      <c r="M151" s="321" t="str">
        <f t="shared" si="3"/>
        <v>vivszaid</v>
      </c>
      <c r="N151" s="176">
        <f>IFERROR(__xludf.DUMMYFUNCTION("""COMPUTED_VALUE"""),1.0)</f>
        <v>1</v>
      </c>
      <c r="O151" s="176"/>
      <c r="P151" s="176"/>
      <c r="Q151" s="176"/>
      <c r="R151" s="176"/>
      <c r="S151" s="176"/>
      <c r="T151" s="176"/>
      <c r="U151" s="176"/>
      <c r="V151" s="176"/>
      <c r="W151" s="176"/>
      <c r="X151" s="176"/>
      <c r="Y151" s="176"/>
      <c r="Z151" s="176"/>
    </row>
    <row r="152">
      <c r="A152" s="226" t="s">
        <v>85</v>
      </c>
      <c r="B152" s="226" t="s">
        <v>590</v>
      </c>
      <c r="C152" s="250" t="s">
        <v>3777</v>
      </c>
      <c r="D152" s="268" t="s">
        <v>495</v>
      </c>
      <c r="E152" s="251">
        <v>44133.0</v>
      </c>
      <c r="F152" s="250" t="s">
        <v>496</v>
      </c>
      <c r="G152" s="171">
        <v>1.0</v>
      </c>
      <c r="H152" s="171">
        <v>60.0</v>
      </c>
      <c r="I152" s="171">
        <v>100.0</v>
      </c>
      <c r="J152" s="391">
        <f t="shared" si="4"/>
        <v>0.005059971449</v>
      </c>
      <c r="K152" s="392">
        <f t="shared" si="5"/>
        <v>1.960738937</v>
      </c>
      <c r="L152" s="327">
        <f t="shared" si="2"/>
        <v>1.457228693</v>
      </c>
      <c r="M152" s="321" t="str">
        <f t="shared" si="3"/>
        <v>vivszaid</v>
      </c>
      <c r="N152" s="176">
        <f>IFERROR(__xludf.DUMMYFUNCTION("""COMPUTED_VALUE"""),2.0)</f>
        <v>2</v>
      </c>
      <c r="O152" s="176"/>
      <c r="P152" s="176"/>
      <c r="Q152" s="176"/>
      <c r="R152" s="176"/>
      <c r="S152" s="176"/>
      <c r="T152" s="176"/>
      <c r="U152" s="176"/>
      <c r="V152" s="176"/>
      <c r="W152" s="176"/>
      <c r="X152" s="176"/>
      <c r="Y152" s="176"/>
      <c r="Z152" s="176"/>
    </row>
    <row r="153">
      <c r="A153" s="226" t="s">
        <v>85</v>
      </c>
      <c r="B153" s="226" t="s">
        <v>519</v>
      </c>
      <c r="C153" s="250" t="s">
        <v>3778</v>
      </c>
      <c r="D153" s="268" t="s">
        <v>495</v>
      </c>
      <c r="E153" s="251">
        <v>44135.0</v>
      </c>
      <c r="F153" s="250" t="s">
        <v>496</v>
      </c>
      <c r="G153" s="171">
        <v>1.0</v>
      </c>
      <c r="H153" s="171">
        <v>200.0</v>
      </c>
      <c r="I153" s="171">
        <v>150.0</v>
      </c>
      <c r="J153" s="391">
        <f t="shared" si="4"/>
        <v>0.01110680608</v>
      </c>
      <c r="K153" s="392">
        <f t="shared" si="5"/>
        <v>4.303887355</v>
      </c>
      <c r="L153" s="327">
        <f t="shared" si="2"/>
        <v>1.457228693</v>
      </c>
      <c r="M153" s="321" t="str">
        <f t="shared" si="3"/>
        <v>vivszaid</v>
      </c>
      <c r="N153" s="176">
        <f>IFERROR(__xludf.DUMMYFUNCTION("""COMPUTED_VALUE"""),3.0)</f>
        <v>3</v>
      </c>
      <c r="O153" s="176"/>
      <c r="P153" s="176"/>
      <c r="Q153" s="176"/>
      <c r="R153" s="176"/>
      <c r="S153" s="176"/>
      <c r="T153" s="176"/>
      <c r="U153" s="176"/>
      <c r="V153" s="176"/>
      <c r="W153" s="176"/>
      <c r="X153" s="176"/>
      <c r="Y153" s="176"/>
      <c r="Z153" s="176"/>
    </row>
    <row r="154">
      <c r="A154" s="226" t="s">
        <v>85</v>
      </c>
      <c r="B154" s="226" t="s">
        <v>5</v>
      </c>
      <c r="C154" s="250" t="s">
        <v>3715</v>
      </c>
      <c r="D154" s="268" t="s">
        <v>495</v>
      </c>
      <c r="E154" s="361">
        <v>44141.0</v>
      </c>
      <c r="F154" s="250" t="s">
        <v>496</v>
      </c>
      <c r="G154" s="171">
        <v>1.0</v>
      </c>
      <c r="H154" s="171">
        <v>50.0</v>
      </c>
      <c r="I154" s="171">
        <v>40.0</v>
      </c>
      <c r="J154" s="391">
        <f t="shared" si="4"/>
        <v>0.002855243775</v>
      </c>
      <c r="K154" s="392">
        <f t="shared" si="5"/>
        <v>1.106406963</v>
      </c>
      <c r="L154" s="327">
        <f t="shared" si="2"/>
        <v>1.457228693</v>
      </c>
      <c r="M154" s="321" t="str">
        <f t="shared" si="3"/>
        <v>vivszaid</v>
      </c>
      <c r="N154" s="176">
        <f>IFERROR(__xludf.DUMMYFUNCTION("""COMPUTED_VALUE"""),4.0)</f>
        <v>4</v>
      </c>
      <c r="O154" s="176"/>
      <c r="P154" s="176"/>
      <c r="Q154" s="176"/>
      <c r="R154" s="176"/>
      <c r="S154" s="176"/>
      <c r="T154" s="176"/>
      <c r="U154" s="176"/>
      <c r="V154" s="176"/>
      <c r="W154" s="176"/>
      <c r="X154" s="176"/>
      <c r="Y154" s="176"/>
      <c r="Z154" s="176"/>
    </row>
    <row r="155">
      <c r="A155" s="226" t="s">
        <v>54</v>
      </c>
      <c r="B155" s="226" t="s">
        <v>519</v>
      </c>
      <c r="C155" s="250" t="s">
        <v>3711</v>
      </c>
      <c r="D155" s="268" t="s">
        <v>495</v>
      </c>
      <c r="E155" s="251">
        <v>44134.0</v>
      </c>
      <c r="F155" s="250" t="s">
        <v>496</v>
      </c>
      <c r="G155" s="171">
        <v>1.0</v>
      </c>
      <c r="H155" s="171">
        <v>30.0</v>
      </c>
      <c r="I155" s="171">
        <v>40.0</v>
      </c>
      <c r="J155" s="391">
        <f t="shared" si="4"/>
        <v>0.002215816702</v>
      </c>
      <c r="K155" s="392">
        <f t="shared" si="5"/>
        <v>0.8586289719</v>
      </c>
      <c r="L155" s="327">
        <f t="shared" si="2"/>
        <v>8.100401983</v>
      </c>
      <c r="M155" s="321" t="str">
        <f t="shared" si="3"/>
        <v>hbesso31</v>
      </c>
      <c r="N155" s="176">
        <f>IFERROR(__xludf.DUMMYFUNCTION("""COMPUTED_VALUE"""),2.0)</f>
        <v>2</v>
      </c>
      <c r="O155" s="176"/>
      <c r="P155" s="176"/>
      <c r="Q155" s="176"/>
      <c r="R155" s="176"/>
      <c r="S155" s="176"/>
      <c r="T155" s="176"/>
      <c r="U155" s="176"/>
      <c r="V155" s="176"/>
      <c r="W155" s="176"/>
      <c r="X155" s="176"/>
      <c r="Y155" s="176"/>
      <c r="Z155" s="176"/>
    </row>
    <row r="156">
      <c r="A156" s="226" t="s">
        <v>54</v>
      </c>
      <c r="B156" s="226" t="s">
        <v>590</v>
      </c>
      <c r="C156" s="250" t="s">
        <v>3779</v>
      </c>
      <c r="D156" s="268" t="s">
        <v>495</v>
      </c>
      <c r="E156" s="361">
        <v>44137.0</v>
      </c>
      <c r="F156" s="250" t="s">
        <v>496</v>
      </c>
      <c r="G156" s="171">
        <v>1.0</v>
      </c>
      <c r="H156" s="171">
        <v>50.0</v>
      </c>
      <c r="I156" s="171">
        <v>70.0</v>
      </c>
      <c r="J156" s="391">
        <f t="shared" si="4"/>
        <v>0.003797750844</v>
      </c>
      <c r="K156" s="392">
        <f t="shared" si="5"/>
        <v>1.471628452</v>
      </c>
      <c r="L156" s="327">
        <f t="shared" si="2"/>
        <v>8.100401983</v>
      </c>
      <c r="M156" s="321" t="str">
        <f t="shared" si="3"/>
        <v>hbesso31</v>
      </c>
      <c r="N156" s="176">
        <f>IFERROR(__xludf.DUMMYFUNCTION("""COMPUTED_VALUE"""),3.0)</f>
        <v>3</v>
      </c>
      <c r="O156" s="176"/>
      <c r="P156" s="176"/>
      <c r="Q156" s="176"/>
      <c r="R156" s="176"/>
      <c r="S156" s="176"/>
      <c r="T156" s="176"/>
      <c r="U156" s="176"/>
      <c r="V156" s="176"/>
      <c r="W156" s="176"/>
      <c r="X156" s="176"/>
      <c r="Y156" s="176"/>
      <c r="Z156" s="176"/>
    </row>
    <row r="157">
      <c r="A157" s="226" t="s">
        <v>54</v>
      </c>
      <c r="B157" s="226" t="s">
        <v>18</v>
      </c>
      <c r="C157" s="250" t="s">
        <v>3780</v>
      </c>
      <c r="D157" s="268" t="s">
        <v>495</v>
      </c>
      <c r="E157" s="361">
        <v>44138.0</v>
      </c>
      <c r="F157" s="250" t="s">
        <v>496</v>
      </c>
      <c r="G157" s="171">
        <v>1.0</v>
      </c>
      <c r="H157" s="171">
        <v>200.0</v>
      </c>
      <c r="I157" s="171">
        <v>200.0</v>
      </c>
      <c r="J157" s="391">
        <f t="shared" si="4"/>
        <v>0.01267765119</v>
      </c>
      <c r="K157" s="392">
        <f t="shared" si="5"/>
        <v>4.912589837</v>
      </c>
      <c r="L157" s="327">
        <f t="shared" si="2"/>
        <v>8.100401983</v>
      </c>
      <c r="M157" s="321" t="str">
        <f t="shared" si="3"/>
        <v>hbesso31</v>
      </c>
      <c r="N157" s="176">
        <f>IFERROR(__xludf.DUMMYFUNCTION("""COMPUTED_VALUE"""),4.0)</f>
        <v>4</v>
      </c>
      <c r="O157" s="176"/>
      <c r="P157" s="176"/>
      <c r="Q157" s="176"/>
      <c r="R157" s="176"/>
      <c r="S157" s="176"/>
      <c r="T157" s="176"/>
      <c r="U157" s="176"/>
      <c r="V157" s="176"/>
      <c r="W157" s="176"/>
      <c r="X157" s="176"/>
      <c r="Y157" s="176"/>
      <c r="Z157" s="176"/>
    </row>
    <row r="158">
      <c r="A158" s="226" t="s">
        <v>54</v>
      </c>
      <c r="B158" s="226" t="s">
        <v>590</v>
      </c>
      <c r="C158" s="250" t="s">
        <v>3781</v>
      </c>
      <c r="D158" s="268" t="s">
        <v>495</v>
      </c>
      <c r="E158" s="361">
        <v>44138.0</v>
      </c>
      <c r="F158" s="250" t="s">
        <v>496</v>
      </c>
      <c r="G158" s="171" t="s">
        <v>3752</v>
      </c>
      <c r="H158" s="171">
        <v>0.0</v>
      </c>
      <c r="I158" s="171">
        <v>0.0</v>
      </c>
      <c r="J158" s="391">
        <f t="shared" si="4"/>
        <v>0</v>
      </c>
      <c r="K158" s="392">
        <f t="shared" si="5"/>
        <v>0</v>
      </c>
      <c r="L158" s="327">
        <f t="shared" si="2"/>
        <v>8.100401983</v>
      </c>
      <c r="M158" s="321" t="str">
        <f t="shared" si="3"/>
        <v>hbesso31</v>
      </c>
      <c r="N158" s="176">
        <f>IFERROR(__xludf.DUMMYFUNCTION("""COMPUTED_VALUE"""),5.0)</f>
        <v>5</v>
      </c>
      <c r="O158" s="176"/>
      <c r="P158" s="176"/>
      <c r="Q158" s="176"/>
      <c r="R158" s="176"/>
      <c r="S158" s="176"/>
      <c r="T158" s="176"/>
      <c r="U158" s="176"/>
      <c r="V158" s="176"/>
      <c r="W158" s="176"/>
      <c r="X158" s="176"/>
      <c r="Y158" s="176"/>
      <c r="Z158" s="176"/>
    </row>
    <row r="159">
      <c r="A159" s="226" t="s">
        <v>54</v>
      </c>
      <c r="B159" s="226" t="s">
        <v>5</v>
      </c>
      <c r="C159" s="250" t="s">
        <v>3728</v>
      </c>
      <c r="D159" s="268" t="s">
        <v>495</v>
      </c>
      <c r="E159" s="361">
        <v>44138.0</v>
      </c>
      <c r="F159" s="250" t="s">
        <v>496</v>
      </c>
      <c r="G159" s="171" t="s">
        <v>3752</v>
      </c>
      <c r="H159" s="171">
        <v>0.0</v>
      </c>
      <c r="I159" s="171">
        <v>0.0</v>
      </c>
      <c r="J159" s="391">
        <f t="shared" si="4"/>
        <v>0</v>
      </c>
      <c r="K159" s="392">
        <f t="shared" si="5"/>
        <v>0</v>
      </c>
      <c r="L159" s="327">
        <f t="shared" si="2"/>
        <v>8.100401983</v>
      </c>
      <c r="M159" s="321" t="str">
        <f t="shared" si="3"/>
        <v>hbesso31</v>
      </c>
      <c r="N159" s="176">
        <f>IFERROR(__xludf.DUMMYFUNCTION("""COMPUTED_VALUE"""),6.0)</f>
        <v>6</v>
      </c>
      <c r="O159" s="176"/>
      <c r="P159" s="176"/>
      <c r="Q159" s="176"/>
      <c r="R159" s="176"/>
      <c r="S159" s="176"/>
      <c r="T159" s="176"/>
      <c r="U159" s="176"/>
      <c r="V159" s="176"/>
      <c r="W159" s="176"/>
      <c r="X159" s="176"/>
      <c r="Y159" s="176"/>
      <c r="Z159" s="176"/>
    </row>
    <row r="160">
      <c r="A160" s="226" t="s">
        <v>54</v>
      </c>
      <c r="B160" s="226" t="s">
        <v>519</v>
      </c>
      <c r="C160" s="250" t="s">
        <v>3734</v>
      </c>
      <c r="D160" s="268" t="s">
        <v>495</v>
      </c>
      <c r="E160" s="361">
        <v>44140.0</v>
      </c>
      <c r="F160" s="250" t="s">
        <v>499</v>
      </c>
      <c r="G160" s="171">
        <v>3.0</v>
      </c>
      <c r="H160" s="171">
        <v>5.0</v>
      </c>
      <c r="I160" s="171">
        <v>5.0</v>
      </c>
      <c r="J160" s="391">
        <f t="shared" si="4"/>
        <v>0.0003169412798</v>
      </c>
      <c r="K160" s="392">
        <f t="shared" si="5"/>
        <v>0.1228147459</v>
      </c>
      <c r="L160" s="327">
        <f t="shared" si="2"/>
        <v>8.100401983</v>
      </c>
      <c r="M160" s="321" t="str">
        <f t="shared" si="3"/>
        <v>hbesso31</v>
      </c>
      <c r="N160" s="176">
        <f>IFERROR(__xludf.DUMMYFUNCTION("""COMPUTED_VALUE"""),7.0)</f>
        <v>7</v>
      </c>
      <c r="O160" s="176"/>
      <c r="P160" s="176"/>
      <c r="Q160" s="176"/>
      <c r="R160" s="176"/>
      <c r="S160" s="176"/>
      <c r="T160" s="176"/>
      <c r="U160" s="176"/>
      <c r="V160" s="176"/>
      <c r="W160" s="176"/>
      <c r="X160" s="176"/>
      <c r="Y160" s="176"/>
      <c r="Z160" s="176"/>
    </row>
    <row r="161">
      <c r="A161" s="226" t="s">
        <v>17</v>
      </c>
      <c r="B161" s="226" t="s">
        <v>18</v>
      </c>
      <c r="C161" s="250" t="s">
        <v>3718</v>
      </c>
      <c r="D161" s="268" t="s">
        <v>495</v>
      </c>
      <c r="E161" s="251">
        <v>44131.0</v>
      </c>
      <c r="F161" s="250" t="s">
        <v>496</v>
      </c>
      <c r="G161" s="171">
        <v>1.0</v>
      </c>
      <c r="H161" s="171">
        <v>40.0</v>
      </c>
      <c r="I161" s="171">
        <v>40.0</v>
      </c>
      <c r="J161" s="391">
        <f t="shared" si="4"/>
        <v>0.002535530238</v>
      </c>
      <c r="K161" s="392">
        <f t="shared" si="5"/>
        <v>0.9825179674</v>
      </c>
      <c r="L161" s="327">
        <f t="shared" si="2"/>
        <v>7.486328254</v>
      </c>
      <c r="M161" s="321" t="str">
        <f t="shared" si="3"/>
        <v>tonga2020</v>
      </c>
      <c r="N161" s="176">
        <f>IFERROR(__xludf.DUMMYFUNCTION("""COMPUTED_VALUE"""),2.0)</f>
        <v>2</v>
      </c>
      <c r="O161" s="176"/>
      <c r="P161" s="176"/>
      <c r="Q161" s="176"/>
      <c r="R161" s="176"/>
      <c r="S161" s="176"/>
      <c r="T161" s="176"/>
      <c r="U161" s="176"/>
      <c r="V161" s="176"/>
      <c r="W161" s="176"/>
      <c r="X161" s="176"/>
      <c r="Y161" s="176"/>
      <c r="Z161" s="176"/>
    </row>
    <row r="162">
      <c r="A162" s="226" t="s">
        <v>17</v>
      </c>
      <c r="B162" s="226" t="s">
        <v>519</v>
      </c>
      <c r="C162" s="250" t="s">
        <v>3707</v>
      </c>
      <c r="D162" s="268" t="s">
        <v>495</v>
      </c>
      <c r="E162" s="251">
        <v>44132.0</v>
      </c>
      <c r="F162" s="250" t="s">
        <v>496</v>
      </c>
      <c r="G162" s="171">
        <v>1.0</v>
      </c>
      <c r="H162" s="171">
        <v>50.0</v>
      </c>
      <c r="I162" s="171">
        <v>50.0</v>
      </c>
      <c r="J162" s="391">
        <f t="shared" si="4"/>
        <v>0.003169412798</v>
      </c>
      <c r="K162" s="392">
        <f t="shared" si="5"/>
        <v>1.228147459</v>
      </c>
      <c r="L162" s="327">
        <f t="shared" si="2"/>
        <v>7.486328254</v>
      </c>
      <c r="M162" s="321" t="str">
        <f t="shared" si="3"/>
        <v>tonga2020</v>
      </c>
      <c r="N162" s="176">
        <f>IFERROR(__xludf.DUMMYFUNCTION("""COMPUTED_VALUE"""),3.0)</f>
        <v>3</v>
      </c>
      <c r="O162" s="176"/>
      <c r="P162" s="176"/>
      <c r="Q162" s="176"/>
      <c r="R162" s="176"/>
      <c r="S162" s="176"/>
      <c r="T162" s="176"/>
      <c r="U162" s="176"/>
      <c r="V162" s="176"/>
      <c r="W162" s="176"/>
      <c r="X162" s="176"/>
      <c r="Y162" s="176"/>
      <c r="Z162" s="176"/>
    </row>
    <row r="163">
      <c r="A163" s="226" t="s">
        <v>17</v>
      </c>
      <c r="B163" s="226" t="s">
        <v>18</v>
      </c>
      <c r="C163" s="250" t="s">
        <v>3708</v>
      </c>
      <c r="D163" s="268" t="s">
        <v>495</v>
      </c>
      <c r="E163" s="251">
        <v>44132.0</v>
      </c>
      <c r="F163" s="250" t="s">
        <v>496</v>
      </c>
      <c r="G163" s="171">
        <v>1.0</v>
      </c>
      <c r="H163" s="171">
        <v>30.0</v>
      </c>
      <c r="I163" s="171">
        <v>30.0</v>
      </c>
      <c r="J163" s="391">
        <f t="shared" si="4"/>
        <v>0.001901647679</v>
      </c>
      <c r="K163" s="392">
        <f t="shared" si="5"/>
        <v>0.7368884755</v>
      </c>
      <c r="L163" s="327">
        <f t="shared" si="2"/>
        <v>7.486328254</v>
      </c>
      <c r="M163" s="321" t="str">
        <f t="shared" si="3"/>
        <v>tonga2020</v>
      </c>
      <c r="N163" s="176">
        <f>IFERROR(__xludf.DUMMYFUNCTION("""COMPUTED_VALUE"""),4.0)</f>
        <v>4</v>
      </c>
      <c r="O163" s="176"/>
      <c r="P163" s="176"/>
      <c r="Q163" s="176"/>
      <c r="R163" s="176"/>
      <c r="S163" s="176"/>
      <c r="T163" s="176"/>
      <c r="U163" s="176"/>
      <c r="V163" s="176"/>
      <c r="W163" s="176"/>
      <c r="X163" s="176"/>
      <c r="Y163" s="176"/>
      <c r="Z163" s="176"/>
    </row>
    <row r="164">
      <c r="A164" s="226" t="s">
        <v>17</v>
      </c>
      <c r="B164" s="226" t="s">
        <v>10</v>
      </c>
      <c r="C164" s="250" t="s">
        <v>3743</v>
      </c>
      <c r="D164" s="268" t="s">
        <v>495</v>
      </c>
      <c r="E164" s="251">
        <v>44133.0</v>
      </c>
      <c r="F164" s="250" t="s">
        <v>496</v>
      </c>
      <c r="G164" s="171">
        <v>1.0</v>
      </c>
      <c r="H164" s="171">
        <v>20.0</v>
      </c>
      <c r="I164" s="171">
        <v>40.0</v>
      </c>
      <c r="J164" s="391">
        <f t="shared" si="4"/>
        <v>0.001896103165</v>
      </c>
      <c r="K164" s="392">
        <f t="shared" si="5"/>
        <v>0.7347399765</v>
      </c>
      <c r="L164" s="327">
        <f t="shared" si="2"/>
        <v>7.486328254</v>
      </c>
      <c r="M164" s="321" t="str">
        <f t="shared" si="3"/>
        <v>tonga2020</v>
      </c>
      <c r="N164" s="176">
        <f>IFERROR(__xludf.DUMMYFUNCTION("""COMPUTED_VALUE"""),5.0)</f>
        <v>5</v>
      </c>
      <c r="O164" s="176"/>
      <c r="P164" s="176"/>
      <c r="Q164" s="176"/>
      <c r="R164" s="176"/>
      <c r="S164" s="176"/>
      <c r="T164" s="176"/>
      <c r="U164" s="176"/>
      <c r="V164" s="176"/>
      <c r="W164" s="176"/>
      <c r="X164" s="176"/>
      <c r="Y164" s="176"/>
      <c r="Z164" s="176"/>
    </row>
    <row r="165">
      <c r="A165" s="226" t="s">
        <v>17</v>
      </c>
      <c r="B165" s="226" t="s">
        <v>590</v>
      </c>
      <c r="C165" s="250" t="s">
        <v>3782</v>
      </c>
      <c r="D165" s="268" t="s">
        <v>495</v>
      </c>
      <c r="E165" s="251">
        <v>44133.0</v>
      </c>
      <c r="F165" s="250" t="s">
        <v>496</v>
      </c>
      <c r="G165" s="171">
        <v>1.0</v>
      </c>
      <c r="H165" s="171">
        <v>10.0</v>
      </c>
      <c r="I165" s="171">
        <v>10.0</v>
      </c>
      <c r="J165" s="391">
        <f t="shared" si="4"/>
        <v>0.0006338825596</v>
      </c>
      <c r="K165" s="392">
        <f t="shared" si="5"/>
        <v>0.2456294918</v>
      </c>
      <c r="L165" s="327">
        <f t="shared" si="2"/>
        <v>7.486328254</v>
      </c>
      <c r="M165" s="321" t="str">
        <f t="shared" si="3"/>
        <v>tonga2020</v>
      </c>
      <c r="N165" s="176">
        <f>IFERROR(__xludf.DUMMYFUNCTION("""COMPUTED_VALUE"""),6.0)</f>
        <v>6</v>
      </c>
      <c r="O165" s="176"/>
      <c r="P165" s="176"/>
      <c r="Q165" s="176"/>
      <c r="R165" s="176"/>
      <c r="S165" s="176"/>
      <c r="T165" s="176"/>
      <c r="U165" s="176"/>
      <c r="V165" s="176"/>
      <c r="W165" s="176"/>
      <c r="X165" s="176"/>
      <c r="Y165" s="176"/>
      <c r="Z165" s="176"/>
    </row>
    <row r="166">
      <c r="A166" s="226" t="s">
        <v>17</v>
      </c>
      <c r="B166" s="226" t="s">
        <v>5</v>
      </c>
      <c r="C166" s="250" t="s">
        <v>3729</v>
      </c>
      <c r="D166" s="268" t="s">
        <v>495</v>
      </c>
      <c r="E166" s="361">
        <v>44138.0</v>
      </c>
      <c r="F166" s="250" t="s">
        <v>496</v>
      </c>
      <c r="G166" s="171">
        <v>1.0</v>
      </c>
      <c r="H166" s="171">
        <v>40.0</v>
      </c>
      <c r="I166" s="171">
        <v>40.0</v>
      </c>
      <c r="J166" s="391">
        <f t="shared" si="4"/>
        <v>0.002535530238</v>
      </c>
      <c r="K166" s="392">
        <f t="shared" si="5"/>
        <v>0.9825179674</v>
      </c>
      <c r="L166" s="327">
        <f t="shared" si="2"/>
        <v>7.486328254</v>
      </c>
      <c r="M166" s="321" t="str">
        <f t="shared" si="3"/>
        <v>tonga2020</v>
      </c>
      <c r="N166" s="176">
        <f>IFERROR(__xludf.DUMMYFUNCTION("""COMPUTED_VALUE"""),7.0)</f>
        <v>7</v>
      </c>
      <c r="O166" s="176"/>
      <c r="P166" s="176"/>
      <c r="Q166" s="176"/>
      <c r="R166" s="176"/>
      <c r="S166" s="176"/>
      <c r="T166" s="176"/>
      <c r="U166" s="176"/>
      <c r="V166" s="176"/>
      <c r="W166" s="176"/>
      <c r="X166" s="176"/>
      <c r="Y166" s="209"/>
      <c r="Z166" s="209"/>
    </row>
    <row r="167">
      <c r="A167" s="226" t="s">
        <v>17</v>
      </c>
      <c r="B167" s="226" t="s">
        <v>5</v>
      </c>
      <c r="C167" s="250" t="s">
        <v>3730</v>
      </c>
      <c r="D167" s="268" t="s">
        <v>495</v>
      </c>
      <c r="E167" s="361">
        <v>44138.0</v>
      </c>
      <c r="F167" s="250" t="s">
        <v>496</v>
      </c>
      <c r="G167" s="171">
        <v>1.0</v>
      </c>
      <c r="H167" s="171">
        <v>30.0</v>
      </c>
      <c r="I167" s="171">
        <v>40.0</v>
      </c>
      <c r="J167" s="391">
        <f t="shared" si="4"/>
        <v>0.002215816702</v>
      </c>
      <c r="K167" s="392">
        <f t="shared" si="5"/>
        <v>0.8586289719</v>
      </c>
      <c r="L167" s="327">
        <f t="shared" si="2"/>
        <v>7.486328254</v>
      </c>
      <c r="M167" s="321" t="str">
        <f t="shared" si="3"/>
        <v>tonga2020</v>
      </c>
      <c r="N167" s="176">
        <f>IFERROR(__xludf.DUMMYFUNCTION("""COMPUTED_VALUE"""),8.0)</f>
        <v>8</v>
      </c>
      <c r="O167" s="176"/>
      <c r="P167" s="176"/>
      <c r="Q167" s="176"/>
      <c r="R167" s="176"/>
      <c r="S167" s="176"/>
      <c r="T167" s="176"/>
      <c r="U167" s="176"/>
      <c r="V167" s="176"/>
      <c r="W167" s="176"/>
      <c r="X167" s="176"/>
      <c r="Y167" s="176"/>
      <c r="Z167" s="176"/>
    </row>
    <row r="168">
      <c r="A168" s="226" t="s">
        <v>8</v>
      </c>
      <c r="B168" s="226" t="s">
        <v>1577</v>
      </c>
      <c r="C168" s="250" t="s">
        <v>3783</v>
      </c>
      <c r="D168" s="268" t="s">
        <v>495</v>
      </c>
      <c r="E168" s="251">
        <v>44133.0</v>
      </c>
      <c r="F168" s="250" t="s">
        <v>496</v>
      </c>
      <c r="G168" s="171">
        <v>3.0</v>
      </c>
      <c r="H168" s="171">
        <v>40.0</v>
      </c>
      <c r="I168" s="171">
        <v>50.0</v>
      </c>
      <c r="J168" s="391">
        <f t="shared" si="4"/>
        <v>0.002849699261</v>
      </c>
      <c r="K168" s="392">
        <f t="shared" si="5"/>
        <v>1.104258464</v>
      </c>
      <c r="L168" s="327">
        <f t="shared" si="2"/>
        <v>3.926849121</v>
      </c>
      <c r="M168" s="321" t="str">
        <f t="shared" si="3"/>
        <v>solsista</v>
      </c>
      <c r="N168" s="176">
        <f>IFERROR(__xludf.DUMMYFUNCTION("""COMPUTED_VALUE"""),1.0)</f>
        <v>1</v>
      </c>
      <c r="O168" s="176"/>
      <c r="P168" s="176"/>
      <c r="Q168" s="176"/>
      <c r="R168" s="176"/>
      <c r="S168" s="176"/>
      <c r="T168" s="176"/>
      <c r="U168" s="176"/>
      <c r="V168" s="176"/>
      <c r="W168" s="176"/>
      <c r="X168" s="176"/>
      <c r="Y168" s="176"/>
      <c r="Z168" s="176"/>
    </row>
    <row r="169">
      <c r="A169" s="226" t="s">
        <v>83</v>
      </c>
      <c r="B169" s="226" t="s">
        <v>18</v>
      </c>
      <c r="C169" s="250" t="s">
        <v>3739</v>
      </c>
      <c r="D169" s="268" t="s">
        <v>495</v>
      </c>
      <c r="E169" s="251">
        <v>44134.0</v>
      </c>
      <c r="F169" s="250" t="s">
        <v>496</v>
      </c>
      <c r="G169" s="171">
        <v>1.0</v>
      </c>
      <c r="H169" s="171">
        <v>150.0</v>
      </c>
      <c r="I169" s="171">
        <v>100.0</v>
      </c>
      <c r="J169" s="391">
        <f t="shared" si="4"/>
        <v>0.007937393279</v>
      </c>
      <c r="K169" s="392">
        <f t="shared" si="5"/>
        <v>3.075739896</v>
      </c>
      <c r="L169" s="327">
        <f t="shared" si="2"/>
        <v>3.075739896</v>
      </c>
      <c r="M169" s="321" t="str">
        <f t="shared" si="3"/>
        <v>anjablaj</v>
      </c>
      <c r="N169" s="176">
        <f>IFERROR(__xludf.DUMMYFUNCTION("""COMPUTED_VALUE"""),1.0)</f>
        <v>1</v>
      </c>
      <c r="O169" s="176"/>
      <c r="P169" s="176"/>
      <c r="Q169" s="176"/>
      <c r="R169" s="176"/>
      <c r="S169" s="176"/>
      <c r="T169" s="176"/>
      <c r="U169" s="176"/>
      <c r="V169" s="176"/>
      <c r="W169" s="176"/>
      <c r="X169" s="176"/>
      <c r="Y169" s="176"/>
      <c r="Z169" s="176"/>
    </row>
    <row r="170">
      <c r="A170" s="226" t="s">
        <v>2410</v>
      </c>
      <c r="B170" s="226" t="s">
        <v>590</v>
      </c>
      <c r="C170" s="250" t="s">
        <v>3705</v>
      </c>
      <c r="D170" s="268" t="s">
        <v>495</v>
      </c>
      <c r="E170" s="251">
        <v>44131.0</v>
      </c>
      <c r="F170" s="250" t="s">
        <v>496</v>
      </c>
      <c r="G170" s="171">
        <v>1.0</v>
      </c>
      <c r="H170" s="171">
        <v>20.0</v>
      </c>
      <c r="I170" s="171">
        <v>40.0</v>
      </c>
      <c r="J170" s="391">
        <f t="shared" si="4"/>
        <v>0.001896103165</v>
      </c>
      <c r="K170" s="392">
        <f t="shared" si="5"/>
        <v>0.7347399765</v>
      </c>
      <c r="L170" s="327">
        <f t="shared" si="2"/>
        <v>7.597326255</v>
      </c>
      <c r="M170" s="321" t="str">
        <f t="shared" si="3"/>
        <v>ygg_anderson</v>
      </c>
      <c r="N170" s="176">
        <f>IFERROR(__xludf.DUMMYFUNCTION("""COMPUTED_VALUE"""),2.0)</f>
        <v>2</v>
      </c>
      <c r="O170" s="176"/>
      <c r="P170" s="176"/>
      <c r="Q170" s="176"/>
      <c r="R170" s="176"/>
      <c r="S170" s="176"/>
      <c r="T170" s="176"/>
      <c r="U170" s="176"/>
      <c r="V170" s="176"/>
      <c r="W170" s="176"/>
      <c r="X170" s="176"/>
      <c r="Y170" s="176"/>
      <c r="Z170" s="176"/>
    </row>
    <row r="171">
      <c r="A171" s="226" t="s">
        <v>2410</v>
      </c>
      <c r="B171" s="226" t="s">
        <v>18</v>
      </c>
      <c r="C171" s="250" t="s">
        <v>3708</v>
      </c>
      <c r="D171" s="268" t="s">
        <v>495</v>
      </c>
      <c r="E171" s="251">
        <v>44132.0</v>
      </c>
      <c r="F171" s="250" t="s">
        <v>496</v>
      </c>
      <c r="G171" s="171">
        <v>1.0</v>
      </c>
      <c r="H171" s="171">
        <v>30.0</v>
      </c>
      <c r="I171" s="171">
        <v>30.0</v>
      </c>
      <c r="J171" s="391">
        <f t="shared" si="4"/>
        <v>0.001901647679</v>
      </c>
      <c r="K171" s="392">
        <f t="shared" si="5"/>
        <v>0.7368884755</v>
      </c>
      <c r="L171" s="327">
        <f t="shared" si="2"/>
        <v>7.597326255</v>
      </c>
      <c r="M171" s="321" t="str">
        <f t="shared" si="3"/>
        <v>ygg_anderson</v>
      </c>
      <c r="N171" s="176">
        <f>IFERROR(__xludf.DUMMYFUNCTION("""COMPUTED_VALUE"""),3.0)</f>
        <v>3</v>
      </c>
      <c r="O171" s="176"/>
      <c r="P171" s="176"/>
      <c r="Q171" s="176"/>
      <c r="R171" s="176"/>
      <c r="S171" s="176"/>
      <c r="T171" s="176"/>
      <c r="U171" s="176"/>
      <c r="V171" s="176"/>
      <c r="W171" s="176"/>
      <c r="X171" s="176"/>
      <c r="Y171" s="176"/>
      <c r="Z171" s="176"/>
    </row>
    <row r="172">
      <c r="A172" s="226" t="s">
        <v>2410</v>
      </c>
      <c r="B172" s="226" t="s">
        <v>10</v>
      </c>
      <c r="C172" s="250" t="s">
        <v>3743</v>
      </c>
      <c r="D172" s="268" t="s">
        <v>495</v>
      </c>
      <c r="E172" s="251">
        <v>44133.0</v>
      </c>
      <c r="F172" s="250" t="s">
        <v>496</v>
      </c>
      <c r="G172" s="171">
        <v>1.0</v>
      </c>
      <c r="H172" s="171">
        <v>30.0</v>
      </c>
      <c r="I172" s="171">
        <v>100.0</v>
      </c>
      <c r="J172" s="391">
        <f t="shared" si="4"/>
        <v>0.004100830839</v>
      </c>
      <c r="K172" s="392">
        <f t="shared" si="5"/>
        <v>1.58907195</v>
      </c>
      <c r="L172" s="327">
        <f t="shared" si="2"/>
        <v>7.597326255</v>
      </c>
      <c r="M172" s="321" t="str">
        <f t="shared" si="3"/>
        <v>ygg_anderson</v>
      </c>
      <c r="N172" s="176">
        <f>IFERROR(__xludf.DUMMYFUNCTION("""COMPUTED_VALUE"""),4.0)</f>
        <v>4</v>
      </c>
      <c r="O172" s="176"/>
      <c r="P172" s="176"/>
      <c r="Q172" s="176"/>
      <c r="R172" s="176"/>
      <c r="S172" s="176"/>
      <c r="T172" s="176"/>
      <c r="U172" s="176"/>
      <c r="V172" s="176"/>
      <c r="W172" s="176"/>
      <c r="X172" s="176"/>
      <c r="Y172" s="176"/>
      <c r="Z172" s="176"/>
    </row>
    <row r="173">
      <c r="A173" s="226" t="s">
        <v>2410</v>
      </c>
      <c r="B173" s="226" t="s">
        <v>590</v>
      </c>
      <c r="C173" s="250" t="s">
        <v>3784</v>
      </c>
      <c r="D173" s="268" t="s">
        <v>495</v>
      </c>
      <c r="E173" s="251">
        <v>44133.0</v>
      </c>
      <c r="F173" s="250" t="s">
        <v>496</v>
      </c>
      <c r="G173" s="171">
        <v>1.0</v>
      </c>
      <c r="H173" s="171">
        <v>60.0</v>
      </c>
      <c r="I173" s="171">
        <v>120.0</v>
      </c>
      <c r="J173" s="391">
        <f t="shared" si="4"/>
        <v>0.005688309495</v>
      </c>
      <c r="K173" s="392">
        <f t="shared" si="5"/>
        <v>2.204219929</v>
      </c>
      <c r="L173" s="327">
        <f t="shared" si="2"/>
        <v>7.597326255</v>
      </c>
      <c r="M173" s="321" t="str">
        <f t="shared" si="3"/>
        <v>ygg_anderson</v>
      </c>
      <c r="N173" s="176">
        <f>IFERROR(__xludf.DUMMYFUNCTION("""COMPUTED_VALUE"""),5.0)</f>
        <v>5</v>
      </c>
      <c r="O173" s="176"/>
      <c r="P173" s="176"/>
      <c r="Q173" s="176"/>
      <c r="R173" s="176"/>
      <c r="S173" s="176"/>
      <c r="T173" s="176"/>
      <c r="U173" s="176"/>
      <c r="V173" s="176"/>
      <c r="W173" s="176"/>
      <c r="X173" s="176"/>
      <c r="Y173" s="176"/>
      <c r="Z173" s="176"/>
    </row>
    <row r="174">
      <c r="A174" s="226" t="s">
        <v>2410</v>
      </c>
      <c r="B174" s="226" t="s">
        <v>519</v>
      </c>
      <c r="C174" s="250" t="s">
        <v>3711</v>
      </c>
      <c r="D174" s="268" t="s">
        <v>495</v>
      </c>
      <c r="E174" s="251">
        <v>44134.0</v>
      </c>
      <c r="F174" s="250" t="s">
        <v>496</v>
      </c>
      <c r="G174" s="171">
        <v>1.0</v>
      </c>
      <c r="H174" s="171">
        <v>30.0</v>
      </c>
      <c r="I174" s="171">
        <v>40.0</v>
      </c>
      <c r="J174" s="391">
        <f t="shared" si="4"/>
        <v>0.002215816702</v>
      </c>
      <c r="K174" s="392">
        <f t="shared" si="5"/>
        <v>0.8586289719</v>
      </c>
      <c r="L174" s="327">
        <f t="shared" si="2"/>
        <v>7.597326255</v>
      </c>
      <c r="M174" s="321" t="str">
        <f t="shared" si="3"/>
        <v>ygg_anderson</v>
      </c>
      <c r="N174" s="176">
        <f>IFERROR(__xludf.DUMMYFUNCTION("""COMPUTED_VALUE"""),6.0)</f>
        <v>6</v>
      </c>
      <c r="O174" s="176"/>
      <c r="P174" s="176"/>
      <c r="Q174" s="176"/>
      <c r="R174" s="176"/>
      <c r="S174" s="176"/>
      <c r="T174" s="176"/>
      <c r="U174" s="176"/>
      <c r="V174" s="176"/>
      <c r="W174" s="176"/>
      <c r="X174" s="176"/>
      <c r="Y174" s="176"/>
      <c r="Z174" s="176"/>
    </row>
    <row r="175">
      <c r="A175" s="226" t="s">
        <v>61</v>
      </c>
      <c r="B175" s="226" t="s">
        <v>519</v>
      </c>
      <c r="C175" s="250" t="s">
        <v>3707</v>
      </c>
      <c r="D175" s="268" t="s">
        <v>495</v>
      </c>
      <c r="E175" s="251">
        <v>44132.0</v>
      </c>
      <c r="F175" s="250" t="s">
        <v>496</v>
      </c>
      <c r="G175" s="171">
        <v>1.0</v>
      </c>
      <c r="H175" s="171">
        <v>50.0</v>
      </c>
      <c r="I175" s="171">
        <v>50.0</v>
      </c>
      <c r="J175" s="391">
        <f t="shared" si="4"/>
        <v>0.003169412798</v>
      </c>
      <c r="K175" s="392">
        <f t="shared" si="5"/>
        <v>1.228147459</v>
      </c>
      <c r="L175" s="327">
        <f t="shared" si="2"/>
        <v>3.069294399</v>
      </c>
      <c r="M175" s="321" t="str">
        <f t="shared" si="3"/>
        <v>fabimol</v>
      </c>
      <c r="N175" s="176">
        <f>IFERROR(__xludf.DUMMYFUNCTION("""COMPUTED_VALUE"""),1.0)</f>
        <v>1</v>
      </c>
      <c r="O175" s="176"/>
      <c r="P175" s="176"/>
      <c r="Q175" s="176"/>
      <c r="R175" s="176"/>
      <c r="S175" s="176"/>
      <c r="T175" s="176"/>
      <c r="U175" s="176"/>
      <c r="V175" s="176"/>
      <c r="W175" s="176"/>
      <c r="X175" s="176"/>
      <c r="Y175" s="176"/>
      <c r="Z175" s="176"/>
    </row>
    <row r="176">
      <c r="A176" s="226" t="s">
        <v>34</v>
      </c>
      <c r="B176" s="226" t="s">
        <v>519</v>
      </c>
      <c r="C176" s="250" t="s">
        <v>3769</v>
      </c>
      <c r="D176" s="268" t="s">
        <v>495</v>
      </c>
      <c r="E176" s="251">
        <v>44129.0</v>
      </c>
      <c r="F176" s="250" t="s">
        <v>496</v>
      </c>
      <c r="G176" s="171">
        <v>1.0</v>
      </c>
      <c r="H176" s="171">
        <v>120.0</v>
      </c>
      <c r="I176" s="171">
        <v>120.0</v>
      </c>
      <c r="J176" s="391">
        <f t="shared" si="4"/>
        <v>0.007606590715</v>
      </c>
      <c r="K176" s="392">
        <f t="shared" si="5"/>
        <v>2.947553902</v>
      </c>
      <c r="L176" s="327">
        <f t="shared" si="2"/>
        <v>2.947553902</v>
      </c>
      <c r="M176" s="321" t="str">
        <f t="shared" si="3"/>
        <v>xgabi</v>
      </c>
      <c r="N176" s="176">
        <f>IFERROR(__xludf.DUMMYFUNCTION("""COMPUTED_VALUE"""),1.0)</f>
        <v>1</v>
      </c>
      <c r="O176" s="176"/>
      <c r="P176" s="176"/>
      <c r="Q176" s="176"/>
      <c r="R176" s="176"/>
      <c r="S176" s="176"/>
      <c r="T176" s="176"/>
      <c r="U176" s="176"/>
      <c r="V176" s="176"/>
      <c r="W176" s="176"/>
      <c r="X176" s="176"/>
      <c r="Y176" s="176"/>
      <c r="Z176" s="176"/>
    </row>
    <row r="177">
      <c r="A177" s="226" t="s">
        <v>10</v>
      </c>
      <c r="B177" s="226" t="s">
        <v>10</v>
      </c>
      <c r="C177" s="250" t="s">
        <v>3743</v>
      </c>
      <c r="D177" s="268" t="s">
        <v>495</v>
      </c>
      <c r="E177" s="251">
        <v>44133.0</v>
      </c>
      <c r="F177" s="250" t="s">
        <v>496</v>
      </c>
      <c r="G177" s="171">
        <v>1.0</v>
      </c>
      <c r="H177" s="171">
        <v>45.0</v>
      </c>
      <c r="I177" s="171">
        <v>100.0</v>
      </c>
      <c r="J177" s="391">
        <f t="shared" si="4"/>
        <v>0.004580401144</v>
      </c>
      <c r="K177" s="392">
        <f t="shared" si="5"/>
        <v>1.774905443</v>
      </c>
      <c r="L177" s="327">
        <f t="shared" si="2"/>
        <v>0.714328294</v>
      </c>
      <c r="M177" s="321" t="str">
        <f t="shared" si="3"/>
        <v>iviangita</v>
      </c>
      <c r="N177" s="176">
        <f>IFERROR(__xludf.DUMMYFUNCTION("""COMPUTED_VALUE"""),1.0)</f>
        <v>1</v>
      </c>
      <c r="O177" s="176"/>
      <c r="P177" s="176"/>
      <c r="Q177" s="176"/>
      <c r="R177" s="176"/>
      <c r="S177" s="176"/>
      <c r="T177" s="176"/>
      <c r="U177" s="176"/>
      <c r="V177" s="176"/>
      <c r="W177" s="176"/>
      <c r="X177" s="176"/>
      <c r="Y177" s="176"/>
      <c r="Z177" s="176"/>
    </row>
    <row r="178">
      <c r="A178" s="226" t="s">
        <v>10</v>
      </c>
      <c r="B178" s="226" t="s">
        <v>519</v>
      </c>
      <c r="C178" s="250" t="s">
        <v>3785</v>
      </c>
      <c r="D178" s="268" t="s">
        <v>495</v>
      </c>
      <c r="E178" s="251">
        <v>44135.0</v>
      </c>
      <c r="F178" s="250" t="s">
        <v>496</v>
      </c>
      <c r="G178" s="171">
        <v>1.0</v>
      </c>
      <c r="H178" s="171">
        <v>70.0</v>
      </c>
      <c r="I178" s="171">
        <v>70.0</v>
      </c>
      <c r="J178" s="391">
        <f t="shared" si="4"/>
        <v>0.004437177917</v>
      </c>
      <c r="K178" s="392">
        <f t="shared" si="5"/>
        <v>1.719406443</v>
      </c>
      <c r="L178" s="327">
        <f t="shared" si="2"/>
        <v>0.714328294</v>
      </c>
      <c r="M178" s="321" t="str">
        <f t="shared" si="3"/>
        <v>iviangita</v>
      </c>
      <c r="N178" s="176">
        <f>IFERROR(__xludf.DUMMYFUNCTION("""COMPUTED_VALUE"""),2.0)</f>
        <v>2</v>
      </c>
      <c r="O178" s="176"/>
      <c r="P178" s="176"/>
      <c r="Q178" s="176"/>
      <c r="R178" s="176"/>
      <c r="S178" s="176"/>
      <c r="T178" s="176"/>
      <c r="U178" s="176"/>
      <c r="V178" s="176"/>
      <c r="W178" s="176"/>
      <c r="X178" s="176"/>
      <c r="Y178" s="176"/>
      <c r="Z178" s="176"/>
    </row>
    <row r="179">
      <c r="A179" s="226" t="s">
        <v>10</v>
      </c>
      <c r="B179" s="226" t="s">
        <v>519</v>
      </c>
      <c r="C179" s="250" t="s">
        <v>3747</v>
      </c>
      <c r="D179" s="268" t="s">
        <v>495</v>
      </c>
      <c r="E179" s="361">
        <v>44138.0</v>
      </c>
      <c r="F179" s="250" t="s">
        <v>499</v>
      </c>
      <c r="G179" s="171">
        <v>1.0</v>
      </c>
      <c r="H179" s="171">
        <v>70.0</v>
      </c>
      <c r="I179" s="171">
        <v>70.0</v>
      </c>
      <c r="J179" s="391">
        <f t="shared" si="4"/>
        <v>0.004437177917</v>
      </c>
      <c r="K179" s="392">
        <f t="shared" si="5"/>
        <v>1.719406443</v>
      </c>
      <c r="L179" s="327">
        <f t="shared" si="2"/>
        <v>0.714328294</v>
      </c>
      <c r="M179" s="321" t="str">
        <f t="shared" si="3"/>
        <v>iviangita</v>
      </c>
      <c r="N179" s="176">
        <f>IFERROR(__xludf.DUMMYFUNCTION("""COMPUTED_VALUE"""),3.0)</f>
        <v>3</v>
      </c>
      <c r="O179" s="176"/>
      <c r="P179" s="176"/>
      <c r="Q179" s="176"/>
      <c r="R179" s="176"/>
      <c r="S179" s="176"/>
      <c r="T179" s="176"/>
      <c r="U179" s="176"/>
      <c r="V179" s="176"/>
      <c r="W179" s="176"/>
      <c r="X179" s="176"/>
      <c r="Y179" s="176"/>
      <c r="Z179" s="176"/>
    </row>
    <row r="180">
      <c r="A180" s="226" t="s">
        <v>68</v>
      </c>
      <c r="B180" s="226" t="s">
        <v>29</v>
      </c>
      <c r="C180" s="250" t="s">
        <v>3786</v>
      </c>
      <c r="D180" s="268" t="s">
        <v>495</v>
      </c>
      <c r="E180" s="251">
        <v>44132.0</v>
      </c>
      <c r="F180" s="250" t="s">
        <v>592</v>
      </c>
      <c r="G180" s="171">
        <v>3.0</v>
      </c>
      <c r="H180" s="171">
        <v>120.0</v>
      </c>
      <c r="I180" s="171">
        <v>120.0</v>
      </c>
      <c r="J180" s="391">
        <f t="shared" si="4"/>
        <v>0.007606590715</v>
      </c>
      <c r="K180" s="392">
        <f t="shared" si="5"/>
        <v>2.947553902</v>
      </c>
      <c r="L180" s="327">
        <f t="shared" si="2"/>
        <v>2.947553902</v>
      </c>
      <c r="M180" s="321" t="str">
        <f t="shared" si="3"/>
        <v>tylerdmace</v>
      </c>
      <c r="N180" s="176">
        <f>IFERROR(__xludf.DUMMYFUNCTION("""COMPUTED_VALUE"""),1.0)</f>
        <v>1</v>
      </c>
      <c r="O180" s="176"/>
      <c r="P180" s="176"/>
      <c r="Q180" s="176"/>
      <c r="R180" s="176"/>
      <c r="S180" s="176"/>
      <c r="T180" s="176"/>
      <c r="U180" s="176"/>
      <c r="V180" s="176"/>
      <c r="W180" s="176"/>
      <c r="X180" s="176"/>
      <c r="Y180" s="176"/>
      <c r="Z180" s="176"/>
    </row>
    <row r="181">
      <c r="A181" s="226" t="s">
        <v>71</v>
      </c>
      <c r="B181" s="226" t="s">
        <v>519</v>
      </c>
      <c r="C181" s="250" t="s">
        <v>3711</v>
      </c>
      <c r="D181" s="268" t="s">
        <v>495</v>
      </c>
      <c r="E181" s="251">
        <v>44134.0</v>
      </c>
      <c r="F181" s="250" t="s">
        <v>496</v>
      </c>
      <c r="G181" s="171">
        <v>1.0</v>
      </c>
      <c r="H181" s="171">
        <v>30.0</v>
      </c>
      <c r="I181" s="171">
        <v>40.0</v>
      </c>
      <c r="J181" s="391">
        <f t="shared" si="4"/>
        <v>0.002215816702</v>
      </c>
      <c r="K181" s="392">
        <f t="shared" si="5"/>
        <v>0.8586289719</v>
      </c>
      <c r="L181" s="327">
        <f t="shared" si="2"/>
        <v>6.136440298</v>
      </c>
      <c r="M181" s="321" t="str">
        <f t="shared" si="3"/>
        <v>quartagiulio</v>
      </c>
      <c r="N181" s="176">
        <f>IFERROR(__xludf.DUMMYFUNCTION("""COMPUTED_VALUE"""),2.0)</f>
        <v>2</v>
      </c>
      <c r="O181" s="176"/>
      <c r="P181" s="176"/>
      <c r="Q181" s="176"/>
      <c r="R181" s="176"/>
      <c r="S181" s="176"/>
      <c r="T181" s="176"/>
      <c r="U181" s="176"/>
      <c r="V181" s="176"/>
      <c r="W181" s="176"/>
      <c r="X181" s="176"/>
      <c r="Y181" s="176"/>
      <c r="Z181" s="176"/>
    </row>
    <row r="182">
      <c r="A182" s="226" t="s">
        <v>71</v>
      </c>
      <c r="B182" s="226" t="s">
        <v>519</v>
      </c>
      <c r="C182" s="250" t="s">
        <v>3787</v>
      </c>
      <c r="D182" s="268" t="s">
        <v>495</v>
      </c>
      <c r="E182" s="251">
        <v>44135.0</v>
      </c>
      <c r="F182" s="250" t="s">
        <v>496</v>
      </c>
      <c r="G182" s="171">
        <v>1.0</v>
      </c>
      <c r="H182" s="171">
        <v>100.0</v>
      </c>
      <c r="I182" s="171">
        <v>80.0</v>
      </c>
      <c r="J182" s="391">
        <f t="shared" si="4"/>
        <v>0.00571048755</v>
      </c>
      <c r="K182" s="392">
        <f t="shared" si="5"/>
        <v>2.212813926</v>
      </c>
      <c r="L182" s="327">
        <f t="shared" si="2"/>
        <v>6.136440298</v>
      </c>
      <c r="M182" s="321" t="str">
        <f t="shared" si="3"/>
        <v>quartagiulio</v>
      </c>
      <c r="N182" s="176">
        <f>IFERROR(__xludf.DUMMYFUNCTION("""COMPUTED_VALUE"""),3.0)</f>
        <v>3</v>
      </c>
      <c r="O182" s="176"/>
      <c r="P182" s="176"/>
      <c r="Q182" s="176"/>
      <c r="R182" s="176"/>
      <c r="S182" s="176"/>
      <c r="T182" s="176"/>
      <c r="U182" s="176"/>
      <c r="V182" s="176"/>
      <c r="W182" s="176"/>
      <c r="X182" s="176"/>
      <c r="Y182" s="176"/>
      <c r="Z182" s="176"/>
    </row>
    <row r="183">
      <c r="A183" s="226" t="s">
        <v>71</v>
      </c>
      <c r="B183" s="226" t="s">
        <v>5</v>
      </c>
      <c r="C183" s="250" t="s">
        <v>3730</v>
      </c>
      <c r="D183" s="268" t="s">
        <v>495</v>
      </c>
      <c r="E183" s="361">
        <v>44138.0</v>
      </c>
      <c r="F183" s="250" t="s">
        <v>496</v>
      </c>
      <c r="G183" s="171">
        <v>1.0</v>
      </c>
      <c r="H183" s="171">
        <v>30.0</v>
      </c>
      <c r="I183" s="171">
        <v>40.0</v>
      </c>
      <c r="J183" s="391">
        <f t="shared" si="4"/>
        <v>0.002215816702</v>
      </c>
      <c r="K183" s="392">
        <f t="shared" si="5"/>
        <v>0.8586289719</v>
      </c>
      <c r="L183" s="327">
        <f t="shared" si="2"/>
        <v>6.136440298</v>
      </c>
      <c r="M183" s="321" t="str">
        <f t="shared" si="3"/>
        <v>quartagiulio</v>
      </c>
      <c r="N183" s="176">
        <f>IFERROR(__xludf.DUMMYFUNCTION("""COMPUTED_VALUE"""),4.0)</f>
        <v>4</v>
      </c>
      <c r="O183" s="176"/>
      <c r="P183" s="176"/>
      <c r="Q183" s="176"/>
      <c r="R183" s="176"/>
      <c r="S183" s="176"/>
      <c r="T183" s="176"/>
      <c r="U183" s="176"/>
      <c r="V183" s="176"/>
      <c r="W183" s="176"/>
      <c r="X183" s="176"/>
      <c r="Y183" s="176"/>
      <c r="Z183" s="176"/>
    </row>
    <row r="184">
      <c r="A184" s="226" t="s">
        <v>71</v>
      </c>
      <c r="B184" s="226" t="s">
        <v>5</v>
      </c>
      <c r="C184" s="250" t="s">
        <v>3715</v>
      </c>
      <c r="D184" s="268" t="s">
        <v>495</v>
      </c>
      <c r="E184" s="361">
        <v>44141.0</v>
      </c>
      <c r="F184" s="250" t="s">
        <v>496</v>
      </c>
      <c r="G184" s="171">
        <v>1.0</v>
      </c>
      <c r="H184" s="171">
        <v>30.0</v>
      </c>
      <c r="I184" s="171">
        <v>40.0</v>
      </c>
      <c r="J184" s="391">
        <f t="shared" si="4"/>
        <v>0.002215816702</v>
      </c>
      <c r="K184" s="392">
        <f t="shared" si="5"/>
        <v>0.8586289719</v>
      </c>
      <c r="L184" s="327">
        <f t="shared" si="2"/>
        <v>6.136440298</v>
      </c>
      <c r="M184" s="321" t="str">
        <f t="shared" si="3"/>
        <v>quartagiulio</v>
      </c>
      <c r="N184" s="176">
        <f>IFERROR(__xludf.DUMMYFUNCTION("""COMPUTED_VALUE"""),5.0)</f>
        <v>5</v>
      </c>
      <c r="O184" s="176"/>
      <c r="P184" s="176"/>
      <c r="Q184" s="176"/>
      <c r="R184" s="176"/>
      <c r="S184" s="176"/>
      <c r="T184" s="176"/>
      <c r="U184" s="176"/>
      <c r="V184" s="176"/>
      <c r="W184" s="176"/>
      <c r="X184" s="176"/>
      <c r="Y184" s="176"/>
      <c r="Z184" s="176"/>
    </row>
    <row r="185">
      <c r="A185" s="226" t="s">
        <v>11</v>
      </c>
      <c r="B185" s="226" t="s">
        <v>18</v>
      </c>
      <c r="C185" s="250" t="s">
        <v>3746</v>
      </c>
      <c r="D185" s="268" t="s">
        <v>495</v>
      </c>
      <c r="E185" s="361">
        <v>44137.0</v>
      </c>
      <c r="F185" s="250" t="s">
        <v>496</v>
      </c>
      <c r="G185" s="171">
        <v>1.0</v>
      </c>
      <c r="H185" s="171">
        <v>40.0</v>
      </c>
      <c r="I185" s="171">
        <v>40.0</v>
      </c>
      <c r="J185" s="391">
        <f t="shared" si="4"/>
        <v>0.002535530238</v>
      </c>
      <c r="K185" s="392">
        <f t="shared" si="5"/>
        <v>0.9825179674</v>
      </c>
      <c r="L185" s="327">
        <f t="shared" si="2"/>
        <v>2.947553902</v>
      </c>
      <c r="M185" s="321" t="str">
        <f t="shared" si="3"/>
        <v>mateodaza</v>
      </c>
      <c r="N185" s="176">
        <f>IFERROR(__xludf.DUMMYFUNCTION("""COMPUTED_VALUE"""),1.0)</f>
        <v>1</v>
      </c>
      <c r="O185" s="176"/>
      <c r="P185" s="176"/>
      <c r="Q185" s="176"/>
      <c r="R185" s="176"/>
      <c r="S185" s="176"/>
      <c r="T185" s="176"/>
      <c r="U185" s="176"/>
      <c r="V185" s="176"/>
      <c r="W185" s="176"/>
      <c r="X185" s="176"/>
      <c r="Y185" s="176"/>
      <c r="Z185" s="176"/>
    </row>
    <row r="186">
      <c r="A186" s="226" t="s">
        <v>9</v>
      </c>
      <c r="B186" s="226" t="s">
        <v>519</v>
      </c>
      <c r="C186" s="250" t="s">
        <v>3734</v>
      </c>
      <c r="D186" s="268" t="s">
        <v>495</v>
      </c>
      <c r="E186" s="361">
        <v>44140.0</v>
      </c>
      <c r="F186" s="250" t="s">
        <v>499</v>
      </c>
      <c r="G186" s="171">
        <v>3.0</v>
      </c>
      <c r="H186" s="171">
        <v>5.0</v>
      </c>
      <c r="I186" s="171">
        <v>5.0</v>
      </c>
      <c r="J186" s="391">
        <f t="shared" si="4"/>
        <v>0.0003169412798</v>
      </c>
      <c r="K186" s="392">
        <f t="shared" si="5"/>
        <v>0.1228147459</v>
      </c>
      <c r="L186" s="327">
        <f t="shared" si="2"/>
        <v>8.610997459</v>
      </c>
      <c r="M186" s="321" t="str">
        <f t="shared" si="3"/>
        <v>akrtws</v>
      </c>
      <c r="N186" s="176">
        <f>IFERROR(__xludf.DUMMYFUNCTION("""COMPUTED_VALUE"""),2.0)</f>
        <v>2</v>
      </c>
      <c r="O186" s="176"/>
      <c r="P186" s="176"/>
      <c r="Q186" s="176"/>
      <c r="R186" s="176"/>
      <c r="S186" s="176"/>
      <c r="T186" s="176"/>
      <c r="U186" s="176"/>
      <c r="V186" s="176"/>
      <c r="W186" s="176"/>
      <c r="X186" s="176"/>
      <c r="Y186" s="176"/>
      <c r="Z186" s="176"/>
    </row>
    <row r="187">
      <c r="A187" s="226" t="s">
        <v>9</v>
      </c>
      <c r="B187" s="226" t="s">
        <v>18</v>
      </c>
      <c r="C187" s="250" t="s">
        <v>3788</v>
      </c>
      <c r="D187" s="268" t="s">
        <v>495</v>
      </c>
      <c r="E187" s="361">
        <v>44140.0</v>
      </c>
      <c r="F187" s="250" t="s">
        <v>496</v>
      </c>
      <c r="G187" s="171">
        <v>1.0</v>
      </c>
      <c r="H187" s="171">
        <v>300.0</v>
      </c>
      <c r="I187" s="171">
        <v>120.0</v>
      </c>
      <c r="J187" s="391">
        <f t="shared" si="4"/>
        <v>0.01336143438</v>
      </c>
      <c r="K187" s="392">
        <f t="shared" si="5"/>
        <v>5.17755582</v>
      </c>
      <c r="L187" s="327">
        <f t="shared" si="2"/>
        <v>8.610997459</v>
      </c>
      <c r="M187" s="321" t="str">
        <f t="shared" si="3"/>
        <v>akrtws</v>
      </c>
      <c r="N187" s="176">
        <f>IFERROR(__xludf.DUMMYFUNCTION("""COMPUTED_VALUE"""),3.0)</f>
        <v>3</v>
      </c>
      <c r="O187" s="176"/>
      <c r="P187" s="176"/>
      <c r="Q187" s="176"/>
      <c r="R187" s="176"/>
      <c r="S187" s="176"/>
      <c r="T187" s="176"/>
      <c r="U187" s="176"/>
      <c r="V187" s="176"/>
      <c r="W187" s="176"/>
      <c r="X187" s="176"/>
      <c r="Y187" s="176"/>
      <c r="Z187" s="176"/>
    </row>
    <row r="188">
      <c r="A188" s="226" t="s">
        <v>9</v>
      </c>
      <c r="B188" s="226" t="s">
        <v>5</v>
      </c>
      <c r="C188" s="250" t="s">
        <v>3715</v>
      </c>
      <c r="D188" s="268" t="s">
        <v>495</v>
      </c>
      <c r="E188" s="361">
        <v>44141.0</v>
      </c>
      <c r="F188" s="250" t="s">
        <v>496</v>
      </c>
      <c r="G188" s="171">
        <v>1.0</v>
      </c>
      <c r="H188" s="171">
        <v>100.0</v>
      </c>
      <c r="I188" s="171">
        <v>100.0</v>
      </c>
      <c r="J188" s="391">
        <f t="shared" si="4"/>
        <v>0.006338825596</v>
      </c>
      <c r="K188" s="392">
        <f t="shared" si="5"/>
        <v>2.456294918</v>
      </c>
      <c r="L188" s="327">
        <f t="shared" si="2"/>
        <v>8.610997459</v>
      </c>
      <c r="M188" s="321" t="str">
        <f t="shared" si="3"/>
        <v>akrtws</v>
      </c>
      <c r="N188" s="176">
        <f>IFERROR(__xludf.DUMMYFUNCTION("""COMPUTED_VALUE"""),4.0)</f>
        <v>4</v>
      </c>
      <c r="O188" s="176"/>
      <c r="P188" s="176"/>
      <c r="Q188" s="176"/>
      <c r="R188" s="176"/>
      <c r="S188" s="176"/>
      <c r="T188" s="176"/>
      <c r="U188" s="176"/>
      <c r="V188" s="176"/>
      <c r="W188" s="176"/>
      <c r="X188" s="176"/>
      <c r="Y188" s="176"/>
      <c r="Z188" s="176"/>
    </row>
    <row r="189">
      <c r="A189" s="226" t="s">
        <v>52</v>
      </c>
      <c r="B189" s="226" t="s">
        <v>590</v>
      </c>
      <c r="C189" s="250" t="s">
        <v>3705</v>
      </c>
      <c r="D189" s="268" t="s">
        <v>495</v>
      </c>
      <c r="E189" s="251">
        <v>44131.0</v>
      </c>
      <c r="F189" s="250" t="s">
        <v>496</v>
      </c>
      <c r="G189" s="171">
        <v>1.0</v>
      </c>
      <c r="H189" s="171">
        <v>20.0</v>
      </c>
      <c r="I189" s="171">
        <v>40.0</v>
      </c>
      <c r="J189" s="391">
        <f t="shared" si="4"/>
        <v>0.001896103165</v>
      </c>
      <c r="K189" s="392">
        <f t="shared" si="5"/>
        <v>0.7347399765</v>
      </c>
      <c r="L189" s="327">
        <f t="shared" si="2"/>
        <v>2.823664907</v>
      </c>
      <c r="M189" s="321" t="str">
        <f t="shared" si="3"/>
        <v>randomshinichi</v>
      </c>
      <c r="N189" s="176">
        <f>IFERROR(__xludf.DUMMYFUNCTION("""COMPUTED_VALUE"""),1.0)</f>
        <v>1</v>
      </c>
      <c r="O189" s="176"/>
      <c r="P189" s="176"/>
      <c r="Q189" s="176"/>
      <c r="R189" s="176"/>
      <c r="S189" s="176"/>
      <c r="T189" s="176"/>
      <c r="U189" s="176"/>
      <c r="V189" s="176"/>
      <c r="W189" s="176"/>
      <c r="X189" s="176"/>
      <c r="Y189" s="176"/>
      <c r="Z189" s="176"/>
    </row>
    <row r="190">
      <c r="A190" s="226" t="s">
        <v>87</v>
      </c>
      <c r="B190" s="226" t="s">
        <v>5</v>
      </c>
      <c r="C190" s="250" t="s">
        <v>3730</v>
      </c>
      <c r="D190" s="268" t="s">
        <v>495</v>
      </c>
      <c r="E190" s="361">
        <v>44138.0</v>
      </c>
      <c r="F190" s="250" t="s">
        <v>496</v>
      </c>
      <c r="G190" s="171">
        <v>1.0</v>
      </c>
      <c r="H190" s="171">
        <v>30.0</v>
      </c>
      <c r="I190" s="171">
        <v>40.0</v>
      </c>
      <c r="J190" s="391">
        <f t="shared" si="4"/>
        <v>0.002215816702</v>
      </c>
      <c r="K190" s="392">
        <f t="shared" si="5"/>
        <v>0.8586289719</v>
      </c>
      <c r="L190" s="327">
        <f t="shared" si="2"/>
        <v>4.990145983</v>
      </c>
      <c r="M190" s="321" t="str">
        <f t="shared" si="3"/>
        <v>abchewey</v>
      </c>
      <c r="N190" s="176">
        <f>IFERROR(__xludf.DUMMYFUNCTION("""COMPUTED_VALUE"""),2.0)</f>
        <v>2</v>
      </c>
      <c r="O190" s="176"/>
      <c r="P190" s="176"/>
      <c r="Q190" s="176"/>
      <c r="R190" s="176"/>
      <c r="S190" s="176"/>
      <c r="T190" s="176"/>
      <c r="U190" s="176"/>
      <c r="V190" s="176"/>
      <c r="W190" s="176"/>
      <c r="X190" s="176"/>
      <c r="Y190" s="176"/>
      <c r="Z190" s="176"/>
    </row>
    <row r="191">
      <c r="A191" s="226" t="s">
        <v>87</v>
      </c>
      <c r="B191" s="226" t="s">
        <v>519</v>
      </c>
      <c r="C191" s="250" t="s">
        <v>3732</v>
      </c>
      <c r="D191" s="268" t="s">
        <v>495</v>
      </c>
      <c r="E191" s="361">
        <v>44138.0</v>
      </c>
      <c r="F191" s="250" t="s">
        <v>496</v>
      </c>
      <c r="G191" s="171">
        <v>1.0</v>
      </c>
      <c r="H191" s="171">
        <v>100.0</v>
      </c>
      <c r="I191" s="171">
        <v>40.0</v>
      </c>
      <c r="J191" s="391">
        <f t="shared" si="4"/>
        <v>0.004453811458</v>
      </c>
      <c r="K191" s="392">
        <f t="shared" si="5"/>
        <v>1.72585194</v>
      </c>
      <c r="L191" s="327">
        <f t="shared" si="2"/>
        <v>4.990145983</v>
      </c>
      <c r="M191" s="321" t="str">
        <f t="shared" si="3"/>
        <v>abchewey</v>
      </c>
      <c r="N191" s="176">
        <f>IFERROR(__xludf.DUMMYFUNCTION("""COMPUTED_VALUE"""),3.0)</f>
        <v>3</v>
      </c>
      <c r="O191" s="176"/>
      <c r="P191" s="176"/>
      <c r="Q191" s="176"/>
      <c r="R191" s="176"/>
      <c r="S191" s="176"/>
      <c r="T191" s="176"/>
      <c r="U191" s="176"/>
      <c r="V191" s="176"/>
      <c r="W191" s="176"/>
      <c r="X191" s="176"/>
      <c r="Y191" s="176"/>
      <c r="Z191" s="176"/>
    </row>
    <row r="192">
      <c r="A192" s="226" t="s">
        <v>87</v>
      </c>
      <c r="B192" s="226" t="s">
        <v>18</v>
      </c>
      <c r="C192" s="250" t="s">
        <v>3789</v>
      </c>
      <c r="D192" s="268" t="s">
        <v>495</v>
      </c>
      <c r="E192" s="361">
        <v>44138.0</v>
      </c>
      <c r="F192" s="250" t="s">
        <v>496</v>
      </c>
      <c r="G192" s="171">
        <v>1.0</v>
      </c>
      <c r="H192" s="171">
        <v>60.0</v>
      </c>
      <c r="I192" s="171">
        <v>60.0</v>
      </c>
      <c r="J192" s="391">
        <f t="shared" si="4"/>
        <v>0.003803295358</v>
      </c>
      <c r="K192" s="392">
        <f t="shared" si="5"/>
        <v>1.473776951</v>
      </c>
      <c r="L192" s="327">
        <f t="shared" si="2"/>
        <v>4.990145983</v>
      </c>
      <c r="M192" s="321" t="str">
        <f t="shared" si="3"/>
        <v>abchewey</v>
      </c>
      <c r="N192" s="176">
        <f>IFERROR(__xludf.DUMMYFUNCTION("""COMPUTED_VALUE"""),4.0)</f>
        <v>4</v>
      </c>
      <c r="O192" s="176"/>
      <c r="P192" s="176"/>
      <c r="Q192" s="176"/>
      <c r="R192" s="176"/>
      <c r="S192" s="176"/>
      <c r="T192" s="176"/>
      <c r="U192" s="176"/>
      <c r="V192" s="176"/>
      <c r="W192" s="176"/>
      <c r="X192" s="176"/>
      <c r="Y192" s="176"/>
      <c r="Z192" s="176"/>
    </row>
    <row r="193">
      <c r="A193" s="226" t="s">
        <v>87</v>
      </c>
      <c r="B193" s="226" t="s">
        <v>5</v>
      </c>
      <c r="C193" s="250" t="s">
        <v>3715</v>
      </c>
      <c r="D193" s="268" t="s">
        <v>495</v>
      </c>
      <c r="E193" s="361">
        <v>44141.0</v>
      </c>
      <c r="F193" s="250" t="s">
        <v>496</v>
      </c>
      <c r="G193" s="171">
        <v>1.0</v>
      </c>
      <c r="H193" s="171">
        <v>30.0</v>
      </c>
      <c r="I193" s="171">
        <v>40.0</v>
      </c>
      <c r="J193" s="391">
        <f t="shared" si="4"/>
        <v>0.002215816702</v>
      </c>
      <c r="K193" s="392">
        <f t="shared" si="5"/>
        <v>0.8586289719</v>
      </c>
      <c r="L193" s="327">
        <f t="shared" si="2"/>
        <v>4.990145983</v>
      </c>
      <c r="M193" s="321" t="str">
        <f t="shared" si="3"/>
        <v>abchewey</v>
      </c>
      <c r="N193" s="176">
        <f>IFERROR(__xludf.DUMMYFUNCTION("""COMPUTED_VALUE"""),5.0)</f>
        <v>5</v>
      </c>
      <c r="O193" s="176"/>
      <c r="P193" s="176"/>
      <c r="Q193" s="176"/>
      <c r="R193" s="176"/>
      <c r="S193" s="176"/>
      <c r="T193" s="176"/>
      <c r="U193" s="176"/>
      <c r="V193" s="176"/>
      <c r="W193" s="176"/>
      <c r="X193" s="176"/>
      <c r="Y193" s="176"/>
      <c r="Z193" s="176"/>
    </row>
    <row r="194">
      <c r="A194" s="226" t="s">
        <v>76</v>
      </c>
      <c r="B194" s="226" t="s">
        <v>5</v>
      </c>
      <c r="C194" s="250" t="s">
        <v>3729</v>
      </c>
      <c r="D194" s="268" t="s">
        <v>495</v>
      </c>
      <c r="E194" s="361">
        <v>44138.0</v>
      </c>
      <c r="F194" s="250" t="s">
        <v>496</v>
      </c>
      <c r="G194" s="171">
        <v>1.0</v>
      </c>
      <c r="H194" s="171">
        <v>40.0</v>
      </c>
      <c r="I194" s="171">
        <v>40.0</v>
      </c>
      <c r="J194" s="391">
        <f t="shared" si="4"/>
        <v>0.002535530238</v>
      </c>
      <c r="K194" s="392">
        <f t="shared" si="5"/>
        <v>0.9825179674</v>
      </c>
      <c r="L194" s="327">
        <f t="shared" si="2"/>
        <v>2.699775911</v>
      </c>
      <c r="M194" s="321" t="str">
        <f t="shared" si="3"/>
        <v>fabianvb</v>
      </c>
      <c r="N194" s="176">
        <f>IFERROR(__xludf.DUMMYFUNCTION("""COMPUTED_VALUE"""),1.0)</f>
        <v>1</v>
      </c>
      <c r="O194" s="176"/>
      <c r="P194" s="176"/>
      <c r="Q194" s="176"/>
      <c r="R194" s="176"/>
      <c r="S194" s="176"/>
      <c r="T194" s="176"/>
      <c r="U194" s="176"/>
      <c r="V194" s="176"/>
      <c r="W194" s="176"/>
      <c r="X194" s="176"/>
      <c r="Y194" s="176"/>
      <c r="Z194" s="176"/>
    </row>
    <row r="195">
      <c r="A195" s="226" t="s">
        <v>41</v>
      </c>
      <c r="B195" s="226" t="s">
        <v>519</v>
      </c>
      <c r="C195" s="250" t="s">
        <v>3711</v>
      </c>
      <c r="D195" s="268" t="s">
        <v>495</v>
      </c>
      <c r="E195" s="251">
        <v>44134.0</v>
      </c>
      <c r="F195" s="250" t="s">
        <v>496</v>
      </c>
      <c r="G195" s="171">
        <v>1.0</v>
      </c>
      <c r="H195" s="171">
        <v>30.0</v>
      </c>
      <c r="I195" s="171">
        <v>40.0</v>
      </c>
      <c r="J195" s="391">
        <f t="shared" si="4"/>
        <v>0.002215816702</v>
      </c>
      <c r="K195" s="392">
        <f t="shared" si="5"/>
        <v>0.8586289719</v>
      </c>
      <c r="L195" s="327">
        <f t="shared" si="2"/>
        <v>4.17999836</v>
      </c>
      <c r="M195" s="321" t="str">
        <f t="shared" si="3"/>
        <v>blairv</v>
      </c>
      <c r="N195" s="176">
        <f>IFERROR(__xludf.DUMMYFUNCTION("""COMPUTED_VALUE"""),2.0)</f>
        <v>2</v>
      </c>
      <c r="O195" s="176"/>
      <c r="P195" s="176"/>
      <c r="Q195" s="176"/>
      <c r="R195" s="176"/>
      <c r="S195" s="176"/>
      <c r="T195" s="176"/>
      <c r="U195" s="176"/>
      <c r="V195" s="176"/>
      <c r="W195" s="176"/>
      <c r="X195" s="176"/>
      <c r="Y195" s="176"/>
      <c r="Z195" s="176"/>
    </row>
    <row r="196">
      <c r="A196" s="226" t="s">
        <v>41</v>
      </c>
      <c r="B196" s="226" t="s">
        <v>5</v>
      </c>
      <c r="C196" s="250" t="s">
        <v>3729</v>
      </c>
      <c r="D196" s="268" t="s">
        <v>495</v>
      </c>
      <c r="E196" s="361">
        <v>44138.0</v>
      </c>
      <c r="F196" s="250" t="s">
        <v>496</v>
      </c>
      <c r="G196" s="171">
        <v>1.0</v>
      </c>
      <c r="H196" s="171">
        <v>40.0</v>
      </c>
      <c r="I196" s="171">
        <v>40.0</v>
      </c>
      <c r="J196" s="391">
        <f t="shared" si="4"/>
        <v>0.002535530238</v>
      </c>
      <c r="K196" s="392">
        <f t="shared" si="5"/>
        <v>0.9825179674</v>
      </c>
      <c r="L196" s="327">
        <f t="shared" si="2"/>
        <v>4.17999836</v>
      </c>
      <c r="M196" s="321" t="str">
        <f t="shared" si="3"/>
        <v>blairv</v>
      </c>
      <c r="N196" s="176">
        <f>IFERROR(__xludf.DUMMYFUNCTION("""COMPUTED_VALUE"""),3.0)</f>
        <v>3</v>
      </c>
      <c r="O196" s="176"/>
      <c r="P196" s="176"/>
      <c r="Q196" s="176"/>
      <c r="R196" s="176"/>
      <c r="S196" s="176"/>
      <c r="T196" s="176"/>
      <c r="U196" s="176"/>
      <c r="V196" s="176"/>
      <c r="W196" s="176"/>
      <c r="X196" s="176"/>
      <c r="Y196" s="176"/>
      <c r="Z196" s="176"/>
    </row>
    <row r="197">
      <c r="A197" s="226" t="s">
        <v>30</v>
      </c>
      <c r="B197" s="226" t="s">
        <v>519</v>
      </c>
      <c r="C197" s="250" t="s">
        <v>3707</v>
      </c>
      <c r="D197" s="268" t="s">
        <v>495</v>
      </c>
      <c r="E197" s="251">
        <v>44132.0</v>
      </c>
      <c r="F197" s="250" t="s">
        <v>496</v>
      </c>
      <c r="G197" s="171">
        <v>1.0</v>
      </c>
      <c r="H197" s="171">
        <v>120.0</v>
      </c>
      <c r="I197" s="171">
        <v>150.0</v>
      </c>
      <c r="J197" s="391">
        <f t="shared" si="4"/>
        <v>0.008549097784</v>
      </c>
      <c r="K197" s="392">
        <f t="shared" si="5"/>
        <v>3.312775391</v>
      </c>
      <c r="L197" s="327">
        <f t="shared" si="2"/>
        <v>2.501230976</v>
      </c>
      <c r="M197" s="321" t="str">
        <f t="shared" si="3"/>
        <v>paulo_c2d</v>
      </c>
      <c r="N197" s="176">
        <f>IFERROR(__xludf.DUMMYFUNCTION("""COMPUTED_VALUE"""),7.0)</f>
        <v>7</v>
      </c>
      <c r="O197" s="176"/>
      <c r="P197" s="176"/>
      <c r="Q197" s="176"/>
      <c r="R197" s="176"/>
      <c r="S197" s="176"/>
      <c r="T197" s="176"/>
      <c r="U197" s="176"/>
      <c r="V197" s="176"/>
      <c r="W197" s="176"/>
      <c r="X197" s="176"/>
      <c r="Y197" s="176"/>
      <c r="Z197" s="176"/>
    </row>
    <row r="198">
      <c r="A198" s="226" t="s">
        <v>8</v>
      </c>
      <c r="B198" s="226" t="s">
        <v>5</v>
      </c>
      <c r="C198" s="250" t="s">
        <v>3721</v>
      </c>
      <c r="D198" s="268" t="s">
        <v>495</v>
      </c>
      <c r="E198" s="251">
        <v>44133.0</v>
      </c>
      <c r="F198" s="250" t="s">
        <v>496</v>
      </c>
      <c r="G198" s="171">
        <v>3.0</v>
      </c>
      <c r="H198" s="171">
        <v>10.0</v>
      </c>
      <c r="I198" s="171">
        <v>30.0</v>
      </c>
      <c r="J198" s="391">
        <f t="shared" si="4"/>
        <v>0.001262220605</v>
      </c>
      <c r="K198" s="392">
        <f t="shared" si="5"/>
        <v>0.4891104846</v>
      </c>
      <c r="L198" s="327">
        <f t="shared" si="2"/>
        <v>3.926849121</v>
      </c>
      <c r="M198" s="321" t="str">
        <f t="shared" si="3"/>
        <v>solsista</v>
      </c>
      <c r="N198" s="176">
        <f>IFERROR(__xludf.DUMMYFUNCTION("""COMPUTED_VALUE"""),2.0)</f>
        <v>2</v>
      </c>
      <c r="O198" s="176"/>
      <c r="P198" s="176"/>
      <c r="Q198" s="176"/>
      <c r="R198" s="176"/>
      <c r="S198" s="176"/>
      <c r="T198" s="176"/>
      <c r="U198" s="176"/>
      <c r="V198" s="176"/>
      <c r="W198" s="176"/>
      <c r="X198" s="176"/>
      <c r="Y198" s="176"/>
      <c r="Z198" s="176"/>
    </row>
    <row r="199">
      <c r="A199" s="226" t="s">
        <v>8</v>
      </c>
      <c r="B199" s="226" t="s">
        <v>519</v>
      </c>
      <c r="C199" s="250" t="s">
        <v>3790</v>
      </c>
      <c r="D199" s="268" t="s">
        <v>495</v>
      </c>
      <c r="E199" s="251">
        <v>44135.0</v>
      </c>
      <c r="F199" s="250" t="s">
        <v>496</v>
      </c>
      <c r="G199" s="171">
        <v>3.0</v>
      </c>
      <c r="H199" s="171">
        <v>60.0</v>
      </c>
      <c r="I199" s="171">
        <v>50.0</v>
      </c>
      <c r="J199" s="391">
        <f t="shared" si="4"/>
        <v>0.003489126335</v>
      </c>
      <c r="K199" s="392">
        <f t="shared" si="5"/>
        <v>1.352036455</v>
      </c>
      <c r="L199" s="327">
        <f t="shared" si="2"/>
        <v>3.926849121</v>
      </c>
      <c r="M199" s="321" t="str">
        <f t="shared" si="3"/>
        <v>solsista</v>
      </c>
      <c r="N199" s="176">
        <f>IFERROR(__xludf.DUMMYFUNCTION("""COMPUTED_VALUE"""),3.0)</f>
        <v>3</v>
      </c>
      <c r="O199" s="176"/>
      <c r="P199" s="176"/>
      <c r="Q199" s="176"/>
      <c r="R199" s="176"/>
      <c r="S199" s="176"/>
      <c r="T199" s="176"/>
      <c r="U199" s="176"/>
      <c r="V199" s="176"/>
      <c r="W199" s="176"/>
      <c r="X199" s="176"/>
      <c r="Y199" s="176"/>
      <c r="Z199" s="176"/>
    </row>
    <row r="200">
      <c r="A200" s="226" t="s">
        <v>8</v>
      </c>
      <c r="B200" s="226" t="s">
        <v>519</v>
      </c>
      <c r="C200" s="250" t="s">
        <v>3734</v>
      </c>
      <c r="D200" s="268" t="s">
        <v>495</v>
      </c>
      <c r="E200" s="361">
        <v>44140.0</v>
      </c>
      <c r="F200" s="250" t="s">
        <v>499</v>
      </c>
      <c r="G200" s="171">
        <v>3.0</v>
      </c>
      <c r="H200" s="171">
        <v>5.0</v>
      </c>
      <c r="I200" s="171">
        <v>5.0</v>
      </c>
      <c r="J200" s="391">
        <f t="shared" si="4"/>
        <v>0.0003169412798</v>
      </c>
      <c r="K200" s="392">
        <f t="shared" si="5"/>
        <v>0.1228147459</v>
      </c>
      <c r="L200" s="327">
        <f t="shared" si="2"/>
        <v>3.926849121</v>
      </c>
      <c r="M200" s="321" t="str">
        <f t="shared" si="3"/>
        <v>solsista</v>
      </c>
      <c r="N200" s="176">
        <f>IFERROR(__xludf.DUMMYFUNCTION("""COMPUTED_VALUE"""),4.0)</f>
        <v>4</v>
      </c>
      <c r="O200" s="176"/>
      <c r="P200" s="176"/>
      <c r="Q200" s="176"/>
      <c r="R200" s="176"/>
      <c r="S200" s="176"/>
      <c r="T200" s="176"/>
      <c r="U200" s="176"/>
      <c r="V200" s="176"/>
      <c r="W200" s="176"/>
      <c r="X200" s="176"/>
      <c r="Y200" s="176"/>
      <c r="Z200" s="176"/>
    </row>
    <row r="201">
      <c r="A201" s="226" t="s">
        <v>8</v>
      </c>
      <c r="B201" s="226" t="s">
        <v>5</v>
      </c>
      <c r="C201" s="250" t="s">
        <v>3715</v>
      </c>
      <c r="D201" s="268" t="s">
        <v>495</v>
      </c>
      <c r="E201" s="361">
        <v>44141.0</v>
      </c>
      <c r="F201" s="250" t="s">
        <v>496</v>
      </c>
      <c r="G201" s="171">
        <v>1.0</v>
      </c>
      <c r="H201" s="171">
        <v>30.0</v>
      </c>
      <c r="I201" s="171">
        <v>40.0</v>
      </c>
      <c r="J201" s="391">
        <f t="shared" si="4"/>
        <v>0.002215816702</v>
      </c>
      <c r="K201" s="392">
        <f t="shared" si="5"/>
        <v>0.8586289719</v>
      </c>
      <c r="L201" s="327">
        <f t="shared" si="2"/>
        <v>3.926849121</v>
      </c>
      <c r="M201" s="321" t="str">
        <f t="shared" si="3"/>
        <v>solsista</v>
      </c>
      <c r="N201" s="176">
        <f>IFERROR(__xludf.DUMMYFUNCTION("""COMPUTED_VALUE"""),5.0)</f>
        <v>5</v>
      </c>
      <c r="O201" s="176"/>
      <c r="P201" s="176"/>
      <c r="Q201" s="176"/>
      <c r="R201" s="176"/>
      <c r="S201" s="176"/>
      <c r="T201" s="176"/>
      <c r="U201" s="176"/>
      <c r="V201" s="176"/>
      <c r="W201" s="176"/>
      <c r="X201" s="176"/>
      <c r="Y201" s="176"/>
      <c r="Z201" s="176"/>
    </row>
    <row r="202">
      <c r="A202" s="226" t="s">
        <v>35</v>
      </c>
      <c r="B202" s="226" t="s">
        <v>519</v>
      </c>
      <c r="C202" s="250" t="s">
        <v>3791</v>
      </c>
      <c r="D202" s="268" t="s">
        <v>495</v>
      </c>
      <c r="E202" s="361">
        <v>44139.0</v>
      </c>
      <c r="F202" s="250" t="s">
        <v>496</v>
      </c>
      <c r="G202" s="171">
        <v>3.0</v>
      </c>
      <c r="H202" s="171">
        <v>70.0</v>
      </c>
      <c r="I202" s="171">
        <v>20.0</v>
      </c>
      <c r="J202" s="391">
        <f t="shared" si="4"/>
        <v>0.002866332803</v>
      </c>
      <c r="K202" s="392">
        <f t="shared" si="5"/>
        <v>1.110703961</v>
      </c>
      <c r="L202" s="327">
        <f t="shared" si="2"/>
        <v>2.166481076</v>
      </c>
      <c r="M202" s="321" t="str">
        <f t="shared" si="3"/>
        <v>vitormarthendal</v>
      </c>
      <c r="N202" s="176">
        <f>IFERROR(__xludf.DUMMYFUNCTION("""COMPUTED_VALUE"""),1.0)</f>
        <v>1</v>
      </c>
      <c r="O202" s="176"/>
      <c r="P202" s="176"/>
      <c r="Q202" s="176"/>
      <c r="R202" s="176"/>
      <c r="S202" s="176"/>
      <c r="T202" s="176"/>
      <c r="U202" s="176"/>
      <c r="V202" s="176"/>
      <c r="W202" s="176"/>
      <c r="X202" s="176"/>
      <c r="Y202" s="176"/>
      <c r="Z202" s="176"/>
    </row>
    <row r="203">
      <c r="A203" s="226" t="s">
        <v>61</v>
      </c>
      <c r="B203" s="226" t="s">
        <v>18</v>
      </c>
      <c r="C203" s="250" t="s">
        <v>3708</v>
      </c>
      <c r="D203" s="268" t="s">
        <v>495</v>
      </c>
      <c r="E203" s="251">
        <v>44132.0</v>
      </c>
      <c r="F203" s="250" t="s">
        <v>496</v>
      </c>
      <c r="G203" s="171">
        <v>1.0</v>
      </c>
      <c r="H203" s="171">
        <v>40.0</v>
      </c>
      <c r="I203" s="171">
        <v>40.0</v>
      </c>
      <c r="J203" s="391">
        <f t="shared" si="4"/>
        <v>0.002535530238</v>
      </c>
      <c r="K203" s="392">
        <f t="shared" si="5"/>
        <v>0.9825179674</v>
      </c>
      <c r="L203" s="327">
        <f t="shared" si="2"/>
        <v>3.069294399</v>
      </c>
      <c r="M203" s="321" t="str">
        <f t="shared" si="3"/>
        <v>fabimol</v>
      </c>
      <c r="N203" s="176">
        <f>IFERROR(__xludf.DUMMYFUNCTION("""COMPUTED_VALUE"""),2.0)</f>
        <v>2</v>
      </c>
      <c r="O203" s="176"/>
      <c r="P203" s="176"/>
      <c r="Q203" s="176"/>
      <c r="R203" s="176"/>
      <c r="S203" s="176"/>
      <c r="T203" s="176"/>
      <c r="U203" s="176"/>
      <c r="V203" s="176"/>
      <c r="W203" s="176"/>
      <c r="X203" s="176"/>
      <c r="Y203" s="176"/>
      <c r="Z203" s="176"/>
    </row>
    <row r="204">
      <c r="A204" s="226" t="s">
        <v>61</v>
      </c>
      <c r="B204" s="226" t="s">
        <v>5</v>
      </c>
      <c r="C204" s="250" t="s">
        <v>3715</v>
      </c>
      <c r="D204" s="268" t="s">
        <v>495</v>
      </c>
      <c r="E204" s="361">
        <v>44141.0</v>
      </c>
      <c r="F204" s="250" t="s">
        <v>496</v>
      </c>
      <c r="G204" s="171">
        <v>1.0</v>
      </c>
      <c r="H204" s="171">
        <v>30.0</v>
      </c>
      <c r="I204" s="171">
        <v>40.0</v>
      </c>
      <c r="J204" s="391">
        <f t="shared" si="4"/>
        <v>0.002215816702</v>
      </c>
      <c r="K204" s="392">
        <f t="shared" si="5"/>
        <v>0.8586289719</v>
      </c>
      <c r="L204" s="327">
        <f t="shared" si="2"/>
        <v>3.069294399</v>
      </c>
      <c r="M204" s="321" t="str">
        <f t="shared" si="3"/>
        <v>fabimol</v>
      </c>
      <c r="N204" s="176">
        <f>IFERROR(__xludf.DUMMYFUNCTION("""COMPUTED_VALUE"""),3.0)</f>
        <v>3</v>
      </c>
      <c r="O204" s="176"/>
      <c r="P204" s="176"/>
      <c r="Q204" s="176"/>
      <c r="R204" s="176"/>
      <c r="S204" s="176"/>
      <c r="T204" s="176"/>
      <c r="U204" s="176"/>
      <c r="V204" s="176"/>
      <c r="W204" s="176"/>
      <c r="X204" s="176"/>
      <c r="Y204" s="176"/>
      <c r="Z204" s="176"/>
    </row>
    <row r="205">
      <c r="A205" s="226" t="s">
        <v>40</v>
      </c>
      <c r="B205" s="226" t="s">
        <v>519</v>
      </c>
      <c r="C205" s="250" t="s">
        <v>3769</v>
      </c>
      <c r="D205" s="268" t="s">
        <v>495</v>
      </c>
      <c r="E205" s="251">
        <v>44129.0</v>
      </c>
      <c r="F205" s="250" t="s">
        <v>496</v>
      </c>
      <c r="G205" s="171">
        <v>1.0</v>
      </c>
      <c r="H205" s="171">
        <v>70.0</v>
      </c>
      <c r="I205" s="171">
        <v>70.0</v>
      </c>
      <c r="J205" s="391">
        <f t="shared" si="4"/>
        <v>0.004437177917</v>
      </c>
      <c r="K205" s="392">
        <f t="shared" si="5"/>
        <v>1.719406443</v>
      </c>
      <c r="L205" s="327">
        <f t="shared" si="2"/>
        <v>1.719406443</v>
      </c>
      <c r="M205" s="321" t="str">
        <f t="shared" si="3"/>
        <v>lkngtn</v>
      </c>
      <c r="N205" s="176">
        <f>IFERROR(__xludf.DUMMYFUNCTION("""COMPUTED_VALUE"""),1.0)</f>
        <v>1</v>
      </c>
      <c r="O205" s="176"/>
      <c r="P205" s="176"/>
      <c r="Q205" s="176"/>
      <c r="R205" s="176"/>
      <c r="S205" s="176"/>
      <c r="T205" s="176"/>
      <c r="U205" s="176"/>
      <c r="V205" s="176"/>
      <c r="W205" s="176"/>
      <c r="X205" s="176"/>
      <c r="Y205" s="176"/>
      <c r="Z205" s="176"/>
    </row>
    <row r="206">
      <c r="A206" s="226" t="s">
        <v>26</v>
      </c>
      <c r="B206" s="226" t="s">
        <v>519</v>
      </c>
      <c r="C206" s="250" t="s">
        <v>3791</v>
      </c>
      <c r="D206" s="268" t="s">
        <v>495</v>
      </c>
      <c r="E206" s="361">
        <v>44139.0</v>
      </c>
      <c r="F206" s="250" t="s">
        <v>496</v>
      </c>
      <c r="G206" s="171">
        <v>3.0</v>
      </c>
      <c r="H206" s="171">
        <v>70.0</v>
      </c>
      <c r="I206" s="171">
        <v>20.0</v>
      </c>
      <c r="J206" s="391">
        <f t="shared" si="4"/>
        <v>0.002866332803</v>
      </c>
      <c r="K206" s="392">
        <f t="shared" si="5"/>
        <v>1.110703961</v>
      </c>
      <c r="L206" s="327">
        <f t="shared" si="2"/>
        <v>1.675222092</v>
      </c>
      <c r="M206" s="321" t="str">
        <f t="shared" si="3"/>
        <v>sgonzt</v>
      </c>
      <c r="N206" s="176">
        <f>IFERROR(__xludf.DUMMYFUNCTION("""COMPUTED_VALUE"""),1.0)</f>
        <v>1</v>
      </c>
      <c r="O206" s="176"/>
      <c r="P206" s="176"/>
      <c r="Q206" s="176"/>
      <c r="R206" s="176"/>
      <c r="S206" s="176"/>
      <c r="T206" s="176"/>
      <c r="U206" s="176"/>
      <c r="V206" s="176"/>
      <c r="W206" s="176"/>
      <c r="X206" s="176"/>
      <c r="Y206" s="209"/>
      <c r="Z206" s="209"/>
    </row>
    <row r="207">
      <c r="A207" s="226" t="s">
        <v>11</v>
      </c>
      <c r="B207" s="226" t="s">
        <v>5</v>
      </c>
      <c r="C207" s="250" t="s">
        <v>3730</v>
      </c>
      <c r="D207" s="268" t="s">
        <v>495</v>
      </c>
      <c r="E207" s="361">
        <v>44138.0</v>
      </c>
      <c r="F207" s="250" t="s">
        <v>496</v>
      </c>
      <c r="G207" s="171">
        <v>1.0</v>
      </c>
      <c r="H207" s="171">
        <v>30.0</v>
      </c>
      <c r="I207" s="171">
        <v>40.0</v>
      </c>
      <c r="J207" s="391">
        <f t="shared" si="4"/>
        <v>0.002215816702</v>
      </c>
      <c r="K207" s="392">
        <f t="shared" si="5"/>
        <v>0.8586289719</v>
      </c>
      <c r="L207" s="327">
        <f t="shared" si="2"/>
        <v>2.947553902</v>
      </c>
      <c r="M207" s="321" t="str">
        <f t="shared" si="3"/>
        <v>mateodaza</v>
      </c>
      <c r="N207" s="176">
        <f>IFERROR(__xludf.DUMMYFUNCTION("""COMPUTED_VALUE"""),2.0)</f>
        <v>2</v>
      </c>
      <c r="O207" s="176"/>
      <c r="P207" s="176"/>
      <c r="Q207" s="176"/>
      <c r="R207" s="176"/>
      <c r="S207" s="176"/>
      <c r="T207" s="176"/>
      <c r="U207" s="176"/>
      <c r="V207" s="176"/>
      <c r="W207" s="176"/>
      <c r="X207" s="176"/>
      <c r="Y207" s="176"/>
      <c r="Z207" s="176"/>
    </row>
    <row r="208">
      <c r="A208" s="226" t="s">
        <v>11</v>
      </c>
      <c r="B208" s="226" t="s">
        <v>5</v>
      </c>
      <c r="C208" s="250" t="s">
        <v>3715</v>
      </c>
      <c r="D208" s="268" t="s">
        <v>495</v>
      </c>
      <c r="E208" s="361">
        <v>44141.0</v>
      </c>
      <c r="F208" s="250" t="s">
        <v>496</v>
      </c>
      <c r="G208" s="171">
        <v>1.0</v>
      </c>
      <c r="H208" s="171">
        <v>50.0</v>
      </c>
      <c r="I208" s="171">
        <v>40.0</v>
      </c>
      <c r="J208" s="391">
        <f t="shared" si="4"/>
        <v>0.002855243775</v>
      </c>
      <c r="K208" s="392">
        <f t="shared" si="5"/>
        <v>1.106406963</v>
      </c>
      <c r="L208" s="327">
        <f t="shared" si="2"/>
        <v>2.947553902</v>
      </c>
      <c r="M208" s="321" t="str">
        <f t="shared" si="3"/>
        <v>mateodaza</v>
      </c>
      <c r="N208" s="176">
        <f>IFERROR(__xludf.DUMMYFUNCTION("""COMPUTED_VALUE"""),3.0)</f>
        <v>3</v>
      </c>
      <c r="O208" s="176"/>
      <c r="P208" s="176"/>
      <c r="Q208" s="176"/>
      <c r="R208" s="176"/>
      <c r="S208" s="176"/>
      <c r="T208" s="176"/>
      <c r="U208" s="176"/>
      <c r="V208" s="176"/>
      <c r="W208" s="176"/>
      <c r="X208" s="176"/>
      <c r="Y208" s="176"/>
      <c r="Z208" s="176"/>
    </row>
    <row r="209">
      <c r="A209" s="226" t="s">
        <v>201</v>
      </c>
      <c r="B209" s="226" t="s">
        <v>18</v>
      </c>
      <c r="C209" s="250" t="s">
        <v>3792</v>
      </c>
      <c r="D209" s="268" t="s">
        <v>495</v>
      </c>
      <c r="E209" s="251">
        <v>44134.0</v>
      </c>
      <c r="F209" s="250" t="s">
        <v>496</v>
      </c>
      <c r="G209" s="171">
        <v>1.0</v>
      </c>
      <c r="H209" s="171">
        <v>70.0</v>
      </c>
      <c r="I209" s="171">
        <v>60.0</v>
      </c>
      <c r="J209" s="391">
        <f t="shared" si="4"/>
        <v>0.004123008894</v>
      </c>
      <c r="K209" s="392">
        <f t="shared" si="5"/>
        <v>1.597665947</v>
      </c>
      <c r="L209" s="327">
        <f t="shared" si="2"/>
        <v>1.597665947</v>
      </c>
      <c r="M209" s="321" t="str">
        <f t="shared" si="3"/>
        <v>orishim</v>
      </c>
      <c r="N209" s="176">
        <f>IFERROR(__xludf.DUMMYFUNCTION("""COMPUTED_VALUE"""),1.0)</f>
        <v>1</v>
      </c>
      <c r="O209" s="176"/>
      <c r="P209" s="176"/>
      <c r="Q209" s="176"/>
      <c r="R209" s="176"/>
      <c r="S209" s="176"/>
      <c r="T209" s="176"/>
      <c r="U209" s="176"/>
      <c r="V209" s="176"/>
      <c r="W209" s="176"/>
      <c r="X209" s="176"/>
      <c r="Y209" s="176"/>
      <c r="Z209" s="176"/>
    </row>
    <row r="210">
      <c r="A210" s="226" t="s">
        <v>52</v>
      </c>
      <c r="B210" s="226" t="s">
        <v>519</v>
      </c>
      <c r="C210" s="250" t="s">
        <v>2329</v>
      </c>
      <c r="D210" s="268" t="s">
        <v>495</v>
      </c>
      <c r="E210" s="251">
        <v>44132.0</v>
      </c>
      <c r="F210" s="250" t="s">
        <v>521</v>
      </c>
      <c r="G210" s="171">
        <v>3.0</v>
      </c>
      <c r="H210" s="171">
        <v>10.0</v>
      </c>
      <c r="I210" s="171">
        <v>10.0</v>
      </c>
      <c r="J210" s="391">
        <f t="shared" si="4"/>
        <v>0.0006338825596</v>
      </c>
      <c r="K210" s="392">
        <f t="shared" si="5"/>
        <v>0.2456294918</v>
      </c>
      <c r="L210" s="327">
        <f t="shared" si="2"/>
        <v>2.823664907</v>
      </c>
      <c r="M210" s="321" t="str">
        <f t="shared" si="3"/>
        <v>randomshinichi</v>
      </c>
      <c r="N210" s="176">
        <f>IFERROR(__xludf.DUMMYFUNCTION("""COMPUTED_VALUE"""),2.0)</f>
        <v>2</v>
      </c>
      <c r="O210" s="176"/>
      <c r="P210" s="176"/>
      <c r="Q210" s="176"/>
      <c r="R210" s="176"/>
      <c r="S210" s="176"/>
      <c r="T210" s="176"/>
      <c r="U210" s="176"/>
      <c r="V210" s="176"/>
      <c r="W210" s="176"/>
      <c r="X210" s="176"/>
      <c r="Y210" s="209"/>
      <c r="Z210" s="209"/>
    </row>
    <row r="211">
      <c r="A211" s="226" t="s">
        <v>52</v>
      </c>
      <c r="B211" s="226" t="s">
        <v>519</v>
      </c>
      <c r="C211" s="250" t="s">
        <v>3793</v>
      </c>
      <c r="D211" s="268" t="s">
        <v>495</v>
      </c>
      <c r="E211" s="251">
        <v>44135.0</v>
      </c>
      <c r="F211" s="250" t="s">
        <v>496</v>
      </c>
      <c r="G211" s="171">
        <v>3.0</v>
      </c>
      <c r="H211" s="171">
        <v>40.0</v>
      </c>
      <c r="I211" s="171">
        <v>30.0</v>
      </c>
      <c r="J211" s="391">
        <f t="shared" si="4"/>
        <v>0.002221361215</v>
      </c>
      <c r="K211" s="392">
        <f t="shared" si="5"/>
        <v>0.860777471</v>
      </c>
      <c r="L211" s="327">
        <f t="shared" si="2"/>
        <v>2.823664907</v>
      </c>
      <c r="M211" s="321" t="str">
        <f t="shared" si="3"/>
        <v>randomshinichi</v>
      </c>
      <c r="N211" s="176">
        <f>IFERROR(__xludf.DUMMYFUNCTION("""COMPUTED_VALUE"""),3.0)</f>
        <v>3</v>
      </c>
      <c r="O211" s="176"/>
      <c r="P211" s="176"/>
      <c r="Q211" s="176"/>
      <c r="R211" s="176"/>
      <c r="S211" s="176"/>
      <c r="T211" s="176"/>
      <c r="U211" s="176"/>
      <c r="V211" s="176"/>
      <c r="W211" s="176"/>
      <c r="X211" s="176"/>
      <c r="Y211" s="176"/>
      <c r="Z211" s="176"/>
    </row>
    <row r="212">
      <c r="A212" s="226" t="s">
        <v>52</v>
      </c>
      <c r="B212" s="226" t="s">
        <v>519</v>
      </c>
      <c r="C212" s="250" t="s">
        <v>3794</v>
      </c>
      <c r="D212" s="268" t="s">
        <v>495</v>
      </c>
      <c r="E212" s="361">
        <v>44139.0</v>
      </c>
      <c r="F212" s="250" t="s">
        <v>496</v>
      </c>
      <c r="G212" s="171">
        <v>3.0</v>
      </c>
      <c r="H212" s="171">
        <v>20.0</v>
      </c>
      <c r="I212" s="171">
        <v>20.0</v>
      </c>
      <c r="J212" s="391">
        <f t="shared" si="4"/>
        <v>0.001267765119</v>
      </c>
      <c r="K212" s="392">
        <f t="shared" si="5"/>
        <v>0.4912589837</v>
      </c>
      <c r="L212" s="327">
        <f t="shared" si="2"/>
        <v>2.823664907</v>
      </c>
      <c r="M212" s="321" t="str">
        <f t="shared" si="3"/>
        <v>randomshinichi</v>
      </c>
      <c r="N212" s="176">
        <f>IFERROR(__xludf.DUMMYFUNCTION("""COMPUTED_VALUE"""),4.0)</f>
        <v>4</v>
      </c>
      <c r="O212" s="176"/>
      <c r="P212" s="176"/>
      <c r="Q212" s="176"/>
      <c r="R212" s="176"/>
      <c r="S212" s="176"/>
      <c r="T212" s="176"/>
      <c r="U212" s="176"/>
      <c r="V212" s="176"/>
      <c r="W212" s="176"/>
      <c r="X212" s="176"/>
      <c r="Y212" s="176"/>
      <c r="Z212" s="176"/>
    </row>
    <row r="213">
      <c r="A213" s="226" t="s">
        <v>52</v>
      </c>
      <c r="B213" s="226" t="s">
        <v>519</v>
      </c>
      <c r="C213" s="250" t="s">
        <v>2329</v>
      </c>
      <c r="D213" s="268" t="s">
        <v>495</v>
      </c>
      <c r="E213" s="361">
        <v>44139.0</v>
      </c>
      <c r="F213" s="250" t="s">
        <v>521</v>
      </c>
      <c r="G213" s="171">
        <v>3.0</v>
      </c>
      <c r="H213" s="171">
        <v>20.0</v>
      </c>
      <c r="I213" s="171">
        <v>20.0</v>
      </c>
      <c r="J213" s="391">
        <f t="shared" si="4"/>
        <v>0.001267765119</v>
      </c>
      <c r="K213" s="392">
        <f t="shared" si="5"/>
        <v>0.4912589837</v>
      </c>
      <c r="L213" s="327">
        <f t="shared" si="2"/>
        <v>2.823664907</v>
      </c>
      <c r="M213" s="321" t="str">
        <f t="shared" si="3"/>
        <v>randomshinichi</v>
      </c>
      <c r="N213" s="176">
        <f>IFERROR(__xludf.DUMMYFUNCTION("""COMPUTED_VALUE"""),5.0)</f>
        <v>5</v>
      </c>
      <c r="O213" s="176"/>
      <c r="P213" s="176"/>
      <c r="Q213" s="176"/>
      <c r="R213" s="176"/>
      <c r="S213" s="176"/>
      <c r="T213" s="176"/>
      <c r="U213" s="176"/>
      <c r="V213" s="176"/>
      <c r="W213" s="176"/>
      <c r="X213" s="176"/>
      <c r="Y213" s="176"/>
      <c r="Z213" s="176"/>
    </row>
    <row r="214">
      <c r="A214" s="226" t="s">
        <v>43</v>
      </c>
      <c r="B214" s="226" t="s">
        <v>519</v>
      </c>
      <c r="C214" s="250" t="s">
        <v>2329</v>
      </c>
      <c r="D214" s="268" t="s">
        <v>495</v>
      </c>
      <c r="E214" s="251">
        <v>44132.0</v>
      </c>
      <c r="F214" s="250" t="s">
        <v>521</v>
      </c>
      <c r="G214" s="171">
        <v>3.0</v>
      </c>
      <c r="H214" s="171">
        <v>10.0</v>
      </c>
      <c r="I214" s="171">
        <v>10.0</v>
      </c>
      <c r="J214" s="391">
        <f t="shared" si="4"/>
        <v>0.0006338825596</v>
      </c>
      <c r="K214" s="392">
        <f t="shared" si="5"/>
        <v>0.2456294918</v>
      </c>
      <c r="L214" s="327">
        <f t="shared" si="2"/>
        <v>1.487395943</v>
      </c>
      <c r="M214" s="321" t="str">
        <f t="shared" si="3"/>
        <v>markop</v>
      </c>
      <c r="N214" s="176">
        <f>IFERROR(__xludf.DUMMYFUNCTION("""COMPUTED_VALUE"""),6.0)</f>
        <v>6</v>
      </c>
      <c r="O214" s="176"/>
      <c r="P214" s="176"/>
      <c r="Q214" s="176"/>
      <c r="R214" s="176"/>
      <c r="S214" s="176"/>
      <c r="T214" s="176"/>
      <c r="U214" s="176"/>
      <c r="V214" s="176"/>
      <c r="W214" s="176"/>
      <c r="X214" s="176"/>
      <c r="Y214" s="176"/>
      <c r="Z214" s="176"/>
    </row>
    <row r="215">
      <c r="A215" s="226" t="s">
        <v>262</v>
      </c>
      <c r="B215" s="226" t="s">
        <v>29</v>
      </c>
      <c r="C215" s="250" t="s">
        <v>3733</v>
      </c>
      <c r="D215" s="268" t="s">
        <v>495</v>
      </c>
      <c r="E215" s="361">
        <v>44140.0</v>
      </c>
      <c r="F215" s="250" t="s">
        <v>592</v>
      </c>
      <c r="G215" s="171">
        <v>3.0</v>
      </c>
      <c r="H215" s="171">
        <v>100.0</v>
      </c>
      <c r="I215" s="171">
        <v>20.0</v>
      </c>
      <c r="J215" s="391">
        <f t="shared" si="4"/>
        <v>0.003825473413</v>
      </c>
      <c r="K215" s="392">
        <f t="shared" si="5"/>
        <v>1.482370947</v>
      </c>
      <c r="L215" s="327">
        <f t="shared" si="2"/>
        <v>1.482370947</v>
      </c>
      <c r="M215" s="321" t="str">
        <f t="shared" si="3"/>
        <v>shrutiappiah1</v>
      </c>
      <c r="N215" s="176">
        <f>IFERROR(__xludf.DUMMYFUNCTION("""COMPUTED_VALUE"""),1.0)</f>
        <v>1</v>
      </c>
      <c r="O215" s="176"/>
      <c r="P215" s="176"/>
      <c r="Q215" s="176"/>
      <c r="R215" s="176"/>
      <c r="S215" s="176"/>
      <c r="T215" s="176"/>
      <c r="U215" s="176"/>
      <c r="V215" s="176"/>
      <c r="W215" s="176"/>
      <c r="X215" s="176"/>
      <c r="Y215" s="176"/>
      <c r="Z215" s="176"/>
    </row>
    <row r="216">
      <c r="A216" s="226" t="s">
        <v>117</v>
      </c>
      <c r="B216" s="226" t="s">
        <v>519</v>
      </c>
      <c r="C216" s="250" t="s">
        <v>3719</v>
      </c>
      <c r="D216" s="268" t="s">
        <v>495</v>
      </c>
      <c r="E216" s="251">
        <v>44132.0</v>
      </c>
      <c r="F216" s="250" t="s">
        <v>496</v>
      </c>
      <c r="G216" s="171">
        <v>1.0</v>
      </c>
      <c r="H216" s="171">
        <v>40.0</v>
      </c>
      <c r="I216" s="171">
        <v>40.0</v>
      </c>
      <c r="J216" s="391">
        <f t="shared" si="4"/>
        <v>0.002535530238</v>
      </c>
      <c r="K216" s="392">
        <f t="shared" si="5"/>
        <v>0.9825179674</v>
      </c>
      <c r="L216" s="327">
        <f t="shared" si="2"/>
        <v>0.4451406572</v>
      </c>
      <c r="M216" s="321" t="str">
        <f t="shared" si="3"/>
        <v>gfriis</v>
      </c>
      <c r="N216" s="176">
        <f>IFERROR(__xludf.DUMMYFUNCTION("""COMPUTED_VALUE"""),1.0)</f>
        <v>1</v>
      </c>
      <c r="O216" s="176"/>
      <c r="P216" s="176"/>
      <c r="Q216" s="176"/>
      <c r="R216" s="176"/>
      <c r="S216" s="176"/>
      <c r="T216" s="176"/>
      <c r="U216" s="176"/>
      <c r="V216" s="176"/>
      <c r="W216" s="176"/>
      <c r="X216" s="176"/>
      <c r="Y216" s="176"/>
      <c r="Z216" s="176"/>
    </row>
    <row r="217">
      <c r="A217" s="226" t="s">
        <v>117</v>
      </c>
      <c r="B217" s="226" t="s">
        <v>519</v>
      </c>
      <c r="C217" s="250" t="s">
        <v>3734</v>
      </c>
      <c r="D217" s="268" t="s">
        <v>495</v>
      </c>
      <c r="E217" s="361">
        <v>44140.0</v>
      </c>
      <c r="F217" s="250" t="s">
        <v>499</v>
      </c>
      <c r="G217" s="171">
        <v>3.0</v>
      </c>
      <c r="H217" s="171">
        <v>5.0</v>
      </c>
      <c r="I217" s="171">
        <v>5.0</v>
      </c>
      <c r="J217" s="391">
        <f t="shared" si="4"/>
        <v>0.0003169412798</v>
      </c>
      <c r="K217" s="392">
        <f t="shared" si="5"/>
        <v>0.1228147459</v>
      </c>
      <c r="L217" s="327">
        <f t="shared" si="2"/>
        <v>0.4451406572</v>
      </c>
      <c r="M217" s="321" t="str">
        <f t="shared" si="3"/>
        <v>gfriis</v>
      </c>
      <c r="N217" s="176">
        <f>IFERROR(__xludf.DUMMYFUNCTION("""COMPUTED_VALUE"""),2.0)</f>
        <v>2</v>
      </c>
      <c r="O217" s="176"/>
      <c r="P217" s="176"/>
      <c r="Q217" s="176"/>
      <c r="R217" s="176"/>
      <c r="S217" s="176"/>
      <c r="T217" s="176"/>
      <c r="U217" s="176"/>
      <c r="V217" s="176"/>
      <c r="W217" s="176"/>
      <c r="X217" s="176"/>
      <c r="Y217" s="176"/>
      <c r="Z217" s="176"/>
    </row>
    <row r="218">
      <c r="A218" s="226" t="s">
        <v>106</v>
      </c>
      <c r="B218" s="226" t="s">
        <v>29</v>
      </c>
      <c r="C218" s="250" t="s">
        <v>3733</v>
      </c>
      <c r="D218" s="268" t="s">
        <v>495</v>
      </c>
      <c r="E218" s="361">
        <v>44140.0</v>
      </c>
      <c r="F218" s="250" t="s">
        <v>592</v>
      </c>
      <c r="G218" s="171">
        <v>3.0</v>
      </c>
      <c r="H218" s="171">
        <v>100.0</v>
      </c>
      <c r="I218" s="171">
        <v>20.0</v>
      </c>
      <c r="J218" s="391">
        <f t="shared" si="4"/>
        <v>0.003825473413</v>
      </c>
      <c r="K218" s="392">
        <f t="shared" si="5"/>
        <v>1.482370947</v>
      </c>
      <c r="L218" s="327">
        <f t="shared" si="2"/>
        <v>1.482370947</v>
      </c>
      <c r="M218" s="321" t="str">
        <f t="shared" si="3"/>
        <v>jamessimbouras</v>
      </c>
      <c r="N218" s="176">
        <f>IFERROR(__xludf.DUMMYFUNCTION("""COMPUTED_VALUE"""),1.0)</f>
        <v>1</v>
      </c>
      <c r="O218" s="176"/>
      <c r="P218" s="176"/>
      <c r="Q218" s="176"/>
      <c r="R218" s="176"/>
      <c r="S218" s="176"/>
      <c r="T218" s="176"/>
      <c r="U218" s="176"/>
      <c r="V218" s="176"/>
      <c r="W218" s="176"/>
      <c r="X218" s="176"/>
      <c r="Y218" s="176"/>
      <c r="Z218" s="176"/>
    </row>
    <row r="219">
      <c r="A219" s="226" t="s">
        <v>127</v>
      </c>
      <c r="B219" s="226" t="s">
        <v>29</v>
      </c>
      <c r="C219" s="250" t="s">
        <v>3733</v>
      </c>
      <c r="D219" s="268" t="s">
        <v>495</v>
      </c>
      <c r="E219" s="361">
        <v>44140.0</v>
      </c>
      <c r="F219" s="250" t="s">
        <v>592</v>
      </c>
      <c r="G219" s="171">
        <v>3.0</v>
      </c>
      <c r="H219" s="171">
        <v>100.0</v>
      </c>
      <c r="I219" s="171">
        <v>20.0</v>
      </c>
      <c r="J219" s="391">
        <f t="shared" si="4"/>
        <v>0.003825473413</v>
      </c>
      <c r="K219" s="392">
        <f t="shared" si="5"/>
        <v>1.482370947</v>
      </c>
      <c r="L219" s="327">
        <f t="shared" si="2"/>
        <v>1.482370947</v>
      </c>
      <c r="M219" s="321" t="str">
        <f t="shared" si="3"/>
        <v>crypt0dawg</v>
      </c>
      <c r="N219" s="176">
        <f>IFERROR(__xludf.DUMMYFUNCTION("""COMPUTED_VALUE"""),1.0)</f>
        <v>1</v>
      </c>
      <c r="O219" s="176"/>
      <c r="P219" s="176"/>
      <c r="Q219" s="176"/>
      <c r="R219" s="176"/>
      <c r="S219" s="176"/>
      <c r="T219" s="176"/>
      <c r="U219" s="176"/>
      <c r="V219" s="176"/>
      <c r="W219" s="176"/>
      <c r="X219" s="176"/>
      <c r="Y219" s="176"/>
      <c r="Z219" s="176"/>
    </row>
    <row r="220">
      <c r="A220" s="226" t="s">
        <v>29</v>
      </c>
      <c r="B220" s="226" t="s">
        <v>5</v>
      </c>
      <c r="C220" s="250" t="s">
        <v>3721</v>
      </c>
      <c r="D220" s="268" t="s">
        <v>495</v>
      </c>
      <c r="E220" s="251">
        <v>44133.0</v>
      </c>
      <c r="F220" s="250" t="s">
        <v>496</v>
      </c>
      <c r="G220" s="171">
        <v>3.0</v>
      </c>
      <c r="H220" s="171">
        <v>10.0</v>
      </c>
      <c r="I220" s="171">
        <v>30.0</v>
      </c>
      <c r="J220" s="391">
        <f t="shared" si="4"/>
        <v>0.001262220605</v>
      </c>
      <c r="K220" s="392">
        <f t="shared" si="5"/>
        <v>0.4891104846</v>
      </c>
      <c r="L220" s="327">
        <f t="shared" si="2"/>
        <v>0.443393659</v>
      </c>
      <c r="M220" s="321" t="str">
        <f t="shared" si="3"/>
        <v>jeffemmett</v>
      </c>
      <c r="N220" s="176">
        <f>IFERROR(__xludf.DUMMYFUNCTION("""COMPUTED_VALUE"""),1.0)</f>
        <v>1</v>
      </c>
      <c r="O220" s="176"/>
      <c r="P220" s="176"/>
      <c r="Q220" s="176"/>
      <c r="R220" s="176"/>
      <c r="S220" s="176"/>
      <c r="T220" s="176"/>
      <c r="U220" s="176"/>
      <c r="V220" s="176"/>
      <c r="W220" s="176"/>
      <c r="X220" s="176"/>
      <c r="Y220" s="176"/>
      <c r="Z220" s="176"/>
    </row>
    <row r="221">
      <c r="A221" s="226" t="s">
        <v>29</v>
      </c>
      <c r="B221" s="226" t="s">
        <v>5</v>
      </c>
      <c r="C221" s="250" t="s">
        <v>3709</v>
      </c>
      <c r="D221" s="268" t="s">
        <v>495</v>
      </c>
      <c r="E221" s="251">
        <v>44133.0</v>
      </c>
      <c r="F221" s="250" t="s">
        <v>496</v>
      </c>
      <c r="G221" s="171">
        <v>1.0</v>
      </c>
      <c r="H221" s="171">
        <v>20.0</v>
      </c>
      <c r="I221" s="171">
        <v>30.0</v>
      </c>
      <c r="J221" s="391">
        <f t="shared" si="4"/>
        <v>0.001581934142</v>
      </c>
      <c r="K221" s="392">
        <f t="shared" si="5"/>
        <v>0.6129994801</v>
      </c>
      <c r="L221" s="327">
        <f t="shared" si="2"/>
        <v>0.443393659</v>
      </c>
      <c r="M221" s="321" t="str">
        <f t="shared" si="3"/>
        <v>jeffemmett</v>
      </c>
      <c r="N221" s="176">
        <f>IFERROR(__xludf.DUMMYFUNCTION("""COMPUTED_VALUE"""),2.0)</f>
        <v>2</v>
      </c>
      <c r="O221" s="176"/>
      <c r="P221" s="176"/>
      <c r="Q221" s="176"/>
      <c r="R221" s="176"/>
      <c r="S221" s="176"/>
      <c r="T221" s="176"/>
      <c r="U221" s="176"/>
      <c r="V221" s="176"/>
      <c r="W221" s="176"/>
      <c r="X221" s="176"/>
      <c r="Y221" s="176"/>
      <c r="Z221" s="176"/>
    </row>
    <row r="222">
      <c r="A222" s="226" t="s">
        <v>29</v>
      </c>
      <c r="B222" s="226" t="s">
        <v>519</v>
      </c>
      <c r="C222" s="250" t="s">
        <v>3711</v>
      </c>
      <c r="D222" s="268" t="s">
        <v>495</v>
      </c>
      <c r="E222" s="251">
        <v>44134.0</v>
      </c>
      <c r="F222" s="250" t="s">
        <v>496</v>
      </c>
      <c r="G222" s="171">
        <v>1.0</v>
      </c>
      <c r="H222" s="171">
        <v>30.0</v>
      </c>
      <c r="I222" s="171">
        <v>40.0</v>
      </c>
      <c r="J222" s="391">
        <f t="shared" si="4"/>
        <v>0.002215816702</v>
      </c>
      <c r="K222" s="392">
        <f t="shared" si="5"/>
        <v>0.8586289719</v>
      </c>
      <c r="L222" s="327">
        <f t="shared" si="2"/>
        <v>0.443393659</v>
      </c>
      <c r="M222" s="321" t="str">
        <f t="shared" si="3"/>
        <v>jeffemmett</v>
      </c>
      <c r="N222" s="176">
        <f>IFERROR(__xludf.DUMMYFUNCTION("""COMPUTED_VALUE"""),3.0)</f>
        <v>3</v>
      </c>
      <c r="O222" s="176"/>
      <c r="P222" s="176"/>
      <c r="Q222" s="176"/>
      <c r="R222" s="176"/>
      <c r="S222" s="176"/>
      <c r="T222" s="176"/>
      <c r="U222" s="176"/>
      <c r="V222" s="176"/>
      <c r="W222" s="176"/>
      <c r="X222" s="176"/>
      <c r="Y222" s="176"/>
      <c r="Z222" s="176"/>
    </row>
    <row r="223">
      <c r="A223" s="226" t="s">
        <v>29</v>
      </c>
      <c r="B223" s="226" t="s">
        <v>519</v>
      </c>
      <c r="C223" s="250" t="s">
        <v>3734</v>
      </c>
      <c r="D223" s="268" t="s">
        <v>495</v>
      </c>
      <c r="E223" s="361">
        <v>44140.0</v>
      </c>
      <c r="F223" s="250" t="s">
        <v>499</v>
      </c>
      <c r="G223" s="171">
        <v>3.0</v>
      </c>
      <c r="H223" s="171">
        <v>5.0</v>
      </c>
      <c r="I223" s="171">
        <v>5.0</v>
      </c>
      <c r="J223" s="391">
        <f t="shared" si="4"/>
        <v>0.0003169412798</v>
      </c>
      <c r="K223" s="392">
        <f t="shared" si="5"/>
        <v>0.1228147459</v>
      </c>
      <c r="L223" s="327">
        <f t="shared" si="2"/>
        <v>0.443393659</v>
      </c>
      <c r="M223" s="321" t="str">
        <f t="shared" si="3"/>
        <v>jeffemmett</v>
      </c>
      <c r="N223" s="176">
        <f>IFERROR(__xludf.DUMMYFUNCTION("""COMPUTED_VALUE"""),4.0)</f>
        <v>4</v>
      </c>
      <c r="O223" s="176"/>
      <c r="P223" s="176"/>
      <c r="Q223" s="176"/>
      <c r="R223" s="176"/>
      <c r="S223" s="176"/>
      <c r="T223" s="176"/>
      <c r="U223" s="176"/>
      <c r="V223" s="176"/>
      <c r="W223" s="176"/>
      <c r="X223" s="176"/>
      <c r="Y223" s="176"/>
      <c r="Z223" s="176"/>
    </row>
    <row r="224">
      <c r="A224" s="226" t="s">
        <v>85</v>
      </c>
      <c r="B224" s="226" t="s">
        <v>18</v>
      </c>
      <c r="C224" s="250" t="s">
        <v>3708</v>
      </c>
      <c r="D224" s="268" t="s">
        <v>495</v>
      </c>
      <c r="E224" s="251">
        <v>44132.0</v>
      </c>
      <c r="F224" s="250" t="s">
        <v>496</v>
      </c>
      <c r="G224" s="171">
        <v>1.0</v>
      </c>
      <c r="H224" s="171">
        <v>30.0</v>
      </c>
      <c r="I224" s="171">
        <v>30.0</v>
      </c>
      <c r="J224" s="391">
        <f t="shared" si="4"/>
        <v>0.001901647679</v>
      </c>
      <c r="K224" s="392">
        <f t="shared" si="5"/>
        <v>0.7368884755</v>
      </c>
      <c r="L224" s="327">
        <f t="shared" si="2"/>
        <v>1.457228693</v>
      </c>
      <c r="M224" s="321" t="str">
        <f t="shared" si="3"/>
        <v>vivszaid</v>
      </c>
      <c r="N224" s="176">
        <f>IFERROR(__xludf.DUMMYFUNCTION("""COMPUTED_VALUE"""),5.0)</f>
        <v>5</v>
      </c>
      <c r="O224" s="176"/>
      <c r="P224" s="176"/>
      <c r="Q224" s="176"/>
      <c r="R224" s="176"/>
      <c r="S224" s="176"/>
      <c r="T224" s="176"/>
      <c r="U224" s="176"/>
      <c r="V224" s="176"/>
      <c r="W224" s="176"/>
      <c r="X224" s="176"/>
      <c r="Y224" s="176"/>
      <c r="Z224" s="176"/>
    </row>
    <row r="225">
      <c r="A225" s="226" t="s">
        <v>76</v>
      </c>
      <c r="B225" s="226" t="s">
        <v>5</v>
      </c>
      <c r="C225" s="250" t="s">
        <v>3730</v>
      </c>
      <c r="D225" s="268" t="s">
        <v>495</v>
      </c>
      <c r="E225" s="361">
        <v>44138.0</v>
      </c>
      <c r="F225" s="250" t="s">
        <v>496</v>
      </c>
      <c r="G225" s="171">
        <v>1.0</v>
      </c>
      <c r="H225" s="171">
        <v>30.0</v>
      </c>
      <c r="I225" s="171">
        <v>40.0</v>
      </c>
      <c r="J225" s="391">
        <f t="shared" si="4"/>
        <v>0.002215816702</v>
      </c>
      <c r="K225" s="392">
        <f t="shared" si="5"/>
        <v>0.8586289719</v>
      </c>
      <c r="L225" s="327">
        <f t="shared" si="2"/>
        <v>2.699775911</v>
      </c>
      <c r="M225" s="321" t="str">
        <f t="shared" si="3"/>
        <v>fabianvb</v>
      </c>
      <c r="N225" s="176">
        <f>IFERROR(__xludf.DUMMYFUNCTION("""COMPUTED_VALUE"""),2.0)</f>
        <v>2</v>
      </c>
      <c r="O225" s="176"/>
      <c r="P225" s="176"/>
      <c r="Q225" s="176"/>
      <c r="R225" s="176"/>
      <c r="S225" s="176"/>
      <c r="T225" s="176"/>
      <c r="U225" s="176"/>
      <c r="V225" s="176"/>
      <c r="W225" s="176"/>
      <c r="X225" s="176"/>
      <c r="Y225" s="176"/>
      <c r="Z225" s="176"/>
    </row>
    <row r="226">
      <c r="A226" s="226" t="s">
        <v>76</v>
      </c>
      <c r="B226" s="226" t="s">
        <v>5</v>
      </c>
      <c r="C226" s="250" t="s">
        <v>3715</v>
      </c>
      <c r="D226" s="268" t="s">
        <v>495</v>
      </c>
      <c r="E226" s="361">
        <v>44141.0</v>
      </c>
      <c r="F226" s="250" t="s">
        <v>496</v>
      </c>
      <c r="G226" s="171">
        <v>1.0</v>
      </c>
      <c r="H226" s="171">
        <v>30.0</v>
      </c>
      <c r="I226" s="171">
        <v>40.0</v>
      </c>
      <c r="J226" s="391">
        <f t="shared" si="4"/>
        <v>0.002215816702</v>
      </c>
      <c r="K226" s="392">
        <f t="shared" si="5"/>
        <v>0.8586289719</v>
      </c>
      <c r="L226" s="327">
        <f t="shared" si="2"/>
        <v>2.699775911</v>
      </c>
      <c r="M226" s="321" t="str">
        <f t="shared" si="3"/>
        <v>fabianvb</v>
      </c>
      <c r="N226" s="176">
        <f>IFERROR(__xludf.DUMMYFUNCTION("""COMPUTED_VALUE"""),3.0)</f>
        <v>3</v>
      </c>
      <c r="O226" s="176"/>
      <c r="P226" s="176"/>
      <c r="Q226" s="176"/>
      <c r="R226" s="176"/>
      <c r="S226" s="176"/>
      <c r="T226" s="176"/>
      <c r="U226" s="176"/>
      <c r="V226" s="176"/>
      <c r="W226" s="176"/>
      <c r="X226" s="176"/>
      <c r="Y226" s="176"/>
      <c r="Z226" s="176"/>
    </row>
    <row r="227">
      <c r="A227" s="226" t="s">
        <v>50</v>
      </c>
      <c r="B227" s="226" t="s">
        <v>18</v>
      </c>
      <c r="C227" s="250" t="s">
        <v>3795</v>
      </c>
      <c r="D227" s="268" t="s">
        <v>495</v>
      </c>
      <c r="E227" s="251">
        <v>44133.0</v>
      </c>
      <c r="F227" s="250" t="s">
        <v>496</v>
      </c>
      <c r="G227" s="171">
        <v>1.0</v>
      </c>
      <c r="H227" s="171">
        <v>5.0</v>
      </c>
      <c r="I227" s="171">
        <v>10.0</v>
      </c>
      <c r="J227" s="391">
        <f t="shared" si="4"/>
        <v>0.0004740257913</v>
      </c>
      <c r="K227" s="392">
        <f t="shared" si="5"/>
        <v>0.1836849941</v>
      </c>
      <c r="L227" s="327">
        <f t="shared" si="2"/>
        <v>1.079775432</v>
      </c>
      <c r="M227" s="321" t="str">
        <f t="shared" si="3"/>
        <v>geleeroyale</v>
      </c>
      <c r="N227" s="176">
        <f>IFERROR(__xludf.DUMMYFUNCTION("""COMPUTED_VALUE"""),1.0)</f>
        <v>1</v>
      </c>
      <c r="O227" s="176"/>
      <c r="P227" s="176"/>
      <c r="Q227" s="176"/>
      <c r="R227" s="176"/>
      <c r="S227" s="176"/>
      <c r="T227" s="176"/>
      <c r="U227" s="176"/>
      <c r="V227" s="176"/>
      <c r="W227" s="176"/>
      <c r="X227" s="176"/>
      <c r="Y227" s="176"/>
      <c r="Z227" s="176"/>
    </row>
    <row r="228">
      <c r="A228" s="226" t="s">
        <v>294</v>
      </c>
      <c r="B228" s="249" t="s">
        <v>18</v>
      </c>
      <c r="C228" s="219" t="s">
        <v>3796</v>
      </c>
      <c r="D228" s="369" t="s">
        <v>495</v>
      </c>
      <c r="E228" s="251">
        <v>44132.0</v>
      </c>
      <c r="F228" s="219" t="s">
        <v>496</v>
      </c>
      <c r="G228" s="171">
        <v>1.0</v>
      </c>
      <c r="H228" s="171">
        <v>20.0</v>
      </c>
      <c r="I228" s="171">
        <v>30.0</v>
      </c>
      <c r="J228" s="391">
        <f t="shared" si="4"/>
        <v>0.001581934142</v>
      </c>
      <c r="K228" s="392">
        <f t="shared" si="5"/>
        <v>0.6129994801</v>
      </c>
      <c r="L228" s="327">
        <f t="shared" si="2"/>
        <v>0.9846664665</v>
      </c>
      <c r="M228" s="321" t="str">
        <f t="shared" si="3"/>
        <v>viken33</v>
      </c>
      <c r="N228" s="176">
        <f>IFERROR(__xludf.DUMMYFUNCTION("""COMPUTED_VALUE"""),1.0)</f>
        <v>1</v>
      </c>
      <c r="O228" s="176"/>
      <c r="P228" s="176"/>
      <c r="Q228" s="176"/>
      <c r="R228" s="176"/>
      <c r="S228" s="176"/>
      <c r="T228" s="176"/>
      <c r="U228" s="176"/>
      <c r="V228" s="176"/>
      <c r="W228" s="176"/>
      <c r="X228" s="176"/>
      <c r="Y228" s="176"/>
      <c r="Z228" s="176"/>
    </row>
    <row r="229">
      <c r="A229" s="226" t="s">
        <v>16</v>
      </c>
      <c r="B229" s="226" t="s">
        <v>18</v>
      </c>
      <c r="C229" s="250" t="s">
        <v>3718</v>
      </c>
      <c r="D229" s="268" t="s">
        <v>495</v>
      </c>
      <c r="E229" s="251">
        <v>44131.0</v>
      </c>
      <c r="F229" s="250" t="s">
        <v>496</v>
      </c>
      <c r="G229" s="171">
        <v>1.0</v>
      </c>
      <c r="H229" s="171">
        <v>0.0</v>
      </c>
      <c r="I229" s="171">
        <v>0.0</v>
      </c>
      <c r="J229" s="391">
        <f t="shared" si="4"/>
        <v>0</v>
      </c>
      <c r="K229" s="392">
        <f t="shared" si="5"/>
        <v>0</v>
      </c>
      <c r="L229" s="327">
        <f t="shared" si="2"/>
        <v>0</v>
      </c>
      <c r="M229" s="321" t="str">
        <f t="shared" si="3"/>
        <v>griffgreen</v>
      </c>
      <c r="N229" s="176">
        <f>IFERROR(__xludf.DUMMYFUNCTION("""COMPUTED_VALUE"""),1.0)</f>
        <v>1</v>
      </c>
      <c r="O229" s="176"/>
      <c r="P229" s="176"/>
      <c r="Q229" s="176"/>
      <c r="R229" s="176"/>
      <c r="S229" s="176"/>
      <c r="T229" s="176"/>
      <c r="U229" s="176"/>
      <c r="V229" s="176"/>
      <c r="W229" s="176"/>
      <c r="X229" s="176"/>
      <c r="Y229" s="176"/>
      <c r="Z229" s="176"/>
    </row>
    <row r="230">
      <c r="A230" s="226" t="s">
        <v>16</v>
      </c>
      <c r="B230" s="226" t="s">
        <v>519</v>
      </c>
      <c r="C230" s="250" t="s">
        <v>3719</v>
      </c>
      <c r="D230" s="268" t="s">
        <v>495</v>
      </c>
      <c r="E230" s="251">
        <v>44132.0</v>
      </c>
      <c r="F230" s="250" t="s">
        <v>496</v>
      </c>
      <c r="G230" s="171">
        <v>1.0</v>
      </c>
      <c r="H230" s="171">
        <v>0.0</v>
      </c>
      <c r="I230" s="171">
        <v>0.0</v>
      </c>
      <c r="J230" s="391">
        <f t="shared" si="4"/>
        <v>0</v>
      </c>
      <c r="K230" s="392">
        <f t="shared" si="5"/>
        <v>0</v>
      </c>
      <c r="L230" s="327">
        <f t="shared" si="2"/>
        <v>0</v>
      </c>
      <c r="M230" s="321" t="str">
        <f t="shared" si="3"/>
        <v>griffgreen</v>
      </c>
      <c r="N230" s="176">
        <f>IFERROR(__xludf.DUMMYFUNCTION("""COMPUTED_VALUE"""),2.0)</f>
        <v>2</v>
      </c>
      <c r="O230" s="176"/>
      <c r="P230" s="176"/>
      <c r="Q230" s="176"/>
      <c r="R230" s="176"/>
      <c r="S230" s="176"/>
      <c r="T230" s="176"/>
      <c r="U230" s="176"/>
      <c r="V230" s="176"/>
      <c r="W230" s="176"/>
      <c r="X230" s="176"/>
      <c r="Y230" s="176"/>
      <c r="Z230" s="176"/>
    </row>
    <row r="231">
      <c r="A231" s="226" t="s">
        <v>16</v>
      </c>
      <c r="B231" s="226" t="s">
        <v>18</v>
      </c>
      <c r="C231" s="250" t="s">
        <v>3708</v>
      </c>
      <c r="D231" s="268" t="s">
        <v>495</v>
      </c>
      <c r="E231" s="251">
        <v>44132.0</v>
      </c>
      <c r="F231" s="250" t="s">
        <v>496</v>
      </c>
      <c r="G231" s="171">
        <v>1.0</v>
      </c>
      <c r="H231" s="171">
        <v>0.0</v>
      </c>
      <c r="I231" s="171">
        <v>0.0</v>
      </c>
      <c r="J231" s="391">
        <f t="shared" si="4"/>
        <v>0</v>
      </c>
      <c r="K231" s="392">
        <f t="shared" si="5"/>
        <v>0</v>
      </c>
      <c r="L231" s="327">
        <f t="shared" si="2"/>
        <v>0</v>
      </c>
      <c r="M231" s="321" t="str">
        <f t="shared" si="3"/>
        <v>griffgreen</v>
      </c>
      <c r="N231" s="176">
        <f>IFERROR(__xludf.DUMMYFUNCTION("""COMPUTED_VALUE"""),3.0)</f>
        <v>3</v>
      </c>
      <c r="O231" s="176"/>
      <c r="P231" s="176"/>
      <c r="Q231" s="176"/>
      <c r="R231" s="176"/>
      <c r="S231" s="176"/>
      <c r="T231" s="176"/>
      <c r="U231" s="176"/>
      <c r="V231" s="176"/>
      <c r="W231" s="176"/>
      <c r="X231" s="176"/>
      <c r="Y231" s="176"/>
      <c r="Z231" s="176"/>
    </row>
    <row r="232">
      <c r="A232" s="226" t="s">
        <v>16</v>
      </c>
      <c r="B232" s="226" t="s">
        <v>18</v>
      </c>
      <c r="C232" s="250" t="s">
        <v>3797</v>
      </c>
      <c r="D232" s="268" t="s">
        <v>495</v>
      </c>
      <c r="E232" s="251">
        <v>44132.0</v>
      </c>
      <c r="F232" s="250" t="s">
        <v>496</v>
      </c>
      <c r="G232" s="171">
        <v>1.0</v>
      </c>
      <c r="H232" s="171">
        <v>0.0</v>
      </c>
      <c r="I232" s="171">
        <v>0.0</v>
      </c>
      <c r="J232" s="391">
        <f t="shared" si="4"/>
        <v>0</v>
      </c>
      <c r="K232" s="392">
        <f t="shared" si="5"/>
        <v>0</v>
      </c>
      <c r="L232" s="327">
        <f t="shared" si="2"/>
        <v>0</v>
      </c>
      <c r="M232" s="321" t="str">
        <f t="shared" si="3"/>
        <v>griffgreen</v>
      </c>
      <c r="N232" s="176">
        <f>IFERROR(__xludf.DUMMYFUNCTION("""COMPUTED_VALUE"""),4.0)</f>
        <v>4</v>
      </c>
      <c r="O232" s="176"/>
      <c r="P232" s="176"/>
      <c r="Q232" s="176"/>
      <c r="R232" s="176"/>
      <c r="S232" s="176"/>
      <c r="T232" s="176"/>
      <c r="U232" s="176"/>
      <c r="V232" s="176"/>
      <c r="W232" s="176"/>
      <c r="X232" s="176"/>
      <c r="Y232" s="176"/>
      <c r="Z232" s="176"/>
    </row>
    <row r="233">
      <c r="A233" s="226" t="s">
        <v>16</v>
      </c>
      <c r="B233" s="226" t="s">
        <v>18</v>
      </c>
      <c r="C233" s="250" t="s">
        <v>3798</v>
      </c>
      <c r="D233" s="268" t="s">
        <v>495</v>
      </c>
      <c r="E233" s="251">
        <v>44133.0</v>
      </c>
      <c r="F233" s="250" t="s">
        <v>496</v>
      </c>
      <c r="G233" s="171">
        <v>1.0</v>
      </c>
      <c r="H233" s="171">
        <v>0.0</v>
      </c>
      <c r="I233" s="171">
        <v>0.0</v>
      </c>
      <c r="J233" s="391">
        <f t="shared" si="4"/>
        <v>0</v>
      </c>
      <c r="K233" s="392">
        <f t="shared" si="5"/>
        <v>0</v>
      </c>
      <c r="L233" s="327">
        <f t="shared" si="2"/>
        <v>0</v>
      </c>
      <c r="M233" s="321" t="str">
        <f t="shared" si="3"/>
        <v>griffgreen</v>
      </c>
      <c r="N233" s="176">
        <f>IFERROR(__xludf.DUMMYFUNCTION("""COMPUTED_VALUE"""),5.0)</f>
        <v>5</v>
      </c>
      <c r="O233" s="176"/>
      <c r="P233" s="176"/>
      <c r="Q233" s="176"/>
      <c r="R233" s="176"/>
      <c r="S233" s="176"/>
      <c r="T233" s="176"/>
      <c r="U233" s="176"/>
      <c r="V233" s="176"/>
      <c r="W233" s="176"/>
      <c r="X233" s="176"/>
      <c r="Y233" s="176"/>
      <c r="Z233" s="176"/>
    </row>
    <row r="234">
      <c r="A234" s="226" t="s">
        <v>16</v>
      </c>
      <c r="B234" s="226" t="s">
        <v>5</v>
      </c>
      <c r="C234" s="250" t="s">
        <v>3709</v>
      </c>
      <c r="D234" s="268" t="s">
        <v>495</v>
      </c>
      <c r="E234" s="251">
        <v>44133.0</v>
      </c>
      <c r="F234" s="250" t="s">
        <v>496</v>
      </c>
      <c r="G234" s="171">
        <v>1.0</v>
      </c>
      <c r="H234" s="171">
        <v>0.0</v>
      </c>
      <c r="I234" s="171">
        <v>0.0</v>
      </c>
      <c r="J234" s="391">
        <f t="shared" si="4"/>
        <v>0</v>
      </c>
      <c r="K234" s="392">
        <f t="shared" si="5"/>
        <v>0</v>
      </c>
      <c r="L234" s="327">
        <f t="shared" si="2"/>
        <v>0</v>
      </c>
      <c r="M234" s="321" t="str">
        <f t="shared" si="3"/>
        <v>griffgreen</v>
      </c>
      <c r="N234" s="176">
        <f>IFERROR(__xludf.DUMMYFUNCTION("""COMPUTED_VALUE"""),6.0)</f>
        <v>6</v>
      </c>
      <c r="O234" s="176"/>
      <c r="P234" s="176"/>
      <c r="Q234" s="176"/>
      <c r="R234" s="176"/>
      <c r="S234" s="176"/>
      <c r="T234" s="176"/>
      <c r="U234" s="176"/>
      <c r="V234" s="176"/>
      <c r="W234" s="176"/>
      <c r="X234" s="176"/>
      <c r="Y234" s="176"/>
      <c r="Z234" s="176"/>
    </row>
    <row r="235">
      <c r="A235" s="226" t="s">
        <v>16</v>
      </c>
      <c r="B235" s="226" t="s">
        <v>519</v>
      </c>
      <c r="C235" s="250" t="s">
        <v>3711</v>
      </c>
      <c r="D235" s="268" t="s">
        <v>495</v>
      </c>
      <c r="E235" s="251">
        <v>44134.0</v>
      </c>
      <c r="F235" s="250" t="s">
        <v>496</v>
      </c>
      <c r="G235" s="171">
        <v>1.0</v>
      </c>
      <c r="H235" s="171">
        <v>0.0</v>
      </c>
      <c r="I235" s="171">
        <v>0.0</v>
      </c>
      <c r="J235" s="391">
        <f t="shared" si="4"/>
        <v>0</v>
      </c>
      <c r="K235" s="392">
        <f t="shared" si="5"/>
        <v>0</v>
      </c>
      <c r="L235" s="327">
        <f t="shared" si="2"/>
        <v>0</v>
      </c>
      <c r="M235" s="321" t="str">
        <f t="shared" si="3"/>
        <v>griffgreen</v>
      </c>
      <c r="N235" s="176">
        <f>IFERROR(__xludf.DUMMYFUNCTION("""COMPUTED_VALUE"""),7.0)</f>
        <v>7</v>
      </c>
      <c r="O235" s="176"/>
      <c r="P235" s="176"/>
      <c r="Q235" s="176"/>
      <c r="R235" s="176"/>
      <c r="S235" s="176"/>
      <c r="T235" s="176"/>
      <c r="U235" s="176"/>
      <c r="V235" s="176"/>
      <c r="W235" s="176"/>
      <c r="X235" s="176"/>
      <c r="Y235" s="176"/>
      <c r="Z235" s="176"/>
    </row>
    <row r="236">
      <c r="A236" s="226" t="s">
        <v>16</v>
      </c>
      <c r="B236" s="226" t="s">
        <v>590</v>
      </c>
      <c r="C236" s="250" t="s">
        <v>3799</v>
      </c>
      <c r="D236" s="268" t="s">
        <v>495</v>
      </c>
      <c r="E236" s="251">
        <v>44134.0</v>
      </c>
      <c r="F236" s="250" t="s">
        <v>496</v>
      </c>
      <c r="G236" s="171">
        <v>1.0</v>
      </c>
      <c r="H236" s="171">
        <v>0.0</v>
      </c>
      <c r="I236" s="171">
        <v>0.0</v>
      </c>
      <c r="J236" s="391">
        <f t="shared" si="4"/>
        <v>0</v>
      </c>
      <c r="K236" s="392">
        <f t="shared" si="5"/>
        <v>0</v>
      </c>
      <c r="L236" s="327">
        <f t="shared" si="2"/>
        <v>0</v>
      </c>
      <c r="M236" s="321" t="str">
        <f t="shared" si="3"/>
        <v>griffgreen</v>
      </c>
      <c r="N236" s="176">
        <f>IFERROR(__xludf.DUMMYFUNCTION("""COMPUTED_VALUE"""),8.0)</f>
        <v>8</v>
      </c>
      <c r="O236" s="176"/>
      <c r="P236" s="176"/>
      <c r="Q236" s="176"/>
      <c r="R236" s="176"/>
      <c r="S236" s="176"/>
      <c r="T236" s="176"/>
      <c r="U236" s="176"/>
      <c r="V236" s="176"/>
      <c r="W236" s="176"/>
      <c r="X236" s="176"/>
      <c r="Y236" s="176"/>
      <c r="Z236" s="176"/>
    </row>
    <row r="237">
      <c r="A237" s="226" t="s">
        <v>16</v>
      </c>
      <c r="B237" s="226" t="s">
        <v>18</v>
      </c>
      <c r="C237" s="250" t="s">
        <v>3739</v>
      </c>
      <c r="D237" s="268" t="s">
        <v>495</v>
      </c>
      <c r="E237" s="251">
        <v>44134.0</v>
      </c>
      <c r="F237" s="250" t="s">
        <v>496</v>
      </c>
      <c r="G237" s="171">
        <v>1.0</v>
      </c>
      <c r="H237" s="171">
        <v>0.0</v>
      </c>
      <c r="I237" s="171">
        <v>0.0</v>
      </c>
      <c r="J237" s="391">
        <f t="shared" si="4"/>
        <v>0</v>
      </c>
      <c r="K237" s="392">
        <f t="shared" si="5"/>
        <v>0</v>
      </c>
      <c r="L237" s="327">
        <f t="shared" si="2"/>
        <v>0</v>
      </c>
      <c r="M237" s="321" t="str">
        <f t="shared" si="3"/>
        <v>griffgreen</v>
      </c>
      <c r="N237" s="176">
        <f>IFERROR(__xludf.DUMMYFUNCTION("""COMPUTED_VALUE"""),9.0)</f>
        <v>9</v>
      </c>
      <c r="O237" s="176"/>
      <c r="P237" s="176"/>
      <c r="Q237" s="176"/>
      <c r="R237" s="176"/>
      <c r="S237" s="176"/>
      <c r="T237" s="176"/>
      <c r="U237" s="176"/>
      <c r="V237" s="176"/>
      <c r="W237" s="176"/>
      <c r="X237" s="176"/>
      <c r="Y237" s="176"/>
      <c r="Z237" s="176"/>
    </row>
    <row r="238">
      <c r="A238" s="226" t="s">
        <v>16</v>
      </c>
      <c r="B238" s="226" t="s">
        <v>18</v>
      </c>
      <c r="C238" s="250" t="s">
        <v>3766</v>
      </c>
      <c r="D238" s="268" t="s">
        <v>495</v>
      </c>
      <c r="E238" s="361">
        <v>44138.0</v>
      </c>
      <c r="F238" s="250" t="s">
        <v>496</v>
      </c>
      <c r="G238" s="171">
        <v>1.0</v>
      </c>
      <c r="H238" s="171">
        <v>0.0</v>
      </c>
      <c r="I238" s="171">
        <v>0.0</v>
      </c>
      <c r="J238" s="391">
        <f t="shared" si="4"/>
        <v>0</v>
      </c>
      <c r="K238" s="392">
        <f t="shared" si="5"/>
        <v>0</v>
      </c>
      <c r="L238" s="327">
        <f t="shared" si="2"/>
        <v>0</v>
      </c>
      <c r="M238" s="321" t="str">
        <f t="shared" si="3"/>
        <v>griffgreen</v>
      </c>
      <c r="N238" s="176">
        <f>IFERROR(__xludf.DUMMYFUNCTION("""COMPUTED_VALUE"""),10.0)</f>
        <v>10</v>
      </c>
      <c r="O238" s="176"/>
      <c r="P238" s="176"/>
      <c r="Q238" s="176"/>
      <c r="R238" s="176"/>
      <c r="S238" s="176"/>
      <c r="T238" s="176"/>
      <c r="U238" s="176"/>
      <c r="V238" s="176"/>
      <c r="W238" s="176"/>
      <c r="X238" s="176"/>
      <c r="Y238" s="176"/>
      <c r="Z238" s="176"/>
    </row>
    <row r="239">
      <c r="A239" s="226" t="s">
        <v>16</v>
      </c>
      <c r="B239" s="226" t="s">
        <v>5</v>
      </c>
      <c r="C239" s="250" t="s">
        <v>3729</v>
      </c>
      <c r="D239" s="268" t="s">
        <v>495</v>
      </c>
      <c r="E239" s="361">
        <v>44138.0</v>
      </c>
      <c r="F239" s="250" t="s">
        <v>496</v>
      </c>
      <c r="G239" s="171">
        <v>1.0</v>
      </c>
      <c r="H239" s="171">
        <v>0.0</v>
      </c>
      <c r="I239" s="171">
        <v>0.0</v>
      </c>
      <c r="J239" s="391">
        <f t="shared" si="4"/>
        <v>0</v>
      </c>
      <c r="K239" s="392">
        <f t="shared" si="5"/>
        <v>0</v>
      </c>
      <c r="L239" s="327">
        <f t="shared" si="2"/>
        <v>0</v>
      </c>
      <c r="M239" s="321" t="str">
        <f t="shared" si="3"/>
        <v>griffgreen</v>
      </c>
      <c r="N239" s="176">
        <f>IFERROR(__xludf.DUMMYFUNCTION("""COMPUTED_VALUE"""),11.0)</f>
        <v>11</v>
      </c>
      <c r="O239" s="176"/>
      <c r="P239" s="176"/>
      <c r="Q239" s="176"/>
      <c r="R239" s="176"/>
      <c r="S239" s="176"/>
      <c r="T239" s="176"/>
      <c r="U239" s="176"/>
      <c r="V239" s="176"/>
      <c r="W239" s="176"/>
      <c r="X239" s="176"/>
      <c r="Y239" s="176"/>
      <c r="Z239" s="176"/>
    </row>
    <row r="240">
      <c r="A240" s="226" t="s">
        <v>16</v>
      </c>
      <c r="B240" s="226" t="s">
        <v>5</v>
      </c>
      <c r="C240" s="250" t="s">
        <v>3730</v>
      </c>
      <c r="D240" s="268" t="s">
        <v>495</v>
      </c>
      <c r="E240" s="361">
        <v>44138.0</v>
      </c>
      <c r="F240" s="250" t="s">
        <v>496</v>
      </c>
      <c r="G240" s="171">
        <v>1.0</v>
      </c>
      <c r="H240" s="171">
        <v>0.0</v>
      </c>
      <c r="I240" s="171">
        <v>0.0</v>
      </c>
      <c r="J240" s="391">
        <f t="shared" si="4"/>
        <v>0</v>
      </c>
      <c r="K240" s="392">
        <f t="shared" si="5"/>
        <v>0</v>
      </c>
      <c r="L240" s="327">
        <f t="shared" si="2"/>
        <v>0</v>
      </c>
      <c r="M240" s="321" t="str">
        <f t="shared" si="3"/>
        <v>griffgreen</v>
      </c>
      <c r="N240" s="176">
        <f>IFERROR(__xludf.DUMMYFUNCTION("""COMPUTED_VALUE"""),12.0)</f>
        <v>12</v>
      </c>
      <c r="O240" s="176"/>
      <c r="P240" s="176"/>
      <c r="Q240" s="176"/>
      <c r="R240" s="176"/>
      <c r="S240" s="176"/>
      <c r="T240" s="176"/>
      <c r="U240" s="176"/>
      <c r="V240" s="176"/>
      <c r="W240" s="176"/>
      <c r="X240" s="176"/>
      <c r="Y240" s="176"/>
      <c r="Z240" s="176"/>
    </row>
    <row r="241">
      <c r="A241" s="226" t="s">
        <v>16</v>
      </c>
      <c r="B241" s="226" t="s">
        <v>18</v>
      </c>
      <c r="C241" s="250" t="s">
        <v>3800</v>
      </c>
      <c r="D241" s="268" t="s">
        <v>495</v>
      </c>
      <c r="E241" s="361">
        <v>44138.0</v>
      </c>
      <c r="F241" s="250" t="s">
        <v>496</v>
      </c>
      <c r="G241" s="171">
        <v>1.0</v>
      </c>
      <c r="H241" s="171">
        <v>0.0</v>
      </c>
      <c r="I241" s="171">
        <v>0.0</v>
      </c>
      <c r="J241" s="391">
        <f t="shared" si="4"/>
        <v>0</v>
      </c>
      <c r="K241" s="392">
        <f t="shared" si="5"/>
        <v>0</v>
      </c>
      <c r="L241" s="327">
        <f t="shared" si="2"/>
        <v>0</v>
      </c>
      <c r="M241" s="321" t="str">
        <f t="shared" si="3"/>
        <v>griffgreen</v>
      </c>
      <c r="N241" s="176">
        <f>IFERROR(__xludf.DUMMYFUNCTION("""COMPUTED_VALUE"""),13.0)</f>
        <v>13</v>
      </c>
      <c r="O241" s="176"/>
      <c r="P241" s="176"/>
      <c r="Q241" s="176"/>
      <c r="R241" s="176"/>
      <c r="S241" s="176"/>
      <c r="T241" s="176"/>
      <c r="U241" s="176"/>
      <c r="V241" s="176"/>
      <c r="W241" s="176"/>
      <c r="X241" s="176"/>
      <c r="Y241" s="176"/>
      <c r="Z241" s="176"/>
    </row>
    <row r="242">
      <c r="A242" s="226" t="s">
        <v>16</v>
      </c>
      <c r="B242" s="226" t="s">
        <v>5</v>
      </c>
      <c r="C242" s="250" t="s">
        <v>3801</v>
      </c>
      <c r="D242" s="268" t="s">
        <v>495</v>
      </c>
      <c r="E242" s="361">
        <v>44138.0</v>
      </c>
      <c r="F242" s="250" t="s">
        <v>496</v>
      </c>
      <c r="G242" s="171">
        <v>1.0</v>
      </c>
      <c r="H242" s="171">
        <v>0.0</v>
      </c>
      <c r="I242" s="171">
        <v>0.0</v>
      </c>
      <c r="J242" s="391">
        <f t="shared" si="4"/>
        <v>0</v>
      </c>
      <c r="K242" s="392">
        <f t="shared" si="5"/>
        <v>0</v>
      </c>
      <c r="L242" s="327">
        <f t="shared" si="2"/>
        <v>0</v>
      </c>
      <c r="M242" s="321" t="str">
        <f t="shared" si="3"/>
        <v>griffgreen</v>
      </c>
      <c r="N242" s="176">
        <f>IFERROR(__xludf.DUMMYFUNCTION("""COMPUTED_VALUE"""),14.0)</f>
        <v>14</v>
      </c>
      <c r="O242" s="176"/>
      <c r="P242" s="176"/>
      <c r="Q242" s="176"/>
      <c r="R242" s="176"/>
      <c r="S242" s="176"/>
      <c r="T242" s="176"/>
      <c r="U242" s="176"/>
      <c r="V242" s="176"/>
      <c r="W242" s="176"/>
      <c r="X242" s="176"/>
      <c r="Y242" s="176"/>
      <c r="Z242" s="176"/>
    </row>
    <row r="243">
      <c r="A243" s="226" t="s">
        <v>16</v>
      </c>
      <c r="B243" s="226" t="s">
        <v>519</v>
      </c>
      <c r="C243" s="250" t="s">
        <v>3732</v>
      </c>
      <c r="D243" s="268" t="s">
        <v>495</v>
      </c>
      <c r="E243" s="361">
        <v>44138.0</v>
      </c>
      <c r="F243" s="250" t="s">
        <v>496</v>
      </c>
      <c r="G243" s="171">
        <v>1.0</v>
      </c>
      <c r="H243" s="171">
        <v>0.0</v>
      </c>
      <c r="I243" s="171">
        <v>0.0</v>
      </c>
      <c r="J243" s="391">
        <f t="shared" si="4"/>
        <v>0</v>
      </c>
      <c r="K243" s="392">
        <f t="shared" si="5"/>
        <v>0</v>
      </c>
      <c r="L243" s="327">
        <f t="shared" si="2"/>
        <v>0</v>
      </c>
      <c r="M243" s="321" t="str">
        <f t="shared" si="3"/>
        <v>griffgreen</v>
      </c>
      <c r="N243" s="176">
        <f>IFERROR(__xludf.DUMMYFUNCTION("""COMPUTED_VALUE"""),15.0)</f>
        <v>15</v>
      </c>
      <c r="O243" s="176"/>
      <c r="P243" s="176"/>
      <c r="Q243" s="176"/>
      <c r="R243" s="176"/>
      <c r="S243" s="176"/>
      <c r="T243" s="176"/>
      <c r="U243" s="176"/>
      <c r="V243" s="176"/>
      <c r="W243" s="176"/>
      <c r="X243" s="176"/>
      <c r="Y243" s="176"/>
      <c r="Z243" s="176"/>
    </row>
    <row r="244">
      <c r="A244" s="226" t="s">
        <v>16</v>
      </c>
      <c r="B244" s="226" t="s">
        <v>519</v>
      </c>
      <c r="C244" s="250" t="s">
        <v>3791</v>
      </c>
      <c r="D244" s="268" t="s">
        <v>495</v>
      </c>
      <c r="E244" s="361">
        <v>44139.0</v>
      </c>
      <c r="F244" s="250" t="s">
        <v>496</v>
      </c>
      <c r="G244" s="171">
        <v>3.0</v>
      </c>
      <c r="H244" s="171">
        <v>0.0</v>
      </c>
      <c r="I244" s="171">
        <v>0.0</v>
      </c>
      <c r="J244" s="391">
        <f t="shared" si="4"/>
        <v>0</v>
      </c>
      <c r="K244" s="392">
        <f t="shared" si="5"/>
        <v>0</v>
      </c>
      <c r="L244" s="327">
        <f t="shared" si="2"/>
        <v>0</v>
      </c>
      <c r="M244" s="321" t="str">
        <f t="shared" si="3"/>
        <v>griffgreen</v>
      </c>
      <c r="N244" s="176">
        <f>IFERROR(__xludf.DUMMYFUNCTION("""COMPUTED_VALUE"""),16.0)</f>
        <v>16</v>
      </c>
      <c r="O244" s="176"/>
      <c r="P244" s="176"/>
      <c r="Q244" s="176"/>
      <c r="R244" s="176"/>
      <c r="S244" s="176"/>
      <c r="T244" s="176"/>
      <c r="U244" s="176"/>
      <c r="V244" s="176"/>
      <c r="W244" s="176"/>
      <c r="X244" s="176"/>
      <c r="Y244" s="176"/>
      <c r="Z244" s="176"/>
    </row>
    <row r="245">
      <c r="A245" s="226" t="s">
        <v>16</v>
      </c>
      <c r="B245" s="226" t="s">
        <v>519</v>
      </c>
      <c r="C245" s="250" t="s">
        <v>3734</v>
      </c>
      <c r="D245" s="268" t="s">
        <v>495</v>
      </c>
      <c r="E245" s="361">
        <v>44140.0</v>
      </c>
      <c r="F245" s="250" t="s">
        <v>499</v>
      </c>
      <c r="G245" s="171">
        <v>3.0</v>
      </c>
      <c r="H245" s="171">
        <v>0.0</v>
      </c>
      <c r="I245" s="171">
        <v>0.0</v>
      </c>
      <c r="J245" s="391">
        <f t="shared" si="4"/>
        <v>0</v>
      </c>
      <c r="K245" s="392">
        <f t="shared" si="5"/>
        <v>0</v>
      </c>
      <c r="L245" s="327">
        <f t="shared" si="2"/>
        <v>0</v>
      </c>
      <c r="M245" s="321" t="str">
        <f t="shared" si="3"/>
        <v>griffgreen</v>
      </c>
      <c r="N245" s="176">
        <f>IFERROR(__xludf.DUMMYFUNCTION("""COMPUTED_VALUE"""),17.0)</f>
        <v>17</v>
      </c>
      <c r="O245" s="176"/>
      <c r="P245" s="176"/>
      <c r="Q245" s="176"/>
      <c r="R245" s="176"/>
      <c r="S245" s="176"/>
      <c r="T245" s="176"/>
      <c r="U245" s="176"/>
      <c r="V245" s="176"/>
      <c r="W245" s="176"/>
      <c r="X245" s="176"/>
      <c r="Y245" s="209"/>
      <c r="Z245" s="209"/>
    </row>
    <row r="246">
      <c r="A246" s="226" t="s">
        <v>16</v>
      </c>
      <c r="B246" s="226" t="s">
        <v>5</v>
      </c>
      <c r="C246" s="250" t="s">
        <v>3715</v>
      </c>
      <c r="D246" s="268" t="s">
        <v>495</v>
      </c>
      <c r="E246" s="361">
        <v>44141.0</v>
      </c>
      <c r="F246" s="250" t="s">
        <v>496</v>
      </c>
      <c r="G246" s="171">
        <v>1.0</v>
      </c>
      <c r="H246" s="171">
        <v>0.0</v>
      </c>
      <c r="I246" s="171">
        <v>0.0</v>
      </c>
      <c r="J246" s="391">
        <f t="shared" si="4"/>
        <v>0</v>
      </c>
      <c r="K246" s="392">
        <f t="shared" si="5"/>
        <v>0</v>
      </c>
      <c r="L246" s="327">
        <f t="shared" si="2"/>
        <v>0</v>
      </c>
      <c r="M246" s="321" t="str">
        <f t="shared" si="3"/>
        <v>griffgreen</v>
      </c>
      <c r="N246" s="176">
        <f>IFERROR(__xludf.DUMMYFUNCTION("""COMPUTED_VALUE"""),18.0)</f>
        <v>18</v>
      </c>
      <c r="O246" s="176"/>
      <c r="P246" s="176"/>
      <c r="Q246" s="176"/>
      <c r="R246" s="176"/>
      <c r="S246" s="176"/>
      <c r="T246" s="176"/>
      <c r="U246" s="176"/>
      <c r="V246" s="176"/>
      <c r="W246" s="176"/>
      <c r="X246" s="176"/>
      <c r="Y246" s="176"/>
      <c r="Z246" s="176"/>
    </row>
    <row r="247">
      <c r="A247" s="226" t="s">
        <v>55</v>
      </c>
      <c r="B247" s="226" t="s">
        <v>5</v>
      </c>
      <c r="C247" s="250" t="s">
        <v>3802</v>
      </c>
      <c r="D247" s="268" t="s">
        <v>495</v>
      </c>
      <c r="E247" s="361">
        <v>44137.0</v>
      </c>
      <c r="F247" s="250" t="s">
        <v>496</v>
      </c>
      <c r="G247" s="171">
        <v>1.0</v>
      </c>
      <c r="H247" s="171">
        <v>5.0</v>
      </c>
      <c r="I247" s="171">
        <v>5.0</v>
      </c>
      <c r="J247" s="391">
        <f t="shared" si="4"/>
        <v>0.0003169412798</v>
      </c>
      <c r="K247" s="392">
        <f t="shared" si="5"/>
        <v>0.1228147459</v>
      </c>
      <c r="L247" s="327">
        <f t="shared" si="2"/>
        <v>0.9814437179</v>
      </c>
      <c r="M247" s="321" t="str">
        <f t="shared" si="3"/>
        <v>atacas</v>
      </c>
      <c r="N247" s="176">
        <f>IFERROR(__xludf.DUMMYFUNCTION("""COMPUTED_VALUE"""),1.0)</f>
        <v>1</v>
      </c>
      <c r="O247" s="176"/>
      <c r="P247" s="176"/>
      <c r="Q247" s="176"/>
      <c r="R247" s="176"/>
      <c r="S247" s="176"/>
      <c r="T247" s="176"/>
      <c r="U247" s="176"/>
      <c r="V247" s="176"/>
      <c r="W247" s="176"/>
      <c r="X247" s="176"/>
      <c r="Y247" s="176"/>
      <c r="Z247" s="176"/>
    </row>
    <row r="248">
      <c r="A248" s="226" t="s">
        <v>83</v>
      </c>
      <c r="B248" s="226" t="s">
        <v>18</v>
      </c>
      <c r="C248" s="250" t="s">
        <v>3803</v>
      </c>
      <c r="D248" s="268" t="s">
        <v>495</v>
      </c>
      <c r="E248" s="251">
        <v>44134.0</v>
      </c>
      <c r="F248" s="250" t="s">
        <v>496</v>
      </c>
      <c r="G248" s="171">
        <v>4.0</v>
      </c>
      <c r="H248" s="171">
        <v>0.0</v>
      </c>
      <c r="I248" s="171">
        <v>0.0</v>
      </c>
      <c r="J248" s="391">
        <f t="shared" si="4"/>
        <v>0</v>
      </c>
      <c r="K248" s="392">
        <f t="shared" si="5"/>
        <v>0</v>
      </c>
      <c r="L248" s="327">
        <f t="shared" si="2"/>
        <v>3.075739896</v>
      </c>
      <c r="M248" s="321" t="str">
        <f t="shared" si="3"/>
        <v>anjablaj</v>
      </c>
      <c r="N248" s="176">
        <f>IFERROR(__xludf.DUMMYFUNCTION("""COMPUTED_VALUE"""),2.0)</f>
        <v>2</v>
      </c>
      <c r="O248" s="176"/>
      <c r="P248" s="176"/>
      <c r="Q248" s="176"/>
      <c r="R248" s="176"/>
      <c r="S248" s="176"/>
      <c r="T248" s="176"/>
      <c r="U248" s="176"/>
      <c r="V248" s="176"/>
      <c r="W248" s="176"/>
      <c r="X248" s="176"/>
      <c r="Y248" s="176"/>
      <c r="Z248" s="176"/>
    </row>
    <row r="249">
      <c r="A249" s="226" t="s">
        <v>3804</v>
      </c>
      <c r="B249" s="226" t="s">
        <v>5</v>
      </c>
      <c r="C249" s="250" t="s">
        <v>3805</v>
      </c>
      <c r="D249" s="268" t="s">
        <v>495</v>
      </c>
      <c r="E249" s="251">
        <v>44133.0</v>
      </c>
      <c r="F249" s="250" t="s">
        <v>496</v>
      </c>
      <c r="G249" s="171">
        <v>1.0</v>
      </c>
      <c r="H249" s="171">
        <v>1.0</v>
      </c>
      <c r="I249" s="171">
        <v>5.0</v>
      </c>
      <c r="J249" s="391">
        <f t="shared" si="4"/>
        <v>0.0001890558651</v>
      </c>
      <c r="K249" s="392">
        <f t="shared" si="5"/>
        <v>0.07325914774</v>
      </c>
      <c r="L249" s="327">
        <f t="shared" si="2"/>
        <v>0.9318881197</v>
      </c>
      <c r="M249" s="321" t="str">
        <f t="shared" si="3"/>
        <v>lescanor</v>
      </c>
      <c r="N249" s="176">
        <f>IFERROR(__xludf.DUMMYFUNCTION("""COMPUTED_VALUE"""),1.0)</f>
        <v>1</v>
      </c>
      <c r="O249" s="176"/>
      <c r="P249" s="176"/>
      <c r="Q249" s="176"/>
      <c r="R249" s="176"/>
      <c r="S249" s="176"/>
      <c r="T249" s="176"/>
      <c r="U249" s="176"/>
      <c r="V249" s="176"/>
      <c r="W249" s="176"/>
      <c r="X249" s="176"/>
      <c r="Y249" s="209"/>
      <c r="Z249" s="209"/>
    </row>
    <row r="250">
      <c r="A250" s="226" t="s">
        <v>35</v>
      </c>
      <c r="B250" s="226" t="s">
        <v>519</v>
      </c>
      <c r="C250" s="250" t="s">
        <v>3794</v>
      </c>
      <c r="D250" s="268" t="s">
        <v>495</v>
      </c>
      <c r="E250" s="361">
        <v>44139.0</v>
      </c>
      <c r="F250" s="250" t="s">
        <v>496</v>
      </c>
      <c r="G250" s="171">
        <v>3.0</v>
      </c>
      <c r="H250" s="171">
        <v>20.0</v>
      </c>
      <c r="I250" s="171">
        <v>20.0</v>
      </c>
      <c r="J250" s="391">
        <f t="shared" si="4"/>
        <v>0.001267765119</v>
      </c>
      <c r="K250" s="392">
        <f t="shared" si="5"/>
        <v>0.4912589837</v>
      </c>
      <c r="L250" s="327">
        <f t="shared" si="2"/>
        <v>2.166481076</v>
      </c>
      <c r="M250" s="321" t="str">
        <f t="shared" si="3"/>
        <v>vitormarthendal</v>
      </c>
      <c r="N250" s="176">
        <f>IFERROR(__xludf.DUMMYFUNCTION("""COMPUTED_VALUE"""),2.0)</f>
        <v>2</v>
      </c>
      <c r="O250" s="176"/>
      <c r="P250" s="176"/>
      <c r="Q250" s="176"/>
      <c r="R250" s="176"/>
      <c r="S250" s="176"/>
      <c r="T250" s="176"/>
      <c r="U250" s="176"/>
      <c r="V250" s="176"/>
      <c r="W250" s="176"/>
      <c r="X250" s="176"/>
      <c r="Y250" s="176"/>
      <c r="Z250" s="176"/>
    </row>
    <row r="251">
      <c r="A251" s="226" t="s">
        <v>35</v>
      </c>
      <c r="B251" s="226" t="s">
        <v>519</v>
      </c>
      <c r="C251" s="250" t="s">
        <v>2329</v>
      </c>
      <c r="D251" s="268" t="s">
        <v>495</v>
      </c>
      <c r="E251" s="361">
        <v>44139.0</v>
      </c>
      <c r="F251" s="250" t="s">
        <v>521</v>
      </c>
      <c r="G251" s="171">
        <v>3.0</v>
      </c>
      <c r="H251" s="171">
        <v>20.0</v>
      </c>
      <c r="I251" s="171">
        <v>20.0</v>
      </c>
      <c r="J251" s="391">
        <f t="shared" si="4"/>
        <v>0.001267765119</v>
      </c>
      <c r="K251" s="392">
        <f t="shared" si="5"/>
        <v>0.4912589837</v>
      </c>
      <c r="L251" s="327">
        <f t="shared" si="2"/>
        <v>2.166481076</v>
      </c>
      <c r="M251" s="321" t="str">
        <f t="shared" si="3"/>
        <v>vitormarthendal</v>
      </c>
      <c r="N251" s="176">
        <f>IFERROR(__xludf.DUMMYFUNCTION("""COMPUTED_VALUE"""),3.0)</f>
        <v>3</v>
      </c>
      <c r="O251" s="176"/>
      <c r="P251" s="176"/>
      <c r="Q251" s="176"/>
      <c r="R251" s="176"/>
      <c r="S251" s="176"/>
      <c r="T251" s="176"/>
      <c r="U251" s="176"/>
      <c r="V251" s="176"/>
      <c r="W251" s="176"/>
      <c r="X251" s="176"/>
      <c r="Y251" s="176"/>
      <c r="Z251" s="176"/>
    </row>
    <row r="252">
      <c r="A252" s="226" t="s">
        <v>35</v>
      </c>
      <c r="B252" s="226" t="s">
        <v>5</v>
      </c>
      <c r="C252" s="250" t="s">
        <v>3806</v>
      </c>
      <c r="D252" s="268" t="s">
        <v>495</v>
      </c>
      <c r="E252" s="361">
        <v>44140.0</v>
      </c>
      <c r="F252" s="250" t="s">
        <v>496</v>
      </c>
      <c r="G252" s="171">
        <v>1.0</v>
      </c>
      <c r="H252" s="171">
        <v>1.0</v>
      </c>
      <c r="I252" s="171">
        <v>5.0</v>
      </c>
      <c r="J252" s="391">
        <f t="shared" si="4"/>
        <v>0.0001890558651</v>
      </c>
      <c r="K252" s="392">
        <f t="shared" si="5"/>
        <v>0.07325914774</v>
      </c>
      <c r="L252" s="327">
        <f t="shared" si="2"/>
        <v>2.166481076</v>
      </c>
      <c r="M252" s="321" t="str">
        <f t="shared" si="3"/>
        <v>vitormarthendal</v>
      </c>
      <c r="N252" s="176">
        <f>IFERROR(__xludf.DUMMYFUNCTION("""COMPUTED_VALUE"""),4.0)</f>
        <v>4</v>
      </c>
      <c r="O252" s="176"/>
      <c r="P252" s="176"/>
      <c r="Q252" s="176"/>
      <c r="R252" s="176"/>
      <c r="S252" s="176"/>
      <c r="T252" s="176"/>
      <c r="U252" s="176"/>
      <c r="V252" s="176"/>
      <c r="W252" s="176"/>
      <c r="X252" s="176"/>
      <c r="Y252" s="176"/>
      <c r="Z252" s="176"/>
    </row>
    <row r="253">
      <c r="A253" s="226" t="s">
        <v>295</v>
      </c>
      <c r="B253" s="226" t="s">
        <v>5</v>
      </c>
      <c r="C253" s="250" t="s">
        <v>3807</v>
      </c>
      <c r="D253" s="268" t="s">
        <v>495</v>
      </c>
      <c r="E253" s="361">
        <v>44138.0</v>
      </c>
      <c r="F253" s="250" t="s">
        <v>496</v>
      </c>
      <c r="G253" s="171">
        <v>1.0</v>
      </c>
      <c r="H253" s="171">
        <v>1.0</v>
      </c>
      <c r="I253" s="171">
        <v>5.0</v>
      </c>
      <c r="J253" s="391">
        <f t="shared" si="4"/>
        <v>0.0001890558651</v>
      </c>
      <c r="K253" s="392">
        <f t="shared" si="5"/>
        <v>0.07325914774</v>
      </c>
      <c r="L253" s="327">
        <f t="shared" si="2"/>
        <v>0.9318881197</v>
      </c>
      <c r="M253" s="321" t="str">
        <f t="shared" si="3"/>
        <v>jakubgregus</v>
      </c>
      <c r="N253" s="176">
        <f>IFERROR(__xludf.DUMMYFUNCTION("""COMPUTED_VALUE"""),1.0)</f>
        <v>1</v>
      </c>
      <c r="O253" s="176"/>
      <c r="P253" s="176"/>
      <c r="Q253" s="176"/>
      <c r="R253" s="176"/>
      <c r="S253" s="176"/>
      <c r="T253" s="176"/>
      <c r="U253" s="176"/>
      <c r="V253" s="176"/>
      <c r="W253" s="176"/>
      <c r="X253" s="176"/>
      <c r="Y253" s="176"/>
      <c r="Z253" s="176"/>
    </row>
    <row r="254">
      <c r="A254" s="226" t="s">
        <v>50</v>
      </c>
      <c r="B254" s="226" t="s">
        <v>519</v>
      </c>
      <c r="C254" s="250" t="s">
        <v>3711</v>
      </c>
      <c r="D254" s="268" t="s">
        <v>495</v>
      </c>
      <c r="E254" s="251">
        <v>44134.0</v>
      </c>
      <c r="F254" s="250" t="s">
        <v>496</v>
      </c>
      <c r="G254" s="171">
        <v>1.0</v>
      </c>
      <c r="H254" s="171">
        <v>30.0</v>
      </c>
      <c r="I254" s="171">
        <v>40.0</v>
      </c>
      <c r="J254" s="391">
        <f t="shared" si="4"/>
        <v>0.002215816702</v>
      </c>
      <c r="K254" s="392">
        <f t="shared" si="5"/>
        <v>0.8586289719</v>
      </c>
      <c r="L254" s="327">
        <f t="shared" si="2"/>
        <v>1.079775432</v>
      </c>
      <c r="M254" s="321" t="str">
        <f t="shared" si="3"/>
        <v>geleeroyale</v>
      </c>
      <c r="N254" s="176">
        <f>IFERROR(__xludf.DUMMYFUNCTION("""COMPUTED_VALUE"""),2.0)</f>
        <v>2</v>
      </c>
      <c r="O254" s="176"/>
      <c r="P254" s="176"/>
      <c r="Q254" s="176"/>
      <c r="R254" s="176"/>
      <c r="S254" s="176"/>
      <c r="T254" s="176"/>
      <c r="U254" s="176"/>
      <c r="V254" s="176"/>
      <c r="W254" s="176"/>
      <c r="X254" s="176"/>
      <c r="Y254" s="176"/>
      <c r="Z254" s="176"/>
    </row>
    <row r="255">
      <c r="A255" s="226" t="s">
        <v>50</v>
      </c>
      <c r="B255" s="226" t="s">
        <v>18</v>
      </c>
      <c r="C255" s="250" t="s">
        <v>3714</v>
      </c>
      <c r="D255" s="268" t="s">
        <v>495</v>
      </c>
      <c r="E255" s="361">
        <v>44137.0</v>
      </c>
      <c r="F255" s="250" t="s">
        <v>496</v>
      </c>
      <c r="G255" s="171">
        <v>1.0</v>
      </c>
      <c r="H255" s="171">
        <v>20.0</v>
      </c>
      <c r="I255" s="171">
        <v>70.0</v>
      </c>
      <c r="J255" s="391">
        <f t="shared" si="4"/>
        <v>0.002838610234</v>
      </c>
      <c r="K255" s="392">
        <f t="shared" si="5"/>
        <v>1.099961466</v>
      </c>
      <c r="L255" s="327">
        <f t="shared" si="2"/>
        <v>1.079775432</v>
      </c>
      <c r="M255" s="321" t="str">
        <f t="shared" si="3"/>
        <v>geleeroyale</v>
      </c>
      <c r="N255" s="176">
        <f>IFERROR(__xludf.DUMMYFUNCTION("""COMPUTED_VALUE"""),3.0)</f>
        <v>3</v>
      </c>
      <c r="O255" s="176"/>
      <c r="P255" s="176"/>
      <c r="Q255" s="176"/>
      <c r="R255" s="176"/>
      <c r="S255" s="176"/>
      <c r="T255" s="176"/>
      <c r="U255" s="176"/>
      <c r="V255" s="176"/>
      <c r="W255" s="176"/>
      <c r="X255" s="176"/>
      <c r="Y255" s="176"/>
      <c r="Z255" s="176"/>
    </row>
    <row r="256">
      <c r="A256" s="226" t="s">
        <v>53</v>
      </c>
      <c r="B256" s="226" t="s">
        <v>519</v>
      </c>
      <c r="C256" s="250" t="s">
        <v>3711</v>
      </c>
      <c r="D256" s="268" t="s">
        <v>495</v>
      </c>
      <c r="E256" s="251">
        <v>44134.0</v>
      </c>
      <c r="F256" s="250" t="s">
        <v>496</v>
      </c>
      <c r="G256" s="171">
        <v>1.0</v>
      </c>
      <c r="H256" s="171">
        <v>30.0</v>
      </c>
      <c r="I256" s="171">
        <v>40.0</v>
      </c>
      <c r="J256" s="391">
        <f t="shared" si="4"/>
        <v>0.002215816702</v>
      </c>
      <c r="K256" s="392">
        <f t="shared" si="5"/>
        <v>0.8586289719</v>
      </c>
      <c r="L256" s="327">
        <f t="shared" si="2"/>
        <v>0.8586289719</v>
      </c>
      <c r="M256" s="321" t="str">
        <f t="shared" si="3"/>
        <v>vntrp</v>
      </c>
      <c r="N256" s="176">
        <f>IFERROR(__xludf.DUMMYFUNCTION("""COMPUTED_VALUE"""),1.0)</f>
        <v>1</v>
      </c>
      <c r="O256" s="176"/>
      <c r="P256" s="176"/>
      <c r="Q256" s="176"/>
      <c r="R256" s="176"/>
      <c r="S256" s="176"/>
      <c r="T256" s="176"/>
      <c r="U256" s="176"/>
      <c r="V256" s="176"/>
      <c r="W256" s="176"/>
      <c r="X256" s="176"/>
      <c r="Y256" s="176"/>
      <c r="Z256" s="176"/>
    </row>
    <row r="257">
      <c r="A257" s="226" t="s">
        <v>59</v>
      </c>
      <c r="B257" s="226" t="s">
        <v>5</v>
      </c>
      <c r="C257" s="250" t="s">
        <v>3730</v>
      </c>
      <c r="D257" s="268" t="s">
        <v>495</v>
      </c>
      <c r="E257" s="361">
        <v>44138.0</v>
      </c>
      <c r="F257" s="250" t="s">
        <v>496</v>
      </c>
      <c r="G257" s="171">
        <v>1.0</v>
      </c>
      <c r="H257" s="171">
        <v>30.0</v>
      </c>
      <c r="I257" s="171">
        <v>40.0</v>
      </c>
      <c r="J257" s="391">
        <f t="shared" si="4"/>
        <v>0.002215816702</v>
      </c>
      <c r="K257" s="392">
        <f t="shared" si="5"/>
        <v>0.8586289719</v>
      </c>
      <c r="L257" s="327">
        <f t="shared" si="2"/>
        <v>0.2907469393</v>
      </c>
      <c r="M257" s="321" t="str">
        <f t="shared" si="3"/>
        <v>krisjones</v>
      </c>
      <c r="N257" s="176">
        <f>IFERROR(__xludf.DUMMYFUNCTION("""COMPUTED_VALUE"""),1.0)</f>
        <v>1</v>
      </c>
      <c r="O257" s="176"/>
      <c r="P257" s="176"/>
      <c r="Q257" s="176"/>
      <c r="R257" s="176"/>
      <c r="S257" s="176"/>
      <c r="T257" s="176"/>
      <c r="U257" s="176"/>
      <c r="V257" s="176"/>
      <c r="W257" s="176"/>
      <c r="X257" s="176"/>
      <c r="Y257" s="176"/>
      <c r="Z257" s="176"/>
    </row>
    <row r="258">
      <c r="A258" s="226" t="s">
        <v>159</v>
      </c>
      <c r="B258" s="226" t="s">
        <v>519</v>
      </c>
      <c r="C258" s="250" t="s">
        <v>3711</v>
      </c>
      <c r="D258" s="268" t="s">
        <v>495</v>
      </c>
      <c r="E258" s="251">
        <v>44134.0</v>
      </c>
      <c r="F258" s="250" t="s">
        <v>496</v>
      </c>
      <c r="G258" s="171">
        <v>1.0</v>
      </c>
      <c r="H258" s="171">
        <v>30.0</v>
      </c>
      <c r="I258" s="171">
        <v>40.0</v>
      </c>
      <c r="J258" s="391">
        <f t="shared" si="4"/>
        <v>0.002215816702</v>
      </c>
      <c r="K258" s="392">
        <f t="shared" si="5"/>
        <v>0.8586289719</v>
      </c>
      <c r="L258" s="327">
        <f t="shared" si="2"/>
        <v>0.8586289719</v>
      </c>
      <c r="M258" s="321" t="str">
        <f t="shared" si="3"/>
        <v>positonic</v>
      </c>
      <c r="N258" s="176">
        <f>IFERROR(__xludf.DUMMYFUNCTION("""COMPUTED_VALUE"""),1.0)</f>
        <v>1</v>
      </c>
      <c r="O258" s="176"/>
      <c r="P258" s="176"/>
      <c r="Q258" s="176"/>
      <c r="R258" s="176"/>
      <c r="S258" s="176"/>
      <c r="T258" s="176"/>
      <c r="U258" s="176"/>
      <c r="V258" s="176"/>
      <c r="W258" s="176"/>
      <c r="X258" s="176"/>
      <c r="Y258" s="176"/>
      <c r="Z258" s="176"/>
    </row>
    <row r="259">
      <c r="A259" s="226" t="s">
        <v>26</v>
      </c>
      <c r="B259" s="226" t="s">
        <v>519</v>
      </c>
      <c r="C259" s="250" t="s">
        <v>3794</v>
      </c>
      <c r="D259" s="268" t="s">
        <v>495</v>
      </c>
      <c r="E259" s="361">
        <v>44139.0</v>
      </c>
      <c r="F259" s="250" t="s">
        <v>496</v>
      </c>
      <c r="G259" s="171">
        <v>3.0</v>
      </c>
      <c r="H259" s="171">
        <v>20.0</v>
      </c>
      <c r="I259" s="171">
        <v>20.0</v>
      </c>
      <c r="J259" s="391">
        <f t="shared" si="4"/>
        <v>0.001267765119</v>
      </c>
      <c r="K259" s="392">
        <f t="shared" si="5"/>
        <v>0.4912589837</v>
      </c>
      <c r="L259" s="327">
        <f t="shared" si="2"/>
        <v>1.675222092</v>
      </c>
      <c r="M259" s="321" t="str">
        <f t="shared" si="3"/>
        <v>sgonzt</v>
      </c>
      <c r="N259" s="176">
        <f>IFERROR(__xludf.DUMMYFUNCTION("""COMPUTED_VALUE"""),2.0)</f>
        <v>2</v>
      </c>
      <c r="O259" s="176"/>
      <c r="P259" s="176"/>
      <c r="Q259" s="176"/>
      <c r="R259" s="176"/>
      <c r="S259" s="176"/>
      <c r="T259" s="176"/>
      <c r="U259" s="176"/>
      <c r="V259" s="176"/>
      <c r="W259" s="176"/>
      <c r="X259" s="176"/>
      <c r="Y259" s="176"/>
      <c r="Z259" s="176"/>
    </row>
    <row r="260">
      <c r="A260" s="226" t="s">
        <v>26</v>
      </c>
      <c r="B260" s="226" t="s">
        <v>5</v>
      </c>
      <c r="C260" s="250" t="s">
        <v>3806</v>
      </c>
      <c r="D260" s="268" t="s">
        <v>495</v>
      </c>
      <c r="E260" s="361">
        <v>44140.0</v>
      </c>
      <c r="F260" s="250" t="s">
        <v>496</v>
      </c>
      <c r="G260" s="171">
        <v>1.0</v>
      </c>
      <c r="H260" s="171">
        <v>1.0</v>
      </c>
      <c r="I260" s="171">
        <v>5.0</v>
      </c>
      <c r="J260" s="391">
        <f t="shared" si="4"/>
        <v>0.0001890558651</v>
      </c>
      <c r="K260" s="392">
        <f t="shared" si="5"/>
        <v>0.07325914774</v>
      </c>
      <c r="L260" s="327">
        <f t="shared" si="2"/>
        <v>1.675222092</v>
      </c>
      <c r="M260" s="321" t="str">
        <f t="shared" si="3"/>
        <v>sgonzt</v>
      </c>
      <c r="N260" s="176">
        <f>IFERROR(__xludf.DUMMYFUNCTION("""COMPUTED_VALUE"""),3.0)</f>
        <v>3</v>
      </c>
      <c r="O260" s="176"/>
      <c r="P260" s="176"/>
      <c r="Q260" s="176"/>
      <c r="R260" s="176"/>
      <c r="S260" s="176"/>
      <c r="T260" s="176"/>
      <c r="U260" s="176"/>
      <c r="V260" s="176"/>
      <c r="W260" s="176"/>
      <c r="X260" s="176"/>
      <c r="Y260" s="176"/>
      <c r="Z260" s="176"/>
    </row>
    <row r="261">
      <c r="A261" s="226" t="s">
        <v>19</v>
      </c>
      <c r="B261" s="226" t="s">
        <v>519</v>
      </c>
      <c r="C261" s="250" t="s">
        <v>3711</v>
      </c>
      <c r="D261" s="268" t="s">
        <v>495</v>
      </c>
      <c r="E261" s="251">
        <v>44134.0</v>
      </c>
      <c r="F261" s="250" t="s">
        <v>496</v>
      </c>
      <c r="G261" s="171">
        <v>1.0</v>
      </c>
      <c r="H261" s="171">
        <v>30.0</v>
      </c>
      <c r="I261" s="171">
        <v>40.0</v>
      </c>
      <c r="J261" s="391">
        <f t="shared" si="4"/>
        <v>0.002215816702</v>
      </c>
      <c r="K261" s="392">
        <f t="shared" si="5"/>
        <v>0.8586289719</v>
      </c>
      <c r="L261" s="327">
        <f t="shared" si="2"/>
        <v>0.8586289719</v>
      </c>
      <c r="M261" s="321" t="str">
        <f t="shared" si="3"/>
        <v>mzargham</v>
      </c>
      <c r="N261" s="176">
        <f>IFERROR(__xludf.DUMMYFUNCTION("""COMPUTED_VALUE"""),1.0)</f>
        <v>1</v>
      </c>
      <c r="O261" s="176"/>
      <c r="P261" s="176"/>
      <c r="Q261" s="176"/>
      <c r="R261" s="176"/>
      <c r="S261" s="176"/>
      <c r="T261" s="176"/>
      <c r="U261" s="176"/>
      <c r="V261" s="176"/>
      <c r="W261" s="176"/>
      <c r="X261" s="176"/>
      <c r="Y261" s="176"/>
      <c r="Z261" s="176"/>
    </row>
    <row r="262">
      <c r="A262" s="226" t="s">
        <v>183</v>
      </c>
      <c r="B262" s="226" t="s">
        <v>5</v>
      </c>
      <c r="C262" s="250" t="s">
        <v>3715</v>
      </c>
      <c r="D262" s="268" t="s">
        <v>495</v>
      </c>
      <c r="E262" s="361">
        <v>44141.0</v>
      </c>
      <c r="F262" s="250" t="s">
        <v>496</v>
      </c>
      <c r="G262" s="171">
        <v>1.0</v>
      </c>
      <c r="H262" s="171">
        <v>30.0</v>
      </c>
      <c r="I262" s="171">
        <v>40.0</v>
      </c>
      <c r="J262" s="391">
        <f t="shared" si="4"/>
        <v>0.002215816702</v>
      </c>
      <c r="K262" s="392">
        <f t="shared" si="5"/>
        <v>0.8586289719</v>
      </c>
      <c r="L262" s="327">
        <f t="shared" si="2"/>
        <v>0.8586289719</v>
      </c>
      <c r="M262" s="321" t="str">
        <f t="shared" si="3"/>
        <v>lescanore</v>
      </c>
      <c r="N262" s="176">
        <f>IFERROR(__xludf.DUMMYFUNCTION("""COMPUTED_VALUE"""),1.0)</f>
        <v>1</v>
      </c>
      <c r="O262" s="176"/>
      <c r="P262" s="176"/>
      <c r="Q262" s="176"/>
      <c r="R262" s="176"/>
      <c r="S262" s="176"/>
      <c r="T262" s="176"/>
      <c r="U262" s="176"/>
      <c r="V262" s="176"/>
      <c r="W262" s="176"/>
      <c r="X262" s="176"/>
      <c r="Y262" s="176"/>
      <c r="Z262" s="176"/>
    </row>
    <row r="263">
      <c r="A263" s="226" t="s">
        <v>146</v>
      </c>
      <c r="B263" s="226" t="s">
        <v>519</v>
      </c>
      <c r="C263" s="250" t="s">
        <v>3711</v>
      </c>
      <c r="D263" s="268" t="s">
        <v>495</v>
      </c>
      <c r="E263" s="251">
        <v>44134.0</v>
      </c>
      <c r="F263" s="250" t="s">
        <v>496</v>
      </c>
      <c r="G263" s="171">
        <v>1.0</v>
      </c>
      <c r="H263" s="171">
        <v>30.0</v>
      </c>
      <c r="I263" s="171">
        <v>40.0</v>
      </c>
      <c r="J263" s="391">
        <f t="shared" si="4"/>
        <v>0.002215816702</v>
      </c>
      <c r="K263" s="392">
        <f t="shared" si="5"/>
        <v>0.8586289719</v>
      </c>
      <c r="L263" s="327">
        <f t="shared" si="2"/>
        <v>0.8586289719</v>
      </c>
      <c r="M263" s="321" t="str">
        <f t="shared" si="3"/>
        <v>jakublanc</v>
      </c>
      <c r="N263" s="176">
        <f>IFERROR(__xludf.DUMMYFUNCTION("""COMPUTED_VALUE"""),1.0)</f>
        <v>1</v>
      </c>
      <c r="O263" s="176"/>
      <c r="P263" s="176"/>
      <c r="Q263" s="176"/>
      <c r="R263" s="176"/>
      <c r="S263" s="176"/>
      <c r="T263" s="176"/>
      <c r="U263" s="176"/>
      <c r="V263" s="176"/>
      <c r="W263" s="176"/>
      <c r="X263" s="176"/>
      <c r="Y263" s="176"/>
      <c r="Z263" s="176"/>
    </row>
    <row r="264">
      <c r="A264" s="226" t="s">
        <v>81</v>
      </c>
      <c r="B264" s="226" t="s">
        <v>29</v>
      </c>
      <c r="C264" s="250" t="s">
        <v>3808</v>
      </c>
      <c r="D264" s="268" t="s">
        <v>495</v>
      </c>
      <c r="E264" s="251">
        <v>44133.0</v>
      </c>
      <c r="F264" s="250" t="s">
        <v>499</v>
      </c>
      <c r="G264" s="171">
        <v>3.0</v>
      </c>
      <c r="H264" s="171">
        <v>30.0</v>
      </c>
      <c r="I264" s="171">
        <v>40.0</v>
      </c>
      <c r="J264" s="391">
        <f t="shared" si="4"/>
        <v>0.002215816702</v>
      </c>
      <c r="K264" s="392">
        <f t="shared" si="5"/>
        <v>0.8586289719</v>
      </c>
      <c r="L264" s="327">
        <f t="shared" si="2"/>
        <v>0.8586289719</v>
      </c>
      <c r="M264" s="321" t="str">
        <f t="shared" si="3"/>
        <v>felixfalafel</v>
      </c>
      <c r="N264" s="176">
        <f>IFERROR(__xludf.DUMMYFUNCTION("""COMPUTED_VALUE"""),1.0)</f>
        <v>1</v>
      </c>
      <c r="O264" s="176"/>
      <c r="P264" s="176"/>
      <c r="Q264" s="176"/>
      <c r="R264" s="176"/>
      <c r="S264" s="176"/>
      <c r="T264" s="176"/>
      <c r="U264" s="176"/>
      <c r="V264" s="176"/>
      <c r="W264" s="176"/>
      <c r="X264" s="176"/>
      <c r="Y264" s="176"/>
      <c r="Z264" s="176"/>
    </row>
    <row r="265">
      <c r="A265" s="226" t="s">
        <v>95</v>
      </c>
      <c r="B265" s="226" t="s">
        <v>5</v>
      </c>
      <c r="C265" s="250" t="s">
        <v>3715</v>
      </c>
      <c r="D265" s="268" t="s">
        <v>495</v>
      </c>
      <c r="E265" s="361">
        <v>44141.0</v>
      </c>
      <c r="F265" s="250" t="s">
        <v>496</v>
      </c>
      <c r="G265" s="171">
        <v>1.0</v>
      </c>
      <c r="H265" s="171">
        <v>30.0</v>
      </c>
      <c r="I265" s="171">
        <v>40.0</v>
      </c>
      <c r="J265" s="391">
        <f t="shared" si="4"/>
        <v>0.002215816702</v>
      </c>
      <c r="K265" s="392">
        <f t="shared" si="5"/>
        <v>0.8586289719</v>
      </c>
      <c r="L265" s="327">
        <f t="shared" si="2"/>
        <v>0.8586289719</v>
      </c>
      <c r="M265" s="321" t="str">
        <f t="shared" si="3"/>
        <v>aidanbrodieo</v>
      </c>
      <c r="N265" s="176">
        <f>IFERROR(__xludf.DUMMYFUNCTION("""COMPUTED_VALUE"""),1.0)</f>
        <v>1</v>
      </c>
      <c r="O265" s="176"/>
      <c r="P265" s="176"/>
      <c r="Q265" s="176"/>
      <c r="R265" s="176"/>
      <c r="S265" s="176"/>
      <c r="T265" s="176"/>
      <c r="U265" s="176"/>
      <c r="V265" s="176"/>
      <c r="W265" s="176"/>
      <c r="X265" s="176"/>
      <c r="Y265" s="176"/>
      <c r="Z265" s="176"/>
    </row>
    <row r="266">
      <c r="A266" s="226" t="s">
        <v>294</v>
      </c>
      <c r="B266" s="226" t="s">
        <v>5</v>
      </c>
      <c r="C266" s="250" t="s">
        <v>3715</v>
      </c>
      <c r="D266" s="268" t="s">
        <v>495</v>
      </c>
      <c r="E266" s="361">
        <v>44141.0</v>
      </c>
      <c r="F266" s="250" t="s">
        <v>496</v>
      </c>
      <c r="G266" s="171">
        <v>1.0</v>
      </c>
      <c r="H266" s="171">
        <v>30.0</v>
      </c>
      <c r="I266" s="176"/>
      <c r="J266" s="391">
        <f t="shared" si="4"/>
        <v>0.00095914061</v>
      </c>
      <c r="K266" s="392">
        <f t="shared" si="5"/>
        <v>0.3716669864</v>
      </c>
      <c r="L266" s="327">
        <f t="shared" si="2"/>
        <v>0.9846664665</v>
      </c>
      <c r="M266" s="321" t="str">
        <f t="shared" si="3"/>
        <v>viken33</v>
      </c>
      <c r="N266" s="176">
        <f>IFERROR(__xludf.DUMMYFUNCTION("""COMPUTED_VALUE"""),2.0)</f>
        <v>2</v>
      </c>
      <c r="O266" s="176"/>
      <c r="P266" s="176"/>
      <c r="Q266" s="176"/>
      <c r="R266" s="176"/>
      <c r="S266" s="176"/>
      <c r="T266" s="176"/>
      <c r="U266" s="176"/>
      <c r="V266" s="176"/>
      <c r="W266" s="176"/>
      <c r="X266" s="176"/>
      <c r="Y266" s="176"/>
      <c r="Z266" s="176"/>
    </row>
    <row r="267">
      <c r="A267" s="226" t="s">
        <v>111</v>
      </c>
      <c r="B267" s="226" t="s">
        <v>519</v>
      </c>
      <c r="C267" s="250" t="s">
        <v>2329</v>
      </c>
      <c r="D267" s="268" t="s">
        <v>495</v>
      </c>
      <c r="E267" s="251">
        <v>44132.0</v>
      </c>
      <c r="F267" s="250" t="s">
        <v>521</v>
      </c>
      <c r="G267" s="171">
        <v>3.0</v>
      </c>
      <c r="H267" s="171">
        <v>10.0</v>
      </c>
      <c r="I267" s="171">
        <v>10.0</v>
      </c>
      <c r="J267" s="391">
        <f t="shared" si="4"/>
        <v>0.0006338825596</v>
      </c>
      <c r="K267" s="392">
        <f t="shared" si="5"/>
        <v>0.2456294918</v>
      </c>
      <c r="L267" s="327">
        <f t="shared" si="2"/>
        <v>0.7368884755</v>
      </c>
      <c r="M267" s="321" t="str">
        <f t="shared" si="3"/>
        <v>simunstrukan</v>
      </c>
      <c r="N267" s="176">
        <f>IFERROR(__xludf.DUMMYFUNCTION("""COMPUTED_VALUE"""),1.0)</f>
        <v>1</v>
      </c>
      <c r="O267" s="176"/>
      <c r="P267" s="176"/>
      <c r="Q267" s="176"/>
      <c r="R267" s="176"/>
      <c r="S267" s="176"/>
      <c r="T267" s="176"/>
      <c r="U267" s="176"/>
      <c r="V267" s="176"/>
      <c r="W267" s="176"/>
      <c r="X267" s="176"/>
      <c r="Y267" s="176"/>
      <c r="Z267" s="176"/>
    </row>
    <row r="268">
      <c r="A268" s="226" t="s">
        <v>55</v>
      </c>
      <c r="B268" s="226" t="s">
        <v>5</v>
      </c>
      <c r="C268" s="250" t="s">
        <v>3730</v>
      </c>
      <c r="D268" s="268" t="s">
        <v>495</v>
      </c>
      <c r="E268" s="361">
        <v>44138.0</v>
      </c>
      <c r="F268" s="250" t="s">
        <v>496</v>
      </c>
      <c r="G268" s="171">
        <v>1.0</v>
      </c>
      <c r="H268" s="171">
        <v>30.0</v>
      </c>
      <c r="I268" s="171">
        <v>40.0</v>
      </c>
      <c r="J268" s="391">
        <f t="shared" si="4"/>
        <v>0.002215816702</v>
      </c>
      <c r="K268" s="392">
        <f t="shared" si="5"/>
        <v>0.8586289719</v>
      </c>
      <c r="L268" s="327">
        <f t="shared" si="2"/>
        <v>0.9814437179</v>
      </c>
      <c r="M268" s="321" t="str">
        <f t="shared" si="3"/>
        <v>atacas</v>
      </c>
      <c r="N268" s="176">
        <f>IFERROR(__xludf.DUMMYFUNCTION("""COMPUTED_VALUE"""),2.0)</f>
        <v>2</v>
      </c>
      <c r="O268" s="176"/>
      <c r="P268" s="176"/>
      <c r="Q268" s="176"/>
      <c r="R268" s="176"/>
      <c r="S268" s="176"/>
      <c r="T268" s="176"/>
      <c r="U268" s="176"/>
      <c r="V268" s="176"/>
      <c r="W268" s="176"/>
      <c r="X268" s="176"/>
      <c r="Y268" s="176"/>
      <c r="Z268" s="176"/>
    </row>
    <row r="269">
      <c r="A269" s="226" t="s">
        <v>38</v>
      </c>
      <c r="B269" s="226" t="s">
        <v>519</v>
      </c>
      <c r="C269" s="250" t="s">
        <v>2329</v>
      </c>
      <c r="D269" s="268" t="s">
        <v>495</v>
      </c>
      <c r="E269" s="251">
        <v>44132.0</v>
      </c>
      <c r="F269" s="250" t="s">
        <v>521</v>
      </c>
      <c r="G269" s="171">
        <v>3.0</v>
      </c>
      <c r="H269" s="171">
        <v>10.0</v>
      </c>
      <c r="I269" s="171">
        <v>10.0</v>
      </c>
      <c r="J269" s="391">
        <f t="shared" si="4"/>
        <v>0.0006338825596</v>
      </c>
      <c r="K269" s="392">
        <f t="shared" si="5"/>
        <v>0.2456294918</v>
      </c>
      <c r="L269" s="327">
        <f t="shared" si="2"/>
        <v>0.7368884755</v>
      </c>
      <c r="M269" s="321" t="str">
        <f t="shared" si="3"/>
        <v>danibelle</v>
      </c>
      <c r="N269" s="176">
        <f>IFERROR(__xludf.DUMMYFUNCTION("""COMPUTED_VALUE"""),1.0)</f>
        <v>1</v>
      </c>
      <c r="O269" s="176"/>
      <c r="P269" s="176"/>
      <c r="Q269" s="176"/>
      <c r="R269" s="176"/>
      <c r="S269" s="176"/>
      <c r="T269" s="176"/>
      <c r="U269" s="176"/>
      <c r="V269" s="176"/>
      <c r="W269" s="176"/>
      <c r="X269" s="176"/>
      <c r="Y269" s="176"/>
      <c r="Z269" s="176"/>
    </row>
    <row r="270">
      <c r="A270" s="226" t="s">
        <v>324</v>
      </c>
      <c r="B270" s="226" t="s">
        <v>18</v>
      </c>
      <c r="C270" s="250" t="s">
        <v>3809</v>
      </c>
      <c r="D270" s="268" t="s">
        <v>495</v>
      </c>
      <c r="E270" s="251">
        <v>44132.0</v>
      </c>
      <c r="F270" s="250" t="s">
        <v>496</v>
      </c>
      <c r="G270" s="171">
        <v>1.0</v>
      </c>
      <c r="H270" s="171">
        <v>30.0</v>
      </c>
      <c r="I270" s="171">
        <v>30.0</v>
      </c>
      <c r="J270" s="391">
        <f t="shared" si="4"/>
        <v>0.001901647679</v>
      </c>
      <c r="K270" s="392">
        <f t="shared" si="5"/>
        <v>0.7368884755</v>
      </c>
      <c r="L270" s="327">
        <f t="shared" si="2"/>
        <v>0.7368884755</v>
      </c>
      <c r="M270" s="321" t="str">
        <f t="shared" si="3"/>
        <v>supernova_labs</v>
      </c>
      <c r="N270" s="176">
        <f>IFERROR(__xludf.DUMMYFUNCTION("""COMPUTED_VALUE"""),1.0)</f>
        <v>1</v>
      </c>
      <c r="O270" s="176"/>
      <c r="P270" s="176"/>
      <c r="Q270" s="176"/>
      <c r="R270" s="176"/>
      <c r="S270" s="176"/>
      <c r="T270" s="176"/>
      <c r="U270" s="176"/>
      <c r="V270" s="176"/>
      <c r="W270" s="176"/>
      <c r="X270" s="176"/>
      <c r="Y270" s="176"/>
      <c r="Z270" s="176"/>
    </row>
    <row r="271">
      <c r="A271" s="226" t="s">
        <v>295</v>
      </c>
      <c r="B271" s="226" t="s">
        <v>5</v>
      </c>
      <c r="C271" s="250" t="s">
        <v>3730</v>
      </c>
      <c r="D271" s="268" t="s">
        <v>495</v>
      </c>
      <c r="E271" s="361">
        <v>44138.0</v>
      </c>
      <c r="F271" s="250" t="s">
        <v>496</v>
      </c>
      <c r="G271" s="171">
        <v>1.0</v>
      </c>
      <c r="H271" s="171">
        <v>30.0</v>
      </c>
      <c r="I271" s="171">
        <v>40.0</v>
      </c>
      <c r="J271" s="391">
        <f t="shared" si="4"/>
        <v>0.002215816702</v>
      </c>
      <c r="K271" s="392">
        <f t="shared" si="5"/>
        <v>0.8586289719</v>
      </c>
      <c r="L271" s="327">
        <f t="shared" si="2"/>
        <v>0.9318881197</v>
      </c>
      <c r="M271" s="321" t="str">
        <f t="shared" si="3"/>
        <v>jakubgregus</v>
      </c>
      <c r="N271" s="176">
        <f>IFERROR(__xludf.DUMMYFUNCTION("""COMPUTED_VALUE"""),2.0)</f>
        <v>2</v>
      </c>
      <c r="O271" s="176"/>
      <c r="P271" s="176"/>
      <c r="Q271" s="176"/>
      <c r="R271" s="176"/>
      <c r="S271" s="176"/>
      <c r="T271" s="176"/>
      <c r="U271" s="176"/>
      <c r="V271" s="176"/>
      <c r="W271" s="176"/>
      <c r="X271" s="176"/>
      <c r="Y271" s="176"/>
      <c r="Z271" s="176"/>
    </row>
    <row r="272">
      <c r="A272" s="226" t="s">
        <v>325</v>
      </c>
      <c r="B272" s="226" t="s">
        <v>10</v>
      </c>
      <c r="C272" s="250" t="s">
        <v>3743</v>
      </c>
      <c r="D272" s="268" t="s">
        <v>495</v>
      </c>
      <c r="E272" s="251">
        <v>44133.0</v>
      </c>
      <c r="F272" s="250" t="s">
        <v>496</v>
      </c>
      <c r="G272" s="171">
        <v>1.0</v>
      </c>
      <c r="H272" s="171">
        <v>20.0</v>
      </c>
      <c r="I272" s="171">
        <v>40.0</v>
      </c>
      <c r="J272" s="391">
        <f t="shared" si="4"/>
        <v>0.001896103165</v>
      </c>
      <c r="K272" s="392">
        <f t="shared" si="5"/>
        <v>0.7347399765</v>
      </c>
      <c r="L272" s="327">
        <f t="shared" si="2"/>
        <v>0.7347399765</v>
      </c>
      <c r="M272" s="321" t="str">
        <f t="shared" si="3"/>
        <v>fenjamin</v>
      </c>
      <c r="N272" s="176">
        <f>IFERROR(__xludf.DUMMYFUNCTION("""COMPUTED_VALUE"""),1.0)</f>
        <v>1</v>
      </c>
      <c r="O272" s="176"/>
      <c r="P272" s="176"/>
      <c r="Q272" s="176"/>
      <c r="R272" s="176"/>
      <c r="S272" s="176"/>
      <c r="T272" s="176"/>
      <c r="U272" s="176"/>
      <c r="V272" s="176"/>
      <c r="W272" s="176"/>
      <c r="X272" s="176"/>
      <c r="Y272" s="176"/>
      <c r="Z272" s="176"/>
    </row>
    <row r="273">
      <c r="A273" s="226" t="s">
        <v>10</v>
      </c>
      <c r="B273" s="226" t="s">
        <v>590</v>
      </c>
      <c r="C273" s="250" t="s">
        <v>3742</v>
      </c>
      <c r="D273" s="268" t="s">
        <v>495</v>
      </c>
      <c r="E273" s="251">
        <v>44131.0</v>
      </c>
      <c r="F273" s="250" t="s">
        <v>496</v>
      </c>
      <c r="G273" s="171">
        <v>1.0</v>
      </c>
      <c r="H273" s="171">
        <v>30.0</v>
      </c>
      <c r="I273" s="171">
        <v>60.0</v>
      </c>
      <c r="J273" s="391">
        <f t="shared" si="4"/>
        <v>0.002844154748</v>
      </c>
      <c r="K273" s="392">
        <f t="shared" si="5"/>
        <v>1.102109965</v>
      </c>
      <c r="L273" s="327">
        <f t="shared" si="2"/>
        <v>0.714328294</v>
      </c>
      <c r="M273" s="321" t="str">
        <f t="shared" si="3"/>
        <v>iviangita</v>
      </c>
      <c r="N273" s="176">
        <f>IFERROR(__xludf.DUMMYFUNCTION("""COMPUTED_VALUE"""),4.0)</f>
        <v>4</v>
      </c>
      <c r="O273" s="176"/>
      <c r="P273" s="176"/>
      <c r="Q273" s="176"/>
      <c r="R273" s="176"/>
      <c r="S273" s="176"/>
      <c r="T273" s="176"/>
      <c r="U273" s="176"/>
      <c r="V273" s="176"/>
      <c r="W273" s="176"/>
      <c r="X273" s="176"/>
      <c r="Y273" s="176"/>
      <c r="Z273" s="176"/>
    </row>
    <row r="274">
      <c r="A274" s="226" t="s">
        <v>28</v>
      </c>
      <c r="B274" s="226" t="s">
        <v>5</v>
      </c>
      <c r="C274" s="250" t="s">
        <v>3810</v>
      </c>
      <c r="D274" s="268" t="s">
        <v>495</v>
      </c>
      <c r="E274" s="251">
        <v>44133.0</v>
      </c>
      <c r="F274" s="250" t="s">
        <v>496</v>
      </c>
      <c r="G274" s="171">
        <v>1.0</v>
      </c>
      <c r="H274" s="171">
        <v>1.0</v>
      </c>
      <c r="I274" s="171">
        <v>5.0</v>
      </c>
      <c r="J274" s="391">
        <f t="shared" si="4"/>
        <v>0.0001890558651</v>
      </c>
      <c r="K274" s="392">
        <f t="shared" si="5"/>
        <v>0.07325914774</v>
      </c>
      <c r="L274" s="327">
        <f t="shared" si="2"/>
        <v>0.6862586278</v>
      </c>
      <c r="M274" s="321" t="str">
        <f t="shared" si="3"/>
        <v>tam2140</v>
      </c>
      <c r="N274" s="176">
        <f>IFERROR(__xludf.DUMMYFUNCTION("""COMPUTED_VALUE"""),1.0)</f>
        <v>1</v>
      </c>
      <c r="O274" s="176"/>
      <c r="P274" s="176"/>
      <c r="Q274" s="176"/>
      <c r="R274" s="176"/>
      <c r="S274" s="176"/>
      <c r="T274" s="176"/>
      <c r="U274" s="176"/>
      <c r="V274" s="176"/>
      <c r="W274" s="176"/>
      <c r="X274" s="176"/>
      <c r="Y274" s="176"/>
      <c r="Z274" s="176"/>
    </row>
    <row r="275">
      <c r="A275" s="226" t="s">
        <v>196</v>
      </c>
      <c r="B275" s="226" t="s">
        <v>29</v>
      </c>
      <c r="C275" s="250" t="s">
        <v>3811</v>
      </c>
      <c r="D275" s="268" t="s">
        <v>495</v>
      </c>
      <c r="E275" s="251">
        <v>44133.0</v>
      </c>
      <c r="F275" s="250" t="s">
        <v>499</v>
      </c>
      <c r="G275" s="171">
        <v>3.0</v>
      </c>
      <c r="H275" s="171">
        <v>40.0</v>
      </c>
      <c r="I275" s="171">
        <v>10.0</v>
      </c>
      <c r="J275" s="391">
        <f t="shared" si="4"/>
        <v>0.00159302317</v>
      </c>
      <c r="K275" s="392">
        <f t="shared" si="5"/>
        <v>0.6172964782</v>
      </c>
      <c r="L275" s="327">
        <f t="shared" si="2"/>
        <v>0.6172964782</v>
      </c>
      <c r="M275" s="321" t="str">
        <f t="shared" si="3"/>
        <v>staccop2p</v>
      </c>
      <c r="N275" s="176">
        <f>IFERROR(__xludf.DUMMYFUNCTION("""COMPUTED_VALUE"""),1.0)</f>
        <v>1</v>
      </c>
      <c r="O275" s="176"/>
      <c r="P275" s="176"/>
      <c r="Q275" s="176"/>
      <c r="R275" s="176"/>
      <c r="S275" s="176"/>
      <c r="T275" s="176"/>
      <c r="U275" s="176"/>
      <c r="V275" s="176"/>
      <c r="W275" s="176"/>
      <c r="X275" s="176"/>
      <c r="Y275" s="176"/>
      <c r="Z275" s="176"/>
    </row>
    <row r="276">
      <c r="A276" s="226" t="s">
        <v>249</v>
      </c>
      <c r="B276" s="226" t="s">
        <v>519</v>
      </c>
      <c r="C276" s="250" t="s">
        <v>3812</v>
      </c>
      <c r="D276" s="268" t="s">
        <v>495</v>
      </c>
      <c r="E276" s="361">
        <v>44140.0</v>
      </c>
      <c r="F276" s="250" t="s">
        <v>499</v>
      </c>
      <c r="G276" s="171">
        <v>3.0</v>
      </c>
      <c r="H276" s="171">
        <v>20.0</v>
      </c>
      <c r="I276" s="171">
        <v>30.0</v>
      </c>
      <c r="J276" s="391">
        <f t="shared" si="4"/>
        <v>0.001581934142</v>
      </c>
      <c r="K276" s="392">
        <f t="shared" si="5"/>
        <v>0.6129994801</v>
      </c>
      <c r="L276" s="327">
        <f t="shared" si="2"/>
        <v>0.6129994801</v>
      </c>
      <c r="M276" s="321" t="str">
        <f t="shared" si="3"/>
        <v>hanna_nevermind</v>
      </c>
      <c r="N276" s="176">
        <f>IFERROR(__xludf.DUMMYFUNCTION("""COMPUTED_VALUE"""),1.0)</f>
        <v>1</v>
      </c>
      <c r="O276" s="176"/>
      <c r="P276" s="176"/>
      <c r="Q276" s="176"/>
      <c r="R276" s="176"/>
      <c r="S276" s="176"/>
      <c r="T276" s="176"/>
      <c r="U276" s="176"/>
      <c r="V276" s="176"/>
      <c r="W276" s="176"/>
      <c r="X276" s="176"/>
      <c r="Y276" s="176"/>
      <c r="Z276" s="176"/>
    </row>
    <row r="277">
      <c r="A277" s="226" t="s">
        <v>153</v>
      </c>
      <c r="B277" s="226" t="s">
        <v>519</v>
      </c>
      <c r="C277" s="250" t="s">
        <v>3813</v>
      </c>
      <c r="D277" s="268" t="s">
        <v>495</v>
      </c>
      <c r="E277" s="251">
        <v>44129.0</v>
      </c>
      <c r="F277" s="250" t="s">
        <v>499</v>
      </c>
      <c r="G277" s="171">
        <v>3.0</v>
      </c>
      <c r="H277" s="171">
        <v>20.0</v>
      </c>
      <c r="I277" s="171">
        <v>20.0</v>
      </c>
      <c r="J277" s="391">
        <f t="shared" si="4"/>
        <v>0.001267765119</v>
      </c>
      <c r="K277" s="392">
        <f t="shared" si="5"/>
        <v>0.4912589837</v>
      </c>
      <c r="L277" s="327">
        <f t="shared" si="2"/>
        <v>0.4912589837</v>
      </c>
      <c r="M277" s="321" t="str">
        <f t="shared" si="3"/>
        <v>xlcrr</v>
      </c>
      <c r="N277" s="176">
        <f>IFERROR(__xludf.DUMMYFUNCTION("""COMPUTED_VALUE"""),1.0)</f>
        <v>1</v>
      </c>
      <c r="O277" s="176"/>
      <c r="P277" s="176"/>
      <c r="Q277" s="176"/>
      <c r="R277" s="176"/>
      <c r="S277" s="176"/>
      <c r="T277" s="176"/>
      <c r="U277" s="176"/>
      <c r="V277" s="176"/>
      <c r="W277" s="176"/>
      <c r="X277" s="176"/>
      <c r="Y277" s="176"/>
      <c r="Z277" s="176"/>
    </row>
    <row r="278">
      <c r="A278" s="226" t="s">
        <v>24</v>
      </c>
      <c r="B278" s="226" t="s">
        <v>29</v>
      </c>
      <c r="C278" s="250" t="s">
        <v>3814</v>
      </c>
      <c r="D278" s="268" t="s">
        <v>495</v>
      </c>
      <c r="E278" s="251">
        <v>44132.0</v>
      </c>
      <c r="F278" s="250" t="s">
        <v>592</v>
      </c>
      <c r="G278" s="171">
        <v>3.0</v>
      </c>
      <c r="H278" s="171">
        <v>20.0</v>
      </c>
      <c r="I278" s="171">
        <v>20.0</v>
      </c>
      <c r="J278" s="391">
        <f t="shared" si="4"/>
        <v>0.001267765119</v>
      </c>
      <c r="K278" s="392">
        <f t="shared" si="5"/>
        <v>0.4912589837</v>
      </c>
      <c r="L278" s="327">
        <f t="shared" si="2"/>
        <v>0.4912589837</v>
      </c>
      <c r="M278" s="321" t="str">
        <f t="shared" si="3"/>
        <v>danlessa</v>
      </c>
      <c r="N278" s="176">
        <f>IFERROR(__xludf.DUMMYFUNCTION("""COMPUTED_VALUE"""),1.0)</f>
        <v>1</v>
      </c>
      <c r="O278" s="176"/>
      <c r="P278" s="176"/>
      <c r="Q278" s="176"/>
      <c r="R278" s="176"/>
      <c r="S278" s="176"/>
      <c r="T278" s="176"/>
      <c r="U278" s="176"/>
      <c r="V278" s="176"/>
      <c r="W278" s="176"/>
      <c r="X278" s="176"/>
      <c r="Y278" s="176"/>
      <c r="Z278" s="176"/>
    </row>
    <row r="279">
      <c r="A279" s="226" t="s">
        <v>111</v>
      </c>
      <c r="B279" s="226" t="s">
        <v>519</v>
      </c>
      <c r="C279" s="250" t="s">
        <v>2329</v>
      </c>
      <c r="D279" s="268" t="s">
        <v>495</v>
      </c>
      <c r="E279" s="361">
        <v>44139.0</v>
      </c>
      <c r="F279" s="250" t="s">
        <v>521</v>
      </c>
      <c r="G279" s="171">
        <v>3.0</v>
      </c>
      <c r="H279" s="171">
        <v>20.0</v>
      </c>
      <c r="I279" s="171">
        <v>20.0</v>
      </c>
      <c r="J279" s="391">
        <f t="shared" si="4"/>
        <v>0.001267765119</v>
      </c>
      <c r="K279" s="392">
        <f t="shared" si="5"/>
        <v>0.4912589837</v>
      </c>
      <c r="L279" s="327">
        <f t="shared" si="2"/>
        <v>0.7368884755</v>
      </c>
      <c r="M279" s="321" t="str">
        <f t="shared" si="3"/>
        <v>simunstrukan</v>
      </c>
      <c r="N279" s="176">
        <f>IFERROR(__xludf.DUMMYFUNCTION("""COMPUTED_VALUE"""),2.0)</f>
        <v>2</v>
      </c>
      <c r="O279" s="176"/>
      <c r="P279" s="176"/>
      <c r="Q279" s="176"/>
      <c r="R279" s="176"/>
      <c r="S279" s="176"/>
      <c r="T279" s="176"/>
      <c r="U279" s="176"/>
      <c r="V279" s="176"/>
      <c r="W279" s="176"/>
      <c r="X279" s="176"/>
      <c r="Y279" s="176"/>
      <c r="Z279" s="176"/>
    </row>
    <row r="280">
      <c r="A280" s="226" t="s">
        <v>79</v>
      </c>
      <c r="B280" s="226" t="s">
        <v>29</v>
      </c>
      <c r="C280" s="250" t="s">
        <v>3814</v>
      </c>
      <c r="D280" s="268" t="s">
        <v>495</v>
      </c>
      <c r="E280" s="251">
        <v>44132.0</v>
      </c>
      <c r="F280" s="250" t="s">
        <v>592</v>
      </c>
      <c r="G280" s="171">
        <v>3.0</v>
      </c>
      <c r="H280" s="171">
        <v>20.0</v>
      </c>
      <c r="I280" s="171">
        <v>20.0</v>
      </c>
      <c r="J280" s="391">
        <f t="shared" si="4"/>
        <v>0.001267765119</v>
      </c>
      <c r="K280" s="392">
        <f t="shared" si="5"/>
        <v>0.4912589837</v>
      </c>
      <c r="L280" s="327">
        <f t="shared" si="2"/>
        <v>0.4912589837</v>
      </c>
      <c r="M280" s="321" t="str">
        <f t="shared" si="3"/>
        <v>burrrata</v>
      </c>
      <c r="N280" s="176">
        <f>IFERROR(__xludf.DUMMYFUNCTION("""COMPUTED_VALUE"""),1.0)</f>
        <v>1</v>
      </c>
      <c r="O280" s="176"/>
      <c r="P280" s="176"/>
      <c r="Q280" s="176"/>
      <c r="R280" s="176"/>
      <c r="S280" s="176"/>
      <c r="T280" s="176"/>
      <c r="U280" s="176"/>
      <c r="V280" s="176"/>
      <c r="W280" s="176"/>
      <c r="X280" s="176"/>
      <c r="Y280" s="176"/>
      <c r="Z280" s="176"/>
    </row>
    <row r="281">
      <c r="A281" s="226" t="s">
        <v>38</v>
      </c>
      <c r="B281" s="226" t="s">
        <v>519</v>
      </c>
      <c r="C281" s="250" t="s">
        <v>2329</v>
      </c>
      <c r="D281" s="268" t="s">
        <v>495</v>
      </c>
      <c r="E281" s="361">
        <v>44139.0</v>
      </c>
      <c r="F281" s="250" t="s">
        <v>521</v>
      </c>
      <c r="G281" s="171">
        <v>3.0</v>
      </c>
      <c r="H281" s="171">
        <v>20.0</v>
      </c>
      <c r="I281" s="171">
        <v>20.0</v>
      </c>
      <c r="J281" s="391">
        <f t="shared" si="4"/>
        <v>0.001267765119</v>
      </c>
      <c r="K281" s="392">
        <f t="shared" si="5"/>
        <v>0.4912589837</v>
      </c>
      <c r="L281" s="327">
        <f t="shared" si="2"/>
        <v>0.7368884755</v>
      </c>
      <c r="M281" s="321" t="str">
        <f t="shared" si="3"/>
        <v>danibelle</v>
      </c>
      <c r="N281" s="176">
        <f>IFERROR(__xludf.DUMMYFUNCTION("""COMPUTED_VALUE"""),2.0)</f>
        <v>2</v>
      </c>
      <c r="O281" s="176"/>
      <c r="P281" s="176"/>
      <c r="Q281" s="176"/>
      <c r="R281" s="176"/>
      <c r="S281" s="176"/>
      <c r="T281" s="176"/>
      <c r="U281" s="176"/>
      <c r="V281" s="176"/>
      <c r="W281" s="176"/>
      <c r="X281" s="176"/>
      <c r="Y281" s="176"/>
      <c r="Z281" s="176"/>
    </row>
    <row r="282">
      <c r="A282" s="226" t="s">
        <v>47</v>
      </c>
      <c r="B282" s="226" t="s">
        <v>29</v>
      </c>
      <c r="C282" s="250" t="s">
        <v>3814</v>
      </c>
      <c r="D282" s="268" t="s">
        <v>495</v>
      </c>
      <c r="E282" s="251">
        <v>44132.0</v>
      </c>
      <c r="F282" s="250" t="s">
        <v>592</v>
      </c>
      <c r="G282" s="171">
        <v>3.0</v>
      </c>
      <c r="H282" s="171">
        <v>20.0</v>
      </c>
      <c r="I282" s="171">
        <v>20.0</v>
      </c>
      <c r="J282" s="391">
        <f t="shared" si="4"/>
        <v>0.001267765119</v>
      </c>
      <c r="K282" s="392">
        <f t="shared" si="5"/>
        <v>0.4912589837</v>
      </c>
      <c r="L282" s="327">
        <f t="shared" si="2"/>
        <v>0.4912589837</v>
      </c>
      <c r="M282" s="321" t="str">
        <f t="shared" si="3"/>
        <v>benjaminscholtz</v>
      </c>
      <c r="N282" s="176">
        <f>IFERROR(__xludf.DUMMYFUNCTION("""COMPUTED_VALUE"""),1.0)</f>
        <v>1</v>
      </c>
      <c r="O282" s="176"/>
      <c r="P282" s="176"/>
      <c r="Q282" s="176"/>
      <c r="R282" s="176"/>
      <c r="S282" s="176"/>
      <c r="T282" s="176"/>
      <c r="U282" s="176"/>
      <c r="V282" s="176"/>
      <c r="W282" s="176"/>
      <c r="X282" s="176"/>
      <c r="Y282" s="176"/>
      <c r="Z282" s="176"/>
    </row>
    <row r="283">
      <c r="A283" s="226" t="s">
        <v>176</v>
      </c>
      <c r="B283" s="226" t="s">
        <v>519</v>
      </c>
      <c r="C283" s="250" t="s">
        <v>3815</v>
      </c>
      <c r="D283" s="268" t="s">
        <v>495</v>
      </c>
      <c r="E283" s="251">
        <v>44129.0</v>
      </c>
      <c r="F283" s="250" t="s">
        <v>499</v>
      </c>
      <c r="G283" s="171">
        <v>3.0</v>
      </c>
      <c r="H283" s="171">
        <v>10.0</v>
      </c>
      <c r="I283" s="171">
        <v>30.0</v>
      </c>
      <c r="J283" s="391">
        <f t="shared" si="4"/>
        <v>0.001262220605</v>
      </c>
      <c r="K283" s="392">
        <f t="shared" si="5"/>
        <v>0.4891104846</v>
      </c>
      <c r="L283" s="327">
        <f t="shared" si="2"/>
        <v>0.4891104846</v>
      </c>
      <c r="M283" s="321" t="str">
        <f t="shared" si="3"/>
        <v>davidhq</v>
      </c>
      <c r="N283" s="176">
        <f>IFERROR(__xludf.DUMMYFUNCTION("""COMPUTED_VALUE"""),1.0)</f>
        <v>1</v>
      </c>
      <c r="O283" s="176"/>
      <c r="P283" s="176"/>
      <c r="Q283" s="176"/>
      <c r="R283" s="176"/>
      <c r="S283" s="176"/>
      <c r="T283" s="176"/>
      <c r="U283" s="176"/>
      <c r="V283" s="176"/>
      <c r="W283" s="176"/>
      <c r="X283" s="176"/>
      <c r="Y283" s="176"/>
      <c r="Z283" s="176"/>
    </row>
    <row r="284">
      <c r="A284" s="226" t="s">
        <v>28</v>
      </c>
      <c r="B284" s="226" t="s">
        <v>5</v>
      </c>
      <c r="C284" s="250" t="s">
        <v>3709</v>
      </c>
      <c r="D284" s="268" t="s">
        <v>495</v>
      </c>
      <c r="E284" s="251">
        <v>44133.0</v>
      </c>
      <c r="F284" s="250" t="s">
        <v>496</v>
      </c>
      <c r="G284" s="171">
        <v>1.0</v>
      </c>
      <c r="H284" s="171">
        <v>20.0</v>
      </c>
      <c r="I284" s="171">
        <v>30.0</v>
      </c>
      <c r="J284" s="391">
        <f t="shared" si="4"/>
        <v>0.001581934142</v>
      </c>
      <c r="K284" s="392">
        <f t="shared" si="5"/>
        <v>0.6129994801</v>
      </c>
      <c r="L284" s="327">
        <f t="shared" si="2"/>
        <v>0.6862586278</v>
      </c>
      <c r="M284" s="321" t="str">
        <f t="shared" si="3"/>
        <v>tam2140</v>
      </c>
      <c r="N284" s="176">
        <f>IFERROR(__xludf.DUMMYFUNCTION("""COMPUTED_VALUE"""),2.0)</f>
        <v>2</v>
      </c>
      <c r="O284" s="176"/>
      <c r="P284" s="176"/>
      <c r="Q284" s="176"/>
      <c r="R284" s="176"/>
      <c r="S284" s="176"/>
      <c r="T284" s="176"/>
      <c r="U284" s="176"/>
      <c r="V284" s="176"/>
      <c r="W284" s="176"/>
      <c r="X284" s="176"/>
      <c r="Y284" s="176"/>
      <c r="Z284" s="176"/>
    </row>
    <row r="285">
      <c r="A285" s="226" t="s">
        <v>117</v>
      </c>
      <c r="B285" s="226" t="s">
        <v>519</v>
      </c>
      <c r="C285" s="250" t="s">
        <v>3816</v>
      </c>
      <c r="D285" s="268" t="s">
        <v>495</v>
      </c>
      <c r="E285" s="251">
        <v>44131.0</v>
      </c>
      <c r="F285" s="250" t="s">
        <v>496</v>
      </c>
      <c r="G285" s="171">
        <v>1.0</v>
      </c>
      <c r="H285" s="171">
        <v>60.0</v>
      </c>
      <c r="I285" s="171">
        <v>80.0</v>
      </c>
      <c r="J285" s="391">
        <f t="shared" si="4"/>
        <v>0.004431633404</v>
      </c>
      <c r="K285" s="392">
        <f t="shared" si="5"/>
        <v>1.717257944</v>
      </c>
      <c r="L285" s="327">
        <f t="shared" si="2"/>
        <v>0.4451406572</v>
      </c>
      <c r="M285" s="321" t="str">
        <f t="shared" si="3"/>
        <v>gfriis</v>
      </c>
      <c r="N285" s="176">
        <f>IFERROR(__xludf.DUMMYFUNCTION("""COMPUTED_VALUE"""),3.0)</f>
        <v>3</v>
      </c>
      <c r="O285" s="176"/>
      <c r="P285" s="176"/>
      <c r="Q285" s="176"/>
      <c r="R285" s="176"/>
      <c r="S285" s="176"/>
      <c r="T285" s="176"/>
      <c r="U285" s="176"/>
      <c r="V285" s="176"/>
      <c r="W285" s="176"/>
      <c r="X285" s="176"/>
      <c r="Y285" s="176"/>
      <c r="Z285" s="176"/>
    </row>
    <row r="286">
      <c r="A286" s="226" t="s">
        <v>29</v>
      </c>
      <c r="B286" s="226" t="s">
        <v>590</v>
      </c>
      <c r="C286" s="250" t="s">
        <v>3705</v>
      </c>
      <c r="D286" s="268" t="s">
        <v>495</v>
      </c>
      <c r="E286" s="251">
        <v>44131.0</v>
      </c>
      <c r="F286" s="250" t="s">
        <v>496</v>
      </c>
      <c r="G286" s="171">
        <v>1.0</v>
      </c>
      <c r="H286" s="171">
        <v>20.0</v>
      </c>
      <c r="I286" s="171">
        <v>40.0</v>
      </c>
      <c r="J286" s="391">
        <f t="shared" si="4"/>
        <v>0.001896103165</v>
      </c>
      <c r="K286" s="392">
        <f t="shared" si="5"/>
        <v>0.7347399765</v>
      </c>
      <c r="L286" s="327">
        <f t="shared" si="2"/>
        <v>0.443393659</v>
      </c>
      <c r="M286" s="321" t="str">
        <f t="shared" si="3"/>
        <v>jeffemmett</v>
      </c>
      <c r="N286" s="176">
        <f>IFERROR(__xludf.DUMMYFUNCTION("""COMPUTED_VALUE"""),5.0)</f>
        <v>5</v>
      </c>
      <c r="O286" s="176"/>
      <c r="P286" s="176"/>
      <c r="Q286" s="176"/>
      <c r="R286" s="176"/>
      <c r="S286" s="176"/>
      <c r="T286" s="176"/>
      <c r="U286" s="176"/>
      <c r="V286" s="176"/>
      <c r="W286" s="176"/>
      <c r="X286" s="176"/>
      <c r="Y286" s="176"/>
      <c r="Z286" s="176"/>
    </row>
    <row r="287">
      <c r="A287" s="226" t="s">
        <v>18</v>
      </c>
      <c r="B287" s="226" t="s">
        <v>18</v>
      </c>
      <c r="C287" s="250" t="s">
        <v>3797</v>
      </c>
      <c r="D287" s="268" t="s">
        <v>495</v>
      </c>
      <c r="E287" s="251">
        <v>44132.0</v>
      </c>
      <c r="F287" s="250" t="s">
        <v>496</v>
      </c>
      <c r="G287" s="171">
        <v>1.0</v>
      </c>
      <c r="H287" s="171">
        <v>0.0</v>
      </c>
      <c r="I287" s="171">
        <v>0.0</v>
      </c>
      <c r="J287" s="391">
        <f t="shared" si="4"/>
        <v>0</v>
      </c>
      <c r="K287" s="392">
        <f t="shared" si="5"/>
        <v>0</v>
      </c>
      <c r="L287" s="327">
        <f t="shared" si="2"/>
        <v>0</v>
      </c>
      <c r="M287" s="321" t="str">
        <f t="shared" si="3"/>
        <v>liviade</v>
      </c>
      <c r="N287" s="176">
        <f>IFERROR(__xludf.DUMMYFUNCTION("""COMPUTED_VALUE"""),1.0)</f>
        <v>1</v>
      </c>
      <c r="O287" s="176"/>
      <c r="P287" s="176"/>
      <c r="Q287" s="176"/>
      <c r="R287" s="176"/>
      <c r="S287" s="176"/>
      <c r="T287" s="176"/>
      <c r="U287" s="176"/>
      <c r="V287" s="176"/>
      <c r="W287" s="176"/>
      <c r="X287" s="176"/>
      <c r="Y287" s="176"/>
      <c r="Z287" s="176"/>
    </row>
    <row r="288">
      <c r="A288" s="226" t="s">
        <v>18</v>
      </c>
      <c r="B288" s="226" t="s">
        <v>18</v>
      </c>
      <c r="C288" s="250" t="s">
        <v>3755</v>
      </c>
      <c r="D288" s="268" t="s">
        <v>495</v>
      </c>
      <c r="E288" s="251">
        <v>44133.0</v>
      </c>
      <c r="F288" s="250" t="s">
        <v>496</v>
      </c>
      <c r="G288" s="171">
        <v>1.0</v>
      </c>
      <c r="H288" s="171">
        <v>0.0</v>
      </c>
      <c r="I288" s="171">
        <v>0.0</v>
      </c>
      <c r="J288" s="391">
        <f t="shared" si="4"/>
        <v>0</v>
      </c>
      <c r="K288" s="392">
        <f t="shared" si="5"/>
        <v>0</v>
      </c>
      <c r="L288" s="327">
        <f t="shared" si="2"/>
        <v>0</v>
      </c>
      <c r="M288" s="321" t="str">
        <f t="shared" si="3"/>
        <v>liviade</v>
      </c>
      <c r="N288" s="176">
        <f>IFERROR(__xludf.DUMMYFUNCTION("""COMPUTED_VALUE"""),2.0)</f>
        <v>2</v>
      </c>
      <c r="O288" s="176"/>
      <c r="P288" s="176"/>
      <c r="Q288" s="176"/>
      <c r="R288" s="176"/>
      <c r="S288" s="176"/>
      <c r="T288" s="176"/>
      <c r="U288" s="176"/>
      <c r="V288" s="176"/>
      <c r="W288" s="176"/>
      <c r="X288" s="176"/>
      <c r="Y288" s="176"/>
      <c r="Z288" s="176"/>
    </row>
    <row r="289">
      <c r="A289" s="226" t="s">
        <v>18</v>
      </c>
      <c r="B289" s="226" t="s">
        <v>5</v>
      </c>
      <c r="C289" s="250" t="s">
        <v>3721</v>
      </c>
      <c r="D289" s="268" t="s">
        <v>495</v>
      </c>
      <c r="E289" s="251">
        <v>44133.0</v>
      </c>
      <c r="F289" s="250" t="s">
        <v>496</v>
      </c>
      <c r="G289" s="171">
        <v>3.0</v>
      </c>
      <c r="H289" s="171">
        <v>0.0</v>
      </c>
      <c r="I289" s="171">
        <v>0.0</v>
      </c>
      <c r="J289" s="391">
        <f t="shared" si="4"/>
        <v>0</v>
      </c>
      <c r="K289" s="392">
        <f t="shared" si="5"/>
        <v>0</v>
      </c>
      <c r="L289" s="327">
        <f t="shared" si="2"/>
        <v>0</v>
      </c>
      <c r="M289" s="321" t="str">
        <f t="shared" si="3"/>
        <v>liviade</v>
      </c>
      <c r="N289" s="176">
        <f>IFERROR(__xludf.DUMMYFUNCTION("""COMPUTED_VALUE"""),3.0)</f>
        <v>3</v>
      </c>
      <c r="O289" s="176"/>
      <c r="P289" s="176"/>
      <c r="Q289" s="176"/>
      <c r="R289" s="176"/>
      <c r="S289" s="176"/>
      <c r="T289" s="176"/>
      <c r="U289" s="176"/>
      <c r="V289" s="176"/>
      <c r="W289" s="176"/>
      <c r="X289" s="176"/>
      <c r="Y289" s="176"/>
      <c r="Z289" s="176"/>
    </row>
    <row r="290">
      <c r="A290" s="226" t="s">
        <v>18</v>
      </c>
      <c r="B290" s="226" t="s">
        <v>5</v>
      </c>
      <c r="C290" s="250" t="s">
        <v>3709</v>
      </c>
      <c r="D290" s="268" t="s">
        <v>495</v>
      </c>
      <c r="E290" s="251">
        <v>44133.0</v>
      </c>
      <c r="F290" s="250" t="s">
        <v>496</v>
      </c>
      <c r="G290" s="171">
        <v>1.0</v>
      </c>
      <c r="H290" s="171">
        <v>0.0</v>
      </c>
      <c r="I290" s="171">
        <v>0.0</v>
      </c>
      <c r="J290" s="391">
        <f t="shared" si="4"/>
        <v>0</v>
      </c>
      <c r="K290" s="392">
        <f t="shared" si="5"/>
        <v>0</v>
      </c>
      <c r="L290" s="327">
        <f t="shared" si="2"/>
        <v>0</v>
      </c>
      <c r="M290" s="321" t="str">
        <f t="shared" si="3"/>
        <v>liviade</v>
      </c>
      <c r="N290" s="176">
        <f>IFERROR(__xludf.DUMMYFUNCTION("""COMPUTED_VALUE"""),4.0)</f>
        <v>4</v>
      </c>
      <c r="O290" s="176"/>
      <c r="P290" s="176"/>
      <c r="Q290" s="176"/>
      <c r="R290" s="176"/>
      <c r="S290" s="176"/>
      <c r="T290" s="176"/>
      <c r="U290" s="176"/>
      <c r="V290" s="176"/>
      <c r="W290" s="176"/>
      <c r="X290" s="176"/>
      <c r="Y290" s="176"/>
      <c r="Z290" s="176"/>
    </row>
    <row r="291">
      <c r="A291" s="226" t="s">
        <v>18</v>
      </c>
      <c r="B291" s="226" t="s">
        <v>868</v>
      </c>
      <c r="C291" s="250" t="s">
        <v>3817</v>
      </c>
      <c r="D291" s="268" t="s">
        <v>495</v>
      </c>
      <c r="E291" s="251">
        <v>44133.0</v>
      </c>
      <c r="F291" s="250" t="s">
        <v>496</v>
      </c>
      <c r="G291" s="171">
        <v>1.0</v>
      </c>
      <c r="H291" s="171">
        <v>0.0</v>
      </c>
      <c r="I291" s="171">
        <v>0.0</v>
      </c>
      <c r="J291" s="391">
        <f t="shared" si="4"/>
        <v>0</v>
      </c>
      <c r="K291" s="392">
        <f t="shared" si="5"/>
        <v>0</v>
      </c>
      <c r="L291" s="327">
        <f t="shared" si="2"/>
        <v>0</v>
      </c>
      <c r="M291" s="321" t="str">
        <f t="shared" si="3"/>
        <v>liviade</v>
      </c>
      <c r="N291" s="176">
        <f>IFERROR(__xludf.DUMMYFUNCTION("""COMPUTED_VALUE"""),5.0)</f>
        <v>5</v>
      </c>
      <c r="O291" s="176"/>
      <c r="P291" s="176"/>
      <c r="Q291" s="176"/>
      <c r="R291" s="176"/>
      <c r="S291" s="176"/>
      <c r="T291" s="176"/>
      <c r="U291" s="176"/>
      <c r="V291" s="176"/>
      <c r="W291" s="176"/>
      <c r="X291" s="176"/>
      <c r="Y291" s="176"/>
      <c r="Z291" s="176"/>
    </row>
    <row r="292">
      <c r="A292" s="226" t="s">
        <v>18</v>
      </c>
      <c r="B292" s="226" t="s">
        <v>590</v>
      </c>
      <c r="C292" s="250" t="s">
        <v>3818</v>
      </c>
      <c r="D292" s="268" t="s">
        <v>495</v>
      </c>
      <c r="E292" s="251">
        <v>44133.0</v>
      </c>
      <c r="F292" s="250" t="s">
        <v>496</v>
      </c>
      <c r="G292" s="171">
        <v>1.0</v>
      </c>
      <c r="H292" s="171">
        <v>0.0</v>
      </c>
      <c r="I292" s="171">
        <v>0.0</v>
      </c>
      <c r="J292" s="391">
        <f t="shared" si="4"/>
        <v>0</v>
      </c>
      <c r="K292" s="392">
        <f t="shared" si="5"/>
        <v>0</v>
      </c>
      <c r="L292" s="327">
        <f t="shared" si="2"/>
        <v>0</v>
      </c>
      <c r="M292" s="321" t="str">
        <f t="shared" si="3"/>
        <v>liviade</v>
      </c>
      <c r="N292" s="176">
        <f>IFERROR(__xludf.DUMMYFUNCTION("""COMPUTED_VALUE"""),6.0)</f>
        <v>6</v>
      </c>
      <c r="O292" s="176"/>
      <c r="P292" s="176"/>
      <c r="Q292" s="176"/>
      <c r="R292" s="176"/>
      <c r="S292" s="176"/>
      <c r="T292" s="176"/>
      <c r="U292" s="176"/>
      <c r="V292" s="176"/>
      <c r="W292" s="176"/>
      <c r="X292" s="176"/>
      <c r="Y292" s="176"/>
      <c r="Z292" s="176"/>
    </row>
    <row r="293">
      <c r="A293" s="226" t="s">
        <v>18</v>
      </c>
      <c r="B293" s="226" t="s">
        <v>519</v>
      </c>
      <c r="C293" s="250" t="s">
        <v>3711</v>
      </c>
      <c r="D293" s="268" t="s">
        <v>495</v>
      </c>
      <c r="E293" s="251">
        <v>44134.0</v>
      </c>
      <c r="F293" s="250" t="s">
        <v>496</v>
      </c>
      <c r="G293" s="171">
        <v>1.0</v>
      </c>
      <c r="H293" s="171">
        <v>0.0</v>
      </c>
      <c r="I293" s="171">
        <v>0.0</v>
      </c>
      <c r="J293" s="391">
        <f t="shared" si="4"/>
        <v>0</v>
      </c>
      <c r="K293" s="392">
        <f t="shared" si="5"/>
        <v>0</v>
      </c>
      <c r="L293" s="327">
        <f t="shared" si="2"/>
        <v>0</v>
      </c>
      <c r="M293" s="321" t="str">
        <f t="shared" si="3"/>
        <v>liviade</v>
      </c>
      <c r="N293" s="176">
        <f>IFERROR(__xludf.DUMMYFUNCTION("""COMPUTED_VALUE"""),7.0)</f>
        <v>7</v>
      </c>
      <c r="O293" s="176"/>
      <c r="P293" s="176"/>
      <c r="Q293" s="176"/>
      <c r="R293" s="176"/>
      <c r="S293" s="176"/>
      <c r="T293" s="176"/>
      <c r="U293" s="176"/>
      <c r="V293" s="176"/>
      <c r="W293" s="176"/>
      <c r="X293" s="176"/>
      <c r="Y293" s="176"/>
      <c r="Z293" s="176"/>
    </row>
    <row r="294">
      <c r="A294" s="226" t="s">
        <v>18</v>
      </c>
      <c r="B294" s="226" t="s">
        <v>18</v>
      </c>
      <c r="C294" s="250" t="s">
        <v>3739</v>
      </c>
      <c r="D294" s="268" t="s">
        <v>495</v>
      </c>
      <c r="E294" s="251">
        <v>44134.0</v>
      </c>
      <c r="F294" s="250" t="s">
        <v>496</v>
      </c>
      <c r="G294" s="171">
        <v>1.0</v>
      </c>
      <c r="H294" s="171">
        <v>0.0</v>
      </c>
      <c r="I294" s="171">
        <v>0.0</v>
      </c>
      <c r="J294" s="391">
        <f t="shared" si="4"/>
        <v>0</v>
      </c>
      <c r="K294" s="392">
        <f t="shared" si="5"/>
        <v>0</v>
      </c>
      <c r="L294" s="327">
        <f t="shared" si="2"/>
        <v>0</v>
      </c>
      <c r="M294" s="321" t="str">
        <f t="shared" si="3"/>
        <v>liviade</v>
      </c>
      <c r="N294" s="176">
        <f>IFERROR(__xludf.DUMMYFUNCTION("""COMPUTED_VALUE"""),8.0)</f>
        <v>8</v>
      </c>
      <c r="O294" s="176"/>
      <c r="P294" s="176"/>
      <c r="Q294" s="176"/>
      <c r="R294" s="176"/>
      <c r="S294" s="176"/>
      <c r="T294" s="176"/>
      <c r="U294" s="176"/>
      <c r="V294" s="176"/>
      <c r="W294" s="176"/>
      <c r="X294" s="176"/>
      <c r="Y294" s="176"/>
      <c r="Z294" s="176"/>
    </row>
    <row r="295">
      <c r="A295" s="226" t="s">
        <v>18</v>
      </c>
      <c r="B295" s="226" t="s">
        <v>519</v>
      </c>
      <c r="C295" s="250" t="s">
        <v>3819</v>
      </c>
      <c r="D295" s="268" t="s">
        <v>495</v>
      </c>
      <c r="E295" s="251">
        <v>44135.0</v>
      </c>
      <c r="F295" s="250" t="s">
        <v>496</v>
      </c>
      <c r="G295" s="171">
        <v>1.0</v>
      </c>
      <c r="H295" s="171">
        <v>0.0</v>
      </c>
      <c r="I295" s="171">
        <v>0.0</v>
      </c>
      <c r="J295" s="391">
        <f t="shared" si="4"/>
        <v>0</v>
      </c>
      <c r="K295" s="392">
        <f t="shared" si="5"/>
        <v>0</v>
      </c>
      <c r="L295" s="327">
        <f t="shared" si="2"/>
        <v>0</v>
      </c>
      <c r="M295" s="321" t="str">
        <f t="shared" si="3"/>
        <v>liviade</v>
      </c>
      <c r="N295" s="176">
        <f>IFERROR(__xludf.DUMMYFUNCTION("""COMPUTED_VALUE"""),9.0)</f>
        <v>9</v>
      </c>
      <c r="O295" s="176"/>
      <c r="P295" s="176"/>
      <c r="Q295" s="176"/>
      <c r="R295" s="176"/>
      <c r="S295" s="176"/>
      <c r="T295" s="176"/>
      <c r="U295" s="176"/>
      <c r="V295" s="176"/>
      <c r="W295" s="176"/>
      <c r="X295" s="176"/>
      <c r="Y295" s="176"/>
      <c r="Z295" s="176"/>
    </row>
    <row r="296">
      <c r="A296" s="226" t="s">
        <v>18</v>
      </c>
      <c r="B296" s="226" t="s">
        <v>5</v>
      </c>
      <c r="C296" s="250" t="s">
        <v>3729</v>
      </c>
      <c r="D296" s="268" t="s">
        <v>495</v>
      </c>
      <c r="E296" s="361">
        <v>44138.0</v>
      </c>
      <c r="F296" s="250" t="s">
        <v>496</v>
      </c>
      <c r="G296" s="171">
        <v>1.0</v>
      </c>
      <c r="H296" s="171">
        <v>0.0</v>
      </c>
      <c r="I296" s="171">
        <v>0.0</v>
      </c>
      <c r="J296" s="391">
        <f t="shared" si="4"/>
        <v>0</v>
      </c>
      <c r="K296" s="392">
        <f t="shared" si="5"/>
        <v>0</v>
      </c>
      <c r="L296" s="327">
        <f t="shared" si="2"/>
        <v>0</v>
      </c>
      <c r="M296" s="321" t="str">
        <f t="shared" si="3"/>
        <v>liviade</v>
      </c>
      <c r="N296" s="176">
        <f>IFERROR(__xludf.DUMMYFUNCTION("""COMPUTED_VALUE"""),10.0)</f>
        <v>10</v>
      </c>
      <c r="O296" s="176"/>
      <c r="P296" s="176"/>
      <c r="Q296" s="176"/>
      <c r="R296" s="176"/>
      <c r="S296" s="176"/>
      <c r="T296" s="176"/>
      <c r="U296" s="176"/>
      <c r="V296" s="176"/>
      <c r="W296" s="176"/>
      <c r="X296" s="176"/>
      <c r="Y296" s="176"/>
      <c r="Z296" s="176"/>
    </row>
    <row r="297">
      <c r="A297" s="226" t="s">
        <v>18</v>
      </c>
      <c r="B297" s="226" t="s">
        <v>5</v>
      </c>
      <c r="C297" s="250" t="s">
        <v>3730</v>
      </c>
      <c r="D297" s="268" t="s">
        <v>495</v>
      </c>
      <c r="E297" s="361">
        <v>44138.0</v>
      </c>
      <c r="F297" s="250" t="s">
        <v>496</v>
      </c>
      <c r="G297" s="171">
        <v>1.0</v>
      </c>
      <c r="H297" s="171">
        <v>0.0</v>
      </c>
      <c r="I297" s="171">
        <v>0.0</v>
      </c>
      <c r="J297" s="391">
        <f t="shared" si="4"/>
        <v>0</v>
      </c>
      <c r="K297" s="392">
        <f t="shared" si="5"/>
        <v>0</v>
      </c>
      <c r="L297" s="327">
        <f t="shared" si="2"/>
        <v>0</v>
      </c>
      <c r="M297" s="321" t="str">
        <f t="shared" si="3"/>
        <v>liviade</v>
      </c>
      <c r="N297" s="176">
        <f>IFERROR(__xludf.DUMMYFUNCTION("""COMPUTED_VALUE"""),11.0)</f>
        <v>11</v>
      </c>
      <c r="O297" s="176"/>
      <c r="P297" s="176"/>
      <c r="Q297" s="176"/>
      <c r="R297" s="176"/>
      <c r="S297" s="176"/>
      <c r="T297" s="176"/>
      <c r="U297" s="176"/>
      <c r="V297" s="176"/>
      <c r="W297" s="176"/>
      <c r="X297" s="176"/>
      <c r="Y297" s="176"/>
      <c r="Z297" s="176"/>
    </row>
    <row r="298">
      <c r="A298" s="226" t="s">
        <v>18</v>
      </c>
      <c r="B298" s="226" t="s">
        <v>1577</v>
      </c>
      <c r="C298" s="250" t="s">
        <v>3731</v>
      </c>
      <c r="D298" s="268" t="s">
        <v>495</v>
      </c>
      <c r="E298" s="361">
        <v>44138.0</v>
      </c>
      <c r="F298" s="250" t="s">
        <v>496</v>
      </c>
      <c r="G298" s="171">
        <v>1.0</v>
      </c>
      <c r="H298" s="171">
        <v>0.0</v>
      </c>
      <c r="I298" s="171">
        <v>0.0</v>
      </c>
      <c r="J298" s="391">
        <f t="shared" si="4"/>
        <v>0</v>
      </c>
      <c r="K298" s="392">
        <f t="shared" si="5"/>
        <v>0</v>
      </c>
      <c r="L298" s="327">
        <f t="shared" si="2"/>
        <v>0</v>
      </c>
      <c r="M298" s="321" t="str">
        <f t="shared" si="3"/>
        <v>liviade</v>
      </c>
      <c r="N298" s="176">
        <f>IFERROR(__xludf.DUMMYFUNCTION("""COMPUTED_VALUE"""),12.0)</f>
        <v>12</v>
      </c>
      <c r="O298" s="176"/>
      <c r="P298" s="176"/>
      <c r="Q298" s="176"/>
      <c r="R298" s="176"/>
      <c r="S298" s="176"/>
      <c r="T298" s="176"/>
      <c r="U298" s="176"/>
      <c r="V298" s="176"/>
      <c r="W298" s="176"/>
      <c r="X298" s="176"/>
      <c r="Y298" s="176"/>
      <c r="Z298" s="176"/>
    </row>
    <row r="299">
      <c r="A299" s="226" t="s">
        <v>18</v>
      </c>
      <c r="B299" s="226" t="s">
        <v>519</v>
      </c>
      <c r="C299" s="250" t="s">
        <v>3732</v>
      </c>
      <c r="D299" s="268" t="s">
        <v>495</v>
      </c>
      <c r="E299" s="361">
        <v>44138.0</v>
      </c>
      <c r="F299" s="250" t="s">
        <v>496</v>
      </c>
      <c r="G299" s="171">
        <v>1.0</v>
      </c>
      <c r="H299" s="171">
        <v>0.0</v>
      </c>
      <c r="I299" s="171">
        <v>0.0</v>
      </c>
      <c r="J299" s="391">
        <f t="shared" si="4"/>
        <v>0</v>
      </c>
      <c r="K299" s="392">
        <f t="shared" si="5"/>
        <v>0</v>
      </c>
      <c r="L299" s="327">
        <f t="shared" si="2"/>
        <v>0</v>
      </c>
      <c r="M299" s="321" t="str">
        <f t="shared" si="3"/>
        <v>liviade</v>
      </c>
      <c r="N299" s="176">
        <f>IFERROR(__xludf.DUMMYFUNCTION("""COMPUTED_VALUE"""),13.0)</f>
        <v>13</v>
      </c>
      <c r="O299" s="176"/>
      <c r="P299" s="176"/>
      <c r="Q299" s="176"/>
      <c r="R299" s="176"/>
      <c r="S299" s="176"/>
      <c r="T299" s="176"/>
      <c r="U299" s="176"/>
      <c r="V299" s="176"/>
      <c r="W299" s="176"/>
      <c r="X299" s="176"/>
      <c r="Y299" s="176"/>
      <c r="Z299" s="176"/>
    </row>
    <row r="300">
      <c r="A300" s="226" t="s">
        <v>18</v>
      </c>
      <c r="B300" s="226" t="s">
        <v>519</v>
      </c>
      <c r="C300" s="250" t="s">
        <v>3734</v>
      </c>
      <c r="D300" s="268" t="s">
        <v>495</v>
      </c>
      <c r="E300" s="361">
        <v>44140.0</v>
      </c>
      <c r="F300" s="250" t="s">
        <v>499</v>
      </c>
      <c r="G300" s="171">
        <v>3.0</v>
      </c>
      <c r="H300" s="171">
        <v>0.0</v>
      </c>
      <c r="I300" s="171">
        <v>0.0</v>
      </c>
      <c r="J300" s="391">
        <f t="shared" si="4"/>
        <v>0</v>
      </c>
      <c r="K300" s="392">
        <f t="shared" si="5"/>
        <v>0</v>
      </c>
      <c r="L300" s="327">
        <f t="shared" si="2"/>
        <v>0</v>
      </c>
      <c r="M300" s="321" t="str">
        <f t="shared" si="3"/>
        <v>liviade</v>
      </c>
      <c r="N300" s="176">
        <f>IFERROR(__xludf.DUMMYFUNCTION("""COMPUTED_VALUE"""),14.0)</f>
        <v>14</v>
      </c>
      <c r="O300" s="176"/>
      <c r="P300" s="176"/>
      <c r="Q300" s="176"/>
      <c r="R300" s="176"/>
      <c r="S300" s="176"/>
      <c r="T300" s="176"/>
      <c r="U300" s="176"/>
      <c r="V300" s="176"/>
      <c r="W300" s="176"/>
      <c r="X300" s="176"/>
      <c r="Y300" s="176"/>
      <c r="Z300" s="176"/>
    </row>
    <row r="301">
      <c r="A301" s="226" t="s">
        <v>18</v>
      </c>
      <c r="B301" s="226" t="s">
        <v>5</v>
      </c>
      <c r="C301" s="250" t="s">
        <v>3715</v>
      </c>
      <c r="D301" s="268" t="s">
        <v>495</v>
      </c>
      <c r="E301" s="361">
        <v>44141.0</v>
      </c>
      <c r="F301" s="250" t="s">
        <v>496</v>
      </c>
      <c r="G301" s="171">
        <v>1.0</v>
      </c>
      <c r="H301" s="171">
        <v>0.0</v>
      </c>
      <c r="I301" s="171">
        <v>0.0</v>
      </c>
      <c r="J301" s="391">
        <f t="shared" si="4"/>
        <v>0</v>
      </c>
      <c r="K301" s="392">
        <f t="shared" si="5"/>
        <v>0</v>
      </c>
      <c r="L301" s="327">
        <f t="shared" si="2"/>
        <v>0</v>
      </c>
      <c r="M301" s="321" t="str">
        <f t="shared" si="3"/>
        <v>liviade</v>
      </c>
      <c r="N301" s="176">
        <f>IFERROR(__xludf.DUMMYFUNCTION("""COMPUTED_VALUE"""),15.0)</f>
        <v>15</v>
      </c>
      <c r="O301" s="176"/>
      <c r="P301" s="176"/>
      <c r="Q301" s="176"/>
      <c r="R301" s="176"/>
      <c r="S301" s="176"/>
      <c r="T301" s="176"/>
      <c r="U301" s="176"/>
      <c r="V301" s="176"/>
      <c r="W301" s="176"/>
      <c r="X301" s="176"/>
      <c r="Y301" s="176"/>
      <c r="Z301" s="176"/>
    </row>
    <row r="302">
      <c r="A302" s="226" t="s">
        <v>59</v>
      </c>
      <c r="B302" s="226" t="s">
        <v>5</v>
      </c>
      <c r="C302" s="250" t="s">
        <v>3729</v>
      </c>
      <c r="D302" s="268" t="s">
        <v>495</v>
      </c>
      <c r="E302" s="361">
        <v>44138.0</v>
      </c>
      <c r="F302" s="250" t="s">
        <v>496</v>
      </c>
      <c r="G302" s="171">
        <v>1.0</v>
      </c>
      <c r="H302" s="171">
        <v>40.0</v>
      </c>
      <c r="I302" s="171">
        <v>40.0</v>
      </c>
      <c r="J302" s="391">
        <f t="shared" si="4"/>
        <v>0.002535530238</v>
      </c>
      <c r="K302" s="392">
        <f t="shared" si="5"/>
        <v>0.9825179674</v>
      </c>
      <c r="L302" s="327">
        <f t="shared" si="2"/>
        <v>0.2907469393</v>
      </c>
      <c r="M302" s="321" t="str">
        <f t="shared" si="3"/>
        <v>krisjones</v>
      </c>
      <c r="N302" s="176">
        <f>IFERROR(__xludf.DUMMYFUNCTION("""COMPUTED_VALUE"""),2.0)</f>
        <v>2</v>
      </c>
      <c r="O302" s="176"/>
      <c r="P302" s="176"/>
      <c r="Q302" s="176"/>
      <c r="R302" s="176"/>
      <c r="S302" s="176"/>
      <c r="T302" s="176"/>
      <c r="U302" s="176"/>
      <c r="V302" s="176"/>
      <c r="W302" s="176"/>
      <c r="X302" s="176"/>
      <c r="Y302" s="176"/>
      <c r="Z302" s="176"/>
    </row>
    <row r="303">
      <c r="A303" s="226" t="s">
        <v>123</v>
      </c>
      <c r="B303" s="226" t="s">
        <v>519</v>
      </c>
      <c r="C303" s="250" t="s">
        <v>2329</v>
      </c>
      <c r="D303" s="268" t="s">
        <v>495</v>
      </c>
      <c r="E303" s="251">
        <v>44132.0</v>
      </c>
      <c r="F303" s="250" t="s">
        <v>521</v>
      </c>
      <c r="G303" s="171">
        <v>3.0</v>
      </c>
      <c r="H303" s="171">
        <v>10.0</v>
      </c>
      <c r="I303" s="171">
        <v>10.0</v>
      </c>
      <c r="J303" s="391">
        <f t="shared" si="4"/>
        <v>0.0006338825596</v>
      </c>
      <c r="K303" s="392">
        <f t="shared" si="5"/>
        <v>0.2456294918</v>
      </c>
      <c r="L303" s="327">
        <f t="shared" si="2"/>
        <v>0.2456294918</v>
      </c>
      <c r="M303" s="321" t="str">
        <f t="shared" si="3"/>
        <v>lbagic</v>
      </c>
      <c r="N303" s="176">
        <f>IFERROR(__xludf.DUMMYFUNCTION("""COMPUTED_VALUE"""),1.0)</f>
        <v>1</v>
      </c>
      <c r="O303" s="176"/>
      <c r="P303" s="176"/>
      <c r="Q303" s="176"/>
      <c r="R303" s="176"/>
      <c r="S303" s="176"/>
      <c r="T303" s="176"/>
      <c r="U303" s="176"/>
      <c r="V303" s="176"/>
      <c r="W303" s="176"/>
      <c r="X303" s="176"/>
      <c r="Y303" s="176"/>
      <c r="Z303" s="176"/>
    </row>
    <row r="304">
      <c r="A304" s="226" t="s">
        <v>312</v>
      </c>
      <c r="B304" s="226" t="s">
        <v>519</v>
      </c>
      <c r="C304" s="250" t="s">
        <v>3734</v>
      </c>
      <c r="D304" s="268" t="s">
        <v>495</v>
      </c>
      <c r="E304" s="361">
        <v>44140.0</v>
      </c>
      <c r="F304" s="250" t="s">
        <v>499</v>
      </c>
      <c r="G304" s="171">
        <v>3.0</v>
      </c>
      <c r="H304" s="171">
        <v>5.0</v>
      </c>
      <c r="I304" s="171">
        <v>5.0</v>
      </c>
      <c r="J304" s="391">
        <f t="shared" si="4"/>
        <v>0.0003169412798</v>
      </c>
      <c r="K304" s="392">
        <f t="shared" si="5"/>
        <v>0.1228147459</v>
      </c>
      <c r="L304" s="327">
        <f t="shared" si="2"/>
        <v>0.1228147459</v>
      </c>
      <c r="M304" s="321" t="str">
        <f t="shared" si="3"/>
        <v>wunluv</v>
      </c>
      <c r="N304" s="176">
        <f>IFERROR(__xludf.DUMMYFUNCTION("""COMPUTED_VALUE"""),1.0)</f>
        <v>1</v>
      </c>
      <c r="O304" s="176"/>
      <c r="P304" s="176"/>
      <c r="Q304" s="176"/>
      <c r="R304" s="176"/>
      <c r="S304" s="176"/>
      <c r="T304" s="176"/>
      <c r="U304" s="176"/>
      <c r="V304" s="176"/>
      <c r="W304" s="176"/>
      <c r="X304" s="176"/>
      <c r="Y304" s="176"/>
      <c r="Z304" s="176"/>
    </row>
    <row r="305">
      <c r="A305" s="226" t="s">
        <v>122</v>
      </c>
      <c r="B305" s="226" t="s">
        <v>18</v>
      </c>
      <c r="C305" s="250" t="s">
        <v>3796</v>
      </c>
      <c r="D305" s="268" t="s">
        <v>495</v>
      </c>
      <c r="E305" s="251">
        <v>44132.0</v>
      </c>
      <c r="F305" s="250" t="s">
        <v>496</v>
      </c>
      <c r="G305" s="171">
        <v>1.0</v>
      </c>
      <c r="H305" s="171">
        <v>20.0</v>
      </c>
      <c r="I305" s="171">
        <v>30.0</v>
      </c>
      <c r="J305" s="391">
        <f t="shared" si="4"/>
        <v>0.001581934142</v>
      </c>
      <c r="K305" s="392">
        <f t="shared" si="5"/>
        <v>0.6129994801</v>
      </c>
      <c r="L305" s="327">
        <f t="shared" si="2"/>
        <v>0.6129994801</v>
      </c>
      <c r="M305" s="321" t="str">
        <f t="shared" si="3"/>
        <v>anthonyoliai</v>
      </c>
      <c r="N305" s="176">
        <f>IFERROR(__xludf.DUMMYFUNCTION("""COMPUTED_VALUE"""),1.0)</f>
        <v>1</v>
      </c>
      <c r="O305" s="176"/>
      <c r="P305" s="176"/>
      <c r="Q305" s="176"/>
      <c r="R305" s="176"/>
      <c r="S305" s="176"/>
      <c r="T305" s="176"/>
      <c r="U305" s="176"/>
      <c r="V305" s="176"/>
      <c r="W305" s="176"/>
      <c r="X305" s="176"/>
      <c r="Y305" s="176"/>
      <c r="Z305" s="176"/>
    </row>
    <row r="306">
      <c r="A306" s="226" t="s">
        <v>131</v>
      </c>
      <c r="B306" s="226" t="s">
        <v>519</v>
      </c>
      <c r="C306" s="250" t="s">
        <v>3734</v>
      </c>
      <c r="D306" s="268" t="s">
        <v>495</v>
      </c>
      <c r="E306" s="361">
        <v>44140.0</v>
      </c>
      <c r="F306" s="250" t="s">
        <v>499</v>
      </c>
      <c r="G306" s="171">
        <v>3.0</v>
      </c>
      <c r="H306" s="171">
        <v>5.0</v>
      </c>
      <c r="I306" s="171">
        <v>5.0</v>
      </c>
      <c r="J306" s="391">
        <f t="shared" si="4"/>
        <v>0.0003169412798</v>
      </c>
      <c r="K306" s="392">
        <f t="shared" si="5"/>
        <v>0.1228147459</v>
      </c>
      <c r="L306" s="327">
        <f t="shared" si="2"/>
        <v>0.1228147459</v>
      </c>
      <c r="M306" s="321" t="str">
        <f t="shared" si="3"/>
        <v>unquale</v>
      </c>
      <c r="N306" s="176">
        <f>IFERROR(__xludf.DUMMYFUNCTION("""COMPUTED_VALUE"""),1.0)</f>
        <v>1</v>
      </c>
      <c r="O306" s="176"/>
      <c r="P306" s="176"/>
      <c r="Q306" s="176"/>
      <c r="R306" s="176"/>
      <c r="S306" s="176"/>
      <c r="T306" s="176"/>
      <c r="U306" s="176"/>
      <c r="V306" s="176"/>
      <c r="W306" s="176"/>
      <c r="X306" s="176"/>
      <c r="Y306" s="176"/>
      <c r="Z306" s="176"/>
    </row>
    <row r="307">
      <c r="A307" s="226" t="s">
        <v>160</v>
      </c>
      <c r="B307" s="226" t="s">
        <v>519</v>
      </c>
      <c r="C307" s="250" t="s">
        <v>3734</v>
      </c>
      <c r="D307" s="268" t="s">
        <v>495</v>
      </c>
      <c r="E307" s="361">
        <v>44140.0</v>
      </c>
      <c r="F307" s="250" t="s">
        <v>499</v>
      </c>
      <c r="G307" s="171">
        <v>3.0</v>
      </c>
      <c r="H307" s="171">
        <v>5.0</v>
      </c>
      <c r="I307" s="171">
        <v>5.0</v>
      </c>
      <c r="J307" s="391">
        <f t="shared" si="4"/>
        <v>0.0003169412798</v>
      </c>
      <c r="K307" s="392">
        <f t="shared" si="5"/>
        <v>0.1228147459</v>
      </c>
      <c r="L307" s="327">
        <f t="shared" si="2"/>
        <v>0.1228147459</v>
      </c>
      <c r="M307" s="321" t="str">
        <f t="shared" si="3"/>
        <v>tokenbrice</v>
      </c>
      <c r="N307" s="176">
        <f>IFERROR(__xludf.DUMMYFUNCTION("""COMPUTED_VALUE"""),1.0)</f>
        <v>1</v>
      </c>
      <c r="O307" s="176"/>
      <c r="P307" s="176"/>
      <c r="Q307" s="176"/>
      <c r="R307" s="176"/>
      <c r="S307" s="176"/>
      <c r="T307" s="176"/>
      <c r="U307" s="176"/>
      <c r="V307" s="176"/>
      <c r="W307" s="176"/>
      <c r="X307" s="176"/>
      <c r="Y307" s="176"/>
      <c r="Z307" s="176"/>
    </row>
    <row r="308">
      <c r="A308" s="226" t="s">
        <v>120</v>
      </c>
      <c r="B308" s="226" t="s">
        <v>519</v>
      </c>
      <c r="C308" s="250" t="s">
        <v>3734</v>
      </c>
      <c r="D308" s="268" t="s">
        <v>495</v>
      </c>
      <c r="E308" s="361">
        <v>44140.0</v>
      </c>
      <c r="F308" s="250" t="s">
        <v>499</v>
      </c>
      <c r="G308" s="171">
        <v>3.0</v>
      </c>
      <c r="H308" s="171">
        <v>5.0</v>
      </c>
      <c r="I308" s="171">
        <v>5.0</v>
      </c>
      <c r="J308" s="391">
        <f t="shared" si="4"/>
        <v>0.0003169412798</v>
      </c>
      <c r="K308" s="392">
        <f t="shared" si="5"/>
        <v>0.1228147459</v>
      </c>
      <c r="L308" s="327">
        <f t="shared" si="2"/>
        <v>0.1228147459</v>
      </c>
      <c r="M308" s="321" t="str">
        <f t="shared" si="3"/>
        <v>sepu85</v>
      </c>
      <c r="N308" s="176">
        <f>IFERROR(__xludf.DUMMYFUNCTION("""COMPUTED_VALUE"""),1.0)</f>
        <v>1</v>
      </c>
      <c r="O308" s="176"/>
      <c r="P308" s="176"/>
      <c r="Q308" s="176"/>
      <c r="R308" s="176"/>
      <c r="S308" s="176"/>
      <c r="T308" s="176"/>
      <c r="U308" s="176"/>
      <c r="V308" s="176"/>
      <c r="W308" s="176"/>
      <c r="X308" s="176"/>
      <c r="Y308" s="176"/>
      <c r="Z308" s="176"/>
    </row>
    <row r="309">
      <c r="A309" s="226" t="s">
        <v>372</v>
      </c>
      <c r="B309" s="226" t="s">
        <v>519</v>
      </c>
      <c r="C309" s="250" t="s">
        <v>3734</v>
      </c>
      <c r="D309" s="268" t="s">
        <v>495</v>
      </c>
      <c r="E309" s="361">
        <v>44140.0</v>
      </c>
      <c r="F309" s="250" t="s">
        <v>499</v>
      </c>
      <c r="G309" s="171">
        <v>3.0</v>
      </c>
      <c r="H309" s="171">
        <v>5.0</v>
      </c>
      <c r="I309" s="171">
        <v>5.0</v>
      </c>
      <c r="J309" s="391">
        <f t="shared" si="4"/>
        <v>0.0003169412798</v>
      </c>
      <c r="K309" s="392">
        <f t="shared" si="5"/>
        <v>0.1228147459</v>
      </c>
      <c r="L309" s="327">
        <f t="shared" si="2"/>
        <v>0.1228147459</v>
      </c>
      <c r="M309" s="321" t="str">
        <f t="shared" si="3"/>
        <v>scupytrooples</v>
      </c>
      <c r="N309" s="176">
        <f>IFERROR(__xludf.DUMMYFUNCTION("""COMPUTED_VALUE"""),1.0)</f>
        <v>1</v>
      </c>
      <c r="O309" s="176"/>
      <c r="P309" s="176"/>
      <c r="Q309" s="176"/>
      <c r="R309" s="176"/>
      <c r="S309" s="176"/>
      <c r="T309" s="176"/>
      <c r="U309" s="176"/>
      <c r="V309" s="176"/>
      <c r="W309" s="176"/>
      <c r="X309" s="176"/>
      <c r="Y309" s="176"/>
      <c r="Z309" s="176"/>
    </row>
    <row r="310">
      <c r="A310" s="226" t="s">
        <v>257</v>
      </c>
      <c r="B310" s="226" t="s">
        <v>519</v>
      </c>
      <c r="C310" s="250" t="s">
        <v>3734</v>
      </c>
      <c r="D310" s="268" t="s">
        <v>495</v>
      </c>
      <c r="E310" s="361">
        <v>44140.0</v>
      </c>
      <c r="F310" s="250" t="s">
        <v>499</v>
      </c>
      <c r="G310" s="171">
        <v>3.0</v>
      </c>
      <c r="H310" s="171">
        <v>5.0</v>
      </c>
      <c r="I310" s="171">
        <v>5.0</v>
      </c>
      <c r="J310" s="391">
        <f t="shared" si="4"/>
        <v>0.0003169412798</v>
      </c>
      <c r="K310" s="392">
        <f t="shared" si="5"/>
        <v>0.1228147459</v>
      </c>
      <c r="L310" s="327">
        <f t="shared" si="2"/>
        <v>0.1228147459</v>
      </c>
      <c r="M310" s="321" t="str">
        <f t="shared" si="3"/>
        <v>proofoftom</v>
      </c>
      <c r="N310" s="176">
        <f>IFERROR(__xludf.DUMMYFUNCTION("""COMPUTED_VALUE"""),1.0)</f>
        <v>1</v>
      </c>
      <c r="O310" s="176"/>
      <c r="P310" s="176"/>
      <c r="Q310" s="176"/>
      <c r="R310" s="176"/>
      <c r="S310" s="176"/>
      <c r="T310" s="176"/>
      <c r="U310" s="176"/>
      <c r="V310" s="176"/>
      <c r="W310" s="176"/>
      <c r="X310" s="176"/>
      <c r="Y310" s="176"/>
      <c r="Z310" s="176"/>
    </row>
    <row r="311">
      <c r="A311" s="226" t="s">
        <v>88</v>
      </c>
      <c r="B311" s="226" t="s">
        <v>519</v>
      </c>
      <c r="C311" s="250" t="s">
        <v>3734</v>
      </c>
      <c r="D311" s="268" t="s">
        <v>495</v>
      </c>
      <c r="E311" s="361">
        <v>44140.0</v>
      </c>
      <c r="F311" s="250" t="s">
        <v>499</v>
      </c>
      <c r="G311" s="171">
        <v>3.0</v>
      </c>
      <c r="H311" s="171">
        <v>5.0</v>
      </c>
      <c r="I311" s="171">
        <v>5.0</v>
      </c>
      <c r="J311" s="391">
        <f t="shared" si="4"/>
        <v>0.0003169412798</v>
      </c>
      <c r="K311" s="392">
        <f t="shared" si="5"/>
        <v>0.1228147459</v>
      </c>
      <c r="L311" s="327">
        <f t="shared" si="2"/>
        <v>0.1228147459</v>
      </c>
      <c r="M311" s="321" t="str">
        <f t="shared" si="3"/>
        <v>phil_h</v>
      </c>
      <c r="N311" s="176">
        <f>IFERROR(__xludf.DUMMYFUNCTION("""COMPUTED_VALUE"""),1.0)</f>
        <v>1</v>
      </c>
      <c r="O311" s="176"/>
      <c r="P311" s="176"/>
      <c r="Q311" s="176"/>
      <c r="R311" s="176"/>
      <c r="S311" s="176"/>
      <c r="T311" s="176"/>
      <c r="U311" s="176"/>
      <c r="V311" s="176"/>
      <c r="W311" s="176"/>
      <c r="X311" s="176"/>
      <c r="Y311" s="176"/>
      <c r="Z311" s="176"/>
    </row>
    <row r="312">
      <c r="A312" s="226" t="s">
        <v>373</v>
      </c>
      <c r="B312" s="226" t="s">
        <v>519</v>
      </c>
      <c r="C312" s="250" t="s">
        <v>3734</v>
      </c>
      <c r="D312" s="268" t="s">
        <v>495</v>
      </c>
      <c r="E312" s="361">
        <v>44140.0</v>
      </c>
      <c r="F312" s="250" t="s">
        <v>499</v>
      </c>
      <c r="G312" s="171">
        <v>3.0</v>
      </c>
      <c r="H312" s="171">
        <v>5.0</v>
      </c>
      <c r="I312" s="171">
        <v>5.0</v>
      </c>
      <c r="J312" s="391">
        <f t="shared" si="4"/>
        <v>0.0003169412798</v>
      </c>
      <c r="K312" s="392">
        <f t="shared" si="5"/>
        <v>0.1228147459</v>
      </c>
      <c r="L312" s="327">
        <f t="shared" si="2"/>
        <v>0.1228147459</v>
      </c>
      <c r="M312" s="321" t="str">
        <f t="shared" si="3"/>
        <v>paulsalis</v>
      </c>
      <c r="N312" s="176">
        <f>IFERROR(__xludf.DUMMYFUNCTION("""COMPUTED_VALUE"""),1.0)</f>
        <v>1</v>
      </c>
      <c r="O312" s="176"/>
      <c r="P312" s="176"/>
      <c r="Q312" s="176"/>
      <c r="R312" s="176"/>
      <c r="S312" s="176"/>
      <c r="T312" s="176"/>
      <c r="U312" s="176"/>
      <c r="V312" s="176"/>
      <c r="W312" s="176"/>
      <c r="X312" s="176"/>
      <c r="Y312" s="176"/>
      <c r="Z312" s="176"/>
    </row>
    <row r="313">
      <c r="A313" s="226" t="s">
        <v>100</v>
      </c>
      <c r="B313" s="226" t="s">
        <v>519</v>
      </c>
      <c r="C313" s="250" t="s">
        <v>3734</v>
      </c>
      <c r="D313" s="268" t="s">
        <v>495</v>
      </c>
      <c r="E313" s="361">
        <v>44140.0</v>
      </c>
      <c r="F313" s="250" t="s">
        <v>499</v>
      </c>
      <c r="G313" s="171">
        <v>3.0</v>
      </c>
      <c r="H313" s="171">
        <v>5.0</v>
      </c>
      <c r="I313" s="171">
        <v>5.0</v>
      </c>
      <c r="J313" s="391">
        <f t="shared" si="4"/>
        <v>0.0003169412798</v>
      </c>
      <c r="K313" s="392">
        <f t="shared" si="5"/>
        <v>0.1228147459</v>
      </c>
      <c r="L313" s="327">
        <f t="shared" si="2"/>
        <v>0.1228147459</v>
      </c>
      <c r="M313" s="321" t="str">
        <f t="shared" si="3"/>
        <v>nikoline_nik</v>
      </c>
      <c r="N313" s="176">
        <f>IFERROR(__xludf.DUMMYFUNCTION("""COMPUTED_VALUE"""),1.0)</f>
        <v>1</v>
      </c>
      <c r="O313" s="176"/>
      <c r="P313" s="176"/>
      <c r="Q313" s="176"/>
      <c r="R313" s="176"/>
      <c r="S313" s="176"/>
      <c r="T313" s="176"/>
      <c r="U313" s="176"/>
      <c r="V313" s="176"/>
      <c r="W313" s="176"/>
      <c r="X313" s="176"/>
      <c r="Y313" s="176"/>
      <c r="Z313" s="176"/>
    </row>
    <row r="314">
      <c r="A314" s="226" t="s">
        <v>137</v>
      </c>
      <c r="B314" s="226" t="s">
        <v>519</v>
      </c>
      <c r="C314" s="250" t="s">
        <v>3734</v>
      </c>
      <c r="D314" s="268" t="s">
        <v>495</v>
      </c>
      <c r="E314" s="361">
        <v>44140.0</v>
      </c>
      <c r="F314" s="250" t="s">
        <v>499</v>
      </c>
      <c r="G314" s="171">
        <v>3.0</v>
      </c>
      <c r="H314" s="171">
        <v>5.0</v>
      </c>
      <c r="I314" s="171">
        <v>5.0</v>
      </c>
      <c r="J314" s="391">
        <f t="shared" si="4"/>
        <v>0.0003169412798</v>
      </c>
      <c r="K314" s="392">
        <f t="shared" si="5"/>
        <v>0.1228147459</v>
      </c>
      <c r="L314" s="327">
        <f t="shared" si="2"/>
        <v>0.1228147459</v>
      </c>
      <c r="M314" s="321" t="str">
        <f t="shared" si="3"/>
        <v>nelsonm</v>
      </c>
      <c r="N314" s="176">
        <f>IFERROR(__xludf.DUMMYFUNCTION("""COMPUTED_VALUE"""),1.0)</f>
        <v>1</v>
      </c>
      <c r="O314" s="176"/>
      <c r="P314" s="176"/>
      <c r="Q314" s="176"/>
      <c r="R314" s="176"/>
      <c r="S314" s="176"/>
      <c r="T314" s="176"/>
      <c r="U314" s="176"/>
      <c r="V314" s="176"/>
      <c r="W314" s="176"/>
      <c r="X314" s="176"/>
      <c r="Y314" s="176"/>
      <c r="Z314" s="176"/>
    </row>
    <row r="315">
      <c r="A315" s="226" t="s">
        <v>154</v>
      </c>
      <c r="B315" s="226" t="s">
        <v>519</v>
      </c>
      <c r="C315" s="250" t="s">
        <v>3734</v>
      </c>
      <c r="D315" s="268" t="s">
        <v>495</v>
      </c>
      <c r="E315" s="361">
        <v>44140.0</v>
      </c>
      <c r="F315" s="250" t="s">
        <v>499</v>
      </c>
      <c r="G315" s="171">
        <v>3.0</v>
      </c>
      <c r="H315" s="171">
        <v>5.0</v>
      </c>
      <c r="I315" s="171">
        <v>5.0</v>
      </c>
      <c r="J315" s="391">
        <f t="shared" si="4"/>
        <v>0.0003169412798</v>
      </c>
      <c r="K315" s="392">
        <f t="shared" si="5"/>
        <v>0.1228147459</v>
      </c>
      <c r="L315" s="327">
        <f t="shared" si="2"/>
        <v>0.1228147459</v>
      </c>
      <c r="M315" s="321" t="str">
        <f t="shared" si="3"/>
        <v>morgangr</v>
      </c>
      <c r="N315" s="176">
        <f>IFERROR(__xludf.DUMMYFUNCTION("""COMPUTED_VALUE"""),1.0)</f>
        <v>1</v>
      </c>
      <c r="O315" s="176"/>
      <c r="P315" s="176"/>
      <c r="Q315" s="176"/>
      <c r="R315" s="176"/>
      <c r="S315" s="176"/>
      <c r="T315" s="176"/>
      <c r="U315" s="176"/>
      <c r="V315" s="176"/>
      <c r="W315" s="176"/>
      <c r="X315" s="176"/>
      <c r="Y315" s="176"/>
      <c r="Z315" s="176"/>
    </row>
    <row r="316">
      <c r="A316" s="226" t="s">
        <v>86</v>
      </c>
      <c r="B316" s="226" t="s">
        <v>519</v>
      </c>
      <c r="C316" s="250" t="s">
        <v>3734</v>
      </c>
      <c r="D316" s="268" t="s">
        <v>495</v>
      </c>
      <c r="E316" s="361">
        <v>44140.0</v>
      </c>
      <c r="F316" s="250" t="s">
        <v>499</v>
      </c>
      <c r="G316" s="171">
        <v>3.0</v>
      </c>
      <c r="H316" s="171">
        <v>5.0</v>
      </c>
      <c r="I316" s="171">
        <v>5.0</v>
      </c>
      <c r="J316" s="391">
        <f t="shared" si="4"/>
        <v>0.0003169412798</v>
      </c>
      <c r="K316" s="392">
        <f t="shared" si="5"/>
        <v>0.1228147459</v>
      </c>
      <c r="L316" s="327">
        <f t="shared" si="2"/>
        <v>0.1228147459</v>
      </c>
      <c r="M316" s="321" t="str">
        <f t="shared" si="3"/>
        <v>misterboyfriend</v>
      </c>
      <c r="N316" s="176">
        <f>IFERROR(__xludf.DUMMYFUNCTION("""COMPUTED_VALUE"""),1.0)</f>
        <v>1</v>
      </c>
      <c r="O316" s="176"/>
      <c r="P316" s="176"/>
      <c r="Q316" s="176"/>
      <c r="R316" s="176"/>
      <c r="S316" s="176"/>
      <c r="T316" s="176"/>
      <c r="U316" s="176"/>
      <c r="V316" s="176"/>
      <c r="W316" s="176"/>
      <c r="X316" s="176"/>
      <c r="Y316" s="176"/>
      <c r="Z316" s="176"/>
    </row>
    <row r="317">
      <c r="A317" s="226" t="s">
        <v>27</v>
      </c>
      <c r="B317" s="226" t="s">
        <v>519</v>
      </c>
      <c r="C317" s="250" t="s">
        <v>3734</v>
      </c>
      <c r="D317" s="268" t="s">
        <v>495</v>
      </c>
      <c r="E317" s="361">
        <v>44140.0</v>
      </c>
      <c r="F317" s="250" t="s">
        <v>499</v>
      </c>
      <c r="G317" s="171">
        <v>3.0</v>
      </c>
      <c r="H317" s="171">
        <v>5.0</v>
      </c>
      <c r="I317" s="171">
        <v>5.0</v>
      </c>
      <c r="J317" s="391">
        <f t="shared" si="4"/>
        <v>0.0003169412798</v>
      </c>
      <c r="K317" s="392">
        <f t="shared" si="5"/>
        <v>0.1228147459</v>
      </c>
      <c r="L317" s="327">
        <f t="shared" si="2"/>
        <v>0.1228147459</v>
      </c>
      <c r="M317" s="321" t="str">
        <f t="shared" si="3"/>
        <v>merlinegalite</v>
      </c>
      <c r="N317" s="176">
        <f>IFERROR(__xludf.DUMMYFUNCTION("""COMPUTED_VALUE"""),1.0)</f>
        <v>1</v>
      </c>
      <c r="O317" s="176"/>
      <c r="P317" s="176"/>
      <c r="Q317" s="176"/>
      <c r="R317" s="176"/>
      <c r="S317" s="176"/>
      <c r="T317" s="176"/>
      <c r="U317" s="176"/>
      <c r="V317" s="176"/>
      <c r="W317" s="176"/>
      <c r="X317" s="176"/>
      <c r="Y317" s="176"/>
      <c r="Z317" s="176"/>
    </row>
    <row r="318">
      <c r="A318" s="226" t="s">
        <v>65</v>
      </c>
      <c r="B318" s="226" t="s">
        <v>519</v>
      </c>
      <c r="C318" s="250" t="s">
        <v>3734</v>
      </c>
      <c r="D318" s="268" t="s">
        <v>495</v>
      </c>
      <c r="E318" s="361">
        <v>44140.0</v>
      </c>
      <c r="F318" s="250" t="s">
        <v>499</v>
      </c>
      <c r="G318" s="171">
        <v>3.0</v>
      </c>
      <c r="H318" s="171">
        <v>5.0</v>
      </c>
      <c r="I318" s="171">
        <v>5.0</v>
      </c>
      <c r="J318" s="391">
        <f t="shared" si="4"/>
        <v>0.0003169412798</v>
      </c>
      <c r="K318" s="392">
        <f t="shared" si="5"/>
        <v>0.1228147459</v>
      </c>
      <c r="L318" s="327">
        <f t="shared" si="2"/>
        <v>0.1228147459</v>
      </c>
      <c r="M318" s="321" t="str">
        <f t="shared" si="3"/>
        <v>loie_giveth</v>
      </c>
      <c r="N318" s="176">
        <f>IFERROR(__xludf.DUMMYFUNCTION("""COMPUTED_VALUE"""),1.0)</f>
        <v>1</v>
      </c>
      <c r="O318" s="176"/>
      <c r="P318" s="176"/>
      <c r="Q318" s="176"/>
      <c r="R318" s="176"/>
      <c r="S318" s="176"/>
      <c r="T318" s="176"/>
      <c r="U318" s="176"/>
      <c r="V318" s="176"/>
      <c r="W318" s="176"/>
      <c r="X318" s="176"/>
      <c r="Y318" s="176"/>
      <c r="Z318" s="176"/>
    </row>
    <row r="319">
      <c r="A319" s="226" t="s">
        <v>77</v>
      </c>
      <c r="B319" s="226" t="s">
        <v>519</v>
      </c>
      <c r="C319" s="250" t="s">
        <v>3734</v>
      </c>
      <c r="D319" s="268" t="s">
        <v>495</v>
      </c>
      <c r="E319" s="361">
        <v>44140.0</v>
      </c>
      <c r="F319" s="250" t="s">
        <v>499</v>
      </c>
      <c r="G319" s="171">
        <v>3.0</v>
      </c>
      <c r="H319" s="171">
        <v>5.0</v>
      </c>
      <c r="I319" s="171">
        <v>5.0</v>
      </c>
      <c r="J319" s="391">
        <f t="shared" si="4"/>
        <v>0.0003169412798</v>
      </c>
      <c r="K319" s="392">
        <f t="shared" si="5"/>
        <v>0.1228147459</v>
      </c>
      <c r="L319" s="327">
        <f t="shared" si="2"/>
        <v>0.1228147459</v>
      </c>
      <c r="M319" s="321" t="str">
        <f t="shared" si="3"/>
        <v>krrisis</v>
      </c>
      <c r="N319" s="176">
        <f>IFERROR(__xludf.DUMMYFUNCTION("""COMPUTED_VALUE"""),1.0)</f>
        <v>1</v>
      </c>
      <c r="O319" s="176"/>
      <c r="P319" s="176"/>
      <c r="Q319" s="176"/>
      <c r="R319" s="176"/>
      <c r="S319" s="176"/>
      <c r="T319" s="176"/>
      <c r="U319" s="176"/>
      <c r="V319" s="176"/>
      <c r="W319" s="176"/>
      <c r="X319" s="176"/>
      <c r="Y319" s="176"/>
      <c r="Z319" s="176"/>
    </row>
    <row r="320">
      <c r="A320" s="226" t="s">
        <v>84</v>
      </c>
      <c r="B320" s="226" t="s">
        <v>519</v>
      </c>
      <c r="C320" s="250" t="s">
        <v>3734</v>
      </c>
      <c r="D320" s="268" t="s">
        <v>495</v>
      </c>
      <c r="E320" s="361">
        <v>44140.0</v>
      </c>
      <c r="F320" s="250" t="s">
        <v>499</v>
      </c>
      <c r="G320" s="171">
        <v>3.0</v>
      </c>
      <c r="H320" s="171">
        <v>5.0</v>
      </c>
      <c r="I320" s="171">
        <v>5.0</v>
      </c>
      <c r="J320" s="391">
        <f t="shared" si="4"/>
        <v>0.0003169412798</v>
      </c>
      <c r="K320" s="392">
        <f t="shared" si="5"/>
        <v>0.1228147459</v>
      </c>
      <c r="L320" s="327">
        <f t="shared" si="2"/>
        <v>0.1228147459</v>
      </c>
      <c r="M320" s="321" t="str">
        <f t="shared" si="3"/>
        <v>gracerachmany</v>
      </c>
      <c r="N320" s="176">
        <f>IFERROR(__xludf.DUMMYFUNCTION("""COMPUTED_VALUE"""),1.0)</f>
        <v>1</v>
      </c>
      <c r="O320" s="176"/>
      <c r="P320" s="176"/>
      <c r="Q320" s="176"/>
      <c r="R320" s="176"/>
      <c r="S320" s="176"/>
      <c r="T320" s="176"/>
      <c r="U320" s="176"/>
      <c r="V320" s="176"/>
      <c r="W320" s="176"/>
      <c r="X320" s="176"/>
      <c r="Y320" s="176"/>
      <c r="Z320" s="176"/>
    </row>
    <row r="321">
      <c r="A321" s="226" t="s">
        <v>114</v>
      </c>
      <c r="B321" s="226" t="s">
        <v>519</v>
      </c>
      <c r="C321" s="250" t="s">
        <v>3734</v>
      </c>
      <c r="D321" s="268" t="s">
        <v>495</v>
      </c>
      <c r="E321" s="361">
        <v>44140.0</v>
      </c>
      <c r="F321" s="250" t="s">
        <v>499</v>
      </c>
      <c r="G321" s="171">
        <v>3.0</v>
      </c>
      <c r="H321" s="171">
        <v>5.0</v>
      </c>
      <c r="I321" s="171">
        <v>5.0</v>
      </c>
      <c r="J321" s="391">
        <f t="shared" si="4"/>
        <v>0.0003169412798</v>
      </c>
      <c r="K321" s="392">
        <f t="shared" si="5"/>
        <v>0.1228147459</v>
      </c>
      <c r="L321" s="327">
        <f t="shared" si="2"/>
        <v>0.1228147459</v>
      </c>
      <c r="M321" s="321" t="str">
        <f t="shared" si="3"/>
        <v>existenialstoic</v>
      </c>
      <c r="N321" s="176">
        <f>IFERROR(__xludf.DUMMYFUNCTION("""COMPUTED_VALUE"""),1.0)</f>
        <v>1</v>
      </c>
      <c r="O321" s="176"/>
      <c r="P321" s="176"/>
      <c r="Q321" s="176"/>
      <c r="R321" s="176"/>
      <c r="S321" s="176"/>
      <c r="T321" s="176"/>
      <c r="U321" s="176"/>
      <c r="V321" s="176"/>
      <c r="W321" s="176"/>
      <c r="X321" s="176"/>
      <c r="Y321" s="176"/>
      <c r="Z321" s="176"/>
    </row>
    <row r="322">
      <c r="A322" s="226" t="s">
        <v>374</v>
      </c>
      <c r="B322" s="226" t="s">
        <v>519</v>
      </c>
      <c r="C322" s="250" t="s">
        <v>3734</v>
      </c>
      <c r="D322" s="268" t="s">
        <v>495</v>
      </c>
      <c r="E322" s="361">
        <v>44140.0</v>
      </c>
      <c r="F322" s="250" t="s">
        <v>499</v>
      </c>
      <c r="G322" s="171">
        <v>3.0</v>
      </c>
      <c r="H322" s="171">
        <v>5.0</v>
      </c>
      <c r="I322" s="171">
        <v>5.0</v>
      </c>
      <c r="J322" s="391">
        <f t="shared" si="4"/>
        <v>0.0003169412798</v>
      </c>
      <c r="K322" s="392">
        <f t="shared" si="5"/>
        <v>0.1228147459</v>
      </c>
      <c r="L322" s="327">
        <f t="shared" si="2"/>
        <v>0.1228147459</v>
      </c>
      <c r="M322" s="321" t="str">
        <f t="shared" si="3"/>
        <v>ethicraul</v>
      </c>
      <c r="N322" s="176">
        <f>IFERROR(__xludf.DUMMYFUNCTION("""COMPUTED_VALUE"""),1.0)</f>
        <v>1</v>
      </c>
      <c r="O322" s="176"/>
      <c r="P322" s="176"/>
      <c r="Q322" s="176"/>
      <c r="R322" s="176"/>
      <c r="S322" s="176"/>
      <c r="T322" s="176"/>
      <c r="U322" s="176"/>
      <c r="V322" s="176"/>
      <c r="W322" s="176"/>
      <c r="X322" s="176"/>
      <c r="Y322" s="176"/>
      <c r="Z322" s="176"/>
    </row>
    <row r="323">
      <c r="A323" s="226" t="s">
        <v>299</v>
      </c>
      <c r="B323" s="226" t="s">
        <v>519</v>
      </c>
      <c r="C323" s="250" t="s">
        <v>3734</v>
      </c>
      <c r="D323" s="268" t="s">
        <v>495</v>
      </c>
      <c r="E323" s="361">
        <v>44140.0</v>
      </c>
      <c r="F323" s="250" t="s">
        <v>499</v>
      </c>
      <c r="G323" s="171">
        <v>3.0</v>
      </c>
      <c r="H323" s="171">
        <v>5.0</v>
      </c>
      <c r="I323" s="171">
        <v>5.0</v>
      </c>
      <c r="J323" s="391">
        <f t="shared" si="4"/>
        <v>0.0003169412798</v>
      </c>
      <c r="K323" s="392">
        <f t="shared" si="5"/>
        <v>0.1228147459</v>
      </c>
      <c r="L323" s="327">
        <f t="shared" si="2"/>
        <v>0.1228147459</v>
      </c>
      <c r="M323" s="321" t="str">
        <f t="shared" si="3"/>
        <v>edapt</v>
      </c>
      <c r="N323" s="176">
        <f>IFERROR(__xludf.DUMMYFUNCTION("""COMPUTED_VALUE"""),1.0)</f>
        <v>1</v>
      </c>
      <c r="O323" s="176"/>
      <c r="P323" s="176"/>
      <c r="Q323" s="176"/>
      <c r="R323" s="176"/>
      <c r="S323" s="176"/>
      <c r="T323" s="176"/>
      <c r="U323" s="176"/>
      <c r="V323" s="176"/>
      <c r="W323" s="176"/>
      <c r="X323" s="176"/>
      <c r="Y323" s="176"/>
      <c r="Z323" s="176"/>
    </row>
    <row r="324">
      <c r="A324" s="226" t="s">
        <v>144</v>
      </c>
      <c r="B324" s="226" t="s">
        <v>519</v>
      </c>
      <c r="C324" s="250" t="s">
        <v>3734</v>
      </c>
      <c r="D324" s="268" t="s">
        <v>495</v>
      </c>
      <c r="E324" s="361">
        <v>44140.0</v>
      </c>
      <c r="F324" s="250" t="s">
        <v>499</v>
      </c>
      <c r="G324" s="171">
        <v>3.0</v>
      </c>
      <c r="H324" s="171">
        <v>5.0</v>
      </c>
      <c r="I324" s="171">
        <v>5.0</v>
      </c>
      <c r="J324" s="391">
        <f t="shared" si="4"/>
        <v>0.0003169412798</v>
      </c>
      <c r="K324" s="392">
        <f t="shared" si="5"/>
        <v>0.1228147459</v>
      </c>
      <c r="L324" s="327">
        <f t="shared" si="2"/>
        <v>0.1228147459</v>
      </c>
      <c r="M324" s="321" t="str">
        <f t="shared" si="3"/>
        <v>cpt_grog</v>
      </c>
      <c r="N324" s="176">
        <f>IFERROR(__xludf.DUMMYFUNCTION("""COMPUTED_VALUE"""),1.0)</f>
        <v>1</v>
      </c>
      <c r="O324" s="176"/>
      <c r="P324" s="176"/>
      <c r="Q324" s="176"/>
      <c r="R324" s="176"/>
      <c r="S324" s="176"/>
      <c r="T324" s="176"/>
      <c r="U324" s="176"/>
      <c r="V324" s="176"/>
      <c r="W324" s="176"/>
      <c r="X324" s="176"/>
      <c r="Y324" s="176"/>
      <c r="Z324" s="176"/>
    </row>
    <row r="325">
      <c r="A325" s="226" t="s">
        <v>379</v>
      </c>
      <c r="B325" s="226" t="s">
        <v>519</v>
      </c>
      <c r="C325" s="250" t="s">
        <v>3820</v>
      </c>
      <c r="D325" s="268" t="s">
        <v>495</v>
      </c>
      <c r="E325" s="251">
        <v>44132.0</v>
      </c>
      <c r="F325" s="250" t="s">
        <v>499</v>
      </c>
      <c r="G325" s="171">
        <v>3.0</v>
      </c>
      <c r="H325" s="171">
        <v>1.0</v>
      </c>
      <c r="I325" s="171">
        <v>5.0</v>
      </c>
      <c r="J325" s="391">
        <f t="shared" si="4"/>
        <v>0.0001890558651</v>
      </c>
      <c r="K325" s="392">
        <f t="shared" si="5"/>
        <v>0.07325914774</v>
      </c>
      <c r="L325" s="327">
        <f t="shared" si="2"/>
        <v>0.07325914774</v>
      </c>
      <c r="M325" s="321" t="str">
        <f t="shared" si="3"/>
        <v>robinwhitney</v>
      </c>
      <c r="N325" s="176">
        <f>IFERROR(__xludf.DUMMYFUNCTION("""COMPUTED_VALUE"""),1.0)</f>
        <v>1</v>
      </c>
      <c r="O325" s="176"/>
      <c r="P325" s="176"/>
      <c r="Q325" s="176"/>
      <c r="R325" s="176"/>
      <c r="S325" s="176"/>
      <c r="T325" s="176"/>
      <c r="U325" s="176"/>
      <c r="V325" s="176"/>
      <c r="W325" s="176"/>
      <c r="X325" s="176"/>
      <c r="Y325" s="176"/>
      <c r="Z325" s="176"/>
    </row>
    <row r="326">
      <c r="A326" s="226" t="s">
        <v>380</v>
      </c>
      <c r="B326" s="226" t="s">
        <v>5</v>
      </c>
      <c r="C326" s="250" t="s">
        <v>3821</v>
      </c>
      <c r="D326" s="268" t="s">
        <v>495</v>
      </c>
      <c r="E326" s="251">
        <v>44134.0</v>
      </c>
      <c r="F326" s="250" t="s">
        <v>496</v>
      </c>
      <c r="G326" s="171">
        <v>1.0</v>
      </c>
      <c r="H326" s="171">
        <v>1.0</v>
      </c>
      <c r="I326" s="171">
        <v>5.0</v>
      </c>
      <c r="J326" s="391">
        <f t="shared" si="4"/>
        <v>0.0001890558651</v>
      </c>
      <c r="K326" s="392">
        <f t="shared" si="5"/>
        <v>0.07325914774</v>
      </c>
      <c r="L326" s="327">
        <f t="shared" si="2"/>
        <v>0.07325914774</v>
      </c>
      <c r="M326" s="321" t="str">
        <f t="shared" si="3"/>
        <v>pimpmypeon</v>
      </c>
      <c r="N326" s="176">
        <f>IFERROR(__xludf.DUMMYFUNCTION("""COMPUTED_VALUE"""),1.0)</f>
        <v>1</v>
      </c>
      <c r="O326" s="176"/>
      <c r="P326" s="176"/>
      <c r="Q326" s="176"/>
      <c r="R326" s="176"/>
      <c r="S326" s="176"/>
      <c r="T326" s="176"/>
      <c r="U326" s="176"/>
      <c r="V326" s="176"/>
      <c r="W326" s="176"/>
      <c r="X326" s="176"/>
      <c r="Y326" s="176"/>
      <c r="Z326" s="176"/>
    </row>
    <row r="327">
      <c r="A327" s="226" t="s">
        <v>381</v>
      </c>
      <c r="B327" s="226" t="s">
        <v>5</v>
      </c>
      <c r="C327" s="250" t="s">
        <v>3822</v>
      </c>
      <c r="D327" s="268" t="s">
        <v>495</v>
      </c>
      <c r="E327" s="361">
        <v>44137.0</v>
      </c>
      <c r="F327" s="250" t="s">
        <v>496</v>
      </c>
      <c r="G327" s="171">
        <v>1.0</v>
      </c>
      <c r="H327" s="171">
        <v>1.0</v>
      </c>
      <c r="I327" s="171">
        <v>5.0</v>
      </c>
      <c r="J327" s="391">
        <f t="shared" si="4"/>
        <v>0.0001890558651</v>
      </c>
      <c r="K327" s="392">
        <f t="shared" si="5"/>
        <v>0.07325914774</v>
      </c>
      <c r="L327" s="327">
        <f t="shared" si="2"/>
        <v>0.07325914774</v>
      </c>
      <c r="M327" s="321" t="str">
        <f t="shared" si="3"/>
        <v>cryptonian_z</v>
      </c>
      <c r="N327" s="176">
        <f>IFERROR(__xludf.DUMMYFUNCTION("""COMPUTED_VALUE"""),1.0)</f>
        <v>1</v>
      </c>
      <c r="O327" s="176"/>
      <c r="P327" s="176"/>
      <c r="Q327" s="176"/>
      <c r="R327" s="176"/>
      <c r="S327" s="176"/>
      <c r="T327" s="176"/>
      <c r="U327" s="176"/>
      <c r="V327" s="176"/>
      <c r="W327" s="176"/>
      <c r="X327" s="176"/>
      <c r="Y327" s="176"/>
      <c r="Z327" s="176"/>
    </row>
    <row r="328">
      <c r="A328" s="226" t="s">
        <v>16</v>
      </c>
      <c r="B328" s="226" t="s">
        <v>590</v>
      </c>
      <c r="C328" s="250" t="s">
        <v>3705</v>
      </c>
      <c r="D328" s="268" t="s">
        <v>495</v>
      </c>
      <c r="E328" s="251">
        <v>44131.0</v>
      </c>
      <c r="F328" s="250" t="s">
        <v>496</v>
      </c>
      <c r="G328" s="171">
        <v>1.0</v>
      </c>
      <c r="H328" s="171">
        <v>0.0</v>
      </c>
      <c r="I328" s="171">
        <v>0.0</v>
      </c>
      <c r="J328" s="391">
        <f t="shared" si="4"/>
        <v>0</v>
      </c>
      <c r="K328" s="392">
        <f t="shared" si="5"/>
        <v>0</v>
      </c>
      <c r="L328" s="327">
        <f t="shared" si="2"/>
        <v>0</v>
      </c>
      <c r="M328" s="321" t="str">
        <f t="shared" si="3"/>
        <v>griffgreen</v>
      </c>
      <c r="N328" s="176">
        <f>IFERROR(__xludf.DUMMYFUNCTION("""COMPUTED_VALUE"""),19.0)</f>
        <v>19</v>
      </c>
      <c r="O328" s="176"/>
      <c r="P328" s="176"/>
      <c r="Q328" s="176"/>
      <c r="R328" s="176"/>
      <c r="S328" s="176"/>
      <c r="T328" s="176"/>
      <c r="U328" s="176"/>
      <c r="V328" s="176"/>
      <c r="W328" s="176"/>
      <c r="X328" s="176"/>
      <c r="Y328" s="176"/>
      <c r="Z328" s="176"/>
    </row>
    <row r="329">
      <c r="A329" s="226" t="s">
        <v>18</v>
      </c>
      <c r="B329" s="226" t="s">
        <v>18</v>
      </c>
      <c r="C329" s="250" t="s">
        <v>3708</v>
      </c>
      <c r="D329" s="268" t="s">
        <v>495</v>
      </c>
      <c r="E329" s="251">
        <v>44132.0</v>
      </c>
      <c r="F329" s="250" t="s">
        <v>496</v>
      </c>
      <c r="G329" s="171">
        <v>1.0</v>
      </c>
      <c r="H329" s="171">
        <v>0.0</v>
      </c>
      <c r="I329" s="171">
        <v>0.0</v>
      </c>
      <c r="J329" s="391">
        <f t="shared" si="4"/>
        <v>0</v>
      </c>
      <c r="K329" s="392">
        <f t="shared" si="5"/>
        <v>0</v>
      </c>
      <c r="L329" s="327">
        <f t="shared" si="2"/>
        <v>0</v>
      </c>
      <c r="M329" s="321" t="str">
        <f t="shared" si="3"/>
        <v>liviade</v>
      </c>
      <c r="N329" s="176">
        <f>IFERROR(__xludf.DUMMYFUNCTION("""COMPUTED_VALUE"""),16.0)</f>
        <v>16</v>
      </c>
      <c r="O329" s="176"/>
      <c r="P329" s="176"/>
      <c r="Q329" s="176"/>
      <c r="R329" s="176"/>
      <c r="S329" s="176"/>
      <c r="T329" s="176"/>
      <c r="U329" s="176"/>
      <c r="V329" s="176"/>
      <c r="W329" s="176"/>
      <c r="X329" s="176"/>
      <c r="Y329" s="176"/>
      <c r="Z329" s="176"/>
    </row>
    <row r="330">
      <c r="A330" s="226" t="s">
        <v>16</v>
      </c>
      <c r="B330" s="226" t="s">
        <v>868</v>
      </c>
      <c r="C330" s="250" t="s">
        <v>3762</v>
      </c>
      <c r="D330" s="268" t="s">
        <v>495</v>
      </c>
      <c r="E330" s="251">
        <v>44128.0</v>
      </c>
      <c r="F330" s="250" t="s">
        <v>496</v>
      </c>
      <c r="G330" s="171">
        <v>1.0</v>
      </c>
      <c r="H330" s="171">
        <v>0.0</v>
      </c>
      <c r="I330" s="171">
        <v>0.0</v>
      </c>
      <c r="J330" s="391">
        <f t="shared" si="4"/>
        <v>0</v>
      </c>
      <c r="K330" s="392">
        <f t="shared" si="5"/>
        <v>0</v>
      </c>
      <c r="L330" s="327">
        <f t="shared" si="2"/>
        <v>0</v>
      </c>
      <c r="M330" s="321" t="str">
        <f t="shared" si="3"/>
        <v>griffgreen</v>
      </c>
      <c r="N330" s="176">
        <f>IFERROR(__xludf.DUMMYFUNCTION("""COMPUTED_VALUE"""),20.0)</f>
        <v>20</v>
      </c>
      <c r="O330" s="176"/>
      <c r="P330" s="176"/>
      <c r="Q330" s="176"/>
      <c r="R330" s="176"/>
      <c r="S330" s="176"/>
      <c r="T330" s="176"/>
      <c r="U330" s="176"/>
      <c r="V330" s="176"/>
      <c r="W330" s="176"/>
      <c r="X330" s="176"/>
      <c r="Y330" s="176"/>
      <c r="Z330" s="176"/>
    </row>
    <row r="331">
      <c r="A331" s="226" t="s">
        <v>18</v>
      </c>
      <c r="B331" s="226" t="s">
        <v>519</v>
      </c>
      <c r="C331" s="250" t="s">
        <v>3719</v>
      </c>
      <c r="D331" s="268" t="s">
        <v>495</v>
      </c>
      <c r="E331" s="251">
        <v>44132.0</v>
      </c>
      <c r="F331" s="250" t="s">
        <v>496</v>
      </c>
      <c r="G331" s="171">
        <v>1.0</v>
      </c>
      <c r="H331" s="171">
        <v>0.0</v>
      </c>
      <c r="I331" s="171">
        <v>0.0</v>
      </c>
      <c r="J331" s="391">
        <f t="shared" si="4"/>
        <v>0</v>
      </c>
      <c r="K331" s="392">
        <f t="shared" si="5"/>
        <v>0</v>
      </c>
      <c r="L331" s="327">
        <f t="shared" si="2"/>
        <v>0</v>
      </c>
      <c r="M331" s="321" t="str">
        <f t="shared" si="3"/>
        <v>liviade</v>
      </c>
      <c r="N331" s="176">
        <f>IFERROR(__xludf.DUMMYFUNCTION("""COMPUTED_VALUE"""),17.0)</f>
        <v>17</v>
      </c>
      <c r="O331" s="176"/>
      <c r="P331" s="176"/>
      <c r="Q331" s="176"/>
      <c r="R331" s="176"/>
      <c r="S331" s="176"/>
      <c r="T331" s="176"/>
      <c r="U331" s="176"/>
      <c r="V331" s="176"/>
      <c r="W331" s="176"/>
      <c r="X331" s="176"/>
      <c r="Y331" s="176"/>
      <c r="Z331" s="176"/>
    </row>
    <row r="332">
      <c r="A332" s="226" t="s">
        <v>170</v>
      </c>
      <c r="B332" s="226" t="s">
        <v>519</v>
      </c>
      <c r="C332" s="250" t="s">
        <v>3823</v>
      </c>
      <c r="D332" s="268" t="s">
        <v>495</v>
      </c>
      <c r="E332" s="361">
        <v>44141.0</v>
      </c>
      <c r="F332" s="250" t="s">
        <v>499</v>
      </c>
      <c r="G332" s="171">
        <v>4.0</v>
      </c>
      <c r="H332" s="171">
        <v>0.0</v>
      </c>
      <c r="I332" s="171">
        <v>0.0</v>
      </c>
      <c r="J332" s="391">
        <f t="shared" si="4"/>
        <v>0</v>
      </c>
      <c r="K332" s="392">
        <f t="shared" si="5"/>
        <v>0</v>
      </c>
      <c r="L332" s="327">
        <f t="shared" si="2"/>
        <v>0</v>
      </c>
      <c r="M332" s="321" t="str">
        <f t="shared" si="3"/>
        <v>willruddick</v>
      </c>
      <c r="N332" s="176">
        <f>IFERROR(__xludf.DUMMYFUNCTION("""COMPUTED_VALUE"""),1.0)</f>
        <v>1</v>
      </c>
      <c r="O332" s="176"/>
      <c r="P332" s="176"/>
      <c r="Q332" s="176"/>
      <c r="R332" s="176"/>
      <c r="S332" s="176"/>
      <c r="T332" s="176"/>
      <c r="U332" s="176"/>
      <c r="V332" s="176"/>
      <c r="W332" s="176"/>
      <c r="X332" s="176"/>
      <c r="Y332" s="176"/>
      <c r="Z332" s="176"/>
    </row>
    <row r="333">
      <c r="C333" s="164"/>
      <c r="E333" s="402"/>
      <c r="G333" s="403"/>
      <c r="H333" s="404"/>
      <c r="I333" s="404"/>
      <c r="J333" s="391"/>
      <c r="K333" s="392"/>
      <c r="L333" s="327"/>
      <c r="M333" s="321"/>
      <c r="N333" s="18"/>
    </row>
    <row r="334">
      <c r="C334" s="164"/>
      <c r="E334" s="402"/>
      <c r="G334" s="404"/>
      <c r="H334" s="404"/>
      <c r="I334" s="404"/>
      <c r="J334" s="391"/>
      <c r="K334" s="392"/>
      <c r="L334" s="327">
        <f t="shared" ref="L334:L360" si="6">dsum($A$3:$K$529,"Cred per Praise",{$A$3;A334})</f>
        <v>271.576275</v>
      </c>
      <c r="M334" s="321" t="str">
        <f t="shared" ref="M334:M360" si="7">A334</f>
        <v/>
      </c>
      <c r="N334" s="18"/>
    </row>
    <row r="335">
      <c r="C335" s="164"/>
      <c r="E335" s="402"/>
      <c r="G335" s="404"/>
      <c r="H335" s="404"/>
      <c r="I335" s="404"/>
      <c r="J335" s="391"/>
      <c r="K335" s="392"/>
      <c r="L335" s="327">
        <f t="shared" si="6"/>
        <v>271.576275</v>
      </c>
      <c r="M335" s="321" t="str">
        <f t="shared" si="7"/>
        <v/>
      </c>
      <c r="N335" s="18"/>
    </row>
    <row r="336">
      <c r="C336" s="164"/>
      <c r="E336" s="402"/>
      <c r="G336" s="404"/>
      <c r="H336" s="404"/>
      <c r="I336" s="404"/>
      <c r="J336" s="391"/>
      <c r="K336" s="392"/>
      <c r="L336" s="327">
        <f t="shared" si="6"/>
        <v>271.576275</v>
      </c>
      <c r="M336" s="321" t="str">
        <f t="shared" si="7"/>
        <v/>
      </c>
      <c r="N336" s="18"/>
    </row>
    <row r="337">
      <c r="C337" s="164"/>
      <c r="E337" s="402"/>
      <c r="G337" s="404"/>
      <c r="H337" s="404"/>
      <c r="I337" s="404"/>
      <c r="J337" s="391"/>
      <c r="K337" s="392"/>
      <c r="L337" s="327">
        <f t="shared" si="6"/>
        <v>271.576275</v>
      </c>
      <c r="M337" s="321" t="str">
        <f t="shared" si="7"/>
        <v/>
      </c>
      <c r="N337" s="18"/>
    </row>
    <row r="338">
      <c r="C338" s="164"/>
      <c r="E338" s="402"/>
      <c r="G338" s="404"/>
      <c r="H338" s="404"/>
      <c r="I338" s="404"/>
      <c r="J338" s="391"/>
      <c r="K338" s="392"/>
      <c r="L338" s="327">
        <f t="shared" si="6"/>
        <v>271.576275</v>
      </c>
      <c r="M338" s="321" t="str">
        <f t="shared" si="7"/>
        <v/>
      </c>
      <c r="N338" s="18"/>
    </row>
    <row r="339">
      <c r="C339" s="164"/>
      <c r="E339" s="402"/>
      <c r="G339" s="404"/>
      <c r="H339" s="404"/>
      <c r="I339" s="404"/>
      <c r="J339" s="391"/>
      <c r="K339" s="392"/>
      <c r="L339" s="327">
        <f t="shared" si="6"/>
        <v>271.576275</v>
      </c>
      <c r="M339" s="321" t="str">
        <f t="shared" si="7"/>
        <v/>
      </c>
      <c r="N339" s="18"/>
    </row>
    <row r="340">
      <c r="C340" s="164"/>
      <c r="E340" s="402"/>
      <c r="G340" s="404"/>
      <c r="H340" s="404"/>
      <c r="I340" s="404"/>
      <c r="J340" s="391"/>
      <c r="K340" s="392"/>
      <c r="L340" s="327">
        <f t="shared" si="6"/>
        <v>271.576275</v>
      </c>
      <c r="M340" s="321" t="str">
        <f t="shared" si="7"/>
        <v/>
      </c>
      <c r="N340" s="18"/>
    </row>
    <row r="341">
      <c r="C341" s="164"/>
      <c r="E341" s="402"/>
      <c r="G341" s="404"/>
      <c r="H341" s="404"/>
      <c r="I341" s="404"/>
      <c r="J341" s="391"/>
      <c r="K341" s="392"/>
      <c r="L341" s="327">
        <f t="shared" si="6"/>
        <v>271.576275</v>
      </c>
      <c r="M341" s="321" t="str">
        <f t="shared" si="7"/>
        <v/>
      </c>
      <c r="N341" s="18"/>
    </row>
    <row r="342">
      <c r="C342" s="164"/>
      <c r="E342" s="402"/>
      <c r="G342" s="404"/>
      <c r="H342" s="404"/>
      <c r="I342" s="404"/>
      <c r="J342" s="391"/>
      <c r="K342" s="392"/>
      <c r="L342" s="327">
        <f t="shared" si="6"/>
        <v>271.576275</v>
      </c>
      <c r="M342" s="321" t="str">
        <f t="shared" si="7"/>
        <v/>
      </c>
      <c r="N342" s="18"/>
    </row>
    <row r="343">
      <c r="C343" s="164"/>
      <c r="E343" s="402"/>
      <c r="G343" s="404"/>
      <c r="H343" s="404"/>
      <c r="I343" s="404"/>
      <c r="J343" s="391"/>
      <c r="K343" s="392"/>
      <c r="L343" s="327">
        <f t="shared" si="6"/>
        <v>271.576275</v>
      </c>
      <c r="M343" s="321" t="str">
        <f t="shared" si="7"/>
        <v/>
      </c>
      <c r="N343" s="18"/>
    </row>
    <row r="344">
      <c r="C344" s="164"/>
      <c r="E344" s="402"/>
      <c r="G344" s="404"/>
      <c r="H344" s="404"/>
      <c r="I344" s="404"/>
      <c r="J344" s="391"/>
      <c r="K344" s="392"/>
      <c r="L344" s="327">
        <f t="shared" si="6"/>
        <v>271.576275</v>
      </c>
      <c r="M344" s="321" t="str">
        <f t="shared" si="7"/>
        <v/>
      </c>
      <c r="N344" s="18"/>
    </row>
    <row r="345">
      <c r="C345" s="164"/>
      <c r="E345" s="402"/>
      <c r="G345" s="404"/>
      <c r="H345" s="404"/>
      <c r="I345" s="404"/>
      <c r="J345" s="391"/>
      <c r="K345" s="392"/>
      <c r="L345" s="327">
        <f t="shared" si="6"/>
        <v>271.576275</v>
      </c>
      <c r="M345" s="321" t="str">
        <f t="shared" si="7"/>
        <v/>
      </c>
      <c r="N345" s="18"/>
    </row>
    <row r="346">
      <c r="C346" s="164"/>
      <c r="E346" s="402"/>
      <c r="G346" s="404"/>
      <c r="H346" s="404"/>
      <c r="I346" s="404"/>
      <c r="J346" s="391"/>
      <c r="K346" s="392"/>
      <c r="L346" s="327">
        <f t="shared" si="6"/>
        <v>271.576275</v>
      </c>
      <c r="M346" s="321" t="str">
        <f t="shared" si="7"/>
        <v/>
      </c>
      <c r="N346" s="18"/>
    </row>
    <row r="347">
      <c r="C347" s="164"/>
      <c r="E347" s="402"/>
      <c r="G347" s="404"/>
      <c r="H347" s="404"/>
      <c r="I347" s="404"/>
      <c r="J347" s="391"/>
      <c r="K347" s="392"/>
      <c r="L347" s="327">
        <f t="shared" si="6"/>
        <v>271.576275</v>
      </c>
      <c r="M347" s="321" t="str">
        <f t="shared" si="7"/>
        <v/>
      </c>
      <c r="N347" s="18"/>
    </row>
    <row r="348">
      <c r="C348" s="164"/>
      <c r="E348" s="402"/>
      <c r="G348" s="404"/>
      <c r="H348" s="404"/>
      <c r="I348" s="404"/>
      <c r="J348" s="391"/>
      <c r="K348" s="392"/>
      <c r="L348" s="327">
        <f t="shared" si="6"/>
        <v>271.576275</v>
      </c>
      <c r="M348" s="321" t="str">
        <f t="shared" si="7"/>
        <v/>
      </c>
      <c r="N348" s="18"/>
    </row>
    <row r="349">
      <c r="C349" s="164"/>
      <c r="E349" s="402"/>
      <c r="G349" s="404"/>
      <c r="H349" s="404"/>
      <c r="I349" s="404"/>
      <c r="J349" s="391"/>
      <c r="K349" s="392"/>
      <c r="L349" s="327">
        <f t="shared" si="6"/>
        <v>271.576275</v>
      </c>
      <c r="M349" s="321" t="str">
        <f t="shared" si="7"/>
        <v/>
      </c>
      <c r="N349" s="18"/>
    </row>
    <row r="350">
      <c r="C350" s="164"/>
      <c r="E350" s="402"/>
      <c r="G350" s="404"/>
      <c r="H350" s="404"/>
      <c r="I350" s="404"/>
      <c r="J350" s="391"/>
      <c r="K350" s="392"/>
      <c r="L350" s="327">
        <f t="shared" si="6"/>
        <v>271.576275</v>
      </c>
      <c r="M350" s="321" t="str">
        <f t="shared" si="7"/>
        <v/>
      </c>
      <c r="N350" s="18"/>
    </row>
    <row r="351">
      <c r="C351" s="164"/>
      <c r="E351" s="402"/>
      <c r="G351" s="404"/>
      <c r="H351" s="404"/>
      <c r="I351" s="404"/>
      <c r="J351" s="391"/>
      <c r="K351" s="392"/>
      <c r="L351" s="327">
        <f t="shared" si="6"/>
        <v>271.576275</v>
      </c>
      <c r="M351" s="321" t="str">
        <f t="shared" si="7"/>
        <v/>
      </c>
      <c r="N351" s="18"/>
    </row>
    <row r="352">
      <c r="C352" s="164"/>
      <c r="E352" s="402"/>
      <c r="G352" s="404"/>
      <c r="H352" s="404"/>
      <c r="I352" s="404"/>
      <c r="J352" s="391"/>
      <c r="K352" s="392"/>
      <c r="L352" s="327">
        <f t="shared" si="6"/>
        <v>271.576275</v>
      </c>
      <c r="M352" s="321" t="str">
        <f t="shared" si="7"/>
        <v/>
      </c>
      <c r="N352" s="18"/>
    </row>
    <row r="353">
      <c r="C353" s="164"/>
      <c r="E353" s="402"/>
      <c r="G353" s="404"/>
      <c r="H353" s="404"/>
      <c r="I353" s="404"/>
      <c r="J353" s="391"/>
      <c r="K353" s="392"/>
      <c r="L353" s="327">
        <f t="shared" si="6"/>
        <v>271.576275</v>
      </c>
      <c r="M353" s="321" t="str">
        <f t="shared" si="7"/>
        <v/>
      </c>
      <c r="N353" s="18"/>
    </row>
    <row r="354">
      <c r="C354" s="164"/>
      <c r="E354" s="402"/>
      <c r="G354" s="404"/>
      <c r="H354" s="404"/>
      <c r="I354" s="404"/>
      <c r="J354" s="391"/>
      <c r="K354" s="392"/>
      <c r="L354" s="327">
        <f t="shared" si="6"/>
        <v>271.576275</v>
      </c>
      <c r="M354" s="321" t="str">
        <f t="shared" si="7"/>
        <v/>
      </c>
      <c r="N354" s="18"/>
    </row>
    <row r="355">
      <c r="C355" s="164"/>
      <c r="E355" s="402"/>
      <c r="G355" s="404"/>
      <c r="H355" s="404"/>
      <c r="I355" s="404"/>
      <c r="J355" s="391"/>
      <c r="K355" s="392"/>
      <c r="L355" s="327">
        <f t="shared" si="6"/>
        <v>271.576275</v>
      </c>
      <c r="M355" s="321" t="str">
        <f t="shared" si="7"/>
        <v/>
      </c>
      <c r="N355" s="18"/>
    </row>
    <row r="356">
      <c r="C356" s="164"/>
      <c r="E356" s="402"/>
      <c r="G356" s="404"/>
      <c r="H356" s="404"/>
      <c r="I356" s="404"/>
      <c r="J356" s="391"/>
      <c r="K356" s="392"/>
      <c r="L356" s="327">
        <f t="shared" si="6"/>
        <v>271.576275</v>
      </c>
      <c r="M356" s="321" t="str">
        <f t="shared" si="7"/>
        <v/>
      </c>
      <c r="N356" s="18"/>
    </row>
    <row r="357">
      <c r="C357" s="164"/>
      <c r="E357" s="402"/>
      <c r="G357" s="404"/>
      <c r="H357" s="404"/>
      <c r="I357" s="404"/>
      <c r="J357" s="391"/>
      <c r="K357" s="392"/>
      <c r="L357" s="327">
        <f t="shared" si="6"/>
        <v>271.576275</v>
      </c>
      <c r="M357" s="321" t="str">
        <f t="shared" si="7"/>
        <v/>
      </c>
      <c r="N357" s="18"/>
    </row>
    <row r="358">
      <c r="C358" s="164"/>
      <c r="E358" s="402"/>
      <c r="G358" s="404"/>
      <c r="H358" s="404"/>
      <c r="I358" s="404"/>
      <c r="J358" s="391"/>
      <c r="K358" s="392"/>
      <c r="L358" s="327">
        <f t="shared" si="6"/>
        <v>271.576275</v>
      </c>
      <c r="M358" s="321" t="str">
        <f t="shared" si="7"/>
        <v/>
      </c>
      <c r="N358" s="18"/>
    </row>
    <row r="359">
      <c r="C359" s="164"/>
      <c r="E359" s="402"/>
      <c r="G359" s="404"/>
      <c r="H359" s="404"/>
      <c r="I359" s="404"/>
      <c r="J359" s="391"/>
      <c r="K359" s="392"/>
      <c r="L359" s="327">
        <f t="shared" si="6"/>
        <v>271.576275</v>
      </c>
      <c r="M359" s="321" t="str">
        <f t="shared" si="7"/>
        <v/>
      </c>
      <c r="N359" s="18"/>
    </row>
    <row r="360">
      <c r="C360" s="164"/>
      <c r="E360" s="402"/>
      <c r="G360" s="404"/>
      <c r="H360" s="404"/>
      <c r="I360" s="404"/>
      <c r="J360" s="391"/>
      <c r="K360" s="392"/>
      <c r="L360" s="327">
        <f t="shared" si="6"/>
        <v>271.576275</v>
      </c>
      <c r="M360" s="321" t="str">
        <f t="shared" si="7"/>
        <v/>
      </c>
      <c r="N360" s="18"/>
    </row>
    <row r="361">
      <c r="C361" s="164"/>
      <c r="E361" s="402"/>
      <c r="G361" s="404"/>
      <c r="H361" s="404"/>
      <c r="I361" s="404"/>
      <c r="J361" s="391"/>
      <c r="K361" s="392"/>
      <c r="L361" s="327"/>
      <c r="M361" s="321"/>
      <c r="N361" s="18"/>
    </row>
    <row r="362">
      <c r="C362" s="164"/>
      <c r="E362" s="402"/>
      <c r="G362" s="404"/>
      <c r="H362" s="404"/>
      <c r="I362" s="404"/>
      <c r="J362" s="391"/>
      <c r="K362" s="392"/>
      <c r="L362" s="327"/>
      <c r="M362" s="321"/>
      <c r="N362" s="18"/>
    </row>
    <row r="363">
      <c r="C363" s="164"/>
      <c r="E363" s="402"/>
      <c r="G363" s="404"/>
      <c r="H363" s="404"/>
      <c r="I363" s="404"/>
      <c r="J363" s="391"/>
      <c r="K363" s="392"/>
      <c r="L363" s="327"/>
      <c r="M363" s="321"/>
      <c r="N363" s="18"/>
    </row>
    <row r="364">
      <c r="C364" s="164"/>
      <c r="E364" s="402"/>
      <c r="G364" s="404"/>
      <c r="H364" s="404"/>
      <c r="I364" s="404"/>
      <c r="J364" s="391"/>
      <c r="K364" s="392"/>
      <c r="L364" s="327"/>
      <c r="M364" s="321"/>
      <c r="N364" s="18"/>
    </row>
    <row r="365">
      <c r="C365" s="164"/>
      <c r="E365" s="402"/>
      <c r="G365" s="404"/>
      <c r="H365" s="404"/>
      <c r="I365" s="404"/>
      <c r="J365" s="391"/>
      <c r="K365" s="392"/>
      <c r="L365" s="327"/>
      <c r="M365" s="321"/>
      <c r="N365" s="18"/>
    </row>
    <row r="366">
      <c r="C366" s="164"/>
      <c r="E366" s="402"/>
      <c r="G366" s="404"/>
      <c r="H366" s="404"/>
      <c r="I366" s="404"/>
      <c r="J366" s="391"/>
      <c r="K366" s="392"/>
      <c r="L366" s="327"/>
      <c r="M366" s="321"/>
      <c r="N366" s="18"/>
    </row>
    <row r="367">
      <c r="C367" s="164"/>
      <c r="E367" s="402"/>
      <c r="G367" s="404"/>
      <c r="H367" s="404"/>
      <c r="I367" s="404"/>
      <c r="J367" s="391"/>
      <c r="K367" s="392"/>
      <c r="L367" s="327"/>
      <c r="M367" s="321"/>
      <c r="N367" s="18"/>
    </row>
    <row r="368">
      <c r="C368" s="164"/>
      <c r="E368" s="402"/>
      <c r="G368" s="404"/>
      <c r="H368" s="404"/>
      <c r="I368" s="404"/>
      <c r="J368" s="391"/>
      <c r="K368" s="392"/>
      <c r="L368" s="327"/>
      <c r="M368" s="321"/>
      <c r="N368" s="18"/>
    </row>
    <row r="369">
      <c r="C369" s="164"/>
      <c r="E369" s="402"/>
      <c r="G369" s="404"/>
      <c r="H369" s="404"/>
      <c r="I369" s="404"/>
      <c r="J369" s="391"/>
      <c r="K369" s="392"/>
      <c r="L369" s="327"/>
      <c r="M369" s="321"/>
      <c r="N369" s="18"/>
    </row>
    <row r="370">
      <c r="C370" s="164"/>
      <c r="E370" s="402"/>
      <c r="G370" s="404"/>
      <c r="H370" s="404"/>
      <c r="I370" s="404"/>
      <c r="J370" s="391"/>
      <c r="K370" s="392"/>
      <c r="L370" s="327"/>
      <c r="M370" s="321"/>
      <c r="N370" s="18"/>
    </row>
    <row r="371">
      <c r="C371" s="164"/>
      <c r="E371" s="402"/>
      <c r="G371" s="404"/>
      <c r="H371" s="404"/>
      <c r="I371" s="404"/>
      <c r="J371" s="391"/>
      <c r="K371" s="392"/>
      <c r="L371" s="327"/>
      <c r="M371" s="321"/>
      <c r="N371" s="18"/>
    </row>
    <row r="372">
      <c r="C372" s="164"/>
      <c r="E372" s="402"/>
      <c r="G372" s="404"/>
      <c r="H372" s="404"/>
      <c r="I372" s="404"/>
      <c r="J372" s="391"/>
      <c r="K372" s="392"/>
      <c r="L372" s="327"/>
      <c r="M372" s="321"/>
      <c r="N372" s="18"/>
    </row>
    <row r="373">
      <c r="C373" s="164"/>
      <c r="E373" s="402"/>
      <c r="G373" s="404"/>
      <c r="H373" s="404"/>
      <c r="I373" s="404"/>
      <c r="J373" s="391"/>
      <c r="K373" s="392"/>
      <c r="L373" s="327"/>
      <c r="M373" s="321"/>
      <c r="N373" s="18"/>
    </row>
    <row r="374">
      <c r="C374" s="164"/>
      <c r="E374" s="402"/>
      <c r="G374" s="404"/>
      <c r="H374" s="404"/>
      <c r="I374" s="404"/>
      <c r="J374" s="391"/>
      <c r="K374" s="392"/>
      <c r="L374" s="327"/>
      <c r="M374" s="321"/>
      <c r="N374" s="18"/>
    </row>
    <row r="375">
      <c r="C375" s="164"/>
      <c r="E375" s="402"/>
      <c r="G375" s="404"/>
      <c r="H375" s="404"/>
      <c r="I375" s="404"/>
      <c r="J375" s="391"/>
      <c r="K375" s="392"/>
      <c r="L375" s="327"/>
      <c r="M375" s="321"/>
      <c r="N375" s="18"/>
    </row>
    <row r="376">
      <c r="C376" s="164"/>
      <c r="E376" s="402"/>
      <c r="G376" s="404"/>
      <c r="H376" s="404"/>
      <c r="I376" s="404"/>
      <c r="K376" s="322"/>
      <c r="L376" s="401"/>
      <c r="N376" s="18"/>
    </row>
    <row r="377">
      <c r="C377" s="164"/>
      <c r="E377" s="402"/>
      <c r="G377" s="404"/>
      <c r="H377" s="404"/>
      <c r="I377" s="404"/>
      <c r="K377" s="322"/>
      <c r="L377" s="401"/>
      <c r="N377" s="18"/>
    </row>
    <row r="378">
      <c r="C378" s="164"/>
      <c r="E378" s="402"/>
      <c r="G378" s="404"/>
      <c r="H378" s="404"/>
      <c r="I378" s="404"/>
      <c r="K378" s="322"/>
      <c r="L378" s="401"/>
      <c r="N378" s="18"/>
    </row>
    <row r="379">
      <c r="C379" s="164"/>
      <c r="E379" s="402"/>
      <c r="G379" s="404"/>
      <c r="H379" s="404"/>
      <c r="I379" s="404"/>
      <c r="K379" s="322"/>
      <c r="L379" s="401"/>
      <c r="N379" s="18"/>
    </row>
    <row r="380">
      <c r="C380" s="164"/>
      <c r="E380" s="402"/>
      <c r="G380" s="404"/>
      <c r="H380" s="404"/>
      <c r="I380" s="404"/>
      <c r="K380" s="322"/>
      <c r="L380" s="401"/>
      <c r="N380" s="18"/>
    </row>
    <row r="381">
      <c r="C381" s="164"/>
      <c r="E381" s="402"/>
      <c r="G381" s="404"/>
      <c r="H381" s="404"/>
      <c r="I381" s="404"/>
      <c r="K381" s="322"/>
      <c r="L381" s="401"/>
      <c r="N381" s="18"/>
    </row>
    <row r="382">
      <c r="C382" s="164"/>
      <c r="E382" s="402"/>
      <c r="G382" s="404"/>
      <c r="H382" s="404"/>
      <c r="I382" s="404"/>
      <c r="K382" s="322"/>
      <c r="L382" s="401"/>
      <c r="N382" s="18"/>
    </row>
    <row r="383">
      <c r="C383" s="164"/>
      <c r="E383" s="402"/>
      <c r="G383" s="404"/>
      <c r="H383" s="404"/>
      <c r="I383" s="404"/>
      <c r="K383" s="322"/>
      <c r="L383" s="401"/>
      <c r="N383" s="18"/>
    </row>
    <row r="384">
      <c r="C384" s="164"/>
      <c r="E384" s="402"/>
      <c r="G384" s="404"/>
      <c r="H384" s="404"/>
      <c r="I384" s="404"/>
      <c r="K384" s="322"/>
      <c r="L384" s="401"/>
      <c r="N384" s="18"/>
    </row>
    <row r="385">
      <c r="C385" s="164"/>
      <c r="E385" s="402"/>
      <c r="G385" s="404"/>
      <c r="H385" s="404"/>
      <c r="I385" s="404"/>
      <c r="K385" s="322"/>
      <c r="L385" s="401"/>
      <c r="N385" s="18"/>
    </row>
    <row r="386">
      <c r="C386" s="164"/>
      <c r="E386" s="402"/>
      <c r="G386" s="404"/>
      <c r="H386" s="404"/>
      <c r="I386" s="404"/>
      <c r="K386" s="322"/>
      <c r="L386" s="401"/>
      <c r="N386" s="18"/>
    </row>
    <row r="387">
      <c r="C387" s="164"/>
      <c r="E387" s="402"/>
      <c r="G387" s="404"/>
      <c r="H387" s="404"/>
      <c r="I387" s="404"/>
      <c r="K387" s="322"/>
      <c r="L387" s="401"/>
      <c r="N387" s="18"/>
    </row>
    <row r="388">
      <c r="C388" s="164"/>
      <c r="E388" s="402"/>
      <c r="G388" s="404"/>
      <c r="H388" s="404"/>
      <c r="I388" s="404"/>
      <c r="K388" s="322"/>
      <c r="L388" s="401"/>
      <c r="N388" s="18"/>
    </row>
    <row r="389">
      <c r="C389" s="164"/>
      <c r="E389" s="402"/>
      <c r="G389" s="404"/>
      <c r="H389" s="404"/>
      <c r="I389" s="404"/>
      <c r="K389" s="322"/>
      <c r="L389" s="401"/>
      <c r="N389" s="18"/>
    </row>
    <row r="390">
      <c r="C390" s="164"/>
      <c r="E390" s="402"/>
      <c r="G390" s="404"/>
      <c r="H390" s="404"/>
      <c r="I390" s="404"/>
      <c r="K390" s="322"/>
      <c r="L390" s="401"/>
      <c r="N390" s="18"/>
    </row>
    <row r="391">
      <c r="C391" s="164"/>
      <c r="E391" s="402"/>
      <c r="G391" s="404"/>
      <c r="H391" s="404"/>
      <c r="I391" s="404"/>
      <c r="K391" s="322"/>
      <c r="L391" s="401"/>
      <c r="N391" s="18"/>
    </row>
    <row r="392">
      <c r="C392" s="164"/>
      <c r="E392" s="402"/>
      <c r="G392" s="404"/>
      <c r="H392" s="404"/>
      <c r="I392" s="404"/>
      <c r="K392" s="322"/>
      <c r="L392" s="401"/>
      <c r="N392" s="18"/>
    </row>
    <row r="393">
      <c r="C393" s="164"/>
      <c r="E393" s="402"/>
      <c r="G393" s="404"/>
      <c r="H393" s="404"/>
      <c r="I393" s="404"/>
      <c r="K393" s="322"/>
      <c r="L393" s="401"/>
      <c r="N393" s="18"/>
    </row>
    <row r="394">
      <c r="C394" s="164"/>
      <c r="E394" s="402"/>
      <c r="G394" s="404"/>
      <c r="H394" s="404"/>
      <c r="I394" s="404"/>
      <c r="K394" s="322"/>
      <c r="L394" s="401"/>
      <c r="N394" s="18"/>
    </row>
    <row r="395">
      <c r="C395" s="164"/>
      <c r="E395" s="402"/>
      <c r="G395" s="404"/>
      <c r="H395" s="404"/>
      <c r="I395" s="404"/>
      <c r="K395" s="322"/>
      <c r="L395" s="401"/>
      <c r="N395" s="18"/>
    </row>
    <row r="396">
      <c r="C396" s="164"/>
      <c r="E396" s="402"/>
      <c r="G396" s="404"/>
      <c r="H396" s="404"/>
      <c r="I396" s="404"/>
      <c r="K396" s="322"/>
      <c r="L396" s="401"/>
      <c r="N396" s="18"/>
    </row>
    <row r="397">
      <c r="C397" s="164"/>
      <c r="E397" s="402"/>
      <c r="G397" s="404"/>
      <c r="H397" s="404"/>
      <c r="I397" s="404"/>
      <c r="K397" s="322"/>
      <c r="L397" s="401"/>
      <c r="N397" s="18"/>
    </row>
    <row r="398">
      <c r="C398" s="164"/>
      <c r="E398" s="402"/>
      <c r="G398" s="404"/>
      <c r="H398" s="404"/>
      <c r="I398" s="404"/>
      <c r="K398" s="322"/>
      <c r="L398" s="401"/>
      <c r="N398" s="18"/>
    </row>
    <row r="399">
      <c r="C399" s="164"/>
      <c r="E399" s="402"/>
      <c r="G399" s="404"/>
      <c r="H399" s="404"/>
      <c r="I399" s="404"/>
      <c r="K399" s="322"/>
      <c r="L399" s="401"/>
      <c r="N399" s="18"/>
    </row>
    <row r="400">
      <c r="C400" s="164"/>
      <c r="E400" s="402"/>
      <c r="G400" s="404"/>
      <c r="H400" s="404"/>
      <c r="I400" s="404"/>
      <c r="K400" s="322"/>
      <c r="L400" s="401"/>
      <c r="N400" s="18"/>
    </row>
    <row r="401">
      <c r="C401" s="164"/>
      <c r="E401" s="402"/>
      <c r="G401" s="404"/>
      <c r="H401" s="404"/>
      <c r="I401" s="404"/>
      <c r="K401" s="322"/>
      <c r="L401" s="401"/>
      <c r="N401" s="18"/>
    </row>
    <row r="402">
      <c r="C402" s="164"/>
      <c r="E402" s="402"/>
      <c r="G402" s="404"/>
      <c r="H402" s="404"/>
      <c r="I402" s="404"/>
      <c r="K402" s="322"/>
      <c r="L402" s="401"/>
      <c r="N402" s="18"/>
    </row>
    <row r="403">
      <c r="C403" s="164"/>
      <c r="E403" s="402"/>
      <c r="G403" s="404"/>
      <c r="H403" s="404"/>
      <c r="I403" s="404"/>
      <c r="K403" s="322"/>
      <c r="L403" s="401"/>
      <c r="N403" s="18"/>
    </row>
    <row r="404">
      <c r="C404" s="164"/>
      <c r="E404" s="402"/>
      <c r="G404" s="404"/>
      <c r="H404" s="404"/>
      <c r="I404" s="404"/>
      <c r="K404" s="322"/>
      <c r="L404" s="401"/>
      <c r="N404" s="18"/>
    </row>
    <row r="405">
      <c r="C405" s="164"/>
      <c r="E405" s="402"/>
      <c r="G405" s="404"/>
      <c r="H405" s="404"/>
      <c r="I405" s="404"/>
      <c r="K405" s="322"/>
      <c r="L405" s="401"/>
      <c r="N405" s="18"/>
    </row>
    <row r="406">
      <c r="C406" s="164"/>
      <c r="E406" s="402"/>
      <c r="G406" s="404"/>
      <c r="H406" s="404"/>
      <c r="I406" s="404"/>
      <c r="K406" s="322"/>
      <c r="L406" s="401"/>
      <c r="N406" s="18"/>
    </row>
    <row r="407">
      <c r="C407" s="164"/>
      <c r="E407" s="402"/>
      <c r="G407" s="404"/>
      <c r="H407" s="404"/>
      <c r="I407" s="404"/>
      <c r="K407" s="322"/>
      <c r="L407" s="401"/>
      <c r="N407" s="18"/>
    </row>
    <row r="408">
      <c r="C408" s="164"/>
      <c r="E408" s="402"/>
      <c r="G408" s="404"/>
      <c r="H408" s="404"/>
      <c r="I408" s="404"/>
      <c r="K408" s="322"/>
      <c r="L408" s="401"/>
      <c r="N408" s="18"/>
    </row>
    <row r="409">
      <c r="C409" s="164"/>
      <c r="E409" s="402"/>
      <c r="G409" s="404"/>
      <c r="H409" s="404"/>
      <c r="I409" s="404"/>
      <c r="K409" s="322"/>
      <c r="L409" s="401"/>
      <c r="N409" s="18"/>
    </row>
    <row r="410">
      <c r="C410" s="164"/>
      <c r="E410" s="402"/>
      <c r="G410" s="404"/>
      <c r="H410" s="404"/>
      <c r="I410" s="404"/>
      <c r="K410" s="322"/>
      <c r="L410" s="401"/>
      <c r="N410" s="18"/>
    </row>
    <row r="411">
      <c r="C411" s="164"/>
      <c r="E411" s="402"/>
      <c r="G411" s="404"/>
      <c r="H411" s="404"/>
      <c r="I411" s="404"/>
      <c r="K411" s="322"/>
      <c r="L411" s="401"/>
      <c r="N411" s="18"/>
    </row>
    <row r="412">
      <c r="C412" s="164"/>
      <c r="E412" s="402"/>
      <c r="G412" s="404"/>
      <c r="H412" s="404"/>
      <c r="I412" s="404"/>
      <c r="K412" s="322"/>
      <c r="L412" s="401"/>
      <c r="N412" s="18"/>
    </row>
    <row r="413">
      <c r="C413" s="164"/>
      <c r="E413" s="402"/>
      <c r="G413" s="404"/>
      <c r="H413" s="404"/>
      <c r="I413" s="404"/>
      <c r="K413" s="322"/>
      <c r="L413" s="401"/>
      <c r="N413" s="18"/>
    </row>
    <row r="414">
      <c r="C414" s="164"/>
      <c r="E414" s="402"/>
      <c r="G414" s="404"/>
      <c r="H414" s="404"/>
      <c r="I414" s="404"/>
      <c r="K414" s="322"/>
      <c r="L414" s="401"/>
      <c r="N414" s="18"/>
    </row>
    <row r="415">
      <c r="C415" s="164"/>
      <c r="E415" s="402"/>
      <c r="G415" s="404"/>
      <c r="H415" s="404"/>
      <c r="I415" s="404"/>
      <c r="K415" s="322"/>
      <c r="L415" s="401"/>
      <c r="N415" s="18"/>
    </row>
    <row r="416">
      <c r="C416" s="164"/>
      <c r="E416" s="402"/>
      <c r="G416" s="404"/>
      <c r="H416" s="404"/>
      <c r="I416" s="404"/>
      <c r="K416" s="322"/>
      <c r="L416" s="401"/>
      <c r="N416" s="18"/>
    </row>
    <row r="417">
      <c r="C417" s="164"/>
      <c r="E417" s="402"/>
      <c r="G417" s="404"/>
      <c r="H417" s="404"/>
      <c r="I417" s="404"/>
      <c r="K417" s="322"/>
      <c r="L417" s="401"/>
      <c r="N417" s="18"/>
    </row>
    <row r="418">
      <c r="C418" s="164"/>
      <c r="E418" s="402"/>
      <c r="G418" s="404"/>
      <c r="H418" s="404"/>
      <c r="I418" s="404"/>
      <c r="K418" s="322"/>
      <c r="L418" s="401"/>
      <c r="N418" s="18"/>
    </row>
    <row r="419">
      <c r="C419" s="164"/>
      <c r="E419" s="402"/>
      <c r="G419" s="404"/>
      <c r="H419" s="404"/>
      <c r="I419" s="404"/>
      <c r="K419" s="322"/>
      <c r="L419" s="401"/>
      <c r="N419" s="18"/>
    </row>
    <row r="420">
      <c r="C420" s="164"/>
      <c r="E420" s="402"/>
      <c r="G420" s="404"/>
      <c r="H420" s="404"/>
      <c r="I420" s="404"/>
      <c r="K420" s="322"/>
      <c r="L420" s="401"/>
      <c r="N420" s="18"/>
    </row>
    <row r="421">
      <c r="C421" s="164"/>
      <c r="E421" s="402"/>
      <c r="G421" s="404"/>
      <c r="H421" s="404"/>
      <c r="I421" s="404"/>
      <c r="K421" s="322"/>
      <c r="L421" s="401"/>
      <c r="N421" s="18"/>
    </row>
    <row r="422">
      <c r="C422" s="164"/>
      <c r="E422" s="402"/>
      <c r="G422" s="404"/>
      <c r="H422" s="404"/>
      <c r="I422" s="404"/>
      <c r="K422" s="322"/>
      <c r="L422" s="401"/>
      <c r="N422" s="18"/>
    </row>
    <row r="423">
      <c r="C423" s="164"/>
      <c r="E423" s="402"/>
      <c r="G423" s="404"/>
      <c r="H423" s="404"/>
      <c r="I423" s="404"/>
      <c r="K423" s="322"/>
      <c r="L423" s="401"/>
      <c r="N423" s="18"/>
    </row>
    <row r="424">
      <c r="C424" s="164"/>
      <c r="E424" s="402"/>
      <c r="G424" s="404"/>
      <c r="H424" s="404"/>
      <c r="I424" s="404"/>
      <c r="K424" s="322"/>
      <c r="L424" s="401"/>
      <c r="N424" s="18"/>
    </row>
    <row r="425">
      <c r="C425" s="164"/>
      <c r="E425" s="402"/>
      <c r="G425" s="404"/>
      <c r="H425" s="404"/>
      <c r="I425" s="404"/>
      <c r="K425" s="322"/>
      <c r="L425" s="401"/>
      <c r="N425" s="18"/>
    </row>
    <row r="426">
      <c r="C426" s="164"/>
      <c r="E426" s="402"/>
      <c r="G426" s="404"/>
      <c r="H426" s="404"/>
      <c r="I426" s="404"/>
      <c r="K426" s="322"/>
      <c r="L426" s="401"/>
      <c r="N426" s="18"/>
    </row>
    <row r="427">
      <c r="C427" s="164"/>
      <c r="E427" s="402"/>
      <c r="G427" s="404"/>
      <c r="H427" s="404"/>
      <c r="I427" s="404"/>
      <c r="K427" s="322"/>
      <c r="L427" s="401"/>
      <c r="N427" s="18"/>
    </row>
    <row r="428">
      <c r="C428" s="164"/>
      <c r="E428" s="402"/>
      <c r="G428" s="404"/>
      <c r="H428" s="404"/>
      <c r="I428" s="404"/>
      <c r="K428" s="322"/>
      <c r="L428" s="401"/>
      <c r="N428" s="18"/>
    </row>
    <row r="429">
      <c r="C429" s="164"/>
      <c r="E429" s="402"/>
      <c r="G429" s="404"/>
      <c r="H429" s="404"/>
      <c r="I429" s="404"/>
      <c r="K429" s="322"/>
      <c r="L429" s="401"/>
      <c r="N429" s="18"/>
    </row>
    <row r="430">
      <c r="C430" s="164"/>
      <c r="E430" s="402"/>
      <c r="G430" s="404"/>
      <c r="H430" s="404"/>
      <c r="I430" s="404"/>
      <c r="K430" s="322"/>
      <c r="L430" s="401"/>
      <c r="N430" s="18"/>
    </row>
    <row r="431">
      <c r="C431" s="164"/>
      <c r="E431" s="402"/>
      <c r="G431" s="404"/>
      <c r="H431" s="404"/>
      <c r="I431" s="404"/>
      <c r="K431" s="322"/>
      <c r="L431" s="401"/>
      <c r="N431" s="18"/>
    </row>
    <row r="432">
      <c r="C432" s="164"/>
      <c r="E432" s="402"/>
      <c r="G432" s="404"/>
      <c r="H432" s="404"/>
      <c r="I432" s="404"/>
      <c r="K432" s="322"/>
      <c r="L432" s="401"/>
      <c r="N432" s="18"/>
    </row>
    <row r="433">
      <c r="C433" s="164"/>
      <c r="E433" s="402"/>
      <c r="G433" s="404"/>
      <c r="H433" s="404"/>
      <c r="I433" s="404"/>
      <c r="K433" s="322"/>
      <c r="L433" s="401"/>
      <c r="N433" s="18"/>
    </row>
    <row r="434">
      <c r="C434" s="164"/>
      <c r="E434" s="402"/>
      <c r="G434" s="404"/>
      <c r="H434" s="404"/>
      <c r="I434" s="404"/>
      <c r="K434" s="322"/>
      <c r="L434" s="401"/>
      <c r="N434" s="18"/>
    </row>
    <row r="435">
      <c r="C435" s="164"/>
      <c r="E435" s="402"/>
      <c r="G435" s="404"/>
      <c r="H435" s="404"/>
      <c r="I435" s="404"/>
      <c r="K435" s="322"/>
      <c r="L435" s="401"/>
      <c r="N435" s="18"/>
    </row>
    <row r="436">
      <c r="C436" s="164"/>
      <c r="E436" s="402"/>
      <c r="G436" s="404"/>
      <c r="H436" s="404"/>
      <c r="I436" s="404"/>
      <c r="K436" s="322"/>
      <c r="L436" s="401"/>
      <c r="N436" s="18"/>
    </row>
    <row r="437">
      <c r="C437" s="164"/>
      <c r="E437" s="402"/>
      <c r="G437" s="404"/>
      <c r="H437" s="404"/>
      <c r="I437" s="404"/>
      <c r="K437" s="322"/>
      <c r="L437" s="401"/>
      <c r="N437" s="18"/>
    </row>
    <row r="438">
      <c r="C438" s="164"/>
      <c r="E438" s="402"/>
      <c r="G438" s="404"/>
      <c r="H438" s="404"/>
      <c r="I438" s="404"/>
      <c r="K438" s="322"/>
      <c r="L438" s="401"/>
      <c r="N438" s="18"/>
    </row>
    <row r="439">
      <c r="C439" s="164"/>
      <c r="E439" s="402"/>
      <c r="G439" s="404"/>
      <c r="H439" s="404"/>
      <c r="I439" s="404"/>
      <c r="K439" s="322"/>
      <c r="L439" s="401"/>
      <c r="N439" s="18"/>
    </row>
    <row r="440">
      <c r="C440" s="164"/>
      <c r="E440" s="402"/>
      <c r="G440" s="404"/>
      <c r="H440" s="404"/>
      <c r="I440" s="404"/>
      <c r="K440" s="322"/>
      <c r="L440" s="401"/>
      <c r="N440" s="18"/>
    </row>
    <row r="441">
      <c r="C441" s="164"/>
      <c r="E441" s="402"/>
      <c r="G441" s="404"/>
      <c r="H441" s="404"/>
      <c r="I441" s="404"/>
      <c r="K441" s="322"/>
      <c r="L441" s="401"/>
      <c r="N441" s="18"/>
    </row>
    <row r="442">
      <c r="C442" s="164"/>
      <c r="E442" s="402"/>
      <c r="G442" s="404"/>
      <c r="H442" s="404"/>
      <c r="I442" s="404"/>
      <c r="K442" s="322"/>
      <c r="L442" s="401"/>
      <c r="N442" s="18"/>
    </row>
    <row r="443">
      <c r="C443" s="164"/>
      <c r="E443" s="402"/>
      <c r="G443" s="404"/>
      <c r="H443" s="404"/>
      <c r="I443" s="404"/>
      <c r="K443" s="322"/>
      <c r="L443" s="401"/>
      <c r="N443" s="18"/>
    </row>
    <row r="444">
      <c r="C444" s="164"/>
      <c r="E444" s="402"/>
      <c r="G444" s="404"/>
      <c r="H444" s="404"/>
      <c r="I444" s="404"/>
      <c r="K444" s="322"/>
      <c r="L444" s="401"/>
      <c r="N444" s="18"/>
    </row>
    <row r="445">
      <c r="C445" s="164"/>
      <c r="E445" s="402"/>
      <c r="G445" s="404"/>
      <c r="H445" s="404"/>
      <c r="I445" s="404"/>
      <c r="K445" s="322"/>
      <c r="L445" s="401"/>
      <c r="N445" s="18"/>
    </row>
    <row r="446">
      <c r="C446" s="164"/>
      <c r="E446" s="402"/>
      <c r="G446" s="404"/>
      <c r="H446" s="404"/>
      <c r="I446" s="404"/>
      <c r="K446" s="322"/>
      <c r="L446" s="401"/>
      <c r="N446" s="18"/>
    </row>
    <row r="447">
      <c r="C447" s="164"/>
      <c r="E447" s="402"/>
      <c r="G447" s="404"/>
      <c r="H447" s="404"/>
      <c r="I447" s="404"/>
      <c r="K447" s="322"/>
      <c r="L447" s="401"/>
      <c r="N447" s="18"/>
    </row>
    <row r="448">
      <c r="C448" s="164"/>
      <c r="E448" s="402"/>
      <c r="G448" s="404"/>
      <c r="H448" s="404"/>
      <c r="I448" s="404"/>
      <c r="K448" s="322"/>
      <c r="L448" s="401"/>
      <c r="N448" s="18"/>
    </row>
    <row r="449">
      <c r="C449" s="164"/>
      <c r="E449" s="402"/>
      <c r="G449" s="404"/>
      <c r="H449" s="404"/>
      <c r="I449" s="404"/>
      <c r="K449" s="322"/>
      <c r="L449" s="401"/>
      <c r="N449" s="18"/>
    </row>
    <row r="450">
      <c r="C450" s="164"/>
      <c r="E450" s="402"/>
      <c r="G450" s="404"/>
      <c r="H450" s="404"/>
      <c r="I450" s="404"/>
      <c r="K450" s="322"/>
      <c r="L450" s="401"/>
      <c r="N450" s="18"/>
    </row>
    <row r="451">
      <c r="C451" s="164"/>
      <c r="E451" s="402"/>
      <c r="G451" s="404"/>
      <c r="H451" s="404"/>
      <c r="I451" s="404"/>
      <c r="K451" s="322"/>
      <c r="L451" s="401"/>
      <c r="N451" s="18"/>
    </row>
    <row r="452">
      <c r="C452" s="164"/>
      <c r="E452" s="402"/>
      <c r="G452" s="404"/>
      <c r="H452" s="404"/>
      <c r="I452" s="404"/>
      <c r="K452" s="322"/>
      <c r="L452" s="401"/>
      <c r="N452" s="18"/>
    </row>
    <row r="453">
      <c r="C453" s="164"/>
      <c r="E453" s="402"/>
      <c r="G453" s="404"/>
      <c r="H453" s="404"/>
      <c r="I453" s="404"/>
      <c r="K453" s="322"/>
      <c r="L453" s="401"/>
      <c r="N453" s="18"/>
    </row>
    <row r="454">
      <c r="C454" s="164"/>
      <c r="E454" s="402"/>
      <c r="G454" s="404"/>
      <c r="H454" s="404"/>
      <c r="I454" s="404"/>
      <c r="K454" s="322"/>
      <c r="L454" s="401"/>
      <c r="N454" s="18"/>
    </row>
    <row r="455">
      <c r="C455" s="164"/>
      <c r="E455" s="402"/>
      <c r="G455" s="404"/>
      <c r="H455" s="404"/>
      <c r="I455" s="404"/>
      <c r="K455" s="322"/>
      <c r="L455" s="401"/>
      <c r="N455" s="18"/>
    </row>
    <row r="456">
      <c r="C456" s="164"/>
      <c r="E456" s="402"/>
      <c r="G456" s="404"/>
      <c r="H456" s="404"/>
      <c r="I456" s="404"/>
      <c r="K456" s="322"/>
      <c r="L456" s="401"/>
      <c r="N456" s="18"/>
    </row>
    <row r="457">
      <c r="C457" s="164"/>
      <c r="E457" s="402"/>
      <c r="G457" s="404"/>
      <c r="H457" s="404"/>
      <c r="I457" s="404"/>
      <c r="K457" s="322"/>
      <c r="L457" s="401"/>
      <c r="N457" s="18"/>
    </row>
    <row r="458">
      <c r="C458" s="164"/>
      <c r="E458" s="402"/>
      <c r="G458" s="404"/>
      <c r="H458" s="404"/>
      <c r="I458" s="404"/>
      <c r="K458" s="322"/>
      <c r="L458" s="401"/>
      <c r="N458" s="18"/>
    </row>
    <row r="459">
      <c r="C459" s="164"/>
      <c r="E459" s="402"/>
      <c r="G459" s="404"/>
      <c r="H459" s="404"/>
      <c r="I459" s="404"/>
      <c r="K459" s="322"/>
      <c r="L459" s="401"/>
      <c r="N459" s="18"/>
    </row>
    <row r="460">
      <c r="C460" s="164"/>
      <c r="E460" s="402"/>
      <c r="G460" s="404"/>
      <c r="H460" s="404"/>
      <c r="I460" s="404"/>
      <c r="K460" s="322"/>
      <c r="L460" s="401"/>
      <c r="N460" s="18"/>
    </row>
    <row r="461">
      <c r="C461" s="164"/>
      <c r="E461" s="402"/>
      <c r="G461" s="404"/>
      <c r="H461" s="404"/>
      <c r="I461" s="404"/>
      <c r="K461" s="322"/>
      <c r="L461" s="401"/>
      <c r="N461" s="18"/>
    </row>
    <row r="462">
      <c r="C462" s="164"/>
      <c r="E462" s="402"/>
      <c r="G462" s="404"/>
      <c r="H462" s="404"/>
      <c r="I462" s="404"/>
      <c r="K462" s="322"/>
      <c r="L462" s="401"/>
      <c r="N462" s="18"/>
    </row>
    <row r="463">
      <c r="C463" s="164"/>
      <c r="E463" s="402"/>
      <c r="G463" s="404"/>
      <c r="H463" s="404"/>
      <c r="I463" s="404"/>
      <c r="K463" s="322"/>
      <c r="L463" s="401"/>
      <c r="N463" s="18"/>
    </row>
    <row r="464">
      <c r="C464" s="164"/>
      <c r="E464" s="402"/>
      <c r="G464" s="404"/>
      <c r="H464" s="404"/>
      <c r="I464" s="404"/>
      <c r="K464" s="322"/>
      <c r="L464" s="401"/>
      <c r="N464" s="18"/>
    </row>
    <row r="465">
      <c r="C465" s="164"/>
      <c r="E465" s="402"/>
      <c r="G465" s="404"/>
      <c r="H465" s="404"/>
      <c r="I465" s="404"/>
      <c r="K465" s="322"/>
      <c r="L465" s="401"/>
      <c r="N465" s="18"/>
    </row>
    <row r="466">
      <c r="C466" s="164"/>
      <c r="E466" s="402"/>
      <c r="G466" s="404"/>
      <c r="H466" s="404"/>
      <c r="I466" s="404"/>
      <c r="K466" s="322"/>
      <c r="L466" s="401"/>
      <c r="N466" s="18"/>
    </row>
    <row r="467">
      <c r="C467" s="164"/>
      <c r="E467" s="402"/>
      <c r="G467" s="404"/>
      <c r="H467" s="404"/>
      <c r="I467" s="404"/>
      <c r="K467" s="322"/>
      <c r="L467" s="401"/>
      <c r="N467" s="18"/>
    </row>
    <row r="468">
      <c r="C468" s="164"/>
      <c r="E468" s="402"/>
      <c r="G468" s="404"/>
      <c r="H468" s="404"/>
      <c r="I468" s="404"/>
      <c r="K468" s="322"/>
      <c r="L468" s="401"/>
      <c r="N468" s="18"/>
    </row>
    <row r="469">
      <c r="C469" s="164"/>
      <c r="E469" s="402"/>
      <c r="G469" s="404"/>
      <c r="H469" s="404"/>
      <c r="I469" s="404"/>
      <c r="K469" s="322"/>
      <c r="L469" s="401"/>
      <c r="N469" s="18"/>
    </row>
    <row r="470">
      <c r="C470" s="164"/>
      <c r="E470" s="402"/>
      <c r="G470" s="404"/>
      <c r="H470" s="404"/>
      <c r="I470" s="404"/>
      <c r="K470" s="322"/>
      <c r="L470" s="401"/>
      <c r="N470" s="18"/>
    </row>
    <row r="471">
      <c r="C471" s="164"/>
      <c r="E471" s="402"/>
      <c r="G471" s="404"/>
      <c r="H471" s="404"/>
      <c r="I471" s="404"/>
      <c r="K471" s="322"/>
      <c r="L471" s="401"/>
      <c r="N471" s="18"/>
    </row>
    <row r="472">
      <c r="C472" s="164"/>
      <c r="E472" s="402"/>
      <c r="G472" s="404"/>
      <c r="H472" s="404"/>
      <c r="I472" s="404"/>
      <c r="K472" s="322"/>
      <c r="L472" s="401"/>
      <c r="N472" s="18"/>
    </row>
    <row r="473">
      <c r="C473" s="164"/>
      <c r="E473" s="402"/>
      <c r="G473" s="404"/>
      <c r="H473" s="404"/>
      <c r="I473" s="404"/>
      <c r="K473" s="322"/>
      <c r="L473" s="401"/>
      <c r="N473" s="18"/>
    </row>
    <row r="474">
      <c r="C474" s="164"/>
      <c r="E474" s="402"/>
      <c r="G474" s="404"/>
      <c r="H474" s="404"/>
      <c r="I474" s="404"/>
      <c r="K474" s="322"/>
      <c r="L474" s="401"/>
      <c r="N474" s="18"/>
    </row>
    <row r="475">
      <c r="C475" s="164"/>
      <c r="E475" s="402"/>
      <c r="G475" s="404"/>
      <c r="H475" s="404"/>
      <c r="I475" s="404"/>
      <c r="K475" s="322"/>
      <c r="L475" s="401"/>
      <c r="N475" s="18"/>
    </row>
    <row r="476">
      <c r="C476" s="164"/>
      <c r="E476" s="402"/>
      <c r="G476" s="404"/>
      <c r="H476" s="404"/>
      <c r="I476" s="404"/>
      <c r="K476" s="322"/>
      <c r="L476" s="401"/>
      <c r="N476" s="18"/>
    </row>
    <row r="477">
      <c r="C477" s="164"/>
      <c r="E477" s="402"/>
      <c r="G477" s="404"/>
      <c r="H477" s="404"/>
      <c r="I477" s="404"/>
      <c r="K477" s="322"/>
      <c r="L477" s="401"/>
      <c r="N477" s="18"/>
    </row>
    <row r="478">
      <c r="C478" s="164"/>
      <c r="E478" s="402"/>
      <c r="G478" s="404"/>
      <c r="H478" s="404"/>
      <c r="I478" s="404"/>
      <c r="K478" s="322"/>
      <c r="L478" s="401"/>
      <c r="N478" s="18"/>
    </row>
    <row r="479">
      <c r="C479" s="164"/>
      <c r="E479" s="402"/>
      <c r="G479" s="404"/>
      <c r="H479" s="404"/>
      <c r="I479" s="404"/>
      <c r="K479" s="322"/>
      <c r="L479" s="401"/>
      <c r="N479" s="18"/>
    </row>
    <row r="480">
      <c r="C480" s="164"/>
      <c r="E480" s="402"/>
      <c r="G480" s="404"/>
      <c r="H480" s="404"/>
      <c r="I480" s="404"/>
      <c r="K480" s="322"/>
      <c r="L480" s="401"/>
      <c r="N480" s="18"/>
    </row>
    <row r="481">
      <c r="C481" s="164"/>
      <c r="E481" s="402"/>
      <c r="G481" s="404"/>
      <c r="H481" s="404"/>
      <c r="I481" s="404"/>
      <c r="K481" s="322"/>
      <c r="L481" s="401"/>
      <c r="N481" s="18"/>
    </row>
    <row r="482">
      <c r="C482" s="164"/>
      <c r="E482" s="402"/>
      <c r="G482" s="404"/>
      <c r="H482" s="404"/>
      <c r="I482" s="404"/>
      <c r="K482" s="322"/>
      <c r="L482" s="401"/>
      <c r="N482" s="18"/>
    </row>
    <row r="483">
      <c r="C483" s="164"/>
      <c r="E483" s="402"/>
      <c r="G483" s="404"/>
      <c r="H483" s="404"/>
      <c r="I483" s="404"/>
      <c r="K483" s="322"/>
      <c r="L483" s="401"/>
      <c r="N483" s="18"/>
    </row>
    <row r="484">
      <c r="C484" s="164"/>
      <c r="E484" s="402"/>
      <c r="G484" s="404"/>
      <c r="H484" s="404"/>
      <c r="I484" s="404"/>
      <c r="K484" s="322"/>
      <c r="L484" s="401"/>
      <c r="N484" s="18"/>
    </row>
    <row r="485">
      <c r="C485" s="164"/>
      <c r="E485" s="402"/>
      <c r="G485" s="404"/>
      <c r="H485" s="404"/>
      <c r="I485" s="404"/>
      <c r="K485" s="322"/>
      <c r="L485" s="401"/>
      <c r="N485" s="18"/>
    </row>
    <row r="486">
      <c r="C486" s="164"/>
      <c r="E486" s="402"/>
      <c r="G486" s="404"/>
      <c r="H486" s="404"/>
      <c r="I486" s="404"/>
      <c r="K486" s="322"/>
      <c r="L486" s="401"/>
      <c r="N486" s="18"/>
    </row>
    <row r="487">
      <c r="C487" s="164"/>
      <c r="E487" s="402"/>
      <c r="G487" s="404"/>
      <c r="H487" s="404"/>
      <c r="I487" s="404"/>
      <c r="K487" s="322"/>
      <c r="L487" s="401"/>
      <c r="N487" s="18"/>
    </row>
    <row r="488">
      <c r="C488" s="164"/>
      <c r="E488" s="402"/>
      <c r="G488" s="404"/>
      <c r="H488" s="404"/>
      <c r="I488" s="404"/>
      <c r="K488" s="322"/>
      <c r="L488" s="401"/>
      <c r="N488" s="18"/>
    </row>
    <row r="489">
      <c r="C489" s="164"/>
      <c r="E489" s="402"/>
      <c r="G489" s="404"/>
      <c r="H489" s="404"/>
      <c r="I489" s="404"/>
      <c r="K489" s="322"/>
      <c r="L489" s="401"/>
      <c r="N489" s="18"/>
    </row>
    <row r="490">
      <c r="C490" s="164"/>
      <c r="E490" s="402"/>
      <c r="G490" s="404"/>
      <c r="H490" s="404"/>
      <c r="I490" s="404"/>
      <c r="K490" s="322"/>
      <c r="L490" s="401"/>
      <c r="N490" s="18"/>
    </row>
    <row r="491">
      <c r="C491" s="164"/>
      <c r="E491" s="402"/>
      <c r="G491" s="404"/>
      <c r="H491" s="404"/>
      <c r="I491" s="404"/>
      <c r="K491" s="322"/>
      <c r="L491" s="401"/>
      <c r="N491" s="18"/>
    </row>
    <row r="492">
      <c r="C492" s="164"/>
      <c r="E492" s="402"/>
      <c r="G492" s="404"/>
      <c r="H492" s="404"/>
      <c r="I492" s="404"/>
      <c r="K492" s="322"/>
      <c r="L492" s="401"/>
      <c r="N492" s="18"/>
    </row>
    <row r="493">
      <c r="C493" s="164"/>
      <c r="E493" s="402"/>
      <c r="G493" s="404"/>
      <c r="H493" s="404"/>
      <c r="I493" s="404"/>
      <c r="K493" s="322"/>
      <c r="L493" s="401"/>
      <c r="N493" s="18"/>
    </row>
    <row r="494">
      <c r="C494" s="164"/>
      <c r="E494" s="402"/>
      <c r="G494" s="404"/>
      <c r="H494" s="404"/>
      <c r="I494" s="404"/>
      <c r="K494" s="322"/>
      <c r="L494" s="401"/>
      <c r="N494" s="18"/>
    </row>
    <row r="495">
      <c r="C495" s="164"/>
      <c r="E495" s="402"/>
      <c r="G495" s="404"/>
      <c r="H495" s="404"/>
      <c r="I495" s="404"/>
      <c r="K495" s="322"/>
      <c r="L495" s="401"/>
      <c r="N495" s="18"/>
    </row>
    <row r="496">
      <c r="C496" s="164"/>
      <c r="E496" s="402"/>
      <c r="G496" s="404"/>
      <c r="H496" s="404"/>
      <c r="I496" s="404"/>
      <c r="K496" s="322"/>
      <c r="L496" s="401"/>
      <c r="N496" s="18"/>
    </row>
    <row r="497">
      <c r="C497" s="164"/>
      <c r="E497" s="402"/>
      <c r="G497" s="404"/>
      <c r="H497" s="404"/>
      <c r="I497" s="404"/>
      <c r="K497" s="322"/>
      <c r="L497" s="401"/>
      <c r="N497" s="18"/>
    </row>
    <row r="498">
      <c r="C498" s="164"/>
      <c r="E498" s="402"/>
      <c r="G498" s="404"/>
      <c r="H498" s="404"/>
      <c r="I498" s="404"/>
      <c r="K498" s="322"/>
      <c r="L498" s="401"/>
      <c r="N498" s="18"/>
    </row>
    <row r="499">
      <c r="C499" s="164"/>
      <c r="E499" s="402"/>
      <c r="G499" s="404"/>
      <c r="H499" s="404"/>
      <c r="I499" s="404"/>
      <c r="K499" s="322"/>
      <c r="L499" s="401"/>
      <c r="N499" s="18"/>
    </row>
    <row r="500">
      <c r="C500" s="164"/>
      <c r="E500" s="402"/>
      <c r="G500" s="404"/>
      <c r="H500" s="404"/>
      <c r="I500" s="404"/>
      <c r="K500" s="322"/>
      <c r="L500" s="401"/>
      <c r="N500" s="18"/>
    </row>
    <row r="501">
      <c r="C501" s="164"/>
      <c r="E501" s="402"/>
      <c r="G501" s="404"/>
      <c r="H501" s="404"/>
      <c r="I501" s="404"/>
      <c r="K501" s="322"/>
      <c r="L501" s="401"/>
      <c r="N501" s="18"/>
    </row>
    <row r="502">
      <c r="C502" s="164"/>
      <c r="E502" s="402"/>
      <c r="G502" s="404"/>
      <c r="H502" s="404"/>
      <c r="I502" s="404"/>
      <c r="K502" s="322"/>
      <c r="L502" s="401"/>
      <c r="N502" s="18"/>
    </row>
    <row r="503">
      <c r="C503" s="164"/>
      <c r="E503" s="402"/>
      <c r="G503" s="404"/>
      <c r="H503" s="404"/>
      <c r="I503" s="404"/>
      <c r="K503" s="322"/>
      <c r="L503" s="401"/>
      <c r="N503" s="18"/>
    </row>
    <row r="504">
      <c r="C504" s="164"/>
      <c r="E504" s="402"/>
      <c r="G504" s="404"/>
      <c r="H504" s="404"/>
      <c r="I504" s="404"/>
      <c r="K504" s="322"/>
      <c r="L504" s="401"/>
      <c r="N504" s="18"/>
    </row>
    <row r="505">
      <c r="C505" s="164"/>
      <c r="E505" s="402"/>
      <c r="G505" s="404"/>
      <c r="H505" s="404"/>
      <c r="I505" s="404"/>
      <c r="K505" s="322"/>
      <c r="L505" s="401"/>
      <c r="N505" s="18"/>
    </row>
    <row r="506">
      <c r="C506" s="164"/>
      <c r="E506" s="402"/>
      <c r="G506" s="404"/>
      <c r="H506" s="404"/>
      <c r="I506" s="404"/>
      <c r="K506" s="322"/>
      <c r="L506" s="401"/>
      <c r="N506" s="18"/>
    </row>
    <row r="507">
      <c r="C507" s="164"/>
      <c r="E507" s="402"/>
      <c r="G507" s="404"/>
      <c r="H507" s="404"/>
      <c r="I507" s="404"/>
      <c r="K507" s="322"/>
      <c r="L507" s="401"/>
      <c r="N507" s="18"/>
    </row>
    <row r="508">
      <c r="C508" s="164"/>
      <c r="E508" s="402"/>
      <c r="G508" s="404"/>
      <c r="H508" s="404"/>
      <c r="I508" s="404"/>
      <c r="K508" s="322"/>
      <c r="L508" s="401"/>
      <c r="N508" s="18"/>
    </row>
    <row r="509">
      <c r="C509" s="164"/>
      <c r="E509" s="402"/>
      <c r="G509" s="404"/>
      <c r="H509" s="404"/>
      <c r="I509" s="404"/>
      <c r="K509" s="322"/>
      <c r="L509" s="401"/>
      <c r="N509" s="18"/>
    </row>
    <row r="510">
      <c r="C510" s="164"/>
      <c r="E510" s="402"/>
      <c r="G510" s="404"/>
      <c r="H510" s="404"/>
      <c r="I510" s="404"/>
      <c r="K510" s="322"/>
      <c r="L510" s="401"/>
      <c r="N510" s="18"/>
    </row>
    <row r="511">
      <c r="C511" s="164"/>
      <c r="E511" s="402"/>
      <c r="G511" s="404"/>
      <c r="H511" s="404"/>
      <c r="I511" s="404"/>
      <c r="K511" s="322"/>
      <c r="L511" s="401"/>
      <c r="N511" s="18"/>
    </row>
    <row r="512">
      <c r="C512" s="164"/>
      <c r="E512" s="402"/>
      <c r="G512" s="404"/>
      <c r="H512" s="404"/>
      <c r="I512" s="404"/>
      <c r="K512" s="322"/>
      <c r="L512" s="401"/>
      <c r="N512" s="18"/>
    </row>
    <row r="513">
      <c r="C513" s="164"/>
      <c r="E513" s="402"/>
      <c r="G513" s="404"/>
      <c r="H513" s="404"/>
      <c r="I513" s="404"/>
      <c r="K513" s="322"/>
      <c r="L513" s="401"/>
      <c r="N513" s="18"/>
    </row>
    <row r="514">
      <c r="C514" s="164"/>
      <c r="E514" s="402"/>
      <c r="G514" s="404"/>
      <c r="H514" s="404"/>
      <c r="I514" s="404"/>
      <c r="K514" s="322"/>
      <c r="L514" s="401"/>
      <c r="N514" s="18"/>
    </row>
    <row r="515">
      <c r="C515" s="164"/>
      <c r="E515" s="402"/>
      <c r="G515" s="404"/>
      <c r="H515" s="404"/>
      <c r="I515" s="404"/>
      <c r="K515" s="322"/>
      <c r="L515" s="401"/>
      <c r="N515" s="18"/>
    </row>
    <row r="516">
      <c r="C516" s="164"/>
      <c r="E516" s="402"/>
      <c r="G516" s="404"/>
      <c r="H516" s="404"/>
      <c r="I516" s="404"/>
      <c r="K516" s="322"/>
      <c r="L516" s="401"/>
      <c r="N516" s="18"/>
    </row>
    <row r="517">
      <c r="C517" s="164"/>
      <c r="E517" s="402"/>
      <c r="G517" s="404"/>
      <c r="H517" s="404"/>
      <c r="I517" s="404"/>
      <c r="K517" s="322"/>
      <c r="L517" s="401"/>
      <c r="N517" s="18"/>
    </row>
    <row r="518">
      <c r="C518" s="164"/>
      <c r="E518" s="402"/>
      <c r="G518" s="404"/>
      <c r="H518" s="404"/>
      <c r="I518" s="404"/>
      <c r="K518" s="322"/>
      <c r="L518" s="401"/>
      <c r="N518" s="18"/>
    </row>
    <row r="519">
      <c r="C519" s="164"/>
      <c r="E519" s="402"/>
      <c r="G519" s="404"/>
      <c r="H519" s="404"/>
      <c r="I519" s="404"/>
      <c r="K519" s="322"/>
      <c r="L519" s="401"/>
      <c r="N519" s="18"/>
    </row>
    <row r="520">
      <c r="C520" s="164"/>
      <c r="E520" s="402"/>
      <c r="G520" s="404"/>
      <c r="H520" s="404"/>
      <c r="I520" s="404"/>
      <c r="K520" s="322"/>
      <c r="L520" s="401"/>
      <c r="N520" s="18"/>
    </row>
    <row r="521">
      <c r="C521" s="164"/>
      <c r="E521" s="402"/>
      <c r="G521" s="404"/>
      <c r="H521" s="404"/>
      <c r="I521" s="404"/>
      <c r="K521" s="322"/>
      <c r="L521" s="401"/>
      <c r="N521" s="18"/>
    </row>
    <row r="522">
      <c r="C522" s="164"/>
      <c r="E522" s="402"/>
      <c r="G522" s="404"/>
      <c r="H522" s="404"/>
      <c r="I522" s="404"/>
      <c r="K522" s="322"/>
      <c r="L522" s="401"/>
      <c r="N522" s="18"/>
    </row>
    <row r="523">
      <c r="C523" s="164"/>
      <c r="E523" s="402"/>
      <c r="G523" s="404"/>
      <c r="H523" s="404"/>
      <c r="I523" s="404"/>
      <c r="K523" s="322"/>
      <c r="L523" s="401"/>
      <c r="N523" s="18"/>
    </row>
    <row r="524">
      <c r="C524" s="164"/>
      <c r="E524" s="402"/>
      <c r="G524" s="404"/>
      <c r="H524" s="404"/>
      <c r="I524" s="404"/>
      <c r="K524" s="322"/>
      <c r="L524" s="401"/>
      <c r="N524" s="18"/>
    </row>
    <row r="525">
      <c r="C525" s="164"/>
      <c r="E525" s="402"/>
      <c r="G525" s="404"/>
      <c r="H525" s="404"/>
      <c r="I525" s="404"/>
      <c r="K525" s="322"/>
      <c r="L525" s="401"/>
      <c r="N525" s="18"/>
    </row>
    <row r="526">
      <c r="C526" s="164"/>
      <c r="E526" s="402"/>
      <c r="G526" s="404"/>
      <c r="H526" s="404"/>
      <c r="I526" s="404"/>
      <c r="K526" s="322"/>
      <c r="L526" s="401"/>
      <c r="N526" s="18"/>
    </row>
    <row r="527">
      <c r="C527" s="164"/>
      <c r="E527" s="402"/>
      <c r="G527" s="404"/>
      <c r="H527" s="404"/>
      <c r="I527" s="404"/>
      <c r="K527" s="322"/>
      <c r="L527" s="401"/>
      <c r="N527" s="18"/>
    </row>
    <row r="528">
      <c r="C528" s="164"/>
      <c r="E528" s="402"/>
      <c r="G528" s="404"/>
      <c r="H528" s="404"/>
      <c r="I528" s="404"/>
      <c r="K528" s="322"/>
      <c r="L528" s="401"/>
      <c r="N528" s="18"/>
    </row>
    <row r="529">
      <c r="C529" s="164"/>
      <c r="E529" s="402"/>
      <c r="G529" s="404"/>
      <c r="H529" s="404"/>
      <c r="I529" s="404"/>
      <c r="K529" s="322"/>
      <c r="L529" s="401"/>
      <c r="N529" s="18"/>
    </row>
    <row r="530">
      <c r="C530" s="164"/>
      <c r="E530" s="402"/>
      <c r="G530" s="404"/>
      <c r="H530" s="404"/>
      <c r="I530" s="404"/>
      <c r="K530" s="322"/>
      <c r="L530" s="401"/>
      <c r="N530" s="18"/>
    </row>
    <row r="531">
      <c r="C531" s="164"/>
      <c r="E531" s="402"/>
      <c r="G531" s="404"/>
      <c r="H531" s="404"/>
      <c r="I531" s="404"/>
      <c r="K531" s="322"/>
      <c r="L531" s="401"/>
      <c r="N531" s="18"/>
    </row>
    <row r="532">
      <c r="C532" s="164"/>
      <c r="E532" s="402"/>
      <c r="G532" s="404"/>
      <c r="H532" s="404"/>
      <c r="I532" s="404"/>
      <c r="K532" s="322"/>
      <c r="L532" s="401"/>
      <c r="N532" s="18"/>
    </row>
    <row r="533">
      <c r="C533" s="164"/>
      <c r="E533" s="402"/>
      <c r="G533" s="404"/>
      <c r="H533" s="404"/>
      <c r="I533" s="404"/>
      <c r="K533" s="322"/>
      <c r="L533" s="401"/>
      <c r="N533" s="18"/>
    </row>
    <row r="534">
      <c r="C534" s="164"/>
      <c r="E534" s="402"/>
      <c r="G534" s="404"/>
      <c r="H534" s="404"/>
      <c r="I534" s="404"/>
      <c r="K534" s="322"/>
      <c r="L534" s="401"/>
      <c r="N534" s="18"/>
    </row>
    <row r="535">
      <c r="C535" s="164"/>
      <c r="E535" s="402"/>
      <c r="G535" s="404"/>
      <c r="H535" s="404"/>
      <c r="I535" s="404"/>
      <c r="K535" s="322"/>
      <c r="L535" s="401"/>
      <c r="N535" s="18"/>
    </row>
    <row r="536">
      <c r="C536" s="164"/>
      <c r="E536" s="402"/>
      <c r="G536" s="404"/>
      <c r="H536" s="404"/>
      <c r="I536" s="404"/>
      <c r="K536" s="322"/>
      <c r="L536" s="401"/>
      <c r="N536" s="18"/>
    </row>
    <row r="537">
      <c r="C537" s="164"/>
      <c r="E537" s="402"/>
      <c r="G537" s="404"/>
      <c r="H537" s="404"/>
      <c r="I537" s="404"/>
      <c r="K537" s="322"/>
      <c r="L537" s="401"/>
      <c r="N537" s="18"/>
    </row>
    <row r="538">
      <c r="C538" s="164"/>
      <c r="E538" s="402"/>
      <c r="G538" s="404"/>
      <c r="H538" s="404"/>
      <c r="I538" s="404"/>
      <c r="K538" s="322"/>
      <c r="L538" s="401"/>
      <c r="N538" s="18"/>
    </row>
    <row r="539">
      <c r="C539" s="164"/>
      <c r="E539" s="402"/>
      <c r="G539" s="404"/>
      <c r="H539" s="404"/>
      <c r="I539" s="404"/>
      <c r="K539" s="322"/>
      <c r="L539" s="401"/>
      <c r="N539" s="18"/>
    </row>
    <row r="540">
      <c r="C540" s="164"/>
      <c r="E540" s="402"/>
      <c r="G540" s="404"/>
      <c r="H540" s="404"/>
      <c r="I540" s="404"/>
      <c r="K540" s="322"/>
      <c r="L540" s="401"/>
      <c r="N540" s="18"/>
    </row>
    <row r="541">
      <c r="C541" s="164"/>
      <c r="E541" s="402"/>
      <c r="G541" s="404"/>
      <c r="H541" s="404"/>
      <c r="I541" s="404"/>
      <c r="K541" s="322"/>
      <c r="L541" s="401"/>
      <c r="N541" s="18"/>
    </row>
    <row r="542">
      <c r="C542" s="164"/>
      <c r="E542" s="402"/>
      <c r="G542" s="404"/>
      <c r="H542" s="404"/>
      <c r="I542" s="404"/>
      <c r="K542" s="322"/>
      <c r="L542" s="401"/>
      <c r="N542" s="18"/>
    </row>
    <row r="543">
      <c r="C543" s="164"/>
      <c r="E543" s="402"/>
      <c r="G543" s="404"/>
      <c r="H543" s="404"/>
      <c r="I543" s="404"/>
      <c r="K543" s="322"/>
      <c r="L543" s="401"/>
      <c r="N543" s="18"/>
    </row>
    <row r="544">
      <c r="C544" s="164"/>
      <c r="E544" s="402"/>
      <c r="G544" s="404"/>
      <c r="H544" s="404"/>
      <c r="I544" s="404"/>
      <c r="K544" s="322"/>
      <c r="L544" s="401"/>
      <c r="N544" s="18"/>
    </row>
  </sheetData>
  <autoFilter ref="$A$3:$X$333">
    <sortState ref="A3:X333">
      <sortCondition descending="1" sortBy="cellColor" ref="K3:K333" dxfId="1"/>
      <sortCondition descending="1" ref="L3:L333"/>
      <sortCondition descending="1" ref="A3:A333"/>
      <sortCondition ref="E3:E333"/>
      <sortCondition descending="1" ref="N3:N333"/>
    </sortState>
  </autoFilter>
  <hyperlinks>
    <hyperlink r:id="rId1" ref="C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5" t="s">
        <v>3824</v>
      </c>
      <c r="B1" s="2">
        <f>sum(B3:B932)</f>
        <v>273.2974156</v>
      </c>
    </row>
    <row r="2">
      <c r="A2" s="399" t="s">
        <v>388</v>
      </c>
      <c r="B2" s="400" t="s">
        <v>2</v>
      </c>
    </row>
    <row r="3">
      <c r="A3" s="18" t="s">
        <v>4</v>
      </c>
      <c r="B3" s="401">
        <v>34.73450179913365</v>
      </c>
    </row>
    <row r="4">
      <c r="A4" s="18" t="s">
        <v>3</v>
      </c>
      <c r="B4" s="401">
        <v>18.08445536418269</v>
      </c>
    </row>
    <row r="5">
      <c r="A5" s="18" t="s">
        <v>5</v>
      </c>
      <c r="B5" s="401">
        <v>17.607705629146924</v>
      </c>
    </row>
    <row r="6">
      <c r="A6" s="18" t="s">
        <v>39</v>
      </c>
      <c r="B6" s="401">
        <v>14.750702325480505</v>
      </c>
    </row>
    <row r="7">
      <c r="A7" s="18" t="s">
        <v>14</v>
      </c>
      <c r="B7" s="401">
        <v>13.442647958413353</v>
      </c>
    </row>
    <row r="8">
      <c r="A8" s="18" t="s">
        <v>82</v>
      </c>
      <c r="B8" s="401">
        <v>12.308717512559634</v>
      </c>
    </row>
    <row r="9">
      <c r="A9" s="18" t="s">
        <v>103</v>
      </c>
      <c r="B9" s="401">
        <v>11.441907631524916</v>
      </c>
    </row>
    <row r="10">
      <c r="A10" s="18" t="s">
        <v>72</v>
      </c>
      <c r="B10" s="401">
        <v>9.71868717976657</v>
      </c>
    </row>
    <row r="11">
      <c r="A11" s="18" t="s">
        <v>9</v>
      </c>
      <c r="B11" s="401">
        <v>8.629621362196147</v>
      </c>
    </row>
    <row r="12">
      <c r="A12" s="18" t="s">
        <v>15</v>
      </c>
      <c r="B12" s="401">
        <v>8.285873808922068</v>
      </c>
    </row>
    <row r="13">
      <c r="A13" s="18" t="s">
        <v>54</v>
      </c>
      <c r="B13" s="401">
        <v>8.118553903133817</v>
      </c>
    </row>
    <row r="14">
      <c r="A14" s="110" t="s">
        <v>7</v>
      </c>
      <c r="B14" s="401">
        <v>7.614765961289243</v>
      </c>
    </row>
    <row r="15">
      <c r="A15" s="18" t="s">
        <v>17</v>
      </c>
      <c r="B15" s="401">
        <v>7.503118027505835</v>
      </c>
    </row>
    <row r="16">
      <c r="A16" s="18" t="s">
        <v>110</v>
      </c>
      <c r="B16" s="401">
        <v>7.38523050753578</v>
      </c>
    </row>
    <row r="17">
      <c r="A17" s="18" t="s">
        <v>6</v>
      </c>
      <c r="B17" s="401">
        <v>6.710756924735023</v>
      </c>
    </row>
    <row r="18">
      <c r="A18" s="18" t="s">
        <v>70</v>
      </c>
      <c r="B18" s="401">
        <v>6.227013941078815</v>
      </c>
    </row>
    <row r="19">
      <c r="A19" s="18" t="s">
        <v>71</v>
      </c>
      <c r="B19" s="401">
        <v>6.150199032155383</v>
      </c>
    </row>
    <row r="20">
      <c r="A20" s="18" t="s">
        <v>87</v>
      </c>
      <c r="B20" s="401">
        <v>5.0010830618112</v>
      </c>
    </row>
    <row r="21">
      <c r="A21" s="18" t="s">
        <v>41</v>
      </c>
      <c r="B21" s="401">
        <v>4.189123678394708</v>
      </c>
    </row>
    <row r="22">
      <c r="A22" s="18" t="s">
        <v>8</v>
      </c>
      <c r="B22" s="401">
        <v>3.935669810925758</v>
      </c>
    </row>
    <row r="23">
      <c r="A23" s="18" t="s">
        <v>83</v>
      </c>
      <c r="B23" s="401">
        <v>3.0823790332954486</v>
      </c>
    </row>
    <row r="24">
      <c r="A24" s="18" t="s">
        <v>61</v>
      </c>
      <c r="B24" s="401">
        <v>3.0761394471088</v>
      </c>
    </row>
    <row r="25">
      <c r="A25" s="18" t="s">
        <v>34</v>
      </c>
      <c r="B25" s="401">
        <v>2.954092203014312</v>
      </c>
    </row>
    <row r="26">
      <c r="A26" s="18" t="s">
        <v>68</v>
      </c>
      <c r="B26" s="401">
        <v>2.954092203014312</v>
      </c>
    </row>
    <row r="27">
      <c r="A27" s="18" t="s">
        <v>11</v>
      </c>
      <c r="B27" s="401">
        <v>2.954092203014312</v>
      </c>
    </row>
    <row r="28">
      <c r="A28" s="18" t="s">
        <v>52</v>
      </c>
      <c r="B28" s="401">
        <v>2.829965096857607</v>
      </c>
    </row>
    <row r="29">
      <c r="A29" s="18" t="s">
        <v>76</v>
      </c>
      <c r="B29" s="401">
        <v>2.705837990700903</v>
      </c>
    </row>
    <row r="30">
      <c r="A30" s="18" t="s">
        <v>30</v>
      </c>
      <c r="B30" s="401">
        <v>2.5365459360463856</v>
      </c>
    </row>
    <row r="31">
      <c r="A31" s="18" t="s">
        <v>35</v>
      </c>
      <c r="B31" s="401">
        <v>2.1711179649535928</v>
      </c>
    </row>
    <row r="32">
      <c r="A32" s="18" t="s">
        <v>40</v>
      </c>
      <c r="B32" s="401">
        <v>1.7232204517583487</v>
      </c>
    </row>
    <row r="33">
      <c r="A33" s="18" t="s">
        <v>26</v>
      </c>
      <c r="B33" s="401">
        <v>1.6787692644512076</v>
      </c>
    </row>
    <row r="34">
      <c r="A34" s="18" t="s">
        <v>201</v>
      </c>
      <c r="B34" s="401">
        <v>1.6011732076638605</v>
      </c>
    </row>
    <row r="35">
      <c r="A35" s="18" t="s">
        <v>43</v>
      </c>
      <c r="B35" s="401">
        <v>1.5088534502354012</v>
      </c>
    </row>
    <row r="36">
      <c r="A36" s="18" t="s">
        <v>262</v>
      </c>
      <c r="B36" s="401">
        <v>1.485365549756021</v>
      </c>
    </row>
    <row r="37">
      <c r="A37" s="18" t="s">
        <v>106</v>
      </c>
      <c r="B37" s="401">
        <v>1.485365549756021</v>
      </c>
    </row>
    <row r="38">
      <c r="A38" s="18" t="s">
        <v>127</v>
      </c>
      <c r="B38" s="401">
        <v>1.485365549756021</v>
      </c>
    </row>
    <row r="39">
      <c r="A39" s="18" t="s">
        <v>85</v>
      </c>
      <c r="B39" s="401">
        <v>1.4775579275130504</v>
      </c>
    </row>
    <row r="40">
      <c r="A40" s="18" t="s">
        <v>50</v>
      </c>
      <c r="B40" s="401">
        <v>1.0847660129957326</v>
      </c>
    </row>
    <row r="41">
      <c r="A41" s="18" t="s">
        <v>294</v>
      </c>
      <c r="B41" s="401">
        <v>0.9867772630669869</v>
      </c>
    </row>
    <row r="42">
      <c r="A42" s="18" t="s">
        <v>55</v>
      </c>
      <c r="B42" s="401">
        <v>0.9836574699736624</v>
      </c>
    </row>
    <row r="43">
      <c r="A43" s="110" t="s">
        <v>183</v>
      </c>
      <c r="B43" s="401">
        <f>0.86057029+0.934006627510981</f>
        <v>1.794576918</v>
      </c>
      <c r="C43" s="110" t="s">
        <v>3825</v>
      </c>
    </row>
    <row r="44">
      <c r="A44" s="18" t="s">
        <v>295</v>
      </c>
      <c r="B44" s="401">
        <v>0.9340066275109806</v>
      </c>
    </row>
    <row r="45">
      <c r="A45" s="18" t="s">
        <v>53</v>
      </c>
      <c r="B45" s="401">
        <v>0.8605702948480661</v>
      </c>
    </row>
    <row r="46">
      <c r="A46" s="18" t="s">
        <v>159</v>
      </c>
      <c r="B46" s="401">
        <v>0.8605702948480661</v>
      </c>
    </row>
    <row r="47">
      <c r="A47" s="18" t="s">
        <v>19</v>
      </c>
      <c r="B47" s="401">
        <v>0.8605702948480661</v>
      </c>
    </row>
    <row r="48">
      <c r="A48" s="18" t="s">
        <v>146</v>
      </c>
      <c r="B48" s="401">
        <v>0.8605702948480661</v>
      </c>
    </row>
    <row r="49">
      <c r="A49" s="18" t="s">
        <v>81</v>
      </c>
      <c r="B49" s="401">
        <v>0.8605702948480661</v>
      </c>
    </row>
    <row r="50">
      <c r="A50" s="18" t="s">
        <v>95</v>
      </c>
      <c r="B50" s="401">
        <v>0.8605702948480661</v>
      </c>
    </row>
    <row r="51">
      <c r="A51" s="18" t="s">
        <v>111</v>
      </c>
      <c r="B51" s="401">
        <v>0.738523050753578</v>
      </c>
    </row>
    <row r="52">
      <c r="A52" s="18" t="s">
        <v>38</v>
      </c>
      <c r="B52" s="401">
        <v>0.738523050753578</v>
      </c>
    </row>
    <row r="53">
      <c r="A53" s="18" t="s">
        <v>324</v>
      </c>
      <c r="B53" s="401">
        <v>0.738523050753578</v>
      </c>
    </row>
    <row r="54">
      <c r="A54" s="18" t="s">
        <v>325</v>
      </c>
      <c r="B54" s="401">
        <v>0.7364431886913616</v>
      </c>
    </row>
    <row r="55">
      <c r="A55" s="18" t="s">
        <v>10</v>
      </c>
      <c r="B55" s="401">
        <v>0.7286501052037924</v>
      </c>
    </row>
    <row r="56">
      <c r="A56" s="18" t="s">
        <v>28</v>
      </c>
      <c r="B56" s="401">
        <v>0.6878322772597879</v>
      </c>
    </row>
    <row r="57">
      <c r="A57" s="18" t="s">
        <v>196</v>
      </c>
      <c r="B57" s="401">
        <v>0.6185556687213061</v>
      </c>
    </row>
    <row r="58">
      <c r="A58" s="18" t="s">
        <v>249</v>
      </c>
      <c r="B58" s="401">
        <v>0.6143959445968734</v>
      </c>
    </row>
    <row r="59">
      <c r="A59" s="18" t="s">
        <v>122</v>
      </c>
      <c r="B59" s="401">
        <v>0.6143959445968734</v>
      </c>
    </row>
    <row r="60">
      <c r="A60" s="18" t="s">
        <v>153</v>
      </c>
      <c r="B60" s="401">
        <v>0.49234870050238533</v>
      </c>
    </row>
    <row r="61">
      <c r="A61" s="18" t="s">
        <v>24</v>
      </c>
      <c r="B61" s="401">
        <v>0.49234870050238533</v>
      </c>
    </row>
    <row r="62">
      <c r="A62" s="18" t="s">
        <v>79</v>
      </c>
      <c r="B62" s="401">
        <v>0.49234870050238533</v>
      </c>
    </row>
    <row r="63">
      <c r="A63" s="18" t="s">
        <v>47</v>
      </c>
      <c r="B63" s="401">
        <v>0.49234870050238533</v>
      </c>
    </row>
    <row r="64">
      <c r="A64" s="18" t="s">
        <v>176</v>
      </c>
      <c r="B64" s="401">
        <v>0.49026883844016905</v>
      </c>
    </row>
    <row r="65">
      <c r="A65" s="18" t="s">
        <v>117</v>
      </c>
      <c r="B65" s="401">
        <v>0.45147516582649905</v>
      </c>
    </row>
    <row r="66">
      <c r="A66" s="18" t="s">
        <v>29</v>
      </c>
      <c r="B66" s="401">
        <v>0.44986544170206644</v>
      </c>
    </row>
    <row r="67">
      <c r="A67" s="18" t="s">
        <v>59</v>
      </c>
      <c r="B67" s="401">
        <v>0.2948676958528369</v>
      </c>
    </row>
    <row r="68">
      <c r="A68" s="18" t="s">
        <v>123</v>
      </c>
      <c r="B68" s="401">
        <v>0.24617435025119266</v>
      </c>
    </row>
    <row r="69">
      <c r="A69" s="18" t="s">
        <v>312</v>
      </c>
      <c r="B69" s="401">
        <v>0.12308717512559633</v>
      </c>
    </row>
    <row r="70">
      <c r="A70" s="18" t="s">
        <v>131</v>
      </c>
      <c r="B70" s="401">
        <v>0.12308717512559633</v>
      </c>
    </row>
    <row r="71">
      <c r="A71" s="18" t="s">
        <v>160</v>
      </c>
      <c r="B71" s="401">
        <v>0.12308717512559633</v>
      </c>
    </row>
    <row r="72">
      <c r="A72" s="18" t="s">
        <v>120</v>
      </c>
      <c r="B72" s="401">
        <v>0.12308717512559633</v>
      </c>
    </row>
    <row r="73">
      <c r="A73" s="18" t="s">
        <v>372</v>
      </c>
      <c r="B73" s="401">
        <v>0.12308717512559633</v>
      </c>
    </row>
    <row r="74">
      <c r="A74" s="18" t="s">
        <v>257</v>
      </c>
      <c r="B74" s="401">
        <v>0.12308717512559633</v>
      </c>
    </row>
    <row r="75">
      <c r="A75" s="18" t="s">
        <v>88</v>
      </c>
      <c r="B75" s="401">
        <v>0.12308717512559633</v>
      </c>
    </row>
    <row r="76">
      <c r="A76" s="18" t="s">
        <v>373</v>
      </c>
      <c r="B76" s="401">
        <v>0.12308717512559633</v>
      </c>
    </row>
    <row r="77">
      <c r="A77" s="18" t="s">
        <v>100</v>
      </c>
      <c r="B77" s="401">
        <v>0.12308717512559633</v>
      </c>
    </row>
    <row r="78">
      <c r="A78" s="18" t="s">
        <v>137</v>
      </c>
      <c r="B78" s="401">
        <v>0.12308717512559633</v>
      </c>
    </row>
    <row r="79">
      <c r="A79" s="18" t="s">
        <v>154</v>
      </c>
      <c r="B79" s="401">
        <v>0.12308717512559633</v>
      </c>
    </row>
    <row r="80">
      <c r="A80" s="18" t="s">
        <v>86</v>
      </c>
      <c r="B80" s="401">
        <v>0.12308717512559633</v>
      </c>
    </row>
    <row r="81">
      <c r="A81" s="18" t="s">
        <v>27</v>
      </c>
      <c r="B81" s="401">
        <v>0.12308717512559633</v>
      </c>
    </row>
    <row r="82">
      <c r="A82" s="18" t="s">
        <v>65</v>
      </c>
      <c r="B82" s="401">
        <v>0.12308717512559633</v>
      </c>
    </row>
    <row r="83">
      <c r="A83" s="18" t="s">
        <v>77</v>
      </c>
      <c r="B83" s="401">
        <v>0.12308717512559633</v>
      </c>
    </row>
    <row r="84">
      <c r="A84" s="18" t="s">
        <v>84</v>
      </c>
      <c r="B84" s="401">
        <v>0.12308717512559633</v>
      </c>
    </row>
    <row r="85">
      <c r="A85" s="18" t="s">
        <v>114</v>
      </c>
      <c r="B85" s="401">
        <v>0.12308717512559633</v>
      </c>
    </row>
    <row r="86">
      <c r="A86" s="18" t="s">
        <v>374</v>
      </c>
      <c r="B86" s="401">
        <v>0.12308717512559633</v>
      </c>
    </row>
    <row r="87">
      <c r="A87" s="18" t="s">
        <v>299</v>
      </c>
      <c r="B87" s="401">
        <v>0.12308717512559633</v>
      </c>
    </row>
    <row r="88">
      <c r="A88" s="18" t="s">
        <v>144</v>
      </c>
      <c r="B88" s="401">
        <v>0.12308717512559633</v>
      </c>
    </row>
    <row r="89">
      <c r="A89" s="18" t="s">
        <v>379</v>
      </c>
      <c r="B89" s="401">
        <v>0.07343633266291454</v>
      </c>
    </row>
    <row r="90">
      <c r="A90" s="18" t="s">
        <v>380</v>
      </c>
      <c r="B90" s="401">
        <v>0.07343633266291454</v>
      </c>
    </row>
    <row r="91">
      <c r="A91" s="18" t="s">
        <v>381</v>
      </c>
      <c r="B91" s="401">
        <v>0.07343633266291454</v>
      </c>
    </row>
    <row r="92">
      <c r="A92" s="322"/>
      <c r="B92" s="401"/>
    </row>
    <row r="93">
      <c r="A93" s="322"/>
      <c r="B93" s="401"/>
    </row>
    <row r="94">
      <c r="A94" s="322"/>
      <c r="B94" s="401"/>
    </row>
    <row r="95">
      <c r="A95" s="322"/>
      <c r="B95" s="401"/>
    </row>
    <row r="96">
      <c r="A96" s="322"/>
      <c r="B96" s="401"/>
    </row>
    <row r="97">
      <c r="A97" s="322"/>
      <c r="B97" s="401"/>
    </row>
    <row r="98">
      <c r="A98" s="322"/>
      <c r="B98" s="401"/>
    </row>
    <row r="99">
      <c r="A99" s="322"/>
      <c r="B99" s="401"/>
    </row>
    <row r="100">
      <c r="A100" s="322"/>
      <c r="B100" s="401"/>
    </row>
    <row r="101">
      <c r="A101" s="322"/>
      <c r="B101" s="401"/>
    </row>
    <row r="102">
      <c r="A102" s="322"/>
      <c r="B102" s="401"/>
    </row>
    <row r="103">
      <c r="A103" s="322"/>
      <c r="B103" s="401"/>
    </row>
    <row r="104">
      <c r="A104" s="322"/>
      <c r="B104" s="401"/>
    </row>
    <row r="105">
      <c r="A105" s="322"/>
      <c r="B105" s="401"/>
    </row>
    <row r="106">
      <c r="A106" s="322"/>
      <c r="B106" s="401"/>
    </row>
    <row r="107">
      <c r="A107" s="322"/>
      <c r="B107" s="401"/>
    </row>
    <row r="108">
      <c r="A108" s="322"/>
      <c r="B108" s="401"/>
    </row>
    <row r="109">
      <c r="A109" s="322"/>
      <c r="B109" s="401"/>
    </row>
    <row r="110">
      <c r="A110" s="322"/>
      <c r="B110" s="401"/>
    </row>
    <row r="111">
      <c r="A111" s="322"/>
      <c r="B111" s="401"/>
    </row>
    <row r="112">
      <c r="A112" s="322"/>
      <c r="B112" s="401"/>
    </row>
    <row r="113">
      <c r="A113" s="322"/>
      <c r="B113" s="401"/>
    </row>
    <row r="114">
      <c r="A114" s="322"/>
      <c r="B114" s="401"/>
    </row>
    <row r="115">
      <c r="A115" s="322"/>
      <c r="B115" s="401"/>
    </row>
    <row r="116">
      <c r="A116" s="322"/>
      <c r="B116" s="401"/>
    </row>
    <row r="117">
      <c r="A117" s="322"/>
      <c r="B117" s="401"/>
    </row>
    <row r="118">
      <c r="A118" s="322"/>
      <c r="B118" s="401"/>
    </row>
    <row r="119">
      <c r="A119" s="322"/>
      <c r="B119" s="401"/>
    </row>
    <row r="120">
      <c r="A120" s="322"/>
      <c r="B120" s="401"/>
    </row>
    <row r="121">
      <c r="A121" s="322"/>
      <c r="B121" s="401"/>
    </row>
    <row r="122">
      <c r="A122" s="322"/>
      <c r="B122" s="401"/>
    </row>
    <row r="123">
      <c r="A123" s="322"/>
      <c r="B123" s="401"/>
    </row>
    <row r="124">
      <c r="A124" s="322"/>
      <c r="B124" s="401"/>
    </row>
    <row r="125">
      <c r="A125" s="322"/>
      <c r="B125" s="401"/>
    </row>
    <row r="126">
      <c r="A126" s="322"/>
      <c r="B126" s="401"/>
    </row>
    <row r="127">
      <c r="A127" s="322"/>
      <c r="B127" s="401"/>
    </row>
    <row r="128">
      <c r="A128" s="322"/>
      <c r="B128" s="401"/>
    </row>
    <row r="129">
      <c r="A129" s="322"/>
      <c r="B129" s="401"/>
    </row>
    <row r="130">
      <c r="A130" s="322"/>
      <c r="B130" s="401"/>
    </row>
    <row r="131">
      <c r="A131" s="322"/>
      <c r="B131" s="401"/>
    </row>
    <row r="132">
      <c r="A132" s="322"/>
      <c r="B132" s="401"/>
    </row>
    <row r="133">
      <c r="A133" s="322"/>
      <c r="B133" s="401"/>
    </row>
    <row r="134">
      <c r="A134" s="322"/>
      <c r="B134" s="401"/>
    </row>
    <row r="135">
      <c r="A135" s="322"/>
      <c r="B135" s="401"/>
    </row>
    <row r="136">
      <c r="A136" s="322"/>
      <c r="B136" s="401"/>
    </row>
    <row r="137">
      <c r="A137" s="322"/>
      <c r="B137" s="401"/>
    </row>
    <row r="138">
      <c r="A138" s="322"/>
      <c r="B138" s="401"/>
    </row>
    <row r="139">
      <c r="A139" s="322"/>
      <c r="B139" s="401"/>
    </row>
    <row r="140">
      <c r="A140" s="322"/>
      <c r="B140" s="401"/>
    </row>
    <row r="141">
      <c r="A141" s="322"/>
      <c r="B141" s="401"/>
    </row>
    <row r="142">
      <c r="A142" s="322"/>
      <c r="B142" s="401"/>
    </row>
    <row r="143">
      <c r="A143" s="322"/>
      <c r="B143" s="401"/>
    </row>
    <row r="144">
      <c r="A144" s="322"/>
      <c r="B144" s="401"/>
    </row>
    <row r="145">
      <c r="A145" s="322"/>
      <c r="B145" s="401"/>
    </row>
    <row r="146">
      <c r="A146" s="322"/>
      <c r="B146" s="401"/>
    </row>
    <row r="147">
      <c r="A147" s="322"/>
      <c r="B147" s="401"/>
    </row>
    <row r="148">
      <c r="A148" s="322"/>
      <c r="B148" s="401"/>
    </row>
    <row r="149">
      <c r="A149" s="322"/>
      <c r="B149" s="401"/>
    </row>
    <row r="150">
      <c r="A150" s="322"/>
      <c r="B150" s="401"/>
    </row>
    <row r="151">
      <c r="A151" s="322"/>
      <c r="B151" s="401"/>
    </row>
    <row r="152">
      <c r="A152" s="322"/>
      <c r="B152" s="401"/>
    </row>
    <row r="153">
      <c r="A153" s="322"/>
      <c r="B153" s="401"/>
    </row>
    <row r="154">
      <c r="A154" s="322"/>
      <c r="B154" s="401"/>
    </row>
    <row r="155">
      <c r="A155" s="322"/>
      <c r="B155" s="401"/>
    </row>
    <row r="156">
      <c r="A156" s="322"/>
      <c r="B156" s="401"/>
    </row>
    <row r="157">
      <c r="A157" s="322"/>
      <c r="B157" s="401"/>
    </row>
    <row r="158">
      <c r="A158" s="322"/>
      <c r="B158" s="401"/>
    </row>
    <row r="159">
      <c r="A159" s="322"/>
      <c r="B159" s="401"/>
    </row>
    <row r="160">
      <c r="A160" s="322"/>
      <c r="B160" s="401"/>
    </row>
    <row r="161">
      <c r="A161" s="322"/>
      <c r="B161" s="401"/>
    </row>
    <row r="162">
      <c r="A162" s="322"/>
      <c r="B162" s="401"/>
    </row>
    <row r="163">
      <c r="A163" s="322"/>
      <c r="B163" s="401"/>
    </row>
    <row r="164">
      <c r="A164" s="322"/>
      <c r="B164" s="401"/>
    </row>
    <row r="165">
      <c r="A165" s="322"/>
      <c r="B165" s="401"/>
    </row>
    <row r="166">
      <c r="A166" s="322"/>
      <c r="B166" s="401"/>
    </row>
    <row r="167">
      <c r="A167" s="322"/>
      <c r="B167" s="401"/>
    </row>
    <row r="168">
      <c r="A168" s="322"/>
      <c r="B168" s="401"/>
    </row>
    <row r="169">
      <c r="A169" s="322"/>
      <c r="B169" s="401"/>
    </row>
    <row r="170">
      <c r="A170" s="322"/>
      <c r="B170" s="401"/>
    </row>
    <row r="171">
      <c r="A171" s="322"/>
      <c r="B171" s="401"/>
    </row>
    <row r="172">
      <c r="A172" s="322"/>
      <c r="B172" s="401"/>
    </row>
    <row r="173">
      <c r="A173" s="322"/>
      <c r="B173" s="401"/>
    </row>
    <row r="174">
      <c r="A174" s="322"/>
      <c r="B174" s="401"/>
    </row>
    <row r="175">
      <c r="A175" s="322"/>
      <c r="B175" s="401"/>
    </row>
    <row r="176">
      <c r="A176" s="322"/>
      <c r="B176" s="401"/>
    </row>
    <row r="177">
      <c r="A177" s="322"/>
      <c r="B177" s="401"/>
    </row>
    <row r="178">
      <c r="A178" s="322"/>
      <c r="B178" s="401"/>
    </row>
    <row r="179">
      <c r="A179" s="322"/>
      <c r="B179" s="401"/>
    </row>
    <row r="180">
      <c r="A180" s="322"/>
      <c r="B180" s="401"/>
    </row>
    <row r="181">
      <c r="A181" s="322"/>
      <c r="B181" s="401"/>
    </row>
    <row r="182">
      <c r="A182" s="322"/>
      <c r="B182" s="401"/>
    </row>
    <row r="183">
      <c r="A183" s="322"/>
      <c r="B183" s="401"/>
    </row>
    <row r="184">
      <c r="A184" s="322"/>
      <c r="B184" s="401"/>
    </row>
    <row r="185">
      <c r="A185" s="322"/>
      <c r="B185" s="401"/>
    </row>
    <row r="186">
      <c r="A186" s="322"/>
      <c r="B186" s="401"/>
    </row>
    <row r="187">
      <c r="A187" s="322"/>
      <c r="B187" s="401"/>
    </row>
    <row r="188">
      <c r="A188" s="322"/>
      <c r="B188" s="401"/>
    </row>
    <row r="189">
      <c r="A189" s="322"/>
      <c r="B189" s="401"/>
    </row>
    <row r="190">
      <c r="A190" s="322"/>
      <c r="B190" s="401"/>
    </row>
    <row r="191">
      <c r="A191" s="322"/>
      <c r="B191" s="401"/>
    </row>
    <row r="192">
      <c r="A192" s="322"/>
      <c r="B192" s="401"/>
    </row>
    <row r="193">
      <c r="A193" s="322"/>
      <c r="B193" s="401"/>
    </row>
    <row r="194">
      <c r="A194" s="322"/>
      <c r="B194" s="401"/>
    </row>
    <row r="195">
      <c r="A195" s="322"/>
      <c r="B195" s="401"/>
    </row>
    <row r="196">
      <c r="A196" s="322"/>
      <c r="B196" s="401"/>
    </row>
    <row r="197">
      <c r="A197" s="322"/>
      <c r="B197" s="401"/>
    </row>
    <row r="198">
      <c r="A198" s="322"/>
      <c r="B198" s="401"/>
    </row>
    <row r="199">
      <c r="A199" s="322"/>
      <c r="B199" s="401"/>
    </row>
    <row r="200">
      <c r="A200" s="322"/>
      <c r="B200" s="401"/>
    </row>
    <row r="201">
      <c r="A201" s="322"/>
      <c r="B201" s="401"/>
    </row>
    <row r="202">
      <c r="A202" s="322"/>
      <c r="B202" s="401"/>
    </row>
    <row r="203">
      <c r="A203" s="322"/>
      <c r="B203" s="401"/>
    </row>
    <row r="204">
      <c r="A204" s="322"/>
      <c r="B204" s="401"/>
    </row>
    <row r="205">
      <c r="A205" s="322"/>
      <c r="B205" s="401"/>
    </row>
    <row r="206">
      <c r="A206" s="322"/>
      <c r="B206" s="401"/>
    </row>
    <row r="207">
      <c r="A207" s="322"/>
      <c r="B207" s="401"/>
    </row>
    <row r="208">
      <c r="A208" s="322"/>
      <c r="B208" s="401"/>
    </row>
    <row r="209">
      <c r="A209" s="322"/>
      <c r="B209" s="401"/>
    </row>
    <row r="210">
      <c r="A210" s="322"/>
      <c r="B210" s="401"/>
    </row>
    <row r="211">
      <c r="A211" s="322"/>
      <c r="B211" s="401"/>
    </row>
    <row r="212">
      <c r="A212" s="322"/>
      <c r="B212" s="401"/>
    </row>
    <row r="213">
      <c r="A213" s="322"/>
      <c r="B213" s="401"/>
    </row>
    <row r="214">
      <c r="A214" s="322"/>
      <c r="B214" s="401"/>
    </row>
    <row r="215">
      <c r="A215" s="322"/>
      <c r="B215" s="401"/>
    </row>
    <row r="216">
      <c r="A216" s="322"/>
      <c r="B216" s="401"/>
    </row>
    <row r="217">
      <c r="A217" s="322"/>
      <c r="B217" s="401"/>
    </row>
    <row r="218">
      <c r="A218" s="322"/>
      <c r="B218" s="401"/>
    </row>
    <row r="219">
      <c r="A219" s="322"/>
      <c r="B219" s="401"/>
    </row>
    <row r="220">
      <c r="A220" s="322"/>
      <c r="B220" s="401"/>
    </row>
    <row r="221">
      <c r="A221" s="322"/>
      <c r="B221" s="401"/>
    </row>
    <row r="222">
      <c r="A222" s="322"/>
      <c r="B222" s="401"/>
    </row>
    <row r="223">
      <c r="A223" s="322"/>
      <c r="B223" s="401"/>
    </row>
    <row r="224">
      <c r="A224" s="322"/>
      <c r="B224" s="401"/>
    </row>
    <row r="225">
      <c r="A225" s="322"/>
      <c r="B225" s="401"/>
    </row>
    <row r="226">
      <c r="A226" s="322"/>
      <c r="B226" s="401"/>
    </row>
    <row r="227">
      <c r="A227" s="322"/>
      <c r="B227" s="401"/>
    </row>
    <row r="228">
      <c r="A228" s="322"/>
      <c r="B228" s="401"/>
    </row>
    <row r="229">
      <c r="A229" s="322"/>
      <c r="B229" s="401"/>
    </row>
    <row r="230">
      <c r="A230" s="322"/>
      <c r="B230" s="401"/>
    </row>
    <row r="231">
      <c r="A231" s="322"/>
      <c r="B231" s="401"/>
    </row>
    <row r="232">
      <c r="A232" s="322"/>
      <c r="B232" s="401"/>
    </row>
    <row r="233">
      <c r="A233" s="322"/>
      <c r="B233" s="401"/>
    </row>
    <row r="234">
      <c r="A234" s="322"/>
      <c r="B234" s="401"/>
    </row>
    <row r="235">
      <c r="A235" s="322"/>
      <c r="B235" s="401"/>
    </row>
    <row r="236">
      <c r="A236" s="322"/>
      <c r="B236" s="401"/>
    </row>
    <row r="237">
      <c r="A237" s="322"/>
      <c r="B237" s="401"/>
    </row>
    <row r="238">
      <c r="A238" s="322"/>
      <c r="B238" s="401"/>
    </row>
    <row r="239">
      <c r="A239" s="322"/>
      <c r="B239" s="401"/>
    </row>
    <row r="240">
      <c r="A240" s="322"/>
      <c r="B240" s="401"/>
    </row>
    <row r="241">
      <c r="A241" s="322"/>
      <c r="B241" s="401"/>
    </row>
    <row r="242">
      <c r="A242" s="322"/>
      <c r="B242" s="401"/>
    </row>
    <row r="243">
      <c r="A243" s="322"/>
      <c r="B243" s="401"/>
    </row>
    <row r="244">
      <c r="A244" s="322"/>
      <c r="B244" s="401"/>
    </row>
    <row r="245">
      <c r="A245" s="322"/>
      <c r="B245" s="401"/>
    </row>
    <row r="246">
      <c r="A246" s="322"/>
      <c r="B246" s="401"/>
    </row>
    <row r="247">
      <c r="A247" s="322"/>
      <c r="B247" s="401"/>
    </row>
    <row r="248">
      <c r="A248" s="322"/>
      <c r="B248" s="401"/>
    </row>
    <row r="249">
      <c r="A249" s="322"/>
      <c r="B249" s="401"/>
    </row>
    <row r="250">
      <c r="A250" s="322"/>
      <c r="B250" s="401"/>
    </row>
    <row r="251">
      <c r="A251" s="322"/>
      <c r="B251" s="401"/>
    </row>
    <row r="252">
      <c r="A252" s="322"/>
      <c r="B252" s="401"/>
    </row>
    <row r="253">
      <c r="A253" s="322"/>
      <c r="B253" s="401"/>
    </row>
    <row r="254">
      <c r="A254" s="322"/>
      <c r="B254" s="401"/>
    </row>
    <row r="255">
      <c r="A255" s="322"/>
      <c r="B255" s="401"/>
    </row>
    <row r="256">
      <c r="A256" s="322"/>
      <c r="B256" s="401"/>
    </row>
    <row r="257">
      <c r="A257" s="322"/>
      <c r="B257" s="401"/>
    </row>
    <row r="258">
      <c r="A258" s="322"/>
      <c r="B258" s="401"/>
    </row>
    <row r="259">
      <c r="A259" s="322"/>
      <c r="B259" s="401"/>
    </row>
    <row r="260">
      <c r="A260" s="322"/>
      <c r="B260" s="401"/>
    </row>
    <row r="261">
      <c r="A261" s="322"/>
      <c r="B261" s="401"/>
    </row>
    <row r="262">
      <c r="A262" s="322"/>
      <c r="B262" s="401"/>
    </row>
    <row r="263">
      <c r="A263" s="322"/>
      <c r="B263" s="401"/>
    </row>
    <row r="264">
      <c r="A264" s="322"/>
      <c r="B264" s="401"/>
    </row>
    <row r="265">
      <c r="A265" s="322"/>
      <c r="B265" s="401"/>
    </row>
    <row r="266">
      <c r="A266" s="322"/>
      <c r="B266" s="401"/>
    </row>
    <row r="267">
      <c r="A267" s="322"/>
      <c r="B267" s="401"/>
    </row>
    <row r="268">
      <c r="A268" s="322"/>
      <c r="B268" s="401"/>
    </row>
    <row r="269">
      <c r="A269" s="322"/>
      <c r="B269" s="401"/>
    </row>
    <row r="270">
      <c r="A270" s="322"/>
      <c r="B270" s="401"/>
    </row>
    <row r="271">
      <c r="A271" s="322"/>
      <c r="B271" s="401"/>
    </row>
    <row r="272">
      <c r="A272" s="322"/>
      <c r="B272" s="401"/>
    </row>
    <row r="273">
      <c r="A273" s="322"/>
      <c r="B273" s="401"/>
    </row>
    <row r="274">
      <c r="A274" s="322"/>
      <c r="B274" s="401"/>
    </row>
    <row r="275">
      <c r="A275" s="322"/>
      <c r="B275" s="401"/>
    </row>
    <row r="276">
      <c r="A276" s="322"/>
      <c r="B276" s="401"/>
    </row>
    <row r="277">
      <c r="A277" s="322"/>
      <c r="B277" s="401"/>
    </row>
    <row r="278">
      <c r="A278" s="322"/>
      <c r="B278" s="401"/>
    </row>
    <row r="279">
      <c r="A279" s="322"/>
      <c r="B279" s="401"/>
    </row>
    <row r="280">
      <c r="A280" s="322"/>
      <c r="B280" s="401"/>
    </row>
    <row r="281">
      <c r="A281" s="322"/>
      <c r="B281" s="401"/>
    </row>
    <row r="282">
      <c r="A282" s="322"/>
      <c r="B282" s="401"/>
    </row>
    <row r="283">
      <c r="A283" s="322"/>
      <c r="B283" s="401"/>
    </row>
    <row r="284">
      <c r="A284" s="322"/>
      <c r="B284" s="401"/>
    </row>
    <row r="285">
      <c r="A285" s="322"/>
      <c r="B285" s="401"/>
    </row>
    <row r="286">
      <c r="A286" s="322"/>
      <c r="B286" s="401"/>
    </row>
    <row r="287">
      <c r="A287" s="322"/>
      <c r="B287" s="401"/>
    </row>
    <row r="288">
      <c r="A288" s="322"/>
      <c r="B288" s="401"/>
    </row>
    <row r="289">
      <c r="A289" s="322"/>
      <c r="B289" s="401"/>
    </row>
    <row r="290">
      <c r="A290" s="322"/>
      <c r="B290" s="401"/>
    </row>
    <row r="291">
      <c r="A291" s="322"/>
      <c r="B291" s="401"/>
    </row>
    <row r="292">
      <c r="A292" s="322"/>
      <c r="B292" s="401"/>
    </row>
    <row r="293">
      <c r="A293" s="322"/>
      <c r="B293" s="401"/>
    </row>
    <row r="294">
      <c r="A294" s="322"/>
      <c r="B294" s="401"/>
    </row>
    <row r="295">
      <c r="A295" s="322"/>
      <c r="B295" s="401"/>
    </row>
    <row r="296">
      <c r="A296" s="322"/>
      <c r="B296" s="401"/>
    </row>
    <row r="297">
      <c r="A297" s="322"/>
      <c r="B297" s="401"/>
    </row>
    <row r="298">
      <c r="A298" s="322"/>
      <c r="B298" s="401"/>
    </row>
    <row r="299">
      <c r="A299" s="322"/>
      <c r="B299" s="401"/>
    </row>
    <row r="300">
      <c r="A300" s="322"/>
      <c r="B300" s="401"/>
    </row>
    <row r="301">
      <c r="A301" s="322"/>
      <c r="B301" s="401"/>
    </row>
    <row r="302">
      <c r="A302" s="322"/>
      <c r="B302" s="401"/>
    </row>
    <row r="303">
      <c r="A303" s="322"/>
      <c r="B303" s="401"/>
    </row>
    <row r="304">
      <c r="A304" s="322"/>
      <c r="B304" s="401"/>
    </row>
    <row r="305">
      <c r="A305" s="322"/>
      <c r="B305" s="401"/>
    </row>
    <row r="306">
      <c r="A306" s="322"/>
      <c r="B306" s="401"/>
    </row>
    <row r="307">
      <c r="A307" s="322"/>
      <c r="B307" s="401"/>
    </row>
    <row r="308">
      <c r="A308" s="322"/>
      <c r="B308" s="401"/>
    </row>
    <row r="309">
      <c r="A309" s="322"/>
      <c r="B309" s="401"/>
    </row>
    <row r="310">
      <c r="A310" s="322"/>
      <c r="B310" s="401"/>
    </row>
    <row r="311">
      <c r="A311" s="322"/>
      <c r="B311" s="401"/>
    </row>
    <row r="312">
      <c r="A312" s="322"/>
      <c r="B312" s="401"/>
    </row>
    <row r="313">
      <c r="A313" s="322"/>
      <c r="B313" s="401"/>
    </row>
    <row r="314">
      <c r="A314" s="322"/>
      <c r="B314" s="401"/>
    </row>
    <row r="315">
      <c r="A315" s="322"/>
      <c r="B315" s="401"/>
    </row>
    <row r="316">
      <c r="A316" s="322"/>
      <c r="B316" s="401"/>
    </row>
    <row r="317">
      <c r="A317" s="322"/>
      <c r="B317" s="401"/>
    </row>
    <row r="318">
      <c r="A318" s="322"/>
      <c r="B318" s="401"/>
    </row>
    <row r="319">
      <c r="A319" s="322"/>
      <c r="B319" s="401"/>
    </row>
    <row r="320">
      <c r="A320" s="322"/>
      <c r="B320" s="401"/>
    </row>
    <row r="321">
      <c r="A321" s="322"/>
      <c r="B321" s="401"/>
    </row>
    <row r="322">
      <c r="A322" s="322"/>
      <c r="B322" s="401"/>
    </row>
    <row r="323">
      <c r="A323" s="322"/>
      <c r="B323" s="401"/>
    </row>
    <row r="324">
      <c r="A324" s="322"/>
      <c r="B324" s="401"/>
    </row>
    <row r="325">
      <c r="A325" s="322"/>
      <c r="B325" s="401"/>
    </row>
    <row r="326">
      <c r="A326" s="322"/>
      <c r="B326" s="401"/>
    </row>
    <row r="327">
      <c r="A327" s="322"/>
      <c r="B327" s="401"/>
    </row>
    <row r="328">
      <c r="A328" s="322"/>
      <c r="B328" s="401"/>
    </row>
    <row r="329">
      <c r="A329" s="322"/>
      <c r="B329" s="401"/>
    </row>
    <row r="330">
      <c r="A330" s="322"/>
      <c r="B330" s="401"/>
    </row>
    <row r="331">
      <c r="A331" s="322"/>
      <c r="B331" s="401"/>
    </row>
    <row r="332">
      <c r="A332" s="322"/>
      <c r="B332" s="401"/>
    </row>
    <row r="333">
      <c r="A333" s="322"/>
      <c r="B333" s="401"/>
    </row>
    <row r="334">
      <c r="A334" s="322"/>
      <c r="B334" s="401"/>
    </row>
    <row r="335">
      <c r="A335" s="322"/>
      <c r="B335" s="401"/>
    </row>
    <row r="336">
      <c r="A336" s="322"/>
      <c r="B336" s="401"/>
    </row>
    <row r="337">
      <c r="A337" s="322"/>
      <c r="B337" s="401"/>
    </row>
    <row r="338">
      <c r="A338" s="322"/>
      <c r="B338" s="401"/>
    </row>
    <row r="339">
      <c r="A339" s="322"/>
      <c r="B339" s="401"/>
    </row>
    <row r="340">
      <c r="A340" s="322"/>
      <c r="B340" s="401"/>
    </row>
    <row r="341">
      <c r="A341" s="322"/>
      <c r="B341" s="401"/>
    </row>
    <row r="342">
      <c r="A342" s="322"/>
      <c r="B342" s="401"/>
    </row>
    <row r="343">
      <c r="A343" s="322"/>
      <c r="B343" s="401"/>
    </row>
    <row r="344">
      <c r="A344" s="322"/>
      <c r="B344" s="401"/>
    </row>
    <row r="345">
      <c r="A345" s="322"/>
      <c r="B345" s="401"/>
    </row>
    <row r="346">
      <c r="A346" s="322"/>
      <c r="B346" s="401"/>
    </row>
    <row r="347">
      <c r="A347" s="322"/>
      <c r="B347" s="401"/>
    </row>
    <row r="348">
      <c r="A348" s="322"/>
      <c r="B348" s="401"/>
    </row>
    <row r="349">
      <c r="A349" s="322"/>
      <c r="B349" s="401"/>
    </row>
    <row r="350">
      <c r="A350" s="322"/>
      <c r="B350" s="401"/>
    </row>
    <row r="351">
      <c r="A351" s="322"/>
      <c r="B351" s="401"/>
    </row>
    <row r="352">
      <c r="A352" s="322"/>
      <c r="B352" s="401"/>
    </row>
    <row r="353">
      <c r="A353" s="322"/>
      <c r="B353" s="401"/>
    </row>
    <row r="354">
      <c r="A354" s="322"/>
      <c r="B354" s="401"/>
    </row>
    <row r="355">
      <c r="A355" s="322"/>
      <c r="B355" s="401"/>
    </row>
    <row r="356">
      <c r="A356" s="322"/>
      <c r="B356" s="401"/>
    </row>
    <row r="357">
      <c r="A357" s="322"/>
      <c r="B357" s="401"/>
    </row>
    <row r="358">
      <c r="A358" s="322"/>
      <c r="B358" s="401"/>
    </row>
    <row r="359">
      <c r="A359" s="322"/>
      <c r="B359" s="401"/>
    </row>
    <row r="360">
      <c r="A360" s="322"/>
      <c r="B360" s="401"/>
    </row>
    <row r="361">
      <c r="A361" s="322"/>
      <c r="B361" s="401"/>
    </row>
    <row r="362">
      <c r="A362" s="322"/>
      <c r="B362" s="401"/>
    </row>
    <row r="363">
      <c r="A363" s="322"/>
      <c r="B363" s="401"/>
    </row>
    <row r="364">
      <c r="A364" s="322"/>
      <c r="B364" s="401"/>
    </row>
    <row r="365">
      <c r="A365" s="322"/>
      <c r="B365" s="401"/>
    </row>
    <row r="366">
      <c r="A366" s="322"/>
      <c r="B366" s="401"/>
    </row>
    <row r="367">
      <c r="A367" s="322"/>
      <c r="B367" s="401"/>
    </row>
    <row r="368">
      <c r="A368" s="322"/>
      <c r="B368" s="401"/>
    </row>
    <row r="369">
      <c r="A369" s="322"/>
      <c r="B369" s="401"/>
    </row>
    <row r="370">
      <c r="A370" s="322"/>
      <c r="B370" s="401"/>
    </row>
    <row r="371">
      <c r="A371" s="322"/>
      <c r="B371" s="401"/>
    </row>
    <row r="372">
      <c r="A372" s="322"/>
      <c r="B372" s="401"/>
    </row>
    <row r="373">
      <c r="A373" s="322"/>
      <c r="B373" s="401"/>
    </row>
    <row r="374">
      <c r="A374" s="322"/>
      <c r="B374" s="401"/>
    </row>
    <row r="375">
      <c r="A375" s="322"/>
      <c r="B375" s="401"/>
    </row>
    <row r="376">
      <c r="A376" s="322"/>
      <c r="B376" s="401"/>
    </row>
    <row r="377">
      <c r="A377" s="322"/>
      <c r="B377" s="401"/>
    </row>
    <row r="378">
      <c r="A378" s="322"/>
      <c r="B378" s="401"/>
    </row>
    <row r="379">
      <c r="A379" s="322"/>
      <c r="B379" s="401"/>
    </row>
    <row r="380">
      <c r="A380" s="322"/>
      <c r="B380" s="401"/>
    </row>
    <row r="381">
      <c r="A381" s="322"/>
      <c r="B381" s="401"/>
    </row>
    <row r="382">
      <c r="A382" s="322"/>
      <c r="B382" s="401"/>
    </row>
    <row r="383">
      <c r="A383" s="322"/>
      <c r="B383" s="401"/>
    </row>
    <row r="384">
      <c r="A384" s="322"/>
      <c r="B384" s="401"/>
    </row>
    <row r="385">
      <c r="A385" s="322"/>
      <c r="B385" s="401"/>
    </row>
    <row r="386">
      <c r="A386" s="322"/>
      <c r="B386" s="401"/>
    </row>
    <row r="387">
      <c r="A387" s="322"/>
      <c r="B387" s="401"/>
    </row>
    <row r="388">
      <c r="A388" s="322"/>
      <c r="B388" s="401"/>
    </row>
    <row r="389">
      <c r="A389" s="322"/>
      <c r="B389" s="401"/>
    </row>
    <row r="390">
      <c r="A390" s="322"/>
      <c r="B390" s="401"/>
    </row>
    <row r="391">
      <c r="A391" s="322"/>
      <c r="B391" s="401"/>
    </row>
    <row r="392">
      <c r="A392" s="322"/>
      <c r="B392" s="401"/>
    </row>
    <row r="393">
      <c r="A393" s="322"/>
      <c r="B393" s="401"/>
    </row>
    <row r="394">
      <c r="A394" s="322"/>
      <c r="B394" s="401"/>
    </row>
    <row r="395">
      <c r="A395" s="322"/>
      <c r="B395" s="401"/>
    </row>
    <row r="396">
      <c r="A396" s="322"/>
      <c r="B396" s="401"/>
    </row>
    <row r="397">
      <c r="A397" s="322"/>
      <c r="B397" s="401"/>
    </row>
    <row r="398">
      <c r="A398" s="322"/>
      <c r="B398" s="401"/>
    </row>
    <row r="399">
      <c r="A399" s="322"/>
      <c r="B399" s="401"/>
    </row>
    <row r="400">
      <c r="A400" s="322"/>
      <c r="B400" s="401"/>
    </row>
    <row r="401">
      <c r="A401" s="322"/>
      <c r="B401" s="401"/>
    </row>
    <row r="402">
      <c r="A402" s="322"/>
      <c r="B402" s="401"/>
    </row>
    <row r="403">
      <c r="A403" s="322"/>
      <c r="B403" s="401"/>
    </row>
    <row r="404">
      <c r="A404" s="322"/>
      <c r="B404" s="401"/>
    </row>
    <row r="405">
      <c r="A405" s="322"/>
      <c r="B405" s="401"/>
    </row>
    <row r="406">
      <c r="A406" s="322"/>
      <c r="B406" s="401"/>
    </row>
    <row r="407">
      <c r="A407" s="322"/>
      <c r="B407" s="401"/>
    </row>
    <row r="408">
      <c r="A408" s="322"/>
      <c r="B408" s="401"/>
    </row>
    <row r="409">
      <c r="A409" s="322"/>
      <c r="B409" s="401"/>
    </row>
    <row r="410">
      <c r="A410" s="322"/>
      <c r="B410" s="401"/>
    </row>
    <row r="411">
      <c r="A411" s="322"/>
      <c r="B411" s="401"/>
    </row>
    <row r="412">
      <c r="A412" s="322"/>
      <c r="B412" s="401"/>
    </row>
    <row r="413">
      <c r="A413" s="322"/>
      <c r="B413" s="401"/>
    </row>
    <row r="414">
      <c r="A414" s="322"/>
      <c r="B414" s="401"/>
    </row>
    <row r="415">
      <c r="A415" s="322"/>
      <c r="B415" s="401"/>
    </row>
    <row r="416">
      <c r="A416" s="322"/>
      <c r="B416" s="401"/>
    </row>
    <row r="417">
      <c r="A417" s="322"/>
      <c r="B417" s="401"/>
    </row>
    <row r="418">
      <c r="A418" s="322"/>
      <c r="B418" s="401"/>
    </row>
    <row r="419">
      <c r="A419" s="322"/>
      <c r="B419" s="401"/>
    </row>
    <row r="420">
      <c r="A420" s="322"/>
      <c r="B420" s="401"/>
    </row>
    <row r="421">
      <c r="A421" s="322"/>
      <c r="B421" s="401"/>
    </row>
    <row r="422">
      <c r="A422" s="322"/>
      <c r="B422" s="401"/>
    </row>
    <row r="423">
      <c r="A423" s="322"/>
      <c r="B423" s="401"/>
    </row>
    <row r="424">
      <c r="A424" s="322"/>
      <c r="B424" s="401"/>
    </row>
    <row r="425">
      <c r="A425" s="322"/>
      <c r="B425" s="401"/>
    </row>
    <row r="426">
      <c r="A426" s="322"/>
      <c r="B426" s="401"/>
    </row>
    <row r="427">
      <c r="A427" s="322"/>
      <c r="B427" s="401"/>
    </row>
    <row r="428">
      <c r="A428" s="322"/>
      <c r="B428" s="401"/>
    </row>
    <row r="429">
      <c r="A429" s="322"/>
      <c r="B429" s="401"/>
    </row>
    <row r="430">
      <c r="A430" s="322"/>
      <c r="B430" s="401"/>
    </row>
    <row r="431">
      <c r="A431" s="322"/>
      <c r="B431" s="401"/>
    </row>
    <row r="432">
      <c r="A432" s="322"/>
      <c r="B432" s="401"/>
    </row>
    <row r="433">
      <c r="A433" s="322"/>
      <c r="B433" s="401"/>
    </row>
    <row r="434">
      <c r="A434" s="322"/>
      <c r="B434" s="401"/>
    </row>
    <row r="435">
      <c r="A435" s="322"/>
      <c r="B435" s="401"/>
    </row>
    <row r="436">
      <c r="A436" s="322"/>
      <c r="B436" s="401"/>
    </row>
    <row r="437">
      <c r="A437" s="322"/>
      <c r="B437" s="401"/>
    </row>
    <row r="438">
      <c r="A438" s="322"/>
      <c r="B438" s="401"/>
    </row>
    <row r="439">
      <c r="A439" s="322"/>
      <c r="B439" s="401"/>
    </row>
    <row r="440">
      <c r="A440" s="322"/>
      <c r="B440" s="401"/>
    </row>
    <row r="441">
      <c r="A441" s="322"/>
      <c r="B441" s="401"/>
    </row>
    <row r="442">
      <c r="A442" s="322"/>
      <c r="B442" s="401"/>
    </row>
    <row r="443">
      <c r="A443" s="322"/>
      <c r="B443" s="401"/>
    </row>
    <row r="444">
      <c r="A444" s="322"/>
      <c r="B444" s="401"/>
    </row>
    <row r="445">
      <c r="A445" s="322"/>
      <c r="B445" s="401"/>
    </row>
    <row r="446">
      <c r="A446" s="322"/>
      <c r="B446" s="401"/>
    </row>
    <row r="447">
      <c r="A447" s="322"/>
      <c r="B447" s="401"/>
    </row>
    <row r="448">
      <c r="A448" s="322"/>
      <c r="B448" s="401"/>
    </row>
    <row r="449">
      <c r="A449" s="322"/>
      <c r="B449" s="401"/>
    </row>
    <row r="450">
      <c r="A450" s="322"/>
      <c r="B450" s="401"/>
    </row>
    <row r="451">
      <c r="A451" s="322"/>
      <c r="B451" s="401"/>
    </row>
    <row r="452">
      <c r="A452" s="322"/>
      <c r="B452" s="401"/>
    </row>
    <row r="453">
      <c r="A453" s="322"/>
      <c r="B453" s="401"/>
    </row>
    <row r="454">
      <c r="A454" s="322"/>
      <c r="B454" s="401"/>
    </row>
    <row r="455">
      <c r="A455" s="322"/>
      <c r="B455" s="401"/>
    </row>
    <row r="456">
      <c r="A456" s="322"/>
      <c r="B456" s="401"/>
    </row>
    <row r="457">
      <c r="A457" s="322"/>
      <c r="B457" s="401"/>
    </row>
    <row r="458">
      <c r="A458" s="322"/>
      <c r="B458" s="401"/>
    </row>
    <row r="459">
      <c r="A459" s="322"/>
      <c r="B459" s="401"/>
    </row>
    <row r="460">
      <c r="A460" s="322"/>
      <c r="B460" s="401"/>
    </row>
    <row r="461">
      <c r="A461" s="322"/>
      <c r="B461" s="401"/>
    </row>
    <row r="462">
      <c r="A462" s="322"/>
      <c r="B462" s="401"/>
    </row>
    <row r="463">
      <c r="A463" s="322"/>
      <c r="B463" s="401"/>
    </row>
    <row r="464">
      <c r="A464" s="322"/>
      <c r="B464" s="401"/>
    </row>
    <row r="465">
      <c r="A465" s="322"/>
      <c r="B465" s="401"/>
    </row>
    <row r="466">
      <c r="A466" s="322"/>
      <c r="B466" s="401"/>
    </row>
    <row r="467">
      <c r="A467" s="322"/>
      <c r="B467" s="401"/>
    </row>
    <row r="468">
      <c r="A468" s="322"/>
      <c r="B468" s="401"/>
    </row>
    <row r="469">
      <c r="A469" s="322"/>
      <c r="B469" s="401"/>
    </row>
    <row r="470">
      <c r="A470" s="322"/>
      <c r="B470" s="401"/>
    </row>
    <row r="471">
      <c r="A471" s="322"/>
      <c r="B471" s="401"/>
    </row>
    <row r="472">
      <c r="A472" s="322"/>
      <c r="B472" s="401"/>
    </row>
    <row r="473">
      <c r="A473" s="322"/>
      <c r="B473" s="401"/>
    </row>
    <row r="474">
      <c r="A474" s="322"/>
      <c r="B474" s="401"/>
    </row>
    <row r="475">
      <c r="A475" s="322"/>
      <c r="B475" s="401"/>
    </row>
    <row r="476">
      <c r="A476" s="322"/>
      <c r="B476" s="401"/>
    </row>
    <row r="477">
      <c r="A477" s="322"/>
      <c r="B477" s="401"/>
    </row>
    <row r="478">
      <c r="A478" s="322"/>
      <c r="B478" s="401"/>
    </row>
    <row r="479">
      <c r="A479" s="322"/>
      <c r="B479" s="401"/>
    </row>
    <row r="480">
      <c r="A480" s="322"/>
      <c r="B480" s="401"/>
    </row>
    <row r="481">
      <c r="A481" s="322"/>
      <c r="B481" s="401"/>
    </row>
    <row r="482">
      <c r="A482" s="322"/>
      <c r="B482" s="401"/>
    </row>
    <row r="483">
      <c r="A483" s="322"/>
      <c r="B483" s="401"/>
    </row>
    <row r="484">
      <c r="A484" s="322"/>
      <c r="B484" s="401"/>
    </row>
    <row r="485">
      <c r="A485" s="322"/>
      <c r="B485" s="401"/>
    </row>
    <row r="486">
      <c r="A486" s="322"/>
      <c r="B486" s="401"/>
    </row>
    <row r="487">
      <c r="A487" s="322"/>
      <c r="B487" s="401"/>
    </row>
    <row r="488">
      <c r="A488" s="322"/>
      <c r="B488" s="401"/>
    </row>
    <row r="489">
      <c r="A489" s="322"/>
      <c r="B489" s="401"/>
    </row>
    <row r="490">
      <c r="A490" s="322"/>
      <c r="B490" s="401"/>
    </row>
    <row r="491">
      <c r="A491" s="322"/>
      <c r="B491" s="401"/>
    </row>
    <row r="492">
      <c r="A492" s="322"/>
      <c r="B492" s="401"/>
    </row>
    <row r="493">
      <c r="A493" s="322"/>
      <c r="B493" s="401"/>
    </row>
    <row r="494">
      <c r="A494" s="322"/>
      <c r="B494" s="401"/>
    </row>
    <row r="495">
      <c r="A495" s="322"/>
      <c r="B495" s="401"/>
    </row>
    <row r="496">
      <c r="A496" s="322"/>
      <c r="B496" s="401"/>
    </row>
    <row r="497">
      <c r="A497" s="322"/>
      <c r="B497" s="401"/>
    </row>
    <row r="498">
      <c r="A498" s="322"/>
      <c r="B498" s="401"/>
    </row>
    <row r="499">
      <c r="A499" s="322"/>
      <c r="B499" s="401"/>
    </row>
    <row r="500">
      <c r="A500" s="322"/>
      <c r="B500" s="401"/>
    </row>
    <row r="501">
      <c r="A501" s="322"/>
      <c r="B501" s="401"/>
    </row>
    <row r="502">
      <c r="A502" s="322"/>
      <c r="B502" s="401"/>
    </row>
    <row r="503">
      <c r="A503" s="322"/>
      <c r="B503" s="401"/>
    </row>
    <row r="504">
      <c r="A504" s="322"/>
      <c r="B504" s="401"/>
    </row>
    <row r="505">
      <c r="A505" s="322"/>
      <c r="B505" s="401"/>
    </row>
    <row r="506">
      <c r="A506" s="322"/>
      <c r="B506" s="401"/>
    </row>
    <row r="507">
      <c r="A507" s="322"/>
      <c r="B507" s="401"/>
    </row>
    <row r="508">
      <c r="A508" s="322"/>
      <c r="B508" s="401"/>
    </row>
    <row r="509">
      <c r="A509" s="322"/>
      <c r="B509" s="401"/>
    </row>
    <row r="510">
      <c r="A510" s="322"/>
      <c r="B510" s="401"/>
    </row>
    <row r="511">
      <c r="A511" s="322"/>
      <c r="B511" s="401"/>
    </row>
    <row r="512">
      <c r="A512" s="322"/>
      <c r="B512" s="401"/>
    </row>
    <row r="513">
      <c r="A513" s="322"/>
      <c r="B513" s="401"/>
    </row>
    <row r="514">
      <c r="A514" s="322"/>
      <c r="B514" s="401"/>
    </row>
    <row r="515">
      <c r="A515" s="322"/>
      <c r="B515" s="401"/>
    </row>
    <row r="516">
      <c r="A516" s="322"/>
      <c r="B516" s="401"/>
    </row>
    <row r="517">
      <c r="A517" s="322"/>
      <c r="B517" s="401"/>
    </row>
    <row r="518">
      <c r="A518" s="322"/>
      <c r="B518" s="401"/>
    </row>
    <row r="519">
      <c r="A519" s="322"/>
      <c r="B519" s="401"/>
    </row>
    <row r="520">
      <c r="A520" s="322"/>
      <c r="B520" s="401"/>
    </row>
    <row r="521">
      <c r="A521" s="322"/>
      <c r="B521" s="401"/>
    </row>
    <row r="522">
      <c r="A522" s="322"/>
      <c r="B522" s="401"/>
    </row>
    <row r="523">
      <c r="A523" s="322"/>
      <c r="B523" s="401"/>
    </row>
    <row r="524">
      <c r="A524" s="322"/>
      <c r="B524" s="401"/>
    </row>
    <row r="525">
      <c r="A525" s="322"/>
      <c r="B525" s="401"/>
    </row>
    <row r="526">
      <c r="A526" s="322"/>
      <c r="B526" s="401"/>
    </row>
    <row r="527">
      <c r="A527" s="322"/>
      <c r="B527" s="401"/>
    </row>
    <row r="528">
      <c r="A528" s="322"/>
      <c r="B528" s="401"/>
    </row>
    <row r="529">
      <c r="A529" s="322"/>
      <c r="B529" s="401"/>
    </row>
    <row r="530">
      <c r="A530" s="322"/>
      <c r="B530" s="401"/>
    </row>
    <row r="531">
      <c r="A531" s="322"/>
      <c r="B531" s="401"/>
    </row>
    <row r="532">
      <c r="A532" s="322"/>
      <c r="B532" s="401"/>
    </row>
    <row r="533">
      <c r="A533" s="322"/>
      <c r="B533" s="401"/>
    </row>
    <row r="534">
      <c r="A534" s="322"/>
      <c r="B534" s="401"/>
    </row>
    <row r="535">
      <c r="A535" s="322"/>
      <c r="B535" s="401"/>
    </row>
    <row r="536">
      <c r="A536" s="322"/>
      <c r="B536" s="401"/>
    </row>
    <row r="537">
      <c r="A537" s="322"/>
      <c r="B537" s="401"/>
    </row>
    <row r="538">
      <c r="A538" s="322"/>
      <c r="B538" s="401"/>
    </row>
    <row r="539">
      <c r="A539" s="322"/>
      <c r="B539" s="401"/>
    </row>
    <row r="540">
      <c r="A540" s="322"/>
      <c r="B540" s="401"/>
    </row>
    <row r="541">
      <c r="A541" s="322"/>
      <c r="B541" s="401"/>
    </row>
    <row r="542">
      <c r="A542" s="322"/>
      <c r="B542" s="401"/>
    </row>
    <row r="543">
      <c r="A543" s="322"/>
      <c r="B543" s="401"/>
    </row>
    <row r="544">
      <c r="A544" s="322"/>
      <c r="B544" s="401"/>
    </row>
    <row r="545">
      <c r="A545" s="322"/>
      <c r="B545" s="401"/>
    </row>
    <row r="546">
      <c r="A546" s="322"/>
      <c r="B546" s="401"/>
    </row>
    <row r="547">
      <c r="A547" s="322"/>
      <c r="B547" s="401"/>
    </row>
    <row r="548">
      <c r="A548" s="322"/>
      <c r="B548" s="401"/>
    </row>
    <row r="549">
      <c r="A549" s="322"/>
      <c r="B549" s="401"/>
    </row>
    <row r="550">
      <c r="A550" s="322"/>
      <c r="B550" s="401"/>
    </row>
    <row r="551">
      <c r="A551" s="322"/>
      <c r="B551" s="401"/>
    </row>
    <row r="552">
      <c r="A552" s="322"/>
      <c r="B552" s="401"/>
    </row>
    <row r="553">
      <c r="A553" s="322"/>
      <c r="B553" s="401"/>
    </row>
    <row r="554">
      <c r="A554" s="322"/>
      <c r="B554" s="401"/>
    </row>
    <row r="555">
      <c r="A555" s="322"/>
      <c r="B555" s="401"/>
    </row>
    <row r="556">
      <c r="A556" s="322"/>
      <c r="B556" s="401"/>
    </row>
    <row r="557">
      <c r="A557" s="322"/>
      <c r="B557" s="401"/>
    </row>
    <row r="558">
      <c r="A558" s="322"/>
      <c r="B558" s="401"/>
    </row>
    <row r="559">
      <c r="A559" s="322"/>
      <c r="B559" s="401"/>
    </row>
    <row r="560">
      <c r="A560" s="322"/>
      <c r="B560" s="401"/>
    </row>
    <row r="561">
      <c r="A561" s="322"/>
      <c r="B561" s="401"/>
    </row>
    <row r="562">
      <c r="A562" s="322"/>
      <c r="B562" s="401"/>
    </row>
    <row r="563">
      <c r="A563" s="322"/>
      <c r="B563" s="401"/>
    </row>
    <row r="564">
      <c r="A564" s="322"/>
      <c r="B564" s="401"/>
    </row>
    <row r="565">
      <c r="A565" s="322"/>
      <c r="B565" s="401"/>
    </row>
    <row r="566">
      <c r="A566" s="322"/>
      <c r="B566" s="401"/>
    </row>
    <row r="567">
      <c r="A567" s="322"/>
      <c r="B567" s="401"/>
    </row>
    <row r="568">
      <c r="A568" s="322"/>
      <c r="B568" s="401"/>
    </row>
    <row r="569">
      <c r="A569" s="322"/>
      <c r="B569" s="401"/>
    </row>
    <row r="570">
      <c r="A570" s="322"/>
      <c r="B570" s="401"/>
    </row>
    <row r="571">
      <c r="A571" s="322"/>
      <c r="B571" s="401"/>
    </row>
    <row r="572">
      <c r="A572" s="322"/>
      <c r="B572" s="401"/>
    </row>
    <row r="573">
      <c r="A573" s="322"/>
      <c r="B573" s="401"/>
    </row>
    <row r="574">
      <c r="A574" s="322"/>
      <c r="B574" s="401"/>
    </row>
    <row r="575">
      <c r="A575" s="322"/>
      <c r="B575" s="401"/>
    </row>
    <row r="576">
      <c r="A576" s="322"/>
      <c r="B576" s="401"/>
    </row>
    <row r="577">
      <c r="A577" s="322"/>
      <c r="B577" s="401"/>
    </row>
    <row r="578">
      <c r="A578" s="322"/>
      <c r="B578" s="401"/>
    </row>
    <row r="579">
      <c r="A579" s="322"/>
      <c r="B579" s="401"/>
    </row>
    <row r="580">
      <c r="A580" s="322"/>
      <c r="B580" s="401"/>
    </row>
    <row r="581">
      <c r="A581" s="322"/>
      <c r="B581" s="401"/>
    </row>
    <row r="582">
      <c r="A582" s="322"/>
      <c r="B582" s="401"/>
    </row>
    <row r="583">
      <c r="A583" s="322"/>
      <c r="B583" s="401"/>
    </row>
    <row r="584">
      <c r="A584" s="322"/>
      <c r="B584" s="401"/>
    </row>
    <row r="585">
      <c r="A585" s="322"/>
      <c r="B585" s="401"/>
    </row>
    <row r="586">
      <c r="A586" s="322"/>
      <c r="B586" s="401"/>
    </row>
    <row r="587">
      <c r="A587" s="322"/>
      <c r="B587" s="401"/>
    </row>
    <row r="588">
      <c r="A588" s="322"/>
      <c r="B588" s="401"/>
    </row>
    <row r="589">
      <c r="A589" s="322"/>
      <c r="B589" s="401"/>
    </row>
    <row r="590">
      <c r="A590" s="322"/>
      <c r="B590" s="401"/>
    </row>
    <row r="591">
      <c r="A591" s="322"/>
      <c r="B591" s="401"/>
    </row>
    <row r="592">
      <c r="A592" s="322"/>
      <c r="B592" s="401"/>
    </row>
    <row r="593">
      <c r="A593" s="322"/>
      <c r="B593" s="401"/>
    </row>
    <row r="594">
      <c r="A594" s="322"/>
      <c r="B594" s="401"/>
    </row>
    <row r="595">
      <c r="A595" s="322"/>
      <c r="B595" s="401"/>
    </row>
    <row r="596">
      <c r="A596" s="322"/>
      <c r="B596" s="401"/>
    </row>
    <row r="597">
      <c r="A597" s="322"/>
      <c r="B597" s="401"/>
    </row>
    <row r="598">
      <c r="A598" s="322"/>
      <c r="B598" s="401"/>
    </row>
    <row r="599">
      <c r="A599" s="322"/>
      <c r="B599" s="401"/>
    </row>
    <row r="600">
      <c r="A600" s="322"/>
      <c r="B600" s="401"/>
    </row>
    <row r="601">
      <c r="A601" s="322"/>
      <c r="B601" s="401"/>
    </row>
    <row r="602">
      <c r="A602" s="322"/>
      <c r="B602" s="401"/>
    </row>
    <row r="603">
      <c r="A603" s="322"/>
      <c r="B603" s="401"/>
    </row>
    <row r="604">
      <c r="A604" s="322"/>
      <c r="B604" s="401"/>
    </row>
    <row r="605">
      <c r="A605" s="322"/>
      <c r="B605" s="401"/>
    </row>
    <row r="606">
      <c r="A606" s="322"/>
      <c r="B606" s="401"/>
    </row>
    <row r="607">
      <c r="A607" s="322"/>
      <c r="B607" s="401"/>
    </row>
    <row r="608">
      <c r="A608" s="322"/>
      <c r="B608" s="401"/>
    </row>
    <row r="609">
      <c r="A609" s="322"/>
      <c r="B609" s="401"/>
    </row>
    <row r="610">
      <c r="A610" s="322"/>
      <c r="B610" s="401"/>
    </row>
    <row r="611">
      <c r="A611" s="322"/>
      <c r="B611" s="401"/>
    </row>
    <row r="612">
      <c r="A612" s="322"/>
      <c r="B612" s="401"/>
    </row>
    <row r="613">
      <c r="A613" s="322"/>
      <c r="B613" s="401"/>
    </row>
    <row r="614">
      <c r="A614" s="322"/>
      <c r="B614" s="401"/>
    </row>
    <row r="615">
      <c r="A615" s="322"/>
      <c r="B615" s="401"/>
    </row>
    <row r="616">
      <c r="A616" s="322"/>
      <c r="B616" s="401"/>
    </row>
    <row r="617">
      <c r="A617" s="322"/>
      <c r="B617" s="401"/>
    </row>
    <row r="618">
      <c r="A618" s="322"/>
      <c r="B618" s="401"/>
    </row>
    <row r="619">
      <c r="A619" s="322"/>
      <c r="B619" s="401"/>
    </row>
    <row r="620">
      <c r="A620" s="322"/>
      <c r="B620" s="401"/>
    </row>
    <row r="621">
      <c r="A621" s="322"/>
      <c r="B621" s="401"/>
    </row>
    <row r="622">
      <c r="A622" s="322"/>
      <c r="B622" s="401"/>
    </row>
    <row r="623">
      <c r="A623" s="322"/>
      <c r="B623" s="401"/>
    </row>
    <row r="624">
      <c r="A624" s="322"/>
      <c r="B624" s="401"/>
    </row>
    <row r="625">
      <c r="A625" s="322"/>
      <c r="B625" s="401"/>
    </row>
    <row r="626">
      <c r="A626" s="322"/>
      <c r="B626" s="401"/>
    </row>
    <row r="627">
      <c r="A627" s="322"/>
      <c r="B627" s="401"/>
    </row>
    <row r="628">
      <c r="A628" s="322"/>
      <c r="B628" s="401"/>
    </row>
    <row r="629">
      <c r="A629" s="322"/>
      <c r="B629" s="401"/>
    </row>
    <row r="630">
      <c r="A630" s="322"/>
      <c r="B630" s="401"/>
    </row>
    <row r="631">
      <c r="A631" s="322"/>
      <c r="B631" s="401"/>
    </row>
    <row r="632">
      <c r="A632" s="322"/>
      <c r="B632" s="401"/>
    </row>
    <row r="633">
      <c r="A633" s="322"/>
      <c r="B633" s="401"/>
    </row>
    <row r="634">
      <c r="A634" s="322"/>
      <c r="B634" s="401"/>
    </row>
    <row r="635">
      <c r="A635" s="322"/>
      <c r="B635" s="401"/>
    </row>
    <row r="636">
      <c r="A636" s="322"/>
      <c r="B636" s="401"/>
    </row>
    <row r="637">
      <c r="A637" s="322"/>
      <c r="B637" s="401"/>
    </row>
    <row r="638">
      <c r="A638" s="322"/>
      <c r="B638" s="401"/>
    </row>
    <row r="639">
      <c r="A639" s="322"/>
      <c r="B639" s="401"/>
    </row>
    <row r="640">
      <c r="A640" s="322"/>
      <c r="B640" s="401"/>
    </row>
    <row r="641">
      <c r="A641" s="322"/>
      <c r="B641" s="401"/>
    </row>
    <row r="642">
      <c r="A642" s="322"/>
      <c r="B642" s="401"/>
    </row>
    <row r="643">
      <c r="A643" s="322"/>
      <c r="B643" s="401"/>
    </row>
    <row r="644">
      <c r="A644" s="322"/>
      <c r="B644" s="401"/>
    </row>
    <row r="645">
      <c r="A645" s="322"/>
      <c r="B645" s="401"/>
    </row>
    <row r="646">
      <c r="A646" s="322"/>
      <c r="B646" s="401"/>
    </row>
    <row r="647">
      <c r="A647" s="322"/>
      <c r="B647" s="401"/>
    </row>
    <row r="648">
      <c r="A648" s="322"/>
      <c r="B648" s="401"/>
    </row>
    <row r="649">
      <c r="A649" s="322"/>
      <c r="B649" s="401"/>
    </row>
    <row r="650">
      <c r="A650" s="322"/>
      <c r="B650" s="401"/>
    </row>
    <row r="651">
      <c r="A651" s="322"/>
      <c r="B651" s="401"/>
    </row>
    <row r="652">
      <c r="A652" s="322"/>
      <c r="B652" s="401"/>
    </row>
    <row r="653">
      <c r="A653" s="322"/>
      <c r="B653" s="401"/>
    </row>
    <row r="654">
      <c r="A654" s="322"/>
      <c r="B654" s="401"/>
    </row>
    <row r="655">
      <c r="A655" s="322"/>
      <c r="B655" s="401"/>
    </row>
    <row r="656">
      <c r="A656" s="322"/>
      <c r="B656" s="401"/>
    </row>
    <row r="657">
      <c r="A657" s="322"/>
      <c r="B657" s="401"/>
    </row>
    <row r="658">
      <c r="A658" s="322"/>
      <c r="B658" s="401"/>
    </row>
    <row r="659">
      <c r="A659" s="322"/>
      <c r="B659" s="401"/>
    </row>
    <row r="660">
      <c r="A660" s="322"/>
      <c r="B660" s="401"/>
    </row>
    <row r="661">
      <c r="A661" s="322"/>
      <c r="B661" s="401"/>
    </row>
    <row r="662">
      <c r="A662" s="322"/>
      <c r="B662" s="401"/>
    </row>
    <row r="663">
      <c r="A663" s="322"/>
      <c r="B663" s="401"/>
    </row>
    <row r="664">
      <c r="A664" s="322"/>
      <c r="B664" s="401"/>
    </row>
    <row r="665">
      <c r="A665" s="322"/>
      <c r="B665" s="401"/>
    </row>
    <row r="666">
      <c r="A666" s="322"/>
      <c r="B666" s="401"/>
    </row>
    <row r="667">
      <c r="A667" s="322"/>
      <c r="B667" s="401"/>
    </row>
    <row r="668">
      <c r="A668" s="322"/>
      <c r="B668" s="401"/>
    </row>
    <row r="669">
      <c r="A669" s="322"/>
      <c r="B669" s="401"/>
    </row>
    <row r="670">
      <c r="A670" s="322"/>
      <c r="B670" s="401"/>
    </row>
    <row r="671">
      <c r="A671" s="322"/>
      <c r="B671" s="401"/>
    </row>
    <row r="672">
      <c r="A672" s="322"/>
      <c r="B672" s="401"/>
    </row>
    <row r="673">
      <c r="A673" s="322"/>
      <c r="B673" s="401"/>
    </row>
    <row r="674">
      <c r="A674" s="322"/>
      <c r="B674" s="401"/>
    </row>
    <row r="675">
      <c r="A675" s="322"/>
      <c r="B675" s="401"/>
    </row>
    <row r="676">
      <c r="A676" s="322"/>
      <c r="B676" s="401"/>
    </row>
    <row r="677">
      <c r="A677" s="322"/>
      <c r="B677" s="401"/>
    </row>
    <row r="678">
      <c r="A678" s="322"/>
      <c r="B678" s="401"/>
    </row>
    <row r="679">
      <c r="A679" s="322"/>
      <c r="B679" s="401"/>
    </row>
    <row r="680">
      <c r="A680" s="322"/>
      <c r="B680" s="401"/>
    </row>
    <row r="681">
      <c r="A681" s="322"/>
      <c r="B681" s="401"/>
    </row>
    <row r="682">
      <c r="A682" s="322"/>
      <c r="B682" s="401"/>
    </row>
    <row r="683">
      <c r="A683" s="322"/>
      <c r="B683" s="401"/>
    </row>
    <row r="684">
      <c r="A684" s="322"/>
      <c r="B684" s="401"/>
    </row>
    <row r="685">
      <c r="A685" s="322"/>
      <c r="B685" s="401"/>
    </row>
    <row r="686">
      <c r="A686" s="322"/>
      <c r="B686" s="401"/>
    </row>
    <row r="687">
      <c r="A687" s="322"/>
      <c r="B687" s="401"/>
    </row>
    <row r="688">
      <c r="A688" s="322"/>
      <c r="B688" s="401"/>
    </row>
    <row r="689">
      <c r="A689" s="322"/>
      <c r="B689" s="401"/>
    </row>
    <row r="690">
      <c r="A690" s="322"/>
      <c r="B690" s="401"/>
    </row>
    <row r="691">
      <c r="A691" s="322"/>
      <c r="B691" s="401"/>
    </row>
    <row r="692">
      <c r="A692" s="322"/>
      <c r="B692" s="401"/>
    </row>
    <row r="693">
      <c r="A693" s="322"/>
      <c r="B693" s="401"/>
    </row>
    <row r="694">
      <c r="A694" s="322"/>
      <c r="B694" s="401"/>
    </row>
    <row r="695">
      <c r="A695" s="322"/>
      <c r="B695" s="401"/>
    </row>
    <row r="696">
      <c r="A696" s="322"/>
      <c r="B696" s="401"/>
    </row>
    <row r="697">
      <c r="A697" s="322"/>
      <c r="B697" s="401"/>
    </row>
    <row r="698">
      <c r="A698" s="322"/>
      <c r="B698" s="401"/>
    </row>
    <row r="699">
      <c r="A699" s="322"/>
      <c r="B699" s="401"/>
    </row>
    <row r="700">
      <c r="A700" s="322"/>
      <c r="B700" s="401"/>
    </row>
    <row r="701">
      <c r="A701" s="322"/>
      <c r="B701" s="401"/>
    </row>
    <row r="702">
      <c r="A702" s="322"/>
      <c r="B702" s="401"/>
    </row>
    <row r="703">
      <c r="A703" s="322"/>
      <c r="B703" s="401"/>
    </row>
    <row r="704">
      <c r="A704" s="322"/>
      <c r="B704" s="401"/>
    </row>
    <row r="705">
      <c r="A705" s="322"/>
      <c r="B705" s="401"/>
    </row>
    <row r="706">
      <c r="A706" s="322"/>
      <c r="B706" s="401"/>
    </row>
    <row r="707">
      <c r="A707" s="322"/>
      <c r="B707" s="401"/>
    </row>
    <row r="708">
      <c r="A708" s="322"/>
      <c r="B708" s="401"/>
    </row>
    <row r="709">
      <c r="A709" s="322"/>
      <c r="B709" s="401"/>
    </row>
    <row r="710">
      <c r="A710" s="322"/>
      <c r="B710" s="401"/>
    </row>
    <row r="711">
      <c r="A711" s="322"/>
      <c r="B711" s="401"/>
    </row>
    <row r="712">
      <c r="A712" s="322"/>
      <c r="B712" s="401"/>
    </row>
    <row r="713">
      <c r="A713" s="322"/>
      <c r="B713" s="401"/>
    </row>
    <row r="714">
      <c r="A714" s="322"/>
      <c r="B714" s="401"/>
    </row>
    <row r="715">
      <c r="A715" s="322"/>
      <c r="B715" s="401"/>
    </row>
    <row r="716">
      <c r="A716" s="322"/>
      <c r="B716" s="401"/>
    </row>
    <row r="717">
      <c r="A717" s="322"/>
      <c r="B717" s="401"/>
    </row>
    <row r="718">
      <c r="A718" s="322"/>
      <c r="B718" s="401"/>
    </row>
    <row r="719">
      <c r="A719" s="322"/>
      <c r="B719" s="401"/>
    </row>
    <row r="720">
      <c r="A720" s="322"/>
      <c r="B720" s="401"/>
    </row>
    <row r="721">
      <c r="A721" s="322"/>
      <c r="B721" s="401"/>
    </row>
    <row r="722">
      <c r="A722" s="322"/>
      <c r="B722" s="401"/>
    </row>
    <row r="723">
      <c r="A723" s="322"/>
      <c r="B723" s="401"/>
    </row>
    <row r="724">
      <c r="A724" s="322"/>
      <c r="B724" s="401"/>
    </row>
    <row r="725">
      <c r="A725" s="322"/>
      <c r="B725" s="401"/>
    </row>
    <row r="726">
      <c r="A726" s="322"/>
      <c r="B726" s="401"/>
    </row>
    <row r="727">
      <c r="A727" s="322"/>
      <c r="B727" s="401"/>
    </row>
    <row r="728">
      <c r="A728" s="322"/>
      <c r="B728" s="401"/>
    </row>
    <row r="729">
      <c r="A729" s="322"/>
      <c r="B729" s="401"/>
    </row>
    <row r="730">
      <c r="A730" s="322"/>
      <c r="B730" s="401"/>
    </row>
    <row r="731">
      <c r="A731" s="322"/>
      <c r="B731" s="401"/>
    </row>
    <row r="732">
      <c r="A732" s="322"/>
      <c r="B732" s="401"/>
    </row>
    <row r="733">
      <c r="A733" s="322"/>
      <c r="B733" s="401"/>
    </row>
    <row r="734">
      <c r="A734" s="322"/>
      <c r="B734" s="401"/>
    </row>
    <row r="735">
      <c r="A735" s="322"/>
      <c r="B735" s="401"/>
    </row>
    <row r="736">
      <c r="A736" s="322"/>
      <c r="B736" s="401"/>
    </row>
    <row r="737">
      <c r="A737" s="322"/>
      <c r="B737" s="401"/>
    </row>
    <row r="738">
      <c r="A738" s="322"/>
      <c r="B738" s="401"/>
    </row>
    <row r="739">
      <c r="A739" s="322"/>
      <c r="B739" s="401"/>
    </row>
    <row r="740">
      <c r="A740" s="322"/>
      <c r="B740" s="401"/>
    </row>
    <row r="741">
      <c r="A741" s="322"/>
      <c r="B741" s="401"/>
    </row>
    <row r="742">
      <c r="A742" s="322"/>
      <c r="B742" s="401"/>
    </row>
    <row r="743">
      <c r="A743" s="322"/>
      <c r="B743" s="401"/>
    </row>
    <row r="744">
      <c r="A744" s="322"/>
      <c r="B744" s="401"/>
    </row>
    <row r="745">
      <c r="A745" s="322"/>
      <c r="B745" s="401"/>
    </row>
    <row r="746">
      <c r="A746" s="322"/>
      <c r="B746" s="401"/>
    </row>
    <row r="747">
      <c r="A747" s="322"/>
      <c r="B747" s="401"/>
    </row>
    <row r="748">
      <c r="A748" s="322"/>
      <c r="B748" s="401"/>
    </row>
    <row r="749">
      <c r="A749" s="322"/>
      <c r="B749" s="401"/>
    </row>
    <row r="750">
      <c r="A750" s="322"/>
      <c r="B750" s="401"/>
    </row>
    <row r="751">
      <c r="A751" s="322"/>
      <c r="B751" s="401"/>
    </row>
    <row r="752">
      <c r="A752" s="322"/>
      <c r="B752" s="401"/>
    </row>
    <row r="753">
      <c r="A753" s="322"/>
      <c r="B753" s="401"/>
    </row>
    <row r="754">
      <c r="A754" s="322"/>
      <c r="B754" s="401"/>
    </row>
    <row r="755">
      <c r="A755" s="322"/>
      <c r="B755" s="401"/>
    </row>
    <row r="756">
      <c r="A756" s="322"/>
      <c r="B756" s="401"/>
    </row>
    <row r="757">
      <c r="A757" s="322"/>
      <c r="B757" s="401"/>
    </row>
    <row r="758">
      <c r="A758" s="322"/>
      <c r="B758" s="401"/>
    </row>
    <row r="759">
      <c r="A759" s="322"/>
      <c r="B759" s="401"/>
    </row>
    <row r="760">
      <c r="A760" s="322"/>
      <c r="B760" s="401"/>
    </row>
    <row r="761">
      <c r="A761" s="322"/>
      <c r="B761" s="401"/>
    </row>
    <row r="762">
      <c r="A762" s="322"/>
      <c r="B762" s="401"/>
    </row>
    <row r="763">
      <c r="A763" s="322"/>
      <c r="B763" s="401"/>
    </row>
    <row r="764">
      <c r="A764" s="322"/>
      <c r="B764" s="401"/>
    </row>
    <row r="765">
      <c r="A765" s="322"/>
      <c r="B765" s="401"/>
    </row>
    <row r="766">
      <c r="A766" s="322"/>
      <c r="B766" s="401"/>
    </row>
    <row r="767">
      <c r="A767" s="322"/>
      <c r="B767" s="401"/>
    </row>
    <row r="768">
      <c r="A768" s="322"/>
      <c r="B768" s="401"/>
    </row>
    <row r="769">
      <c r="A769" s="322"/>
      <c r="B769" s="401"/>
    </row>
    <row r="770">
      <c r="A770" s="322"/>
      <c r="B770" s="401"/>
    </row>
    <row r="771">
      <c r="A771" s="322"/>
      <c r="B771" s="401"/>
    </row>
    <row r="772">
      <c r="A772" s="322"/>
      <c r="B772" s="401"/>
    </row>
    <row r="773">
      <c r="A773" s="322"/>
      <c r="B773" s="401"/>
    </row>
    <row r="774">
      <c r="A774" s="322"/>
      <c r="B774" s="401"/>
    </row>
    <row r="775">
      <c r="A775" s="322"/>
      <c r="B775" s="401"/>
    </row>
    <row r="776">
      <c r="A776" s="322"/>
      <c r="B776" s="401"/>
    </row>
    <row r="777">
      <c r="A777" s="322"/>
      <c r="B777" s="401"/>
    </row>
    <row r="778">
      <c r="A778" s="322"/>
      <c r="B778" s="401"/>
    </row>
    <row r="779">
      <c r="A779" s="322"/>
      <c r="B779" s="401"/>
    </row>
    <row r="780">
      <c r="A780" s="322"/>
      <c r="B780" s="401"/>
    </row>
    <row r="781">
      <c r="A781" s="322"/>
      <c r="B781" s="401"/>
    </row>
    <row r="782">
      <c r="A782" s="322"/>
      <c r="B782" s="401"/>
    </row>
    <row r="783">
      <c r="A783" s="322"/>
      <c r="B783" s="401"/>
    </row>
    <row r="784">
      <c r="A784" s="322"/>
      <c r="B784" s="401"/>
    </row>
    <row r="785">
      <c r="A785" s="322"/>
      <c r="B785" s="401"/>
    </row>
    <row r="786">
      <c r="A786" s="322"/>
      <c r="B786" s="401"/>
    </row>
    <row r="787">
      <c r="A787" s="322"/>
      <c r="B787" s="401"/>
    </row>
    <row r="788">
      <c r="A788" s="322"/>
      <c r="B788" s="401"/>
    </row>
    <row r="789">
      <c r="A789" s="322"/>
      <c r="B789" s="401"/>
    </row>
    <row r="790">
      <c r="A790" s="322"/>
      <c r="B790" s="401"/>
    </row>
    <row r="791">
      <c r="A791" s="322"/>
      <c r="B791" s="401"/>
    </row>
    <row r="792">
      <c r="A792" s="322"/>
      <c r="B792" s="401"/>
    </row>
    <row r="793">
      <c r="A793" s="322"/>
      <c r="B793" s="401"/>
    </row>
    <row r="794">
      <c r="A794" s="322"/>
      <c r="B794" s="401"/>
    </row>
    <row r="795">
      <c r="A795" s="322"/>
      <c r="B795" s="401"/>
    </row>
    <row r="796">
      <c r="A796" s="322"/>
      <c r="B796" s="401"/>
    </row>
    <row r="797">
      <c r="A797" s="322"/>
      <c r="B797" s="401"/>
    </row>
    <row r="798">
      <c r="A798" s="322"/>
      <c r="B798" s="401"/>
    </row>
    <row r="799">
      <c r="A799" s="322"/>
      <c r="B799" s="401"/>
    </row>
    <row r="800">
      <c r="A800" s="322"/>
      <c r="B800" s="401"/>
    </row>
    <row r="801">
      <c r="A801" s="322"/>
      <c r="B801" s="401"/>
    </row>
    <row r="802">
      <c r="A802" s="322"/>
      <c r="B802" s="401"/>
    </row>
    <row r="803">
      <c r="A803" s="322"/>
      <c r="B803" s="401"/>
    </row>
    <row r="804">
      <c r="A804" s="322"/>
      <c r="B804" s="401"/>
    </row>
    <row r="805">
      <c r="A805" s="322"/>
      <c r="B805" s="401"/>
    </row>
    <row r="806">
      <c r="A806" s="322"/>
      <c r="B806" s="401"/>
    </row>
    <row r="807">
      <c r="A807" s="322"/>
      <c r="B807" s="401"/>
    </row>
    <row r="808">
      <c r="A808" s="322"/>
      <c r="B808" s="401"/>
    </row>
    <row r="809">
      <c r="A809" s="322"/>
      <c r="B809" s="401"/>
    </row>
    <row r="810">
      <c r="A810" s="322"/>
      <c r="B810" s="401"/>
    </row>
    <row r="811">
      <c r="A811" s="322"/>
      <c r="B811" s="401"/>
    </row>
    <row r="812">
      <c r="A812" s="322"/>
      <c r="B812" s="401"/>
    </row>
    <row r="813">
      <c r="A813" s="322"/>
      <c r="B813" s="401"/>
    </row>
    <row r="814">
      <c r="A814" s="322"/>
      <c r="B814" s="401"/>
    </row>
    <row r="815">
      <c r="A815" s="322"/>
      <c r="B815" s="401"/>
    </row>
    <row r="816">
      <c r="A816" s="322"/>
      <c r="B816" s="401"/>
    </row>
    <row r="817">
      <c r="A817" s="322"/>
      <c r="B817" s="401"/>
    </row>
    <row r="818">
      <c r="A818" s="322"/>
      <c r="B818" s="401"/>
    </row>
    <row r="819">
      <c r="A819" s="322"/>
      <c r="B819" s="401"/>
    </row>
    <row r="820">
      <c r="A820" s="322"/>
      <c r="B820" s="401"/>
    </row>
    <row r="821">
      <c r="A821" s="322"/>
      <c r="B821" s="401"/>
    </row>
    <row r="822">
      <c r="A822" s="322"/>
      <c r="B822" s="401"/>
    </row>
    <row r="823">
      <c r="A823" s="322"/>
      <c r="B823" s="401"/>
    </row>
    <row r="824">
      <c r="A824" s="322"/>
      <c r="B824" s="401"/>
    </row>
    <row r="825">
      <c r="A825" s="322"/>
      <c r="B825" s="401"/>
    </row>
    <row r="826">
      <c r="A826" s="322"/>
      <c r="B826" s="401"/>
    </row>
    <row r="827">
      <c r="A827" s="322"/>
      <c r="B827" s="401"/>
    </row>
    <row r="828">
      <c r="A828" s="322"/>
      <c r="B828" s="401"/>
    </row>
    <row r="829">
      <c r="A829" s="322"/>
      <c r="B829" s="401"/>
    </row>
    <row r="830">
      <c r="A830" s="322"/>
      <c r="B830" s="401"/>
    </row>
    <row r="831">
      <c r="A831" s="322"/>
      <c r="B831" s="401"/>
    </row>
    <row r="832">
      <c r="A832" s="322"/>
      <c r="B832" s="401"/>
    </row>
    <row r="833">
      <c r="A833" s="322"/>
      <c r="B833" s="401"/>
    </row>
    <row r="834">
      <c r="A834" s="322"/>
      <c r="B834" s="401"/>
    </row>
    <row r="835">
      <c r="A835" s="322"/>
      <c r="B835" s="401"/>
    </row>
    <row r="836">
      <c r="A836" s="322"/>
      <c r="B836" s="401"/>
    </row>
    <row r="837">
      <c r="A837" s="322"/>
      <c r="B837" s="401"/>
    </row>
    <row r="838">
      <c r="A838" s="322"/>
      <c r="B838" s="401"/>
    </row>
    <row r="839">
      <c r="A839" s="322"/>
      <c r="B839" s="401"/>
    </row>
    <row r="840">
      <c r="A840" s="322"/>
      <c r="B840" s="401"/>
    </row>
    <row r="841">
      <c r="A841" s="322"/>
      <c r="B841" s="401"/>
    </row>
    <row r="842">
      <c r="A842" s="322"/>
      <c r="B842" s="401"/>
    </row>
    <row r="843">
      <c r="A843" s="322"/>
      <c r="B843" s="401"/>
    </row>
    <row r="844">
      <c r="A844" s="322"/>
      <c r="B844" s="401"/>
    </row>
    <row r="845">
      <c r="A845" s="322"/>
      <c r="B845" s="401"/>
    </row>
    <row r="846">
      <c r="A846" s="322"/>
      <c r="B846" s="401"/>
    </row>
    <row r="847">
      <c r="A847" s="322"/>
      <c r="B847" s="401"/>
    </row>
    <row r="848">
      <c r="A848" s="322"/>
      <c r="B848" s="401"/>
    </row>
    <row r="849">
      <c r="A849" s="322"/>
      <c r="B849" s="401"/>
    </row>
    <row r="850">
      <c r="A850" s="322"/>
      <c r="B850" s="401"/>
    </row>
    <row r="851">
      <c r="A851" s="322"/>
      <c r="B851" s="401"/>
    </row>
    <row r="852">
      <c r="A852" s="322"/>
      <c r="B852" s="401"/>
    </row>
    <row r="853">
      <c r="A853" s="322"/>
      <c r="B853" s="401"/>
    </row>
    <row r="854">
      <c r="A854" s="322"/>
      <c r="B854" s="401"/>
    </row>
    <row r="855">
      <c r="A855" s="322"/>
      <c r="B855" s="401"/>
    </row>
    <row r="856">
      <c r="A856" s="322"/>
      <c r="B856" s="401"/>
    </row>
    <row r="857">
      <c r="A857" s="322"/>
      <c r="B857" s="401"/>
    </row>
    <row r="858">
      <c r="A858" s="322"/>
      <c r="B858" s="401"/>
    </row>
    <row r="859">
      <c r="A859" s="322"/>
      <c r="B859" s="401"/>
    </row>
    <row r="860">
      <c r="A860" s="322"/>
      <c r="B860" s="401"/>
    </row>
    <row r="861">
      <c r="A861" s="322"/>
      <c r="B861" s="401"/>
    </row>
    <row r="862">
      <c r="A862" s="322"/>
      <c r="B862" s="401"/>
    </row>
    <row r="863">
      <c r="A863" s="322"/>
      <c r="B863" s="401"/>
    </row>
    <row r="864">
      <c r="A864" s="322"/>
      <c r="B864" s="401"/>
    </row>
    <row r="865">
      <c r="A865" s="322"/>
      <c r="B865" s="401"/>
    </row>
    <row r="866">
      <c r="A866" s="322"/>
      <c r="B866" s="401"/>
    </row>
    <row r="867">
      <c r="A867" s="322"/>
      <c r="B867" s="401"/>
    </row>
    <row r="868">
      <c r="A868" s="322"/>
      <c r="B868" s="401"/>
    </row>
    <row r="869">
      <c r="A869" s="322"/>
      <c r="B869" s="401"/>
    </row>
    <row r="870">
      <c r="A870" s="322"/>
      <c r="B870" s="401"/>
    </row>
    <row r="871">
      <c r="A871" s="322"/>
      <c r="B871" s="401"/>
    </row>
    <row r="872">
      <c r="A872" s="322"/>
      <c r="B872" s="401"/>
    </row>
    <row r="873">
      <c r="A873" s="322"/>
      <c r="B873" s="401"/>
    </row>
    <row r="874">
      <c r="A874" s="322"/>
      <c r="B874" s="401"/>
    </row>
    <row r="875">
      <c r="A875" s="322"/>
      <c r="B875" s="401"/>
    </row>
    <row r="876">
      <c r="A876" s="322"/>
      <c r="B876" s="401"/>
    </row>
    <row r="877">
      <c r="A877" s="322"/>
      <c r="B877" s="401"/>
    </row>
    <row r="878">
      <c r="A878" s="322"/>
      <c r="B878" s="401"/>
    </row>
    <row r="879">
      <c r="A879" s="322"/>
      <c r="B879" s="401"/>
    </row>
    <row r="880">
      <c r="A880" s="322"/>
      <c r="B880" s="401"/>
    </row>
    <row r="881">
      <c r="A881" s="322"/>
      <c r="B881" s="401"/>
    </row>
    <row r="882">
      <c r="A882" s="322"/>
      <c r="B882" s="401"/>
    </row>
    <row r="883">
      <c r="A883" s="322"/>
      <c r="B883" s="401"/>
    </row>
    <row r="884">
      <c r="A884" s="322"/>
      <c r="B884" s="401"/>
    </row>
    <row r="885">
      <c r="A885" s="322"/>
      <c r="B885" s="401"/>
    </row>
    <row r="886">
      <c r="A886" s="322"/>
      <c r="B886" s="401"/>
    </row>
    <row r="887">
      <c r="A887" s="322"/>
      <c r="B887" s="401"/>
    </row>
    <row r="888">
      <c r="A888" s="322"/>
      <c r="B888" s="401"/>
    </row>
    <row r="889">
      <c r="A889" s="322"/>
      <c r="B889" s="401"/>
    </row>
    <row r="890">
      <c r="A890" s="322"/>
      <c r="B890" s="401"/>
    </row>
    <row r="891">
      <c r="A891" s="322"/>
      <c r="B891" s="401"/>
    </row>
    <row r="892">
      <c r="A892" s="322"/>
      <c r="B892" s="401"/>
    </row>
    <row r="893">
      <c r="A893" s="322"/>
      <c r="B893" s="401"/>
    </row>
    <row r="894">
      <c r="A894" s="322"/>
      <c r="B894" s="401"/>
    </row>
    <row r="895">
      <c r="A895" s="322"/>
      <c r="B895" s="401"/>
    </row>
    <row r="896">
      <c r="A896" s="322"/>
      <c r="B896" s="401"/>
    </row>
    <row r="897">
      <c r="A897" s="322"/>
      <c r="B897" s="401"/>
    </row>
    <row r="898">
      <c r="A898" s="322"/>
      <c r="B898" s="401"/>
    </row>
    <row r="899">
      <c r="A899" s="322"/>
      <c r="B899" s="401"/>
    </row>
    <row r="900">
      <c r="A900" s="322"/>
      <c r="B900" s="401"/>
    </row>
    <row r="901">
      <c r="A901" s="322"/>
      <c r="B901" s="401"/>
    </row>
    <row r="902">
      <c r="A902" s="322"/>
      <c r="B902" s="401"/>
    </row>
    <row r="903">
      <c r="A903" s="322"/>
      <c r="B903" s="401"/>
    </row>
    <row r="904">
      <c r="A904" s="322"/>
      <c r="B904" s="401"/>
    </row>
    <row r="905">
      <c r="A905" s="322"/>
      <c r="B905" s="401"/>
    </row>
    <row r="906">
      <c r="A906" s="322"/>
      <c r="B906" s="401"/>
    </row>
    <row r="907">
      <c r="A907" s="322"/>
      <c r="B907" s="401"/>
    </row>
    <row r="908">
      <c r="A908" s="322"/>
      <c r="B908" s="401"/>
    </row>
    <row r="909">
      <c r="A909" s="322"/>
      <c r="B909" s="401"/>
    </row>
    <row r="910">
      <c r="A910" s="322"/>
      <c r="B910" s="401"/>
    </row>
    <row r="911">
      <c r="A911" s="322"/>
      <c r="B911" s="401"/>
    </row>
    <row r="912">
      <c r="A912" s="322"/>
      <c r="B912" s="401"/>
    </row>
    <row r="913">
      <c r="A913" s="322"/>
      <c r="B913" s="401"/>
    </row>
    <row r="914">
      <c r="A914" s="322"/>
      <c r="B914" s="401"/>
    </row>
    <row r="915">
      <c r="A915" s="322"/>
      <c r="B915" s="401"/>
    </row>
    <row r="916">
      <c r="A916" s="322"/>
      <c r="B916" s="401"/>
    </row>
    <row r="917">
      <c r="A917" s="322"/>
      <c r="B917" s="401"/>
    </row>
    <row r="918">
      <c r="A918" s="322"/>
      <c r="B918" s="401"/>
    </row>
    <row r="919">
      <c r="A919" s="322"/>
      <c r="B919" s="401"/>
    </row>
    <row r="920">
      <c r="A920" s="322"/>
      <c r="B920" s="401"/>
    </row>
    <row r="921">
      <c r="A921" s="322"/>
      <c r="B921" s="401"/>
    </row>
    <row r="922">
      <c r="A922" s="322"/>
      <c r="B922" s="401"/>
    </row>
    <row r="923">
      <c r="A923" s="322"/>
      <c r="B923" s="401"/>
    </row>
    <row r="924">
      <c r="A924" s="322"/>
      <c r="B924" s="401"/>
    </row>
    <row r="925">
      <c r="A925" s="322"/>
      <c r="B925" s="401"/>
    </row>
    <row r="926">
      <c r="A926" s="322"/>
      <c r="B926" s="401"/>
    </row>
    <row r="927">
      <c r="A927" s="322"/>
      <c r="B927" s="401"/>
    </row>
    <row r="928">
      <c r="A928" s="322"/>
      <c r="B928" s="401"/>
    </row>
    <row r="929">
      <c r="A929" s="322"/>
      <c r="B929" s="401"/>
    </row>
    <row r="930">
      <c r="A930" s="322"/>
      <c r="B930" s="401"/>
    </row>
    <row r="931">
      <c r="A931" s="322"/>
      <c r="B931" s="401"/>
    </row>
    <row r="932">
      <c r="A932" s="322"/>
      <c r="B932" s="401"/>
    </row>
  </sheetData>
  <autoFilter ref="$A$2:$Y$91">
    <sortState ref="A2:Y91">
      <sortCondition descending="1" ref="B2:B91"/>
    </sortState>
  </autoFil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3"/>
      <c r="B1" s="359"/>
      <c r="C1" s="360"/>
      <c r="D1" s="136"/>
      <c r="E1" s="323"/>
      <c r="F1" s="366"/>
      <c r="G1" s="405" t="s">
        <v>416</v>
      </c>
      <c r="H1" s="139">
        <v>240.0</v>
      </c>
      <c r="I1" s="139">
        <v>300.0</v>
      </c>
      <c r="J1" s="140">
        <f>AVERAGE(H1:I1)</f>
        <v>270</v>
      </c>
      <c r="K1" s="406" t="s">
        <v>416</v>
      </c>
      <c r="L1" s="376"/>
      <c r="M1" s="133"/>
      <c r="N1" s="145"/>
      <c r="O1" s="145"/>
      <c r="P1" s="145"/>
      <c r="Q1" s="145"/>
      <c r="R1" s="145"/>
      <c r="S1" s="145"/>
      <c r="T1" s="145"/>
      <c r="U1" s="145"/>
      <c r="V1" s="145"/>
    </row>
    <row r="2">
      <c r="A2" s="146"/>
      <c r="B2" s="134" t="s">
        <v>2487</v>
      </c>
      <c r="C2" s="234" t="s">
        <v>421</v>
      </c>
      <c r="D2" s="148"/>
      <c r="E2" s="323"/>
      <c r="F2" s="366"/>
      <c r="G2" s="407" t="s">
        <v>422</v>
      </c>
      <c r="H2" s="139">
        <f t="shared" ref="H2:J2" si="1">sum(H4:H278)</f>
        <v>9837</v>
      </c>
      <c r="I2" s="139">
        <f t="shared" si="1"/>
        <v>9714</v>
      </c>
      <c r="J2" s="408">
        <f t="shared" si="1"/>
        <v>1</v>
      </c>
      <c r="K2" s="378">
        <f>sum(K4:K724)</f>
        <v>270</v>
      </c>
      <c r="L2" s="379" t="s">
        <v>416</v>
      </c>
      <c r="M2" s="146"/>
      <c r="N2" s="153" t="s">
        <v>423</v>
      </c>
      <c r="O2" s="145"/>
      <c r="P2" s="145"/>
      <c r="Q2" s="145"/>
      <c r="R2" s="145"/>
      <c r="S2" s="145"/>
      <c r="T2" s="145"/>
      <c r="U2" s="145"/>
      <c r="V2" s="145"/>
    </row>
    <row r="3">
      <c r="A3" s="381" t="s">
        <v>424</v>
      </c>
      <c r="B3" s="381" t="s">
        <v>425</v>
      </c>
      <c r="C3" s="235" t="s">
        <v>426</v>
      </c>
      <c r="D3" s="382"/>
      <c r="E3" s="383" t="s">
        <v>427</v>
      </c>
      <c r="F3" s="384" t="s">
        <v>428</v>
      </c>
      <c r="G3" s="409" t="s">
        <v>3559</v>
      </c>
      <c r="H3" s="410" t="s">
        <v>1926</v>
      </c>
      <c r="I3" s="409" t="s">
        <v>3560</v>
      </c>
      <c r="J3" s="387" t="s">
        <v>432</v>
      </c>
      <c r="K3" s="388" t="s">
        <v>3336</v>
      </c>
      <c r="L3" s="389" t="s">
        <v>3337</v>
      </c>
      <c r="M3" s="381" t="s">
        <v>424</v>
      </c>
      <c r="N3" s="390" t="s">
        <v>3561</v>
      </c>
      <c r="O3" s="387"/>
    </row>
    <row r="4">
      <c r="A4" s="226" t="s">
        <v>309</v>
      </c>
      <c r="B4" s="226" t="s">
        <v>590</v>
      </c>
      <c r="C4" s="250" t="s">
        <v>3826</v>
      </c>
      <c r="D4" s="268" t="s">
        <v>495</v>
      </c>
      <c r="E4" s="251">
        <v>44114.0</v>
      </c>
      <c r="F4" s="250" t="s">
        <v>592</v>
      </c>
      <c r="G4" s="403">
        <v>3.0</v>
      </c>
      <c r="H4" s="403">
        <v>20.0</v>
      </c>
      <c r="I4" s="403">
        <v>40.0</v>
      </c>
      <c r="J4" s="391">
        <f t="shared" ref="J4:J278" si="2">(H4/$H$2+I4/$I$2)/2</f>
        <v>0.003075454177</v>
      </c>
      <c r="K4" s="392">
        <f t="shared" ref="K4:K278" si="3">J4*$J$1</f>
        <v>0.8303726279</v>
      </c>
      <c r="L4" s="327">
        <f t="shared" ref="L4:L278" si="4">dsum($A$3:$K$516,"Cred per Praise",{$A$3;A4})</f>
        <v>0.8303726279</v>
      </c>
      <c r="M4" s="321" t="str">
        <f t="shared" ref="M4:M278" si="5">A4</f>
        <v>santosthegreat</v>
      </c>
      <c r="N4" s="321">
        <f>IFERROR(__xludf.DUMMYFUNCTION("query(iferror(sort({row(A4:A724)-row(A4)+2-match(sort(A4:A724),sort(A4:A724),0),SORT(ROW(A4:A724)+2-row(A4)+2,A4:A724,1)},2,1),),""Select Col1"")"),1.0)</f>
        <v>1</v>
      </c>
      <c r="O4" s="176"/>
      <c r="P4" s="176"/>
      <c r="Q4" s="176"/>
      <c r="R4" s="176"/>
      <c r="S4" s="176"/>
      <c r="T4" s="176"/>
      <c r="U4" s="176"/>
      <c r="V4" s="176"/>
      <c r="W4" s="176"/>
      <c r="X4" s="176"/>
    </row>
    <row r="5">
      <c r="A5" s="226" t="s">
        <v>6</v>
      </c>
      <c r="B5" s="226" t="s">
        <v>5</v>
      </c>
      <c r="C5" s="250" t="s">
        <v>3827</v>
      </c>
      <c r="D5" s="268" t="s">
        <v>495</v>
      </c>
      <c r="E5" s="251">
        <v>44116.0</v>
      </c>
      <c r="F5" s="250" t="s">
        <v>496</v>
      </c>
      <c r="G5" s="403">
        <v>1.0</v>
      </c>
      <c r="H5" s="403">
        <v>130.0</v>
      </c>
      <c r="I5" s="403">
        <v>200.0</v>
      </c>
      <c r="J5" s="391">
        <f t="shared" si="2"/>
        <v>0.01690212603</v>
      </c>
      <c r="K5" s="392">
        <f t="shared" si="3"/>
        <v>4.563574027</v>
      </c>
      <c r="L5" s="327">
        <f t="shared" si="4"/>
        <v>43.08206471</v>
      </c>
      <c r="M5" s="321" t="str">
        <f t="shared" si="5"/>
        <v>sembrestels</v>
      </c>
      <c r="N5" s="321">
        <f>IFERROR(__xludf.DUMMYFUNCTION("""COMPUTED_VALUE"""),1.0)</f>
        <v>1</v>
      </c>
      <c r="O5" s="176"/>
      <c r="P5" s="176"/>
      <c r="Q5" s="176"/>
      <c r="R5" s="176"/>
      <c r="S5" s="176"/>
      <c r="T5" s="176"/>
      <c r="U5" s="176"/>
      <c r="V5" s="176"/>
      <c r="W5" s="176"/>
      <c r="X5" s="176"/>
    </row>
    <row r="6">
      <c r="A6" s="226" t="s">
        <v>4</v>
      </c>
      <c r="B6" s="226" t="s">
        <v>5</v>
      </c>
      <c r="C6" s="250" t="s">
        <v>3827</v>
      </c>
      <c r="D6" s="268" t="s">
        <v>495</v>
      </c>
      <c r="E6" s="251">
        <v>44116.0</v>
      </c>
      <c r="F6" s="250" t="s">
        <v>496</v>
      </c>
      <c r="G6" s="403">
        <v>1.0</v>
      </c>
      <c r="H6" s="403">
        <v>60.0</v>
      </c>
      <c r="I6" s="403">
        <v>60.0</v>
      </c>
      <c r="J6" s="391">
        <f t="shared" si="2"/>
        <v>0.006138036405</v>
      </c>
      <c r="K6" s="392">
        <f t="shared" si="3"/>
        <v>1.657269829</v>
      </c>
      <c r="L6" s="327">
        <f t="shared" si="4"/>
        <v>21.03811271</v>
      </c>
      <c r="M6" s="321" t="str">
        <f t="shared" si="5"/>
        <v>santigs67</v>
      </c>
      <c r="N6" s="176">
        <f>IFERROR(__xludf.DUMMYFUNCTION("""COMPUTED_VALUE"""),1.0)</f>
        <v>1</v>
      </c>
      <c r="O6" s="176"/>
      <c r="P6" s="176"/>
      <c r="Q6" s="176"/>
      <c r="R6" s="176"/>
      <c r="S6" s="176"/>
      <c r="T6" s="176"/>
      <c r="U6" s="176"/>
      <c r="V6" s="176"/>
      <c r="W6" s="176"/>
      <c r="X6" s="176"/>
    </row>
    <row r="7">
      <c r="A7" s="226" t="s">
        <v>39</v>
      </c>
      <c r="B7" s="226" t="s">
        <v>590</v>
      </c>
      <c r="C7" s="250" t="s">
        <v>3828</v>
      </c>
      <c r="D7" s="268" t="s">
        <v>495</v>
      </c>
      <c r="E7" s="251">
        <v>44116.0</v>
      </c>
      <c r="F7" s="250" t="s">
        <v>496</v>
      </c>
      <c r="G7" s="403">
        <v>1.0</v>
      </c>
      <c r="H7" s="403">
        <v>1.0</v>
      </c>
      <c r="I7" s="403">
        <v>10.0</v>
      </c>
      <c r="J7" s="391">
        <f t="shared" si="2"/>
        <v>0.0005655495258</v>
      </c>
      <c r="K7" s="392">
        <f t="shared" si="3"/>
        <v>0.152698372</v>
      </c>
      <c r="L7" s="327">
        <f t="shared" si="4"/>
        <v>19.11401066</v>
      </c>
      <c r="M7" s="321" t="str">
        <f t="shared" si="5"/>
        <v>manualzuru</v>
      </c>
      <c r="N7" s="176">
        <f>IFERROR(__xludf.DUMMYFUNCTION("""COMPUTED_VALUE"""),1.0)</f>
        <v>1</v>
      </c>
      <c r="O7" s="176"/>
      <c r="P7" s="176"/>
      <c r="Q7" s="176"/>
      <c r="R7" s="176"/>
      <c r="S7" s="176"/>
      <c r="T7" s="176"/>
      <c r="U7" s="176"/>
      <c r="V7" s="176"/>
      <c r="W7" s="176"/>
      <c r="X7" s="176"/>
    </row>
    <row r="8">
      <c r="A8" s="226" t="s">
        <v>39</v>
      </c>
      <c r="B8" s="226" t="s">
        <v>18</v>
      </c>
      <c r="C8" s="250" t="s">
        <v>3829</v>
      </c>
      <c r="D8" s="268" t="s">
        <v>495</v>
      </c>
      <c r="E8" s="251">
        <v>44116.0</v>
      </c>
      <c r="F8" s="250" t="s">
        <v>496</v>
      </c>
      <c r="G8" s="403">
        <v>1.0</v>
      </c>
      <c r="H8" s="403">
        <v>75.0</v>
      </c>
      <c r="I8" s="403">
        <v>75.0</v>
      </c>
      <c r="J8" s="391">
        <f t="shared" si="2"/>
        <v>0.007672545506</v>
      </c>
      <c r="K8" s="392">
        <f t="shared" si="3"/>
        <v>2.071587287</v>
      </c>
      <c r="L8" s="327">
        <f t="shared" si="4"/>
        <v>19.11401066</v>
      </c>
      <c r="M8" s="321" t="str">
        <f t="shared" si="5"/>
        <v>manualzuru</v>
      </c>
      <c r="N8" s="176">
        <f>IFERROR(__xludf.DUMMYFUNCTION("""COMPUTED_VALUE"""),2.0)</f>
        <v>2</v>
      </c>
      <c r="O8" s="176"/>
      <c r="P8" s="176"/>
      <c r="Q8" s="176"/>
      <c r="R8" s="176"/>
      <c r="S8" s="176"/>
      <c r="T8" s="176"/>
      <c r="U8" s="176"/>
      <c r="V8" s="176"/>
      <c r="W8" s="176"/>
      <c r="X8" s="176"/>
    </row>
    <row r="9">
      <c r="A9" s="226" t="s">
        <v>9</v>
      </c>
      <c r="B9" s="226" t="s">
        <v>5</v>
      </c>
      <c r="C9" s="250" t="s">
        <v>3830</v>
      </c>
      <c r="D9" s="268" t="s">
        <v>495</v>
      </c>
      <c r="E9" s="251">
        <v>44116.0</v>
      </c>
      <c r="F9" s="250" t="s">
        <v>496</v>
      </c>
      <c r="G9" s="403">
        <v>1.0</v>
      </c>
      <c r="H9" s="403">
        <v>30.0</v>
      </c>
      <c r="I9" s="403">
        <v>40.0</v>
      </c>
      <c r="J9" s="391">
        <f t="shared" si="2"/>
        <v>0.003583739224</v>
      </c>
      <c r="K9" s="392">
        <f t="shared" si="3"/>
        <v>0.9676095904</v>
      </c>
      <c r="L9" s="327">
        <f t="shared" si="4"/>
        <v>17.88774457</v>
      </c>
      <c r="M9" s="321" t="str">
        <f t="shared" si="5"/>
        <v>akrtws</v>
      </c>
      <c r="N9" s="176">
        <f>IFERROR(__xludf.DUMMYFUNCTION("""COMPUTED_VALUE"""),1.0)</f>
        <v>1</v>
      </c>
      <c r="O9" s="176"/>
      <c r="P9" s="176"/>
      <c r="Q9" s="176"/>
      <c r="R9" s="176"/>
      <c r="S9" s="176"/>
      <c r="T9" s="176"/>
      <c r="U9" s="176"/>
      <c r="V9" s="176"/>
      <c r="W9" s="176"/>
      <c r="X9" s="176"/>
      <c r="Y9" s="176"/>
      <c r="Z9" s="176"/>
    </row>
    <row r="10">
      <c r="A10" s="226" t="s">
        <v>54</v>
      </c>
      <c r="B10" s="226" t="s">
        <v>18</v>
      </c>
      <c r="C10" s="250" t="s">
        <v>3831</v>
      </c>
      <c r="D10" s="268" t="s">
        <v>495</v>
      </c>
      <c r="E10" s="251">
        <v>44116.0</v>
      </c>
      <c r="F10" s="250" t="s">
        <v>496</v>
      </c>
      <c r="G10" s="403">
        <v>1.0</v>
      </c>
      <c r="H10" s="403">
        <v>60.0</v>
      </c>
      <c r="I10" s="403">
        <v>60.0</v>
      </c>
      <c r="J10" s="391">
        <f t="shared" si="2"/>
        <v>0.006138036405</v>
      </c>
      <c r="K10" s="392">
        <f t="shared" si="3"/>
        <v>1.657269829</v>
      </c>
      <c r="L10" s="327">
        <f t="shared" si="4"/>
        <v>9.396408839</v>
      </c>
      <c r="M10" s="321" t="str">
        <f t="shared" si="5"/>
        <v>hbesso31</v>
      </c>
      <c r="N10" s="176">
        <f>IFERROR(__xludf.DUMMYFUNCTION("""COMPUTED_VALUE"""),1.0)</f>
        <v>1</v>
      </c>
      <c r="O10" s="176"/>
      <c r="P10" s="176"/>
      <c r="Q10" s="176"/>
      <c r="R10" s="176"/>
      <c r="S10" s="176"/>
      <c r="T10" s="176"/>
      <c r="U10" s="176"/>
      <c r="V10" s="176"/>
      <c r="W10" s="176"/>
      <c r="X10" s="176"/>
      <c r="Y10" s="176"/>
      <c r="Z10" s="176"/>
    </row>
    <row r="11">
      <c r="A11" s="226" t="s">
        <v>29</v>
      </c>
      <c r="B11" s="226" t="s">
        <v>5</v>
      </c>
      <c r="C11" s="250" t="s">
        <v>3827</v>
      </c>
      <c r="D11" s="268" t="s">
        <v>495</v>
      </c>
      <c r="E11" s="251">
        <v>44116.0</v>
      </c>
      <c r="F11" s="250" t="s">
        <v>496</v>
      </c>
      <c r="G11" s="403">
        <v>1.0</v>
      </c>
      <c r="H11" s="403">
        <v>60.0</v>
      </c>
      <c r="I11" s="403">
        <v>60.0</v>
      </c>
      <c r="J11" s="391">
        <f t="shared" si="2"/>
        <v>0.006138036405</v>
      </c>
      <c r="K11" s="392">
        <f t="shared" si="3"/>
        <v>1.657269829</v>
      </c>
      <c r="L11" s="327">
        <f t="shared" si="4"/>
        <v>8.434012388</v>
      </c>
      <c r="M11" s="321" t="str">
        <f t="shared" si="5"/>
        <v>jeffemmett</v>
      </c>
      <c r="N11" s="176">
        <f>IFERROR(__xludf.DUMMYFUNCTION("""COMPUTED_VALUE"""),1.0)</f>
        <v>1</v>
      </c>
      <c r="O11" s="176"/>
      <c r="P11" s="176"/>
      <c r="Q11" s="176"/>
      <c r="R11" s="176"/>
      <c r="S11" s="176"/>
      <c r="T11" s="176"/>
      <c r="U11" s="176"/>
      <c r="V11" s="176"/>
      <c r="W11" s="176"/>
      <c r="X11" s="176"/>
      <c r="Y11" s="176"/>
      <c r="Z11" s="176"/>
    </row>
    <row r="12">
      <c r="A12" s="226" t="s">
        <v>14</v>
      </c>
      <c r="B12" s="226" t="s">
        <v>5</v>
      </c>
      <c r="C12" s="250" t="s">
        <v>3832</v>
      </c>
      <c r="D12" s="268" t="s">
        <v>495</v>
      </c>
      <c r="E12" s="251">
        <v>44116.0</v>
      </c>
      <c r="F12" s="250" t="s">
        <v>496</v>
      </c>
      <c r="G12" s="403">
        <v>1.0</v>
      </c>
      <c r="H12" s="403">
        <v>110.0</v>
      </c>
      <c r="I12" s="403">
        <v>100.0</v>
      </c>
      <c r="J12" s="391">
        <f t="shared" si="2"/>
        <v>0.01073834572</v>
      </c>
      <c r="K12" s="392">
        <f t="shared" si="3"/>
        <v>2.899353345</v>
      </c>
      <c r="L12" s="327">
        <f t="shared" si="4"/>
        <v>7.660963106</v>
      </c>
      <c r="M12" s="321" t="str">
        <f t="shared" si="5"/>
        <v>jessicazartler</v>
      </c>
      <c r="N12" s="176">
        <f>IFERROR(__xludf.DUMMYFUNCTION("""COMPUTED_VALUE"""),1.0)</f>
        <v>1</v>
      </c>
      <c r="O12" s="176"/>
      <c r="P12" s="176"/>
      <c r="Q12" s="176"/>
      <c r="R12" s="176"/>
      <c r="S12" s="176"/>
      <c r="T12" s="176"/>
      <c r="U12" s="176"/>
      <c r="V12" s="176"/>
      <c r="W12" s="176"/>
      <c r="X12" s="176"/>
      <c r="Y12" s="209"/>
      <c r="Z12" s="209"/>
    </row>
    <row r="13">
      <c r="A13" s="226" t="s">
        <v>14</v>
      </c>
      <c r="B13" s="226" t="s">
        <v>5</v>
      </c>
      <c r="C13" s="250" t="s">
        <v>3827</v>
      </c>
      <c r="D13" s="268" t="s">
        <v>495</v>
      </c>
      <c r="E13" s="251">
        <v>44116.0</v>
      </c>
      <c r="F13" s="250" t="s">
        <v>496</v>
      </c>
      <c r="G13" s="403">
        <v>1.0</v>
      </c>
      <c r="H13" s="403">
        <v>60.0</v>
      </c>
      <c r="I13" s="403">
        <v>60.0</v>
      </c>
      <c r="J13" s="391">
        <f t="shared" si="2"/>
        <v>0.006138036405</v>
      </c>
      <c r="K13" s="392">
        <f t="shared" si="3"/>
        <v>1.657269829</v>
      </c>
      <c r="L13" s="327">
        <f t="shared" si="4"/>
        <v>7.660963106</v>
      </c>
      <c r="M13" s="321" t="str">
        <f t="shared" si="5"/>
        <v>jessicazartler</v>
      </c>
      <c r="N13" s="176">
        <f>IFERROR(__xludf.DUMMYFUNCTION("""COMPUTED_VALUE"""),2.0)</f>
        <v>2</v>
      </c>
      <c r="O13" s="176"/>
      <c r="P13" s="176"/>
      <c r="Q13" s="176"/>
      <c r="R13" s="176"/>
      <c r="S13" s="176"/>
      <c r="T13" s="176"/>
      <c r="U13" s="176"/>
      <c r="V13" s="176"/>
      <c r="W13" s="176"/>
      <c r="X13" s="176"/>
      <c r="Y13" s="176"/>
      <c r="Z13" s="176"/>
    </row>
    <row r="14">
      <c r="A14" s="226" t="s">
        <v>110</v>
      </c>
      <c r="B14" s="226" t="s">
        <v>5</v>
      </c>
      <c r="C14" s="250" t="s">
        <v>3833</v>
      </c>
      <c r="D14" s="268" t="s">
        <v>495</v>
      </c>
      <c r="E14" s="251">
        <v>44116.0</v>
      </c>
      <c r="F14" s="250" t="s">
        <v>496</v>
      </c>
      <c r="G14" s="403">
        <v>2.0</v>
      </c>
      <c r="H14" s="403">
        <v>1.0</v>
      </c>
      <c r="I14" s="403">
        <v>1.0</v>
      </c>
      <c r="J14" s="391">
        <f t="shared" si="2"/>
        <v>0.0001023006067</v>
      </c>
      <c r="K14" s="392">
        <f t="shared" si="3"/>
        <v>0.02762116382</v>
      </c>
      <c r="L14" s="327">
        <f t="shared" si="4"/>
        <v>4.999430652</v>
      </c>
      <c r="M14" s="321" t="str">
        <f t="shared" si="5"/>
        <v>jonassft</v>
      </c>
      <c r="N14" s="176">
        <f>IFERROR(__xludf.DUMMYFUNCTION("""COMPUTED_VALUE"""),1.0)</f>
        <v>1</v>
      </c>
      <c r="O14" s="176"/>
      <c r="P14" s="176"/>
      <c r="Q14" s="176"/>
      <c r="R14" s="176"/>
      <c r="S14" s="176"/>
      <c r="T14" s="176"/>
      <c r="U14" s="176"/>
      <c r="V14" s="176"/>
      <c r="W14" s="176"/>
      <c r="X14" s="176"/>
      <c r="Y14" s="176"/>
      <c r="Z14" s="176"/>
    </row>
    <row r="15">
      <c r="A15" s="226" t="s">
        <v>85</v>
      </c>
      <c r="B15" s="226" t="s">
        <v>5</v>
      </c>
      <c r="C15" s="250" t="s">
        <v>3827</v>
      </c>
      <c r="D15" s="268" t="s">
        <v>495</v>
      </c>
      <c r="E15" s="251">
        <v>44116.0</v>
      </c>
      <c r="F15" s="250" t="s">
        <v>496</v>
      </c>
      <c r="G15" s="403">
        <v>1.0</v>
      </c>
      <c r="H15" s="403">
        <v>20.0</v>
      </c>
      <c r="I15" s="403">
        <v>20.0</v>
      </c>
      <c r="J15" s="391">
        <f t="shared" si="2"/>
        <v>0.002046012135</v>
      </c>
      <c r="K15" s="392">
        <f t="shared" si="3"/>
        <v>0.5524232764</v>
      </c>
      <c r="L15" s="327">
        <f t="shared" si="4"/>
        <v>4.007675324</v>
      </c>
      <c r="M15" s="321" t="str">
        <f t="shared" si="5"/>
        <v>vivszaid</v>
      </c>
      <c r="N15" s="176">
        <f>IFERROR(__xludf.DUMMYFUNCTION("""COMPUTED_VALUE"""),1.0)</f>
        <v>1</v>
      </c>
      <c r="O15" s="176"/>
      <c r="P15" s="176"/>
      <c r="Q15" s="176"/>
      <c r="R15" s="176"/>
      <c r="S15" s="176"/>
      <c r="T15" s="176"/>
      <c r="U15" s="176"/>
      <c r="V15" s="176"/>
      <c r="W15" s="176"/>
      <c r="X15" s="176"/>
      <c r="Y15" s="176"/>
      <c r="Z15" s="176"/>
    </row>
    <row r="16">
      <c r="A16" s="226" t="s">
        <v>8</v>
      </c>
      <c r="B16" s="226" t="s">
        <v>5</v>
      </c>
      <c r="C16" s="250" t="s">
        <v>3834</v>
      </c>
      <c r="D16" s="268" t="s">
        <v>495</v>
      </c>
      <c r="E16" s="251">
        <v>44116.0</v>
      </c>
      <c r="F16" s="250" t="s">
        <v>496</v>
      </c>
      <c r="G16" s="403">
        <v>3.0</v>
      </c>
      <c r="H16" s="403">
        <v>4.0</v>
      </c>
      <c r="I16" s="403">
        <v>5.0</v>
      </c>
      <c r="J16" s="391">
        <f t="shared" si="2"/>
        <v>0.0004606745291</v>
      </c>
      <c r="K16" s="392">
        <f t="shared" si="3"/>
        <v>0.1243821229</v>
      </c>
      <c r="L16" s="327">
        <f t="shared" si="4"/>
        <v>1.918888915</v>
      </c>
      <c r="M16" s="321" t="str">
        <f t="shared" si="5"/>
        <v>solsista</v>
      </c>
      <c r="N16" s="176">
        <f>IFERROR(__xludf.DUMMYFUNCTION("""COMPUTED_VALUE"""),1.0)</f>
        <v>1</v>
      </c>
      <c r="O16" s="176"/>
      <c r="P16" s="176"/>
      <c r="Q16" s="176"/>
      <c r="R16" s="176"/>
      <c r="S16" s="176"/>
      <c r="T16" s="176"/>
      <c r="U16" s="176"/>
      <c r="V16" s="176"/>
      <c r="W16" s="176"/>
      <c r="X16" s="176"/>
      <c r="Y16" s="176"/>
      <c r="Z16" s="176"/>
    </row>
    <row r="17">
      <c r="A17" s="226" t="s">
        <v>74</v>
      </c>
      <c r="B17" s="226" t="s">
        <v>5</v>
      </c>
      <c r="C17" s="250" t="s">
        <v>3827</v>
      </c>
      <c r="D17" s="268" t="s">
        <v>495</v>
      </c>
      <c r="E17" s="251">
        <v>44116.0</v>
      </c>
      <c r="F17" s="250" t="s">
        <v>496</v>
      </c>
      <c r="G17" s="403">
        <v>1.0</v>
      </c>
      <c r="H17" s="403">
        <v>60.0</v>
      </c>
      <c r="I17" s="403">
        <v>60.0</v>
      </c>
      <c r="J17" s="391">
        <f t="shared" si="2"/>
        <v>0.006138036405</v>
      </c>
      <c r="K17" s="392">
        <f t="shared" si="3"/>
        <v>1.657269829</v>
      </c>
      <c r="L17" s="327">
        <f t="shared" si="4"/>
        <v>1.657269829</v>
      </c>
      <c r="M17" s="321" t="str">
        <f t="shared" si="5"/>
        <v>fvigevani</v>
      </c>
      <c r="N17" s="176">
        <f>IFERROR(__xludf.DUMMYFUNCTION("""COMPUTED_VALUE"""),1.0)</f>
        <v>1</v>
      </c>
      <c r="O17" s="176"/>
      <c r="P17" s="176"/>
      <c r="Q17" s="176"/>
      <c r="R17" s="176"/>
      <c r="S17" s="176"/>
      <c r="T17" s="176"/>
      <c r="U17" s="176"/>
      <c r="V17" s="176"/>
      <c r="W17" s="176"/>
      <c r="X17" s="176"/>
      <c r="Y17" s="176"/>
      <c r="Z17" s="176"/>
    </row>
    <row r="18">
      <c r="A18" s="226" t="s">
        <v>80</v>
      </c>
      <c r="B18" s="226" t="s">
        <v>5</v>
      </c>
      <c r="C18" s="250" t="s">
        <v>3827</v>
      </c>
      <c r="D18" s="268" t="s">
        <v>495</v>
      </c>
      <c r="E18" s="251">
        <v>44116.0</v>
      </c>
      <c r="F18" s="250" t="s">
        <v>496</v>
      </c>
      <c r="G18" s="403">
        <v>1.0</v>
      </c>
      <c r="H18" s="403">
        <v>60.0</v>
      </c>
      <c r="I18" s="403">
        <v>60.0</v>
      </c>
      <c r="J18" s="391">
        <f t="shared" si="2"/>
        <v>0.006138036405</v>
      </c>
      <c r="K18" s="392">
        <f t="shared" si="3"/>
        <v>1.657269829</v>
      </c>
      <c r="L18" s="327">
        <f t="shared" si="4"/>
        <v>1.657269829</v>
      </c>
      <c r="M18" s="321" t="str">
        <f t="shared" si="5"/>
        <v>rodrigouy</v>
      </c>
      <c r="N18" s="176">
        <f>IFERROR(__xludf.DUMMYFUNCTION("""COMPUTED_VALUE"""),1.0)</f>
        <v>1</v>
      </c>
      <c r="O18" s="176"/>
      <c r="P18" s="176"/>
      <c r="Q18" s="176"/>
      <c r="R18" s="176"/>
      <c r="S18" s="176"/>
      <c r="T18" s="176"/>
      <c r="U18" s="176"/>
      <c r="V18" s="176"/>
      <c r="W18" s="176"/>
      <c r="X18" s="176"/>
      <c r="Y18" s="176"/>
      <c r="Z18" s="176"/>
    </row>
    <row r="19">
      <c r="A19" s="226" t="s">
        <v>144</v>
      </c>
      <c r="B19" s="226" t="s">
        <v>29</v>
      </c>
      <c r="C19" s="250" t="s">
        <v>3835</v>
      </c>
      <c r="D19" s="268" t="s">
        <v>495</v>
      </c>
      <c r="E19" s="251">
        <v>44116.0</v>
      </c>
      <c r="F19" s="250" t="s">
        <v>499</v>
      </c>
      <c r="G19" s="403">
        <v>3.0</v>
      </c>
      <c r="H19" s="403">
        <v>3.0</v>
      </c>
      <c r="I19" s="403">
        <v>10.0</v>
      </c>
      <c r="J19" s="391">
        <f t="shared" si="2"/>
        <v>0.0006672065351</v>
      </c>
      <c r="K19" s="392">
        <f t="shared" si="3"/>
        <v>0.1801457645</v>
      </c>
      <c r="L19" s="327">
        <f t="shared" si="4"/>
        <v>0.1801457645</v>
      </c>
      <c r="M19" s="321" t="str">
        <f t="shared" si="5"/>
        <v>cpt_grog</v>
      </c>
      <c r="N19" s="176">
        <f>IFERROR(__xludf.DUMMYFUNCTION("""COMPUTED_VALUE"""),1.0)</f>
        <v>1</v>
      </c>
      <c r="O19" s="176"/>
      <c r="P19" s="176"/>
      <c r="Q19" s="176"/>
      <c r="R19" s="176"/>
      <c r="S19" s="176"/>
      <c r="T19" s="176"/>
      <c r="U19" s="176"/>
      <c r="V19" s="176"/>
      <c r="W19" s="176"/>
      <c r="X19" s="176"/>
      <c r="Y19" s="176"/>
      <c r="Z19" s="176"/>
    </row>
    <row r="20">
      <c r="A20" s="226" t="s">
        <v>235</v>
      </c>
      <c r="B20" s="226" t="s">
        <v>5</v>
      </c>
      <c r="C20" s="250" t="s">
        <v>3836</v>
      </c>
      <c r="D20" s="268" t="s">
        <v>495</v>
      </c>
      <c r="E20" s="251">
        <v>44116.0</v>
      </c>
      <c r="F20" s="250" t="s">
        <v>496</v>
      </c>
      <c r="G20" s="403">
        <v>2.0</v>
      </c>
      <c r="H20" s="403">
        <v>1.0</v>
      </c>
      <c r="I20" s="403">
        <v>1.0</v>
      </c>
      <c r="J20" s="391">
        <f t="shared" si="2"/>
        <v>0.0001023006067</v>
      </c>
      <c r="K20" s="392">
        <f t="shared" si="3"/>
        <v>0.02762116382</v>
      </c>
      <c r="L20" s="327">
        <f t="shared" si="4"/>
        <v>0.02762116382</v>
      </c>
      <c r="M20" s="321" t="str">
        <f t="shared" si="5"/>
        <v>witwiki3</v>
      </c>
      <c r="N20" s="176">
        <f>IFERROR(__xludf.DUMMYFUNCTION("""COMPUTED_VALUE"""),1.0)</f>
        <v>1</v>
      </c>
      <c r="O20" s="176"/>
      <c r="P20" s="176"/>
      <c r="Q20" s="176"/>
      <c r="R20" s="176"/>
      <c r="S20" s="176"/>
      <c r="T20" s="176"/>
      <c r="U20" s="176"/>
      <c r="V20" s="176"/>
      <c r="W20" s="176"/>
      <c r="X20" s="176"/>
      <c r="Y20" s="176"/>
      <c r="Z20" s="176"/>
    </row>
    <row r="21">
      <c r="A21" s="226" t="s">
        <v>16</v>
      </c>
      <c r="B21" s="226" t="s">
        <v>5</v>
      </c>
      <c r="C21" s="250" t="s">
        <v>3827</v>
      </c>
      <c r="D21" s="268" t="s">
        <v>495</v>
      </c>
      <c r="E21" s="251">
        <v>44116.0</v>
      </c>
      <c r="F21" s="250" t="s">
        <v>496</v>
      </c>
      <c r="G21" s="403">
        <v>1.0</v>
      </c>
      <c r="H21" s="403">
        <v>0.0</v>
      </c>
      <c r="I21" s="403">
        <v>0.0</v>
      </c>
      <c r="J21" s="391">
        <f t="shared" si="2"/>
        <v>0</v>
      </c>
      <c r="K21" s="392">
        <f t="shared" si="3"/>
        <v>0</v>
      </c>
      <c r="L21" s="327">
        <f t="shared" si="4"/>
        <v>0</v>
      </c>
      <c r="M21" s="321" t="str">
        <f t="shared" si="5"/>
        <v>griffgreen</v>
      </c>
      <c r="N21" s="176">
        <f>IFERROR(__xludf.DUMMYFUNCTION("""COMPUTED_VALUE"""),1.0)</f>
        <v>1</v>
      </c>
      <c r="O21" s="176"/>
      <c r="P21" s="176"/>
      <c r="Q21" s="176"/>
      <c r="R21" s="176"/>
      <c r="S21" s="176"/>
      <c r="T21" s="176"/>
      <c r="U21" s="176"/>
      <c r="V21" s="176"/>
      <c r="W21" s="176"/>
      <c r="X21" s="176"/>
      <c r="Y21" s="176"/>
      <c r="Z21" s="176"/>
    </row>
    <row r="22">
      <c r="A22" s="226" t="s">
        <v>18</v>
      </c>
      <c r="B22" s="226" t="s">
        <v>5</v>
      </c>
      <c r="C22" s="250" t="s">
        <v>3827</v>
      </c>
      <c r="D22" s="268" t="s">
        <v>495</v>
      </c>
      <c r="E22" s="251">
        <v>44116.0</v>
      </c>
      <c r="F22" s="250" t="s">
        <v>496</v>
      </c>
      <c r="G22" s="403">
        <v>1.0</v>
      </c>
      <c r="H22" s="403">
        <v>0.0</v>
      </c>
      <c r="I22" s="403">
        <v>0.0</v>
      </c>
      <c r="J22" s="391">
        <f t="shared" si="2"/>
        <v>0</v>
      </c>
      <c r="K22" s="392">
        <f t="shared" si="3"/>
        <v>0</v>
      </c>
      <c r="L22" s="327">
        <f t="shared" si="4"/>
        <v>0</v>
      </c>
      <c r="M22" s="321" t="str">
        <f t="shared" si="5"/>
        <v>liviade</v>
      </c>
      <c r="N22" s="176">
        <f>IFERROR(__xludf.DUMMYFUNCTION("""COMPUTED_VALUE"""),1.0)</f>
        <v>1</v>
      </c>
      <c r="O22" s="176"/>
      <c r="P22" s="176"/>
      <c r="Q22" s="176"/>
      <c r="R22" s="176"/>
      <c r="S22" s="176"/>
      <c r="T22" s="176"/>
      <c r="U22" s="176"/>
      <c r="V22" s="176"/>
      <c r="W22" s="176"/>
      <c r="X22" s="176"/>
      <c r="Y22" s="176"/>
      <c r="Z22" s="176"/>
    </row>
    <row r="23">
      <c r="A23" s="226" t="s">
        <v>18</v>
      </c>
      <c r="B23" s="226" t="s">
        <v>5</v>
      </c>
      <c r="C23" s="250" t="s">
        <v>3830</v>
      </c>
      <c r="D23" s="268" t="s">
        <v>495</v>
      </c>
      <c r="E23" s="251">
        <v>44116.0</v>
      </c>
      <c r="F23" s="250" t="s">
        <v>496</v>
      </c>
      <c r="G23" s="403">
        <v>1.0</v>
      </c>
      <c r="H23" s="403">
        <v>0.0</v>
      </c>
      <c r="I23" s="403">
        <v>0.0</v>
      </c>
      <c r="J23" s="391">
        <f t="shared" si="2"/>
        <v>0</v>
      </c>
      <c r="K23" s="392">
        <f t="shared" si="3"/>
        <v>0</v>
      </c>
      <c r="L23" s="327">
        <f t="shared" si="4"/>
        <v>0</v>
      </c>
      <c r="M23" s="321" t="str">
        <f t="shared" si="5"/>
        <v>liviade</v>
      </c>
      <c r="N23" s="176">
        <f>IFERROR(__xludf.DUMMYFUNCTION("""COMPUTED_VALUE"""),2.0)</f>
        <v>2</v>
      </c>
      <c r="O23" s="176"/>
      <c r="P23" s="176"/>
      <c r="Q23" s="176"/>
      <c r="R23" s="176"/>
      <c r="S23" s="176"/>
      <c r="T23" s="176"/>
      <c r="U23" s="176"/>
      <c r="V23" s="176"/>
      <c r="W23" s="176"/>
      <c r="X23" s="176"/>
      <c r="Y23" s="176"/>
      <c r="Z23" s="176"/>
    </row>
    <row r="24">
      <c r="A24" s="226" t="s">
        <v>6</v>
      </c>
      <c r="B24" s="226" t="s">
        <v>519</v>
      </c>
      <c r="C24" s="250" t="s">
        <v>3837</v>
      </c>
      <c r="D24" s="268" t="s">
        <v>495</v>
      </c>
      <c r="E24" s="251">
        <v>44117.0</v>
      </c>
      <c r="F24" s="250" t="s">
        <v>496</v>
      </c>
      <c r="G24" s="403">
        <v>1.0</v>
      </c>
      <c r="H24" s="403">
        <v>300.0</v>
      </c>
      <c r="I24" s="403">
        <v>250.0</v>
      </c>
      <c r="J24" s="391">
        <f t="shared" si="2"/>
        <v>0.02811657692</v>
      </c>
      <c r="K24" s="392">
        <f t="shared" si="3"/>
        <v>7.591475768</v>
      </c>
      <c r="L24" s="327">
        <f t="shared" si="4"/>
        <v>43.08206471</v>
      </c>
      <c r="M24" s="321" t="str">
        <f t="shared" si="5"/>
        <v>sembrestels</v>
      </c>
      <c r="N24" s="176">
        <f>IFERROR(__xludf.DUMMYFUNCTION("""COMPUTED_VALUE"""),2.0)</f>
        <v>2</v>
      </c>
      <c r="O24" s="176"/>
      <c r="P24" s="176"/>
      <c r="Q24" s="176"/>
      <c r="R24" s="176"/>
      <c r="S24" s="176"/>
      <c r="T24" s="176"/>
      <c r="U24" s="176"/>
      <c r="V24" s="176"/>
      <c r="W24" s="176"/>
      <c r="X24" s="176"/>
      <c r="Y24" s="176"/>
      <c r="Z24" s="176"/>
    </row>
    <row r="25">
      <c r="A25" s="226" t="s">
        <v>4</v>
      </c>
      <c r="B25" s="226" t="s">
        <v>18</v>
      </c>
      <c r="C25" s="250" t="s">
        <v>3838</v>
      </c>
      <c r="D25" s="268" t="s">
        <v>495</v>
      </c>
      <c r="E25" s="251">
        <v>44117.0</v>
      </c>
      <c r="F25" s="250" t="s">
        <v>496</v>
      </c>
      <c r="G25" s="403">
        <v>1.0</v>
      </c>
      <c r="H25" s="403">
        <v>60.0</v>
      </c>
      <c r="I25" s="403">
        <v>60.0</v>
      </c>
      <c r="J25" s="391">
        <f t="shared" si="2"/>
        <v>0.006138036405</v>
      </c>
      <c r="K25" s="392">
        <f t="shared" si="3"/>
        <v>1.657269829</v>
      </c>
      <c r="L25" s="327">
        <f t="shared" si="4"/>
        <v>21.03811271</v>
      </c>
      <c r="M25" s="321" t="str">
        <f t="shared" si="5"/>
        <v>santigs67</v>
      </c>
      <c r="N25" s="176">
        <f>IFERROR(__xludf.DUMMYFUNCTION("""COMPUTED_VALUE"""),2.0)</f>
        <v>2</v>
      </c>
      <c r="O25" s="176"/>
      <c r="P25" s="176"/>
      <c r="Q25" s="176"/>
      <c r="R25" s="176"/>
      <c r="S25" s="176"/>
      <c r="T25" s="176"/>
      <c r="U25" s="176"/>
      <c r="V25" s="176"/>
      <c r="W25" s="176"/>
      <c r="X25" s="176"/>
      <c r="Y25" s="176"/>
      <c r="Z25" s="176"/>
    </row>
    <row r="26">
      <c r="A26" s="226" t="s">
        <v>5</v>
      </c>
      <c r="B26" s="226" t="s">
        <v>590</v>
      </c>
      <c r="C26" s="250" t="s">
        <v>3839</v>
      </c>
      <c r="D26" s="268" t="s">
        <v>495</v>
      </c>
      <c r="E26" s="251">
        <v>44117.0</v>
      </c>
      <c r="F26" s="250" t="s">
        <v>496</v>
      </c>
      <c r="G26" s="403">
        <v>1.0</v>
      </c>
      <c r="H26" s="403">
        <v>60.0</v>
      </c>
      <c r="I26" s="403">
        <v>60.0</v>
      </c>
      <c r="J26" s="391">
        <f t="shared" si="2"/>
        <v>0.006138036405</v>
      </c>
      <c r="K26" s="392">
        <f t="shared" si="3"/>
        <v>1.657269829</v>
      </c>
      <c r="L26" s="327">
        <f t="shared" si="4"/>
        <v>20.43444809</v>
      </c>
      <c r="M26" s="321" t="str">
        <f t="shared" si="5"/>
        <v>cranders71</v>
      </c>
      <c r="N26" s="176">
        <f>IFERROR(__xludf.DUMMYFUNCTION("""COMPUTED_VALUE"""),1.0)</f>
        <v>1</v>
      </c>
      <c r="O26" s="176"/>
      <c r="P26" s="176"/>
      <c r="Q26" s="176"/>
      <c r="R26" s="176"/>
      <c r="S26" s="176"/>
      <c r="T26" s="176"/>
      <c r="U26" s="176"/>
      <c r="V26" s="176"/>
      <c r="W26" s="176"/>
      <c r="X26" s="176"/>
      <c r="Y26" s="176"/>
      <c r="Z26" s="176"/>
    </row>
    <row r="27">
      <c r="A27" s="226" t="s">
        <v>5</v>
      </c>
      <c r="B27" s="226" t="s">
        <v>18</v>
      </c>
      <c r="C27" s="250" t="s">
        <v>3838</v>
      </c>
      <c r="D27" s="268" t="s">
        <v>495</v>
      </c>
      <c r="E27" s="251">
        <v>44117.0</v>
      </c>
      <c r="F27" s="250" t="s">
        <v>496</v>
      </c>
      <c r="G27" s="403">
        <v>1.0</v>
      </c>
      <c r="H27" s="403">
        <v>60.0</v>
      </c>
      <c r="I27" s="403">
        <v>60.0</v>
      </c>
      <c r="J27" s="391">
        <f t="shared" si="2"/>
        <v>0.006138036405</v>
      </c>
      <c r="K27" s="392">
        <f t="shared" si="3"/>
        <v>1.657269829</v>
      </c>
      <c r="L27" s="327">
        <f t="shared" si="4"/>
        <v>20.43444809</v>
      </c>
      <c r="M27" s="321" t="str">
        <f t="shared" si="5"/>
        <v>cranders71</v>
      </c>
      <c r="N27" s="176">
        <f>IFERROR(__xludf.DUMMYFUNCTION("""COMPUTED_VALUE"""),2.0)</f>
        <v>2</v>
      </c>
      <c r="O27" s="176"/>
      <c r="P27" s="176"/>
      <c r="Q27" s="176"/>
      <c r="R27" s="176"/>
      <c r="S27" s="176"/>
      <c r="T27" s="176"/>
      <c r="U27" s="176"/>
      <c r="V27" s="176"/>
      <c r="W27" s="176"/>
      <c r="X27" s="176"/>
      <c r="Y27" s="176"/>
      <c r="Z27" s="176"/>
    </row>
    <row r="28">
      <c r="A28" s="226" t="s">
        <v>15</v>
      </c>
      <c r="B28" s="226" t="s">
        <v>18</v>
      </c>
      <c r="C28" s="250" t="s">
        <v>3838</v>
      </c>
      <c r="D28" s="268" t="s">
        <v>495</v>
      </c>
      <c r="E28" s="251">
        <v>44117.0</v>
      </c>
      <c r="F28" s="250" t="s">
        <v>496</v>
      </c>
      <c r="G28" s="403">
        <v>1.0</v>
      </c>
      <c r="H28" s="403">
        <v>60.0</v>
      </c>
      <c r="I28" s="403">
        <v>100.0</v>
      </c>
      <c r="J28" s="391">
        <f t="shared" si="2"/>
        <v>0.00819692049</v>
      </c>
      <c r="K28" s="392">
        <f t="shared" si="3"/>
        <v>2.213168532</v>
      </c>
      <c r="L28" s="327">
        <f t="shared" si="4"/>
        <v>19.3382901</v>
      </c>
      <c r="M28" s="321" t="str">
        <f t="shared" si="5"/>
        <v>juankbell</v>
      </c>
      <c r="N28" s="176">
        <f>IFERROR(__xludf.DUMMYFUNCTION("""COMPUTED_VALUE"""),1.0)</f>
        <v>1</v>
      </c>
      <c r="O28" s="176"/>
      <c r="P28" s="176"/>
      <c r="Q28" s="176"/>
      <c r="R28" s="176"/>
      <c r="S28" s="176"/>
      <c r="T28" s="176"/>
      <c r="U28" s="176"/>
      <c r="V28" s="176"/>
      <c r="W28" s="176"/>
      <c r="X28" s="176"/>
      <c r="Y28" s="176"/>
      <c r="Z28" s="176"/>
    </row>
    <row r="29">
      <c r="A29" s="226" t="s">
        <v>39</v>
      </c>
      <c r="B29" s="226" t="s">
        <v>590</v>
      </c>
      <c r="C29" s="250" t="s">
        <v>3839</v>
      </c>
      <c r="D29" s="268" t="s">
        <v>495</v>
      </c>
      <c r="E29" s="251">
        <v>44117.0</v>
      </c>
      <c r="F29" s="250" t="s">
        <v>496</v>
      </c>
      <c r="G29" s="403">
        <v>1.0</v>
      </c>
      <c r="H29" s="403">
        <v>60.0</v>
      </c>
      <c r="I29" s="403">
        <v>60.0</v>
      </c>
      <c r="J29" s="391">
        <f t="shared" si="2"/>
        <v>0.006138036405</v>
      </c>
      <c r="K29" s="392">
        <f t="shared" si="3"/>
        <v>1.657269829</v>
      </c>
      <c r="L29" s="327">
        <f t="shared" si="4"/>
        <v>19.11401066</v>
      </c>
      <c r="M29" s="321" t="str">
        <f t="shared" si="5"/>
        <v>manualzuru</v>
      </c>
      <c r="N29" s="176">
        <f>IFERROR(__xludf.DUMMYFUNCTION("""COMPUTED_VALUE"""),3.0)</f>
        <v>3</v>
      </c>
      <c r="O29" s="176"/>
      <c r="P29" s="176"/>
      <c r="Q29" s="176"/>
      <c r="R29" s="176"/>
      <c r="S29" s="176"/>
      <c r="T29" s="176"/>
      <c r="U29" s="176"/>
      <c r="V29" s="176"/>
      <c r="W29" s="176"/>
      <c r="X29" s="176"/>
      <c r="Y29" s="176"/>
      <c r="Z29" s="176"/>
    </row>
    <row r="30">
      <c r="A30" s="226" t="s">
        <v>39</v>
      </c>
      <c r="B30" s="226" t="s">
        <v>18</v>
      </c>
      <c r="C30" s="250" t="s">
        <v>3840</v>
      </c>
      <c r="D30" s="268" t="s">
        <v>495</v>
      </c>
      <c r="E30" s="251">
        <v>44117.0</v>
      </c>
      <c r="F30" s="250" t="s">
        <v>496</v>
      </c>
      <c r="G30" s="403">
        <v>1.0</v>
      </c>
      <c r="H30" s="403">
        <v>60.0</v>
      </c>
      <c r="I30" s="403">
        <v>60.0</v>
      </c>
      <c r="J30" s="391">
        <f t="shared" si="2"/>
        <v>0.006138036405</v>
      </c>
      <c r="K30" s="392">
        <f t="shared" si="3"/>
        <v>1.657269829</v>
      </c>
      <c r="L30" s="327">
        <f t="shared" si="4"/>
        <v>19.11401066</v>
      </c>
      <c r="M30" s="321" t="str">
        <f t="shared" si="5"/>
        <v>manualzuru</v>
      </c>
      <c r="N30" s="176">
        <f>IFERROR(__xludf.DUMMYFUNCTION("""COMPUTED_VALUE"""),4.0)</f>
        <v>4</v>
      </c>
      <c r="O30" s="176"/>
      <c r="P30" s="176"/>
      <c r="Q30" s="176"/>
      <c r="R30" s="176"/>
      <c r="S30" s="176"/>
      <c r="T30" s="176"/>
      <c r="U30" s="176"/>
      <c r="V30" s="176"/>
      <c r="W30" s="176"/>
      <c r="X30" s="176"/>
      <c r="Y30" s="176"/>
      <c r="Z30" s="176"/>
    </row>
    <row r="31">
      <c r="A31" s="226" t="s">
        <v>9</v>
      </c>
      <c r="B31" s="226" t="s">
        <v>18</v>
      </c>
      <c r="C31" s="250" t="s">
        <v>3838</v>
      </c>
      <c r="D31" s="268" t="s">
        <v>495</v>
      </c>
      <c r="E31" s="251">
        <v>44117.0</v>
      </c>
      <c r="F31" s="250" t="s">
        <v>496</v>
      </c>
      <c r="G31" s="403">
        <v>1.0</v>
      </c>
      <c r="H31" s="403">
        <v>60.0</v>
      </c>
      <c r="I31" s="403">
        <v>60.0</v>
      </c>
      <c r="J31" s="391">
        <f t="shared" si="2"/>
        <v>0.006138036405</v>
      </c>
      <c r="K31" s="392">
        <f t="shared" si="3"/>
        <v>1.657269829</v>
      </c>
      <c r="L31" s="327">
        <f t="shared" si="4"/>
        <v>17.88774457</v>
      </c>
      <c r="M31" s="321" t="str">
        <f t="shared" si="5"/>
        <v>akrtws</v>
      </c>
      <c r="N31" s="176">
        <f>IFERROR(__xludf.DUMMYFUNCTION("""COMPUTED_VALUE"""),2.0)</f>
        <v>2</v>
      </c>
      <c r="O31" s="176"/>
      <c r="P31" s="176"/>
      <c r="Q31" s="176"/>
      <c r="R31" s="176"/>
      <c r="S31" s="176"/>
      <c r="T31" s="176"/>
      <c r="U31" s="176"/>
      <c r="V31" s="176"/>
      <c r="W31" s="176"/>
      <c r="X31" s="176"/>
      <c r="Y31" s="176"/>
      <c r="Z31" s="176"/>
    </row>
    <row r="32">
      <c r="A32" s="226" t="s">
        <v>41</v>
      </c>
      <c r="B32" s="226" t="s">
        <v>590</v>
      </c>
      <c r="C32" s="250" t="s">
        <v>3839</v>
      </c>
      <c r="D32" s="268" t="s">
        <v>495</v>
      </c>
      <c r="E32" s="251">
        <v>44117.0</v>
      </c>
      <c r="F32" s="250" t="s">
        <v>496</v>
      </c>
      <c r="G32" s="403">
        <v>1.0</v>
      </c>
      <c r="H32" s="403">
        <v>60.0</v>
      </c>
      <c r="I32" s="403">
        <v>60.0</v>
      </c>
      <c r="J32" s="391">
        <f t="shared" si="2"/>
        <v>0.006138036405</v>
      </c>
      <c r="K32" s="392">
        <f t="shared" si="3"/>
        <v>1.657269829</v>
      </c>
      <c r="L32" s="327">
        <f t="shared" si="4"/>
        <v>14.3647429</v>
      </c>
      <c r="M32" s="321" t="str">
        <f t="shared" si="5"/>
        <v>blairv</v>
      </c>
      <c r="N32" s="176">
        <f>IFERROR(__xludf.DUMMYFUNCTION("""COMPUTED_VALUE"""),1.0)</f>
        <v>1</v>
      </c>
      <c r="O32" s="176"/>
      <c r="P32" s="176"/>
      <c r="Q32" s="176"/>
      <c r="R32" s="176"/>
      <c r="S32" s="176"/>
      <c r="T32" s="176"/>
      <c r="U32" s="176"/>
      <c r="V32" s="176"/>
      <c r="W32" s="176"/>
      <c r="X32" s="176"/>
      <c r="Y32" s="176"/>
      <c r="Z32" s="176"/>
    </row>
    <row r="33">
      <c r="A33" s="226" t="s">
        <v>41</v>
      </c>
      <c r="B33" s="226" t="s">
        <v>590</v>
      </c>
      <c r="C33" s="250" t="s">
        <v>3841</v>
      </c>
      <c r="D33" s="268" t="s">
        <v>495</v>
      </c>
      <c r="E33" s="251">
        <v>44117.0</v>
      </c>
      <c r="F33" s="250" t="s">
        <v>496</v>
      </c>
      <c r="G33" s="403">
        <v>1.0</v>
      </c>
      <c r="H33" s="403">
        <v>140.0</v>
      </c>
      <c r="I33" s="403">
        <v>100.0</v>
      </c>
      <c r="J33" s="391">
        <f t="shared" si="2"/>
        <v>0.01226320086</v>
      </c>
      <c r="K33" s="392">
        <f t="shared" si="3"/>
        <v>3.311064232</v>
      </c>
      <c r="L33" s="327">
        <f t="shared" si="4"/>
        <v>14.3647429</v>
      </c>
      <c r="M33" s="321" t="str">
        <f t="shared" si="5"/>
        <v>blairv</v>
      </c>
      <c r="N33" s="176">
        <f>IFERROR(__xludf.DUMMYFUNCTION("""COMPUTED_VALUE"""),2.0)</f>
        <v>2</v>
      </c>
      <c r="O33" s="176"/>
      <c r="P33" s="176"/>
      <c r="Q33" s="176"/>
      <c r="R33" s="176"/>
      <c r="S33" s="176"/>
      <c r="T33" s="176"/>
      <c r="U33" s="176"/>
      <c r="V33" s="176"/>
      <c r="W33" s="176"/>
      <c r="X33" s="176"/>
      <c r="Y33" s="176"/>
      <c r="Z33" s="176"/>
    </row>
    <row r="34">
      <c r="A34" s="226" t="s">
        <v>76</v>
      </c>
      <c r="B34" s="226" t="s">
        <v>590</v>
      </c>
      <c r="C34" s="250" t="s">
        <v>3839</v>
      </c>
      <c r="D34" s="268" t="s">
        <v>495</v>
      </c>
      <c r="E34" s="251">
        <v>44117.0</v>
      </c>
      <c r="F34" s="250" t="s">
        <v>496</v>
      </c>
      <c r="G34" s="403">
        <v>1.0</v>
      </c>
      <c r="H34" s="403">
        <v>60.0</v>
      </c>
      <c r="I34" s="403">
        <v>60.0</v>
      </c>
      <c r="J34" s="391">
        <f t="shared" si="2"/>
        <v>0.006138036405</v>
      </c>
      <c r="K34" s="392">
        <f t="shared" si="3"/>
        <v>1.657269829</v>
      </c>
      <c r="L34" s="327">
        <f t="shared" si="4"/>
        <v>10.77572932</v>
      </c>
      <c r="M34" s="321" t="str">
        <f t="shared" si="5"/>
        <v>fabianvb</v>
      </c>
      <c r="N34" s="176">
        <f>IFERROR(__xludf.DUMMYFUNCTION("""COMPUTED_VALUE"""),1.0)</f>
        <v>1</v>
      </c>
      <c r="O34" s="176"/>
      <c r="P34" s="176"/>
      <c r="Q34" s="176"/>
      <c r="R34" s="176"/>
      <c r="S34" s="176"/>
      <c r="T34" s="176"/>
      <c r="U34" s="176"/>
      <c r="V34" s="176"/>
      <c r="W34" s="176"/>
      <c r="X34" s="176"/>
      <c r="Y34" s="176"/>
      <c r="Z34" s="176"/>
    </row>
    <row r="35">
      <c r="A35" s="226" t="s">
        <v>76</v>
      </c>
      <c r="B35" s="226" t="s">
        <v>18</v>
      </c>
      <c r="C35" s="250" t="s">
        <v>3838</v>
      </c>
      <c r="D35" s="268" t="s">
        <v>495</v>
      </c>
      <c r="E35" s="251">
        <v>44117.0</v>
      </c>
      <c r="F35" s="250" t="s">
        <v>496</v>
      </c>
      <c r="G35" s="403">
        <v>1.0</v>
      </c>
      <c r="H35" s="403">
        <v>60.0</v>
      </c>
      <c r="I35" s="403">
        <v>60.0</v>
      </c>
      <c r="J35" s="391">
        <f t="shared" si="2"/>
        <v>0.006138036405</v>
      </c>
      <c r="K35" s="392">
        <f t="shared" si="3"/>
        <v>1.657269829</v>
      </c>
      <c r="L35" s="327">
        <f t="shared" si="4"/>
        <v>10.77572932</v>
      </c>
      <c r="M35" s="321" t="str">
        <f t="shared" si="5"/>
        <v>fabianvb</v>
      </c>
      <c r="N35" s="176">
        <f>IFERROR(__xludf.DUMMYFUNCTION("""COMPUTED_VALUE"""),2.0)</f>
        <v>2</v>
      </c>
      <c r="O35" s="176"/>
      <c r="P35" s="176"/>
      <c r="Q35" s="176"/>
      <c r="R35" s="176"/>
      <c r="S35" s="176"/>
      <c r="T35" s="176"/>
      <c r="U35" s="176"/>
      <c r="V35" s="176"/>
      <c r="W35" s="176"/>
      <c r="X35" s="176"/>
      <c r="Y35" s="176"/>
      <c r="Z35" s="176"/>
    </row>
    <row r="36">
      <c r="A36" s="226" t="s">
        <v>54</v>
      </c>
      <c r="B36" s="226" t="s">
        <v>18</v>
      </c>
      <c r="C36" s="250" t="s">
        <v>3838</v>
      </c>
      <c r="D36" s="268" t="s">
        <v>495</v>
      </c>
      <c r="E36" s="251">
        <v>44117.0</v>
      </c>
      <c r="F36" s="250" t="s">
        <v>496</v>
      </c>
      <c r="G36" s="403">
        <v>1.0</v>
      </c>
      <c r="H36" s="403">
        <v>60.0</v>
      </c>
      <c r="I36" s="403">
        <v>60.0</v>
      </c>
      <c r="J36" s="391">
        <f t="shared" si="2"/>
        <v>0.006138036405</v>
      </c>
      <c r="K36" s="392">
        <f t="shared" si="3"/>
        <v>1.657269829</v>
      </c>
      <c r="L36" s="327">
        <f t="shared" si="4"/>
        <v>9.396408839</v>
      </c>
      <c r="M36" s="321" t="str">
        <f t="shared" si="5"/>
        <v>hbesso31</v>
      </c>
      <c r="N36" s="176">
        <f>IFERROR(__xludf.DUMMYFUNCTION("""COMPUTED_VALUE"""),2.0)</f>
        <v>2</v>
      </c>
      <c r="O36" s="176"/>
      <c r="P36" s="176"/>
      <c r="Q36" s="176"/>
      <c r="R36" s="176"/>
      <c r="S36" s="176"/>
      <c r="T36" s="176"/>
      <c r="U36" s="176"/>
      <c r="V36" s="176"/>
      <c r="W36" s="176"/>
      <c r="X36" s="176"/>
      <c r="Y36" s="176"/>
      <c r="Z36" s="176"/>
    </row>
    <row r="37">
      <c r="A37" s="226" t="s">
        <v>14</v>
      </c>
      <c r="B37" s="226" t="s">
        <v>18</v>
      </c>
      <c r="C37" s="250" t="s">
        <v>3838</v>
      </c>
      <c r="D37" s="268" t="s">
        <v>495</v>
      </c>
      <c r="E37" s="251">
        <v>44117.0</v>
      </c>
      <c r="F37" s="250" t="s">
        <v>496</v>
      </c>
      <c r="G37" s="403">
        <v>1.0</v>
      </c>
      <c r="H37" s="403">
        <v>60.0</v>
      </c>
      <c r="I37" s="403">
        <v>60.0</v>
      </c>
      <c r="J37" s="391">
        <f t="shared" si="2"/>
        <v>0.006138036405</v>
      </c>
      <c r="K37" s="392">
        <f t="shared" si="3"/>
        <v>1.657269829</v>
      </c>
      <c r="L37" s="327">
        <f t="shared" si="4"/>
        <v>7.660963106</v>
      </c>
      <c r="M37" s="321" t="str">
        <f t="shared" si="5"/>
        <v>jessicazartler</v>
      </c>
      <c r="N37" s="176">
        <f>IFERROR(__xludf.DUMMYFUNCTION("""COMPUTED_VALUE"""),3.0)</f>
        <v>3</v>
      </c>
      <c r="O37" s="176"/>
      <c r="P37" s="176"/>
      <c r="Q37" s="176"/>
      <c r="R37" s="176"/>
      <c r="S37" s="176"/>
      <c r="T37" s="176"/>
      <c r="U37" s="176"/>
      <c r="V37" s="176"/>
      <c r="W37" s="176"/>
      <c r="X37" s="176"/>
      <c r="Y37" s="176"/>
      <c r="Z37" s="176"/>
    </row>
    <row r="38">
      <c r="A38" s="226" t="s">
        <v>14</v>
      </c>
      <c r="B38" s="226" t="s">
        <v>18</v>
      </c>
      <c r="C38" s="250" t="s">
        <v>3842</v>
      </c>
      <c r="D38" s="268" t="s">
        <v>495</v>
      </c>
      <c r="E38" s="251">
        <v>44117.0</v>
      </c>
      <c r="F38" s="250" t="s">
        <v>496</v>
      </c>
      <c r="G38" s="403">
        <v>1.0</v>
      </c>
      <c r="H38" s="403">
        <v>20.0</v>
      </c>
      <c r="I38" s="403">
        <v>30.0</v>
      </c>
      <c r="J38" s="391">
        <f t="shared" si="2"/>
        <v>0.002560733156</v>
      </c>
      <c r="K38" s="392">
        <f t="shared" si="3"/>
        <v>0.6913979522</v>
      </c>
      <c r="L38" s="327">
        <f t="shared" si="4"/>
        <v>7.660963106</v>
      </c>
      <c r="M38" s="321" t="str">
        <f t="shared" si="5"/>
        <v>jessicazartler</v>
      </c>
      <c r="N38" s="176">
        <f>IFERROR(__xludf.DUMMYFUNCTION("""COMPUTED_VALUE"""),4.0)</f>
        <v>4</v>
      </c>
      <c r="O38" s="176"/>
      <c r="P38" s="176"/>
      <c r="Q38" s="176"/>
      <c r="R38" s="176"/>
      <c r="S38" s="176"/>
      <c r="T38" s="176"/>
      <c r="U38" s="176"/>
      <c r="V38" s="176"/>
      <c r="W38" s="176"/>
      <c r="X38" s="176"/>
      <c r="Y38" s="176"/>
      <c r="Z38" s="176"/>
    </row>
    <row r="39">
      <c r="A39" s="226" t="s">
        <v>30</v>
      </c>
      <c r="B39" s="226" t="s">
        <v>519</v>
      </c>
      <c r="C39" s="250" t="s">
        <v>3837</v>
      </c>
      <c r="D39" s="268" t="s">
        <v>495</v>
      </c>
      <c r="E39" s="251">
        <v>44117.0</v>
      </c>
      <c r="F39" s="250" t="s">
        <v>496</v>
      </c>
      <c r="G39" s="403">
        <v>1.0</v>
      </c>
      <c r="H39" s="403">
        <v>45.0</v>
      </c>
      <c r="I39" s="403">
        <v>60.0</v>
      </c>
      <c r="J39" s="391">
        <f t="shared" si="2"/>
        <v>0.005375608835</v>
      </c>
      <c r="K39" s="392">
        <f t="shared" si="3"/>
        <v>1.451414386</v>
      </c>
      <c r="L39" s="327">
        <f t="shared" si="4"/>
        <v>6.634292457</v>
      </c>
      <c r="M39" s="321" t="str">
        <f t="shared" si="5"/>
        <v>paulo_c2d</v>
      </c>
      <c r="N39" s="176">
        <f>IFERROR(__xludf.DUMMYFUNCTION("""COMPUTED_VALUE"""),1.0)</f>
        <v>1</v>
      </c>
      <c r="O39" s="176"/>
      <c r="P39" s="176"/>
      <c r="Q39" s="176"/>
      <c r="R39" s="176"/>
      <c r="S39" s="176"/>
      <c r="T39" s="176"/>
      <c r="U39" s="176"/>
      <c r="V39" s="176"/>
      <c r="W39" s="176"/>
      <c r="X39" s="176"/>
      <c r="Y39" s="176"/>
      <c r="Z39" s="176"/>
    </row>
    <row r="40">
      <c r="A40" s="226" t="s">
        <v>71</v>
      </c>
      <c r="B40" s="226" t="s">
        <v>18</v>
      </c>
      <c r="C40" s="250" t="s">
        <v>3838</v>
      </c>
      <c r="D40" s="268" t="s">
        <v>495</v>
      </c>
      <c r="E40" s="251">
        <v>44117.0</v>
      </c>
      <c r="F40" s="250" t="s">
        <v>496</v>
      </c>
      <c r="G40" s="403">
        <v>1.0</v>
      </c>
      <c r="H40" s="403">
        <v>60.0</v>
      </c>
      <c r="I40" s="403">
        <v>60.0</v>
      </c>
      <c r="J40" s="391">
        <f t="shared" si="2"/>
        <v>0.006138036405</v>
      </c>
      <c r="K40" s="392">
        <f t="shared" si="3"/>
        <v>1.657269829</v>
      </c>
      <c r="L40" s="327">
        <f t="shared" si="4"/>
        <v>6.562198549</v>
      </c>
      <c r="M40" s="321" t="str">
        <f t="shared" si="5"/>
        <v>quartagiulio</v>
      </c>
      <c r="N40" s="176">
        <f>IFERROR(__xludf.DUMMYFUNCTION("""COMPUTED_VALUE"""),1.0)</f>
        <v>1</v>
      </c>
      <c r="O40" s="176"/>
      <c r="P40" s="176"/>
      <c r="Q40" s="176"/>
      <c r="R40" s="176"/>
      <c r="S40" s="176"/>
      <c r="T40" s="176"/>
      <c r="U40" s="176"/>
      <c r="V40" s="176"/>
      <c r="W40" s="176"/>
      <c r="X40" s="176"/>
      <c r="Y40" s="176"/>
      <c r="Z40" s="176"/>
    </row>
    <row r="41">
      <c r="A41" s="226" t="s">
        <v>85</v>
      </c>
      <c r="B41" s="226" t="s">
        <v>519</v>
      </c>
      <c r="C41" s="250" t="s">
        <v>3837</v>
      </c>
      <c r="D41" s="268" t="s">
        <v>495</v>
      </c>
      <c r="E41" s="251">
        <v>44117.0</v>
      </c>
      <c r="F41" s="250" t="s">
        <v>496</v>
      </c>
      <c r="G41" s="403">
        <v>1.0</v>
      </c>
      <c r="H41" s="403">
        <v>45.0</v>
      </c>
      <c r="I41" s="403">
        <v>60.0</v>
      </c>
      <c r="J41" s="391">
        <f t="shared" si="2"/>
        <v>0.005375608835</v>
      </c>
      <c r="K41" s="392">
        <f t="shared" si="3"/>
        <v>1.451414386</v>
      </c>
      <c r="L41" s="327">
        <f t="shared" si="4"/>
        <v>4.007675324</v>
      </c>
      <c r="M41" s="321" t="str">
        <f t="shared" si="5"/>
        <v>vivszaid</v>
      </c>
      <c r="N41" s="176">
        <f>IFERROR(__xludf.DUMMYFUNCTION("""COMPUTED_VALUE"""),2.0)</f>
        <v>2</v>
      </c>
      <c r="O41" s="176"/>
      <c r="P41" s="176"/>
      <c r="Q41" s="176"/>
      <c r="R41" s="176"/>
      <c r="S41" s="176"/>
      <c r="T41" s="176"/>
      <c r="U41" s="176"/>
      <c r="V41" s="176"/>
      <c r="W41" s="176"/>
      <c r="X41" s="176"/>
      <c r="Y41" s="176"/>
      <c r="Z41" s="176"/>
    </row>
    <row r="42">
      <c r="A42" s="226" t="s">
        <v>65</v>
      </c>
      <c r="B42" s="226" t="s">
        <v>18</v>
      </c>
      <c r="C42" s="250" t="s">
        <v>3838</v>
      </c>
      <c r="D42" s="268" t="s">
        <v>495</v>
      </c>
      <c r="E42" s="251">
        <v>44117.0</v>
      </c>
      <c r="F42" s="250" t="s">
        <v>496</v>
      </c>
      <c r="G42" s="403">
        <v>1.0</v>
      </c>
      <c r="H42" s="403">
        <v>60.0</v>
      </c>
      <c r="I42" s="403">
        <v>60.0</v>
      </c>
      <c r="J42" s="391">
        <f t="shared" si="2"/>
        <v>0.006138036405</v>
      </c>
      <c r="K42" s="392">
        <f t="shared" si="3"/>
        <v>1.657269829</v>
      </c>
      <c r="L42" s="327">
        <f t="shared" si="4"/>
        <v>1.657269829</v>
      </c>
      <c r="M42" s="321" t="str">
        <f t="shared" si="5"/>
        <v>loie_giveth</v>
      </c>
      <c r="N42" s="176">
        <f>IFERROR(__xludf.DUMMYFUNCTION("""COMPUTED_VALUE"""),1.0)</f>
        <v>1</v>
      </c>
      <c r="O42" s="176"/>
      <c r="P42" s="176"/>
      <c r="Q42" s="176"/>
      <c r="R42" s="176"/>
      <c r="S42" s="176"/>
      <c r="T42" s="176"/>
      <c r="U42" s="176"/>
      <c r="V42" s="176"/>
      <c r="W42" s="176"/>
      <c r="X42" s="176"/>
      <c r="Y42" s="176"/>
      <c r="Z42" s="176"/>
    </row>
    <row r="43">
      <c r="A43" s="226" t="s">
        <v>53</v>
      </c>
      <c r="B43" s="226" t="s">
        <v>18</v>
      </c>
      <c r="C43" s="250" t="s">
        <v>3838</v>
      </c>
      <c r="D43" s="268" t="s">
        <v>495</v>
      </c>
      <c r="E43" s="251">
        <v>44117.0</v>
      </c>
      <c r="F43" s="250" t="s">
        <v>496</v>
      </c>
      <c r="G43" s="403">
        <v>1.0</v>
      </c>
      <c r="H43" s="403">
        <v>60.0</v>
      </c>
      <c r="I43" s="403">
        <v>60.0</v>
      </c>
      <c r="J43" s="391">
        <f t="shared" si="2"/>
        <v>0.006138036405</v>
      </c>
      <c r="K43" s="392">
        <f t="shared" si="3"/>
        <v>1.657269829</v>
      </c>
      <c r="L43" s="327">
        <f t="shared" si="4"/>
        <v>1.657269829</v>
      </c>
      <c r="M43" s="321" t="str">
        <f t="shared" si="5"/>
        <v>vntrp</v>
      </c>
      <c r="N43" s="176">
        <f>IFERROR(__xludf.DUMMYFUNCTION("""COMPUTED_VALUE"""),1.0)</f>
        <v>1</v>
      </c>
      <c r="O43" s="176"/>
      <c r="P43" s="176"/>
      <c r="Q43" s="176"/>
      <c r="R43" s="176"/>
      <c r="S43" s="176"/>
      <c r="T43" s="176"/>
      <c r="U43" s="176"/>
      <c r="V43" s="176"/>
      <c r="W43" s="176"/>
      <c r="X43" s="176"/>
      <c r="Y43" s="176"/>
      <c r="Z43" s="176"/>
    </row>
    <row r="44">
      <c r="A44" s="226" t="s">
        <v>40</v>
      </c>
      <c r="B44" s="226" t="s">
        <v>519</v>
      </c>
      <c r="C44" s="250" t="s">
        <v>3837</v>
      </c>
      <c r="D44" s="268" t="s">
        <v>495</v>
      </c>
      <c r="E44" s="251">
        <v>44117.0</v>
      </c>
      <c r="F44" s="250" t="s">
        <v>496</v>
      </c>
      <c r="G44" s="403">
        <v>1.0</v>
      </c>
      <c r="H44" s="403">
        <v>45.0</v>
      </c>
      <c r="I44" s="403">
        <v>60.0</v>
      </c>
      <c r="J44" s="391">
        <f t="shared" si="2"/>
        <v>0.005375608835</v>
      </c>
      <c r="K44" s="392">
        <f t="shared" si="3"/>
        <v>1.451414386</v>
      </c>
      <c r="L44" s="327">
        <f t="shared" si="4"/>
        <v>1.451414386</v>
      </c>
      <c r="M44" s="321" t="str">
        <f t="shared" si="5"/>
        <v>lkngtn</v>
      </c>
      <c r="N44" s="176">
        <f>IFERROR(__xludf.DUMMYFUNCTION("""COMPUTED_VALUE"""),1.0)</f>
        <v>1</v>
      </c>
      <c r="O44" s="176"/>
      <c r="P44" s="176"/>
      <c r="Q44" s="176"/>
      <c r="R44" s="176"/>
      <c r="S44" s="176"/>
      <c r="T44" s="176"/>
      <c r="U44" s="176"/>
      <c r="V44" s="176"/>
      <c r="W44" s="176"/>
      <c r="X44" s="176"/>
      <c r="Y44" s="176"/>
      <c r="Z44" s="176"/>
    </row>
    <row r="45">
      <c r="A45" s="226" t="s">
        <v>47</v>
      </c>
      <c r="B45" s="226" t="s">
        <v>29</v>
      </c>
      <c r="C45" s="250" t="s">
        <v>3843</v>
      </c>
      <c r="D45" s="268" t="s">
        <v>495</v>
      </c>
      <c r="E45" s="251">
        <v>44117.0</v>
      </c>
      <c r="F45" s="250" t="s">
        <v>592</v>
      </c>
      <c r="G45" s="403">
        <v>3.0</v>
      </c>
      <c r="H45" s="403">
        <v>25.0</v>
      </c>
      <c r="I45" s="403">
        <v>20.0</v>
      </c>
      <c r="J45" s="391">
        <f t="shared" si="2"/>
        <v>0.002300154658</v>
      </c>
      <c r="K45" s="392">
        <f t="shared" si="3"/>
        <v>0.6210417577</v>
      </c>
      <c r="L45" s="327">
        <f t="shared" si="4"/>
        <v>0.6210417577</v>
      </c>
      <c r="M45" s="321" t="str">
        <f t="shared" si="5"/>
        <v>benjaminscholtz</v>
      </c>
      <c r="N45" s="176">
        <f>IFERROR(__xludf.DUMMYFUNCTION("""COMPUTED_VALUE"""),1.0)</f>
        <v>1</v>
      </c>
      <c r="O45" s="176"/>
      <c r="P45" s="176"/>
      <c r="Q45" s="176"/>
      <c r="R45" s="176"/>
      <c r="S45" s="176"/>
      <c r="T45" s="176"/>
      <c r="U45" s="176"/>
      <c r="V45" s="176"/>
      <c r="W45" s="176"/>
      <c r="X45" s="176"/>
      <c r="Y45" s="176"/>
      <c r="Z45" s="176"/>
    </row>
    <row r="46">
      <c r="A46" s="226" t="s">
        <v>24</v>
      </c>
      <c r="B46" s="226" t="s">
        <v>29</v>
      </c>
      <c r="C46" s="250" t="s">
        <v>3844</v>
      </c>
      <c r="D46" s="268" t="s">
        <v>495</v>
      </c>
      <c r="E46" s="251">
        <v>44117.0</v>
      </c>
      <c r="F46" s="250" t="s">
        <v>592</v>
      </c>
      <c r="G46" s="403">
        <v>3.0</v>
      </c>
      <c r="H46" s="403">
        <v>15.0</v>
      </c>
      <c r="I46" s="403">
        <v>20.0</v>
      </c>
      <c r="J46" s="391">
        <f t="shared" si="2"/>
        <v>0.001791869612</v>
      </c>
      <c r="K46" s="392">
        <f t="shared" si="3"/>
        <v>0.4838047952</v>
      </c>
      <c r="L46" s="327">
        <f t="shared" si="4"/>
        <v>0.511425959</v>
      </c>
      <c r="M46" s="321" t="str">
        <f t="shared" si="5"/>
        <v>danlessa</v>
      </c>
      <c r="N46" s="176">
        <f>IFERROR(__xludf.DUMMYFUNCTION("""COMPUTED_VALUE"""),1.0)</f>
        <v>1</v>
      </c>
      <c r="O46" s="176"/>
      <c r="P46" s="176"/>
      <c r="Q46" s="176"/>
      <c r="R46" s="176"/>
      <c r="S46" s="176"/>
      <c r="T46" s="176"/>
      <c r="U46" s="176"/>
      <c r="V46" s="176"/>
      <c r="W46" s="176"/>
      <c r="X46" s="176"/>
      <c r="Y46" s="176"/>
      <c r="Z46" s="176"/>
    </row>
    <row r="47">
      <c r="A47" s="226" t="s">
        <v>194</v>
      </c>
      <c r="B47" s="226" t="s">
        <v>29</v>
      </c>
      <c r="C47" s="250" t="s">
        <v>3843</v>
      </c>
      <c r="D47" s="268" t="s">
        <v>495</v>
      </c>
      <c r="E47" s="251">
        <v>44117.0</v>
      </c>
      <c r="F47" s="250" t="s">
        <v>592</v>
      </c>
      <c r="G47" s="403">
        <v>3.0</v>
      </c>
      <c r="H47" s="403">
        <v>15.0</v>
      </c>
      <c r="I47" s="403">
        <v>20.0</v>
      </c>
      <c r="J47" s="391">
        <f t="shared" si="2"/>
        <v>0.001791869612</v>
      </c>
      <c r="K47" s="392">
        <f t="shared" si="3"/>
        <v>0.4838047952</v>
      </c>
      <c r="L47" s="327">
        <f t="shared" si="4"/>
        <v>0.4838047952</v>
      </c>
      <c r="M47" s="321" t="str">
        <f t="shared" si="5"/>
        <v>lanski13</v>
      </c>
      <c r="N47" s="176">
        <f>IFERROR(__xludf.DUMMYFUNCTION("""COMPUTED_VALUE"""),1.0)</f>
        <v>1</v>
      </c>
      <c r="O47" s="176"/>
      <c r="P47" s="176"/>
      <c r="Q47" s="176"/>
      <c r="R47" s="176"/>
      <c r="S47" s="176"/>
      <c r="T47" s="176"/>
      <c r="U47" s="176"/>
      <c r="V47" s="176"/>
      <c r="W47" s="176"/>
      <c r="X47" s="176"/>
      <c r="Y47" s="176"/>
      <c r="Z47" s="176"/>
    </row>
    <row r="48">
      <c r="A48" s="226" t="s">
        <v>16</v>
      </c>
      <c r="B48" s="226" t="s">
        <v>590</v>
      </c>
      <c r="C48" s="250" t="s">
        <v>3839</v>
      </c>
      <c r="D48" s="268" t="s">
        <v>495</v>
      </c>
      <c r="E48" s="251">
        <v>44117.0</v>
      </c>
      <c r="F48" s="250" t="s">
        <v>496</v>
      </c>
      <c r="G48" s="403">
        <v>1.0</v>
      </c>
      <c r="H48" s="403">
        <v>0.0</v>
      </c>
      <c r="I48" s="403">
        <v>0.0</v>
      </c>
      <c r="J48" s="391">
        <f t="shared" si="2"/>
        <v>0</v>
      </c>
      <c r="K48" s="392">
        <f t="shared" si="3"/>
        <v>0</v>
      </c>
      <c r="L48" s="327">
        <f t="shared" si="4"/>
        <v>0</v>
      </c>
      <c r="M48" s="321" t="str">
        <f t="shared" si="5"/>
        <v>griffgreen</v>
      </c>
      <c r="N48" s="176">
        <f>IFERROR(__xludf.DUMMYFUNCTION("""COMPUTED_VALUE"""),2.0)</f>
        <v>2</v>
      </c>
      <c r="O48" s="176"/>
      <c r="P48" s="176"/>
      <c r="Q48" s="176"/>
      <c r="R48" s="176"/>
      <c r="S48" s="176"/>
      <c r="T48" s="176"/>
      <c r="U48" s="176"/>
      <c r="V48" s="176"/>
      <c r="W48" s="176"/>
      <c r="X48" s="176"/>
      <c r="Y48" s="176"/>
      <c r="Z48" s="176"/>
    </row>
    <row r="49">
      <c r="A49" s="226" t="s">
        <v>16</v>
      </c>
      <c r="B49" s="226" t="s">
        <v>519</v>
      </c>
      <c r="C49" s="250" t="s">
        <v>3837</v>
      </c>
      <c r="D49" s="268" t="s">
        <v>495</v>
      </c>
      <c r="E49" s="251">
        <v>44117.0</v>
      </c>
      <c r="F49" s="250" t="s">
        <v>496</v>
      </c>
      <c r="G49" s="403">
        <v>1.0</v>
      </c>
      <c r="H49" s="403">
        <v>0.0</v>
      </c>
      <c r="I49" s="403">
        <v>0.0</v>
      </c>
      <c r="J49" s="391">
        <f t="shared" si="2"/>
        <v>0</v>
      </c>
      <c r="K49" s="392">
        <f t="shared" si="3"/>
        <v>0</v>
      </c>
      <c r="L49" s="327">
        <f t="shared" si="4"/>
        <v>0</v>
      </c>
      <c r="M49" s="321" t="str">
        <f t="shared" si="5"/>
        <v>griffgreen</v>
      </c>
      <c r="N49" s="176">
        <f>IFERROR(__xludf.DUMMYFUNCTION("""COMPUTED_VALUE"""),3.0)</f>
        <v>3</v>
      </c>
      <c r="O49" s="176"/>
      <c r="P49" s="176"/>
      <c r="Q49" s="176"/>
      <c r="R49" s="176"/>
      <c r="S49" s="176"/>
      <c r="T49" s="176"/>
      <c r="U49" s="176"/>
      <c r="V49" s="176"/>
      <c r="W49" s="176"/>
      <c r="X49" s="176"/>
      <c r="Y49" s="176"/>
      <c r="Z49" s="176"/>
    </row>
    <row r="50">
      <c r="A50" s="226" t="s">
        <v>16</v>
      </c>
      <c r="B50" s="226" t="s">
        <v>18</v>
      </c>
      <c r="C50" s="250" t="s">
        <v>3838</v>
      </c>
      <c r="D50" s="268" t="s">
        <v>495</v>
      </c>
      <c r="E50" s="251">
        <v>44117.0</v>
      </c>
      <c r="F50" s="250" t="s">
        <v>496</v>
      </c>
      <c r="G50" s="403">
        <v>1.0</v>
      </c>
      <c r="H50" s="403">
        <v>0.0</v>
      </c>
      <c r="I50" s="403">
        <v>0.0</v>
      </c>
      <c r="J50" s="391">
        <f t="shared" si="2"/>
        <v>0</v>
      </c>
      <c r="K50" s="392">
        <f t="shared" si="3"/>
        <v>0</v>
      </c>
      <c r="L50" s="327">
        <f t="shared" si="4"/>
        <v>0</v>
      </c>
      <c r="M50" s="321" t="str">
        <f t="shared" si="5"/>
        <v>griffgreen</v>
      </c>
      <c r="N50" s="176">
        <f>IFERROR(__xludf.DUMMYFUNCTION("""COMPUTED_VALUE"""),4.0)</f>
        <v>4</v>
      </c>
      <c r="O50" s="176"/>
      <c r="P50" s="176"/>
      <c r="Q50" s="176"/>
      <c r="R50" s="176"/>
      <c r="S50" s="176"/>
      <c r="T50" s="176"/>
      <c r="U50" s="176"/>
      <c r="V50" s="176"/>
      <c r="W50" s="176"/>
      <c r="X50" s="176"/>
      <c r="Y50" s="176"/>
      <c r="Z50" s="176"/>
    </row>
    <row r="51">
      <c r="A51" s="226" t="s">
        <v>18</v>
      </c>
      <c r="B51" s="226" t="s">
        <v>519</v>
      </c>
      <c r="C51" s="250" t="s">
        <v>3845</v>
      </c>
      <c r="D51" s="268" t="s">
        <v>495</v>
      </c>
      <c r="E51" s="251">
        <v>44117.0</v>
      </c>
      <c r="F51" s="250" t="s">
        <v>545</v>
      </c>
      <c r="G51" s="403">
        <v>1.0</v>
      </c>
      <c r="H51" s="403">
        <v>0.0</v>
      </c>
      <c r="I51" s="403">
        <v>0.0</v>
      </c>
      <c r="J51" s="391">
        <f t="shared" si="2"/>
        <v>0</v>
      </c>
      <c r="K51" s="392">
        <f t="shared" si="3"/>
        <v>0</v>
      </c>
      <c r="L51" s="327">
        <f t="shared" si="4"/>
        <v>0</v>
      </c>
      <c r="M51" s="321" t="str">
        <f t="shared" si="5"/>
        <v>liviade</v>
      </c>
      <c r="N51" s="176">
        <f>IFERROR(__xludf.DUMMYFUNCTION("""COMPUTED_VALUE"""),3.0)</f>
        <v>3</v>
      </c>
      <c r="O51" s="176"/>
      <c r="P51" s="176"/>
      <c r="Q51" s="176"/>
      <c r="R51" s="176"/>
      <c r="S51" s="176"/>
      <c r="T51" s="176"/>
      <c r="U51" s="176"/>
      <c r="V51" s="176"/>
      <c r="W51" s="176"/>
      <c r="X51" s="176"/>
      <c r="Y51" s="176"/>
      <c r="Z51" s="176"/>
    </row>
    <row r="52">
      <c r="A52" s="226" t="s">
        <v>18</v>
      </c>
      <c r="B52" s="226" t="s">
        <v>590</v>
      </c>
      <c r="C52" s="250" t="s">
        <v>3839</v>
      </c>
      <c r="D52" s="268" t="s">
        <v>495</v>
      </c>
      <c r="E52" s="251">
        <v>44117.0</v>
      </c>
      <c r="F52" s="250" t="s">
        <v>496</v>
      </c>
      <c r="G52" s="403">
        <v>1.0</v>
      </c>
      <c r="H52" s="403">
        <v>0.0</v>
      </c>
      <c r="I52" s="403">
        <v>0.0</v>
      </c>
      <c r="J52" s="391">
        <f t="shared" si="2"/>
        <v>0</v>
      </c>
      <c r="K52" s="392">
        <f t="shared" si="3"/>
        <v>0</v>
      </c>
      <c r="L52" s="327">
        <f t="shared" si="4"/>
        <v>0</v>
      </c>
      <c r="M52" s="321" t="str">
        <f t="shared" si="5"/>
        <v>liviade</v>
      </c>
      <c r="N52" s="176">
        <f>IFERROR(__xludf.DUMMYFUNCTION("""COMPUTED_VALUE"""),4.0)</f>
        <v>4</v>
      </c>
      <c r="O52" s="176"/>
      <c r="P52" s="176"/>
      <c r="Q52" s="176"/>
      <c r="R52" s="176"/>
      <c r="S52" s="176"/>
      <c r="T52" s="176"/>
      <c r="U52" s="176"/>
      <c r="V52" s="176"/>
      <c r="W52" s="176"/>
      <c r="X52" s="176"/>
      <c r="Y52" s="176"/>
      <c r="Z52" s="176"/>
    </row>
    <row r="53">
      <c r="A53" s="226" t="s">
        <v>4</v>
      </c>
      <c r="B53" s="226" t="s">
        <v>590</v>
      </c>
      <c r="C53" s="250" t="s">
        <v>3846</v>
      </c>
      <c r="D53" s="268" t="s">
        <v>495</v>
      </c>
      <c r="E53" s="251">
        <v>44118.0</v>
      </c>
      <c r="F53" s="250" t="s">
        <v>496</v>
      </c>
      <c r="G53" s="403">
        <v>1.0</v>
      </c>
      <c r="H53" s="403">
        <v>45.0</v>
      </c>
      <c r="I53" s="403">
        <v>30.0</v>
      </c>
      <c r="J53" s="391">
        <f t="shared" si="2"/>
        <v>0.003831445772</v>
      </c>
      <c r="K53" s="392">
        <f t="shared" si="3"/>
        <v>1.034490358</v>
      </c>
      <c r="L53" s="327">
        <f t="shared" si="4"/>
        <v>21.03811271</v>
      </c>
      <c r="M53" s="321" t="str">
        <f t="shared" si="5"/>
        <v>santigs67</v>
      </c>
      <c r="N53" s="176">
        <f>IFERROR(__xludf.DUMMYFUNCTION("""COMPUTED_VALUE"""),3.0)</f>
        <v>3</v>
      </c>
      <c r="O53" s="176"/>
      <c r="P53" s="176"/>
      <c r="Q53" s="176"/>
      <c r="R53" s="176"/>
      <c r="S53" s="176"/>
      <c r="T53" s="176"/>
      <c r="U53" s="176"/>
      <c r="V53" s="176"/>
      <c r="W53" s="176"/>
      <c r="X53" s="176"/>
      <c r="Y53" s="176"/>
      <c r="Z53" s="176"/>
    </row>
    <row r="54">
      <c r="A54" s="226" t="s">
        <v>5</v>
      </c>
      <c r="B54" s="226" t="s">
        <v>519</v>
      </c>
      <c r="C54" s="250" t="s">
        <v>3847</v>
      </c>
      <c r="D54" s="268" t="s">
        <v>495</v>
      </c>
      <c r="E54" s="251">
        <v>44118.0</v>
      </c>
      <c r="F54" s="250" t="s">
        <v>496</v>
      </c>
      <c r="G54" s="403">
        <v>1.0</v>
      </c>
      <c r="H54" s="403">
        <v>300.0</v>
      </c>
      <c r="I54" s="403">
        <v>200.0</v>
      </c>
      <c r="J54" s="391">
        <f t="shared" si="2"/>
        <v>0.02554297181</v>
      </c>
      <c r="K54" s="392">
        <f t="shared" si="3"/>
        <v>6.896602389</v>
      </c>
      <c r="L54" s="327">
        <f t="shared" si="4"/>
        <v>20.43444809</v>
      </c>
      <c r="M54" s="321" t="str">
        <f t="shared" si="5"/>
        <v>cranders71</v>
      </c>
      <c r="N54" s="176">
        <f>IFERROR(__xludf.DUMMYFUNCTION("""COMPUTED_VALUE"""),3.0)</f>
        <v>3</v>
      </c>
      <c r="O54" s="176"/>
      <c r="P54" s="176"/>
      <c r="Q54" s="176"/>
      <c r="R54" s="176"/>
      <c r="S54" s="176"/>
      <c r="T54" s="176"/>
      <c r="U54" s="176"/>
      <c r="V54" s="176"/>
      <c r="W54" s="176"/>
      <c r="X54" s="176"/>
      <c r="Y54" s="176"/>
      <c r="Z54" s="176"/>
    </row>
    <row r="55">
      <c r="A55" s="226" t="s">
        <v>39</v>
      </c>
      <c r="B55" s="226" t="s">
        <v>590</v>
      </c>
      <c r="C55" s="250" t="s">
        <v>3846</v>
      </c>
      <c r="D55" s="268" t="s">
        <v>495</v>
      </c>
      <c r="E55" s="251">
        <v>44118.0</v>
      </c>
      <c r="F55" s="250" t="s">
        <v>496</v>
      </c>
      <c r="G55" s="403">
        <v>1.0</v>
      </c>
      <c r="H55" s="403">
        <v>45.0</v>
      </c>
      <c r="I55" s="403">
        <v>30.0</v>
      </c>
      <c r="J55" s="391">
        <f t="shared" si="2"/>
        <v>0.003831445772</v>
      </c>
      <c r="K55" s="392">
        <f t="shared" si="3"/>
        <v>1.034490358</v>
      </c>
      <c r="L55" s="327">
        <f t="shared" si="4"/>
        <v>19.11401066</v>
      </c>
      <c r="M55" s="321" t="str">
        <f t="shared" si="5"/>
        <v>manualzuru</v>
      </c>
      <c r="N55" s="176">
        <f>IFERROR(__xludf.DUMMYFUNCTION("""COMPUTED_VALUE"""),5.0)</f>
        <v>5</v>
      </c>
      <c r="O55" s="176"/>
      <c r="P55" s="176"/>
      <c r="Q55" s="176"/>
      <c r="R55" s="176"/>
      <c r="S55" s="176"/>
      <c r="T55" s="176"/>
      <c r="U55" s="176"/>
      <c r="V55" s="176"/>
      <c r="W55" s="176"/>
      <c r="X55" s="176"/>
      <c r="Y55" s="176"/>
      <c r="Z55" s="176"/>
    </row>
    <row r="56">
      <c r="A56" s="226" t="s">
        <v>39</v>
      </c>
      <c r="B56" s="226" t="s">
        <v>5</v>
      </c>
      <c r="C56" s="250" t="s">
        <v>3848</v>
      </c>
      <c r="D56" s="268" t="s">
        <v>495</v>
      </c>
      <c r="E56" s="251">
        <v>44118.0</v>
      </c>
      <c r="F56" s="250" t="s">
        <v>496</v>
      </c>
      <c r="G56" s="403" t="s">
        <v>3752</v>
      </c>
      <c r="H56" s="403">
        <v>0.0</v>
      </c>
      <c r="I56" s="403">
        <v>0.0</v>
      </c>
      <c r="J56" s="391">
        <f t="shared" si="2"/>
        <v>0</v>
      </c>
      <c r="K56" s="392">
        <f t="shared" si="3"/>
        <v>0</v>
      </c>
      <c r="L56" s="327">
        <f t="shared" si="4"/>
        <v>19.11401066</v>
      </c>
      <c r="M56" s="321" t="str">
        <f t="shared" si="5"/>
        <v>manualzuru</v>
      </c>
      <c r="N56" s="176">
        <f>IFERROR(__xludf.DUMMYFUNCTION("""COMPUTED_VALUE"""),6.0)</f>
        <v>6</v>
      </c>
      <c r="O56" s="176"/>
      <c r="P56" s="176"/>
      <c r="Q56" s="176"/>
      <c r="R56" s="176"/>
      <c r="S56" s="176"/>
      <c r="T56" s="176"/>
      <c r="U56" s="176"/>
      <c r="V56" s="176"/>
      <c r="W56" s="176"/>
      <c r="X56" s="176"/>
      <c r="Y56" s="176"/>
      <c r="Z56" s="176"/>
    </row>
    <row r="57">
      <c r="A57" s="226" t="s">
        <v>9</v>
      </c>
      <c r="B57" s="226" t="s">
        <v>590</v>
      </c>
      <c r="C57" s="250" t="s">
        <v>3846</v>
      </c>
      <c r="D57" s="268" t="s">
        <v>495</v>
      </c>
      <c r="E57" s="251">
        <v>44118.0</v>
      </c>
      <c r="F57" s="250" t="s">
        <v>496</v>
      </c>
      <c r="G57" s="403">
        <v>1.0</v>
      </c>
      <c r="H57" s="403">
        <v>45.0</v>
      </c>
      <c r="I57" s="403">
        <v>30.0</v>
      </c>
      <c r="J57" s="391">
        <f t="shared" si="2"/>
        <v>0.003831445772</v>
      </c>
      <c r="K57" s="392">
        <f t="shared" si="3"/>
        <v>1.034490358</v>
      </c>
      <c r="L57" s="327">
        <f t="shared" si="4"/>
        <v>17.88774457</v>
      </c>
      <c r="M57" s="321" t="str">
        <f t="shared" si="5"/>
        <v>akrtws</v>
      </c>
      <c r="N57" s="176">
        <f>IFERROR(__xludf.DUMMYFUNCTION("""COMPUTED_VALUE"""),3.0)</f>
        <v>3</v>
      </c>
      <c r="O57" s="176"/>
      <c r="P57" s="176"/>
      <c r="Q57" s="176"/>
      <c r="R57" s="176"/>
      <c r="S57" s="176"/>
      <c r="T57" s="176"/>
      <c r="U57" s="176"/>
      <c r="V57" s="176"/>
      <c r="W57" s="176"/>
      <c r="X57" s="176"/>
      <c r="Y57" s="176"/>
      <c r="Z57" s="176"/>
    </row>
    <row r="58">
      <c r="A58" s="226" t="s">
        <v>76</v>
      </c>
      <c r="B58" s="226" t="s">
        <v>590</v>
      </c>
      <c r="C58" s="250" t="s">
        <v>3849</v>
      </c>
      <c r="D58" s="268" t="s">
        <v>495</v>
      </c>
      <c r="E58" s="251">
        <v>44118.0</v>
      </c>
      <c r="F58" s="250" t="s">
        <v>496</v>
      </c>
      <c r="G58" s="403">
        <v>1.0</v>
      </c>
      <c r="H58" s="403">
        <v>50.0</v>
      </c>
      <c r="I58" s="403">
        <v>50.0</v>
      </c>
      <c r="J58" s="391">
        <f t="shared" si="2"/>
        <v>0.005115030337</v>
      </c>
      <c r="K58" s="392">
        <f t="shared" si="3"/>
        <v>1.381058191</v>
      </c>
      <c r="L58" s="327">
        <f t="shared" si="4"/>
        <v>10.77572932</v>
      </c>
      <c r="M58" s="321" t="str">
        <f t="shared" si="5"/>
        <v>fabianvb</v>
      </c>
      <c r="N58" s="176">
        <f>IFERROR(__xludf.DUMMYFUNCTION("""COMPUTED_VALUE"""),3.0)</f>
        <v>3</v>
      </c>
      <c r="O58" s="176"/>
      <c r="P58" s="176"/>
      <c r="Q58" s="176"/>
      <c r="R58" s="176"/>
      <c r="S58" s="176"/>
      <c r="T58" s="176"/>
      <c r="U58" s="176"/>
      <c r="V58" s="176"/>
      <c r="W58" s="176"/>
      <c r="X58" s="176"/>
      <c r="Y58" s="176"/>
      <c r="Z58" s="176"/>
    </row>
    <row r="59">
      <c r="A59" s="226" t="s">
        <v>29</v>
      </c>
      <c r="B59" s="226" t="s">
        <v>590</v>
      </c>
      <c r="C59" s="250" t="s">
        <v>3850</v>
      </c>
      <c r="D59" s="268" t="s">
        <v>495</v>
      </c>
      <c r="E59" s="251">
        <v>44118.0</v>
      </c>
      <c r="F59" s="250" t="s">
        <v>496</v>
      </c>
      <c r="G59" s="403">
        <v>3.0</v>
      </c>
      <c r="H59" s="403">
        <v>10.0</v>
      </c>
      <c r="I59" s="403">
        <v>50.0</v>
      </c>
      <c r="J59" s="391">
        <f t="shared" si="2"/>
        <v>0.003081890152</v>
      </c>
      <c r="K59" s="392">
        <f t="shared" si="3"/>
        <v>0.8321103411</v>
      </c>
      <c r="L59" s="327">
        <f t="shared" si="4"/>
        <v>8.434012388</v>
      </c>
      <c r="M59" s="321" t="str">
        <f t="shared" si="5"/>
        <v>jeffemmett</v>
      </c>
      <c r="N59" s="176">
        <f>IFERROR(__xludf.DUMMYFUNCTION("""COMPUTED_VALUE"""),2.0)</f>
        <v>2</v>
      </c>
      <c r="O59" s="176"/>
      <c r="P59" s="176"/>
      <c r="Q59" s="176"/>
      <c r="R59" s="176"/>
      <c r="S59" s="176"/>
      <c r="T59" s="176"/>
      <c r="U59" s="176"/>
      <c r="V59" s="176"/>
      <c r="W59" s="176"/>
      <c r="X59" s="176"/>
      <c r="Y59" s="176"/>
      <c r="Z59" s="176"/>
    </row>
    <row r="60">
      <c r="A60" s="226" t="s">
        <v>14</v>
      </c>
      <c r="B60" s="226" t="s">
        <v>1577</v>
      </c>
      <c r="C60" s="250" t="s">
        <v>3851</v>
      </c>
      <c r="D60" s="268" t="s">
        <v>495</v>
      </c>
      <c r="E60" s="251">
        <v>44118.0</v>
      </c>
      <c r="F60" s="250" t="s">
        <v>496</v>
      </c>
      <c r="G60" s="403">
        <v>1.0</v>
      </c>
      <c r="H60" s="403">
        <v>20.0</v>
      </c>
      <c r="I60" s="403">
        <v>40.0</v>
      </c>
      <c r="J60" s="391">
        <f t="shared" si="2"/>
        <v>0.003075454177</v>
      </c>
      <c r="K60" s="392">
        <f t="shared" si="3"/>
        <v>0.8303726279</v>
      </c>
      <c r="L60" s="327">
        <f t="shared" si="4"/>
        <v>7.660963106</v>
      </c>
      <c r="M60" s="321" t="str">
        <f t="shared" si="5"/>
        <v>jessicazartler</v>
      </c>
      <c r="N60" s="176">
        <f>IFERROR(__xludf.DUMMYFUNCTION("""COMPUTED_VALUE"""),5.0)</f>
        <v>5</v>
      </c>
      <c r="O60" s="176"/>
      <c r="P60" s="176"/>
      <c r="Q60" s="176"/>
      <c r="R60" s="176"/>
      <c r="S60" s="176"/>
      <c r="T60" s="176"/>
      <c r="U60" s="176"/>
      <c r="V60" s="176"/>
      <c r="W60" s="176"/>
      <c r="X60" s="176"/>
      <c r="Y60" s="176"/>
      <c r="Z60" s="176"/>
    </row>
    <row r="61">
      <c r="A61" s="226" t="s">
        <v>8</v>
      </c>
      <c r="B61" s="226" t="s">
        <v>590</v>
      </c>
      <c r="C61" s="250" t="s">
        <v>3846</v>
      </c>
      <c r="D61" s="268" t="s">
        <v>495</v>
      </c>
      <c r="E61" s="251">
        <v>44118.0</v>
      </c>
      <c r="F61" s="250" t="s">
        <v>496</v>
      </c>
      <c r="G61" s="403">
        <v>1.0</v>
      </c>
      <c r="H61" s="403">
        <v>45.0</v>
      </c>
      <c r="I61" s="403">
        <v>30.0</v>
      </c>
      <c r="J61" s="391">
        <f t="shared" si="2"/>
        <v>0.003831445772</v>
      </c>
      <c r="K61" s="392">
        <f t="shared" si="3"/>
        <v>1.034490358</v>
      </c>
      <c r="L61" s="327">
        <f t="shared" si="4"/>
        <v>1.918888915</v>
      </c>
      <c r="M61" s="321" t="str">
        <f t="shared" si="5"/>
        <v>solsista</v>
      </c>
      <c r="N61" s="176">
        <f>IFERROR(__xludf.DUMMYFUNCTION("""COMPUTED_VALUE"""),2.0)</f>
        <v>2</v>
      </c>
      <c r="O61" s="176"/>
      <c r="P61" s="176"/>
      <c r="Q61" s="176"/>
      <c r="R61" s="176"/>
      <c r="S61" s="176"/>
      <c r="T61" s="176"/>
      <c r="U61" s="176"/>
      <c r="V61" s="176"/>
      <c r="W61" s="176"/>
      <c r="X61" s="176"/>
      <c r="Y61" s="176"/>
      <c r="Z61" s="176"/>
    </row>
    <row r="62">
      <c r="A62" s="226" t="s">
        <v>65</v>
      </c>
      <c r="B62" s="226" t="s">
        <v>519</v>
      </c>
      <c r="C62" s="250" t="s">
        <v>3852</v>
      </c>
      <c r="D62" s="268" t="s">
        <v>495</v>
      </c>
      <c r="E62" s="251">
        <v>44118.0</v>
      </c>
      <c r="F62" s="250" t="s">
        <v>499</v>
      </c>
      <c r="G62" s="403">
        <v>4.0</v>
      </c>
      <c r="H62" s="403">
        <v>0.0</v>
      </c>
      <c r="I62" s="403">
        <v>0.0</v>
      </c>
      <c r="J62" s="391">
        <f t="shared" si="2"/>
        <v>0</v>
      </c>
      <c r="K62" s="392">
        <f t="shared" si="3"/>
        <v>0</v>
      </c>
      <c r="L62" s="327">
        <f t="shared" si="4"/>
        <v>1.657269829</v>
      </c>
      <c r="M62" s="321" t="str">
        <f t="shared" si="5"/>
        <v>loie_giveth</v>
      </c>
      <c r="N62" s="176">
        <f>IFERROR(__xludf.DUMMYFUNCTION("""COMPUTED_VALUE"""),2.0)</f>
        <v>2</v>
      </c>
      <c r="O62" s="176"/>
      <c r="P62" s="176"/>
      <c r="Q62" s="176"/>
      <c r="R62" s="176"/>
      <c r="S62" s="176"/>
      <c r="T62" s="176"/>
      <c r="U62" s="176"/>
      <c r="V62" s="176"/>
      <c r="W62" s="176"/>
      <c r="X62" s="176"/>
      <c r="Y62" s="176"/>
      <c r="Z62" s="176"/>
    </row>
    <row r="63">
      <c r="A63" s="226" t="s">
        <v>16</v>
      </c>
      <c r="B63" s="226" t="s">
        <v>590</v>
      </c>
      <c r="C63" s="250" t="s">
        <v>3853</v>
      </c>
      <c r="D63" s="268" t="s">
        <v>495</v>
      </c>
      <c r="E63" s="251">
        <v>44118.0</v>
      </c>
      <c r="F63" s="250" t="s">
        <v>496</v>
      </c>
      <c r="G63" s="403">
        <v>1.0</v>
      </c>
      <c r="H63" s="403">
        <v>0.0</v>
      </c>
      <c r="I63" s="403">
        <v>0.0</v>
      </c>
      <c r="J63" s="391">
        <f t="shared" si="2"/>
        <v>0</v>
      </c>
      <c r="K63" s="392">
        <f t="shared" si="3"/>
        <v>0</v>
      </c>
      <c r="L63" s="327">
        <f t="shared" si="4"/>
        <v>0</v>
      </c>
      <c r="M63" s="321" t="str">
        <f t="shared" si="5"/>
        <v>griffgreen</v>
      </c>
      <c r="N63" s="176">
        <f>IFERROR(__xludf.DUMMYFUNCTION("""COMPUTED_VALUE"""),5.0)</f>
        <v>5</v>
      </c>
      <c r="O63" s="176"/>
      <c r="P63" s="176"/>
      <c r="Q63" s="176"/>
      <c r="R63" s="176"/>
      <c r="S63" s="176"/>
      <c r="T63" s="176"/>
      <c r="U63" s="176"/>
      <c r="V63" s="176"/>
      <c r="W63" s="176"/>
      <c r="X63" s="176"/>
      <c r="Y63" s="176"/>
      <c r="Z63" s="176"/>
    </row>
    <row r="64">
      <c r="A64" s="226" t="s">
        <v>6</v>
      </c>
      <c r="B64" s="226" t="s">
        <v>519</v>
      </c>
      <c r="C64" s="250" t="s">
        <v>3854</v>
      </c>
      <c r="D64" s="268" t="s">
        <v>495</v>
      </c>
      <c r="E64" s="251">
        <v>44119.0</v>
      </c>
      <c r="F64" s="250" t="s">
        <v>496</v>
      </c>
      <c r="G64" s="403">
        <v>1.0</v>
      </c>
      <c r="H64" s="403">
        <v>400.0</v>
      </c>
      <c r="I64" s="403">
        <v>300.0</v>
      </c>
      <c r="J64" s="391">
        <f t="shared" si="2"/>
        <v>0.03577303249</v>
      </c>
      <c r="K64" s="392">
        <f t="shared" si="3"/>
        <v>9.658718771</v>
      </c>
      <c r="L64" s="327">
        <f t="shared" si="4"/>
        <v>43.08206471</v>
      </c>
      <c r="M64" s="321" t="str">
        <f t="shared" si="5"/>
        <v>sembrestels</v>
      </c>
      <c r="N64" s="176">
        <f>IFERROR(__xludf.DUMMYFUNCTION("""COMPUTED_VALUE"""),3.0)</f>
        <v>3</v>
      </c>
      <c r="O64" s="176"/>
      <c r="P64" s="176"/>
      <c r="Q64" s="176"/>
      <c r="R64" s="176"/>
      <c r="S64" s="176"/>
      <c r="T64" s="176"/>
      <c r="U64" s="176"/>
      <c r="V64" s="176"/>
      <c r="W64" s="176"/>
      <c r="X64" s="176"/>
      <c r="Y64" s="176"/>
      <c r="Z64" s="176"/>
    </row>
    <row r="65">
      <c r="A65" s="226" t="s">
        <v>6</v>
      </c>
      <c r="B65" s="226" t="s">
        <v>29</v>
      </c>
      <c r="C65" s="250" t="s">
        <v>3855</v>
      </c>
      <c r="D65" s="268" t="s">
        <v>495</v>
      </c>
      <c r="E65" s="251">
        <v>44119.0</v>
      </c>
      <c r="F65" s="250" t="s">
        <v>592</v>
      </c>
      <c r="G65" s="403">
        <v>3.0</v>
      </c>
      <c r="H65" s="403">
        <v>50.0</v>
      </c>
      <c r="I65" s="403">
        <v>60.0</v>
      </c>
      <c r="J65" s="391">
        <f t="shared" si="2"/>
        <v>0.005629751359</v>
      </c>
      <c r="K65" s="392">
        <f t="shared" si="3"/>
        <v>1.520032867</v>
      </c>
      <c r="L65" s="327">
        <f t="shared" si="4"/>
        <v>43.08206471</v>
      </c>
      <c r="M65" s="321" t="str">
        <f t="shared" si="5"/>
        <v>sembrestels</v>
      </c>
      <c r="N65" s="176">
        <f>IFERROR(__xludf.DUMMYFUNCTION("""COMPUTED_VALUE"""),4.0)</f>
        <v>4</v>
      </c>
      <c r="O65" s="176"/>
      <c r="P65" s="176"/>
      <c r="Q65" s="176"/>
      <c r="R65" s="176"/>
      <c r="S65" s="176"/>
      <c r="T65" s="176"/>
      <c r="U65" s="176"/>
      <c r="V65" s="176"/>
      <c r="W65" s="176"/>
      <c r="X65" s="176"/>
      <c r="Y65" s="176"/>
      <c r="Z65" s="176"/>
    </row>
    <row r="66">
      <c r="A66" s="226" t="s">
        <v>6</v>
      </c>
      <c r="B66" s="226" t="s">
        <v>18</v>
      </c>
      <c r="C66" s="250" t="s">
        <v>3856</v>
      </c>
      <c r="D66" s="268" t="s">
        <v>495</v>
      </c>
      <c r="E66" s="251">
        <v>44119.0</v>
      </c>
      <c r="F66" s="250" t="s">
        <v>496</v>
      </c>
      <c r="G66" s="403">
        <v>1.0</v>
      </c>
      <c r="H66" s="403">
        <v>100.0</v>
      </c>
      <c r="I66" s="403">
        <v>60.0</v>
      </c>
      <c r="J66" s="391">
        <f t="shared" si="2"/>
        <v>0.00817117659</v>
      </c>
      <c r="K66" s="392">
        <f t="shared" si="3"/>
        <v>2.206217679</v>
      </c>
      <c r="L66" s="327">
        <f t="shared" si="4"/>
        <v>43.08206471</v>
      </c>
      <c r="M66" s="321" t="str">
        <f t="shared" si="5"/>
        <v>sembrestels</v>
      </c>
      <c r="N66" s="176">
        <f>IFERROR(__xludf.DUMMYFUNCTION("""COMPUTED_VALUE"""),5.0)</f>
        <v>5</v>
      </c>
      <c r="O66" s="176"/>
      <c r="P66" s="176"/>
      <c r="Q66" s="176"/>
      <c r="R66" s="176"/>
      <c r="S66" s="176"/>
      <c r="T66" s="176"/>
      <c r="U66" s="176"/>
      <c r="V66" s="176"/>
      <c r="W66" s="176"/>
      <c r="X66" s="176"/>
      <c r="Y66" s="176"/>
      <c r="Z66" s="176"/>
    </row>
    <row r="67">
      <c r="A67" s="226" t="s">
        <v>4</v>
      </c>
      <c r="B67" s="226" t="s">
        <v>18</v>
      </c>
      <c r="C67" s="250" t="s">
        <v>3856</v>
      </c>
      <c r="D67" s="268" t="s">
        <v>495</v>
      </c>
      <c r="E67" s="251">
        <v>44119.0</v>
      </c>
      <c r="F67" s="250" t="s">
        <v>496</v>
      </c>
      <c r="G67" s="403">
        <v>1.0</v>
      </c>
      <c r="H67" s="403">
        <v>45.0</v>
      </c>
      <c r="I67" s="403">
        <v>60.0</v>
      </c>
      <c r="J67" s="391">
        <f t="shared" si="2"/>
        <v>0.005375608835</v>
      </c>
      <c r="K67" s="392">
        <f t="shared" si="3"/>
        <v>1.451414386</v>
      </c>
      <c r="L67" s="327">
        <f t="shared" si="4"/>
        <v>21.03811271</v>
      </c>
      <c r="M67" s="321" t="str">
        <f t="shared" si="5"/>
        <v>santigs67</v>
      </c>
      <c r="N67" s="176">
        <f>IFERROR(__xludf.DUMMYFUNCTION("""COMPUTED_VALUE"""),4.0)</f>
        <v>4</v>
      </c>
      <c r="O67" s="176"/>
      <c r="P67" s="176"/>
      <c r="Q67" s="176"/>
      <c r="R67" s="176"/>
      <c r="S67" s="176"/>
      <c r="T67" s="176"/>
      <c r="U67" s="176"/>
      <c r="V67" s="176"/>
      <c r="W67" s="176"/>
      <c r="X67" s="176"/>
      <c r="Y67" s="176"/>
      <c r="Z67" s="176"/>
    </row>
    <row r="68">
      <c r="A68" s="226" t="s">
        <v>4</v>
      </c>
      <c r="B68" s="226" t="s">
        <v>18</v>
      </c>
      <c r="C68" s="250" t="s">
        <v>3857</v>
      </c>
      <c r="D68" s="268" t="s">
        <v>495</v>
      </c>
      <c r="E68" s="251">
        <v>44119.0</v>
      </c>
      <c r="F68" s="250" t="s">
        <v>496</v>
      </c>
      <c r="G68" s="403">
        <v>1.0</v>
      </c>
      <c r="H68" s="403">
        <v>5.0</v>
      </c>
      <c r="I68" s="403">
        <v>10.0</v>
      </c>
      <c r="J68" s="391">
        <f t="shared" si="2"/>
        <v>0.0007688635443</v>
      </c>
      <c r="K68" s="392">
        <f t="shared" si="3"/>
        <v>0.207593157</v>
      </c>
      <c r="L68" s="327">
        <f t="shared" si="4"/>
        <v>21.03811271</v>
      </c>
      <c r="M68" s="321" t="str">
        <f t="shared" si="5"/>
        <v>santigs67</v>
      </c>
      <c r="N68" s="176">
        <f>IFERROR(__xludf.DUMMYFUNCTION("""COMPUTED_VALUE"""),5.0)</f>
        <v>5</v>
      </c>
      <c r="O68" s="176"/>
      <c r="P68" s="176"/>
      <c r="Q68" s="176"/>
      <c r="R68" s="176"/>
      <c r="S68" s="176"/>
      <c r="T68" s="176"/>
      <c r="U68" s="176"/>
      <c r="V68" s="176"/>
      <c r="W68" s="176"/>
      <c r="X68" s="176"/>
      <c r="Y68" s="176"/>
      <c r="Z68" s="176"/>
    </row>
    <row r="69">
      <c r="A69" s="226" t="s">
        <v>4</v>
      </c>
      <c r="B69" s="226" t="s">
        <v>18</v>
      </c>
      <c r="C69" s="250" t="s">
        <v>3858</v>
      </c>
      <c r="D69" s="268" t="s">
        <v>495</v>
      </c>
      <c r="E69" s="251">
        <v>44119.0</v>
      </c>
      <c r="F69" s="250" t="s">
        <v>496</v>
      </c>
      <c r="G69" s="403">
        <v>1.0</v>
      </c>
      <c r="H69" s="403">
        <v>60.0</v>
      </c>
      <c r="I69" s="403">
        <v>60.0</v>
      </c>
      <c r="J69" s="391">
        <f t="shared" si="2"/>
        <v>0.006138036405</v>
      </c>
      <c r="K69" s="392">
        <f t="shared" si="3"/>
        <v>1.657269829</v>
      </c>
      <c r="L69" s="327">
        <f t="shared" si="4"/>
        <v>21.03811271</v>
      </c>
      <c r="M69" s="321" t="str">
        <f t="shared" si="5"/>
        <v>santigs67</v>
      </c>
      <c r="N69" s="176">
        <f>IFERROR(__xludf.DUMMYFUNCTION("""COMPUTED_VALUE"""),6.0)</f>
        <v>6</v>
      </c>
      <c r="O69" s="176"/>
      <c r="P69" s="176"/>
      <c r="Q69" s="176"/>
      <c r="R69" s="176"/>
      <c r="S69" s="176"/>
      <c r="T69" s="176"/>
      <c r="U69" s="176"/>
      <c r="V69" s="176"/>
      <c r="W69" s="176"/>
      <c r="X69" s="176"/>
      <c r="Y69" s="176"/>
      <c r="Z69" s="176"/>
    </row>
    <row r="70">
      <c r="A70" s="226" t="s">
        <v>5</v>
      </c>
      <c r="B70" s="226" t="s">
        <v>18</v>
      </c>
      <c r="C70" s="250" t="s">
        <v>3856</v>
      </c>
      <c r="D70" s="268" t="s">
        <v>495</v>
      </c>
      <c r="E70" s="251">
        <v>44119.0</v>
      </c>
      <c r="F70" s="250" t="s">
        <v>496</v>
      </c>
      <c r="G70" s="403">
        <v>1.0</v>
      </c>
      <c r="H70" s="403">
        <v>45.0</v>
      </c>
      <c r="I70" s="403">
        <v>60.0</v>
      </c>
      <c r="J70" s="391">
        <f t="shared" si="2"/>
        <v>0.005375608835</v>
      </c>
      <c r="K70" s="392">
        <f t="shared" si="3"/>
        <v>1.451414386</v>
      </c>
      <c r="L70" s="327">
        <f t="shared" si="4"/>
        <v>20.43444809</v>
      </c>
      <c r="M70" s="321" t="str">
        <f t="shared" si="5"/>
        <v>cranders71</v>
      </c>
      <c r="N70" s="176">
        <f>IFERROR(__xludf.DUMMYFUNCTION("""COMPUTED_VALUE"""),4.0)</f>
        <v>4</v>
      </c>
      <c r="O70" s="176"/>
      <c r="P70" s="176"/>
      <c r="Q70" s="176"/>
      <c r="R70" s="176"/>
      <c r="S70" s="176"/>
      <c r="T70" s="176"/>
      <c r="U70" s="176"/>
      <c r="V70" s="176"/>
      <c r="W70" s="176"/>
      <c r="X70" s="176"/>
      <c r="Y70" s="176"/>
      <c r="Z70" s="176"/>
    </row>
    <row r="71">
      <c r="A71" s="226" t="s">
        <v>5</v>
      </c>
      <c r="B71" s="226" t="s">
        <v>590</v>
      </c>
      <c r="C71" s="250" t="s">
        <v>3859</v>
      </c>
      <c r="D71" s="268" t="s">
        <v>495</v>
      </c>
      <c r="E71" s="251">
        <v>44119.0</v>
      </c>
      <c r="F71" s="250" t="s">
        <v>496</v>
      </c>
      <c r="G71" s="403" t="s">
        <v>3752</v>
      </c>
      <c r="H71" s="403">
        <v>0.0</v>
      </c>
      <c r="I71" s="403">
        <v>0.0</v>
      </c>
      <c r="J71" s="391">
        <f t="shared" si="2"/>
        <v>0</v>
      </c>
      <c r="K71" s="392">
        <f t="shared" si="3"/>
        <v>0</v>
      </c>
      <c r="L71" s="327">
        <f t="shared" si="4"/>
        <v>20.43444809</v>
      </c>
      <c r="M71" s="321" t="str">
        <f t="shared" si="5"/>
        <v>cranders71</v>
      </c>
      <c r="N71" s="176">
        <f>IFERROR(__xludf.DUMMYFUNCTION("""COMPUTED_VALUE"""),5.0)</f>
        <v>5</v>
      </c>
      <c r="O71" s="176"/>
      <c r="P71" s="176"/>
      <c r="Q71" s="176"/>
      <c r="R71" s="176"/>
      <c r="S71" s="176"/>
      <c r="T71" s="176"/>
      <c r="U71" s="176"/>
      <c r="V71" s="176"/>
      <c r="W71" s="176"/>
      <c r="X71" s="176"/>
      <c r="Y71" s="176"/>
      <c r="Z71" s="176"/>
    </row>
    <row r="72">
      <c r="A72" s="226" t="s">
        <v>15</v>
      </c>
      <c r="B72" s="226" t="s">
        <v>18</v>
      </c>
      <c r="C72" s="250" t="s">
        <v>3856</v>
      </c>
      <c r="D72" s="268" t="s">
        <v>495</v>
      </c>
      <c r="E72" s="251">
        <v>44119.0</v>
      </c>
      <c r="F72" s="250" t="s">
        <v>496</v>
      </c>
      <c r="G72" s="403">
        <v>1.0</v>
      </c>
      <c r="H72" s="403">
        <v>45.0</v>
      </c>
      <c r="I72" s="403">
        <v>60.0</v>
      </c>
      <c r="J72" s="391">
        <f t="shared" si="2"/>
        <v>0.005375608835</v>
      </c>
      <c r="K72" s="392">
        <f t="shared" si="3"/>
        <v>1.451414386</v>
      </c>
      <c r="L72" s="327">
        <f t="shared" si="4"/>
        <v>19.3382901</v>
      </c>
      <c r="M72" s="321" t="str">
        <f t="shared" si="5"/>
        <v>juankbell</v>
      </c>
      <c r="N72" s="176">
        <f>IFERROR(__xludf.DUMMYFUNCTION("""COMPUTED_VALUE"""),2.0)</f>
        <v>2</v>
      </c>
      <c r="O72" s="176"/>
      <c r="P72" s="176"/>
      <c r="Q72" s="176"/>
      <c r="R72" s="176"/>
      <c r="S72" s="176"/>
      <c r="T72" s="176"/>
      <c r="U72" s="176"/>
      <c r="V72" s="176"/>
      <c r="W72" s="176"/>
      <c r="X72" s="176"/>
      <c r="Y72" s="176"/>
      <c r="Z72" s="176"/>
    </row>
    <row r="73">
      <c r="A73" s="226" t="s">
        <v>15</v>
      </c>
      <c r="B73" s="226" t="s">
        <v>18</v>
      </c>
      <c r="C73" s="250" t="s">
        <v>3857</v>
      </c>
      <c r="D73" s="268" t="s">
        <v>495</v>
      </c>
      <c r="E73" s="251">
        <v>44119.0</v>
      </c>
      <c r="F73" s="250" t="s">
        <v>496</v>
      </c>
      <c r="G73" s="403">
        <v>1.0</v>
      </c>
      <c r="H73" s="403">
        <v>5.0</v>
      </c>
      <c r="I73" s="403">
        <v>10.0</v>
      </c>
      <c r="J73" s="391">
        <f t="shared" si="2"/>
        <v>0.0007688635443</v>
      </c>
      <c r="K73" s="392">
        <f t="shared" si="3"/>
        <v>0.207593157</v>
      </c>
      <c r="L73" s="327">
        <f t="shared" si="4"/>
        <v>19.3382901</v>
      </c>
      <c r="M73" s="321" t="str">
        <f t="shared" si="5"/>
        <v>juankbell</v>
      </c>
      <c r="N73" s="176">
        <f>IFERROR(__xludf.DUMMYFUNCTION("""COMPUTED_VALUE"""),3.0)</f>
        <v>3</v>
      </c>
      <c r="O73" s="176"/>
      <c r="P73" s="176"/>
      <c r="Q73" s="176"/>
      <c r="R73" s="176"/>
      <c r="S73" s="176"/>
      <c r="T73" s="176"/>
      <c r="U73" s="176"/>
      <c r="V73" s="176"/>
      <c r="W73" s="176"/>
      <c r="X73" s="176"/>
      <c r="Y73" s="176"/>
      <c r="Z73" s="176"/>
    </row>
    <row r="74">
      <c r="A74" s="226" t="s">
        <v>15</v>
      </c>
      <c r="B74" s="226" t="s">
        <v>18</v>
      </c>
      <c r="C74" s="250" t="s">
        <v>3858</v>
      </c>
      <c r="D74" s="268" t="s">
        <v>495</v>
      </c>
      <c r="E74" s="251">
        <v>44119.0</v>
      </c>
      <c r="F74" s="250" t="s">
        <v>496</v>
      </c>
      <c r="G74" s="403">
        <v>1.0</v>
      </c>
      <c r="H74" s="403">
        <v>60.0</v>
      </c>
      <c r="I74" s="403">
        <v>100.0</v>
      </c>
      <c r="J74" s="391">
        <f t="shared" si="2"/>
        <v>0.00819692049</v>
      </c>
      <c r="K74" s="392">
        <f t="shared" si="3"/>
        <v>2.213168532</v>
      </c>
      <c r="L74" s="327">
        <f t="shared" si="4"/>
        <v>19.3382901</v>
      </c>
      <c r="M74" s="321" t="str">
        <f t="shared" si="5"/>
        <v>juankbell</v>
      </c>
      <c r="N74" s="176">
        <f>IFERROR(__xludf.DUMMYFUNCTION("""COMPUTED_VALUE"""),4.0)</f>
        <v>4</v>
      </c>
      <c r="O74" s="176"/>
      <c r="P74" s="176"/>
      <c r="Q74" s="176"/>
      <c r="R74" s="176"/>
      <c r="S74" s="176"/>
      <c r="T74" s="176"/>
      <c r="U74" s="176"/>
      <c r="V74" s="176"/>
      <c r="W74" s="176"/>
      <c r="X74" s="176"/>
      <c r="Y74" s="176"/>
      <c r="Z74" s="176"/>
    </row>
    <row r="75">
      <c r="A75" s="226" t="s">
        <v>39</v>
      </c>
      <c r="B75" s="226" t="s">
        <v>18</v>
      </c>
      <c r="C75" s="250" t="s">
        <v>3856</v>
      </c>
      <c r="D75" s="268" t="s">
        <v>495</v>
      </c>
      <c r="E75" s="251">
        <v>44119.0</v>
      </c>
      <c r="F75" s="250" t="s">
        <v>496</v>
      </c>
      <c r="G75" s="403">
        <v>1.0</v>
      </c>
      <c r="H75" s="403">
        <v>60.0</v>
      </c>
      <c r="I75" s="403">
        <v>60.0</v>
      </c>
      <c r="J75" s="391">
        <f t="shared" si="2"/>
        <v>0.006138036405</v>
      </c>
      <c r="K75" s="392">
        <f t="shared" si="3"/>
        <v>1.657269829</v>
      </c>
      <c r="L75" s="327">
        <f t="shared" si="4"/>
        <v>19.11401066</v>
      </c>
      <c r="M75" s="321" t="str">
        <f t="shared" si="5"/>
        <v>manualzuru</v>
      </c>
      <c r="N75" s="176">
        <f>IFERROR(__xludf.DUMMYFUNCTION("""COMPUTED_VALUE"""),7.0)</f>
        <v>7</v>
      </c>
      <c r="O75" s="176"/>
      <c r="P75" s="176"/>
      <c r="Q75" s="176"/>
      <c r="R75" s="176"/>
      <c r="S75" s="176"/>
      <c r="T75" s="176"/>
      <c r="U75" s="176"/>
      <c r="V75" s="176"/>
      <c r="W75" s="176"/>
      <c r="X75" s="176"/>
      <c r="Y75" s="176"/>
      <c r="Z75" s="176"/>
    </row>
    <row r="76">
      <c r="A76" s="226" t="s">
        <v>9</v>
      </c>
      <c r="B76" s="226" t="s">
        <v>18</v>
      </c>
      <c r="C76" s="250" t="s">
        <v>3858</v>
      </c>
      <c r="D76" s="268" t="s">
        <v>495</v>
      </c>
      <c r="E76" s="251">
        <v>44119.0</v>
      </c>
      <c r="F76" s="250" t="s">
        <v>496</v>
      </c>
      <c r="G76" s="403">
        <v>1.0</v>
      </c>
      <c r="H76" s="403">
        <v>60.0</v>
      </c>
      <c r="I76" s="403">
        <v>60.0</v>
      </c>
      <c r="J76" s="391">
        <f t="shared" si="2"/>
        <v>0.006138036405</v>
      </c>
      <c r="K76" s="392">
        <f t="shared" si="3"/>
        <v>1.657269829</v>
      </c>
      <c r="L76" s="327">
        <f t="shared" si="4"/>
        <v>17.88774457</v>
      </c>
      <c r="M76" s="321" t="str">
        <f t="shared" si="5"/>
        <v>akrtws</v>
      </c>
      <c r="N76" s="176">
        <f>IFERROR(__xludf.DUMMYFUNCTION("""COMPUTED_VALUE"""),4.0)</f>
        <v>4</v>
      </c>
      <c r="O76" s="176"/>
      <c r="P76" s="176"/>
      <c r="Q76" s="176"/>
      <c r="R76" s="176"/>
      <c r="S76" s="176"/>
      <c r="T76" s="176"/>
      <c r="U76" s="176"/>
      <c r="V76" s="176"/>
      <c r="W76" s="176"/>
      <c r="X76" s="176"/>
      <c r="Y76" s="176"/>
      <c r="Z76" s="176"/>
    </row>
    <row r="77">
      <c r="A77" s="226" t="s">
        <v>9</v>
      </c>
      <c r="B77" s="226" t="s">
        <v>18</v>
      </c>
      <c r="C77" s="250" t="s">
        <v>3860</v>
      </c>
      <c r="D77" s="268" t="s">
        <v>495</v>
      </c>
      <c r="E77" s="251">
        <v>44119.0</v>
      </c>
      <c r="F77" s="250" t="s">
        <v>496</v>
      </c>
      <c r="G77" s="403"/>
      <c r="H77" s="403">
        <v>100.0</v>
      </c>
      <c r="I77" s="403">
        <v>60.0</v>
      </c>
      <c r="J77" s="391">
        <f t="shared" si="2"/>
        <v>0.00817117659</v>
      </c>
      <c r="K77" s="392">
        <f t="shared" si="3"/>
        <v>2.206217679</v>
      </c>
      <c r="L77" s="327">
        <f t="shared" si="4"/>
        <v>17.88774457</v>
      </c>
      <c r="M77" s="321" t="str">
        <f t="shared" si="5"/>
        <v>akrtws</v>
      </c>
      <c r="N77" s="176">
        <f>IFERROR(__xludf.DUMMYFUNCTION("""COMPUTED_VALUE"""),5.0)</f>
        <v>5</v>
      </c>
      <c r="O77" s="176"/>
      <c r="P77" s="176"/>
      <c r="Q77" s="176"/>
      <c r="R77" s="176"/>
      <c r="S77" s="176"/>
      <c r="T77" s="176"/>
      <c r="U77" s="176"/>
      <c r="V77" s="176"/>
      <c r="W77" s="176"/>
      <c r="X77" s="176"/>
      <c r="Y77" s="176"/>
      <c r="Z77" s="176"/>
    </row>
    <row r="78">
      <c r="A78" s="226" t="s">
        <v>41</v>
      </c>
      <c r="B78" s="226" t="s">
        <v>18</v>
      </c>
      <c r="C78" s="250" t="s">
        <v>3856</v>
      </c>
      <c r="D78" s="268" t="s">
        <v>495</v>
      </c>
      <c r="E78" s="251">
        <v>44119.0</v>
      </c>
      <c r="F78" s="250" t="s">
        <v>496</v>
      </c>
      <c r="G78" s="403">
        <v>1.0</v>
      </c>
      <c r="H78" s="403">
        <v>45.0</v>
      </c>
      <c r="I78" s="403">
        <v>60.0</v>
      </c>
      <c r="J78" s="391">
        <f t="shared" si="2"/>
        <v>0.005375608835</v>
      </c>
      <c r="K78" s="392">
        <f t="shared" si="3"/>
        <v>1.451414386</v>
      </c>
      <c r="L78" s="327">
        <f t="shared" si="4"/>
        <v>14.3647429</v>
      </c>
      <c r="M78" s="321" t="str">
        <f t="shared" si="5"/>
        <v>blairv</v>
      </c>
      <c r="N78" s="176">
        <f>IFERROR(__xludf.DUMMYFUNCTION("""COMPUTED_VALUE"""),3.0)</f>
        <v>3</v>
      </c>
      <c r="O78" s="176"/>
      <c r="P78" s="176"/>
      <c r="Q78" s="176"/>
      <c r="R78" s="176"/>
      <c r="S78" s="176"/>
      <c r="T78" s="176"/>
      <c r="U78" s="176"/>
      <c r="V78" s="176"/>
      <c r="W78" s="176"/>
      <c r="X78" s="176"/>
      <c r="Y78" s="176"/>
      <c r="Z78" s="176"/>
    </row>
    <row r="79">
      <c r="A79" s="226" t="s">
        <v>41</v>
      </c>
      <c r="B79" s="226" t="s">
        <v>590</v>
      </c>
      <c r="C79" s="250" t="s">
        <v>3861</v>
      </c>
      <c r="D79" s="268" t="s">
        <v>495</v>
      </c>
      <c r="E79" s="251">
        <v>44119.0</v>
      </c>
      <c r="F79" s="250" t="s">
        <v>496</v>
      </c>
      <c r="G79" s="403">
        <v>1.0</v>
      </c>
      <c r="H79" s="403">
        <v>200.0</v>
      </c>
      <c r="I79" s="403">
        <v>200.0</v>
      </c>
      <c r="J79" s="391">
        <f t="shared" si="2"/>
        <v>0.02046012135</v>
      </c>
      <c r="K79" s="392">
        <f t="shared" si="3"/>
        <v>5.524232764</v>
      </c>
      <c r="L79" s="327">
        <f t="shared" si="4"/>
        <v>14.3647429</v>
      </c>
      <c r="M79" s="321" t="str">
        <f t="shared" si="5"/>
        <v>blairv</v>
      </c>
      <c r="N79" s="176">
        <f>IFERROR(__xludf.DUMMYFUNCTION("""COMPUTED_VALUE"""),4.0)</f>
        <v>4</v>
      </c>
      <c r="O79" s="176"/>
      <c r="P79" s="176"/>
      <c r="Q79" s="176"/>
      <c r="R79" s="176"/>
      <c r="S79" s="176"/>
      <c r="T79" s="176"/>
      <c r="U79" s="176"/>
      <c r="V79" s="176"/>
      <c r="W79" s="176"/>
      <c r="X79" s="176"/>
      <c r="Y79" s="176"/>
      <c r="Z79" s="176"/>
    </row>
    <row r="80">
      <c r="A80" s="226" t="s">
        <v>76</v>
      </c>
      <c r="B80" s="226" t="s">
        <v>18</v>
      </c>
      <c r="C80" s="250" t="s">
        <v>3856</v>
      </c>
      <c r="D80" s="268" t="s">
        <v>495</v>
      </c>
      <c r="E80" s="251">
        <v>44119.0</v>
      </c>
      <c r="F80" s="250" t="s">
        <v>496</v>
      </c>
      <c r="G80" s="403">
        <v>1.0</v>
      </c>
      <c r="H80" s="403">
        <v>45.0</v>
      </c>
      <c r="I80" s="403">
        <v>60.0</v>
      </c>
      <c r="J80" s="391">
        <f t="shared" si="2"/>
        <v>0.005375608835</v>
      </c>
      <c r="K80" s="392">
        <f t="shared" si="3"/>
        <v>1.451414386</v>
      </c>
      <c r="L80" s="327">
        <f t="shared" si="4"/>
        <v>10.77572932</v>
      </c>
      <c r="M80" s="321" t="str">
        <f t="shared" si="5"/>
        <v>fabianvb</v>
      </c>
      <c r="N80" s="176">
        <f>IFERROR(__xludf.DUMMYFUNCTION("""COMPUTED_VALUE"""),4.0)</f>
        <v>4</v>
      </c>
      <c r="O80" s="176"/>
      <c r="P80" s="176"/>
      <c r="Q80" s="176"/>
      <c r="R80" s="176"/>
      <c r="S80" s="176"/>
      <c r="T80" s="176"/>
      <c r="U80" s="176"/>
      <c r="V80" s="176"/>
      <c r="W80" s="176"/>
      <c r="X80" s="176"/>
      <c r="Y80" s="176"/>
      <c r="Z80" s="176"/>
    </row>
    <row r="81">
      <c r="A81" s="226" t="s">
        <v>3</v>
      </c>
      <c r="B81" s="226" t="s">
        <v>18</v>
      </c>
      <c r="C81" s="250" t="s">
        <v>3862</v>
      </c>
      <c r="D81" s="268" t="s">
        <v>495</v>
      </c>
      <c r="E81" s="251">
        <v>44119.0</v>
      </c>
      <c r="F81" s="250" t="s">
        <v>496</v>
      </c>
      <c r="G81" s="403">
        <v>1.0</v>
      </c>
      <c r="H81" s="403">
        <v>100.0</v>
      </c>
      <c r="I81" s="403">
        <v>100.0</v>
      </c>
      <c r="J81" s="391">
        <f t="shared" si="2"/>
        <v>0.01023006067</v>
      </c>
      <c r="K81" s="392">
        <f t="shared" si="3"/>
        <v>2.762116382</v>
      </c>
      <c r="L81" s="327">
        <f t="shared" si="4"/>
        <v>10.08693793</v>
      </c>
      <c r="M81" s="321" t="str">
        <f t="shared" si="5"/>
        <v>zeptimusq</v>
      </c>
      <c r="N81" s="176">
        <f>IFERROR(__xludf.DUMMYFUNCTION("""COMPUTED_VALUE"""),1.0)</f>
        <v>1</v>
      </c>
      <c r="O81" s="176"/>
      <c r="P81" s="176"/>
      <c r="Q81" s="176"/>
      <c r="R81" s="176"/>
      <c r="S81" s="176"/>
      <c r="T81" s="176"/>
      <c r="U81" s="176"/>
      <c r="V81" s="176"/>
      <c r="W81" s="176"/>
      <c r="X81" s="176"/>
      <c r="Y81" s="176"/>
      <c r="Z81" s="176"/>
    </row>
    <row r="82">
      <c r="A82" s="226" t="s">
        <v>54</v>
      </c>
      <c r="B82" s="226" t="s">
        <v>590</v>
      </c>
      <c r="C82" s="250" t="s">
        <v>3863</v>
      </c>
      <c r="D82" s="268" t="s">
        <v>495</v>
      </c>
      <c r="E82" s="251">
        <v>44119.0</v>
      </c>
      <c r="F82" s="250" t="s">
        <v>496</v>
      </c>
      <c r="G82" s="403" t="s">
        <v>3752</v>
      </c>
      <c r="H82" s="403">
        <v>0.0</v>
      </c>
      <c r="I82" s="403">
        <v>0.0</v>
      </c>
      <c r="J82" s="391">
        <f t="shared" si="2"/>
        <v>0</v>
      </c>
      <c r="K82" s="392">
        <f t="shared" si="3"/>
        <v>0</v>
      </c>
      <c r="L82" s="327">
        <f t="shared" si="4"/>
        <v>9.396408839</v>
      </c>
      <c r="M82" s="321" t="str">
        <f t="shared" si="5"/>
        <v>hbesso31</v>
      </c>
      <c r="N82" s="176">
        <f>IFERROR(__xludf.DUMMYFUNCTION("""COMPUTED_VALUE"""),3.0)</f>
        <v>3</v>
      </c>
      <c r="O82" s="176"/>
      <c r="P82" s="176"/>
      <c r="Q82" s="176"/>
      <c r="R82" s="176"/>
      <c r="S82" s="176"/>
      <c r="T82" s="176"/>
      <c r="U82" s="176"/>
      <c r="V82" s="176"/>
      <c r="W82" s="176"/>
      <c r="X82" s="176"/>
      <c r="Y82" s="176"/>
      <c r="Z82" s="176"/>
    </row>
    <row r="83">
      <c r="A83" s="226" t="s">
        <v>54</v>
      </c>
      <c r="B83" s="226" t="s">
        <v>18</v>
      </c>
      <c r="C83" s="250" t="s">
        <v>3864</v>
      </c>
      <c r="D83" s="268" t="s">
        <v>495</v>
      </c>
      <c r="E83" s="251">
        <v>44119.0</v>
      </c>
      <c r="F83" s="250" t="s">
        <v>496</v>
      </c>
      <c r="G83" s="403">
        <v>1.0</v>
      </c>
      <c r="H83" s="403">
        <v>5.0</v>
      </c>
      <c r="I83" s="403">
        <v>40.0</v>
      </c>
      <c r="J83" s="391">
        <f t="shared" si="2"/>
        <v>0.002313026608</v>
      </c>
      <c r="K83" s="392">
        <f t="shared" si="3"/>
        <v>0.6245171841</v>
      </c>
      <c r="L83" s="327">
        <f t="shared" si="4"/>
        <v>9.396408839</v>
      </c>
      <c r="M83" s="321" t="str">
        <f t="shared" si="5"/>
        <v>hbesso31</v>
      </c>
      <c r="N83" s="176">
        <f>IFERROR(__xludf.DUMMYFUNCTION("""COMPUTED_VALUE"""),4.0)</f>
        <v>4</v>
      </c>
      <c r="O83" s="176"/>
      <c r="P83" s="176"/>
      <c r="Q83" s="176"/>
      <c r="R83" s="176"/>
      <c r="S83" s="176"/>
      <c r="T83" s="176"/>
      <c r="U83" s="176"/>
      <c r="V83" s="176"/>
      <c r="W83" s="176"/>
      <c r="X83" s="176"/>
      <c r="Y83" s="176"/>
      <c r="Z83" s="176"/>
    </row>
    <row r="84">
      <c r="A84" s="226" t="s">
        <v>29</v>
      </c>
      <c r="B84" s="226" t="s">
        <v>18</v>
      </c>
      <c r="C84" s="250" t="s">
        <v>3856</v>
      </c>
      <c r="D84" s="268" t="s">
        <v>495</v>
      </c>
      <c r="E84" s="251">
        <v>44119.0</v>
      </c>
      <c r="F84" s="250" t="s">
        <v>496</v>
      </c>
      <c r="G84" s="403">
        <v>1.0</v>
      </c>
      <c r="H84" s="403">
        <v>45.0</v>
      </c>
      <c r="I84" s="403">
        <v>60.0</v>
      </c>
      <c r="J84" s="391">
        <f t="shared" si="2"/>
        <v>0.005375608835</v>
      </c>
      <c r="K84" s="392">
        <f t="shared" si="3"/>
        <v>1.451414386</v>
      </c>
      <c r="L84" s="327">
        <f t="shared" si="4"/>
        <v>8.434012388</v>
      </c>
      <c r="M84" s="321" t="str">
        <f t="shared" si="5"/>
        <v>jeffemmett</v>
      </c>
      <c r="N84" s="176">
        <f>IFERROR(__xludf.DUMMYFUNCTION("""COMPUTED_VALUE"""),3.0)</f>
        <v>3</v>
      </c>
      <c r="O84" s="176"/>
      <c r="P84" s="176"/>
      <c r="Q84" s="176"/>
      <c r="R84" s="176"/>
      <c r="S84" s="176"/>
      <c r="T84" s="176"/>
      <c r="U84" s="176"/>
      <c r="V84" s="176"/>
      <c r="W84" s="176"/>
      <c r="X84" s="176"/>
      <c r="Y84" s="176"/>
      <c r="Z84" s="176"/>
    </row>
    <row r="85">
      <c r="A85" s="226" t="s">
        <v>29</v>
      </c>
      <c r="B85" s="226" t="s">
        <v>18</v>
      </c>
      <c r="C85" s="250" t="s">
        <v>3858</v>
      </c>
      <c r="D85" s="268" t="s">
        <v>495</v>
      </c>
      <c r="E85" s="251">
        <v>44119.0</v>
      </c>
      <c r="F85" s="250" t="s">
        <v>496</v>
      </c>
      <c r="G85" s="403">
        <v>1.0</v>
      </c>
      <c r="H85" s="403">
        <v>60.0</v>
      </c>
      <c r="I85" s="403">
        <v>60.0</v>
      </c>
      <c r="J85" s="391">
        <f t="shared" si="2"/>
        <v>0.006138036405</v>
      </c>
      <c r="K85" s="392">
        <f t="shared" si="3"/>
        <v>1.657269829</v>
      </c>
      <c r="L85" s="327">
        <f t="shared" si="4"/>
        <v>8.434012388</v>
      </c>
      <c r="M85" s="321" t="str">
        <f t="shared" si="5"/>
        <v>jeffemmett</v>
      </c>
      <c r="N85" s="176">
        <f>IFERROR(__xludf.DUMMYFUNCTION("""COMPUTED_VALUE"""),4.0)</f>
        <v>4</v>
      </c>
      <c r="O85" s="176"/>
      <c r="P85" s="176"/>
      <c r="Q85" s="176"/>
      <c r="R85" s="176"/>
      <c r="S85" s="176"/>
      <c r="T85" s="176"/>
      <c r="U85" s="176"/>
      <c r="V85" s="176"/>
      <c r="W85" s="176"/>
      <c r="X85" s="176"/>
      <c r="Y85" s="176"/>
      <c r="Z85" s="176"/>
    </row>
    <row r="86">
      <c r="A86" s="226" t="s">
        <v>14</v>
      </c>
      <c r="B86" s="226" t="s">
        <v>18</v>
      </c>
      <c r="C86" s="250" t="s">
        <v>3856</v>
      </c>
      <c r="D86" s="268" t="s">
        <v>495</v>
      </c>
      <c r="E86" s="251">
        <v>44119.0</v>
      </c>
      <c r="F86" s="250" t="s">
        <v>496</v>
      </c>
      <c r="G86" s="403">
        <v>1.0</v>
      </c>
      <c r="H86" s="403">
        <v>120.0</v>
      </c>
      <c r="I86" s="403">
        <v>60.0</v>
      </c>
      <c r="J86" s="391">
        <f t="shared" si="2"/>
        <v>0.009187746682</v>
      </c>
      <c r="K86" s="392">
        <f t="shared" si="3"/>
        <v>2.480691604</v>
      </c>
      <c r="L86" s="327">
        <f t="shared" si="4"/>
        <v>7.660963106</v>
      </c>
      <c r="M86" s="321" t="str">
        <f t="shared" si="5"/>
        <v>jessicazartler</v>
      </c>
      <c r="N86" s="176">
        <f>IFERROR(__xludf.DUMMYFUNCTION("""COMPUTED_VALUE"""),6.0)</f>
        <v>6</v>
      </c>
      <c r="O86" s="176"/>
      <c r="P86" s="176"/>
      <c r="Q86" s="176"/>
      <c r="R86" s="176"/>
      <c r="S86" s="176"/>
      <c r="T86" s="176"/>
      <c r="U86" s="176"/>
      <c r="V86" s="176"/>
      <c r="W86" s="176"/>
      <c r="X86" s="176"/>
      <c r="Y86" s="176"/>
      <c r="Z86" s="176"/>
    </row>
    <row r="87">
      <c r="A87" s="226" t="s">
        <v>14</v>
      </c>
      <c r="B87" s="226" t="s">
        <v>18</v>
      </c>
      <c r="C87" s="250" t="s">
        <v>3865</v>
      </c>
      <c r="D87" s="268" t="s">
        <v>495</v>
      </c>
      <c r="E87" s="251">
        <v>44119.0</v>
      </c>
      <c r="F87" s="250" t="s">
        <v>499</v>
      </c>
      <c r="G87" s="403">
        <v>1.0</v>
      </c>
      <c r="H87" s="403">
        <v>60.0</v>
      </c>
      <c r="I87" s="403">
        <v>40.0</v>
      </c>
      <c r="J87" s="391">
        <f t="shared" si="2"/>
        <v>0.005108594362</v>
      </c>
      <c r="K87" s="392">
        <f t="shared" si="3"/>
        <v>1.379320478</v>
      </c>
      <c r="L87" s="327">
        <f t="shared" si="4"/>
        <v>7.660963106</v>
      </c>
      <c r="M87" s="321" t="str">
        <f t="shared" si="5"/>
        <v>jessicazartler</v>
      </c>
      <c r="N87" s="176">
        <f>IFERROR(__xludf.DUMMYFUNCTION("""COMPUTED_VALUE"""),7.0)</f>
        <v>7</v>
      </c>
      <c r="O87" s="176"/>
      <c r="P87" s="176"/>
      <c r="Q87" s="176"/>
      <c r="R87" s="176"/>
      <c r="S87" s="176"/>
      <c r="T87" s="176"/>
      <c r="U87" s="176"/>
      <c r="V87" s="176"/>
      <c r="W87" s="176"/>
      <c r="X87" s="176"/>
      <c r="Y87" s="176"/>
      <c r="Z87" s="176"/>
    </row>
    <row r="88">
      <c r="A88" s="226" t="s">
        <v>14</v>
      </c>
      <c r="B88" s="226" t="s">
        <v>18</v>
      </c>
      <c r="C88" s="250" t="s">
        <v>3858</v>
      </c>
      <c r="D88" s="268" t="s">
        <v>495</v>
      </c>
      <c r="E88" s="251">
        <v>44119.0</v>
      </c>
      <c r="F88" s="250" t="s">
        <v>496</v>
      </c>
      <c r="G88" s="403">
        <v>1.0</v>
      </c>
      <c r="H88" s="403">
        <v>60.0</v>
      </c>
      <c r="I88" s="403">
        <v>60.0</v>
      </c>
      <c r="J88" s="391">
        <f t="shared" si="2"/>
        <v>0.006138036405</v>
      </c>
      <c r="K88" s="392">
        <f t="shared" si="3"/>
        <v>1.657269829</v>
      </c>
      <c r="L88" s="327">
        <f t="shared" si="4"/>
        <v>7.660963106</v>
      </c>
      <c r="M88" s="321" t="str">
        <f t="shared" si="5"/>
        <v>jessicazartler</v>
      </c>
      <c r="N88" s="176">
        <f>IFERROR(__xludf.DUMMYFUNCTION("""COMPUTED_VALUE"""),8.0)</f>
        <v>8</v>
      </c>
      <c r="O88" s="176"/>
      <c r="P88" s="176"/>
      <c r="Q88" s="176"/>
      <c r="R88" s="176"/>
      <c r="S88" s="176"/>
      <c r="T88" s="176"/>
      <c r="U88" s="176"/>
      <c r="V88" s="176"/>
      <c r="W88" s="176"/>
      <c r="X88" s="176"/>
      <c r="Y88" s="176"/>
      <c r="Z88" s="176"/>
    </row>
    <row r="89">
      <c r="A89" s="226" t="s">
        <v>30</v>
      </c>
      <c r="B89" s="226" t="s">
        <v>519</v>
      </c>
      <c r="C89" s="250" t="s">
        <v>3866</v>
      </c>
      <c r="D89" s="268" t="s">
        <v>495</v>
      </c>
      <c r="E89" s="251">
        <v>44119.0</v>
      </c>
      <c r="F89" s="250" t="s">
        <v>496</v>
      </c>
      <c r="G89" s="403">
        <v>1.0</v>
      </c>
      <c r="H89" s="403">
        <v>120.0</v>
      </c>
      <c r="I89" s="403">
        <v>150.0</v>
      </c>
      <c r="J89" s="391">
        <f t="shared" si="2"/>
        <v>0.01382023587</v>
      </c>
      <c r="K89" s="392">
        <f t="shared" si="3"/>
        <v>3.731463686</v>
      </c>
      <c r="L89" s="327">
        <f t="shared" si="4"/>
        <v>6.634292457</v>
      </c>
      <c r="M89" s="321" t="str">
        <f t="shared" si="5"/>
        <v>paulo_c2d</v>
      </c>
      <c r="N89" s="176">
        <f>IFERROR(__xludf.DUMMYFUNCTION("""COMPUTED_VALUE"""),2.0)</f>
        <v>2</v>
      </c>
      <c r="O89" s="176"/>
      <c r="P89" s="176"/>
      <c r="Q89" s="176"/>
      <c r="R89" s="176"/>
      <c r="S89" s="176"/>
      <c r="T89" s="176"/>
      <c r="U89" s="176"/>
      <c r="V89" s="176"/>
      <c r="W89" s="176"/>
      <c r="X89" s="176"/>
      <c r="Y89" s="176"/>
      <c r="Z89" s="176"/>
    </row>
    <row r="90">
      <c r="A90" s="226" t="s">
        <v>30</v>
      </c>
      <c r="B90" s="226" t="s">
        <v>18</v>
      </c>
      <c r="C90" s="250" t="s">
        <v>3856</v>
      </c>
      <c r="D90" s="268" t="s">
        <v>495</v>
      </c>
      <c r="E90" s="251">
        <v>44119.0</v>
      </c>
      <c r="F90" s="250" t="s">
        <v>496</v>
      </c>
      <c r="G90" s="403">
        <v>1.0</v>
      </c>
      <c r="H90" s="403">
        <v>45.0</v>
      </c>
      <c r="I90" s="403">
        <v>60.0</v>
      </c>
      <c r="J90" s="391">
        <f t="shared" si="2"/>
        <v>0.005375608835</v>
      </c>
      <c r="K90" s="392">
        <f t="shared" si="3"/>
        <v>1.451414386</v>
      </c>
      <c r="L90" s="327">
        <f t="shared" si="4"/>
        <v>6.634292457</v>
      </c>
      <c r="M90" s="321" t="str">
        <f t="shared" si="5"/>
        <v>paulo_c2d</v>
      </c>
      <c r="N90" s="176">
        <f>IFERROR(__xludf.DUMMYFUNCTION("""COMPUTED_VALUE"""),3.0)</f>
        <v>3</v>
      </c>
      <c r="O90" s="176"/>
      <c r="P90" s="176"/>
      <c r="Q90" s="176"/>
      <c r="R90" s="176"/>
      <c r="S90" s="176"/>
      <c r="T90" s="176"/>
      <c r="U90" s="176"/>
      <c r="V90" s="176"/>
      <c r="W90" s="176"/>
      <c r="X90" s="176"/>
      <c r="Y90" s="176"/>
      <c r="Z90" s="176"/>
    </row>
    <row r="91">
      <c r="A91" s="226" t="s">
        <v>71</v>
      </c>
      <c r="B91" s="226" t="s">
        <v>18</v>
      </c>
      <c r="C91" s="250" t="s">
        <v>3856</v>
      </c>
      <c r="D91" s="268" t="s">
        <v>495</v>
      </c>
      <c r="E91" s="251">
        <v>44119.0</v>
      </c>
      <c r="F91" s="250" t="s">
        <v>496</v>
      </c>
      <c r="G91" s="403">
        <v>1.0</v>
      </c>
      <c r="H91" s="403">
        <v>45.0</v>
      </c>
      <c r="I91" s="403">
        <v>60.0</v>
      </c>
      <c r="J91" s="391">
        <f t="shared" si="2"/>
        <v>0.005375608835</v>
      </c>
      <c r="K91" s="392">
        <f t="shared" si="3"/>
        <v>1.451414386</v>
      </c>
      <c r="L91" s="327">
        <f t="shared" si="4"/>
        <v>6.562198549</v>
      </c>
      <c r="M91" s="321" t="str">
        <f t="shared" si="5"/>
        <v>quartagiulio</v>
      </c>
      <c r="N91" s="176">
        <f>IFERROR(__xludf.DUMMYFUNCTION("""COMPUTED_VALUE"""),2.0)</f>
        <v>2</v>
      </c>
      <c r="O91" s="176"/>
      <c r="P91" s="176"/>
      <c r="Q91" s="176"/>
      <c r="R91" s="176"/>
      <c r="S91" s="176"/>
      <c r="T91" s="176"/>
      <c r="U91" s="176"/>
      <c r="V91" s="176"/>
      <c r="W91" s="176"/>
      <c r="X91" s="176"/>
      <c r="Y91" s="176"/>
      <c r="Z91" s="176"/>
    </row>
    <row r="92">
      <c r="A92" s="226" t="s">
        <v>71</v>
      </c>
      <c r="B92" s="226" t="s">
        <v>18</v>
      </c>
      <c r="C92" s="250" t="s">
        <v>3858</v>
      </c>
      <c r="D92" s="268" t="s">
        <v>495</v>
      </c>
      <c r="E92" s="251">
        <v>44119.0</v>
      </c>
      <c r="F92" s="250" t="s">
        <v>496</v>
      </c>
      <c r="G92" s="403">
        <v>1.0</v>
      </c>
      <c r="H92" s="403">
        <v>60.0</v>
      </c>
      <c r="I92" s="403">
        <v>60.0</v>
      </c>
      <c r="J92" s="391">
        <f t="shared" si="2"/>
        <v>0.006138036405</v>
      </c>
      <c r="K92" s="392">
        <f t="shared" si="3"/>
        <v>1.657269829</v>
      </c>
      <c r="L92" s="327">
        <f t="shared" si="4"/>
        <v>6.562198549</v>
      </c>
      <c r="M92" s="321" t="str">
        <f t="shared" si="5"/>
        <v>quartagiulio</v>
      </c>
      <c r="N92" s="176">
        <f>IFERROR(__xludf.DUMMYFUNCTION("""COMPUTED_VALUE"""),3.0)</f>
        <v>3</v>
      </c>
      <c r="O92" s="176"/>
      <c r="P92" s="176"/>
      <c r="Q92" s="176"/>
      <c r="R92" s="176"/>
      <c r="S92" s="176"/>
      <c r="T92" s="176"/>
      <c r="U92" s="176"/>
      <c r="V92" s="176"/>
      <c r="W92" s="176"/>
      <c r="X92" s="176"/>
      <c r="Y92" s="176"/>
      <c r="Z92" s="176"/>
    </row>
    <row r="93">
      <c r="A93" s="226" t="s">
        <v>110</v>
      </c>
      <c r="B93" s="226" t="s">
        <v>18</v>
      </c>
      <c r="C93" s="250" t="s">
        <v>3858</v>
      </c>
      <c r="D93" s="268" t="s">
        <v>495</v>
      </c>
      <c r="E93" s="251">
        <v>44119.0</v>
      </c>
      <c r="F93" s="250" t="s">
        <v>496</v>
      </c>
      <c r="G93" s="403">
        <v>1.0</v>
      </c>
      <c r="H93" s="403">
        <v>60.0</v>
      </c>
      <c r="I93" s="403">
        <v>60.0</v>
      </c>
      <c r="J93" s="391">
        <f t="shared" si="2"/>
        <v>0.006138036405</v>
      </c>
      <c r="K93" s="392">
        <f t="shared" si="3"/>
        <v>1.657269829</v>
      </c>
      <c r="L93" s="327">
        <f t="shared" si="4"/>
        <v>4.999430652</v>
      </c>
      <c r="M93" s="321" t="str">
        <f t="shared" si="5"/>
        <v>jonassft</v>
      </c>
      <c r="N93" s="176">
        <f>IFERROR(__xludf.DUMMYFUNCTION("""COMPUTED_VALUE"""),2.0)</f>
        <v>2</v>
      </c>
      <c r="O93" s="176"/>
      <c r="P93" s="176"/>
      <c r="Q93" s="176"/>
      <c r="R93" s="176"/>
      <c r="S93" s="176"/>
      <c r="T93" s="176"/>
      <c r="U93" s="176"/>
      <c r="V93" s="176"/>
      <c r="W93" s="176"/>
      <c r="X93" s="176"/>
      <c r="Y93" s="176"/>
      <c r="Z93" s="176"/>
    </row>
    <row r="94">
      <c r="A94" s="226" t="s">
        <v>2410</v>
      </c>
      <c r="B94" s="226" t="s">
        <v>590</v>
      </c>
      <c r="C94" s="250" t="s">
        <v>3867</v>
      </c>
      <c r="D94" s="268" t="s">
        <v>495</v>
      </c>
      <c r="E94" s="251">
        <v>44119.0</v>
      </c>
      <c r="F94" s="250" t="s">
        <v>496</v>
      </c>
      <c r="G94" s="403">
        <v>1.0</v>
      </c>
      <c r="H94" s="403">
        <v>45.0</v>
      </c>
      <c r="I94" s="403">
        <v>60.0</v>
      </c>
      <c r="J94" s="391">
        <f t="shared" si="2"/>
        <v>0.005375608835</v>
      </c>
      <c r="K94" s="392">
        <f t="shared" si="3"/>
        <v>1.451414386</v>
      </c>
      <c r="L94" s="327">
        <f t="shared" si="4"/>
        <v>4.491480119</v>
      </c>
      <c r="M94" s="321" t="str">
        <f t="shared" si="5"/>
        <v>ygg_anderson</v>
      </c>
      <c r="N94" s="176">
        <f>IFERROR(__xludf.DUMMYFUNCTION("""COMPUTED_VALUE"""),1.0)</f>
        <v>1</v>
      </c>
      <c r="O94" s="176"/>
      <c r="P94" s="176"/>
      <c r="Q94" s="176"/>
      <c r="R94" s="176"/>
      <c r="S94" s="176"/>
      <c r="T94" s="176"/>
      <c r="U94" s="176"/>
      <c r="V94" s="176"/>
      <c r="W94" s="176"/>
      <c r="X94" s="176"/>
      <c r="Y94" s="176"/>
      <c r="Z94" s="176"/>
    </row>
    <row r="95">
      <c r="A95" s="226" t="s">
        <v>85</v>
      </c>
      <c r="B95" s="226" t="s">
        <v>18</v>
      </c>
      <c r="C95" s="250" t="s">
        <v>3856</v>
      </c>
      <c r="D95" s="268" t="s">
        <v>495</v>
      </c>
      <c r="E95" s="251">
        <v>44119.0</v>
      </c>
      <c r="F95" s="250" t="s">
        <v>496</v>
      </c>
      <c r="G95" s="403">
        <v>1.0</v>
      </c>
      <c r="H95" s="403">
        <v>45.0</v>
      </c>
      <c r="I95" s="403">
        <v>60.0</v>
      </c>
      <c r="J95" s="391">
        <f t="shared" si="2"/>
        <v>0.005375608835</v>
      </c>
      <c r="K95" s="392">
        <f t="shared" si="3"/>
        <v>1.451414386</v>
      </c>
      <c r="L95" s="327">
        <f t="shared" si="4"/>
        <v>4.007675324</v>
      </c>
      <c r="M95" s="321" t="str">
        <f t="shared" si="5"/>
        <v>vivszaid</v>
      </c>
      <c r="N95" s="176">
        <f>IFERROR(__xludf.DUMMYFUNCTION("""COMPUTED_VALUE"""),3.0)</f>
        <v>3</v>
      </c>
      <c r="O95" s="176"/>
      <c r="P95" s="176"/>
      <c r="Q95" s="176"/>
      <c r="R95" s="176"/>
      <c r="S95" s="176"/>
      <c r="T95" s="176"/>
      <c r="U95" s="176"/>
      <c r="V95" s="176"/>
      <c r="W95" s="176"/>
      <c r="X95" s="176"/>
      <c r="Y95" s="176"/>
      <c r="Z95" s="176"/>
    </row>
    <row r="96">
      <c r="A96" s="226" t="s">
        <v>43</v>
      </c>
      <c r="B96" s="226" t="s">
        <v>519</v>
      </c>
      <c r="C96" s="250" t="s">
        <v>3868</v>
      </c>
      <c r="D96" s="268" t="s">
        <v>495</v>
      </c>
      <c r="E96" s="251">
        <v>44119.0</v>
      </c>
      <c r="F96" s="250" t="s">
        <v>521</v>
      </c>
      <c r="G96" s="403">
        <v>4.0</v>
      </c>
      <c r="H96" s="403">
        <v>0.0</v>
      </c>
      <c r="I96" s="403">
        <v>0.0</v>
      </c>
      <c r="J96" s="391">
        <f t="shared" si="2"/>
        <v>0</v>
      </c>
      <c r="K96" s="392">
        <f t="shared" si="3"/>
        <v>0</v>
      </c>
      <c r="L96" s="327">
        <f t="shared" si="4"/>
        <v>3.729725973</v>
      </c>
      <c r="M96" s="321" t="str">
        <f t="shared" si="5"/>
        <v>markop</v>
      </c>
      <c r="N96" s="176">
        <f>IFERROR(__xludf.DUMMYFUNCTION("""COMPUTED_VALUE"""),1.0)</f>
        <v>1</v>
      </c>
      <c r="O96" s="176"/>
      <c r="P96" s="176"/>
      <c r="Q96" s="176"/>
      <c r="R96" s="176"/>
      <c r="S96" s="176"/>
      <c r="T96" s="176"/>
      <c r="U96" s="176"/>
      <c r="V96" s="176"/>
      <c r="W96" s="176"/>
      <c r="X96" s="176"/>
      <c r="Y96" s="176"/>
      <c r="Z96" s="176"/>
    </row>
    <row r="97">
      <c r="A97" s="226" t="s">
        <v>61</v>
      </c>
      <c r="B97" s="226" t="s">
        <v>5</v>
      </c>
      <c r="C97" s="250" t="s">
        <v>3869</v>
      </c>
      <c r="D97" s="268" t="s">
        <v>495</v>
      </c>
      <c r="E97" s="251">
        <v>44119.0</v>
      </c>
      <c r="F97" s="250" t="s">
        <v>496</v>
      </c>
      <c r="G97" s="403">
        <v>1.0</v>
      </c>
      <c r="H97" s="403">
        <v>1.0</v>
      </c>
      <c r="I97" s="403">
        <v>1.0</v>
      </c>
      <c r="J97" s="391">
        <f t="shared" si="2"/>
        <v>0.0001023006067</v>
      </c>
      <c r="K97" s="392">
        <f t="shared" si="3"/>
        <v>0.02762116382</v>
      </c>
      <c r="L97" s="327">
        <f t="shared" si="4"/>
        <v>1.962840345</v>
      </c>
      <c r="M97" s="321" t="str">
        <f t="shared" si="5"/>
        <v>fabimol</v>
      </c>
      <c r="N97" s="176">
        <f>IFERROR(__xludf.DUMMYFUNCTION("""COMPUTED_VALUE"""),1.0)</f>
        <v>1</v>
      </c>
      <c r="O97" s="176"/>
      <c r="P97" s="176"/>
      <c r="Q97" s="176"/>
      <c r="R97" s="176"/>
      <c r="S97" s="176"/>
      <c r="T97" s="176"/>
      <c r="U97" s="176"/>
      <c r="V97" s="176"/>
      <c r="W97" s="176"/>
      <c r="X97" s="176"/>
      <c r="Y97" s="176"/>
      <c r="Z97" s="176"/>
    </row>
    <row r="98">
      <c r="A98" s="226" t="s">
        <v>117</v>
      </c>
      <c r="B98" s="226" t="s">
        <v>519</v>
      </c>
      <c r="C98" s="250" t="s">
        <v>3868</v>
      </c>
      <c r="D98" s="268" t="s">
        <v>495</v>
      </c>
      <c r="E98" s="251">
        <v>44119.0</v>
      </c>
      <c r="F98" s="250" t="s">
        <v>521</v>
      </c>
      <c r="G98" s="403">
        <v>4.0</v>
      </c>
      <c r="H98" s="403">
        <v>0.0</v>
      </c>
      <c r="I98" s="403">
        <v>0.0</v>
      </c>
      <c r="J98" s="391">
        <f t="shared" si="2"/>
        <v>0</v>
      </c>
      <c r="K98" s="392">
        <f t="shared" si="3"/>
        <v>0</v>
      </c>
      <c r="L98" s="327">
        <f t="shared" si="4"/>
        <v>1.51655744</v>
      </c>
      <c r="M98" s="321" t="str">
        <f t="shared" si="5"/>
        <v>gfriis</v>
      </c>
      <c r="N98" s="176">
        <f>IFERROR(__xludf.DUMMYFUNCTION("""COMPUTED_VALUE"""),1.0)</f>
        <v>1</v>
      </c>
      <c r="O98" s="176"/>
      <c r="P98" s="176"/>
      <c r="Q98" s="176"/>
      <c r="R98" s="176"/>
      <c r="S98" s="176"/>
      <c r="T98" s="176"/>
      <c r="U98" s="176"/>
      <c r="V98" s="176"/>
      <c r="W98" s="176"/>
      <c r="X98" s="176"/>
      <c r="Y98" s="176"/>
      <c r="Z98" s="176"/>
    </row>
    <row r="99">
      <c r="A99" s="226" t="s">
        <v>257</v>
      </c>
      <c r="B99" s="226" t="s">
        <v>18</v>
      </c>
      <c r="C99" s="250" t="s">
        <v>3856</v>
      </c>
      <c r="D99" s="268" t="s">
        <v>495</v>
      </c>
      <c r="E99" s="251">
        <v>44119.0</v>
      </c>
      <c r="F99" s="250" t="s">
        <v>496</v>
      </c>
      <c r="G99" s="403">
        <v>1.0</v>
      </c>
      <c r="H99" s="403">
        <v>45.0</v>
      </c>
      <c r="I99" s="403">
        <v>60.0</v>
      </c>
      <c r="J99" s="391">
        <f t="shared" si="2"/>
        <v>0.005375608835</v>
      </c>
      <c r="K99" s="392">
        <f t="shared" si="3"/>
        <v>1.451414386</v>
      </c>
      <c r="L99" s="327">
        <f t="shared" si="4"/>
        <v>1.451414386</v>
      </c>
      <c r="M99" s="321" t="str">
        <f t="shared" si="5"/>
        <v>proofoftom</v>
      </c>
      <c r="N99" s="176">
        <f>IFERROR(__xludf.DUMMYFUNCTION("""COMPUTED_VALUE"""),1.0)</f>
        <v>1</v>
      </c>
      <c r="O99" s="176"/>
      <c r="P99" s="176"/>
      <c r="Q99" s="176"/>
      <c r="R99" s="176"/>
      <c r="S99" s="176"/>
      <c r="T99" s="176"/>
      <c r="U99" s="176"/>
      <c r="V99" s="176"/>
      <c r="W99" s="176"/>
      <c r="X99" s="176"/>
      <c r="Y99" s="176"/>
      <c r="Z99" s="176"/>
    </row>
    <row r="100">
      <c r="A100" s="226" t="s">
        <v>84</v>
      </c>
      <c r="B100" s="226" t="s">
        <v>29</v>
      </c>
      <c r="C100" s="250" t="s">
        <v>3870</v>
      </c>
      <c r="D100" s="268" t="s">
        <v>495</v>
      </c>
      <c r="E100" s="251">
        <v>44119.0</v>
      </c>
      <c r="F100" s="250" t="s">
        <v>499</v>
      </c>
      <c r="G100" s="403">
        <v>3.0</v>
      </c>
      <c r="H100" s="403">
        <v>15.0</v>
      </c>
      <c r="I100" s="403">
        <v>10.0</v>
      </c>
      <c r="J100" s="391">
        <f t="shared" si="2"/>
        <v>0.001277148591</v>
      </c>
      <c r="K100" s="392">
        <f t="shared" si="3"/>
        <v>0.3448301195</v>
      </c>
      <c r="L100" s="327">
        <f t="shared" si="4"/>
        <v>1.449676672</v>
      </c>
      <c r="M100" s="321" t="str">
        <f t="shared" si="5"/>
        <v>gracerachmany</v>
      </c>
      <c r="N100" s="176">
        <f>IFERROR(__xludf.DUMMYFUNCTION("""COMPUTED_VALUE"""),1.0)</f>
        <v>1</v>
      </c>
      <c r="O100" s="176"/>
      <c r="P100" s="176"/>
      <c r="Q100" s="176"/>
      <c r="R100" s="176"/>
      <c r="S100" s="176"/>
      <c r="T100" s="176"/>
      <c r="U100" s="176"/>
      <c r="V100" s="176"/>
      <c r="W100" s="176"/>
      <c r="X100" s="176"/>
      <c r="Y100" s="176"/>
      <c r="Z100" s="176"/>
    </row>
    <row r="101">
      <c r="A101" s="226" t="s">
        <v>24</v>
      </c>
      <c r="B101" s="226" t="s">
        <v>5</v>
      </c>
      <c r="C101" s="250" t="s">
        <v>3871</v>
      </c>
      <c r="D101" s="268" t="s">
        <v>495</v>
      </c>
      <c r="E101" s="251">
        <v>44119.0</v>
      </c>
      <c r="F101" s="250" t="s">
        <v>545</v>
      </c>
      <c r="G101" s="403">
        <v>1.0</v>
      </c>
      <c r="H101" s="403">
        <v>1.0</v>
      </c>
      <c r="I101" s="403">
        <v>1.0</v>
      </c>
      <c r="J101" s="391">
        <f t="shared" si="2"/>
        <v>0.0001023006067</v>
      </c>
      <c r="K101" s="392">
        <f t="shared" si="3"/>
        <v>0.02762116382</v>
      </c>
      <c r="L101" s="327">
        <f t="shared" si="4"/>
        <v>0.511425959</v>
      </c>
      <c r="M101" s="321" t="str">
        <f t="shared" si="5"/>
        <v>danlessa</v>
      </c>
      <c r="N101" s="176">
        <f>IFERROR(__xludf.DUMMYFUNCTION("""COMPUTED_VALUE"""),2.0)</f>
        <v>2</v>
      </c>
      <c r="O101" s="176"/>
      <c r="P101" s="176"/>
      <c r="Q101" s="176"/>
      <c r="R101" s="176"/>
      <c r="S101" s="176"/>
      <c r="T101" s="176"/>
      <c r="U101" s="176"/>
      <c r="V101" s="176"/>
      <c r="W101" s="176"/>
      <c r="X101" s="176"/>
      <c r="Y101" s="176"/>
      <c r="Z101" s="176"/>
    </row>
    <row r="102">
      <c r="A102" s="226" t="s">
        <v>73</v>
      </c>
      <c r="B102" s="226" t="s">
        <v>5</v>
      </c>
      <c r="C102" s="250" t="s">
        <v>3871</v>
      </c>
      <c r="D102" s="268" t="s">
        <v>495</v>
      </c>
      <c r="E102" s="251">
        <v>44119.0</v>
      </c>
      <c r="F102" s="250" t="s">
        <v>545</v>
      </c>
      <c r="G102" s="403">
        <v>1.0</v>
      </c>
      <c r="H102" s="403">
        <v>1.0</v>
      </c>
      <c r="I102" s="403">
        <v>1.0</v>
      </c>
      <c r="J102" s="391">
        <f t="shared" si="2"/>
        <v>0.0001023006067</v>
      </c>
      <c r="K102" s="392">
        <f t="shared" si="3"/>
        <v>0.02762116382</v>
      </c>
      <c r="L102" s="327">
        <f t="shared" si="4"/>
        <v>0.02762116382</v>
      </c>
      <c r="M102" s="321" t="str">
        <f t="shared" si="5"/>
        <v>aminlatifi</v>
      </c>
      <c r="N102" s="176">
        <f>IFERROR(__xludf.DUMMYFUNCTION("""COMPUTED_VALUE"""),1.0)</f>
        <v>1</v>
      </c>
      <c r="O102" s="176"/>
      <c r="P102" s="176"/>
      <c r="Q102" s="176"/>
      <c r="R102" s="176"/>
      <c r="S102" s="176"/>
      <c r="T102" s="176"/>
      <c r="U102" s="176"/>
      <c r="V102" s="176"/>
      <c r="W102" s="176"/>
      <c r="X102" s="176"/>
      <c r="Y102" s="176"/>
      <c r="Z102" s="176"/>
    </row>
    <row r="103">
      <c r="A103" s="226" t="s">
        <v>180</v>
      </c>
      <c r="B103" s="226" t="s">
        <v>5</v>
      </c>
      <c r="C103" s="250" t="s">
        <v>3871</v>
      </c>
      <c r="D103" s="268" t="s">
        <v>495</v>
      </c>
      <c r="E103" s="251">
        <v>44119.0</v>
      </c>
      <c r="F103" s="250" t="s">
        <v>545</v>
      </c>
      <c r="G103" s="403">
        <v>1.0</v>
      </c>
      <c r="H103" s="403">
        <v>1.0</v>
      </c>
      <c r="I103" s="403">
        <v>1.0</v>
      </c>
      <c r="J103" s="391">
        <f t="shared" si="2"/>
        <v>0.0001023006067</v>
      </c>
      <c r="K103" s="392">
        <f t="shared" si="3"/>
        <v>0.02762116382</v>
      </c>
      <c r="L103" s="327">
        <f t="shared" si="4"/>
        <v>0.02762116382</v>
      </c>
      <c r="M103" s="321" t="str">
        <f t="shared" si="5"/>
        <v>bierlingm</v>
      </c>
      <c r="N103" s="176">
        <f>IFERROR(__xludf.DUMMYFUNCTION("""COMPUTED_VALUE"""),1.0)</f>
        <v>1</v>
      </c>
      <c r="O103" s="176"/>
      <c r="P103" s="176"/>
      <c r="Q103" s="176"/>
      <c r="R103" s="176"/>
      <c r="S103" s="176"/>
      <c r="T103" s="176"/>
      <c r="U103" s="176"/>
      <c r="V103" s="176"/>
      <c r="W103" s="176"/>
      <c r="X103" s="176"/>
      <c r="Y103" s="176"/>
      <c r="Z103" s="176"/>
    </row>
    <row r="104">
      <c r="A104" s="226" t="s">
        <v>16</v>
      </c>
      <c r="B104" s="226" t="s">
        <v>18</v>
      </c>
      <c r="C104" s="250" t="s">
        <v>3856</v>
      </c>
      <c r="D104" s="268" t="s">
        <v>495</v>
      </c>
      <c r="E104" s="251">
        <v>44119.0</v>
      </c>
      <c r="F104" s="250" t="s">
        <v>496</v>
      </c>
      <c r="G104" s="403">
        <v>1.0</v>
      </c>
      <c r="H104" s="403">
        <v>0.0</v>
      </c>
      <c r="I104" s="403">
        <v>0.0</v>
      </c>
      <c r="J104" s="391">
        <f t="shared" si="2"/>
        <v>0</v>
      </c>
      <c r="K104" s="392">
        <f t="shared" si="3"/>
        <v>0</v>
      </c>
      <c r="L104" s="327">
        <f t="shared" si="4"/>
        <v>0</v>
      </c>
      <c r="M104" s="321" t="str">
        <f t="shared" si="5"/>
        <v>griffgreen</v>
      </c>
      <c r="N104" s="176">
        <f>IFERROR(__xludf.DUMMYFUNCTION("""COMPUTED_VALUE"""),6.0)</f>
        <v>6</v>
      </c>
      <c r="O104" s="176"/>
      <c r="P104" s="176"/>
      <c r="Q104" s="176"/>
      <c r="R104" s="176"/>
      <c r="S104" s="176"/>
      <c r="T104" s="176"/>
      <c r="U104" s="176"/>
      <c r="V104" s="176"/>
      <c r="W104" s="176"/>
      <c r="X104" s="176"/>
      <c r="Y104" s="176"/>
      <c r="Z104" s="176"/>
    </row>
    <row r="105">
      <c r="A105" s="226" t="s">
        <v>18</v>
      </c>
      <c r="B105" s="226" t="s">
        <v>18</v>
      </c>
      <c r="C105" s="250" t="s">
        <v>3856</v>
      </c>
      <c r="D105" s="268" t="s">
        <v>495</v>
      </c>
      <c r="E105" s="251">
        <v>44119.0</v>
      </c>
      <c r="F105" s="250" t="s">
        <v>496</v>
      </c>
      <c r="G105" s="403">
        <v>1.0</v>
      </c>
      <c r="H105" s="403">
        <v>0.0</v>
      </c>
      <c r="I105" s="403">
        <v>0.0</v>
      </c>
      <c r="J105" s="391">
        <f t="shared" si="2"/>
        <v>0</v>
      </c>
      <c r="K105" s="392">
        <f t="shared" si="3"/>
        <v>0</v>
      </c>
      <c r="L105" s="327">
        <f t="shared" si="4"/>
        <v>0</v>
      </c>
      <c r="M105" s="321" t="str">
        <f t="shared" si="5"/>
        <v>liviade</v>
      </c>
      <c r="N105" s="176">
        <f>IFERROR(__xludf.DUMMYFUNCTION("""COMPUTED_VALUE"""),5.0)</f>
        <v>5</v>
      </c>
      <c r="O105" s="176"/>
      <c r="P105" s="176"/>
      <c r="Q105" s="176"/>
      <c r="R105" s="176"/>
      <c r="S105" s="176"/>
      <c r="T105" s="176"/>
      <c r="U105" s="176"/>
      <c r="V105" s="176"/>
      <c r="W105" s="176"/>
      <c r="X105" s="176"/>
      <c r="Y105" s="176"/>
      <c r="Z105" s="176"/>
    </row>
    <row r="106">
      <c r="A106" s="226" t="s">
        <v>6</v>
      </c>
      <c r="B106" s="226" t="s">
        <v>519</v>
      </c>
      <c r="C106" s="250" t="s">
        <v>3872</v>
      </c>
      <c r="D106" s="268" t="s">
        <v>495</v>
      </c>
      <c r="E106" s="251">
        <v>44120.0</v>
      </c>
      <c r="F106" s="250" t="s">
        <v>496</v>
      </c>
      <c r="G106" s="403">
        <v>1.0</v>
      </c>
      <c r="H106" s="403">
        <v>20.0</v>
      </c>
      <c r="I106" s="403">
        <v>50.0</v>
      </c>
      <c r="J106" s="391">
        <f t="shared" si="2"/>
        <v>0.003590175199</v>
      </c>
      <c r="K106" s="392">
        <f t="shared" si="3"/>
        <v>0.9693473036</v>
      </c>
      <c r="L106" s="327">
        <f t="shared" si="4"/>
        <v>43.08206471</v>
      </c>
      <c r="M106" s="321" t="str">
        <f t="shared" si="5"/>
        <v>sembrestels</v>
      </c>
      <c r="N106" s="176">
        <f>IFERROR(__xludf.DUMMYFUNCTION("""COMPUTED_VALUE"""),6.0)</f>
        <v>6</v>
      </c>
      <c r="O106" s="176"/>
      <c r="P106" s="176"/>
      <c r="Q106" s="176"/>
      <c r="R106" s="176"/>
      <c r="S106" s="176"/>
      <c r="T106" s="176"/>
      <c r="U106" s="176"/>
      <c r="V106" s="176"/>
      <c r="W106" s="176"/>
      <c r="X106" s="176"/>
      <c r="Y106" s="176"/>
      <c r="Z106" s="176"/>
    </row>
    <row r="107">
      <c r="A107" s="226" t="s">
        <v>4</v>
      </c>
      <c r="B107" s="226" t="s">
        <v>18</v>
      </c>
      <c r="C107" s="250" t="s">
        <v>3873</v>
      </c>
      <c r="D107" s="268" t="s">
        <v>495</v>
      </c>
      <c r="E107" s="251">
        <v>44120.0</v>
      </c>
      <c r="F107" s="250" t="s">
        <v>496</v>
      </c>
      <c r="G107" s="403">
        <v>1.0</v>
      </c>
      <c r="H107" s="403">
        <v>5.0</v>
      </c>
      <c r="I107" s="403">
        <v>30.0</v>
      </c>
      <c r="J107" s="391">
        <f t="shared" si="2"/>
        <v>0.001798305587</v>
      </c>
      <c r="K107" s="392">
        <f t="shared" si="3"/>
        <v>0.4855425084</v>
      </c>
      <c r="L107" s="327">
        <f t="shared" si="4"/>
        <v>21.03811271</v>
      </c>
      <c r="M107" s="321" t="str">
        <f t="shared" si="5"/>
        <v>santigs67</v>
      </c>
      <c r="N107" s="176">
        <f>IFERROR(__xludf.DUMMYFUNCTION("""COMPUTED_VALUE"""),7.0)</f>
        <v>7</v>
      </c>
      <c r="O107" s="176"/>
      <c r="P107" s="176"/>
      <c r="Q107" s="176"/>
      <c r="R107" s="176"/>
      <c r="S107" s="176"/>
      <c r="T107" s="176"/>
      <c r="U107" s="176"/>
      <c r="V107" s="176"/>
      <c r="W107" s="176"/>
      <c r="X107" s="176"/>
      <c r="Y107" s="176"/>
      <c r="Z107" s="176"/>
    </row>
    <row r="108">
      <c r="A108" s="226" t="s">
        <v>5</v>
      </c>
      <c r="B108" s="226" t="s">
        <v>18</v>
      </c>
      <c r="C108" s="250" t="s">
        <v>3873</v>
      </c>
      <c r="D108" s="268" t="s">
        <v>495</v>
      </c>
      <c r="E108" s="251">
        <v>44120.0</v>
      </c>
      <c r="F108" s="250" t="s">
        <v>496</v>
      </c>
      <c r="G108" s="403">
        <v>1.0</v>
      </c>
      <c r="H108" s="403">
        <v>5.0</v>
      </c>
      <c r="I108" s="403">
        <v>30.0</v>
      </c>
      <c r="J108" s="391">
        <f t="shared" si="2"/>
        <v>0.001798305587</v>
      </c>
      <c r="K108" s="392">
        <f t="shared" si="3"/>
        <v>0.4855425084</v>
      </c>
      <c r="L108" s="327">
        <f t="shared" si="4"/>
        <v>20.43444809</v>
      </c>
      <c r="M108" s="321" t="str">
        <f t="shared" si="5"/>
        <v>cranders71</v>
      </c>
      <c r="N108" s="176">
        <f>IFERROR(__xludf.DUMMYFUNCTION("""COMPUTED_VALUE"""),6.0)</f>
        <v>6</v>
      </c>
      <c r="O108" s="176"/>
      <c r="P108" s="176"/>
      <c r="Q108" s="176"/>
      <c r="R108" s="176"/>
      <c r="S108" s="176"/>
      <c r="T108" s="176"/>
      <c r="U108" s="176"/>
      <c r="V108" s="176"/>
      <c r="W108" s="176"/>
      <c r="X108" s="176"/>
      <c r="Y108" s="176"/>
      <c r="Z108" s="176"/>
    </row>
    <row r="109">
      <c r="A109" s="226" t="s">
        <v>15</v>
      </c>
      <c r="B109" s="226" t="s">
        <v>18</v>
      </c>
      <c r="C109" s="250" t="s">
        <v>3873</v>
      </c>
      <c r="D109" s="268" t="s">
        <v>495</v>
      </c>
      <c r="E109" s="251">
        <v>44120.0</v>
      </c>
      <c r="F109" s="250" t="s">
        <v>496</v>
      </c>
      <c r="G109" s="403">
        <v>1.0</v>
      </c>
      <c r="H109" s="403">
        <v>5.0</v>
      </c>
      <c r="I109" s="403">
        <v>30.0</v>
      </c>
      <c r="J109" s="391">
        <f t="shared" si="2"/>
        <v>0.001798305587</v>
      </c>
      <c r="K109" s="392">
        <f t="shared" si="3"/>
        <v>0.4855425084</v>
      </c>
      <c r="L109" s="327">
        <f t="shared" si="4"/>
        <v>19.3382901</v>
      </c>
      <c r="M109" s="321" t="str">
        <f t="shared" si="5"/>
        <v>juankbell</v>
      </c>
      <c r="N109" s="176">
        <f>IFERROR(__xludf.DUMMYFUNCTION("""COMPUTED_VALUE"""),5.0)</f>
        <v>5</v>
      </c>
      <c r="O109" s="176"/>
      <c r="P109" s="176"/>
      <c r="Q109" s="176"/>
      <c r="R109" s="176"/>
      <c r="S109" s="176"/>
      <c r="T109" s="176"/>
      <c r="U109" s="176"/>
      <c r="V109" s="176"/>
      <c r="W109" s="176"/>
      <c r="X109" s="176"/>
      <c r="Y109" s="176"/>
      <c r="Z109" s="176"/>
    </row>
    <row r="110">
      <c r="A110" s="226" t="s">
        <v>39</v>
      </c>
      <c r="B110" s="226" t="s">
        <v>18</v>
      </c>
      <c r="C110" s="250" t="s">
        <v>3873</v>
      </c>
      <c r="D110" s="268" t="s">
        <v>495</v>
      </c>
      <c r="E110" s="251">
        <v>44120.0</v>
      </c>
      <c r="F110" s="250" t="s">
        <v>496</v>
      </c>
      <c r="G110" s="403">
        <v>1.0</v>
      </c>
      <c r="H110" s="403">
        <v>5.0</v>
      </c>
      <c r="I110" s="403">
        <v>30.0</v>
      </c>
      <c r="J110" s="391">
        <f t="shared" si="2"/>
        <v>0.001798305587</v>
      </c>
      <c r="K110" s="392">
        <f t="shared" si="3"/>
        <v>0.4855425084</v>
      </c>
      <c r="L110" s="327">
        <f t="shared" si="4"/>
        <v>19.11401066</v>
      </c>
      <c r="M110" s="321" t="str">
        <f t="shared" si="5"/>
        <v>manualzuru</v>
      </c>
      <c r="N110" s="176">
        <f>IFERROR(__xludf.DUMMYFUNCTION("""COMPUTED_VALUE"""),8.0)</f>
        <v>8</v>
      </c>
      <c r="O110" s="176"/>
      <c r="P110" s="176"/>
      <c r="Q110" s="176"/>
      <c r="R110" s="176"/>
      <c r="S110" s="176"/>
      <c r="T110" s="176"/>
      <c r="U110" s="176"/>
      <c r="V110" s="176"/>
      <c r="W110" s="176"/>
      <c r="X110" s="176"/>
      <c r="Y110" s="176"/>
      <c r="Z110" s="176"/>
    </row>
    <row r="111">
      <c r="A111" s="226" t="s">
        <v>9</v>
      </c>
      <c r="B111" s="226" t="s">
        <v>1577</v>
      </c>
      <c r="C111" s="250" t="s">
        <v>3874</v>
      </c>
      <c r="D111" s="268" t="s">
        <v>495</v>
      </c>
      <c r="E111" s="251">
        <v>44120.0</v>
      </c>
      <c r="F111" s="250" t="s">
        <v>496</v>
      </c>
      <c r="G111" s="403">
        <v>3.0</v>
      </c>
      <c r="H111" s="403">
        <v>15.0</v>
      </c>
      <c r="I111" s="403">
        <v>15.0</v>
      </c>
      <c r="J111" s="391">
        <f t="shared" si="2"/>
        <v>0.001534509101</v>
      </c>
      <c r="K111" s="392">
        <f t="shared" si="3"/>
        <v>0.4143174573</v>
      </c>
      <c r="L111" s="327">
        <f t="shared" si="4"/>
        <v>17.88774457</v>
      </c>
      <c r="M111" s="321" t="str">
        <f t="shared" si="5"/>
        <v>akrtws</v>
      </c>
      <c r="N111" s="176">
        <f>IFERROR(__xludf.DUMMYFUNCTION("""COMPUTED_VALUE"""),6.0)</f>
        <v>6</v>
      </c>
      <c r="O111" s="176"/>
      <c r="P111" s="176"/>
      <c r="Q111" s="176"/>
      <c r="R111" s="176"/>
      <c r="S111" s="176"/>
      <c r="T111" s="176"/>
      <c r="U111" s="176"/>
      <c r="V111" s="176"/>
      <c r="W111" s="176"/>
      <c r="X111" s="176"/>
      <c r="Y111" s="176"/>
      <c r="Z111" s="176"/>
    </row>
    <row r="112">
      <c r="A112" s="226" t="s">
        <v>9</v>
      </c>
      <c r="B112" s="226" t="s">
        <v>18</v>
      </c>
      <c r="C112" s="250" t="s">
        <v>3875</v>
      </c>
      <c r="D112" s="268" t="s">
        <v>495</v>
      </c>
      <c r="E112" s="251">
        <v>44120.0</v>
      </c>
      <c r="F112" s="250" t="s">
        <v>496</v>
      </c>
      <c r="G112" s="403">
        <v>3.0</v>
      </c>
      <c r="H112" s="403">
        <v>100.0</v>
      </c>
      <c r="I112" s="403">
        <v>100.0</v>
      </c>
      <c r="J112" s="391">
        <f t="shared" si="2"/>
        <v>0.01023006067</v>
      </c>
      <c r="K112" s="392">
        <f t="shared" si="3"/>
        <v>2.762116382</v>
      </c>
      <c r="L112" s="327">
        <f t="shared" si="4"/>
        <v>17.88774457</v>
      </c>
      <c r="M112" s="321" t="str">
        <f t="shared" si="5"/>
        <v>akrtws</v>
      </c>
      <c r="N112" s="176">
        <f>IFERROR(__xludf.DUMMYFUNCTION("""COMPUTED_VALUE"""),7.0)</f>
        <v>7</v>
      </c>
      <c r="O112" s="176"/>
      <c r="P112" s="176"/>
      <c r="Q112" s="176"/>
      <c r="R112" s="176"/>
      <c r="S112" s="176"/>
      <c r="T112" s="176"/>
      <c r="U112" s="176"/>
      <c r="V112" s="176"/>
      <c r="W112" s="176"/>
      <c r="X112" s="176"/>
      <c r="Y112" s="176"/>
      <c r="Z112" s="176"/>
    </row>
    <row r="113">
      <c r="A113" s="226" t="s">
        <v>41</v>
      </c>
      <c r="B113" s="226" t="s">
        <v>1577</v>
      </c>
      <c r="C113" s="250" t="s">
        <v>3876</v>
      </c>
      <c r="D113" s="268" t="s">
        <v>495</v>
      </c>
      <c r="E113" s="251">
        <v>44120.0</v>
      </c>
      <c r="F113" s="250" t="s">
        <v>496</v>
      </c>
      <c r="G113" s="403">
        <v>1.0</v>
      </c>
      <c r="H113" s="403">
        <v>45.0</v>
      </c>
      <c r="I113" s="403">
        <v>50.0</v>
      </c>
      <c r="J113" s="391">
        <f t="shared" si="2"/>
        <v>0.004860887814</v>
      </c>
      <c r="K113" s="392">
        <f t="shared" si="3"/>
        <v>1.31243971</v>
      </c>
      <c r="L113" s="327">
        <f t="shared" si="4"/>
        <v>14.3647429</v>
      </c>
      <c r="M113" s="321" t="str">
        <f t="shared" si="5"/>
        <v>blairv</v>
      </c>
      <c r="N113" s="176">
        <f>IFERROR(__xludf.DUMMYFUNCTION("""COMPUTED_VALUE"""),5.0)</f>
        <v>5</v>
      </c>
      <c r="O113" s="176"/>
      <c r="P113" s="176"/>
      <c r="Q113" s="176"/>
      <c r="R113" s="176"/>
      <c r="S113" s="176"/>
      <c r="T113" s="176"/>
      <c r="U113" s="176"/>
      <c r="V113" s="176"/>
      <c r="W113" s="176"/>
      <c r="X113" s="176"/>
      <c r="Y113" s="176"/>
      <c r="Z113" s="176"/>
    </row>
    <row r="114">
      <c r="A114" s="226" t="s">
        <v>54</v>
      </c>
      <c r="B114" s="226" t="s">
        <v>18</v>
      </c>
      <c r="C114" s="250" t="s">
        <v>3873</v>
      </c>
      <c r="D114" s="268" t="s">
        <v>495</v>
      </c>
      <c r="E114" s="251">
        <v>44120.0</v>
      </c>
      <c r="F114" s="250" t="s">
        <v>496</v>
      </c>
      <c r="G114" s="403">
        <v>1.0</v>
      </c>
      <c r="H114" s="403">
        <v>5.0</v>
      </c>
      <c r="I114" s="403">
        <v>30.0</v>
      </c>
      <c r="J114" s="391">
        <f t="shared" si="2"/>
        <v>0.001798305587</v>
      </c>
      <c r="K114" s="392">
        <f t="shared" si="3"/>
        <v>0.4855425084</v>
      </c>
      <c r="L114" s="327">
        <f t="shared" si="4"/>
        <v>9.396408839</v>
      </c>
      <c r="M114" s="321" t="str">
        <f t="shared" si="5"/>
        <v>hbesso31</v>
      </c>
      <c r="N114" s="176">
        <f>IFERROR(__xludf.DUMMYFUNCTION("""COMPUTED_VALUE"""),5.0)</f>
        <v>5</v>
      </c>
      <c r="O114" s="176"/>
      <c r="P114" s="176"/>
      <c r="Q114" s="176"/>
      <c r="R114" s="176"/>
      <c r="S114" s="176"/>
      <c r="T114" s="176"/>
      <c r="U114" s="176"/>
      <c r="V114" s="176"/>
      <c r="W114" s="176"/>
      <c r="X114" s="176"/>
      <c r="Y114" s="176"/>
      <c r="Z114" s="176"/>
    </row>
    <row r="115">
      <c r="A115" s="226" t="s">
        <v>29</v>
      </c>
      <c r="B115" s="226" t="s">
        <v>1577</v>
      </c>
      <c r="C115" s="250" t="s">
        <v>3877</v>
      </c>
      <c r="D115" s="268" t="s">
        <v>495</v>
      </c>
      <c r="E115" s="251">
        <v>44120.0</v>
      </c>
      <c r="F115" s="250" t="s">
        <v>496</v>
      </c>
      <c r="G115" s="403">
        <v>1.0</v>
      </c>
      <c r="H115" s="403">
        <v>15.0</v>
      </c>
      <c r="I115" s="403">
        <v>10.0</v>
      </c>
      <c r="J115" s="391">
        <f t="shared" si="2"/>
        <v>0.001277148591</v>
      </c>
      <c r="K115" s="392">
        <f t="shared" si="3"/>
        <v>0.3448301195</v>
      </c>
      <c r="L115" s="327">
        <f t="shared" si="4"/>
        <v>8.434012388</v>
      </c>
      <c r="M115" s="321" t="str">
        <f t="shared" si="5"/>
        <v>jeffemmett</v>
      </c>
      <c r="N115" s="176">
        <f>IFERROR(__xludf.DUMMYFUNCTION("""COMPUTED_VALUE"""),5.0)</f>
        <v>5</v>
      </c>
      <c r="O115" s="176"/>
      <c r="P115" s="176"/>
      <c r="Q115" s="176"/>
      <c r="R115" s="176"/>
      <c r="S115" s="176"/>
      <c r="T115" s="176"/>
      <c r="U115" s="176"/>
      <c r="V115" s="176"/>
      <c r="W115" s="176"/>
      <c r="X115" s="176"/>
      <c r="Y115" s="176"/>
      <c r="Z115" s="176"/>
    </row>
    <row r="116">
      <c r="A116" s="226" t="s">
        <v>14</v>
      </c>
      <c r="B116" s="226" t="s">
        <v>1577</v>
      </c>
      <c r="C116" s="250" t="s">
        <v>3878</v>
      </c>
      <c r="D116" s="268" t="s">
        <v>495</v>
      </c>
      <c r="E116" s="251">
        <v>44120.0</v>
      </c>
      <c r="F116" s="250" t="s">
        <v>496</v>
      </c>
      <c r="G116" s="403">
        <v>1.0</v>
      </c>
      <c r="H116" s="403">
        <v>45.0</v>
      </c>
      <c r="I116" s="403">
        <v>40.0</v>
      </c>
      <c r="J116" s="391">
        <f t="shared" si="2"/>
        <v>0.004346166793</v>
      </c>
      <c r="K116" s="392">
        <f t="shared" si="3"/>
        <v>1.173465034</v>
      </c>
      <c r="L116" s="327">
        <f t="shared" si="4"/>
        <v>7.660963106</v>
      </c>
      <c r="M116" s="321" t="str">
        <f t="shared" si="5"/>
        <v>jessicazartler</v>
      </c>
      <c r="N116" s="176">
        <f>IFERROR(__xludf.DUMMYFUNCTION("""COMPUTED_VALUE"""),9.0)</f>
        <v>9</v>
      </c>
      <c r="O116" s="176"/>
      <c r="P116" s="176"/>
      <c r="Q116" s="176"/>
      <c r="R116" s="176"/>
      <c r="S116" s="176"/>
      <c r="T116" s="176"/>
      <c r="U116" s="176"/>
      <c r="V116" s="176"/>
      <c r="W116" s="176"/>
      <c r="X116" s="176"/>
      <c r="Y116" s="176"/>
      <c r="Z116" s="176"/>
    </row>
    <row r="117">
      <c r="A117" s="226" t="s">
        <v>14</v>
      </c>
      <c r="B117" s="226" t="s">
        <v>1577</v>
      </c>
      <c r="C117" s="250" t="s">
        <v>3876</v>
      </c>
      <c r="D117" s="268" t="s">
        <v>495</v>
      </c>
      <c r="E117" s="251">
        <v>44120.0</v>
      </c>
      <c r="F117" s="250" t="s">
        <v>496</v>
      </c>
      <c r="G117" s="403">
        <v>1.0</v>
      </c>
      <c r="H117" s="403">
        <v>45.0</v>
      </c>
      <c r="I117" s="403">
        <v>50.0</v>
      </c>
      <c r="J117" s="391">
        <f t="shared" si="2"/>
        <v>0.004860887814</v>
      </c>
      <c r="K117" s="392">
        <f t="shared" si="3"/>
        <v>1.31243971</v>
      </c>
      <c r="L117" s="327">
        <f t="shared" si="4"/>
        <v>7.660963106</v>
      </c>
      <c r="M117" s="321" t="str">
        <f t="shared" si="5"/>
        <v>jessicazartler</v>
      </c>
      <c r="N117" s="176">
        <f>IFERROR(__xludf.DUMMYFUNCTION("""COMPUTED_VALUE"""),10.0)</f>
        <v>10</v>
      </c>
      <c r="O117" s="176"/>
      <c r="P117" s="176"/>
      <c r="Q117" s="176"/>
      <c r="R117" s="176"/>
      <c r="S117" s="176"/>
      <c r="T117" s="176"/>
      <c r="U117" s="176"/>
      <c r="V117" s="176"/>
      <c r="W117" s="176"/>
      <c r="X117" s="176"/>
      <c r="Y117" s="176"/>
      <c r="Z117" s="176"/>
    </row>
    <row r="118">
      <c r="A118" s="226" t="s">
        <v>85</v>
      </c>
      <c r="B118" s="226" t="s">
        <v>519</v>
      </c>
      <c r="C118" s="250" t="s">
        <v>3872</v>
      </c>
      <c r="D118" s="268" t="s">
        <v>495</v>
      </c>
      <c r="E118" s="251">
        <v>44120.0</v>
      </c>
      <c r="F118" s="250" t="s">
        <v>496</v>
      </c>
      <c r="G118" s="403">
        <v>1.0</v>
      </c>
      <c r="H118" s="403">
        <v>20.0</v>
      </c>
      <c r="I118" s="403">
        <v>20.0</v>
      </c>
      <c r="J118" s="391">
        <f t="shared" si="2"/>
        <v>0.002046012135</v>
      </c>
      <c r="K118" s="392">
        <f t="shared" si="3"/>
        <v>0.5524232764</v>
      </c>
      <c r="L118" s="327">
        <f t="shared" si="4"/>
        <v>4.007675324</v>
      </c>
      <c r="M118" s="321" t="str">
        <f t="shared" si="5"/>
        <v>vivszaid</v>
      </c>
      <c r="N118" s="176">
        <f>IFERROR(__xludf.DUMMYFUNCTION("""COMPUTED_VALUE"""),4.0)</f>
        <v>4</v>
      </c>
      <c r="O118" s="176"/>
      <c r="P118" s="176"/>
      <c r="Q118" s="176"/>
      <c r="R118" s="176"/>
      <c r="S118" s="176"/>
      <c r="T118" s="176"/>
      <c r="U118" s="176"/>
      <c r="V118" s="176"/>
      <c r="W118" s="176"/>
      <c r="X118" s="176"/>
      <c r="Y118" s="176"/>
      <c r="Z118" s="176"/>
    </row>
    <row r="119">
      <c r="A119" s="226" t="s">
        <v>61</v>
      </c>
      <c r="B119" s="226" t="s">
        <v>519</v>
      </c>
      <c r="C119" s="250" t="s">
        <v>3872</v>
      </c>
      <c r="D119" s="268" t="s">
        <v>495</v>
      </c>
      <c r="E119" s="251">
        <v>44120.0</v>
      </c>
      <c r="F119" s="250" t="s">
        <v>496</v>
      </c>
      <c r="G119" s="403">
        <v>1.0</v>
      </c>
      <c r="H119" s="403">
        <v>20.0</v>
      </c>
      <c r="I119" s="403">
        <v>20.0</v>
      </c>
      <c r="J119" s="391">
        <f t="shared" si="2"/>
        <v>0.002046012135</v>
      </c>
      <c r="K119" s="392">
        <f t="shared" si="3"/>
        <v>0.5524232764</v>
      </c>
      <c r="L119" s="327">
        <f t="shared" si="4"/>
        <v>1.962840345</v>
      </c>
      <c r="M119" s="321" t="str">
        <f t="shared" si="5"/>
        <v>fabimol</v>
      </c>
      <c r="N119" s="176">
        <f>IFERROR(__xludf.DUMMYFUNCTION("""COMPUTED_VALUE"""),2.0)</f>
        <v>2</v>
      </c>
      <c r="O119" s="176"/>
      <c r="P119" s="176"/>
      <c r="Q119" s="176"/>
      <c r="R119" s="176"/>
      <c r="S119" s="176"/>
      <c r="T119" s="176"/>
      <c r="U119" s="176"/>
      <c r="V119" s="176"/>
      <c r="W119" s="176"/>
      <c r="X119" s="176"/>
      <c r="Y119" s="176"/>
      <c r="Z119" s="176"/>
    </row>
    <row r="120">
      <c r="A120" s="226" t="s">
        <v>16</v>
      </c>
      <c r="B120" s="226" t="s">
        <v>519</v>
      </c>
      <c r="C120" s="250" t="s">
        <v>3872</v>
      </c>
      <c r="D120" s="268" t="s">
        <v>495</v>
      </c>
      <c r="E120" s="251">
        <v>44120.0</v>
      </c>
      <c r="F120" s="250" t="s">
        <v>496</v>
      </c>
      <c r="G120" s="403">
        <v>1.0</v>
      </c>
      <c r="H120" s="403">
        <v>0.0</v>
      </c>
      <c r="I120" s="403">
        <v>0.0</v>
      </c>
      <c r="J120" s="391">
        <f t="shared" si="2"/>
        <v>0</v>
      </c>
      <c r="K120" s="392">
        <f t="shared" si="3"/>
        <v>0</v>
      </c>
      <c r="L120" s="327">
        <f t="shared" si="4"/>
        <v>0</v>
      </c>
      <c r="M120" s="321" t="str">
        <f t="shared" si="5"/>
        <v>griffgreen</v>
      </c>
      <c r="N120" s="176">
        <f>IFERROR(__xludf.DUMMYFUNCTION("""COMPUTED_VALUE"""),7.0)</f>
        <v>7</v>
      </c>
      <c r="O120" s="176"/>
      <c r="P120" s="176"/>
      <c r="Q120" s="176"/>
      <c r="R120" s="176"/>
      <c r="S120" s="176"/>
      <c r="T120" s="176"/>
      <c r="U120" s="176"/>
      <c r="V120" s="176"/>
      <c r="W120" s="176"/>
      <c r="X120" s="176"/>
      <c r="Y120" s="176"/>
      <c r="Z120" s="176"/>
    </row>
    <row r="121">
      <c r="A121" s="226" t="s">
        <v>16</v>
      </c>
      <c r="B121" s="226" t="s">
        <v>1577</v>
      </c>
      <c r="C121" s="250" t="s">
        <v>3879</v>
      </c>
      <c r="D121" s="268" t="s">
        <v>495</v>
      </c>
      <c r="E121" s="251">
        <v>44120.0</v>
      </c>
      <c r="F121" s="250" t="s">
        <v>496</v>
      </c>
      <c r="G121" s="403">
        <v>1.0</v>
      </c>
      <c r="H121" s="403">
        <v>0.0</v>
      </c>
      <c r="I121" s="403">
        <v>0.0</v>
      </c>
      <c r="J121" s="391">
        <f t="shared" si="2"/>
        <v>0</v>
      </c>
      <c r="K121" s="392">
        <f t="shared" si="3"/>
        <v>0</v>
      </c>
      <c r="L121" s="327">
        <f t="shared" si="4"/>
        <v>0</v>
      </c>
      <c r="M121" s="321" t="str">
        <f t="shared" si="5"/>
        <v>griffgreen</v>
      </c>
      <c r="N121" s="176">
        <f>IFERROR(__xludf.DUMMYFUNCTION("""COMPUTED_VALUE"""),8.0)</f>
        <v>8</v>
      </c>
      <c r="O121" s="176"/>
      <c r="P121" s="176"/>
      <c r="Q121" s="176"/>
      <c r="R121" s="176"/>
      <c r="S121" s="176"/>
      <c r="T121" s="176"/>
      <c r="U121" s="176"/>
      <c r="V121" s="176"/>
      <c r="W121" s="176"/>
      <c r="X121" s="176"/>
      <c r="Y121" s="176"/>
      <c r="Z121" s="176"/>
    </row>
    <row r="122">
      <c r="A122" s="226" t="s">
        <v>16</v>
      </c>
      <c r="B122" s="226" t="s">
        <v>18</v>
      </c>
      <c r="C122" s="250" t="s">
        <v>3873</v>
      </c>
      <c r="D122" s="268" t="s">
        <v>495</v>
      </c>
      <c r="E122" s="251">
        <v>44120.0</v>
      </c>
      <c r="F122" s="250" t="s">
        <v>496</v>
      </c>
      <c r="G122" s="403">
        <v>1.0</v>
      </c>
      <c r="H122" s="411">
        <v>0.0</v>
      </c>
      <c r="I122" s="411">
        <v>0.0</v>
      </c>
      <c r="J122" s="391">
        <f t="shared" si="2"/>
        <v>0</v>
      </c>
      <c r="K122" s="392">
        <f t="shared" si="3"/>
        <v>0</v>
      </c>
      <c r="L122" s="327">
        <f t="shared" si="4"/>
        <v>0</v>
      </c>
      <c r="M122" s="321" t="str">
        <f t="shared" si="5"/>
        <v>griffgreen</v>
      </c>
      <c r="N122" s="176">
        <f>IFERROR(__xludf.DUMMYFUNCTION("""COMPUTED_VALUE"""),9.0)</f>
        <v>9</v>
      </c>
      <c r="O122" s="176"/>
      <c r="P122" s="176"/>
      <c r="Q122" s="176"/>
      <c r="R122" s="176"/>
      <c r="S122" s="176"/>
      <c r="T122" s="176"/>
      <c r="U122" s="176"/>
      <c r="V122" s="176"/>
      <c r="W122" s="176"/>
      <c r="X122" s="176"/>
      <c r="Y122" s="176"/>
      <c r="Z122" s="176"/>
    </row>
    <row r="123">
      <c r="A123" s="226" t="s">
        <v>16</v>
      </c>
      <c r="B123" s="226" t="s">
        <v>6</v>
      </c>
      <c r="C123" s="250" t="s">
        <v>3880</v>
      </c>
      <c r="D123" s="268" t="s">
        <v>495</v>
      </c>
      <c r="E123" s="251">
        <v>44120.0</v>
      </c>
      <c r="F123" s="250" t="s">
        <v>496</v>
      </c>
      <c r="G123" s="403">
        <v>1.0</v>
      </c>
      <c r="H123" s="403">
        <v>0.0</v>
      </c>
      <c r="I123" s="403">
        <v>0.0</v>
      </c>
      <c r="J123" s="391">
        <f t="shared" si="2"/>
        <v>0</v>
      </c>
      <c r="K123" s="392">
        <f t="shared" si="3"/>
        <v>0</v>
      </c>
      <c r="L123" s="327">
        <f t="shared" si="4"/>
        <v>0</v>
      </c>
      <c r="M123" s="321" t="str">
        <f t="shared" si="5"/>
        <v>griffgreen</v>
      </c>
      <c r="N123" s="176">
        <f>IFERROR(__xludf.DUMMYFUNCTION("""COMPUTED_VALUE"""),10.0)</f>
        <v>10</v>
      </c>
      <c r="O123" s="176"/>
      <c r="P123" s="176"/>
      <c r="Q123" s="176"/>
      <c r="R123" s="176"/>
      <c r="S123" s="176"/>
      <c r="T123" s="176"/>
      <c r="U123" s="176"/>
      <c r="V123" s="176"/>
      <c r="W123" s="176"/>
      <c r="X123" s="176"/>
      <c r="Y123" s="176"/>
      <c r="Z123" s="176"/>
    </row>
    <row r="124">
      <c r="A124" s="226" t="s">
        <v>18</v>
      </c>
      <c r="B124" s="226" t="s">
        <v>18</v>
      </c>
      <c r="C124" s="250" t="s">
        <v>3873</v>
      </c>
      <c r="D124" s="268" t="s">
        <v>495</v>
      </c>
      <c r="E124" s="251">
        <v>44120.0</v>
      </c>
      <c r="F124" s="250" t="s">
        <v>496</v>
      </c>
      <c r="G124" s="403">
        <v>1.0</v>
      </c>
      <c r="H124" s="411">
        <v>0.0</v>
      </c>
      <c r="I124" s="411">
        <v>0.0</v>
      </c>
      <c r="J124" s="391">
        <f t="shared" si="2"/>
        <v>0</v>
      </c>
      <c r="K124" s="392">
        <f t="shared" si="3"/>
        <v>0</v>
      </c>
      <c r="L124" s="327">
        <f t="shared" si="4"/>
        <v>0</v>
      </c>
      <c r="M124" s="321" t="str">
        <f t="shared" si="5"/>
        <v>liviade</v>
      </c>
      <c r="N124" s="176">
        <f>IFERROR(__xludf.DUMMYFUNCTION("""COMPUTED_VALUE"""),6.0)</f>
        <v>6</v>
      </c>
      <c r="O124" s="176"/>
      <c r="P124" s="176"/>
      <c r="Q124" s="176"/>
      <c r="R124" s="176"/>
      <c r="S124" s="176"/>
      <c r="T124" s="176"/>
      <c r="U124" s="176"/>
      <c r="V124" s="176"/>
      <c r="W124" s="176"/>
      <c r="X124" s="176"/>
      <c r="Y124" s="176"/>
      <c r="Z124" s="176"/>
    </row>
    <row r="125">
      <c r="A125" s="226" t="s">
        <v>76</v>
      </c>
      <c r="B125" s="226" t="s">
        <v>590</v>
      </c>
      <c r="C125" s="250" t="s">
        <v>3881</v>
      </c>
      <c r="D125" s="268" t="s">
        <v>495</v>
      </c>
      <c r="E125" s="251">
        <v>44121.0</v>
      </c>
      <c r="F125" s="250" t="s">
        <v>496</v>
      </c>
      <c r="G125" s="403">
        <v>3.0</v>
      </c>
      <c r="H125" s="403">
        <v>25.0</v>
      </c>
      <c r="I125" s="403">
        <v>30.0</v>
      </c>
      <c r="J125" s="391">
        <f t="shared" si="2"/>
        <v>0.002814875679</v>
      </c>
      <c r="K125" s="392">
        <f t="shared" si="3"/>
        <v>0.7600164334</v>
      </c>
      <c r="L125" s="327">
        <f t="shared" si="4"/>
        <v>10.77572932</v>
      </c>
      <c r="M125" s="321" t="str">
        <f t="shared" si="5"/>
        <v>fabianvb</v>
      </c>
      <c r="N125" s="176">
        <f>IFERROR(__xludf.DUMMYFUNCTION("""COMPUTED_VALUE"""),5.0)</f>
        <v>5</v>
      </c>
      <c r="O125" s="176"/>
      <c r="P125" s="176"/>
      <c r="Q125" s="176"/>
      <c r="R125" s="176"/>
      <c r="S125" s="176"/>
      <c r="T125" s="176"/>
      <c r="U125" s="176"/>
      <c r="V125" s="176"/>
      <c r="W125" s="176"/>
      <c r="X125" s="176"/>
      <c r="Y125" s="176"/>
      <c r="Z125" s="176"/>
    </row>
    <row r="126">
      <c r="A126" s="226" t="s">
        <v>14</v>
      </c>
      <c r="B126" s="226" t="s">
        <v>18</v>
      </c>
      <c r="C126" s="250" t="s">
        <v>3882</v>
      </c>
      <c r="D126" s="268" t="s">
        <v>495</v>
      </c>
      <c r="E126" s="251">
        <v>44121.0</v>
      </c>
      <c r="F126" s="250" t="s">
        <v>496</v>
      </c>
      <c r="G126" s="403">
        <v>1.0</v>
      </c>
      <c r="H126" s="403">
        <v>250.0</v>
      </c>
      <c r="I126" s="403">
        <v>250.0</v>
      </c>
      <c r="J126" s="391">
        <f t="shared" si="2"/>
        <v>0.02557515169</v>
      </c>
      <c r="K126" s="392">
        <f t="shared" si="3"/>
        <v>6.905290955</v>
      </c>
      <c r="L126" s="327">
        <f t="shared" si="4"/>
        <v>7.660963106</v>
      </c>
      <c r="M126" s="321" t="str">
        <f t="shared" si="5"/>
        <v>jessicazartler</v>
      </c>
      <c r="N126" s="176">
        <f>IFERROR(__xludf.DUMMYFUNCTION("""COMPUTED_VALUE"""),11.0)</f>
        <v>11</v>
      </c>
      <c r="O126" s="176"/>
      <c r="P126" s="176"/>
      <c r="Q126" s="176"/>
      <c r="R126" s="176"/>
      <c r="S126" s="176"/>
      <c r="T126" s="176"/>
      <c r="U126" s="176"/>
      <c r="V126" s="176"/>
      <c r="W126" s="176"/>
      <c r="X126" s="176"/>
      <c r="Y126" s="176"/>
      <c r="Z126" s="176"/>
    </row>
    <row r="127">
      <c r="A127" s="226" t="s">
        <v>8</v>
      </c>
      <c r="B127" s="226" t="s">
        <v>590</v>
      </c>
      <c r="C127" s="250" t="s">
        <v>3881</v>
      </c>
      <c r="D127" s="268" t="s">
        <v>495</v>
      </c>
      <c r="E127" s="251">
        <v>44121.0</v>
      </c>
      <c r="F127" s="250" t="s">
        <v>496</v>
      </c>
      <c r="G127" s="403">
        <v>3.0</v>
      </c>
      <c r="H127" s="403">
        <v>25.0</v>
      </c>
      <c r="I127" s="403">
        <v>30.0</v>
      </c>
      <c r="J127" s="391">
        <f t="shared" si="2"/>
        <v>0.002814875679</v>
      </c>
      <c r="K127" s="392">
        <f t="shared" si="3"/>
        <v>0.7600164334</v>
      </c>
      <c r="L127" s="327">
        <f t="shared" si="4"/>
        <v>1.918888915</v>
      </c>
      <c r="M127" s="321" t="str">
        <f t="shared" si="5"/>
        <v>solsista</v>
      </c>
      <c r="N127" s="176">
        <f>IFERROR(__xludf.DUMMYFUNCTION("""COMPUTED_VALUE"""),3.0)</f>
        <v>3</v>
      </c>
      <c r="O127" s="176"/>
      <c r="P127" s="176"/>
      <c r="Q127" s="176"/>
      <c r="R127" s="176"/>
      <c r="S127" s="176"/>
      <c r="T127" s="176"/>
      <c r="U127" s="176"/>
      <c r="V127" s="176"/>
      <c r="W127" s="176"/>
      <c r="X127" s="176"/>
      <c r="Y127" s="176"/>
      <c r="Z127" s="176"/>
    </row>
    <row r="128">
      <c r="A128" s="226" t="s">
        <v>83</v>
      </c>
      <c r="B128" s="226" t="s">
        <v>519</v>
      </c>
      <c r="C128" s="250" t="s">
        <v>3883</v>
      </c>
      <c r="D128" s="268" t="s">
        <v>495</v>
      </c>
      <c r="E128" s="251">
        <v>44121.0</v>
      </c>
      <c r="F128" s="250" t="s">
        <v>499</v>
      </c>
      <c r="G128" s="403">
        <v>3.0</v>
      </c>
      <c r="H128" s="403">
        <v>20.0</v>
      </c>
      <c r="I128" s="403">
        <v>20.0</v>
      </c>
      <c r="J128" s="391">
        <f t="shared" si="2"/>
        <v>0.002046012135</v>
      </c>
      <c r="K128" s="392">
        <f t="shared" si="3"/>
        <v>0.5524232764</v>
      </c>
      <c r="L128" s="327">
        <f t="shared" si="4"/>
        <v>0.5524232764</v>
      </c>
      <c r="M128" s="321" t="str">
        <f t="shared" si="5"/>
        <v>anjablaj</v>
      </c>
      <c r="N128" s="176">
        <f>IFERROR(__xludf.DUMMYFUNCTION("""COMPUTED_VALUE"""),1.0)</f>
        <v>1</v>
      </c>
      <c r="O128" s="176"/>
      <c r="P128" s="176"/>
      <c r="Q128" s="176"/>
      <c r="R128" s="176"/>
      <c r="S128" s="176"/>
      <c r="T128" s="176"/>
      <c r="U128" s="176"/>
      <c r="V128" s="176"/>
      <c r="W128" s="176"/>
      <c r="X128" s="176"/>
      <c r="Y128" s="176"/>
      <c r="Z128" s="176"/>
    </row>
    <row r="129">
      <c r="A129" s="226" t="s">
        <v>16</v>
      </c>
      <c r="B129" s="226" t="s">
        <v>590</v>
      </c>
      <c r="C129" s="250" t="s">
        <v>3884</v>
      </c>
      <c r="D129" s="268" t="s">
        <v>495</v>
      </c>
      <c r="E129" s="251">
        <v>44121.0</v>
      </c>
      <c r="F129" s="250" t="s">
        <v>496</v>
      </c>
      <c r="G129" s="403">
        <v>1.0</v>
      </c>
      <c r="H129" s="403">
        <v>0.0</v>
      </c>
      <c r="I129" s="403">
        <v>0.0</v>
      </c>
      <c r="J129" s="391">
        <f t="shared" si="2"/>
        <v>0</v>
      </c>
      <c r="K129" s="392">
        <f t="shared" si="3"/>
        <v>0</v>
      </c>
      <c r="L129" s="327">
        <f t="shared" si="4"/>
        <v>0</v>
      </c>
      <c r="M129" s="321" t="str">
        <f t="shared" si="5"/>
        <v>griffgreen</v>
      </c>
      <c r="N129" s="176">
        <f>IFERROR(__xludf.DUMMYFUNCTION("""COMPUTED_VALUE"""),11.0)</f>
        <v>11</v>
      </c>
      <c r="O129" s="176"/>
      <c r="P129" s="176"/>
      <c r="Q129" s="176"/>
      <c r="R129" s="176"/>
      <c r="S129" s="176"/>
      <c r="T129" s="176"/>
      <c r="U129" s="176"/>
      <c r="V129" s="176"/>
      <c r="W129" s="176"/>
      <c r="X129" s="176"/>
      <c r="Y129" s="176"/>
      <c r="Z129" s="176"/>
    </row>
    <row r="130">
      <c r="A130" s="226" t="s">
        <v>18</v>
      </c>
      <c r="B130" s="226" t="s">
        <v>590</v>
      </c>
      <c r="C130" s="250" t="s">
        <v>3884</v>
      </c>
      <c r="D130" s="268" t="s">
        <v>495</v>
      </c>
      <c r="E130" s="251">
        <v>44121.0</v>
      </c>
      <c r="F130" s="250" t="s">
        <v>496</v>
      </c>
      <c r="G130" s="403">
        <v>1.0</v>
      </c>
      <c r="H130" s="403">
        <v>0.0</v>
      </c>
      <c r="I130" s="403">
        <v>0.0</v>
      </c>
      <c r="J130" s="391">
        <f t="shared" si="2"/>
        <v>0</v>
      </c>
      <c r="K130" s="392">
        <f t="shared" si="3"/>
        <v>0</v>
      </c>
      <c r="L130" s="327">
        <f t="shared" si="4"/>
        <v>0</v>
      </c>
      <c r="M130" s="321" t="str">
        <f t="shared" si="5"/>
        <v>liviade</v>
      </c>
      <c r="N130" s="176">
        <f>IFERROR(__xludf.DUMMYFUNCTION("""COMPUTED_VALUE"""),7.0)</f>
        <v>7</v>
      </c>
      <c r="O130" s="176"/>
      <c r="P130" s="176"/>
      <c r="Q130" s="176"/>
      <c r="R130" s="176"/>
      <c r="S130" s="176"/>
      <c r="T130" s="176"/>
      <c r="U130" s="176"/>
      <c r="V130" s="176"/>
      <c r="W130" s="176"/>
      <c r="X130" s="176"/>
      <c r="Y130" s="176"/>
      <c r="Z130" s="176"/>
    </row>
    <row r="131">
      <c r="A131" s="226" t="s">
        <v>4</v>
      </c>
      <c r="B131" s="226" t="s">
        <v>590</v>
      </c>
      <c r="C131" s="250" t="s">
        <v>3885</v>
      </c>
      <c r="D131" s="268" t="s">
        <v>495</v>
      </c>
      <c r="E131" s="251">
        <v>44122.0</v>
      </c>
      <c r="F131" s="250" t="s">
        <v>496</v>
      </c>
      <c r="G131" s="403">
        <v>1.0</v>
      </c>
      <c r="H131" s="403">
        <v>10.0</v>
      </c>
      <c r="I131" s="403">
        <v>10.0</v>
      </c>
      <c r="J131" s="391">
        <f t="shared" si="2"/>
        <v>0.001023006067</v>
      </c>
      <c r="K131" s="392">
        <f t="shared" si="3"/>
        <v>0.2762116382</v>
      </c>
      <c r="L131" s="327">
        <f t="shared" si="4"/>
        <v>21.03811271</v>
      </c>
      <c r="M131" s="321" t="str">
        <f t="shared" si="5"/>
        <v>santigs67</v>
      </c>
      <c r="N131" s="176">
        <f>IFERROR(__xludf.DUMMYFUNCTION("""COMPUTED_VALUE"""),8.0)</f>
        <v>8</v>
      </c>
      <c r="O131" s="176"/>
      <c r="P131" s="176"/>
      <c r="Q131" s="176"/>
      <c r="R131" s="176"/>
      <c r="S131" s="176"/>
      <c r="T131" s="176"/>
      <c r="U131" s="176"/>
      <c r="V131" s="176"/>
      <c r="W131" s="176"/>
      <c r="X131" s="176"/>
      <c r="Y131" s="176"/>
      <c r="Z131" s="176"/>
    </row>
    <row r="132">
      <c r="A132" s="226" t="s">
        <v>15</v>
      </c>
      <c r="B132" s="226" t="s">
        <v>519</v>
      </c>
      <c r="C132" s="250" t="s">
        <v>3886</v>
      </c>
      <c r="D132" s="268" t="s">
        <v>495</v>
      </c>
      <c r="E132" s="251">
        <v>44122.0</v>
      </c>
      <c r="F132" s="250" t="s">
        <v>496</v>
      </c>
      <c r="G132" s="403">
        <v>1.0</v>
      </c>
      <c r="H132" s="403">
        <v>300.0</v>
      </c>
      <c r="I132" s="403">
        <v>200.0</v>
      </c>
      <c r="J132" s="391">
        <f t="shared" si="2"/>
        <v>0.02554297181</v>
      </c>
      <c r="K132" s="392">
        <f t="shared" si="3"/>
        <v>6.896602389</v>
      </c>
      <c r="L132" s="327">
        <f t="shared" si="4"/>
        <v>19.3382901</v>
      </c>
      <c r="M132" s="321" t="str">
        <f t="shared" si="5"/>
        <v>juankbell</v>
      </c>
      <c r="N132" s="176">
        <f>IFERROR(__xludf.DUMMYFUNCTION("""COMPUTED_VALUE"""),6.0)</f>
        <v>6</v>
      </c>
      <c r="O132" s="176"/>
      <c r="P132" s="176"/>
      <c r="Q132" s="176"/>
      <c r="R132" s="176"/>
      <c r="S132" s="176"/>
      <c r="T132" s="176"/>
      <c r="U132" s="176"/>
      <c r="V132" s="176"/>
      <c r="W132" s="176"/>
      <c r="X132" s="176"/>
      <c r="Y132" s="176"/>
      <c r="Z132" s="176"/>
    </row>
    <row r="133">
      <c r="A133" s="226" t="s">
        <v>39</v>
      </c>
      <c r="B133" s="226" t="s">
        <v>519</v>
      </c>
      <c r="C133" s="250" t="s">
        <v>3887</v>
      </c>
      <c r="D133" s="268" t="s">
        <v>495</v>
      </c>
      <c r="E133" s="251">
        <v>44122.0</v>
      </c>
      <c r="F133" s="250" t="s">
        <v>496</v>
      </c>
      <c r="G133" s="403">
        <v>1.0</v>
      </c>
      <c r="H133" s="403">
        <v>200.0</v>
      </c>
      <c r="I133" s="403">
        <v>20.0</v>
      </c>
      <c r="J133" s="391">
        <f t="shared" si="2"/>
        <v>0.01119514297</v>
      </c>
      <c r="K133" s="392">
        <f t="shared" si="3"/>
        <v>3.022688601</v>
      </c>
      <c r="L133" s="327">
        <f t="shared" si="4"/>
        <v>19.11401066</v>
      </c>
      <c r="M133" s="321" t="str">
        <f t="shared" si="5"/>
        <v>manualzuru</v>
      </c>
      <c r="N133" s="176">
        <f>IFERROR(__xludf.DUMMYFUNCTION("""COMPUTED_VALUE"""),9.0)</f>
        <v>9</v>
      </c>
      <c r="O133" s="176"/>
      <c r="P133" s="176"/>
      <c r="Q133" s="176"/>
      <c r="R133" s="176"/>
      <c r="S133" s="176"/>
      <c r="T133" s="176"/>
      <c r="U133" s="176"/>
      <c r="V133" s="176"/>
      <c r="W133" s="176"/>
      <c r="X133" s="176"/>
      <c r="Y133" s="176"/>
      <c r="Z133" s="176"/>
    </row>
    <row r="134">
      <c r="A134" s="226" t="s">
        <v>14</v>
      </c>
      <c r="B134" s="226" t="s">
        <v>5</v>
      </c>
      <c r="C134" s="250" t="s">
        <v>3888</v>
      </c>
      <c r="D134" s="268" t="s">
        <v>495</v>
      </c>
      <c r="E134" s="251">
        <v>44122.0</v>
      </c>
      <c r="F134" s="250" t="s">
        <v>496</v>
      </c>
      <c r="G134" s="403" t="s">
        <v>3752</v>
      </c>
      <c r="H134" s="403">
        <v>0.0</v>
      </c>
      <c r="I134" s="403">
        <v>0.0</v>
      </c>
      <c r="J134" s="391">
        <f t="shared" si="2"/>
        <v>0</v>
      </c>
      <c r="K134" s="392">
        <f t="shared" si="3"/>
        <v>0</v>
      </c>
      <c r="L134" s="327">
        <f t="shared" si="4"/>
        <v>7.660963106</v>
      </c>
      <c r="M134" s="321" t="str">
        <f t="shared" si="5"/>
        <v>jessicazartler</v>
      </c>
      <c r="N134" s="176">
        <f>IFERROR(__xludf.DUMMYFUNCTION("""COMPUTED_VALUE"""),12.0)</f>
        <v>12</v>
      </c>
      <c r="O134" s="176"/>
      <c r="P134" s="176"/>
      <c r="Q134" s="176"/>
      <c r="R134" s="176"/>
      <c r="S134" s="176"/>
      <c r="T134" s="176"/>
      <c r="U134" s="176"/>
      <c r="V134" s="176"/>
      <c r="W134" s="176"/>
      <c r="X134" s="176"/>
      <c r="Y134" s="176"/>
      <c r="Z134" s="176"/>
    </row>
    <row r="135">
      <c r="A135" s="226" t="s">
        <v>88</v>
      </c>
      <c r="B135" s="226" t="s">
        <v>519</v>
      </c>
      <c r="C135" s="250" t="s">
        <v>3889</v>
      </c>
      <c r="D135" s="268" t="s">
        <v>495</v>
      </c>
      <c r="E135" s="251">
        <v>44122.0</v>
      </c>
      <c r="F135" s="250" t="s">
        <v>545</v>
      </c>
      <c r="G135" s="403">
        <v>1.0</v>
      </c>
      <c r="H135" s="403">
        <v>15.0</v>
      </c>
      <c r="I135" s="403">
        <v>40.0</v>
      </c>
      <c r="J135" s="391">
        <f t="shared" si="2"/>
        <v>0.002821311654</v>
      </c>
      <c r="K135" s="392">
        <f t="shared" si="3"/>
        <v>0.7617541466</v>
      </c>
      <c r="L135" s="327">
        <f t="shared" si="4"/>
        <v>0.7617541466</v>
      </c>
      <c r="M135" s="321" t="str">
        <f t="shared" si="5"/>
        <v>phil_h</v>
      </c>
      <c r="N135" s="176">
        <f>IFERROR(__xludf.DUMMYFUNCTION("""COMPUTED_VALUE"""),1.0)</f>
        <v>1</v>
      </c>
      <c r="O135" s="176"/>
      <c r="P135" s="176"/>
      <c r="Q135" s="176"/>
      <c r="R135" s="176"/>
      <c r="S135" s="176"/>
      <c r="T135" s="176"/>
      <c r="U135" s="176"/>
      <c r="V135" s="176"/>
      <c r="W135" s="176"/>
      <c r="X135" s="176"/>
      <c r="Y135" s="176"/>
      <c r="Z135" s="176"/>
    </row>
    <row r="136">
      <c r="A136" s="226" t="s">
        <v>16</v>
      </c>
      <c r="B136" s="226" t="s">
        <v>5</v>
      </c>
      <c r="C136" s="250" t="s">
        <v>3888</v>
      </c>
      <c r="D136" s="268" t="s">
        <v>495</v>
      </c>
      <c r="E136" s="251">
        <v>44122.0</v>
      </c>
      <c r="F136" s="250" t="s">
        <v>496</v>
      </c>
      <c r="G136" s="403">
        <v>1.0</v>
      </c>
      <c r="H136" s="403">
        <v>0.0</v>
      </c>
      <c r="I136" s="403">
        <v>0.0</v>
      </c>
      <c r="J136" s="391">
        <f t="shared" si="2"/>
        <v>0</v>
      </c>
      <c r="K136" s="392">
        <f t="shared" si="3"/>
        <v>0</v>
      </c>
      <c r="L136" s="327">
        <f t="shared" si="4"/>
        <v>0</v>
      </c>
      <c r="M136" s="321" t="str">
        <f t="shared" si="5"/>
        <v>griffgreen</v>
      </c>
      <c r="N136" s="176">
        <f>IFERROR(__xludf.DUMMYFUNCTION("""COMPUTED_VALUE"""),12.0)</f>
        <v>12</v>
      </c>
      <c r="O136" s="176"/>
      <c r="P136" s="176"/>
      <c r="Q136" s="176"/>
      <c r="R136" s="176"/>
      <c r="S136" s="176"/>
      <c r="T136" s="176"/>
      <c r="U136" s="176"/>
      <c r="V136" s="176"/>
      <c r="W136" s="176"/>
      <c r="X136" s="176"/>
      <c r="Y136" s="176"/>
      <c r="Z136" s="176"/>
    </row>
    <row r="137">
      <c r="A137" s="226" t="s">
        <v>18</v>
      </c>
      <c r="B137" s="226" t="s">
        <v>5</v>
      </c>
      <c r="C137" s="250" t="s">
        <v>3888</v>
      </c>
      <c r="D137" s="268" t="s">
        <v>495</v>
      </c>
      <c r="E137" s="251">
        <v>44122.0</v>
      </c>
      <c r="F137" s="250" t="s">
        <v>496</v>
      </c>
      <c r="G137" s="403">
        <v>1.0</v>
      </c>
      <c r="H137" s="403">
        <v>0.0</v>
      </c>
      <c r="I137" s="403">
        <v>0.0</v>
      </c>
      <c r="J137" s="391">
        <f t="shared" si="2"/>
        <v>0</v>
      </c>
      <c r="K137" s="392">
        <f t="shared" si="3"/>
        <v>0</v>
      </c>
      <c r="L137" s="327">
        <f t="shared" si="4"/>
        <v>0</v>
      </c>
      <c r="M137" s="321" t="str">
        <f t="shared" si="5"/>
        <v>liviade</v>
      </c>
      <c r="N137" s="176">
        <f>IFERROR(__xludf.DUMMYFUNCTION("""COMPUTED_VALUE"""),8.0)</f>
        <v>8</v>
      </c>
      <c r="O137" s="176"/>
      <c r="P137" s="176"/>
      <c r="Q137" s="176"/>
      <c r="R137" s="176"/>
      <c r="S137" s="176"/>
      <c r="T137" s="176"/>
      <c r="U137" s="176"/>
      <c r="V137" s="176"/>
      <c r="W137" s="176"/>
      <c r="X137" s="176"/>
      <c r="Y137" s="176"/>
      <c r="Z137" s="176"/>
    </row>
    <row r="138">
      <c r="A138" s="226" t="s">
        <v>4</v>
      </c>
      <c r="B138" s="226" t="s">
        <v>18</v>
      </c>
      <c r="C138" s="250" t="s">
        <v>3890</v>
      </c>
      <c r="D138" s="268" t="s">
        <v>495</v>
      </c>
      <c r="E138" s="251">
        <v>44123.0</v>
      </c>
      <c r="F138" s="250" t="s">
        <v>499</v>
      </c>
      <c r="G138" s="403">
        <v>4.0</v>
      </c>
      <c r="H138" s="403">
        <v>0.0</v>
      </c>
      <c r="I138" s="403">
        <v>0.0</v>
      </c>
      <c r="J138" s="391">
        <f t="shared" si="2"/>
        <v>0</v>
      </c>
      <c r="K138" s="392">
        <f t="shared" si="3"/>
        <v>0</v>
      </c>
      <c r="L138" s="327">
        <f t="shared" si="4"/>
        <v>21.03811271</v>
      </c>
      <c r="M138" s="321" t="str">
        <f t="shared" si="5"/>
        <v>santigs67</v>
      </c>
      <c r="N138" s="176">
        <f>IFERROR(__xludf.DUMMYFUNCTION("""COMPUTED_VALUE"""),9.0)</f>
        <v>9</v>
      </c>
      <c r="O138" s="176"/>
      <c r="P138" s="176"/>
      <c r="Q138" s="176"/>
      <c r="R138" s="176"/>
      <c r="S138" s="176"/>
      <c r="T138" s="176"/>
      <c r="U138" s="176"/>
      <c r="V138" s="176"/>
      <c r="W138" s="176"/>
      <c r="X138" s="176"/>
      <c r="Y138" s="176"/>
      <c r="Z138" s="176"/>
    </row>
    <row r="139">
      <c r="A139" s="226" t="s">
        <v>5</v>
      </c>
      <c r="B139" s="226" t="s">
        <v>18</v>
      </c>
      <c r="C139" s="250" t="s">
        <v>3891</v>
      </c>
      <c r="D139" s="268" t="s">
        <v>495</v>
      </c>
      <c r="E139" s="251">
        <v>44123.0</v>
      </c>
      <c r="F139" s="250" t="s">
        <v>499</v>
      </c>
      <c r="G139" s="403">
        <v>4.0</v>
      </c>
      <c r="H139" s="403">
        <v>0.0</v>
      </c>
      <c r="I139" s="403">
        <v>0.0</v>
      </c>
      <c r="J139" s="391">
        <f t="shared" si="2"/>
        <v>0</v>
      </c>
      <c r="K139" s="392">
        <f t="shared" si="3"/>
        <v>0</v>
      </c>
      <c r="L139" s="327">
        <f t="shared" si="4"/>
        <v>20.43444809</v>
      </c>
      <c r="M139" s="321" t="str">
        <f t="shared" si="5"/>
        <v>cranders71</v>
      </c>
      <c r="N139" s="176">
        <f>IFERROR(__xludf.DUMMYFUNCTION("""COMPUTED_VALUE"""),7.0)</f>
        <v>7</v>
      </c>
      <c r="O139" s="176"/>
      <c r="P139" s="176"/>
      <c r="Q139" s="176"/>
      <c r="R139" s="176"/>
      <c r="S139" s="176"/>
      <c r="T139" s="176"/>
      <c r="U139" s="176"/>
      <c r="V139" s="176"/>
      <c r="W139" s="176"/>
      <c r="X139" s="176"/>
      <c r="Y139" s="176"/>
      <c r="Z139" s="176"/>
    </row>
    <row r="140">
      <c r="A140" s="226" t="s">
        <v>15</v>
      </c>
      <c r="B140" s="226" t="s">
        <v>18</v>
      </c>
      <c r="C140" s="250" t="s">
        <v>3891</v>
      </c>
      <c r="D140" s="268" t="s">
        <v>495</v>
      </c>
      <c r="E140" s="251">
        <v>44123.0</v>
      </c>
      <c r="F140" s="250" t="s">
        <v>499</v>
      </c>
      <c r="G140" s="403">
        <v>4.0</v>
      </c>
      <c r="H140" s="403">
        <v>0.0</v>
      </c>
      <c r="I140" s="403">
        <v>0.0</v>
      </c>
      <c r="J140" s="391">
        <f t="shared" si="2"/>
        <v>0</v>
      </c>
      <c r="K140" s="392">
        <f t="shared" si="3"/>
        <v>0</v>
      </c>
      <c r="L140" s="327">
        <f t="shared" si="4"/>
        <v>19.3382901</v>
      </c>
      <c r="M140" s="321" t="str">
        <f t="shared" si="5"/>
        <v>juankbell</v>
      </c>
      <c r="N140" s="176">
        <f>IFERROR(__xludf.DUMMYFUNCTION("""COMPUTED_VALUE"""),7.0)</f>
        <v>7</v>
      </c>
      <c r="O140" s="176"/>
      <c r="P140" s="176"/>
      <c r="Q140" s="176"/>
      <c r="R140" s="176"/>
      <c r="S140" s="176"/>
      <c r="T140" s="176"/>
      <c r="U140" s="176"/>
      <c r="V140" s="176"/>
      <c r="W140" s="176"/>
      <c r="X140" s="176"/>
      <c r="Y140" s="176"/>
      <c r="Z140" s="176"/>
    </row>
    <row r="141">
      <c r="A141" s="226" t="s">
        <v>9</v>
      </c>
      <c r="B141" s="226" t="s">
        <v>18</v>
      </c>
      <c r="C141" s="250" t="s">
        <v>3891</v>
      </c>
      <c r="D141" s="268" t="s">
        <v>495</v>
      </c>
      <c r="E141" s="251">
        <v>44123.0</v>
      </c>
      <c r="F141" s="250" t="s">
        <v>499</v>
      </c>
      <c r="G141" s="403">
        <v>4.0</v>
      </c>
      <c r="H141" s="403">
        <v>0.0</v>
      </c>
      <c r="I141" s="403">
        <v>0.0</v>
      </c>
      <c r="J141" s="391">
        <f t="shared" si="2"/>
        <v>0</v>
      </c>
      <c r="K141" s="392">
        <f t="shared" si="3"/>
        <v>0</v>
      </c>
      <c r="L141" s="327">
        <f t="shared" si="4"/>
        <v>17.88774457</v>
      </c>
      <c r="M141" s="321" t="str">
        <f t="shared" si="5"/>
        <v>akrtws</v>
      </c>
      <c r="N141" s="176">
        <f>IFERROR(__xludf.DUMMYFUNCTION("""COMPUTED_VALUE"""),8.0)</f>
        <v>8</v>
      </c>
      <c r="O141" s="176"/>
      <c r="P141" s="176"/>
      <c r="Q141" s="176"/>
      <c r="R141" s="176"/>
      <c r="S141" s="176"/>
      <c r="T141" s="176"/>
      <c r="U141" s="176"/>
      <c r="V141" s="176"/>
      <c r="W141" s="176"/>
      <c r="X141" s="176"/>
      <c r="Y141" s="176"/>
      <c r="Z141" s="176"/>
    </row>
    <row r="142">
      <c r="A142" s="226" t="s">
        <v>54</v>
      </c>
      <c r="B142" s="226" t="s">
        <v>18</v>
      </c>
      <c r="C142" s="250" t="s">
        <v>3890</v>
      </c>
      <c r="D142" s="268" t="s">
        <v>495</v>
      </c>
      <c r="E142" s="251">
        <v>44123.0</v>
      </c>
      <c r="F142" s="250" t="s">
        <v>499</v>
      </c>
      <c r="G142" s="403">
        <v>4.0</v>
      </c>
      <c r="H142" s="403">
        <v>0.0</v>
      </c>
      <c r="I142" s="403">
        <v>0.0</v>
      </c>
      <c r="J142" s="391">
        <f t="shared" si="2"/>
        <v>0</v>
      </c>
      <c r="K142" s="392">
        <f t="shared" si="3"/>
        <v>0</v>
      </c>
      <c r="L142" s="327">
        <f t="shared" si="4"/>
        <v>9.396408839</v>
      </c>
      <c r="M142" s="321" t="str">
        <f t="shared" si="5"/>
        <v>hbesso31</v>
      </c>
      <c r="N142" s="176">
        <f>IFERROR(__xludf.DUMMYFUNCTION("""COMPUTED_VALUE"""),6.0)</f>
        <v>6</v>
      </c>
      <c r="O142" s="176"/>
      <c r="P142" s="176"/>
      <c r="Q142" s="176"/>
      <c r="R142" s="176"/>
      <c r="S142" s="176"/>
      <c r="T142" s="176"/>
      <c r="U142" s="176"/>
      <c r="V142" s="176"/>
      <c r="W142" s="176"/>
      <c r="X142" s="176"/>
      <c r="Y142" s="176"/>
      <c r="Z142" s="176"/>
    </row>
    <row r="143">
      <c r="A143" s="226" t="s">
        <v>29</v>
      </c>
      <c r="B143" s="226" t="s">
        <v>18</v>
      </c>
      <c r="C143" s="250" t="s">
        <v>3891</v>
      </c>
      <c r="D143" s="268" t="s">
        <v>495</v>
      </c>
      <c r="E143" s="251">
        <v>44123.0</v>
      </c>
      <c r="F143" s="250" t="s">
        <v>499</v>
      </c>
      <c r="G143" s="403">
        <v>4.0</v>
      </c>
      <c r="H143" s="403">
        <v>0.0</v>
      </c>
      <c r="I143" s="403">
        <v>0.0</v>
      </c>
      <c r="J143" s="391">
        <f t="shared" si="2"/>
        <v>0</v>
      </c>
      <c r="K143" s="392">
        <f t="shared" si="3"/>
        <v>0</v>
      </c>
      <c r="L143" s="327">
        <f t="shared" si="4"/>
        <v>8.434012388</v>
      </c>
      <c r="M143" s="321" t="str">
        <f t="shared" si="5"/>
        <v>jeffemmett</v>
      </c>
      <c r="N143" s="176">
        <f>IFERROR(__xludf.DUMMYFUNCTION("""COMPUTED_VALUE"""),6.0)</f>
        <v>6</v>
      </c>
      <c r="O143" s="176"/>
      <c r="P143" s="176"/>
      <c r="Q143" s="176"/>
      <c r="R143" s="176"/>
      <c r="S143" s="176"/>
      <c r="T143" s="176"/>
      <c r="U143" s="176"/>
      <c r="V143" s="176"/>
      <c r="W143" s="176"/>
      <c r="X143" s="176"/>
      <c r="Y143" s="176"/>
      <c r="Z143" s="176"/>
    </row>
    <row r="144">
      <c r="A144" s="226" t="s">
        <v>14</v>
      </c>
      <c r="B144" s="226" t="s">
        <v>18</v>
      </c>
      <c r="C144" s="250" t="s">
        <v>3891</v>
      </c>
      <c r="D144" s="268" t="s">
        <v>495</v>
      </c>
      <c r="E144" s="251">
        <v>44123.0</v>
      </c>
      <c r="F144" s="250" t="s">
        <v>499</v>
      </c>
      <c r="G144" s="403">
        <v>4.0</v>
      </c>
      <c r="H144" s="403">
        <v>0.0</v>
      </c>
      <c r="I144" s="403">
        <v>0.0</v>
      </c>
      <c r="J144" s="391">
        <f t="shared" si="2"/>
        <v>0</v>
      </c>
      <c r="K144" s="392">
        <f t="shared" si="3"/>
        <v>0</v>
      </c>
      <c r="L144" s="327">
        <f t="shared" si="4"/>
        <v>7.660963106</v>
      </c>
      <c r="M144" s="321" t="str">
        <f t="shared" si="5"/>
        <v>jessicazartler</v>
      </c>
      <c r="N144" s="176">
        <f>IFERROR(__xludf.DUMMYFUNCTION("""COMPUTED_VALUE"""),13.0)</f>
        <v>13</v>
      </c>
      <c r="O144" s="176"/>
      <c r="P144" s="176"/>
      <c r="Q144" s="176"/>
      <c r="R144" s="176"/>
      <c r="S144" s="176"/>
      <c r="T144" s="176"/>
      <c r="U144" s="176"/>
      <c r="V144" s="176"/>
      <c r="W144" s="176"/>
      <c r="X144" s="176"/>
      <c r="Y144" s="176"/>
      <c r="Z144" s="176"/>
    </row>
    <row r="145">
      <c r="A145" s="226" t="s">
        <v>71</v>
      </c>
      <c r="B145" s="226" t="s">
        <v>18</v>
      </c>
      <c r="C145" s="250" t="s">
        <v>3892</v>
      </c>
      <c r="D145" s="268" t="s">
        <v>495</v>
      </c>
      <c r="E145" s="251">
        <v>44123.0</v>
      </c>
      <c r="F145" s="250" t="s">
        <v>496</v>
      </c>
      <c r="G145" s="403">
        <v>1.0</v>
      </c>
      <c r="H145" s="403">
        <v>0.0</v>
      </c>
      <c r="I145" s="403">
        <v>10.0</v>
      </c>
      <c r="J145" s="391">
        <f t="shared" si="2"/>
        <v>0.0005147210212</v>
      </c>
      <c r="K145" s="392">
        <f t="shared" si="3"/>
        <v>0.1389746757</v>
      </c>
      <c r="L145" s="327">
        <f t="shared" si="4"/>
        <v>6.562198549</v>
      </c>
      <c r="M145" s="321" t="str">
        <f t="shared" si="5"/>
        <v>quartagiulio</v>
      </c>
      <c r="N145" s="176">
        <f>IFERROR(__xludf.DUMMYFUNCTION("""COMPUTED_VALUE"""),4.0)</f>
        <v>4</v>
      </c>
      <c r="O145" s="176"/>
      <c r="P145" s="176"/>
      <c r="Q145" s="176"/>
      <c r="R145" s="176"/>
      <c r="S145" s="176"/>
      <c r="T145" s="176"/>
      <c r="U145" s="176"/>
      <c r="V145" s="176"/>
      <c r="W145" s="176"/>
      <c r="X145" s="176"/>
      <c r="Y145" s="176"/>
      <c r="Z145" s="176"/>
    </row>
    <row r="146">
      <c r="A146" s="226" t="s">
        <v>2410</v>
      </c>
      <c r="B146" s="226" t="s">
        <v>18</v>
      </c>
      <c r="C146" s="250" t="s">
        <v>3891</v>
      </c>
      <c r="D146" s="268" t="s">
        <v>495</v>
      </c>
      <c r="E146" s="251">
        <v>44123.0</v>
      </c>
      <c r="F146" s="250" t="s">
        <v>499</v>
      </c>
      <c r="G146" s="403">
        <v>4.0</v>
      </c>
      <c r="H146" s="403">
        <v>0.0</v>
      </c>
      <c r="I146" s="403">
        <v>0.0</v>
      </c>
      <c r="J146" s="391">
        <f t="shared" si="2"/>
        <v>0</v>
      </c>
      <c r="K146" s="392">
        <f t="shared" si="3"/>
        <v>0</v>
      </c>
      <c r="L146" s="327">
        <f t="shared" si="4"/>
        <v>4.491480119</v>
      </c>
      <c r="M146" s="321" t="str">
        <f t="shared" si="5"/>
        <v>ygg_anderson</v>
      </c>
      <c r="N146" s="176">
        <f>IFERROR(__xludf.DUMMYFUNCTION("""COMPUTED_VALUE"""),2.0)</f>
        <v>2</v>
      </c>
      <c r="O146" s="176"/>
      <c r="P146" s="176"/>
      <c r="Q146" s="176"/>
      <c r="R146" s="176"/>
      <c r="S146" s="176"/>
      <c r="T146" s="176"/>
      <c r="U146" s="176"/>
      <c r="V146" s="176"/>
      <c r="W146" s="176"/>
      <c r="X146" s="176"/>
      <c r="Y146" s="176"/>
      <c r="Z146" s="176"/>
    </row>
    <row r="147">
      <c r="A147" s="226" t="s">
        <v>43</v>
      </c>
      <c r="B147" s="226" t="s">
        <v>18</v>
      </c>
      <c r="C147" s="250" t="s">
        <v>3891</v>
      </c>
      <c r="D147" s="268" t="s">
        <v>495</v>
      </c>
      <c r="E147" s="251">
        <v>44123.0</v>
      </c>
      <c r="F147" s="250" t="s">
        <v>499</v>
      </c>
      <c r="G147" s="403">
        <v>4.0</v>
      </c>
      <c r="H147" s="403">
        <v>0.0</v>
      </c>
      <c r="I147" s="403">
        <v>0.0</v>
      </c>
      <c r="J147" s="391">
        <f t="shared" si="2"/>
        <v>0</v>
      </c>
      <c r="K147" s="392">
        <f t="shared" si="3"/>
        <v>0</v>
      </c>
      <c r="L147" s="327">
        <f t="shared" si="4"/>
        <v>3.729725973</v>
      </c>
      <c r="M147" s="321" t="str">
        <f t="shared" si="5"/>
        <v>markop</v>
      </c>
      <c r="N147" s="176">
        <f>IFERROR(__xludf.DUMMYFUNCTION("""COMPUTED_VALUE"""),2.0)</f>
        <v>2</v>
      </c>
      <c r="O147" s="176"/>
      <c r="P147" s="176"/>
      <c r="Q147" s="176"/>
      <c r="R147" s="176"/>
      <c r="S147" s="176"/>
      <c r="T147" s="176"/>
      <c r="U147" s="176"/>
      <c r="V147" s="176"/>
      <c r="W147" s="176"/>
      <c r="X147" s="176"/>
      <c r="Y147" s="176"/>
      <c r="Z147" s="176"/>
    </row>
    <row r="148">
      <c r="A148" s="226" t="s">
        <v>8</v>
      </c>
      <c r="B148" s="226" t="s">
        <v>18</v>
      </c>
      <c r="C148" s="250" t="s">
        <v>3891</v>
      </c>
      <c r="D148" s="268" t="s">
        <v>495</v>
      </c>
      <c r="E148" s="251">
        <v>44123.0</v>
      </c>
      <c r="F148" s="250" t="s">
        <v>499</v>
      </c>
      <c r="G148" s="403">
        <v>4.0</v>
      </c>
      <c r="H148" s="403">
        <v>0.0</v>
      </c>
      <c r="I148" s="403">
        <v>0.0</v>
      </c>
      <c r="J148" s="391">
        <f t="shared" si="2"/>
        <v>0</v>
      </c>
      <c r="K148" s="392">
        <f t="shared" si="3"/>
        <v>0</v>
      </c>
      <c r="L148" s="327">
        <f t="shared" si="4"/>
        <v>1.918888915</v>
      </c>
      <c r="M148" s="321" t="str">
        <f t="shared" si="5"/>
        <v>solsista</v>
      </c>
      <c r="N148" s="176">
        <f>IFERROR(__xludf.DUMMYFUNCTION("""COMPUTED_VALUE"""),4.0)</f>
        <v>4</v>
      </c>
      <c r="O148" s="176"/>
      <c r="P148" s="176"/>
      <c r="Q148" s="176"/>
      <c r="R148" s="176"/>
      <c r="S148" s="176"/>
      <c r="T148" s="176"/>
      <c r="U148" s="176"/>
      <c r="V148" s="176"/>
      <c r="W148" s="176"/>
      <c r="X148" s="176"/>
      <c r="Y148" s="176"/>
      <c r="Z148" s="176"/>
    </row>
    <row r="149">
      <c r="A149" s="226" t="s">
        <v>65</v>
      </c>
      <c r="B149" s="226" t="s">
        <v>18</v>
      </c>
      <c r="C149" s="250" t="s">
        <v>3891</v>
      </c>
      <c r="D149" s="268" t="s">
        <v>495</v>
      </c>
      <c r="E149" s="251">
        <v>44123.0</v>
      </c>
      <c r="F149" s="250" t="s">
        <v>499</v>
      </c>
      <c r="G149" s="403">
        <v>4.0</v>
      </c>
      <c r="H149" s="403">
        <v>0.0</v>
      </c>
      <c r="I149" s="403">
        <v>0.0</v>
      </c>
      <c r="J149" s="391">
        <f t="shared" si="2"/>
        <v>0</v>
      </c>
      <c r="K149" s="392">
        <f t="shared" si="3"/>
        <v>0</v>
      </c>
      <c r="L149" s="327">
        <f t="shared" si="4"/>
        <v>1.657269829</v>
      </c>
      <c r="M149" s="321" t="str">
        <f t="shared" si="5"/>
        <v>loie_giveth</v>
      </c>
      <c r="N149" s="176">
        <f>IFERROR(__xludf.DUMMYFUNCTION("""COMPUTED_VALUE"""),3.0)</f>
        <v>3</v>
      </c>
      <c r="O149" s="176"/>
      <c r="P149" s="176"/>
      <c r="Q149" s="176"/>
      <c r="R149" s="176"/>
      <c r="S149" s="176"/>
      <c r="T149" s="176"/>
      <c r="U149" s="176"/>
      <c r="V149" s="176"/>
      <c r="W149" s="176"/>
      <c r="X149" s="176"/>
      <c r="Y149" s="176"/>
      <c r="Z149" s="176"/>
    </row>
    <row r="150">
      <c r="A150" s="226" t="s">
        <v>53</v>
      </c>
      <c r="B150" s="226" t="s">
        <v>18</v>
      </c>
      <c r="C150" s="250" t="s">
        <v>3891</v>
      </c>
      <c r="D150" s="268" t="s">
        <v>495</v>
      </c>
      <c r="E150" s="251">
        <v>44123.0</v>
      </c>
      <c r="F150" s="250" t="s">
        <v>499</v>
      </c>
      <c r="G150" s="403">
        <v>4.0</v>
      </c>
      <c r="H150" s="403">
        <v>0.0</v>
      </c>
      <c r="I150" s="403">
        <v>0.0</v>
      </c>
      <c r="J150" s="391">
        <f t="shared" si="2"/>
        <v>0</v>
      </c>
      <c r="K150" s="392">
        <f t="shared" si="3"/>
        <v>0</v>
      </c>
      <c r="L150" s="327">
        <f t="shared" si="4"/>
        <v>1.657269829</v>
      </c>
      <c r="M150" s="321" t="str">
        <f t="shared" si="5"/>
        <v>vntrp</v>
      </c>
      <c r="N150" s="176">
        <f>IFERROR(__xludf.DUMMYFUNCTION("""COMPUTED_VALUE"""),2.0)</f>
        <v>2</v>
      </c>
      <c r="O150" s="176"/>
      <c r="P150" s="176"/>
      <c r="Q150" s="176"/>
      <c r="R150" s="176"/>
      <c r="S150" s="176"/>
      <c r="T150" s="176"/>
      <c r="U150" s="176"/>
      <c r="V150" s="176"/>
      <c r="W150" s="176"/>
      <c r="X150" s="176"/>
      <c r="Y150" s="176"/>
      <c r="Z150" s="176"/>
    </row>
    <row r="151">
      <c r="A151" s="226" t="s">
        <v>40</v>
      </c>
      <c r="B151" s="226" t="s">
        <v>18</v>
      </c>
      <c r="C151" s="250" t="s">
        <v>3891</v>
      </c>
      <c r="D151" s="268" t="s">
        <v>495</v>
      </c>
      <c r="E151" s="251">
        <v>44123.0</v>
      </c>
      <c r="F151" s="250" t="s">
        <v>499</v>
      </c>
      <c r="G151" s="403">
        <v>4.0</v>
      </c>
      <c r="H151" s="403">
        <v>0.0</v>
      </c>
      <c r="I151" s="403">
        <v>0.0</v>
      </c>
      <c r="J151" s="391">
        <f t="shared" si="2"/>
        <v>0</v>
      </c>
      <c r="K151" s="392">
        <f t="shared" si="3"/>
        <v>0</v>
      </c>
      <c r="L151" s="327">
        <f t="shared" si="4"/>
        <v>1.451414386</v>
      </c>
      <c r="M151" s="321" t="str">
        <f t="shared" si="5"/>
        <v>lkngtn</v>
      </c>
      <c r="N151" s="176">
        <f>IFERROR(__xludf.DUMMYFUNCTION("""COMPUTED_VALUE"""),2.0)</f>
        <v>2</v>
      </c>
      <c r="O151" s="176"/>
      <c r="P151" s="176"/>
      <c r="Q151" s="176"/>
      <c r="R151" s="176"/>
      <c r="S151" s="176"/>
      <c r="T151" s="176"/>
      <c r="U151" s="176"/>
      <c r="V151" s="176"/>
      <c r="W151" s="176"/>
      <c r="X151" s="176"/>
      <c r="Y151" s="176"/>
      <c r="Z151" s="176"/>
    </row>
    <row r="152">
      <c r="A152" s="226" t="s">
        <v>84</v>
      </c>
      <c r="B152" s="226" t="s">
        <v>18</v>
      </c>
      <c r="C152" s="250" t="s">
        <v>3893</v>
      </c>
      <c r="D152" s="268" t="s">
        <v>495</v>
      </c>
      <c r="E152" s="251">
        <v>44123.0</v>
      </c>
      <c r="F152" s="250" t="s">
        <v>496</v>
      </c>
      <c r="G152" s="403">
        <v>1.0</v>
      </c>
      <c r="H152" s="403">
        <v>40.0</v>
      </c>
      <c r="I152" s="403">
        <v>40.0</v>
      </c>
      <c r="J152" s="391">
        <f t="shared" si="2"/>
        <v>0.00409202427</v>
      </c>
      <c r="K152" s="392">
        <f t="shared" si="3"/>
        <v>1.104846553</v>
      </c>
      <c r="L152" s="327">
        <f t="shared" si="4"/>
        <v>1.449676672</v>
      </c>
      <c r="M152" s="321" t="str">
        <f t="shared" si="5"/>
        <v>gracerachmany</v>
      </c>
      <c r="N152" s="176">
        <f>IFERROR(__xludf.DUMMYFUNCTION("""COMPUTED_VALUE"""),2.0)</f>
        <v>2</v>
      </c>
      <c r="O152" s="176"/>
      <c r="P152" s="176"/>
      <c r="Q152" s="176"/>
      <c r="R152" s="176"/>
      <c r="S152" s="176"/>
      <c r="T152" s="176"/>
      <c r="U152" s="176"/>
      <c r="V152" s="176"/>
      <c r="W152" s="176"/>
      <c r="X152" s="176"/>
      <c r="Y152" s="176"/>
      <c r="Z152" s="176"/>
    </row>
    <row r="153">
      <c r="A153" s="226" t="s">
        <v>84</v>
      </c>
      <c r="B153" s="226" t="s">
        <v>18</v>
      </c>
      <c r="C153" s="250" t="s">
        <v>3891</v>
      </c>
      <c r="D153" s="268" t="s">
        <v>495</v>
      </c>
      <c r="E153" s="251">
        <v>44123.0</v>
      </c>
      <c r="F153" s="250" t="s">
        <v>499</v>
      </c>
      <c r="G153" s="403">
        <v>4.0</v>
      </c>
      <c r="H153" s="403">
        <v>0.0</v>
      </c>
      <c r="I153" s="403">
        <v>0.0</v>
      </c>
      <c r="J153" s="391">
        <f t="shared" si="2"/>
        <v>0</v>
      </c>
      <c r="K153" s="392">
        <f t="shared" si="3"/>
        <v>0</v>
      </c>
      <c r="L153" s="327">
        <f t="shared" si="4"/>
        <v>1.449676672</v>
      </c>
      <c r="M153" s="321" t="str">
        <f t="shared" si="5"/>
        <v>gracerachmany</v>
      </c>
      <c r="N153" s="176">
        <f>IFERROR(__xludf.DUMMYFUNCTION("""COMPUTED_VALUE"""),3.0)</f>
        <v>3</v>
      </c>
      <c r="O153" s="176"/>
      <c r="P153" s="176"/>
      <c r="Q153" s="176"/>
      <c r="R153" s="176"/>
      <c r="S153" s="176"/>
      <c r="T153" s="176"/>
      <c r="U153" s="176"/>
      <c r="V153" s="176"/>
      <c r="W153" s="176"/>
      <c r="X153" s="176"/>
      <c r="Y153" s="176"/>
      <c r="Z153" s="176"/>
    </row>
    <row r="154">
      <c r="A154" s="226" t="s">
        <v>120</v>
      </c>
      <c r="B154" s="226" t="s">
        <v>18</v>
      </c>
      <c r="C154" s="250" t="s">
        <v>3891</v>
      </c>
      <c r="D154" s="268" t="s">
        <v>495</v>
      </c>
      <c r="E154" s="251">
        <v>44123.0</v>
      </c>
      <c r="F154" s="250" t="s">
        <v>499</v>
      </c>
      <c r="G154" s="403">
        <v>4.0</v>
      </c>
      <c r="H154" s="403">
        <v>0.0</v>
      </c>
      <c r="I154" s="403">
        <v>0.0</v>
      </c>
      <c r="J154" s="391">
        <f t="shared" si="2"/>
        <v>0</v>
      </c>
      <c r="K154" s="392">
        <f t="shared" si="3"/>
        <v>0</v>
      </c>
      <c r="L154" s="327">
        <f t="shared" si="4"/>
        <v>1.135943143</v>
      </c>
      <c r="M154" s="321" t="str">
        <f t="shared" si="5"/>
        <v>sepu85</v>
      </c>
      <c r="N154" s="176">
        <f>IFERROR(__xludf.DUMMYFUNCTION("""COMPUTED_VALUE"""),1.0)</f>
        <v>1</v>
      </c>
      <c r="O154" s="176"/>
      <c r="P154" s="176"/>
      <c r="Q154" s="176"/>
      <c r="R154" s="176"/>
      <c r="S154" s="176"/>
      <c r="T154" s="176"/>
      <c r="U154" s="176"/>
      <c r="V154" s="176"/>
      <c r="W154" s="176"/>
      <c r="X154" s="176"/>
      <c r="Y154" s="176"/>
      <c r="Z154" s="176"/>
    </row>
    <row r="155">
      <c r="A155" s="226" t="s">
        <v>88</v>
      </c>
      <c r="B155" s="226" t="s">
        <v>18</v>
      </c>
      <c r="C155" s="250" t="s">
        <v>3891</v>
      </c>
      <c r="D155" s="268" t="s">
        <v>495</v>
      </c>
      <c r="E155" s="251">
        <v>44123.0</v>
      </c>
      <c r="F155" s="250" t="s">
        <v>499</v>
      </c>
      <c r="G155" s="403">
        <v>4.0</v>
      </c>
      <c r="H155" s="403">
        <v>0.0</v>
      </c>
      <c r="I155" s="403">
        <v>0.0</v>
      </c>
      <c r="J155" s="391">
        <f t="shared" si="2"/>
        <v>0</v>
      </c>
      <c r="K155" s="392">
        <f t="shared" si="3"/>
        <v>0</v>
      </c>
      <c r="L155" s="327">
        <f t="shared" si="4"/>
        <v>0.7617541466</v>
      </c>
      <c r="M155" s="321" t="str">
        <f t="shared" si="5"/>
        <v>phil_h</v>
      </c>
      <c r="N155" s="176">
        <f>IFERROR(__xludf.DUMMYFUNCTION("""COMPUTED_VALUE"""),2.0)</f>
        <v>2</v>
      </c>
      <c r="O155" s="176"/>
      <c r="P155" s="176"/>
      <c r="Q155" s="176"/>
      <c r="R155" s="176"/>
      <c r="S155" s="176"/>
      <c r="T155" s="176"/>
      <c r="U155" s="176"/>
      <c r="V155" s="176"/>
      <c r="W155" s="176"/>
      <c r="X155" s="176"/>
      <c r="Y155" s="176"/>
      <c r="Z155" s="176"/>
    </row>
    <row r="156">
      <c r="A156" s="226" t="s">
        <v>24</v>
      </c>
      <c r="B156" s="226" t="s">
        <v>18</v>
      </c>
      <c r="C156" s="250" t="s">
        <v>3891</v>
      </c>
      <c r="D156" s="268" t="s">
        <v>495</v>
      </c>
      <c r="E156" s="251">
        <v>44123.0</v>
      </c>
      <c r="F156" s="250" t="s">
        <v>499</v>
      </c>
      <c r="G156" s="403">
        <v>4.0</v>
      </c>
      <c r="H156" s="403">
        <v>0.0</v>
      </c>
      <c r="I156" s="403">
        <v>0.0</v>
      </c>
      <c r="J156" s="391">
        <f t="shared" si="2"/>
        <v>0</v>
      </c>
      <c r="K156" s="392">
        <f t="shared" si="3"/>
        <v>0</v>
      </c>
      <c r="L156" s="327">
        <f t="shared" si="4"/>
        <v>0.511425959</v>
      </c>
      <c r="M156" s="321" t="str">
        <f t="shared" si="5"/>
        <v>danlessa</v>
      </c>
      <c r="N156" s="176">
        <f>IFERROR(__xludf.DUMMYFUNCTION("""COMPUTED_VALUE"""),3.0)</f>
        <v>3</v>
      </c>
      <c r="O156" s="176"/>
      <c r="P156" s="176"/>
      <c r="Q156" s="176"/>
      <c r="R156" s="176"/>
      <c r="S156" s="176"/>
      <c r="T156" s="176"/>
      <c r="U156" s="176"/>
      <c r="V156" s="176"/>
      <c r="W156" s="176"/>
      <c r="X156" s="176"/>
      <c r="Y156" s="176"/>
      <c r="Z156" s="176"/>
    </row>
    <row r="157">
      <c r="A157" s="226" t="s">
        <v>144</v>
      </c>
      <c r="B157" s="226" t="s">
        <v>18</v>
      </c>
      <c r="C157" s="250" t="s">
        <v>3891</v>
      </c>
      <c r="D157" s="268" t="s">
        <v>495</v>
      </c>
      <c r="E157" s="251">
        <v>44123.0</v>
      </c>
      <c r="F157" s="250" t="s">
        <v>499</v>
      </c>
      <c r="G157" s="403">
        <v>4.0</v>
      </c>
      <c r="H157" s="403"/>
      <c r="I157" s="403">
        <v>0.0</v>
      </c>
      <c r="J157" s="391">
        <f t="shared" si="2"/>
        <v>0</v>
      </c>
      <c r="K157" s="392">
        <f t="shared" si="3"/>
        <v>0</v>
      </c>
      <c r="L157" s="327">
        <f t="shared" si="4"/>
        <v>0.1801457645</v>
      </c>
      <c r="M157" s="321" t="str">
        <f t="shared" si="5"/>
        <v>cpt_grog</v>
      </c>
      <c r="N157" s="176">
        <f>IFERROR(__xludf.DUMMYFUNCTION("""COMPUTED_VALUE"""),2.0)</f>
        <v>2</v>
      </c>
      <c r="O157" s="176"/>
      <c r="P157" s="176"/>
      <c r="Q157" s="176"/>
      <c r="R157" s="176"/>
      <c r="S157" s="176"/>
      <c r="T157" s="176"/>
      <c r="U157" s="176"/>
      <c r="V157" s="176"/>
      <c r="W157" s="176"/>
      <c r="X157" s="176"/>
      <c r="Y157" s="176"/>
      <c r="Z157" s="176"/>
    </row>
    <row r="158">
      <c r="A158" s="226" t="s">
        <v>180</v>
      </c>
      <c r="B158" s="226" t="s">
        <v>18</v>
      </c>
      <c r="C158" s="250" t="s">
        <v>3891</v>
      </c>
      <c r="D158" s="268" t="s">
        <v>495</v>
      </c>
      <c r="E158" s="251">
        <v>44123.0</v>
      </c>
      <c r="F158" s="250" t="s">
        <v>499</v>
      </c>
      <c r="G158" s="403">
        <v>4.0</v>
      </c>
      <c r="H158" s="403">
        <v>0.0</v>
      </c>
      <c r="I158" s="403">
        <v>0.0</v>
      </c>
      <c r="J158" s="391">
        <f t="shared" si="2"/>
        <v>0</v>
      </c>
      <c r="K158" s="392">
        <f t="shared" si="3"/>
        <v>0</v>
      </c>
      <c r="L158" s="327">
        <f t="shared" si="4"/>
        <v>0.02762116382</v>
      </c>
      <c r="M158" s="321" t="str">
        <f t="shared" si="5"/>
        <v>bierlingm</v>
      </c>
      <c r="N158" s="176">
        <f>IFERROR(__xludf.DUMMYFUNCTION("""COMPUTED_VALUE"""),2.0)</f>
        <v>2</v>
      </c>
      <c r="O158" s="176"/>
      <c r="P158" s="176"/>
      <c r="Q158" s="176"/>
      <c r="R158" s="176"/>
      <c r="S158" s="176"/>
      <c r="T158" s="176"/>
      <c r="U158" s="176"/>
      <c r="V158" s="176"/>
      <c r="W158" s="176"/>
      <c r="X158" s="176"/>
      <c r="Y158" s="176"/>
      <c r="Z158" s="176"/>
    </row>
    <row r="159">
      <c r="A159" s="226" t="s">
        <v>16</v>
      </c>
      <c r="B159" s="226" t="s">
        <v>18</v>
      </c>
      <c r="C159" s="250" t="s">
        <v>3891</v>
      </c>
      <c r="D159" s="268" t="s">
        <v>495</v>
      </c>
      <c r="E159" s="251">
        <v>44123.0</v>
      </c>
      <c r="F159" s="250" t="s">
        <v>499</v>
      </c>
      <c r="G159" s="403">
        <v>4.0</v>
      </c>
      <c r="H159" s="403">
        <v>0.0</v>
      </c>
      <c r="I159" s="403">
        <v>0.0</v>
      </c>
      <c r="J159" s="391">
        <f t="shared" si="2"/>
        <v>0</v>
      </c>
      <c r="K159" s="392">
        <f t="shared" si="3"/>
        <v>0</v>
      </c>
      <c r="L159" s="327">
        <f t="shared" si="4"/>
        <v>0</v>
      </c>
      <c r="M159" s="321" t="str">
        <f t="shared" si="5"/>
        <v>griffgreen</v>
      </c>
      <c r="N159" s="176">
        <f>IFERROR(__xludf.DUMMYFUNCTION("""COMPUTED_VALUE"""),13.0)</f>
        <v>13</v>
      </c>
      <c r="O159" s="176"/>
      <c r="P159" s="176"/>
      <c r="Q159" s="176"/>
      <c r="R159" s="176"/>
      <c r="S159" s="176"/>
      <c r="T159" s="176"/>
      <c r="U159" s="176"/>
      <c r="V159" s="176"/>
      <c r="W159" s="176"/>
      <c r="X159" s="176"/>
      <c r="Y159" s="176"/>
      <c r="Z159" s="176"/>
    </row>
    <row r="160">
      <c r="A160" s="226" t="s">
        <v>18</v>
      </c>
      <c r="B160" s="226" t="s">
        <v>18</v>
      </c>
      <c r="C160" s="250" t="s">
        <v>3891</v>
      </c>
      <c r="D160" s="268" t="s">
        <v>495</v>
      </c>
      <c r="E160" s="251">
        <v>44123.0</v>
      </c>
      <c r="F160" s="250" t="s">
        <v>499</v>
      </c>
      <c r="G160" s="403">
        <v>4.0</v>
      </c>
      <c r="H160" s="403">
        <v>0.0</v>
      </c>
      <c r="I160" s="403">
        <v>0.0</v>
      </c>
      <c r="J160" s="391">
        <f t="shared" si="2"/>
        <v>0</v>
      </c>
      <c r="K160" s="392">
        <f t="shared" si="3"/>
        <v>0</v>
      </c>
      <c r="L160" s="327">
        <f t="shared" si="4"/>
        <v>0</v>
      </c>
      <c r="M160" s="321" t="str">
        <f t="shared" si="5"/>
        <v>liviade</v>
      </c>
      <c r="N160" s="176">
        <f>IFERROR(__xludf.DUMMYFUNCTION("""COMPUTED_VALUE"""),9.0)</f>
        <v>9</v>
      </c>
      <c r="O160" s="176"/>
      <c r="P160" s="176"/>
      <c r="Q160" s="176"/>
      <c r="R160" s="176"/>
      <c r="S160" s="176"/>
      <c r="T160" s="176"/>
      <c r="U160" s="176"/>
      <c r="V160" s="176"/>
      <c r="W160" s="176"/>
      <c r="X160" s="176"/>
      <c r="Y160" s="176"/>
      <c r="Z160" s="176"/>
    </row>
    <row r="161">
      <c r="A161" s="226" t="s">
        <v>3894</v>
      </c>
      <c r="B161" s="226" t="s">
        <v>18</v>
      </c>
      <c r="C161" s="250" t="s">
        <v>3891</v>
      </c>
      <c r="D161" s="268" t="s">
        <v>495</v>
      </c>
      <c r="E161" s="251">
        <v>44123.0</v>
      </c>
      <c r="F161" s="250" t="s">
        <v>499</v>
      </c>
      <c r="G161" s="403">
        <v>4.0</v>
      </c>
      <c r="H161" s="403">
        <v>0.0</v>
      </c>
      <c r="I161" s="403">
        <v>0.0</v>
      </c>
      <c r="J161" s="391">
        <f t="shared" si="2"/>
        <v>0</v>
      </c>
      <c r="K161" s="392">
        <f t="shared" si="3"/>
        <v>0</v>
      </c>
      <c r="L161" s="327">
        <f t="shared" si="4"/>
        <v>0</v>
      </c>
      <c r="M161" s="321" t="str">
        <f t="shared" si="5"/>
        <v>aaronfoster</v>
      </c>
      <c r="N161" s="321">
        <f>IFERROR(__xludf.DUMMYFUNCTION("""COMPUTED_VALUE"""),1.0)</f>
        <v>1</v>
      </c>
      <c r="O161" s="176"/>
      <c r="P161" s="176"/>
      <c r="Q161" s="176"/>
      <c r="R161" s="176"/>
      <c r="S161" s="176"/>
      <c r="T161" s="176"/>
      <c r="U161" s="176"/>
      <c r="V161" s="176"/>
      <c r="W161" s="176"/>
      <c r="X161" s="176"/>
      <c r="Y161" s="176"/>
      <c r="Z161" s="176"/>
    </row>
    <row r="162">
      <c r="A162" s="226" t="s">
        <v>3895</v>
      </c>
      <c r="B162" s="226" t="s">
        <v>18</v>
      </c>
      <c r="C162" s="250" t="s">
        <v>3891</v>
      </c>
      <c r="D162" s="268" t="s">
        <v>495</v>
      </c>
      <c r="E162" s="251">
        <v>44123.0</v>
      </c>
      <c r="F162" s="250" t="s">
        <v>499</v>
      </c>
      <c r="G162" s="403">
        <v>4.0</v>
      </c>
      <c r="H162" s="403">
        <v>0.0</v>
      </c>
      <c r="I162" s="403">
        <v>0.0</v>
      </c>
      <c r="J162" s="391">
        <f t="shared" si="2"/>
        <v>0</v>
      </c>
      <c r="K162" s="392">
        <f t="shared" si="3"/>
        <v>0</v>
      </c>
      <c r="L162" s="327">
        <f t="shared" si="4"/>
        <v>0</v>
      </c>
      <c r="M162" s="321" t="str">
        <f t="shared" si="5"/>
        <v>banteg</v>
      </c>
      <c r="N162" s="176">
        <f>IFERROR(__xludf.DUMMYFUNCTION("""COMPUTED_VALUE"""),1.0)</f>
        <v>1</v>
      </c>
      <c r="O162" s="176"/>
      <c r="P162" s="176"/>
      <c r="Q162" s="176"/>
      <c r="R162" s="176"/>
      <c r="S162" s="176"/>
      <c r="T162" s="176"/>
      <c r="U162" s="176"/>
      <c r="V162" s="176"/>
      <c r="W162" s="176"/>
      <c r="X162" s="176"/>
      <c r="Y162" s="176"/>
      <c r="Z162" s="176"/>
    </row>
    <row r="163">
      <c r="A163" s="226" t="s">
        <v>314</v>
      </c>
      <c r="B163" s="226" t="s">
        <v>18</v>
      </c>
      <c r="C163" s="250" t="s">
        <v>3891</v>
      </c>
      <c r="D163" s="268" t="s">
        <v>495</v>
      </c>
      <c r="E163" s="251">
        <v>44123.0</v>
      </c>
      <c r="F163" s="250" t="s">
        <v>499</v>
      </c>
      <c r="G163" s="403">
        <v>4.0</v>
      </c>
      <c r="H163" s="403">
        <v>0.0</v>
      </c>
      <c r="I163" s="403">
        <v>0.0</v>
      </c>
      <c r="J163" s="391">
        <f t="shared" si="2"/>
        <v>0</v>
      </c>
      <c r="K163" s="392">
        <f t="shared" si="3"/>
        <v>0</v>
      </c>
      <c r="L163" s="327">
        <f t="shared" si="4"/>
        <v>0</v>
      </c>
      <c r="M163" s="321" t="str">
        <f t="shared" si="5"/>
        <v>blockchainberlin</v>
      </c>
      <c r="N163" s="176">
        <f>IFERROR(__xludf.DUMMYFUNCTION("""COMPUTED_VALUE"""),1.0)</f>
        <v>1</v>
      </c>
      <c r="O163" s="176"/>
      <c r="P163" s="176"/>
      <c r="Q163" s="176"/>
      <c r="R163" s="176"/>
      <c r="S163" s="176"/>
      <c r="T163" s="176"/>
      <c r="U163" s="176"/>
      <c r="V163" s="176"/>
      <c r="W163" s="176"/>
      <c r="X163" s="176"/>
      <c r="Y163" s="176"/>
      <c r="Z163" s="176"/>
    </row>
    <row r="164">
      <c r="A164" s="226" t="s">
        <v>188</v>
      </c>
      <c r="B164" s="226" t="s">
        <v>18</v>
      </c>
      <c r="C164" s="250" t="s">
        <v>3891</v>
      </c>
      <c r="D164" s="268" t="s">
        <v>495</v>
      </c>
      <c r="E164" s="251">
        <v>44123.0</v>
      </c>
      <c r="F164" s="250" t="s">
        <v>499</v>
      </c>
      <c r="G164" s="403">
        <v>4.0</v>
      </c>
      <c r="H164" s="403">
        <v>0.0</v>
      </c>
      <c r="I164" s="403">
        <v>0.0</v>
      </c>
      <c r="J164" s="391">
        <f t="shared" si="2"/>
        <v>0</v>
      </c>
      <c r="K164" s="392">
        <f t="shared" si="3"/>
        <v>0</v>
      </c>
      <c r="L164" s="327">
        <f t="shared" si="4"/>
        <v>0</v>
      </c>
      <c r="M164" s="321" t="str">
        <f t="shared" si="5"/>
        <v>codersinblack</v>
      </c>
      <c r="N164" s="176">
        <f>IFERROR(__xludf.DUMMYFUNCTION("""COMPUTED_VALUE"""),1.0)</f>
        <v>1</v>
      </c>
      <c r="O164" s="176"/>
      <c r="P164" s="176"/>
      <c r="Q164" s="176"/>
      <c r="R164" s="176"/>
      <c r="S164" s="176"/>
      <c r="T164" s="176"/>
      <c r="U164" s="176"/>
      <c r="V164" s="176"/>
      <c r="W164" s="176"/>
      <c r="X164" s="176"/>
      <c r="Y164" s="176"/>
      <c r="Z164" s="176"/>
    </row>
    <row r="165">
      <c r="A165" s="226" t="s">
        <v>127</v>
      </c>
      <c r="B165" s="226" t="s">
        <v>18</v>
      </c>
      <c r="C165" s="250" t="s">
        <v>3891</v>
      </c>
      <c r="D165" s="268" t="s">
        <v>495</v>
      </c>
      <c r="E165" s="251">
        <v>44123.0</v>
      </c>
      <c r="F165" s="250" t="s">
        <v>499</v>
      </c>
      <c r="G165" s="403">
        <v>4.0</v>
      </c>
      <c r="H165" s="403">
        <v>0.0</v>
      </c>
      <c r="I165" s="403">
        <v>0.0</v>
      </c>
      <c r="J165" s="391">
        <f t="shared" si="2"/>
        <v>0</v>
      </c>
      <c r="K165" s="392">
        <f t="shared" si="3"/>
        <v>0</v>
      </c>
      <c r="L165" s="327">
        <f t="shared" si="4"/>
        <v>0</v>
      </c>
      <c r="M165" s="321" t="str">
        <f t="shared" si="5"/>
        <v>crypt0dawg</v>
      </c>
      <c r="N165" s="176">
        <f>IFERROR(__xludf.DUMMYFUNCTION("""COMPUTED_VALUE"""),1.0)</f>
        <v>1</v>
      </c>
      <c r="O165" s="176"/>
      <c r="P165" s="176"/>
      <c r="Q165" s="176"/>
      <c r="R165" s="176"/>
      <c r="S165" s="176"/>
      <c r="T165" s="176"/>
      <c r="U165" s="176"/>
      <c r="V165" s="176"/>
      <c r="W165" s="176"/>
      <c r="X165" s="176"/>
      <c r="Y165" s="176"/>
      <c r="Z165" s="176"/>
    </row>
    <row r="166">
      <c r="A166" s="226" t="s">
        <v>38</v>
      </c>
      <c r="B166" s="226" t="s">
        <v>18</v>
      </c>
      <c r="C166" s="250" t="s">
        <v>3891</v>
      </c>
      <c r="D166" s="268" t="s">
        <v>495</v>
      </c>
      <c r="E166" s="251">
        <v>44123.0</v>
      </c>
      <c r="F166" s="250" t="s">
        <v>499</v>
      </c>
      <c r="G166" s="403">
        <v>4.0</v>
      </c>
      <c r="H166" s="403">
        <v>0.0</v>
      </c>
      <c r="I166" s="403">
        <v>0.0</v>
      </c>
      <c r="J166" s="391">
        <f t="shared" si="2"/>
        <v>0</v>
      </c>
      <c r="K166" s="392">
        <f t="shared" si="3"/>
        <v>0</v>
      </c>
      <c r="L166" s="327">
        <f t="shared" si="4"/>
        <v>0</v>
      </c>
      <c r="M166" s="321" t="str">
        <f t="shared" si="5"/>
        <v>danibelle</v>
      </c>
      <c r="N166" s="176">
        <f>IFERROR(__xludf.DUMMYFUNCTION("""COMPUTED_VALUE"""),1.0)</f>
        <v>1</v>
      </c>
      <c r="O166" s="176"/>
      <c r="P166" s="176"/>
      <c r="Q166" s="176"/>
      <c r="R166" s="176"/>
      <c r="S166" s="176"/>
      <c r="T166" s="176"/>
      <c r="U166" s="176"/>
      <c r="V166" s="176"/>
      <c r="W166" s="176"/>
      <c r="X166" s="176"/>
      <c r="Y166" s="176"/>
      <c r="Z166" s="176"/>
    </row>
    <row r="167">
      <c r="A167" s="226" t="s">
        <v>60</v>
      </c>
      <c r="B167" s="226" t="s">
        <v>18</v>
      </c>
      <c r="C167" s="250" t="s">
        <v>3891</v>
      </c>
      <c r="D167" s="268" t="s">
        <v>495</v>
      </c>
      <c r="E167" s="251">
        <v>44123.0</v>
      </c>
      <c r="F167" s="250" t="s">
        <v>499</v>
      </c>
      <c r="G167" s="403">
        <v>4.0</v>
      </c>
      <c r="H167" s="403">
        <v>0.0</v>
      </c>
      <c r="I167" s="403">
        <v>0.0</v>
      </c>
      <c r="J167" s="391">
        <f t="shared" si="2"/>
        <v>0</v>
      </c>
      <c r="K167" s="392">
        <f t="shared" si="3"/>
        <v>0</v>
      </c>
      <c r="L167" s="327">
        <f t="shared" si="4"/>
        <v>0</v>
      </c>
      <c r="M167" s="321" t="str">
        <f t="shared" si="5"/>
        <v>niranb</v>
      </c>
      <c r="N167" s="176">
        <f>IFERROR(__xludf.DUMMYFUNCTION("""COMPUTED_VALUE"""),1.0)</f>
        <v>1</v>
      </c>
      <c r="O167" s="176"/>
      <c r="P167" s="176"/>
      <c r="Q167" s="176"/>
      <c r="R167" s="176"/>
      <c r="S167" s="176"/>
      <c r="T167" s="176"/>
      <c r="U167" s="176"/>
      <c r="V167" s="176"/>
      <c r="W167" s="176"/>
      <c r="X167" s="176"/>
      <c r="Y167" s="176"/>
      <c r="Z167" s="176"/>
    </row>
    <row r="168">
      <c r="A168" s="226" t="s">
        <v>299</v>
      </c>
      <c r="B168" s="226" t="s">
        <v>18</v>
      </c>
      <c r="C168" s="250" t="s">
        <v>3891</v>
      </c>
      <c r="D168" s="268" t="s">
        <v>495</v>
      </c>
      <c r="E168" s="251">
        <v>44123.0</v>
      </c>
      <c r="F168" s="250" t="s">
        <v>499</v>
      </c>
      <c r="G168" s="403">
        <v>4.0</v>
      </c>
      <c r="H168" s="403">
        <v>0.0</v>
      </c>
      <c r="I168" s="403">
        <v>0.0</v>
      </c>
      <c r="J168" s="391">
        <f t="shared" si="2"/>
        <v>0</v>
      </c>
      <c r="K168" s="392">
        <f t="shared" si="3"/>
        <v>0</v>
      </c>
      <c r="L168" s="327">
        <f t="shared" si="4"/>
        <v>0</v>
      </c>
      <c r="M168" s="321" t="str">
        <f t="shared" si="5"/>
        <v>edapt</v>
      </c>
      <c r="N168" s="176">
        <f>IFERROR(__xludf.DUMMYFUNCTION("""COMPUTED_VALUE"""),1.0)</f>
        <v>1</v>
      </c>
      <c r="O168" s="176"/>
      <c r="P168" s="176"/>
      <c r="Q168" s="176"/>
      <c r="R168" s="176"/>
      <c r="S168" s="176"/>
      <c r="T168" s="176"/>
      <c r="U168" s="176"/>
      <c r="V168" s="176"/>
      <c r="W168" s="176"/>
      <c r="X168" s="176"/>
      <c r="Y168" s="176"/>
      <c r="Z168" s="176"/>
    </row>
    <row r="169">
      <c r="A169" s="226" t="s">
        <v>207</v>
      </c>
      <c r="B169" s="226" t="s">
        <v>18</v>
      </c>
      <c r="C169" s="250" t="s">
        <v>3891</v>
      </c>
      <c r="D169" s="268" t="s">
        <v>495</v>
      </c>
      <c r="E169" s="251">
        <v>44123.0</v>
      </c>
      <c r="F169" s="250" t="s">
        <v>499</v>
      </c>
      <c r="G169" s="403">
        <v>4.0</v>
      </c>
      <c r="H169" s="403">
        <v>0.0</v>
      </c>
      <c r="I169" s="403">
        <v>0.0</v>
      </c>
      <c r="J169" s="391">
        <f t="shared" si="2"/>
        <v>0</v>
      </c>
      <c r="K169" s="392">
        <f t="shared" si="3"/>
        <v>0</v>
      </c>
      <c r="L169" s="327">
        <f t="shared" si="4"/>
        <v>0</v>
      </c>
      <c r="M169" s="321" t="str">
        <f t="shared" si="5"/>
        <v>edendh</v>
      </c>
      <c r="N169" s="176">
        <f>IFERROR(__xludf.DUMMYFUNCTION("""COMPUTED_VALUE"""),1.0)</f>
        <v>1</v>
      </c>
      <c r="O169" s="176"/>
      <c r="P169" s="176"/>
      <c r="Q169" s="176"/>
      <c r="R169" s="176"/>
      <c r="S169" s="176"/>
      <c r="T169" s="176"/>
      <c r="U169" s="176"/>
      <c r="V169" s="176"/>
      <c r="W169" s="176"/>
      <c r="X169" s="176"/>
      <c r="Y169" s="176"/>
      <c r="Z169" s="176"/>
    </row>
    <row r="170">
      <c r="A170" s="226" t="s">
        <v>3896</v>
      </c>
      <c r="B170" s="226" t="s">
        <v>18</v>
      </c>
      <c r="C170" s="250" t="s">
        <v>3891</v>
      </c>
      <c r="D170" s="268" t="s">
        <v>495</v>
      </c>
      <c r="E170" s="251">
        <v>44123.0</v>
      </c>
      <c r="F170" s="250" t="s">
        <v>499</v>
      </c>
      <c r="G170" s="403">
        <v>4.0</v>
      </c>
      <c r="H170" s="403">
        <v>0.0</v>
      </c>
      <c r="I170" s="403">
        <v>0.0</v>
      </c>
      <c r="J170" s="391">
        <f t="shared" si="2"/>
        <v>0</v>
      </c>
      <c r="K170" s="392">
        <f t="shared" si="3"/>
        <v>0</v>
      </c>
      <c r="L170" s="327">
        <f t="shared" si="4"/>
        <v>0</v>
      </c>
      <c r="M170" s="321" t="str">
        <f t="shared" si="5"/>
        <v>emilianobonassi</v>
      </c>
      <c r="N170" s="176">
        <f>IFERROR(__xludf.DUMMYFUNCTION("""COMPUTED_VALUE"""),1.0)</f>
        <v>1</v>
      </c>
      <c r="O170" s="176"/>
      <c r="P170" s="176"/>
      <c r="Q170" s="176"/>
      <c r="R170" s="176"/>
      <c r="S170" s="176"/>
      <c r="T170" s="176"/>
      <c r="U170" s="176"/>
      <c r="V170" s="176"/>
      <c r="W170" s="176"/>
      <c r="X170" s="176"/>
      <c r="Y170" s="176"/>
      <c r="Z170" s="176"/>
    </row>
    <row r="171">
      <c r="A171" s="226" t="s">
        <v>374</v>
      </c>
      <c r="B171" s="226" t="s">
        <v>18</v>
      </c>
      <c r="C171" s="250" t="s">
        <v>3891</v>
      </c>
      <c r="D171" s="268" t="s">
        <v>495</v>
      </c>
      <c r="E171" s="251">
        <v>44123.0</v>
      </c>
      <c r="F171" s="250" t="s">
        <v>499</v>
      </c>
      <c r="G171" s="403">
        <v>4.0</v>
      </c>
      <c r="H171" s="403">
        <v>0.0</v>
      </c>
      <c r="I171" s="403">
        <v>0.0</v>
      </c>
      <c r="J171" s="391">
        <f t="shared" si="2"/>
        <v>0</v>
      </c>
      <c r="K171" s="392">
        <f t="shared" si="3"/>
        <v>0</v>
      </c>
      <c r="L171" s="327">
        <f t="shared" si="4"/>
        <v>0</v>
      </c>
      <c r="M171" s="321" t="str">
        <f t="shared" si="5"/>
        <v>ethicraul</v>
      </c>
      <c r="N171" s="176">
        <f>IFERROR(__xludf.DUMMYFUNCTION("""COMPUTED_VALUE"""),1.0)</f>
        <v>1</v>
      </c>
      <c r="O171" s="176"/>
      <c r="P171" s="176"/>
      <c r="Q171" s="176"/>
      <c r="R171" s="176"/>
      <c r="S171" s="176"/>
      <c r="T171" s="176"/>
      <c r="U171" s="176"/>
      <c r="V171" s="176"/>
      <c r="W171" s="176"/>
      <c r="X171" s="176"/>
      <c r="Y171" s="176"/>
      <c r="Z171" s="176"/>
    </row>
    <row r="172">
      <c r="A172" s="226" t="s">
        <v>175</v>
      </c>
      <c r="B172" s="226" t="s">
        <v>18</v>
      </c>
      <c r="C172" s="250" t="s">
        <v>3891</v>
      </c>
      <c r="D172" s="268" t="s">
        <v>495</v>
      </c>
      <c r="E172" s="251">
        <v>44123.0</v>
      </c>
      <c r="F172" s="250" t="s">
        <v>499</v>
      </c>
      <c r="G172" s="403">
        <v>4.0</v>
      </c>
      <c r="H172" s="403">
        <v>0.0</v>
      </c>
      <c r="I172" s="403">
        <v>0.0</v>
      </c>
      <c r="J172" s="391">
        <f t="shared" si="2"/>
        <v>0</v>
      </c>
      <c r="K172" s="392">
        <f t="shared" si="3"/>
        <v>0</v>
      </c>
      <c r="L172" s="327">
        <f t="shared" si="4"/>
        <v>0</v>
      </c>
      <c r="M172" s="321" t="str">
        <f t="shared" si="5"/>
        <v>exiledsurfer</v>
      </c>
      <c r="N172" s="176">
        <f>IFERROR(__xludf.DUMMYFUNCTION("""COMPUTED_VALUE"""),1.0)</f>
        <v>1</v>
      </c>
      <c r="O172" s="176"/>
      <c r="P172" s="176"/>
      <c r="Q172" s="176"/>
      <c r="R172" s="176"/>
      <c r="S172" s="176"/>
      <c r="T172" s="176"/>
      <c r="U172" s="176"/>
      <c r="V172" s="176"/>
      <c r="W172" s="176"/>
      <c r="X172" s="176"/>
      <c r="Y172" s="176"/>
      <c r="Z172" s="176"/>
    </row>
    <row r="173">
      <c r="A173" s="226" t="s">
        <v>114</v>
      </c>
      <c r="B173" s="226" t="s">
        <v>18</v>
      </c>
      <c r="C173" s="250" t="s">
        <v>3891</v>
      </c>
      <c r="D173" s="268" t="s">
        <v>495</v>
      </c>
      <c r="E173" s="251">
        <v>44123.0</v>
      </c>
      <c r="F173" s="250" t="s">
        <v>499</v>
      </c>
      <c r="G173" s="403">
        <v>4.0</v>
      </c>
      <c r="H173" s="403">
        <v>0.0</v>
      </c>
      <c r="I173" s="403">
        <v>0.0</v>
      </c>
      <c r="J173" s="391">
        <f t="shared" si="2"/>
        <v>0</v>
      </c>
      <c r="K173" s="392">
        <f t="shared" si="3"/>
        <v>0</v>
      </c>
      <c r="L173" s="327">
        <f t="shared" si="4"/>
        <v>0</v>
      </c>
      <c r="M173" s="321" t="str">
        <f t="shared" si="5"/>
        <v>existenialstoic</v>
      </c>
      <c r="N173" s="176">
        <f>IFERROR(__xludf.DUMMYFUNCTION("""COMPUTED_VALUE"""),1.0)</f>
        <v>1</v>
      </c>
      <c r="O173" s="176"/>
      <c r="P173" s="176"/>
      <c r="Q173" s="176"/>
      <c r="R173" s="176"/>
      <c r="S173" s="176"/>
      <c r="T173" s="176"/>
      <c r="U173" s="176"/>
      <c r="V173" s="176"/>
      <c r="W173" s="176"/>
      <c r="X173" s="176"/>
      <c r="Y173" s="176"/>
      <c r="Z173" s="176"/>
    </row>
    <row r="174">
      <c r="A174" s="226" t="s">
        <v>232</v>
      </c>
      <c r="B174" s="226" t="s">
        <v>18</v>
      </c>
      <c r="C174" s="250" t="s">
        <v>3891</v>
      </c>
      <c r="D174" s="268" t="s">
        <v>495</v>
      </c>
      <c r="E174" s="251">
        <v>44123.0</v>
      </c>
      <c r="F174" s="250" t="s">
        <v>499</v>
      </c>
      <c r="G174" s="403">
        <v>4.0</v>
      </c>
      <c r="H174" s="403">
        <v>0.0</v>
      </c>
      <c r="I174" s="403">
        <v>0.0</v>
      </c>
      <c r="J174" s="391">
        <f t="shared" si="2"/>
        <v>0</v>
      </c>
      <c r="K174" s="392">
        <f t="shared" si="3"/>
        <v>0</v>
      </c>
      <c r="L174" s="327">
        <f t="shared" si="4"/>
        <v>0</v>
      </c>
      <c r="M174" s="321" t="str">
        <f t="shared" si="5"/>
        <v>ferdinandrg</v>
      </c>
      <c r="N174" s="176">
        <f>IFERROR(__xludf.DUMMYFUNCTION("""COMPUTED_VALUE"""),1.0)</f>
        <v>1</v>
      </c>
      <c r="O174" s="176"/>
      <c r="P174" s="176"/>
      <c r="Q174" s="176"/>
      <c r="R174" s="176"/>
      <c r="S174" s="176"/>
      <c r="T174" s="176"/>
      <c r="U174" s="176"/>
      <c r="V174" s="176"/>
      <c r="W174" s="176"/>
      <c r="X174" s="176"/>
      <c r="Y174" s="176"/>
      <c r="Z174" s="176"/>
    </row>
    <row r="175">
      <c r="A175" s="226" t="s">
        <v>3897</v>
      </c>
      <c r="B175" s="226" t="s">
        <v>18</v>
      </c>
      <c r="C175" s="250" t="s">
        <v>3898</v>
      </c>
      <c r="D175" s="268" t="s">
        <v>495</v>
      </c>
      <c r="E175" s="251">
        <v>44123.0</v>
      </c>
      <c r="F175" s="250" t="s">
        <v>499</v>
      </c>
      <c r="G175" s="403">
        <v>4.0</v>
      </c>
      <c r="H175" s="403">
        <v>0.0</v>
      </c>
      <c r="I175" s="403">
        <v>0.0</v>
      </c>
      <c r="J175" s="391">
        <f t="shared" si="2"/>
        <v>0</v>
      </c>
      <c r="K175" s="392">
        <f t="shared" si="3"/>
        <v>0</v>
      </c>
      <c r="L175" s="327">
        <f t="shared" si="4"/>
        <v>0</v>
      </c>
      <c r="M175" s="321" t="str">
        <f t="shared" si="5"/>
        <v>gotstmiklos</v>
      </c>
      <c r="N175" s="176">
        <f>IFERROR(__xludf.DUMMYFUNCTION("""COMPUTED_VALUE"""),1.0)</f>
        <v>1</v>
      </c>
      <c r="O175" s="176"/>
      <c r="P175" s="176"/>
      <c r="Q175" s="176"/>
      <c r="R175" s="176"/>
      <c r="S175" s="176"/>
      <c r="T175" s="176"/>
      <c r="U175" s="176"/>
      <c r="V175" s="176"/>
      <c r="W175" s="176"/>
      <c r="X175" s="176"/>
      <c r="Y175" s="176"/>
      <c r="Z175" s="176"/>
    </row>
    <row r="176">
      <c r="A176" s="226" t="s">
        <v>212</v>
      </c>
      <c r="B176" s="226" t="s">
        <v>18</v>
      </c>
      <c r="C176" s="250" t="s">
        <v>3891</v>
      </c>
      <c r="D176" s="268" t="s">
        <v>495</v>
      </c>
      <c r="E176" s="251">
        <v>44123.0</v>
      </c>
      <c r="F176" s="250" t="s">
        <v>499</v>
      </c>
      <c r="G176" s="403">
        <v>4.0</v>
      </c>
      <c r="H176" s="403">
        <v>0.0</v>
      </c>
      <c r="I176" s="403">
        <v>0.0</v>
      </c>
      <c r="J176" s="391">
        <f t="shared" si="2"/>
        <v>0</v>
      </c>
      <c r="K176" s="392">
        <f t="shared" si="3"/>
        <v>0</v>
      </c>
      <c r="L176" s="327">
        <f t="shared" si="4"/>
        <v>0</v>
      </c>
      <c r="M176" s="321" t="str">
        <f t="shared" si="5"/>
        <v>ivanthinking</v>
      </c>
      <c r="N176" s="176">
        <f>IFERROR(__xludf.DUMMYFUNCTION("""COMPUTED_VALUE"""),1.0)</f>
        <v>1</v>
      </c>
      <c r="O176" s="176"/>
      <c r="P176" s="176"/>
      <c r="Q176" s="176"/>
      <c r="R176" s="176"/>
      <c r="S176" s="176"/>
      <c r="T176" s="176"/>
      <c r="U176" s="176"/>
      <c r="V176" s="176"/>
      <c r="W176" s="176"/>
      <c r="X176" s="176"/>
      <c r="Y176" s="176"/>
      <c r="Z176" s="176"/>
    </row>
    <row r="177">
      <c r="A177" s="226" t="s">
        <v>343</v>
      </c>
      <c r="B177" s="226" t="s">
        <v>18</v>
      </c>
      <c r="C177" s="250" t="s">
        <v>3891</v>
      </c>
      <c r="D177" s="268" t="s">
        <v>495</v>
      </c>
      <c r="E177" s="251">
        <v>44123.0</v>
      </c>
      <c r="F177" s="250" t="s">
        <v>499</v>
      </c>
      <c r="G177" s="403">
        <v>4.0</v>
      </c>
      <c r="H177" s="403">
        <v>0.0</v>
      </c>
      <c r="I177" s="403">
        <v>0.0</v>
      </c>
      <c r="J177" s="391">
        <f t="shared" si="2"/>
        <v>0</v>
      </c>
      <c r="K177" s="392">
        <f t="shared" si="3"/>
        <v>0</v>
      </c>
      <c r="L177" s="327">
        <f t="shared" si="4"/>
        <v>0</v>
      </c>
      <c r="M177" s="321" t="str">
        <f t="shared" si="5"/>
        <v>jamiepitts</v>
      </c>
      <c r="N177" s="176">
        <f>IFERROR(__xludf.DUMMYFUNCTION("""COMPUTED_VALUE"""),1.0)</f>
        <v>1</v>
      </c>
      <c r="O177" s="176"/>
      <c r="P177" s="176"/>
      <c r="Q177" s="176"/>
      <c r="R177" s="176"/>
      <c r="S177" s="176"/>
      <c r="T177" s="176"/>
      <c r="U177" s="176"/>
      <c r="V177" s="176"/>
      <c r="W177" s="176"/>
      <c r="X177" s="176"/>
      <c r="Y177" s="176"/>
      <c r="Z177" s="176"/>
    </row>
    <row r="178">
      <c r="A178" s="226" t="s">
        <v>3899</v>
      </c>
      <c r="B178" s="226" t="s">
        <v>18</v>
      </c>
      <c r="C178" s="250" t="s">
        <v>3891</v>
      </c>
      <c r="D178" s="268" t="s">
        <v>495</v>
      </c>
      <c r="E178" s="251">
        <v>44123.0</v>
      </c>
      <c r="F178" s="250" t="s">
        <v>499</v>
      </c>
      <c r="G178" s="403">
        <v>4.0</v>
      </c>
      <c r="H178" s="403">
        <v>0.0</v>
      </c>
      <c r="I178" s="403">
        <v>0.0</v>
      </c>
      <c r="J178" s="391">
        <f t="shared" si="2"/>
        <v>0</v>
      </c>
      <c r="K178" s="392">
        <f t="shared" si="3"/>
        <v>0</v>
      </c>
      <c r="L178" s="327">
        <f t="shared" si="4"/>
        <v>0</v>
      </c>
      <c r="M178" s="321" t="str">
        <f t="shared" si="5"/>
        <v>julian_richter</v>
      </c>
      <c r="N178" s="176">
        <f>IFERROR(__xludf.DUMMYFUNCTION("""COMPUTED_VALUE"""),1.0)</f>
        <v>1</v>
      </c>
      <c r="O178" s="176"/>
      <c r="P178" s="176"/>
      <c r="Q178" s="176"/>
      <c r="R178" s="176"/>
      <c r="S178" s="176"/>
      <c r="T178" s="176"/>
      <c r="U178" s="176"/>
      <c r="V178" s="176"/>
      <c r="W178" s="176"/>
      <c r="X178" s="176"/>
      <c r="Y178" s="176"/>
      <c r="Z178" s="176"/>
    </row>
    <row r="179">
      <c r="A179" s="226" t="s">
        <v>77</v>
      </c>
      <c r="B179" s="226" t="s">
        <v>18</v>
      </c>
      <c r="C179" s="250" t="s">
        <v>3891</v>
      </c>
      <c r="D179" s="268" t="s">
        <v>495</v>
      </c>
      <c r="E179" s="251">
        <v>44123.0</v>
      </c>
      <c r="F179" s="250" t="s">
        <v>499</v>
      </c>
      <c r="G179" s="403">
        <v>4.0</v>
      </c>
      <c r="H179" s="403">
        <v>0.0</v>
      </c>
      <c r="I179" s="403">
        <v>0.0</v>
      </c>
      <c r="J179" s="391">
        <f t="shared" si="2"/>
        <v>0</v>
      </c>
      <c r="K179" s="392">
        <f t="shared" si="3"/>
        <v>0</v>
      </c>
      <c r="L179" s="327">
        <f t="shared" si="4"/>
        <v>0</v>
      </c>
      <c r="M179" s="321" t="str">
        <f t="shared" si="5"/>
        <v>krrisis</v>
      </c>
      <c r="N179" s="176">
        <f>IFERROR(__xludf.DUMMYFUNCTION("""COMPUTED_VALUE"""),1.0)</f>
        <v>1</v>
      </c>
      <c r="O179" s="176"/>
      <c r="P179" s="176"/>
      <c r="Q179" s="176"/>
      <c r="R179" s="176"/>
      <c r="S179" s="176"/>
      <c r="T179" s="176"/>
      <c r="U179" s="176"/>
      <c r="V179" s="176"/>
      <c r="W179" s="176"/>
      <c r="X179" s="176"/>
      <c r="Y179" s="176"/>
      <c r="Z179" s="176"/>
    </row>
    <row r="180">
      <c r="A180" s="226" t="s">
        <v>86</v>
      </c>
      <c r="B180" s="226" t="s">
        <v>18</v>
      </c>
      <c r="C180" s="250" t="s">
        <v>3891</v>
      </c>
      <c r="D180" s="268" t="s">
        <v>495</v>
      </c>
      <c r="E180" s="251">
        <v>44123.0</v>
      </c>
      <c r="F180" s="250" t="s">
        <v>499</v>
      </c>
      <c r="G180" s="403">
        <v>4.0</v>
      </c>
      <c r="H180" s="403">
        <v>0.0</v>
      </c>
      <c r="I180" s="403">
        <v>0.0</v>
      </c>
      <c r="J180" s="391">
        <f t="shared" si="2"/>
        <v>0</v>
      </c>
      <c r="K180" s="392">
        <f t="shared" si="3"/>
        <v>0</v>
      </c>
      <c r="L180" s="327">
        <f t="shared" si="4"/>
        <v>0</v>
      </c>
      <c r="M180" s="321" t="str">
        <f t="shared" si="5"/>
        <v>misterboyfriend</v>
      </c>
      <c r="N180" s="176">
        <f>IFERROR(__xludf.DUMMYFUNCTION("""COMPUTED_VALUE"""),1.0)</f>
        <v>1</v>
      </c>
      <c r="O180" s="176"/>
      <c r="P180" s="176"/>
      <c r="Q180" s="176"/>
      <c r="R180" s="176"/>
      <c r="S180" s="176"/>
      <c r="T180" s="176"/>
      <c r="U180" s="176"/>
      <c r="V180" s="176"/>
      <c r="W180" s="176"/>
      <c r="X180" s="176"/>
      <c r="Y180" s="176"/>
      <c r="Z180" s="176"/>
    </row>
    <row r="181">
      <c r="A181" s="226" t="s">
        <v>154</v>
      </c>
      <c r="B181" s="226" t="s">
        <v>18</v>
      </c>
      <c r="C181" s="250" t="s">
        <v>3891</v>
      </c>
      <c r="D181" s="268" t="s">
        <v>495</v>
      </c>
      <c r="E181" s="251">
        <v>44123.0</v>
      </c>
      <c r="F181" s="250" t="s">
        <v>499</v>
      </c>
      <c r="G181" s="403">
        <v>4.0</v>
      </c>
      <c r="H181" s="403">
        <v>0.0</v>
      </c>
      <c r="I181" s="403">
        <v>0.0</v>
      </c>
      <c r="J181" s="391">
        <f t="shared" si="2"/>
        <v>0</v>
      </c>
      <c r="K181" s="392">
        <f t="shared" si="3"/>
        <v>0</v>
      </c>
      <c r="L181" s="327">
        <f t="shared" si="4"/>
        <v>0</v>
      </c>
      <c r="M181" s="321" t="str">
        <f t="shared" si="5"/>
        <v>morgangr</v>
      </c>
      <c r="N181" s="176">
        <f>IFERROR(__xludf.DUMMYFUNCTION("""COMPUTED_VALUE"""),1.0)</f>
        <v>1</v>
      </c>
      <c r="O181" s="176"/>
      <c r="P181" s="176"/>
      <c r="Q181" s="176"/>
      <c r="R181" s="176"/>
      <c r="S181" s="176"/>
      <c r="T181" s="176"/>
      <c r="U181" s="176"/>
      <c r="V181" s="176"/>
      <c r="W181" s="176"/>
      <c r="X181" s="176"/>
      <c r="Y181" s="176"/>
      <c r="Z181" s="176"/>
    </row>
    <row r="182">
      <c r="A182" s="226" t="s">
        <v>19</v>
      </c>
      <c r="B182" s="226" t="s">
        <v>18</v>
      </c>
      <c r="C182" s="250" t="s">
        <v>3891</v>
      </c>
      <c r="D182" s="268" t="s">
        <v>495</v>
      </c>
      <c r="E182" s="251">
        <v>44123.0</v>
      </c>
      <c r="F182" s="250" t="s">
        <v>499</v>
      </c>
      <c r="G182" s="403">
        <v>4.0</v>
      </c>
      <c r="H182" s="403">
        <v>0.0</v>
      </c>
      <c r="I182" s="403">
        <v>0.0</v>
      </c>
      <c r="J182" s="391">
        <f t="shared" si="2"/>
        <v>0</v>
      </c>
      <c r="K182" s="392">
        <f t="shared" si="3"/>
        <v>0</v>
      </c>
      <c r="L182" s="327">
        <f t="shared" si="4"/>
        <v>0</v>
      </c>
      <c r="M182" s="321" t="str">
        <f t="shared" si="5"/>
        <v>mzargham</v>
      </c>
      <c r="N182" s="176">
        <f>IFERROR(__xludf.DUMMYFUNCTION("""COMPUTED_VALUE"""),1.0)</f>
        <v>1</v>
      </c>
      <c r="O182" s="176"/>
      <c r="P182" s="176"/>
      <c r="Q182" s="176"/>
      <c r="R182" s="176"/>
      <c r="S182" s="176"/>
      <c r="T182" s="176"/>
      <c r="U182" s="176"/>
      <c r="V182" s="176"/>
      <c r="W182" s="176"/>
      <c r="X182" s="176"/>
      <c r="Y182" s="176"/>
      <c r="Z182" s="176"/>
    </row>
    <row r="183">
      <c r="A183" s="226" t="s">
        <v>137</v>
      </c>
      <c r="B183" s="226" t="s">
        <v>18</v>
      </c>
      <c r="C183" s="250" t="s">
        <v>3891</v>
      </c>
      <c r="D183" s="268" t="s">
        <v>495</v>
      </c>
      <c r="E183" s="251">
        <v>44123.0</v>
      </c>
      <c r="F183" s="250" t="s">
        <v>499</v>
      </c>
      <c r="G183" s="403">
        <v>4.0</v>
      </c>
      <c r="H183" s="403">
        <v>0.0</v>
      </c>
      <c r="I183" s="403">
        <v>0.0</v>
      </c>
      <c r="J183" s="391">
        <f t="shared" si="2"/>
        <v>0</v>
      </c>
      <c r="K183" s="392">
        <f t="shared" si="3"/>
        <v>0</v>
      </c>
      <c r="L183" s="327">
        <f t="shared" si="4"/>
        <v>0</v>
      </c>
      <c r="M183" s="321" t="str">
        <f t="shared" si="5"/>
        <v>nelsonm</v>
      </c>
      <c r="N183" s="176">
        <f>IFERROR(__xludf.DUMMYFUNCTION("""COMPUTED_VALUE"""),1.0)</f>
        <v>1</v>
      </c>
      <c r="O183" s="176"/>
      <c r="P183" s="176"/>
      <c r="Q183" s="176"/>
      <c r="R183" s="176"/>
      <c r="S183" s="176"/>
      <c r="T183" s="176"/>
      <c r="U183" s="176"/>
      <c r="V183" s="176"/>
      <c r="W183" s="176"/>
      <c r="X183" s="176"/>
      <c r="Y183" s="176"/>
      <c r="Z183" s="176"/>
    </row>
    <row r="184">
      <c r="A184" s="226" t="s">
        <v>60</v>
      </c>
      <c r="B184" s="226" t="s">
        <v>18</v>
      </c>
      <c r="C184" s="250" t="s">
        <v>3891</v>
      </c>
      <c r="D184" s="268" t="s">
        <v>495</v>
      </c>
      <c r="E184" s="251">
        <v>44123.0</v>
      </c>
      <c r="F184" s="250" t="s">
        <v>499</v>
      </c>
      <c r="G184" s="403">
        <v>4.0</v>
      </c>
      <c r="H184" s="403">
        <v>0.0</v>
      </c>
      <c r="I184" s="403">
        <v>0.0</v>
      </c>
      <c r="J184" s="391">
        <f t="shared" si="2"/>
        <v>0</v>
      </c>
      <c r="K184" s="392">
        <f t="shared" si="3"/>
        <v>0</v>
      </c>
      <c r="L184" s="327">
        <f t="shared" si="4"/>
        <v>0</v>
      </c>
      <c r="M184" s="321" t="str">
        <f t="shared" si="5"/>
        <v>niranb</v>
      </c>
      <c r="N184" s="176">
        <f>IFERROR(__xludf.DUMMYFUNCTION("""COMPUTED_VALUE"""),2.0)</f>
        <v>2</v>
      </c>
      <c r="O184" s="176"/>
      <c r="P184" s="176"/>
      <c r="Q184" s="176"/>
      <c r="R184" s="176"/>
      <c r="S184" s="176"/>
      <c r="T184" s="176"/>
      <c r="U184" s="176"/>
      <c r="V184" s="176"/>
      <c r="W184" s="176"/>
      <c r="X184" s="176"/>
      <c r="Y184" s="176"/>
      <c r="Z184" s="176"/>
    </row>
    <row r="185">
      <c r="A185" s="226" t="s">
        <v>236</v>
      </c>
      <c r="B185" s="226" t="s">
        <v>18</v>
      </c>
      <c r="C185" s="250" t="s">
        <v>3891</v>
      </c>
      <c r="D185" s="268" t="s">
        <v>495</v>
      </c>
      <c r="E185" s="251">
        <v>44123.0</v>
      </c>
      <c r="F185" s="250" t="s">
        <v>499</v>
      </c>
      <c r="G185" s="403">
        <v>4.0</v>
      </c>
      <c r="H185" s="403">
        <v>0.0</v>
      </c>
      <c r="I185" s="403">
        <v>0.0</v>
      </c>
      <c r="J185" s="391">
        <f t="shared" si="2"/>
        <v>0</v>
      </c>
      <c r="K185" s="392">
        <f t="shared" si="3"/>
        <v>0</v>
      </c>
      <c r="L185" s="327">
        <f t="shared" si="4"/>
        <v>0</v>
      </c>
      <c r="M185" s="321" t="str">
        <f t="shared" si="5"/>
        <v>ontologymachine</v>
      </c>
      <c r="N185" s="176">
        <f>IFERROR(__xludf.DUMMYFUNCTION("""COMPUTED_VALUE"""),1.0)</f>
        <v>1</v>
      </c>
      <c r="O185" s="176"/>
      <c r="P185" s="176"/>
      <c r="Q185" s="176"/>
      <c r="R185" s="176"/>
      <c r="S185" s="176"/>
      <c r="T185" s="176"/>
      <c r="U185" s="176"/>
      <c r="V185" s="176"/>
      <c r="W185" s="176"/>
      <c r="X185" s="176"/>
      <c r="Y185" s="176"/>
      <c r="Z185" s="176"/>
    </row>
    <row r="186">
      <c r="A186" s="226" t="s">
        <v>138</v>
      </c>
      <c r="B186" s="226" t="s">
        <v>18</v>
      </c>
      <c r="C186" s="250" t="s">
        <v>3891</v>
      </c>
      <c r="D186" s="268" t="s">
        <v>495</v>
      </c>
      <c r="E186" s="251">
        <v>44123.0</v>
      </c>
      <c r="F186" s="250" t="s">
        <v>499</v>
      </c>
      <c r="G186" s="403">
        <v>4.0</v>
      </c>
      <c r="H186" s="403">
        <v>0.0</v>
      </c>
      <c r="I186" s="403">
        <v>0.0</v>
      </c>
      <c r="J186" s="391">
        <f t="shared" si="2"/>
        <v>0</v>
      </c>
      <c r="K186" s="392">
        <f t="shared" si="3"/>
        <v>0</v>
      </c>
      <c r="L186" s="327">
        <f t="shared" si="4"/>
        <v>0</v>
      </c>
      <c r="M186" s="321" t="str">
        <f t="shared" si="5"/>
        <v>petheth</v>
      </c>
      <c r="N186" s="176">
        <f>IFERROR(__xludf.DUMMYFUNCTION("""COMPUTED_VALUE"""),1.0)</f>
        <v>1</v>
      </c>
      <c r="O186" s="176"/>
      <c r="P186" s="176"/>
      <c r="Q186" s="176"/>
      <c r="R186" s="176"/>
      <c r="S186" s="176"/>
      <c r="T186" s="176"/>
      <c r="U186" s="176"/>
      <c r="V186" s="176"/>
      <c r="W186" s="176"/>
      <c r="X186" s="176"/>
      <c r="Y186" s="176"/>
      <c r="Z186" s="176"/>
    </row>
    <row r="187">
      <c r="A187" s="226" t="s">
        <v>143</v>
      </c>
      <c r="B187" s="226" t="s">
        <v>18</v>
      </c>
      <c r="C187" s="250" t="s">
        <v>3891</v>
      </c>
      <c r="D187" s="268" t="s">
        <v>495</v>
      </c>
      <c r="E187" s="251">
        <v>44123.0</v>
      </c>
      <c r="F187" s="250" t="s">
        <v>499</v>
      </c>
      <c r="G187" s="403">
        <v>4.0</v>
      </c>
      <c r="H187" s="403">
        <v>0.0</v>
      </c>
      <c r="I187" s="403">
        <v>0.0</v>
      </c>
      <c r="J187" s="391">
        <f t="shared" si="2"/>
        <v>0</v>
      </c>
      <c r="K187" s="392">
        <f t="shared" si="3"/>
        <v>0</v>
      </c>
      <c r="L187" s="327">
        <f t="shared" si="4"/>
        <v>0</v>
      </c>
      <c r="M187" s="321" t="str">
        <f t="shared" si="5"/>
        <v>rpp63</v>
      </c>
      <c r="N187" s="176">
        <f>IFERROR(__xludf.DUMMYFUNCTION("""COMPUTED_VALUE"""),1.0)</f>
        <v>1</v>
      </c>
      <c r="O187" s="176"/>
      <c r="P187" s="176"/>
      <c r="Q187" s="176"/>
      <c r="R187" s="176"/>
      <c r="S187" s="176"/>
      <c r="T187" s="176"/>
      <c r="U187" s="176"/>
      <c r="V187" s="176"/>
      <c r="W187" s="176"/>
      <c r="X187" s="176"/>
      <c r="Y187" s="176"/>
      <c r="Z187" s="176"/>
    </row>
    <row r="188">
      <c r="A188" s="226" t="s">
        <v>372</v>
      </c>
      <c r="B188" s="226" t="s">
        <v>18</v>
      </c>
      <c r="C188" s="250" t="s">
        <v>3891</v>
      </c>
      <c r="D188" s="268" t="s">
        <v>495</v>
      </c>
      <c r="E188" s="251">
        <v>44123.0</v>
      </c>
      <c r="F188" s="250" t="s">
        <v>499</v>
      </c>
      <c r="G188" s="403">
        <v>4.0</v>
      </c>
      <c r="H188" s="403">
        <v>0.0</v>
      </c>
      <c r="I188" s="403">
        <v>0.0</v>
      </c>
      <c r="J188" s="391">
        <f t="shared" si="2"/>
        <v>0</v>
      </c>
      <c r="K188" s="392">
        <f t="shared" si="3"/>
        <v>0</v>
      </c>
      <c r="L188" s="327">
        <f t="shared" si="4"/>
        <v>0</v>
      </c>
      <c r="M188" s="321" t="str">
        <f t="shared" si="5"/>
        <v>scupytrooples</v>
      </c>
      <c r="N188" s="176">
        <f>IFERROR(__xludf.DUMMYFUNCTION("""COMPUTED_VALUE"""),1.0)</f>
        <v>1</v>
      </c>
      <c r="O188" s="176"/>
      <c r="P188" s="176"/>
      <c r="Q188" s="176"/>
      <c r="R188" s="176"/>
      <c r="S188" s="176"/>
      <c r="T188" s="176"/>
      <c r="U188" s="176"/>
      <c r="V188" s="176"/>
      <c r="W188" s="176"/>
      <c r="X188" s="176"/>
      <c r="Y188" s="176"/>
      <c r="Z188" s="176"/>
    </row>
    <row r="189">
      <c r="A189" s="226" t="s">
        <v>119</v>
      </c>
      <c r="B189" s="226" t="s">
        <v>18</v>
      </c>
      <c r="C189" s="250" t="s">
        <v>3891</v>
      </c>
      <c r="D189" s="268" t="s">
        <v>495</v>
      </c>
      <c r="E189" s="251">
        <v>44123.0</v>
      </c>
      <c r="F189" s="250" t="s">
        <v>499</v>
      </c>
      <c r="G189" s="403">
        <v>4.0</v>
      </c>
      <c r="H189" s="403">
        <v>0.0</v>
      </c>
      <c r="I189" s="403">
        <v>0.0</v>
      </c>
      <c r="J189" s="391">
        <f t="shared" si="2"/>
        <v>0</v>
      </c>
      <c r="K189" s="392">
        <f t="shared" si="3"/>
        <v>0</v>
      </c>
      <c r="L189" s="327">
        <f t="shared" si="4"/>
        <v>0</v>
      </c>
      <c r="M189" s="321" t="str">
        <f t="shared" si="5"/>
        <v>sergei_tran</v>
      </c>
      <c r="N189" s="176">
        <f>IFERROR(__xludf.DUMMYFUNCTION("""COMPUTED_VALUE"""),1.0)</f>
        <v>1</v>
      </c>
      <c r="O189" s="176"/>
      <c r="P189" s="176"/>
      <c r="Q189" s="176"/>
      <c r="R189" s="176"/>
      <c r="S189" s="176"/>
      <c r="T189" s="176"/>
      <c r="U189" s="176"/>
      <c r="V189" s="176"/>
      <c r="W189" s="176"/>
      <c r="X189" s="176"/>
      <c r="Y189" s="176"/>
      <c r="Z189" s="176"/>
    </row>
    <row r="190">
      <c r="A190" s="226" t="s">
        <v>37</v>
      </c>
      <c r="B190" s="226" t="s">
        <v>18</v>
      </c>
      <c r="C190" s="250" t="s">
        <v>3891</v>
      </c>
      <c r="D190" s="268" t="s">
        <v>495</v>
      </c>
      <c r="E190" s="251">
        <v>44123.0</v>
      </c>
      <c r="F190" s="250" t="s">
        <v>499</v>
      </c>
      <c r="G190" s="403">
        <v>4.0</v>
      </c>
      <c r="H190" s="403">
        <v>0.0</v>
      </c>
      <c r="I190" s="403">
        <v>0.0</v>
      </c>
      <c r="J190" s="391">
        <f t="shared" si="2"/>
        <v>0</v>
      </c>
      <c r="K190" s="392">
        <f t="shared" si="3"/>
        <v>0</v>
      </c>
      <c r="L190" s="327">
        <f t="shared" si="4"/>
        <v>0</v>
      </c>
      <c r="M190" s="321" t="str">
        <f t="shared" si="5"/>
        <v>simondlr</v>
      </c>
      <c r="N190" s="176">
        <f>IFERROR(__xludf.DUMMYFUNCTION("""COMPUTED_VALUE"""),1.0)</f>
        <v>1</v>
      </c>
      <c r="O190" s="176"/>
      <c r="P190" s="176"/>
      <c r="Q190" s="176"/>
      <c r="R190" s="176"/>
      <c r="S190" s="176"/>
      <c r="T190" s="176"/>
      <c r="U190" s="176"/>
      <c r="V190" s="176"/>
      <c r="W190" s="176"/>
      <c r="X190" s="176"/>
      <c r="Y190" s="176"/>
      <c r="Z190" s="176"/>
    </row>
    <row r="191">
      <c r="A191" s="226" t="s">
        <v>139</v>
      </c>
      <c r="B191" s="226" t="s">
        <v>18</v>
      </c>
      <c r="C191" s="250" t="s">
        <v>3891</v>
      </c>
      <c r="D191" s="268" t="s">
        <v>495</v>
      </c>
      <c r="E191" s="251">
        <v>44123.0</v>
      </c>
      <c r="F191" s="250" t="s">
        <v>499</v>
      </c>
      <c r="G191" s="403">
        <v>4.0</v>
      </c>
      <c r="H191" s="403">
        <v>0.0</v>
      </c>
      <c r="I191" s="403">
        <v>0.0</v>
      </c>
      <c r="J191" s="391">
        <f t="shared" si="2"/>
        <v>0</v>
      </c>
      <c r="K191" s="392">
        <f t="shared" si="3"/>
        <v>0</v>
      </c>
      <c r="L191" s="327">
        <f t="shared" si="4"/>
        <v>0</v>
      </c>
      <c r="M191" s="321" t="str">
        <f t="shared" si="5"/>
        <v>tjayrush</v>
      </c>
      <c r="N191" s="176">
        <f>IFERROR(__xludf.DUMMYFUNCTION("""COMPUTED_VALUE"""),1.0)</f>
        <v>1</v>
      </c>
      <c r="O191" s="176"/>
      <c r="P191" s="176"/>
      <c r="Q191" s="176"/>
      <c r="R191" s="176"/>
      <c r="S191" s="176"/>
      <c r="T191" s="176"/>
      <c r="U191" s="176"/>
      <c r="V191" s="176"/>
      <c r="W191" s="176"/>
      <c r="X191" s="176"/>
      <c r="Y191" s="176"/>
      <c r="Z191" s="176"/>
    </row>
    <row r="192">
      <c r="A192" s="226" t="s">
        <v>254</v>
      </c>
      <c r="B192" s="226" t="s">
        <v>18</v>
      </c>
      <c r="C192" s="250" t="s">
        <v>3891</v>
      </c>
      <c r="D192" s="268" t="s">
        <v>495</v>
      </c>
      <c r="E192" s="251">
        <v>44123.0</v>
      </c>
      <c r="F192" s="250" t="s">
        <v>499</v>
      </c>
      <c r="G192" s="403">
        <v>4.0</v>
      </c>
      <c r="H192" s="403">
        <v>0.0</v>
      </c>
      <c r="I192" s="403">
        <v>0.0</v>
      </c>
      <c r="J192" s="391">
        <f t="shared" si="2"/>
        <v>0</v>
      </c>
      <c r="K192" s="392">
        <f t="shared" si="3"/>
        <v>0</v>
      </c>
      <c r="L192" s="327">
        <f t="shared" si="4"/>
        <v>0</v>
      </c>
      <c r="M192" s="321" t="str">
        <f t="shared" si="5"/>
        <v>tunoncedemalis</v>
      </c>
      <c r="N192" s="176">
        <f>IFERROR(__xludf.DUMMYFUNCTION("""COMPUTED_VALUE"""),1.0)</f>
        <v>1</v>
      </c>
      <c r="O192" s="176"/>
      <c r="P192" s="176"/>
      <c r="Q192" s="176"/>
      <c r="R192" s="176"/>
      <c r="S192" s="176"/>
      <c r="T192" s="176"/>
      <c r="U192" s="176"/>
      <c r="V192" s="176"/>
      <c r="W192" s="176"/>
      <c r="X192" s="176"/>
      <c r="Y192" s="176"/>
      <c r="Z192" s="176"/>
    </row>
    <row r="193">
      <c r="A193" s="226" t="s">
        <v>200</v>
      </c>
      <c r="B193" s="226" t="s">
        <v>18</v>
      </c>
      <c r="C193" s="250" t="s">
        <v>3891</v>
      </c>
      <c r="D193" s="268" t="s">
        <v>495</v>
      </c>
      <c r="E193" s="251">
        <v>44123.0</v>
      </c>
      <c r="F193" s="250" t="s">
        <v>499</v>
      </c>
      <c r="G193" s="403">
        <v>4.0</v>
      </c>
      <c r="H193" s="403">
        <v>0.0</v>
      </c>
      <c r="I193" s="403">
        <v>0.0</v>
      </c>
      <c r="J193" s="391">
        <f t="shared" si="2"/>
        <v>0</v>
      </c>
      <c r="K193" s="392">
        <f t="shared" si="3"/>
        <v>0</v>
      </c>
      <c r="L193" s="327">
        <f t="shared" si="4"/>
        <v>0</v>
      </c>
      <c r="M193" s="321" t="str">
        <f t="shared" si="5"/>
        <v>tze42</v>
      </c>
      <c r="N193" s="176">
        <f>IFERROR(__xludf.DUMMYFUNCTION("""COMPUTED_VALUE"""),1.0)</f>
        <v>1</v>
      </c>
      <c r="O193" s="176"/>
      <c r="P193" s="176"/>
      <c r="Q193" s="176"/>
      <c r="R193" s="176"/>
      <c r="S193" s="176"/>
      <c r="T193" s="176"/>
      <c r="U193" s="176"/>
      <c r="V193" s="176"/>
      <c r="W193" s="176"/>
      <c r="X193" s="176"/>
      <c r="Y193" s="176"/>
      <c r="Z193" s="176"/>
    </row>
    <row r="194">
      <c r="A194" s="226" t="s">
        <v>131</v>
      </c>
      <c r="B194" s="226" t="s">
        <v>18</v>
      </c>
      <c r="C194" s="250" t="s">
        <v>3891</v>
      </c>
      <c r="D194" s="268" t="s">
        <v>495</v>
      </c>
      <c r="E194" s="251">
        <v>44123.0</v>
      </c>
      <c r="F194" s="250" t="s">
        <v>499</v>
      </c>
      <c r="G194" s="403">
        <v>4.0</v>
      </c>
      <c r="H194" s="403">
        <v>0.0</v>
      </c>
      <c r="I194" s="403">
        <v>0.0</v>
      </c>
      <c r="J194" s="391">
        <f t="shared" si="2"/>
        <v>0</v>
      </c>
      <c r="K194" s="392">
        <f t="shared" si="3"/>
        <v>0</v>
      </c>
      <c r="L194" s="327">
        <f t="shared" si="4"/>
        <v>0</v>
      </c>
      <c r="M194" s="321" t="str">
        <f t="shared" si="5"/>
        <v>unquale</v>
      </c>
      <c r="N194" s="176">
        <f>IFERROR(__xludf.DUMMYFUNCTION("""COMPUTED_VALUE"""),1.0)</f>
        <v>1</v>
      </c>
      <c r="O194" s="176"/>
      <c r="P194" s="176"/>
      <c r="Q194" s="176"/>
      <c r="R194" s="176"/>
      <c r="S194" s="176"/>
      <c r="T194" s="176"/>
      <c r="U194" s="176"/>
      <c r="V194" s="176"/>
      <c r="W194" s="176"/>
      <c r="X194" s="176"/>
      <c r="Y194" s="176"/>
      <c r="Z194" s="176"/>
    </row>
    <row r="195">
      <c r="A195" s="226" t="s">
        <v>238</v>
      </c>
      <c r="B195" s="226" t="s">
        <v>18</v>
      </c>
      <c r="C195" s="250" t="s">
        <v>3891</v>
      </c>
      <c r="D195" s="268" t="s">
        <v>495</v>
      </c>
      <c r="E195" s="251">
        <v>44123.0</v>
      </c>
      <c r="F195" s="250" t="s">
        <v>499</v>
      </c>
      <c r="G195" s="403">
        <v>4.0</v>
      </c>
      <c r="H195" s="403">
        <v>0.0</v>
      </c>
      <c r="I195" s="403">
        <v>0.0</v>
      </c>
      <c r="J195" s="391">
        <f t="shared" si="2"/>
        <v>0</v>
      </c>
      <c r="K195" s="392">
        <f t="shared" si="3"/>
        <v>0</v>
      </c>
      <c r="L195" s="327">
        <f t="shared" si="4"/>
        <v>0</v>
      </c>
      <c r="M195" s="321" t="str">
        <f t="shared" si="5"/>
        <v>willyogo</v>
      </c>
      <c r="N195" s="176">
        <f>IFERROR(__xludf.DUMMYFUNCTION("""COMPUTED_VALUE"""),1.0)</f>
        <v>1</v>
      </c>
      <c r="O195" s="176"/>
      <c r="P195" s="176"/>
      <c r="Q195" s="176"/>
      <c r="R195" s="176"/>
      <c r="S195" s="176"/>
      <c r="T195" s="176"/>
      <c r="U195" s="176"/>
      <c r="V195" s="176"/>
      <c r="W195" s="176"/>
      <c r="X195" s="176"/>
      <c r="Y195" s="176"/>
      <c r="Z195" s="176"/>
    </row>
    <row r="196">
      <c r="A196" s="226" t="s">
        <v>312</v>
      </c>
      <c r="B196" s="226" t="s">
        <v>18</v>
      </c>
      <c r="C196" s="250" t="s">
        <v>3891</v>
      </c>
      <c r="D196" s="268" t="s">
        <v>495</v>
      </c>
      <c r="E196" s="251">
        <v>44123.0</v>
      </c>
      <c r="F196" s="250" t="s">
        <v>499</v>
      </c>
      <c r="G196" s="403">
        <v>4.0</v>
      </c>
      <c r="H196" s="403">
        <v>0.0</v>
      </c>
      <c r="I196" s="403">
        <v>0.0</v>
      </c>
      <c r="J196" s="391">
        <f t="shared" si="2"/>
        <v>0</v>
      </c>
      <c r="K196" s="392">
        <f t="shared" si="3"/>
        <v>0</v>
      </c>
      <c r="L196" s="327">
        <f t="shared" si="4"/>
        <v>0</v>
      </c>
      <c r="M196" s="321" t="str">
        <f t="shared" si="5"/>
        <v>wunluv</v>
      </c>
      <c r="N196" s="176">
        <f>IFERROR(__xludf.DUMMYFUNCTION("""COMPUTED_VALUE"""),1.0)</f>
        <v>1</v>
      </c>
      <c r="O196" s="176"/>
      <c r="P196" s="176"/>
      <c r="Q196" s="176"/>
      <c r="R196" s="176"/>
      <c r="S196" s="176"/>
      <c r="T196" s="176"/>
      <c r="U196" s="176"/>
      <c r="V196" s="176"/>
      <c r="W196" s="176"/>
      <c r="X196" s="176"/>
      <c r="Y196" s="176"/>
      <c r="Z196" s="176"/>
    </row>
    <row r="197">
      <c r="A197" s="226" t="s">
        <v>3900</v>
      </c>
      <c r="B197" s="226" t="s">
        <v>18</v>
      </c>
      <c r="C197" s="250" t="s">
        <v>3891</v>
      </c>
      <c r="D197" s="268" t="s">
        <v>495</v>
      </c>
      <c r="E197" s="251">
        <v>44123.0</v>
      </c>
      <c r="F197" s="250" t="s">
        <v>499</v>
      </c>
      <c r="G197" s="403">
        <v>4.0</v>
      </c>
      <c r="H197" s="403">
        <v>0.0</v>
      </c>
      <c r="I197" s="403">
        <v>0.0</v>
      </c>
      <c r="J197" s="391">
        <f t="shared" si="2"/>
        <v>0</v>
      </c>
      <c r="K197" s="392">
        <f t="shared" si="3"/>
        <v>0</v>
      </c>
      <c r="L197" s="327">
        <f t="shared" si="4"/>
        <v>0</v>
      </c>
      <c r="M197" s="321" t="str">
        <f t="shared" si="5"/>
        <v>xibot0x</v>
      </c>
      <c r="N197" s="176">
        <f>IFERROR(__xludf.DUMMYFUNCTION("""COMPUTED_VALUE"""),1.0)</f>
        <v>1</v>
      </c>
      <c r="O197" s="176"/>
      <c r="P197" s="176"/>
      <c r="Q197" s="176"/>
      <c r="R197" s="176"/>
      <c r="S197" s="176"/>
      <c r="T197" s="176"/>
      <c r="U197" s="176"/>
      <c r="V197" s="176"/>
      <c r="W197" s="176"/>
      <c r="X197" s="176"/>
      <c r="Y197" s="176"/>
      <c r="Z197" s="176"/>
    </row>
    <row r="198">
      <c r="A198" s="226" t="s">
        <v>4</v>
      </c>
      <c r="B198" s="226" t="s">
        <v>519</v>
      </c>
      <c r="C198" s="250" t="s">
        <v>3901</v>
      </c>
      <c r="D198" s="268" t="s">
        <v>495</v>
      </c>
      <c r="E198" s="251">
        <v>44124.0</v>
      </c>
      <c r="F198" s="250" t="s">
        <v>496</v>
      </c>
      <c r="G198" s="403">
        <v>1.0</v>
      </c>
      <c r="H198" s="403">
        <v>300.0</v>
      </c>
      <c r="I198" s="403">
        <v>60.0</v>
      </c>
      <c r="J198" s="391">
        <f t="shared" si="2"/>
        <v>0.01833687751</v>
      </c>
      <c r="K198" s="392">
        <f t="shared" si="3"/>
        <v>4.950956929</v>
      </c>
      <c r="L198" s="327">
        <f t="shared" si="4"/>
        <v>21.03811271</v>
      </c>
      <c r="M198" s="321" t="str">
        <f t="shared" si="5"/>
        <v>santigs67</v>
      </c>
      <c r="N198" s="176">
        <f>IFERROR(__xludf.DUMMYFUNCTION("""COMPUTED_VALUE"""),10.0)</f>
        <v>10</v>
      </c>
      <c r="O198" s="176"/>
      <c r="P198" s="176"/>
      <c r="Q198" s="176"/>
      <c r="R198" s="176"/>
      <c r="S198" s="176"/>
      <c r="T198" s="176"/>
      <c r="U198" s="176"/>
      <c r="V198" s="176"/>
      <c r="W198" s="176"/>
      <c r="X198" s="176"/>
      <c r="Y198" s="176"/>
      <c r="Z198" s="176"/>
    </row>
    <row r="199">
      <c r="A199" s="226" t="s">
        <v>4</v>
      </c>
      <c r="B199" s="226" t="s">
        <v>5</v>
      </c>
      <c r="C199" s="250" t="s">
        <v>3902</v>
      </c>
      <c r="D199" s="268" t="s">
        <v>495</v>
      </c>
      <c r="E199" s="251">
        <v>44124.0</v>
      </c>
      <c r="F199" s="250" t="s">
        <v>496</v>
      </c>
      <c r="G199" s="403">
        <v>1.0</v>
      </c>
      <c r="H199" s="403">
        <v>45.0</v>
      </c>
      <c r="I199" s="403">
        <v>60.0</v>
      </c>
      <c r="J199" s="391">
        <f t="shared" si="2"/>
        <v>0.005375608835</v>
      </c>
      <c r="K199" s="392">
        <f t="shared" si="3"/>
        <v>1.451414386</v>
      </c>
      <c r="L199" s="327">
        <f t="shared" si="4"/>
        <v>21.03811271</v>
      </c>
      <c r="M199" s="321" t="str">
        <f t="shared" si="5"/>
        <v>santigs67</v>
      </c>
      <c r="N199" s="176">
        <f>IFERROR(__xludf.DUMMYFUNCTION("""COMPUTED_VALUE"""),11.0)</f>
        <v>11</v>
      </c>
      <c r="O199" s="176"/>
      <c r="P199" s="176"/>
      <c r="Q199" s="176"/>
      <c r="R199" s="176"/>
      <c r="S199" s="176"/>
      <c r="T199" s="176"/>
      <c r="U199" s="176"/>
      <c r="V199" s="176"/>
      <c r="W199" s="176"/>
      <c r="X199" s="176"/>
      <c r="Y199" s="176"/>
      <c r="Z199" s="176"/>
    </row>
    <row r="200">
      <c r="A200" s="226" t="s">
        <v>4</v>
      </c>
      <c r="B200" s="226" t="s">
        <v>5</v>
      </c>
      <c r="C200" s="250" t="s">
        <v>3903</v>
      </c>
      <c r="D200" s="268" t="s">
        <v>495</v>
      </c>
      <c r="E200" s="251">
        <v>44124.0</v>
      </c>
      <c r="F200" s="250" t="s">
        <v>496</v>
      </c>
      <c r="G200" s="403">
        <v>1.0</v>
      </c>
      <c r="H200" s="403">
        <v>100.0</v>
      </c>
      <c r="I200" s="403">
        <v>60.0</v>
      </c>
      <c r="J200" s="391">
        <f t="shared" si="2"/>
        <v>0.00817117659</v>
      </c>
      <c r="K200" s="392">
        <f t="shared" si="3"/>
        <v>2.206217679</v>
      </c>
      <c r="L200" s="327">
        <f t="shared" si="4"/>
        <v>21.03811271</v>
      </c>
      <c r="M200" s="321" t="str">
        <f t="shared" si="5"/>
        <v>santigs67</v>
      </c>
      <c r="N200" s="176">
        <f>IFERROR(__xludf.DUMMYFUNCTION("""COMPUTED_VALUE"""),12.0)</f>
        <v>12</v>
      </c>
      <c r="O200" s="176"/>
      <c r="P200" s="176"/>
      <c r="Q200" s="176"/>
      <c r="R200" s="176"/>
      <c r="S200" s="176"/>
      <c r="T200" s="176"/>
      <c r="U200" s="176"/>
      <c r="V200" s="176"/>
      <c r="W200" s="176"/>
      <c r="X200" s="176"/>
      <c r="Y200" s="176"/>
      <c r="Z200" s="176"/>
    </row>
    <row r="201">
      <c r="A201" s="226" t="s">
        <v>5</v>
      </c>
      <c r="B201" s="226" t="s">
        <v>5</v>
      </c>
      <c r="C201" s="250" t="s">
        <v>3904</v>
      </c>
      <c r="D201" s="268" t="s">
        <v>495</v>
      </c>
      <c r="E201" s="251">
        <v>44124.0</v>
      </c>
      <c r="F201" s="250" t="s">
        <v>496</v>
      </c>
      <c r="G201" s="411">
        <v>1.0</v>
      </c>
      <c r="H201" s="411">
        <v>100.0</v>
      </c>
      <c r="I201" s="411">
        <v>100.0</v>
      </c>
      <c r="J201" s="412">
        <f t="shared" si="2"/>
        <v>0.01023006067</v>
      </c>
      <c r="K201" s="413">
        <f t="shared" si="3"/>
        <v>2.762116382</v>
      </c>
      <c r="L201" s="327">
        <f t="shared" si="4"/>
        <v>20.43444809</v>
      </c>
      <c r="M201" s="271" t="str">
        <f t="shared" si="5"/>
        <v>cranders71</v>
      </c>
      <c r="N201" s="226">
        <f>IFERROR(__xludf.DUMMYFUNCTION("""COMPUTED_VALUE"""),8.0)</f>
        <v>8</v>
      </c>
      <c r="O201" s="226"/>
      <c r="P201" s="226"/>
      <c r="Q201" s="226"/>
      <c r="R201" s="226"/>
      <c r="S201" s="226"/>
      <c r="T201" s="226"/>
      <c r="U201" s="226"/>
      <c r="V201" s="226"/>
      <c r="W201" s="226"/>
      <c r="X201" s="226"/>
      <c r="Y201" s="176"/>
      <c r="Z201" s="176"/>
    </row>
    <row r="202">
      <c r="A202" s="226" t="s">
        <v>15</v>
      </c>
      <c r="B202" s="226" t="s">
        <v>5</v>
      </c>
      <c r="C202" s="250" t="s">
        <v>3902</v>
      </c>
      <c r="D202" s="268" t="s">
        <v>495</v>
      </c>
      <c r="E202" s="251">
        <v>44124.0</v>
      </c>
      <c r="F202" s="250" t="s">
        <v>496</v>
      </c>
      <c r="G202" s="403">
        <v>1.0</v>
      </c>
      <c r="H202" s="403">
        <v>45.0</v>
      </c>
      <c r="I202" s="403">
        <v>60.0</v>
      </c>
      <c r="J202" s="391">
        <f t="shared" si="2"/>
        <v>0.005375608835</v>
      </c>
      <c r="K202" s="392">
        <f t="shared" si="3"/>
        <v>1.451414386</v>
      </c>
      <c r="L202" s="327">
        <f t="shared" si="4"/>
        <v>19.3382901</v>
      </c>
      <c r="M202" s="321" t="str">
        <f t="shared" si="5"/>
        <v>juankbell</v>
      </c>
      <c r="N202" s="176">
        <f>IFERROR(__xludf.DUMMYFUNCTION("""COMPUTED_VALUE"""),8.0)</f>
        <v>8</v>
      </c>
      <c r="O202" s="176"/>
      <c r="P202" s="176"/>
      <c r="Q202" s="176"/>
      <c r="R202" s="176"/>
      <c r="S202" s="176"/>
      <c r="T202" s="176"/>
      <c r="U202" s="176"/>
      <c r="V202" s="176"/>
      <c r="W202" s="176"/>
      <c r="X202" s="176"/>
      <c r="Y202" s="176"/>
      <c r="Z202" s="176"/>
    </row>
    <row r="203">
      <c r="A203" s="226" t="s">
        <v>15</v>
      </c>
      <c r="B203" s="226" t="s">
        <v>5</v>
      </c>
      <c r="C203" s="250" t="s">
        <v>3903</v>
      </c>
      <c r="D203" s="268" t="s">
        <v>495</v>
      </c>
      <c r="E203" s="251">
        <v>44124.0</v>
      </c>
      <c r="F203" s="250" t="s">
        <v>496</v>
      </c>
      <c r="G203" s="403">
        <v>1.0</v>
      </c>
      <c r="H203" s="403">
        <v>100.0</v>
      </c>
      <c r="I203" s="403">
        <v>100.0</v>
      </c>
      <c r="J203" s="391">
        <f t="shared" si="2"/>
        <v>0.01023006067</v>
      </c>
      <c r="K203" s="392">
        <f t="shared" si="3"/>
        <v>2.762116382</v>
      </c>
      <c r="L203" s="327">
        <f t="shared" si="4"/>
        <v>19.3382901</v>
      </c>
      <c r="M203" s="321" t="str">
        <f t="shared" si="5"/>
        <v>juankbell</v>
      </c>
      <c r="N203" s="176">
        <f>IFERROR(__xludf.DUMMYFUNCTION("""COMPUTED_VALUE"""),9.0)</f>
        <v>9</v>
      </c>
      <c r="O203" s="176"/>
      <c r="P203" s="176"/>
      <c r="Q203" s="176"/>
      <c r="R203" s="176"/>
      <c r="S203" s="176"/>
      <c r="T203" s="176"/>
      <c r="U203" s="176"/>
      <c r="V203" s="176"/>
      <c r="W203" s="176"/>
      <c r="X203" s="176"/>
      <c r="Y203" s="176"/>
      <c r="Z203" s="176"/>
    </row>
    <row r="204">
      <c r="A204" s="226" t="s">
        <v>39</v>
      </c>
      <c r="B204" s="226" t="s">
        <v>590</v>
      </c>
      <c r="C204" s="250" t="s">
        <v>3905</v>
      </c>
      <c r="D204" s="268" t="s">
        <v>495</v>
      </c>
      <c r="E204" s="251">
        <v>44124.0</v>
      </c>
      <c r="F204" s="250" t="s">
        <v>496</v>
      </c>
      <c r="G204" s="403">
        <v>1.0</v>
      </c>
      <c r="H204" s="403">
        <v>200.0</v>
      </c>
      <c r="I204" s="403">
        <v>70.0</v>
      </c>
      <c r="J204" s="391">
        <f t="shared" si="2"/>
        <v>0.01376874807</v>
      </c>
      <c r="K204" s="392">
        <f t="shared" si="3"/>
        <v>3.71756198</v>
      </c>
      <c r="L204" s="327">
        <f t="shared" si="4"/>
        <v>19.11401066</v>
      </c>
      <c r="M204" s="321" t="str">
        <f t="shared" si="5"/>
        <v>manualzuru</v>
      </c>
      <c r="N204" s="176">
        <f>IFERROR(__xludf.DUMMYFUNCTION("""COMPUTED_VALUE"""),10.0)</f>
        <v>10</v>
      </c>
      <c r="O204" s="176"/>
      <c r="P204" s="176"/>
      <c r="Q204" s="176"/>
      <c r="R204" s="176"/>
      <c r="S204" s="176"/>
      <c r="T204" s="176"/>
      <c r="U204" s="176"/>
      <c r="V204" s="176"/>
      <c r="W204" s="176"/>
      <c r="X204" s="176"/>
      <c r="Y204" s="176"/>
      <c r="Z204" s="176"/>
    </row>
    <row r="205">
      <c r="A205" s="226" t="s">
        <v>39</v>
      </c>
      <c r="B205" s="226" t="s">
        <v>5</v>
      </c>
      <c r="C205" s="250" t="s">
        <v>3902</v>
      </c>
      <c r="D205" s="268" t="s">
        <v>495</v>
      </c>
      <c r="E205" s="251">
        <v>44124.0</v>
      </c>
      <c r="F205" s="250" t="s">
        <v>496</v>
      </c>
      <c r="G205" s="403">
        <v>1.0</v>
      </c>
      <c r="H205" s="403">
        <v>45.0</v>
      </c>
      <c r="I205" s="403">
        <v>60.0</v>
      </c>
      <c r="J205" s="391">
        <f t="shared" si="2"/>
        <v>0.005375608835</v>
      </c>
      <c r="K205" s="392">
        <f t="shared" si="3"/>
        <v>1.451414386</v>
      </c>
      <c r="L205" s="327">
        <f t="shared" si="4"/>
        <v>19.11401066</v>
      </c>
      <c r="M205" s="321" t="str">
        <f t="shared" si="5"/>
        <v>manualzuru</v>
      </c>
      <c r="N205" s="176">
        <f>IFERROR(__xludf.DUMMYFUNCTION("""COMPUTED_VALUE"""),11.0)</f>
        <v>11</v>
      </c>
      <c r="O205" s="176"/>
      <c r="P205" s="176"/>
      <c r="Q205" s="176"/>
      <c r="R205" s="176"/>
      <c r="S205" s="176"/>
      <c r="T205" s="176"/>
      <c r="U205" s="176"/>
      <c r="V205" s="176"/>
      <c r="W205" s="176"/>
      <c r="X205" s="176"/>
      <c r="Y205" s="176"/>
      <c r="Z205" s="176"/>
    </row>
    <row r="206">
      <c r="A206" s="226" t="s">
        <v>39</v>
      </c>
      <c r="B206" s="226" t="s">
        <v>5</v>
      </c>
      <c r="C206" s="250" t="s">
        <v>3906</v>
      </c>
      <c r="D206" s="268" t="s">
        <v>495</v>
      </c>
      <c r="E206" s="251">
        <v>44124.0</v>
      </c>
      <c r="F206" s="250" t="s">
        <v>496</v>
      </c>
      <c r="G206" s="403">
        <v>1.0</v>
      </c>
      <c r="H206" s="403">
        <v>100.0</v>
      </c>
      <c r="I206" s="403">
        <v>60.0</v>
      </c>
      <c r="J206" s="391">
        <f t="shared" si="2"/>
        <v>0.00817117659</v>
      </c>
      <c r="K206" s="392">
        <f t="shared" si="3"/>
        <v>2.206217679</v>
      </c>
      <c r="L206" s="327">
        <f t="shared" si="4"/>
        <v>19.11401066</v>
      </c>
      <c r="M206" s="321" t="str">
        <f t="shared" si="5"/>
        <v>manualzuru</v>
      </c>
      <c r="N206" s="176">
        <f>IFERROR(__xludf.DUMMYFUNCTION("""COMPUTED_VALUE"""),12.0)</f>
        <v>12</v>
      </c>
      <c r="O206" s="176"/>
      <c r="P206" s="176"/>
      <c r="Q206" s="176"/>
      <c r="R206" s="176"/>
      <c r="S206" s="176"/>
      <c r="T206" s="176"/>
      <c r="U206" s="176"/>
      <c r="V206" s="176"/>
      <c r="W206" s="176"/>
      <c r="X206" s="176"/>
      <c r="Y206" s="176"/>
      <c r="Z206" s="176"/>
    </row>
    <row r="207">
      <c r="A207" s="226" t="s">
        <v>9</v>
      </c>
      <c r="B207" s="226" t="s">
        <v>5</v>
      </c>
      <c r="C207" s="250" t="s">
        <v>3903</v>
      </c>
      <c r="D207" s="268" t="s">
        <v>495</v>
      </c>
      <c r="E207" s="251">
        <v>44124.0</v>
      </c>
      <c r="F207" s="250" t="s">
        <v>496</v>
      </c>
      <c r="G207" s="403">
        <v>1.0</v>
      </c>
      <c r="H207" s="403">
        <v>60.0</v>
      </c>
      <c r="I207" s="403">
        <v>100.0</v>
      </c>
      <c r="J207" s="391">
        <f t="shared" si="2"/>
        <v>0.00819692049</v>
      </c>
      <c r="K207" s="392">
        <f t="shared" si="3"/>
        <v>2.213168532</v>
      </c>
      <c r="L207" s="327">
        <f t="shared" si="4"/>
        <v>17.88774457</v>
      </c>
      <c r="M207" s="321" t="str">
        <f t="shared" si="5"/>
        <v>akrtws</v>
      </c>
      <c r="N207" s="176">
        <f>IFERROR(__xludf.DUMMYFUNCTION("""COMPUTED_VALUE"""),9.0)</f>
        <v>9</v>
      </c>
      <c r="O207" s="176"/>
      <c r="P207" s="176"/>
      <c r="Q207" s="176"/>
      <c r="R207" s="176"/>
      <c r="S207" s="176"/>
      <c r="T207" s="176"/>
      <c r="U207" s="176"/>
      <c r="V207" s="176"/>
      <c r="W207" s="176"/>
      <c r="X207" s="176"/>
      <c r="Y207" s="176"/>
      <c r="Z207" s="176"/>
    </row>
    <row r="208">
      <c r="A208" s="226" t="s">
        <v>9</v>
      </c>
      <c r="B208" s="226" t="s">
        <v>5</v>
      </c>
      <c r="C208" s="250" t="s">
        <v>3904</v>
      </c>
      <c r="D208" s="268" t="s">
        <v>495</v>
      </c>
      <c r="E208" s="251">
        <v>44124.0</v>
      </c>
      <c r="F208" s="250" t="s">
        <v>496</v>
      </c>
      <c r="G208" s="403">
        <v>1.0</v>
      </c>
      <c r="H208" s="403">
        <v>100.0</v>
      </c>
      <c r="I208" s="403">
        <v>100.0</v>
      </c>
      <c r="J208" s="391">
        <f t="shared" si="2"/>
        <v>0.01023006067</v>
      </c>
      <c r="K208" s="392">
        <f t="shared" si="3"/>
        <v>2.762116382</v>
      </c>
      <c r="L208" s="327">
        <f t="shared" si="4"/>
        <v>17.88774457</v>
      </c>
      <c r="M208" s="321" t="str">
        <f t="shared" si="5"/>
        <v>akrtws</v>
      </c>
      <c r="N208" s="176">
        <f>IFERROR(__xludf.DUMMYFUNCTION("""COMPUTED_VALUE"""),10.0)</f>
        <v>10</v>
      </c>
      <c r="O208" s="176"/>
      <c r="P208" s="176"/>
      <c r="Q208" s="176"/>
      <c r="R208" s="176"/>
      <c r="S208" s="176"/>
      <c r="T208" s="176"/>
      <c r="U208" s="176"/>
      <c r="V208" s="176"/>
      <c r="W208" s="176"/>
      <c r="X208" s="176"/>
      <c r="Y208" s="176"/>
      <c r="Z208" s="176"/>
    </row>
    <row r="209">
      <c r="A209" s="226" t="s">
        <v>41</v>
      </c>
      <c r="B209" s="226" t="s">
        <v>5</v>
      </c>
      <c r="C209" s="250" t="s">
        <v>3902</v>
      </c>
      <c r="D209" s="268" t="s">
        <v>495</v>
      </c>
      <c r="E209" s="251">
        <v>44124.0</v>
      </c>
      <c r="F209" s="250" t="s">
        <v>496</v>
      </c>
      <c r="G209" s="403">
        <v>1.0</v>
      </c>
      <c r="H209" s="403">
        <v>20.0</v>
      </c>
      <c r="I209" s="403">
        <v>60.0</v>
      </c>
      <c r="J209" s="391">
        <f t="shared" si="2"/>
        <v>0.00410489622</v>
      </c>
      <c r="K209" s="392">
        <f t="shared" si="3"/>
        <v>1.108321979</v>
      </c>
      <c r="L209" s="327">
        <f t="shared" si="4"/>
        <v>14.3647429</v>
      </c>
      <c r="M209" s="321" t="str">
        <f t="shared" si="5"/>
        <v>blairv</v>
      </c>
      <c r="N209" s="176">
        <f>IFERROR(__xludf.DUMMYFUNCTION("""COMPUTED_VALUE"""),6.0)</f>
        <v>6</v>
      </c>
      <c r="O209" s="176"/>
      <c r="P209" s="176"/>
      <c r="Q209" s="176"/>
      <c r="R209" s="176"/>
      <c r="S209" s="176"/>
      <c r="T209" s="176"/>
      <c r="U209" s="176"/>
      <c r="V209" s="176"/>
      <c r="W209" s="176"/>
      <c r="X209" s="176"/>
      <c r="Y209" s="176"/>
      <c r="Z209" s="176"/>
    </row>
    <row r="210">
      <c r="A210" s="226" t="s">
        <v>76</v>
      </c>
      <c r="B210" s="226" t="s">
        <v>5</v>
      </c>
      <c r="C210" s="250" t="s">
        <v>3907</v>
      </c>
      <c r="D210" s="268" t="s">
        <v>495</v>
      </c>
      <c r="E210" s="251">
        <v>44124.0</v>
      </c>
      <c r="F210" s="250" t="s">
        <v>496</v>
      </c>
      <c r="G210" s="403">
        <v>1.0</v>
      </c>
      <c r="H210" s="403">
        <v>60.0</v>
      </c>
      <c r="I210" s="403">
        <v>60.0</v>
      </c>
      <c r="J210" s="391">
        <f t="shared" si="2"/>
        <v>0.006138036405</v>
      </c>
      <c r="K210" s="392">
        <f t="shared" si="3"/>
        <v>1.657269829</v>
      </c>
      <c r="L210" s="327">
        <f t="shared" si="4"/>
        <v>10.77572932</v>
      </c>
      <c r="M210" s="321" t="str">
        <f t="shared" si="5"/>
        <v>fabianvb</v>
      </c>
      <c r="N210" s="176">
        <f>IFERROR(__xludf.DUMMYFUNCTION("""COMPUTED_VALUE"""),6.0)</f>
        <v>6</v>
      </c>
      <c r="O210" s="176"/>
      <c r="P210" s="176"/>
      <c r="Q210" s="176"/>
      <c r="R210" s="176"/>
      <c r="S210" s="176"/>
      <c r="T210" s="176"/>
      <c r="U210" s="176"/>
      <c r="V210" s="176"/>
      <c r="W210" s="176"/>
      <c r="X210" s="176"/>
      <c r="Y210" s="176"/>
      <c r="Z210" s="176"/>
    </row>
    <row r="211">
      <c r="A211" s="226" t="s">
        <v>3</v>
      </c>
      <c r="B211" s="226" t="s">
        <v>519</v>
      </c>
      <c r="C211" s="250" t="s">
        <v>3908</v>
      </c>
      <c r="D211" s="268" t="s">
        <v>495</v>
      </c>
      <c r="E211" s="251">
        <v>44124.0</v>
      </c>
      <c r="F211" s="250" t="s">
        <v>496</v>
      </c>
      <c r="G211" s="403">
        <v>1.0</v>
      </c>
      <c r="H211" s="403">
        <v>10.0</v>
      </c>
      <c r="I211" s="403">
        <v>15.0</v>
      </c>
      <c r="J211" s="391">
        <f t="shared" si="2"/>
        <v>0.001280366578</v>
      </c>
      <c r="K211" s="392">
        <f t="shared" si="3"/>
        <v>0.3456989761</v>
      </c>
      <c r="L211" s="327">
        <f t="shared" si="4"/>
        <v>10.08693793</v>
      </c>
      <c r="M211" s="321" t="str">
        <f t="shared" si="5"/>
        <v>zeptimusq</v>
      </c>
      <c r="N211" s="176">
        <f>IFERROR(__xludf.DUMMYFUNCTION("""COMPUTED_VALUE"""),2.0)</f>
        <v>2</v>
      </c>
      <c r="O211" s="176"/>
      <c r="P211" s="176"/>
      <c r="Q211" s="176"/>
      <c r="R211" s="176"/>
      <c r="S211" s="176"/>
      <c r="T211" s="176"/>
      <c r="U211" s="176"/>
      <c r="V211" s="176"/>
      <c r="W211" s="176"/>
      <c r="X211" s="176"/>
      <c r="Y211" s="176"/>
      <c r="Z211" s="176"/>
    </row>
    <row r="212">
      <c r="A212" s="226" t="s">
        <v>3</v>
      </c>
      <c r="B212" s="226" t="s">
        <v>590</v>
      </c>
      <c r="C212" s="250" t="s">
        <v>3909</v>
      </c>
      <c r="D212" s="268" t="s">
        <v>495</v>
      </c>
      <c r="E212" s="251">
        <v>44124.0</v>
      </c>
      <c r="F212" s="250" t="s">
        <v>496</v>
      </c>
      <c r="G212" s="403">
        <v>1.0</v>
      </c>
      <c r="H212" s="403">
        <v>70.0</v>
      </c>
      <c r="I212" s="403">
        <v>70.0</v>
      </c>
      <c r="J212" s="391">
        <f t="shared" si="2"/>
        <v>0.007161042472</v>
      </c>
      <c r="K212" s="392">
        <f t="shared" si="3"/>
        <v>1.933481468</v>
      </c>
      <c r="L212" s="327">
        <f t="shared" si="4"/>
        <v>10.08693793</v>
      </c>
      <c r="M212" s="321" t="str">
        <f t="shared" si="5"/>
        <v>zeptimusq</v>
      </c>
      <c r="N212" s="176">
        <f>IFERROR(__xludf.DUMMYFUNCTION("""COMPUTED_VALUE"""),3.0)</f>
        <v>3</v>
      </c>
      <c r="O212" s="176"/>
      <c r="P212" s="176"/>
      <c r="Q212" s="176"/>
      <c r="R212" s="176"/>
      <c r="S212" s="176"/>
      <c r="T212" s="176"/>
      <c r="U212" s="176"/>
      <c r="V212" s="176"/>
      <c r="W212" s="176"/>
      <c r="X212" s="176"/>
      <c r="Y212" s="176"/>
      <c r="Z212" s="176"/>
    </row>
    <row r="213">
      <c r="A213" s="226" t="s">
        <v>3</v>
      </c>
      <c r="B213" s="226" t="s">
        <v>5</v>
      </c>
      <c r="C213" s="250" t="s">
        <v>3902</v>
      </c>
      <c r="D213" s="268" t="s">
        <v>495</v>
      </c>
      <c r="E213" s="251">
        <v>44124.0</v>
      </c>
      <c r="F213" s="250" t="s">
        <v>496</v>
      </c>
      <c r="G213" s="403">
        <v>1.0</v>
      </c>
      <c r="H213" s="403">
        <v>20.0</v>
      </c>
      <c r="I213" s="403">
        <v>60.0</v>
      </c>
      <c r="J213" s="391">
        <f t="shared" si="2"/>
        <v>0.00410489622</v>
      </c>
      <c r="K213" s="392">
        <f t="shared" si="3"/>
        <v>1.108321979</v>
      </c>
      <c r="L213" s="327">
        <f t="shared" si="4"/>
        <v>10.08693793</v>
      </c>
      <c r="M213" s="321" t="str">
        <f t="shared" si="5"/>
        <v>zeptimusq</v>
      </c>
      <c r="N213" s="176">
        <f>IFERROR(__xludf.DUMMYFUNCTION("""COMPUTED_VALUE"""),4.0)</f>
        <v>4</v>
      </c>
      <c r="O213" s="176"/>
      <c r="P213" s="176"/>
      <c r="Q213" s="176"/>
      <c r="R213" s="176"/>
      <c r="S213" s="176"/>
      <c r="T213" s="176"/>
      <c r="U213" s="176"/>
      <c r="V213" s="176"/>
      <c r="W213" s="176"/>
      <c r="X213" s="176"/>
      <c r="Y213" s="176"/>
      <c r="Z213" s="176"/>
    </row>
    <row r="214">
      <c r="A214" s="226" t="s">
        <v>3</v>
      </c>
      <c r="B214" s="226" t="s">
        <v>5</v>
      </c>
      <c r="C214" s="250" t="s">
        <v>3903</v>
      </c>
      <c r="D214" s="268" t="s">
        <v>495</v>
      </c>
      <c r="E214" s="251">
        <v>44124.0</v>
      </c>
      <c r="F214" s="250" t="s">
        <v>496</v>
      </c>
      <c r="G214" s="403">
        <v>1.0</v>
      </c>
      <c r="H214" s="403">
        <v>60.0</v>
      </c>
      <c r="I214" s="403">
        <v>60.0</v>
      </c>
      <c r="J214" s="391">
        <f t="shared" si="2"/>
        <v>0.006138036405</v>
      </c>
      <c r="K214" s="392">
        <f t="shared" si="3"/>
        <v>1.657269829</v>
      </c>
      <c r="L214" s="327">
        <f t="shared" si="4"/>
        <v>10.08693793</v>
      </c>
      <c r="M214" s="321" t="str">
        <f t="shared" si="5"/>
        <v>zeptimusq</v>
      </c>
      <c r="N214" s="176">
        <f>IFERROR(__xludf.DUMMYFUNCTION("""COMPUTED_VALUE"""),5.0)</f>
        <v>5</v>
      </c>
      <c r="O214" s="176"/>
      <c r="P214" s="176"/>
      <c r="Q214" s="176"/>
      <c r="R214" s="176"/>
      <c r="S214" s="176"/>
      <c r="T214" s="176"/>
      <c r="U214" s="176"/>
      <c r="V214" s="176"/>
      <c r="W214" s="176"/>
      <c r="X214" s="176"/>
      <c r="Y214" s="176"/>
      <c r="Z214" s="176"/>
    </row>
    <row r="215">
      <c r="A215" s="226" t="s">
        <v>54</v>
      </c>
      <c r="B215" s="226" t="s">
        <v>590</v>
      </c>
      <c r="C215" s="250" t="s">
        <v>3910</v>
      </c>
      <c r="D215" s="268" t="s">
        <v>495</v>
      </c>
      <c r="E215" s="251">
        <v>44124.0</v>
      </c>
      <c r="F215" s="250" t="s">
        <v>496</v>
      </c>
      <c r="G215" s="403">
        <v>1.0</v>
      </c>
      <c r="H215" s="403">
        <v>100.0</v>
      </c>
      <c r="I215" s="403">
        <v>60.0</v>
      </c>
      <c r="J215" s="391">
        <f t="shared" si="2"/>
        <v>0.00817117659</v>
      </c>
      <c r="K215" s="392">
        <f t="shared" si="3"/>
        <v>2.206217679</v>
      </c>
      <c r="L215" s="327">
        <f t="shared" si="4"/>
        <v>9.396408839</v>
      </c>
      <c r="M215" s="321" t="str">
        <f t="shared" si="5"/>
        <v>hbesso31</v>
      </c>
      <c r="N215" s="176">
        <f>IFERROR(__xludf.DUMMYFUNCTION("""COMPUTED_VALUE"""),7.0)</f>
        <v>7</v>
      </c>
      <c r="O215" s="176"/>
      <c r="P215" s="176"/>
      <c r="Q215" s="176"/>
      <c r="R215" s="176"/>
      <c r="S215" s="176"/>
      <c r="T215" s="176"/>
      <c r="U215" s="176"/>
      <c r="V215" s="176"/>
      <c r="W215" s="176"/>
      <c r="X215" s="176"/>
      <c r="Y215" s="176"/>
      <c r="Z215" s="176"/>
    </row>
    <row r="216">
      <c r="A216" s="226" t="s">
        <v>54</v>
      </c>
      <c r="B216" s="226" t="s">
        <v>5</v>
      </c>
      <c r="C216" s="250" t="s">
        <v>3902</v>
      </c>
      <c r="D216" s="268" t="s">
        <v>495</v>
      </c>
      <c r="E216" s="251">
        <v>44124.0</v>
      </c>
      <c r="F216" s="250" t="s">
        <v>496</v>
      </c>
      <c r="G216" s="403">
        <v>1.0</v>
      </c>
      <c r="H216" s="403">
        <v>20.0</v>
      </c>
      <c r="I216" s="403">
        <v>60.0</v>
      </c>
      <c r="J216" s="391">
        <f t="shared" si="2"/>
        <v>0.00410489622</v>
      </c>
      <c r="K216" s="392">
        <f t="shared" si="3"/>
        <v>1.108321979</v>
      </c>
      <c r="L216" s="327">
        <f t="shared" si="4"/>
        <v>9.396408839</v>
      </c>
      <c r="M216" s="321" t="str">
        <f t="shared" si="5"/>
        <v>hbesso31</v>
      </c>
      <c r="N216" s="176">
        <f>IFERROR(__xludf.DUMMYFUNCTION("""COMPUTED_VALUE"""),8.0)</f>
        <v>8</v>
      </c>
      <c r="O216" s="176"/>
      <c r="P216" s="176"/>
      <c r="Q216" s="176"/>
      <c r="R216" s="176"/>
      <c r="S216" s="176"/>
      <c r="T216" s="176"/>
      <c r="U216" s="176"/>
      <c r="V216" s="176"/>
      <c r="W216" s="176"/>
      <c r="X216" s="176"/>
      <c r="Y216" s="176"/>
      <c r="Z216" s="176"/>
    </row>
    <row r="217">
      <c r="A217" s="226" t="s">
        <v>54</v>
      </c>
      <c r="B217" s="226" t="s">
        <v>5</v>
      </c>
      <c r="C217" s="250" t="s">
        <v>3903</v>
      </c>
      <c r="D217" s="268" t="s">
        <v>495</v>
      </c>
      <c r="E217" s="251">
        <v>44124.0</v>
      </c>
      <c r="F217" s="250" t="s">
        <v>496</v>
      </c>
      <c r="G217" s="403">
        <v>1.0</v>
      </c>
      <c r="H217" s="403">
        <v>60.0</v>
      </c>
      <c r="I217" s="403">
        <v>60.0</v>
      </c>
      <c r="J217" s="391">
        <f t="shared" si="2"/>
        <v>0.006138036405</v>
      </c>
      <c r="K217" s="392">
        <f t="shared" si="3"/>
        <v>1.657269829</v>
      </c>
      <c r="L217" s="327">
        <f t="shared" si="4"/>
        <v>9.396408839</v>
      </c>
      <c r="M217" s="321" t="str">
        <f t="shared" si="5"/>
        <v>hbesso31</v>
      </c>
      <c r="N217" s="176">
        <f>IFERROR(__xludf.DUMMYFUNCTION("""COMPUTED_VALUE"""),9.0)</f>
        <v>9</v>
      </c>
      <c r="O217" s="176"/>
      <c r="P217" s="176"/>
      <c r="Q217" s="176"/>
      <c r="R217" s="176"/>
      <c r="S217" s="176"/>
      <c r="T217" s="176"/>
      <c r="U217" s="176"/>
      <c r="V217" s="176"/>
      <c r="W217" s="176"/>
      <c r="X217" s="176"/>
      <c r="Y217" s="176"/>
      <c r="Z217" s="176"/>
    </row>
    <row r="218">
      <c r="A218" s="226" t="s">
        <v>29</v>
      </c>
      <c r="B218" s="226" t="s">
        <v>5</v>
      </c>
      <c r="C218" s="250" t="s">
        <v>3902</v>
      </c>
      <c r="D218" s="268" t="s">
        <v>495</v>
      </c>
      <c r="E218" s="251">
        <v>44124.0</v>
      </c>
      <c r="F218" s="250" t="s">
        <v>496</v>
      </c>
      <c r="G218" s="403">
        <v>1.0</v>
      </c>
      <c r="H218" s="403">
        <v>20.0</v>
      </c>
      <c r="I218" s="403">
        <v>60.0</v>
      </c>
      <c r="J218" s="391">
        <f t="shared" si="2"/>
        <v>0.00410489622</v>
      </c>
      <c r="K218" s="392">
        <f t="shared" si="3"/>
        <v>1.108321979</v>
      </c>
      <c r="L218" s="327">
        <f t="shared" si="4"/>
        <v>8.434012388</v>
      </c>
      <c r="M218" s="321" t="str">
        <f t="shared" si="5"/>
        <v>jeffemmett</v>
      </c>
      <c r="N218" s="176">
        <f>IFERROR(__xludf.DUMMYFUNCTION("""COMPUTED_VALUE"""),7.0)</f>
        <v>7</v>
      </c>
      <c r="O218" s="176"/>
      <c r="P218" s="176"/>
      <c r="Q218" s="176"/>
      <c r="R218" s="176"/>
      <c r="S218" s="176"/>
      <c r="T218" s="176"/>
      <c r="U218" s="176"/>
      <c r="V218" s="176"/>
      <c r="W218" s="176"/>
      <c r="X218" s="176"/>
      <c r="Y218" s="176"/>
      <c r="Z218" s="176"/>
    </row>
    <row r="219">
      <c r="A219" s="226" t="s">
        <v>14</v>
      </c>
      <c r="B219" s="226" t="s">
        <v>5</v>
      </c>
      <c r="C219" s="250" t="s">
        <v>3902</v>
      </c>
      <c r="D219" s="268" t="s">
        <v>495</v>
      </c>
      <c r="E219" s="251">
        <v>44124.0</v>
      </c>
      <c r="F219" s="250" t="s">
        <v>496</v>
      </c>
      <c r="G219" s="403">
        <v>1.0</v>
      </c>
      <c r="H219" s="403">
        <v>100.0</v>
      </c>
      <c r="I219" s="403">
        <v>60.0</v>
      </c>
      <c r="J219" s="391">
        <f t="shared" si="2"/>
        <v>0.00817117659</v>
      </c>
      <c r="K219" s="392">
        <f t="shared" si="3"/>
        <v>2.206217679</v>
      </c>
      <c r="L219" s="327">
        <f t="shared" si="4"/>
        <v>7.660963106</v>
      </c>
      <c r="M219" s="321" t="str">
        <f t="shared" si="5"/>
        <v>jessicazartler</v>
      </c>
      <c r="N219" s="176">
        <f>IFERROR(__xludf.DUMMYFUNCTION("""COMPUTED_VALUE"""),14.0)</f>
        <v>14</v>
      </c>
      <c r="O219" s="176"/>
      <c r="P219" s="176"/>
      <c r="Q219" s="176"/>
      <c r="R219" s="176"/>
      <c r="S219" s="176"/>
      <c r="T219" s="176"/>
      <c r="U219" s="176"/>
      <c r="V219" s="176"/>
      <c r="W219" s="176"/>
      <c r="X219" s="176"/>
      <c r="Y219" s="176"/>
      <c r="Z219" s="176"/>
    </row>
    <row r="220">
      <c r="A220" s="226" t="s">
        <v>14</v>
      </c>
      <c r="B220" s="226" t="s">
        <v>5</v>
      </c>
      <c r="C220" s="250" t="s">
        <v>3903</v>
      </c>
      <c r="D220" s="268" t="s">
        <v>495</v>
      </c>
      <c r="E220" s="251">
        <v>44124.0</v>
      </c>
      <c r="F220" s="250" t="s">
        <v>496</v>
      </c>
      <c r="G220" s="403">
        <v>1.0</v>
      </c>
      <c r="H220" s="403">
        <v>0.0</v>
      </c>
      <c r="I220" s="403">
        <v>60.0</v>
      </c>
      <c r="J220" s="391">
        <f t="shared" si="2"/>
        <v>0.003088326127</v>
      </c>
      <c r="K220" s="392">
        <f t="shared" si="3"/>
        <v>0.8338480544</v>
      </c>
      <c r="L220" s="327">
        <f t="shared" si="4"/>
        <v>7.660963106</v>
      </c>
      <c r="M220" s="321" t="str">
        <f t="shared" si="5"/>
        <v>jessicazartler</v>
      </c>
      <c r="N220" s="176">
        <f>IFERROR(__xludf.DUMMYFUNCTION("""COMPUTED_VALUE"""),15.0)</f>
        <v>15</v>
      </c>
      <c r="O220" s="176"/>
      <c r="P220" s="176"/>
      <c r="Q220" s="176"/>
      <c r="R220" s="176"/>
      <c r="S220" s="176"/>
      <c r="T220" s="176"/>
      <c r="U220" s="176"/>
      <c r="V220" s="176"/>
      <c r="W220" s="176"/>
      <c r="X220" s="176"/>
      <c r="Y220" s="176"/>
      <c r="Z220" s="176"/>
    </row>
    <row r="221">
      <c r="A221" s="226" t="s">
        <v>14</v>
      </c>
      <c r="B221" s="226" t="s">
        <v>5</v>
      </c>
      <c r="C221" s="250" t="s">
        <v>3904</v>
      </c>
      <c r="D221" s="268" t="s">
        <v>495</v>
      </c>
      <c r="E221" s="251">
        <v>44124.0</v>
      </c>
      <c r="F221" s="250" t="s">
        <v>496</v>
      </c>
      <c r="G221" s="403">
        <v>1.0</v>
      </c>
      <c r="H221" s="403">
        <v>100.0</v>
      </c>
      <c r="I221" s="403">
        <v>100.0</v>
      </c>
      <c r="J221" s="391">
        <f t="shared" si="2"/>
        <v>0.01023006067</v>
      </c>
      <c r="K221" s="392">
        <f t="shared" si="3"/>
        <v>2.762116382</v>
      </c>
      <c r="L221" s="327">
        <f t="shared" si="4"/>
        <v>7.660963106</v>
      </c>
      <c r="M221" s="321" t="str">
        <f t="shared" si="5"/>
        <v>jessicazartler</v>
      </c>
      <c r="N221" s="176">
        <f>IFERROR(__xludf.DUMMYFUNCTION("""COMPUTED_VALUE"""),16.0)</f>
        <v>16</v>
      </c>
      <c r="O221" s="176"/>
      <c r="P221" s="176"/>
      <c r="Q221" s="176"/>
      <c r="R221" s="176"/>
      <c r="S221" s="176"/>
      <c r="T221" s="176"/>
      <c r="U221" s="176"/>
      <c r="V221" s="176"/>
      <c r="W221" s="176"/>
      <c r="X221" s="176"/>
      <c r="Y221" s="176"/>
      <c r="Z221" s="176"/>
    </row>
    <row r="222">
      <c r="A222" s="226" t="s">
        <v>14</v>
      </c>
      <c r="B222" s="226" t="s">
        <v>1577</v>
      </c>
      <c r="C222" s="250" t="s">
        <v>3911</v>
      </c>
      <c r="D222" s="268" t="s">
        <v>495</v>
      </c>
      <c r="E222" s="251">
        <v>44124.0</v>
      </c>
      <c r="F222" s="250" t="s">
        <v>496</v>
      </c>
      <c r="G222" s="403">
        <v>1.0</v>
      </c>
      <c r="H222" s="403">
        <v>10.0</v>
      </c>
      <c r="I222" s="403">
        <v>5.0</v>
      </c>
      <c r="J222" s="391">
        <f t="shared" si="2"/>
        <v>0.0007656455569</v>
      </c>
      <c r="K222" s="392">
        <f t="shared" si="3"/>
        <v>0.2067243004</v>
      </c>
      <c r="L222" s="327">
        <f t="shared" si="4"/>
        <v>7.660963106</v>
      </c>
      <c r="M222" s="321" t="str">
        <f t="shared" si="5"/>
        <v>jessicazartler</v>
      </c>
      <c r="N222" s="176">
        <f>IFERROR(__xludf.DUMMYFUNCTION("""COMPUTED_VALUE"""),17.0)</f>
        <v>17</v>
      </c>
      <c r="O222" s="176"/>
      <c r="P222" s="176"/>
      <c r="Q222" s="176"/>
      <c r="R222" s="176"/>
      <c r="S222" s="176"/>
      <c r="T222" s="176"/>
      <c r="U222" s="176"/>
      <c r="V222" s="176"/>
      <c r="W222" s="176"/>
      <c r="X222" s="176"/>
      <c r="Y222" s="176"/>
      <c r="Z222" s="176"/>
    </row>
    <row r="223">
      <c r="A223" s="226" t="s">
        <v>71</v>
      </c>
      <c r="B223" s="226" t="s">
        <v>5</v>
      </c>
      <c r="C223" s="250" t="s">
        <v>3903</v>
      </c>
      <c r="D223" s="268" t="s">
        <v>495</v>
      </c>
      <c r="E223" s="251">
        <v>44124.0</v>
      </c>
      <c r="F223" s="250" t="s">
        <v>496</v>
      </c>
      <c r="G223" s="403">
        <v>1.0</v>
      </c>
      <c r="H223" s="403">
        <v>60.0</v>
      </c>
      <c r="I223" s="403">
        <v>60.0</v>
      </c>
      <c r="J223" s="391">
        <f t="shared" si="2"/>
        <v>0.006138036405</v>
      </c>
      <c r="K223" s="392">
        <f t="shared" si="3"/>
        <v>1.657269829</v>
      </c>
      <c r="L223" s="327">
        <f t="shared" si="4"/>
        <v>6.562198549</v>
      </c>
      <c r="M223" s="321" t="str">
        <f t="shared" si="5"/>
        <v>quartagiulio</v>
      </c>
      <c r="N223" s="176">
        <f>IFERROR(__xludf.DUMMYFUNCTION("""COMPUTED_VALUE"""),5.0)</f>
        <v>5</v>
      </c>
      <c r="O223" s="176"/>
      <c r="P223" s="176"/>
      <c r="Q223" s="176"/>
      <c r="R223" s="176"/>
      <c r="S223" s="176"/>
      <c r="T223" s="176"/>
      <c r="U223" s="176"/>
      <c r="V223" s="176"/>
      <c r="W223" s="176"/>
      <c r="X223" s="176"/>
      <c r="Y223" s="176"/>
      <c r="Z223" s="176"/>
    </row>
    <row r="224">
      <c r="A224" s="226" t="s">
        <v>110</v>
      </c>
      <c r="B224" s="226" t="s">
        <v>5</v>
      </c>
      <c r="C224" s="250" t="s">
        <v>3903</v>
      </c>
      <c r="D224" s="268" t="s">
        <v>495</v>
      </c>
      <c r="E224" s="251">
        <v>44124.0</v>
      </c>
      <c r="F224" s="250" t="s">
        <v>496</v>
      </c>
      <c r="G224" s="403">
        <v>1.0</v>
      </c>
      <c r="H224" s="403">
        <v>60.0</v>
      </c>
      <c r="I224" s="403">
        <v>60.0</v>
      </c>
      <c r="J224" s="391">
        <f t="shared" si="2"/>
        <v>0.006138036405</v>
      </c>
      <c r="K224" s="392">
        <f t="shared" si="3"/>
        <v>1.657269829</v>
      </c>
      <c r="L224" s="327">
        <f t="shared" si="4"/>
        <v>4.999430652</v>
      </c>
      <c r="M224" s="321" t="str">
        <f t="shared" si="5"/>
        <v>jonassft</v>
      </c>
      <c r="N224" s="176">
        <f>IFERROR(__xludf.DUMMYFUNCTION("""COMPUTED_VALUE"""),3.0)</f>
        <v>3</v>
      </c>
      <c r="O224" s="176"/>
      <c r="P224" s="176"/>
      <c r="Q224" s="176"/>
      <c r="R224" s="176"/>
      <c r="S224" s="176"/>
      <c r="T224" s="176"/>
      <c r="U224" s="176"/>
      <c r="V224" s="176"/>
      <c r="W224" s="176"/>
      <c r="X224" s="176"/>
      <c r="Y224" s="176"/>
      <c r="Z224" s="176"/>
    </row>
    <row r="225">
      <c r="A225" s="226" t="s">
        <v>2410</v>
      </c>
      <c r="B225" s="226" t="s">
        <v>5</v>
      </c>
      <c r="C225" s="250" t="s">
        <v>3902</v>
      </c>
      <c r="D225" s="268" t="s">
        <v>495</v>
      </c>
      <c r="E225" s="251">
        <v>44124.0</v>
      </c>
      <c r="F225" s="250" t="s">
        <v>496</v>
      </c>
      <c r="G225" s="403">
        <v>1.0</v>
      </c>
      <c r="H225" s="403">
        <v>40.0</v>
      </c>
      <c r="I225" s="403">
        <v>60.0</v>
      </c>
      <c r="J225" s="391">
        <f t="shared" si="2"/>
        <v>0.005121466312</v>
      </c>
      <c r="K225" s="392">
        <f t="shared" si="3"/>
        <v>1.382795904</v>
      </c>
      <c r="L225" s="327">
        <f t="shared" si="4"/>
        <v>4.491480119</v>
      </c>
      <c r="M225" s="321" t="str">
        <f t="shared" si="5"/>
        <v>ygg_anderson</v>
      </c>
      <c r="N225" s="176">
        <f>IFERROR(__xludf.DUMMYFUNCTION("""COMPUTED_VALUE"""),3.0)</f>
        <v>3</v>
      </c>
      <c r="O225" s="176"/>
      <c r="P225" s="176"/>
      <c r="Q225" s="176"/>
      <c r="R225" s="176"/>
      <c r="S225" s="176"/>
      <c r="T225" s="176"/>
      <c r="U225" s="176"/>
      <c r="V225" s="176"/>
      <c r="W225" s="176"/>
      <c r="X225" s="176"/>
      <c r="Y225" s="176"/>
      <c r="Z225" s="176"/>
    </row>
    <row r="226">
      <c r="A226" s="226" t="s">
        <v>2410</v>
      </c>
      <c r="B226" s="226" t="s">
        <v>5</v>
      </c>
      <c r="C226" s="250" t="s">
        <v>3903</v>
      </c>
      <c r="D226" s="268" t="s">
        <v>495</v>
      </c>
      <c r="E226" s="251">
        <v>44124.0</v>
      </c>
      <c r="F226" s="250" t="s">
        <v>496</v>
      </c>
      <c r="G226" s="403">
        <v>1.0</v>
      </c>
      <c r="H226" s="403">
        <v>60.0</v>
      </c>
      <c r="I226" s="403">
        <v>60.0</v>
      </c>
      <c r="J226" s="391">
        <f t="shared" si="2"/>
        <v>0.006138036405</v>
      </c>
      <c r="K226" s="392">
        <f t="shared" si="3"/>
        <v>1.657269829</v>
      </c>
      <c r="L226" s="327">
        <f t="shared" si="4"/>
        <v>4.491480119</v>
      </c>
      <c r="M226" s="321" t="str">
        <f t="shared" si="5"/>
        <v>ygg_anderson</v>
      </c>
      <c r="N226" s="176">
        <f>IFERROR(__xludf.DUMMYFUNCTION("""COMPUTED_VALUE"""),4.0)</f>
        <v>4</v>
      </c>
      <c r="O226" s="176"/>
      <c r="P226" s="176"/>
      <c r="Q226" s="176"/>
      <c r="R226" s="176"/>
      <c r="S226" s="176"/>
      <c r="T226" s="176"/>
      <c r="U226" s="176"/>
      <c r="V226" s="176"/>
      <c r="W226" s="176"/>
      <c r="X226" s="176"/>
      <c r="Y226" s="176"/>
      <c r="Z226" s="176"/>
    </row>
    <row r="227">
      <c r="A227" s="226" t="s">
        <v>43</v>
      </c>
      <c r="B227" s="226" t="s">
        <v>519</v>
      </c>
      <c r="C227" s="250" t="s">
        <v>3912</v>
      </c>
      <c r="D227" s="268" t="s">
        <v>495</v>
      </c>
      <c r="E227" s="251">
        <v>44124.0</v>
      </c>
      <c r="F227" s="250" t="s">
        <v>521</v>
      </c>
      <c r="G227" s="403">
        <v>3.0</v>
      </c>
      <c r="H227" s="403">
        <v>30.0</v>
      </c>
      <c r="I227" s="403">
        <v>40.0</v>
      </c>
      <c r="J227" s="391">
        <f t="shared" si="2"/>
        <v>0.003583739224</v>
      </c>
      <c r="K227" s="392">
        <f t="shared" si="3"/>
        <v>0.9676095904</v>
      </c>
      <c r="L227" s="327">
        <f t="shared" si="4"/>
        <v>3.729725973</v>
      </c>
      <c r="M227" s="321" t="str">
        <f t="shared" si="5"/>
        <v>markop</v>
      </c>
      <c r="N227" s="176">
        <f>IFERROR(__xludf.DUMMYFUNCTION("""COMPUTED_VALUE"""),3.0)</f>
        <v>3</v>
      </c>
      <c r="O227" s="176"/>
      <c r="P227" s="176"/>
      <c r="Q227" s="176"/>
      <c r="R227" s="176"/>
      <c r="S227" s="176"/>
      <c r="T227" s="176"/>
      <c r="U227" s="176"/>
      <c r="V227" s="176"/>
      <c r="W227" s="176"/>
      <c r="X227" s="176"/>
      <c r="Y227" s="176"/>
      <c r="Z227" s="176"/>
    </row>
    <row r="228">
      <c r="A228" s="226" t="s">
        <v>52</v>
      </c>
      <c r="B228" s="226" t="s">
        <v>519</v>
      </c>
      <c r="C228" s="250" t="s">
        <v>3913</v>
      </c>
      <c r="D228" s="268" t="s">
        <v>495</v>
      </c>
      <c r="E228" s="251">
        <v>44124.0</v>
      </c>
      <c r="F228" s="250" t="s">
        <v>521</v>
      </c>
      <c r="G228" s="403">
        <v>3.0</v>
      </c>
      <c r="H228" s="403">
        <v>100.0</v>
      </c>
      <c r="I228" s="403">
        <v>40.0</v>
      </c>
      <c r="J228" s="391">
        <f t="shared" si="2"/>
        <v>0.007141734547</v>
      </c>
      <c r="K228" s="392">
        <f t="shared" si="3"/>
        <v>1.928268328</v>
      </c>
      <c r="L228" s="327">
        <f t="shared" si="4"/>
        <v>1.928268328</v>
      </c>
      <c r="M228" s="321" t="str">
        <f t="shared" si="5"/>
        <v>randomshinichi</v>
      </c>
      <c r="N228" s="176">
        <f>IFERROR(__xludf.DUMMYFUNCTION("""COMPUTED_VALUE"""),1.0)</f>
        <v>1</v>
      </c>
      <c r="O228" s="176"/>
      <c r="P228" s="176"/>
      <c r="Q228" s="176"/>
      <c r="R228" s="176"/>
      <c r="S228" s="176"/>
      <c r="T228" s="176"/>
      <c r="U228" s="176"/>
      <c r="V228" s="176"/>
      <c r="W228" s="176"/>
      <c r="X228" s="176"/>
      <c r="Y228" s="176"/>
      <c r="Z228" s="176"/>
    </row>
    <row r="229">
      <c r="A229" s="226" t="s">
        <v>120</v>
      </c>
      <c r="B229" s="226" t="s">
        <v>5</v>
      </c>
      <c r="C229" s="250" t="s">
        <v>3902</v>
      </c>
      <c r="D229" s="268" t="s">
        <v>495</v>
      </c>
      <c r="E229" s="251">
        <v>44124.0</v>
      </c>
      <c r="F229" s="250" t="s">
        <v>496</v>
      </c>
      <c r="G229" s="403">
        <v>1.0</v>
      </c>
      <c r="H229" s="403">
        <v>20.0</v>
      </c>
      <c r="I229" s="403">
        <v>60.0</v>
      </c>
      <c r="J229" s="391">
        <f t="shared" si="2"/>
        <v>0.00410489622</v>
      </c>
      <c r="K229" s="392">
        <f t="shared" si="3"/>
        <v>1.108321979</v>
      </c>
      <c r="L229" s="327">
        <f t="shared" si="4"/>
        <v>1.135943143</v>
      </c>
      <c r="M229" s="321" t="str">
        <f t="shared" si="5"/>
        <v>sepu85</v>
      </c>
      <c r="N229" s="176">
        <f>IFERROR(__xludf.DUMMYFUNCTION("""COMPUTED_VALUE"""),2.0)</f>
        <v>2</v>
      </c>
      <c r="O229" s="176"/>
      <c r="P229" s="176"/>
      <c r="Q229" s="176"/>
      <c r="R229" s="176"/>
      <c r="S229" s="176"/>
      <c r="T229" s="176"/>
      <c r="U229" s="176"/>
      <c r="V229" s="176"/>
      <c r="W229" s="176"/>
      <c r="X229" s="176"/>
      <c r="Y229" s="176"/>
      <c r="Z229" s="176"/>
    </row>
    <row r="230">
      <c r="A230" s="226" t="s">
        <v>111</v>
      </c>
      <c r="B230" s="226" t="s">
        <v>519</v>
      </c>
      <c r="C230" s="250" t="s">
        <v>3914</v>
      </c>
      <c r="D230" s="268" t="s">
        <v>495</v>
      </c>
      <c r="E230" s="251">
        <v>44124.0</v>
      </c>
      <c r="F230" s="250" t="s">
        <v>521</v>
      </c>
      <c r="G230" s="403">
        <v>3.0</v>
      </c>
      <c r="H230" s="403">
        <v>20.0</v>
      </c>
      <c r="I230" s="403">
        <v>40.0</v>
      </c>
      <c r="J230" s="391">
        <f t="shared" si="2"/>
        <v>0.003075454177</v>
      </c>
      <c r="K230" s="392">
        <f t="shared" si="3"/>
        <v>0.8303726279</v>
      </c>
      <c r="L230" s="327">
        <f t="shared" si="4"/>
        <v>0.8303726279</v>
      </c>
      <c r="M230" s="321" t="str">
        <f t="shared" si="5"/>
        <v>simunstrukan</v>
      </c>
      <c r="N230" s="176">
        <f>IFERROR(__xludf.DUMMYFUNCTION("""COMPUTED_VALUE"""),1.0)</f>
        <v>1</v>
      </c>
      <c r="O230" s="176"/>
      <c r="P230" s="176"/>
      <c r="Q230" s="176"/>
      <c r="R230" s="176"/>
      <c r="S230" s="176"/>
      <c r="T230" s="176"/>
      <c r="U230" s="176"/>
      <c r="V230" s="176"/>
      <c r="W230" s="176"/>
      <c r="X230" s="176"/>
      <c r="Y230" s="176"/>
      <c r="Z230" s="176"/>
    </row>
    <row r="231">
      <c r="A231" s="226" t="s">
        <v>50</v>
      </c>
      <c r="B231" s="226" t="s">
        <v>1577</v>
      </c>
      <c r="C231" s="250" t="s">
        <v>3915</v>
      </c>
      <c r="D231" s="268" t="s">
        <v>495</v>
      </c>
      <c r="E231" s="251">
        <v>44124.0</v>
      </c>
      <c r="F231" s="250" t="s">
        <v>496</v>
      </c>
      <c r="G231" s="403">
        <v>1.0</v>
      </c>
      <c r="H231" s="403">
        <v>10.0</v>
      </c>
      <c r="I231" s="403">
        <v>30.0</v>
      </c>
      <c r="J231" s="391">
        <f t="shared" si="2"/>
        <v>0.00205244811</v>
      </c>
      <c r="K231" s="392">
        <f t="shared" si="3"/>
        <v>0.5541609897</v>
      </c>
      <c r="L231" s="327">
        <f t="shared" si="4"/>
        <v>0.5541609897</v>
      </c>
      <c r="M231" s="321" t="str">
        <f t="shared" si="5"/>
        <v>geleeroyale</v>
      </c>
      <c r="N231" s="176">
        <f>IFERROR(__xludf.DUMMYFUNCTION("""COMPUTED_VALUE"""),1.0)</f>
        <v>1</v>
      </c>
      <c r="O231" s="176"/>
      <c r="P231" s="176"/>
      <c r="Q231" s="176"/>
      <c r="R231" s="176"/>
      <c r="S231" s="176"/>
      <c r="T231" s="176"/>
      <c r="U231" s="176"/>
      <c r="V231" s="176"/>
      <c r="W231" s="176"/>
      <c r="X231" s="176"/>
      <c r="Y231" s="176"/>
      <c r="Z231" s="176"/>
    </row>
    <row r="232">
      <c r="A232" s="226" t="s">
        <v>384</v>
      </c>
      <c r="B232" s="226" t="s">
        <v>5</v>
      </c>
      <c r="C232" s="250" t="s">
        <v>3916</v>
      </c>
      <c r="D232" s="268" t="s">
        <v>495</v>
      </c>
      <c r="E232" s="251">
        <v>44124.0</v>
      </c>
      <c r="F232" s="250" t="s">
        <v>496</v>
      </c>
      <c r="G232" s="403">
        <v>1.0</v>
      </c>
      <c r="H232" s="403">
        <v>1.0</v>
      </c>
      <c r="I232" s="403">
        <v>1.0</v>
      </c>
      <c r="J232" s="391">
        <f t="shared" si="2"/>
        <v>0.0001023006067</v>
      </c>
      <c r="K232" s="392">
        <f t="shared" si="3"/>
        <v>0.02762116382</v>
      </c>
      <c r="L232" s="327">
        <f t="shared" si="4"/>
        <v>0.02762116382</v>
      </c>
      <c r="M232" s="321" t="str">
        <f t="shared" si="5"/>
        <v>llll79</v>
      </c>
      <c r="N232" s="176">
        <f>IFERROR(__xludf.DUMMYFUNCTION("""COMPUTED_VALUE"""),1.0)</f>
        <v>1</v>
      </c>
      <c r="O232" s="176"/>
      <c r="P232" s="176"/>
      <c r="Q232" s="176"/>
      <c r="R232" s="176"/>
      <c r="S232" s="176"/>
      <c r="T232" s="176"/>
      <c r="U232" s="176"/>
      <c r="V232" s="176"/>
      <c r="W232" s="176"/>
      <c r="X232" s="176"/>
      <c r="Y232" s="176"/>
      <c r="Z232" s="176"/>
    </row>
    <row r="233">
      <c r="A233" s="226" t="s">
        <v>16</v>
      </c>
      <c r="B233" s="226" t="s">
        <v>590</v>
      </c>
      <c r="C233" s="250" t="s">
        <v>3917</v>
      </c>
      <c r="D233" s="268" t="s">
        <v>495</v>
      </c>
      <c r="E233" s="251">
        <v>44124.0</v>
      </c>
      <c r="F233" s="250" t="s">
        <v>496</v>
      </c>
      <c r="G233" s="403">
        <v>1.0</v>
      </c>
      <c r="H233" s="403">
        <v>0.0</v>
      </c>
      <c r="I233" s="403">
        <v>0.0</v>
      </c>
      <c r="J233" s="391">
        <f t="shared" si="2"/>
        <v>0</v>
      </c>
      <c r="K233" s="392">
        <f t="shared" si="3"/>
        <v>0</v>
      </c>
      <c r="L233" s="327">
        <f t="shared" si="4"/>
        <v>0</v>
      </c>
      <c r="M233" s="321" t="str">
        <f t="shared" si="5"/>
        <v>griffgreen</v>
      </c>
      <c r="N233" s="176">
        <f>IFERROR(__xludf.DUMMYFUNCTION("""COMPUTED_VALUE"""),14.0)</f>
        <v>14</v>
      </c>
      <c r="O233" s="176"/>
      <c r="P233" s="176"/>
      <c r="Q233" s="176"/>
      <c r="R233" s="176"/>
      <c r="S233" s="176"/>
      <c r="T233" s="176"/>
      <c r="U233" s="176"/>
      <c r="V233" s="176"/>
      <c r="W233" s="176"/>
      <c r="X233" s="176"/>
      <c r="Y233" s="176"/>
      <c r="Z233" s="176"/>
    </row>
    <row r="234">
      <c r="A234" s="226" t="s">
        <v>16</v>
      </c>
      <c r="B234" s="226" t="s">
        <v>5</v>
      </c>
      <c r="C234" s="250" t="s">
        <v>3902</v>
      </c>
      <c r="D234" s="268" t="s">
        <v>495</v>
      </c>
      <c r="E234" s="251">
        <v>44124.0</v>
      </c>
      <c r="F234" s="250" t="s">
        <v>496</v>
      </c>
      <c r="G234" s="403">
        <v>1.0</v>
      </c>
      <c r="H234" s="411">
        <v>0.0</v>
      </c>
      <c r="I234" s="411">
        <v>0.0</v>
      </c>
      <c r="J234" s="391">
        <f t="shared" si="2"/>
        <v>0</v>
      </c>
      <c r="K234" s="392">
        <f t="shared" si="3"/>
        <v>0</v>
      </c>
      <c r="L234" s="327">
        <f t="shared" si="4"/>
        <v>0</v>
      </c>
      <c r="M234" s="321" t="str">
        <f t="shared" si="5"/>
        <v>griffgreen</v>
      </c>
      <c r="N234" s="176">
        <f>IFERROR(__xludf.DUMMYFUNCTION("""COMPUTED_VALUE"""),15.0)</f>
        <v>15</v>
      </c>
      <c r="O234" s="176"/>
      <c r="P234" s="176"/>
      <c r="Q234" s="176"/>
      <c r="R234" s="176"/>
      <c r="S234" s="176"/>
      <c r="T234" s="176"/>
      <c r="U234" s="176"/>
      <c r="V234" s="176"/>
      <c r="W234" s="176"/>
      <c r="X234" s="176"/>
      <c r="Y234" s="176"/>
      <c r="Z234" s="176"/>
    </row>
    <row r="235">
      <c r="A235" s="226" t="s">
        <v>16</v>
      </c>
      <c r="B235" s="226" t="s">
        <v>5</v>
      </c>
      <c r="C235" s="250" t="s">
        <v>3903</v>
      </c>
      <c r="D235" s="268" t="s">
        <v>495</v>
      </c>
      <c r="E235" s="251">
        <v>44124.0</v>
      </c>
      <c r="F235" s="250" t="s">
        <v>496</v>
      </c>
      <c r="G235" s="403">
        <v>1.0</v>
      </c>
      <c r="H235" s="403">
        <v>0.0</v>
      </c>
      <c r="I235" s="403">
        <v>0.0</v>
      </c>
      <c r="J235" s="391">
        <f t="shared" si="2"/>
        <v>0</v>
      </c>
      <c r="K235" s="392">
        <f t="shared" si="3"/>
        <v>0</v>
      </c>
      <c r="L235" s="327">
        <f t="shared" si="4"/>
        <v>0</v>
      </c>
      <c r="M235" s="321" t="str">
        <f t="shared" si="5"/>
        <v>griffgreen</v>
      </c>
      <c r="N235" s="176">
        <f>IFERROR(__xludf.DUMMYFUNCTION("""COMPUTED_VALUE"""),16.0)</f>
        <v>16</v>
      </c>
      <c r="O235" s="176"/>
      <c r="P235" s="176"/>
      <c r="Q235" s="176"/>
      <c r="R235" s="176"/>
      <c r="S235" s="176"/>
      <c r="T235" s="176"/>
      <c r="U235" s="176"/>
      <c r="V235" s="176"/>
      <c r="W235" s="176"/>
      <c r="X235" s="176"/>
      <c r="Y235" s="226"/>
      <c r="Z235" s="226"/>
    </row>
    <row r="236">
      <c r="A236" s="226" t="s">
        <v>16</v>
      </c>
      <c r="B236" s="226" t="s">
        <v>5</v>
      </c>
      <c r="C236" s="250" t="s">
        <v>3904</v>
      </c>
      <c r="D236" s="268" t="s">
        <v>495</v>
      </c>
      <c r="E236" s="251">
        <v>44124.0</v>
      </c>
      <c r="F236" s="250" t="s">
        <v>496</v>
      </c>
      <c r="G236" s="403">
        <v>1.0</v>
      </c>
      <c r="H236" s="403">
        <v>0.0</v>
      </c>
      <c r="I236" s="403">
        <v>0.0</v>
      </c>
      <c r="J236" s="391">
        <f t="shared" si="2"/>
        <v>0</v>
      </c>
      <c r="K236" s="392">
        <f t="shared" si="3"/>
        <v>0</v>
      </c>
      <c r="L236" s="327">
        <f t="shared" si="4"/>
        <v>0</v>
      </c>
      <c r="M236" s="321" t="str">
        <f t="shared" si="5"/>
        <v>griffgreen</v>
      </c>
      <c r="N236" s="176">
        <f>IFERROR(__xludf.DUMMYFUNCTION("""COMPUTED_VALUE"""),17.0)</f>
        <v>17</v>
      </c>
      <c r="O236" s="176"/>
      <c r="P236" s="176"/>
      <c r="Q236" s="176"/>
      <c r="R236" s="176"/>
      <c r="S236" s="176"/>
      <c r="T236" s="176"/>
      <c r="U236" s="176"/>
      <c r="V236" s="176"/>
      <c r="W236" s="176"/>
      <c r="X236" s="176"/>
      <c r="Y236" s="176"/>
      <c r="Z236" s="176"/>
    </row>
    <row r="237">
      <c r="A237" s="226" t="s">
        <v>16</v>
      </c>
      <c r="B237" s="226" t="s">
        <v>1577</v>
      </c>
      <c r="C237" s="250" t="s">
        <v>3918</v>
      </c>
      <c r="D237" s="268" t="s">
        <v>495</v>
      </c>
      <c r="E237" s="251">
        <v>44124.0</v>
      </c>
      <c r="F237" s="250" t="s">
        <v>496</v>
      </c>
      <c r="G237" s="403">
        <v>1.0</v>
      </c>
      <c r="H237" s="403">
        <v>0.0</v>
      </c>
      <c r="I237" s="403">
        <v>0.0</v>
      </c>
      <c r="J237" s="391">
        <f t="shared" si="2"/>
        <v>0</v>
      </c>
      <c r="K237" s="392">
        <f t="shared" si="3"/>
        <v>0</v>
      </c>
      <c r="L237" s="327">
        <f t="shared" si="4"/>
        <v>0</v>
      </c>
      <c r="M237" s="321" t="str">
        <f t="shared" si="5"/>
        <v>griffgreen</v>
      </c>
      <c r="N237" s="176">
        <f>IFERROR(__xludf.DUMMYFUNCTION("""COMPUTED_VALUE"""),18.0)</f>
        <v>18</v>
      </c>
      <c r="O237" s="176"/>
      <c r="P237" s="176"/>
      <c r="Q237" s="176"/>
      <c r="R237" s="176"/>
      <c r="S237" s="176"/>
      <c r="T237" s="176"/>
      <c r="U237" s="176"/>
      <c r="V237" s="176"/>
      <c r="W237" s="176"/>
      <c r="X237" s="176"/>
      <c r="Y237" s="176"/>
      <c r="Z237" s="176"/>
    </row>
    <row r="238">
      <c r="A238" s="226" t="s">
        <v>18</v>
      </c>
      <c r="B238" s="226" t="s">
        <v>5</v>
      </c>
      <c r="C238" s="250" t="s">
        <v>3902</v>
      </c>
      <c r="D238" s="268" t="s">
        <v>495</v>
      </c>
      <c r="E238" s="251">
        <v>44124.0</v>
      </c>
      <c r="F238" s="250" t="s">
        <v>496</v>
      </c>
      <c r="G238" s="403">
        <v>1.0</v>
      </c>
      <c r="H238" s="411">
        <v>0.0</v>
      </c>
      <c r="I238" s="411">
        <v>0.0</v>
      </c>
      <c r="J238" s="391">
        <f t="shared" si="2"/>
        <v>0</v>
      </c>
      <c r="K238" s="392">
        <f t="shared" si="3"/>
        <v>0</v>
      </c>
      <c r="L238" s="327">
        <f t="shared" si="4"/>
        <v>0</v>
      </c>
      <c r="M238" s="321" t="str">
        <f t="shared" si="5"/>
        <v>liviade</v>
      </c>
      <c r="N238" s="176">
        <f>IFERROR(__xludf.DUMMYFUNCTION("""COMPUTED_VALUE"""),10.0)</f>
        <v>10</v>
      </c>
      <c r="O238" s="176"/>
      <c r="P238" s="176"/>
      <c r="Q238" s="176"/>
      <c r="R238" s="176"/>
      <c r="S238" s="176"/>
      <c r="T238" s="176"/>
      <c r="U238" s="176"/>
      <c r="V238" s="176"/>
      <c r="W238" s="176"/>
      <c r="X238" s="176"/>
      <c r="Y238" s="176"/>
      <c r="Z238" s="176"/>
    </row>
    <row r="239">
      <c r="A239" s="226" t="s">
        <v>18</v>
      </c>
      <c r="B239" s="226" t="s">
        <v>5</v>
      </c>
      <c r="C239" s="250" t="s">
        <v>3903</v>
      </c>
      <c r="D239" s="268" t="s">
        <v>495</v>
      </c>
      <c r="E239" s="251">
        <v>44124.0</v>
      </c>
      <c r="F239" s="250" t="s">
        <v>496</v>
      </c>
      <c r="G239" s="403">
        <v>1.0</v>
      </c>
      <c r="H239" s="403">
        <v>0.0</v>
      </c>
      <c r="I239" s="403">
        <v>0.0</v>
      </c>
      <c r="J239" s="391">
        <f t="shared" si="2"/>
        <v>0</v>
      </c>
      <c r="K239" s="392">
        <f t="shared" si="3"/>
        <v>0</v>
      </c>
      <c r="L239" s="327">
        <f t="shared" si="4"/>
        <v>0</v>
      </c>
      <c r="M239" s="321" t="str">
        <f t="shared" si="5"/>
        <v>liviade</v>
      </c>
      <c r="N239" s="176">
        <f>IFERROR(__xludf.DUMMYFUNCTION("""COMPUTED_VALUE"""),11.0)</f>
        <v>11</v>
      </c>
      <c r="O239" s="176"/>
      <c r="P239" s="176"/>
      <c r="Q239" s="176"/>
      <c r="R239" s="176"/>
      <c r="S239" s="176"/>
      <c r="T239" s="176"/>
      <c r="U239" s="176"/>
      <c r="V239" s="176"/>
      <c r="W239" s="176"/>
      <c r="X239" s="176"/>
      <c r="Y239" s="176"/>
      <c r="Z239" s="176"/>
    </row>
    <row r="240">
      <c r="A240" s="226" t="s">
        <v>18</v>
      </c>
      <c r="B240" s="226" t="s">
        <v>5</v>
      </c>
      <c r="C240" s="250" t="s">
        <v>3904</v>
      </c>
      <c r="D240" s="268" t="s">
        <v>495</v>
      </c>
      <c r="E240" s="251">
        <v>44124.0</v>
      </c>
      <c r="F240" s="250" t="s">
        <v>496</v>
      </c>
      <c r="G240" s="403">
        <v>1.0</v>
      </c>
      <c r="H240" s="403">
        <v>0.0</v>
      </c>
      <c r="I240" s="403">
        <v>0.0</v>
      </c>
      <c r="J240" s="391">
        <f t="shared" si="2"/>
        <v>0</v>
      </c>
      <c r="K240" s="392">
        <f t="shared" si="3"/>
        <v>0</v>
      </c>
      <c r="L240" s="327">
        <f t="shared" si="4"/>
        <v>0</v>
      </c>
      <c r="M240" s="321" t="str">
        <f t="shared" si="5"/>
        <v>liviade</v>
      </c>
      <c r="N240" s="176">
        <f>IFERROR(__xludf.DUMMYFUNCTION("""COMPUTED_VALUE"""),12.0)</f>
        <v>12</v>
      </c>
      <c r="O240" s="176"/>
      <c r="P240" s="176"/>
      <c r="Q240" s="176"/>
      <c r="R240" s="176"/>
      <c r="S240" s="176"/>
      <c r="T240" s="176"/>
      <c r="U240" s="176"/>
      <c r="V240" s="176"/>
      <c r="W240" s="176"/>
      <c r="X240" s="176"/>
      <c r="Y240" s="176"/>
      <c r="Z240" s="176"/>
    </row>
    <row r="241">
      <c r="A241" s="226" t="s">
        <v>4</v>
      </c>
      <c r="B241" s="226" t="s">
        <v>18</v>
      </c>
      <c r="C241" s="250" t="s">
        <v>3919</v>
      </c>
      <c r="D241" s="268" t="s">
        <v>495</v>
      </c>
      <c r="E241" s="251">
        <v>44125.0</v>
      </c>
      <c r="F241" s="250" t="s">
        <v>496</v>
      </c>
      <c r="G241" s="403">
        <v>1.0</v>
      </c>
      <c r="H241" s="403">
        <v>100.0</v>
      </c>
      <c r="I241" s="403">
        <v>70.0</v>
      </c>
      <c r="J241" s="391">
        <f t="shared" si="2"/>
        <v>0.008685897611</v>
      </c>
      <c r="K241" s="392">
        <f t="shared" si="3"/>
        <v>2.345192355</v>
      </c>
      <c r="L241" s="327">
        <f t="shared" si="4"/>
        <v>21.03811271</v>
      </c>
      <c r="M241" s="321" t="str">
        <f t="shared" si="5"/>
        <v>santigs67</v>
      </c>
      <c r="N241" s="176">
        <f>IFERROR(__xludf.DUMMYFUNCTION("""COMPUTED_VALUE"""),13.0)</f>
        <v>13</v>
      </c>
      <c r="O241" s="176"/>
      <c r="P241" s="176"/>
      <c r="Q241" s="176"/>
      <c r="R241" s="176"/>
      <c r="S241" s="176"/>
      <c r="T241" s="176"/>
      <c r="U241" s="176"/>
      <c r="V241" s="176"/>
      <c r="W241" s="176"/>
      <c r="X241" s="176"/>
      <c r="Y241" s="176"/>
      <c r="Z241" s="176"/>
    </row>
    <row r="242">
      <c r="A242" s="226" t="s">
        <v>5</v>
      </c>
      <c r="B242" s="226" t="s">
        <v>18</v>
      </c>
      <c r="C242" s="250" t="s">
        <v>3920</v>
      </c>
      <c r="D242" s="268" t="s">
        <v>495</v>
      </c>
      <c r="E242" s="251">
        <v>44125.0</v>
      </c>
      <c r="F242" s="250" t="s">
        <v>496</v>
      </c>
      <c r="G242" s="403">
        <v>1.0</v>
      </c>
      <c r="H242" s="403">
        <v>100.0</v>
      </c>
      <c r="I242" s="403">
        <v>100.0</v>
      </c>
      <c r="J242" s="391">
        <f t="shared" si="2"/>
        <v>0.01023006067</v>
      </c>
      <c r="K242" s="392">
        <f t="shared" si="3"/>
        <v>2.762116382</v>
      </c>
      <c r="L242" s="327">
        <f t="shared" si="4"/>
        <v>20.43444809</v>
      </c>
      <c r="M242" s="321" t="str">
        <f t="shared" si="5"/>
        <v>cranders71</v>
      </c>
      <c r="N242" s="176">
        <f>IFERROR(__xludf.DUMMYFUNCTION("""COMPUTED_VALUE"""),9.0)</f>
        <v>9</v>
      </c>
      <c r="O242" s="176"/>
      <c r="P242" s="176"/>
      <c r="Q242" s="176"/>
      <c r="R242" s="176"/>
      <c r="S242" s="176"/>
      <c r="T242" s="176"/>
      <c r="U242" s="176"/>
      <c r="V242" s="176"/>
      <c r="W242" s="176"/>
      <c r="X242" s="176"/>
      <c r="Y242" s="176"/>
      <c r="Z242" s="176"/>
    </row>
    <row r="243">
      <c r="A243" s="226" t="s">
        <v>5</v>
      </c>
      <c r="B243" s="226" t="s">
        <v>18</v>
      </c>
      <c r="C243" s="250" t="s">
        <v>3921</v>
      </c>
      <c r="D243" s="268" t="s">
        <v>495</v>
      </c>
      <c r="E243" s="251">
        <v>44125.0</v>
      </c>
      <c r="F243" s="250" t="s">
        <v>496</v>
      </c>
      <c r="G243" s="403">
        <v>1.0</v>
      </c>
      <c r="H243" s="403">
        <v>100.0</v>
      </c>
      <c r="I243" s="403">
        <v>100.0</v>
      </c>
      <c r="J243" s="391">
        <f t="shared" si="2"/>
        <v>0.01023006067</v>
      </c>
      <c r="K243" s="392">
        <f t="shared" si="3"/>
        <v>2.762116382</v>
      </c>
      <c r="L243" s="327">
        <f t="shared" si="4"/>
        <v>20.43444809</v>
      </c>
      <c r="M243" s="321" t="str">
        <f t="shared" si="5"/>
        <v>cranders71</v>
      </c>
      <c r="N243" s="176">
        <f>IFERROR(__xludf.DUMMYFUNCTION("""COMPUTED_VALUE"""),10.0)</f>
        <v>10</v>
      </c>
      <c r="O243" s="176"/>
      <c r="P243" s="176"/>
      <c r="Q243" s="176"/>
      <c r="R243" s="176"/>
      <c r="S243" s="176"/>
      <c r="T243" s="176"/>
      <c r="U243" s="176"/>
      <c r="V243" s="176"/>
      <c r="W243" s="176"/>
      <c r="X243" s="176"/>
      <c r="Y243" s="176"/>
      <c r="Z243" s="176"/>
    </row>
    <row r="244">
      <c r="A244" s="226" t="s">
        <v>9</v>
      </c>
      <c r="B244" s="226" t="s">
        <v>18</v>
      </c>
      <c r="C244" s="250" t="s">
        <v>3922</v>
      </c>
      <c r="D244" s="268" t="s">
        <v>495</v>
      </c>
      <c r="E244" s="251">
        <v>44125.0</v>
      </c>
      <c r="F244" s="250" t="s">
        <v>496</v>
      </c>
      <c r="G244" s="403">
        <v>2.0</v>
      </c>
      <c r="H244" s="403">
        <v>60.0</v>
      </c>
      <c r="I244" s="403">
        <v>100.0</v>
      </c>
      <c r="J244" s="391">
        <f t="shared" si="2"/>
        <v>0.00819692049</v>
      </c>
      <c r="K244" s="392">
        <f t="shared" si="3"/>
        <v>2.213168532</v>
      </c>
      <c r="L244" s="327">
        <f t="shared" si="4"/>
        <v>17.88774457</v>
      </c>
      <c r="M244" s="321" t="str">
        <f t="shared" si="5"/>
        <v>akrtws</v>
      </c>
      <c r="N244" s="176">
        <f>IFERROR(__xludf.DUMMYFUNCTION("""COMPUTED_VALUE"""),11.0)</f>
        <v>11</v>
      </c>
      <c r="O244" s="176"/>
      <c r="P244" s="176"/>
      <c r="Q244" s="176"/>
      <c r="R244" s="176"/>
      <c r="S244" s="176"/>
      <c r="T244" s="176"/>
      <c r="U244" s="176"/>
      <c r="V244" s="176"/>
      <c r="W244" s="176"/>
      <c r="X244" s="176"/>
      <c r="Y244" s="176"/>
      <c r="Z244" s="176"/>
    </row>
    <row r="245">
      <c r="A245" s="226" t="s">
        <v>3</v>
      </c>
      <c r="B245" s="226" t="s">
        <v>18</v>
      </c>
      <c r="C245" s="250" t="s">
        <v>3923</v>
      </c>
      <c r="D245" s="268" t="s">
        <v>495</v>
      </c>
      <c r="E245" s="251">
        <v>44125.0</v>
      </c>
      <c r="F245" s="250" t="s">
        <v>496</v>
      </c>
      <c r="G245" s="403" t="s">
        <v>3752</v>
      </c>
      <c r="H245" s="403">
        <v>0.0</v>
      </c>
      <c r="I245" s="403">
        <v>0.0</v>
      </c>
      <c r="J245" s="391">
        <f t="shared" si="2"/>
        <v>0</v>
      </c>
      <c r="K245" s="392">
        <f t="shared" si="3"/>
        <v>0</v>
      </c>
      <c r="L245" s="327">
        <f t="shared" si="4"/>
        <v>10.08693793</v>
      </c>
      <c r="M245" s="321" t="str">
        <f t="shared" si="5"/>
        <v>zeptimusq</v>
      </c>
      <c r="N245" s="176">
        <f>IFERROR(__xludf.DUMMYFUNCTION("""COMPUTED_VALUE"""),6.0)</f>
        <v>6</v>
      </c>
      <c r="O245" s="176"/>
      <c r="P245" s="176"/>
      <c r="Q245" s="176"/>
      <c r="R245" s="176"/>
      <c r="S245" s="176"/>
      <c r="T245" s="176"/>
      <c r="U245" s="176"/>
      <c r="V245" s="176"/>
      <c r="W245" s="176"/>
      <c r="X245" s="176"/>
      <c r="Y245" s="176"/>
      <c r="Z245" s="176"/>
    </row>
    <row r="246">
      <c r="A246" s="226" t="s">
        <v>110</v>
      </c>
      <c r="B246" s="226" t="s">
        <v>18</v>
      </c>
      <c r="C246" s="250" t="s">
        <v>3922</v>
      </c>
      <c r="D246" s="268" t="s">
        <v>495</v>
      </c>
      <c r="E246" s="251">
        <v>44125.0</v>
      </c>
      <c r="F246" s="250" t="s">
        <v>496</v>
      </c>
      <c r="G246" s="403">
        <v>2.0</v>
      </c>
      <c r="H246" s="403">
        <v>60.0</v>
      </c>
      <c r="I246" s="403">
        <v>60.0</v>
      </c>
      <c r="J246" s="391">
        <f t="shared" si="2"/>
        <v>0.006138036405</v>
      </c>
      <c r="K246" s="392">
        <f t="shared" si="3"/>
        <v>1.657269829</v>
      </c>
      <c r="L246" s="327">
        <f t="shared" si="4"/>
        <v>4.999430652</v>
      </c>
      <c r="M246" s="321" t="str">
        <f t="shared" si="5"/>
        <v>jonassft</v>
      </c>
      <c r="N246" s="176">
        <f>IFERROR(__xludf.DUMMYFUNCTION("""COMPUTED_VALUE"""),4.0)</f>
        <v>4</v>
      </c>
      <c r="O246" s="176"/>
      <c r="P246" s="176"/>
      <c r="Q246" s="176"/>
      <c r="R246" s="176"/>
      <c r="S246" s="176"/>
      <c r="T246" s="176"/>
      <c r="U246" s="176"/>
      <c r="V246" s="176"/>
      <c r="W246" s="176"/>
      <c r="X246" s="176"/>
      <c r="Y246" s="176"/>
      <c r="Z246" s="176"/>
    </row>
    <row r="247">
      <c r="A247" s="226" t="s">
        <v>43</v>
      </c>
      <c r="B247" s="226" t="s">
        <v>590</v>
      </c>
      <c r="C247" s="250" t="s">
        <v>3924</v>
      </c>
      <c r="D247" s="268" t="s">
        <v>495</v>
      </c>
      <c r="E247" s="251">
        <v>44125.0</v>
      </c>
      <c r="F247" s="250" t="s">
        <v>496</v>
      </c>
      <c r="G247" s="403">
        <v>1.0</v>
      </c>
      <c r="H247" s="403">
        <v>100.0</v>
      </c>
      <c r="I247" s="403">
        <v>100.0</v>
      </c>
      <c r="J247" s="391">
        <f t="shared" si="2"/>
        <v>0.01023006067</v>
      </c>
      <c r="K247" s="392">
        <f t="shared" si="3"/>
        <v>2.762116382</v>
      </c>
      <c r="L247" s="327">
        <f t="shared" si="4"/>
        <v>3.729725973</v>
      </c>
      <c r="M247" s="321" t="str">
        <f t="shared" si="5"/>
        <v>markop</v>
      </c>
      <c r="N247" s="176">
        <f>IFERROR(__xludf.DUMMYFUNCTION("""COMPUTED_VALUE"""),4.0)</f>
        <v>4</v>
      </c>
      <c r="O247" s="176"/>
      <c r="P247" s="176"/>
      <c r="Q247" s="176"/>
      <c r="R247" s="176"/>
      <c r="S247" s="176"/>
      <c r="T247" s="176"/>
      <c r="U247" s="176"/>
      <c r="V247" s="176"/>
      <c r="W247" s="176"/>
      <c r="X247" s="176"/>
      <c r="Y247" s="176"/>
      <c r="Z247" s="176"/>
    </row>
    <row r="248">
      <c r="A248" s="226" t="s">
        <v>107</v>
      </c>
      <c r="B248" s="226" t="s">
        <v>18</v>
      </c>
      <c r="C248" s="250" t="s">
        <v>3925</v>
      </c>
      <c r="D248" s="268" t="s">
        <v>495</v>
      </c>
      <c r="E248" s="251">
        <v>44125.0</v>
      </c>
      <c r="F248" s="250" t="s">
        <v>496</v>
      </c>
      <c r="G248" s="403">
        <v>2.0</v>
      </c>
      <c r="H248" s="403">
        <v>60.0</v>
      </c>
      <c r="I248" s="403">
        <v>60.0</v>
      </c>
      <c r="J248" s="391">
        <f t="shared" si="2"/>
        <v>0.006138036405</v>
      </c>
      <c r="K248" s="392">
        <f t="shared" si="3"/>
        <v>1.657269829</v>
      </c>
      <c r="L248" s="327">
        <f t="shared" si="4"/>
        <v>1.657269829</v>
      </c>
      <c r="M248" s="321" t="str">
        <f t="shared" si="5"/>
        <v>papa_raw</v>
      </c>
      <c r="N248" s="176">
        <f>IFERROR(__xludf.DUMMYFUNCTION("""COMPUTED_VALUE"""),1.0)</f>
        <v>1</v>
      </c>
      <c r="O248" s="176"/>
      <c r="P248" s="176"/>
      <c r="Q248" s="176"/>
      <c r="R248" s="176"/>
      <c r="S248" s="176"/>
      <c r="T248" s="176"/>
      <c r="U248" s="176"/>
      <c r="V248" s="176"/>
      <c r="W248" s="176"/>
      <c r="X248" s="176"/>
      <c r="Y248" s="176"/>
      <c r="Z248" s="176"/>
    </row>
    <row r="249">
      <c r="A249" s="226" t="s">
        <v>123</v>
      </c>
      <c r="B249" s="226" t="s">
        <v>519</v>
      </c>
      <c r="C249" s="250" t="s">
        <v>3926</v>
      </c>
      <c r="D249" s="268" t="s">
        <v>495</v>
      </c>
      <c r="E249" s="251">
        <v>44125.0</v>
      </c>
      <c r="F249" s="250" t="s">
        <v>521</v>
      </c>
      <c r="G249" s="403">
        <v>3.0</v>
      </c>
      <c r="H249" s="403">
        <v>30.0</v>
      </c>
      <c r="I249" s="403">
        <v>40.0</v>
      </c>
      <c r="J249" s="391">
        <f t="shared" si="2"/>
        <v>0.003583739224</v>
      </c>
      <c r="K249" s="392">
        <f t="shared" si="3"/>
        <v>0.9676095904</v>
      </c>
      <c r="L249" s="327">
        <f t="shared" si="4"/>
        <v>0.9676095904</v>
      </c>
      <c r="M249" s="321" t="str">
        <f t="shared" si="5"/>
        <v>lbagic</v>
      </c>
      <c r="N249" s="176">
        <f>IFERROR(__xludf.DUMMYFUNCTION("""COMPUTED_VALUE"""),1.0)</f>
        <v>1</v>
      </c>
      <c r="O249" s="176"/>
      <c r="P249" s="176"/>
      <c r="Q249" s="176"/>
      <c r="R249" s="176"/>
      <c r="S249" s="176"/>
      <c r="T249" s="176"/>
      <c r="U249" s="176"/>
      <c r="V249" s="176"/>
      <c r="W249" s="176"/>
      <c r="X249" s="176"/>
      <c r="Y249" s="176"/>
      <c r="Z249" s="176"/>
    </row>
    <row r="250">
      <c r="A250" s="226" t="s">
        <v>371</v>
      </c>
      <c r="B250" s="226" t="s">
        <v>29</v>
      </c>
      <c r="C250" s="250" t="s">
        <v>3927</v>
      </c>
      <c r="D250" s="268" t="s">
        <v>495</v>
      </c>
      <c r="E250" s="251">
        <v>44125.0</v>
      </c>
      <c r="F250" s="250" t="s">
        <v>499</v>
      </c>
      <c r="G250" s="403">
        <v>3.0</v>
      </c>
      <c r="H250" s="403">
        <v>5.0</v>
      </c>
      <c r="I250" s="403">
        <v>10.0</v>
      </c>
      <c r="J250" s="391">
        <f t="shared" si="2"/>
        <v>0.0007688635443</v>
      </c>
      <c r="K250" s="392">
        <f t="shared" si="3"/>
        <v>0.207593157</v>
      </c>
      <c r="L250" s="327">
        <f t="shared" si="4"/>
        <v>0.207593157</v>
      </c>
      <c r="M250" s="321" t="str">
        <f t="shared" si="5"/>
        <v>econaut6</v>
      </c>
      <c r="N250" s="176">
        <f>IFERROR(__xludf.DUMMYFUNCTION("""COMPUTED_VALUE"""),1.0)</f>
        <v>1</v>
      </c>
      <c r="O250" s="176"/>
      <c r="P250" s="176"/>
      <c r="Q250" s="176"/>
      <c r="R250" s="176"/>
      <c r="S250" s="176"/>
      <c r="T250" s="176"/>
      <c r="U250" s="176"/>
      <c r="V250" s="176"/>
      <c r="W250" s="176"/>
      <c r="X250" s="176"/>
      <c r="Y250" s="176"/>
      <c r="Z250" s="176"/>
    </row>
    <row r="251">
      <c r="A251" s="226" t="s">
        <v>16</v>
      </c>
      <c r="B251" s="226" t="s">
        <v>18</v>
      </c>
      <c r="C251" s="250" t="s">
        <v>3922</v>
      </c>
      <c r="D251" s="268" t="s">
        <v>495</v>
      </c>
      <c r="E251" s="251">
        <v>44125.0</v>
      </c>
      <c r="F251" s="250" t="s">
        <v>496</v>
      </c>
      <c r="G251" s="403">
        <v>2.0</v>
      </c>
      <c r="H251" s="403">
        <v>0.0</v>
      </c>
      <c r="I251" s="403">
        <v>0.0</v>
      </c>
      <c r="J251" s="391">
        <f t="shared" si="2"/>
        <v>0</v>
      </c>
      <c r="K251" s="392">
        <f t="shared" si="3"/>
        <v>0</v>
      </c>
      <c r="L251" s="327">
        <f t="shared" si="4"/>
        <v>0</v>
      </c>
      <c r="M251" s="321" t="str">
        <f t="shared" si="5"/>
        <v>griffgreen</v>
      </c>
      <c r="N251" s="176">
        <f>IFERROR(__xludf.DUMMYFUNCTION("""COMPUTED_VALUE"""),19.0)</f>
        <v>19</v>
      </c>
      <c r="O251" s="176"/>
      <c r="P251" s="176"/>
      <c r="Q251" s="176"/>
      <c r="R251" s="176"/>
      <c r="S251" s="176"/>
      <c r="T251" s="176"/>
      <c r="U251" s="176"/>
      <c r="V251" s="176"/>
      <c r="W251" s="176"/>
      <c r="X251" s="176"/>
      <c r="Y251" s="176"/>
      <c r="Z251" s="176"/>
    </row>
    <row r="252">
      <c r="A252" s="226" t="s">
        <v>18</v>
      </c>
      <c r="B252" s="226" t="s">
        <v>18</v>
      </c>
      <c r="C252" s="250" t="s">
        <v>3922</v>
      </c>
      <c r="D252" s="268" t="s">
        <v>495</v>
      </c>
      <c r="E252" s="251">
        <v>44125.0</v>
      </c>
      <c r="F252" s="250" t="s">
        <v>496</v>
      </c>
      <c r="G252" s="403">
        <v>2.0</v>
      </c>
      <c r="H252" s="403">
        <v>0.0</v>
      </c>
      <c r="I252" s="403">
        <v>0.0</v>
      </c>
      <c r="J252" s="391">
        <f t="shared" si="2"/>
        <v>0</v>
      </c>
      <c r="K252" s="392">
        <f t="shared" si="3"/>
        <v>0</v>
      </c>
      <c r="L252" s="327">
        <f t="shared" si="4"/>
        <v>0</v>
      </c>
      <c r="M252" s="321" t="str">
        <f t="shared" si="5"/>
        <v>liviade</v>
      </c>
      <c r="N252" s="176">
        <f>IFERROR(__xludf.DUMMYFUNCTION("""COMPUTED_VALUE"""),13.0)</f>
        <v>13</v>
      </c>
      <c r="O252" s="176"/>
      <c r="P252" s="176"/>
      <c r="Q252" s="176"/>
      <c r="R252" s="176"/>
      <c r="S252" s="176"/>
      <c r="T252" s="176"/>
      <c r="U252" s="176"/>
      <c r="V252" s="176"/>
      <c r="W252" s="176"/>
      <c r="X252" s="176"/>
      <c r="Y252" s="176"/>
      <c r="Z252" s="176"/>
    </row>
    <row r="253">
      <c r="A253" s="226" t="s">
        <v>6</v>
      </c>
      <c r="B253" s="226" t="s">
        <v>519</v>
      </c>
      <c r="C253" s="250" t="s">
        <v>3928</v>
      </c>
      <c r="D253" s="268" t="s">
        <v>495</v>
      </c>
      <c r="E253" s="251">
        <v>44126.0</v>
      </c>
      <c r="F253" s="250" t="s">
        <v>496</v>
      </c>
      <c r="G253" s="403">
        <v>1.0</v>
      </c>
      <c r="H253" s="403">
        <v>400.0</v>
      </c>
      <c r="I253" s="403">
        <v>400.0</v>
      </c>
      <c r="J253" s="391">
        <f t="shared" si="2"/>
        <v>0.0409202427</v>
      </c>
      <c r="K253" s="392">
        <f t="shared" si="3"/>
        <v>11.04846553</v>
      </c>
      <c r="L253" s="327">
        <f t="shared" si="4"/>
        <v>43.08206471</v>
      </c>
      <c r="M253" s="321" t="str">
        <f t="shared" si="5"/>
        <v>sembrestels</v>
      </c>
      <c r="N253" s="176">
        <f>IFERROR(__xludf.DUMMYFUNCTION("""COMPUTED_VALUE"""),7.0)</f>
        <v>7</v>
      </c>
      <c r="O253" s="176"/>
      <c r="P253" s="176"/>
      <c r="Q253" s="176"/>
      <c r="R253" s="176"/>
      <c r="S253" s="176"/>
      <c r="T253" s="176"/>
      <c r="U253" s="176"/>
      <c r="V253" s="176"/>
      <c r="W253" s="176"/>
      <c r="X253" s="176"/>
      <c r="Y253" s="176"/>
      <c r="Z253" s="176"/>
    </row>
    <row r="254">
      <c r="A254" s="226" t="s">
        <v>6</v>
      </c>
      <c r="B254" s="226" t="s">
        <v>5</v>
      </c>
      <c r="C254" s="250" t="s">
        <v>3929</v>
      </c>
      <c r="D254" s="268" t="s">
        <v>495</v>
      </c>
      <c r="E254" s="251">
        <v>44126.0</v>
      </c>
      <c r="F254" s="250" t="s">
        <v>496</v>
      </c>
      <c r="G254" s="403">
        <v>1.0</v>
      </c>
      <c r="H254" s="403">
        <v>200.0</v>
      </c>
      <c r="I254" s="403">
        <v>200.0</v>
      </c>
      <c r="J254" s="391">
        <f t="shared" si="2"/>
        <v>0.02046012135</v>
      </c>
      <c r="K254" s="392">
        <f t="shared" si="3"/>
        <v>5.524232764</v>
      </c>
      <c r="L254" s="327">
        <f t="shared" si="4"/>
        <v>43.08206471</v>
      </c>
      <c r="M254" s="321" t="str">
        <f t="shared" si="5"/>
        <v>sembrestels</v>
      </c>
      <c r="N254" s="176">
        <f>IFERROR(__xludf.DUMMYFUNCTION("""COMPUTED_VALUE"""),8.0)</f>
        <v>8</v>
      </c>
      <c r="O254" s="176"/>
      <c r="P254" s="176"/>
      <c r="Q254" s="176"/>
      <c r="R254" s="176"/>
      <c r="S254" s="176"/>
      <c r="T254" s="176"/>
      <c r="U254" s="176"/>
      <c r="V254" s="176"/>
      <c r="W254" s="176"/>
      <c r="X254" s="176"/>
      <c r="Y254" s="176"/>
      <c r="Z254" s="176"/>
    </row>
    <row r="255">
      <c r="A255" s="226" t="s">
        <v>4</v>
      </c>
      <c r="B255" s="226" t="s">
        <v>5</v>
      </c>
      <c r="C255" s="250" t="s">
        <v>3930</v>
      </c>
      <c r="D255" s="268" t="s">
        <v>495</v>
      </c>
      <c r="E255" s="251">
        <v>44126.0</v>
      </c>
      <c r="F255" s="250" t="s">
        <v>496</v>
      </c>
      <c r="G255" s="403" t="s">
        <v>3752</v>
      </c>
      <c r="H255" s="403"/>
      <c r="I255" s="403">
        <v>0.0</v>
      </c>
      <c r="J255" s="391">
        <f t="shared" si="2"/>
        <v>0</v>
      </c>
      <c r="K255" s="392">
        <f t="shared" si="3"/>
        <v>0</v>
      </c>
      <c r="L255" s="327">
        <f t="shared" si="4"/>
        <v>21.03811271</v>
      </c>
      <c r="M255" s="321" t="str">
        <f t="shared" si="5"/>
        <v>santigs67</v>
      </c>
      <c r="N255" s="176">
        <f>IFERROR(__xludf.DUMMYFUNCTION("""COMPUTED_VALUE"""),14.0)</f>
        <v>14</v>
      </c>
      <c r="O255" s="176"/>
      <c r="P255" s="176"/>
      <c r="Q255" s="176"/>
      <c r="R255" s="176"/>
      <c r="S255" s="176"/>
      <c r="T255" s="176"/>
      <c r="U255" s="176"/>
      <c r="V255" s="176"/>
      <c r="W255" s="176"/>
      <c r="X255" s="176"/>
      <c r="Y255" s="176"/>
      <c r="Z255" s="176"/>
    </row>
    <row r="256">
      <c r="A256" s="226" t="s">
        <v>4</v>
      </c>
      <c r="B256" s="226" t="s">
        <v>5</v>
      </c>
      <c r="C256" s="250" t="s">
        <v>3929</v>
      </c>
      <c r="D256" s="268" t="s">
        <v>495</v>
      </c>
      <c r="E256" s="251">
        <v>44126.0</v>
      </c>
      <c r="F256" s="250" t="s">
        <v>496</v>
      </c>
      <c r="G256" s="403">
        <v>1.0</v>
      </c>
      <c r="H256" s="403">
        <v>60.0</v>
      </c>
      <c r="I256" s="403">
        <v>60.0</v>
      </c>
      <c r="J256" s="391">
        <f t="shared" si="2"/>
        <v>0.006138036405</v>
      </c>
      <c r="K256" s="392">
        <f t="shared" si="3"/>
        <v>1.657269829</v>
      </c>
      <c r="L256" s="327">
        <f t="shared" si="4"/>
        <v>21.03811271</v>
      </c>
      <c r="M256" s="321" t="str">
        <f t="shared" si="5"/>
        <v>santigs67</v>
      </c>
      <c r="N256" s="176">
        <f>IFERROR(__xludf.DUMMYFUNCTION("""COMPUTED_VALUE"""),15.0)</f>
        <v>15</v>
      </c>
      <c r="O256" s="176"/>
      <c r="P256" s="176"/>
      <c r="Q256" s="176"/>
      <c r="R256" s="176"/>
      <c r="S256" s="176"/>
      <c r="T256" s="176"/>
      <c r="U256" s="176"/>
      <c r="V256" s="176"/>
      <c r="W256" s="176"/>
      <c r="X256" s="176"/>
      <c r="Y256" s="176"/>
      <c r="Z256" s="176"/>
    </row>
    <row r="257">
      <c r="A257" s="226" t="s">
        <v>15</v>
      </c>
      <c r="B257" s="226" t="s">
        <v>5</v>
      </c>
      <c r="C257" s="250" t="s">
        <v>3929</v>
      </c>
      <c r="D257" s="268" t="s">
        <v>495</v>
      </c>
      <c r="E257" s="251">
        <v>44126.0</v>
      </c>
      <c r="F257" s="250" t="s">
        <v>496</v>
      </c>
      <c r="G257" s="403">
        <v>1.0</v>
      </c>
      <c r="H257" s="403">
        <v>60.0</v>
      </c>
      <c r="I257" s="403">
        <v>60.0</v>
      </c>
      <c r="J257" s="391">
        <f t="shared" si="2"/>
        <v>0.006138036405</v>
      </c>
      <c r="K257" s="392">
        <f t="shared" si="3"/>
        <v>1.657269829</v>
      </c>
      <c r="L257" s="327">
        <f t="shared" si="4"/>
        <v>19.3382901</v>
      </c>
      <c r="M257" s="321" t="str">
        <f t="shared" si="5"/>
        <v>juankbell</v>
      </c>
      <c r="N257" s="176">
        <f>IFERROR(__xludf.DUMMYFUNCTION("""COMPUTED_VALUE"""),10.0)</f>
        <v>10</v>
      </c>
      <c r="O257" s="176"/>
      <c r="P257" s="176"/>
      <c r="Q257" s="176"/>
      <c r="R257" s="176"/>
      <c r="S257" s="176"/>
      <c r="T257" s="176"/>
      <c r="U257" s="176"/>
      <c r="V257" s="176"/>
      <c r="W257" s="176"/>
      <c r="X257" s="176"/>
      <c r="Y257" s="176"/>
      <c r="Z257" s="176"/>
    </row>
    <row r="258">
      <c r="A258" s="226" t="s">
        <v>76</v>
      </c>
      <c r="B258" s="226" t="s">
        <v>5</v>
      </c>
      <c r="C258" s="250" t="s">
        <v>3929</v>
      </c>
      <c r="D258" s="268" t="s">
        <v>495</v>
      </c>
      <c r="E258" s="251">
        <v>44126.0</v>
      </c>
      <c r="F258" s="250" t="s">
        <v>496</v>
      </c>
      <c r="G258" s="403">
        <v>1.0</v>
      </c>
      <c r="H258" s="403">
        <v>40.0</v>
      </c>
      <c r="I258" s="403">
        <v>60.0</v>
      </c>
      <c r="J258" s="391">
        <f t="shared" si="2"/>
        <v>0.005121466312</v>
      </c>
      <c r="K258" s="392">
        <f t="shared" si="3"/>
        <v>1.382795904</v>
      </c>
      <c r="L258" s="327">
        <f t="shared" si="4"/>
        <v>10.77572932</v>
      </c>
      <c r="M258" s="321" t="str">
        <f t="shared" si="5"/>
        <v>fabianvb</v>
      </c>
      <c r="N258" s="176">
        <f>IFERROR(__xludf.DUMMYFUNCTION("""COMPUTED_VALUE"""),7.0)</f>
        <v>7</v>
      </c>
      <c r="O258" s="176"/>
      <c r="P258" s="176"/>
      <c r="Q258" s="176"/>
      <c r="R258" s="176"/>
      <c r="S258" s="176"/>
      <c r="T258" s="176"/>
      <c r="U258" s="176"/>
      <c r="V258" s="176"/>
      <c r="W258" s="176"/>
      <c r="X258" s="176"/>
      <c r="Y258" s="176"/>
      <c r="Z258" s="176"/>
    </row>
    <row r="259">
      <c r="A259" s="226" t="s">
        <v>76</v>
      </c>
      <c r="B259" s="226" t="s">
        <v>5</v>
      </c>
      <c r="C259" s="250" t="s">
        <v>3931</v>
      </c>
      <c r="D259" s="268" t="s">
        <v>495</v>
      </c>
      <c r="E259" s="251">
        <v>44126.0</v>
      </c>
      <c r="F259" s="250" t="s">
        <v>496</v>
      </c>
      <c r="G259" s="403">
        <v>3.0</v>
      </c>
      <c r="H259" s="403">
        <v>30.0</v>
      </c>
      <c r="I259" s="403">
        <v>30.0</v>
      </c>
      <c r="J259" s="391">
        <f t="shared" si="2"/>
        <v>0.003069018202</v>
      </c>
      <c r="K259" s="392">
        <f t="shared" si="3"/>
        <v>0.8286349146</v>
      </c>
      <c r="L259" s="327">
        <f t="shared" si="4"/>
        <v>10.77572932</v>
      </c>
      <c r="M259" s="321" t="str">
        <f t="shared" si="5"/>
        <v>fabianvb</v>
      </c>
      <c r="N259" s="176">
        <f>IFERROR(__xludf.DUMMYFUNCTION("""COMPUTED_VALUE"""),8.0)</f>
        <v>8</v>
      </c>
      <c r="O259" s="176"/>
      <c r="P259" s="176"/>
      <c r="Q259" s="176"/>
      <c r="R259" s="176"/>
      <c r="S259" s="176"/>
      <c r="T259" s="176"/>
      <c r="U259" s="176"/>
      <c r="V259" s="176"/>
      <c r="W259" s="176"/>
      <c r="X259" s="176"/>
      <c r="Y259" s="176"/>
      <c r="Z259" s="176"/>
    </row>
    <row r="260">
      <c r="A260" s="226" t="s">
        <v>3</v>
      </c>
      <c r="B260" s="226" t="s">
        <v>5</v>
      </c>
      <c r="C260" s="250" t="s">
        <v>3929</v>
      </c>
      <c r="D260" s="268" t="s">
        <v>495</v>
      </c>
      <c r="E260" s="251">
        <v>44126.0</v>
      </c>
      <c r="F260" s="250" t="s">
        <v>496</v>
      </c>
      <c r="G260" s="403">
        <v>1.0</v>
      </c>
      <c r="H260" s="403">
        <v>45.0</v>
      </c>
      <c r="I260" s="403">
        <v>60.0</v>
      </c>
      <c r="J260" s="391">
        <f t="shared" si="2"/>
        <v>0.005375608835</v>
      </c>
      <c r="K260" s="392">
        <f t="shared" si="3"/>
        <v>1.451414386</v>
      </c>
      <c r="L260" s="327">
        <f t="shared" si="4"/>
        <v>10.08693793</v>
      </c>
      <c r="M260" s="321" t="str">
        <f t="shared" si="5"/>
        <v>zeptimusq</v>
      </c>
      <c r="N260" s="176">
        <f>IFERROR(__xludf.DUMMYFUNCTION("""COMPUTED_VALUE"""),7.0)</f>
        <v>7</v>
      </c>
      <c r="O260" s="176"/>
      <c r="P260" s="176"/>
      <c r="Q260" s="176"/>
      <c r="R260" s="176"/>
      <c r="S260" s="176"/>
      <c r="T260" s="176"/>
      <c r="U260" s="176"/>
      <c r="V260" s="176"/>
      <c r="W260" s="176"/>
      <c r="X260" s="176"/>
      <c r="Y260" s="176"/>
      <c r="Z260" s="176"/>
    </row>
    <row r="261">
      <c r="A261" s="226" t="s">
        <v>3</v>
      </c>
      <c r="B261" s="226" t="s">
        <v>5</v>
      </c>
      <c r="C261" s="250" t="s">
        <v>3931</v>
      </c>
      <c r="D261" s="268" t="s">
        <v>495</v>
      </c>
      <c r="E261" s="251">
        <v>44126.0</v>
      </c>
      <c r="F261" s="250" t="s">
        <v>496</v>
      </c>
      <c r="G261" s="403">
        <v>3.0</v>
      </c>
      <c r="H261" s="403">
        <v>30.0</v>
      </c>
      <c r="I261" s="403">
        <v>30.0</v>
      </c>
      <c r="J261" s="391">
        <f t="shared" si="2"/>
        <v>0.003069018202</v>
      </c>
      <c r="K261" s="392">
        <f t="shared" si="3"/>
        <v>0.8286349146</v>
      </c>
      <c r="L261" s="327">
        <f t="shared" si="4"/>
        <v>10.08693793</v>
      </c>
      <c r="M261" s="321" t="str">
        <f t="shared" si="5"/>
        <v>zeptimusq</v>
      </c>
      <c r="N261" s="176">
        <f>IFERROR(__xludf.DUMMYFUNCTION("""COMPUTED_VALUE"""),8.0)</f>
        <v>8</v>
      </c>
      <c r="O261" s="176"/>
      <c r="P261" s="176"/>
      <c r="Q261" s="176"/>
      <c r="R261" s="176"/>
      <c r="S261" s="176"/>
      <c r="T261" s="176"/>
      <c r="U261" s="176"/>
      <c r="V261" s="176"/>
      <c r="W261" s="176"/>
      <c r="X261" s="176"/>
      <c r="Y261" s="176"/>
      <c r="Z261" s="176"/>
    </row>
    <row r="262">
      <c r="A262" s="226" t="s">
        <v>29</v>
      </c>
      <c r="B262" s="226" t="s">
        <v>5</v>
      </c>
      <c r="C262" s="250" t="s">
        <v>3929</v>
      </c>
      <c r="D262" s="268" t="s">
        <v>495</v>
      </c>
      <c r="E262" s="251">
        <v>44126.0</v>
      </c>
      <c r="F262" s="250" t="s">
        <v>496</v>
      </c>
      <c r="G262" s="403">
        <v>1.0</v>
      </c>
      <c r="H262" s="403">
        <v>40.0</v>
      </c>
      <c r="I262" s="403">
        <v>60.0</v>
      </c>
      <c r="J262" s="391">
        <f t="shared" si="2"/>
        <v>0.005121466312</v>
      </c>
      <c r="K262" s="392">
        <f t="shared" si="3"/>
        <v>1.382795904</v>
      </c>
      <c r="L262" s="327">
        <f t="shared" si="4"/>
        <v>8.434012388</v>
      </c>
      <c r="M262" s="321" t="str">
        <f t="shared" si="5"/>
        <v>jeffemmett</v>
      </c>
      <c r="N262" s="176">
        <f>IFERROR(__xludf.DUMMYFUNCTION("""COMPUTED_VALUE"""),8.0)</f>
        <v>8</v>
      </c>
      <c r="O262" s="176"/>
      <c r="P262" s="176"/>
      <c r="Q262" s="176"/>
      <c r="R262" s="176"/>
      <c r="S262" s="176"/>
      <c r="T262" s="176"/>
      <c r="U262" s="176"/>
      <c r="V262" s="176"/>
      <c r="W262" s="176"/>
      <c r="X262" s="176"/>
      <c r="Y262" s="176"/>
      <c r="Z262" s="176"/>
    </row>
    <row r="263">
      <c r="A263" s="226" t="s">
        <v>72</v>
      </c>
      <c r="B263" s="226" t="s">
        <v>5</v>
      </c>
      <c r="C263" s="250" t="s">
        <v>3932</v>
      </c>
      <c r="D263" s="268" t="s">
        <v>495</v>
      </c>
      <c r="E263" s="251">
        <v>44126.0</v>
      </c>
      <c r="F263" s="250" t="s">
        <v>496</v>
      </c>
      <c r="G263" s="403">
        <v>1.0</v>
      </c>
      <c r="H263" s="403">
        <v>1.0</v>
      </c>
      <c r="I263" s="403">
        <v>1.0</v>
      </c>
      <c r="J263" s="391">
        <f t="shared" si="2"/>
        <v>0.0001023006067</v>
      </c>
      <c r="K263" s="392">
        <f t="shared" si="3"/>
        <v>0.02762116382</v>
      </c>
      <c r="L263" s="327">
        <f t="shared" si="4"/>
        <v>8.315708023</v>
      </c>
      <c r="M263" s="321" t="str">
        <f t="shared" si="5"/>
        <v>daithic</v>
      </c>
      <c r="N263" s="176">
        <f>IFERROR(__xludf.DUMMYFUNCTION("""COMPUTED_VALUE"""),1.0)</f>
        <v>1</v>
      </c>
      <c r="O263" s="176"/>
      <c r="P263" s="176"/>
      <c r="Q263" s="176"/>
      <c r="R263" s="176"/>
      <c r="S263" s="176"/>
      <c r="T263" s="176"/>
      <c r="U263" s="176"/>
      <c r="V263" s="176"/>
      <c r="W263" s="176"/>
      <c r="X263" s="176"/>
      <c r="Y263" s="176"/>
      <c r="Z263" s="176"/>
    </row>
    <row r="264">
      <c r="A264" s="226" t="s">
        <v>72</v>
      </c>
      <c r="B264" s="226" t="s">
        <v>519</v>
      </c>
      <c r="C264" s="250" t="s">
        <v>3933</v>
      </c>
      <c r="D264" s="268" t="s">
        <v>495</v>
      </c>
      <c r="E264" s="251">
        <v>44126.0</v>
      </c>
      <c r="F264" s="250" t="s">
        <v>496</v>
      </c>
      <c r="G264" s="403">
        <v>1.0</v>
      </c>
      <c r="H264" s="403">
        <v>250.0</v>
      </c>
      <c r="I264" s="403">
        <v>250.0</v>
      </c>
      <c r="J264" s="391">
        <f t="shared" si="2"/>
        <v>0.02557515169</v>
      </c>
      <c r="K264" s="392">
        <f t="shared" si="3"/>
        <v>6.905290955</v>
      </c>
      <c r="L264" s="327">
        <f t="shared" si="4"/>
        <v>8.315708023</v>
      </c>
      <c r="M264" s="321" t="str">
        <f t="shared" si="5"/>
        <v>daithic</v>
      </c>
      <c r="N264" s="176">
        <f>IFERROR(__xludf.DUMMYFUNCTION("""COMPUTED_VALUE"""),2.0)</f>
        <v>2</v>
      </c>
      <c r="O264" s="176"/>
      <c r="P264" s="176"/>
      <c r="Q264" s="176"/>
      <c r="R264" s="176"/>
      <c r="S264" s="176"/>
      <c r="T264" s="176"/>
      <c r="U264" s="176"/>
      <c r="V264" s="176"/>
      <c r="W264" s="176"/>
      <c r="X264" s="176"/>
      <c r="Y264" s="176"/>
      <c r="Z264" s="176"/>
    </row>
    <row r="265">
      <c r="A265" s="226" t="s">
        <v>72</v>
      </c>
      <c r="B265" s="226" t="s">
        <v>5</v>
      </c>
      <c r="C265" s="250" t="s">
        <v>3929</v>
      </c>
      <c r="D265" s="268" t="s">
        <v>495</v>
      </c>
      <c r="E265" s="251">
        <v>44126.0</v>
      </c>
      <c r="F265" s="250" t="s">
        <v>496</v>
      </c>
      <c r="G265" s="403">
        <v>1.0</v>
      </c>
      <c r="H265" s="403">
        <v>40.0</v>
      </c>
      <c r="I265" s="403">
        <v>60.0</v>
      </c>
      <c r="J265" s="391">
        <f t="shared" si="2"/>
        <v>0.005121466312</v>
      </c>
      <c r="K265" s="392">
        <f t="shared" si="3"/>
        <v>1.382795904</v>
      </c>
      <c r="L265" s="327">
        <f t="shared" si="4"/>
        <v>8.315708023</v>
      </c>
      <c r="M265" s="321" t="str">
        <f t="shared" si="5"/>
        <v>daithic</v>
      </c>
      <c r="N265" s="176">
        <f>IFERROR(__xludf.DUMMYFUNCTION("""COMPUTED_VALUE"""),3.0)</f>
        <v>3</v>
      </c>
      <c r="O265" s="176"/>
      <c r="P265" s="176"/>
      <c r="Q265" s="176"/>
      <c r="R265" s="176"/>
      <c r="S265" s="176"/>
      <c r="T265" s="176"/>
      <c r="U265" s="176"/>
      <c r="V265" s="176"/>
      <c r="W265" s="176"/>
      <c r="X265" s="176"/>
      <c r="Y265" s="176"/>
      <c r="Z265" s="176"/>
    </row>
    <row r="266">
      <c r="A266" s="226" t="s">
        <v>14</v>
      </c>
      <c r="B266" s="226" t="s">
        <v>5</v>
      </c>
      <c r="C266" s="250" t="s">
        <v>3934</v>
      </c>
      <c r="D266" s="268" t="s">
        <v>495</v>
      </c>
      <c r="E266" s="251">
        <v>44126.0</v>
      </c>
      <c r="F266" s="250" t="s">
        <v>496</v>
      </c>
      <c r="G266" s="403">
        <v>1.0</v>
      </c>
      <c r="H266" s="403">
        <v>100.0</v>
      </c>
      <c r="I266" s="403">
        <v>100.0</v>
      </c>
      <c r="J266" s="391">
        <f t="shared" si="2"/>
        <v>0.01023006067</v>
      </c>
      <c r="K266" s="392">
        <f t="shared" si="3"/>
        <v>2.762116382</v>
      </c>
      <c r="L266" s="327">
        <f t="shared" si="4"/>
        <v>7.660963106</v>
      </c>
      <c r="M266" s="321" t="str">
        <f t="shared" si="5"/>
        <v>jessicazartler</v>
      </c>
      <c r="N266" s="176">
        <f>IFERROR(__xludf.DUMMYFUNCTION("""COMPUTED_VALUE"""),18.0)</f>
        <v>18</v>
      </c>
      <c r="O266" s="176"/>
      <c r="P266" s="176"/>
      <c r="Q266" s="176"/>
      <c r="R266" s="176"/>
      <c r="S266" s="176"/>
      <c r="T266" s="176"/>
      <c r="U266" s="176"/>
      <c r="V266" s="176"/>
      <c r="W266" s="176"/>
      <c r="X266" s="176"/>
      <c r="Y266" s="176"/>
      <c r="Z266" s="176"/>
    </row>
    <row r="267">
      <c r="A267" s="226" t="s">
        <v>14</v>
      </c>
      <c r="B267" s="226" t="s">
        <v>5</v>
      </c>
      <c r="C267" s="250" t="s">
        <v>3929</v>
      </c>
      <c r="D267" s="268" t="s">
        <v>495</v>
      </c>
      <c r="E267" s="251">
        <v>44126.0</v>
      </c>
      <c r="F267" s="250" t="s">
        <v>496</v>
      </c>
      <c r="G267" s="403">
        <v>1.0</v>
      </c>
      <c r="H267" s="403">
        <v>60.0</v>
      </c>
      <c r="I267" s="403">
        <v>60.0</v>
      </c>
      <c r="J267" s="391">
        <f t="shared" si="2"/>
        <v>0.006138036405</v>
      </c>
      <c r="K267" s="392">
        <f t="shared" si="3"/>
        <v>1.657269829</v>
      </c>
      <c r="L267" s="327">
        <f t="shared" si="4"/>
        <v>7.660963106</v>
      </c>
      <c r="M267" s="321" t="str">
        <f t="shared" si="5"/>
        <v>jessicazartler</v>
      </c>
      <c r="N267" s="176">
        <f>IFERROR(__xludf.DUMMYFUNCTION("""COMPUTED_VALUE"""),19.0)</f>
        <v>19</v>
      </c>
      <c r="O267" s="176"/>
      <c r="P267" s="176"/>
      <c r="Q267" s="176"/>
      <c r="R267" s="176"/>
      <c r="S267" s="176"/>
      <c r="T267" s="176"/>
      <c r="U267" s="176"/>
      <c r="V267" s="176"/>
      <c r="W267" s="176"/>
      <c r="X267" s="176"/>
      <c r="Y267" s="176"/>
      <c r="Z267" s="176"/>
    </row>
    <row r="268">
      <c r="A268" s="226" t="s">
        <v>14</v>
      </c>
      <c r="B268" s="226" t="s">
        <v>5</v>
      </c>
      <c r="C268" s="250" t="s">
        <v>3931</v>
      </c>
      <c r="D268" s="268" t="s">
        <v>495</v>
      </c>
      <c r="E268" s="251">
        <v>44126.0</v>
      </c>
      <c r="F268" s="250" t="s">
        <v>496</v>
      </c>
      <c r="G268" s="403">
        <v>3.0</v>
      </c>
      <c r="H268" s="403">
        <v>30.0</v>
      </c>
      <c r="I268" s="403">
        <v>30.0</v>
      </c>
      <c r="J268" s="391">
        <f t="shared" si="2"/>
        <v>0.003069018202</v>
      </c>
      <c r="K268" s="392">
        <f t="shared" si="3"/>
        <v>0.8286349146</v>
      </c>
      <c r="L268" s="327">
        <f t="shared" si="4"/>
        <v>7.660963106</v>
      </c>
      <c r="M268" s="321" t="str">
        <f t="shared" si="5"/>
        <v>jessicazartler</v>
      </c>
      <c r="N268" s="176">
        <f>IFERROR(__xludf.DUMMYFUNCTION("""COMPUTED_VALUE"""),20.0)</f>
        <v>20</v>
      </c>
      <c r="O268" s="176"/>
      <c r="P268" s="176"/>
      <c r="Q268" s="176"/>
      <c r="R268" s="176"/>
      <c r="S268" s="176"/>
      <c r="T268" s="176"/>
      <c r="U268" s="176"/>
      <c r="V268" s="176"/>
      <c r="W268" s="176"/>
      <c r="X268" s="176"/>
      <c r="Y268" s="176"/>
      <c r="Z268" s="176"/>
    </row>
    <row r="269">
      <c r="A269" s="226" t="s">
        <v>61</v>
      </c>
      <c r="B269" s="226" t="s">
        <v>5</v>
      </c>
      <c r="C269" s="250" t="s">
        <v>3929</v>
      </c>
      <c r="D269" s="268" t="s">
        <v>495</v>
      </c>
      <c r="E269" s="251">
        <v>44126.0</v>
      </c>
      <c r="F269" s="250" t="s">
        <v>496</v>
      </c>
      <c r="G269" s="403">
        <v>1.0</v>
      </c>
      <c r="H269" s="403">
        <v>40.0</v>
      </c>
      <c r="I269" s="403">
        <v>60.0</v>
      </c>
      <c r="J269" s="391">
        <f t="shared" si="2"/>
        <v>0.005121466312</v>
      </c>
      <c r="K269" s="392">
        <f t="shared" si="3"/>
        <v>1.382795904</v>
      </c>
      <c r="L269" s="327">
        <f t="shared" si="4"/>
        <v>1.962840345</v>
      </c>
      <c r="M269" s="321" t="str">
        <f t="shared" si="5"/>
        <v>fabimol</v>
      </c>
      <c r="N269" s="176">
        <f>IFERROR(__xludf.DUMMYFUNCTION("""COMPUTED_VALUE"""),3.0)</f>
        <v>3</v>
      </c>
      <c r="O269" s="176"/>
      <c r="P269" s="176"/>
      <c r="Q269" s="176"/>
      <c r="R269" s="176"/>
      <c r="S269" s="176"/>
      <c r="T269" s="176"/>
      <c r="U269" s="176"/>
      <c r="V269" s="176"/>
      <c r="W269" s="176"/>
      <c r="X269" s="176"/>
      <c r="Y269" s="176"/>
      <c r="Z269" s="176"/>
    </row>
    <row r="270">
      <c r="A270" s="226" t="s">
        <v>117</v>
      </c>
      <c r="B270" s="226" t="s">
        <v>18</v>
      </c>
      <c r="C270" s="250" t="s">
        <v>3935</v>
      </c>
      <c r="D270" s="268" t="s">
        <v>495</v>
      </c>
      <c r="E270" s="251">
        <v>44126.0</v>
      </c>
      <c r="F270" s="250" t="s">
        <v>496</v>
      </c>
      <c r="G270" s="403">
        <v>1.0</v>
      </c>
      <c r="H270" s="403">
        <v>70.0</v>
      </c>
      <c r="I270" s="403">
        <v>40.0</v>
      </c>
      <c r="J270" s="391">
        <f t="shared" si="2"/>
        <v>0.005616879409</v>
      </c>
      <c r="K270" s="392">
        <f t="shared" si="3"/>
        <v>1.51655744</v>
      </c>
      <c r="L270" s="327">
        <f t="shared" si="4"/>
        <v>1.51655744</v>
      </c>
      <c r="M270" s="321" t="str">
        <f t="shared" si="5"/>
        <v>gfriis</v>
      </c>
      <c r="N270" s="176">
        <f>IFERROR(__xludf.DUMMYFUNCTION("""COMPUTED_VALUE"""),2.0)</f>
        <v>2</v>
      </c>
      <c r="O270" s="176"/>
      <c r="P270" s="176"/>
      <c r="Q270" s="176"/>
      <c r="R270" s="176"/>
      <c r="S270" s="176"/>
      <c r="T270" s="176"/>
      <c r="U270" s="176"/>
      <c r="V270" s="176"/>
      <c r="W270" s="176"/>
      <c r="X270" s="176"/>
      <c r="Y270" s="176"/>
      <c r="Z270" s="176"/>
    </row>
    <row r="271">
      <c r="A271" s="226" t="s">
        <v>120</v>
      </c>
      <c r="B271" s="226" t="s">
        <v>5</v>
      </c>
      <c r="C271" s="250" t="s">
        <v>3936</v>
      </c>
      <c r="D271" s="268" t="s">
        <v>495</v>
      </c>
      <c r="E271" s="251">
        <v>44126.0</v>
      </c>
      <c r="F271" s="250" t="s">
        <v>496</v>
      </c>
      <c r="G271" s="403">
        <v>1.0</v>
      </c>
      <c r="H271" s="403">
        <v>1.0</v>
      </c>
      <c r="I271" s="403">
        <v>1.0</v>
      </c>
      <c r="J271" s="391">
        <f t="shared" si="2"/>
        <v>0.0001023006067</v>
      </c>
      <c r="K271" s="392">
        <f t="shared" si="3"/>
        <v>0.02762116382</v>
      </c>
      <c r="L271" s="327">
        <f t="shared" si="4"/>
        <v>1.135943143</v>
      </c>
      <c r="M271" s="321" t="str">
        <f t="shared" si="5"/>
        <v>sepu85</v>
      </c>
      <c r="N271" s="176">
        <f>IFERROR(__xludf.DUMMYFUNCTION("""COMPUTED_VALUE"""),3.0)</f>
        <v>3</v>
      </c>
      <c r="O271" s="176"/>
      <c r="P271" s="176"/>
      <c r="Q271" s="176"/>
      <c r="R271" s="176"/>
      <c r="S271" s="176"/>
      <c r="T271" s="176"/>
      <c r="U271" s="176"/>
      <c r="V271" s="176"/>
      <c r="W271" s="176"/>
      <c r="X271" s="176"/>
      <c r="Y271" s="176"/>
      <c r="Z271" s="176"/>
    </row>
    <row r="272">
      <c r="A272" s="226" t="s">
        <v>16</v>
      </c>
      <c r="B272" s="226" t="s">
        <v>18</v>
      </c>
      <c r="C272" s="250" t="s">
        <v>3935</v>
      </c>
      <c r="D272" s="268" t="s">
        <v>495</v>
      </c>
      <c r="E272" s="251">
        <v>44126.0</v>
      </c>
      <c r="F272" s="250" t="s">
        <v>496</v>
      </c>
      <c r="G272" s="403">
        <v>1.0</v>
      </c>
      <c r="H272" s="403">
        <v>0.0</v>
      </c>
      <c r="I272" s="403">
        <v>0.0</v>
      </c>
      <c r="J272" s="391">
        <f t="shared" si="2"/>
        <v>0</v>
      </c>
      <c r="K272" s="392">
        <f t="shared" si="3"/>
        <v>0</v>
      </c>
      <c r="L272" s="327">
        <f t="shared" si="4"/>
        <v>0</v>
      </c>
      <c r="M272" s="321" t="str">
        <f t="shared" si="5"/>
        <v>griffgreen</v>
      </c>
      <c r="N272" s="176">
        <f>IFERROR(__xludf.DUMMYFUNCTION("""COMPUTED_VALUE"""),20.0)</f>
        <v>20</v>
      </c>
      <c r="O272" s="176"/>
      <c r="P272" s="176"/>
      <c r="Q272" s="176"/>
      <c r="R272" s="176"/>
      <c r="S272" s="176"/>
      <c r="T272" s="176"/>
      <c r="U272" s="176"/>
      <c r="V272" s="176"/>
      <c r="W272" s="176"/>
      <c r="X272" s="176"/>
      <c r="Y272" s="176"/>
      <c r="Z272" s="176"/>
    </row>
    <row r="273">
      <c r="A273" s="226" t="s">
        <v>16</v>
      </c>
      <c r="B273" s="226" t="s">
        <v>5</v>
      </c>
      <c r="C273" s="250" t="s">
        <v>3937</v>
      </c>
      <c r="D273" s="268" t="s">
        <v>495</v>
      </c>
      <c r="E273" s="251">
        <v>44126.0</v>
      </c>
      <c r="F273" s="250" t="s">
        <v>496</v>
      </c>
      <c r="G273" s="403">
        <v>1.0</v>
      </c>
      <c r="H273" s="403">
        <v>0.0</v>
      </c>
      <c r="I273" s="403">
        <v>0.0</v>
      </c>
      <c r="J273" s="391">
        <f t="shared" si="2"/>
        <v>0</v>
      </c>
      <c r="K273" s="392">
        <f t="shared" si="3"/>
        <v>0</v>
      </c>
      <c r="L273" s="327">
        <f t="shared" si="4"/>
        <v>0</v>
      </c>
      <c r="M273" s="321" t="str">
        <f t="shared" si="5"/>
        <v>griffgreen</v>
      </c>
      <c r="N273" s="176">
        <f>IFERROR(__xludf.DUMMYFUNCTION("""COMPUTED_VALUE"""),21.0)</f>
        <v>21</v>
      </c>
      <c r="O273" s="176"/>
      <c r="P273" s="176"/>
      <c r="Q273" s="176"/>
      <c r="R273" s="176"/>
      <c r="S273" s="176"/>
      <c r="T273" s="176"/>
      <c r="U273" s="176"/>
      <c r="V273" s="176"/>
      <c r="W273" s="176"/>
      <c r="X273" s="176"/>
      <c r="Y273" s="176"/>
      <c r="Z273" s="176"/>
    </row>
    <row r="274">
      <c r="A274" s="226" t="s">
        <v>16</v>
      </c>
      <c r="B274" s="226" t="s">
        <v>5</v>
      </c>
      <c r="C274" s="250" t="s">
        <v>3929</v>
      </c>
      <c r="D274" s="268" t="s">
        <v>495</v>
      </c>
      <c r="E274" s="251">
        <v>44126.0</v>
      </c>
      <c r="F274" s="250" t="s">
        <v>496</v>
      </c>
      <c r="G274" s="403">
        <v>1.0</v>
      </c>
      <c r="H274" s="403">
        <v>0.0</v>
      </c>
      <c r="I274" s="403">
        <v>0.0</v>
      </c>
      <c r="J274" s="391">
        <f t="shared" si="2"/>
        <v>0</v>
      </c>
      <c r="K274" s="392">
        <f t="shared" si="3"/>
        <v>0</v>
      </c>
      <c r="L274" s="327">
        <f t="shared" si="4"/>
        <v>0</v>
      </c>
      <c r="M274" s="321" t="str">
        <f t="shared" si="5"/>
        <v>griffgreen</v>
      </c>
      <c r="N274" s="176">
        <f>IFERROR(__xludf.DUMMYFUNCTION("""COMPUTED_VALUE"""),22.0)</f>
        <v>22</v>
      </c>
      <c r="O274" s="176"/>
      <c r="P274" s="176"/>
      <c r="Q274" s="176"/>
      <c r="R274" s="176"/>
      <c r="S274" s="176"/>
      <c r="T274" s="176"/>
      <c r="U274" s="176"/>
      <c r="V274" s="176"/>
      <c r="W274" s="176"/>
      <c r="X274" s="176"/>
      <c r="Y274" s="176"/>
      <c r="Z274" s="176"/>
    </row>
    <row r="275">
      <c r="A275" s="226" t="s">
        <v>18</v>
      </c>
      <c r="B275" s="226" t="s">
        <v>5</v>
      </c>
      <c r="C275" s="250" t="s">
        <v>3929</v>
      </c>
      <c r="D275" s="268" t="s">
        <v>495</v>
      </c>
      <c r="E275" s="251">
        <v>44126.0</v>
      </c>
      <c r="F275" s="250" t="s">
        <v>496</v>
      </c>
      <c r="G275" s="403">
        <v>1.0</v>
      </c>
      <c r="H275" s="403">
        <v>0.0</v>
      </c>
      <c r="I275" s="403">
        <v>0.0</v>
      </c>
      <c r="J275" s="391">
        <f t="shared" si="2"/>
        <v>0</v>
      </c>
      <c r="K275" s="392">
        <f t="shared" si="3"/>
        <v>0</v>
      </c>
      <c r="L275" s="327">
        <f t="shared" si="4"/>
        <v>0</v>
      </c>
      <c r="M275" s="321" t="str">
        <f t="shared" si="5"/>
        <v>liviade</v>
      </c>
      <c r="N275" s="176">
        <f>IFERROR(__xludf.DUMMYFUNCTION("""COMPUTED_VALUE"""),14.0)</f>
        <v>14</v>
      </c>
      <c r="O275" s="176"/>
      <c r="P275" s="176"/>
      <c r="Q275" s="176"/>
      <c r="R275" s="176"/>
      <c r="S275" s="176"/>
      <c r="T275" s="176"/>
      <c r="U275" s="176"/>
      <c r="V275" s="176"/>
      <c r="W275" s="176"/>
      <c r="X275" s="176"/>
      <c r="Y275" s="176"/>
      <c r="Z275" s="176"/>
    </row>
    <row r="276">
      <c r="A276" s="343" t="s">
        <v>14</v>
      </c>
      <c r="B276" s="240" t="s">
        <v>519</v>
      </c>
      <c r="C276" s="221" t="s">
        <v>3938</v>
      </c>
      <c r="D276" s="241" t="s">
        <v>3939</v>
      </c>
      <c r="E276" s="255">
        <v>44127.0</v>
      </c>
      <c r="F276" s="221" t="s">
        <v>3940</v>
      </c>
      <c r="G276" s="345">
        <v>1.0</v>
      </c>
      <c r="H276" s="345">
        <v>-950.0</v>
      </c>
      <c r="I276" s="345">
        <v>-950.0</v>
      </c>
      <c r="J276" s="394">
        <f t="shared" si="2"/>
        <v>-0.09718557641</v>
      </c>
      <c r="K276" s="395">
        <f t="shared" si="3"/>
        <v>-26.24010563</v>
      </c>
      <c r="L276" s="341">
        <f t="shared" si="4"/>
        <v>7.660963106</v>
      </c>
      <c r="M276" s="342" t="str">
        <f t="shared" si="5"/>
        <v>jessicazartler</v>
      </c>
      <c r="N276" s="209">
        <f>IFERROR(__xludf.DUMMYFUNCTION("""COMPUTED_VALUE"""),21.0)</f>
        <v>21</v>
      </c>
      <c r="O276" s="209"/>
      <c r="P276" s="209"/>
      <c r="Q276" s="209"/>
      <c r="R276" s="209"/>
      <c r="S276" s="209"/>
      <c r="T276" s="209"/>
      <c r="U276" s="209"/>
      <c r="V276" s="209"/>
      <c r="W276" s="209"/>
      <c r="X276" s="209"/>
      <c r="Y276" s="176"/>
      <c r="Z276" s="176"/>
    </row>
    <row r="277">
      <c r="A277" s="226" t="s">
        <v>95</v>
      </c>
      <c r="B277" s="226" t="s">
        <v>519</v>
      </c>
      <c r="C277" s="250" t="s">
        <v>3941</v>
      </c>
      <c r="D277" s="268" t="s">
        <v>495</v>
      </c>
      <c r="E277" s="251">
        <v>44127.0</v>
      </c>
      <c r="F277" s="250" t="s">
        <v>496</v>
      </c>
      <c r="G277" s="403">
        <v>3.0</v>
      </c>
      <c r="H277" s="403">
        <v>10.0</v>
      </c>
      <c r="I277" s="403">
        <v>10.0</v>
      </c>
      <c r="J277" s="391">
        <f t="shared" si="2"/>
        <v>0.001023006067</v>
      </c>
      <c r="K277" s="392">
        <f t="shared" si="3"/>
        <v>0.2762116382</v>
      </c>
      <c r="L277" s="327">
        <f t="shared" si="4"/>
        <v>1.933481468</v>
      </c>
      <c r="M277" s="321" t="str">
        <f t="shared" si="5"/>
        <v>aidanbrodieo</v>
      </c>
      <c r="N277" s="176">
        <f>IFERROR(__xludf.DUMMYFUNCTION("""COMPUTED_VALUE"""),1.0)</f>
        <v>1</v>
      </c>
      <c r="O277" s="176"/>
      <c r="P277" s="176"/>
      <c r="Q277" s="176"/>
      <c r="R277" s="176"/>
      <c r="S277" s="176"/>
      <c r="T277" s="176"/>
      <c r="U277" s="176"/>
      <c r="V277" s="176"/>
      <c r="W277" s="176"/>
      <c r="X277" s="176"/>
      <c r="Y277" s="176"/>
      <c r="Z277" s="176"/>
    </row>
    <row r="278">
      <c r="A278" s="226" t="s">
        <v>95</v>
      </c>
      <c r="B278" s="226" t="s">
        <v>519</v>
      </c>
      <c r="C278" s="250" t="s">
        <v>3942</v>
      </c>
      <c r="D278" s="268" t="s">
        <v>495</v>
      </c>
      <c r="E278" s="251">
        <v>44127.0</v>
      </c>
      <c r="F278" s="250" t="s">
        <v>496</v>
      </c>
      <c r="G278" s="403">
        <v>1.0</v>
      </c>
      <c r="H278" s="403">
        <v>60.0</v>
      </c>
      <c r="I278" s="403">
        <v>60.0</v>
      </c>
      <c r="J278" s="391">
        <f t="shared" si="2"/>
        <v>0.006138036405</v>
      </c>
      <c r="K278" s="392">
        <f t="shared" si="3"/>
        <v>1.657269829</v>
      </c>
      <c r="L278" s="327">
        <f t="shared" si="4"/>
        <v>1.933481468</v>
      </c>
      <c r="M278" s="321" t="str">
        <f t="shared" si="5"/>
        <v>aidanbrodieo</v>
      </c>
      <c r="N278" s="176">
        <f>IFERROR(__xludf.DUMMYFUNCTION("""COMPUTED_VALUE"""),2.0)</f>
        <v>2</v>
      </c>
      <c r="O278" s="176"/>
      <c r="P278" s="176"/>
      <c r="Q278" s="176"/>
      <c r="R278" s="176"/>
      <c r="S278" s="176"/>
      <c r="T278" s="176"/>
      <c r="U278" s="176"/>
      <c r="V278" s="176"/>
      <c r="W278" s="176"/>
      <c r="X278" s="176"/>
      <c r="Y278" s="176"/>
      <c r="Z278" s="176"/>
    </row>
    <row r="279">
      <c r="C279" s="164"/>
      <c r="E279" s="402"/>
      <c r="G279" s="404"/>
      <c r="H279" s="404"/>
      <c r="I279" s="404"/>
      <c r="K279" s="322"/>
      <c r="L279" s="327"/>
      <c r="N279" s="18"/>
    </row>
    <row r="280">
      <c r="C280" s="164"/>
      <c r="E280" s="402"/>
      <c r="G280" s="404"/>
      <c r="H280" s="404"/>
      <c r="I280" s="404"/>
      <c r="K280" s="322"/>
      <c r="L280" s="327"/>
      <c r="N280" s="18"/>
    </row>
    <row r="281">
      <c r="C281" s="164"/>
      <c r="E281" s="402"/>
      <c r="G281" s="404"/>
      <c r="H281" s="404"/>
      <c r="I281" s="404"/>
      <c r="K281" s="322"/>
      <c r="L281" s="327"/>
      <c r="N281" s="18"/>
    </row>
    <row r="282">
      <c r="C282" s="164"/>
      <c r="E282" s="402"/>
      <c r="G282" s="404"/>
      <c r="H282" s="404"/>
      <c r="I282" s="404"/>
      <c r="K282" s="322"/>
      <c r="L282" s="327"/>
      <c r="N282" s="18"/>
    </row>
    <row r="283">
      <c r="C283" s="164"/>
      <c r="E283" s="402"/>
      <c r="G283" s="404"/>
      <c r="H283" s="404"/>
      <c r="I283" s="404"/>
      <c r="K283" s="322"/>
      <c r="L283" s="327"/>
      <c r="N283" s="18"/>
    </row>
    <row r="284">
      <c r="C284" s="164"/>
      <c r="E284" s="402"/>
      <c r="G284" s="404"/>
      <c r="H284" s="404"/>
      <c r="I284" s="404"/>
      <c r="K284" s="322"/>
      <c r="L284" s="327"/>
      <c r="N284" s="18"/>
    </row>
    <row r="285">
      <c r="C285" s="164"/>
      <c r="E285" s="402"/>
      <c r="G285" s="404"/>
      <c r="H285" s="404"/>
      <c r="I285" s="404"/>
      <c r="K285" s="322"/>
      <c r="L285" s="327"/>
      <c r="N285" s="18"/>
    </row>
    <row r="286">
      <c r="C286" s="164"/>
      <c r="E286" s="402"/>
      <c r="G286" s="404"/>
      <c r="H286" s="404"/>
      <c r="I286" s="404"/>
      <c r="K286" s="322"/>
      <c r="L286" s="327"/>
      <c r="N286" s="18"/>
    </row>
    <row r="287">
      <c r="C287" s="164"/>
      <c r="E287" s="402"/>
      <c r="G287" s="404"/>
      <c r="H287" s="404"/>
      <c r="I287" s="404"/>
      <c r="K287" s="322"/>
      <c r="L287" s="327"/>
      <c r="N287" s="18"/>
    </row>
    <row r="288">
      <c r="C288" s="164"/>
      <c r="E288" s="402"/>
      <c r="G288" s="404"/>
      <c r="H288" s="404"/>
      <c r="I288" s="404"/>
      <c r="K288" s="322"/>
      <c r="L288" s="327"/>
      <c r="N288" s="18"/>
    </row>
    <row r="289">
      <c r="C289" s="164"/>
      <c r="E289" s="402"/>
      <c r="G289" s="404"/>
      <c r="H289" s="404"/>
      <c r="I289" s="404"/>
      <c r="K289" s="322"/>
      <c r="L289" s="327"/>
      <c r="N289" s="18"/>
    </row>
    <row r="290">
      <c r="C290" s="164"/>
      <c r="E290" s="402"/>
      <c r="G290" s="404"/>
      <c r="H290" s="404"/>
      <c r="I290" s="404"/>
      <c r="K290" s="322"/>
      <c r="L290" s="327"/>
      <c r="N290" s="18"/>
    </row>
    <row r="291">
      <c r="C291" s="164"/>
      <c r="E291" s="402"/>
      <c r="G291" s="404"/>
      <c r="H291" s="404"/>
      <c r="I291" s="404"/>
      <c r="K291" s="322"/>
      <c r="L291" s="327"/>
      <c r="N291" s="18"/>
    </row>
    <row r="292">
      <c r="C292" s="164"/>
      <c r="E292" s="402"/>
      <c r="G292" s="404"/>
      <c r="H292" s="404"/>
      <c r="I292" s="404"/>
      <c r="K292" s="322"/>
      <c r="L292" s="327"/>
      <c r="N292" s="18"/>
    </row>
    <row r="293">
      <c r="C293" s="164"/>
      <c r="E293" s="402"/>
      <c r="G293" s="404"/>
      <c r="H293" s="404"/>
      <c r="I293" s="404"/>
      <c r="K293" s="322"/>
      <c r="L293" s="327"/>
      <c r="N293" s="18"/>
    </row>
    <row r="294">
      <c r="C294" s="164"/>
      <c r="E294" s="402"/>
      <c r="G294" s="404"/>
      <c r="H294" s="404"/>
      <c r="I294" s="404"/>
      <c r="K294" s="322"/>
      <c r="L294" s="327"/>
      <c r="N294" s="18"/>
    </row>
    <row r="295">
      <c r="C295" s="164"/>
      <c r="E295" s="402"/>
      <c r="G295" s="404"/>
      <c r="H295" s="404"/>
      <c r="I295" s="404"/>
      <c r="K295" s="322"/>
      <c r="L295" s="327"/>
      <c r="N295" s="18"/>
    </row>
    <row r="296">
      <c r="C296" s="164"/>
      <c r="E296" s="402"/>
      <c r="G296" s="404"/>
      <c r="H296" s="404"/>
      <c r="I296" s="404"/>
      <c r="K296" s="322"/>
      <c r="L296" s="327"/>
      <c r="N296" s="18"/>
    </row>
    <row r="297">
      <c r="C297" s="164"/>
      <c r="E297" s="402"/>
      <c r="G297" s="404"/>
      <c r="H297" s="404"/>
      <c r="I297" s="404"/>
      <c r="K297" s="322"/>
      <c r="L297" s="327"/>
      <c r="N297" s="18"/>
    </row>
    <row r="298">
      <c r="C298" s="164"/>
      <c r="E298" s="402"/>
      <c r="G298" s="404"/>
      <c r="H298" s="404"/>
      <c r="I298" s="404"/>
      <c r="K298" s="322"/>
      <c r="L298" s="327"/>
      <c r="N298" s="18"/>
    </row>
    <row r="299">
      <c r="C299" s="164"/>
      <c r="E299" s="402"/>
      <c r="G299" s="404"/>
      <c r="H299" s="404"/>
      <c r="I299" s="404"/>
      <c r="K299" s="322"/>
      <c r="L299" s="327"/>
      <c r="N299" s="18"/>
    </row>
    <row r="300">
      <c r="C300" s="164"/>
      <c r="E300" s="402"/>
      <c r="G300" s="404"/>
      <c r="H300" s="404"/>
      <c r="I300" s="404"/>
      <c r="K300" s="322"/>
      <c r="L300" s="327"/>
      <c r="N300" s="18"/>
    </row>
    <row r="301">
      <c r="C301" s="164"/>
      <c r="E301" s="402"/>
      <c r="G301" s="404"/>
      <c r="H301" s="404"/>
      <c r="I301" s="404"/>
      <c r="K301" s="322"/>
      <c r="L301" s="327"/>
      <c r="N301" s="18"/>
    </row>
    <row r="302">
      <c r="C302" s="164"/>
      <c r="E302" s="402"/>
      <c r="G302" s="404"/>
      <c r="H302" s="404"/>
      <c r="I302" s="404"/>
      <c r="K302" s="322"/>
      <c r="L302" s="327"/>
      <c r="N302" s="18"/>
    </row>
    <row r="303">
      <c r="C303" s="164"/>
      <c r="E303" s="402"/>
      <c r="G303" s="404"/>
      <c r="H303" s="404"/>
      <c r="I303" s="404"/>
      <c r="K303" s="322"/>
      <c r="L303" s="327"/>
      <c r="N303" s="18"/>
    </row>
    <row r="304">
      <c r="C304" s="164"/>
      <c r="E304" s="402"/>
      <c r="G304" s="404"/>
      <c r="H304" s="404"/>
      <c r="I304" s="404"/>
      <c r="K304" s="322"/>
      <c r="L304" s="327"/>
      <c r="N304" s="18"/>
    </row>
    <row r="305">
      <c r="C305" s="164"/>
      <c r="E305" s="402"/>
      <c r="G305" s="404"/>
      <c r="H305" s="404"/>
      <c r="I305" s="404"/>
      <c r="K305" s="322"/>
      <c r="L305" s="327"/>
      <c r="N305" s="18"/>
    </row>
    <row r="306">
      <c r="C306" s="164"/>
      <c r="E306" s="402"/>
      <c r="G306" s="404"/>
      <c r="H306" s="404"/>
      <c r="I306" s="404"/>
      <c r="K306" s="322"/>
      <c r="L306" s="327"/>
      <c r="N306" s="18"/>
    </row>
    <row r="307">
      <c r="C307" s="164"/>
      <c r="E307" s="402"/>
      <c r="G307" s="404"/>
      <c r="H307" s="404"/>
      <c r="I307" s="404"/>
      <c r="K307" s="322"/>
      <c r="L307" s="327"/>
      <c r="N307" s="18"/>
    </row>
    <row r="308">
      <c r="C308" s="164"/>
      <c r="E308" s="402"/>
      <c r="G308" s="404"/>
      <c r="H308" s="404"/>
      <c r="I308" s="404"/>
      <c r="K308" s="322"/>
      <c r="L308" s="327"/>
      <c r="N308" s="18"/>
    </row>
    <row r="309">
      <c r="C309" s="164"/>
      <c r="E309" s="402"/>
      <c r="G309" s="404"/>
      <c r="H309" s="404"/>
      <c r="I309" s="404"/>
      <c r="K309" s="322"/>
      <c r="L309" s="327"/>
      <c r="N309" s="18"/>
    </row>
    <row r="310">
      <c r="C310" s="164"/>
      <c r="E310" s="402"/>
      <c r="G310" s="404"/>
      <c r="H310" s="404"/>
      <c r="I310" s="404"/>
      <c r="K310" s="322"/>
      <c r="L310" s="327"/>
      <c r="N310" s="18"/>
    </row>
    <row r="311">
      <c r="C311" s="164"/>
      <c r="E311" s="402"/>
      <c r="G311" s="404"/>
      <c r="H311" s="404"/>
      <c r="I311" s="404"/>
      <c r="K311" s="322"/>
      <c r="L311" s="327"/>
      <c r="N311" s="18"/>
    </row>
    <row r="312">
      <c r="C312" s="164"/>
      <c r="E312" s="402"/>
      <c r="G312" s="404"/>
      <c r="H312" s="404"/>
      <c r="I312" s="404"/>
      <c r="K312" s="322"/>
      <c r="L312" s="327"/>
      <c r="N312" s="18"/>
    </row>
    <row r="313">
      <c r="C313" s="164"/>
      <c r="E313" s="402"/>
      <c r="G313" s="404"/>
      <c r="H313" s="404"/>
      <c r="I313" s="404"/>
      <c r="K313" s="322"/>
      <c r="L313" s="327"/>
      <c r="N313" s="18"/>
    </row>
    <row r="314">
      <c r="C314" s="164"/>
      <c r="E314" s="402"/>
      <c r="G314" s="404"/>
      <c r="H314" s="404"/>
      <c r="I314" s="404"/>
      <c r="K314" s="322"/>
      <c r="L314" s="327"/>
      <c r="N314" s="18"/>
    </row>
    <row r="315">
      <c r="C315" s="164"/>
      <c r="E315" s="402"/>
      <c r="G315" s="404"/>
      <c r="H315" s="404"/>
      <c r="I315" s="404"/>
      <c r="K315" s="322"/>
      <c r="L315" s="327"/>
      <c r="N315" s="18"/>
    </row>
    <row r="316">
      <c r="C316" s="164"/>
      <c r="E316" s="402"/>
      <c r="G316" s="404"/>
      <c r="H316" s="404"/>
      <c r="I316" s="404"/>
      <c r="K316" s="322"/>
      <c r="L316" s="327"/>
      <c r="N316" s="18"/>
    </row>
    <row r="317">
      <c r="C317" s="164"/>
      <c r="E317" s="402"/>
      <c r="G317" s="404"/>
      <c r="H317" s="404"/>
      <c r="I317" s="404"/>
      <c r="K317" s="322"/>
      <c r="L317" s="327"/>
      <c r="N317" s="18"/>
    </row>
    <row r="318">
      <c r="C318" s="164"/>
      <c r="E318" s="402"/>
      <c r="G318" s="404"/>
      <c r="H318" s="404"/>
      <c r="I318" s="404"/>
      <c r="K318" s="322"/>
      <c r="L318" s="327"/>
      <c r="N318" s="18"/>
    </row>
    <row r="319">
      <c r="C319" s="164"/>
      <c r="E319" s="402"/>
      <c r="G319" s="404"/>
      <c r="H319" s="404"/>
      <c r="I319" s="404"/>
      <c r="K319" s="322"/>
      <c r="L319" s="327"/>
      <c r="N319" s="18"/>
    </row>
    <row r="320">
      <c r="C320" s="164"/>
      <c r="E320" s="402"/>
      <c r="G320" s="404"/>
      <c r="H320" s="404"/>
      <c r="I320" s="404"/>
      <c r="K320" s="322"/>
      <c r="L320" s="327"/>
      <c r="N320" s="18"/>
    </row>
    <row r="321">
      <c r="C321" s="164"/>
      <c r="E321" s="402"/>
      <c r="G321" s="404"/>
      <c r="H321" s="404"/>
      <c r="I321" s="404"/>
      <c r="K321" s="322"/>
      <c r="L321" s="327"/>
      <c r="N321" s="18"/>
    </row>
    <row r="322">
      <c r="C322" s="164"/>
      <c r="E322" s="402"/>
      <c r="G322" s="404"/>
      <c r="H322" s="404"/>
      <c r="I322" s="404"/>
      <c r="K322" s="322"/>
      <c r="L322" s="327"/>
      <c r="N322" s="18"/>
    </row>
    <row r="323">
      <c r="C323" s="164"/>
      <c r="E323" s="402"/>
      <c r="G323" s="404"/>
      <c r="H323" s="404"/>
      <c r="I323" s="404"/>
      <c r="K323" s="322"/>
      <c r="L323" s="327"/>
      <c r="N323" s="18"/>
    </row>
    <row r="324">
      <c r="C324" s="164"/>
      <c r="E324" s="402"/>
      <c r="G324" s="404"/>
      <c r="H324" s="404"/>
      <c r="I324" s="404"/>
      <c r="K324" s="322"/>
      <c r="L324" s="327"/>
      <c r="N324" s="18"/>
    </row>
    <row r="325">
      <c r="C325" s="164"/>
      <c r="E325" s="402"/>
      <c r="G325" s="404"/>
      <c r="H325" s="404"/>
      <c r="I325" s="404"/>
      <c r="K325" s="322"/>
      <c r="L325" s="327"/>
      <c r="N325" s="18"/>
    </row>
    <row r="326">
      <c r="C326" s="164"/>
      <c r="E326" s="402"/>
      <c r="G326" s="404"/>
      <c r="H326" s="404"/>
      <c r="I326" s="404"/>
      <c r="K326" s="322"/>
      <c r="L326" s="327"/>
      <c r="N326" s="18"/>
    </row>
    <row r="327">
      <c r="C327" s="164"/>
      <c r="E327" s="402"/>
      <c r="G327" s="404"/>
      <c r="H327" s="404"/>
      <c r="I327" s="404"/>
      <c r="K327" s="322"/>
      <c r="L327" s="401"/>
      <c r="N327" s="18"/>
    </row>
    <row r="328">
      <c r="C328" s="164"/>
      <c r="E328" s="402"/>
      <c r="G328" s="404"/>
      <c r="H328" s="404"/>
      <c r="I328" s="404"/>
      <c r="K328" s="322"/>
      <c r="L328" s="401"/>
      <c r="N328" s="18"/>
    </row>
    <row r="329">
      <c r="C329" s="164"/>
      <c r="E329" s="402"/>
      <c r="G329" s="404"/>
      <c r="H329" s="404"/>
      <c r="I329" s="404"/>
      <c r="K329" s="322"/>
      <c r="L329" s="401"/>
      <c r="N329" s="18"/>
    </row>
    <row r="330">
      <c r="C330" s="164"/>
      <c r="E330" s="402"/>
      <c r="G330" s="404"/>
      <c r="H330" s="404"/>
      <c r="I330" s="404"/>
      <c r="K330" s="322"/>
      <c r="L330" s="401"/>
      <c r="N330" s="18"/>
    </row>
    <row r="331">
      <c r="C331" s="164"/>
      <c r="E331" s="402"/>
      <c r="G331" s="404"/>
      <c r="H331" s="404"/>
      <c r="I331" s="404"/>
      <c r="K331" s="322"/>
      <c r="L331" s="401"/>
      <c r="N331" s="18"/>
    </row>
    <row r="332">
      <c r="C332" s="164"/>
      <c r="E332" s="402"/>
      <c r="G332" s="404"/>
      <c r="H332" s="404"/>
      <c r="I332" s="404"/>
      <c r="K332" s="322"/>
      <c r="L332" s="401"/>
      <c r="N332" s="18"/>
    </row>
    <row r="333">
      <c r="C333" s="164"/>
      <c r="E333" s="402"/>
      <c r="G333" s="404"/>
      <c r="H333" s="404"/>
      <c r="I333" s="404"/>
      <c r="K333" s="322"/>
      <c r="L333" s="401"/>
      <c r="N333" s="18"/>
    </row>
    <row r="334">
      <c r="C334" s="164"/>
      <c r="E334" s="402"/>
      <c r="G334" s="404"/>
      <c r="H334" s="404"/>
      <c r="I334" s="404"/>
      <c r="K334" s="322"/>
      <c r="L334" s="401"/>
      <c r="N334" s="18"/>
    </row>
    <row r="335">
      <c r="C335" s="164"/>
      <c r="E335" s="402"/>
      <c r="G335" s="404"/>
      <c r="H335" s="404"/>
      <c r="I335" s="404"/>
      <c r="K335" s="322"/>
      <c r="L335" s="401"/>
      <c r="N335" s="18"/>
    </row>
    <row r="336">
      <c r="C336" s="164"/>
      <c r="E336" s="402"/>
      <c r="G336" s="404"/>
      <c r="H336" s="404"/>
      <c r="I336" s="404"/>
      <c r="K336" s="322"/>
      <c r="L336" s="401"/>
      <c r="N336" s="18"/>
    </row>
    <row r="337">
      <c r="C337" s="164"/>
      <c r="E337" s="402"/>
      <c r="G337" s="404"/>
      <c r="H337" s="404"/>
      <c r="I337" s="404"/>
      <c r="K337" s="322"/>
      <c r="L337" s="401"/>
      <c r="N337" s="18"/>
    </row>
    <row r="338">
      <c r="C338" s="164"/>
      <c r="E338" s="402"/>
      <c r="G338" s="404"/>
      <c r="H338" s="404"/>
      <c r="I338" s="404"/>
      <c r="K338" s="322"/>
      <c r="L338" s="401"/>
      <c r="N338" s="18"/>
    </row>
    <row r="339">
      <c r="C339" s="164"/>
      <c r="E339" s="402"/>
      <c r="G339" s="404"/>
      <c r="H339" s="404"/>
      <c r="I339" s="404"/>
      <c r="K339" s="322"/>
      <c r="L339" s="401"/>
      <c r="N339" s="18"/>
    </row>
    <row r="340">
      <c r="C340" s="164"/>
      <c r="E340" s="402"/>
      <c r="G340" s="404"/>
      <c r="H340" s="404"/>
      <c r="I340" s="404"/>
      <c r="K340" s="322"/>
      <c r="L340" s="401"/>
      <c r="N340" s="18"/>
    </row>
    <row r="341">
      <c r="C341" s="164"/>
      <c r="E341" s="402"/>
      <c r="G341" s="404"/>
      <c r="H341" s="404"/>
      <c r="I341" s="404"/>
      <c r="K341" s="322"/>
      <c r="L341" s="401"/>
      <c r="N341" s="18"/>
    </row>
    <row r="342">
      <c r="C342" s="164"/>
      <c r="E342" s="402"/>
      <c r="G342" s="404"/>
      <c r="H342" s="404"/>
      <c r="I342" s="404"/>
      <c r="K342" s="322"/>
      <c r="L342" s="401"/>
      <c r="N342" s="18"/>
    </row>
    <row r="343">
      <c r="C343" s="164"/>
      <c r="E343" s="402"/>
      <c r="G343" s="404"/>
      <c r="H343" s="404"/>
      <c r="I343" s="404"/>
      <c r="K343" s="322"/>
      <c r="L343" s="401"/>
      <c r="N343" s="18"/>
    </row>
    <row r="344">
      <c r="C344" s="164"/>
      <c r="E344" s="402"/>
      <c r="G344" s="404"/>
      <c r="H344" s="404"/>
      <c r="I344" s="404"/>
      <c r="K344" s="322"/>
      <c r="L344" s="401"/>
      <c r="N344" s="18"/>
    </row>
    <row r="345">
      <c r="C345" s="164"/>
      <c r="E345" s="402"/>
      <c r="G345" s="404"/>
      <c r="H345" s="404"/>
      <c r="I345" s="404"/>
      <c r="K345" s="322"/>
      <c r="L345" s="401"/>
      <c r="N345" s="18"/>
    </row>
    <row r="346">
      <c r="C346" s="164"/>
      <c r="E346" s="402"/>
      <c r="G346" s="404"/>
      <c r="H346" s="404"/>
      <c r="I346" s="404"/>
      <c r="K346" s="322"/>
      <c r="L346" s="401"/>
      <c r="N346" s="18"/>
    </row>
    <row r="347">
      <c r="C347" s="164"/>
      <c r="E347" s="402"/>
      <c r="G347" s="404"/>
      <c r="H347" s="404"/>
      <c r="I347" s="404"/>
      <c r="K347" s="322"/>
      <c r="L347" s="401"/>
      <c r="N347" s="18"/>
    </row>
    <row r="348">
      <c r="C348" s="164"/>
      <c r="E348" s="402"/>
      <c r="G348" s="404"/>
      <c r="H348" s="404"/>
      <c r="I348" s="404"/>
      <c r="K348" s="322"/>
      <c r="L348" s="401"/>
      <c r="N348" s="18"/>
    </row>
    <row r="349">
      <c r="C349" s="164"/>
      <c r="E349" s="402"/>
      <c r="G349" s="404"/>
      <c r="H349" s="404"/>
      <c r="I349" s="404"/>
      <c r="K349" s="322"/>
      <c r="L349" s="401"/>
      <c r="N349" s="18"/>
    </row>
    <row r="350">
      <c r="C350" s="164"/>
      <c r="E350" s="402"/>
      <c r="G350" s="404"/>
      <c r="H350" s="404"/>
      <c r="I350" s="404"/>
      <c r="K350" s="322"/>
      <c r="L350" s="401"/>
      <c r="N350" s="18"/>
    </row>
    <row r="351">
      <c r="C351" s="164"/>
      <c r="E351" s="402"/>
      <c r="G351" s="404"/>
      <c r="H351" s="404"/>
      <c r="I351" s="404"/>
      <c r="K351" s="322"/>
      <c r="L351" s="401"/>
      <c r="N351" s="18"/>
    </row>
    <row r="352">
      <c r="C352" s="164"/>
      <c r="E352" s="402"/>
      <c r="G352" s="404"/>
      <c r="H352" s="404"/>
      <c r="I352" s="404"/>
      <c r="K352" s="322"/>
      <c r="L352" s="401"/>
      <c r="N352" s="18"/>
    </row>
    <row r="353">
      <c r="C353" s="164"/>
      <c r="E353" s="402"/>
      <c r="G353" s="404"/>
      <c r="H353" s="404"/>
      <c r="I353" s="404"/>
      <c r="K353" s="322"/>
      <c r="L353" s="401"/>
      <c r="N353" s="18"/>
    </row>
    <row r="354">
      <c r="C354" s="164"/>
      <c r="E354" s="402"/>
      <c r="G354" s="404"/>
      <c r="H354" s="404"/>
      <c r="I354" s="404"/>
      <c r="K354" s="322"/>
      <c r="L354" s="401"/>
      <c r="N354" s="18"/>
    </row>
    <row r="355">
      <c r="C355" s="164"/>
      <c r="E355" s="402"/>
      <c r="G355" s="404"/>
      <c r="H355" s="404"/>
      <c r="I355" s="404"/>
      <c r="K355" s="322"/>
      <c r="L355" s="401"/>
      <c r="N355" s="18"/>
    </row>
    <row r="356">
      <c r="C356" s="164"/>
      <c r="E356" s="402"/>
      <c r="G356" s="404"/>
      <c r="H356" s="404"/>
      <c r="I356" s="404"/>
      <c r="K356" s="322"/>
      <c r="L356" s="401"/>
      <c r="N356" s="18"/>
    </row>
    <row r="357">
      <c r="C357" s="164"/>
      <c r="E357" s="402"/>
      <c r="G357" s="404"/>
      <c r="H357" s="404"/>
      <c r="I357" s="404"/>
      <c r="K357" s="322"/>
      <c r="L357" s="401"/>
      <c r="N357" s="18"/>
    </row>
    <row r="358">
      <c r="C358" s="164"/>
      <c r="E358" s="402"/>
      <c r="G358" s="404"/>
      <c r="H358" s="404"/>
      <c r="I358" s="404"/>
      <c r="K358" s="322"/>
      <c r="L358" s="401"/>
      <c r="N358" s="18"/>
    </row>
    <row r="359">
      <c r="C359" s="164"/>
      <c r="E359" s="402"/>
      <c r="G359" s="404"/>
      <c r="H359" s="404"/>
      <c r="I359" s="404"/>
      <c r="K359" s="322"/>
      <c r="L359" s="401"/>
      <c r="N359" s="18"/>
    </row>
    <row r="360">
      <c r="C360" s="164"/>
      <c r="E360" s="402"/>
      <c r="G360" s="404"/>
      <c r="H360" s="404"/>
      <c r="I360" s="404"/>
      <c r="K360" s="322"/>
      <c r="L360" s="401"/>
      <c r="N360" s="18"/>
    </row>
    <row r="361">
      <c r="C361" s="164"/>
      <c r="E361" s="402"/>
      <c r="G361" s="404"/>
      <c r="H361" s="404"/>
      <c r="I361" s="404"/>
      <c r="K361" s="322"/>
      <c r="L361" s="401"/>
      <c r="N361" s="18"/>
    </row>
    <row r="362">
      <c r="C362" s="164"/>
      <c r="E362" s="402"/>
      <c r="G362" s="404"/>
      <c r="H362" s="404"/>
      <c r="I362" s="404"/>
      <c r="K362" s="322"/>
      <c r="L362" s="401"/>
      <c r="N362" s="18"/>
    </row>
    <row r="363">
      <c r="C363" s="164"/>
      <c r="E363" s="402"/>
      <c r="G363" s="404"/>
      <c r="H363" s="404"/>
      <c r="I363" s="404"/>
      <c r="K363" s="322"/>
      <c r="L363" s="401"/>
      <c r="N363" s="18"/>
    </row>
    <row r="364">
      <c r="C364" s="164"/>
      <c r="E364" s="402"/>
      <c r="G364" s="404"/>
      <c r="H364" s="404"/>
      <c r="I364" s="404"/>
      <c r="K364" s="322"/>
      <c r="L364" s="401"/>
      <c r="N364" s="18"/>
    </row>
    <row r="365">
      <c r="C365" s="164"/>
      <c r="E365" s="402"/>
      <c r="G365" s="404"/>
      <c r="H365" s="404"/>
      <c r="I365" s="404"/>
      <c r="K365" s="322"/>
      <c r="L365" s="401"/>
      <c r="N365" s="18"/>
    </row>
    <row r="366">
      <c r="C366" s="164"/>
      <c r="E366" s="402"/>
      <c r="G366" s="404"/>
      <c r="H366" s="404"/>
      <c r="I366" s="404"/>
      <c r="K366" s="322"/>
      <c r="L366" s="401"/>
      <c r="N366" s="18"/>
    </row>
    <row r="367">
      <c r="C367" s="164"/>
      <c r="E367" s="402"/>
      <c r="G367" s="404"/>
      <c r="H367" s="404"/>
      <c r="I367" s="404"/>
      <c r="K367" s="322"/>
      <c r="L367" s="401"/>
      <c r="N367" s="18"/>
    </row>
    <row r="368">
      <c r="C368" s="164"/>
      <c r="E368" s="402"/>
      <c r="G368" s="404"/>
      <c r="H368" s="404"/>
      <c r="I368" s="404"/>
      <c r="K368" s="322"/>
      <c r="L368" s="401"/>
      <c r="N368" s="18"/>
    </row>
    <row r="369">
      <c r="C369" s="164"/>
      <c r="E369" s="402"/>
      <c r="G369" s="404"/>
      <c r="H369" s="404"/>
      <c r="I369" s="404"/>
      <c r="K369" s="322"/>
      <c r="L369" s="401"/>
      <c r="N369" s="18"/>
    </row>
    <row r="370">
      <c r="C370" s="164"/>
      <c r="E370" s="402"/>
      <c r="G370" s="404"/>
      <c r="H370" s="404"/>
      <c r="I370" s="404"/>
      <c r="K370" s="322"/>
      <c r="L370" s="401"/>
      <c r="N370" s="18"/>
    </row>
    <row r="371">
      <c r="C371" s="164"/>
      <c r="E371" s="402"/>
      <c r="G371" s="404"/>
      <c r="H371" s="404"/>
      <c r="I371" s="404"/>
      <c r="K371" s="322"/>
      <c r="L371" s="401"/>
      <c r="N371" s="18"/>
    </row>
    <row r="372">
      <c r="C372" s="164"/>
      <c r="E372" s="402"/>
      <c r="G372" s="404"/>
      <c r="H372" s="404"/>
      <c r="I372" s="404"/>
      <c r="K372" s="322"/>
      <c r="L372" s="401"/>
      <c r="N372" s="18"/>
    </row>
    <row r="373">
      <c r="C373" s="164"/>
      <c r="E373" s="402"/>
      <c r="G373" s="404"/>
      <c r="H373" s="404"/>
      <c r="I373" s="404"/>
      <c r="K373" s="322"/>
      <c r="L373" s="401"/>
      <c r="N373" s="18"/>
    </row>
    <row r="374">
      <c r="C374" s="164"/>
      <c r="E374" s="402"/>
      <c r="G374" s="404"/>
      <c r="H374" s="404"/>
      <c r="I374" s="404"/>
      <c r="K374" s="322"/>
      <c r="L374" s="401"/>
      <c r="N374" s="18"/>
    </row>
    <row r="375">
      <c r="C375" s="164"/>
      <c r="E375" s="402"/>
      <c r="G375" s="404"/>
      <c r="H375" s="404"/>
      <c r="I375" s="404"/>
      <c r="K375" s="322"/>
      <c r="L375" s="401"/>
      <c r="N375" s="18"/>
    </row>
    <row r="376">
      <c r="C376" s="164"/>
      <c r="E376" s="402"/>
      <c r="G376" s="404"/>
      <c r="H376" s="404"/>
      <c r="I376" s="404"/>
      <c r="K376" s="322"/>
      <c r="L376" s="401"/>
      <c r="N376" s="18"/>
    </row>
    <row r="377">
      <c r="C377" s="164"/>
      <c r="E377" s="402"/>
      <c r="G377" s="404"/>
      <c r="H377" s="404"/>
      <c r="I377" s="404"/>
      <c r="K377" s="322"/>
      <c r="L377" s="401"/>
      <c r="N377" s="18"/>
    </row>
    <row r="378">
      <c r="C378" s="164"/>
      <c r="E378" s="402"/>
      <c r="G378" s="404"/>
      <c r="H378" s="404"/>
      <c r="I378" s="404"/>
      <c r="K378" s="322"/>
      <c r="L378" s="401"/>
      <c r="N378" s="18"/>
    </row>
    <row r="379">
      <c r="C379" s="164"/>
      <c r="E379" s="402"/>
      <c r="G379" s="404"/>
      <c r="H379" s="404"/>
      <c r="I379" s="404"/>
      <c r="K379" s="322"/>
      <c r="L379" s="401"/>
      <c r="N379" s="18"/>
    </row>
    <row r="380">
      <c r="C380" s="164"/>
      <c r="E380" s="402"/>
      <c r="G380" s="404"/>
      <c r="H380" s="404"/>
      <c r="I380" s="404"/>
      <c r="K380" s="322"/>
      <c r="L380" s="401"/>
      <c r="N380" s="18"/>
    </row>
    <row r="381">
      <c r="C381" s="164"/>
      <c r="E381" s="402"/>
      <c r="G381" s="404"/>
      <c r="H381" s="404"/>
      <c r="I381" s="404"/>
      <c r="K381" s="322"/>
      <c r="L381" s="401"/>
      <c r="N381" s="18"/>
    </row>
    <row r="382">
      <c r="C382" s="164"/>
      <c r="E382" s="402"/>
      <c r="G382" s="404"/>
      <c r="H382" s="404"/>
      <c r="I382" s="404"/>
      <c r="K382" s="322"/>
      <c r="L382" s="401"/>
      <c r="N382" s="18"/>
    </row>
    <row r="383">
      <c r="C383" s="164"/>
      <c r="E383" s="402"/>
      <c r="G383" s="404"/>
      <c r="H383" s="404"/>
      <c r="I383" s="404"/>
      <c r="K383" s="322"/>
      <c r="L383" s="401"/>
      <c r="N383" s="18"/>
    </row>
    <row r="384">
      <c r="C384" s="164"/>
      <c r="E384" s="402"/>
      <c r="G384" s="404"/>
      <c r="H384" s="404"/>
      <c r="I384" s="404"/>
      <c r="K384" s="322"/>
      <c r="L384" s="401"/>
      <c r="N384" s="18"/>
    </row>
    <row r="385">
      <c r="C385" s="164"/>
      <c r="E385" s="402"/>
      <c r="G385" s="404"/>
      <c r="H385" s="404"/>
      <c r="I385" s="404"/>
      <c r="K385" s="322"/>
      <c r="L385" s="401"/>
      <c r="N385" s="18"/>
    </row>
    <row r="386">
      <c r="C386" s="164"/>
      <c r="E386" s="402"/>
      <c r="G386" s="404"/>
      <c r="H386" s="404"/>
      <c r="I386" s="404"/>
      <c r="K386" s="322"/>
      <c r="L386" s="401"/>
      <c r="N386" s="18"/>
    </row>
    <row r="387">
      <c r="C387" s="164"/>
      <c r="E387" s="402"/>
      <c r="G387" s="404"/>
      <c r="H387" s="404"/>
      <c r="I387" s="404"/>
      <c r="K387" s="322"/>
      <c r="L387" s="401"/>
      <c r="N387" s="18"/>
    </row>
    <row r="388">
      <c r="C388" s="164"/>
      <c r="E388" s="402"/>
      <c r="G388" s="404"/>
      <c r="H388" s="404"/>
      <c r="I388" s="404"/>
      <c r="K388" s="322"/>
      <c r="L388" s="401"/>
      <c r="N388" s="18"/>
    </row>
    <row r="389">
      <c r="C389" s="164"/>
      <c r="E389" s="402"/>
      <c r="G389" s="404"/>
      <c r="H389" s="404"/>
      <c r="I389" s="404"/>
      <c r="K389" s="322"/>
      <c r="L389" s="401"/>
      <c r="N389" s="18"/>
    </row>
    <row r="390">
      <c r="C390" s="164"/>
      <c r="E390" s="402"/>
      <c r="G390" s="404"/>
      <c r="H390" s="404"/>
      <c r="I390" s="404"/>
      <c r="K390" s="322"/>
      <c r="L390" s="401"/>
      <c r="N390" s="18"/>
    </row>
    <row r="391">
      <c r="C391" s="164"/>
      <c r="E391" s="402"/>
      <c r="G391" s="404"/>
      <c r="H391" s="404"/>
      <c r="I391" s="404"/>
      <c r="K391" s="322"/>
      <c r="L391" s="401"/>
      <c r="N391" s="18"/>
    </row>
    <row r="392">
      <c r="C392" s="164"/>
      <c r="E392" s="402"/>
      <c r="G392" s="404"/>
      <c r="H392" s="404"/>
      <c r="I392" s="404"/>
      <c r="K392" s="322"/>
      <c r="L392" s="401"/>
      <c r="N392" s="18"/>
    </row>
    <row r="393">
      <c r="C393" s="164"/>
      <c r="E393" s="402"/>
      <c r="G393" s="404"/>
      <c r="H393" s="404"/>
      <c r="I393" s="404"/>
      <c r="K393" s="322"/>
      <c r="L393" s="401"/>
      <c r="N393" s="18"/>
    </row>
    <row r="394">
      <c r="C394" s="164"/>
      <c r="E394" s="402"/>
      <c r="G394" s="404"/>
      <c r="H394" s="404"/>
      <c r="I394" s="404"/>
      <c r="K394" s="322"/>
      <c r="L394" s="401"/>
      <c r="N394" s="18"/>
    </row>
    <row r="395">
      <c r="C395" s="164"/>
      <c r="E395" s="402"/>
      <c r="G395" s="404"/>
      <c r="H395" s="404"/>
      <c r="I395" s="404"/>
      <c r="K395" s="322"/>
      <c r="L395" s="401"/>
      <c r="N395" s="18"/>
    </row>
    <row r="396">
      <c r="C396" s="164"/>
      <c r="E396" s="402"/>
      <c r="G396" s="404"/>
      <c r="H396" s="404"/>
      <c r="I396" s="404"/>
      <c r="K396" s="322"/>
      <c r="L396" s="401"/>
      <c r="N396" s="18"/>
    </row>
    <row r="397">
      <c r="C397" s="164"/>
      <c r="E397" s="402"/>
      <c r="G397" s="404"/>
      <c r="H397" s="404"/>
      <c r="I397" s="404"/>
      <c r="K397" s="322"/>
      <c r="L397" s="401"/>
      <c r="N397" s="18"/>
    </row>
    <row r="398">
      <c r="C398" s="164"/>
      <c r="E398" s="402"/>
      <c r="G398" s="404"/>
      <c r="H398" s="404"/>
      <c r="I398" s="404"/>
      <c r="K398" s="322"/>
      <c r="L398" s="401"/>
      <c r="N398" s="18"/>
    </row>
    <row r="399">
      <c r="C399" s="164"/>
      <c r="E399" s="402"/>
      <c r="G399" s="404"/>
      <c r="H399" s="404"/>
      <c r="I399" s="404"/>
      <c r="K399" s="322"/>
      <c r="L399" s="401"/>
      <c r="N399" s="18"/>
    </row>
    <row r="400">
      <c r="C400" s="164"/>
      <c r="E400" s="402"/>
      <c r="G400" s="404"/>
      <c r="H400" s="404"/>
      <c r="I400" s="404"/>
      <c r="K400" s="322"/>
      <c r="L400" s="401"/>
      <c r="N400" s="18"/>
    </row>
    <row r="401">
      <c r="C401" s="164"/>
      <c r="E401" s="402"/>
      <c r="G401" s="404"/>
      <c r="H401" s="404"/>
      <c r="I401" s="404"/>
      <c r="K401" s="322"/>
      <c r="L401" s="401"/>
      <c r="N401" s="18"/>
    </row>
    <row r="402">
      <c r="C402" s="164"/>
      <c r="E402" s="402"/>
      <c r="G402" s="404"/>
      <c r="H402" s="404"/>
      <c r="I402" s="404"/>
      <c r="K402" s="322"/>
      <c r="L402" s="401"/>
      <c r="N402" s="18"/>
    </row>
    <row r="403">
      <c r="C403" s="164"/>
      <c r="E403" s="402"/>
      <c r="G403" s="404"/>
      <c r="H403" s="404"/>
      <c r="I403" s="404"/>
      <c r="K403" s="322"/>
      <c r="L403" s="401"/>
      <c r="N403" s="18"/>
    </row>
    <row r="404">
      <c r="C404" s="164"/>
      <c r="E404" s="402"/>
      <c r="G404" s="404"/>
      <c r="H404" s="404"/>
      <c r="I404" s="404"/>
      <c r="K404" s="322"/>
      <c r="L404" s="401"/>
      <c r="N404" s="18"/>
    </row>
    <row r="405">
      <c r="C405" s="164"/>
      <c r="E405" s="402"/>
      <c r="G405" s="404"/>
      <c r="H405" s="404"/>
      <c r="I405" s="404"/>
      <c r="K405" s="322"/>
      <c r="L405" s="401"/>
      <c r="N405" s="18"/>
    </row>
    <row r="406">
      <c r="C406" s="164"/>
      <c r="E406" s="402"/>
      <c r="G406" s="404"/>
      <c r="H406" s="404"/>
      <c r="I406" s="404"/>
      <c r="K406" s="322"/>
      <c r="L406" s="401"/>
      <c r="N406" s="18"/>
    </row>
    <row r="407">
      <c r="C407" s="164"/>
      <c r="E407" s="402"/>
      <c r="G407" s="404"/>
      <c r="H407" s="404"/>
      <c r="I407" s="404"/>
      <c r="K407" s="322"/>
      <c r="L407" s="401"/>
      <c r="N407" s="18"/>
    </row>
    <row r="408">
      <c r="C408" s="164"/>
      <c r="E408" s="402"/>
      <c r="G408" s="404"/>
      <c r="H408" s="404"/>
      <c r="I408" s="404"/>
      <c r="K408" s="322"/>
      <c r="L408" s="401"/>
      <c r="N408" s="18"/>
    </row>
    <row r="409">
      <c r="C409" s="164"/>
      <c r="E409" s="402"/>
      <c r="G409" s="404"/>
      <c r="H409" s="404"/>
      <c r="I409" s="404"/>
      <c r="K409" s="322"/>
      <c r="L409" s="401"/>
      <c r="N409" s="18"/>
    </row>
    <row r="410">
      <c r="C410" s="164"/>
      <c r="E410" s="402"/>
      <c r="G410" s="404"/>
      <c r="H410" s="404"/>
      <c r="I410" s="404"/>
      <c r="K410" s="322"/>
      <c r="L410" s="401"/>
      <c r="N410" s="18"/>
    </row>
    <row r="411">
      <c r="C411" s="164"/>
      <c r="E411" s="402"/>
      <c r="G411" s="404"/>
      <c r="H411" s="404"/>
      <c r="I411" s="404"/>
      <c r="K411" s="322"/>
      <c r="L411" s="401"/>
      <c r="N411" s="18"/>
    </row>
    <row r="412">
      <c r="C412" s="164"/>
      <c r="E412" s="402"/>
      <c r="G412" s="404"/>
      <c r="H412" s="404"/>
      <c r="I412" s="404"/>
      <c r="K412" s="322"/>
      <c r="L412" s="401"/>
      <c r="N412" s="18"/>
    </row>
    <row r="413">
      <c r="C413" s="164"/>
      <c r="E413" s="402"/>
      <c r="G413" s="404"/>
      <c r="H413" s="404"/>
      <c r="I413" s="404"/>
      <c r="K413" s="322"/>
      <c r="L413" s="401"/>
      <c r="N413" s="18"/>
    </row>
    <row r="414">
      <c r="C414" s="164"/>
      <c r="E414" s="402"/>
      <c r="G414" s="404"/>
      <c r="H414" s="404"/>
      <c r="I414" s="404"/>
      <c r="K414" s="322"/>
      <c r="L414" s="401"/>
      <c r="N414" s="18"/>
    </row>
    <row r="415">
      <c r="C415" s="164"/>
      <c r="E415" s="402"/>
      <c r="G415" s="404"/>
      <c r="H415" s="404"/>
      <c r="I415" s="404"/>
      <c r="K415" s="322"/>
      <c r="L415" s="401"/>
      <c r="N415" s="18"/>
    </row>
    <row r="416">
      <c r="C416" s="164"/>
      <c r="E416" s="402"/>
      <c r="G416" s="404"/>
      <c r="H416" s="404"/>
      <c r="I416" s="404"/>
      <c r="K416" s="322"/>
      <c r="L416" s="401"/>
      <c r="N416" s="18"/>
    </row>
    <row r="417">
      <c r="C417" s="164"/>
      <c r="E417" s="402"/>
      <c r="G417" s="404"/>
      <c r="H417" s="404"/>
      <c r="I417" s="404"/>
      <c r="K417" s="322"/>
      <c r="L417" s="401"/>
      <c r="N417" s="18"/>
    </row>
    <row r="418">
      <c r="C418" s="164"/>
      <c r="E418" s="402"/>
      <c r="G418" s="404"/>
      <c r="H418" s="404"/>
      <c r="I418" s="404"/>
      <c r="K418" s="322"/>
      <c r="L418" s="401"/>
      <c r="N418" s="18"/>
    </row>
    <row r="419">
      <c r="C419" s="164"/>
      <c r="E419" s="402"/>
      <c r="G419" s="404"/>
      <c r="H419" s="404"/>
      <c r="I419" s="404"/>
      <c r="K419" s="322"/>
      <c r="L419" s="401"/>
      <c r="N419" s="18"/>
    </row>
    <row r="420">
      <c r="C420" s="164"/>
      <c r="E420" s="402"/>
      <c r="G420" s="404"/>
      <c r="H420" s="404"/>
      <c r="I420" s="404"/>
      <c r="K420" s="322"/>
      <c r="L420" s="401"/>
      <c r="N420" s="18"/>
    </row>
    <row r="421">
      <c r="C421" s="164"/>
      <c r="E421" s="402"/>
      <c r="G421" s="404"/>
      <c r="H421" s="404"/>
      <c r="I421" s="404"/>
      <c r="K421" s="322"/>
      <c r="L421" s="401"/>
      <c r="N421" s="18"/>
    </row>
    <row r="422">
      <c r="C422" s="164"/>
      <c r="E422" s="402"/>
      <c r="G422" s="404"/>
      <c r="H422" s="404"/>
      <c r="I422" s="404"/>
      <c r="K422" s="322"/>
      <c r="L422" s="401"/>
      <c r="N422" s="18"/>
    </row>
    <row r="423">
      <c r="C423" s="164"/>
      <c r="E423" s="402"/>
      <c r="G423" s="404"/>
      <c r="H423" s="404"/>
      <c r="I423" s="404"/>
      <c r="K423" s="322"/>
      <c r="L423" s="401"/>
      <c r="N423" s="18"/>
    </row>
    <row r="424">
      <c r="C424" s="164"/>
      <c r="E424" s="402"/>
      <c r="G424" s="404"/>
      <c r="H424" s="404"/>
      <c r="I424" s="404"/>
      <c r="K424" s="322"/>
      <c r="L424" s="401"/>
      <c r="N424" s="18"/>
    </row>
    <row r="425">
      <c r="C425" s="164"/>
      <c r="E425" s="402"/>
      <c r="G425" s="404"/>
      <c r="H425" s="404"/>
      <c r="I425" s="404"/>
      <c r="K425" s="322"/>
      <c r="L425" s="401"/>
      <c r="N425" s="18"/>
    </row>
    <row r="426">
      <c r="C426" s="164"/>
      <c r="E426" s="402"/>
      <c r="G426" s="404"/>
      <c r="H426" s="404"/>
      <c r="I426" s="404"/>
      <c r="K426" s="322"/>
      <c r="L426" s="401"/>
      <c r="N426" s="18"/>
    </row>
    <row r="427">
      <c r="C427" s="164"/>
      <c r="E427" s="402"/>
      <c r="G427" s="404"/>
      <c r="H427" s="404"/>
      <c r="I427" s="404"/>
      <c r="K427" s="322"/>
      <c r="L427" s="401"/>
      <c r="N427" s="18"/>
    </row>
    <row r="428">
      <c r="C428" s="164"/>
      <c r="E428" s="402"/>
      <c r="G428" s="404"/>
      <c r="H428" s="404"/>
      <c r="I428" s="404"/>
      <c r="K428" s="322"/>
      <c r="L428" s="401"/>
      <c r="N428" s="18"/>
    </row>
    <row r="429">
      <c r="C429" s="164"/>
      <c r="E429" s="402"/>
      <c r="G429" s="404"/>
      <c r="H429" s="404"/>
      <c r="I429" s="404"/>
      <c r="K429" s="322"/>
      <c r="L429" s="401"/>
      <c r="N429" s="18"/>
    </row>
    <row r="430">
      <c r="C430" s="164"/>
      <c r="E430" s="402"/>
      <c r="G430" s="404"/>
      <c r="H430" s="404"/>
      <c r="I430" s="404"/>
      <c r="K430" s="322"/>
      <c r="L430" s="401"/>
      <c r="N430" s="18"/>
    </row>
    <row r="431">
      <c r="C431" s="164"/>
      <c r="E431" s="402"/>
      <c r="G431" s="404"/>
      <c r="H431" s="404"/>
      <c r="I431" s="404"/>
      <c r="K431" s="322"/>
      <c r="L431" s="401"/>
      <c r="N431" s="18"/>
    </row>
    <row r="432">
      <c r="C432" s="164"/>
      <c r="E432" s="402"/>
      <c r="G432" s="404"/>
      <c r="H432" s="404"/>
      <c r="I432" s="404"/>
      <c r="K432" s="322"/>
      <c r="L432" s="401"/>
      <c r="N432" s="18"/>
    </row>
    <row r="433">
      <c r="C433" s="164"/>
      <c r="E433" s="402"/>
      <c r="G433" s="404"/>
      <c r="H433" s="404"/>
      <c r="I433" s="404"/>
      <c r="K433" s="322"/>
      <c r="L433" s="401"/>
      <c r="N433" s="18"/>
    </row>
    <row r="434">
      <c r="C434" s="164"/>
      <c r="E434" s="402"/>
      <c r="G434" s="404"/>
      <c r="H434" s="404"/>
      <c r="I434" s="404"/>
      <c r="K434" s="322"/>
      <c r="L434" s="401"/>
      <c r="N434" s="18"/>
    </row>
    <row r="435">
      <c r="C435" s="164"/>
      <c r="E435" s="402"/>
      <c r="G435" s="404"/>
      <c r="H435" s="404"/>
      <c r="I435" s="404"/>
      <c r="K435" s="322"/>
      <c r="L435" s="401"/>
      <c r="N435" s="18"/>
    </row>
    <row r="436">
      <c r="C436" s="164"/>
      <c r="E436" s="402"/>
      <c r="G436" s="404"/>
      <c r="H436" s="404"/>
      <c r="I436" s="404"/>
      <c r="K436" s="322"/>
      <c r="L436" s="401"/>
      <c r="N436" s="18"/>
    </row>
    <row r="437">
      <c r="C437" s="164"/>
      <c r="E437" s="402"/>
      <c r="G437" s="404"/>
      <c r="H437" s="404"/>
      <c r="I437" s="404"/>
      <c r="K437" s="322"/>
      <c r="L437" s="401"/>
      <c r="N437" s="18"/>
    </row>
    <row r="438">
      <c r="C438" s="164"/>
      <c r="E438" s="402"/>
      <c r="G438" s="404"/>
      <c r="H438" s="404"/>
      <c r="I438" s="404"/>
      <c r="K438" s="322"/>
      <c r="L438" s="401"/>
      <c r="N438" s="18"/>
    </row>
    <row r="439">
      <c r="C439" s="164"/>
      <c r="E439" s="402"/>
      <c r="G439" s="404"/>
      <c r="H439" s="404"/>
      <c r="I439" s="404"/>
      <c r="K439" s="322"/>
      <c r="L439" s="401"/>
      <c r="N439" s="18"/>
    </row>
    <row r="440">
      <c r="C440" s="164"/>
      <c r="E440" s="402"/>
      <c r="G440" s="404"/>
      <c r="H440" s="404"/>
      <c r="I440" s="404"/>
      <c r="K440" s="322"/>
      <c r="L440" s="401"/>
      <c r="N440" s="18"/>
    </row>
    <row r="441">
      <c r="C441" s="164"/>
      <c r="E441" s="402"/>
      <c r="G441" s="404"/>
      <c r="H441" s="404"/>
      <c r="I441" s="404"/>
      <c r="K441" s="322"/>
      <c r="L441" s="401"/>
      <c r="N441" s="18"/>
    </row>
    <row r="442">
      <c r="C442" s="164"/>
      <c r="E442" s="402"/>
      <c r="G442" s="404"/>
      <c r="H442" s="404"/>
      <c r="I442" s="404"/>
      <c r="K442" s="322"/>
      <c r="L442" s="401"/>
      <c r="N442" s="18"/>
    </row>
    <row r="443">
      <c r="C443" s="164"/>
      <c r="E443" s="402"/>
      <c r="G443" s="404"/>
      <c r="H443" s="404"/>
      <c r="I443" s="404"/>
      <c r="K443" s="322"/>
      <c r="L443" s="401"/>
      <c r="N443" s="18"/>
    </row>
    <row r="444">
      <c r="C444" s="164"/>
      <c r="E444" s="402"/>
      <c r="G444" s="404"/>
      <c r="H444" s="404"/>
      <c r="I444" s="404"/>
      <c r="K444" s="322"/>
      <c r="L444" s="401"/>
      <c r="N444" s="18"/>
    </row>
    <row r="445">
      <c r="C445" s="164"/>
      <c r="E445" s="402"/>
      <c r="G445" s="404"/>
      <c r="H445" s="404"/>
      <c r="I445" s="404"/>
      <c r="K445" s="322"/>
      <c r="L445" s="401"/>
      <c r="N445" s="18"/>
    </row>
    <row r="446">
      <c r="C446" s="164"/>
      <c r="E446" s="402"/>
      <c r="G446" s="404"/>
      <c r="H446" s="404"/>
      <c r="I446" s="404"/>
      <c r="K446" s="322"/>
      <c r="L446" s="401"/>
      <c r="N446" s="18"/>
    </row>
    <row r="447">
      <c r="C447" s="164"/>
      <c r="E447" s="402"/>
      <c r="G447" s="404"/>
      <c r="H447" s="404"/>
      <c r="I447" s="404"/>
      <c r="K447" s="322"/>
      <c r="L447" s="401"/>
      <c r="N447" s="18"/>
    </row>
    <row r="448">
      <c r="C448" s="164"/>
      <c r="E448" s="402"/>
      <c r="G448" s="404"/>
      <c r="H448" s="404"/>
      <c r="I448" s="404"/>
      <c r="K448" s="322"/>
      <c r="L448" s="401"/>
      <c r="N448" s="18"/>
    </row>
    <row r="449">
      <c r="C449" s="164"/>
      <c r="E449" s="402"/>
      <c r="G449" s="404"/>
      <c r="H449" s="404"/>
      <c r="I449" s="404"/>
      <c r="K449" s="322"/>
      <c r="L449" s="401"/>
      <c r="N449" s="18"/>
    </row>
    <row r="450">
      <c r="C450" s="164"/>
      <c r="E450" s="402"/>
      <c r="G450" s="404"/>
      <c r="H450" s="404"/>
      <c r="I450" s="404"/>
      <c r="K450" s="322"/>
      <c r="L450" s="401"/>
      <c r="N450" s="18"/>
    </row>
    <row r="451">
      <c r="C451" s="164"/>
      <c r="E451" s="402"/>
      <c r="G451" s="404"/>
      <c r="H451" s="404"/>
      <c r="I451" s="404"/>
      <c r="K451" s="322"/>
      <c r="L451" s="401"/>
      <c r="N451" s="18"/>
    </row>
    <row r="452">
      <c r="C452" s="164"/>
      <c r="E452" s="402"/>
      <c r="G452" s="404"/>
      <c r="H452" s="404"/>
      <c r="I452" s="404"/>
      <c r="K452" s="322"/>
      <c r="L452" s="401"/>
      <c r="N452" s="18"/>
    </row>
    <row r="453">
      <c r="C453" s="164"/>
      <c r="E453" s="402"/>
      <c r="G453" s="404"/>
      <c r="H453" s="404"/>
      <c r="I453" s="404"/>
      <c r="K453" s="322"/>
      <c r="L453" s="401"/>
      <c r="N453" s="18"/>
    </row>
    <row r="454">
      <c r="C454" s="164"/>
      <c r="E454" s="402"/>
      <c r="G454" s="404"/>
      <c r="H454" s="404"/>
      <c r="I454" s="404"/>
      <c r="K454" s="322"/>
      <c r="L454" s="401"/>
      <c r="N454" s="18"/>
    </row>
    <row r="455">
      <c r="C455" s="164"/>
      <c r="E455" s="402"/>
      <c r="G455" s="404"/>
      <c r="H455" s="404"/>
      <c r="I455" s="404"/>
      <c r="K455" s="322"/>
      <c r="L455" s="401"/>
      <c r="N455" s="18"/>
    </row>
    <row r="456">
      <c r="C456" s="164"/>
      <c r="E456" s="402"/>
      <c r="G456" s="404"/>
      <c r="H456" s="404"/>
      <c r="I456" s="404"/>
      <c r="K456" s="322"/>
      <c r="L456" s="401"/>
      <c r="N456" s="18"/>
    </row>
    <row r="457">
      <c r="C457" s="164"/>
      <c r="E457" s="402"/>
      <c r="G457" s="404"/>
      <c r="H457" s="404"/>
      <c r="I457" s="404"/>
      <c r="K457" s="322"/>
      <c r="L457" s="401"/>
      <c r="N457" s="18"/>
    </row>
    <row r="458">
      <c r="C458" s="164"/>
      <c r="E458" s="402"/>
      <c r="G458" s="404"/>
      <c r="H458" s="404"/>
      <c r="I458" s="404"/>
      <c r="K458" s="322"/>
      <c r="L458" s="401"/>
      <c r="N458" s="18"/>
    </row>
    <row r="459">
      <c r="C459" s="164"/>
      <c r="E459" s="402"/>
      <c r="G459" s="404"/>
      <c r="H459" s="404"/>
      <c r="I459" s="404"/>
      <c r="K459" s="322"/>
      <c r="L459" s="401"/>
      <c r="N459" s="18"/>
    </row>
    <row r="460">
      <c r="C460" s="164"/>
      <c r="E460" s="402"/>
      <c r="G460" s="404"/>
      <c r="H460" s="404"/>
      <c r="I460" s="404"/>
      <c r="K460" s="322"/>
      <c r="L460" s="401"/>
      <c r="N460" s="18"/>
    </row>
    <row r="461">
      <c r="C461" s="164"/>
      <c r="E461" s="402"/>
      <c r="G461" s="404"/>
      <c r="H461" s="404"/>
      <c r="I461" s="404"/>
      <c r="K461" s="322"/>
      <c r="L461" s="401"/>
      <c r="N461" s="18"/>
    </row>
    <row r="462">
      <c r="C462" s="164"/>
      <c r="E462" s="402"/>
      <c r="G462" s="404"/>
      <c r="H462" s="404"/>
      <c r="I462" s="404"/>
      <c r="K462" s="322"/>
      <c r="L462" s="401"/>
      <c r="N462" s="18"/>
    </row>
    <row r="463">
      <c r="C463" s="164"/>
      <c r="E463" s="402"/>
      <c r="G463" s="404"/>
      <c r="H463" s="404"/>
      <c r="I463" s="404"/>
      <c r="K463" s="322"/>
      <c r="L463" s="401"/>
      <c r="N463" s="18"/>
    </row>
    <row r="464">
      <c r="C464" s="164"/>
      <c r="E464" s="402"/>
      <c r="G464" s="404"/>
      <c r="H464" s="404"/>
      <c r="I464" s="404"/>
      <c r="K464" s="322"/>
      <c r="L464" s="401"/>
      <c r="N464" s="18"/>
    </row>
    <row r="465">
      <c r="C465" s="164"/>
      <c r="E465" s="402"/>
      <c r="G465" s="404"/>
      <c r="H465" s="404"/>
      <c r="I465" s="404"/>
      <c r="K465" s="322"/>
      <c r="L465" s="401"/>
      <c r="N465" s="18"/>
    </row>
    <row r="466">
      <c r="C466" s="164"/>
      <c r="E466" s="402"/>
      <c r="G466" s="404"/>
      <c r="H466" s="404"/>
      <c r="I466" s="404"/>
      <c r="K466" s="322"/>
      <c r="L466" s="401"/>
      <c r="N466" s="18"/>
    </row>
    <row r="467">
      <c r="C467" s="164"/>
      <c r="E467" s="402"/>
      <c r="G467" s="404"/>
      <c r="H467" s="404"/>
      <c r="I467" s="404"/>
      <c r="K467" s="322"/>
      <c r="L467" s="401"/>
      <c r="N467" s="18"/>
    </row>
    <row r="468">
      <c r="C468" s="164"/>
      <c r="E468" s="402"/>
      <c r="G468" s="404"/>
      <c r="H468" s="404"/>
      <c r="I468" s="404"/>
      <c r="K468" s="322"/>
      <c r="L468" s="401"/>
      <c r="N468" s="18"/>
    </row>
    <row r="469">
      <c r="C469" s="164"/>
      <c r="E469" s="402"/>
      <c r="G469" s="404"/>
      <c r="H469" s="404"/>
      <c r="I469" s="404"/>
      <c r="K469" s="322"/>
      <c r="L469" s="401"/>
      <c r="N469" s="18"/>
    </row>
    <row r="470">
      <c r="C470" s="164"/>
      <c r="E470" s="402"/>
      <c r="G470" s="404"/>
      <c r="H470" s="404"/>
      <c r="I470" s="404"/>
      <c r="K470" s="322"/>
      <c r="L470" s="401"/>
      <c r="N470" s="18"/>
    </row>
    <row r="471">
      <c r="C471" s="164"/>
      <c r="E471" s="402"/>
      <c r="G471" s="404"/>
      <c r="H471" s="404"/>
      <c r="I471" s="404"/>
      <c r="K471" s="322"/>
      <c r="L471" s="401"/>
      <c r="N471" s="18"/>
    </row>
    <row r="472">
      <c r="C472" s="164"/>
      <c r="E472" s="402"/>
      <c r="G472" s="404"/>
      <c r="H472" s="404"/>
      <c r="I472" s="404"/>
      <c r="K472" s="322"/>
      <c r="L472" s="401"/>
      <c r="N472" s="18"/>
    </row>
    <row r="473">
      <c r="C473" s="164"/>
      <c r="E473" s="402"/>
      <c r="G473" s="404"/>
      <c r="H473" s="404"/>
      <c r="I473" s="404"/>
      <c r="K473" s="322"/>
      <c r="L473" s="401"/>
      <c r="N473" s="18"/>
    </row>
    <row r="474">
      <c r="C474" s="164"/>
      <c r="E474" s="402"/>
      <c r="G474" s="404"/>
      <c r="H474" s="404"/>
      <c r="I474" s="404"/>
      <c r="K474" s="322"/>
      <c r="L474" s="401"/>
      <c r="N474" s="18"/>
    </row>
    <row r="475">
      <c r="C475" s="164"/>
      <c r="E475" s="402"/>
      <c r="G475" s="404"/>
      <c r="H475" s="404"/>
      <c r="I475" s="404"/>
      <c r="K475" s="322"/>
      <c r="L475" s="401"/>
      <c r="N475" s="18"/>
    </row>
    <row r="476">
      <c r="C476" s="164"/>
      <c r="E476" s="402"/>
      <c r="G476" s="404"/>
      <c r="H476" s="404"/>
      <c r="I476" s="404"/>
      <c r="K476" s="322"/>
      <c r="L476" s="401"/>
      <c r="N476" s="18"/>
    </row>
    <row r="477">
      <c r="C477" s="164"/>
      <c r="E477" s="402"/>
      <c r="G477" s="404"/>
      <c r="H477" s="404"/>
      <c r="I477" s="404"/>
      <c r="K477" s="322"/>
      <c r="L477" s="401"/>
      <c r="N477" s="18"/>
    </row>
    <row r="478">
      <c r="C478" s="164"/>
      <c r="E478" s="402"/>
      <c r="G478" s="404"/>
      <c r="H478" s="404"/>
      <c r="I478" s="404"/>
      <c r="K478" s="322"/>
      <c r="L478" s="401"/>
      <c r="N478" s="18"/>
    </row>
    <row r="479">
      <c r="C479" s="164"/>
      <c r="E479" s="402"/>
      <c r="G479" s="404"/>
      <c r="H479" s="404"/>
      <c r="I479" s="404"/>
      <c r="K479" s="322"/>
      <c r="L479" s="401"/>
      <c r="N479" s="18"/>
    </row>
    <row r="480">
      <c r="C480" s="164"/>
      <c r="E480" s="402"/>
      <c r="G480" s="404"/>
      <c r="H480" s="404"/>
      <c r="I480" s="404"/>
      <c r="K480" s="322"/>
      <c r="L480" s="401"/>
      <c r="N480" s="18"/>
    </row>
    <row r="481">
      <c r="C481" s="164"/>
      <c r="E481" s="402"/>
      <c r="G481" s="404"/>
      <c r="H481" s="404"/>
      <c r="I481" s="404"/>
      <c r="K481" s="322"/>
      <c r="L481" s="401"/>
      <c r="N481" s="18"/>
    </row>
    <row r="482">
      <c r="C482" s="164"/>
      <c r="E482" s="402"/>
      <c r="G482" s="404"/>
      <c r="H482" s="404"/>
      <c r="I482" s="404"/>
      <c r="K482" s="322"/>
      <c r="L482" s="401"/>
      <c r="N482" s="18"/>
    </row>
    <row r="483">
      <c r="C483" s="164"/>
      <c r="E483" s="402"/>
      <c r="G483" s="404"/>
      <c r="H483" s="404"/>
      <c r="I483" s="404"/>
      <c r="K483" s="322"/>
      <c r="L483" s="401"/>
      <c r="N483" s="18"/>
    </row>
    <row r="484">
      <c r="C484" s="164"/>
      <c r="E484" s="402"/>
      <c r="G484" s="404"/>
      <c r="H484" s="404"/>
      <c r="I484" s="404"/>
      <c r="K484" s="322"/>
      <c r="L484" s="401"/>
      <c r="N484" s="18"/>
    </row>
    <row r="485">
      <c r="C485" s="164"/>
      <c r="E485" s="402"/>
      <c r="G485" s="404"/>
      <c r="H485" s="404"/>
      <c r="I485" s="404"/>
      <c r="K485" s="322"/>
      <c r="L485" s="401"/>
      <c r="N485" s="18"/>
    </row>
    <row r="486">
      <c r="C486" s="164"/>
      <c r="E486" s="402"/>
      <c r="G486" s="404"/>
      <c r="H486" s="404"/>
      <c r="I486" s="404"/>
      <c r="K486" s="322"/>
      <c r="L486" s="401"/>
      <c r="N486" s="18"/>
    </row>
    <row r="487">
      <c r="C487" s="164"/>
      <c r="E487" s="402"/>
      <c r="G487" s="404"/>
      <c r="H487" s="404"/>
      <c r="I487" s="404"/>
      <c r="K487" s="322"/>
      <c r="L487" s="401"/>
      <c r="N487" s="18"/>
    </row>
    <row r="488">
      <c r="C488" s="164"/>
      <c r="E488" s="402"/>
      <c r="G488" s="404"/>
      <c r="H488" s="404"/>
      <c r="I488" s="404"/>
      <c r="K488" s="322"/>
      <c r="L488" s="401"/>
      <c r="N488" s="18"/>
    </row>
    <row r="489">
      <c r="C489" s="164"/>
      <c r="E489" s="402"/>
      <c r="G489" s="404"/>
      <c r="H489" s="404"/>
      <c r="I489" s="404"/>
      <c r="K489" s="322"/>
      <c r="L489" s="401"/>
      <c r="N489" s="18"/>
    </row>
    <row r="490">
      <c r="C490" s="164"/>
      <c r="E490" s="402"/>
      <c r="G490" s="404"/>
      <c r="H490" s="404"/>
      <c r="I490" s="404"/>
      <c r="K490" s="322"/>
      <c r="L490" s="401"/>
      <c r="N490" s="18"/>
    </row>
    <row r="491">
      <c r="C491" s="164"/>
      <c r="E491" s="402"/>
      <c r="G491" s="404"/>
      <c r="H491" s="404"/>
      <c r="I491" s="404"/>
      <c r="K491" s="322"/>
      <c r="L491" s="401"/>
      <c r="N491" s="18"/>
    </row>
    <row r="492">
      <c r="C492" s="164"/>
      <c r="E492" s="402"/>
      <c r="G492" s="404"/>
      <c r="H492" s="404"/>
      <c r="I492" s="404"/>
      <c r="K492" s="322"/>
      <c r="L492" s="401"/>
      <c r="N492" s="18"/>
    </row>
    <row r="493">
      <c r="C493" s="164"/>
      <c r="E493" s="402"/>
      <c r="G493" s="404"/>
      <c r="H493" s="404"/>
      <c r="I493" s="404"/>
      <c r="K493" s="322"/>
      <c r="L493" s="401"/>
      <c r="N493" s="18"/>
    </row>
    <row r="494">
      <c r="C494" s="164"/>
      <c r="E494" s="402"/>
      <c r="G494" s="404"/>
      <c r="H494" s="404"/>
      <c r="I494" s="404"/>
      <c r="K494" s="322"/>
      <c r="L494" s="401"/>
      <c r="N494" s="18"/>
    </row>
    <row r="495">
      <c r="C495" s="164"/>
      <c r="E495" s="402"/>
      <c r="G495" s="404"/>
      <c r="H495" s="404"/>
      <c r="I495" s="404"/>
      <c r="K495" s="322"/>
      <c r="L495" s="401"/>
      <c r="N495" s="18"/>
    </row>
    <row r="496">
      <c r="C496" s="164"/>
      <c r="E496" s="402"/>
      <c r="G496" s="404"/>
      <c r="H496" s="404"/>
      <c r="I496" s="404"/>
      <c r="K496" s="322"/>
      <c r="L496" s="401"/>
      <c r="N496" s="18"/>
    </row>
    <row r="497">
      <c r="C497" s="164"/>
      <c r="E497" s="402"/>
      <c r="G497" s="404"/>
      <c r="H497" s="404"/>
      <c r="I497" s="404"/>
      <c r="K497" s="322"/>
      <c r="L497" s="401"/>
      <c r="N497" s="18"/>
    </row>
    <row r="498">
      <c r="C498" s="164"/>
      <c r="E498" s="402"/>
      <c r="G498" s="404"/>
      <c r="H498" s="404"/>
      <c r="I498" s="404"/>
      <c r="K498" s="322"/>
      <c r="L498" s="401"/>
      <c r="N498" s="18"/>
    </row>
    <row r="499">
      <c r="C499" s="164"/>
      <c r="E499" s="402"/>
      <c r="G499" s="404"/>
      <c r="H499" s="404"/>
      <c r="I499" s="404"/>
      <c r="K499" s="322"/>
      <c r="L499" s="401"/>
      <c r="N499" s="18"/>
    </row>
    <row r="500">
      <c r="C500" s="164"/>
      <c r="E500" s="402"/>
      <c r="G500" s="404"/>
      <c r="H500" s="404"/>
      <c r="I500" s="404"/>
      <c r="K500" s="322"/>
      <c r="L500" s="401"/>
      <c r="N500" s="18"/>
    </row>
    <row r="501">
      <c r="C501" s="164"/>
      <c r="E501" s="402"/>
      <c r="G501" s="404"/>
      <c r="H501" s="404"/>
      <c r="I501" s="404"/>
      <c r="K501" s="322"/>
      <c r="L501" s="401"/>
      <c r="N501" s="18"/>
    </row>
    <row r="502">
      <c r="C502" s="164"/>
      <c r="E502" s="402"/>
      <c r="G502" s="404"/>
      <c r="H502" s="404"/>
      <c r="I502" s="404"/>
      <c r="K502" s="322"/>
      <c r="L502" s="401"/>
      <c r="N502" s="18"/>
    </row>
    <row r="503">
      <c r="C503" s="164"/>
      <c r="E503" s="402"/>
      <c r="G503" s="404"/>
      <c r="H503" s="404"/>
      <c r="I503" s="404"/>
      <c r="K503" s="322"/>
      <c r="L503" s="401"/>
      <c r="N503" s="18"/>
    </row>
    <row r="504">
      <c r="C504" s="164"/>
      <c r="E504" s="402"/>
      <c r="G504" s="404"/>
      <c r="H504" s="404"/>
      <c r="I504" s="404"/>
      <c r="K504" s="322"/>
      <c r="L504" s="401"/>
      <c r="N504" s="18"/>
    </row>
    <row r="505">
      <c r="C505" s="164"/>
      <c r="E505" s="402"/>
      <c r="G505" s="404"/>
      <c r="H505" s="404"/>
      <c r="I505" s="404"/>
      <c r="K505" s="322"/>
      <c r="L505" s="401"/>
      <c r="N505" s="18"/>
    </row>
    <row r="506">
      <c r="C506" s="164"/>
      <c r="E506" s="402"/>
      <c r="G506" s="404"/>
      <c r="H506" s="404"/>
      <c r="I506" s="404"/>
      <c r="K506" s="322"/>
      <c r="L506" s="401"/>
      <c r="N506" s="18"/>
    </row>
    <row r="507">
      <c r="C507" s="164"/>
      <c r="E507" s="402"/>
      <c r="G507" s="404"/>
      <c r="H507" s="404"/>
      <c r="I507" s="404"/>
      <c r="K507" s="322"/>
      <c r="L507" s="401"/>
      <c r="N507" s="18"/>
    </row>
    <row r="508">
      <c r="C508" s="164"/>
      <c r="E508" s="402"/>
      <c r="G508" s="404"/>
      <c r="H508" s="404"/>
      <c r="I508" s="404"/>
      <c r="K508" s="322"/>
      <c r="L508" s="401"/>
      <c r="N508" s="18"/>
    </row>
    <row r="509">
      <c r="C509" s="164"/>
      <c r="E509" s="402"/>
      <c r="G509" s="404"/>
      <c r="H509" s="404"/>
      <c r="I509" s="404"/>
      <c r="K509" s="322"/>
      <c r="L509" s="401"/>
      <c r="N509" s="18"/>
    </row>
    <row r="510">
      <c r="C510" s="164"/>
      <c r="E510" s="402"/>
      <c r="G510" s="404"/>
      <c r="H510" s="404"/>
      <c r="I510" s="404"/>
      <c r="K510" s="322"/>
      <c r="L510" s="401"/>
      <c r="N510" s="18"/>
    </row>
    <row r="511">
      <c r="C511" s="164"/>
      <c r="E511" s="402"/>
      <c r="G511" s="404"/>
      <c r="H511" s="404"/>
      <c r="I511" s="404"/>
      <c r="K511" s="322"/>
      <c r="L511" s="401"/>
      <c r="N511" s="18"/>
    </row>
    <row r="512">
      <c r="C512" s="164"/>
      <c r="E512" s="402"/>
      <c r="G512" s="404"/>
      <c r="H512" s="404"/>
      <c r="I512" s="404"/>
      <c r="K512" s="322"/>
      <c r="L512" s="401"/>
      <c r="N512" s="18"/>
    </row>
    <row r="513">
      <c r="C513" s="164"/>
      <c r="E513" s="402"/>
      <c r="G513" s="404"/>
      <c r="H513" s="404"/>
      <c r="I513" s="404"/>
      <c r="K513" s="322"/>
      <c r="L513" s="401"/>
      <c r="N513" s="18"/>
    </row>
    <row r="514">
      <c r="C514" s="164"/>
      <c r="E514" s="402"/>
      <c r="G514" s="404"/>
      <c r="H514" s="404"/>
      <c r="I514" s="404"/>
      <c r="K514" s="322"/>
      <c r="L514" s="401"/>
      <c r="N514" s="18"/>
    </row>
    <row r="515">
      <c r="C515" s="164"/>
      <c r="E515" s="402"/>
      <c r="G515" s="404"/>
      <c r="H515" s="404"/>
      <c r="I515" s="404"/>
      <c r="K515" s="322"/>
      <c r="L515" s="401"/>
      <c r="N515" s="18"/>
    </row>
    <row r="516">
      <c r="C516" s="164"/>
      <c r="E516" s="402"/>
      <c r="G516" s="404"/>
      <c r="H516" s="404"/>
      <c r="I516" s="404"/>
      <c r="K516" s="322"/>
      <c r="L516" s="401"/>
      <c r="N516" s="18"/>
    </row>
    <row r="517">
      <c r="C517" s="164"/>
      <c r="E517" s="402"/>
      <c r="G517" s="404"/>
      <c r="H517" s="404"/>
      <c r="I517" s="404"/>
      <c r="K517" s="322"/>
      <c r="L517" s="401"/>
      <c r="N517" s="18"/>
    </row>
    <row r="518">
      <c r="C518" s="164"/>
      <c r="E518" s="402"/>
      <c r="G518" s="404"/>
      <c r="H518" s="404"/>
      <c r="I518" s="404"/>
      <c r="K518" s="322"/>
      <c r="L518" s="401"/>
      <c r="N518" s="18"/>
    </row>
    <row r="519">
      <c r="C519" s="164"/>
      <c r="E519" s="402"/>
      <c r="G519" s="404"/>
      <c r="H519" s="404"/>
      <c r="I519" s="404"/>
      <c r="K519" s="322"/>
      <c r="L519" s="401"/>
      <c r="N519" s="18"/>
    </row>
    <row r="520">
      <c r="C520" s="164"/>
      <c r="E520" s="402"/>
      <c r="G520" s="404"/>
      <c r="H520" s="404"/>
      <c r="I520" s="404"/>
      <c r="K520" s="322"/>
      <c r="L520" s="401"/>
      <c r="N520" s="18"/>
    </row>
    <row r="521">
      <c r="C521" s="164"/>
      <c r="E521" s="402"/>
      <c r="G521" s="404"/>
      <c r="H521" s="404"/>
      <c r="I521" s="404"/>
      <c r="K521" s="322"/>
      <c r="L521" s="401"/>
      <c r="N521" s="18"/>
    </row>
    <row r="522">
      <c r="C522" s="164"/>
      <c r="E522" s="402"/>
      <c r="G522" s="404"/>
      <c r="H522" s="404"/>
      <c r="I522" s="404"/>
      <c r="K522" s="322"/>
      <c r="L522" s="401"/>
      <c r="N522" s="18"/>
    </row>
    <row r="523">
      <c r="C523" s="164"/>
      <c r="E523" s="402"/>
      <c r="G523" s="404"/>
      <c r="H523" s="404"/>
      <c r="I523" s="404"/>
      <c r="K523" s="322"/>
      <c r="L523" s="401"/>
      <c r="N523" s="18"/>
    </row>
    <row r="524">
      <c r="C524" s="164"/>
      <c r="E524" s="402"/>
      <c r="G524" s="404"/>
      <c r="H524" s="404"/>
      <c r="I524" s="404"/>
      <c r="K524" s="322"/>
      <c r="L524" s="401"/>
      <c r="N524" s="18"/>
    </row>
    <row r="525">
      <c r="C525" s="164"/>
      <c r="E525" s="402"/>
      <c r="G525" s="404"/>
      <c r="H525" s="404"/>
      <c r="I525" s="404"/>
      <c r="K525" s="322"/>
      <c r="L525" s="401"/>
      <c r="N525" s="18"/>
    </row>
    <row r="526">
      <c r="C526" s="164"/>
      <c r="E526" s="402"/>
      <c r="G526" s="404"/>
      <c r="H526" s="404"/>
      <c r="I526" s="404"/>
      <c r="K526" s="322"/>
      <c r="L526" s="401"/>
      <c r="N526" s="18"/>
    </row>
    <row r="527">
      <c r="C527" s="164"/>
      <c r="E527" s="402"/>
      <c r="G527" s="404"/>
      <c r="H527" s="404"/>
      <c r="I527" s="404"/>
      <c r="K527" s="322"/>
      <c r="L527" s="401"/>
      <c r="N527" s="18"/>
    </row>
    <row r="528">
      <c r="C528" s="164"/>
      <c r="E528" s="402"/>
      <c r="G528" s="404"/>
      <c r="H528" s="404"/>
      <c r="I528" s="404"/>
      <c r="K528" s="322"/>
      <c r="L528" s="401"/>
      <c r="N528" s="18"/>
    </row>
    <row r="529">
      <c r="C529" s="164"/>
      <c r="E529" s="402"/>
      <c r="G529" s="404"/>
      <c r="H529" s="404"/>
      <c r="I529" s="404"/>
      <c r="K529" s="322"/>
      <c r="L529" s="401"/>
      <c r="N529" s="18"/>
    </row>
    <row r="530">
      <c r="C530" s="164"/>
      <c r="E530" s="402"/>
      <c r="G530" s="404"/>
      <c r="H530" s="404"/>
      <c r="I530" s="404"/>
      <c r="K530" s="322"/>
      <c r="L530" s="401"/>
      <c r="N530" s="18"/>
    </row>
    <row r="531">
      <c r="C531" s="164"/>
      <c r="E531" s="402"/>
      <c r="G531" s="404"/>
      <c r="H531" s="404"/>
      <c r="I531" s="404"/>
      <c r="K531" s="322"/>
      <c r="L531" s="401"/>
      <c r="N531" s="18"/>
    </row>
    <row r="532">
      <c r="C532" s="164"/>
      <c r="E532" s="402"/>
      <c r="G532" s="404"/>
      <c r="H532" s="404"/>
      <c r="I532" s="404"/>
      <c r="K532" s="322"/>
      <c r="L532" s="401"/>
      <c r="N532" s="18"/>
    </row>
    <row r="533">
      <c r="C533" s="164"/>
      <c r="E533" s="402"/>
      <c r="G533" s="404"/>
      <c r="H533" s="404"/>
      <c r="I533" s="404"/>
      <c r="K533" s="322"/>
      <c r="L533" s="401"/>
      <c r="N533" s="18"/>
    </row>
    <row r="534">
      <c r="C534" s="164"/>
      <c r="E534" s="402"/>
      <c r="G534" s="404"/>
      <c r="H534" s="404"/>
      <c r="I534" s="404"/>
      <c r="K534" s="322"/>
      <c r="L534" s="401"/>
      <c r="N534" s="18"/>
    </row>
    <row r="535">
      <c r="C535" s="164"/>
      <c r="E535" s="402"/>
      <c r="G535" s="404"/>
      <c r="H535" s="404"/>
      <c r="I535" s="404"/>
      <c r="K535" s="322"/>
      <c r="L535" s="401"/>
      <c r="N535" s="18"/>
    </row>
    <row r="536">
      <c r="C536" s="164"/>
      <c r="E536" s="402"/>
      <c r="G536" s="404"/>
      <c r="H536" s="404"/>
      <c r="I536" s="404"/>
      <c r="K536" s="322"/>
      <c r="L536" s="401"/>
      <c r="N536" s="18"/>
    </row>
    <row r="537">
      <c r="C537" s="164"/>
      <c r="E537" s="402"/>
      <c r="G537" s="404"/>
      <c r="H537" s="404"/>
      <c r="I537" s="404"/>
      <c r="K537" s="322"/>
      <c r="L537" s="401"/>
      <c r="N537" s="18"/>
    </row>
    <row r="538">
      <c r="C538" s="164"/>
      <c r="E538" s="402"/>
      <c r="G538" s="404"/>
      <c r="H538" s="404"/>
      <c r="I538" s="404"/>
      <c r="K538" s="322"/>
      <c r="L538" s="401"/>
      <c r="N538" s="18"/>
    </row>
    <row r="539">
      <c r="C539" s="164"/>
      <c r="E539" s="402"/>
      <c r="G539" s="404"/>
      <c r="H539" s="404"/>
      <c r="I539" s="404"/>
      <c r="K539" s="322"/>
      <c r="L539" s="401"/>
      <c r="N539" s="18"/>
    </row>
    <row r="540">
      <c r="C540" s="164"/>
      <c r="E540" s="402"/>
      <c r="G540" s="404"/>
      <c r="H540" s="404"/>
      <c r="I540" s="404"/>
      <c r="K540" s="322"/>
      <c r="L540" s="401"/>
      <c r="N540" s="18"/>
    </row>
    <row r="541">
      <c r="C541" s="164"/>
      <c r="E541" s="402"/>
      <c r="G541" s="404"/>
      <c r="H541" s="404"/>
      <c r="I541" s="404"/>
      <c r="K541" s="322"/>
      <c r="L541" s="401"/>
      <c r="N541" s="18"/>
    </row>
    <row r="542">
      <c r="C542" s="164"/>
      <c r="E542" s="402"/>
      <c r="G542" s="404"/>
      <c r="H542" s="404"/>
      <c r="I542" s="404"/>
      <c r="K542" s="322"/>
      <c r="L542" s="401"/>
      <c r="N542" s="18"/>
    </row>
    <row r="543">
      <c r="C543" s="164"/>
      <c r="E543" s="402"/>
      <c r="G543" s="404"/>
      <c r="H543" s="404"/>
      <c r="I543" s="404"/>
      <c r="K543" s="322"/>
      <c r="L543" s="401"/>
      <c r="N543" s="18"/>
    </row>
    <row r="544">
      <c r="C544" s="164"/>
      <c r="E544" s="402"/>
      <c r="G544" s="404"/>
      <c r="H544" s="404"/>
      <c r="I544" s="404"/>
      <c r="K544" s="322"/>
      <c r="L544" s="401"/>
      <c r="N544" s="18"/>
    </row>
    <row r="545">
      <c r="C545" s="164"/>
      <c r="E545" s="402"/>
      <c r="G545" s="404"/>
      <c r="H545" s="404"/>
      <c r="I545" s="404"/>
      <c r="K545" s="322"/>
      <c r="L545" s="401"/>
      <c r="N545" s="18"/>
    </row>
    <row r="546">
      <c r="C546" s="164"/>
      <c r="E546" s="402"/>
      <c r="G546" s="404"/>
      <c r="H546" s="404"/>
      <c r="I546" s="404"/>
      <c r="K546" s="322"/>
      <c r="L546" s="401"/>
      <c r="N546" s="18"/>
    </row>
    <row r="547">
      <c r="C547" s="164"/>
      <c r="E547" s="402"/>
      <c r="G547" s="404"/>
      <c r="H547" s="404"/>
      <c r="I547" s="404"/>
      <c r="K547" s="322"/>
      <c r="L547" s="401"/>
      <c r="N547" s="18"/>
    </row>
    <row r="548">
      <c r="C548" s="164"/>
      <c r="E548" s="402"/>
      <c r="G548" s="404"/>
      <c r="H548" s="404"/>
      <c r="I548" s="404"/>
      <c r="K548" s="322"/>
      <c r="L548" s="401"/>
      <c r="N548" s="18"/>
    </row>
    <row r="549">
      <c r="C549" s="164"/>
      <c r="E549" s="402"/>
      <c r="G549" s="404"/>
      <c r="H549" s="404"/>
      <c r="I549" s="404"/>
      <c r="K549" s="322"/>
      <c r="L549" s="401"/>
      <c r="N549" s="18"/>
    </row>
    <row r="550">
      <c r="C550" s="164"/>
      <c r="E550" s="402"/>
      <c r="G550" s="404"/>
      <c r="H550" s="404"/>
      <c r="I550" s="404"/>
      <c r="K550" s="322"/>
      <c r="L550" s="401"/>
      <c r="N550" s="18"/>
    </row>
    <row r="551">
      <c r="C551" s="164"/>
      <c r="E551" s="402"/>
      <c r="G551" s="404"/>
      <c r="H551" s="404"/>
      <c r="I551" s="404"/>
      <c r="K551" s="322"/>
      <c r="L551" s="401"/>
      <c r="N551" s="18"/>
    </row>
    <row r="552">
      <c r="C552" s="164"/>
      <c r="E552" s="402"/>
      <c r="G552" s="404"/>
      <c r="H552" s="404"/>
      <c r="I552" s="404"/>
      <c r="K552" s="322"/>
      <c r="L552" s="401"/>
      <c r="N552" s="18"/>
    </row>
    <row r="553">
      <c r="C553" s="164"/>
      <c r="E553" s="402"/>
      <c r="G553" s="404"/>
      <c r="H553" s="404"/>
      <c r="I553" s="404"/>
      <c r="K553" s="322"/>
      <c r="L553" s="401"/>
      <c r="N553" s="18"/>
    </row>
    <row r="554">
      <c r="C554" s="164"/>
      <c r="E554" s="402"/>
      <c r="G554" s="404"/>
      <c r="H554" s="404"/>
      <c r="I554" s="404"/>
      <c r="K554" s="322"/>
      <c r="L554" s="401"/>
      <c r="N554" s="18"/>
    </row>
    <row r="555">
      <c r="C555" s="164"/>
      <c r="E555" s="402"/>
      <c r="G555" s="404"/>
      <c r="H555" s="404"/>
      <c r="I555" s="404"/>
      <c r="K555" s="322"/>
      <c r="L555" s="401"/>
      <c r="N555" s="18"/>
    </row>
    <row r="556">
      <c r="C556" s="164"/>
      <c r="E556" s="402"/>
      <c r="G556" s="404"/>
      <c r="H556" s="404"/>
      <c r="I556" s="404"/>
      <c r="K556" s="322"/>
      <c r="L556" s="401"/>
      <c r="N556" s="18"/>
    </row>
    <row r="557">
      <c r="C557" s="164"/>
      <c r="E557" s="402"/>
      <c r="G557" s="404"/>
      <c r="H557" s="404"/>
      <c r="I557" s="404"/>
      <c r="K557" s="322"/>
      <c r="L557" s="401"/>
      <c r="N557" s="18"/>
    </row>
    <row r="558">
      <c r="C558" s="164"/>
      <c r="E558" s="402"/>
      <c r="G558" s="404"/>
      <c r="H558" s="404"/>
      <c r="I558" s="404"/>
      <c r="K558" s="322"/>
      <c r="L558" s="401"/>
      <c r="N558" s="18"/>
    </row>
    <row r="559">
      <c r="C559" s="164"/>
      <c r="E559" s="402"/>
      <c r="G559" s="404"/>
      <c r="H559" s="404"/>
      <c r="I559" s="404"/>
      <c r="K559" s="322"/>
      <c r="L559" s="401"/>
      <c r="N559" s="18"/>
    </row>
    <row r="560">
      <c r="C560" s="164"/>
      <c r="E560" s="402"/>
      <c r="G560" s="404"/>
      <c r="H560" s="404"/>
      <c r="I560" s="404"/>
      <c r="K560" s="322"/>
      <c r="L560" s="401"/>
      <c r="N560" s="18"/>
    </row>
    <row r="561">
      <c r="C561" s="164"/>
      <c r="E561" s="402"/>
      <c r="G561" s="404"/>
      <c r="H561" s="404"/>
      <c r="I561" s="404"/>
      <c r="K561" s="322"/>
      <c r="L561" s="401"/>
      <c r="N561" s="18"/>
    </row>
    <row r="562">
      <c r="C562" s="164"/>
      <c r="E562" s="402"/>
      <c r="G562" s="404"/>
      <c r="H562" s="404"/>
      <c r="I562" s="404"/>
      <c r="K562" s="322"/>
      <c r="L562" s="401"/>
      <c r="N562" s="18"/>
    </row>
    <row r="563">
      <c r="C563" s="164"/>
      <c r="E563" s="402"/>
      <c r="G563" s="404"/>
      <c r="H563" s="404"/>
      <c r="I563" s="404"/>
      <c r="K563" s="322"/>
      <c r="L563" s="401"/>
      <c r="N563" s="18"/>
    </row>
    <row r="564">
      <c r="C564" s="164"/>
      <c r="E564" s="402"/>
      <c r="G564" s="404"/>
      <c r="H564" s="404"/>
      <c r="I564" s="404"/>
      <c r="K564" s="322"/>
      <c r="L564" s="401"/>
      <c r="N564" s="18"/>
    </row>
    <row r="565">
      <c r="C565" s="164"/>
      <c r="E565" s="402"/>
      <c r="G565" s="404"/>
      <c r="H565" s="404"/>
      <c r="I565" s="404"/>
      <c r="K565" s="322"/>
      <c r="L565" s="401"/>
      <c r="N565" s="18"/>
    </row>
    <row r="566">
      <c r="C566" s="164"/>
      <c r="E566" s="402"/>
      <c r="G566" s="404"/>
      <c r="H566" s="404"/>
      <c r="I566" s="404"/>
      <c r="K566" s="322"/>
      <c r="L566" s="401"/>
      <c r="N566" s="18"/>
    </row>
    <row r="567">
      <c r="C567" s="164"/>
      <c r="E567" s="402"/>
      <c r="G567" s="404"/>
      <c r="H567" s="404"/>
      <c r="I567" s="404"/>
      <c r="K567" s="322"/>
      <c r="L567" s="401"/>
      <c r="N567" s="18"/>
    </row>
    <row r="568">
      <c r="C568" s="164"/>
      <c r="E568" s="402"/>
      <c r="G568" s="404"/>
      <c r="H568" s="404"/>
      <c r="I568" s="404"/>
      <c r="K568" s="322"/>
      <c r="L568" s="401"/>
      <c r="N568" s="18"/>
    </row>
    <row r="569">
      <c r="C569" s="164"/>
      <c r="E569" s="402"/>
      <c r="G569" s="404"/>
      <c r="H569" s="404"/>
      <c r="I569" s="404"/>
      <c r="K569" s="322"/>
      <c r="L569" s="401"/>
      <c r="N569" s="18"/>
    </row>
    <row r="570">
      <c r="C570" s="164"/>
      <c r="E570" s="402"/>
      <c r="G570" s="404"/>
      <c r="H570" s="404"/>
      <c r="I570" s="404"/>
      <c r="K570" s="322"/>
      <c r="L570" s="401"/>
      <c r="N570" s="18"/>
    </row>
    <row r="571">
      <c r="C571" s="164"/>
      <c r="E571" s="402"/>
      <c r="G571" s="404"/>
      <c r="H571" s="404"/>
      <c r="I571" s="404"/>
      <c r="K571" s="322"/>
      <c r="L571" s="401"/>
      <c r="N571" s="18"/>
    </row>
    <row r="572">
      <c r="C572" s="164"/>
      <c r="E572" s="402"/>
      <c r="G572" s="404"/>
      <c r="H572" s="404"/>
      <c r="I572" s="404"/>
      <c r="K572" s="322"/>
      <c r="L572" s="401"/>
      <c r="N572" s="18"/>
    </row>
    <row r="573">
      <c r="C573" s="164"/>
      <c r="E573" s="402"/>
      <c r="G573" s="404"/>
      <c r="H573" s="404"/>
      <c r="I573" s="404"/>
      <c r="K573" s="322"/>
      <c r="L573" s="401"/>
      <c r="N573" s="18"/>
    </row>
    <row r="574">
      <c r="C574" s="164"/>
      <c r="E574" s="402"/>
      <c r="G574" s="404"/>
      <c r="H574" s="404"/>
      <c r="I574" s="404"/>
      <c r="K574" s="322"/>
      <c r="L574" s="401"/>
      <c r="N574" s="18"/>
    </row>
    <row r="575">
      <c r="C575" s="164"/>
      <c r="E575" s="402"/>
      <c r="G575" s="404"/>
      <c r="H575" s="404"/>
      <c r="I575" s="404"/>
      <c r="K575" s="322"/>
      <c r="L575" s="401"/>
      <c r="N575" s="18"/>
    </row>
    <row r="576">
      <c r="C576" s="164"/>
      <c r="E576" s="402"/>
      <c r="G576" s="404"/>
      <c r="H576" s="404"/>
      <c r="I576" s="404"/>
      <c r="K576" s="322"/>
      <c r="L576" s="401"/>
      <c r="N576" s="18"/>
    </row>
    <row r="577">
      <c r="C577" s="164"/>
      <c r="E577" s="402"/>
      <c r="G577" s="404"/>
      <c r="H577" s="404"/>
      <c r="I577" s="404"/>
      <c r="K577" s="322"/>
      <c r="L577" s="401"/>
      <c r="N577" s="18"/>
    </row>
    <row r="578">
      <c r="C578" s="164"/>
      <c r="E578" s="402"/>
      <c r="G578" s="404"/>
      <c r="H578" s="404"/>
      <c r="I578" s="404"/>
      <c r="K578" s="322"/>
      <c r="L578" s="401"/>
      <c r="N578" s="18"/>
    </row>
    <row r="579">
      <c r="C579" s="164"/>
      <c r="E579" s="402"/>
      <c r="G579" s="404"/>
      <c r="H579" s="404"/>
      <c r="I579" s="404"/>
      <c r="K579" s="322"/>
      <c r="L579" s="401"/>
      <c r="N579" s="18"/>
    </row>
    <row r="580">
      <c r="C580" s="164"/>
      <c r="E580" s="402"/>
      <c r="G580" s="404"/>
      <c r="H580" s="404"/>
      <c r="I580" s="404"/>
      <c r="K580" s="322"/>
      <c r="L580" s="401"/>
      <c r="N580" s="18"/>
    </row>
    <row r="581">
      <c r="C581" s="164"/>
      <c r="E581" s="402"/>
      <c r="G581" s="404"/>
      <c r="H581" s="404"/>
      <c r="I581" s="404"/>
      <c r="K581" s="322"/>
      <c r="L581" s="401"/>
      <c r="N581" s="18"/>
    </row>
    <row r="582">
      <c r="C582" s="164"/>
      <c r="E582" s="402"/>
      <c r="G582" s="404"/>
      <c r="H582" s="404"/>
      <c r="I582" s="404"/>
      <c r="K582" s="322"/>
      <c r="L582" s="401"/>
      <c r="N582" s="18"/>
    </row>
    <row r="583">
      <c r="C583" s="164"/>
      <c r="E583" s="402"/>
      <c r="G583" s="404"/>
      <c r="H583" s="404"/>
      <c r="I583" s="404"/>
      <c r="K583" s="322"/>
      <c r="L583" s="401"/>
      <c r="N583" s="18"/>
    </row>
    <row r="584">
      <c r="C584" s="164"/>
      <c r="E584" s="402"/>
      <c r="G584" s="404"/>
      <c r="H584" s="404"/>
      <c r="I584" s="404"/>
      <c r="K584" s="322"/>
      <c r="L584" s="401"/>
      <c r="N584" s="18"/>
    </row>
    <row r="585">
      <c r="C585" s="164"/>
      <c r="E585" s="402"/>
      <c r="G585" s="404"/>
      <c r="H585" s="404"/>
      <c r="I585" s="404"/>
      <c r="K585" s="322"/>
      <c r="L585" s="401"/>
      <c r="N585" s="18"/>
    </row>
    <row r="586">
      <c r="C586" s="164"/>
      <c r="E586" s="402"/>
      <c r="G586" s="404"/>
      <c r="H586" s="404"/>
      <c r="I586" s="404"/>
      <c r="K586" s="322"/>
      <c r="L586" s="401"/>
      <c r="N586" s="18"/>
    </row>
    <row r="587">
      <c r="C587" s="164"/>
      <c r="E587" s="402"/>
      <c r="G587" s="404"/>
      <c r="H587" s="404"/>
      <c r="I587" s="404"/>
      <c r="K587" s="322"/>
      <c r="L587" s="401"/>
      <c r="N587" s="18"/>
    </row>
    <row r="588">
      <c r="C588" s="164"/>
      <c r="E588" s="402"/>
      <c r="G588" s="404"/>
      <c r="H588" s="404"/>
      <c r="I588" s="404"/>
      <c r="K588" s="322"/>
      <c r="L588" s="401"/>
      <c r="N588" s="18"/>
    </row>
    <row r="589">
      <c r="C589" s="164"/>
      <c r="E589" s="402"/>
      <c r="G589" s="404"/>
      <c r="H589" s="404"/>
      <c r="I589" s="404"/>
      <c r="K589" s="322"/>
      <c r="L589" s="401"/>
      <c r="N589" s="18"/>
    </row>
    <row r="590">
      <c r="C590" s="164"/>
      <c r="E590" s="402"/>
      <c r="G590" s="404"/>
      <c r="H590" s="404"/>
      <c r="I590" s="404"/>
      <c r="K590" s="322"/>
      <c r="L590" s="401"/>
      <c r="N590" s="18"/>
    </row>
    <row r="591">
      <c r="C591" s="164"/>
      <c r="E591" s="402"/>
      <c r="G591" s="404"/>
      <c r="H591" s="404"/>
      <c r="I591" s="404"/>
      <c r="K591" s="322"/>
      <c r="L591" s="401"/>
      <c r="N591" s="18"/>
    </row>
    <row r="592">
      <c r="C592" s="164"/>
      <c r="E592" s="402"/>
      <c r="G592" s="404"/>
      <c r="H592" s="404"/>
      <c r="I592" s="404"/>
      <c r="K592" s="322"/>
      <c r="L592" s="401"/>
      <c r="N592" s="18"/>
    </row>
    <row r="593">
      <c r="C593" s="164"/>
      <c r="E593" s="402"/>
      <c r="G593" s="404"/>
      <c r="H593" s="404"/>
      <c r="I593" s="404"/>
      <c r="K593" s="322"/>
      <c r="L593" s="401"/>
      <c r="N593" s="18"/>
    </row>
    <row r="594">
      <c r="C594" s="164"/>
      <c r="E594" s="402"/>
      <c r="G594" s="404"/>
      <c r="H594" s="404"/>
      <c r="I594" s="404"/>
      <c r="K594" s="322"/>
      <c r="L594" s="401"/>
      <c r="N594" s="18"/>
    </row>
    <row r="595">
      <c r="C595" s="164"/>
      <c r="E595" s="402"/>
      <c r="G595" s="404"/>
      <c r="H595" s="404"/>
      <c r="I595" s="404"/>
      <c r="K595" s="322"/>
      <c r="L595" s="401"/>
      <c r="N595" s="18"/>
    </row>
    <row r="596">
      <c r="C596" s="164"/>
      <c r="E596" s="402"/>
      <c r="G596" s="404"/>
      <c r="H596" s="404"/>
      <c r="I596" s="404"/>
      <c r="K596" s="322"/>
      <c r="L596" s="401"/>
      <c r="N596" s="18"/>
    </row>
    <row r="597">
      <c r="C597" s="164"/>
      <c r="E597" s="402"/>
      <c r="G597" s="404"/>
      <c r="H597" s="404"/>
      <c r="I597" s="404"/>
      <c r="K597" s="322"/>
      <c r="L597" s="401"/>
      <c r="N597" s="18"/>
    </row>
    <row r="598">
      <c r="C598" s="164"/>
      <c r="E598" s="402"/>
      <c r="G598" s="404"/>
      <c r="H598" s="404"/>
      <c r="I598" s="404"/>
      <c r="K598" s="322"/>
      <c r="L598" s="401"/>
      <c r="N598" s="18"/>
    </row>
    <row r="599">
      <c r="C599" s="164"/>
      <c r="E599" s="402"/>
      <c r="G599" s="404"/>
      <c r="H599" s="404"/>
      <c r="I599" s="404"/>
      <c r="K599" s="322"/>
      <c r="L599" s="401"/>
      <c r="N599" s="18"/>
    </row>
    <row r="600">
      <c r="C600" s="164"/>
      <c r="E600" s="402"/>
      <c r="G600" s="404"/>
      <c r="H600" s="404"/>
      <c r="I600" s="404"/>
      <c r="K600" s="322"/>
      <c r="L600" s="401"/>
      <c r="N600" s="18"/>
    </row>
    <row r="601">
      <c r="C601" s="164"/>
      <c r="E601" s="402"/>
      <c r="G601" s="404"/>
      <c r="H601" s="404"/>
      <c r="I601" s="404"/>
      <c r="K601" s="322"/>
      <c r="L601" s="401"/>
      <c r="N601" s="18"/>
    </row>
    <row r="602">
      <c r="C602" s="164"/>
      <c r="E602" s="402"/>
      <c r="G602" s="404"/>
      <c r="H602" s="404"/>
      <c r="I602" s="404"/>
      <c r="K602" s="322"/>
      <c r="L602" s="401"/>
      <c r="N602" s="18"/>
    </row>
    <row r="603">
      <c r="C603" s="164"/>
      <c r="E603" s="402"/>
      <c r="G603" s="404"/>
      <c r="H603" s="404"/>
      <c r="I603" s="404"/>
      <c r="K603" s="322"/>
      <c r="L603" s="401"/>
      <c r="N603" s="18"/>
    </row>
    <row r="604">
      <c r="C604" s="164"/>
      <c r="E604" s="402"/>
      <c r="G604" s="404"/>
      <c r="H604" s="404"/>
      <c r="I604" s="404"/>
      <c r="K604" s="322"/>
      <c r="L604" s="401"/>
      <c r="N604" s="18"/>
    </row>
    <row r="605">
      <c r="C605" s="164"/>
      <c r="E605" s="402"/>
      <c r="G605" s="404"/>
      <c r="H605" s="404"/>
      <c r="I605" s="404"/>
      <c r="K605" s="322"/>
      <c r="L605" s="401"/>
      <c r="N605" s="18"/>
    </row>
    <row r="606">
      <c r="C606" s="164"/>
      <c r="E606" s="402"/>
      <c r="G606" s="404"/>
      <c r="H606" s="404"/>
      <c r="I606" s="404"/>
      <c r="K606" s="322"/>
      <c r="L606" s="401"/>
      <c r="N606" s="18"/>
    </row>
    <row r="607">
      <c r="C607" s="164"/>
      <c r="E607" s="402"/>
      <c r="G607" s="404"/>
      <c r="H607" s="404"/>
      <c r="I607" s="404"/>
      <c r="K607" s="322"/>
      <c r="L607" s="401"/>
      <c r="N607" s="18"/>
    </row>
    <row r="608">
      <c r="C608" s="164"/>
      <c r="E608" s="402"/>
      <c r="G608" s="404"/>
      <c r="H608" s="404"/>
      <c r="I608" s="404"/>
      <c r="K608" s="322"/>
      <c r="L608" s="401"/>
      <c r="N608" s="18"/>
    </row>
    <row r="609">
      <c r="C609" s="164"/>
      <c r="E609" s="402"/>
      <c r="G609" s="404"/>
      <c r="H609" s="404"/>
      <c r="I609" s="404"/>
      <c r="K609" s="322"/>
      <c r="L609" s="401"/>
      <c r="N609" s="18"/>
    </row>
    <row r="610">
      <c r="C610" s="164"/>
      <c r="E610" s="402"/>
      <c r="G610" s="404"/>
      <c r="H610" s="404"/>
      <c r="I610" s="404"/>
      <c r="K610" s="322"/>
      <c r="L610" s="401"/>
      <c r="N610" s="18"/>
    </row>
    <row r="611">
      <c r="C611" s="164"/>
      <c r="E611" s="402"/>
      <c r="G611" s="404"/>
      <c r="H611" s="404"/>
      <c r="I611" s="404"/>
      <c r="K611" s="322"/>
      <c r="L611" s="401"/>
      <c r="N611" s="18"/>
    </row>
    <row r="612">
      <c r="C612" s="164"/>
      <c r="E612" s="402"/>
      <c r="G612" s="404"/>
      <c r="H612" s="404"/>
      <c r="I612" s="404"/>
      <c r="K612" s="322"/>
      <c r="L612" s="401"/>
      <c r="N612" s="18"/>
    </row>
    <row r="613">
      <c r="C613" s="164"/>
      <c r="E613" s="402"/>
      <c r="G613" s="404"/>
      <c r="H613" s="404"/>
      <c r="I613" s="404"/>
      <c r="K613" s="322"/>
      <c r="L613" s="401"/>
      <c r="N613" s="18"/>
    </row>
    <row r="614">
      <c r="C614" s="164"/>
      <c r="E614" s="402"/>
      <c r="G614" s="404"/>
      <c r="H614" s="404"/>
      <c r="I614" s="404"/>
      <c r="K614" s="322"/>
      <c r="L614" s="401"/>
      <c r="N614" s="18"/>
    </row>
    <row r="615">
      <c r="C615" s="164"/>
      <c r="E615" s="402"/>
      <c r="G615" s="404"/>
      <c r="H615" s="404"/>
      <c r="I615" s="404"/>
      <c r="K615" s="322"/>
      <c r="L615" s="401"/>
      <c r="N615" s="18"/>
    </row>
    <row r="616">
      <c r="C616" s="164"/>
      <c r="E616" s="402"/>
      <c r="G616" s="404"/>
      <c r="H616" s="404"/>
      <c r="I616" s="404"/>
      <c r="K616" s="322"/>
      <c r="L616" s="401"/>
      <c r="N616" s="18"/>
    </row>
    <row r="617">
      <c r="C617" s="164"/>
      <c r="E617" s="402"/>
      <c r="G617" s="404"/>
      <c r="H617" s="404"/>
      <c r="I617" s="404"/>
      <c r="K617" s="322"/>
      <c r="L617" s="401"/>
      <c r="N617" s="18"/>
    </row>
    <row r="618">
      <c r="C618" s="164"/>
      <c r="E618" s="402"/>
      <c r="G618" s="404"/>
      <c r="H618" s="404"/>
      <c r="I618" s="404"/>
      <c r="K618" s="322"/>
      <c r="L618" s="401"/>
      <c r="N618" s="18"/>
    </row>
    <row r="619">
      <c r="C619" s="164"/>
      <c r="E619" s="402"/>
      <c r="G619" s="404"/>
      <c r="H619" s="404"/>
      <c r="I619" s="404"/>
      <c r="K619" s="322"/>
      <c r="L619" s="401"/>
      <c r="N619" s="18"/>
    </row>
    <row r="620">
      <c r="C620" s="164"/>
      <c r="E620" s="402"/>
      <c r="G620" s="404"/>
      <c r="H620" s="404"/>
      <c r="I620" s="404"/>
      <c r="K620" s="322"/>
      <c r="L620" s="401"/>
      <c r="N620" s="18"/>
    </row>
    <row r="621">
      <c r="C621" s="164"/>
      <c r="E621" s="402"/>
      <c r="G621" s="404"/>
      <c r="H621" s="404"/>
      <c r="I621" s="404"/>
      <c r="K621" s="322"/>
      <c r="L621" s="401"/>
      <c r="N621" s="18"/>
    </row>
    <row r="622">
      <c r="C622" s="164"/>
      <c r="E622" s="402"/>
      <c r="G622" s="404"/>
      <c r="H622" s="404"/>
      <c r="I622" s="404"/>
      <c r="K622" s="322"/>
      <c r="L622" s="401"/>
      <c r="N622" s="18"/>
    </row>
    <row r="623">
      <c r="C623" s="164"/>
      <c r="E623" s="402"/>
      <c r="G623" s="404"/>
      <c r="H623" s="404"/>
      <c r="I623" s="404"/>
      <c r="K623" s="322"/>
      <c r="L623" s="401"/>
      <c r="N623" s="18"/>
    </row>
    <row r="624">
      <c r="C624" s="164"/>
      <c r="E624" s="402"/>
      <c r="G624" s="404"/>
      <c r="H624" s="404"/>
      <c r="I624" s="404"/>
      <c r="K624" s="322"/>
      <c r="L624" s="401"/>
      <c r="N624" s="18"/>
    </row>
    <row r="625">
      <c r="C625" s="164"/>
      <c r="E625" s="402"/>
      <c r="G625" s="404"/>
      <c r="H625" s="404"/>
      <c r="I625" s="404"/>
      <c r="K625" s="322"/>
      <c r="L625" s="401"/>
      <c r="N625" s="18"/>
    </row>
    <row r="626">
      <c r="C626" s="164"/>
      <c r="E626" s="402"/>
      <c r="G626" s="404"/>
      <c r="H626" s="404"/>
      <c r="I626" s="404"/>
      <c r="K626" s="322"/>
      <c r="L626" s="401"/>
      <c r="N626" s="18"/>
    </row>
    <row r="627">
      <c r="C627" s="164"/>
      <c r="E627" s="402"/>
      <c r="G627" s="404"/>
      <c r="H627" s="404"/>
      <c r="I627" s="404"/>
      <c r="K627" s="322"/>
      <c r="L627" s="401"/>
      <c r="N627" s="18"/>
    </row>
    <row r="628">
      <c r="C628" s="164"/>
      <c r="E628" s="402"/>
      <c r="G628" s="404"/>
      <c r="H628" s="404"/>
      <c r="I628" s="404"/>
      <c r="K628" s="322"/>
      <c r="L628" s="401"/>
      <c r="N628" s="18"/>
    </row>
    <row r="629">
      <c r="C629" s="164"/>
      <c r="E629" s="402"/>
      <c r="G629" s="404"/>
      <c r="H629" s="404"/>
      <c r="I629" s="404"/>
      <c r="K629" s="322"/>
      <c r="L629" s="401"/>
      <c r="N629" s="18"/>
    </row>
    <row r="630">
      <c r="C630" s="164"/>
      <c r="E630" s="402"/>
      <c r="G630" s="404"/>
      <c r="H630" s="404"/>
      <c r="I630" s="404"/>
      <c r="K630" s="322"/>
      <c r="L630" s="401"/>
      <c r="N630" s="18"/>
    </row>
    <row r="631">
      <c r="C631" s="164"/>
      <c r="E631" s="402"/>
      <c r="G631" s="404"/>
      <c r="H631" s="404"/>
      <c r="I631" s="404"/>
      <c r="K631" s="322"/>
      <c r="L631" s="401"/>
      <c r="N631" s="18"/>
    </row>
    <row r="632">
      <c r="C632" s="164"/>
      <c r="E632" s="402"/>
      <c r="G632" s="404"/>
      <c r="H632" s="404"/>
      <c r="I632" s="404"/>
      <c r="K632" s="322"/>
      <c r="L632" s="401"/>
      <c r="N632" s="18"/>
    </row>
    <row r="633">
      <c r="C633" s="164"/>
      <c r="E633" s="402"/>
      <c r="G633" s="404"/>
      <c r="H633" s="404"/>
      <c r="I633" s="404"/>
      <c r="K633" s="322"/>
      <c r="L633" s="401"/>
      <c r="N633" s="18"/>
    </row>
    <row r="634">
      <c r="C634" s="164"/>
      <c r="E634" s="402"/>
      <c r="G634" s="404"/>
      <c r="H634" s="404"/>
      <c r="I634" s="404"/>
      <c r="K634" s="322"/>
      <c r="L634" s="401"/>
      <c r="N634" s="18"/>
    </row>
    <row r="635">
      <c r="C635" s="164"/>
      <c r="E635" s="402"/>
      <c r="G635" s="404"/>
      <c r="H635" s="404"/>
      <c r="I635" s="404"/>
      <c r="K635" s="322"/>
      <c r="L635" s="401"/>
      <c r="N635" s="18"/>
    </row>
    <row r="636">
      <c r="C636" s="164"/>
      <c r="E636" s="402"/>
      <c r="G636" s="404"/>
      <c r="H636" s="404"/>
      <c r="I636" s="404"/>
      <c r="K636" s="322"/>
      <c r="L636" s="401"/>
      <c r="N636" s="18"/>
    </row>
    <row r="637">
      <c r="C637" s="164"/>
      <c r="E637" s="402"/>
      <c r="G637" s="404"/>
      <c r="H637" s="404"/>
      <c r="I637" s="404"/>
      <c r="K637" s="322"/>
      <c r="L637" s="401"/>
      <c r="N637" s="18"/>
    </row>
    <row r="638">
      <c r="C638" s="164"/>
      <c r="E638" s="402"/>
      <c r="G638" s="404"/>
      <c r="H638" s="404"/>
      <c r="I638" s="404"/>
      <c r="K638" s="322"/>
      <c r="L638" s="401"/>
      <c r="N638" s="18"/>
    </row>
    <row r="639">
      <c r="C639" s="164"/>
      <c r="E639" s="402"/>
      <c r="G639" s="404"/>
      <c r="H639" s="404"/>
      <c r="I639" s="404"/>
      <c r="K639" s="322"/>
      <c r="L639" s="401"/>
      <c r="N639" s="18"/>
    </row>
    <row r="640">
      <c r="C640" s="164"/>
      <c r="E640" s="402"/>
      <c r="G640" s="404"/>
      <c r="H640" s="404"/>
      <c r="I640" s="404"/>
      <c r="K640" s="322"/>
      <c r="L640" s="401"/>
      <c r="N640" s="18"/>
    </row>
    <row r="641">
      <c r="C641" s="164"/>
      <c r="E641" s="402"/>
      <c r="G641" s="404"/>
      <c r="H641" s="404"/>
      <c r="I641" s="404"/>
      <c r="K641" s="322"/>
      <c r="L641" s="401"/>
      <c r="N641" s="18"/>
    </row>
    <row r="642">
      <c r="C642" s="164"/>
      <c r="E642" s="402"/>
      <c r="G642" s="404"/>
      <c r="H642" s="404"/>
      <c r="I642" s="404"/>
      <c r="K642" s="322"/>
      <c r="L642" s="401"/>
      <c r="N642" s="18"/>
    </row>
    <row r="643">
      <c r="C643" s="164"/>
      <c r="E643" s="402"/>
      <c r="G643" s="404"/>
      <c r="H643" s="404"/>
      <c r="I643" s="404"/>
      <c r="K643" s="322"/>
      <c r="L643" s="401"/>
      <c r="N643" s="18"/>
    </row>
    <row r="644">
      <c r="C644" s="164"/>
      <c r="E644" s="402"/>
      <c r="G644" s="404"/>
      <c r="H644" s="404"/>
      <c r="I644" s="404"/>
      <c r="K644" s="322"/>
      <c r="L644" s="401"/>
      <c r="N644" s="18"/>
    </row>
    <row r="645">
      <c r="C645" s="164"/>
      <c r="E645" s="402"/>
      <c r="G645" s="404"/>
      <c r="H645" s="404"/>
      <c r="I645" s="404"/>
      <c r="K645" s="322"/>
      <c r="L645" s="401"/>
      <c r="N645" s="18"/>
    </row>
    <row r="646">
      <c r="C646" s="164"/>
      <c r="E646" s="402"/>
      <c r="G646" s="404"/>
      <c r="H646" s="404"/>
      <c r="I646" s="404"/>
      <c r="K646" s="322"/>
      <c r="L646" s="401"/>
      <c r="N646" s="18"/>
    </row>
    <row r="647">
      <c r="C647" s="164"/>
      <c r="E647" s="402"/>
      <c r="G647" s="404"/>
      <c r="H647" s="404"/>
      <c r="I647" s="404"/>
      <c r="K647" s="322"/>
      <c r="L647" s="401"/>
      <c r="N647" s="18"/>
    </row>
    <row r="648">
      <c r="C648" s="164"/>
      <c r="E648" s="402"/>
      <c r="G648" s="404"/>
      <c r="H648" s="404"/>
      <c r="I648" s="404"/>
      <c r="K648" s="322"/>
      <c r="L648" s="401"/>
      <c r="N648" s="18"/>
    </row>
    <row r="649">
      <c r="C649" s="164"/>
      <c r="E649" s="402"/>
      <c r="G649" s="404"/>
      <c r="H649" s="404"/>
      <c r="I649" s="404"/>
      <c r="K649" s="322"/>
      <c r="L649" s="401"/>
      <c r="N649" s="18"/>
    </row>
    <row r="650">
      <c r="C650" s="164"/>
      <c r="E650" s="402"/>
      <c r="G650" s="404"/>
      <c r="H650" s="404"/>
      <c r="I650" s="404"/>
      <c r="K650" s="322"/>
      <c r="L650" s="401"/>
      <c r="N650" s="18"/>
    </row>
    <row r="651">
      <c r="C651" s="164"/>
      <c r="E651" s="402"/>
      <c r="G651" s="404"/>
      <c r="H651" s="404"/>
      <c r="I651" s="404"/>
      <c r="K651" s="322"/>
      <c r="L651" s="401"/>
      <c r="N651" s="18"/>
    </row>
    <row r="652">
      <c r="C652" s="164"/>
      <c r="E652" s="402"/>
      <c r="G652" s="404"/>
      <c r="H652" s="404"/>
      <c r="I652" s="404"/>
      <c r="K652" s="322"/>
      <c r="L652" s="401"/>
      <c r="N652" s="18"/>
    </row>
    <row r="653">
      <c r="C653" s="164"/>
      <c r="E653" s="402"/>
      <c r="G653" s="404"/>
      <c r="H653" s="404"/>
      <c r="I653" s="404"/>
      <c r="K653" s="322"/>
      <c r="L653" s="401"/>
      <c r="N653" s="18"/>
    </row>
    <row r="654">
      <c r="C654" s="164"/>
      <c r="E654" s="402"/>
      <c r="G654" s="404"/>
      <c r="H654" s="404"/>
      <c r="I654" s="404"/>
      <c r="K654" s="322"/>
      <c r="L654" s="401"/>
      <c r="N654" s="18"/>
    </row>
    <row r="655">
      <c r="C655" s="164"/>
      <c r="E655" s="402"/>
      <c r="G655" s="404"/>
      <c r="H655" s="404"/>
      <c r="I655" s="404"/>
      <c r="K655" s="322"/>
      <c r="L655" s="401"/>
      <c r="N655" s="18"/>
    </row>
    <row r="656">
      <c r="C656" s="164"/>
      <c r="E656" s="402"/>
      <c r="G656" s="404"/>
      <c r="H656" s="404"/>
      <c r="I656" s="404"/>
      <c r="K656" s="322"/>
      <c r="L656" s="401"/>
      <c r="N656" s="18"/>
    </row>
    <row r="657">
      <c r="C657" s="164"/>
      <c r="E657" s="402"/>
      <c r="G657" s="404"/>
      <c r="H657" s="404"/>
      <c r="I657" s="404"/>
      <c r="K657" s="322"/>
      <c r="L657" s="401"/>
      <c r="N657" s="18"/>
    </row>
    <row r="658">
      <c r="C658" s="164"/>
      <c r="E658" s="402"/>
      <c r="G658" s="404"/>
      <c r="H658" s="404"/>
      <c r="I658" s="404"/>
      <c r="K658" s="322"/>
      <c r="L658" s="401"/>
      <c r="N658" s="18"/>
    </row>
    <row r="659">
      <c r="C659" s="164"/>
      <c r="E659" s="402"/>
      <c r="G659" s="404"/>
      <c r="H659" s="404"/>
      <c r="I659" s="404"/>
      <c r="K659" s="322"/>
      <c r="L659" s="401"/>
      <c r="N659" s="18"/>
    </row>
    <row r="660">
      <c r="C660" s="164"/>
      <c r="E660" s="402"/>
      <c r="G660" s="404"/>
      <c r="H660" s="404"/>
      <c r="I660" s="404"/>
      <c r="K660" s="322"/>
      <c r="L660" s="401"/>
      <c r="N660" s="18"/>
    </row>
    <row r="661">
      <c r="C661" s="164"/>
      <c r="E661" s="402"/>
      <c r="G661" s="404"/>
      <c r="H661" s="404"/>
      <c r="I661" s="404"/>
      <c r="K661" s="322"/>
      <c r="L661" s="401"/>
      <c r="N661" s="18"/>
    </row>
    <row r="662">
      <c r="C662" s="164"/>
      <c r="E662" s="402"/>
      <c r="G662" s="404"/>
      <c r="H662" s="404"/>
      <c r="I662" s="404"/>
      <c r="K662" s="322"/>
      <c r="L662" s="401"/>
      <c r="N662" s="18"/>
    </row>
    <row r="663">
      <c r="C663" s="164"/>
      <c r="E663" s="402"/>
      <c r="G663" s="404"/>
      <c r="H663" s="404"/>
      <c r="I663" s="404"/>
      <c r="K663" s="322"/>
      <c r="L663" s="401"/>
      <c r="N663" s="18"/>
    </row>
    <row r="664">
      <c r="C664" s="164"/>
      <c r="E664" s="402"/>
      <c r="G664" s="404"/>
      <c r="H664" s="404"/>
      <c r="I664" s="404"/>
      <c r="K664" s="322"/>
      <c r="L664" s="401"/>
      <c r="N664" s="18"/>
    </row>
    <row r="665">
      <c r="C665" s="164"/>
      <c r="E665" s="402"/>
      <c r="G665" s="404"/>
      <c r="H665" s="404"/>
      <c r="I665" s="404"/>
      <c r="K665" s="322"/>
      <c r="L665" s="401"/>
      <c r="N665" s="18"/>
    </row>
    <row r="666">
      <c r="C666" s="164"/>
      <c r="E666" s="402"/>
      <c r="G666" s="404"/>
      <c r="H666" s="404"/>
      <c r="I666" s="404"/>
      <c r="K666" s="322"/>
      <c r="L666" s="401"/>
      <c r="N666" s="18"/>
    </row>
    <row r="667">
      <c r="C667" s="164"/>
      <c r="E667" s="402"/>
      <c r="G667" s="404"/>
      <c r="H667" s="404"/>
      <c r="I667" s="404"/>
      <c r="K667" s="322"/>
      <c r="L667" s="401"/>
      <c r="N667" s="18"/>
    </row>
    <row r="668">
      <c r="C668" s="164"/>
      <c r="E668" s="402"/>
      <c r="G668" s="404"/>
      <c r="H668" s="404"/>
      <c r="I668" s="404"/>
      <c r="K668" s="322"/>
      <c r="L668" s="401"/>
      <c r="N668" s="18"/>
    </row>
    <row r="669">
      <c r="C669" s="164"/>
      <c r="E669" s="402"/>
      <c r="G669" s="404"/>
      <c r="H669" s="404"/>
      <c r="I669" s="404"/>
      <c r="K669" s="322"/>
      <c r="L669" s="401"/>
      <c r="N669" s="18"/>
    </row>
    <row r="670">
      <c r="C670" s="164"/>
      <c r="E670" s="402"/>
      <c r="G670" s="404"/>
      <c r="H670" s="404"/>
      <c r="I670" s="404"/>
      <c r="K670" s="322"/>
      <c r="L670" s="401"/>
      <c r="N670" s="18"/>
    </row>
    <row r="671">
      <c r="C671" s="164"/>
      <c r="E671" s="402"/>
      <c r="G671" s="404"/>
      <c r="H671" s="404"/>
      <c r="I671" s="404"/>
      <c r="K671" s="322"/>
      <c r="L671" s="401"/>
      <c r="N671" s="18"/>
    </row>
    <row r="672">
      <c r="C672" s="164"/>
      <c r="E672" s="402"/>
      <c r="G672" s="404"/>
      <c r="H672" s="404"/>
      <c r="I672" s="404"/>
      <c r="K672" s="322"/>
      <c r="L672" s="401"/>
      <c r="N672" s="18"/>
    </row>
    <row r="673">
      <c r="C673" s="164"/>
      <c r="E673" s="402"/>
      <c r="G673" s="404"/>
      <c r="H673" s="404"/>
      <c r="I673" s="404"/>
      <c r="K673" s="322"/>
      <c r="L673" s="401"/>
      <c r="N673" s="18"/>
    </row>
    <row r="674">
      <c r="C674" s="164"/>
      <c r="E674" s="402"/>
      <c r="G674" s="404"/>
      <c r="H674" s="404"/>
      <c r="I674" s="404"/>
      <c r="K674" s="322"/>
      <c r="L674" s="401"/>
      <c r="N674" s="18"/>
    </row>
    <row r="675">
      <c r="C675" s="164"/>
      <c r="E675" s="402"/>
      <c r="G675" s="404"/>
      <c r="H675" s="404"/>
      <c r="I675" s="404"/>
      <c r="K675" s="322"/>
      <c r="L675" s="401"/>
      <c r="N675" s="18"/>
    </row>
    <row r="676">
      <c r="C676" s="164"/>
      <c r="E676" s="402"/>
      <c r="G676" s="404"/>
      <c r="H676" s="404"/>
      <c r="I676" s="404"/>
      <c r="K676" s="322"/>
      <c r="L676" s="401"/>
      <c r="N676" s="18"/>
    </row>
    <row r="677">
      <c r="C677" s="164"/>
      <c r="E677" s="402"/>
      <c r="G677" s="404"/>
      <c r="H677" s="404"/>
      <c r="I677" s="404"/>
      <c r="K677" s="322"/>
      <c r="L677" s="401"/>
      <c r="N677" s="18"/>
    </row>
    <row r="678">
      <c r="C678" s="164"/>
      <c r="E678" s="402"/>
      <c r="G678" s="404"/>
      <c r="H678" s="404"/>
      <c r="I678" s="404"/>
      <c r="K678" s="322"/>
      <c r="L678" s="401"/>
      <c r="N678" s="18"/>
    </row>
    <row r="679">
      <c r="C679" s="164"/>
      <c r="E679" s="402"/>
      <c r="G679" s="404"/>
      <c r="H679" s="404"/>
      <c r="I679" s="404"/>
      <c r="K679" s="322"/>
      <c r="L679" s="401"/>
      <c r="N679" s="18"/>
    </row>
    <row r="680">
      <c r="C680" s="164"/>
      <c r="E680" s="402"/>
      <c r="G680" s="404"/>
      <c r="H680" s="404"/>
      <c r="I680" s="404"/>
      <c r="K680" s="322"/>
      <c r="L680" s="401"/>
      <c r="N680" s="18"/>
    </row>
    <row r="681">
      <c r="C681" s="164"/>
      <c r="E681" s="402"/>
      <c r="G681" s="404"/>
      <c r="H681" s="404"/>
      <c r="I681" s="404"/>
      <c r="K681" s="322"/>
      <c r="L681" s="401"/>
      <c r="N681" s="18"/>
    </row>
    <row r="682">
      <c r="C682" s="164"/>
      <c r="E682" s="402"/>
      <c r="G682" s="404"/>
      <c r="H682" s="404"/>
      <c r="I682" s="404"/>
      <c r="K682" s="322"/>
      <c r="L682" s="401"/>
      <c r="N682" s="18"/>
    </row>
    <row r="683">
      <c r="C683" s="164"/>
      <c r="E683" s="402"/>
      <c r="G683" s="404"/>
      <c r="H683" s="404"/>
      <c r="I683" s="404"/>
      <c r="K683" s="322"/>
      <c r="L683" s="401"/>
      <c r="N683" s="18"/>
    </row>
    <row r="684">
      <c r="C684" s="164"/>
      <c r="E684" s="402"/>
      <c r="G684" s="404"/>
      <c r="H684" s="404"/>
      <c r="I684" s="404"/>
      <c r="K684" s="322"/>
      <c r="L684" s="401"/>
      <c r="N684" s="18"/>
    </row>
    <row r="685">
      <c r="C685" s="164"/>
      <c r="E685" s="402"/>
      <c r="G685" s="404"/>
      <c r="H685" s="404"/>
      <c r="I685" s="404"/>
      <c r="K685" s="322"/>
      <c r="L685" s="401"/>
      <c r="N685" s="18"/>
    </row>
    <row r="686">
      <c r="C686" s="164"/>
      <c r="E686" s="402"/>
      <c r="G686" s="404"/>
      <c r="H686" s="404"/>
      <c r="I686" s="404"/>
      <c r="K686" s="322"/>
      <c r="L686" s="401"/>
      <c r="N686" s="18"/>
    </row>
    <row r="687">
      <c r="C687" s="164"/>
      <c r="E687" s="402"/>
      <c r="G687" s="404"/>
      <c r="H687" s="404"/>
      <c r="I687" s="404"/>
      <c r="K687" s="322"/>
      <c r="L687" s="401"/>
      <c r="N687" s="18"/>
    </row>
    <row r="688">
      <c r="C688" s="164"/>
      <c r="E688" s="402"/>
      <c r="G688" s="404"/>
      <c r="H688" s="404"/>
      <c r="I688" s="404"/>
      <c r="K688" s="322"/>
      <c r="L688" s="401"/>
      <c r="N688" s="18"/>
    </row>
    <row r="689">
      <c r="C689" s="164"/>
      <c r="E689" s="402"/>
      <c r="G689" s="404"/>
      <c r="H689" s="404"/>
      <c r="I689" s="404"/>
      <c r="K689" s="322"/>
      <c r="L689" s="401"/>
      <c r="N689" s="18"/>
    </row>
    <row r="690">
      <c r="C690" s="164"/>
      <c r="E690" s="402"/>
      <c r="G690" s="404"/>
      <c r="H690" s="404"/>
      <c r="I690" s="404"/>
      <c r="K690" s="322"/>
      <c r="L690" s="401"/>
      <c r="N690" s="18"/>
    </row>
    <row r="691">
      <c r="C691" s="164"/>
      <c r="E691" s="402"/>
      <c r="G691" s="404"/>
      <c r="H691" s="404"/>
      <c r="I691" s="404"/>
      <c r="K691" s="322"/>
      <c r="L691" s="401"/>
      <c r="N691" s="18"/>
    </row>
    <row r="692">
      <c r="C692" s="164"/>
      <c r="E692" s="402"/>
      <c r="G692" s="404"/>
      <c r="H692" s="404"/>
      <c r="I692" s="404"/>
      <c r="K692" s="322"/>
      <c r="L692" s="401"/>
      <c r="N692" s="18"/>
    </row>
    <row r="693">
      <c r="C693" s="164"/>
      <c r="E693" s="402"/>
      <c r="G693" s="404"/>
      <c r="H693" s="404"/>
      <c r="I693" s="404"/>
      <c r="K693" s="322"/>
      <c r="L693" s="401"/>
      <c r="N693" s="18"/>
    </row>
    <row r="694">
      <c r="C694" s="164"/>
      <c r="E694" s="402"/>
      <c r="G694" s="404"/>
      <c r="H694" s="404"/>
      <c r="I694" s="404"/>
      <c r="K694" s="322"/>
      <c r="L694" s="401"/>
      <c r="N694" s="18"/>
    </row>
    <row r="695">
      <c r="C695" s="164"/>
      <c r="E695" s="402"/>
      <c r="G695" s="404"/>
      <c r="H695" s="404"/>
      <c r="I695" s="404"/>
      <c r="K695" s="322"/>
      <c r="L695" s="401"/>
      <c r="N695" s="18"/>
    </row>
    <row r="696">
      <c r="C696" s="164"/>
      <c r="E696" s="402"/>
      <c r="G696" s="404"/>
      <c r="H696" s="404"/>
      <c r="I696" s="404"/>
      <c r="K696" s="322"/>
      <c r="L696" s="401"/>
      <c r="N696" s="18"/>
    </row>
    <row r="697">
      <c r="C697" s="164"/>
      <c r="E697" s="402"/>
      <c r="G697" s="404"/>
      <c r="H697" s="404"/>
      <c r="I697" s="404"/>
      <c r="K697" s="322"/>
      <c r="L697" s="401"/>
      <c r="N697" s="18"/>
    </row>
    <row r="698">
      <c r="C698" s="164"/>
      <c r="E698" s="402"/>
      <c r="G698" s="404"/>
      <c r="H698" s="404"/>
      <c r="I698" s="404"/>
      <c r="K698" s="322"/>
      <c r="L698" s="401"/>
      <c r="N698" s="18"/>
    </row>
    <row r="699">
      <c r="C699" s="164"/>
      <c r="E699" s="402"/>
      <c r="G699" s="404"/>
      <c r="H699" s="404"/>
      <c r="I699" s="404"/>
      <c r="K699" s="322"/>
      <c r="L699" s="401"/>
      <c r="N699" s="18"/>
    </row>
    <row r="700">
      <c r="C700" s="164"/>
      <c r="E700" s="402"/>
      <c r="G700" s="404"/>
      <c r="H700" s="404"/>
      <c r="I700" s="404"/>
      <c r="K700" s="322"/>
      <c r="L700" s="401"/>
      <c r="N700" s="18"/>
    </row>
    <row r="701">
      <c r="C701" s="164"/>
      <c r="E701" s="402"/>
      <c r="G701" s="404"/>
      <c r="H701" s="404"/>
      <c r="I701" s="404"/>
      <c r="K701" s="322"/>
      <c r="L701" s="401"/>
      <c r="N701" s="18"/>
    </row>
    <row r="702">
      <c r="C702" s="164"/>
      <c r="E702" s="402"/>
      <c r="G702" s="404"/>
      <c r="H702" s="404"/>
      <c r="I702" s="404"/>
      <c r="K702" s="322"/>
      <c r="L702" s="401"/>
      <c r="N702" s="18"/>
    </row>
    <row r="703">
      <c r="C703" s="164"/>
      <c r="E703" s="402"/>
      <c r="G703" s="404"/>
      <c r="H703" s="404"/>
      <c r="I703" s="404"/>
      <c r="K703" s="322"/>
      <c r="L703" s="401"/>
      <c r="N703" s="18"/>
    </row>
    <row r="704">
      <c r="C704" s="164"/>
      <c r="E704" s="402"/>
      <c r="G704" s="404"/>
      <c r="H704" s="404"/>
      <c r="I704" s="404"/>
      <c r="K704" s="322"/>
      <c r="L704" s="401"/>
      <c r="N704" s="18"/>
    </row>
    <row r="705">
      <c r="C705" s="164"/>
      <c r="E705" s="402"/>
      <c r="G705" s="404"/>
      <c r="H705" s="404"/>
      <c r="I705" s="404"/>
      <c r="K705" s="322"/>
      <c r="L705" s="401"/>
      <c r="N705" s="18"/>
    </row>
    <row r="706">
      <c r="C706" s="164"/>
      <c r="E706" s="402"/>
      <c r="G706" s="404"/>
      <c r="H706" s="404"/>
      <c r="I706" s="404"/>
      <c r="K706" s="322"/>
      <c r="L706" s="401"/>
      <c r="N706" s="18"/>
    </row>
    <row r="707">
      <c r="C707" s="164"/>
      <c r="E707" s="402"/>
      <c r="G707" s="404"/>
      <c r="H707" s="404"/>
      <c r="I707" s="404"/>
      <c r="K707" s="322"/>
      <c r="L707" s="401"/>
      <c r="N707" s="18"/>
    </row>
    <row r="708">
      <c r="C708" s="164"/>
      <c r="E708" s="402"/>
      <c r="G708" s="404"/>
      <c r="H708" s="404"/>
      <c r="I708" s="404"/>
      <c r="K708" s="322"/>
      <c r="L708" s="401"/>
      <c r="N708" s="18"/>
    </row>
    <row r="709">
      <c r="C709" s="164"/>
      <c r="E709" s="402"/>
      <c r="G709" s="404"/>
      <c r="H709" s="404"/>
      <c r="I709" s="404"/>
      <c r="K709" s="322"/>
      <c r="L709" s="401"/>
      <c r="N709" s="18"/>
    </row>
    <row r="710">
      <c r="C710" s="164"/>
      <c r="E710" s="402"/>
      <c r="G710" s="404"/>
      <c r="H710" s="404"/>
      <c r="I710" s="404"/>
      <c r="K710" s="322"/>
      <c r="L710" s="401"/>
      <c r="N710" s="18"/>
    </row>
    <row r="711">
      <c r="C711" s="164"/>
      <c r="E711" s="402"/>
      <c r="G711" s="404"/>
      <c r="H711" s="404"/>
      <c r="I711" s="404"/>
      <c r="K711" s="322"/>
      <c r="L711" s="401"/>
      <c r="N711" s="18"/>
    </row>
    <row r="712">
      <c r="C712" s="164"/>
      <c r="E712" s="402"/>
      <c r="G712" s="404"/>
      <c r="H712" s="404"/>
      <c r="I712" s="404"/>
      <c r="K712" s="322"/>
      <c r="L712" s="401"/>
      <c r="N712" s="18"/>
    </row>
    <row r="713">
      <c r="C713" s="164"/>
      <c r="E713" s="402"/>
      <c r="G713" s="404"/>
      <c r="H713" s="404"/>
      <c r="I713" s="404"/>
      <c r="K713" s="322"/>
      <c r="L713" s="401"/>
      <c r="N713" s="18"/>
    </row>
    <row r="714">
      <c r="C714" s="164"/>
      <c r="E714" s="402"/>
      <c r="G714" s="404"/>
      <c r="H714" s="404"/>
      <c r="I714" s="404"/>
      <c r="K714" s="322"/>
      <c r="L714" s="401"/>
      <c r="N714" s="18"/>
    </row>
    <row r="715">
      <c r="C715" s="164"/>
      <c r="E715" s="402"/>
      <c r="G715" s="404"/>
      <c r="H715" s="404"/>
      <c r="I715" s="404"/>
      <c r="K715" s="322"/>
      <c r="L715" s="401"/>
      <c r="N715" s="18"/>
    </row>
    <row r="716">
      <c r="C716" s="164"/>
      <c r="E716" s="402"/>
      <c r="G716" s="404"/>
      <c r="H716" s="404"/>
      <c r="I716" s="404"/>
      <c r="K716" s="322"/>
      <c r="L716" s="401"/>
      <c r="N716" s="18"/>
    </row>
    <row r="717">
      <c r="C717" s="164"/>
      <c r="E717" s="402"/>
      <c r="G717" s="404"/>
      <c r="H717" s="404"/>
      <c r="I717" s="404"/>
      <c r="K717" s="322"/>
      <c r="L717" s="401"/>
      <c r="N717" s="18"/>
    </row>
    <row r="718">
      <c r="C718" s="164"/>
      <c r="E718" s="402"/>
      <c r="G718" s="404"/>
      <c r="H718" s="404"/>
      <c r="I718" s="404"/>
      <c r="K718" s="322"/>
      <c r="L718" s="401"/>
      <c r="N718" s="18"/>
    </row>
    <row r="719">
      <c r="C719" s="164"/>
      <c r="E719" s="402"/>
      <c r="G719" s="404"/>
      <c r="H719" s="404"/>
      <c r="I719" s="404"/>
      <c r="K719" s="322"/>
      <c r="L719" s="401"/>
      <c r="N719" s="18"/>
    </row>
    <row r="720">
      <c r="C720" s="164"/>
      <c r="E720" s="402"/>
      <c r="G720" s="404"/>
      <c r="H720" s="404"/>
      <c r="I720" s="404"/>
      <c r="K720" s="322"/>
      <c r="L720" s="401"/>
      <c r="N720" s="18"/>
    </row>
    <row r="721">
      <c r="C721" s="164"/>
      <c r="E721" s="402"/>
      <c r="G721" s="404"/>
      <c r="H721" s="404"/>
      <c r="I721" s="404"/>
      <c r="K721" s="322"/>
      <c r="L721" s="401"/>
      <c r="N721" s="18"/>
    </row>
    <row r="722">
      <c r="C722" s="164"/>
      <c r="E722" s="402"/>
      <c r="G722" s="404"/>
      <c r="H722" s="404"/>
      <c r="I722" s="404"/>
      <c r="K722" s="322"/>
      <c r="L722" s="401"/>
      <c r="N722" s="18"/>
    </row>
    <row r="723">
      <c r="C723" s="164"/>
      <c r="E723" s="402"/>
      <c r="G723" s="404"/>
      <c r="H723" s="404"/>
      <c r="I723" s="404"/>
      <c r="K723" s="322"/>
      <c r="L723" s="401"/>
      <c r="N723" s="18"/>
    </row>
    <row r="724">
      <c r="C724" s="164"/>
      <c r="E724" s="402"/>
      <c r="G724" s="404"/>
      <c r="H724" s="404"/>
      <c r="I724" s="404"/>
      <c r="K724" s="322"/>
      <c r="L724" s="401"/>
      <c r="N724" s="18"/>
    </row>
  </sheetData>
  <autoFilter ref="$A$3:$X$278">
    <sortState ref="A3:X278">
      <sortCondition ref="E3:E278"/>
      <sortCondition descending="1" ref="L3:L278"/>
      <sortCondition ref="A3:A278"/>
      <sortCondition descending="1" ref="N3:N278"/>
    </sortState>
  </autoFilter>
  <hyperlinks>
    <hyperlink r:id="rId1" ref="C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5" t="s">
        <v>3943</v>
      </c>
      <c r="B1" s="2">
        <f>sum(B3:B1008)</f>
        <v>273.3145397</v>
      </c>
    </row>
    <row r="2">
      <c r="A2" s="399" t="s">
        <v>388</v>
      </c>
      <c r="B2" s="400" t="s">
        <v>2</v>
      </c>
    </row>
    <row r="3">
      <c r="A3" s="18" t="s">
        <v>6</v>
      </c>
      <c r="B3" s="401">
        <v>43.082064708485184</v>
      </c>
    </row>
    <row r="4">
      <c r="A4" s="18" t="s">
        <v>4</v>
      </c>
      <c r="B4" s="401">
        <v>21.03811271344911</v>
      </c>
    </row>
    <row r="5">
      <c r="A5" s="18" t="s">
        <v>5</v>
      </c>
      <c r="B5" s="401">
        <v>20.434448088148116</v>
      </c>
    </row>
    <row r="6">
      <c r="A6" s="18" t="s">
        <v>15</v>
      </c>
      <c r="B6" s="401">
        <v>19.338290101476804</v>
      </c>
    </row>
    <row r="7">
      <c r="A7" s="18" t="s">
        <v>39</v>
      </c>
      <c r="B7" s="401">
        <v>19.114010659104743</v>
      </c>
    </row>
    <row r="8">
      <c r="A8" s="18" t="s">
        <v>9</v>
      </c>
      <c r="B8" s="401">
        <v>17.887744572542324</v>
      </c>
    </row>
    <row r="9">
      <c r="A9" s="18" t="s">
        <v>41</v>
      </c>
      <c r="B9" s="401">
        <v>14.364742900381845</v>
      </c>
    </row>
    <row r="10">
      <c r="A10" s="18" t="s">
        <v>76</v>
      </c>
      <c r="B10" s="401">
        <v>10.775729316832876</v>
      </c>
    </row>
    <row r="11">
      <c r="A11" s="18" t="s">
        <v>3</v>
      </c>
      <c r="B11" s="401">
        <v>10.086937934534268</v>
      </c>
    </row>
    <row r="12">
      <c r="A12" s="18" t="s">
        <v>54</v>
      </c>
      <c r="B12" s="401">
        <v>9.396408838998466</v>
      </c>
    </row>
    <row r="13">
      <c r="A13" s="18" t="s">
        <v>29</v>
      </c>
      <c r="B13" s="401">
        <v>8.43401238834133</v>
      </c>
    </row>
    <row r="14">
      <c r="A14" s="18" t="s">
        <v>72</v>
      </c>
      <c r="B14" s="401">
        <v>8.31570802348823</v>
      </c>
    </row>
    <row r="15">
      <c r="A15" s="110" t="s">
        <v>14</v>
      </c>
      <c r="B15" s="401">
        <v>7.6609631056637015</v>
      </c>
    </row>
    <row r="16">
      <c r="A16" s="18" t="s">
        <v>30</v>
      </c>
      <c r="B16" s="401">
        <v>6.634292456855265</v>
      </c>
    </row>
    <row r="17">
      <c r="A17" s="18" t="s">
        <v>71</v>
      </c>
      <c r="B17" s="401">
        <v>6.562198549136596</v>
      </c>
    </row>
    <row r="18">
      <c r="A18" s="18" t="s">
        <v>110</v>
      </c>
      <c r="B18" s="401">
        <v>4.999430651679196</v>
      </c>
    </row>
    <row r="19">
      <c r="A19" s="110" t="s">
        <v>7</v>
      </c>
      <c r="B19" s="401">
        <v>4.491480119147791</v>
      </c>
    </row>
    <row r="20">
      <c r="A20" s="18" t="s">
        <v>85</v>
      </c>
      <c r="B20" s="401">
        <v>4.007675323963433</v>
      </c>
    </row>
    <row r="21">
      <c r="A21" s="18" t="s">
        <v>43</v>
      </c>
      <c r="B21" s="401">
        <v>3.7297259725119196</v>
      </c>
    </row>
    <row r="22">
      <c r="A22" s="18" t="s">
        <v>61</v>
      </c>
      <c r="B22" s="401">
        <v>1.9628403445588665</v>
      </c>
    </row>
    <row r="23">
      <c r="A23" s="18" t="s">
        <v>95</v>
      </c>
      <c r="B23" s="401">
        <v>1.9334814675002416</v>
      </c>
    </row>
    <row r="24">
      <c r="A24" s="18" t="s">
        <v>52</v>
      </c>
      <c r="B24" s="401">
        <v>1.9282683277886623</v>
      </c>
    </row>
    <row r="25">
      <c r="A25" s="18" t="s">
        <v>8</v>
      </c>
      <c r="B25" s="401">
        <v>1.9188889146327885</v>
      </c>
    </row>
    <row r="26">
      <c r="A26" s="414" t="s">
        <v>18</v>
      </c>
      <c r="B26" s="415">
        <v>1.6572698292859214</v>
      </c>
      <c r="C26" s="414" t="s">
        <v>3944</v>
      </c>
    </row>
    <row r="27">
      <c r="A27" s="120" t="s">
        <v>74</v>
      </c>
      <c r="B27" s="415">
        <v>1.6572698292859214</v>
      </c>
    </row>
    <row r="28">
      <c r="A28" s="414" t="s">
        <v>16</v>
      </c>
      <c r="B28" s="415">
        <v>1.6572698292859214</v>
      </c>
      <c r="C28" s="414" t="s">
        <v>3944</v>
      </c>
    </row>
    <row r="29">
      <c r="A29" s="18" t="s">
        <v>65</v>
      </c>
      <c r="B29" s="401">
        <v>1.6572698292859214</v>
      </c>
    </row>
    <row r="30">
      <c r="A30" s="18" t="s">
        <v>107</v>
      </c>
      <c r="B30" s="401">
        <v>1.6572698292859214</v>
      </c>
    </row>
    <row r="31">
      <c r="A31" s="18" t="s">
        <v>80</v>
      </c>
      <c r="B31" s="401">
        <v>1.6572698292859214</v>
      </c>
    </row>
    <row r="32">
      <c r="A32" s="18" t="s">
        <v>53</v>
      </c>
      <c r="B32" s="401">
        <v>1.6572698292859214</v>
      </c>
    </row>
    <row r="33">
      <c r="A33" s="18" t="s">
        <v>117</v>
      </c>
      <c r="B33" s="401">
        <v>1.5165574403229718</v>
      </c>
    </row>
    <row r="34">
      <c r="A34" s="18" t="s">
        <v>40</v>
      </c>
      <c r="B34" s="401">
        <v>1.451414385553076</v>
      </c>
    </row>
    <row r="35">
      <c r="A35" s="18" t="s">
        <v>257</v>
      </c>
      <c r="B35" s="401">
        <v>1.451414385553076</v>
      </c>
    </row>
    <row r="36">
      <c r="A36" s="18" t="s">
        <v>84</v>
      </c>
      <c r="B36" s="401">
        <v>1.449676672315883</v>
      </c>
    </row>
    <row r="37">
      <c r="A37" s="18" t="s">
        <v>120</v>
      </c>
      <c r="B37" s="401">
        <v>1.135943143153099</v>
      </c>
    </row>
    <row r="38">
      <c r="A38" s="18" t="s">
        <v>123</v>
      </c>
      <c r="B38" s="401">
        <v>0.9676095903687173</v>
      </c>
    </row>
    <row r="39">
      <c r="A39" s="18" t="s">
        <v>309</v>
      </c>
      <c r="B39" s="401">
        <v>0.8303726278801538</v>
      </c>
    </row>
    <row r="40">
      <c r="A40" s="18" t="s">
        <v>111</v>
      </c>
      <c r="B40" s="401">
        <v>0.8303726278801538</v>
      </c>
    </row>
    <row r="41">
      <c r="A41" s="18" t="s">
        <v>88</v>
      </c>
      <c r="B41" s="401">
        <v>0.7617541466358719</v>
      </c>
    </row>
    <row r="42">
      <c r="A42" s="18" t="s">
        <v>47</v>
      </c>
      <c r="B42" s="401">
        <v>0.6210417576729222</v>
      </c>
    </row>
    <row r="43">
      <c r="A43" s="18" t="s">
        <v>50</v>
      </c>
      <c r="B43" s="401">
        <v>0.5541609896658335</v>
      </c>
    </row>
    <row r="44">
      <c r="A44" s="18" t="s">
        <v>83</v>
      </c>
      <c r="B44" s="401">
        <v>0.5524232764286404</v>
      </c>
    </row>
    <row r="45">
      <c r="A45" s="18" t="s">
        <v>24</v>
      </c>
      <c r="B45" s="401">
        <v>0.5114259590057907</v>
      </c>
    </row>
    <row r="46">
      <c r="A46" s="416" t="s">
        <v>194</v>
      </c>
      <c r="B46" s="401">
        <v>0.48380479518435865</v>
      </c>
    </row>
    <row r="47">
      <c r="A47" s="18" t="s">
        <v>371</v>
      </c>
      <c r="B47" s="401">
        <v>0.20759315697003844</v>
      </c>
    </row>
    <row r="48">
      <c r="A48" s="18" t="s">
        <v>144</v>
      </c>
      <c r="B48" s="401">
        <v>0.18014576447232572</v>
      </c>
    </row>
    <row r="49">
      <c r="A49" s="18" t="s">
        <v>180</v>
      </c>
      <c r="B49" s="401">
        <v>0.027621163821432024</v>
      </c>
    </row>
    <row r="50">
      <c r="A50" s="18" t="s">
        <v>73</v>
      </c>
      <c r="B50" s="401">
        <v>0.027621163821432024</v>
      </c>
    </row>
    <row r="51">
      <c r="A51" s="18" t="s">
        <v>384</v>
      </c>
      <c r="B51" s="401">
        <v>0.027621163821432024</v>
      </c>
    </row>
    <row r="52">
      <c r="A52" s="18" t="s">
        <v>235</v>
      </c>
      <c r="B52" s="401">
        <v>0.027621163821432024</v>
      </c>
    </row>
    <row r="53">
      <c r="B53" s="401"/>
    </row>
    <row r="54">
      <c r="B54" s="401"/>
    </row>
    <row r="55">
      <c r="B55" s="401"/>
    </row>
    <row r="56">
      <c r="B56" s="401"/>
    </row>
    <row r="57">
      <c r="B57" s="401"/>
    </row>
    <row r="58">
      <c r="B58" s="401"/>
    </row>
    <row r="59">
      <c r="B59" s="401"/>
    </row>
    <row r="60">
      <c r="A60" s="416"/>
      <c r="B60" s="401"/>
    </row>
    <row r="61">
      <c r="B61" s="401"/>
    </row>
    <row r="62">
      <c r="B62" s="401"/>
    </row>
    <row r="63">
      <c r="B63" s="401"/>
    </row>
    <row r="64">
      <c r="B64" s="401"/>
    </row>
    <row r="65">
      <c r="B65" s="401"/>
    </row>
    <row r="66">
      <c r="B66" s="401"/>
    </row>
    <row r="67">
      <c r="B67" s="401"/>
    </row>
    <row r="68">
      <c r="B68" s="401"/>
    </row>
    <row r="69">
      <c r="B69" s="401"/>
    </row>
    <row r="70">
      <c r="B70" s="401"/>
    </row>
    <row r="71">
      <c r="B71" s="401"/>
    </row>
    <row r="72">
      <c r="B72" s="401"/>
    </row>
    <row r="73">
      <c r="B73" s="401"/>
    </row>
    <row r="74">
      <c r="B74" s="401"/>
    </row>
    <row r="75">
      <c r="B75" s="401"/>
    </row>
    <row r="76">
      <c r="B76" s="401"/>
    </row>
    <row r="77">
      <c r="B77" s="401"/>
    </row>
    <row r="78">
      <c r="B78" s="401"/>
    </row>
    <row r="79">
      <c r="B79" s="401"/>
    </row>
    <row r="80">
      <c r="B80" s="401"/>
    </row>
    <row r="81">
      <c r="B81" s="401"/>
    </row>
    <row r="82">
      <c r="B82" s="401"/>
    </row>
    <row r="83">
      <c r="B83" s="401"/>
    </row>
    <row r="84">
      <c r="B84" s="401"/>
    </row>
    <row r="85">
      <c r="B85" s="401"/>
    </row>
    <row r="86">
      <c r="B86" s="401"/>
    </row>
    <row r="87">
      <c r="B87" s="401"/>
    </row>
    <row r="88">
      <c r="B88" s="401"/>
    </row>
    <row r="89">
      <c r="B89" s="401"/>
    </row>
    <row r="90">
      <c r="B90" s="401"/>
    </row>
    <row r="91">
      <c r="A91" s="322"/>
      <c r="B91" s="401"/>
    </row>
    <row r="92">
      <c r="A92" s="322"/>
      <c r="B92" s="401"/>
    </row>
    <row r="93">
      <c r="A93" s="322"/>
      <c r="B93" s="401"/>
    </row>
    <row r="94">
      <c r="A94" s="322"/>
      <c r="B94" s="401"/>
    </row>
    <row r="95">
      <c r="A95" s="322"/>
      <c r="B95" s="401"/>
    </row>
    <row r="96">
      <c r="A96" s="322"/>
      <c r="B96" s="401"/>
    </row>
    <row r="97">
      <c r="A97" s="322"/>
      <c r="B97" s="401"/>
    </row>
    <row r="98">
      <c r="A98" s="322"/>
      <c r="B98" s="401"/>
    </row>
    <row r="99">
      <c r="A99" s="322"/>
      <c r="B99" s="401"/>
    </row>
    <row r="100">
      <c r="A100" s="322"/>
      <c r="B100" s="401"/>
    </row>
    <row r="101">
      <c r="A101" s="322"/>
      <c r="B101" s="401"/>
    </row>
    <row r="102">
      <c r="A102" s="322"/>
      <c r="B102" s="401"/>
    </row>
    <row r="103">
      <c r="A103" s="322"/>
      <c r="B103" s="401"/>
    </row>
    <row r="104">
      <c r="A104" s="322"/>
      <c r="B104" s="401"/>
    </row>
    <row r="105">
      <c r="A105" s="322"/>
      <c r="B105" s="401"/>
    </row>
    <row r="106">
      <c r="A106" s="322"/>
      <c r="B106" s="401"/>
    </row>
    <row r="107">
      <c r="A107" s="322"/>
      <c r="B107" s="401"/>
    </row>
    <row r="108">
      <c r="A108" s="322"/>
      <c r="B108" s="401"/>
    </row>
    <row r="109">
      <c r="A109" s="322"/>
      <c r="B109" s="401"/>
    </row>
    <row r="110">
      <c r="A110" s="322"/>
      <c r="B110" s="401"/>
    </row>
    <row r="111">
      <c r="A111" s="322"/>
      <c r="B111" s="401"/>
    </row>
    <row r="112">
      <c r="A112" s="322"/>
      <c r="B112" s="401"/>
    </row>
    <row r="113">
      <c r="A113" s="322"/>
      <c r="B113" s="401"/>
    </row>
    <row r="114">
      <c r="A114" s="322"/>
      <c r="B114" s="401"/>
    </row>
    <row r="115">
      <c r="A115" s="322"/>
      <c r="B115" s="401"/>
    </row>
    <row r="116">
      <c r="A116" s="322"/>
      <c r="B116" s="401"/>
    </row>
    <row r="117">
      <c r="A117" s="322"/>
      <c r="B117" s="401"/>
    </row>
    <row r="118">
      <c r="A118" s="322"/>
      <c r="B118" s="401"/>
    </row>
    <row r="119">
      <c r="A119" s="322"/>
      <c r="B119" s="401"/>
    </row>
    <row r="120">
      <c r="A120" s="322"/>
      <c r="B120" s="401"/>
    </row>
    <row r="121">
      <c r="A121" s="322"/>
      <c r="B121" s="401"/>
    </row>
    <row r="122">
      <c r="A122" s="322"/>
      <c r="B122" s="401"/>
    </row>
    <row r="123">
      <c r="A123" s="322"/>
      <c r="B123" s="401"/>
    </row>
    <row r="124">
      <c r="A124" s="322"/>
      <c r="B124" s="401"/>
    </row>
    <row r="125">
      <c r="A125" s="322"/>
      <c r="B125" s="401"/>
    </row>
    <row r="126">
      <c r="A126" s="322"/>
      <c r="B126" s="401"/>
    </row>
    <row r="127">
      <c r="A127" s="322"/>
      <c r="B127" s="401"/>
    </row>
    <row r="128">
      <c r="A128" s="322"/>
      <c r="B128" s="401"/>
    </row>
    <row r="129">
      <c r="A129" s="322"/>
      <c r="B129" s="401"/>
    </row>
    <row r="130">
      <c r="A130" s="322"/>
      <c r="B130" s="401"/>
    </row>
    <row r="131">
      <c r="A131" s="322"/>
      <c r="B131" s="401"/>
    </row>
    <row r="132">
      <c r="A132" s="322"/>
      <c r="B132" s="401"/>
    </row>
    <row r="133">
      <c r="A133" s="322"/>
      <c r="B133" s="401"/>
    </row>
    <row r="134">
      <c r="A134" s="322"/>
      <c r="B134" s="401"/>
    </row>
    <row r="135">
      <c r="A135" s="322"/>
      <c r="B135" s="401"/>
    </row>
    <row r="136">
      <c r="A136" s="322"/>
      <c r="B136" s="401"/>
    </row>
    <row r="137">
      <c r="A137" s="322"/>
      <c r="B137" s="401"/>
    </row>
    <row r="138">
      <c r="A138" s="322"/>
      <c r="B138" s="401"/>
    </row>
    <row r="139">
      <c r="A139" s="322"/>
      <c r="B139" s="401"/>
    </row>
    <row r="140">
      <c r="A140" s="322"/>
      <c r="B140" s="401"/>
    </row>
    <row r="141">
      <c r="A141" s="322"/>
      <c r="B141" s="401"/>
    </row>
    <row r="142">
      <c r="A142" s="322"/>
      <c r="B142" s="401"/>
    </row>
    <row r="143">
      <c r="A143" s="322"/>
      <c r="B143" s="401"/>
    </row>
    <row r="144">
      <c r="A144" s="322"/>
      <c r="B144" s="401"/>
    </row>
    <row r="145">
      <c r="A145" s="322"/>
      <c r="B145" s="401"/>
    </row>
    <row r="146">
      <c r="A146" s="322"/>
      <c r="B146" s="401"/>
    </row>
    <row r="147">
      <c r="A147" s="322"/>
      <c r="B147" s="401"/>
    </row>
    <row r="148">
      <c r="A148" s="322"/>
      <c r="B148" s="401"/>
    </row>
    <row r="149">
      <c r="A149" s="322"/>
      <c r="B149" s="401"/>
    </row>
    <row r="150">
      <c r="A150" s="322"/>
      <c r="B150" s="401"/>
    </row>
    <row r="151">
      <c r="A151" s="322"/>
      <c r="B151" s="401"/>
    </row>
    <row r="152">
      <c r="A152" s="322"/>
      <c r="B152" s="401"/>
    </row>
    <row r="153">
      <c r="A153" s="322"/>
      <c r="B153" s="401"/>
    </row>
    <row r="154">
      <c r="A154" s="322"/>
      <c r="B154" s="401"/>
    </row>
    <row r="155">
      <c r="A155" s="322"/>
      <c r="B155" s="401"/>
    </row>
    <row r="156">
      <c r="A156" s="322"/>
      <c r="B156" s="401"/>
    </row>
    <row r="157">
      <c r="A157" s="322"/>
      <c r="B157" s="401"/>
    </row>
    <row r="158">
      <c r="A158" s="322"/>
      <c r="B158" s="401"/>
    </row>
    <row r="159">
      <c r="A159" s="322"/>
      <c r="B159" s="401"/>
    </row>
    <row r="160">
      <c r="A160" s="322"/>
      <c r="B160" s="401"/>
    </row>
    <row r="161">
      <c r="A161" s="322"/>
      <c r="B161" s="401"/>
    </row>
    <row r="162">
      <c r="A162" s="322"/>
      <c r="B162" s="401"/>
    </row>
    <row r="163">
      <c r="A163" s="322"/>
      <c r="B163" s="401"/>
    </row>
    <row r="164">
      <c r="A164" s="322"/>
      <c r="B164" s="401"/>
    </row>
    <row r="165">
      <c r="A165" s="322"/>
      <c r="B165" s="401"/>
    </row>
    <row r="166">
      <c r="A166" s="322"/>
      <c r="B166" s="401"/>
    </row>
    <row r="167">
      <c r="A167" s="322"/>
      <c r="B167" s="401"/>
    </row>
    <row r="168">
      <c r="A168" s="322"/>
      <c r="B168" s="401"/>
    </row>
    <row r="169">
      <c r="A169" s="322"/>
      <c r="B169" s="401"/>
    </row>
    <row r="170">
      <c r="A170" s="322"/>
      <c r="B170" s="401"/>
    </row>
    <row r="171">
      <c r="A171" s="322"/>
      <c r="B171" s="401"/>
    </row>
    <row r="172">
      <c r="A172" s="322"/>
      <c r="B172" s="401"/>
    </row>
    <row r="173">
      <c r="A173" s="322"/>
      <c r="B173" s="401"/>
    </row>
    <row r="174">
      <c r="A174" s="322"/>
      <c r="B174" s="401"/>
    </row>
    <row r="175">
      <c r="A175" s="322"/>
      <c r="B175" s="401"/>
    </row>
    <row r="176">
      <c r="A176" s="322"/>
      <c r="B176" s="401"/>
    </row>
    <row r="177">
      <c r="A177" s="322"/>
      <c r="B177" s="401"/>
    </row>
    <row r="178">
      <c r="A178" s="322"/>
      <c r="B178" s="401"/>
    </row>
    <row r="179">
      <c r="A179" s="322"/>
      <c r="B179" s="401"/>
    </row>
    <row r="180">
      <c r="A180" s="322"/>
      <c r="B180" s="401"/>
    </row>
    <row r="181">
      <c r="A181" s="322"/>
      <c r="B181" s="401"/>
    </row>
    <row r="182">
      <c r="A182" s="322"/>
      <c r="B182" s="401"/>
    </row>
    <row r="183">
      <c r="A183" s="322"/>
      <c r="B183" s="401"/>
    </row>
    <row r="184">
      <c r="A184" s="322"/>
      <c r="B184" s="401"/>
    </row>
    <row r="185">
      <c r="A185" s="322"/>
      <c r="B185" s="401"/>
    </row>
    <row r="186">
      <c r="A186" s="322"/>
      <c r="B186" s="401"/>
    </row>
    <row r="187">
      <c r="A187" s="322"/>
      <c r="B187" s="401"/>
    </row>
    <row r="188">
      <c r="A188" s="322"/>
      <c r="B188" s="401"/>
    </row>
    <row r="189">
      <c r="A189" s="322"/>
      <c r="B189" s="401"/>
    </row>
    <row r="190">
      <c r="A190" s="322"/>
      <c r="B190" s="401"/>
    </row>
    <row r="191">
      <c r="A191" s="322"/>
      <c r="B191" s="401"/>
    </row>
    <row r="192">
      <c r="A192" s="322"/>
      <c r="B192" s="401"/>
    </row>
    <row r="193">
      <c r="A193" s="322"/>
      <c r="B193" s="401"/>
    </row>
    <row r="194">
      <c r="A194" s="322"/>
      <c r="B194" s="401"/>
    </row>
    <row r="195">
      <c r="A195" s="322"/>
      <c r="B195" s="401"/>
    </row>
    <row r="196">
      <c r="A196" s="322"/>
      <c r="B196" s="401"/>
    </row>
    <row r="197">
      <c r="A197" s="322"/>
      <c r="B197" s="401"/>
    </row>
    <row r="198">
      <c r="A198" s="322"/>
      <c r="B198" s="401"/>
    </row>
    <row r="199">
      <c r="A199" s="322"/>
      <c r="B199" s="401"/>
    </row>
    <row r="200">
      <c r="A200" s="322"/>
      <c r="B200" s="401"/>
    </row>
    <row r="201">
      <c r="A201" s="322"/>
      <c r="B201" s="401"/>
    </row>
    <row r="202">
      <c r="A202" s="322"/>
      <c r="B202" s="401"/>
    </row>
    <row r="203">
      <c r="A203" s="322"/>
      <c r="B203" s="401"/>
    </row>
    <row r="204">
      <c r="A204" s="322"/>
      <c r="B204" s="401"/>
    </row>
    <row r="205">
      <c r="A205" s="322"/>
      <c r="B205" s="401"/>
    </row>
    <row r="206">
      <c r="A206" s="322"/>
      <c r="B206" s="401"/>
    </row>
    <row r="207">
      <c r="A207" s="322"/>
      <c r="B207" s="401"/>
    </row>
    <row r="208">
      <c r="A208" s="322"/>
      <c r="B208" s="401"/>
    </row>
    <row r="209">
      <c r="A209" s="322"/>
      <c r="B209" s="401"/>
    </row>
    <row r="210">
      <c r="A210" s="322"/>
      <c r="B210" s="401"/>
    </row>
    <row r="211">
      <c r="A211" s="322"/>
      <c r="B211" s="401"/>
    </row>
    <row r="212">
      <c r="A212" s="322"/>
      <c r="B212" s="401"/>
    </row>
    <row r="213">
      <c r="A213" s="322"/>
      <c r="B213" s="401"/>
    </row>
    <row r="214">
      <c r="A214" s="322"/>
      <c r="B214" s="401"/>
    </row>
    <row r="215">
      <c r="A215" s="322"/>
      <c r="B215" s="401"/>
    </row>
    <row r="216">
      <c r="A216" s="322"/>
      <c r="B216" s="401"/>
    </row>
    <row r="217">
      <c r="A217" s="322"/>
      <c r="B217" s="401"/>
    </row>
    <row r="218">
      <c r="A218" s="322"/>
      <c r="B218" s="401"/>
    </row>
    <row r="219">
      <c r="A219" s="322"/>
      <c r="B219" s="401"/>
    </row>
    <row r="220">
      <c r="A220" s="322"/>
      <c r="B220" s="401"/>
    </row>
    <row r="221">
      <c r="A221" s="322"/>
      <c r="B221" s="401"/>
    </row>
    <row r="222">
      <c r="A222" s="322"/>
      <c r="B222" s="401"/>
    </row>
    <row r="223">
      <c r="A223" s="322"/>
      <c r="B223" s="401"/>
    </row>
    <row r="224">
      <c r="A224" s="322"/>
      <c r="B224" s="401"/>
    </row>
    <row r="225">
      <c r="A225" s="322"/>
      <c r="B225" s="401"/>
    </row>
    <row r="226">
      <c r="A226" s="322"/>
      <c r="B226" s="401"/>
    </row>
    <row r="227">
      <c r="A227" s="322"/>
      <c r="B227" s="401"/>
    </row>
    <row r="228">
      <c r="A228" s="322"/>
      <c r="B228" s="401"/>
    </row>
    <row r="229">
      <c r="A229" s="322"/>
      <c r="B229" s="401"/>
    </row>
    <row r="230">
      <c r="A230" s="322"/>
      <c r="B230" s="401"/>
    </row>
    <row r="231">
      <c r="A231" s="322"/>
      <c r="B231" s="401"/>
    </row>
    <row r="232">
      <c r="A232" s="322"/>
      <c r="B232" s="401"/>
    </row>
    <row r="233">
      <c r="A233" s="322"/>
      <c r="B233" s="401"/>
    </row>
    <row r="234">
      <c r="A234" s="322"/>
      <c r="B234" s="401"/>
    </row>
    <row r="235">
      <c r="A235" s="322"/>
      <c r="B235" s="401"/>
    </row>
    <row r="236">
      <c r="A236" s="322"/>
      <c r="B236" s="401"/>
    </row>
    <row r="237">
      <c r="A237" s="322"/>
      <c r="B237" s="401"/>
    </row>
    <row r="238">
      <c r="A238" s="322"/>
      <c r="B238" s="401"/>
    </row>
    <row r="239">
      <c r="A239" s="322"/>
      <c r="B239" s="401"/>
    </row>
    <row r="240">
      <c r="A240" s="322"/>
      <c r="B240" s="401"/>
    </row>
    <row r="241">
      <c r="A241" s="322"/>
      <c r="B241" s="401"/>
    </row>
    <row r="242">
      <c r="A242" s="322"/>
      <c r="B242" s="401"/>
    </row>
    <row r="243">
      <c r="A243" s="322"/>
      <c r="B243" s="401"/>
    </row>
    <row r="244">
      <c r="A244" s="322"/>
      <c r="B244" s="401"/>
    </row>
    <row r="245">
      <c r="A245" s="322"/>
      <c r="B245" s="401"/>
    </row>
    <row r="246">
      <c r="A246" s="322"/>
      <c r="B246" s="401"/>
    </row>
    <row r="247">
      <c r="A247" s="322"/>
      <c r="B247" s="401"/>
    </row>
    <row r="248">
      <c r="A248" s="322"/>
      <c r="B248" s="401"/>
    </row>
    <row r="249">
      <c r="A249" s="322"/>
      <c r="B249" s="401"/>
    </row>
    <row r="250">
      <c r="A250" s="322"/>
      <c r="B250" s="401"/>
    </row>
    <row r="251">
      <c r="A251" s="322"/>
      <c r="B251" s="401"/>
    </row>
    <row r="252">
      <c r="A252" s="322"/>
      <c r="B252" s="401"/>
    </row>
    <row r="253">
      <c r="A253" s="322"/>
      <c r="B253" s="401"/>
    </row>
    <row r="254">
      <c r="A254" s="322"/>
      <c r="B254" s="401"/>
    </row>
    <row r="255">
      <c r="A255" s="322"/>
      <c r="B255" s="401"/>
    </row>
    <row r="256">
      <c r="A256" s="322"/>
      <c r="B256" s="401"/>
    </row>
    <row r="257">
      <c r="A257" s="322"/>
      <c r="B257" s="401"/>
    </row>
    <row r="258">
      <c r="A258" s="322"/>
      <c r="B258" s="401"/>
    </row>
    <row r="259">
      <c r="A259" s="322"/>
      <c r="B259" s="401"/>
    </row>
    <row r="260">
      <c r="A260" s="322"/>
      <c r="B260" s="401"/>
    </row>
    <row r="261">
      <c r="A261" s="322"/>
      <c r="B261" s="401"/>
    </row>
    <row r="262">
      <c r="A262" s="322"/>
      <c r="B262" s="401"/>
    </row>
    <row r="263">
      <c r="A263" s="322"/>
      <c r="B263" s="401"/>
    </row>
    <row r="264">
      <c r="A264" s="322"/>
      <c r="B264" s="401"/>
    </row>
    <row r="265">
      <c r="A265" s="322"/>
      <c r="B265" s="401"/>
    </row>
    <row r="266">
      <c r="A266" s="322"/>
      <c r="B266" s="401"/>
    </row>
    <row r="267">
      <c r="A267" s="322"/>
      <c r="B267" s="401"/>
    </row>
    <row r="268">
      <c r="A268" s="322"/>
      <c r="B268" s="401"/>
    </row>
    <row r="269">
      <c r="A269" s="322"/>
      <c r="B269" s="401"/>
    </row>
    <row r="270">
      <c r="A270" s="322"/>
      <c r="B270" s="401"/>
    </row>
    <row r="271">
      <c r="A271" s="322"/>
      <c r="B271" s="401"/>
    </row>
    <row r="272">
      <c r="A272" s="322"/>
      <c r="B272" s="401"/>
    </row>
    <row r="273">
      <c r="A273" s="322"/>
      <c r="B273" s="401"/>
    </row>
    <row r="274">
      <c r="A274" s="322"/>
      <c r="B274" s="401"/>
    </row>
    <row r="275">
      <c r="A275" s="322"/>
      <c r="B275" s="401"/>
    </row>
    <row r="276">
      <c r="A276" s="322"/>
      <c r="B276" s="401"/>
    </row>
    <row r="277">
      <c r="A277" s="322"/>
      <c r="B277" s="401"/>
    </row>
    <row r="278">
      <c r="A278" s="322"/>
      <c r="B278" s="401"/>
    </row>
    <row r="279">
      <c r="A279" s="322"/>
      <c r="B279" s="401"/>
    </row>
    <row r="280">
      <c r="A280" s="322"/>
      <c r="B280" s="401"/>
    </row>
    <row r="281">
      <c r="A281" s="322"/>
      <c r="B281" s="401"/>
    </row>
    <row r="282">
      <c r="A282" s="322"/>
      <c r="B282" s="401"/>
    </row>
    <row r="283">
      <c r="A283" s="322"/>
      <c r="B283" s="401"/>
    </row>
    <row r="284">
      <c r="A284" s="322"/>
      <c r="B284" s="401"/>
    </row>
    <row r="285">
      <c r="A285" s="322"/>
      <c r="B285" s="401"/>
    </row>
    <row r="286">
      <c r="A286" s="322"/>
      <c r="B286" s="401"/>
    </row>
    <row r="287">
      <c r="A287" s="322"/>
      <c r="B287" s="401"/>
    </row>
    <row r="288">
      <c r="A288" s="322"/>
      <c r="B288" s="401"/>
    </row>
    <row r="289">
      <c r="A289" s="322"/>
      <c r="B289" s="401"/>
    </row>
    <row r="290">
      <c r="A290" s="322"/>
      <c r="B290" s="401"/>
    </row>
    <row r="291">
      <c r="A291" s="322"/>
      <c r="B291" s="401"/>
    </row>
    <row r="292">
      <c r="A292" s="322"/>
      <c r="B292" s="401"/>
    </row>
    <row r="293">
      <c r="A293" s="322"/>
      <c r="B293" s="401"/>
    </row>
    <row r="294">
      <c r="A294" s="322"/>
      <c r="B294" s="401"/>
    </row>
    <row r="295">
      <c r="A295" s="322"/>
      <c r="B295" s="401"/>
    </row>
    <row r="296">
      <c r="A296" s="322"/>
      <c r="B296" s="401"/>
    </row>
    <row r="297">
      <c r="A297" s="322"/>
      <c r="B297" s="401"/>
    </row>
    <row r="298">
      <c r="A298" s="322"/>
      <c r="B298" s="401"/>
    </row>
    <row r="299">
      <c r="A299" s="322"/>
      <c r="B299" s="401"/>
    </row>
    <row r="300">
      <c r="A300" s="322"/>
      <c r="B300" s="401"/>
    </row>
    <row r="301">
      <c r="A301" s="322"/>
      <c r="B301" s="401"/>
    </row>
    <row r="302">
      <c r="A302" s="322"/>
      <c r="B302" s="401"/>
    </row>
    <row r="303">
      <c r="A303" s="322"/>
      <c r="B303" s="401"/>
    </row>
    <row r="304">
      <c r="A304" s="322"/>
      <c r="B304" s="401"/>
    </row>
    <row r="305">
      <c r="A305" s="322"/>
      <c r="B305" s="401"/>
    </row>
    <row r="306">
      <c r="A306" s="322"/>
      <c r="B306" s="401"/>
    </row>
    <row r="307">
      <c r="A307" s="322"/>
      <c r="B307" s="401"/>
    </row>
    <row r="308">
      <c r="A308" s="322"/>
      <c r="B308" s="401"/>
    </row>
    <row r="309">
      <c r="A309" s="322"/>
      <c r="B309" s="401"/>
    </row>
    <row r="310">
      <c r="A310" s="322"/>
      <c r="B310" s="401"/>
    </row>
    <row r="311">
      <c r="A311" s="322"/>
      <c r="B311" s="401"/>
    </row>
    <row r="312">
      <c r="A312" s="322"/>
      <c r="B312" s="401"/>
    </row>
    <row r="313">
      <c r="A313" s="322"/>
      <c r="B313" s="401"/>
    </row>
    <row r="314">
      <c r="A314" s="322"/>
      <c r="B314" s="401"/>
    </row>
    <row r="315">
      <c r="A315" s="322"/>
      <c r="B315" s="401"/>
    </row>
    <row r="316">
      <c r="A316" s="322"/>
      <c r="B316" s="401"/>
    </row>
    <row r="317">
      <c r="A317" s="322"/>
      <c r="B317" s="401"/>
    </row>
    <row r="318">
      <c r="A318" s="322"/>
      <c r="B318" s="401"/>
    </row>
    <row r="319">
      <c r="A319" s="322"/>
      <c r="B319" s="401"/>
    </row>
    <row r="320">
      <c r="A320" s="322"/>
      <c r="B320" s="401"/>
    </row>
    <row r="321">
      <c r="A321" s="322"/>
      <c r="B321" s="401"/>
    </row>
    <row r="322">
      <c r="A322" s="322"/>
      <c r="B322" s="401"/>
    </row>
    <row r="323">
      <c r="A323" s="322"/>
      <c r="B323" s="401"/>
    </row>
    <row r="324">
      <c r="A324" s="322"/>
      <c r="B324" s="401"/>
    </row>
    <row r="325">
      <c r="A325" s="322"/>
      <c r="B325" s="401"/>
    </row>
    <row r="326">
      <c r="A326" s="322"/>
      <c r="B326" s="401"/>
    </row>
    <row r="327">
      <c r="A327" s="322"/>
      <c r="B327" s="401"/>
    </row>
    <row r="328">
      <c r="A328" s="322"/>
      <c r="B328" s="401"/>
    </row>
    <row r="329">
      <c r="A329" s="322"/>
      <c r="B329" s="401"/>
    </row>
    <row r="330">
      <c r="A330" s="322"/>
      <c r="B330" s="401"/>
    </row>
    <row r="331">
      <c r="A331" s="322"/>
      <c r="B331" s="401"/>
    </row>
    <row r="332">
      <c r="A332" s="322"/>
      <c r="B332" s="401"/>
    </row>
    <row r="333">
      <c r="A333" s="322"/>
      <c r="B333" s="401"/>
    </row>
    <row r="334">
      <c r="A334" s="322"/>
      <c r="B334" s="401"/>
    </row>
    <row r="335">
      <c r="A335" s="322"/>
      <c r="B335" s="401"/>
    </row>
    <row r="336">
      <c r="A336" s="322"/>
      <c r="B336" s="401"/>
    </row>
    <row r="337">
      <c r="A337" s="322"/>
      <c r="B337" s="401"/>
    </row>
    <row r="338">
      <c r="A338" s="322"/>
      <c r="B338" s="401"/>
    </row>
    <row r="339">
      <c r="A339" s="322"/>
      <c r="B339" s="401"/>
    </row>
    <row r="340">
      <c r="A340" s="322"/>
      <c r="B340" s="401"/>
    </row>
    <row r="341">
      <c r="A341" s="322"/>
      <c r="B341" s="401"/>
    </row>
    <row r="342">
      <c r="A342" s="322"/>
      <c r="B342" s="401"/>
    </row>
    <row r="343">
      <c r="A343" s="322"/>
      <c r="B343" s="401"/>
    </row>
    <row r="344">
      <c r="A344" s="322"/>
      <c r="B344" s="401"/>
    </row>
    <row r="345">
      <c r="A345" s="322"/>
      <c r="B345" s="401"/>
    </row>
    <row r="346">
      <c r="A346" s="322"/>
      <c r="B346" s="401"/>
    </row>
    <row r="347">
      <c r="A347" s="322"/>
      <c r="B347" s="401"/>
    </row>
    <row r="348">
      <c r="A348" s="322"/>
      <c r="B348" s="401"/>
    </row>
    <row r="349">
      <c r="A349" s="322"/>
      <c r="B349" s="401"/>
    </row>
    <row r="350">
      <c r="A350" s="322"/>
      <c r="B350" s="401"/>
    </row>
    <row r="351">
      <c r="A351" s="322"/>
      <c r="B351" s="401"/>
    </row>
    <row r="352">
      <c r="A352" s="322"/>
      <c r="B352" s="401"/>
    </row>
    <row r="353">
      <c r="A353" s="322"/>
      <c r="B353" s="401"/>
    </row>
    <row r="354">
      <c r="A354" s="322"/>
      <c r="B354" s="401"/>
    </row>
    <row r="355">
      <c r="A355" s="322"/>
      <c r="B355" s="401"/>
    </row>
    <row r="356">
      <c r="A356" s="322"/>
      <c r="B356" s="401"/>
    </row>
    <row r="357">
      <c r="A357" s="322"/>
      <c r="B357" s="401"/>
    </row>
    <row r="358">
      <c r="A358" s="322"/>
      <c r="B358" s="401"/>
    </row>
    <row r="359">
      <c r="A359" s="322"/>
      <c r="B359" s="401"/>
    </row>
    <row r="360">
      <c r="A360" s="322"/>
      <c r="B360" s="401"/>
    </row>
    <row r="361">
      <c r="A361" s="322"/>
      <c r="B361" s="401"/>
    </row>
    <row r="362">
      <c r="A362" s="322"/>
      <c r="B362" s="401"/>
    </row>
    <row r="363">
      <c r="A363" s="322"/>
      <c r="B363" s="401"/>
    </row>
    <row r="364">
      <c r="A364" s="322"/>
      <c r="B364" s="401"/>
    </row>
    <row r="365">
      <c r="A365" s="322"/>
      <c r="B365" s="401"/>
    </row>
    <row r="366">
      <c r="A366" s="322"/>
      <c r="B366" s="401"/>
    </row>
    <row r="367">
      <c r="A367" s="322"/>
      <c r="B367" s="401"/>
    </row>
    <row r="368">
      <c r="A368" s="322"/>
      <c r="B368" s="401"/>
    </row>
    <row r="369">
      <c r="A369" s="322"/>
      <c r="B369" s="401"/>
    </row>
    <row r="370">
      <c r="A370" s="322"/>
      <c r="B370" s="401"/>
    </row>
    <row r="371">
      <c r="A371" s="322"/>
      <c r="B371" s="401"/>
    </row>
    <row r="372">
      <c r="A372" s="322"/>
      <c r="B372" s="401"/>
    </row>
    <row r="373">
      <c r="A373" s="322"/>
      <c r="B373" s="401"/>
    </row>
    <row r="374">
      <c r="A374" s="322"/>
      <c r="B374" s="401"/>
    </row>
    <row r="375">
      <c r="A375" s="322"/>
      <c r="B375" s="401"/>
    </row>
    <row r="376">
      <c r="A376" s="322"/>
      <c r="B376" s="401"/>
    </row>
    <row r="377">
      <c r="A377" s="322"/>
      <c r="B377" s="401"/>
    </row>
    <row r="378">
      <c r="A378" s="322"/>
      <c r="B378" s="401"/>
    </row>
    <row r="379">
      <c r="A379" s="322"/>
      <c r="B379" s="401"/>
    </row>
    <row r="380">
      <c r="A380" s="322"/>
      <c r="B380" s="401"/>
    </row>
    <row r="381">
      <c r="A381" s="322"/>
      <c r="B381" s="401"/>
    </row>
    <row r="382">
      <c r="A382" s="322"/>
      <c r="B382" s="401"/>
    </row>
    <row r="383">
      <c r="A383" s="322"/>
      <c r="B383" s="401"/>
    </row>
    <row r="384">
      <c r="A384" s="322"/>
      <c r="B384" s="401"/>
    </row>
    <row r="385">
      <c r="A385" s="322"/>
      <c r="B385" s="401"/>
    </row>
    <row r="386">
      <c r="A386" s="322"/>
      <c r="B386" s="401"/>
    </row>
    <row r="387">
      <c r="A387" s="322"/>
      <c r="B387" s="401"/>
    </row>
    <row r="388">
      <c r="A388" s="322"/>
      <c r="B388" s="401"/>
    </row>
    <row r="389">
      <c r="A389" s="322"/>
      <c r="B389" s="401"/>
    </row>
    <row r="390">
      <c r="A390" s="322"/>
      <c r="B390" s="401"/>
    </row>
    <row r="391">
      <c r="A391" s="322"/>
      <c r="B391" s="401"/>
    </row>
    <row r="392">
      <c r="A392" s="322"/>
      <c r="B392" s="401"/>
    </row>
    <row r="393">
      <c r="A393" s="322"/>
      <c r="B393" s="401"/>
    </row>
    <row r="394">
      <c r="A394" s="322"/>
      <c r="B394" s="401"/>
    </row>
    <row r="395">
      <c r="A395" s="322"/>
      <c r="B395" s="401"/>
    </row>
    <row r="396">
      <c r="A396" s="322"/>
      <c r="B396" s="401"/>
    </row>
    <row r="397">
      <c r="A397" s="322"/>
      <c r="B397" s="401"/>
    </row>
    <row r="398">
      <c r="A398" s="322"/>
      <c r="B398" s="401"/>
    </row>
    <row r="399">
      <c r="A399" s="322"/>
      <c r="B399" s="401"/>
    </row>
    <row r="400">
      <c r="A400" s="322"/>
      <c r="B400" s="401"/>
    </row>
    <row r="401">
      <c r="A401" s="322"/>
      <c r="B401" s="401"/>
    </row>
    <row r="402">
      <c r="A402" s="322"/>
      <c r="B402" s="401"/>
    </row>
    <row r="403">
      <c r="A403" s="322"/>
      <c r="B403" s="401"/>
    </row>
    <row r="404">
      <c r="A404" s="322"/>
      <c r="B404" s="401"/>
    </row>
    <row r="405">
      <c r="A405" s="322"/>
      <c r="B405" s="401"/>
    </row>
    <row r="406">
      <c r="A406" s="322"/>
      <c r="B406" s="401"/>
    </row>
    <row r="407">
      <c r="A407" s="322"/>
      <c r="B407" s="401"/>
    </row>
    <row r="408">
      <c r="A408" s="322"/>
      <c r="B408" s="401"/>
    </row>
    <row r="409">
      <c r="A409" s="322"/>
      <c r="B409" s="401"/>
    </row>
    <row r="410">
      <c r="A410" s="322"/>
      <c r="B410" s="401"/>
    </row>
    <row r="411">
      <c r="A411" s="322"/>
      <c r="B411" s="401"/>
    </row>
    <row r="412">
      <c r="A412" s="322"/>
      <c r="B412" s="401"/>
    </row>
    <row r="413">
      <c r="A413" s="322"/>
      <c r="B413" s="401"/>
    </row>
    <row r="414">
      <c r="A414" s="322"/>
      <c r="B414" s="401"/>
    </row>
    <row r="415">
      <c r="A415" s="322"/>
      <c r="B415" s="401"/>
    </row>
    <row r="416">
      <c r="A416" s="322"/>
      <c r="B416" s="401"/>
    </row>
    <row r="417">
      <c r="A417" s="322"/>
      <c r="B417" s="401"/>
    </row>
    <row r="418">
      <c r="A418" s="322"/>
      <c r="B418" s="401"/>
    </row>
    <row r="419">
      <c r="A419" s="322"/>
      <c r="B419" s="401"/>
    </row>
    <row r="420">
      <c r="A420" s="322"/>
      <c r="B420" s="401"/>
    </row>
    <row r="421">
      <c r="A421" s="322"/>
      <c r="B421" s="401"/>
    </row>
    <row r="422">
      <c r="A422" s="322"/>
      <c r="B422" s="401"/>
    </row>
    <row r="423">
      <c r="A423" s="322"/>
      <c r="B423" s="401"/>
    </row>
    <row r="424">
      <c r="A424" s="322"/>
      <c r="B424" s="401"/>
    </row>
    <row r="425">
      <c r="A425" s="322"/>
      <c r="B425" s="401"/>
    </row>
    <row r="426">
      <c r="A426" s="322"/>
      <c r="B426" s="401"/>
    </row>
    <row r="427">
      <c r="A427" s="322"/>
      <c r="B427" s="401"/>
    </row>
    <row r="428">
      <c r="A428" s="322"/>
      <c r="B428" s="401"/>
    </row>
    <row r="429">
      <c r="A429" s="322"/>
      <c r="B429" s="401"/>
    </row>
    <row r="430">
      <c r="A430" s="322"/>
      <c r="B430" s="401"/>
    </row>
    <row r="431">
      <c r="A431" s="322"/>
      <c r="B431" s="401"/>
    </row>
    <row r="432">
      <c r="A432" s="322"/>
      <c r="B432" s="401"/>
    </row>
    <row r="433">
      <c r="A433" s="322"/>
      <c r="B433" s="401"/>
    </row>
    <row r="434">
      <c r="A434" s="322"/>
      <c r="B434" s="401"/>
    </row>
    <row r="435">
      <c r="A435" s="322"/>
      <c r="B435" s="401"/>
    </row>
    <row r="436">
      <c r="A436" s="322"/>
      <c r="B436" s="401"/>
    </row>
    <row r="437">
      <c r="A437" s="322"/>
      <c r="B437" s="401"/>
    </row>
    <row r="438">
      <c r="A438" s="322"/>
      <c r="B438" s="401"/>
    </row>
    <row r="439">
      <c r="A439" s="322"/>
      <c r="B439" s="401"/>
    </row>
    <row r="440">
      <c r="A440" s="322"/>
      <c r="B440" s="401"/>
    </row>
    <row r="441">
      <c r="A441" s="322"/>
      <c r="B441" s="401"/>
    </row>
    <row r="442">
      <c r="A442" s="322"/>
      <c r="B442" s="401"/>
    </row>
    <row r="443">
      <c r="A443" s="322"/>
      <c r="B443" s="401"/>
    </row>
    <row r="444">
      <c r="A444" s="322"/>
      <c r="B444" s="401"/>
    </row>
    <row r="445">
      <c r="A445" s="322"/>
      <c r="B445" s="401"/>
    </row>
    <row r="446">
      <c r="A446" s="322"/>
      <c r="B446" s="401"/>
    </row>
    <row r="447">
      <c r="A447" s="322"/>
      <c r="B447" s="401"/>
    </row>
    <row r="448">
      <c r="A448" s="322"/>
      <c r="B448" s="401"/>
    </row>
    <row r="449">
      <c r="A449" s="322"/>
      <c r="B449" s="401"/>
    </row>
    <row r="450">
      <c r="A450" s="322"/>
      <c r="B450" s="401"/>
    </row>
    <row r="451">
      <c r="A451" s="322"/>
      <c r="B451" s="401"/>
    </row>
    <row r="452">
      <c r="A452" s="322"/>
      <c r="B452" s="401"/>
    </row>
    <row r="453">
      <c r="A453" s="322"/>
      <c r="B453" s="401"/>
    </row>
    <row r="454">
      <c r="A454" s="322"/>
      <c r="B454" s="401"/>
    </row>
    <row r="455">
      <c r="A455" s="322"/>
      <c r="B455" s="401"/>
    </row>
    <row r="456">
      <c r="A456" s="322"/>
      <c r="B456" s="401"/>
    </row>
    <row r="457">
      <c r="A457" s="322"/>
      <c r="B457" s="401"/>
    </row>
    <row r="458">
      <c r="A458" s="322"/>
      <c r="B458" s="401"/>
    </row>
    <row r="459">
      <c r="A459" s="322"/>
      <c r="B459" s="401"/>
    </row>
    <row r="460">
      <c r="A460" s="322"/>
      <c r="B460" s="401"/>
    </row>
    <row r="461">
      <c r="A461" s="322"/>
      <c r="B461" s="401"/>
    </row>
    <row r="462">
      <c r="A462" s="322"/>
      <c r="B462" s="401"/>
    </row>
    <row r="463">
      <c r="A463" s="322"/>
      <c r="B463" s="401"/>
    </row>
    <row r="464">
      <c r="A464" s="322"/>
      <c r="B464" s="401"/>
    </row>
    <row r="465">
      <c r="A465" s="322"/>
      <c r="B465" s="401"/>
    </row>
    <row r="466">
      <c r="A466" s="322"/>
      <c r="B466" s="401"/>
    </row>
    <row r="467">
      <c r="A467" s="322"/>
      <c r="B467" s="401"/>
    </row>
    <row r="468">
      <c r="A468" s="322"/>
      <c r="B468" s="401"/>
    </row>
    <row r="469">
      <c r="A469" s="322"/>
      <c r="B469" s="401"/>
    </row>
    <row r="470">
      <c r="A470" s="322"/>
      <c r="B470" s="401"/>
    </row>
    <row r="471">
      <c r="A471" s="322"/>
      <c r="B471" s="401"/>
    </row>
    <row r="472">
      <c r="A472" s="322"/>
      <c r="B472" s="401"/>
    </row>
    <row r="473">
      <c r="A473" s="322"/>
      <c r="B473" s="401"/>
    </row>
    <row r="474">
      <c r="A474" s="322"/>
      <c r="B474" s="401"/>
    </row>
    <row r="475">
      <c r="A475" s="322"/>
      <c r="B475" s="401"/>
    </row>
    <row r="476">
      <c r="A476" s="322"/>
      <c r="B476" s="401"/>
    </row>
    <row r="477">
      <c r="A477" s="322"/>
      <c r="B477" s="401"/>
    </row>
    <row r="478">
      <c r="A478" s="322"/>
      <c r="B478" s="401"/>
    </row>
    <row r="479">
      <c r="A479" s="322"/>
      <c r="B479" s="401"/>
    </row>
    <row r="480">
      <c r="A480" s="322"/>
      <c r="B480" s="401"/>
    </row>
    <row r="481">
      <c r="A481" s="322"/>
      <c r="B481" s="401"/>
    </row>
    <row r="482">
      <c r="A482" s="322"/>
      <c r="B482" s="401"/>
    </row>
    <row r="483">
      <c r="A483" s="322"/>
      <c r="B483" s="401"/>
    </row>
    <row r="484">
      <c r="A484" s="322"/>
      <c r="B484" s="401"/>
    </row>
    <row r="485">
      <c r="A485" s="322"/>
      <c r="B485" s="401"/>
    </row>
    <row r="486">
      <c r="A486" s="322"/>
      <c r="B486" s="401"/>
    </row>
    <row r="487">
      <c r="A487" s="322"/>
      <c r="B487" s="401"/>
    </row>
    <row r="488">
      <c r="A488" s="322"/>
      <c r="B488" s="401"/>
    </row>
    <row r="489">
      <c r="A489" s="322"/>
      <c r="B489" s="401"/>
    </row>
    <row r="490">
      <c r="A490" s="322"/>
      <c r="B490" s="401"/>
    </row>
    <row r="491">
      <c r="A491" s="322"/>
      <c r="B491" s="401"/>
    </row>
    <row r="492">
      <c r="A492" s="322"/>
      <c r="B492" s="401"/>
    </row>
    <row r="493">
      <c r="A493" s="322"/>
      <c r="B493" s="401"/>
    </row>
    <row r="494">
      <c r="A494" s="322"/>
      <c r="B494" s="401"/>
    </row>
    <row r="495">
      <c r="A495" s="322"/>
      <c r="B495" s="401"/>
    </row>
    <row r="496">
      <c r="A496" s="322"/>
      <c r="B496" s="401"/>
    </row>
    <row r="497">
      <c r="A497" s="322"/>
      <c r="B497" s="401"/>
    </row>
    <row r="498">
      <c r="A498" s="322"/>
      <c r="B498" s="401"/>
    </row>
    <row r="499">
      <c r="A499" s="322"/>
      <c r="B499" s="401"/>
    </row>
    <row r="500">
      <c r="A500" s="322"/>
      <c r="B500" s="401"/>
    </row>
    <row r="501">
      <c r="A501" s="322"/>
      <c r="B501" s="401"/>
    </row>
    <row r="502">
      <c r="A502" s="322"/>
      <c r="B502" s="401"/>
    </row>
    <row r="503">
      <c r="A503" s="322"/>
      <c r="B503" s="401"/>
    </row>
    <row r="504">
      <c r="A504" s="322"/>
      <c r="B504" s="401"/>
    </row>
    <row r="505">
      <c r="A505" s="322"/>
      <c r="B505" s="401"/>
    </row>
    <row r="506">
      <c r="A506" s="322"/>
      <c r="B506" s="401"/>
    </row>
    <row r="507">
      <c r="A507" s="322"/>
      <c r="B507" s="401"/>
    </row>
    <row r="508">
      <c r="A508" s="322"/>
      <c r="B508" s="401"/>
    </row>
    <row r="509">
      <c r="A509" s="322"/>
      <c r="B509" s="401"/>
    </row>
    <row r="510">
      <c r="A510" s="322"/>
      <c r="B510" s="401"/>
    </row>
    <row r="511">
      <c r="A511" s="322"/>
      <c r="B511" s="401"/>
    </row>
    <row r="512">
      <c r="A512" s="322"/>
      <c r="B512" s="401"/>
    </row>
    <row r="513">
      <c r="A513" s="322"/>
      <c r="B513" s="401"/>
    </row>
    <row r="514">
      <c r="A514" s="322"/>
      <c r="B514" s="401"/>
    </row>
    <row r="515">
      <c r="A515" s="322"/>
      <c r="B515" s="401"/>
    </row>
    <row r="516">
      <c r="A516" s="322"/>
      <c r="B516" s="401"/>
    </row>
    <row r="517">
      <c r="A517" s="322"/>
      <c r="B517" s="401"/>
    </row>
    <row r="518">
      <c r="A518" s="322"/>
      <c r="B518" s="401"/>
    </row>
    <row r="519">
      <c r="A519" s="322"/>
      <c r="B519" s="401"/>
    </row>
    <row r="520">
      <c r="A520" s="322"/>
      <c r="B520" s="401"/>
    </row>
    <row r="521">
      <c r="A521" s="322"/>
      <c r="B521" s="401"/>
    </row>
    <row r="522">
      <c r="A522" s="322"/>
      <c r="B522" s="401"/>
    </row>
    <row r="523">
      <c r="A523" s="322"/>
      <c r="B523" s="401"/>
    </row>
    <row r="524">
      <c r="A524" s="322"/>
      <c r="B524" s="401"/>
    </row>
    <row r="525">
      <c r="A525" s="322"/>
      <c r="B525" s="401"/>
    </row>
    <row r="526">
      <c r="A526" s="322"/>
      <c r="B526" s="401"/>
    </row>
    <row r="527">
      <c r="A527" s="322"/>
      <c r="B527" s="401"/>
    </row>
    <row r="528">
      <c r="A528" s="322"/>
      <c r="B528" s="401"/>
    </row>
    <row r="529">
      <c r="A529" s="322"/>
      <c r="B529" s="401"/>
    </row>
    <row r="530">
      <c r="A530" s="322"/>
      <c r="B530" s="401"/>
    </row>
    <row r="531">
      <c r="A531" s="322"/>
      <c r="B531" s="401"/>
    </row>
    <row r="532">
      <c r="A532" s="322"/>
      <c r="B532" s="401"/>
    </row>
    <row r="533">
      <c r="A533" s="322"/>
      <c r="B533" s="401"/>
    </row>
    <row r="534">
      <c r="A534" s="322"/>
      <c r="B534" s="401"/>
    </row>
    <row r="535">
      <c r="A535" s="322"/>
      <c r="B535" s="401"/>
    </row>
    <row r="536">
      <c r="A536" s="322"/>
      <c r="B536" s="401"/>
    </row>
    <row r="537">
      <c r="A537" s="322"/>
      <c r="B537" s="401"/>
    </row>
    <row r="538">
      <c r="A538" s="322"/>
      <c r="B538" s="401"/>
    </row>
    <row r="539">
      <c r="A539" s="322"/>
      <c r="B539" s="401"/>
    </row>
    <row r="540">
      <c r="A540" s="322"/>
      <c r="B540" s="401"/>
    </row>
    <row r="541">
      <c r="A541" s="322"/>
      <c r="B541" s="401"/>
    </row>
    <row r="542">
      <c r="A542" s="322"/>
      <c r="B542" s="401"/>
    </row>
    <row r="543">
      <c r="A543" s="322"/>
      <c r="B543" s="401"/>
    </row>
    <row r="544">
      <c r="A544" s="322"/>
      <c r="B544" s="401"/>
    </row>
    <row r="545">
      <c r="A545" s="322"/>
      <c r="B545" s="401"/>
    </row>
    <row r="546">
      <c r="A546" s="322"/>
      <c r="B546" s="401"/>
    </row>
    <row r="547">
      <c r="A547" s="322"/>
      <c r="B547" s="401"/>
    </row>
    <row r="548">
      <c r="A548" s="322"/>
      <c r="B548" s="401"/>
    </row>
    <row r="549">
      <c r="A549" s="322"/>
      <c r="B549" s="401"/>
    </row>
    <row r="550">
      <c r="A550" s="322"/>
      <c r="B550" s="401"/>
    </row>
    <row r="551">
      <c r="A551" s="322"/>
      <c r="B551" s="401"/>
    </row>
    <row r="552">
      <c r="A552" s="322"/>
      <c r="B552" s="401"/>
    </row>
    <row r="553">
      <c r="A553" s="322"/>
      <c r="B553" s="401"/>
    </row>
    <row r="554">
      <c r="A554" s="322"/>
      <c r="B554" s="401"/>
    </row>
    <row r="555">
      <c r="A555" s="322"/>
      <c r="B555" s="401"/>
    </row>
    <row r="556">
      <c r="A556" s="322"/>
      <c r="B556" s="401"/>
    </row>
    <row r="557">
      <c r="A557" s="322"/>
      <c r="B557" s="401"/>
    </row>
    <row r="558">
      <c r="A558" s="322"/>
      <c r="B558" s="401"/>
    </row>
    <row r="559">
      <c r="A559" s="322"/>
      <c r="B559" s="401"/>
    </row>
    <row r="560">
      <c r="A560" s="322"/>
      <c r="B560" s="401"/>
    </row>
    <row r="561">
      <c r="A561" s="322"/>
      <c r="B561" s="401"/>
    </row>
    <row r="562">
      <c r="A562" s="322"/>
      <c r="B562" s="401"/>
    </row>
    <row r="563">
      <c r="A563" s="322"/>
      <c r="B563" s="401"/>
    </row>
    <row r="564">
      <c r="A564" s="322"/>
      <c r="B564" s="401"/>
    </row>
    <row r="565">
      <c r="A565" s="322"/>
      <c r="B565" s="401"/>
    </row>
    <row r="566">
      <c r="A566" s="322"/>
      <c r="B566" s="401"/>
    </row>
    <row r="567">
      <c r="A567" s="322"/>
      <c r="B567" s="401"/>
    </row>
    <row r="568">
      <c r="A568" s="322"/>
      <c r="B568" s="401"/>
    </row>
    <row r="569">
      <c r="A569" s="322"/>
      <c r="B569" s="401"/>
    </row>
    <row r="570">
      <c r="A570" s="322"/>
      <c r="B570" s="401"/>
    </row>
    <row r="571">
      <c r="A571" s="322"/>
      <c r="B571" s="401"/>
    </row>
    <row r="572">
      <c r="A572" s="322"/>
      <c r="B572" s="401"/>
    </row>
    <row r="573">
      <c r="A573" s="322"/>
      <c r="B573" s="401"/>
    </row>
    <row r="574">
      <c r="A574" s="322"/>
      <c r="B574" s="401"/>
    </row>
    <row r="575">
      <c r="A575" s="322"/>
      <c r="B575" s="401"/>
    </row>
    <row r="576">
      <c r="A576" s="322"/>
      <c r="B576" s="401"/>
    </row>
    <row r="577">
      <c r="A577" s="322"/>
      <c r="B577" s="401"/>
    </row>
    <row r="578">
      <c r="A578" s="322"/>
      <c r="B578" s="401"/>
    </row>
    <row r="579">
      <c r="A579" s="322"/>
      <c r="B579" s="401"/>
    </row>
    <row r="580">
      <c r="A580" s="322"/>
      <c r="B580" s="401"/>
    </row>
    <row r="581">
      <c r="A581" s="322"/>
      <c r="B581" s="401"/>
    </row>
    <row r="582">
      <c r="A582" s="322"/>
      <c r="B582" s="401"/>
    </row>
    <row r="583">
      <c r="A583" s="322"/>
      <c r="B583" s="401"/>
    </row>
    <row r="584">
      <c r="A584" s="322"/>
      <c r="B584" s="401"/>
    </row>
    <row r="585">
      <c r="A585" s="322"/>
      <c r="B585" s="401"/>
    </row>
    <row r="586">
      <c r="A586" s="322"/>
      <c r="B586" s="401"/>
    </row>
    <row r="587">
      <c r="A587" s="322"/>
      <c r="B587" s="401"/>
    </row>
    <row r="588">
      <c r="A588" s="322"/>
      <c r="B588" s="401"/>
    </row>
    <row r="589">
      <c r="A589" s="322"/>
      <c r="B589" s="401"/>
    </row>
    <row r="590">
      <c r="A590" s="322"/>
      <c r="B590" s="401"/>
    </row>
    <row r="591">
      <c r="A591" s="322"/>
      <c r="B591" s="401"/>
    </row>
    <row r="592">
      <c r="A592" s="322"/>
      <c r="B592" s="401"/>
    </row>
    <row r="593">
      <c r="A593" s="322"/>
      <c r="B593" s="401"/>
    </row>
    <row r="594">
      <c r="A594" s="322"/>
      <c r="B594" s="401"/>
    </row>
    <row r="595">
      <c r="A595" s="322"/>
      <c r="B595" s="401"/>
    </row>
    <row r="596">
      <c r="A596" s="322"/>
      <c r="B596" s="401"/>
    </row>
    <row r="597">
      <c r="A597" s="322"/>
      <c r="B597" s="401"/>
    </row>
    <row r="598">
      <c r="A598" s="322"/>
      <c r="B598" s="401"/>
    </row>
    <row r="599">
      <c r="A599" s="322"/>
      <c r="B599" s="401"/>
    </row>
    <row r="600">
      <c r="A600" s="322"/>
      <c r="B600" s="401"/>
    </row>
    <row r="601">
      <c r="A601" s="322"/>
      <c r="B601" s="401"/>
    </row>
    <row r="602">
      <c r="A602" s="322"/>
      <c r="B602" s="401"/>
    </row>
    <row r="603">
      <c r="A603" s="322"/>
      <c r="B603" s="401"/>
    </row>
    <row r="604">
      <c r="A604" s="322"/>
      <c r="B604" s="401"/>
    </row>
    <row r="605">
      <c r="A605" s="322"/>
      <c r="B605" s="401"/>
    </row>
    <row r="606">
      <c r="A606" s="322"/>
      <c r="B606" s="401"/>
    </row>
    <row r="607">
      <c r="A607" s="322"/>
      <c r="B607" s="401"/>
    </row>
    <row r="608">
      <c r="A608" s="322"/>
      <c r="B608" s="401"/>
    </row>
    <row r="609">
      <c r="A609" s="322"/>
      <c r="B609" s="401"/>
    </row>
    <row r="610">
      <c r="A610" s="322"/>
      <c r="B610" s="401"/>
    </row>
    <row r="611">
      <c r="A611" s="322"/>
      <c r="B611" s="401"/>
    </row>
    <row r="612">
      <c r="A612" s="322"/>
      <c r="B612" s="401"/>
    </row>
    <row r="613">
      <c r="A613" s="322"/>
      <c r="B613" s="401"/>
    </row>
    <row r="614">
      <c r="A614" s="322"/>
      <c r="B614" s="401"/>
    </row>
    <row r="615">
      <c r="A615" s="322"/>
      <c r="B615" s="401"/>
    </row>
    <row r="616">
      <c r="A616" s="322"/>
      <c r="B616" s="401"/>
    </row>
    <row r="617">
      <c r="A617" s="322"/>
      <c r="B617" s="401"/>
    </row>
    <row r="618">
      <c r="A618" s="322"/>
      <c r="B618" s="401"/>
    </row>
    <row r="619">
      <c r="A619" s="322"/>
      <c r="B619" s="401"/>
    </row>
    <row r="620">
      <c r="A620" s="322"/>
      <c r="B620" s="401"/>
    </row>
    <row r="621">
      <c r="A621" s="322"/>
      <c r="B621" s="401"/>
    </row>
    <row r="622">
      <c r="A622" s="322"/>
      <c r="B622" s="401"/>
    </row>
    <row r="623">
      <c r="A623" s="322"/>
      <c r="B623" s="401"/>
    </row>
    <row r="624">
      <c r="A624" s="322"/>
      <c r="B624" s="401"/>
    </row>
    <row r="625">
      <c r="A625" s="322"/>
      <c r="B625" s="401"/>
    </row>
    <row r="626">
      <c r="A626" s="322"/>
      <c r="B626" s="401"/>
    </row>
    <row r="627">
      <c r="A627" s="322"/>
      <c r="B627" s="401"/>
    </row>
    <row r="628">
      <c r="A628" s="322"/>
      <c r="B628" s="401"/>
    </row>
    <row r="629">
      <c r="A629" s="322"/>
      <c r="B629" s="401"/>
    </row>
    <row r="630">
      <c r="A630" s="322"/>
      <c r="B630" s="401"/>
    </row>
    <row r="631">
      <c r="A631" s="322"/>
      <c r="B631" s="401"/>
    </row>
    <row r="632">
      <c r="A632" s="322"/>
      <c r="B632" s="401"/>
    </row>
    <row r="633">
      <c r="A633" s="322"/>
      <c r="B633" s="401"/>
    </row>
    <row r="634">
      <c r="A634" s="322"/>
      <c r="B634" s="401"/>
    </row>
    <row r="635">
      <c r="A635" s="322"/>
      <c r="B635" s="401"/>
    </row>
    <row r="636">
      <c r="A636" s="322"/>
      <c r="B636" s="401"/>
    </row>
    <row r="637">
      <c r="A637" s="322"/>
      <c r="B637" s="401"/>
    </row>
    <row r="638">
      <c r="A638" s="322"/>
      <c r="B638" s="401"/>
    </row>
    <row r="639">
      <c r="A639" s="322"/>
      <c r="B639" s="401"/>
    </row>
    <row r="640">
      <c r="A640" s="322"/>
      <c r="B640" s="401"/>
    </row>
    <row r="641">
      <c r="A641" s="322"/>
      <c r="B641" s="401"/>
    </row>
    <row r="642">
      <c r="A642" s="322"/>
      <c r="B642" s="401"/>
    </row>
    <row r="643">
      <c r="A643" s="322"/>
      <c r="B643" s="401"/>
    </row>
    <row r="644">
      <c r="A644" s="322"/>
      <c r="B644" s="401"/>
    </row>
    <row r="645">
      <c r="A645" s="322"/>
      <c r="B645" s="401"/>
    </row>
    <row r="646">
      <c r="A646" s="322"/>
      <c r="B646" s="401"/>
    </row>
    <row r="647">
      <c r="A647" s="322"/>
      <c r="B647" s="401"/>
    </row>
    <row r="648">
      <c r="A648" s="322"/>
      <c r="B648" s="401"/>
    </row>
    <row r="649">
      <c r="A649" s="322"/>
      <c r="B649" s="401"/>
    </row>
    <row r="650">
      <c r="A650" s="322"/>
      <c r="B650" s="401"/>
    </row>
    <row r="651">
      <c r="A651" s="322"/>
      <c r="B651" s="401"/>
    </row>
    <row r="652">
      <c r="A652" s="322"/>
      <c r="B652" s="401"/>
    </row>
    <row r="653">
      <c r="A653" s="322"/>
      <c r="B653" s="401"/>
    </row>
    <row r="654">
      <c r="A654" s="322"/>
      <c r="B654" s="401"/>
    </row>
    <row r="655">
      <c r="A655" s="322"/>
      <c r="B655" s="401"/>
    </row>
    <row r="656">
      <c r="A656" s="322"/>
      <c r="B656" s="401"/>
    </row>
    <row r="657">
      <c r="A657" s="322"/>
      <c r="B657" s="401"/>
    </row>
    <row r="658">
      <c r="A658" s="322"/>
      <c r="B658" s="401"/>
    </row>
    <row r="659">
      <c r="A659" s="322"/>
      <c r="B659" s="401"/>
    </row>
    <row r="660">
      <c r="A660" s="322"/>
      <c r="B660" s="401"/>
    </row>
    <row r="661">
      <c r="A661" s="322"/>
      <c r="B661" s="401"/>
    </row>
    <row r="662">
      <c r="A662" s="322"/>
      <c r="B662" s="401"/>
    </row>
    <row r="663">
      <c r="A663" s="322"/>
      <c r="B663" s="401"/>
    </row>
    <row r="664">
      <c r="A664" s="322"/>
      <c r="B664" s="401"/>
    </row>
    <row r="665">
      <c r="A665" s="322"/>
      <c r="B665" s="401"/>
    </row>
    <row r="666">
      <c r="A666" s="322"/>
      <c r="B666" s="401"/>
    </row>
    <row r="667">
      <c r="A667" s="322"/>
      <c r="B667" s="401"/>
    </row>
    <row r="668">
      <c r="A668" s="322"/>
      <c r="B668" s="401"/>
    </row>
    <row r="669">
      <c r="A669" s="322"/>
      <c r="B669" s="401"/>
    </row>
    <row r="670">
      <c r="A670" s="322"/>
      <c r="B670" s="401"/>
    </row>
    <row r="671">
      <c r="A671" s="322"/>
      <c r="B671" s="401"/>
    </row>
    <row r="672">
      <c r="A672" s="322"/>
      <c r="B672" s="401"/>
    </row>
    <row r="673">
      <c r="A673" s="322"/>
      <c r="B673" s="401"/>
    </row>
    <row r="674">
      <c r="A674" s="322"/>
      <c r="B674" s="401"/>
    </row>
    <row r="675">
      <c r="A675" s="322"/>
      <c r="B675" s="401"/>
    </row>
    <row r="676">
      <c r="A676" s="322"/>
      <c r="B676" s="401"/>
    </row>
    <row r="677">
      <c r="A677" s="322"/>
      <c r="B677" s="401"/>
    </row>
    <row r="678">
      <c r="A678" s="322"/>
      <c r="B678" s="401"/>
    </row>
    <row r="679">
      <c r="A679" s="322"/>
      <c r="B679" s="401"/>
    </row>
    <row r="680">
      <c r="A680" s="322"/>
      <c r="B680" s="401"/>
    </row>
    <row r="681">
      <c r="A681" s="322"/>
      <c r="B681" s="401"/>
    </row>
    <row r="682">
      <c r="A682" s="322"/>
      <c r="B682" s="401"/>
    </row>
    <row r="683">
      <c r="A683" s="322"/>
      <c r="B683" s="401"/>
    </row>
    <row r="684">
      <c r="A684" s="322"/>
      <c r="B684" s="401"/>
    </row>
    <row r="685">
      <c r="A685" s="322"/>
      <c r="B685" s="401"/>
    </row>
    <row r="686">
      <c r="A686" s="322"/>
      <c r="B686" s="401"/>
    </row>
    <row r="687">
      <c r="A687" s="322"/>
      <c r="B687" s="401"/>
    </row>
    <row r="688">
      <c r="A688" s="322"/>
      <c r="B688" s="401"/>
    </row>
    <row r="689">
      <c r="A689" s="322"/>
      <c r="B689" s="401"/>
    </row>
    <row r="690">
      <c r="A690" s="322"/>
      <c r="B690" s="401"/>
    </row>
    <row r="691">
      <c r="A691" s="322"/>
      <c r="B691" s="401"/>
    </row>
    <row r="692">
      <c r="A692" s="322"/>
      <c r="B692" s="401"/>
    </row>
    <row r="693">
      <c r="A693" s="322"/>
      <c r="B693" s="401"/>
    </row>
    <row r="694">
      <c r="A694" s="322"/>
      <c r="B694" s="401"/>
    </row>
    <row r="695">
      <c r="A695" s="322"/>
      <c r="B695" s="401"/>
    </row>
    <row r="696">
      <c r="A696" s="322"/>
      <c r="B696" s="401"/>
    </row>
    <row r="697">
      <c r="A697" s="322"/>
      <c r="B697" s="401"/>
    </row>
    <row r="698">
      <c r="A698" s="322"/>
      <c r="B698" s="401"/>
    </row>
    <row r="699">
      <c r="A699" s="322"/>
      <c r="B699" s="401"/>
    </row>
    <row r="700">
      <c r="A700" s="322"/>
      <c r="B700" s="401"/>
    </row>
    <row r="701">
      <c r="A701" s="322"/>
      <c r="B701" s="401"/>
    </row>
    <row r="702">
      <c r="A702" s="322"/>
      <c r="B702" s="401"/>
    </row>
    <row r="703">
      <c r="A703" s="322"/>
      <c r="B703" s="401"/>
    </row>
    <row r="704">
      <c r="A704" s="322"/>
      <c r="B704" s="401"/>
    </row>
    <row r="705">
      <c r="A705" s="322"/>
      <c r="B705" s="401"/>
    </row>
    <row r="706">
      <c r="A706" s="322"/>
      <c r="B706" s="401"/>
    </row>
    <row r="707">
      <c r="A707" s="322"/>
      <c r="B707" s="401"/>
    </row>
    <row r="708">
      <c r="A708" s="322"/>
      <c r="B708" s="401"/>
    </row>
    <row r="709">
      <c r="A709" s="322"/>
      <c r="B709" s="401"/>
    </row>
    <row r="710">
      <c r="A710" s="322"/>
      <c r="B710" s="401"/>
    </row>
    <row r="711">
      <c r="A711" s="322"/>
      <c r="B711" s="401"/>
    </row>
    <row r="712">
      <c r="A712" s="322"/>
      <c r="B712" s="401"/>
    </row>
    <row r="713">
      <c r="A713" s="322"/>
      <c r="B713" s="401"/>
    </row>
    <row r="714">
      <c r="A714" s="322"/>
      <c r="B714" s="401"/>
    </row>
    <row r="715">
      <c r="A715" s="322"/>
      <c r="B715" s="401"/>
    </row>
    <row r="716">
      <c r="A716" s="322"/>
      <c r="B716" s="401"/>
    </row>
    <row r="717">
      <c r="A717" s="322"/>
      <c r="B717" s="401"/>
    </row>
    <row r="718">
      <c r="A718" s="322"/>
      <c r="B718" s="401"/>
    </row>
    <row r="719">
      <c r="A719" s="322"/>
      <c r="B719" s="401"/>
    </row>
    <row r="720">
      <c r="A720" s="322"/>
      <c r="B720" s="401"/>
    </row>
    <row r="721">
      <c r="A721" s="322"/>
      <c r="B721" s="401"/>
    </row>
    <row r="722">
      <c r="A722" s="322"/>
      <c r="B722" s="401"/>
    </row>
    <row r="723">
      <c r="A723" s="322"/>
      <c r="B723" s="401"/>
    </row>
    <row r="724">
      <c r="A724" s="322"/>
      <c r="B724" s="401"/>
    </row>
    <row r="725">
      <c r="A725" s="322"/>
      <c r="B725" s="401"/>
    </row>
    <row r="726">
      <c r="A726" s="322"/>
      <c r="B726" s="401"/>
    </row>
    <row r="727">
      <c r="A727" s="322"/>
      <c r="B727" s="401"/>
    </row>
    <row r="728">
      <c r="A728" s="322"/>
      <c r="B728" s="401"/>
    </row>
    <row r="729">
      <c r="A729" s="322"/>
      <c r="B729" s="401"/>
    </row>
    <row r="730">
      <c r="A730" s="322"/>
      <c r="B730" s="401"/>
    </row>
    <row r="731">
      <c r="A731" s="322"/>
      <c r="B731" s="401"/>
    </row>
    <row r="732">
      <c r="A732" s="322"/>
      <c r="B732" s="401"/>
    </row>
    <row r="733">
      <c r="A733" s="322"/>
      <c r="B733" s="401"/>
    </row>
    <row r="734">
      <c r="A734" s="322"/>
      <c r="B734" s="401"/>
    </row>
    <row r="735">
      <c r="A735" s="322"/>
      <c r="B735" s="401"/>
    </row>
    <row r="736">
      <c r="A736" s="322"/>
      <c r="B736" s="401"/>
    </row>
    <row r="737">
      <c r="A737" s="322"/>
      <c r="B737" s="401"/>
    </row>
    <row r="738">
      <c r="A738" s="322"/>
      <c r="B738" s="401"/>
    </row>
    <row r="739">
      <c r="A739" s="322"/>
      <c r="B739" s="401"/>
    </row>
    <row r="740">
      <c r="A740" s="322"/>
      <c r="B740" s="401"/>
    </row>
    <row r="741">
      <c r="A741" s="322"/>
      <c r="B741" s="401"/>
    </row>
    <row r="742">
      <c r="A742" s="322"/>
      <c r="B742" s="401"/>
    </row>
    <row r="743">
      <c r="A743" s="322"/>
      <c r="B743" s="401"/>
    </row>
    <row r="744">
      <c r="A744" s="322"/>
      <c r="B744" s="401"/>
    </row>
    <row r="745">
      <c r="A745" s="322"/>
      <c r="B745" s="401"/>
    </row>
    <row r="746">
      <c r="A746" s="322"/>
      <c r="B746" s="401"/>
    </row>
    <row r="747">
      <c r="A747" s="322"/>
      <c r="B747" s="401"/>
    </row>
    <row r="748">
      <c r="A748" s="322"/>
      <c r="B748" s="401"/>
    </row>
    <row r="749">
      <c r="A749" s="322"/>
      <c r="B749" s="401"/>
    </row>
    <row r="750">
      <c r="A750" s="322"/>
      <c r="B750" s="401"/>
    </row>
    <row r="751">
      <c r="A751" s="322"/>
      <c r="B751" s="401"/>
    </row>
    <row r="752">
      <c r="A752" s="322"/>
      <c r="B752" s="401"/>
    </row>
    <row r="753">
      <c r="A753" s="322"/>
      <c r="B753" s="401"/>
    </row>
    <row r="754">
      <c r="A754" s="322"/>
      <c r="B754" s="401"/>
    </row>
    <row r="755">
      <c r="A755" s="322"/>
      <c r="B755" s="401"/>
    </row>
    <row r="756">
      <c r="A756" s="322"/>
      <c r="B756" s="401"/>
    </row>
    <row r="757">
      <c r="A757" s="322"/>
      <c r="B757" s="401"/>
    </row>
    <row r="758">
      <c r="A758" s="322"/>
      <c r="B758" s="401"/>
    </row>
    <row r="759">
      <c r="A759" s="322"/>
      <c r="B759" s="401"/>
    </row>
    <row r="760">
      <c r="A760" s="322"/>
      <c r="B760" s="401"/>
    </row>
    <row r="761">
      <c r="A761" s="322"/>
      <c r="B761" s="401"/>
    </row>
    <row r="762">
      <c r="A762" s="322"/>
      <c r="B762" s="401"/>
    </row>
    <row r="763">
      <c r="A763" s="322"/>
      <c r="B763" s="401"/>
    </row>
    <row r="764">
      <c r="A764" s="322"/>
      <c r="B764" s="401"/>
    </row>
    <row r="765">
      <c r="A765" s="322"/>
      <c r="B765" s="401"/>
    </row>
    <row r="766">
      <c r="A766" s="322"/>
      <c r="B766" s="401"/>
    </row>
    <row r="767">
      <c r="A767" s="322"/>
      <c r="B767" s="401"/>
    </row>
    <row r="768">
      <c r="A768" s="322"/>
      <c r="B768" s="401"/>
    </row>
    <row r="769">
      <c r="A769" s="322"/>
      <c r="B769" s="401"/>
    </row>
    <row r="770">
      <c r="A770" s="322"/>
      <c r="B770" s="401"/>
    </row>
    <row r="771">
      <c r="A771" s="322"/>
      <c r="B771" s="401"/>
    </row>
    <row r="772">
      <c r="A772" s="322"/>
      <c r="B772" s="401"/>
    </row>
    <row r="773">
      <c r="A773" s="322"/>
      <c r="B773" s="401"/>
    </row>
    <row r="774">
      <c r="A774" s="322"/>
      <c r="B774" s="401"/>
    </row>
    <row r="775">
      <c r="A775" s="322"/>
      <c r="B775" s="401"/>
    </row>
    <row r="776">
      <c r="A776" s="322"/>
      <c r="B776" s="401"/>
    </row>
    <row r="777">
      <c r="A777" s="322"/>
      <c r="B777" s="401"/>
    </row>
    <row r="778">
      <c r="A778" s="322"/>
      <c r="B778" s="401"/>
    </row>
    <row r="779">
      <c r="A779" s="322"/>
      <c r="B779" s="401"/>
    </row>
    <row r="780">
      <c r="A780" s="322"/>
      <c r="B780" s="401"/>
    </row>
    <row r="781">
      <c r="A781" s="322"/>
      <c r="B781" s="401"/>
    </row>
    <row r="782">
      <c r="A782" s="322"/>
      <c r="B782" s="401"/>
    </row>
    <row r="783">
      <c r="A783" s="322"/>
      <c r="B783" s="401"/>
    </row>
    <row r="784">
      <c r="A784" s="322"/>
      <c r="B784" s="401"/>
    </row>
    <row r="785">
      <c r="A785" s="322"/>
      <c r="B785" s="401"/>
    </row>
    <row r="786">
      <c r="A786" s="322"/>
      <c r="B786" s="401"/>
    </row>
    <row r="787">
      <c r="A787" s="322"/>
      <c r="B787" s="401"/>
    </row>
    <row r="788">
      <c r="A788" s="322"/>
      <c r="B788" s="401"/>
    </row>
    <row r="789">
      <c r="A789" s="322"/>
      <c r="B789" s="401"/>
    </row>
    <row r="790">
      <c r="A790" s="322"/>
      <c r="B790" s="401"/>
    </row>
    <row r="791">
      <c r="A791" s="322"/>
      <c r="B791" s="401"/>
    </row>
    <row r="792">
      <c r="A792" s="322"/>
      <c r="B792" s="401"/>
    </row>
    <row r="793">
      <c r="A793" s="322"/>
      <c r="B793" s="401"/>
    </row>
    <row r="794">
      <c r="A794" s="322"/>
      <c r="B794" s="401"/>
    </row>
    <row r="795">
      <c r="A795" s="322"/>
      <c r="B795" s="401"/>
    </row>
    <row r="796">
      <c r="A796" s="322"/>
      <c r="B796" s="401"/>
    </row>
    <row r="797">
      <c r="A797" s="322"/>
      <c r="B797" s="401"/>
    </row>
    <row r="798">
      <c r="A798" s="322"/>
      <c r="B798" s="401"/>
    </row>
    <row r="799">
      <c r="A799" s="322"/>
      <c r="B799" s="401"/>
    </row>
    <row r="800">
      <c r="A800" s="322"/>
      <c r="B800" s="401"/>
    </row>
    <row r="801">
      <c r="A801" s="322"/>
      <c r="B801" s="401"/>
    </row>
    <row r="802">
      <c r="A802" s="322"/>
      <c r="B802" s="401"/>
    </row>
    <row r="803">
      <c r="A803" s="322"/>
      <c r="B803" s="401"/>
    </row>
    <row r="804">
      <c r="A804" s="322"/>
      <c r="B804" s="401"/>
    </row>
    <row r="805">
      <c r="A805" s="322"/>
      <c r="B805" s="401"/>
    </row>
    <row r="806">
      <c r="A806" s="322"/>
      <c r="B806" s="401"/>
    </row>
    <row r="807">
      <c r="A807" s="322"/>
      <c r="B807" s="401"/>
    </row>
    <row r="808">
      <c r="A808" s="322"/>
      <c r="B808" s="401"/>
    </row>
    <row r="809">
      <c r="A809" s="322"/>
      <c r="B809" s="401"/>
    </row>
    <row r="810">
      <c r="A810" s="322"/>
      <c r="B810" s="401"/>
    </row>
    <row r="811">
      <c r="A811" s="322"/>
      <c r="B811" s="401"/>
    </row>
    <row r="812">
      <c r="A812" s="322"/>
      <c r="B812" s="401"/>
    </row>
    <row r="813">
      <c r="A813" s="322"/>
      <c r="B813" s="401"/>
    </row>
    <row r="814">
      <c r="A814" s="322"/>
      <c r="B814" s="401"/>
    </row>
    <row r="815">
      <c r="A815" s="322"/>
      <c r="B815" s="401"/>
    </row>
    <row r="816">
      <c r="A816" s="322"/>
      <c r="B816" s="401"/>
    </row>
    <row r="817">
      <c r="A817" s="322"/>
      <c r="B817" s="401"/>
    </row>
    <row r="818">
      <c r="A818" s="322"/>
      <c r="B818" s="401"/>
    </row>
    <row r="819">
      <c r="A819" s="322"/>
      <c r="B819" s="401"/>
    </row>
    <row r="820">
      <c r="A820" s="322"/>
      <c r="B820" s="401"/>
    </row>
    <row r="821">
      <c r="A821" s="322"/>
      <c r="B821" s="401"/>
    </row>
    <row r="822">
      <c r="A822" s="322"/>
      <c r="B822" s="401"/>
    </row>
    <row r="823">
      <c r="A823" s="322"/>
      <c r="B823" s="401"/>
    </row>
    <row r="824">
      <c r="A824" s="322"/>
      <c r="B824" s="401"/>
    </row>
    <row r="825">
      <c r="A825" s="322"/>
      <c r="B825" s="401"/>
    </row>
    <row r="826">
      <c r="A826" s="322"/>
      <c r="B826" s="401"/>
    </row>
    <row r="827">
      <c r="A827" s="322"/>
      <c r="B827" s="401"/>
    </row>
    <row r="828">
      <c r="A828" s="322"/>
      <c r="B828" s="401"/>
    </row>
    <row r="829">
      <c r="A829" s="322"/>
      <c r="B829" s="401"/>
    </row>
    <row r="830">
      <c r="A830" s="322"/>
      <c r="B830" s="401"/>
    </row>
    <row r="831">
      <c r="A831" s="322"/>
      <c r="B831" s="401"/>
    </row>
    <row r="832">
      <c r="A832" s="322"/>
      <c r="B832" s="401"/>
    </row>
    <row r="833">
      <c r="A833" s="322"/>
      <c r="B833" s="401"/>
    </row>
    <row r="834">
      <c r="A834" s="322"/>
      <c r="B834" s="401"/>
    </row>
    <row r="835">
      <c r="A835" s="322"/>
      <c r="B835" s="401"/>
    </row>
    <row r="836">
      <c r="A836" s="322"/>
      <c r="B836" s="401"/>
    </row>
    <row r="837">
      <c r="A837" s="322"/>
      <c r="B837" s="401"/>
    </row>
    <row r="838">
      <c r="A838" s="322"/>
      <c r="B838" s="401"/>
    </row>
    <row r="839">
      <c r="A839" s="322"/>
      <c r="B839" s="401"/>
    </row>
    <row r="840">
      <c r="A840" s="322"/>
      <c r="B840" s="401"/>
    </row>
    <row r="841">
      <c r="A841" s="322"/>
      <c r="B841" s="401"/>
    </row>
    <row r="842">
      <c r="A842" s="322"/>
      <c r="B842" s="401"/>
    </row>
    <row r="843">
      <c r="A843" s="322"/>
      <c r="B843" s="401"/>
    </row>
    <row r="844">
      <c r="A844" s="322"/>
      <c r="B844" s="401"/>
    </row>
    <row r="845">
      <c r="A845" s="322"/>
      <c r="B845" s="401"/>
    </row>
    <row r="846">
      <c r="A846" s="322"/>
      <c r="B846" s="401"/>
    </row>
    <row r="847">
      <c r="A847" s="322"/>
      <c r="B847" s="401"/>
    </row>
    <row r="848">
      <c r="A848" s="322"/>
      <c r="B848" s="401"/>
    </row>
    <row r="849">
      <c r="A849" s="322"/>
      <c r="B849" s="401"/>
    </row>
    <row r="850">
      <c r="A850" s="322"/>
      <c r="B850" s="401"/>
    </row>
    <row r="851">
      <c r="A851" s="322"/>
      <c r="B851" s="401"/>
    </row>
    <row r="852">
      <c r="A852" s="322"/>
      <c r="B852" s="401"/>
    </row>
    <row r="853">
      <c r="A853" s="322"/>
      <c r="B853" s="401"/>
    </row>
    <row r="854">
      <c r="A854" s="322"/>
      <c r="B854" s="401"/>
    </row>
    <row r="855">
      <c r="A855" s="322"/>
      <c r="B855" s="401"/>
    </row>
    <row r="856">
      <c r="A856" s="322"/>
      <c r="B856" s="401"/>
    </row>
    <row r="857">
      <c r="A857" s="322"/>
      <c r="B857" s="401"/>
    </row>
    <row r="858">
      <c r="A858" s="322"/>
      <c r="B858" s="401"/>
    </row>
    <row r="859">
      <c r="A859" s="322"/>
      <c r="B859" s="401"/>
    </row>
    <row r="860">
      <c r="A860" s="322"/>
      <c r="B860" s="401"/>
    </row>
    <row r="861">
      <c r="A861" s="322"/>
      <c r="B861" s="401"/>
    </row>
    <row r="862">
      <c r="A862" s="322"/>
      <c r="B862" s="401"/>
    </row>
    <row r="863">
      <c r="A863" s="322"/>
      <c r="B863" s="401"/>
    </row>
    <row r="864">
      <c r="A864" s="322"/>
      <c r="B864" s="401"/>
    </row>
    <row r="865">
      <c r="A865" s="322"/>
      <c r="B865" s="401"/>
    </row>
    <row r="866">
      <c r="A866" s="322"/>
      <c r="B866" s="401"/>
    </row>
    <row r="867">
      <c r="A867" s="322"/>
      <c r="B867" s="401"/>
    </row>
    <row r="868">
      <c r="A868" s="322"/>
      <c r="B868" s="401"/>
    </row>
    <row r="869">
      <c r="A869" s="322"/>
      <c r="B869" s="401"/>
    </row>
    <row r="870">
      <c r="A870" s="322"/>
      <c r="B870" s="401"/>
    </row>
    <row r="871">
      <c r="A871" s="322"/>
      <c r="B871" s="401"/>
    </row>
    <row r="872">
      <c r="A872" s="322"/>
      <c r="B872" s="401"/>
    </row>
    <row r="873">
      <c r="A873" s="322"/>
      <c r="B873" s="401"/>
    </row>
    <row r="874">
      <c r="A874" s="322"/>
      <c r="B874" s="401"/>
    </row>
    <row r="875">
      <c r="A875" s="322"/>
      <c r="B875" s="401"/>
    </row>
    <row r="876">
      <c r="A876" s="322"/>
      <c r="B876" s="401"/>
    </row>
    <row r="877">
      <c r="A877" s="322"/>
      <c r="B877" s="401"/>
    </row>
    <row r="878">
      <c r="A878" s="322"/>
      <c r="B878" s="401"/>
    </row>
    <row r="879">
      <c r="A879" s="322"/>
      <c r="B879" s="401"/>
    </row>
    <row r="880">
      <c r="A880" s="322"/>
      <c r="B880" s="401"/>
    </row>
    <row r="881">
      <c r="A881" s="322"/>
      <c r="B881" s="401"/>
    </row>
    <row r="882">
      <c r="A882" s="322"/>
      <c r="B882" s="401"/>
    </row>
    <row r="883">
      <c r="A883" s="322"/>
      <c r="B883" s="401"/>
    </row>
    <row r="884">
      <c r="A884" s="322"/>
      <c r="B884" s="401"/>
    </row>
    <row r="885">
      <c r="A885" s="322"/>
      <c r="B885" s="401"/>
    </row>
    <row r="886">
      <c r="A886" s="322"/>
      <c r="B886" s="401"/>
    </row>
    <row r="887">
      <c r="A887" s="322"/>
      <c r="B887" s="401"/>
    </row>
    <row r="888">
      <c r="A888" s="322"/>
      <c r="B888" s="401"/>
    </row>
    <row r="889">
      <c r="A889" s="322"/>
      <c r="B889" s="401"/>
    </row>
    <row r="890">
      <c r="A890" s="322"/>
      <c r="B890" s="401"/>
    </row>
    <row r="891">
      <c r="A891" s="322"/>
      <c r="B891" s="401"/>
    </row>
    <row r="892">
      <c r="A892" s="322"/>
      <c r="B892" s="401"/>
    </row>
    <row r="893">
      <c r="A893" s="322"/>
      <c r="B893" s="401"/>
    </row>
    <row r="894">
      <c r="A894" s="322"/>
      <c r="B894" s="401"/>
    </row>
    <row r="895">
      <c r="A895" s="322"/>
      <c r="B895" s="401"/>
    </row>
    <row r="896">
      <c r="A896" s="322"/>
      <c r="B896" s="401"/>
    </row>
    <row r="897">
      <c r="A897" s="322"/>
      <c r="B897" s="401"/>
    </row>
    <row r="898">
      <c r="A898" s="322"/>
      <c r="B898" s="401"/>
    </row>
    <row r="899">
      <c r="A899" s="322"/>
      <c r="B899" s="401"/>
    </row>
    <row r="900">
      <c r="A900" s="322"/>
      <c r="B900" s="401"/>
    </row>
    <row r="901">
      <c r="A901" s="322"/>
      <c r="B901" s="401"/>
    </row>
    <row r="902">
      <c r="A902" s="322"/>
      <c r="B902" s="401"/>
    </row>
    <row r="903">
      <c r="A903" s="322"/>
      <c r="B903" s="401"/>
    </row>
    <row r="904">
      <c r="A904" s="322"/>
      <c r="B904" s="401"/>
    </row>
    <row r="905">
      <c r="A905" s="322"/>
      <c r="B905" s="401"/>
    </row>
    <row r="906">
      <c r="A906" s="322"/>
      <c r="B906" s="401"/>
    </row>
    <row r="907">
      <c r="A907" s="322"/>
      <c r="B907" s="401"/>
    </row>
    <row r="908">
      <c r="A908" s="322"/>
      <c r="B908" s="401"/>
    </row>
    <row r="909">
      <c r="A909" s="322"/>
      <c r="B909" s="401"/>
    </row>
    <row r="910">
      <c r="A910" s="322"/>
      <c r="B910" s="401"/>
    </row>
    <row r="911">
      <c r="A911" s="322"/>
      <c r="B911" s="401"/>
    </row>
    <row r="912">
      <c r="A912" s="322"/>
      <c r="B912" s="401"/>
    </row>
    <row r="913">
      <c r="A913" s="322"/>
      <c r="B913" s="401"/>
    </row>
    <row r="914">
      <c r="A914" s="322"/>
      <c r="B914" s="401"/>
    </row>
    <row r="915">
      <c r="A915" s="322"/>
      <c r="B915" s="401"/>
    </row>
    <row r="916">
      <c r="A916" s="322"/>
      <c r="B916" s="401"/>
    </row>
    <row r="917">
      <c r="A917" s="322"/>
      <c r="B917" s="401"/>
    </row>
    <row r="918">
      <c r="A918" s="322"/>
      <c r="B918" s="401"/>
    </row>
    <row r="919">
      <c r="A919" s="322"/>
      <c r="B919" s="401"/>
    </row>
    <row r="920">
      <c r="A920" s="322"/>
      <c r="B920" s="401"/>
    </row>
    <row r="921">
      <c r="A921" s="322"/>
      <c r="B921" s="401"/>
    </row>
    <row r="922">
      <c r="A922" s="322"/>
      <c r="B922" s="401"/>
    </row>
    <row r="923">
      <c r="A923" s="322"/>
      <c r="B923" s="401"/>
    </row>
    <row r="924">
      <c r="A924" s="322"/>
      <c r="B924" s="401"/>
    </row>
    <row r="925">
      <c r="A925" s="322"/>
      <c r="B925" s="401"/>
    </row>
    <row r="926">
      <c r="A926" s="322"/>
      <c r="B926" s="401"/>
    </row>
    <row r="927">
      <c r="A927" s="322"/>
      <c r="B927" s="401"/>
    </row>
    <row r="928">
      <c r="A928" s="322"/>
      <c r="B928" s="401"/>
    </row>
    <row r="929">
      <c r="A929" s="322"/>
      <c r="B929" s="401"/>
    </row>
    <row r="930">
      <c r="A930" s="322"/>
      <c r="B930" s="401"/>
    </row>
    <row r="931">
      <c r="A931" s="322"/>
      <c r="B931" s="401"/>
    </row>
    <row r="932">
      <c r="A932" s="322"/>
      <c r="B932" s="401"/>
    </row>
    <row r="933">
      <c r="A933" s="322"/>
      <c r="B933" s="401"/>
    </row>
    <row r="934">
      <c r="A934" s="322"/>
      <c r="B934" s="401"/>
    </row>
    <row r="935">
      <c r="A935" s="322"/>
      <c r="B935" s="401"/>
    </row>
    <row r="936">
      <c r="A936" s="322"/>
      <c r="B936" s="401"/>
    </row>
    <row r="937">
      <c r="A937" s="322"/>
      <c r="B937" s="401"/>
    </row>
    <row r="938">
      <c r="A938" s="322"/>
      <c r="B938" s="401"/>
    </row>
    <row r="939">
      <c r="A939" s="322"/>
      <c r="B939" s="401"/>
    </row>
    <row r="940">
      <c r="A940" s="322"/>
      <c r="B940" s="401"/>
    </row>
    <row r="941">
      <c r="A941" s="322"/>
      <c r="B941" s="401"/>
    </row>
    <row r="942">
      <c r="A942" s="322"/>
      <c r="B942" s="401"/>
    </row>
    <row r="943">
      <c r="A943" s="322"/>
      <c r="B943" s="401"/>
    </row>
    <row r="944">
      <c r="A944" s="322"/>
      <c r="B944" s="401"/>
    </row>
    <row r="945">
      <c r="A945" s="322"/>
      <c r="B945" s="401"/>
    </row>
    <row r="946">
      <c r="A946" s="322"/>
      <c r="B946" s="401"/>
    </row>
    <row r="947">
      <c r="A947" s="322"/>
      <c r="B947" s="401"/>
    </row>
    <row r="948">
      <c r="A948" s="322"/>
      <c r="B948" s="401"/>
    </row>
    <row r="949">
      <c r="A949" s="322"/>
      <c r="B949" s="401"/>
    </row>
    <row r="950">
      <c r="A950" s="322"/>
      <c r="B950" s="401"/>
    </row>
    <row r="951">
      <c r="A951" s="322"/>
      <c r="B951" s="401"/>
    </row>
    <row r="952">
      <c r="A952" s="322"/>
      <c r="B952" s="401"/>
    </row>
    <row r="953">
      <c r="A953" s="322"/>
      <c r="B953" s="401"/>
    </row>
    <row r="954">
      <c r="A954" s="322"/>
      <c r="B954" s="401"/>
    </row>
    <row r="955">
      <c r="A955" s="322"/>
      <c r="B955" s="401"/>
    </row>
    <row r="956">
      <c r="A956" s="322"/>
      <c r="B956" s="401"/>
    </row>
    <row r="957">
      <c r="A957" s="322"/>
      <c r="B957" s="401"/>
    </row>
    <row r="958">
      <c r="A958" s="322"/>
      <c r="B958" s="401"/>
    </row>
    <row r="959">
      <c r="A959" s="322"/>
      <c r="B959" s="401"/>
    </row>
    <row r="960">
      <c r="A960" s="322"/>
      <c r="B960" s="401"/>
    </row>
    <row r="961">
      <c r="A961" s="322"/>
      <c r="B961" s="401"/>
    </row>
    <row r="962">
      <c r="A962" s="322"/>
      <c r="B962" s="401"/>
    </row>
    <row r="963">
      <c r="A963" s="322"/>
      <c r="B963" s="401"/>
    </row>
    <row r="964">
      <c r="A964" s="322"/>
      <c r="B964" s="401"/>
    </row>
    <row r="965">
      <c r="A965" s="322"/>
      <c r="B965" s="401"/>
    </row>
    <row r="966">
      <c r="A966" s="322"/>
      <c r="B966" s="401"/>
    </row>
    <row r="967">
      <c r="A967" s="322"/>
      <c r="B967" s="401"/>
    </row>
    <row r="968">
      <c r="A968" s="322"/>
      <c r="B968" s="401"/>
    </row>
    <row r="969">
      <c r="A969" s="322"/>
      <c r="B969" s="401"/>
    </row>
    <row r="970">
      <c r="A970" s="322"/>
      <c r="B970" s="401"/>
    </row>
    <row r="971">
      <c r="A971" s="322"/>
      <c r="B971" s="401"/>
    </row>
    <row r="972">
      <c r="A972" s="322"/>
      <c r="B972" s="401"/>
    </row>
    <row r="973">
      <c r="A973" s="322"/>
      <c r="B973" s="401"/>
    </row>
    <row r="974">
      <c r="A974" s="322"/>
      <c r="B974" s="401"/>
    </row>
    <row r="975">
      <c r="A975" s="322"/>
      <c r="B975" s="401"/>
    </row>
    <row r="976">
      <c r="A976" s="322"/>
      <c r="B976" s="401"/>
    </row>
    <row r="977">
      <c r="A977" s="322"/>
      <c r="B977" s="401"/>
    </row>
    <row r="978">
      <c r="A978" s="322"/>
      <c r="B978" s="401"/>
    </row>
    <row r="979">
      <c r="A979" s="322"/>
      <c r="B979" s="401"/>
    </row>
    <row r="980">
      <c r="A980" s="322"/>
      <c r="B980" s="401"/>
    </row>
    <row r="981">
      <c r="A981" s="322"/>
      <c r="B981" s="401"/>
    </row>
    <row r="982">
      <c r="A982" s="322"/>
      <c r="B982" s="401"/>
    </row>
    <row r="983">
      <c r="A983" s="322"/>
      <c r="B983" s="401"/>
    </row>
    <row r="984">
      <c r="A984" s="322"/>
      <c r="B984" s="401"/>
    </row>
    <row r="985">
      <c r="A985" s="322"/>
      <c r="B985" s="401"/>
    </row>
    <row r="986">
      <c r="A986" s="322"/>
      <c r="B986" s="401"/>
    </row>
    <row r="987">
      <c r="A987" s="322"/>
      <c r="B987" s="401"/>
    </row>
    <row r="988">
      <c r="A988" s="322"/>
      <c r="B988" s="401"/>
    </row>
    <row r="989">
      <c r="A989" s="322"/>
      <c r="B989" s="401"/>
    </row>
    <row r="990">
      <c r="A990" s="322"/>
      <c r="B990" s="401"/>
    </row>
    <row r="991">
      <c r="A991" s="322"/>
      <c r="B991" s="401"/>
    </row>
    <row r="992">
      <c r="A992" s="322"/>
      <c r="B992" s="401"/>
    </row>
    <row r="993">
      <c r="A993" s="322"/>
      <c r="B993" s="401"/>
    </row>
    <row r="994">
      <c r="A994" s="322"/>
      <c r="B994" s="401"/>
    </row>
    <row r="995">
      <c r="A995" s="322"/>
      <c r="B995" s="401"/>
    </row>
    <row r="996">
      <c r="A996" s="322"/>
      <c r="B996" s="401"/>
    </row>
    <row r="997">
      <c r="A997" s="322"/>
      <c r="B997" s="401"/>
    </row>
    <row r="998">
      <c r="A998" s="322"/>
      <c r="B998" s="401"/>
    </row>
    <row r="999">
      <c r="A999" s="322"/>
      <c r="B999" s="401"/>
    </row>
    <row r="1000">
      <c r="A1000" s="322"/>
      <c r="B1000" s="401"/>
    </row>
    <row r="1001">
      <c r="A1001" s="322"/>
      <c r="B1001" s="401"/>
    </row>
    <row r="1002">
      <c r="A1002" s="322"/>
      <c r="B1002" s="401"/>
    </row>
    <row r="1003">
      <c r="A1003" s="322"/>
      <c r="B1003" s="401"/>
    </row>
    <row r="1004">
      <c r="A1004" s="322"/>
      <c r="B1004" s="401"/>
    </row>
    <row r="1005">
      <c r="A1005" s="322"/>
      <c r="B1005" s="401"/>
    </row>
    <row r="1006">
      <c r="A1006" s="322"/>
      <c r="B1006" s="401"/>
    </row>
    <row r="1007">
      <c r="A1007" s="322"/>
      <c r="B1007" s="401"/>
    </row>
    <row r="1008">
      <c r="A1008" s="322"/>
      <c r="B1008" s="401"/>
    </row>
  </sheetData>
  <autoFilter ref="$A$2:$Y$90">
    <sortState ref="A2:Y90">
      <sortCondition descending="1" ref="B2:B90"/>
    </sortState>
  </autoFilter>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3"/>
      <c r="B1" s="359"/>
      <c r="C1" s="360"/>
      <c r="D1" s="136"/>
      <c r="E1" s="323"/>
      <c r="F1" s="366"/>
      <c r="G1" s="405" t="s">
        <v>416</v>
      </c>
      <c r="H1" s="139">
        <v>150.0</v>
      </c>
      <c r="I1" s="139">
        <v>160.0</v>
      </c>
      <c r="J1" s="140">
        <f>AVERAGE(H1:I1)</f>
        <v>155</v>
      </c>
      <c r="K1" s="406" t="s">
        <v>416</v>
      </c>
      <c r="L1" s="376"/>
      <c r="M1" s="133"/>
      <c r="N1" s="145"/>
      <c r="O1" s="145"/>
      <c r="P1" s="145"/>
      <c r="Q1" s="145"/>
      <c r="R1" s="145"/>
      <c r="S1" s="145"/>
      <c r="T1" s="145"/>
      <c r="U1" s="145"/>
      <c r="V1" s="145"/>
    </row>
    <row r="2">
      <c r="A2" s="146"/>
      <c r="B2" s="134" t="s">
        <v>2487</v>
      </c>
      <c r="C2" s="234" t="s">
        <v>421</v>
      </c>
      <c r="D2" s="148"/>
      <c r="E2" s="323"/>
      <c r="F2" s="366"/>
      <c r="G2" s="407" t="s">
        <v>422</v>
      </c>
      <c r="H2" s="139">
        <f t="shared" ref="H2:I2" si="1">sum(H4:H382)</f>
        <v>3161</v>
      </c>
      <c r="I2" s="139">
        <f t="shared" si="1"/>
        <v>3470</v>
      </c>
      <c r="J2" s="408">
        <f>sum(J4:J432)</f>
        <v>1</v>
      </c>
      <c r="K2" s="378">
        <f>sum(K4:K1195)</f>
        <v>155</v>
      </c>
      <c r="L2" s="379" t="s">
        <v>416</v>
      </c>
      <c r="M2" s="146"/>
      <c r="N2" s="153" t="s">
        <v>423</v>
      </c>
      <c r="O2" s="145"/>
      <c r="P2" s="145"/>
      <c r="Q2" s="145"/>
      <c r="R2" s="145"/>
      <c r="S2" s="145"/>
      <c r="T2" s="145"/>
      <c r="U2" s="145"/>
      <c r="V2" s="145"/>
    </row>
    <row r="3">
      <c r="A3" s="381" t="s">
        <v>424</v>
      </c>
      <c r="B3" s="381" t="s">
        <v>425</v>
      </c>
      <c r="C3" s="235" t="s">
        <v>426</v>
      </c>
      <c r="D3" s="382"/>
      <c r="E3" s="383" t="s">
        <v>427</v>
      </c>
      <c r="F3" s="384" t="s">
        <v>428</v>
      </c>
      <c r="G3" s="409" t="s">
        <v>3559</v>
      </c>
      <c r="H3" s="410" t="s">
        <v>1926</v>
      </c>
      <c r="I3" s="409" t="s">
        <v>3560</v>
      </c>
      <c r="J3" s="387" t="s">
        <v>432</v>
      </c>
      <c r="K3" s="388" t="s">
        <v>3336</v>
      </c>
      <c r="L3" s="389" t="s">
        <v>3337</v>
      </c>
      <c r="M3" s="381" t="s">
        <v>424</v>
      </c>
      <c r="N3" s="390" t="s">
        <v>3561</v>
      </c>
      <c r="O3" s="387"/>
    </row>
    <row r="4">
      <c r="A4" s="226" t="s">
        <v>9</v>
      </c>
      <c r="B4" s="226" t="s">
        <v>519</v>
      </c>
      <c r="C4" s="250" t="s">
        <v>3945</v>
      </c>
      <c r="D4" s="268" t="s">
        <v>495</v>
      </c>
      <c r="E4" s="417">
        <v>44099.0</v>
      </c>
      <c r="F4" s="250" t="s">
        <v>496</v>
      </c>
      <c r="G4" s="403">
        <v>1.0</v>
      </c>
      <c r="H4" s="403">
        <v>100.0</v>
      </c>
      <c r="I4" s="403">
        <v>100.0</v>
      </c>
      <c r="J4" s="391">
        <f t="shared" ref="J4:J127" si="2">(H4/$H$2+I4/$I$2)/2</f>
        <v>0.03022700109</v>
      </c>
      <c r="K4" s="392">
        <f t="shared" ref="K4:K127" si="3">J4*$J$1</f>
        <v>4.685185168</v>
      </c>
      <c r="L4" s="327">
        <f t="shared" ref="L4:L127" si="4">dsum($A$3:$K$161,"Cred per Praise",{$A$3;A4})</f>
        <v>18.46532442</v>
      </c>
      <c r="M4" s="321" t="str">
        <f t="shared" ref="M4:M160" si="5">A4</f>
        <v>akrtws</v>
      </c>
      <c r="N4" s="321">
        <v>1.0</v>
      </c>
    </row>
    <row r="5">
      <c r="A5" s="226" t="s">
        <v>9</v>
      </c>
      <c r="B5" s="226" t="s">
        <v>18</v>
      </c>
      <c r="C5" s="250" t="s">
        <v>3946</v>
      </c>
      <c r="D5" s="268" t="s">
        <v>495</v>
      </c>
      <c r="E5" s="417">
        <v>44102.0</v>
      </c>
      <c r="F5" s="250" t="s">
        <v>496</v>
      </c>
      <c r="G5" s="403">
        <v>2.0</v>
      </c>
      <c r="H5" s="403">
        <v>5.0</v>
      </c>
      <c r="I5" s="403">
        <v>40.0</v>
      </c>
      <c r="J5" s="391">
        <f t="shared" si="2"/>
        <v>0.00655457772</v>
      </c>
      <c r="K5" s="392">
        <f t="shared" si="3"/>
        <v>1.015959547</v>
      </c>
      <c r="L5" s="327">
        <f t="shared" si="4"/>
        <v>18.46532442</v>
      </c>
      <c r="M5" s="321" t="str">
        <f t="shared" si="5"/>
        <v>akrtws</v>
      </c>
      <c r="N5" s="18">
        <v>2.0</v>
      </c>
    </row>
    <row r="6">
      <c r="A6" s="226" t="s">
        <v>9</v>
      </c>
      <c r="B6" s="226" t="s">
        <v>18</v>
      </c>
      <c r="C6" s="250" t="s">
        <v>3947</v>
      </c>
      <c r="D6" s="268" t="s">
        <v>495</v>
      </c>
      <c r="E6" s="417">
        <v>44103.0</v>
      </c>
      <c r="F6" s="250" t="s">
        <v>496</v>
      </c>
      <c r="G6" s="403">
        <v>2.0</v>
      </c>
      <c r="H6" s="403">
        <v>10.0</v>
      </c>
      <c r="I6" s="403">
        <v>30.0</v>
      </c>
      <c r="J6" s="391">
        <f t="shared" si="2"/>
        <v>0.005904544489</v>
      </c>
      <c r="K6" s="392">
        <f t="shared" si="3"/>
        <v>0.9152043958</v>
      </c>
      <c r="L6" s="327">
        <f t="shared" si="4"/>
        <v>18.46532442</v>
      </c>
      <c r="M6" s="321" t="str">
        <f t="shared" si="5"/>
        <v>akrtws</v>
      </c>
      <c r="N6" s="18">
        <v>3.0</v>
      </c>
    </row>
    <row r="7">
      <c r="A7" s="226" t="s">
        <v>9</v>
      </c>
      <c r="B7" s="226" t="s">
        <v>9</v>
      </c>
      <c r="C7" s="250" t="s">
        <v>3948</v>
      </c>
      <c r="D7" s="268" t="s">
        <v>495</v>
      </c>
      <c r="E7" s="417">
        <v>44103.0</v>
      </c>
      <c r="F7" s="250" t="s">
        <v>496</v>
      </c>
      <c r="G7" s="403">
        <v>1.0</v>
      </c>
      <c r="H7" s="403">
        <v>25.0</v>
      </c>
      <c r="I7" s="403">
        <v>60.0</v>
      </c>
      <c r="J7" s="391">
        <f t="shared" si="2"/>
        <v>0.01259997794</v>
      </c>
      <c r="K7" s="392">
        <f t="shared" si="3"/>
        <v>1.95299658</v>
      </c>
      <c r="L7" s="327">
        <f t="shared" si="4"/>
        <v>18.46532442</v>
      </c>
      <c r="M7" s="321" t="str">
        <f t="shared" si="5"/>
        <v>akrtws</v>
      </c>
      <c r="N7" s="18">
        <v>4.0</v>
      </c>
    </row>
    <row r="8">
      <c r="A8" s="226" t="s">
        <v>9</v>
      </c>
      <c r="B8" s="226" t="s">
        <v>590</v>
      </c>
      <c r="C8" s="250" t="s">
        <v>3948</v>
      </c>
      <c r="D8" s="268" t="s">
        <v>495</v>
      </c>
      <c r="E8" s="417">
        <v>44103.0</v>
      </c>
      <c r="F8" s="250" t="s">
        <v>499</v>
      </c>
      <c r="G8" s="403">
        <v>1.0</v>
      </c>
      <c r="H8" s="403">
        <v>5.0</v>
      </c>
      <c r="I8" s="403">
        <v>5.0</v>
      </c>
      <c r="J8" s="391">
        <f t="shared" si="2"/>
        <v>0.001511350054</v>
      </c>
      <c r="K8" s="392">
        <f t="shared" si="3"/>
        <v>0.2342592584</v>
      </c>
      <c r="L8" s="327">
        <f t="shared" si="4"/>
        <v>18.46532442</v>
      </c>
      <c r="M8" s="321" t="str">
        <f t="shared" si="5"/>
        <v>akrtws</v>
      </c>
      <c r="N8" s="18">
        <v>5.0</v>
      </c>
    </row>
    <row r="9">
      <c r="A9" s="226" t="s">
        <v>9</v>
      </c>
      <c r="B9" s="226" t="s">
        <v>590</v>
      </c>
      <c r="C9" s="250" t="s">
        <v>3949</v>
      </c>
      <c r="D9" s="268" t="s">
        <v>495</v>
      </c>
      <c r="E9" s="417">
        <v>44103.0</v>
      </c>
      <c r="F9" s="250" t="s">
        <v>496</v>
      </c>
      <c r="G9" s="403">
        <v>1.0</v>
      </c>
      <c r="H9" s="403">
        <v>10.0</v>
      </c>
      <c r="I9" s="403">
        <v>30.0</v>
      </c>
      <c r="J9" s="391">
        <f t="shared" si="2"/>
        <v>0.005904544489</v>
      </c>
      <c r="K9" s="392">
        <f t="shared" si="3"/>
        <v>0.9152043958</v>
      </c>
      <c r="L9" s="327">
        <f t="shared" si="4"/>
        <v>18.46532442</v>
      </c>
      <c r="M9" s="321" t="str">
        <f t="shared" si="5"/>
        <v>akrtws</v>
      </c>
      <c r="N9" s="18">
        <v>6.0</v>
      </c>
    </row>
    <row r="10">
      <c r="A10" s="226" t="s">
        <v>9</v>
      </c>
      <c r="B10" s="226" t="s">
        <v>5</v>
      </c>
      <c r="C10" s="250" t="s">
        <v>3950</v>
      </c>
      <c r="D10" s="268" t="s">
        <v>495</v>
      </c>
      <c r="E10" s="417">
        <v>44106.0</v>
      </c>
      <c r="F10" s="250" t="s">
        <v>496</v>
      </c>
      <c r="G10" s="403">
        <v>1.0</v>
      </c>
      <c r="H10" s="403">
        <v>10.0</v>
      </c>
      <c r="I10" s="403">
        <v>40.0</v>
      </c>
      <c r="J10" s="391">
        <f t="shared" si="2"/>
        <v>0.007345466679</v>
      </c>
      <c r="K10" s="392">
        <f t="shared" si="3"/>
        <v>1.138547335</v>
      </c>
      <c r="L10" s="327">
        <f t="shared" si="4"/>
        <v>18.46532442</v>
      </c>
      <c r="M10" s="321" t="str">
        <f t="shared" si="5"/>
        <v>akrtws</v>
      </c>
      <c r="N10" s="18">
        <v>7.0</v>
      </c>
    </row>
    <row r="11">
      <c r="A11" s="226" t="s">
        <v>9</v>
      </c>
      <c r="B11" s="226" t="s">
        <v>5</v>
      </c>
      <c r="C11" s="250" t="s">
        <v>3951</v>
      </c>
      <c r="D11" s="268" t="s">
        <v>495</v>
      </c>
      <c r="E11" s="417">
        <v>44106.0</v>
      </c>
      <c r="F11" s="250" t="s">
        <v>545</v>
      </c>
      <c r="G11" s="403">
        <v>3.0</v>
      </c>
      <c r="H11" s="403">
        <v>5.0</v>
      </c>
      <c r="I11" s="403">
        <v>5.0</v>
      </c>
      <c r="J11" s="391">
        <f t="shared" si="2"/>
        <v>0.001511350054</v>
      </c>
      <c r="K11" s="392">
        <f t="shared" si="3"/>
        <v>0.2342592584</v>
      </c>
      <c r="L11" s="327">
        <f t="shared" si="4"/>
        <v>18.46532442</v>
      </c>
      <c r="M11" s="321" t="str">
        <f t="shared" si="5"/>
        <v>akrtws</v>
      </c>
      <c r="N11" s="18">
        <v>8.0</v>
      </c>
    </row>
    <row r="12">
      <c r="A12" s="226" t="s">
        <v>9</v>
      </c>
      <c r="B12" s="226" t="s">
        <v>519</v>
      </c>
      <c r="C12" s="250" t="s">
        <v>3952</v>
      </c>
      <c r="D12" s="268" t="s">
        <v>495</v>
      </c>
      <c r="E12" s="417">
        <v>44106.0</v>
      </c>
      <c r="F12" s="250" t="s">
        <v>496</v>
      </c>
      <c r="G12" s="403">
        <v>1.0</v>
      </c>
      <c r="H12" s="403">
        <v>10.0</v>
      </c>
      <c r="I12" s="403">
        <v>10.0</v>
      </c>
      <c r="J12" s="391">
        <f t="shared" si="2"/>
        <v>0.003022700109</v>
      </c>
      <c r="K12" s="392">
        <f t="shared" si="3"/>
        <v>0.4685185168</v>
      </c>
      <c r="L12" s="327">
        <f t="shared" si="4"/>
        <v>18.46532442</v>
      </c>
      <c r="M12" s="321" t="str">
        <f t="shared" si="5"/>
        <v>akrtws</v>
      </c>
      <c r="N12" s="18">
        <v>9.0</v>
      </c>
    </row>
    <row r="13">
      <c r="A13" s="226" t="s">
        <v>9</v>
      </c>
      <c r="B13" s="226" t="s">
        <v>519</v>
      </c>
      <c r="C13" s="250" t="s">
        <v>3953</v>
      </c>
      <c r="D13" s="268" t="s">
        <v>495</v>
      </c>
      <c r="E13" s="417">
        <v>44110.0</v>
      </c>
      <c r="F13" s="250" t="s">
        <v>496</v>
      </c>
      <c r="G13" s="403">
        <v>1.0</v>
      </c>
      <c r="H13" s="403">
        <v>40.0</v>
      </c>
      <c r="I13" s="403">
        <v>40.0</v>
      </c>
      <c r="J13" s="391">
        <f t="shared" si="2"/>
        <v>0.01209080043</v>
      </c>
      <c r="K13" s="392">
        <f t="shared" si="3"/>
        <v>1.874074067</v>
      </c>
      <c r="L13" s="327">
        <f t="shared" si="4"/>
        <v>18.46532442</v>
      </c>
      <c r="M13" s="321" t="str">
        <f t="shared" si="5"/>
        <v>akrtws</v>
      </c>
      <c r="N13" s="18">
        <v>10.0</v>
      </c>
    </row>
    <row r="14">
      <c r="A14" s="226" t="s">
        <v>9</v>
      </c>
      <c r="B14" s="226" t="s">
        <v>18</v>
      </c>
      <c r="C14" s="250" t="s">
        <v>3954</v>
      </c>
      <c r="D14" s="268" t="s">
        <v>495</v>
      </c>
      <c r="E14" s="417">
        <v>44111.0</v>
      </c>
      <c r="F14" s="250" t="s">
        <v>496</v>
      </c>
      <c r="G14" s="403">
        <v>1.0</v>
      </c>
      <c r="H14" s="403">
        <v>40.0</v>
      </c>
      <c r="I14" s="403">
        <v>0.0</v>
      </c>
      <c r="J14" s="391">
        <f t="shared" si="2"/>
        <v>0.006327111674</v>
      </c>
      <c r="K14" s="392">
        <f t="shared" si="3"/>
        <v>0.9807023094</v>
      </c>
      <c r="L14" s="327">
        <f t="shared" si="4"/>
        <v>18.46532442</v>
      </c>
      <c r="M14" s="321" t="str">
        <f t="shared" si="5"/>
        <v>akrtws</v>
      </c>
      <c r="N14" s="18">
        <v>11.0</v>
      </c>
    </row>
    <row r="15">
      <c r="A15" s="226" t="s">
        <v>9</v>
      </c>
      <c r="B15" s="226" t="s">
        <v>18</v>
      </c>
      <c r="C15" s="250" t="s">
        <v>3955</v>
      </c>
      <c r="D15" s="268" t="s">
        <v>495</v>
      </c>
      <c r="E15" s="417">
        <v>44111.0</v>
      </c>
      <c r="F15" s="250" t="s">
        <v>496</v>
      </c>
      <c r="G15" s="403">
        <v>1.0</v>
      </c>
      <c r="H15" s="403">
        <v>5.0</v>
      </c>
      <c r="I15" s="403">
        <v>30.0</v>
      </c>
      <c r="J15" s="391">
        <f t="shared" si="2"/>
        <v>0.00511365553</v>
      </c>
      <c r="K15" s="392">
        <f t="shared" si="3"/>
        <v>0.7926166071</v>
      </c>
      <c r="L15" s="327">
        <f t="shared" si="4"/>
        <v>18.46532442</v>
      </c>
      <c r="M15" s="321" t="str">
        <f t="shared" si="5"/>
        <v>akrtws</v>
      </c>
      <c r="N15" s="18">
        <v>12.0</v>
      </c>
    </row>
    <row r="16">
      <c r="A16" s="226" t="s">
        <v>9</v>
      </c>
      <c r="B16" s="226" t="s">
        <v>18</v>
      </c>
      <c r="C16" s="250" t="s">
        <v>3956</v>
      </c>
      <c r="D16" s="268" t="s">
        <v>495</v>
      </c>
      <c r="E16" s="417">
        <v>44111.0</v>
      </c>
      <c r="F16" s="250" t="s">
        <v>496</v>
      </c>
      <c r="G16" s="403">
        <v>1.0</v>
      </c>
      <c r="H16" s="403">
        <v>30.0</v>
      </c>
      <c r="I16" s="403">
        <v>40.0</v>
      </c>
      <c r="J16" s="391">
        <f t="shared" si="2"/>
        <v>0.01050902252</v>
      </c>
      <c r="K16" s="392">
        <f t="shared" si="3"/>
        <v>1.62889849</v>
      </c>
      <c r="L16" s="327">
        <f t="shared" si="4"/>
        <v>18.46532442</v>
      </c>
      <c r="M16" s="321" t="str">
        <f t="shared" si="5"/>
        <v>akrtws</v>
      </c>
      <c r="N16" s="18">
        <v>13.0</v>
      </c>
    </row>
    <row r="17">
      <c r="A17" s="226" t="s">
        <v>9</v>
      </c>
      <c r="B17" s="226" t="s">
        <v>5</v>
      </c>
      <c r="C17" s="250" t="s">
        <v>3957</v>
      </c>
      <c r="D17" s="268" t="s">
        <v>495</v>
      </c>
      <c r="E17" s="417">
        <v>44111.0</v>
      </c>
      <c r="F17" s="250" t="s">
        <v>545</v>
      </c>
      <c r="G17" s="403">
        <v>1.0</v>
      </c>
      <c r="H17" s="403">
        <v>10.0</v>
      </c>
      <c r="I17" s="403">
        <v>10.0</v>
      </c>
      <c r="J17" s="391">
        <f t="shared" si="2"/>
        <v>0.003022700109</v>
      </c>
      <c r="K17" s="392">
        <f t="shared" si="3"/>
        <v>0.4685185168</v>
      </c>
      <c r="L17" s="327">
        <f t="shared" si="4"/>
        <v>18.46532442</v>
      </c>
      <c r="M17" s="321" t="str">
        <f t="shared" si="5"/>
        <v>akrtws</v>
      </c>
      <c r="N17" s="18">
        <v>14.0</v>
      </c>
    </row>
    <row r="18">
      <c r="A18" s="226" t="s">
        <v>9</v>
      </c>
      <c r="B18" s="226" t="s">
        <v>590</v>
      </c>
      <c r="C18" s="250" t="s">
        <v>3958</v>
      </c>
      <c r="D18" s="268" t="s">
        <v>495</v>
      </c>
      <c r="E18" s="417">
        <v>44111.0</v>
      </c>
      <c r="F18" s="250" t="s">
        <v>496</v>
      </c>
      <c r="G18" s="403">
        <v>1.0</v>
      </c>
      <c r="H18" s="403">
        <v>20.0</v>
      </c>
      <c r="I18" s="403">
        <v>30.0</v>
      </c>
      <c r="J18" s="391">
        <f t="shared" si="2"/>
        <v>0.007486322407</v>
      </c>
      <c r="K18" s="392">
        <f t="shared" si="3"/>
        <v>1.160379973</v>
      </c>
      <c r="L18" s="327">
        <f t="shared" si="4"/>
        <v>18.46532442</v>
      </c>
      <c r="M18" s="321" t="str">
        <f t="shared" si="5"/>
        <v>akrtws</v>
      </c>
      <c r="N18" s="18">
        <v>15.0</v>
      </c>
    </row>
    <row r="19">
      <c r="A19" s="226" t="s">
        <v>73</v>
      </c>
      <c r="B19" s="226" t="s">
        <v>519</v>
      </c>
      <c r="C19" s="250" t="s">
        <v>3959</v>
      </c>
      <c r="D19" s="268" t="s">
        <v>495</v>
      </c>
      <c r="E19" s="417">
        <v>44105.0</v>
      </c>
      <c r="F19" s="250" t="s">
        <v>499</v>
      </c>
      <c r="G19" s="403">
        <v>4.0</v>
      </c>
      <c r="H19" s="403">
        <v>0.0</v>
      </c>
      <c r="I19" s="403">
        <v>0.0</v>
      </c>
      <c r="J19" s="391">
        <f t="shared" si="2"/>
        <v>0</v>
      </c>
      <c r="K19" s="392">
        <f t="shared" si="3"/>
        <v>0</v>
      </c>
      <c r="L19" s="327">
        <f t="shared" si="4"/>
        <v>0.3459307282</v>
      </c>
      <c r="M19" s="321" t="str">
        <f t="shared" si="5"/>
        <v>aminlatifi</v>
      </c>
      <c r="N19" s="18">
        <v>1.0</v>
      </c>
    </row>
    <row r="20">
      <c r="A20" s="226" t="s">
        <v>73</v>
      </c>
      <c r="B20" s="226" t="s">
        <v>519</v>
      </c>
      <c r="C20" s="250" t="s">
        <v>3960</v>
      </c>
      <c r="D20" s="268" t="s">
        <v>495</v>
      </c>
      <c r="E20" s="417">
        <v>44110.0</v>
      </c>
      <c r="F20" s="250" t="s">
        <v>521</v>
      </c>
      <c r="G20" s="403">
        <v>3.0</v>
      </c>
      <c r="H20" s="403">
        <v>5.0</v>
      </c>
      <c r="I20" s="403">
        <v>10.0</v>
      </c>
      <c r="J20" s="391">
        <f t="shared" si="2"/>
        <v>0.002231811149</v>
      </c>
      <c r="K20" s="392">
        <f t="shared" si="3"/>
        <v>0.3459307282</v>
      </c>
      <c r="L20" s="327">
        <f t="shared" si="4"/>
        <v>0.3459307282</v>
      </c>
      <c r="M20" s="321" t="str">
        <f t="shared" si="5"/>
        <v>aminlatifi</v>
      </c>
      <c r="N20" s="18">
        <v>2.0</v>
      </c>
    </row>
    <row r="21">
      <c r="A21" s="226" t="s">
        <v>41</v>
      </c>
      <c r="B21" s="226" t="s">
        <v>590</v>
      </c>
      <c r="C21" s="250" t="s">
        <v>3961</v>
      </c>
      <c r="D21" s="268" t="s">
        <v>495</v>
      </c>
      <c r="E21" s="417">
        <v>44105.0</v>
      </c>
      <c r="F21" s="250" t="s">
        <v>496</v>
      </c>
      <c r="G21" s="403">
        <v>1.0</v>
      </c>
      <c r="H21" s="403">
        <v>40.0</v>
      </c>
      <c r="I21" s="403">
        <v>40.0</v>
      </c>
      <c r="J21" s="391">
        <f t="shared" si="2"/>
        <v>0.01209080043</v>
      </c>
      <c r="K21" s="392">
        <f t="shared" si="3"/>
        <v>1.874074067</v>
      </c>
      <c r="L21" s="327">
        <f t="shared" si="4"/>
        <v>3.03445404</v>
      </c>
      <c r="M21" s="321" t="str">
        <f t="shared" si="5"/>
        <v>blairv</v>
      </c>
      <c r="N21" s="18">
        <v>1.0</v>
      </c>
    </row>
    <row r="22">
      <c r="A22" s="226" t="s">
        <v>41</v>
      </c>
      <c r="B22" s="226" t="s">
        <v>590</v>
      </c>
      <c r="C22" s="250" t="s">
        <v>3958</v>
      </c>
      <c r="D22" s="268" t="s">
        <v>495</v>
      </c>
      <c r="E22" s="417">
        <v>44111.0</v>
      </c>
      <c r="F22" s="250" t="s">
        <v>496</v>
      </c>
      <c r="G22" s="403">
        <v>1.0</v>
      </c>
      <c r="H22" s="403">
        <v>20.0</v>
      </c>
      <c r="I22" s="403">
        <v>30.0</v>
      </c>
      <c r="J22" s="391">
        <f t="shared" si="2"/>
        <v>0.007486322407</v>
      </c>
      <c r="K22" s="392">
        <f t="shared" si="3"/>
        <v>1.160379973</v>
      </c>
      <c r="L22" s="327">
        <f t="shared" si="4"/>
        <v>3.03445404</v>
      </c>
      <c r="M22" s="321" t="str">
        <f t="shared" si="5"/>
        <v>blairv</v>
      </c>
      <c r="N22" s="18">
        <v>2.0</v>
      </c>
    </row>
    <row r="23">
      <c r="A23" s="226" t="s">
        <v>188</v>
      </c>
      <c r="B23" s="226" t="s">
        <v>77</v>
      </c>
      <c r="C23" s="250" t="s">
        <v>3962</v>
      </c>
      <c r="D23" s="268" t="s">
        <v>495</v>
      </c>
      <c r="E23" s="417">
        <v>44102.0</v>
      </c>
      <c r="F23" s="250" t="s">
        <v>499</v>
      </c>
      <c r="G23" s="403">
        <v>3.0</v>
      </c>
      <c r="H23" s="403">
        <v>1.0</v>
      </c>
      <c r="I23" s="403">
        <v>4.0</v>
      </c>
      <c r="J23" s="391">
        <f t="shared" si="2"/>
        <v>0.0007345466679</v>
      </c>
      <c r="K23" s="392">
        <f t="shared" si="3"/>
        <v>0.1138547335</v>
      </c>
      <c r="L23" s="327">
        <f t="shared" si="4"/>
        <v>0.2990788765</v>
      </c>
      <c r="M23" s="321" t="str">
        <f t="shared" si="5"/>
        <v>codersinblack</v>
      </c>
      <c r="N23" s="18">
        <v>1.0</v>
      </c>
    </row>
    <row r="24">
      <c r="A24" s="226" t="s">
        <v>188</v>
      </c>
      <c r="B24" s="226" t="s">
        <v>519</v>
      </c>
      <c r="C24" s="250" t="s">
        <v>3963</v>
      </c>
      <c r="D24" s="268" t="s">
        <v>495</v>
      </c>
      <c r="E24" s="417">
        <v>44104.0</v>
      </c>
      <c r="F24" s="250" t="s">
        <v>521</v>
      </c>
      <c r="G24" s="403">
        <v>3.0</v>
      </c>
      <c r="H24" s="403">
        <v>3.0</v>
      </c>
      <c r="I24" s="403">
        <v>5.0</v>
      </c>
      <c r="J24" s="391">
        <f t="shared" si="2"/>
        <v>0.001194994471</v>
      </c>
      <c r="K24" s="392">
        <f t="shared" si="3"/>
        <v>0.1852241429</v>
      </c>
      <c r="L24" s="327">
        <f t="shared" si="4"/>
        <v>0.2990788765</v>
      </c>
      <c r="M24" s="321" t="str">
        <f t="shared" si="5"/>
        <v>codersinblack</v>
      </c>
      <c r="N24" s="18">
        <v>2.0</v>
      </c>
    </row>
    <row r="25">
      <c r="A25" s="226" t="s">
        <v>5</v>
      </c>
      <c r="B25" s="226" t="s">
        <v>9</v>
      </c>
      <c r="C25" s="250" t="s">
        <v>3964</v>
      </c>
      <c r="D25" s="268" t="s">
        <v>495</v>
      </c>
      <c r="E25" s="417">
        <v>44099.0</v>
      </c>
      <c r="F25" s="250" t="s">
        <v>496</v>
      </c>
      <c r="G25" s="403">
        <v>1.0</v>
      </c>
      <c r="H25" s="403">
        <v>10.0</v>
      </c>
      <c r="I25" s="403">
        <v>10.0</v>
      </c>
      <c r="J25" s="391">
        <f t="shared" si="2"/>
        <v>0.003022700109</v>
      </c>
      <c r="K25" s="392">
        <f t="shared" si="3"/>
        <v>0.4685185168</v>
      </c>
      <c r="L25" s="327">
        <f t="shared" si="4"/>
        <v>5.823732504</v>
      </c>
      <c r="M25" s="321" t="str">
        <f t="shared" si="5"/>
        <v>cranders71</v>
      </c>
      <c r="N25" s="18">
        <v>1.0</v>
      </c>
    </row>
    <row r="26">
      <c r="A26" s="226" t="s">
        <v>5</v>
      </c>
      <c r="B26" s="226" t="s">
        <v>18</v>
      </c>
      <c r="C26" s="250" t="s">
        <v>3965</v>
      </c>
      <c r="D26" s="268" t="s">
        <v>495</v>
      </c>
      <c r="E26" s="417">
        <v>44103.0</v>
      </c>
      <c r="F26" s="250" t="s">
        <v>496</v>
      </c>
      <c r="G26" s="403">
        <v>1.0</v>
      </c>
      <c r="H26" s="403">
        <v>20.0</v>
      </c>
      <c r="I26" s="403">
        <v>50.0</v>
      </c>
      <c r="J26" s="391">
        <f t="shared" si="2"/>
        <v>0.01036816679</v>
      </c>
      <c r="K26" s="392">
        <f t="shared" si="3"/>
        <v>1.607065852</v>
      </c>
      <c r="L26" s="327">
        <f t="shared" si="4"/>
        <v>5.823732504</v>
      </c>
      <c r="M26" s="321" t="str">
        <f t="shared" si="5"/>
        <v>cranders71</v>
      </c>
      <c r="N26" s="18">
        <v>2.0</v>
      </c>
    </row>
    <row r="27">
      <c r="A27" s="226" t="s">
        <v>5</v>
      </c>
      <c r="B27" s="226" t="s">
        <v>590</v>
      </c>
      <c r="C27" s="250" t="s">
        <v>3961</v>
      </c>
      <c r="D27" s="268" t="s">
        <v>495</v>
      </c>
      <c r="E27" s="417">
        <v>44105.0</v>
      </c>
      <c r="F27" s="250" t="s">
        <v>496</v>
      </c>
      <c r="G27" s="403">
        <v>1.0</v>
      </c>
      <c r="H27" s="403">
        <v>40.0</v>
      </c>
      <c r="I27" s="403">
        <v>40.0</v>
      </c>
      <c r="J27" s="391">
        <f t="shared" si="2"/>
        <v>0.01209080043</v>
      </c>
      <c r="K27" s="392">
        <f t="shared" si="3"/>
        <v>1.874074067</v>
      </c>
      <c r="L27" s="327">
        <f t="shared" si="4"/>
        <v>5.823732504</v>
      </c>
      <c r="M27" s="321" t="str">
        <f t="shared" si="5"/>
        <v>cranders71</v>
      </c>
      <c r="N27" s="18">
        <v>3.0</v>
      </c>
    </row>
    <row r="28">
      <c r="A28" s="226" t="s">
        <v>5</v>
      </c>
      <c r="B28" s="226" t="s">
        <v>519</v>
      </c>
      <c r="C28" s="250" t="s">
        <v>3953</v>
      </c>
      <c r="D28" s="268" t="s">
        <v>495</v>
      </c>
      <c r="E28" s="417">
        <v>44110.0</v>
      </c>
      <c r="F28" s="250" t="s">
        <v>496</v>
      </c>
      <c r="G28" s="403">
        <v>1.0</v>
      </c>
      <c r="H28" s="403">
        <v>40.0</v>
      </c>
      <c r="I28" s="403">
        <v>40.0</v>
      </c>
      <c r="J28" s="391">
        <f t="shared" si="2"/>
        <v>0.01209080043</v>
      </c>
      <c r="K28" s="392">
        <f t="shared" si="3"/>
        <v>1.874074067</v>
      </c>
      <c r="L28" s="327">
        <f t="shared" si="4"/>
        <v>5.823732504</v>
      </c>
      <c r="M28" s="321" t="str">
        <f t="shared" si="5"/>
        <v>cranders71</v>
      </c>
      <c r="N28" s="18">
        <v>4.0</v>
      </c>
    </row>
    <row r="29">
      <c r="A29" s="226" t="s">
        <v>127</v>
      </c>
      <c r="B29" s="226" t="s">
        <v>519</v>
      </c>
      <c r="C29" s="250" t="s">
        <v>3966</v>
      </c>
      <c r="D29" s="268" t="s">
        <v>495</v>
      </c>
      <c r="E29" s="417">
        <v>44103.0</v>
      </c>
      <c r="F29" s="250" t="s">
        <v>521</v>
      </c>
      <c r="G29" s="403">
        <v>4.0</v>
      </c>
      <c r="H29" s="403">
        <v>0.0</v>
      </c>
      <c r="I29" s="403">
        <v>0.0</v>
      </c>
      <c r="J29" s="391">
        <f t="shared" si="2"/>
        <v>0</v>
      </c>
      <c r="K29" s="392">
        <f t="shared" si="3"/>
        <v>0</v>
      </c>
      <c r="L29" s="327">
        <f t="shared" si="4"/>
        <v>0</v>
      </c>
      <c r="M29" s="321" t="str">
        <f t="shared" si="5"/>
        <v>crypt0dawg</v>
      </c>
      <c r="N29" s="18">
        <v>1.0</v>
      </c>
    </row>
    <row r="30">
      <c r="A30" s="226" t="s">
        <v>38</v>
      </c>
      <c r="B30" s="226" t="s">
        <v>519</v>
      </c>
      <c r="C30" s="250" t="s">
        <v>3959</v>
      </c>
      <c r="D30" s="268" t="s">
        <v>495</v>
      </c>
      <c r="E30" s="417">
        <v>44105.0</v>
      </c>
      <c r="F30" s="250" t="s">
        <v>499</v>
      </c>
      <c r="G30" s="403">
        <v>4.0</v>
      </c>
      <c r="H30" s="403">
        <v>0.0</v>
      </c>
      <c r="I30" s="403">
        <v>0.0</v>
      </c>
      <c r="J30" s="391">
        <f t="shared" si="2"/>
        <v>0</v>
      </c>
      <c r="K30" s="392">
        <f t="shared" si="3"/>
        <v>0</v>
      </c>
      <c r="L30" s="327">
        <f t="shared" si="4"/>
        <v>0</v>
      </c>
      <c r="M30" s="321" t="str">
        <f t="shared" si="5"/>
        <v>danibelle</v>
      </c>
      <c r="N30" s="18">
        <v>1.0</v>
      </c>
    </row>
    <row r="31">
      <c r="A31" s="226" t="s">
        <v>24</v>
      </c>
      <c r="B31" s="226" t="s">
        <v>18</v>
      </c>
      <c r="C31" s="250" t="s">
        <v>3967</v>
      </c>
      <c r="D31" s="268" t="s">
        <v>495</v>
      </c>
      <c r="E31" s="417">
        <v>44103.0</v>
      </c>
      <c r="F31" s="250" t="s">
        <v>499</v>
      </c>
      <c r="G31" s="403">
        <v>3.0</v>
      </c>
      <c r="H31" s="403">
        <v>5.0</v>
      </c>
      <c r="I31" s="403">
        <v>30.0</v>
      </c>
      <c r="J31" s="391">
        <f t="shared" si="2"/>
        <v>0.00511365553</v>
      </c>
      <c r="K31" s="392">
        <f t="shared" si="3"/>
        <v>0.7926166071</v>
      </c>
      <c r="L31" s="327">
        <f t="shared" si="4"/>
        <v>0.7926166071</v>
      </c>
      <c r="M31" s="321" t="str">
        <f t="shared" si="5"/>
        <v>danlessa</v>
      </c>
      <c r="N31" s="18">
        <v>1.0</v>
      </c>
    </row>
    <row r="32">
      <c r="A32" s="226" t="s">
        <v>378</v>
      </c>
      <c r="B32" s="226" t="s">
        <v>77</v>
      </c>
      <c r="C32" s="250" t="s">
        <v>3968</v>
      </c>
      <c r="D32" s="268" t="s">
        <v>495</v>
      </c>
      <c r="E32" s="417">
        <v>44102.0</v>
      </c>
      <c r="F32" s="250" t="s">
        <v>499</v>
      </c>
      <c r="G32" s="403">
        <v>4.0</v>
      </c>
      <c r="H32" s="403">
        <v>0.0</v>
      </c>
      <c r="I32" s="403">
        <v>4.0</v>
      </c>
      <c r="J32" s="391">
        <f t="shared" si="2"/>
        <v>0.0005763688761</v>
      </c>
      <c r="K32" s="392">
        <f t="shared" si="3"/>
        <v>0.08933717579</v>
      </c>
      <c r="L32" s="327">
        <f t="shared" si="4"/>
        <v>0.08933717579</v>
      </c>
      <c r="M32" s="321" t="str">
        <f t="shared" si="5"/>
        <v>denissrgn</v>
      </c>
      <c r="N32" s="18">
        <v>1.0</v>
      </c>
    </row>
    <row r="33">
      <c r="A33" s="226" t="s">
        <v>114</v>
      </c>
      <c r="B33" s="226" t="s">
        <v>77</v>
      </c>
      <c r="C33" s="250" t="s">
        <v>3962</v>
      </c>
      <c r="D33" s="268" t="s">
        <v>495</v>
      </c>
      <c r="E33" s="417">
        <v>44102.0</v>
      </c>
      <c r="F33" s="250" t="s">
        <v>499</v>
      </c>
      <c r="G33" s="403">
        <v>3.0</v>
      </c>
      <c r="H33" s="403">
        <v>1.0</v>
      </c>
      <c r="I33" s="403">
        <v>4.0</v>
      </c>
      <c r="J33" s="391">
        <f t="shared" si="2"/>
        <v>0.0007345466679</v>
      </c>
      <c r="K33" s="392">
        <f t="shared" si="3"/>
        <v>0.1138547335</v>
      </c>
      <c r="L33" s="327">
        <f t="shared" si="4"/>
        <v>0.4597854617</v>
      </c>
      <c r="M33" s="321" t="str">
        <f t="shared" si="5"/>
        <v>existenialstoic</v>
      </c>
      <c r="N33" s="18">
        <v>1.0</v>
      </c>
    </row>
    <row r="34">
      <c r="A34" s="226" t="s">
        <v>114</v>
      </c>
      <c r="B34" s="226" t="s">
        <v>77</v>
      </c>
      <c r="C34" s="250" t="s">
        <v>3969</v>
      </c>
      <c r="D34" s="268" t="s">
        <v>495</v>
      </c>
      <c r="E34" s="417">
        <v>44108.0</v>
      </c>
      <c r="F34" s="250" t="s">
        <v>499</v>
      </c>
      <c r="G34" s="403">
        <v>2.0</v>
      </c>
      <c r="H34" s="403">
        <v>5.0</v>
      </c>
      <c r="I34" s="403">
        <v>10.0</v>
      </c>
      <c r="J34" s="391">
        <f t="shared" si="2"/>
        <v>0.002231811149</v>
      </c>
      <c r="K34" s="392">
        <f t="shared" si="3"/>
        <v>0.3459307282</v>
      </c>
      <c r="L34" s="327">
        <f t="shared" si="4"/>
        <v>0.4597854617</v>
      </c>
      <c r="M34" s="321" t="str">
        <f t="shared" si="5"/>
        <v>existenialstoic</v>
      </c>
      <c r="N34" s="18">
        <v>2.0</v>
      </c>
    </row>
    <row r="35">
      <c r="A35" s="226" t="s">
        <v>76</v>
      </c>
      <c r="B35" s="226" t="s">
        <v>18</v>
      </c>
      <c r="C35" s="250" t="s">
        <v>3970</v>
      </c>
      <c r="D35" s="268" t="s">
        <v>495</v>
      </c>
      <c r="E35" s="417">
        <v>44112.0</v>
      </c>
      <c r="F35" s="250" t="s">
        <v>496</v>
      </c>
      <c r="G35" s="403">
        <v>2.0</v>
      </c>
      <c r="H35" s="403">
        <v>10.0</v>
      </c>
      <c r="I35" s="403">
        <v>20.0</v>
      </c>
      <c r="J35" s="391">
        <f t="shared" si="2"/>
        <v>0.004463622299</v>
      </c>
      <c r="K35" s="392">
        <f t="shared" si="3"/>
        <v>0.6918614563</v>
      </c>
      <c r="L35" s="327">
        <f t="shared" si="4"/>
        <v>2.342592584</v>
      </c>
      <c r="M35" s="321" t="str">
        <f t="shared" si="5"/>
        <v>fabianvb</v>
      </c>
      <c r="N35" s="18">
        <v>1.0</v>
      </c>
    </row>
    <row r="36">
      <c r="A36" s="226" t="s">
        <v>76</v>
      </c>
      <c r="B36" s="226" t="s">
        <v>590</v>
      </c>
      <c r="C36" s="250" t="s">
        <v>3971</v>
      </c>
      <c r="D36" s="268" t="s">
        <v>495</v>
      </c>
      <c r="E36" s="417">
        <v>44112.0</v>
      </c>
      <c r="F36" s="250" t="s">
        <v>496</v>
      </c>
      <c r="G36" s="403">
        <v>1.0</v>
      </c>
      <c r="H36" s="403">
        <v>40.0</v>
      </c>
      <c r="I36" s="403">
        <v>30.0</v>
      </c>
      <c r="J36" s="391">
        <f t="shared" si="2"/>
        <v>0.01064987824</v>
      </c>
      <c r="K36" s="392">
        <f t="shared" si="3"/>
        <v>1.650731128</v>
      </c>
      <c r="L36" s="327">
        <f t="shared" si="4"/>
        <v>2.342592584</v>
      </c>
      <c r="M36" s="321" t="str">
        <f t="shared" si="5"/>
        <v>fabianvb</v>
      </c>
      <c r="N36" s="18">
        <v>2.0</v>
      </c>
    </row>
    <row r="37">
      <c r="A37" s="226" t="s">
        <v>325</v>
      </c>
      <c r="B37" s="226" t="s">
        <v>519</v>
      </c>
      <c r="C37" s="250" t="s">
        <v>3959</v>
      </c>
      <c r="D37" s="268" t="s">
        <v>495</v>
      </c>
      <c r="E37" s="417">
        <v>44105.0</v>
      </c>
      <c r="F37" s="250" t="s">
        <v>499</v>
      </c>
      <c r="G37" s="403">
        <v>4.0</v>
      </c>
      <c r="H37" s="403">
        <v>0.0</v>
      </c>
      <c r="I37" s="403">
        <v>0.0</v>
      </c>
      <c r="J37" s="391">
        <f t="shared" si="2"/>
        <v>0</v>
      </c>
      <c r="K37" s="392">
        <f t="shared" si="3"/>
        <v>0</v>
      </c>
      <c r="L37" s="327">
        <f t="shared" si="4"/>
        <v>0</v>
      </c>
      <c r="M37" s="321" t="str">
        <f t="shared" si="5"/>
        <v>fenjamin</v>
      </c>
      <c r="N37" s="18">
        <v>1.0</v>
      </c>
    </row>
    <row r="38">
      <c r="A38" s="226" t="s">
        <v>3972</v>
      </c>
      <c r="B38" s="226" t="s">
        <v>519</v>
      </c>
      <c r="C38" s="250" t="s">
        <v>3973</v>
      </c>
      <c r="D38" s="268" t="s">
        <v>495</v>
      </c>
      <c r="E38" s="417">
        <v>44105.0</v>
      </c>
      <c r="F38" s="250" t="s">
        <v>499</v>
      </c>
      <c r="G38" s="403">
        <v>3.0</v>
      </c>
      <c r="H38" s="403">
        <v>5.0</v>
      </c>
      <c r="I38" s="403">
        <v>5.0</v>
      </c>
      <c r="J38" s="391">
        <f t="shared" si="2"/>
        <v>0.001511350054</v>
      </c>
      <c r="K38" s="392">
        <f t="shared" si="3"/>
        <v>0.2342592584</v>
      </c>
      <c r="L38" s="327">
        <f t="shared" si="4"/>
        <v>0.5801899866</v>
      </c>
      <c r="M38" s="321" t="str">
        <f t="shared" si="5"/>
        <v>freedumbs</v>
      </c>
      <c r="N38" s="18">
        <v>1.0</v>
      </c>
    </row>
    <row r="39">
      <c r="A39" s="226" t="s">
        <v>3972</v>
      </c>
      <c r="B39" s="226" t="s">
        <v>519</v>
      </c>
      <c r="C39" s="250" t="s">
        <v>3960</v>
      </c>
      <c r="D39" s="268" t="s">
        <v>495</v>
      </c>
      <c r="E39" s="417">
        <v>44110.0</v>
      </c>
      <c r="F39" s="250" t="s">
        <v>521</v>
      </c>
      <c r="G39" s="403">
        <v>3.0</v>
      </c>
      <c r="H39" s="403">
        <v>5.0</v>
      </c>
      <c r="I39" s="403">
        <v>10.0</v>
      </c>
      <c r="J39" s="391">
        <f t="shared" si="2"/>
        <v>0.002231811149</v>
      </c>
      <c r="K39" s="392">
        <f t="shared" si="3"/>
        <v>0.3459307282</v>
      </c>
      <c r="L39" s="327">
        <f t="shared" si="4"/>
        <v>0.5801899866</v>
      </c>
      <c r="M39" s="321" t="str">
        <f t="shared" si="5"/>
        <v>freedumbs</v>
      </c>
      <c r="N39" s="18">
        <v>2.0</v>
      </c>
    </row>
    <row r="40">
      <c r="A40" s="226" t="s">
        <v>50</v>
      </c>
      <c r="B40" s="226" t="s">
        <v>519</v>
      </c>
      <c r="C40" s="250" t="s">
        <v>3963</v>
      </c>
      <c r="D40" s="268" t="s">
        <v>495</v>
      </c>
      <c r="E40" s="417">
        <v>44104.0</v>
      </c>
      <c r="F40" s="250" t="s">
        <v>521</v>
      </c>
      <c r="G40" s="403">
        <v>3.0</v>
      </c>
      <c r="H40" s="403">
        <v>1.0</v>
      </c>
      <c r="I40" s="403">
        <v>5.0</v>
      </c>
      <c r="J40" s="391">
        <f t="shared" si="2"/>
        <v>0.0008786388869</v>
      </c>
      <c r="K40" s="392">
        <f t="shared" si="3"/>
        <v>0.1361890275</v>
      </c>
      <c r="L40" s="327">
        <f t="shared" si="4"/>
        <v>3.573840311</v>
      </c>
      <c r="M40" s="321" t="str">
        <f t="shared" si="5"/>
        <v>geleeroyale</v>
      </c>
      <c r="N40" s="18">
        <v>2.0</v>
      </c>
    </row>
    <row r="41">
      <c r="A41" s="226" t="s">
        <v>50</v>
      </c>
      <c r="B41" s="226" t="s">
        <v>519</v>
      </c>
      <c r="C41" s="250" t="s">
        <v>3959</v>
      </c>
      <c r="D41" s="268" t="s">
        <v>495</v>
      </c>
      <c r="E41" s="417">
        <v>44105.0</v>
      </c>
      <c r="F41" s="250" t="s">
        <v>499</v>
      </c>
      <c r="G41" s="403">
        <v>4.0</v>
      </c>
      <c r="H41" s="403">
        <v>0.0</v>
      </c>
      <c r="I41" s="403">
        <v>0.0</v>
      </c>
      <c r="J41" s="391">
        <f t="shared" si="2"/>
        <v>0</v>
      </c>
      <c r="K41" s="392">
        <f t="shared" si="3"/>
        <v>0</v>
      </c>
      <c r="L41" s="327">
        <f t="shared" si="4"/>
        <v>3.573840311</v>
      </c>
      <c r="M41" s="321" t="str">
        <f t="shared" si="5"/>
        <v>geleeroyale</v>
      </c>
      <c r="N41" s="18">
        <v>3.0</v>
      </c>
    </row>
    <row r="42">
      <c r="A42" s="226" t="s">
        <v>50</v>
      </c>
      <c r="B42" s="226" t="s">
        <v>519</v>
      </c>
      <c r="C42" s="250" t="s">
        <v>3974</v>
      </c>
      <c r="D42" s="268" t="s">
        <v>495</v>
      </c>
      <c r="E42" s="417">
        <v>44105.0</v>
      </c>
      <c r="F42" s="250" t="s">
        <v>499</v>
      </c>
      <c r="G42" s="403">
        <v>1.0</v>
      </c>
      <c r="H42" s="403">
        <v>50.0</v>
      </c>
      <c r="I42" s="403">
        <v>50.0</v>
      </c>
      <c r="J42" s="391">
        <f t="shared" si="2"/>
        <v>0.01511350054</v>
      </c>
      <c r="K42" s="392">
        <f t="shared" si="3"/>
        <v>2.342592584</v>
      </c>
      <c r="L42" s="327">
        <f t="shared" si="4"/>
        <v>3.573840311</v>
      </c>
      <c r="M42" s="321" t="str">
        <f t="shared" si="5"/>
        <v>geleeroyale</v>
      </c>
      <c r="N42" s="18">
        <v>4.0</v>
      </c>
    </row>
    <row r="43">
      <c r="A43" s="226" t="s">
        <v>50</v>
      </c>
      <c r="B43" s="226" t="s">
        <v>519</v>
      </c>
      <c r="C43" s="250" t="s">
        <v>3975</v>
      </c>
      <c r="D43" s="268" t="s">
        <v>495</v>
      </c>
      <c r="E43" s="417">
        <v>44106.0</v>
      </c>
      <c r="F43" s="250" t="s">
        <v>496</v>
      </c>
      <c r="G43" s="403">
        <v>1.0</v>
      </c>
      <c r="H43" s="403">
        <v>30.0</v>
      </c>
      <c r="I43" s="403">
        <v>5.0</v>
      </c>
      <c r="J43" s="391">
        <f t="shared" si="2"/>
        <v>0.00546579485</v>
      </c>
      <c r="K43" s="392">
        <f t="shared" si="3"/>
        <v>0.8471982018</v>
      </c>
      <c r="L43" s="327">
        <f t="shared" si="4"/>
        <v>3.573840311</v>
      </c>
      <c r="M43" s="321" t="str">
        <f t="shared" si="5"/>
        <v>geleeroyale</v>
      </c>
      <c r="N43" s="18">
        <v>5.0</v>
      </c>
    </row>
    <row r="44">
      <c r="A44" s="226" t="s">
        <v>50</v>
      </c>
      <c r="B44" s="226" t="s">
        <v>18</v>
      </c>
      <c r="C44" s="250" t="s">
        <v>3976</v>
      </c>
      <c r="D44" s="268" t="s">
        <v>495</v>
      </c>
      <c r="E44" s="417">
        <v>44111.0</v>
      </c>
      <c r="F44" s="250" t="s">
        <v>496</v>
      </c>
      <c r="G44" s="403">
        <v>1.0</v>
      </c>
      <c r="H44" s="403">
        <v>0.0</v>
      </c>
      <c r="I44" s="404"/>
      <c r="J44" s="391">
        <f t="shared" si="2"/>
        <v>0</v>
      </c>
      <c r="K44" s="392">
        <f t="shared" si="3"/>
        <v>0</v>
      </c>
      <c r="L44" s="327">
        <f t="shared" si="4"/>
        <v>3.573840311</v>
      </c>
      <c r="M44" s="321" t="str">
        <f t="shared" si="5"/>
        <v>geleeroyale</v>
      </c>
      <c r="N44" s="18">
        <v>6.0</v>
      </c>
    </row>
    <row r="45">
      <c r="A45" s="226" t="s">
        <v>50</v>
      </c>
      <c r="B45" s="226" t="s">
        <v>590</v>
      </c>
      <c r="C45" s="250" t="s">
        <v>3977</v>
      </c>
      <c r="D45" s="268" t="s">
        <v>495</v>
      </c>
      <c r="E45" s="417">
        <v>44099.0</v>
      </c>
      <c r="F45" s="250" t="s">
        <v>499</v>
      </c>
      <c r="G45" s="403">
        <v>3.0</v>
      </c>
      <c r="H45" s="403">
        <v>1.0</v>
      </c>
      <c r="I45" s="403">
        <v>10.0</v>
      </c>
      <c r="J45" s="391">
        <f t="shared" si="2"/>
        <v>0.001599099982</v>
      </c>
      <c r="K45" s="392">
        <f t="shared" si="3"/>
        <v>0.2478604972</v>
      </c>
      <c r="L45" s="327">
        <f t="shared" si="4"/>
        <v>3.573840311</v>
      </c>
      <c r="M45" s="321" t="str">
        <f t="shared" si="5"/>
        <v>geleeroyale</v>
      </c>
      <c r="N45" s="18">
        <v>1.0</v>
      </c>
    </row>
    <row r="46">
      <c r="A46" s="226" t="s">
        <v>117</v>
      </c>
      <c r="B46" s="226" t="s">
        <v>519</v>
      </c>
      <c r="C46" s="250" t="s">
        <v>3978</v>
      </c>
      <c r="D46" s="268" t="s">
        <v>495</v>
      </c>
      <c r="E46" s="417">
        <v>44104.0</v>
      </c>
      <c r="F46" s="250" t="s">
        <v>499</v>
      </c>
      <c r="G46" s="403">
        <v>3.0</v>
      </c>
      <c r="H46" s="403">
        <v>5.0</v>
      </c>
      <c r="I46" s="403">
        <v>5.0</v>
      </c>
      <c r="J46" s="391">
        <f t="shared" si="2"/>
        <v>0.001511350054</v>
      </c>
      <c r="K46" s="392">
        <f t="shared" si="3"/>
        <v>0.2342592584</v>
      </c>
      <c r="L46" s="327">
        <f t="shared" si="4"/>
        <v>0.2342592584</v>
      </c>
      <c r="M46" s="321" t="str">
        <f t="shared" si="5"/>
        <v>gfriis</v>
      </c>
      <c r="N46" s="18">
        <v>1.0</v>
      </c>
    </row>
    <row r="47">
      <c r="A47" s="226" t="s">
        <v>376</v>
      </c>
      <c r="B47" s="226" t="s">
        <v>77</v>
      </c>
      <c r="C47" s="250" t="s">
        <v>3962</v>
      </c>
      <c r="D47" s="268" t="s">
        <v>495</v>
      </c>
      <c r="E47" s="417">
        <v>44102.0</v>
      </c>
      <c r="F47" s="250" t="s">
        <v>499</v>
      </c>
      <c r="G47" s="403">
        <v>3.0</v>
      </c>
      <c r="H47" s="403">
        <v>1.0</v>
      </c>
      <c r="I47" s="403">
        <v>4.0</v>
      </c>
      <c r="J47" s="391">
        <f t="shared" si="2"/>
        <v>0.0007345466679</v>
      </c>
      <c r="K47" s="392">
        <f t="shared" si="3"/>
        <v>0.1138547335</v>
      </c>
      <c r="L47" s="327">
        <f t="shared" si="4"/>
        <v>0.1138547335</v>
      </c>
      <c r="M47" s="321" t="str">
        <f t="shared" si="5"/>
        <v>gijsspoor</v>
      </c>
      <c r="N47" s="18">
        <v>1.0</v>
      </c>
    </row>
    <row r="48">
      <c r="A48" s="226" t="s">
        <v>16</v>
      </c>
      <c r="B48" s="226" t="s">
        <v>590</v>
      </c>
      <c r="C48" s="250" t="s">
        <v>3949</v>
      </c>
      <c r="D48" s="268" t="s">
        <v>495</v>
      </c>
      <c r="E48" s="417">
        <v>44103.0</v>
      </c>
      <c r="F48" s="250" t="s">
        <v>496</v>
      </c>
      <c r="G48" s="403">
        <v>1.0</v>
      </c>
      <c r="H48" s="403">
        <v>0.0</v>
      </c>
      <c r="I48" s="403">
        <v>0.0</v>
      </c>
      <c r="J48" s="391">
        <f t="shared" si="2"/>
        <v>0</v>
      </c>
      <c r="K48" s="392">
        <f t="shared" si="3"/>
        <v>0</v>
      </c>
      <c r="L48" s="327">
        <f t="shared" si="4"/>
        <v>0</v>
      </c>
      <c r="M48" s="321" t="str">
        <f t="shared" si="5"/>
        <v>griffgreen</v>
      </c>
      <c r="N48" s="18">
        <v>1.0</v>
      </c>
    </row>
    <row r="49">
      <c r="A49" s="226" t="s">
        <v>16</v>
      </c>
      <c r="B49" s="226" t="s">
        <v>519</v>
      </c>
      <c r="C49" s="250" t="s">
        <v>3979</v>
      </c>
      <c r="D49" s="268" t="s">
        <v>495</v>
      </c>
      <c r="E49" s="417">
        <v>44105.0</v>
      </c>
      <c r="F49" s="250" t="s">
        <v>496</v>
      </c>
      <c r="G49" s="403">
        <v>1.0</v>
      </c>
      <c r="H49" s="403">
        <v>0.0</v>
      </c>
      <c r="I49" s="403">
        <v>0.0</v>
      </c>
      <c r="J49" s="391">
        <f t="shared" si="2"/>
        <v>0</v>
      </c>
      <c r="K49" s="392">
        <f t="shared" si="3"/>
        <v>0</v>
      </c>
      <c r="L49" s="327">
        <f t="shared" si="4"/>
        <v>0</v>
      </c>
      <c r="M49" s="321" t="str">
        <f t="shared" si="5"/>
        <v>griffgreen</v>
      </c>
      <c r="N49" s="18">
        <v>2.0</v>
      </c>
    </row>
    <row r="50">
      <c r="A50" s="226" t="s">
        <v>16</v>
      </c>
      <c r="B50" s="226" t="s">
        <v>18</v>
      </c>
      <c r="C50" s="250" t="s">
        <v>3980</v>
      </c>
      <c r="D50" s="268" t="s">
        <v>495</v>
      </c>
      <c r="E50" s="417">
        <v>44109.0</v>
      </c>
      <c r="F50" s="250" t="s">
        <v>496</v>
      </c>
      <c r="G50" s="403">
        <v>1.0</v>
      </c>
      <c r="H50" s="403">
        <v>0.0</v>
      </c>
      <c r="I50" s="403">
        <v>0.0</v>
      </c>
      <c r="J50" s="391">
        <f t="shared" si="2"/>
        <v>0</v>
      </c>
      <c r="K50" s="392">
        <f t="shared" si="3"/>
        <v>0</v>
      </c>
      <c r="L50" s="327">
        <f t="shared" si="4"/>
        <v>0</v>
      </c>
      <c r="M50" s="321" t="str">
        <f t="shared" si="5"/>
        <v>griffgreen</v>
      </c>
      <c r="N50" s="18">
        <v>3.0</v>
      </c>
    </row>
    <row r="51">
      <c r="A51" s="226" t="s">
        <v>16</v>
      </c>
      <c r="B51" s="226" t="s">
        <v>519</v>
      </c>
      <c r="C51" s="250" t="s">
        <v>3953</v>
      </c>
      <c r="D51" s="268" t="s">
        <v>495</v>
      </c>
      <c r="E51" s="417">
        <v>44110.0</v>
      </c>
      <c r="F51" s="250" t="s">
        <v>496</v>
      </c>
      <c r="G51" s="403">
        <v>1.0</v>
      </c>
      <c r="H51" s="403">
        <v>0.0</v>
      </c>
      <c r="I51" s="403">
        <v>0.0</v>
      </c>
      <c r="J51" s="391">
        <f t="shared" si="2"/>
        <v>0</v>
      </c>
      <c r="K51" s="392">
        <f t="shared" si="3"/>
        <v>0</v>
      </c>
      <c r="L51" s="327">
        <f t="shared" si="4"/>
        <v>0</v>
      </c>
      <c r="M51" s="321" t="str">
        <f t="shared" si="5"/>
        <v>griffgreen</v>
      </c>
      <c r="N51" s="18">
        <v>4.0</v>
      </c>
    </row>
    <row r="52">
      <c r="A52" s="226" t="s">
        <v>16</v>
      </c>
      <c r="B52" s="226" t="s">
        <v>18</v>
      </c>
      <c r="C52" s="250" t="s">
        <v>3954</v>
      </c>
      <c r="D52" s="268" t="s">
        <v>495</v>
      </c>
      <c r="E52" s="417">
        <v>44111.0</v>
      </c>
      <c r="F52" s="250" t="s">
        <v>496</v>
      </c>
      <c r="G52" s="403">
        <v>1.0</v>
      </c>
      <c r="H52" s="403">
        <v>0.0</v>
      </c>
      <c r="I52" s="403">
        <v>0.0</v>
      </c>
      <c r="J52" s="391">
        <f t="shared" si="2"/>
        <v>0</v>
      </c>
      <c r="K52" s="392">
        <f t="shared" si="3"/>
        <v>0</v>
      </c>
      <c r="L52" s="327">
        <f t="shared" si="4"/>
        <v>0</v>
      </c>
      <c r="M52" s="321" t="str">
        <f t="shared" si="5"/>
        <v>griffgreen</v>
      </c>
      <c r="N52" s="18">
        <v>5.0</v>
      </c>
    </row>
    <row r="53">
      <c r="A53" s="226" t="s">
        <v>16</v>
      </c>
      <c r="B53" s="226" t="s">
        <v>18</v>
      </c>
      <c r="C53" s="250" t="s">
        <v>3976</v>
      </c>
      <c r="D53" s="268" t="s">
        <v>495</v>
      </c>
      <c r="E53" s="417">
        <v>44111.0</v>
      </c>
      <c r="F53" s="250" t="s">
        <v>496</v>
      </c>
      <c r="G53" s="403">
        <v>1.0</v>
      </c>
      <c r="H53" s="403">
        <v>0.0</v>
      </c>
      <c r="I53" s="403">
        <v>0.0</v>
      </c>
      <c r="J53" s="391">
        <f t="shared" si="2"/>
        <v>0</v>
      </c>
      <c r="K53" s="392">
        <f t="shared" si="3"/>
        <v>0</v>
      </c>
      <c r="L53" s="327">
        <f t="shared" si="4"/>
        <v>0</v>
      </c>
      <c r="M53" s="321" t="str">
        <f t="shared" si="5"/>
        <v>griffgreen</v>
      </c>
      <c r="N53" s="18">
        <v>6.0</v>
      </c>
    </row>
    <row r="54">
      <c r="A54" s="226" t="s">
        <v>16</v>
      </c>
      <c r="B54" s="226" t="s">
        <v>5</v>
      </c>
      <c r="C54" s="250" t="s">
        <v>3981</v>
      </c>
      <c r="D54" s="268" t="s">
        <v>495</v>
      </c>
      <c r="E54" s="417">
        <v>44111.0</v>
      </c>
      <c r="F54" s="250" t="s">
        <v>496</v>
      </c>
      <c r="G54" s="403">
        <v>1.0</v>
      </c>
      <c r="H54" s="403">
        <v>0.0</v>
      </c>
      <c r="I54" s="403">
        <v>0.0</v>
      </c>
      <c r="J54" s="391">
        <f t="shared" si="2"/>
        <v>0</v>
      </c>
      <c r="K54" s="392">
        <f t="shared" si="3"/>
        <v>0</v>
      </c>
      <c r="L54" s="327">
        <f t="shared" si="4"/>
        <v>0</v>
      </c>
      <c r="M54" s="321" t="str">
        <f t="shared" si="5"/>
        <v>griffgreen</v>
      </c>
      <c r="N54" s="18">
        <v>7.0</v>
      </c>
    </row>
    <row r="55">
      <c r="A55" s="226" t="s">
        <v>16</v>
      </c>
      <c r="B55" s="226" t="s">
        <v>590</v>
      </c>
      <c r="C55" s="250" t="s">
        <v>3958</v>
      </c>
      <c r="D55" s="268" t="s">
        <v>495</v>
      </c>
      <c r="E55" s="417">
        <v>44111.0</v>
      </c>
      <c r="F55" s="250" t="s">
        <v>496</v>
      </c>
      <c r="G55" s="403">
        <v>1.0</v>
      </c>
      <c r="H55" s="403">
        <v>0.0</v>
      </c>
      <c r="I55" s="403">
        <v>0.0</v>
      </c>
      <c r="J55" s="391">
        <f t="shared" si="2"/>
        <v>0</v>
      </c>
      <c r="K55" s="392">
        <f t="shared" si="3"/>
        <v>0</v>
      </c>
      <c r="L55" s="327">
        <f t="shared" si="4"/>
        <v>0</v>
      </c>
      <c r="M55" s="321" t="str">
        <f t="shared" si="5"/>
        <v>griffgreen</v>
      </c>
      <c r="N55" s="18">
        <v>8.0</v>
      </c>
    </row>
    <row r="56">
      <c r="A56" s="226" t="s">
        <v>54</v>
      </c>
      <c r="B56" s="226" t="s">
        <v>18</v>
      </c>
      <c r="C56" s="250" t="s">
        <v>3982</v>
      </c>
      <c r="D56" s="268" t="s">
        <v>495</v>
      </c>
      <c r="E56" s="417">
        <v>44105.0</v>
      </c>
      <c r="F56" s="250" t="s">
        <v>496</v>
      </c>
      <c r="G56" s="403">
        <v>1.0</v>
      </c>
      <c r="H56" s="403">
        <v>40.0</v>
      </c>
      <c r="I56" s="403">
        <v>40.0</v>
      </c>
      <c r="J56" s="391">
        <f t="shared" si="2"/>
        <v>0.01209080043</v>
      </c>
      <c r="K56" s="392">
        <f t="shared" si="3"/>
        <v>1.874074067</v>
      </c>
      <c r="L56" s="327">
        <f t="shared" si="4"/>
        <v>1.874074067</v>
      </c>
      <c r="M56" s="321" t="str">
        <f t="shared" si="5"/>
        <v>hbesso31</v>
      </c>
      <c r="N56" s="18">
        <v>1.0</v>
      </c>
    </row>
    <row r="57">
      <c r="A57" s="226" t="s">
        <v>375</v>
      </c>
      <c r="B57" s="226" t="s">
        <v>77</v>
      </c>
      <c r="C57" s="250" t="s">
        <v>3962</v>
      </c>
      <c r="D57" s="268" t="s">
        <v>495</v>
      </c>
      <c r="E57" s="417">
        <v>44102.0</v>
      </c>
      <c r="F57" s="250" t="s">
        <v>499</v>
      </c>
      <c r="G57" s="403">
        <v>3.0</v>
      </c>
      <c r="H57" s="403">
        <v>1.0</v>
      </c>
      <c r="I57" s="403">
        <v>4.0</v>
      </c>
      <c r="J57" s="391">
        <f t="shared" si="2"/>
        <v>0.0007345466679</v>
      </c>
      <c r="K57" s="392">
        <f t="shared" si="3"/>
        <v>0.1138547335</v>
      </c>
      <c r="L57" s="327">
        <f t="shared" si="4"/>
        <v>0.1138547335</v>
      </c>
      <c r="M57" s="321" t="str">
        <f t="shared" si="5"/>
        <v>hubway</v>
      </c>
      <c r="N57" s="18">
        <v>1.0</v>
      </c>
    </row>
    <row r="58">
      <c r="A58" s="226" t="s">
        <v>146</v>
      </c>
      <c r="B58" s="226" t="s">
        <v>519</v>
      </c>
      <c r="C58" s="250" t="s">
        <v>3953</v>
      </c>
      <c r="D58" s="268" t="s">
        <v>495</v>
      </c>
      <c r="E58" s="417">
        <v>44110.0</v>
      </c>
      <c r="F58" s="250" t="s">
        <v>496</v>
      </c>
      <c r="G58" s="403">
        <v>1.0</v>
      </c>
      <c r="H58" s="403">
        <v>40.0</v>
      </c>
      <c r="I58" s="403">
        <v>40.0</v>
      </c>
      <c r="J58" s="391">
        <f t="shared" si="2"/>
        <v>0.01209080043</v>
      </c>
      <c r="K58" s="392">
        <f t="shared" si="3"/>
        <v>1.874074067</v>
      </c>
      <c r="L58" s="327">
        <f t="shared" si="4"/>
        <v>1.874074067</v>
      </c>
      <c r="M58" s="321" t="str">
        <f t="shared" si="5"/>
        <v>jakublanc</v>
      </c>
      <c r="N58" s="18">
        <v>1.0</v>
      </c>
    </row>
    <row r="59">
      <c r="A59" s="226" t="s">
        <v>29</v>
      </c>
      <c r="B59" s="226" t="s">
        <v>519</v>
      </c>
      <c r="C59" s="250" t="s">
        <v>3983</v>
      </c>
      <c r="D59" s="268" t="s">
        <v>495</v>
      </c>
      <c r="E59" s="417">
        <v>44105.0</v>
      </c>
      <c r="F59" s="250" t="s">
        <v>499</v>
      </c>
      <c r="G59" s="403">
        <v>1.0</v>
      </c>
      <c r="H59" s="403">
        <v>30.0</v>
      </c>
      <c r="I59" s="403">
        <v>40.0</v>
      </c>
      <c r="J59" s="391">
        <f t="shared" si="2"/>
        <v>0.01050902252</v>
      </c>
      <c r="K59" s="392">
        <f t="shared" si="3"/>
        <v>1.62889849</v>
      </c>
      <c r="L59" s="327">
        <f t="shared" si="4"/>
        <v>6.698133183</v>
      </c>
      <c r="M59" s="321" t="str">
        <f t="shared" si="5"/>
        <v>jeffemmett</v>
      </c>
      <c r="N59" s="18">
        <v>2.0</v>
      </c>
    </row>
    <row r="60">
      <c r="A60" s="226" t="s">
        <v>29</v>
      </c>
      <c r="B60" s="226" t="s">
        <v>590</v>
      </c>
      <c r="C60" s="250" t="s">
        <v>3961</v>
      </c>
      <c r="D60" s="268" t="s">
        <v>495</v>
      </c>
      <c r="E60" s="417">
        <v>44105.0</v>
      </c>
      <c r="F60" s="250" t="s">
        <v>496</v>
      </c>
      <c r="G60" s="403">
        <v>1.0</v>
      </c>
      <c r="H60" s="403">
        <v>40.0</v>
      </c>
      <c r="I60" s="403">
        <v>40.0</v>
      </c>
      <c r="J60" s="391">
        <f t="shared" si="2"/>
        <v>0.01209080043</v>
      </c>
      <c r="K60" s="392">
        <f t="shared" si="3"/>
        <v>1.874074067</v>
      </c>
      <c r="L60" s="327">
        <f t="shared" si="4"/>
        <v>6.698133183</v>
      </c>
      <c r="M60" s="321" t="str">
        <f t="shared" si="5"/>
        <v>jeffemmett</v>
      </c>
      <c r="N60" s="18">
        <v>3.0</v>
      </c>
    </row>
    <row r="61">
      <c r="A61" s="226" t="s">
        <v>29</v>
      </c>
      <c r="B61" s="226" t="s">
        <v>18</v>
      </c>
      <c r="C61" s="250" t="s">
        <v>3954</v>
      </c>
      <c r="D61" s="268" t="s">
        <v>495</v>
      </c>
      <c r="E61" s="417">
        <v>44111.0</v>
      </c>
      <c r="F61" s="250" t="s">
        <v>496</v>
      </c>
      <c r="G61" s="403">
        <v>1.0</v>
      </c>
      <c r="H61" s="403">
        <v>40.0</v>
      </c>
      <c r="I61" s="403">
        <v>40.0</v>
      </c>
      <c r="J61" s="391">
        <f t="shared" si="2"/>
        <v>0.01209080043</v>
      </c>
      <c r="K61" s="392">
        <f t="shared" si="3"/>
        <v>1.874074067</v>
      </c>
      <c r="L61" s="327">
        <f t="shared" si="4"/>
        <v>6.698133183</v>
      </c>
      <c r="M61" s="321" t="str">
        <f t="shared" si="5"/>
        <v>jeffemmett</v>
      </c>
      <c r="N61" s="18">
        <v>4.0</v>
      </c>
    </row>
    <row r="62">
      <c r="A62" s="226" t="s">
        <v>29</v>
      </c>
      <c r="B62" s="226" t="s">
        <v>590</v>
      </c>
      <c r="C62" s="250" t="s">
        <v>3958</v>
      </c>
      <c r="D62" s="268" t="s">
        <v>495</v>
      </c>
      <c r="E62" s="417">
        <v>44111.0</v>
      </c>
      <c r="F62" s="250" t="s">
        <v>496</v>
      </c>
      <c r="G62" s="403">
        <v>1.0</v>
      </c>
      <c r="H62" s="403">
        <v>20.0</v>
      </c>
      <c r="I62" s="403">
        <v>30.0</v>
      </c>
      <c r="J62" s="391">
        <f t="shared" si="2"/>
        <v>0.007486322407</v>
      </c>
      <c r="K62" s="392">
        <f t="shared" si="3"/>
        <v>1.160379973</v>
      </c>
      <c r="L62" s="327">
        <f t="shared" si="4"/>
        <v>6.698133183</v>
      </c>
      <c r="M62" s="321" t="str">
        <f t="shared" si="5"/>
        <v>jeffemmett</v>
      </c>
      <c r="N62" s="18">
        <v>5.0</v>
      </c>
    </row>
    <row r="63">
      <c r="A63" s="226" t="s">
        <v>29</v>
      </c>
      <c r="B63" s="226" t="s">
        <v>519</v>
      </c>
      <c r="C63" s="250" t="s">
        <v>3984</v>
      </c>
      <c r="D63" s="268" t="s">
        <v>495</v>
      </c>
      <c r="E63" s="417">
        <v>44103.0</v>
      </c>
      <c r="F63" s="250" t="s">
        <v>499</v>
      </c>
      <c r="G63" s="403">
        <v>3.0</v>
      </c>
      <c r="H63" s="403">
        <v>2.0</v>
      </c>
      <c r="I63" s="403">
        <v>5.0</v>
      </c>
      <c r="J63" s="391">
        <f t="shared" si="2"/>
        <v>0.001036816679</v>
      </c>
      <c r="K63" s="392">
        <f t="shared" si="3"/>
        <v>0.1607065852</v>
      </c>
      <c r="L63" s="327">
        <f t="shared" si="4"/>
        <v>6.698133183</v>
      </c>
      <c r="M63" s="321" t="str">
        <f t="shared" si="5"/>
        <v>jeffemmett</v>
      </c>
      <c r="N63" s="18">
        <v>1.0</v>
      </c>
    </row>
    <row r="64">
      <c r="A64" s="226" t="s">
        <v>14</v>
      </c>
      <c r="B64" s="226" t="s">
        <v>519</v>
      </c>
      <c r="C64" s="250" t="s">
        <v>3983</v>
      </c>
      <c r="D64" s="268" t="s">
        <v>495</v>
      </c>
      <c r="E64" s="417">
        <v>44105.0</v>
      </c>
      <c r="F64" s="250" t="s">
        <v>499</v>
      </c>
      <c r="G64" s="403">
        <v>1.0</v>
      </c>
      <c r="H64" s="403">
        <v>100.0</v>
      </c>
      <c r="I64" s="403">
        <v>100.0</v>
      </c>
      <c r="J64" s="391">
        <f t="shared" si="2"/>
        <v>0.03022700109</v>
      </c>
      <c r="K64" s="392">
        <f t="shared" si="3"/>
        <v>4.685185168</v>
      </c>
      <c r="L64" s="327">
        <f t="shared" si="4"/>
        <v>23.0391914</v>
      </c>
      <c r="M64" s="321" t="str">
        <f t="shared" si="5"/>
        <v>jessicazartler</v>
      </c>
      <c r="N64" s="18">
        <v>2.0</v>
      </c>
    </row>
    <row r="65">
      <c r="A65" s="226" t="s">
        <v>14</v>
      </c>
      <c r="B65" s="226" t="s">
        <v>519</v>
      </c>
      <c r="C65" s="250" t="s">
        <v>3979</v>
      </c>
      <c r="D65" s="268" t="s">
        <v>495</v>
      </c>
      <c r="E65" s="417">
        <v>44105.0</v>
      </c>
      <c r="F65" s="250" t="s">
        <v>496</v>
      </c>
      <c r="G65" s="403">
        <v>1.0</v>
      </c>
      <c r="H65" s="403">
        <v>150.0</v>
      </c>
      <c r="I65" s="403">
        <v>100.0</v>
      </c>
      <c r="J65" s="391">
        <f t="shared" si="2"/>
        <v>0.03813589068</v>
      </c>
      <c r="K65" s="392">
        <f t="shared" si="3"/>
        <v>5.911063055</v>
      </c>
      <c r="L65" s="327">
        <f t="shared" si="4"/>
        <v>23.0391914</v>
      </c>
      <c r="M65" s="321" t="str">
        <f t="shared" si="5"/>
        <v>jessicazartler</v>
      </c>
      <c r="N65" s="18">
        <v>3.0</v>
      </c>
    </row>
    <row r="66">
      <c r="A66" s="226" t="s">
        <v>14</v>
      </c>
      <c r="B66" s="226" t="s">
        <v>519</v>
      </c>
      <c r="C66" s="250" t="s">
        <v>3985</v>
      </c>
      <c r="D66" s="268" t="s">
        <v>495</v>
      </c>
      <c r="E66" s="417">
        <v>44110.0</v>
      </c>
      <c r="F66" s="250" t="s">
        <v>496</v>
      </c>
      <c r="G66" s="403">
        <v>1.0</v>
      </c>
      <c r="H66" s="403">
        <v>200.0</v>
      </c>
      <c r="I66" s="403">
        <v>200.0</v>
      </c>
      <c r="J66" s="391">
        <f t="shared" si="2"/>
        <v>0.06045400217</v>
      </c>
      <c r="K66" s="392">
        <f t="shared" si="3"/>
        <v>9.370370337</v>
      </c>
      <c r="L66" s="327">
        <f t="shared" si="4"/>
        <v>23.0391914</v>
      </c>
      <c r="M66" s="321" t="str">
        <f t="shared" si="5"/>
        <v>jessicazartler</v>
      </c>
      <c r="N66" s="18">
        <v>4.0</v>
      </c>
    </row>
    <row r="67">
      <c r="A67" s="226" t="s">
        <v>14</v>
      </c>
      <c r="B67" s="226" t="s">
        <v>18</v>
      </c>
      <c r="C67" s="250" t="s">
        <v>3954</v>
      </c>
      <c r="D67" s="268" t="s">
        <v>495</v>
      </c>
      <c r="E67" s="417">
        <v>44111.0</v>
      </c>
      <c r="F67" s="250" t="s">
        <v>496</v>
      </c>
      <c r="G67" s="403">
        <v>1.0</v>
      </c>
      <c r="H67" s="403">
        <v>40.0</v>
      </c>
      <c r="I67" s="403">
        <v>40.0</v>
      </c>
      <c r="J67" s="391">
        <f t="shared" si="2"/>
        <v>0.01209080043</v>
      </c>
      <c r="K67" s="392">
        <f t="shared" si="3"/>
        <v>1.874074067</v>
      </c>
      <c r="L67" s="327">
        <f t="shared" si="4"/>
        <v>23.0391914</v>
      </c>
      <c r="M67" s="321" t="str">
        <f t="shared" si="5"/>
        <v>jessicazartler</v>
      </c>
      <c r="N67" s="18">
        <v>5.0</v>
      </c>
    </row>
    <row r="68">
      <c r="A68" s="226" t="s">
        <v>14</v>
      </c>
      <c r="B68" s="226" t="s">
        <v>5</v>
      </c>
      <c r="C68" s="250" t="s">
        <v>3986</v>
      </c>
      <c r="D68" s="268" t="s">
        <v>495</v>
      </c>
      <c r="E68" s="417">
        <v>44111.0</v>
      </c>
      <c r="F68" s="250" t="s">
        <v>496</v>
      </c>
      <c r="G68" s="403">
        <v>1.0</v>
      </c>
      <c r="H68" s="403">
        <v>5.0</v>
      </c>
      <c r="I68" s="403">
        <v>10.0</v>
      </c>
      <c r="J68" s="391">
        <f t="shared" si="2"/>
        <v>0.002231811149</v>
      </c>
      <c r="K68" s="392">
        <f t="shared" si="3"/>
        <v>0.3459307282</v>
      </c>
      <c r="L68" s="327">
        <f t="shared" si="4"/>
        <v>23.0391914</v>
      </c>
      <c r="M68" s="321" t="str">
        <f t="shared" si="5"/>
        <v>jessicazartler</v>
      </c>
      <c r="N68" s="18">
        <v>6.0</v>
      </c>
    </row>
    <row r="69">
      <c r="A69" s="226" t="s">
        <v>14</v>
      </c>
      <c r="B69" s="226" t="s">
        <v>519</v>
      </c>
      <c r="C69" s="250" t="s">
        <v>3987</v>
      </c>
      <c r="D69" s="268" t="s">
        <v>495</v>
      </c>
      <c r="E69" s="417">
        <v>44112.0</v>
      </c>
      <c r="F69" s="250" t="s">
        <v>496</v>
      </c>
      <c r="G69" s="403">
        <v>2.0</v>
      </c>
      <c r="H69" s="403">
        <v>10.0</v>
      </c>
      <c r="I69" s="403">
        <v>20.0</v>
      </c>
      <c r="J69" s="391">
        <f t="shared" si="2"/>
        <v>0.004463622299</v>
      </c>
      <c r="K69" s="392">
        <f t="shared" si="3"/>
        <v>0.6918614563</v>
      </c>
      <c r="L69" s="327">
        <f t="shared" si="4"/>
        <v>23.0391914</v>
      </c>
      <c r="M69" s="321" t="str">
        <f t="shared" si="5"/>
        <v>jessicazartler</v>
      </c>
      <c r="N69" s="18">
        <v>7.0</v>
      </c>
    </row>
    <row r="70">
      <c r="A70" s="226" t="s">
        <v>14</v>
      </c>
      <c r="B70" s="226" t="s">
        <v>519</v>
      </c>
      <c r="C70" s="250" t="s">
        <v>3984</v>
      </c>
      <c r="D70" s="268" t="s">
        <v>495</v>
      </c>
      <c r="E70" s="417">
        <v>44103.0</v>
      </c>
      <c r="F70" s="250" t="s">
        <v>499</v>
      </c>
      <c r="G70" s="403">
        <v>3.0</v>
      </c>
      <c r="H70" s="403">
        <v>2.0</v>
      </c>
      <c r="I70" s="403">
        <v>5.0</v>
      </c>
      <c r="J70" s="391">
        <f t="shared" si="2"/>
        <v>0.001036816679</v>
      </c>
      <c r="K70" s="392">
        <f t="shared" si="3"/>
        <v>0.1607065852</v>
      </c>
      <c r="L70" s="327">
        <f t="shared" si="4"/>
        <v>23.0391914</v>
      </c>
      <c r="M70" s="321" t="str">
        <f t="shared" si="5"/>
        <v>jessicazartler</v>
      </c>
      <c r="N70" s="18">
        <v>1.0</v>
      </c>
    </row>
    <row r="71">
      <c r="A71" s="226" t="s">
        <v>15</v>
      </c>
      <c r="B71" s="226" t="s">
        <v>18</v>
      </c>
      <c r="C71" s="250" t="s">
        <v>3988</v>
      </c>
      <c r="D71" s="268" t="s">
        <v>495</v>
      </c>
      <c r="E71" s="417">
        <v>44111.0</v>
      </c>
      <c r="F71" s="250" t="s">
        <v>496</v>
      </c>
      <c r="G71" s="403">
        <v>1.0</v>
      </c>
      <c r="H71" s="403">
        <v>150.0</v>
      </c>
      <c r="I71" s="403">
        <v>100.0</v>
      </c>
      <c r="J71" s="391">
        <f t="shared" si="2"/>
        <v>0.03813589068</v>
      </c>
      <c r="K71" s="392">
        <f t="shared" si="3"/>
        <v>5.911063055</v>
      </c>
      <c r="L71" s="327">
        <f t="shared" si="4"/>
        <v>7.785137122</v>
      </c>
      <c r="M71" s="321" t="str">
        <f t="shared" si="5"/>
        <v>juankbell</v>
      </c>
      <c r="N71" s="18">
        <v>2.0</v>
      </c>
    </row>
    <row r="72">
      <c r="A72" s="226" t="s">
        <v>15</v>
      </c>
      <c r="B72" s="226" t="s">
        <v>18</v>
      </c>
      <c r="C72" s="250" t="s">
        <v>3954</v>
      </c>
      <c r="D72" s="268" t="s">
        <v>495</v>
      </c>
      <c r="E72" s="417">
        <v>44111.0</v>
      </c>
      <c r="F72" s="250" t="s">
        <v>496</v>
      </c>
      <c r="G72" s="403">
        <v>1.0</v>
      </c>
      <c r="H72" s="403">
        <v>40.0</v>
      </c>
      <c r="I72" s="403">
        <v>40.0</v>
      </c>
      <c r="J72" s="391">
        <f t="shared" si="2"/>
        <v>0.01209080043</v>
      </c>
      <c r="K72" s="392">
        <f t="shared" si="3"/>
        <v>1.874074067</v>
      </c>
      <c r="L72" s="327">
        <f t="shared" si="4"/>
        <v>7.785137122</v>
      </c>
      <c r="M72" s="321" t="str">
        <f t="shared" si="5"/>
        <v>juankbell</v>
      </c>
      <c r="N72" s="18">
        <v>1.0</v>
      </c>
    </row>
    <row r="73">
      <c r="A73" s="226" t="s">
        <v>124</v>
      </c>
      <c r="B73" s="226" t="s">
        <v>519</v>
      </c>
      <c r="C73" s="250" t="s">
        <v>3989</v>
      </c>
      <c r="D73" s="268" t="s">
        <v>495</v>
      </c>
      <c r="E73" s="417">
        <v>44106.0</v>
      </c>
      <c r="F73" s="250" t="s">
        <v>499</v>
      </c>
      <c r="G73" s="403">
        <v>2.0</v>
      </c>
      <c r="H73" s="403">
        <v>5.0</v>
      </c>
      <c r="I73" s="403">
        <v>30.0</v>
      </c>
      <c r="J73" s="391">
        <f t="shared" si="2"/>
        <v>0.00511365553</v>
      </c>
      <c r="K73" s="392">
        <f t="shared" si="3"/>
        <v>0.7926166071</v>
      </c>
      <c r="L73" s="327">
        <f t="shared" si="4"/>
        <v>0.7926166071</v>
      </c>
      <c r="M73" s="321" t="str">
        <f t="shared" si="5"/>
        <v>juliet_myea</v>
      </c>
      <c r="N73" s="18">
        <v>1.0</v>
      </c>
    </row>
    <row r="74">
      <c r="A74" s="226" t="s">
        <v>18</v>
      </c>
      <c r="B74" s="226" t="s">
        <v>9</v>
      </c>
      <c r="C74" s="250" t="s">
        <v>3990</v>
      </c>
      <c r="D74" s="268" t="s">
        <v>495</v>
      </c>
      <c r="E74" s="417">
        <v>44099.0</v>
      </c>
      <c r="F74" s="250" t="s">
        <v>496</v>
      </c>
      <c r="G74" s="403">
        <v>1.0</v>
      </c>
      <c r="H74" s="403">
        <v>0.0</v>
      </c>
      <c r="I74" s="403">
        <v>0.0</v>
      </c>
      <c r="J74" s="391">
        <f t="shared" si="2"/>
        <v>0</v>
      </c>
      <c r="K74" s="392">
        <f t="shared" si="3"/>
        <v>0</v>
      </c>
      <c r="L74" s="327">
        <f t="shared" si="4"/>
        <v>0</v>
      </c>
      <c r="M74" s="321" t="str">
        <f t="shared" si="5"/>
        <v>liviade</v>
      </c>
      <c r="N74" s="18">
        <v>1.0</v>
      </c>
    </row>
    <row r="75">
      <c r="A75" s="226" t="s">
        <v>18</v>
      </c>
      <c r="B75" s="226" t="s">
        <v>590</v>
      </c>
      <c r="C75" s="250" t="s">
        <v>3949</v>
      </c>
      <c r="D75" s="268" t="s">
        <v>495</v>
      </c>
      <c r="E75" s="417">
        <v>44103.0</v>
      </c>
      <c r="F75" s="250" t="s">
        <v>496</v>
      </c>
      <c r="G75" s="403">
        <v>1.0</v>
      </c>
      <c r="H75" s="403">
        <v>0.0</v>
      </c>
      <c r="I75" s="403">
        <v>0.0</v>
      </c>
      <c r="J75" s="391">
        <f t="shared" si="2"/>
        <v>0</v>
      </c>
      <c r="K75" s="392">
        <f t="shared" si="3"/>
        <v>0</v>
      </c>
      <c r="L75" s="327">
        <f t="shared" si="4"/>
        <v>0</v>
      </c>
      <c r="M75" s="321" t="str">
        <f t="shared" si="5"/>
        <v>liviade</v>
      </c>
      <c r="N75" s="18">
        <v>2.0</v>
      </c>
    </row>
    <row r="76">
      <c r="A76" s="226" t="s">
        <v>18</v>
      </c>
      <c r="B76" s="226" t="s">
        <v>519</v>
      </c>
      <c r="C76" s="250" t="s">
        <v>3979</v>
      </c>
      <c r="D76" s="268" t="s">
        <v>495</v>
      </c>
      <c r="E76" s="417">
        <v>44105.0</v>
      </c>
      <c r="F76" s="250" t="s">
        <v>496</v>
      </c>
      <c r="G76" s="403">
        <v>1.0</v>
      </c>
      <c r="H76" s="403">
        <v>0.0</v>
      </c>
      <c r="I76" s="403">
        <v>0.0</v>
      </c>
      <c r="J76" s="391">
        <f t="shared" si="2"/>
        <v>0</v>
      </c>
      <c r="K76" s="392">
        <f t="shared" si="3"/>
        <v>0</v>
      </c>
      <c r="L76" s="327">
        <f t="shared" si="4"/>
        <v>0</v>
      </c>
      <c r="M76" s="321" t="str">
        <f t="shared" si="5"/>
        <v>liviade</v>
      </c>
      <c r="N76" s="18">
        <v>3.0</v>
      </c>
    </row>
    <row r="77">
      <c r="A77" s="226" t="s">
        <v>18</v>
      </c>
      <c r="B77" s="226" t="s">
        <v>519</v>
      </c>
      <c r="C77" s="250" t="s">
        <v>3991</v>
      </c>
      <c r="D77" s="268" t="s">
        <v>495</v>
      </c>
      <c r="E77" s="417">
        <v>44110.0</v>
      </c>
      <c r="F77" s="250" t="s">
        <v>496</v>
      </c>
      <c r="G77" s="403">
        <v>1.0</v>
      </c>
      <c r="H77" s="403">
        <v>0.0</v>
      </c>
      <c r="I77" s="403">
        <v>0.0</v>
      </c>
      <c r="J77" s="391">
        <f t="shared" si="2"/>
        <v>0</v>
      </c>
      <c r="K77" s="392">
        <f t="shared" si="3"/>
        <v>0</v>
      </c>
      <c r="L77" s="327">
        <f t="shared" si="4"/>
        <v>0</v>
      </c>
      <c r="M77" s="321" t="str">
        <f t="shared" si="5"/>
        <v>liviade</v>
      </c>
      <c r="N77" s="18">
        <v>4.0</v>
      </c>
    </row>
    <row r="78">
      <c r="A78" s="226" t="s">
        <v>18</v>
      </c>
      <c r="B78" s="226" t="s">
        <v>519</v>
      </c>
      <c r="C78" s="250" t="s">
        <v>3985</v>
      </c>
      <c r="D78" s="268" t="s">
        <v>495</v>
      </c>
      <c r="E78" s="417">
        <v>44110.0</v>
      </c>
      <c r="F78" s="250" t="s">
        <v>496</v>
      </c>
      <c r="G78" s="403">
        <v>1.0</v>
      </c>
      <c r="H78" s="403">
        <v>0.0</v>
      </c>
      <c r="I78" s="403">
        <v>0.0</v>
      </c>
      <c r="J78" s="391">
        <f t="shared" si="2"/>
        <v>0</v>
      </c>
      <c r="K78" s="392">
        <f t="shared" si="3"/>
        <v>0</v>
      </c>
      <c r="L78" s="327">
        <f t="shared" si="4"/>
        <v>0</v>
      </c>
      <c r="M78" s="321" t="str">
        <f t="shared" si="5"/>
        <v>liviade</v>
      </c>
      <c r="N78" s="18">
        <v>5.0</v>
      </c>
    </row>
    <row r="79">
      <c r="A79" s="226" t="s">
        <v>18</v>
      </c>
      <c r="B79" s="226" t="s">
        <v>18</v>
      </c>
      <c r="C79" s="250" t="s">
        <v>3992</v>
      </c>
      <c r="D79" s="268" t="s">
        <v>495</v>
      </c>
      <c r="E79" s="417">
        <v>44111.0</v>
      </c>
      <c r="F79" s="250" t="s">
        <v>496</v>
      </c>
      <c r="G79" s="403">
        <v>1.0</v>
      </c>
      <c r="H79" s="403">
        <v>0.0</v>
      </c>
      <c r="I79" s="403">
        <v>0.0</v>
      </c>
      <c r="J79" s="391">
        <f t="shared" si="2"/>
        <v>0</v>
      </c>
      <c r="K79" s="392">
        <f t="shared" si="3"/>
        <v>0</v>
      </c>
      <c r="L79" s="327">
        <f t="shared" si="4"/>
        <v>0</v>
      </c>
      <c r="M79" s="321" t="str">
        <f t="shared" si="5"/>
        <v>liviade</v>
      </c>
      <c r="N79" s="18">
        <v>6.0</v>
      </c>
    </row>
    <row r="80">
      <c r="A80" s="226" t="s">
        <v>18</v>
      </c>
      <c r="B80" s="226" t="s">
        <v>5</v>
      </c>
      <c r="C80" s="250" t="s">
        <v>3993</v>
      </c>
      <c r="D80" s="268" t="s">
        <v>495</v>
      </c>
      <c r="E80" s="417">
        <v>44111.0</v>
      </c>
      <c r="F80" s="250" t="s">
        <v>496</v>
      </c>
      <c r="G80" s="403">
        <v>1.0</v>
      </c>
      <c r="H80" s="403">
        <v>0.0</v>
      </c>
      <c r="I80" s="403">
        <v>0.0</v>
      </c>
      <c r="J80" s="391">
        <f t="shared" si="2"/>
        <v>0</v>
      </c>
      <c r="K80" s="392">
        <f t="shared" si="3"/>
        <v>0</v>
      </c>
      <c r="L80" s="327">
        <f t="shared" si="4"/>
        <v>0</v>
      </c>
      <c r="M80" s="321" t="str">
        <f t="shared" si="5"/>
        <v>liviade</v>
      </c>
      <c r="N80" s="18">
        <v>7.0</v>
      </c>
    </row>
    <row r="81">
      <c r="A81" s="226" t="s">
        <v>18</v>
      </c>
      <c r="B81" s="226" t="s">
        <v>590</v>
      </c>
      <c r="C81" s="250" t="s">
        <v>3958</v>
      </c>
      <c r="D81" s="268" t="s">
        <v>495</v>
      </c>
      <c r="E81" s="417">
        <v>44111.0</v>
      </c>
      <c r="F81" s="250" t="s">
        <v>496</v>
      </c>
      <c r="G81" s="403">
        <v>1.0</v>
      </c>
      <c r="H81" s="403">
        <v>0.0</v>
      </c>
      <c r="I81" s="403">
        <v>0.0</v>
      </c>
      <c r="J81" s="391">
        <f t="shared" si="2"/>
        <v>0</v>
      </c>
      <c r="K81" s="392">
        <f t="shared" si="3"/>
        <v>0</v>
      </c>
      <c r="L81" s="327">
        <f t="shared" si="4"/>
        <v>0</v>
      </c>
      <c r="M81" s="321" t="str">
        <f t="shared" si="5"/>
        <v>liviade</v>
      </c>
      <c r="N81" s="18">
        <v>8.0</v>
      </c>
    </row>
    <row r="82">
      <c r="A82" s="226" t="s">
        <v>40</v>
      </c>
      <c r="B82" s="226" t="s">
        <v>519</v>
      </c>
      <c r="C82" s="250" t="s">
        <v>3953</v>
      </c>
      <c r="D82" s="268" t="s">
        <v>495</v>
      </c>
      <c r="E82" s="417">
        <v>44110.0</v>
      </c>
      <c r="F82" s="250" t="s">
        <v>496</v>
      </c>
      <c r="G82" s="403">
        <v>1.0</v>
      </c>
      <c r="H82" s="403">
        <v>20.0</v>
      </c>
      <c r="I82" s="403">
        <v>40.0</v>
      </c>
      <c r="J82" s="391">
        <f t="shared" si="2"/>
        <v>0.008927244598</v>
      </c>
      <c r="K82" s="392">
        <f t="shared" si="3"/>
        <v>1.383722913</v>
      </c>
      <c r="L82" s="327">
        <f t="shared" si="4"/>
        <v>3.159726749</v>
      </c>
      <c r="M82" s="321" t="str">
        <f t="shared" si="5"/>
        <v>lkngtn</v>
      </c>
      <c r="N82" s="18">
        <v>2.0</v>
      </c>
    </row>
    <row r="83">
      <c r="A83" s="226" t="s">
        <v>40</v>
      </c>
      <c r="B83" s="226" t="s">
        <v>29</v>
      </c>
      <c r="C83" s="250" t="s">
        <v>3994</v>
      </c>
      <c r="D83" s="268" t="s">
        <v>495</v>
      </c>
      <c r="E83" s="417">
        <v>44112.0</v>
      </c>
      <c r="F83" s="250" t="s">
        <v>592</v>
      </c>
      <c r="G83" s="403">
        <v>2.0</v>
      </c>
      <c r="H83" s="403">
        <v>30.0</v>
      </c>
      <c r="I83" s="403">
        <v>30.0</v>
      </c>
      <c r="J83" s="391">
        <f t="shared" si="2"/>
        <v>0.009068100326</v>
      </c>
      <c r="K83" s="392">
        <f t="shared" si="3"/>
        <v>1.40555555</v>
      </c>
      <c r="L83" s="327">
        <f t="shared" si="4"/>
        <v>3.159726749</v>
      </c>
      <c r="M83" s="321" t="str">
        <f t="shared" si="5"/>
        <v>lkngtn</v>
      </c>
      <c r="N83" s="18">
        <v>3.0</v>
      </c>
    </row>
    <row r="84">
      <c r="A84" s="226" t="s">
        <v>40</v>
      </c>
      <c r="B84" s="226" t="s">
        <v>77</v>
      </c>
      <c r="C84" s="250" t="s">
        <v>3995</v>
      </c>
      <c r="D84" s="268" t="s">
        <v>495</v>
      </c>
      <c r="E84" s="417">
        <v>44103.0</v>
      </c>
      <c r="F84" s="250" t="s">
        <v>499</v>
      </c>
      <c r="G84" s="403">
        <v>2.0</v>
      </c>
      <c r="H84" s="403">
        <v>6.0</v>
      </c>
      <c r="I84" s="403">
        <v>10.0</v>
      </c>
      <c r="J84" s="391">
        <f t="shared" si="2"/>
        <v>0.002389988941</v>
      </c>
      <c r="K84" s="392">
        <f t="shared" si="3"/>
        <v>0.3704482859</v>
      </c>
      <c r="L84" s="327">
        <f t="shared" si="4"/>
        <v>3.159726749</v>
      </c>
      <c r="M84" s="321" t="str">
        <f t="shared" si="5"/>
        <v>lkngtn</v>
      </c>
      <c r="N84" s="18">
        <v>1.0</v>
      </c>
    </row>
    <row r="85">
      <c r="A85" s="226" t="s">
        <v>39</v>
      </c>
      <c r="B85" s="226" t="s">
        <v>5</v>
      </c>
      <c r="C85" s="250" t="s">
        <v>3996</v>
      </c>
      <c r="D85" s="268" t="s">
        <v>495</v>
      </c>
      <c r="E85" s="417">
        <v>44107.0</v>
      </c>
      <c r="F85" s="250" t="s">
        <v>496</v>
      </c>
      <c r="G85" s="403">
        <v>1.0</v>
      </c>
      <c r="H85" s="403">
        <v>5.0</v>
      </c>
      <c r="I85" s="403">
        <v>5.0</v>
      </c>
      <c r="J85" s="391">
        <f t="shared" si="2"/>
        <v>0.001511350054</v>
      </c>
      <c r="K85" s="392">
        <f t="shared" si="3"/>
        <v>0.2342592584</v>
      </c>
      <c r="L85" s="327">
        <f t="shared" si="4"/>
        <v>11.45687102</v>
      </c>
      <c r="M85" s="321" t="str">
        <f t="shared" si="5"/>
        <v>manualzuru</v>
      </c>
      <c r="N85" s="18">
        <v>2.0</v>
      </c>
    </row>
    <row r="86">
      <c r="A86" s="226" t="s">
        <v>39</v>
      </c>
      <c r="B86" s="226" t="s">
        <v>590</v>
      </c>
      <c r="C86" s="250" t="s">
        <v>3997</v>
      </c>
      <c r="D86" s="268" t="s">
        <v>495</v>
      </c>
      <c r="E86" s="417">
        <v>44110.0</v>
      </c>
      <c r="F86" s="250" t="s">
        <v>496</v>
      </c>
      <c r="G86" s="403">
        <v>1.0</v>
      </c>
      <c r="H86" s="403">
        <v>100.0</v>
      </c>
      <c r="I86" s="403">
        <v>100.0</v>
      </c>
      <c r="J86" s="391">
        <f t="shared" si="2"/>
        <v>0.03022700109</v>
      </c>
      <c r="K86" s="392">
        <f t="shared" si="3"/>
        <v>4.685185168</v>
      </c>
      <c r="L86" s="327">
        <f t="shared" si="4"/>
        <v>11.45687102</v>
      </c>
      <c r="M86" s="321" t="str">
        <f t="shared" si="5"/>
        <v>manualzuru</v>
      </c>
      <c r="N86" s="18">
        <v>3.0</v>
      </c>
    </row>
    <row r="87">
      <c r="A87" s="226" t="s">
        <v>39</v>
      </c>
      <c r="B87" s="226" t="s">
        <v>18</v>
      </c>
      <c r="C87" s="250" t="s">
        <v>3954</v>
      </c>
      <c r="D87" s="268" t="s">
        <v>495</v>
      </c>
      <c r="E87" s="417">
        <v>44111.0</v>
      </c>
      <c r="F87" s="250" t="s">
        <v>496</v>
      </c>
      <c r="G87" s="403">
        <v>1.0</v>
      </c>
      <c r="H87" s="403">
        <v>40.0</v>
      </c>
      <c r="I87" s="403">
        <v>40.0</v>
      </c>
      <c r="J87" s="391">
        <f t="shared" si="2"/>
        <v>0.01209080043</v>
      </c>
      <c r="K87" s="392">
        <f t="shared" si="3"/>
        <v>1.874074067</v>
      </c>
      <c r="L87" s="327">
        <f t="shared" si="4"/>
        <v>11.45687102</v>
      </c>
      <c r="M87" s="321" t="str">
        <f t="shared" si="5"/>
        <v>manualzuru</v>
      </c>
      <c r="N87" s="18">
        <v>4.0</v>
      </c>
    </row>
    <row r="88">
      <c r="A88" s="226" t="s">
        <v>39</v>
      </c>
      <c r="B88" s="226" t="s">
        <v>18</v>
      </c>
      <c r="C88" s="250" t="s">
        <v>3998</v>
      </c>
      <c r="D88" s="268" t="s">
        <v>495</v>
      </c>
      <c r="E88" s="417">
        <v>44111.0</v>
      </c>
      <c r="F88" s="250" t="s">
        <v>496</v>
      </c>
      <c r="G88" s="403">
        <v>1.0</v>
      </c>
      <c r="H88" s="403">
        <v>20.0</v>
      </c>
      <c r="I88" s="403">
        <v>40.0</v>
      </c>
      <c r="J88" s="391">
        <f t="shared" si="2"/>
        <v>0.008927244598</v>
      </c>
      <c r="K88" s="392">
        <f t="shared" si="3"/>
        <v>1.383722913</v>
      </c>
      <c r="L88" s="327">
        <f t="shared" si="4"/>
        <v>11.45687102</v>
      </c>
      <c r="M88" s="321" t="str">
        <f t="shared" si="5"/>
        <v>manualzuru</v>
      </c>
      <c r="N88" s="18">
        <v>5.0</v>
      </c>
    </row>
    <row r="89">
      <c r="A89" s="226" t="s">
        <v>39</v>
      </c>
      <c r="B89" s="226" t="s">
        <v>590</v>
      </c>
      <c r="C89" s="250" t="s">
        <v>3958</v>
      </c>
      <c r="D89" s="268" t="s">
        <v>495</v>
      </c>
      <c r="E89" s="417">
        <v>44111.0</v>
      </c>
      <c r="F89" s="250" t="s">
        <v>496</v>
      </c>
      <c r="G89" s="403">
        <v>1.0</v>
      </c>
      <c r="H89" s="403">
        <v>30.0</v>
      </c>
      <c r="I89" s="403">
        <v>30.0</v>
      </c>
      <c r="J89" s="391">
        <f t="shared" si="2"/>
        <v>0.009068100326</v>
      </c>
      <c r="K89" s="392">
        <f t="shared" si="3"/>
        <v>1.40555555</v>
      </c>
      <c r="L89" s="327">
        <f t="shared" si="4"/>
        <v>11.45687102</v>
      </c>
      <c r="M89" s="321" t="str">
        <f t="shared" si="5"/>
        <v>manualzuru</v>
      </c>
      <c r="N89" s="18">
        <v>6.0</v>
      </c>
    </row>
    <row r="90">
      <c r="A90" s="226" t="s">
        <v>39</v>
      </c>
      <c r="B90" s="226" t="s">
        <v>590</v>
      </c>
      <c r="C90" s="250" t="s">
        <v>3961</v>
      </c>
      <c r="D90" s="268" t="s">
        <v>495</v>
      </c>
      <c r="E90" s="417">
        <v>44105.0</v>
      </c>
      <c r="F90" s="250" t="s">
        <v>496</v>
      </c>
      <c r="G90" s="403">
        <v>1.0</v>
      </c>
      <c r="H90" s="403">
        <v>40.0</v>
      </c>
      <c r="I90" s="403">
        <v>40.0</v>
      </c>
      <c r="J90" s="391">
        <f t="shared" si="2"/>
        <v>0.01209080043</v>
      </c>
      <c r="K90" s="392">
        <f t="shared" si="3"/>
        <v>1.874074067</v>
      </c>
      <c r="L90" s="327">
        <f t="shared" si="4"/>
        <v>11.45687102</v>
      </c>
      <c r="M90" s="321" t="str">
        <f t="shared" si="5"/>
        <v>manualzuru</v>
      </c>
      <c r="N90" s="18">
        <v>1.0</v>
      </c>
    </row>
    <row r="91">
      <c r="A91" s="226" t="s">
        <v>43</v>
      </c>
      <c r="B91" s="226" t="s">
        <v>519</v>
      </c>
      <c r="C91" s="250" t="s">
        <v>3999</v>
      </c>
      <c r="D91" s="268" t="s">
        <v>495</v>
      </c>
      <c r="E91" s="417">
        <v>44103.0</v>
      </c>
      <c r="F91" s="250" t="s">
        <v>521</v>
      </c>
      <c r="G91" s="403">
        <v>3.0</v>
      </c>
      <c r="H91" s="403">
        <v>1.0</v>
      </c>
      <c r="I91" s="403">
        <v>5.0</v>
      </c>
      <c r="J91" s="391">
        <f t="shared" si="2"/>
        <v>0.0008786388869</v>
      </c>
      <c r="K91" s="392">
        <f t="shared" si="3"/>
        <v>0.1361890275</v>
      </c>
      <c r="L91" s="327">
        <f t="shared" si="4"/>
        <v>0.6183087831</v>
      </c>
      <c r="M91" s="321" t="str">
        <f t="shared" si="5"/>
        <v>markop</v>
      </c>
      <c r="N91" s="18">
        <v>2.0</v>
      </c>
    </row>
    <row r="92">
      <c r="A92" s="226" t="s">
        <v>43</v>
      </c>
      <c r="B92" s="226" t="s">
        <v>519</v>
      </c>
      <c r="C92" s="250" t="s">
        <v>4000</v>
      </c>
      <c r="D92" s="268" t="s">
        <v>495</v>
      </c>
      <c r="E92" s="417">
        <v>44104.0</v>
      </c>
      <c r="F92" s="250" t="s">
        <v>521</v>
      </c>
      <c r="G92" s="403">
        <v>3.0</v>
      </c>
      <c r="H92" s="403">
        <v>5.0</v>
      </c>
      <c r="I92" s="403">
        <v>10.0</v>
      </c>
      <c r="J92" s="391">
        <f t="shared" si="2"/>
        <v>0.002231811149</v>
      </c>
      <c r="K92" s="392">
        <f t="shared" si="3"/>
        <v>0.3459307282</v>
      </c>
      <c r="L92" s="327">
        <f t="shared" si="4"/>
        <v>0.6183087831</v>
      </c>
      <c r="M92" s="321" t="str">
        <f t="shared" si="5"/>
        <v>markop</v>
      </c>
      <c r="N92" s="18">
        <v>3.0</v>
      </c>
    </row>
    <row r="93">
      <c r="A93" s="226" t="s">
        <v>43</v>
      </c>
      <c r="B93" s="226" t="s">
        <v>519</v>
      </c>
      <c r="C93" s="250" t="s">
        <v>4001</v>
      </c>
      <c r="D93" s="268" t="s">
        <v>495</v>
      </c>
      <c r="E93" s="417">
        <v>44111.0</v>
      </c>
      <c r="F93" s="250" t="s">
        <v>521</v>
      </c>
      <c r="G93" s="403">
        <v>3.0</v>
      </c>
      <c r="H93" s="403">
        <v>1.0</v>
      </c>
      <c r="I93" s="403">
        <v>5.0</v>
      </c>
      <c r="J93" s="391">
        <f t="shared" si="2"/>
        <v>0.0008786388869</v>
      </c>
      <c r="K93" s="392">
        <f t="shared" si="3"/>
        <v>0.1361890275</v>
      </c>
      <c r="L93" s="327">
        <f t="shared" si="4"/>
        <v>0.6183087831</v>
      </c>
      <c r="M93" s="321" t="str">
        <f t="shared" si="5"/>
        <v>markop</v>
      </c>
      <c r="N93" s="18">
        <v>4.0</v>
      </c>
    </row>
    <row r="94">
      <c r="A94" s="226" t="s">
        <v>43</v>
      </c>
      <c r="B94" s="226" t="s">
        <v>519</v>
      </c>
      <c r="C94" s="250" t="s">
        <v>3966</v>
      </c>
      <c r="D94" s="268" t="s">
        <v>495</v>
      </c>
      <c r="E94" s="417">
        <v>44103.0</v>
      </c>
      <c r="F94" s="250" t="s">
        <v>521</v>
      </c>
      <c r="G94" s="403">
        <v>4.0</v>
      </c>
      <c r="H94" s="403">
        <v>0.0</v>
      </c>
      <c r="I94" s="403">
        <v>0.0</v>
      </c>
      <c r="J94" s="391">
        <f t="shared" si="2"/>
        <v>0</v>
      </c>
      <c r="K94" s="392">
        <f t="shared" si="3"/>
        <v>0</v>
      </c>
      <c r="L94" s="327">
        <f t="shared" si="4"/>
        <v>0.6183087831</v>
      </c>
      <c r="M94" s="321" t="str">
        <f t="shared" si="5"/>
        <v>markop</v>
      </c>
      <c r="N94" s="18">
        <v>1.0</v>
      </c>
    </row>
    <row r="95">
      <c r="A95" s="226" t="s">
        <v>11</v>
      </c>
      <c r="B95" s="226" t="s">
        <v>519</v>
      </c>
      <c r="C95" s="250" t="s">
        <v>3959</v>
      </c>
      <c r="D95" s="268" t="s">
        <v>495</v>
      </c>
      <c r="E95" s="417">
        <v>44105.0</v>
      </c>
      <c r="F95" s="250" t="s">
        <v>499</v>
      </c>
      <c r="G95" s="403">
        <v>4.0</v>
      </c>
      <c r="H95" s="403">
        <v>0.0</v>
      </c>
      <c r="I95" s="403">
        <v>0.0</v>
      </c>
      <c r="J95" s="391">
        <f t="shared" si="2"/>
        <v>0</v>
      </c>
      <c r="K95" s="392">
        <f t="shared" si="3"/>
        <v>0</v>
      </c>
      <c r="L95" s="327">
        <f t="shared" si="4"/>
        <v>0</v>
      </c>
      <c r="M95" s="321" t="str">
        <f t="shared" si="5"/>
        <v>mateodaza</v>
      </c>
      <c r="N95" s="18">
        <v>1.0</v>
      </c>
    </row>
    <row r="96">
      <c r="A96" s="226" t="s">
        <v>100</v>
      </c>
      <c r="B96" s="226" t="s">
        <v>519</v>
      </c>
      <c r="C96" s="250" t="s">
        <v>4002</v>
      </c>
      <c r="D96" s="268" t="s">
        <v>495</v>
      </c>
      <c r="E96" s="417">
        <v>44101.0</v>
      </c>
      <c r="F96" s="250" t="s">
        <v>521</v>
      </c>
      <c r="G96" s="403">
        <v>3.0</v>
      </c>
      <c r="H96" s="403">
        <v>3.0</v>
      </c>
      <c r="I96" s="403">
        <v>10.0</v>
      </c>
      <c r="J96" s="391">
        <f t="shared" si="2"/>
        <v>0.001915455566</v>
      </c>
      <c r="K96" s="392">
        <f t="shared" si="3"/>
        <v>0.2968956127</v>
      </c>
      <c r="L96" s="327">
        <f t="shared" si="4"/>
        <v>0.2968956127</v>
      </c>
      <c r="M96" s="321" t="str">
        <f t="shared" si="5"/>
        <v>nikoline_nik</v>
      </c>
      <c r="N96" s="18">
        <v>1.0</v>
      </c>
    </row>
    <row r="97">
      <c r="A97" s="226" t="s">
        <v>60</v>
      </c>
      <c r="B97" s="226" t="s">
        <v>519</v>
      </c>
      <c r="C97" s="250" t="s">
        <v>4003</v>
      </c>
      <c r="D97" s="268" t="s">
        <v>495</v>
      </c>
      <c r="E97" s="417">
        <v>44104.0</v>
      </c>
      <c r="F97" s="250" t="s">
        <v>499</v>
      </c>
      <c r="G97" s="403">
        <v>2.0</v>
      </c>
      <c r="H97" s="403">
        <v>100.0</v>
      </c>
      <c r="I97" s="403">
        <v>100.0</v>
      </c>
      <c r="J97" s="391">
        <f t="shared" si="2"/>
        <v>0.03022700109</v>
      </c>
      <c r="K97" s="392">
        <f t="shared" si="3"/>
        <v>4.685185168</v>
      </c>
      <c r="L97" s="327">
        <f t="shared" si="4"/>
        <v>4.685185168</v>
      </c>
      <c r="M97" s="321" t="str">
        <f t="shared" si="5"/>
        <v>niranb</v>
      </c>
      <c r="N97" s="18">
        <v>1.0</v>
      </c>
    </row>
    <row r="98">
      <c r="A98" s="226" t="s">
        <v>30</v>
      </c>
      <c r="B98" s="226" t="s">
        <v>519</v>
      </c>
      <c r="C98" s="250" t="s">
        <v>3953</v>
      </c>
      <c r="D98" s="268" t="s">
        <v>495</v>
      </c>
      <c r="E98" s="417">
        <v>44110.0</v>
      </c>
      <c r="F98" s="250" t="s">
        <v>496</v>
      </c>
      <c r="G98" s="403">
        <v>1.0</v>
      </c>
      <c r="H98" s="403">
        <v>40.0</v>
      </c>
      <c r="I98" s="403">
        <v>40.0</v>
      </c>
      <c r="J98" s="391">
        <f t="shared" si="2"/>
        <v>0.01209080043</v>
      </c>
      <c r="K98" s="392">
        <f t="shared" si="3"/>
        <v>1.874074067</v>
      </c>
      <c r="L98" s="327">
        <f t="shared" si="4"/>
        <v>3.012621403</v>
      </c>
      <c r="M98" s="321" t="str">
        <f t="shared" si="5"/>
        <v>paulo_c2d</v>
      </c>
      <c r="N98" s="18">
        <v>2.0</v>
      </c>
    </row>
    <row r="99">
      <c r="A99" s="226" t="s">
        <v>30</v>
      </c>
      <c r="B99" s="226" t="s">
        <v>5</v>
      </c>
      <c r="C99" s="250" t="s">
        <v>3950</v>
      </c>
      <c r="D99" s="268" t="s">
        <v>495</v>
      </c>
      <c r="E99" s="417">
        <v>44106.0</v>
      </c>
      <c r="F99" s="250" t="s">
        <v>496</v>
      </c>
      <c r="G99" s="403">
        <v>1.0</v>
      </c>
      <c r="H99" s="403">
        <v>10.0</v>
      </c>
      <c r="I99" s="403">
        <v>40.0</v>
      </c>
      <c r="J99" s="391">
        <f t="shared" si="2"/>
        <v>0.007345466679</v>
      </c>
      <c r="K99" s="392">
        <f t="shared" si="3"/>
        <v>1.138547335</v>
      </c>
      <c r="L99" s="327">
        <f t="shared" si="4"/>
        <v>3.012621403</v>
      </c>
      <c r="M99" s="321" t="str">
        <f t="shared" si="5"/>
        <v>paulo_c2d</v>
      </c>
      <c r="N99" s="18">
        <v>1.0</v>
      </c>
    </row>
    <row r="100">
      <c r="A100" s="226" t="s">
        <v>112</v>
      </c>
      <c r="B100" s="226" t="s">
        <v>519</v>
      </c>
      <c r="C100" s="250" t="s">
        <v>3960</v>
      </c>
      <c r="D100" s="268" t="s">
        <v>495</v>
      </c>
      <c r="E100" s="417">
        <v>44110.0</v>
      </c>
      <c r="F100" s="250" t="s">
        <v>521</v>
      </c>
      <c r="G100" s="403">
        <v>3.0</v>
      </c>
      <c r="H100" s="403">
        <v>5.0</v>
      </c>
      <c r="I100" s="403">
        <v>10.0</v>
      </c>
      <c r="J100" s="391">
        <f t="shared" si="2"/>
        <v>0.002231811149</v>
      </c>
      <c r="K100" s="392">
        <f t="shared" si="3"/>
        <v>0.3459307282</v>
      </c>
      <c r="L100" s="327">
        <f t="shared" si="4"/>
        <v>0.3459307282</v>
      </c>
      <c r="M100" s="321" t="str">
        <f t="shared" si="5"/>
        <v>paxthemax</v>
      </c>
      <c r="N100" s="18">
        <v>1.0</v>
      </c>
    </row>
    <row r="101">
      <c r="A101" s="226" t="s">
        <v>71</v>
      </c>
      <c r="B101" s="226" t="s">
        <v>18</v>
      </c>
      <c r="C101" s="250" t="s">
        <v>3954</v>
      </c>
      <c r="D101" s="268" t="s">
        <v>495</v>
      </c>
      <c r="E101" s="417">
        <v>44111.0</v>
      </c>
      <c r="F101" s="250" t="s">
        <v>496</v>
      </c>
      <c r="G101" s="403">
        <v>1.0</v>
      </c>
      <c r="H101" s="403">
        <v>40.0</v>
      </c>
      <c r="I101" s="403">
        <v>40.0</v>
      </c>
      <c r="J101" s="391">
        <f t="shared" si="2"/>
        <v>0.01209080043</v>
      </c>
      <c r="K101" s="392">
        <f t="shared" si="3"/>
        <v>1.874074067</v>
      </c>
      <c r="L101" s="327">
        <f t="shared" si="4"/>
        <v>3.748148135</v>
      </c>
      <c r="M101" s="321" t="str">
        <f t="shared" si="5"/>
        <v>quartagiulio</v>
      </c>
      <c r="N101" s="18">
        <v>2.0</v>
      </c>
    </row>
    <row r="102">
      <c r="A102" s="226" t="s">
        <v>71</v>
      </c>
      <c r="B102" s="226" t="s">
        <v>18</v>
      </c>
      <c r="C102" s="250" t="s">
        <v>3982</v>
      </c>
      <c r="D102" s="268" t="s">
        <v>495</v>
      </c>
      <c r="E102" s="417">
        <v>44105.0</v>
      </c>
      <c r="F102" s="250" t="s">
        <v>496</v>
      </c>
      <c r="G102" s="403">
        <v>1.0</v>
      </c>
      <c r="H102" s="403">
        <v>40.0</v>
      </c>
      <c r="I102" s="403">
        <v>40.0</v>
      </c>
      <c r="J102" s="391">
        <f t="shared" si="2"/>
        <v>0.01209080043</v>
      </c>
      <c r="K102" s="392">
        <f t="shared" si="3"/>
        <v>1.874074067</v>
      </c>
      <c r="L102" s="327">
        <f t="shared" si="4"/>
        <v>3.748148135</v>
      </c>
      <c r="M102" s="321" t="str">
        <f t="shared" si="5"/>
        <v>quartagiulio</v>
      </c>
      <c r="N102" s="18">
        <v>1.0</v>
      </c>
    </row>
    <row r="103">
      <c r="A103" s="226" t="s">
        <v>52</v>
      </c>
      <c r="B103" s="226" t="s">
        <v>519</v>
      </c>
      <c r="C103" s="250" t="s">
        <v>3963</v>
      </c>
      <c r="D103" s="268" t="s">
        <v>495</v>
      </c>
      <c r="E103" s="417">
        <v>44104.0</v>
      </c>
      <c r="F103" s="250" t="s">
        <v>521</v>
      </c>
      <c r="G103" s="403">
        <v>3.0</v>
      </c>
      <c r="H103" s="403">
        <v>3.0</v>
      </c>
      <c r="I103" s="403">
        <v>5.0</v>
      </c>
      <c r="J103" s="391">
        <f t="shared" si="2"/>
        <v>0.001194994471</v>
      </c>
      <c r="K103" s="392">
        <f t="shared" si="3"/>
        <v>0.1852241429</v>
      </c>
      <c r="L103" s="327">
        <f t="shared" si="4"/>
        <v>2.195487238</v>
      </c>
      <c r="M103" s="321" t="str">
        <f t="shared" si="5"/>
        <v>randomshinichi</v>
      </c>
      <c r="N103" s="18">
        <v>2.0</v>
      </c>
    </row>
    <row r="104">
      <c r="A104" s="226" t="s">
        <v>52</v>
      </c>
      <c r="B104" s="226" t="s">
        <v>590</v>
      </c>
      <c r="C104" s="250" t="s">
        <v>3961</v>
      </c>
      <c r="D104" s="268" t="s">
        <v>495</v>
      </c>
      <c r="E104" s="417">
        <v>44105.0</v>
      </c>
      <c r="F104" s="250" t="s">
        <v>496</v>
      </c>
      <c r="G104" s="403">
        <v>1.0</v>
      </c>
      <c r="H104" s="403">
        <v>40.0</v>
      </c>
      <c r="I104" s="403">
        <v>40.0</v>
      </c>
      <c r="J104" s="391">
        <f t="shared" si="2"/>
        <v>0.01209080043</v>
      </c>
      <c r="K104" s="392">
        <f t="shared" si="3"/>
        <v>1.874074067</v>
      </c>
      <c r="L104" s="327">
        <f t="shared" si="4"/>
        <v>2.195487238</v>
      </c>
      <c r="M104" s="321" t="str">
        <f t="shared" si="5"/>
        <v>randomshinichi</v>
      </c>
      <c r="N104" s="18">
        <v>3.0</v>
      </c>
    </row>
    <row r="105">
      <c r="A105" s="226" t="s">
        <v>52</v>
      </c>
      <c r="B105" s="226" t="s">
        <v>519</v>
      </c>
      <c r="C105" s="250" t="s">
        <v>3999</v>
      </c>
      <c r="D105" s="268" t="s">
        <v>495</v>
      </c>
      <c r="E105" s="417">
        <v>44103.0</v>
      </c>
      <c r="F105" s="250" t="s">
        <v>521</v>
      </c>
      <c r="G105" s="403">
        <v>3.0</v>
      </c>
      <c r="H105" s="403">
        <v>1.0</v>
      </c>
      <c r="I105" s="403">
        <v>5.0</v>
      </c>
      <c r="J105" s="391">
        <f t="shared" si="2"/>
        <v>0.0008786388869</v>
      </c>
      <c r="K105" s="392">
        <f t="shared" si="3"/>
        <v>0.1361890275</v>
      </c>
      <c r="L105" s="327">
        <f t="shared" si="4"/>
        <v>2.195487238</v>
      </c>
      <c r="M105" s="321" t="str">
        <f t="shared" si="5"/>
        <v>randomshinichi</v>
      </c>
      <c r="N105" s="18">
        <v>1.0</v>
      </c>
    </row>
    <row r="106">
      <c r="A106" s="226" t="s">
        <v>80</v>
      </c>
      <c r="B106" s="226" t="s">
        <v>519</v>
      </c>
      <c r="C106" s="250" t="s">
        <v>3953</v>
      </c>
      <c r="D106" s="268" t="s">
        <v>495</v>
      </c>
      <c r="E106" s="417">
        <v>44110.0</v>
      </c>
      <c r="F106" s="250" t="s">
        <v>496</v>
      </c>
      <c r="G106" s="403">
        <v>1.0</v>
      </c>
      <c r="H106" s="403">
        <v>50.0</v>
      </c>
      <c r="I106" s="403">
        <v>40.0</v>
      </c>
      <c r="J106" s="391">
        <f t="shared" si="2"/>
        <v>0.01367257835</v>
      </c>
      <c r="K106" s="392">
        <f t="shared" si="3"/>
        <v>2.119249645</v>
      </c>
      <c r="L106" s="327">
        <f t="shared" si="4"/>
        <v>3.25779698</v>
      </c>
      <c r="M106" s="321" t="str">
        <f t="shared" si="5"/>
        <v>rodrigouy</v>
      </c>
      <c r="N106" s="18">
        <v>2.0</v>
      </c>
    </row>
    <row r="107">
      <c r="A107" s="226" t="s">
        <v>80</v>
      </c>
      <c r="B107" s="226" t="s">
        <v>5</v>
      </c>
      <c r="C107" s="250" t="s">
        <v>3950</v>
      </c>
      <c r="D107" s="268" t="s">
        <v>495</v>
      </c>
      <c r="E107" s="417">
        <v>44106.0</v>
      </c>
      <c r="F107" s="250" t="s">
        <v>496</v>
      </c>
      <c r="G107" s="403">
        <v>1.0</v>
      </c>
      <c r="H107" s="403">
        <v>10.0</v>
      </c>
      <c r="I107" s="403">
        <v>40.0</v>
      </c>
      <c r="J107" s="391">
        <f t="shared" si="2"/>
        <v>0.007345466679</v>
      </c>
      <c r="K107" s="392">
        <f t="shared" si="3"/>
        <v>1.138547335</v>
      </c>
      <c r="L107" s="327">
        <f t="shared" si="4"/>
        <v>3.25779698</v>
      </c>
      <c r="M107" s="321" t="str">
        <f t="shared" si="5"/>
        <v>rodrigouy</v>
      </c>
      <c r="N107" s="18">
        <v>1.0</v>
      </c>
    </row>
    <row r="108">
      <c r="A108" s="226" t="s">
        <v>4</v>
      </c>
      <c r="B108" s="226" t="s">
        <v>18</v>
      </c>
      <c r="C108" s="250" t="s">
        <v>4004</v>
      </c>
      <c r="D108" s="268" t="s">
        <v>495</v>
      </c>
      <c r="E108" s="417">
        <v>44103.0</v>
      </c>
      <c r="F108" s="250" t="s">
        <v>496</v>
      </c>
      <c r="G108" s="403">
        <v>2.0</v>
      </c>
      <c r="H108" s="404"/>
      <c r="I108" s="403">
        <v>1.0</v>
      </c>
      <c r="J108" s="391">
        <f t="shared" si="2"/>
        <v>0.000144092219</v>
      </c>
      <c r="K108" s="392">
        <f t="shared" si="3"/>
        <v>0.02233429395</v>
      </c>
      <c r="L108" s="327">
        <f t="shared" si="4"/>
        <v>10.52033565</v>
      </c>
      <c r="M108" s="321" t="str">
        <f t="shared" si="5"/>
        <v>santigs67</v>
      </c>
      <c r="N108" s="18">
        <v>2.0</v>
      </c>
    </row>
    <row r="109">
      <c r="A109" s="226" t="s">
        <v>4</v>
      </c>
      <c r="B109" s="226" t="s">
        <v>590</v>
      </c>
      <c r="C109" s="250" t="s">
        <v>4005</v>
      </c>
      <c r="D109" s="268" t="s">
        <v>495</v>
      </c>
      <c r="E109" s="417">
        <v>44103.0</v>
      </c>
      <c r="F109" s="250" t="s">
        <v>496</v>
      </c>
      <c r="G109" s="403">
        <v>1.0</v>
      </c>
      <c r="H109" s="403">
        <v>10.0</v>
      </c>
      <c r="I109" s="403">
        <v>30.0</v>
      </c>
      <c r="J109" s="391">
        <f t="shared" si="2"/>
        <v>0.005904544489</v>
      </c>
      <c r="K109" s="392">
        <f t="shared" si="3"/>
        <v>0.9152043958</v>
      </c>
      <c r="L109" s="327">
        <f t="shared" si="4"/>
        <v>10.52033565</v>
      </c>
      <c r="M109" s="321" t="str">
        <f t="shared" si="5"/>
        <v>santigs67</v>
      </c>
      <c r="N109" s="18">
        <v>3.0</v>
      </c>
    </row>
    <row r="110">
      <c r="A110" s="226" t="s">
        <v>4</v>
      </c>
      <c r="B110" s="226" t="s">
        <v>18</v>
      </c>
      <c r="C110" s="250" t="s">
        <v>3982</v>
      </c>
      <c r="D110" s="268" t="s">
        <v>495</v>
      </c>
      <c r="E110" s="417">
        <v>44105.0</v>
      </c>
      <c r="F110" s="250" t="s">
        <v>496</v>
      </c>
      <c r="G110" s="403">
        <v>1.0</v>
      </c>
      <c r="H110" s="403">
        <v>40.0</v>
      </c>
      <c r="I110" s="403">
        <v>40.0</v>
      </c>
      <c r="J110" s="391">
        <f t="shared" si="2"/>
        <v>0.01209080043</v>
      </c>
      <c r="K110" s="392">
        <f t="shared" si="3"/>
        <v>1.874074067</v>
      </c>
      <c r="L110" s="327">
        <f t="shared" si="4"/>
        <v>10.52033565</v>
      </c>
      <c r="M110" s="321" t="str">
        <f t="shared" si="5"/>
        <v>santigs67</v>
      </c>
      <c r="N110" s="18">
        <v>4.0</v>
      </c>
    </row>
    <row r="111">
      <c r="A111" s="226" t="s">
        <v>4</v>
      </c>
      <c r="B111" s="226" t="s">
        <v>18</v>
      </c>
      <c r="C111" s="250" t="s">
        <v>4006</v>
      </c>
      <c r="D111" s="268" t="s">
        <v>495</v>
      </c>
      <c r="E111" s="417">
        <v>44109.0</v>
      </c>
      <c r="F111" s="250" t="s">
        <v>496</v>
      </c>
      <c r="G111" s="403">
        <v>1.0</v>
      </c>
      <c r="H111" s="403">
        <v>5.0</v>
      </c>
      <c r="I111" s="403">
        <v>5.0</v>
      </c>
      <c r="J111" s="391">
        <f t="shared" si="2"/>
        <v>0.001511350054</v>
      </c>
      <c r="K111" s="392">
        <f t="shared" si="3"/>
        <v>0.2342592584</v>
      </c>
      <c r="L111" s="327">
        <f t="shared" si="4"/>
        <v>10.52033565</v>
      </c>
      <c r="M111" s="321" t="str">
        <f t="shared" si="5"/>
        <v>santigs67</v>
      </c>
      <c r="N111" s="18">
        <v>5.0</v>
      </c>
    </row>
    <row r="112">
      <c r="A112" s="226" t="s">
        <v>4</v>
      </c>
      <c r="B112" s="226" t="s">
        <v>18</v>
      </c>
      <c r="C112" s="250" t="s">
        <v>3954</v>
      </c>
      <c r="D112" s="268" t="s">
        <v>495</v>
      </c>
      <c r="E112" s="417">
        <v>44111.0</v>
      </c>
      <c r="F112" s="250" t="s">
        <v>496</v>
      </c>
      <c r="G112" s="403">
        <v>1.0</v>
      </c>
      <c r="H112" s="403">
        <v>40.0</v>
      </c>
      <c r="I112" s="403">
        <v>40.0</v>
      </c>
      <c r="J112" s="391">
        <f t="shared" si="2"/>
        <v>0.01209080043</v>
      </c>
      <c r="K112" s="392">
        <f t="shared" si="3"/>
        <v>1.874074067</v>
      </c>
      <c r="L112" s="327">
        <f t="shared" si="4"/>
        <v>10.52033565</v>
      </c>
      <c r="M112" s="321" t="str">
        <f t="shared" si="5"/>
        <v>santigs67</v>
      </c>
      <c r="N112" s="18">
        <v>6.0</v>
      </c>
    </row>
    <row r="113">
      <c r="A113" s="226" t="s">
        <v>4</v>
      </c>
      <c r="B113" s="226" t="s">
        <v>18</v>
      </c>
      <c r="C113" s="250" t="s">
        <v>4007</v>
      </c>
      <c r="D113" s="268" t="s">
        <v>495</v>
      </c>
      <c r="E113" s="417">
        <v>44111.0</v>
      </c>
      <c r="F113" s="250" t="s">
        <v>496</v>
      </c>
      <c r="G113" s="403">
        <v>1.0</v>
      </c>
      <c r="H113" s="403">
        <v>80.0</v>
      </c>
      <c r="I113" s="403">
        <v>80.0</v>
      </c>
      <c r="J113" s="391">
        <f t="shared" si="2"/>
        <v>0.02418160087</v>
      </c>
      <c r="K113" s="392">
        <f t="shared" si="3"/>
        <v>3.748148135</v>
      </c>
      <c r="L113" s="327">
        <f t="shared" si="4"/>
        <v>10.52033565</v>
      </c>
      <c r="M113" s="321" t="str">
        <f t="shared" si="5"/>
        <v>santigs67</v>
      </c>
      <c r="N113" s="18">
        <v>7.0</v>
      </c>
    </row>
    <row r="114">
      <c r="A114" s="226" t="s">
        <v>4</v>
      </c>
      <c r="B114" s="226" t="s">
        <v>18</v>
      </c>
      <c r="C114" s="250" t="s">
        <v>3992</v>
      </c>
      <c r="D114" s="268" t="s">
        <v>495</v>
      </c>
      <c r="E114" s="417">
        <v>44111.0</v>
      </c>
      <c r="F114" s="250" t="s">
        <v>496</v>
      </c>
      <c r="G114" s="403">
        <v>1.0</v>
      </c>
      <c r="H114" s="403">
        <v>20.0</v>
      </c>
      <c r="I114" s="403">
        <v>20.0</v>
      </c>
      <c r="J114" s="391">
        <f t="shared" si="2"/>
        <v>0.006045400217</v>
      </c>
      <c r="K114" s="392">
        <f t="shared" si="3"/>
        <v>0.9370370337</v>
      </c>
      <c r="L114" s="327">
        <f t="shared" si="4"/>
        <v>10.52033565</v>
      </c>
      <c r="M114" s="321" t="str">
        <f t="shared" si="5"/>
        <v>santigs67</v>
      </c>
      <c r="N114" s="18">
        <v>8.0</v>
      </c>
    </row>
    <row r="115">
      <c r="A115" s="226" t="s">
        <v>4</v>
      </c>
      <c r="B115" s="226" t="s">
        <v>18</v>
      </c>
      <c r="C115" s="250" t="s">
        <v>3947</v>
      </c>
      <c r="D115" s="268" t="s">
        <v>495</v>
      </c>
      <c r="E115" s="417">
        <v>44103.0</v>
      </c>
      <c r="F115" s="250" t="s">
        <v>496</v>
      </c>
      <c r="G115" s="403">
        <v>2.0</v>
      </c>
      <c r="H115" s="403">
        <v>10.0</v>
      </c>
      <c r="I115" s="403">
        <v>30.0</v>
      </c>
      <c r="J115" s="391">
        <f t="shared" si="2"/>
        <v>0.005904544489</v>
      </c>
      <c r="K115" s="392">
        <f t="shared" si="3"/>
        <v>0.9152043958</v>
      </c>
      <c r="L115" s="327">
        <f t="shared" si="4"/>
        <v>10.52033565</v>
      </c>
      <c r="M115" s="321" t="str">
        <f t="shared" si="5"/>
        <v>santigs67</v>
      </c>
      <c r="N115" s="18">
        <v>1.0</v>
      </c>
    </row>
    <row r="116">
      <c r="A116" s="226" t="s">
        <v>6</v>
      </c>
      <c r="B116" s="226" t="s">
        <v>5</v>
      </c>
      <c r="C116" s="250" t="s">
        <v>3950</v>
      </c>
      <c r="D116" s="268" t="s">
        <v>495</v>
      </c>
      <c r="E116" s="417">
        <v>44106.0</v>
      </c>
      <c r="F116" s="250" t="s">
        <v>496</v>
      </c>
      <c r="G116" s="403">
        <v>1.0</v>
      </c>
      <c r="H116" s="403">
        <v>10.0</v>
      </c>
      <c r="I116" s="403">
        <v>40.0</v>
      </c>
      <c r="J116" s="391">
        <f t="shared" si="2"/>
        <v>0.007345466679</v>
      </c>
      <c r="K116" s="392">
        <f t="shared" si="3"/>
        <v>1.138547335</v>
      </c>
      <c r="L116" s="327">
        <f t="shared" si="4"/>
        <v>31.39091727</v>
      </c>
      <c r="M116" s="321" t="str">
        <f t="shared" si="5"/>
        <v>sembrestels</v>
      </c>
      <c r="N116" s="18">
        <v>2.0</v>
      </c>
    </row>
    <row r="117">
      <c r="A117" s="226" t="s">
        <v>6</v>
      </c>
      <c r="B117" s="226" t="s">
        <v>519</v>
      </c>
      <c r="C117" s="250" t="s">
        <v>3953</v>
      </c>
      <c r="D117" s="268" t="s">
        <v>495</v>
      </c>
      <c r="E117" s="417">
        <v>44110.0</v>
      </c>
      <c r="F117" s="250" t="s">
        <v>496</v>
      </c>
      <c r="G117" s="403">
        <v>1.0</v>
      </c>
      <c r="H117" s="403">
        <v>100.0</v>
      </c>
      <c r="I117" s="403">
        <v>80.0</v>
      </c>
      <c r="J117" s="391">
        <f t="shared" si="2"/>
        <v>0.02734515671</v>
      </c>
      <c r="K117" s="392">
        <f t="shared" si="3"/>
        <v>4.238499289</v>
      </c>
      <c r="L117" s="327">
        <f t="shared" si="4"/>
        <v>31.39091727</v>
      </c>
      <c r="M117" s="321" t="str">
        <f t="shared" si="5"/>
        <v>sembrestels</v>
      </c>
      <c r="N117" s="18">
        <v>3.0</v>
      </c>
    </row>
    <row r="118">
      <c r="A118" s="226" t="s">
        <v>6</v>
      </c>
      <c r="B118" s="226" t="s">
        <v>519</v>
      </c>
      <c r="C118" s="250" t="s">
        <v>4008</v>
      </c>
      <c r="D118" s="268" t="s">
        <v>495</v>
      </c>
      <c r="E118" s="417">
        <v>44110.0</v>
      </c>
      <c r="F118" s="250" t="s">
        <v>496</v>
      </c>
      <c r="G118" s="403">
        <v>1.0</v>
      </c>
      <c r="H118" s="403">
        <v>600.0</v>
      </c>
      <c r="I118" s="403">
        <v>500.0</v>
      </c>
      <c r="J118" s="391">
        <f t="shared" si="2"/>
        <v>0.1669527846</v>
      </c>
      <c r="K118" s="392">
        <f t="shared" si="3"/>
        <v>25.87768161</v>
      </c>
      <c r="L118" s="327">
        <f t="shared" si="4"/>
        <v>31.39091727</v>
      </c>
      <c r="M118" s="321" t="str">
        <f t="shared" si="5"/>
        <v>sembrestels</v>
      </c>
      <c r="N118" s="18">
        <v>4.0</v>
      </c>
    </row>
    <row r="119">
      <c r="A119" s="226" t="s">
        <v>6</v>
      </c>
      <c r="B119" s="226" t="s">
        <v>519</v>
      </c>
      <c r="C119" s="250" t="s">
        <v>4001</v>
      </c>
      <c r="D119" s="268" t="s">
        <v>495</v>
      </c>
      <c r="E119" s="417">
        <v>44111.0</v>
      </c>
      <c r="F119" s="250" t="s">
        <v>521</v>
      </c>
      <c r="G119" s="403">
        <v>3.0</v>
      </c>
      <c r="H119" s="403">
        <v>1.0</v>
      </c>
      <c r="I119" s="403">
        <v>5.0</v>
      </c>
      <c r="J119" s="391">
        <f t="shared" si="2"/>
        <v>0.0008786388869</v>
      </c>
      <c r="K119" s="392">
        <f t="shared" si="3"/>
        <v>0.1361890275</v>
      </c>
      <c r="L119" s="327">
        <f t="shared" si="4"/>
        <v>31.39091727</v>
      </c>
      <c r="M119" s="321" t="str">
        <f t="shared" si="5"/>
        <v>sembrestels</v>
      </c>
      <c r="N119" s="18">
        <v>5.0</v>
      </c>
    </row>
    <row r="120">
      <c r="A120" s="226" t="s">
        <v>6</v>
      </c>
      <c r="B120" s="226" t="s">
        <v>519</v>
      </c>
      <c r="C120" s="250" t="s">
        <v>3966</v>
      </c>
      <c r="D120" s="268" t="s">
        <v>495</v>
      </c>
      <c r="E120" s="417">
        <v>44103.0</v>
      </c>
      <c r="F120" s="250" t="s">
        <v>521</v>
      </c>
      <c r="G120" s="403">
        <v>4.0</v>
      </c>
      <c r="H120" s="403">
        <v>0.0</v>
      </c>
      <c r="I120" s="403">
        <v>0.0</v>
      </c>
      <c r="J120" s="391">
        <f t="shared" si="2"/>
        <v>0</v>
      </c>
      <c r="K120" s="392">
        <f t="shared" si="3"/>
        <v>0</v>
      </c>
      <c r="L120" s="327">
        <f t="shared" si="4"/>
        <v>31.39091727</v>
      </c>
      <c r="M120" s="321" t="str">
        <f t="shared" si="5"/>
        <v>sembrestels</v>
      </c>
      <c r="N120" s="321">
        <v>1.0</v>
      </c>
    </row>
    <row r="121">
      <c r="A121" s="226" t="s">
        <v>111</v>
      </c>
      <c r="B121" s="226" t="s">
        <v>519</v>
      </c>
      <c r="C121" s="250" t="s">
        <v>3999</v>
      </c>
      <c r="D121" s="268" t="s">
        <v>495</v>
      </c>
      <c r="E121" s="417">
        <v>44103.0</v>
      </c>
      <c r="F121" s="250" t="s">
        <v>521</v>
      </c>
      <c r="G121" s="403">
        <v>3.0</v>
      </c>
      <c r="H121" s="403">
        <v>1.0</v>
      </c>
      <c r="I121" s="403">
        <v>5.0</v>
      </c>
      <c r="J121" s="391">
        <f t="shared" si="2"/>
        <v>0.0008786388869</v>
      </c>
      <c r="K121" s="392">
        <f t="shared" si="3"/>
        <v>0.1361890275</v>
      </c>
      <c r="L121" s="327">
        <f t="shared" si="4"/>
        <v>0.1361890275</v>
      </c>
      <c r="M121" s="321" t="str">
        <f t="shared" si="5"/>
        <v>simunstrukan</v>
      </c>
      <c r="N121" s="18">
        <v>2.0</v>
      </c>
    </row>
    <row r="122">
      <c r="A122" s="226" t="s">
        <v>111</v>
      </c>
      <c r="B122" s="226" t="s">
        <v>519</v>
      </c>
      <c r="C122" s="250" t="s">
        <v>3966</v>
      </c>
      <c r="D122" s="268" t="s">
        <v>495</v>
      </c>
      <c r="E122" s="417">
        <v>44103.0</v>
      </c>
      <c r="F122" s="250" t="s">
        <v>521</v>
      </c>
      <c r="G122" s="403">
        <v>4.0</v>
      </c>
      <c r="H122" s="403">
        <v>0.0</v>
      </c>
      <c r="I122" s="403">
        <v>0.0</v>
      </c>
      <c r="J122" s="391">
        <f t="shared" si="2"/>
        <v>0</v>
      </c>
      <c r="K122" s="392">
        <f t="shared" si="3"/>
        <v>0</v>
      </c>
      <c r="L122" s="327">
        <f t="shared" si="4"/>
        <v>0.1361890275</v>
      </c>
      <c r="M122" s="321" t="str">
        <f t="shared" si="5"/>
        <v>simunstrukan</v>
      </c>
      <c r="N122" s="18">
        <v>1.0</v>
      </c>
    </row>
    <row r="123">
      <c r="A123" s="226" t="s">
        <v>8</v>
      </c>
      <c r="B123" s="226" t="s">
        <v>590</v>
      </c>
      <c r="C123" s="250" t="s">
        <v>3949</v>
      </c>
      <c r="D123" s="268" t="s">
        <v>495</v>
      </c>
      <c r="E123" s="417">
        <v>44103.0</v>
      </c>
      <c r="F123" s="250" t="s">
        <v>496</v>
      </c>
      <c r="G123" s="403">
        <v>1.0</v>
      </c>
      <c r="H123" s="403">
        <v>10.0</v>
      </c>
      <c r="I123" s="403">
        <v>30.0</v>
      </c>
      <c r="J123" s="391">
        <f t="shared" si="2"/>
        <v>0.005904544489</v>
      </c>
      <c r="K123" s="392">
        <f t="shared" si="3"/>
        <v>0.9152043958</v>
      </c>
      <c r="L123" s="327">
        <f t="shared" si="4"/>
        <v>1.029059129</v>
      </c>
      <c r="M123" s="321" t="str">
        <f t="shared" si="5"/>
        <v>solsista</v>
      </c>
      <c r="N123" s="18">
        <v>2.0</v>
      </c>
    </row>
    <row r="124">
      <c r="A124" s="226" t="s">
        <v>8</v>
      </c>
      <c r="B124" s="226" t="s">
        <v>77</v>
      </c>
      <c r="C124" s="250" t="s">
        <v>3962</v>
      </c>
      <c r="D124" s="268" t="s">
        <v>495</v>
      </c>
      <c r="E124" s="417">
        <v>44102.0</v>
      </c>
      <c r="F124" s="250" t="s">
        <v>499</v>
      </c>
      <c r="G124" s="403">
        <v>3.0</v>
      </c>
      <c r="H124" s="403">
        <v>1.0</v>
      </c>
      <c r="I124" s="403">
        <v>4.0</v>
      </c>
      <c r="J124" s="391">
        <f t="shared" si="2"/>
        <v>0.0007345466679</v>
      </c>
      <c r="K124" s="392">
        <f t="shared" si="3"/>
        <v>0.1138547335</v>
      </c>
      <c r="L124" s="327">
        <f t="shared" si="4"/>
        <v>1.029059129</v>
      </c>
      <c r="M124" s="321" t="str">
        <f t="shared" si="5"/>
        <v>solsista</v>
      </c>
      <c r="N124" s="18">
        <v>1.0</v>
      </c>
    </row>
    <row r="125">
      <c r="A125" s="226" t="s">
        <v>31</v>
      </c>
      <c r="B125" s="226" t="s">
        <v>519</v>
      </c>
      <c r="C125" s="250" t="s">
        <v>3960</v>
      </c>
      <c r="D125" s="268" t="s">
        <v>495</v>
      </c>
      <c r="E125" s="417">
        <v>44110.0</v>
      </c>
      <c r="F125" s="250" t="s">
        <v>521</v>
      </c>
      <c r="G125" s="403">
        <v>3.0</v>
      </c>
      <c r="H125" s="403">
        <v>5.0</v>
      </c>
      <c r="I125" s="403">
        <v>10.0</v>
      </c>
      <c r="J125" s="391">
        <f t="shared" si="2"/>
        <v>0.002231811149</v>
      </c>
      <c r="K125" s="392">
        <f t="shared" si="3"/>
        <v>0.3459307282</v>
      </c>
      <c r="L125" s="327">
        <f t="shared" si="4"/>
        <v>0.3459307282</v>
      </c>
      <c r="M125" s="321" t="str">
        <f t="shared" si="5"/>
        <v>sponnet2</v>
      </c>
      <c r="N125" s="18">
        <v>1.0</v>
      </c>
    </row>
    <row r="126">
      <c r="A126" s="226" t="s">
        <v>68</v>
      </c>
      <c r="B126" s="226" t="s">
        <v>590</v>
      </c>
      <c r="C126" s="250" t="s">
        <v>4009</v>
      </c>
      <c r="D126" s="268" t="s">
        <v>495</v>
      </c>
      <c r="E126" s="417">
        <v>44112.0</v>
      </c>
      <c r="F126" s="250" t="s">
        <v>592</v>
      </c>
      <c r="G126" s="403">
        <v>2.0</v>
      </c>
      <c r="H126" s="403">
        <v>10.0</v>
      </c>
      <c r="I126" s="403">
        <v>10.0</v>
      </c>
      <c r="J126" s="391">
        <f t="shared" si="2"/>
        <v>0.003022700109</v>
      </c>
      <c r="K126" s="392">
        <f t="shared" si="3"/>
        <v>0.4685185168</v>
      </c>
      <c r="L126" s="327">
        <f t="shared" si="4"/>
        <v>0.4685185168</v>
      </c>
      <c r="M126" s="321" t="str">
        <f t="shared" si="5"/>
        <v>tylerdmace</v>
      </c>
      <c r="N126" s="18">
        <v>1.0</v>
      </c>
    </row>
    <row r="127">
      <c r="A127" s="226" t="s">
        <v>238</v>
      </c>
      <c r="B127" s="226" t="s">
        <v>519</v>
      </c>
      <c r="C127" s="250" t="s">
        <v>3959</v>
      </c>
      <c r="D127" s="268" t="s">
        <v>495</v>
      </c>
      <c r="E127" s="417">
        <v>44105.0</v>
      </c>
      <c r="F127" s="250" t="s">
        <v>499</v>
      </c>
      <c r="G127" s="403">
        <v>4.0</v>
      </c>
      <c r="H127" s="403">
        <v>0.0</v>
      </c>
      <c r="I127" s="403">
        <v>0.0</v>
      </c>
      <c r="J127" s="391">
        <f t="shared" si="2"/>
        <v>0</v>
      </c>
      <c r="K127" s="392">
        <f t="shared" si="3"/>
        <v>0</v>
      </c>
      <c r="L127" s="327">
        <f t="shared" si="4"/>
        <v>0</v>
      </c>
      <c r="M127" s="321" t="str">
        <f t="shared" si="5"/>
        <v>willyogo</v>
      </c>
      <c r="N127" s="18">
        <v>1.0</v>
      </c>
    </row>
    <row r="128">
      <c r="C128" s="164"/>
      <c r="E128" s="402"/>
      <c r="G128" s="404"/>
      <c r="H128" s="404"/>
      <c r="I128" s="404"/>
      <c r="J128" s="391"/>
      <c r="K128" s="392"/>
      <c r="L128" s="327"/>
      <c r="M128" s="321" t="str">
        <f t="shared" si="5"/>
        <v/>
      </c>
    </row>
    <row r="129">
      <c r="C129" s="164"/>
      <c r="E129" s="402"/>
      <c r="G129" s="404"/>
      <c r="H129" s="404"/>
      <c r="I129" s="404"/>
      <c r="J129" s="391"/>
      <c r="K129" s="392"/>
      <c r="L129" s="327"/>
      <c r="M129" s="321" t="str">
        <f t="shared" si="5"/>
        <v/>
      </c>
    </row>
    <row r="130">
      <c r="C130" s="164"/>
      <c r="E130" s="402"/>
      <c r="G130" s="404"/>
      <c r="H130" s="404"/>
      <c r="I130" s="404"/>
      <c r="J130" s="391"/>
      <c r="K130" s="392"/>
      <c r="L130" s="327"/>
      <c r="M130" s="321" t="str">
        <f t="shared" si="5"/>
        <v/>
      </c>
    </row>
    <row r="131">
      <c r="C131" s="164"/>
      <c r="E131" s="402"/>
      <c r="G131" s="404"/>
      <c r="H131" s="404"/>
      <c r="I131" s="404"/>
      <c r="J131" s="391"/>
      <c r="K131" s="392"/>
      <c r="L131" s="327"/>
      <c r="M131" s="321" t="str">
        <f t="shared" si="5"/>
        <v/>
      </c>
    </row>
    <row r="132">
      <c r="C132" s="164"/>
      <c r="E132" s="402"/>
      <c r="G132" s="404"/>
      <c r="H132" s="404"/>
      <c r="I132" s="404"/>
      <c r="J132" s="391"/>
      <c r="K132" s="392"/>
      <c r="L132" s="327"/>
      <c r="M132" s="321" t="str">
        <f t="shared" si="5"/>
        <v/>
      </c>
    </row>
    <row r="133">
      <c r="C133" s="164"/>
      <c r="E133" s="402"/>
      <c r="G133" s="404"/>
      <c r="H133" s="404"/>
      <c r="I133" s="404"/>
      <c r="J133" s="391"/>
      <c r="K133" s="392"/>
      <c r="L133" s="327"/>
      <c r="M133" s="321" t="str">
        <f t="shared" si="5"/>
        <v/>
      </c>
    </row>
    <row r="134">
      <c r="C134" s="164"/>
      <c r="E134" s="402"/>
      <c r="G134" s="404"/>
      <c r="H134" s="404"/>
      <c r="I134" s="404"/>
      <c r="J134" s="391"/>
      <c r="K134" s="392"/>
      <c r="L134" s="327"/>
      <c r="M134" s="321" t="str">
        <f t="shared" si="5"/>
        <v/>
      </c>
    </row>
    <row r="135">
      <c r="C135" s="164"/>
      <c r="E135" s="402"/>
      <c r="G135" s="404"/>
      <c r="H135" s="404"/>
      <c r="I135" s="404"/>
      <c r="J135" s="391"/>
      <c r="K135" s="392"/>
      <c r="L135" s="327"/>
      <c r="M135" s="321" t="str">
        <f t="shared" si="5"/>
        <v/>
      </c>
    </row>
    <row r="136">
      <c r="C136" s="164"/>
      <c r="E136" s="402"/>
      <c r="G136" s="404"/>
      <c r="H136" s="404"/>
      <c r="I136" s="404"/>
      <c r="J136" s="391"/>
      <c r="K136" s="392"/>
      <c r="L136" s="327"/>
      <c r="M136" s="321" t="str">
        <f t="shared" si="5"/>
        <v/>
      </c>
    </row>
    <row r="137">
      <c r="C137" s="164"/>
      <c r="E137" s="402"/>
      <c r="G137" s="404"/>
      <c r="H137" s="404"/>
      <c r="I137" s="404"/>
      <c r="J137" s="391"/>
      <c r="K137" s="392"/>
      <c r="L137" s="327"/>
      <c r="M137" s="321" t="str">
        <f t="shared" si="5"/>
        <v/>
      </c>
    </row>
    <row r="138">
      <c r="C138" s="164"/>
      <c r="E138" s="402"/>
      <c r="G138" s="404"/>
      <c r="H138" s="404"/>
      <c r="I138" s="404"/>
      <c r="J138" s="391"/>
      <c r="K138" s="392"/>
      <c r="L138" s="327"/>
      <c r="M138" s="321" t="str">
        <f t="shared" si="5"/>
        <v/>
      </c>
    </row>
    <row r="139">
      <c r="C139" s="164"/>
      <c r="E139" s="402"/>
      <c r="G139" s="404"/>
      <c r="H139" s="404"/>
      <c r="I139" s="404"/>
      <c r="J139" s="391"/>
      <c r="K139" s="392"/>
      <c r="L139" s="327"/>
      <c r="M139" s="321" t="str">
        <f t="shared" si="5"/>
        <v/>
      </c>
    </row>
    <row r="140">
      <c r="C140" s="164"/>
      <c r="E140" s="402"/>
      <c r="G140" s="404"/>
      <c r="H140" s="404"/>
      <c r="I140" s="404"/>
      <c r="J140" s="391"/>
      <c r="K140" s="392"/>
      <c r="L140" s="327"/>
      <c r="M140" s="321" t="str">
        <f t="shared" si="5"/>
        <v/>
      </c>
    </row>
    <row r="141">
      <c r="C141" s="164"/>
      <c r="E141" s="402"/>
      <c r="G141" s="404"/>
      <c r="H141" s="404"/>
      <c r="I141" s="404"/>
      <c r="J141" s="391"/>
      <c r="K141" s="392"/>
      <c r="L141" s="327"/>
      <c r="M141" s="321" t="str">
        <f t="shared" si="5"/>
        <v/>
      </c>
    </row>
    <row r="142">
      <c r="C142" s="164"/>
      <c r="E142" s="402"/>
      <c r="G142" s="404"/>
      <c r="H142" s="404"/>
      <c r="I142" s="404"/>
      <c r="J142" s="391"/>
      <c r="K142" s="392"/>
      <c r="L142" s="327"/>
      <c r="M142" s="321" t="str">
        <f t="shared" si="5"/>
        <v/>
      </c>
    </row>
    <row r="143">
      <c r="C143" s="164"/>
      <c r="E143" s="402"/>
      <c r="G143" s="404"/>
      <c r="H143" s="404"/>
      <c r="I143" s="404"/>
      <c r="J143" s="391"/>
      <c r="K143" s="392"/>
      <c r="L143" s="327"/>
      <c r="M143" s="321" t="str">
        <f t="shared" si="5"/>
        <v/>
      </c>
    </row>
    <row r="144">
      <c r="C144" s="164"/>
      <c r="E144" s="402"/>
      <c r="G144" s="404"/>
      <c r="H144" s="404"/>
      <c r="I144" s="404"/>
      <c r="J144" s="391"/>
      <c r="K144" s="392"/>
      <c r="L144" s="327"/>
      <c r="M144" s="321" t="str">
        <f t="shared" si="5"/>
        <v/>
      </c>
    </row>
    <row r="145">
      <c r="C145" s="164"/>
      <c r="E145" s="402"/>
      <c r="G145" s="404"/>
      <c r="H145" s="404"/>
      <c r="I145" s="404"/>
      <c r="J145" s="391"/>
      <c r="K145" s="392"/>
      <c r="L145" s="327"/>
      <c r="M145" s="321" t="str">
        <f t="shared" si="5"/>
        <v/>
      </c>
    </row>
    <row r="146">
      <c r="C146" s="164"/>
      <c r="E146" s="402"/>
      <c r="G146" s="404"/>
      <c r="H146" s="404"/>
      <c r="I146" s="404"/>
      <c r="J146" s="391"/>
      <c r="K146" s="392"/>
      <c r="L146" s="327"/>
      <c r="M146" s="321" t="str">
        <f t="shared" si="5"/>
        <v/>
      </c>
    </row>
    <row r="147">
      <c r="C147" s="164"/>
      <c r="E147" s="402"/>
      <c r="G147" s="404"/>
      <c r="H147" s="404"/>
      <c r="I147" s="404"/>
      <c r="J147" s="391"/>
      <c r="K147" s="392"/>
      <c r="L147" s="327"/>
      <c r="M147" s="321" t="str">
        <f t="shared" si="5"/>
        <v/>
      </c>
    </row>
    <row r="148">
      <c r="C148" s="164"/>
      <c r="E148" s="402"/>
      <c r="G148" s="404"/>
      <c r="H148" s="404"/>
      <c r="I148" s="404"/>
      <c r="J148" s="391"/>
      <c r="K148" s="392"/>
      <c r="L148" s="327"/>
      <c r="M148" s="321" t="str">
        <f t="shared" si="5"/>
        <v/>
      </c>
    </row>
    <row r="149">
      <c r="C149" s="164"/>
      <c r="E149" s="402"/>
      <c r="G149" s="404"/>
      <c r="H149" s="404"/>
      <c r="I149" s="404"/>
      <c r="J149" s="391"/>
      <c r="K149" s="392"/>
      <c r="L149" s="327"/>
      <c r="M149" s="321" t="str">
        <f t="shared" si="5"/>
        <v/>
      </c>
    </row>
    <row r="150">
      <c r="C150" s="164"/>
      <c r="E150" s="402"/>
      <c r="G150" s="404"/>
      <c r="H150" s="404"/>
      <c r="I150" s="404"/>
      <c r="J150" s="391"/>
      <c r="K150" s="392"/>
      <c r="L150" s="327"/>
      <c r="M150" s="321" t="str">
        <f t="shared" si="5"/>
        <v/>
      </c>
    </row>
    <row r="151">
      <c r="C151" s="164"/>
      <c r="E151" s="402"/>
      <c r="G151" s="404"/>
      <c r="H151" s="404"/>
      <c r="I151" s="404"/>
      <c r="J151" s="391"/>
      <c r="K151" s="392"/>
      <c r="L151" s="327"/>
      <c r="M151" s="321" t="str">
        <f t="shared" si="5"/>
        <v/>
      </c>
    </row>
    <row r="152">
      <c r="C152" s="164"/>
      <c r="E152" s="402"/>
      <c r="G152" s="404"/>
      <c r="H152" s="404"/>
      <c r="I152" s="404"/>
      <c r="J152" s="391"/>
      <c r="K152" s="392"/>
      <c r="L152" s="327"/>
      <c r="M152" s="321" t="str">
        <f t="shared" si="5"/>
        <v/>
      </c>
    </row>
    <row r="153">
      <c r="C153" s="164"/>
      <c r="E153" s="402"/>
      <c r="G153" s="404"/>
      <c r="H153" s="404"/>
      <c r="I153" s="404"/>
      <c r="J153" s="391"/>
      <c r="K153" s="392"/>
      <c r="L153" s="327"/>
      <c r="M153" s="321" t="str">
        <f t="shared" si="5"/>
        <v/>
      </c>
    </row>
    <row r="154">
      <c r="C154" s="164"/>
      <c r="E154" s="402"/>
      <c r="G154" s="404"/>
      <c r="H154" s="404"/>
      <c r="I154" s="404"/>
      <c r="J154" s="391"/>
      <c r="K154" s="392"/>
      <c r="L154" s="327"/>
      <c r="M154" s="321" t="str">
        <f t="shared" si="5"/>
        <v/>
      </c>
    </row>
    <row r="155">
      <c r="C155" s="164"/>
      <c r="E155" s="402"/>
      <c r="G155" s="404"/>
      <c r="H155" s="404"/>
      <c r="I155" s="404"/>
      <c r="J155" s="391"/>
      <c r="K155" s="392"/>
      <c r="L155" s="327"/>
      <c r="M155" s="321" t="str">
        <f t="shared" si="5"/>
        <v/>
      </c>
    </row>
    <row r="156">
      <c r="C156" s="164"/>
      <c r="E156" s="402"/>
      <c r="G156" s="404"/>
      <c r="H156" s="404"/>
      <c r="I156" s="404"/>
      <c r="J156" s="391"/>
      <c r="K156" s="392"/>
      <c r="L156" s="327"/>
      <c r="M156" s="321" t="str">
        <f t="shared" si="5"/>
        <v/>
      </c>
    </row>
    <row r="157">
      <c r="C157" s="164"/>
      <c r="E157" s="402"/>
      <c r="G157" s="404"/>
      <c r="H157" s="404"/>
      <c r="I157" s="404"/>
      <c r="J157" s="391"/>
      <c r="K157" s="392"/>
      <c r="L157" s="327"/>
      <c r="M157" s="321" t="str">
        <f t="shared" si="5"/>
        <v/>
      </c>
    </row>
    <row r="158">
      <c r="C158" s="164"/>
      <c r="E158" s="402"/>
      <c r="G158" s="404"/>
      <c r="H158" s="404"/>
      <c r="I158" s="404"/>
      <c r="J158" s="391"/>
      <c r="K158" s="392"/>
      <c r="L158" s="327"/>
      <c r="M158" s="321" t="str">
        <f t="shared" si="5"/>
        <v/>
      </c>
    </row>
    <row r="159">
      <c r="C159" s="164"/>
      <c r="E159" s="402"/>
      <c r="G159" s="404"/>
      <c r="H159" s="404"/>
      <c r="I159" s="404"/>
      <c r="J159" s="391"/>
      <c r="K159" s="392"/>
      <c r="L159" s="327"/>
      <c r="M159" s="321" t="str">
        <f t="shared" si="5"/>
        <v/>
      </c>
    </row>
    <row r="160">
      <c r="C160" s="164"/>
      <c r="E160" s="402"/>
      <c r="G160" s="404"/>
      <c r="H160" s="404"/>
      <c r="I160" s="404"/>
      <c r="J160" s="391"/>
      <c r="K160" s="392"/>
      <c r="L160" s="327"/>
      <c r="M160" s="321" t="str">
        <f t="shared" si="5"/>
        <v/>
      </c>
    </row>
    <row r="161">
      <c r="C161" s="164"/>
      <c r="E161" s="402"/>
      <c r="G161" s="404"/>
      <c r="H161" s="404"/>
      <c r="I161" s="404"/>
      <c r="J161" s="391"/>
      <c r="K161" s="392"/>
      <c r="L161" s="327"/>
    </row>
    <row r="162">
      <c r="C162" s="164"/>
      <c r="E162" s="402"/>
      <c r="G162" s="404"/>
      <c r="H162" s="404"/>
      <c r="I162" s="404"/>
      <c r="J162" s="391"/>
      <c r="K162" s="392"/>
      <c r="L162" s="327"/>
    </row>
    <row r="163">
      <c r="C163" s="164"/>
      <c r="E163" s="402"/>
      <c r="G163" s="404"/>
      <c r="H163" s="404"/>
      <c r="I163" s="404"/>
      <c r="J163" s="391"/>
      <c r="K163" s="392"/>
      <c r="L163" s="327"/>
    </row>
    <row r="164">
      <c r="C164" s="164"/>
      <c r="E164" s="402"/>
      <c r="G164" s="404"/>
      <c r="H164" s="404"/>
      <c r="I164" s="404"/>
      <c r="J164" s="391"/>
      <c r="K164" s="392"/>
      <c r="L164" s="327"/>
    </row>
    <row r="165">
      <c r="C165" s="164"/>
      <c r="E165" s="402"/>
      <c r="G165" s="404"/>
      <c r="H165" s="404"/>
      <c r="I165" s="404"/>
      <c r="J165" s="391"/>
      <c r="K165" s="392"/>
      <c r="L165" s="327"/>
    </row>
    <row r="166">
      <c r="C166" s="164"/>
      <c r="E166" s="402"/>
      <c r="G166" s="404"/>
      <c r="H166" s="404"/>
      <c r="I166" s="404"/>
      <c r="J166" s="391"/>
      <c r="K166" s="392"/>
      <c r="L166" s="327"/>
    </row>
    <row r="167">
      <c r="C167" s="164"/>
      <c r="E167" s="402"/>
      <c r="G167" s="404"/>
      <c r="H167" s="404"/>
      <c r="I167" s="404"/>
      <c r="J167" s="391"/>
      <c r="K167" s="392"/>
      <c r="L167" s="327"/>
    </row>
    <row r="168">
      <c r="C168" s="164"/>
      <c r="E168" s="402"/>
      <c r="G168" s="404"/>
      <c r="H168" s="404"/>
      <c r="I168" s="404"/>
      <c r="J168" s="391"/>
      <c r="K168" s="392"/>
      <c r="L168" s="327"/>
    </row>
    <row r="169">
      <c r="C169" s="164"/>
      <c r="E169" s="402"/>
      <c r="G169" s="404"/>
      <c r="H169" s="404"/>
      <c r="I169" s="404"/>
      <c r="K169" s="322"/>
      <c r="L169" s="401"/>
    </row>
    <row r="170">
      <c r="C170" s="164"/>
      <c r="E170" s="402"/>
      <c r="G170" s="404"/>
      <c r="H170" s="404"/>
      <c r="I170" s="404"/>
      <c r="K170" s="322"/>
      <c r="L170" s="401"/>
    </row>
    <row r="171">
      <c r="C171" s="164"/>
      <c r="E171" s="402"/>
      <c r="G171" s="404"/>
      <c r="H171" s="404"/>
      <c r="I171" s="404"/>
      <c r="K171" s="322"/>
      <c r="L171" s="401"/>
    </row>
    <row r="172">
      <c r="C172" s="164"/>
      <c r="E172" s="402"/>
      <c r="G172" s="404"/>
      <c r="H172" s="404"/>
      <c r="I172" s="404"/>
      <c r="K172" s="322"/>
      <c r="L172" s="401"/>
    </row>
    <row r="173">
      <c r="C173" s="164"/>
      <c r="E173" s="402"/>
      <c r="G173" s="404"/>
      <c r="H173" s="404"/>
      <c r="I173" s="404"/>
      <c r="K173" s="322"/>
      <c r="L173" s="401"/>
    </row>
    <row r="174">
      <c r="C174" s="164"/>
      <c r="E174" s="402"/>
      <c r="G174" s="404"/>
      <c r="H174" s="404"/>
      <c r="I174" s="404"/>
      <c r="K174" s="322"/>
      <c r="L174" s="401"/>
    </row>
    <row r="175">
      <c r="C175" s="164"/>
      <c r="E175" s="402"/>
      <c r="G175" s="404"/>
      <c r="H175" s="404"/>
      <c r="I175" s="404"/>
      <c r="K175" s="322"/>
      <c r="L175" s="401"/>
    </row>
    <row r="176">
      <c r="C176" s="164"/>
      <c r="E176" s="402"/>
      <c r="G176" s="404"/>
      <c r="H176" s="404"/>
      <c r="I176" s="404"/>
      <c r="K176" s="322"/>
      <c r="L176" s="401"/>
    </row>
    <row r="177">
      <c r="C177" s="164"/>
      <c r="E177" s="402"/>
      <c r="G177" s="404"/>
      <c r="H177" s="404"/>
      <c r="I177" s="404"/>
      <c r="K177" s="322"/>
      <c r="L177" s="401"/>
    </row>
    <row r="178">
      <c r="C178" s="164"/>
      <c r="E178" s="402"/>
      <c r="G178" s="404"/>
      <c r="H178" s="404"/>
      <c r="I178" s="404"/>
      <c r="K178" s="322"/>
      <c r="L178" s="401"/>
    </row>
    <row r="179">
      <c r="C179" s="164"/>
      <c r="E179" s="402"/>
      <c r="G179" s="404"/>
      <c r="H179" s="404"/>
      <c r="I179" s="404"/>
      <c r="K179" s="322"/>
      <c r="L179" s="401"/>
    </row>
    <row r="180">
      <c r="C180" s="164"/>
      <c r="E180" s="402"/>
      <c r="G180" s="404"/>
      <c r="H180" s="404"/>
      <c r="I180" s="404"/>
      <c r="K180" s="322"/>
      <c r="L180" s="401"/>
    </row>
    <row r="181">
      <c r="C181" s="164"/>
      <c r="E181" s="402"/>
      <c r="G181" s="404"/>
      <c r="H181" s="404"/>
      <c r="I181" s="404"/>
      <c r="K181" s="322"/>
      <c r="L181" s="401"/>
    </row>
    <row r="182">
      <c r="C182" s="164"/>
      <c r="E182" s="402"/>
      <c r="G182" s="404"/>
      <c r="H182" s="404"/>
      <c r="I182" s="404"/>
      <c r="K182" s="322"/>
      <c r="L182" s="401"/>
    </row>
    <row r="183">
      <c r="C183" s="164"/>
      <c r="E183" s="402"/>
      <c r="G183" s="404"/>
      <c r="H183" s="404"/>
      <c r="I183" s="404"/>
      <c r="K183" s="322"/>
      <c r="L183" s="401"/>
    </row>
    <row r="184">
      <c r="C184" s="164"/>
      <c r="E184" s="402"/>
      <c r="G184" s="404"/>
      <c r="H184" s="404"/>
      <c r="I184" s="404"/>
      <c r="K184" s="322"/>
      <c r="L184" s="401"/>
    </row>
    <row r="185">
      <c r="C185" s="164"/>
      <c r="E185" s="402"/>
      <c r="G185" s="404"/>
      <c r="H185" s="404"/>
      <c r="I185" s="404"/>
      <c r="K185" s="322"/>
      <c r="L185" s="401"/>
    </row>
    <row r="186">
      <c r="C186" s="164"/>
      <c r="E186" s="402"/>
      <c r="G186" s="404"/>
      <c r="H186" s="404"/>
      <c r="I186" s="404"/>
      <c r="K186" s="322"/>
      <c r="L186" s="401"/>
    </row>
    <row r="187">
      <c r="C187" s="164"/>
      <c r="E187" s="402"/>
      <c r="G187" s="404"/>
      <c r="H187" s="404"/>
      <c r="I187" s="404"/>
      <c r="K187" s="322"/>
      <c r="L187" s="401"/>
    </row>
    <row r="188">
      <c r="C188" s="164"/>
      <c r="E188" s="402"/>
      <c r="G188" s="404"/>
      <c r="H188" s="404"/>
      <c r="I188" s="404"/>
      <c r="K188" s="322"/>
      <c r="L188" s="401"/>
    </row>
    <row r="189">
      <c r="C189" s="164"/>
      <c r="E189" s="402"/>
      <c r="G189" s="404"/>
      <c r="H189" s="404"/>
      <c r="I189" s="404"/>
      <c r="K189" s="322"/>
      <c r="L189" s="401"/>
    </row>
    <row r="190">
      <c r="C190" s="164"/>
      <c r="E190" s="402"/>
      <c r="G190" s="404"/>
      <c r="H190" s="404"/>
      <c r="I190" s="404"/>
      <c r="K190" s="322"/>
      <c r="L190" s="401"/>
    </row>
    <row r="191">
      <c r="C191" s="164"/>
      <c r="E191" s="402"/>
      <c r="G191" s="404"/>
      <c r="H191" s="404"/>
      <c r="I191" s="404"/>
      <c r="K191" s="322"/>
      <c r="L191" s="401"/>
    </row>
    <row r="192">
      <c r="C192" s="164"/>
      <c r="E192" s="402"/>
      <c r="G192" s="404"/>
      <c r="H192" s="404"/>
      <c r="I192" s="404"/>
      <c r="K192" s="322"/>
      <c r="L192" s="401"/>
    </row>
    <row r="193">
      <c r="C193" s="164"/>
      <c r="E193" s="402"/>
      <c r="G193" s="404"/>
      <c r="H193" s="404"/>
      <c r="I193" s="404"/>
      <c r="K193" s="322"/>
      <c r="L193" s="401"/>
    </row>
    <row r="194">
      <c r="C194" s="164"/>
      <c r="E194" s="402"/>
      <c r="G194" s="404"/>
      <c r="H194" s="404"/>
      <c r="I194" s="404"/>
      <c r="K194" s="322"/>
      <c r="L194" s="401"/>
    </row>
    <row r="195">
      <c r="C195" s="164"/>
      <c r="E195" s="402"/>
      <c r="G195" s="404"/>
      <c r="H195" s="404"/>
      <c r="I195" s="404"/>
      <c r="K195" s="322"/>
      <c r="L195" s="401"/>
    </row>
    <row r="196">
      <c r="C196" s="164"/>
      <c r="E196" s="402"/>
      <c r="G196" s="404"/>
      <c r="H196" s="404"/>
      <c r="I196" s="404"/>
      <c r="K196" s="322"/>
      <c r="L196" s="401"/>
    </row>
    <row r="197">
      <c r="C197" s="164"/>
      <c r="E197" s="402"/>
      <c r="G197" s="404"/>
      <c r="H197" s="404"/>
      <c r="I197" s="404"/>
      <c r="K197" s="322"/>
      <c r="L197" s="401"/>
    </row>
    <row r="198">
      <c r="C198" s="164"/>
      <c r="E198" s="402"/>
      <c r="G198" s="404"/>
      <c r="H198" s="404"/>
      <c r="I198" s="404"/>
      <c r="K198" s="322"/>
      <c r="L198" s="401"/>
    </row>
    <row r="199">
      <c r="C199" s="164"/>
      <c r="E199" s="402"/>
      <c r="G199" s="404"/>
      <c r="H199" s="404"/>
      <c r="I199" s="404"/>
      <c r="K199" s="322"/>
      <c r="L199" s="401"/>
    </row>
    <row r="200">
      <c r="C200" s="164"/>
      <c r="E200" s="402"/>
      <c r="G200" s="404"/>
      <c r="H200" s="404"/>
      <c r="I200" s="404"/>
      <c r="K200" s="322"/>
      <c r="L200" s="401"/>
    </row>
    <row r="201">
      <c r="C201" s="164"/>
      <c r="E201" s="402"/>
      <c r="G201" s="404"/>
      <c r="H201" s="404"/>
      <c r="I201" s="404"/>
      <c r="K201" s="322"/>
      <c r="L201" s="401"/>
    </row>
    <row r="202">
      <c r="C202" s="164"/>
      <c r="E202" s="402"/>
      <c r="G202" s="404"/>
      <c r="H202" s="404"/>
      <c r="I202" s="404"/>
      <c r="K202" s="322"/>
      <c r="L202" s="401"/>
    </row>
    <row r="203">
      <c r="C203" s="164"/>
      <c r="E203" s="402"/>
      <c r="G203" s="404"/>
      <c r="H203" s="404"/>
      <c r="I203" s="404"/>
      <c r="K203" s="322"/>
      <c r="L203" s="401"/>
    </row>
    <row r="204">
      <c r="C204" s="164"/>
      <c r="E204" s="402"/>
      <c r="G204" s="404"/>
      <c r="H204" s="404"/>
      <c r="I204" s="404"/>
      <c r="K204" s="322"/>
      <c r="L204" s="401"/>
    </row>
    <row r="205">
      <c r="C205" s="164"/>
      <c r="E205" s="402"/>
      <c r="G205" s="404"/>
      <c r="H205" s="404"/>
      <c r="I205" s="404"/>
      <c r="K205" s="322"/>
      <c r="L205" s="401"/>
    </row>
    <row r="206">
      <c r="C206" s="164"/>
      <c r="E206" s="402"/>
      <c r="G206" s="404"/>
      <c r="H206" s="404"/>
      <c r="I206" s="404"/>
      <c r="K206" s="322"/>
      <c r="L206" s="401"/>
    </row>
    <row r="207">
      <c r="C207" s="164"/>
      <c r="E207" s="402"/>
      <c r="G207" s="404"/>
      <c r="H207" s="404"/>
      <c r="I207" s="404"/>
      <c r="K207" s="322"/>
      <c r="L207" s="401"/>
    </row>
    <row r="208">
      <c r="C208" s="164"/>
      <c r="E208" s="402"/>
      <c r="G208" s="404"/>
      <c r="H208" s="404"/>
      <c r="I208" s="404"/>
      <c r="K208" s="322"/>
      <c r="L208" s="401"/>
    </row>
    <row r="209">
      <c r="C209" s="164"/>
      <c r="E209" s="402"/>
      <c r="G209" s="404"/>
      <c r="H209" s="404"/>
      <c r="I209" s="404"/>
      <c r="K209" s="322"/>
      <c r="L209" s="401"/>
    </row>
    <row r="210">
      <c r="C210" s="164"/>
      <c r="E210" s="402"/>
      <c r="G210" s="404"/>
      <c r="H210" s="404"/>
      <c r="I210" s="404"/>
      <c r="K210" s="322"/>
      <c r="L210" s="401"/>
    </row>
    <row r="211">
      <c r="C211" s="164"/>
      <c r="E211" s="402"/>
      <c r="G211" s="404"/>
      <c r="H211" s="404"/>
      <c r="I211" s="404"/>
      <c r="K211" s="322"/>
      <c r="L211" s="401"/>
    </row>
    <row r="212">
      <c r="C212" s="164"/>
      <c r="E212" s="402"/>
      <c r="G212" s="404"/>
      <c r="H212" s="404"/>
      <c r="I212" s="404"/>
      <c r="K212" s="322"/>
      <c r="L212" s="401"/>
    </row>
    <row r="213">
      <c r="C213" s="164"/>
      <c r="E213" s="402"/>
      <c r="G213" s="404"/>
      <c r="H213" s="404"/>
      <c r="I213" s="404"/>
      <c r="K213" s="322"/>
      <c r="L213" s="401"/>
    </row>
    <row r="214">
      <c r="C214" s="164"/>
      <c r="E214" s="402"/>
      <c r="G214" s="404"/>
      <c r="H214" s="404"/>
      <c r="I214" s="404"/>
      <c r="K214" s="322"/>
      <c r="L214" s="401"/>
    </row>
    <row r="215">
      <c r="C215" s="164"/>
      <c r="E215" s="402"/>
      <c r="G215" s="404"/>
      <c r="H215" s="404"/>
      <c r="I215" s="404"/>
      <c r="K215" s="322"/>
      <c r="L215" s="401"/>
    </row>
    <row r="216">
      <c r="C216" s="164"/>
      <c r="E216" s="402"/>
      <c r="G216" s="404"/>
      <c r="H216" s="404"/>
      <c r="I216" s="404"/>
      <c r="K216" s="322"/>
      <c r="L216" s="401"/>
    </row>
    <row r="217">
      <c r="C217" s="164"/>
      <c r="E217" s="402"/>
      <c r="G217" s="404"/>
      <c r="H217" s="404"/>
      <c r="I217" s="404"/>
      <c r="K217" s="322"/>
      <c r="L217" s="401"/>
    </row>
    <row r="218">
      <c r="C218" s="164"/>
      <c r="E218" s="402"/>
      <c r="G218" s="404"/>
      <c r="H218" s="404"/>
      <c r="I218" s="404"/>
      <c r="K218" s="322"/>
      <c r="L218" s="401"/>
    </row>
    <row r="219">
      <c r="C219" s="164"/>
      <c r="E219" s="402"/>
      <c r="G219" s="404"/>
      <c r="H219" s="404"/>
      <c r="I219" s="404"/>
      <c r="K219" s="322"/>
      <c r="L219" s="401"/>
    </row>
    <row r="220">
      <c r="C220" s="164"/>
      <c r="E220" s="402"/>
      <c r="G220" s="404"/>
      <c r="H220" s="404"/>
      <c r="I220" s="404"/>
      <c r="K220" s="322"/>
      <c r="L220" s="401"/>
    </row>
    <row r="221">
      <c r="C221" s="164"/>
      <c r="E221" s="402"/>
      <c r="G221" s="404"/>
      <c r="H221" s="404"/>
      <c r="I221" s="404"/>
      <c r="K221" s="322"/>
      <c r="L221" s="401"/>
    </row>
    <row r="222">
      <c r="C222" s="164"/>
      <c r="E222" s="402"/>
      <c r="G222" s="404"/>
      <c r="H222" s="404"/>
      <c r="I222" s="404"/>
      <c r="K222" s="322"/>
      <c r="L222" s="401"/>
    </row>
    <row r="223">
      <c r="C223" s="164"/>
      <c r="E223" s="402"/>
      <c r="G223" s="404"/>
      <c r="H223" s="404"/>
      <c r="I223" s="404"/>
      <c r="K223" s="322"/>
      <c r="L223" s="401"/>
    </row>
    <row r="224">
      <c r="C224" s="164"/>
      <c r="E224" s="402"/>
      <c r="G224" s="404"/>
      <c r="H224" s="404"/>
      <c r="I224" s="404"/>
      <c r="K224" s="322"/>
      <c r="L224" s="401"/>
    </row>
    <row r="225">
      <c r="C225" s="164"/>
      <c r="E225" s="402"/>
      <c r="G225" s="404"/>
      <c r="H225" s="404"/>
      <c r="I225" s="404"/>
      <c r="K225" s="322"/>
      <c r="L225" s="401"/>
    </row>
    <row r="226">
      <c r="C226" s="164"/>
      <c r="E226" s="402"/>
      <c r="G226" s="404"/>
      <c r="H226" s="404"/>
      <c r="I226" s="404"/>
      <c r="K226" s="322"/>
      <c r="L226" s="401"/>
    </row>
    <row r="227">
      <c r="C227" s="164"/>
      <c r="E227" s="402"/>
      <c r="G227" s="404"/>
      <c r="H227" s="404"/>
      <c r="I227" s="404"/>
      <c r="K227" s="322"/>
      <c r="L227" s="401"/>
    </row>
    <row r="228">
      <c r="C228" s="164"/>
      <c r="E228" s="402"/>
      <c r="G228" s="404"/>
      <c r="H228" s="404"/>
      <c r="I228" s="404"/>
      <c r="K228" s="322"/>
      <c r="L228" s="401"/>
    </row>
    <row r="229">
      <c r="C229" s="164"/>
      <c r="E229" s="402"/>
      <c r="G229" s="404"/>
      <c r="H229" s="404"/>
      <c r="I229" s="404"/>
      <c r="K229" s="322"/>
      <c r="L229" s="401"/>
    </row>
    <row r="230">
      <c r="C230" s="164"/>
      <c r="E230" s="402"/>
      <c r="G230" s="404"/>
      <c r="H230" s="404"/>
      <c r="I230" s="404"/>
      <c r="K230" s="322"/>
      <c r="L230" s="401"/>
    </row>
    <row r="231">
      <c r="C231" s="164"/>
      <c r="E231" s="402"/>
      <c r="G231" s="404"/>
      <c r="H231" s="404"/>
      <c r="I231" s="404"/>
      <c r="K231" s="322"/>
      <c r="L231" s="401"/>
    </row>
    <row r="232">
      <c r="C232" s="164"/>
      <c r="E232" s="402"/>
      <c r="G232" s="404"/>
      <c r="H232" s="404"/>
      <c r="I232" s="404"/>
      <c r="K232" s="322"/>
      <c r="L232" s="401"/>
    </row>
    <row r="233">
      <c r="C233" s="164"/>
      <c r="E233" s="402"/>
      <c r="G233" s="404"/>
      <c r="H233" s="404"/>
      <c r="I233" s="404"/>
      <c r="K233" s="322"/>
      <c r="L233" s="401"/>
    </row>
    <row r="234">
      <c r="C234" s="164"/>
      <c r="E234" s="402"/>
      <c r="G234" s="404"/>
      <c r="H234" s="404"/>
      <c r="I234" s="404"/>
      <c r="K234" s="322"/>
      <c r="L234" s="401"/>
    </row>
    <row r="235">
      <c r="C235" s="164"/>
      <c r="E235" s="402"/>
      <c r="G235" s="404"/>
      <c r="H235" s="404"/>
      <c r="I235" s="404"/>
      <c r="K235" s="322"/>
      <c r="L235" s="401"/>
    </row>
    <row r="236">
      <c r="C236" s="164"/>
      <c r="E236" s="402"/>
      <c r="G236" s="404"/>
      <c r="H236" s="404"/>
      <c r="I236" s="404"/>
      <c r="K236" s="322"/>
      <c r="L236" s="401"/>
    </row>
    <row r="237">
      <c r="C237" s="164"/>
      <c r="E237" s="402"/>
      <c r="G237" s="404"/>
      <c r="H237" s="404"/>
      <c r="I237" s="404"/>
      <c r="K237" s="322"/>
      <c r="L237" s="401"/>
    </row>
    <row r="238">
      <c r="C238" s="164"/>
      <c r="E238" s="402"/>
      <c r="G238" s="404"/>
      <c r="H238" s="404"/>
      <c r="I238" s="404"/>
      <c r="K238" s="322"/>
      <c r="L238" s="401"/>
    </row>
    <row r="239">
      <c r="C239" s="164"/>
      <c r="E239" s="402"/>
      <c r="G239" s="404"/>
      <c r="H239" s="404"/>
      <c r="I239" s="404"/>
      <c r="K239" s="322"/>
      <c r="L239" s="401"/>
    </row>
    <row r="240">
      <c r="C240" s="164"/>
      <c r="E240" s="402"/>
      <c r="G240" s="404"/>
      <c r="H240" s="404"/>
      <c r="I240" s="404"/>
      <c r="K240" s="322"/>
      <c r="L240" s="401"/>
    </row>
    <row r="241">
      <c r="C241" s="164"/>
      <c r="E241" s="402"/>
      <c r="G241" s="404"/>
      <c r="H241" s="404"/>
      <c r="I241" s="404"/>
      <c r="K241" s="322"/>
      <c r="L241" s="401"/>
    </row>
    <row r="242">
      <c r="C242" s="164"/>
      <c r="E242" s="402"/>
      <c r="G242" s="404"/>
      <c r="H242" s="404"/>
      <c r="I242" s="404"/>
      <c r="K242" s="322"/>
      <c r="L242" s="401"/>
    </row>
    <row r="243">
      <c r="C243" s="164"/>
      <c r="E243" s="402"/>
      <c r="G243" s="404"/>
      <c r="H243" s="404"/>
      <c r="I243" s="404"/>
      <c r="K243" s="322"/>
      <c r="L243" s="401"/>
    </row>
    <row r="244">
      <c r="C244" s="164"/>
      <c r="E244" s="402"/>
      <c r="G244" s="404"/>
      <c r="H244" s="404"/>
      <c r="I244" s="404"/>
      <c r="K244" s="322"/>
      <c r="L244" s="401"/>
    </row>
    <row r="245">
      <c r="C245" s="164"/>
      <c r="E245" s="402"/>
      <c r="G245" s="404"/>
      <c r="H245" s="404"/>
      <c r="I245" s="404"/>
      <c r="K245" s="322"/>
      <c r="L245" s="401"/>
    </row>
    <row r="246">
      <c r="C246" s="164"/>
      <c r="E246" s="402"/>
      <c r="G246" s="404"/>
      <c r="H246" s="404"/>
      <c r="I246" s="404"/>
      <c r="K246" s="322"/>
      <c r="L246" s="401"/>
    </row>
    <row r="247">
      <c r="C247" s="164"/>
      <c r="E247" s="402"/>
      <c r="G247" s="404"/>
      <c r="H247" s="404"/>
      <c r="I247" s="404"/>
      <c r="K247" s="322"/>
      <c r="L247" s="401"/>
    </row>
    <row r="248">
      <c r="C248" s="164"/>
      <c r="E248" s="402"/>
      <c r="G248" s="404"/>
      <c r="H248" s="404"/>
      <c r="I248" s="404"/>
      <c r="K248" s="322"/>
      <c r="L248" s="401"/>
    </row>
    <row r="249">
      <c r="C249" s="164"/>
      <c r="E249" s="402"/>
      <c r="G249" s="404"/>
      <c r="H249" s="404"/>
      <c r="I249" s="404"/>
      <c r="K249" s="322"/>
      <c r="L249" s="401"/>
    </row>
    <row r="250">
      <c r="C250" s="164"/>
      <c r="E250" s="402"/>
      <c r="G250" s="404"/>
      <c r="H250" s="404"/>
      <c r="I250" s="404"/>
      <c r="K250" s="322"/>
      <c r="L250" s="401"/>
    </row>
    <row r="251">
      <c r="C251" s="164"/>
      <c r="E251" s="402"/>
      <c r="G251" s="404"/>
      <c r="H251" s="404"/>
      <c r="I251" s="404"/>
      <c r="K251" s="322"/>
      <c r="L251" s="401"/>
    </row>
    <row r="252">
      <c r="C252" s="164"/>
      <c r="E252" s="402"/>
      <c r="G252" s="404"/>
      <c r="H252" s="404"/>
      <c r="I252" s="404"/>
      <c r="K252" s="322"/>
      <c r="L252" s="401"/>
    </row>
    <row r="253">
      <c r="C253" s="164"/>
      <c r="E253" s="402"/>
      <c r="G253" s="404"/>
      <c r="H253" s="404"/>
      <c r="I253" s="404"/>
      <c r="K253" s="322"/>
      <c r="L253" s="401"/>
    </row>
    <row r="254">
      <c r="C254" s="164"/>
      <c r="E254" s="402"/>
      <c r="G254" s="404"/>
      <c r="H254" s="404"/>
      <c r="I254" s="404"/>
      <c r="K254" s="322"/>
      <c r="L254" s="401"/>
    </row>
    <row r="255">
      <c r="C255" s="164"/>
      <c r="E255" s="402"/>
      <c r="G255" s="404"/>
      <c r="H255" s="404"/>
      <c r="I255" s="404"/>
      <c r="K255" s="322"/>
      <c r="L255" s="401"/>
    </row>
    <row r="256">
      <c r="C256" s="164"/>
      <c r="E256" s="402"/>
      <c r="G256" s="404"/>
      <c r="H256" s="404"/>
      <c r="I256" s="404"/>
      <c r="K256" s="322"/>
      <c r="L256" s="401"/>
    </row>
    <row r="257">
      <c r="C257" s="164"/>
      <c r="E257" s="402"/>
      <c r="G257" s="404"/>
      <c r="H257" s="404"/>
      <c r="I257" s="404"/>
      <c r="K257" s="322"/>
      <c r="L257" s="401"/>
    </row>
    <row r="258">
      <c r="C258" s="164"/>
      <c r="E258" s="402"/>
      <c r="G258" s="404"/>
      <c r="H258" s="404"/>
      <c r="I258" s="404"/>
      <c r="K258" s="322"/>
      <c r="L258" s="401"/>
    </row>
    <row r="259">
      <c r="C259" s="164"/>
      <c r="E259" s="402"/>
      <c r="G259" s="404"/>
      <c r="H259" s="404"/>
      <c r="I259" s="404"/>
      <c r="K259" s="322"/>
      <c r="L259" s="401"/>
    </row>
    <row r="260">
      <c r="C260" s="164"/>
      <c r="E260" s="402"/>
      <c r="G260" s="404"/>
      <c r="H260" s="404"/>
      <c r="I260" s="404"/>
      <c r="K260" s="322"/>
      <c r="L260" s="401"/>
    </row>
    <row r="261">
      <c r="C261" s="164"/>
      <c r="E261" s="402"/>
      <c r="G261" s="404"/>
      <c r="H261" s="404"/>
      <c r="I261" s="404"/>
      <c r="K261" s="322"/>
      <c r="L261" s="401"/>
    </row>
    <row r="262">
      <c r="C262" s="164"/>
      <c r="E262" s="402"/>
      <c r="G262" s="404"/>
      <c r="H262" s="404"/>
      <c r="I262" s="404"/>
      <c r="K262" s="322"/>
      <c r="L262" s="401"/>
    </row>
    <row r="263">
      <c r="C263" s="164"/>
      <c r="E263" s="402"/>
      <c r="G263" s="404"/>
      <c r="H263" s="404"/>
      <c r="I263" s="404"/>
      <c r="K263" s="322"/>
      <c r="L263" s="401"/>
    </row>
    <row r="264">
      <c r="C264" s="164"/>
      <c r="E264" s="402"/>
      <c r="G264" s="404"/>
      <c r="H264" s="404"/>
      <c r="I264" s="404"/>
      <c r="K264" s="322"/>
      <c r="L264" s="401"/>
    </row>
    <row r="265">
      <c r="C265" s="164"/>
      <c r="E265" s="402"/>
      <c r="G265" s="404"/>
      <c r="H265" s="404"/>
      <c r="I265" s="404"/>
      <c r="K265" s="322"/>
      <c r="L265" s="401"/>
    </row>
    <row r="266">
      <c r="C266" s="164"/>
      <c r="E266" s="402"/>
      <c r="G266" s="404"/>
      <c r="H266" s="404"/>
      <c r="I266" s="404"/>
      <c r="K266" s="322"/>
      <c r="L266" s="401"/>
    </row>
    <row r="267">
      <c r="C267" s="164"/>
      <c r="E267" s="402"/>
      <c r="G267" s="404"/>
      <c r="H267" s="404"/>
      <c r="I267" s="404"/>
      <c r="K267" s="322"/>
      <c r="L267" s="401"/>
    </row>
    <row r="268">
      <c r="C268" s="164"/>
      <c r="E268" s="402"/>
      <c r="G268" s="404"/>
      <c r="H268" s="404"/>
      <c r="I268" s="404"/>
      <c r="K268" s="322"/>
      <c r="L268" s="401"/>
    </row>
    <row r="269">
      <c r="C269" s="164"/>
      <c r="E269" s="402"/>
      <c r="G269" s="404"/>
      <c r="H269" s="404"/>
      <c r="I269" s="404"/>
      <c r="K269" s="322"/>
      <c r="L269" s="401"/>
    </row>
    <row r="270">
      <c r="C270" s="164"/>
      <c r="E270" s="402"/>
      <c r="G270" s="404"/>
      <c r="H270" s="404"/>
      <c r="I270" s="404"/>
      <c r="K270" s="322"/>
      <c r="L270" s="401"/>
    </row>
    <row r="271">
      <c r="C271" s="164"/>
      <c r="E271" s="402"/>
      <c r="G271" s="404"/>
      <c r="H271" s="404"/>
      <c r="I271" s="404"/>
      <c r="K271" s="322"/>
      <c r="L271" s="401"/>
    </row>
    <row r="272">
      <c r="C272" s="164"/>
      <c r="E272" s="402"/>
      <c r="G272" s="404"/>
      <c r="H272" s="404"/>
      <c r="I272" s="404"/>
      <c r="K272" s="322"/>
      <c r="L272" s="401"/>
    </row>
    <row r="273">
      <c r="C273" s="164"/>
      <c r="E273" s="402"/>
      <c r="G273" s="404"/>
      <c r="H273" s="404"/>
      <c r="I273" s="404"/>
      <c r="K273" s="322"/>
      <c r="L273" s="401"/>
    </row>
    <row r="274">
      <c r="C274" s="164"/>
      <c r="E274" s="402"/>
      <c r="G274" s="404"/>
      <c r="H274" s="404"/>
      <c r="I274" s="404"/>
      <c r="K274" s="322"/>
      <c r="L274" s="401"/>
    </row>
    <row r="275">
      <c r="C275" s="164"/>
      <c r="E275" s="402"/>
      <c r="G275" s="404"/>
      <c r="H275" s="404"/>
      <c r="I275" s="404"/>
      <c r="K275" s="322"/>
      <c r="L275" s="401"/>
    </row>
    <row r="276">
      <c r="C276" s="164"/>
      <c r="E276" s="402"/>
      <c r="G276" s="404"/>
      <c r="H276" s="404"/>
      <c r="I276" s="404"/>
      <c r="K276" s="322"/>
      <c r="L276" s="401"/>
    </row>
    <row r="277">
      <c r="C277" s="164"/>
      <c r="E277" s="402"/>
      <c r="G277" s="404"/>
      <c r="H277" s="404"/>
      <c r="I277" s="404"/>
      <c r="K277" s="322"/>
      <c r="L277" s="401"/>
    </row>
    <row r="278">
      <c r="C278" s="164"/>
      <c r="E278" s="402"/>
      <c r="G278" s="404"/>
      <c r="H278" s="404"/>
      <c r="I278" s="404"/>
      <c r="K278" s="322"/>
      <c r="L278" s="401"/>
    </row>
    <row r="279">
      <c r="C279" s="164"/>
      <c r="E279" s="402"/>
      <c r="G279" s="404"/>
      <c r="H279" s="404"/>
      <c r="I279" s="404"/>
      <c r="K279" s="322"/>
      <c r="L279" s="401"/>
    </row>
    <row r="280">
      <c r="C280" s="164"/>
      <c r="E280" s="402"/>
      <c r="G280" s="404"/>
      <c r="H280" s="404"/>
      <c r="I280" s="404"/>
      <c r="K280" s="322"/>
      <c r="L280" s="401"/>
    </row>
    <row r="281">
      <c r="C281" s="164"/>
      <c r="E281" s="402"/>
      <c r="G281" s="404"/>
      <c r="H281" s="404"/>
      <c r="I281" s="404"/>
      <c r="K281" s="322"/>
      <c r="L281" s="401"/>
    </row>
    <row r="282">
      <c r="C282" s="164"/>
      <c r="E282" s="402"/>
      <c r="G282" s="404"/>
      <c r="H282" s="404"/>
      <c r="I282" s="404"/>
      <c r="K282" s="322"/>
      <c r="L282" s="401"/>
    </row>
    <row r="283">
      <c r="C283" s="164"/>
      <c r="E283" s="402"/>
      <c r="G283" s="404"/>
      <c r="H283" s="404"/>
      <c r="I283" s="404"/>
      <c r="K283" s="322"/>
      <c r="L283" s="401"/>
    </row>
    <row r="284">
      <c r="C284" s="164"/>
      <c r="E284" s="402"/>
      <c r="G284" s="404"/>
      <c r="H284" s="404"/>
      <c r="I284" s="404"/>
      <c r="K284" s="322"/>
      <c r="L284" s="401"/>
    </row>
    <row r="285">
      <c r="C285" s="164"/>
      <c r="E285" s="402"/>
      <c r="G285" s="404"/>
      <c r="H285" s="404"/>
      <c r="I285" s="404"/>
      <c r="K285" s="322"/>
      <c r="L285" s="401"/>
    </row>
    <row r="286">
      <c r="C286" s="164"/>
      <c r="E286" s="402"/>
      <c r="G286" s="404"/>
      <c r="H286" s="404"/>
      <c r="I286" s="404"/>
      <c r="K286" s="322"/>
      <c r="L286" s="401"/>
    </row>
    <row r="287">
      <c r="C287" s="164"/>
      <c r="E287" s="402"/>
      <c r="G287" s="404"/>
      <c r="H287" s="404"/>
      <c r="I287" s="404"/>
      <c r="K287" s="322"/>
      <c r="L287" s="401"/>
    </row>
    <row r="288">
      <c r="C288" s="164"/>
      <c r="E288" s="402"/>
      <c r="G288" s="404"/>
      <c r="H288" s="404"/>
      <c r="I288" s="404"/>
      <c r="K288" s="322"/>
      <c r="L288" s="401"/>
    </row>
    <row r="289">
      <c r="C289" s="164"/>
      <c r="E289" s="402"/>
      <c r="G289" s="404"/>
      <c r="H289" s="404"/>
      <c r="I289" s="404"/>
      <c r="K289" s="322"/>
      <c r="L289" s="401"/>
    </row>
    <row r="290">
      <c r="C290" s="164"/>
      <c r="E290" s="402"/>
      <c r="G290" s="404"/>
      <c r="H290" s="404"/>
      <c r="I290" s="404"/>
      <c r="K290" s="322"/>
      <c r="L290" s="401"/>
    </row>
    <row r="291">
      <c r="C291" s="164"/>
      <c r="E291" s="402"/>
      <c r="G291" s="404"/>
      <c r="H291" s="404"/>
      <c r="I291" s="404"/>
      <c r="K291" s="322"/>
      <c r="L291" s="401"/>
    </row>
    <row r="292">
      <c r="C292" s="164"/>
      <c r="E292" s="402"/>
      <c r="G292" s="404"/>
      <c r="H292" s="404"/>
      <c r="I292" s="404"/>
      <c r="K292" s="322"/>
      <c r="L292" s="401"/>
    </row>
    <row r="293">
      <c r="C293" s="164"/>
      <c r="E293" s="402"/>
      <c r="G293" s="404"/>
      <c r="H293" s="404"/>
      <c r="I293" s="404"/>
      <c r="K293" s="322"/>
      <c r="L293" s="401"/>
    </row>
    <row r="294">
      <c r="C294" s="164"/>
      <c r="E294" s="402"/>
      <c r="G294" s="404"/>
      <c r="H294" s="404"/>
      <c r="I294" s="404"/>
      <c r="K294" s="322"/>
      <c r="L294" s="401"/>
    </row>
    <row r="295">
      <c r="C295" s="164"/>
      <c r="E295" s="402"/>
      <c r="G295" s="404"/>
      <c r="H295" s="404"/>
      <c r="I295" s="404"/>
      <c r="K295" s="322"/>
      <c r="L295" s="401"/>
    </row>
    <row r="296">
      <c r="C296" s="164"/>
      <c r="E296" s="402"/>
      <c r="G296" s="404"/>
      <c r="H296" s="404"/>
      <c r="I296" s="404"/>
      <c r="K296" s="322"/>
      <c r="L296" s="401"/>
    </row>
    <row r="297">
      <c r="C297" s="164"/>
      <c r="E297" s="402"/>
      <c r="G297" s="404"/>
      <c r="H297" s="404"/>
      <c r="I297" s="404"/>
      <c r="K297" s="322"/>
      <c r="L297" s="401"/>
    </row>
    <row r="298">
      <c r="C298" s="164"/>
      <c r="E298" s="402"/>
      <c r="G298" s="404"/>
      <c r="H298" s="404"/>
      <c r="I298" s="404"/>
      <c r="K298" s="322"/>
      <c r="L298" s="401"/>
    </row>
    <row r="299">
      <c r="C299" s="164"/>
      <c r="E299" s="402"/>
      <c r="G299" s="404"/>
      <c r="H299" s="404"/>
      <c r="I299" s="404"/>
      <c r="K299" s="322"/>
      <c r="L299" s="401"/>
    </row>
    <row r="300">
      <c r="C300" s="164"/>
      <c r="E300" s="402"/>
      <c r="G300" s="404"/>
      <c r="H300" s="404"/>
      <c r="I300" s="404"/>
      <c r="K300" s="322"/>
      <c r="L300" s="401"/>
    </row>
    <row r="301">
      <c r="C301" s="164"/>
      <c r="E301" s="402"/>
      <c r="G301" s="404"/>
      <c r="H301" s="404"/>
      <c r="I301" s="404"/>
      <c r="K301" s="322"/>
      <c r="L301" s="401"/>
    </row>
    <row r="302">
      <c r="C302" s="164"/>
      <c r="E302" s="402"/>
      <c r="G302" s="404"/>
      <c r="H302" s="404"/>
      <c r="I302" s="404"/>
      <c r="K302" s="322"/>
      <c r="L302" s="401"/>
    </row>
    <row r="303">
      <c r="C303" s="164"/>
      <c r="E303" s="402"/>
      <c r="G303" s="404"/>
      <c r="H303" s="404"/>
      <c r="I303" s="404"/>
      <c r="K303" s="322"/>
      <c r="L303" s="401"/>
    </row>
    <row r="304">
      <c r="C304" s="164"/>
      <c r="E304" s="402"/>
      <c r="G304" s="404"/>
      <c r="H304" s="404"/>
      <c r="I304" s="404"/>
      <c r="K304" s="322"/>
      <c r="L304" s="401"/>
    </row>
    <row r="305">
      <c r="C305" s="164"/>
      <c r="E305" s="402"/>
      <c r="G305" s="404"/>
      <c r="H305" s="404"/>
      <c r="I305" s="404"/>
      <c r="K305" s="322"/>
      <c r="L305" s="401"/>
    </row>
    <row r="306">
      <c r="C306" s="164"/>
      <c r="E306" s="402"/>
      <c r="G306" s="404"/>
      <c r="H306" s="404"/>
      <c r="I306" s="404"/>
      <c r="K306" s="322"/>
      <c r="L306" s="401"/>
    </row>
    <row r="307">
      <c r="C307" s="164"/>
      <c r="E307" s="402"/>
      <c r="G307" s="404"/>
      <c r="H307" s="404"/>
      <c r="I307" s="404"/>
      <c r="K307" s="322"/>
      <c r="L307" s="401"/>
    </row>
    <row r="308">
      <c r="C308" s="164"/>
      <c r="E308" s="402"/>
      <c r="G308" s="404"/>
      <c r="H308" s="404"/>
      <c r="I308" s="404"/>
      <c r="K308" s="322"/>
      <c r="L308" s="401"/>
    </row>
    <row r="309">
      <c r="C309" s="164"/>
      <c r="E309" s="402"/>
      <c r="G309" s="404"/>
      <c r="H309" s="404"/>
      <c r="I309" s="404"/>
      <c r="K309" s="322"/>
      <c r="L309" s="401"/>
    </row>
    <row r="310">
      <c r="C310" s="164"/>
      <c r="E310" s="402"/>
      <c r="G310" s="404"/>
      <c r="H310" s="404"/>
      <c r="I310" s="404"/>
      <c r="K310" s="322"/>
      <c r="L310" s="401"/>
    </row>
    <row r="311">
      <c r="C311" s="164"/>
      <c r="E311" s="402"/>
      <c r="G311" s="404"/>
      <c r="H311" s="404"/>
      <c r="I311" s="404"/>
      <c r="K311" s="322"/>
      <c r="L311" s="401"/>
    </row>
    <row r="312">
      <c r="C312" s="164"/>
      <c r="E312" s="402"/>
      <c r="G312" s="404"/>
      <c r="H312" s="404"/>
      <c r="I312" s="404"/>
      <c r="K312" s="322"/>
      <c r="L312" s="401"/>
    </row>
    <row r="313">
      <c r="C313" s="164"/>
      <c r="E313" s="402"/>
      <c r="G313" s="404"/>
      <c r="H313" s="404"/>
      <c r="I313" s="404"/>
      <c r="K313" s="322"/>
      <c r="L313" s="401"/>
    </row>
    <row r="314">
      <c r="C314" s="164"/>
      <c r="E314" s="402"/>
      <c r="G314" s="404"/>
      <c r="H314" s="404"/>
      <c r="I314" s="404"/>
      <c r="K314" s="322"/>
      <c r="L314" s="401"/>
    </row>
    <row r="315">
      <c r="C315" s="164"/>
      <c r="E315" s="402"/>
      <c r="G315" s="404"/>
      <c r="H315" s="404"/>
      <c r="I315" s="404"/>
      <c r="K315" s="322"/>
      <c r="L315" s="401"/>
    </row>
    <row r="316">
      <c r="C316" s="164"/>
      <c r="E316" s="402"/>
      <c r="G316" s="404"/>
      <c r="H316" s="404"/>
      <c r="I316" s="404"/>
      <c r="K316" s="322"/>
      <c r="L316" s="401"/>
    </row>
    <row r="317">
      <c r="C317" s="164"/>
      <c r="E317" s="402"/>
      <c r="G317" s="404"/>
      <c r="H317" s="404"/>
      <c r="I317" s="404"/>
      <c r="K317" s="322"/>
      <c r="L317" s="401"/>
    </row>
    <row r="318">
      <c r="C318" s="164"/>
      <c r="E318" s="402"/>
      <c r="G318" s="404"/>
      <c r="H318" s="404"/>
      <c r="I318" s="404"/>
      <c r="K318" s="322"/>
      <c r="L318" s="401"/>
    </row>
    <row r="319">
      <c r="C319" s="164"/>
      <c r="E319" s="402"/>
      <c r="G319" s="404"/>
      <c r="H319" s="404"/>
      <c r="I319" s="404"/>
      <c r="K319" s="322"/>
      <c r="L319" s="401"/>
    </row>
    <row r="320">
      <c r="C320" s="164"/>
      <c r="E320" s="402"/>
      <c r="G320" s="404"/>
      <c r="H320" s="404"/>
      <c r="I320" s="404"/>
      <c r="K320" s="322"/>
      <c r="L320" s="401"/>
    </row>
    <row r="321">
      <c r="C321" s="164"/>
      <c r="E321" s="402"/>
      <c r="G321" s="404"/>
      <c r="H321" s="404"/>
      <c r="I321" s="404"/>
      <c r="K321" s="322"/>
      <c r="L321" s="401"/>
    </row>
    <row r="322">
      <c r="C322" s="164"/>
      <c r="E322" s="402"/>
      <c r="G322" s="404"/>
      <c r="H322" s="404"/>
      <c r="I322" s="404"/>
      <c r="K322" s="322"/>
      <c r="L322" s="401"/>
    </row>
    <row r="323">
      <c r="C323" s="164"/>
      <c r="E323" s="402"/>
      <c r="G323" s="404"/>
      <c r="H323" s="404"/>
      <c r="I323" s="404"/>
      <c r="K323" s="322"/>
      <c r="L323" s="401"/>
    </row>
    <row r="324">
      <c r="C324" s="164"/>
      <c r="E324" s="402"/>
      <c r="G324" s="404"/>
      <c r="H324" s="404"/>
      <c r="I324" s="404"/>
      <c r="K324" s="322"/>
      <c r="L324" s="401"/>
    </row>
    <row r="325">
      <c r="C325" s="164"/>
      <c r="E325" s="402"/>
      <c r="G325" s="404"/>
      <c r="H325" s="404"/>
      <c r="I325" s="404"/>
      <c r="K325" s="322"/>
      <c r="L325" s="401"/>
    </row>
    <row r="326">
      <c r="C326" s="164"/>
      <c r="E326" s="402"/>
      <c r="G326" s="404"/>
      <c r="H326" s="404"/>
      <c r="I326" s="404"/>
      <c r="K326" s="322"/>
      <c r="L326" s="401"/>
    </row>
    <row r="327">
      <c r="C327" s="164"/>
      <c r="E327" s="402"/>
      <c r="G327" s="404"/>
      <c r="H327" s="404"/>
      <c r="I327" s="404"/>
      <c r="K327" s="322"/>
      <c r="L327" s="401"/>
    </row>
    <row r="328">
      <c r="C328" s="164"/>
      <c r="E328" s="402"/>
      <c r="G328" s="404"/>
      <c r="H328" s="404"/>
      <c r="I328" s="404"/>
      <c r="K328" s="322"/>
      <c r="L328" s="401"/>
    </row>
    <row r="329">
      <c r="C329" s="164"/>
      <c r="E329" s="402"/>
      <c r="G329" s="404"/>
      <c r="H329" s="404"/>
      <c r="I329" s="404"/>
      <c r="K329" s="322"/>
      <c r="L329" s="401"/>
    </row>
    <row r="330">
      <c r="C330" s="164"/>
      <c r="E330" s="402"/>
      <c r="G330" s="404"/>
      <c r="H330" s="404"/>
      <c r="I330" s="404"/>
      <c r="K330" s="322"/>
      <c r="L330" s="401"/>
    </row>
    <row r="331">
      <c r="C331" s="164"/>
      <c r="E331" s="402"/>
      <c r="G331" s="404"/>
      <c r="H331" s="404"/>
      <c r="I331" s="404"/>
      <c r="K331" s="322"/>
      <c r="L331" s="401"/>
    </row>
    <row r="332">
      <c r="C332" s="164"/>
      <c r="E332" s="402"/>
      <c r="G332" s="404"/>
      <c r="H332" s="404"/>
      <c r="I332" s="404"/>
      <c r="K332" s="322"/>
      <c r="L332" s="401"/>
    </row>
    <row r="333">
      <c r="C333" s="164"/>
      <c r="E333" s="402"/>
      <c r="G333" s="404"/>
      <c r="H333" s="404"/>
      <c r="I333" s="404"/>
      <c r="K333" s="322"/>
      <c r="L333" s="401"/>
    </row>
    <row r="334">
      <c r="C334" s="164"/>
      <c r="E334" s="402"/>
      <c r="G334" s="404"/>
      <c r="H334" s="404"/>
      <c r="I334" s="404"/>
      <c r="K334" s="322"/>
      <c r="L334" s="401"/>
    </row>
    <row r="335">
      <c r="C335" s="164"/>
      <c r="E335" s="402"/>
      <c r="G335" s="404"/>
      <c r="H335" s="404"/>
      <c r="I335" s="404"/>
      <c r="K335" s="322"/>
      <c r="L335" s="401"/>
    </row>
    <row r="336">
      <c r="C336" s="164"/>
      <c r="E336" s="402"/>
      <c r="G336" s="404"/>
      <c r="H336" s="404"/>
      <c r="I336" s="404"/>
      <c r="K336" s="322"/>
      <c r="L336" s="401"/>
    </row>
    <row r="337">
      <c r="C337" s="164"/>
      <c r="E337" s="402"/>
      <c r="G337" s="404"/>
      <c r="H337" s="404"/>
      <c r="I337" s="404"/>
      <c r="K337" s="322"/>
      <c r="L337" s="401"/>
    </row>
    <row r="338">
      <c r="C338" s="164"/>
      <c r="E338" s="402"/>
      <c r="G338" s="404"/>
      <c r="H338" s="404"/>
      <c r="I338" s="404"/>
      <c r="K338" s="322"/>
      <c r="L338" s="401"/>
    </row>
    <row r="339">
      <c r="C339" s="164"/>
      <c r="E339" s="402"/>
      <c r="G339" s="404"/>
      <c r="H339" s="404"/>
      <c r="I339" s="404"/>
      <c r="K339" s="322"/>
      <c r="L339" s="401"/>
    </row>
    <row r="340">
      <c r="C340" s="164"/>
      <c r="E340" s="402"/>
      <c r="G340" s="404"/>
      <c r="H340" s="404"/>
      <c r="I340" s="404"/>
      <c r="K340" s="322"/>
      <c r="L340" s="401"/>
    </row>
    <row r="341">
      <c r="C341" s="164"/>
      <c r="E341" s="402"/>
      <c r="G341" s="404"/>
      <c r="H341" s="404"/>
      <c r="I341" s="404"/>
      <c r="K341" s="322"/>
      <c r="L341" s="401"/>
    </row>
    <row r="342">
      <c r="C342" s="164"/>
      <c r="E342" s="402"/>
      <c r="G342" s="404"/>
      <c r="H342" s="404"/>
      <c r="I342" s="404"/>
      <c r="K342" s="322"/>
      <c r="L342" s="401"/>
    </row>
    <row r="343">
      <c r="C343" s="164"/>
      <c r="E343" s="402"/>
      <c r="G343" s="404"/>
      <c r="H343" s="404"/>
      <c r="I343" s="404"/>
      <c r="K343" s="322"/>
      <c r="L343" s="401"/>
    </row>
    <row r="344">
      <c r="C344" s="164"/>
      <c r="E344" s="402"/>
      <c r="G344" s="404"/>
      <c r="H344" s="404"/>
      <c r="I344" s="404"/>
      <c r="K344" s="322"/>
      <c r="L344" s="401"/>
    </row>
    <row r="345">
      <c r="C345" s="164"/>
      <c r="E345" s="402"/>
      <c r="G345" s="404"/>
      <c r="H345" s="404"/>
      <c r="I345" s="404"/>
      <c r="K345" s="322"/>
      <c r="L345" s="401"/>
    </row>
    <row r="346">
      <c r="C346" s="164"/>
      <c r="E346" s="402"/>
      <c r="G346" s="404"/>
      <c r="H346" s="404"/>
      <c r="I346" s="404"/>
      <c r="K346" s="322"/>
      <c r="L346" s="401"/>
    </row>
    <row r="347">
      <c r="C347" s="164"/>
      <c r="E347" s="402"/>
      <c r="G347" s="404"/>
      <c r="H347" s="404"/>
      <c r="I347" s="404"/>
      <c r="K347" s="322"/>
      <c r="L347" s="401"/>
    </row>
    <row r="348">
      <c r="C348" s="164"/>
      <c r="E348" s="402"/>
      <c r="G348" s="404"/>
      <c r="H348" s="404"/>
      <c r="I348" s="404"/>
      <c r="K348" s="322"/>
      <c r="L348" s="401"/>
    </row>
    <row r="349">
      <c r="C349" s="164"/>
      <c r="E349" s="402"/>
      <c r="G349" s="404"/>
      <c r="H349" s="404"/>
      <c r="I349" s="404"/>
      <c r="K349" s="322"/>
      <c r="L349" s="401"/>
    </row>
    <row r="350">
      <c r="C350" s="164"/>
      <c r="E350" s="402"/>
      <c r="G350" s="404"/>
      <c r="H350" s="404"/>
      <c r="I350" s="404"/>
      <c r="K350" s="322"/>
      <c r="L350" s="401"/>
    </row>
    <row r="351">
      <c r="C351" s="164"/>
      <c r="E351" s="402"/>
      <c r="G351" s="404"/>
      <c r="H351" s="404"/>
      <c r="I351" s="404"/>
      <c r="K351" s="322"/>
      <c r="L351" s="401"/>
    </row>
    <row r="352">
      <c r="C352" s="164"/>
      <c r="E352" s="402"/>
      <c r="G352" s="404"/>
      <c r="H352" s="404"/>
      <c r="I352" s="404"/>
      <c r="K352" s="322"/>
      <c r="L352" s="401"/>
    </row>
    <row r="353">
      <c r="C353" s="164"/>
      <c r="E353" s="402"/>
      <c r="G353" s="404"/>
      <c r="H353" s="404"/>
      <c r="I353" s="404"/>
      <c r="K353" s="322"/>
      <c r="L353" s="401"/>
    </row>
    <row r="354">
      <c r="C354" s="164"/>
      <c r="E354" s="402"/>
      <c r="G354" s="404"/>
      <c r="H354" s="404"/>
      <c r="I354" s="404"/>
      <c r="K354" s="322"/>
      <c r="L354" s="401"/>
    </row>
    <row r="355">
      <c r="C355" s="164"/>
      <c r="E355" s="402"/>
      <c r="G355" s="404"/>
      <c r="H355" s="404"/>
      <c r="I355" s="404"/>
      <c r="K355" s="322"/>
      <c r="L355" s="401"/>
    </row>
    <row r="356">
      <c r="C356" s="164"/>
      <c r="E356" s="402"/>
      <c r="G356" s="404"/>
      <c r="H356" s="404"/>
      <c r="I356" s="404"/>
      <c r="K356" s="322"/>
      <c r="L356" s="401"/>
    </row>
    <row r="357">
      <c r="C357" s="164"/>
      <c r="E357" s="402"/>
      <c r="G357" s="404"/>
      <c r="H357" s="404"/>
      <c r="I357" s="404"/>
      <c r="K357" s="322"/>
      <c r="L357" s="401"/>
    </row>
    <row r="358">
      <c r="C358" s="164"/>
      <c r="E358" s="402"/>
      <c r="G358" s="404"/>
      <c r="H358" s="404"/>
      <c r="I358" s="404"/>
      <c r="K358" s="322"/>
      <c r="L358" s="401"/>
    </row>
    <row r="359">
      <c r="C359" s="164"/>
      <c r="E359" s="402"/>
      <c r="G359" s="404"/>
      <c r="H359" s="404"/>
      <c r="I359" s="404"/>
      <c r="K359" s="322"/>
      <c r="L359" s="401"/>
    </row>
    <row r="360">
      <c r="C360" s="164"/>
      <c r="E360" s="402"/>
      <c r="G360" s="404"/>
      <c r="H360" s="404"/>
      <c r="I360" s="404"/>
      <c r="K360" s="322"/>
      <c r="L360" s="401"/>
    </row>
    <row r="361">
      <c r="C361" s="164"/>
      <c r="E361" s="402"/>
      <c r="G361" s="404"/>
      <c r="H361" s="404"/>
      <c r="I361" s="404"/>
      <c r="K361" s="322"/>
      <c r="L361" s="401"/>
    </row>
    <row r="362">
      <c r="C362" s="164"/>
      <c r="E362" s="402"/>
      <c r="G362" s="404"/>
      <c r="H362" s="404"/>
      <c r="I362" s="404"/>
      <c r="K362" s="322"/>
      <c r="L362" s="401"/>
    </row>
    <row r="363">
      <c r="C363" s="164"/>
      <c r="E363" s="402"/>
      <c r="G363" s="404"/>
      <c r="H363" s="404"/>
      <c r="I363" s="404"/>
      <c r="K363" s="322"/>
      <c r="L363" s="401"/>
    </row>
    <row r="364">
      <c r="C364" s="164"/>
      <c r="E364" s="402"/>
      <c r="G364" s="404"/>
      <c r="H364" s="404"/>
      <c r="I364" s="404"/>
      <c r="K364" s="322"/>
      <c r="L364" s="401"/>
    </row>
    <row r="365">
      <c r="C365" s="164"/>
      <c r="E365" s="402"/>
      <c r="G365" s="404"/>
      <c r="H365" s="404"/>
      <c r="I365" s="404"/>
      <c r="K365" s="322"/>
      <c r="L365" s="401"/>
    </row>
    <row r="366">
      <c r="C366" s="164"/>
      <c r="E366" s="402"/>
      <c r="G366" s="404"/>
      <c r="H366" s="404"/>
      <c r="I366" s="404"/>
      <c r="K366" s="322"/>
      <c r="L366" s="401"/>
    </row>
    <row r="367">
      <c r="C367" s="164"/>
      <c r="E367" s="402"/>
      <c r="G367" s="404"/>
      <c r="H367" s="404"/>
      <c r="I367" s="404"/>
      <c r="K367" s="322"/>
      <c r="L367" s="401"/>
    </row>
    <row r="368">
      <c r="C368" s="164"/>
      <c r="E368" s="402"/>
      <c r="G368" s="404"/>
      <c r="H368" s="404"/>
      <c r="I368" s="404"/>
      <c r="K368" s="322"/>
      <c r="L368" s="401"/>
    </row>
    <row r="369">
      <c r="C369" s="164"/>
      <c r="E369" s="402"/>
      <c r="G369" s="404"/>
      <c r="H369" s="404"/>
      <c r="I369" s="404"/>
      <c r="K369" s="322"/>
      <c r="L369" s="401"/>
    </row>
    <row r="370">
      <c r="C370" s="164"/>
      <c r="E370" s="402"/>
      <c r="G370" s="404"/>
      <c r="H370" s="404"/>
      <c r="I370" s="404"/>
      <c r="K370" s="322"/>
      <c r="L370" s="401"/>
    </row>
    <row r="371">
      <c r="C371" s="164"/>
      <c r="E371" s="402"/>
      <c r="G371" s="404"/>
      <c r="H371" s="404"/>
      <c r="I371" s="404"/>
      <c r="K371" s="322"/>
      <c r="L371" s="401"/>
    </row>
    <row r="372">
      <c r="C372" s="164"/>
      <c r="E372" s="402"/>
      <c r="G372" s="404"/>
      <c r="H372" s="404"/>
      <c r="I372" s="404"/>
      <c r="K372" s="322"/>
      <c r="L372" s="401"/>
    </row>
    <row r="373">
      <c r="C373" s="164"/>
      <c r="E373" s="402"/>
      <c r="G373" s="404"/>
      <c r="H373" s="404"/>
      <c r="I373" s="404"/>
      <c r="K373" s="322"/>
      <c r="L373" s="401"/>
    </row>
    <row r="374">
      <c r="C374" s="164"/>
      <c r="E374" s="402"/>
      <c r="G374" s="404"/>
      <c r="H374" s="404"/>
      <c r="I374" s="404"/>
      <c r="K374" s="322"/>
      <c r="L374" s="401"/>
    </row>
    <row r="375">
      <c r="C375" s="164"/>
      <c r="E375" s="402"/>
      <c r="G375" s="404"/>
      <c r="H375" s="404"/>
      <c r="I375" s="404"/>
      <c r="K375" s="322"/>
      <c r="L375" s="401"/>
    </row>
    <row r="376">
      <c r="C376" s="164"/>
      <c r="E376" s="402"/>
      <c r="G376" s="404"/>
      <c r="H376" s="404"/>
      <c r="I376" s="404"/>
      <c r="K376" s="322"/>
      <c r="L376" s="401"/>
    </row>
    <row r="377">
      <c r="C377" s="164"/>
      <c r="E377" s="402"/>
      <c r="G377" s="404"/>
      <c r="H377" s="404"/>
      <c r="I377" s="404"/>
      <c r="K377" s="322"/>
      <c r="L377" s="401"/>
    </row>
    <row r="378">
      <c r="C378" s="164"/>
      <c r="E378" s="402"/>
      <c r="G378" s="404"/>
      <c r="H378" s="404"/>
      <c r="I378" s="404"/>
      <c r="K378" s="322"/>
      <c r="L378" s="401"/>
    </row>
    <row r="379">
      <c r="C379" s="164"/>
      <c r="E379" s="402"/>
      <c r="G379" s="404"/>
      <c r="H379" s="404"/>
      <c r="I379" s="404"/>
      <c r="K379" s="322"/>
      <c r="L379" s="401"/>
    </row>
    <row r="380">
      <c r="C380" s="164"/>
      <c r="E380" s="402"/>
      <c r="G380" s="404"/>
      <c r="H380" s="404"/>
      <c r="I380" s="404"/>
      <c r="K380" s="322"/>
      <c r="L380" s="401"/>
    </row>
    <row r="381">
      <c r="C381" s="164"/>
      <c r="E381" s="402"/>
      <c r="G381" s="404"/>
      <c r="H381" s="404"/>
      <c r="I381" s="404"/>
      <c r="K381" s="322"/>
      <c r="L381" s="401"/>
    </row>
    <row r="382">
      <c r="C382" s="164"/>
      <c r="E382" s="402"/>
      <c r="G382" s="404"/>
      <c r="H382" s="404"/>
      <c r="I382" s="404"/>
      <c r="K382" s="322"/>
      <c r="L382" s="401"/>
    </row>
    <row r="383">
      <c r="C383" s="164"/>
      <c r="E383" s="402"/>
      <c r="G383" s="404"/>
      <c r="H383" s="404"/>
      <c r="I383" s="404"/>
      <c r="K383" s="322"/>
      <c r="L383" s="401"/>
    </row>
    <row r="384">
      <c r="C384" s="164"/>
      <c r="E384" s="402"/>
      <c r="G384" s="404"/>
      <c r="H384" s="404"/>
      <c r="I384" s="404"/>
      <c r="K384" s="322"/>
      <c r="L384" s="401"/>
    </row>
    <row r="385">
      <c r="C385" s="164"/>
      <c r="E385" s="402"/>
      <c r="G385" s="404"/>
      <c r="H385" s="404"/>
      <c r="I385" s="404"/>
      <c r="K385" s="322"/>
      <c r="L385" s="401"/>
    </row>
    <row r="386">
      <c r="C386" s="164"/>
      <c r="E386" s="402"/>
      <c r="G386" s="404"/>
      <c r="H386" s="404"/>
      <c r="I386" s="404"/>
      <c r="K386" s="322"/>
      <c r="L386" s="401"/>
    </row>
    <row r="387">
      <c r="C387" s="164"/>
      <c r="E387" s="402"/>
      <c r="G387" s="404"/>
      <c r="H387" s="404"/>
      <c r="I387" s="404"/>
      <c r="K387" s="322"/>
      <c r="L387" s="401"/>
    </row>
    <row r="388">
      <c r="C388" s="164"/>
      <c r="E388" s="402"/>
      <c r="G388" s="404"/>
      <c r="H388" s="404"/>
      <c r="I388" s="404"/>
      <c r="K388" s="322"/>
      <c r="L388" s="401"/>
    </row>
    <row r="389">
      <c r="C389" s="164"/>
      <c r="E389" s="402"/>
      <c r="G389" s="404"/>
      <c r="H389" s="404"/>
      <c r="I389" s="404"/>
      <c r="K389" s="322"/>
      <c r="L389" s="401"/>
    </row>
    <row r="390">
      <c r="C390" s="164"/>
      <c r="E390" s="402"/>
      <c r="G390" s="404"/>
      <c r="H390" s="404"/>
      <c r="I390" s="404"/>
      <c r="K390" s="322"/>
      <c r="L390" s="401"/>
    </row>
    <row r="391">
      <c r="C391" s="164"/>
      <c r="E391" s="402"/>
      <c r="G391" s="404"/>
      <c r="H391" s="404"/>
      <c r="I391" s="404"/>
      <c r="K391" s="322"/>
      <c r="L391" s="401"/>
    </row>
    <row r="392">
      <c r="C392" s="164"/>
      <c r="E392" s="402"/>
      <c r="G392" s="404"/>
      <c r="H392" s="404"/>
      <c r="I392" s="404"/>
      <c r="K392" s="322"/>
      <c r="L392" s="401"/>
    </row>
    <row r="393">
      <c r="C393" s="164"/>
      <c r="E393" s="402"/>
      <c r="G393" s="404"/>
      <c r="H393" s="404"/>
      <c r="I393" s="404"/>
      <c r="K393" s="322"/>
      <c r="L393" s="401"/>
    </row>
    <row r="394">
      <c r="C394" s="164"/>
      <c r="E394" s="402"/>
      <c r="G394" s="404"/>
      <c r="H394" s="404"/>
      <c r="I394" s="404"/>
      <c r="K394" s="322"/>
      <c r="L394" s="401"/>
    </row>
    <row r="395">
      <c r="C395" s="164"/>
      <c r="E395" s="402"/>
      <c r="G395" s="404"/>
      <c r="H395" s="404"/>
      <c r="I395" s="404"/>
      <c r="K395" s="322"/>
      <c r="L395" s="401"/>
    </row>
    <row r="396">
      <c r="C396" s="164"/>
      <c r="E396" s="402"/>
      <c r="G396" s="404"/>
      <c r="H396" s="404"/>
      <c r="I396" s="404"/>
      <c r="K396" s="322"/>
      <c r="L396" s="401"/>
    </row>
    <row r="397">
      <c r="C397" s="164"/>
      <c r="E397" s="402"/>
      <c r="G397" s="404"/>
      <c r="H397" s="404"/>
      <c r="I397" s="404"/>
      <c r="K397" s="322"/>
      <c r="L397" s="401"/>
    </row>
    <row r="398">
      <c r="C398" s="164"/>
      <c r="E398" s="402"/>
      <c r="G398" s="404"/>
      <c r="H398" s="404"/>
      <c r="I398" s="404"/>
      <c r="K398" s="322"/>
      <c r="L398" s="401"/>
    </row>
    <row r="399">
      <c r="C399" s="164"/>
      <c r="E399" s="402"/>
      <c r="G399" s="404"/>
      <c r="H399" s="404"/>
      <c r="I399" s="404"/>
      <c r="K399" s="322"/>
      <c r="L399" s="401"/>
    </row>
    <row r="400">
      <c r="C400" s="164"/>
      <c r="E400" s="402"/>
      <c r="G400" s="404"/>
      <c r="H400" s="404"/>
      <c r="I400" s="404"/>
      <c r="K400" s="322"/>
      <c r="L400" s="401"/>
    </row>
    <row r="401">
      <c r="C401" s="164"/>
      <c r="E401" s="402"/>
      <c r="G401" s="404"/>
      <c r="H401" s="404"/>
      <c r="I401" s="404"/>
      <c r="K401" s="322"/>
      <c r="L401" s="401"/>
    </row>
    <row r="402">
      <c r="C402" s="164"/>
      <c r="E402" s="402"/>
      <c r="G402" s="404"/>
      <c r="H402" s="404"/>
      <c r="I402" s="404"/>
      <c r="K402" s="322"/>
      <c r="L402" s="401"/>
    </row>
    <row r="403">
      <c r="C403" s="164"/>
      <c r="E403" s="402"/>
      <c r="G403" s="404"/>
      <c r="H403" s="404"/>
      <c r="I403" s="404"/>
      <c r="K403" s="322"/>
      <c r="L403" s="401"/>
    </row>
    <row r="404">
      <c r="C404" s="164"/>
      <c r="E404" s="402"/>
      <c r="G404" s="404"/>
      <c r="H404" s="404"/>
      <c r="I404" s="404"/>
      <c r="K404" s="322"/>
      <c r="L404" s="401"/>
    </row>
    <row r="405">
      <c r="C405" s="164"/>
      <c r="E405" s="402"/>
      <c r="G405" s="404"/>
      <c r="H405" s="404"/>
      <c r="I405" s="404"/>
      <c r="K405" s="322"/>
      <c r="L405" s="401"/>
    </row>
    <row r="406">
      <c r="C406" s="164"/>
      <c r="E406" s="402"/>
      <c r="G406" s="404"/>
      <c r="H406" s="404"/>
      <c r="I406" s="404"/>
      <c r="K406" s="322"/>
      <c r="L406" s="401"/>
    </row>
    <row r="407">
      <c r="C407" s="164"/>
      <c r="E407" s="402"/>
      <c r="G407" s="404"/>
      <c r="H407" s="404"/>
      <c r="I407" s="404"/>
      <c r="K407" s="322"/>
      <c r="L407" s="401"/>
    </row>
    <row r="408">
      <c r="C408" s="164"/>
      <c r="E408" s="402"/>
      <c r="G408" s="404"/>
      <c r="H408" s="404"/>
      <c r="I408" s="404"/>
      <c r="K408" s="322"/>
      <c r="L408" s="401"/>
    </row>
    <row r="409">
      <c r="C409" s="164"/>
      <c r="E409" s="402"/>
      <c r="G409" s="404"/>
      <c r="H409" s="404"/>
      <c r="I409" s="404"/>
      <c r="K409" s="322"/>
      <c r="L409" s="401"/>
    </row>
    <row r="410">
      <c r="C410" s="164"/>
      <c r="E410" s="402"/>
      <c r="G410" s="404"/>
      <c r="H410" s="404"/>
      <c r="I410" s="404"/>
      <c r="K410" s="322"/>
      <c r="L410" s="401"/>
    </row>
    <row r="411">
      <c r="C411" s="164"/>
      <c r="E411" s="402"/>
      <c r="G411" s="404"/>
      <c r="H411" s="404"/>
      <c r="I411" s="404"/>
      <c r="K411" s="322"/>
      <c r="L411" s="401"/>
    </row>
    <row r="412">
      <c r="C412" s="164"/>
      <c r="E412" s="402"/>
      <c r="G412" s="404"/>
      <c r="H412" s="404"/>
      <c r="I412" s="404"/>
      <c r="K412" s="322"/>
      <c r="L412" s="401"/>
    </row>
    <row r="413">
      <c r="C413" s="164"/>
      <c r="E413" s="402"/>
      <c r="G413" s="404"/>
      <c r="H413" s="404"/>
      <c r="I413" s="404"/>
      <c r="K413" s="322"/>
      <c r="L413" s="401"/>
    </row>
    <row r="414">
      <c r="C414" s="164"/>
      <c r="E414" s="402"/>
      <c r="G414" s="404"/>
      <c r="H414" s="404"/>
      <c r="I414" s="404"/>
      <c r="K414" s="322"/>
      <c r="L414" s="401"/>
    </row>
    <row r="415">
      <c r="C415" s="164"/>
      <c r="E415" s="402"/>
      <c r="G415" s="404"/>
      <c r="H415" s="404"/>
      <c r="I415" s="404"/>
      <c r="K415" s="322"/>
      <c r="L415" s="401"/>
    </row>
    <row r="416">
      <c r="C416" s="164"/>
      <c r="E416" s="402"/>
      <c r="G416" s="404"/>
      <c r="H416" s="404"/>
      <c r="I416" s="404"/>
      <c r="K416" s="322"/>
      <c r="L416" s="401"/>
    </row>
    <row r="417">
      <c r="C417" s="164"/>
      <c r="E417" s="402"/>
      <c r="G417" s="404"/>
      <c r="H417" s="404"/>
      <c r="I417" s="404"/>
      <c r="K417" s="322"/>
      <c r="L417" s="401"/>
    </row>
    <row r="418">
      <c r="C418" s="164"/>
      <c r="E418" s="402"/>
      <c r="G418" s="404"/>
      <c r="H418" s="404"/>
      <c r="I418" s="404"/>
      <c r="K418" s="322"/>
      <c r="L418" s="401"/>
    </row>
    <row r="419">
      <c r="C419" s="164"/>
      <c r="E419" s="402"/>
      <c r="G419" s="404"/>
      <c r="H419" s="404"/>
      <c r="I419" s="404"/>
      <c r="K419" s="322"/>
      <c r="L419" s="401"/>
    </row>
    <row r="420">
      <c r="C420" s="164"/>
      <c r="E420" s="402"/>
      <c r="G420" s="404"/>
      <c r="H420" s="404"/>
      <c r="I420" s="404"/>
      <c r="K420" s="322"/>
      <c r="L420" s="401"/>
    </row>
    <row r="421">
      <c r="C421" s="164"/>
      <c r="E421" s="402"/>
      <c r="G421" s="404"/>
      <c r="H421" s="404"/>
      <c r="I421" s="404"/>
      <c r="K421" s="322"/>
      <c r="L421" s="401"/>
    </row>
    <row r="422">
      <c r="C422" s="164"/>
      <c r="E422" s="402"/>
      <c r="G422" s="404"/>
      <c r="H422" s="404"/>
      <c r="I422" s="404"/>
      <c r="K422" s="322"/>
      <c r="L422" s="401"/>
    </row>
    <row r="423">
      <c r="C423" s="164"/>
      <c r="E423" s="402"/>
      <c r="G423" s="404"/>
      <c r="H423" s="404"/>
      <c r="I423" s="404"/>
      <c r="K423" s="322"/>
      <c r="L423" s="401"/>
    </row>
    <row r="424">
      <c r="C424" s="164"/>
      <c r="E424" s="402"/>
      <c r="G424" s="404"/>
      <c r="H424" s="404"/>
      <c r="I424" s="404"/>
      <c r="K424" s="322"/>
      <c r="L424" s="401"/>
    </row>
    <row r="425">
      <c r="C425" s="164"/>
      <c r="E425" s="402"/>
      <c r="G425" s="404"/>
      <c r="H425" s="404"/>
      <c r="I425" s="404"/>
      <c r="K425" s="322"/>
      <c r="L425" s="401"/>
    </row>
    <row r="426">
      <c r="C426" s="164"/>
      <c r="E426" s="402"/>
      <c r="G426" s="404"/>
      <c r="H426" s="404"/>
      <c r="I426" s="404"/>
      <c r="K426" s="322"/>
      <c r="L426" s="401"/>
    </row>
    <row r="427">
      <c r="C427" s="164"/>
      <c r="E427" s="402"/>
      <c r="G427" s="404"/>
      <c r="H427" s="404"/>
      <c r="I427" s="404"/>
      <c r="K427" s="322"/>
      <c r="L427" s="401"/>
    </row>
    <row r="428">
      <c r="C428" s="164"/>
      <c r="E428" s="402"/>
      <c r="G428" s="404"/>
      <c r="H428" s="404"/>
      <c r="I428" s="404"/>
      <c r="K428" s="322"/>
      <c r="L428" s="401"/>
    </row>
    <row r="429">
      <c r="C429" s="164"/>
      <c r="E429" s="402"/>
      <c r="G429" s="404"/>
      <c r="H429" s="404"/>
      <c r="I429" s="404"/>
      <c r="K429" s="322"/>
      <c r="L429" s="401"/>
    </row>
    <row r="430">
      <c r="C430" s="164"/>
      <c r="E430" s="402"/>
      <c r="G430" s="404"/>
      <c r="H430" s="404"/>
      <c r="I430" s="404"/>
      <c r="K430" s="322"/>
      <c r="L430" s="401"/>
    </row>
    <row r="431">
      <c r="C431" s="164"/>
      <c r="E431" s="402"/>
      <c r="G431" s="404"/>
      <c r="H431" s="404"/>
      <c r="I431" s="404"/>
      <c r="K431" s="322"/>
      <c r="L431" s="401"/>
    </row>
    <row r="432">
      <c r="C432" s="164"/>
      <c r="E432" s="402"/>
      <c r="G432" s="404"/>
      <c r="H432" s="404"/>
      <c r="I432" s="404"/>
      <c r="K432" s="322"/>
      <c r="L432" s="401"/>
    </row>
    <row r="433">
      <c r="C433" s="164"/>
      <c r="E433" s="402"/>
      <c r="G433" s="404"/>
      <c r="H433" s="404"/>
      <c r="I433" s="404"/>
      <c r="K433" s="322"/>
      <c r="L433" s="401"/>
    </row>
    <row r="434">
      <c r="C434" s="164"/>
      <c r="E434" s="402"/>
      <c r="G434" s="404"/>
      <c r="H434" s="404"/>
      <c r="I434" s="404"/>
      <c r="K434" s="322"/>
      <c r="L434" s="401"/>
    </row>
    <row r="435">
      <c r="C435" s="164"/>
      <c r="E435" s="402"/>
      <c r="G435" s="404"/>
      <c r="H435" s="404"/>
      <c r="I435" s="404"/>
      <c r="K435" s="322"/>
      <c r="L435" s="401"/>
    </row>
    <row r="436">
      <c r="C436" s="164"/>
      <c r="E436" s="402"/>
      <c r="G436" s="404"/>
      <c r="H436" s="404"/>
      <c r="I436" s="404"/>
      <c r="K436" s="322"/>
      <c r="L436" s="401"/>
    </row>
    <row r="437">
      <c r="C437" s="164"/>
      <c r="E437" s="402"/>
      <c r="G437" s="404"/>
      <c r="H437" s="404"/>
      <c r="I437" s="404"/>
      <c r="K437" s="322"/>
      <c r="L437" s="401"/>
    </row>
    <row r="438">
      <c r="C438" s="164"/>
      <c r="E438" s="402"/>
      <c r="G438" s="404"/>
      <c r="H438" s="404"/>
      <c r="I438" s="404"/>
      <c r="K438" s="322"/>
      <c r="L438" s="401"/>
    </row>
    <row r="439">
      <c r="C439" s="164"/>
      <c r="E439" s="402"/>
      <c r="G439" s="404"/>
      <c r="H439" s="404"/>
      <c r="I439" s="404"/>
      <c r="K439" s="322"/>
      <c r="L439" s="401"/>
    </row>
    <row r="440">
      <c r="C440" s="164"/>
      <c r="E440" s="402"/>
      <c r="G440" s="404"/>
      <c r="H440" s="404"/>
      <c r="I440" s="404"/>
      <c r="K440" s="322"/>
      <c r="L440" s="401"/>
    </row>
    <row r="441">
      <c r="C441" s="164"/>
      <c r="E441" s="402"/>
      <c r="G441" s="404"/>
      <c r="H441" s="404"/>
      <c r="I441" s="404"/>
      <c r="K441" s="322"/>
      <c r="L441" s="401"/>
    </row>
    <row r="442">
      <c r="C442" s="164"/>
      <c r="E442" s="402"/>
      <c r="G442" s="404"/>
      <c r="H442" s="404"/>
      <c r="I442" s="404"/>
      <c r="K442" s="322"/>
      <c r="L442" s="401"/>
    </row>
    <row r="443">
      <c r="C443" s="164"/>
      <c r="E443" s="402"/>
      <c r="G443" s="404"/>
      <c r="H443" s="404"/>
      <c r="I443" s="404"/>
      <c r="K443" s="322"/>
      <c r="L443" s="401"/>
    </row>
    <row r="444">
      <c r="C444" s="164"/>
      <c r="E444" s="402"/>
      <c r="G444" s="404"/>
      <c r="H444" s="404"/>
      <c r="I444" s="404"/>
      <c r="K444" s="322"/>
      <c r="L444" s="401"/>
    </row>
    <row r="445">
      <c r="C445" s="164"/>
      <c r="E445" s="402"/>
      <c r="G445" s="404"/>
      <c r="H445" s="404"/>
      <c r="I445" s="404"/>
      <c r="K445" s="322"/>
      <c r="L445" s="401"/>
    </row>
    <row r="446">
      <c r="C446" s="164"/>
      <c r="E446" s="402"/>
      <c r="G446" s="404"/>
      <c r="H446" s="404"/>
      <c r="I446" s="404"/>
      <c r="K446" s="322"/>
      <c r="L446" s="401"/>
    </row>
    <row r="447">
      <c r="C447" s="164"/>
      <c r="E447" s="402"/>
      <c r="G447" s="404"/>
      <c r="H447" s="404"/>
      <c r="I447" s="404"/>
      <c r="K447" s="322"/>
      <c r="L447" s="401"/>
    </row>
    <row r="448">
      <c r="C448" s="164"/>
      <c r="E448" s="402"/>
      <c r="G448" s="404"/>
      <c r="H448" s="404"/>
      <c r="I448" s="404"/>
      <c r="K448" s="322"/>
      <c r="L448" s="401"/>
    </row>
    <row r="449">
      <c r="C449" s="164"/>
      <c r="E449" s="402"/>
      <c r="G449" s="404"/>
      <c r="H449" s="404"/>
      <c r="I449" s="404"/>
      <c r="K449" s="322"/>
      <c r="L449" s="401"/>
    </row>
    <row r="450">
      <c r="C450" s="164"/>
      <c r="E450" s="402"/>
      <c r="G450" s="404"/>
      <c r="H450" s="404"/>
      <c r="I450" s="404"/>
      <c r="K450" s="322"/>
      <c r="L450" s="401"/>
    </row>
    <row r="451">
      <c r="C451" s="164"/>
      <c r="E451" s="402"/>
      <c r="G451" s="404"/>
      <c r="H451" s="404"/>
      <c r="I451" s="404"/>
      <c r="K451" s="322"/>
      <c r="L451" s="401"/>
    </row>
    <row r="452">
      <c r="C452" s="164"/>
      <c r="E452" s="402"/>
      <c r="G452" s="404"/>
      <c r="H452" s="404"/>
      <c r="I452" s="404"/>
      <c r="K452" s="322"/>
      <c r="L452" s="401"/>
    </row>
    <row r="453">
      <c r="C453" s="164"/>
      <c r="E453" s="402"/>
      <c r="G453" s="404"/>
      <c r="H453" s="404"/>
      <c r="I453" s="404"/>
      <c r="K453" s="322"/>
      <c r="L453" s="401"/>
    </row>
    <row r="454">
      <c r="C454" s="164"/>
      <c r="E454" s="402"/>
      <c r="G454" s="404"/>
      <c r="H454" s="404"/>
      <c r="I454" s="404"/>
      <c r="K454" s="322"/>
      <c r="L454" s="401"/>
    </row>
    <row r="455">
      <c r="C455" s="164"/>
      <c r="E455" s="402"/>
      <c r="G455" s="404"/>
      <c r="H455" s="404"/>
      <c r="I455" s="404"/>
      <c r="K455" s="322"/>
      <c r="L455" s="401"/>
    </row>
    <row r="456">
      <c r="C456" s="164"/>
      <c r="E456" s="402"/>
      <c r="G456" s="404"/>
      <c r="H456" s="404"/>
      <c r="I456" s="404"/>
      <c r="K456" s="322"/>
      <c r="L456" s="401"/>
    </row>
    <row r="457">
      <c r="C457" s="164"/>
      <c r="E457" s="402"/>
      <c r="G457" s="404"/>
      <c r="H457" s="404"/>
      <c r="I457" s="404"/>
      <c r="K457" s="322"/>
      <c r="L457" s="401"/>
    </row>
    <row r="458">
      <c r="C458" s="164"/>
      <c r="E458" s="402"/>
      <c r="G458" s="404"/>
      <c r="H458" s="404"/>
      <c r="I458" s="404"/>
      <c r="K458" s="322"/>
      <c r="L458" s="401"/>
    </row>
    <row r="459">
      <c r="C459" s="164"/>
      <c r="E459" s="402"/>
      <c r="G459" s="404"/>
      <c r="H459" s="404"/>
      <c r="I459" s="404"/>
      <c r="K459" s="322"/>
      <c r="L459" s="401"/>
    </row>
    <row r="460">
      <c r="C460" s="164"/>
      <c r="E460" s="402"/>
      <c r="G460" s="404"/>
      <c r="H460" s="404"/>
      <c r="I460" s="404"/>
      <c r="K460" s="322"/>
      <c r="L460" s="401"/>
    </row>
    <row r="461">
      <c r="C461" s="164"/>
      <c r="E461" s="402"/>
      <c r="G461" s="404"/>
      <c r="H461" s="404"/>
      <c r="I461" s="404"/>
      <c r="K461" s="322"/>
      <c r="L461" s="401"/>
    </row>
    <row r="462">
      <c r="C462" s="164"/>
      <c r="E462" s="402"/>
      <c r="G462" s="404"/>
      <c r="H462" s="404"/>
      <c r="I462" s="404"/>
      <c r="K462" s="322"/>
      <c r="L462" s="401"/>
    </row>
    <row r="463">
      <c r="C463" s="164"/>
      <c r="E463" s="402"/>
      <c r="G463" s="404"/>
      <c r="H463" s="404"/>
      <c r="I463" s="404"/>
      <c r="K463" s="322"/>
      <c r="L463" s="401"/>
    </row>
    <row r="464">
      <c r="C464" s="164"/>
      <c r="E464" s="402"/>
      <c r="G464" s="404"/>
      <c r="H464" s="404"/>
      <c r="I464" s="404"/>
      <c r="K464" s="322"/>
      <c r="L464" s="401"/>
    </row>
    <row r="465">
      <c r="C465" s="164"/>
      <c r="E465" s="402"/>
      <c r="G465" s="404"/>
      <c r="H465" s="404"/>
      <c r="I465" s="404"/>
      <c r="K465" s="322"/>
      <c r="L465" s="401"/>
    </row>
    <row r="466">
      <c r="C466" s="164"/>
      <c r="E466" s="402"/>
      <c r="G466" s="404"/>
      <c r="H466" s="404"/>
      <c r="I466" s="404"/>
      <c r="K466" s="322"/>
      <c r="L466" s="401"/>
    </row>
    <row r="467">
      <c r="C467" s="164"/>
      <c r="E467" s="402"/>
      <c r="G467" s="404"/>
      <c r="H467" s="404"/>
      <c r="I467" s="404"/>
      <c r="K467" s="322"/>
      <c r="L467" s="401"/>
    </row>
    <row r="468">
      <c r="C468" s="164"/>
      <c r="E468" s="402"/>
      <c r="G468" s="404"/>
      <c r="H468" s="404"/>
      <c r="I468" s="404"/>
      <c r="K468" s="322"/>
      <c r="L468" s="401"/>
    </row>
    <row r="469">
      <c r="C469" s="164"/>
      <c r="E469" s="402"/>
      <c r="G469" s="404"/>
      <c r="H469" s="404"/>
      <c r="I469" s="404"/>
      <c r="K469" s="322"/>
      <c r="L469" s="401"/>
    </row>
    <row r="470">
      <c r="C470" s="164"/>
      <c r="E470" s="402"/>
      <c r="G470" s="404"/>
      <c r="H470" s="404"/>
      <c r="I470" s="404"/>
      <c r="K470" s="322"/>
      <c r="L470" s="401"/>
    </row>
    <row r="471">
      <c r="C471" s="164"/>
      <c r="E471" s="402"/>
      <c r="G471" s="404"/>
      <c r="H471" s="404"/>
      <c r="I471" s="404"/>
      <c r="K471" s="322"/>
      <c r="L471" s="401"/>
    </row>
    <row r="472">
      <c r="C472" s="164"/>
      <c r="E472" s="402"/>
      <c r="G472" s="404"/>
      <c r="H472" s="404"/>
      <c r="I472" s="404"/>
      <c r="K472" s="322"/>
      <c r="L472" s="401"/>
    </row>
    <row r="473">
      <c r="C473" s="164"/>
      <c r="E473" s="402"/>
      <c r="G473" s="404"/>
      <c r="H473" s="404"/>
      <c r="I473" s="404"/>
      <c r="K473" s="322"/>
      <c r="L473" s="401"/>
    </row>
    <row r="474">
      <c r="C474" s="164"/>
      <c r="E474" s="402"/>
      <c r="G474" s="404"/>
      <c r="H474" s="404"/>
      <c r="I474" s="404"/>
      <c r="K474" s="322"/>
      <c r="L474" s="401"/>
    </row>
    <row r="475">
      <c r="C475" s="164"/>
      <c r="E475" s="402"/>
      <c r="G475" s="404"/>
      <c r="H475" s="404"/>
      <c r="I475" s="404"/>
      <c r="K475" s="322"/>
      <c r="L475" s="401"/>
    </row>
    <row r="476">
      <c r="C476" s="164"/>
      <c r="E476" s="402"/>
      <c r="G476" s="404"/>
      <c r="H476" s="404"/>
      <c r="I476" s="404"/>
      <c r="K476" s="322"/>
      <c r="L476" s="401"/>
    </row>
    <row r="477">
      <c r="C477" s="164"/>
      <c r="E477" s="402"/>
      <c r="G477" s="404"/>
      <c r="H477" s="404"/>
      <c r="I477" s="404"/>
      <c r="K477" s="322"/>
      <c r="L477" s="401"/>
    </row>
    <row r="478">
      <c r="C478" s="164"/>
      <c r="E478" s="402"/>
      <c r="G478" s="404"/>
      <c r="H478" s="404"/>
      <c r="I478" s="404"/>
      <c r="K478" s="322"/>
      <c r="L478" s="401"/>
    </row>
    <row r="479">
      <c r="C479" s="164"/>
      <c r="E479" s="402"/>
      <c r="G479" s="404"/>
      <c r="H479" s="404"/>
      <c r="I479" s="404"/>
      <c r="K479" s="322"/>
      <c r="L479" s="401"/>
    </row>
    <row r="480">
      <c r="C480" s="164"/>
      <c r="E480" s="402"/>
      <c r="G480" s="404"/>
      <c r="H480" s="404"/>
      <c r="I480" s="404"/>
      <c r="K480" s="322"/>
      <c r="L480" s="401"/>
    </row>
    <row r="481">
      <c r="C481" s="164"/>
      <c r="E481" s="402"/>
      <c r="G481" s="404"/>
      <c r="H481" s="404"/>
      <c r="I481" s="404"/>
      <c r="K481" s="322"/>
      <c r="L481" s="401"/>
    </row>
    <row r="482">
      <c r="C482" s="164"/>
      <c r="E482" s="402"/>
      <c r="G482" s="404"/>
      <c r="H482" s="404"/>
      <c r="I482" s="404"/>
      <c r="K482" s="322"/>
      <c r="L482" s="401"/>
    </row>
    <row r="483">
      <c r="C483" s="164"/>
      <c r="E483" s="402"/>
      <c r="G483" s="404"/>
      <c r="H483" s="404"/>
      <c r="I483" s="404"/>
      <c r="K483" s="322"/>
      <c r="L483" s="401"/>
    </row>
    <row r="484">
      <c r="C484" s="164"/>
      <c r="E484" s="402"/>
      <c r="G484" s="404"/>
      <c r="H484" s="404"/>
      <c r="I484" s="404"/>
      <c r="K484" s="322"/>
      <c r="L484" s="401"/>
    </row>
    <row r="485">
      <c r="C485" s="164"/>
      <c r="E485" s="402"/>
      <c r="G485" s="404"/>
      <c r="H485" s="404"/>
      <c r="I485" s="404"/>
      <c r="K485" s="322"/>
      <c r="L485" s="401"/>
    </row>
    <row r="486">
      <c r="C486" s="164"/>
      <c r="E486" s="402"/>
      <c r="G486" s="404"/>
      <c r="H486" s="404"/>
      <c r="I486" s="404"/>
      <c r="K486" s="322"/>
      <c r="L486" s="401"/>
    </row>
    <row r="487">
      <c r="C487" s="164"/>
      <c r="E487" s="402"/>
      <c r="G487" s="404"/>
      <c r="H487" s="404"/>
      <c r="I487" s="404"/>
      <c r="K487" s="322"/>
      <c r="L487" s="401"/>
    </row>
    <row r="488">
      <c r="C488" s="164"/>
      <c r="E488" s="402"/>
      <c r="G488" s="404"/>
      <c r="H488" s="404"/>
      <c r="I488" s="404"/>
      <c r="K488" s="322"/>
      <c r="L488" s="401"/>
    </row>
    <row r="489">
      <c r="C489" s="164"/>
      <c r="E489" s="402"/>
      <c r="G489" s="404"/>
      <c r="H489" s="404"/>
      <c r="I489" s="404"/>
      <c r="K489" s="322"/>
      <c r="L489" s="401"/>
    </row>
    <row r="490">
      <c r="C490" s="164"/>
      <c r="E490" s="402"/>
      <c r="G490" s="404"/>
      <c r="H490" s="404"/>
      <c r="I490" s="404"/>
      <c r="K490" s="322"/>
      <c r="L490" s="401"/>
    </row>
    <row r="491">
      <c r="C491" s="164"/>
      <c r="E491" s="402"/>
      <c r="G491" s="404"/>
      <c r="H491" s="404"/>
      <c r="I491" s="404"/>
      <c r="K491" s="322"/>
      <c r="L491" s="401"/>
    </row>
    <row r="492">
      <c r="C492" s="164"/>
      <c r="E492" s="402"/>
      <c r="G492" s="404"/>
      <c r="H492" s="404"/>
      <c r="I492" s="404"/>
      <c r="K492" s="322"/>
      <c r="L492" s="401"/>
    </row>
    <row r="493">
      <c r="C493" s="164"/>
      <c r="E493" s="402"/>
      <c r="G493" s="404"/>
      <c r="H493" s="404"/>
      <c r="I493" s="404"/>
      <c r="K493" s="322"/>
      <c r="L493" s="401"/>
    </row>
    <row r="494">
      <c r="C494" s="164"/>
      <c r="E494" s="402"/>
      <c r="G494" s="404"/>
      <c r="H494" s="404"/>
      <c r="I494" s="404"/>
      <c r="K494" s="322"/>
      <c r="L494" s="401"/>
    </row>
    <row r="495">
      <c r="C495" s="164"/>
      <c r="E495" s="402"/>
      <c r="G495" s="404"/>
      <c r="H495" s="404"/>
      <c r="I495" s="404"/>
      <c r="K495" s="322"/>
      <c r="L495" s="401"/>
    </row>
    <row r="496">
      <c r="C496" s="164"/>
      <c r="E496" s="402"/>
      <c r="G496" s="404"/>
      <c r="H496" s="404"/>
      <c r="I496" s="404"/>
      <c r="K496" s="322"/>
      <c r="L496" s="401"/>
    </row>
    <row r="497">
      <c r="C497" s="164"/>
      <c r="E497" s="402"/>
      <c r="G497" s="404"/>
      <c r="H497" s="404"/>
      <c r="I497" s="404"/>
      <c r="K497" s="322"/>
      <c r="L497" s="401"/>
    </row>
    <row r="498">
      <c r="C498" s="164"/>
      <c r="E498" s="402"/>
      <c r="G498" s="404"/>
      <c r="H498" s="404"/>
      <c r="I498" s="404"/>
      <c r="K498" s="322"/>
      <c r="L498" s="401"/>
    </row>
    <row r="499">
      <c r="C499" s="164"/>
      <c r="E499" s="402"/>
      <c r="G499" s="404"/>
      <c r="H499" s="404"/>
      <c r="I499" s="404"/>
      <c r="K499" s="322"/>
      <c r="L499" s="401"/>
    </row>
    <row r="500">
      <c r="C500" s="164"/>
      <c r="E500" s="402"/>
      <c r="G500" s="404"/>
      <c r="H500" s="404"/>
      <c r="I500" s="404"/>
      <c r="K500" s="322"/>
      <c r="L500" s="401"/>
    </row>
    <row r="501">
      <c r="C501" s="164"/>
      <c r="E501" s="402"/>
      <c r="G501" s="404"/>
      <c r="H501" s="404"/>
      <c r="I501" s="404"/>
      <c r="K501" s="322"/>
      <c r="L501" s="401"/>
    </row>
    <row r="502">
      <c r="C502" s="164"/>
      <c r="E502" s="402"/>
      <c r="G502" s="404"/>
      <c r="H502" s="404"/>
      <c r="I502" s="404"/>
      <c r="K502" s="322"/>
      <c r="L502" s="401"/>
    </row>
    <row r="503">
      <c r="C503" s="164"/>
      <c r="E503" s="402"/>
      <c r="G503" s="404"/>
      <c r="H503" s="404"/>
      <c r="I503" s="404"/>
      <c r="K503" s="322"/>
      <c r="L503" s="401"/>
    </row>
    <row r="504">
      <c r="C504" s="164"/>
      <c r="E504" s="402"/>
      <c r="G504" s="404"/>
      <c r="H504" s="404"/>
      <c r="I504" s="404"/>
      <c r="K504" s="322"/>
      <c r="L504" s="401"/>
    </row>
    <row r="505">
      <c r="C505" s="164"/>
      <c r="E505" s="402"/>
      <c r="G505" s="404"/>
      <c r="H505" s="404"/>
      <c r="I505" s="404"/>
      <c r="K505" s="322"/>
      <c r="L505" s="401"/>
    </row>
    <row r="506">
      <c r="C506" s="164"/>
      <c r="E506" s="402"/>
      <c r="G506" s="404"/>
      <c r="H506" s="404"/>
      <c r="I506" s="404"/>
      <c r="K506" s="322"/>
      <c r="L506" s="401"/>
    </row>
    <row r="507">
      <c r="C507" s="164"/>
      <c r="E507" s="402"/>
      <c r="G507" s="404"/>
      <c r="H507" s="404"/>
      <c r="I507" s="404"/>
      <c r="K507" s="322"/>
      <c r="L507" s="401"/>
    </row>
    <row r="508">
      <c r="C508" s="164"/>
      <c r="E508" s="402"/>
      <c r="G508" s="404"/>
      <c r="H508" s="404"/>
      <c r="I508" s="404"/>
      <c r="K508" s="322"/>
      <c r="L508" s="401"/>
    </row>
    <row r="509">
      <c r="C509" s="164"/>
      <c r="E509" s="402"/>
      <c r="G509" s="404"/>
      <c r="H509" s="404"/>
      <c r="I509" s="404"/>
      <c r="K509" s="322"/>
      <c r="L509" s="401"/>
    </row>
    <row r="510">
      <c r="C510" s="164"/>
      <c r="E510" s="402"/>
      <c r="G510" s="404"/>
      <c r="H510" s="404"/>
      <c r="I510" s="404"/>
      <c r="K510" s="322"/>
      <c r="L510" s="401"/>
    </row>
    <row r="511">
      <c r="C511" s="164"/>
      <c r="E511" s="402"/>
      <c r="G511" s="404"/>
      <c r="H511" s="404"/>
      <c r="I511" s="404"/>
      <c r="K511" s="322"/>
      <c r="L511" s="401"/>
    </row>
    <row r="512">
      <c r="C512" s="164"/>
      <c r="E512" s="402"/>
      <c r="G512" s="404"/>
      <c r="H512" s="404"/>
      <c r="I512" s="404"/>
      <c r="K512" s="322"/>
      <c r="L512" s="401"/>
    </row>
    <row r="513">
      <c r="C513" s="164"/>
      <c r="E513" s="402"/>
      <c r="G513" s="404"/>
      <c r="H513" s="404"/>
      <c r="I513" s="404"/>
      <c r="K513" s="322"/>
      <c r="L513" s="401"/>
    </row>
    <row r="514">
      <c r="C514" s="164"/>
      <c r="E514" s="402"/>
      <c r="G514" s="404"/>
      <c r="H514" s="404"/>
      <c r="I514" s="404"/>
      <c r="K514" s="322"/>
      <c r="L514" s="401"/>
    </row>
    <row r="515">
      <c r="C515" s="164"/>
      <c r="E515" s="402"/>
      <c r="G515" s="404"/>
      <c r="H515" s="404"/>
      <c r="I515" s="404"/>
      <c r="K515" s="322"/>
      <c r="L515" s="401"/>
    </row>
    <row r="516">
      <c r="C516" s="164"/>
      <c r="E516" s="402"/>
      <c r="G516" s="404"/>
      <c r="H516" s="404"/>
      <c r="I516" s="404"/>
      <c r="K516" s="322"/>
      <c r="L516" s="401"/>
    </row>
    <row r="517">
      <c r="C517" s="164"/>
      <c r="E517" s="402"/>
      <c r="G517" s="404"/>
      <c r="H517" s="404"/>
      <c r="I517" s="404"/>
      <c r="K517" s="322"/>
      <c r="L517" s="401"/>
    </row>
    <row r="518">
      <c r="C518" s="164"/>
      <c r="E518" s="402"/>
      <c r="G518" s="404"/>
      <c r="H518" s="404"/>
      <c r="I518" s="404"/>
      <c r="K518" s="322"/>
      <c r="L518" s="401"/>
    </row>
    <row r="519">
      <c r="C519" s="164"/>
      <c r="E519" s="402"/>
      <c r="G519" s="404"/>
      <c r="H519" s="404"/>
      <c r="I519" s="404"/>
      <c r="K519" s="322"/>
      <c r="L519" s="401"/>
    </row>
    <row r="520">
      <c r="C520" s="164"/>
      <c r="E520" s="402"/>
      <c r="G520" s="404"/>
      <c r="H520" s="404"/>
      <c r="I520" s="404"/>
      <c r="K520" s="322"/>
      <c r="L520" s="401"/>
    </row>
    <row r="521">
      <c r="C521" s="164"/>
      <c r="E521" s="402"/>
      <c r="G521" s="404"/>
      <c r="H521" s="404"/>
      <c r="I521" s="404"/>
      <c r="K521" s="322"/>
      <c r="L521" s="401"/>
    </row>
    <row r="522">
      <c r="C522" s="164"/>
      <c r="E522" s="402"/>
      <c r="G522" s="404"/>
      <c r="H522" s="404"/>
      <c r="I522" s="404"/>
      <c r="K522" s="322"/>
      <c r="L522" s="401"/>
    </row>
    <row r="523">
      <c r="C523" s="164"/>
      <c r="E523" s="402"/>
      <c r="G523" s="404"/>
      <c r="H523" s="404"/>
      <c r="I523" s="404"/>
      <c r="K523" s="322"/>
      <c r="L523" s="401"/>
    </row>
    <row r="524">
      <c r="C524" s="164"/>
      <c r="E524" s="402"/>
      <c r="G524" s="404"/>
      <c r="H524" s="404"/>
      <c r="I524" s="404"/>
      <c r="K524" s="322"/>
      <c r="L524" s="401"/>
    </row>
    <row r="525">
      <c r="C525" s="164"/>
      <c r="E525" s="402"/>
      <c r="G525" s="404"/>
      <c r="H525" s="404"/>
      <c r="I525" s="404"/>
      <c r="K525" s="322"/>
      <c r="L525" s="401"/>
    </row>
    <row r="526">
      <c r="C526" s="164"/>
      <c r="E526" s="402"/>
      <c r="G526" s="404"/>
      <c r="H526" s="404"/>
      <c r="I526" s="404"/>
      <c r="K526" s="322"/>
      <c r="L526" s="401"/>
    </row>
    <row r="527">
      <c r="C527" s="164"/>
      <c r="E527" s="402"/>
      <c r="G527" s="404"/>
      <c r="H527" s="404"/>
      <c r="I527" s="404"/>
      <c r="K527" s="322"/>
      <c r="L527" s="401"/>
    </row>
    <row r="528">
      <c r="C528" s="164"/>
      <c r="E528" s="402"/>
      <c r="G528" s="404"/>
      <c r="H528" s="404"/>
      <c r="I528" s="404"/>
      <c r="K528" s="322"/>
      <c r="L528" s="401"/>
    </row>
    <row r="529">
      <c r="C529" s="164"/>
      <c r="E529" s="402"/>
      <c r="G529" s="404"/>
      <c r="H529" s="404"/>
      <c r="I529" s="404"/>
      <c r="K529" s="322"/>
      <c r="L529" s="401"/>
    </row>
    <row r="530">
      <c r="C530" s="164"/>
      <c r="E530" s="402"/>
      <c r="G530" s="404"/>
      <c r="H530" s="404"/>
      <c r="I530" s="404"/>
      <c r="K530" s="322"/>
      <c r="L530" s="401"/>
    </row>
    <row r="531">
      <c r="C531" s="164"/>
      <c r="E531" s="402"/>
      <c r="G531" s="404"/>
      <c r="H531" s="404"/>
      <c r="I531" s="404"/>
      <c r="K531" s="322"/>
      <c r="L531" s="401"/>
    </row>
    <row r="532">
      <c r="C532" s="164"/>
      <c r="E532" s="402"/>
      <c r="G532" s="404"/>
      <c r="H532" s="404"/>
      <c r="I532" s="404"/>
      <c r="K532" s="322"/>
      <c r="L532" s="401"/>
    </row>
    <row r="533">
      <c r="C533" s="164"/>
      <c r="E533" s="402"/>
      <c r="G533" s="404"/>
      <c r="H533" s="404"/>
      <c r="I533" s="404"/>
      <c r="K533" s="322"/>
      <c r="L533" s="401"/>
    </row>
    <row r="534">
      <c r="C534" s="164"/>
      <c r="E534" s="402"/>
      <c r="G534" s="404"/>
      <c r="H534" s="404"/>
      <c r="I534" s="404"/>
      <c r="K534" s="322"/>
      <c r="L534" s="401"/>
    </row>
    <row r="535">
      <c r="C535" s="164"/>
      <c r="E535" s="402"/>
      <c r="G535" s="404"/>
      <c r="H535" s="404"/>
      <c r="I535" s="404"/>
      <c r="K535" s="322"/>
      <c r="L535" s="401"/>
    </row>
    <row r="536">
      <c r="C536" s="164"/>
      <c r="E536" s="402"/>
      <c r="G536" s="404"/>
      <c r="H536" s="404"/>
      <c r="I536" s="404"/>
      <c r="K536" s="322"/>
      <c r="L536" s="401"/>
    </row>
    <row r="537">
      <c r="C537" s="164"/>
      <c r="E537" s="402"/>
      <c r="G537" s="404"/>
      <c r="H537" s="404"/>
      <c r="I537" s="404"/>
      <c r="K537" s="322"/>
      <c r="L537" s="401"/>
    </row>
    <row r="538">
      <c r="C538" s="164"/>
      <c r="E538" s="402"/>
      <c r="G538" s="404"/>
      <c r="H538" s="404"/>
      <c r="I538" s="404"/>
      <c r="K538" s="322"/>
      <c r="L538" s="401"/>
    </row>
    <row r="539">
      <c r="C539" s="164"/>
      <c r="E539" s="402"/>
      <c r="G539" s="404"/>
      <c r="H539" s="404"/>
      <c r="I539" s="404"/>
      <c r="K539" s="322"/>
      <c r="L539" s="401"/>
    </row>
    <row r="540">
      <c r="C540" s="164"/>
      <c r="E540" s="402"/>
      <c r="G540" s="404"/>
      <c r="H540" s="404"/>
      <c r="I540" s="404"/>
      <c r="K540" s="322"/>
      <c r="L540" s="401"/>
    </row>
    <row r="541">
      <c r="C541" s="164"/>
      <c r="E541" s="402"/>
      <c r="G541" s="404"/>
      <c r="H541" s="404"/>
      <c r="I541" s="404"/>
      <c r="K541" s="322"/>
      <c r="L541" s="401"/>
    </row>
    <row r="542">
      <c r="C542" s="164"/>
      <c r="E542" s="402"/>
      <c r="G542" s="404"/>
      <c r="H542" s="404"/>
      <c r="I542" s="404"/>
      <c r="K542" s="322"/>
      <c r="L542" s="401"/>
    </row>
    <row r="543">
      <c r="C543" s="164"/>
      <c r="E543" s="402"/>
      <c r="G543" s="404"/>
      <c r="H543" s="404"/>
      <c r="I543" s="404"/>
      <c r="K543" s="322"/>
      <c r="L543" s="401"/>
    </row>
    <row r="544">
      <c r="C544" s="164"/>
      <c r="E544" s="402"/>
      <c r="G544" s="404"/>
      <c r="H544" s="404"/>
      <c r="I544" s="404"/>
      <c r="K544" s="322"/>
      <c r="L544" s="401"/>
    </row>
    <row r="545">
      <c r="C545" s="164"/>
      <c r="E545" s="402"/>
      <c r="G545" s="404"/>
      <c r="H545" s="404"/>
      <c r="I545" s="404"/>
      <c r="K545" s="322"/>
      <c r="L545" s="401"/>
    </row>
    <row r="546">
      <c r="C546" s="164"/>
      <c r="E546" s="402"/>
      <c r="G546" s="404"/>
      <c r="H546" s="404"/>
      <c r="I546" s="404"/>
      <c r="K546" s="322"/>
      <c r="L546" s="401"/>
    </row>
    <row r="547">
      <c r="C547" s="164"/>
      <c r="E547" s="402"/>
      <c r="G547" s="404"/>
      <c r="H547" s="404"/>
      <c r="I547" s="404"/>
      <c r="K547" s="322"/>
      <c r="L547" s="401"/>
    </row>
    <row r="548">
      <c r="C548" s="164"/>
      <c r="E548" s="402"/>
      <c r="G548" s="404"/>
      <c r="H548" s="404"/>
      <c r="I548" s="404"/>
      <c r="K548" s="322"/>
      <c r="L548" s="401"/>
    </row>
    <row r="549">
      <c r="C549" s="164"/>
      <c r="E549" s="402"/>
      <c r="G549" s="404"/>
      <c r="H549" s="404"/>
      <c r="I549" s="404"/>
      <c r="K549" s="322"/>
      <c r="L549" s="401"/>
    </row>
    <row r="550">
      <c r="C550" s="164"/>
      <c r="E550" s="402"/>
      <c r="G550" s="404"/>
      <c r="H550" s="404"/>
      <c r="I550" s="404"/>
      <c r="K550" s="322"/>
      <c r="L550" s="401"/>
    </row>
    <row r="551">
      <c r="C551" s="164"/>
      <c r="E551" s="402"/>
      <c r="G551" s="404"/>
      <c r="H551" s="404"/>
      <c r="I551" s="404"/>
      <c r="K551" s="322"/>
      <c r="L551" s="401"/>
    </row>
    <row r="552">
      <c r="C552" s="164"/>
      <c r="E552" s="402"/>
      <c r="G552" s="404"/>
      <c r="H552" s="404"/>
      <c r="I552" s="404"/>
      <c r="K552" s="322"/>
      <c r="L552" s="401"/>
    </row>
    <row r="553">
      <c r="C553" s="164"/>
      <c r="E553" s="402"/>
      <c r="G553" s="404"/>
      <c r="H553" s="404"/>
      <c r="I553" s="404"/>
      <c r="K553" s="322"/>
      <c r="L553" s="401"/>
    </row>
    <row r="554">
      <c r="C554" s="164"/>
      <c r="E554" s="402"/>
      <c r="G554" s="404"/>
      <c r="H554" s="404"/>
      <c r="I554" s="404"/>
      <c r="K554" s="322"/>
      <c r="L554" s="401"/>
    </row>
    <row r="555">
      <c r="C555" s="164"/>
      <c r="E555" s="402"/>
      <c r="G555" s="404"/>
      <c r="H555" s="404"/>
      <c r="I555" s="404"/>
      <c r="K555" s="322"/>
      <c r="L555" s="401"/>
    </row>
    <row r="556">
      <c r="C556" s="164"/>
      <c r="E556" s="402"/>
      <c r="G556" s="404"/>
      <c r="H556" s="404"/>
      <c r="I556" s="404"/>
      <c r="K556" s="322"/>
      <c r="L556" s="401"/>
    </row>
    <row r="557">
      <c r="C557" s="164"/>
      <c r="E557" s="402"/>
      <c r="G557" s="404"/>
      <c r="H557" s="404"/>
      <c r="I557" s="404"/>
      <c r="K557" s="322"/>
      <c r="L557" s="401"/>
    </row>
    <row r="558">
      <c r="C558" s="164"/>
      <c r="E558" s="402"/>
      <c r="G558" s="404"/>
      <c r="H558" s="404"/>
      <c r="I558" s="404"/>
      <c r="K558" s="322"/>
      <c r="L558" s="401"/>
    </row>
    <row r="559">
      <c r="C559" s="164"/>
      <c r="E559" s="402"/>
      <c r="G559" s="404"/>
      <c r="H559" s="404"/>
      <c r="I559" s="404"/>
      <c r="K559" s="322"/>
      <c r="L559" s="401"/>
    </row>
    <row r="560">
      <c r="C560" s="164"/>
      <c r="E560" s="402"/>
      <c r="G560" s="404"/>
      <c r="H560" s="404"/>
      <c r="I560" s="404"/>
      <c r="K560" s="322"/>
      <c r="L560" s="401"/>
    </row>
    <row r="561">
      <c r="C561" s="164"/>
      <c r="E561" s="402"/>
      <c r="G561" s="404"/>
      <c r="H561" s="404"/>
      <c r="I561" s="404"/>
      <c r="K561" s="322"/>
      <c r="L561" s="401"/>
    </row>
    <row r="562">
      <c r="C562" s="164"/>
      <c r="E562" s="402"/>
      <c r="G562" s="404"/>
      <c r="H562" s="404"/>
      <c r="I562" s="404"/>
      <c r="K562" s="322"/>
      <c r="L562" s="401"/>
    </row>
    <row r="563">
      <c r="C563" s="164"/>
      <c r="E563" s="402"/>
      <c r="G563" s="404"/>
      <c r="H563" s="404"/>
      <c r="I563" s="404"/>
      <c r="K563" s="322"/>
      <c r="L563" s="401"/>
    </row>
    <row r="564">
      <c r="C564" s="164"/>
      <c r="E564" s="402"/>
      <c r="G564" s="404"/>
      <c r="H564" s="404"/>
      <c r="I564" s="404"/>
      <c r="K564" s="322"/>
      <c r="L564" s="401"/>
    </row>
    <row r="565">
      <c r="C565" s="164"/>
      <c r="E565" s="402"/>
      <c r="G565" s="404"/>
      <c r="H565" s="404"/>
      <c r="I565" s="404"/>
      <c r="K565" s="322"/>
      <c r="L565" s="401"/>
    </row>
    <row r="566">
      <c r="C566" s="164"/>
      <c r="E566" s="402"/>
      <c r="G566" s="404"/>
      <c r="H566" s="404"/>
      <c r="I566" s="404"/>
      <c r="K566" s="322"/>
      <c r="L566" s="401"/>
    </row>
    <row r="567">
      <c r="C567" s="164"/>
      <c r="E567" s="402"/>
      <c r="G567" s="404"/>
      <c r="H567" s="404"/>
      <c r="I567" s="404"/>
      <c r="K567" s="322"/>
      <c r="L567" s="401"/>
    </row>
    <row r="568">
      <c r="C568" s="164"/>
      <c r="E568" s="402"/>
      <c r="G568" s="404"/>
      <c r="H568" s="404"/>
      <c r="I568" s="404"/>
      <c r="K568" s="322"/>
      <c r="L568" s="401"/>
    </row>
    <row r="569">
      <c r="C569" s="164"/>
      <c r="E569" s="402"/>
      <c r="G569" s="404"/>
      <c r="H569" s="404"/>
      <c r="I569" s="404"/>
      <c r="K569" s="322"/>
      <c r="L569" s="401"/>
    </row>
    <row r="570">
      <c r="C570" s="164"/>
      <c r="E570" s="402"/>
      <c r="G570" s="404"/>
      <c r="H570" s="404"/>
      <c r="I570" s="404"/>
      <c r="K570" s="322"/>
      <c r="L570" s="401"/>
    </row>
    <row r="571">
      <c r="C571" s="164"/>
      <c r="E571" s="402"/>
      <c r="G571" s="404"/>
      <c r="H571" s="404"/>
      <c r="I571" s="404"/>
      <c r="K571" s="322"/>
      <c r="L571" s="401"/>
    </row>
    <row r="572">
      <c r="C572" s="164"/>
      <c r="E572" s="402"/>
      <c r="G572" s="404"/>
      <c r="H572" s="404"/>
      <c r="I572" s="404"/>
      <c r="K572" s="322"/>
      <c r="L572" s="401"/>
    </row>
    <row r="573">
      <c r="C573" s="164"/>
      <c r="E573" s="402"/>
      <c r="G573" s="404"/>
      <c r="H573" s="404"/>
      <c r="I573" s="404"/>
      <c r="K573" s="322"/>
      <c r="L573" s="401"/>
    </row>
    <row r="574">
      <c r="C574" s="164"/>
      <c r="E574" s="402"/>
      <c r="G574" s="404"/>
      <c r="H574" s="404"/>
      <c r="I574" s="404"/>
      <c r="K574" s="322"/>
      <c r="L574" s="401"/>
    </row>
    <row r="575">
      <c r="C575" s="164"/>
      <c r="E575" s="402"/>
      <c r="G575" s="404"/>
      <c r="H575" s="404"/>
      <c r="I575" s="404"/>
      <c r="K575" s="322"/>
      <c r="L575" s="401"/>
    </row>
    <row r="576">
      <c r="C576" s="164"/>
      <c r="E576" s="402"/>
      <c r="G576" s="404"/>
      <c r="H576" s="404"/>
      <c r="I576" s="404"/>
      <c r="K576" s="322"/>
      <c r="L576" s="401"/>
    </row>
    <row r="577">
      <c r="C577" s="164"/>
      <c r="E577" s="402"/>
      <c r="G577" s="404"/>
      <c r="H577" s="404"/>
      <c r="I577" s="404"/>
      <c r="K577" s="322"/>
      <c r="L577" s="401"/>
    </row>
    <row r="578">
      <c r="C578" s="164"/>
      <c r="E578" s="402"/>
      <c r="G578" s="404"/>
      <c r="H578" s="404"/>
      <c r="I578" s="404"/>
      <c r="K578" s="322"/>
      <c r="L578" s="401"/>
    </row>
    <row r="579">
      <c r="C579" s="164"/>
      <c r="E579" s="402"/>
      <c r="G579" s="404"/>
      <c r="H579" s="404"/>
      <c r="I579" s="404"/>
      <c r="K579" s="322"/>
      <c r="L579" s="401"/>
    </row>
    <row r="580">
      <c r="C580" s="164"/>
      <c r="E580" s="402"/>
      <c r="G580" s="404"/>
      <c r="H580" s="404"/>
      <c r="I580" s="404"/>
      <c r="K580" s="322"/>
      <c r="L580" s="401"/>
    </row>
    <row r="581">
      <c r="C581" s="164"/>
      <c r="E581" s="402"/>
      <c r="G581" s="404"/>
      <c r="H581" s="404"/>
      <c r="I581" s="404"/>
      <c r="K581" s="322"/>
      <c r="L581" s="401"/>
    </row>
    <row r="582">
      <c r="C582" s="164"/>
      <c r="E582" s="402"/>
      <c r="G582" s="404"/>
      <c r="H582" s="404"/>
      <c r="I582" s="404"/>
      <c r="K582" s="322"/>
      <c r="L582" s="401"/>
    </row>
    <row r="583">
      <c r="C583" s="164"/>
      <c r="E583" s="402"/>
      <c r="G583" s="404"/>
      <c r="H583" s="404"/>
      <c r="I583" s="404"/>
      <c r="K583" s="322"/>
      <c r="L583" s="401"/>
    </row>
    <row r="584">
      <c r="C584" s="164"/>
      <c r="E584" s="402"/>
      <c r="G584" s="404"/>
      <c r="H584" s="404"/>
      <c r="I584" s="404"/>
      <c r="K584" s="322"/>
      <c r="L584" s="401"/>
    </row>
    <row r="585">
      <c r="C585" s="164"/>
      <c r="E585" s="402"/>
      <c r="G585" s="404"/>
      <c r="H585" s="404"/>
      <c r="I585" s="404"/>
      <c r="K585" s="322"/>
      <c r="L585" s="401"/>
    </row>
    <row r="586">
      <c r="C586" s="164"/>
      <c r="E586" s="402"/>
      <c r="G586" s="404"/>
      <c r="H586" s="404"/>
      <c r="I586" s="404"/>
      <c r="K586" s="322"/>
      <c r="L586" s="401"/>
    </row>
    <row r="587">
      <c r="C587" s="164"/>
      <c r="E587" s="402"/>
      <c r="G587" s="404"/>
      <c r="H587" s="404"/>
      <c r="I587" s="404"/>
      <c r="K587" s="322"/>
      <c r="L587" s="401"/>
    </row>
    <row r="588">
      <c r="C588" s="164"/>
      <c r="E588" s="402"/>
      <c r="G588" s="404"/>
      <c r="H588" s="404"/>
      <c r="I588" s="404"/>
      <c r="K588" s="322"/>
      <c r="L588" s="401"/>
    </row>
    <row r="589">
      <c r="C589" s="164"/>
      <c r="E589" s="402"/>
      <c r="G589" s="404"/>
      <c r="H589" s="404"/>
      <c r="I589" s="404"/>
      <c r="K589" s="322"/>
      <c r="L589" s="401"/>
    </row>
    <row r="590">
      <c r="C590" s="164"/>
      <c r="E590" s="402"/>
      <c r="G590" s="404"/>
      <c r="H590" s="404"/>
      <c r="I590" s="404"/>
      <c r="K590" s="322"/>
      <c r="L590" s="401"/>
    </row>
    <row r="591">
      <c r="C591" s="164"/>
      <c r="E591" s="402"/>
      <c r="G591" s="404"/>
      <c r="H591" s="404"/>
      <c r="I591" s="404"/>
      <c r="K591" s="322"/>
      <c r="L591" s="401"/>
    </row>
    <row r="592">
      <c r="C592" s="164"/>
      <c r="E592" s="402"/>
      <c r="G592" s="404"/>
      <c r="H592" s="404"/>
      <c r="I592" s="404"/>
      <c r="K592" s="322"/>
      <c r="L592" s="401"/>
    </row>
    <row r="593">
      <c r="C593" s="164"/>
      <c r="E593" s="402"/>
      <c r="G593" s="404"/>
      <c r="H593" s="404"/>
      <c r="I593" s="404"/>
      <c r="K593" s="322"/>
      <c r="L593" s="401"/>
    </row>
    <row r="594">
      <c r="C594" s="164"/>
      <c r="E594" s="402"/>
      <c r="G594" s="404"/>
      <c r="H594" s="404"/>
      <c r="I594" s="404"/>
      <c r="K594" s="322"/>
      <c r="L594" s="401"/>
    </row>
    <row r="595">
      <c r="C595" s="164"/>
      <c r="E595" s="402"/>
      <c r="G595" s="404"/>
      <c r="H595" s="404"/>
      <c r="I595" s="404"/>
      <c r="K595" s="322"/>
      <c r="L595" s="401"/>
    </row>
    <row r="596">
      <c r="C596" s="164"/>
      <c r="E596" s="402"/>
      <c r="G596" s="404"/>
      <c r="H596" s="404"/>
      <c r="I596" s="404"/>
      <c r="K596" s="322"/>
      <c r="L596" s="401"/>
    </row>
    <row r="597">
      <c r="C597" s="164"/>
      <c r="E597" s="402"/>
      <c r="G597" s="404"/>
      <c r="H597" s="404"/>
      <c r="I597" s="404"/>
      <c r="K597" s="322"/>
      <c r="L597" s="401"/>
    </row>
    <row r="598">
      <c r="C598" s="164"/>
      <c r="E598" s="402"/>
      <c r="G598" s="404"/>
      <c r="H598" s="404"/>
      <c r="I598" s="404"/>
      <c r="K598" s="322"/>
      <c r="L598" s="401"/>
    </row>
    <row r="599">
      <c r="C599" s="164"/>
      <c r="E599" s="402"/>
      <c r="G599" s="404"/>
      <c r="H599" s="404"/>
      <c r="I599" s="404"/>
      <c r="K599" s="322"/>
      <c r="L599" s="401"/>
    </row>
    <row r="600">
      <c r="C600" s="164"/>
      <c r="E600" s="402"/>
      <c r="G600" s="404"/>
      <c r="H600" s="404"/>
      <c r="I600" s="404"/>
      <c r="K600" s="322"/>
      <c r="L600" s="401"/>
    </row>
    <row r="601">
      <c r="C601" s="164"/>
      <c r="E601" s="402"/>
      <c r="G601" s="404"/>
      <c r="H601" s="404"/>
      <c r="I601" s="404"/>
      <c r="K601" s="322"/>
      <c r="L601" s="401"/>
    </row>
    <row r="602">
      <c r="C602" s="164"/>
      <c r="E602" s="402"/>
      <c r="G602" s="404"/>
      <c r="H602" s="404"/>
      <c r="I602" s="404"/>
      <c r="K602" s="322"/>
      <c r="L602" s="401"/>
    </row>
    <row r="603">
      <c r="C603" s="164"/>
      <c r="E603" s="402"/>
      <c r="G603" s="404"/>
      <c r="H603" s="404"/>
      <c r="I603" s="404"/>
      <c r="K603" s="322"/>
      <c r="L603" s="401"/>
    </row>
    <row r="604">
      <c r="C604" s="164"/>
      <c r="E604" s="402"/>
      <c r="G604" s="404"/>
      <c r="H604" s="404"/>
      <c r="I604" s="404"/>
      <c r="K604" s="322"/>
      <c r="L604" s="401"/>
    </row>
    <row r="605">
      <c r="C605" s="164"/>
      <c r="E605" s="402"/>
      <c r="G605" s="404"/>
      <c r="H605" s="404"/>
      <c r="I605" s="404"/>
      <c r="K605" s="322"/>
      <c r="L605" s="401"/>
    </row>
    <row r="606">
      <c r="C606" s="164"/>
      <c r="E606" s="402"/>
      <c r="G606" s="404"/>
      <c r="H606" s="404"/>
      <c r="I606" s="404"/>
      <c r="K606" s="322"/>
      <c r="L606" s="401"/>
    </row>
    <row r="607">
      <c r="C607" s="164"/>
      <c r="E607" s="402"/>
      <c r="G607" s="404"/>
      <c r="H607" s="404"/>
      <c r="I607" s="404"/>
      <c r="K607" s="322"/>
      <c r="L607" s="401"/>
    </row>
    <row r="608">
      <c r="C608" s="164"/>
      <c r="E608" s="402"/>
      <c r="G608" s="404"/>
      <c r="H608" s="404"/>
      <c r="I608" s="404"/>
      <c r="K608" s="322"/>
      <c r="L608" s="401"/>
    </row>
    <row r="609">
      <c r="C609" s="164"/>
      <c r="E609" s="402"/>
      <c r="G609" s="404"/>
      <c r="H609" s="404"/>
      <c r="I609" s="404"/>
      <c r="K609" s="322"/>
      <c r="L609" s="401"/>
    </row>
    <row r="610">
      <c r="C610" s="164"/>
      <c r="E610" s="402"/>
      <c r="G610" s="404"/>
      <c r="H610" s="404"/>
      <c r="I610" s="404"/>
      <c r="K610" s="322"/>
      <c r="L610" s="401"/>
    </row>
    <row r="611">
      <c r="C611" s="164"/>
      <c r="E611" s="402"/>
      <c r="G611" s="404"/>
      <c r="H611" s="404"/>
      <c r="I611" s="404"/>
      <c r="K611" s="322"/>
      <c r="L611" s="401"/>
    </row>
    <row r="612">
      <c r="C612" s="164"/>
      <c r="E612" s="402"/>
      <c r="G612" s="404"/>
      <c r="H612" s="404"/>
      <c r="I612" s="404"/>
      <c r="K612" s="322"/>
      <c r="L612" s="401"/>
    </row>
    <row r="613">
      <c r="C613" s="164"/>
      <c r="E613" s="402"/>
      <c r="G613" s="404"/>
      <c r="H613" s="404"/>
      <c r="I613" s="404"/>
      <c r="K613" s="322"/>
      <c r="L613" s="401"/>
    </row>
    <row r="614">
      <c r="C614" s="164"/>
      <c r="E614" s="402"/>
      <c r="G614" s="404"/>
      <c r="H614" s="404"/>
      <c r="I614" s="404"/>
      <c r="K614" s="322"/>
      <c r="L614" s="401"/>
    </row>
    <row r="615">
      <c r="C615" s="164"/>
      <c r="E615" s="402"/>
      <c r="G615" s="404"/>
      <c r="H615" s="404"/>
      <c r="I615" s="404"/>
      <c r="K615" s="322"/>
      <c r="L615" s="401"/>
    </row>
    <row r="616">
      <c r="C616" s="164"/>
      <c r="E616" s="402"/>
      <c r="G616" s="404"/>
      <c r="H616" s="404"/>
      <c r="I616" s="404"/>
      <c r="K616" s="322"/>
      <c r="L616" s="401"/>
    </row>
    <row r="617">
      <c r="C617" s="164"/>
      <c r="E617" s="402"/>
      <c r="G617" s="404"/>
      <c r="H617" s="404"/>
      <c r="I617" s="404"/>
      <c r="K617" s="322"/>
      <c r="L617" s="401"/>
    </row>
    <row r="618">
      <c r="C618" s="164"/>
      <c r="E618" s="402"/>
      <c r="G618" s="404"/>
      <c r="H618" s="404"/>
      <c r="I618" s="404"/>
      <c r="K618" s="322"/>
      <c r="L618" s="401"/>
    </row>
    <row r="619">
      <c r="C619" s="164"/>
      <c r="E619" s="402"/>
      <c r="G619" s="404"/>
      <c r="H619" s="404"/>
      <c r="I619" s="404"/>
      <c r="K619" s="322"/>
      <c r="L619" s="401"/>
    </row>
    <row r="620">
      <c r="C620" s="164"/>
      <c r="E620" s="402"/>
      <c r="G620" s="404"/>
      <c r="H620" s="404"/>
      <c r="I620" s="404"/>
      <c r="K620" s="322"/>
      <c r="L620" s="401"/>
    </row>
    <row r="621">
      <c r="C621" s="164"/>
      <c r="E621" s="402"/>
      <c r="G621" s="404"/>
      <c r="H621" s="404"/>
      <c r="I621" s="404"/>
      <c r="K621" s="322"/>
      <c r="L621" s="401"/>
    </row>
    <row r="622">
      <c r="C622" s="164"/>
      <c r="E622" s="402"/>
      <c r="G622" s="404"/>
      <c r="H622" s="404"/>
      <c r="I622" s="404"/>
      <c r="K622" s="322"/>
      <c r="L622" s="401"/>
    </row>
    <row r="623">
      <c r="C623" s="164"/>
      <c r="E623" s="402"/>
      <c r="G623" s="404"/>
      <c r="H623" s="404"/>
      <c r="I623" s="404"/>
      <c r="K623" s="322"/>
      <c r="L623" s="401"/>
    </row>
    <row r="624">
      <c r="C624" s="164"/>
      <c r="E624" s="402"/>
      <c r="G624" s="404"/>
      <c r="H624" s="404"/>
      <c r="I624" s="404"/>
      <c r="K624" s="322"/>
      <c r="L624" s="401"/>
    </row>
    <row r="625">
      <c r="C625" s="164"/>
      <c r="E625" s="402"/>
      <c r="G625" s="404"/>
      <c r="H625" s="404"/>
      <c r="I625" s="404"/>
      <c r="K625" s="322"/>
      <c r="L625" s="401"/>
    </row>
    <row r="626">
      <c r="C626" s="164"/>
      <c r="E626" s="402"/>
      <c r="G626" s="404"/>
      <c r="H626" s="404"/>
      <c r="I626" s="404"/>
      <c r="K626" s="322"/>
      <c r="L626" s="401"/>
    </row>
    <row r="627">
      <c r="C627" s="164"/>
      <c r="E627" s="402"/>
      <c r="G627" s="404"/>
      <c r="H627" s="404"/>
      <c r="I627" s="404"/>
      <c r="K627" s="322"/>
      <c r="L627" s="401"/>
    </row>
    <row r="628">
      <c r="C628" s="164"/>
      <c r="E628" s="402"/>
      <c r="G628" s="404"/>
      <c r="H628" s="404"/>
      <c r="I628" s="404"/>
      <c r="K628" s="322"/>
      <c r="L628" s="401"/>
    </row>
    <row r="629">
      <c r="C629" s="164"/>
      <c r="E629" s="402"/>
      <c r="G629" s="404"/>
      <c r="H629" s="404"/>
      <c r="I629" s="404"/>
      <c r="K629" s="322"/>
      <c r="L629" s="401"/>
    </row>
    <row r="630">
      <c r="C630" s="164"/>
      <c r="E630" s="402"/>
      <c r="G630" s="404"/>
      <c r="H630" s="404"/>
      <c r="I630" s="404"/>
      <c r="K630" s="322"/>
      <c r="L630" s="401"/>
    </row>
    <row r="631">
      <c r="C631" s="164"/>
      <c r="E631" s="402"/>
      <c r="G631" s="404"/>
      <c r="H631" s="404"/>
      <c r="I631" s="404"/>
      <c r="K631" s="322"/>
      <c r="L631" s="401"/>
    </row>
    <row r="632">
      <c r="C632" s="164"/>
      <c r="E632" s="402"/>
      <c r="G632" s="404"/>
      <c r="H632" s="404"/>
      <c r="I632" s="404"/>
      <c r="K632" s="322"/>
      <c r="L632" s="401"/>
    </row>
    <row r="633">
      <c r="C633" s="164"/>
      <c r="E633" s="402"/>
      <c r="G633" s="404"/>
      <c r="H633" s="404"/>
      <c r="I633" s="404"/>
      <c r="K633" s="322"/>
      <c r="L633" s="401"/>
    </row>
    <row r="634">
      <c r="C634" s="164"/>
      <c r="E634" s="402"/>
      <c r="G634" s="404"/>
      <c r="H634" s="404"/>
      <c r="I634" s="404"/>
      <c r="K634" s="322"/>
      <c r="L634" s="401"/>
    </row>
    <row r="635">
      <c r="C635" s="164"/>
      <c r="E635" s="402"/>
      <c r="G635" s="404"/>
      <c r="H635" s="404"/>
      <c r="I635" s="404"/>
      <c r="K635" s="322"/>
      <c r="L635" s="401"/>
    </row>
    <row r="636">
      <c r="C636" s="164"/>
      <c r="E636" s="402"/>
      <c r="G636" s="404"/>
      <c r="H636" s="404"/>
      <c r="I636" s="404"/>
      <c r="K636" s="322"/>
      <c r="L636" s="401"/>
    </row>
    <row r="637">
      <c r="C637" s="164"/>
      <c r="E637" s="402"/>
      <c r="G637" s="404"/>
      <c r="H637" s="404"/>
      <c r="I637" s="404"/>
      <c r="K637" s="322"/>
      <c r="L637" s="401"/>
    </row>
    <row r="638">
      <c r="C638" s="164"/>
      <c r="E638" s="402"/>
      <c r="G638" s="404"/>
      <c r="H638" s="404"/>
      <c r="I638" s="404"/>
      <c r="K638" s="322"/>
      <c r="L638" s="401"/>
    </row>
    <row r="639">
      <c r="C639" s="164"/>
      <c r="E639" s="402"/>
      <c r="G639" s="404"/>
      <c r="H639" s="404"/>
      <c r="I639" s="404"/>
      <c r="K639" s="322"/>
      <c r="L639" s="401"/>
    </row>
    <row r="640">
      <c r="C640" s="164"/>
      <c r="E640" s="402"/>
      <c r="G640" s="404"/>
      <c r="H640" s="404"/>
      <c r="I640" s="404"/>
      <c r="K640" s="322"/>
      <c r="L640" s="401"/>
    </row>
    <row r="641">
      <c r="C641" s="164"/>
      <c r="E641" s="402"/>
      <c r="G641" s="404"/>
      <c r="H641" s="404"/>
      <c r="I641" s="404"/>
      <c r="K641" s="322"/>
      <c r="L641" s="401"/>
    </row>
    <row r="642">
      <c r="C642" s="164"/>
      <c r="E642" s="402"/>
      <c r="G642" s="404"/>
      <c r="H642" s="404"/>
      <c r="I642" s="404"/>
      <c r="K642" s="322"/>
      <c r="L642" s="401"/>
    </row>
    <row r="643">
      <c r="C643" s="164"/>
      <c r="E643" s="402"/>
      <c r="G643" s="404"/>
      <c r="H643" s="404"/>
      <c r="I643" s="404"/>
      <c r="K643" s="322"/>
      <c r="L643" s="401"/>
    </row>
    <row r="644">
      <c r="C644" s="164"/>
      <c r="E644" s="402"/>
      <c r="G644" s="404"/>
      <c r="H644" s="404"/>
      <c r="I644" s="404"/>
      <c r="K644" s="322"/>
      <c r="L644" s="401"/>
    </row>
    <row r="645">
      <c r="C645" s="164"/>
      <c r="E645" s="402"/>
      <c r="G645" s="404"/>
      <c r="H645" s="404"/>
      <c r="I645" s="404"/>
      <c r="K645" s="322"/>
      <c r="L645" s="401"/>
    </row>
    <row r="646">
      <c r="C646" s="164"/>
      <c r="E646" s="402"/>
      <c r="G646" s="404"/>
      <c r="H646" s="404"/>
      <c r="I646" s="404"/>
      <c r="K646" s="322"/>
      <c r="L646" s="401"/>
    </row>
    <row r="647">
      <c r="C647" s="164"/>
      <c r="E647" s="402"/>
      <c r="G647" s="404"/>
      <c r="H647" s="404"/>
      <c r="I647" s="404"/>
      <c r="K647" s="322"/>
      <c r="L647" s="401"/>
    </row>
    <row r="648">
      <c r="C648" s="164"/>
      <c r="E648" s="402"/>
      <c r="G648" s="404"/>
      <c r="H648" s="404"/>
      <c r="I648" s="404"/>
      <c r="K648" s="322"/>
      <c r="L648" s="401"/>
    </row>
    <row r="649">
      <c r="C649" s="164"/>
      <c r="E649" s="402"/>
      <c r="G649" s="404"/>
      <c r="H649" s="404"/>
      <c r="I649" s="404"/>
      <c r="K649" s="322"/>
      <c r="L649" s="401"/>
    </row>
    <row r="650">
      <c r="C650" s="164"/>
      <c r="E650" s="402"/>
      <c r="G650" s="404"/>
      <c r="H650" s="404"/>
      <c r="I650" s="404"/>
      <c r="K650" s="322"/>
      <c r="L650" s="401"/>
    </row>
    <row r="651">
      <c r="C651" s="164"/>
      <c r="E651" s="402"/>
      <c r="G651" s="404"/>
      <c r="H651" s="404"/>
      <c r="I651" s="404"/>
      <c r="K651" s="322"/>
      <c r="L651" s="401"/>
    </row>
    <row r="652">
      <c r="C652" s="164"/>
      <c r="E652" s="402"/>
      <c r="G652" s="404"/>
      <c r="H652" s="404"/>
      <c r="I652" s="404"/>
      <c r="K652" s="322"/>
      <c r="L652" s="401"/>
    </row>
    <row r="653">
      <c r="C653" s="164"/>
      <c r="E653" s="402"/>
      <c r="G653" s="404"/>
      <c r="H653" s="404"/>
      <c r="I653" s="404"/>
      <c r="K653" s="322"/>
      <c r="L653" s="401"/>
    </row>
    <row r="654">
      <c r="C654" s="164"/>
      <c r="E654" s="402"/>
      <c r="G654" s="404"/>
      <c r="H654" s="404"/>
      <c r="I654" s="404"/>
      <c r="K654" s="322"/>
      <c r="L654" s="401"/>
    </row>
    <row r="655">
      <c r="C655" s="164"/>
      <c r="E655" s="402"/>
      <c r="G655" s="404"/>
      <c r="H655" s="404"/>
      <c r="I655" s="404"/>
      <c r="K655" s="322"/>
      <c r="L655" s="401"/>
    </row>
    <row r="656">
      <c r="C656" s="164"/>
      <c r="E656" s="402"/>
      <c r="G656" s="404"/>
      <c r="H656" s="404"/>
      <c r="I656" s="404"/>
      <c r="K656" s="322"/>
      <c r="L656" s="401"/>
    </row>
    <row r="657">
      <c r="C657" s="164"/>
      <c r="E657" s="402"/>
      <c r="G657" s="404"/>
      <c r="H657" s="404"/>
      <c r="I657" s="404"/>
      <c r="K657" s="322"/>
      <c r="L657" s="401"/>
    </row>
    <row r="658">
      <c r="C658" s="164"/>
      <c r="E658" s="402"/>
      <c r="G658" s="404"/>
      <c r="H658" s="404"/>
      <c r="I658" s="404"/>
      <c r="K658" s="322"/>
      <c r="L658" s="401"/>
    </row>
    <row r="659">
      <c r="C659" s="164"/>
      <c r="E659" s="402"/>
      <c r="G659" s="404"/>
      <c r="H659" s="404"/>
      <c r="I659" s="404"/>
      <c r="K659" s="322"/>
      <c r="L659" s="401"/>
    </row>
    <row r="660">
      <c r="C660" s="164"/>
      <c r="E660" s="402"/>
      <c r="G660" s="404"/>
      <c r="H660" s="404"/>
      <c r="I660" s="404"/>
      <c r="K660" s="322"/>
      <c r="L660" s="401"/>
    </row>
    <row r="661">
      <c r="C661" s="164"/>
      <c r="E661" s="402"/>
      <c r="G661" s="404"/>
      <c r="H661" s="404"/>
      <c r="I661" s="404"/>
      <c r="K661" s="322"/>
      <c r="L661" s="401"/>
    </row>
    <row r="662">
      <c r="C662" s="164"/>
      <c r="E662" s="402"/>
      <c r="G662" s="404"/>
      <c r="H662" s="404"/>
      <c r="I662" s="404"/>
      <c r="K662" s="322"/>
      <c r="L662" s="401"/>
    </row>
    <row r="663">
      <c r="C663" s="164"/>
      <c r="E663" s="402"/>
      <c r="G663" s="404"/>
      <c r="H663" s="404"/>
      <c r="I663" s="404"/>
      <c r="K663" s="322"/>
      <c r="L663" s="401"/>
    </row>
    <row r="664">
      <c r="C664" s="164"/>
      <c r="E664" s="402"/>
      <c r="G664" s="404"/>
      <c r="H664" s="404"/>
      <c r="I664" s="404"/>
      <c r="K664" s="322"/>
      <c r="L664" s="401"/>
    </row>
    <row r="665">
      <c r="C665" s="164"/>
      <c r="E665" s="402"/>
      <c r="G665" s="404"/>
      <c r="H665" s="404"/>
      <c r="I665" s="404"/>
      <c r="K665" s="322"/>
      <c r="L665" s="401"/>
    </row>
    <row r="666">
      <c r="C666" s="164"/>
      <c r="E666" s="402"/>
      <c r="G666" s="404"/>
      <c r="H666" s="404"/>
      <c r="I666" s="404"/>
      <c r="K666" s="322"/>
      <c r="L666" s="401"/>
    </row>
    <row r="667">
      <c r="C667" s="164"/>
      <c r="E667" s="402"/>
      <c r="G667" s="404"/>
      <c r="H667" s="404"/>
      <c r="I667" s="404"/>
      <c r="K667" s="322"/>
      <c r="L667" s="401"/>
    </row>
    <row r="668">
      <c r="C668" s="164"/>
      <c r="E668" s="402"/>
      <c r="G668" s="404"/>
      <c r="H668" s="404"/>
      <c r="I668" s="404"/>
      <c r="K668" s="322"/>
      <c r="L668" s="401"/>
    </row>
    <row r="669">
      <c r="C669" s="164"/>
      <c r="E669" s="402"/>
      <c r="G669" s="404"/>
      <c r="H669" s="404"/>
      <c r="I669" s="404"/>
      <c r="K669" s="322"/>
      <c r="L669" s="401"/>
    </row>
    <row r="670">
      <c r="C670" s="164"/>
      <c r="E670" s="402"/>
      <c r="G670" s="404"/>
      <c r="H670" s="404"/>
      <c r="I670" s="404"/>
      <c r="K670" s="322"/>
      <c r="L670" s="401"/>
    </row>
    <row r="671">
      <c r="C671" s="164"/>
      <c r="E671" s="402"/>
      <c r="G671" s="404"/>
      <c r="H671" s="404"/>
      <c r="I671" s="404"/>
      <c r="K671" s="322"/>
      <c r="L671" s="401"/>
    </row>
    <row r="672">
      <c r="C672" s="164"/>
      <c r="E672" s="402"/>
      <c r="G672" s="404"/>
      <c r="H672" s="404"/>
      <c r="I672" s="404"/>
      <c r="K672" s="322"/>
      <c r="L672" s="401"/>
    </row>
    <row r="673">
      <c r="C673" s="164"/>
      <c r="E673" s="402"/>
      <c r="G673" s="404"/>
      <c r="H673" s="404"/>
      <c r="I673" s="404"/>
      <c r="K673" s="322"/>
      <c r="L673" s="401"/>
    </row>
    <row r="674">
      <c r="C674" s="164"/>
      <c r="E674" s="402"/>
      <c r="G674" s="404"/>
      <c r="H674" s="404"/>
      <c r="I674" s="404"/>
      <c r="K674" s="322"/>
      <c r="L674" s="401"/>
    </row>
    <row r="675">
      <c r="C675" s="164"/>
      <c r="E675" s="402"/>
      <c r="G675" s="404"/>
      <c r="H675" s="404"/>
      <c r="I675" s="404"/>
      <c r="K675" s="322"/>
      <c r="L675" s="401"/>
    </row>
    <row r="676">
      <c r="C676" s="164"/>
      <c r="E676" s="402"/>
      <c r="G676" s="404"/>
      <c r="H676" s="404"/>
      <c r="I676" s="404"/>
      <c r="K676" s="322"/>
      <c r="L676" s="401"/>
    </row>
    <row r="677">
      <c r="C677" s="164"/>
      <c r="E677" s="402"/>
      <c r="G677" s="404"/>
      <c r="H677" s="404"/>
      <c r="I677" s="404"/>
      <c r="K677" s="322"/>
      <c r="L677" s="401"/>
    </row>
    <row r="678">
      <c r="C678" s="164"/>
      <c r="E678" s="402"/>
      <c r="G678" s="404"/>
      <c r="H678" s="404"/>
      <c r="I678" s="404"/>
      <c r="K678" s="322"/>
      <c r="L678" s="401"/>
    </row>
    <row r="679">
      <c r="C679" s="164"/>
      <c r="E679" s="402"/>
      <c r="G679" s="404"/>
      <c r="H679" s="404"/>
      <c r="I679" s="404"/>
      <c r="K679" s="322"/>
      <c r="L679" s="401"/>
    </row>
    <row r="680">
      <c r="C680" s="164"/>
      <c r="E680" s="402"/>
      <c r="G680" s="404"/>
      <c r="H680" s="404"/>
      <c r="I680" s="404"/>
      <c r="K680" s="322"/>
      <c r="L680" s="401"/>
    </row>
    <row r="681">
      <c r="C681" s="164"/>
      <c r="E681" s="402"/>
      <c r="G681" s="404"/>
      <c r="H681" s="404"/>
      <c r="I681" s="404"/>
      <c r="K681" s="322"/>
      <c r="L681" s="401"/>
    </row>
    <row r="682">
      <c r="C682" s="164"/>
      <c r="E682" s="402"/>
      <c r="G682" s="404"/>
      <c r="H682" s="404"/>
      <c r="I682" s="404"/>
      <c r="K682" s="322"/>
      <c r="L682" s="401"/>
    </row>
    <row r="683">
      <c r="C683" s="164"/>
      <c r="E683" s="402"/>
      <c r="G683" s="404"/>
      <c r="H683" s="404"/>
      <c r="I683" s="404"/>
      <c r="K683" s="322"/>
      <c r="L683" s="401"/>
    </row>
    <row r="684">
      <c r="C684" s="164"/>
      <c r="E684" s="402"/>
      <c r="G684" s="404"/>
      <c r="H684" s="404"/>
      <c r="I684" s="404"/>
      <c r="K684" s="322"/>
      <c r="L684" s="401"/>
    </row>
    <row r="685">
      <c r="C685" s="164"/>
      <c r="E685" s="402"/>
      <c r="G685" s="404"/>
      <c r="H685" s="404"/>
      <c r="I685" s="404"/>
      <c r="K685" s="322"/>
      <c r="L685" s="401"/>
    </row>
    <row r="686">
      <c r="C686" s="164"/>
      <c r="E686" s="402"/>
      <c r="G686" s="404"/>
      <c r="H686" s="404"/>
      <c r="I686" s="404"/>
      <c r="K686" s="322"/>
      <c r="L686" s="401"/>
    </row>
    <row r="687">
      <c r="C687" s="164"/>
      <c r="E687" s="402"/>
      <c r="G687" s="404"/>
      <c r="H687" s="404"/>
      <c r="I687" s="404"/>
      <c r="K687" s="322"/>
      <c r="L687" s="401"/>
    </row>
    <row r="688">
      <c r="C688" s="164"/>
      <c r="E688" s="402"/>
      <c r="G688" s="404"/>
      <c r="H688" s="404"/>
      <c r="I688" s="404"/>
      <c r="K688" s="322"/>
      <c r="L688" s="401"/>
    </row>
    <row r="689">
      <c r="C689" s="164"/>
      <c r="E689" s="402"/>
      <c r="G689" s="404"/>
      <c r="H689" s="404"/>
      <c r="I689" s="404"/>
      <c r="K689" s="322"/>
      <c r="L689" s="401"/>
    </row>
    <row r="690">
      <c r="C690" s="164"/>
      <c r="E690" s="402"/>
      <c r="G690" s="404"/>
      <c r="H690" s="404"/>
      <c r="I690" s="404"/>
      <c r="K690" s="322"/>
      <c r="L690" s="401"/>
    </row>
    <row r="691">
      <c r="C691" s="164"/>
      <c r="E691" s="402"/>
      <c r="G691" s="404"/>
      <c r="H691" s="404"/>
      <c r="I691" s="404"/>
      <c r="K691" s="322"/>
      <c r="L691" s="401"/>
    </row>
    <row r="692">
      <c r="C692" s="164"/>
      <c r="E692" s="402"/>
      <c r="G692" s="404"/>
      <c r="H692" s="404"/>
      <c r="I692" s="404"/>
      <c r="K692" s="322"/>
      <c r="L692" s="401"/>
    </row>
    <row r="693">
      <c r="C693" s="164"/>
      <c r="E693" s="402"/>
      <c r="G693" s="404"/>
      <c r="H693" s="404"/>
      <c r="I693" s="404"/>
      <c r="K693" s="322"/>
      <c r="L693" s="401"/>
    </row>
    <row r="694">
      <c r="C694" s="164"/>
      <c r="E694" s="402"/>
      <c r="G694" s="404"/>
      <c r="H694" s="404"/>
      <c r="I694" s="404"/>
      <c r="K694" s="322"/>
      <c r="L694" s="401"/>
    </row>
    <row r="695">
      <c r="C695" s="164"/>
      <c r="E695" s="402"/>
      <c r="G695" s="404"/>
      <c r="H695" s="404"/>
      <c r="I695" s="404"/>
      <c r="K695" s="322"/>
      <c r="L695" s="401"/>
    </row>
    <row r="696">
      <c r="C696" s="164"/>
      <c r="E696" s="402"/>
      <c r="G696" s="404"/>
      <c r="H696" s="404"/>
      <c r="I696" s="404"/>
      <c r="K696" s="322"/>
      <c r="L696" s="401"/>
    </row>
    <row r="697">
      <c r="C697" s="164"/>
      <c r="E697" s="402"/>
      <c r="G697" s="404"/>
      <c r="H697" s="404"/>
      <c r="I697" s="404"/>
      <c r="K697" s="322"/>
      <c r="L697" s="401"/>
    </row>
    <row r="698">
      <c r="C698" s="164"/>
      <c r="E698" s="402"/>
      <c r="G698" s="404"/>
      <c r="H698" s="404"/>
      <c r="I698" s="404"/>
      <c r="K698" s="322"/>
      <c r="L698" s="401"/>
    </row>
    <row r="699">
      <c r="C699" s="164"/>
      <c r="E699" s="402"/>
      <c r="G699" s="404"/>
      <c r="H699" s="404"/>
      <c r="I699" s="404"/>
      <c r="K699" s="322"/>
      <c r="L699" s="401"/>
    </row>
    <row r="700">
      <c r="C700" s="164"/>
      <c r="E700" s="402"/>
      <c r="G700" s="404"/>
      <c r="H700" s="404"/>
      <c r="I700" s="404"/>
      <c r="K700" s="322"/>
      <c r="L700" s="401"/>
    </row>
    <row r="701">
      <c r="C701" s="164"/>
      <c r="E701" s="402"/>
      <c r="G701" s="404"/>
      <c r="H701" s="404"/>
      <c r="I701" s="404"/>
      <c r="K701" s="322"/>
      <c r="L701" s="401"/>
    </row>
    <row r="702">
      <c r="C702" s="164"/>
      <c r="E702" s="402"/>
      <c r="G702" s="404"/>
      <c r="H702" s="404"/>
      <c r="I702" s="404"/>
      <c r="K702" s="322"/>
      <c r="L702" s="401"/>
    </row>
    <row r="703">
      <c r="C703" s="164"/>
      <c r="E703" s="402"/>
      <c r="G703" s="404"/>
      <c r="H703" s="404"/>
      <c r="I703" s="404"/>
      <c r="K703" s="322"/>
      <c r="L703" s="401"/>
    </row>
    <row r="704">
      <c r="C704" s="164"/>
      <c r="E704" s="402"/>
      <c r="G704" s="404"/>
      <c r="H704" s="404"/>
      <c r="I704" s="404"/>
      <c r="K704" s="322"/>
      <c r="L704" s="401"/>
    </row>
    <row r="705">
      <c r="C705" s="164"/>
      <c r="E705" s="402"/>
      <c r="G705" s="404"/>
      <c r="H705" s="404"/>
      <c r="I705" s="404"/>
      <c r="K705" s="322"/>
      <c r="L705" s="401"/>
    </row>
    <row r="706">
      <c r="C706" s="164"/>
      <c r="E706" s="402"/>
      <c r="G706" s="404"/>
      <c r="H706" s="404"/>
      <c r="I706" s="404"/>
      <c r="K706" s="322"/>
      <c r="L706" s="401"/>
    </row>
    <row r="707">
      <c r="C707" s="164"/>
      <c r="E707" s="402"/>
      <c r="G707" s="404"/>
      <c r="H707" s="404"/>
      <c r="I707" s="404"/>
      <c r="K707" s="322"/>
      <c r="L707" s="401"/>
    </row>
    <row r="708">
      <c r="C708" s="164"/>
      <c r="E708" s="402"/>
      <c r="G708" s="404"/>
      <c r="H708" s="404"/>
      <c r="I708" s="404"/>
      <c r="K708" s="322"/>
      <c r="L708" s="401"/>
    </row>
    <row r="709">
      <c r="C709" s="164"/>
      <c r="E709" s="402"/>
      <c r="G709" s="404"/>
      <c r="H709" s="404"/>
      <c r="I709" s="404"/>
      <c r="K709" s="322"/>
      <c r="L709" s="401"/>
    </row>
    <row r="710">
      <c r="C710" s="164"/>
      <c r="E710" s="402"/>
      <c r="G710" s="404"/>
      <c r="H710" s="404"/>
      <c r="I710" s="404"/>
      <c r="K710" s="322"/>
      <c r="L710" s="401"/>
    </row>
    <row r="711">
      <c r="C711" s="164"/>
      <c r="E711" s="402"/>
      <c r="G711" s="404"/>
      <c r="H711" s="404"/>
      <c r="I711" s="404"/>
      <c r="K711" s="322"/>
      <c r="L711" s="401"/>
    </row>
    <row r="712">
      <c r="C712" s="164"/>
      <c r="E712" s="402"/>
      <c r="G712" s="404"/>
      <c r="H712" s="404"/>
      <c r="I712" s="404"/>
      <c r="K712" s="322"/>
      <c r="L712" s="401"/>
    </row>
    <row r="713">
      <c r="C713" s="164"/>
      <c r="E713" s="402"/>
      <c r="G713" s="404"/>
      <c r="H713" s="404"/>
      <c r="I713" s="404"/>
      <c r="K713" s="322"/>
      <c r="L713" s="401"/>
    </row>
    <row r="714">
      <c r="C714" s="164"/>
      <c r="E714" s="402"/>
      <c r="G714" s="404"/>
      <c r="H714" s="404"/>
      <c r="I714" s="404"/>
      <c r="K714" s="322"/>
      <c r="L714" s="401"/>
    </row>
    <row r="715">
      <c r="C715" s="164"/>
      <c r="E715" s="402"/>
      <c r="G715" s="404"/>
      <c r="H715" s="404"/>
      <c r="I715" s="404"/>
      <c r="K715" s="322"/>
      <c r="L715" s="401"/>
    </row>
    <row r="716">
      <c r="C716" s="164"/>
      <c r="E716" s="402"/>
      <c r="G716" s="404"/>
      <c r="H716" s="404"/>
      <c r="I716" s="404"/>
      <c r="K716" s="322"/>
      <c r="L716" s="401"/>
    </row>
    <row r="717">
      <c r="C717" s="164"/>
      <c r="E717" s="402"/>
      <c r="G717" s="404"/>
      <c r="H717" s="404"/>
      <c r="I717" s="404"/>
      <c r="K717" s="322"/>
      <c r="L717" s="401"/>
    </row>
    <row r="718">
      <c r="C718" s="164"/>
      <c r="E718" s="402"/>
      <c r="G718" s="404"/>
      <c r="H718" s="404"/>
      <c r="I718" s="404"/>
      <c r="K718" s="322"/>
      <c r="L718" s="401"/>
    </row>
    <row r="719">
      <c r="C719" s="164"/>
      <c r="E719" s="402"/>
      <c r="G719" s="404"/>
      <c r="H719" s="404"/>
      <c r="I719" s="404"/>
      <c r="K719" s="322"/>
      <c r="L719" s="401"/>
    </row>
    <row r="720">
      <c r="C720" s="164"/>
      <c r="E720" s="402"/>
      <c r="G720" s="404"/>
      <c r="H720" s="404"/>
      <c r="I720" s="404"/>
      <c r="K720" s="322"/>
      <c r="L720" s="401"/>
    </row>
    <row r="721">
      <c r="C721" s="164"/>
      <c r="E721" s="402"/>
      <c r="G721" s="404"/>
      <c r="H721" s="404"/>
      <c r="I721" s="404"/>
      <c r="K721" s="322"/>
      <c r="L721" s="401"/>
    </row>
    <row r="722">
      <c r="C722" s="164"/>
      <c r="E722" s="402"/>
      <c r="G722" s="404"/>
      <c r="H722" s="404"/>
      <c r="I722" s="404"/>
      <c r="K722" s="322"/>
      <c r="L722" s="401"/>
    </row>
    <row r="723">
      <c r="C723" s="164"/>
      <c r="E723" s="402"/>
      <c r="G723" s="404"/>
      <c r="H723" s="404"/>
      <c r="I723" s="404"/>
      <c r="K723" s="322"/>
      <c r="L723" s="401"/>
    </row>
    <row r="724">
      <c r="C724" s="164"/>
      <c r="E724" s="402"/>
      <c r="G724" s="404"/>
      <c r="H724" s="404"/>
      <c r="I724" s="404"/>
      <c r="K724" s="322"/>
      <c r="L724" s="401"/>
    </row>
    <row r="725">
      <c r="C725" s="164"/>
      <c r="E725" s="402"/>
      <c r="G725" s="404"/>
      <c r="H725" s="404"/>
      <c r="I725" s="404"/>
      <c r="K725" s="322"/>
      <c r="L725" s="401"/>
    </row>
    <row r="726">
      <c r="C726" s="164"/>
      <c r="E726" s="402"/>
      <c r="G726" s="404"/>
      <c r="H726" s="404"/>
      <c r="I726" s="404"/>
      <c r="K726" s="322"/>
      <c r="L726" s="401"/>
    </row>
    <row r="727">
      <c r="C727" s="164"/>
      <c r="E727" s="402"/>
      <c r="G727" s="404"/>
      <c r="H727" s="404"/>
      <c r="I727" s="404"/>
      <c r="K727" s="322"/>
      <c r="L727" s="401"/>
    </row>
    <row r="728">
      <c r="C728" s="164"/>
      <c r="E728" s="402"/>
      <c r="G728" s="404"/>
      <c r="H728" s="404"/>
      <c r="I728" s="404"/>
      <c r="K728" s="322"/>
      <c r="L728" s="401"/>
    </row>
    <row r="729">
      <c r="C729" s="164"/>
      <c r="E729" s="402"/>
      <c r="G729" s="404"/>
      <c r="H729" s="404"/>
      <c r="I729" s="404"/>
      <c r="K729" s="322"/>
      <c r="L729" s="401"/>
    </row>
    <row r="730">
      <c r="C730" s="164"/>
      <c r="E730" s="402"/>
      <c r="G730" s="404"/>
      <c r="H730" s="404"/>
      <c r="I730" s="404"/>
      <c r="K730" s="322"/>
      <c r="L730" s="401"/>
    </row>
    <row r="731">
      <c r="C731" s="164"/>
      <c r="E731" s="402"/>
      <c r="G731" s="404"/>
      <c r="H731" s="404"/>
      <c r="I731" s="404"/>
      <c r="K731" s="322"/>
      <c r="L731" s="401"/>
    </row>
    <row r="732">
      <c r="C732" s="164"/>
      <c r="E732" s="402"/>
      <c r="G732" s="404"/>
      <c r="H732" s="404"/>
      <c r="I732" s="404"/>
      <c r="K732" s="322"/>
      <c r="L732" s="401"/>
    </row>
    <row r="733">
      <c r="C733" s="164"/>
      <c r="E733" s="402"/>
      <c r="G733" s="404"/>
      <c r="H733" s="404"/>
      <c r="I733" s="404"/>
      <c r="K733" s="322"/>
      <c r="L733" s="401"/>
    </row>
    <row r="734">
      <c r="C734" s="164"/>
      <c r="E734" s="402"/>
      <c r="G734" s="404"/>
      <c r="H734" s="404"/>
      <c r="I734" s="404"/>
      <c r="K734" s="322"/>
      <c r="L734" s="401"/>
    </row>
    <row r="735">
      <c r="C735" s="164"/>
      <c r="E735" s="402"/>
      <c r="G735" s="404"/>
      <c r="H735" s="404"/>
      <c r="I735" s="404"/>
      <c r="K735" s="322"/>
      <c r="L735" s="401"/>
    </row>
    <row r="736">
      <c r="C736" s="164"/>
      <c r="E736" s="402"/>
      <c r="G736" s="404"/>
      <c r="H736" s="404"/>
      <c r="I736" s="404"/>
      <c r="K736" s="322"/>
      <c r="L736" s="401"/>
    </row>
    <row r="737">
      <c r="C737" s="164"/>
      <c r="E737" s="402"/>
      <c r="G737" s="404"/>
      <c r="H737" s="404"/>
      <c r="I737" s="404"/>
      <c r="K737" s="322"/>
      <c r="L737" s="401"/>
    </row>
    <row r="738">
      <c r="C738" s="164"/>
      <c r="E738" s="402"/>
      <c r="G738" s="404"/>
      <c r="H738" s="404"/>
      <c r="I738" s="404"/>
      <c r="K738" s="322"/>
      <c r="L738" s="401"/>
    </row>
    <row r="739">
      <c r="C739" s="164"/>
      <c r="E739" s="402"/>
      <c r="G739" s="404"/>
      <c r="H739" s="404"/>
      <c r="I739" s="404"/>
      <c r="K739" s="322"/>
      <c r="L739" s="401"/>
    </row>
    <row r="740">
      <c r="C740" s="164"/>
      <c r="E740" s="402"/>
      <c r="G740" s="404"/>
      <c r="H740" s="404"/>
      <c r="I740" s="404"/>
      <c r="K740" s="322"/>
      <c r="L740" s="401"/>
    </row>
    <row r="741">
      <c r="C741" s="164"/>
      <c r="E741" s="402"/>
      <c r="G741" s="404"/>
      <c r="H741" s="404"/>
      <c r="I741" s="404"/>
      <c r="K741" s="322"/>
      <c r="L741" s="401"/>
    </row>
    <row r="742">
      <c r="C742" s="164"/>
      <c r="E742" s="402"/>
      <c r="G742" s="404"/>
      <c r="H742" s="404"/>
      <c r="I742" s="404"/>
      <c r="K742" s="322"/>
      <c r="L742" s="401"/>
    </row>
    <row r="743">
      <c r="C743" s="164"/>
      <c r="E743" s="402"/>
      <c r="G743" s="404"/>
      <c r="H743" s="404"/>
      <c r="I743" s="404"/>
      <c r="K743" s="322"/>
      <c r="L743" s="401"/>
    </row>
    <row r="744">
      <c r="C744" s="164"/>
      <c r="E744" s="402"/>
      <c r="G744" s="404"/>
      <c r="H744" s="404"/>
      <c r="I744" s="404"/>
      <c r="K744" s="322"/>
      <c r="L744" s="401"/>
    </row>
    <row r="745">
      <c r="C745" s="164"/>
      <c r="E745" s="402"/>
      <c r="G745" s="404"/>
      <c r="H745" s="404"/>
      <c r="I745" s="404"/>
      <c r="K745" s="322"/>
      <c r="L745" s="401"/>
    </row>
    <row r="746">
      <c r="C746" s="164"/>
      <c r="E746" s="402"/>
      <c r="G746" s="404"/>
      <c r="H746" s="404"/>
      <c r="I746" s="404"/>
      <c r="K746" s="322"/>
      <c r="L746" s="401"/>
    </row>
    <row r="747">
      <c r="C747" s="164"/>
      <c r="E747" s="402"/>
      <c r="G747" s="404"/>
      <c r="H747" s="404"/>
      <c r="I747" s="404"/>
      <c r="K747" s="322"/>
      <c r="L747" s="401"/>
    </row>
    <row r="748">
      <c r="C748" s="164"/>
      <c r="E748" s="402"/>
      <c r="G748" s="404"/>
      <c r="H748" s="404"/>
      <c r="I748" s="404"/>
      <c r="K748" s="322"/>
      <c r="L748" s="401"/>
    </row>
    <row r="749">
      <c r="C749" s="164"/>
      <c r="E749" s="402"/>
      <c r="G749" s="404"/>
      <c r="H749" s="404"/>
      <c r="I749" s="404"/>
      <c r="K749" s="322"/>
      <c r="L749" s="401"/>
    </row>
    <row r="750">
      <c r="C750" s="164"/>
      <c r="E750" s="402"/>
      <c r="G750" s="404"/>
      <c r="H750" s="404"/>
      <c r="I750" s="404"/>
      <c r="K750" s="322"/>
      <c r="L750" s="401"/>
    </row>
    <row r="751">
      <c r="C751" s="164"/>
      <c r="E751" s="402"/>
      <c r="G751" s="404"/>
      <c r="H751" s="404"/>
      <c r="I751" s="404"/>
      <c r="K751" s="322"/>
      <c r="L751" s="401"/>
    </row>
    <row r="752">
      <c r="C752" s="164"/>
      <c r="E752" s="402"/>
      <c r="G752" s="404"/>
      <c r="H752" s="404"/>
      <c r="I752" s="404"/>
      <c r="K752" s="322"/>
      <c r="L752" s="401"/>
    </row>
    <row r="753">
      <c r="C753" s="164"/>
      <c r="E753" s="402"/>
      <c r="G753" s="404"/>
      <c r="H753" s="404"/>
      <c r="I753" s="404"/>
      <c r="K753" s="322"/>
      <c r="L753" s="401"/>
    </row>
    <row r="754">
      <c r="C754" s="164"/>
      <c r="E754" s="402"/>
      <c r="G754" s="404"/>
      <c r="H754" s="404"/>
      <c r="I754" s="404"/>
      <c r="K754" s="322"/>
      <c r="L754" s="401"/>
    </row>
    <row r="755">
      <c r="C755" s="164"/>
      <c r="E755" s="402"/>
      <c r="G755" s="404"/>
      <c r="H755" s="404"/>
      <c r="I755" s="404"/>
      <c r="K755" s="322"/>
      <c r="L755" s="401"/>
    </row>
    <row r="756">
      <c r="C756" s="164"/>
      <c r="E756" s="402"/>
      <c r="G756" s="404"/>
      <c r="H756" s="404"/>
      <c r="I756" s="404"/>
      <c r="K756" s="322"/>
      <c r="L756" s="401"/>
    </row>
    <row r="757">
      <c r="C757" s="164"/>
      <c r="E757" s="402"/>
      <c r="G757" s="404"/>
      <c r="H757" s="404"/>
      <c r="I757" s="404"/>
      <c r="K757" s="322"/>
      <c r="L757" s="401"/>
    </row>
    <row r="758">
      <c r="C758" s="164"/>
      <c r="E758" s="402"/>
      <c r="G758" s="404"/>
      <c r="H758" s="404"/>
      <c r="I758" s="404"/>
      <c r="K758" s="322"/>
      <c r="L758" s="401"/>
    </row>
    <row r="759">
      <c r="C759" s="164"/>
      <c r="E759" s="402"/>
      <c r="G759" s="404"/>
      <c r="H759" s="404"/>
      <c r="I759" s="404"/>
      <c r="K759" s="322"/>
      <c r="L759" s="401"/>
    </row>
    <row r="760">
      <c r="C760" s="164"/>
      <c r="E760" s="402"/>
      <c r="G760" s="404"/>
      <c r="H760" s="404"/>
      <c r="I760" s="404"/>
      <c r="K760" s="322"/>
      <c r="L760" s="401"/>
    </row>
    <row r="761">
      <c r="C761" s="164"/>
      <c r="E761" s="402"/>
      <c r="G761" s="404"/>
      <c r="H761" s="404"/>
      <c r="I761" s="404"/>
      <c r="K761" s="322"/>
      <c r="L761" s="401"/>
    </row>
    <row r="762">
      <c r="C762" s="164"/>
      <c r="E762" s="402"/>
      <c r="G762" s="404"/>
      <c r="H762" s="404"/>
      <c r="I762" s="404"/>
      <c r="K762" s="322"/>
      <c r="L762" s="401"/>
    </row>
    <row r="763">
      <c r="C763" s="164"/>
      <c r="E763" s="402"/>
      <c r="G763" s="404"/>
      <c r="H763" s="404"/>
      <c r="I763" s="404"/>
      <c r="K763" s="322"/>
      <c r="L763" s="401"/>
    </row>
    <row r="764">
      <c r="C764" s="164"/>
      <c r="E764" s="402"/>
      <c r="G764" s="404"/>
      <c r="H764" s="404"/>
      <c r="I764" s="404"/>
      <c r="K764" s="322"/>
      <c r="L764" s="401"/>
    </row>
    <row r="765">
      <c r="C765" s="164"/>
      <c r="E765" s="402"/>
      <c r="G765" s="404"/>
      <c r="H765" s="404"/>
      <c r="I765" s="404"/>
      <c r="K765" s="322"/>
      <c r="L765" s="401"/>
    </row>
    <row r="766">
      <c r="C766" s="164"/>
      <c r="E766" s="402"/>
      <c r="G766" s="404"/>
      <c r="H766" s="404"/>
      <c r="I766" s="404"/>
      <c r="K766" s="322"/>
      <c r="L766" s="401"/>
    </row>
    <row r="767">
      <c r="C767" s="164"/>
      <c r="E767" s="402"/>
      <c r="G767" s="404"/>
      <c r="H767" s="404"/>
      <c r="I767" s="404"/>
      <c r="K767" s="322"/>
      <c r="L767" s="401"/>
    </row>
    <row r="768">
      <c r="C768" s="164"/>
      <c r="E768" s="402"/>
      <c r="G768" s="404"/>
      <c r="H768" s="404"/>
      <c r="I768" s="404"/>
      <c r="K768" s="322"/>
      <c r="L768" s="401"/>
    </row>
    <row r="769">
      <c r="C769" s="164"/>
      <c r="E769" s="402"/>
      <c r="G769" s="404"/>
      <c r="H769" s="404"/>
      <c r="I769" s="404"/>
      <c r="K769" s="322"/>
      <c r="L769" s="401"/>
    </row>
    <row r="770">
      <c r="C770" s="164"/>
      <c r="E770" s="402"/>
      <c r="G770" s="404"/>
      <c r="H770" s="404"/>
      <c r="I770" s="404"/>
      <c r="K770" s="322"/>
      <c r="L770" s="401"/>
    </row>
    <row r="771">
      <c r="C771" s="164"/>
      <c r="E771" s="402"/>
      <c r="G771" s="404"/>
      <c r="H771" s="404"/>
      <c r="I771" s="404"/>
      <c r="K771" s="322"/>
      <c r="L771" s="401"/>
    </row>
    <row r="772">
      <c r="C772" s="164"/>
      <c r="E772" s="402"/>
      <c r="G772" s="404"/>
      <c r="H772" s="404"/>
      <c r="I772" s="404"/>
      <c r="K772" s="322"/>
      <c r="L772" s="401"/>
    </row>
    <row r="773">
      <c r="C773" s="164"/>
      <c r="E773" s="402"/>
      <c r="G773" s="404"/>
      <c r="H773" s="404"/>
      <c r="I773" s="404"/>
      <c r="K773" s="322"/>
      <c r="L773" s="401"/>
    </row>
    <row r="774">
      <c r="C774" s="164"/>
      <c r="E774" s="402"/>
      <c r="G774" s="404"/>
      <c r="H774" s="404"/>
      <c r="I774" s="404"/>
      <c r="K774" s="322"/>
      <c r="L774" s="401"/>
    </row>
    <row r="775">
      <c r="C775" s="164"/>
      <c r="E775" s="402"/>
      <c r="G775" s="404"/>
      <c r="H775" s="404"/>
      <c r="I775" s="404"/>
      <c r="K775" s="322"/>
      <c r="L775" s="401"/>
    </row>
    <row r="776">
      <c r="C776" s="164"/>
      <c r="E776" s="402"/>
      <c r="G776" s="404"/>
      <c r="H776" s="404"/>
      <c r="I776" s="404"/>
      <c r="K776" s="322"/>
      <c r="L776" s="401"/>
    </row>
    <row r="777">
      <c r="C777" s="164"/>
      <c r="E777" s="402"/>
      <c r="G777" s="404"/>
      <c r="H777" s="404"/>
      <c r="I777" s="404"/>
      <c r="K777" s="322"/>
      <c r="L777" s="401"/>
    </row>
    <row r="778">
      <c r="C778" s="164"/>
      <c r="E778" s="402"/>
      <c r="G778" s="404"/>
      <c r="H778" s="404"/>
      <c r="I778" s="404"/>
      <c r="K778" s="322"/>
      <c r="L778" s="401"/>
    </row>
    <row r="779">
      <c r="C779" s="164"/>
      <c r="E779" s="402"/>
      <c r="G779" s="404"/>
      <c r="H779" s="404"/>
      <c r="I779" s="404"/>
      <c r="K779" s="322"/>
      <c r="L779" s="401"/>
    </row>
    <row r="780">
      <c r="C780" s="164"/>
      <c r="E780" s="402"/>
      <c r="G780" s="404"/>
      <c r="H780" s="404"/>
      <c r="I780" s="404"/>
      <c r="K780" s="322"/>
      <c r="L780" s="401"/>
    </row>
    <row r="781">
      <c r="C781" s="164"/>
      <c r="E781" s="402"/>
      <c r="G781" s="404"/>
      <c r="H781" s="404"/>
      <c r="I781" s="404"/>
      <c r="K781" s="322"/>
      <c r="L781" s="401"/>
    </row>
    <row r="782">
      <c r="C782" s="164"/>
      <c r="E782" s="402"/>
      <c r="G782" s="404"/>
      <c r="H782" s="404"/>
      <c r="I782" s="404"/>
      <c r="K782" s="322"/>
      <c r="L782" s="401"/>
    </row>
    <row r="783">
      <c r="C783" s="164"/>
      <c r="E783" s="402"/>
      <c r="G783" s="404"/>
      <c r="H783" s="404"/>
      <c r="I783" s="404"/>
      <c r="K783" s="322"/>
      <c r="L783" s="401"/>
    </row>
    <row r="784">
      <c r="C784" s="164"/>
      <c r="E784" s="402"/>
      <c r="G784" s="404"/>
      <c r="H784" s="404"/>
      <c r="I784" s="404"/>
      <c r="K784" s="322"/>
      <c r="L784" s="401"/>
    </row>
    <row r="785">
      <c r="C785" s="164"/>
      <c r="E785" s="402"/>
      <c r="G785" s="404"/>
      <c r="H785" s="404"/>
      <c r="I785" s="404"/>
      <c r="K785" s="322"/>
      <c r="L785" s="401"/>
    </row>
    <row r="786">
      <c r="C786" s="164"/>
      <c r="E786" s="402"/>
      <c r="G786" s="404"/>
      <c r="H786" s="404"/>
      <c r="I786" s="404"/>
      <c r="K786" s="322"/>
      <c r="L786" s="401"/>
    </row>
    <row r="787">
      <c r="C787" s="164"/>
      <c r="E787" s="402"/>
      <c r="G787" s="404"/>
      <c r="H787" s="404"/>
      <c r="I787" s="404"/>
      <c r="K787" s="322"/>
      <c r="L787" s="401"/>
    </row>
    <row r="788">
      <c r="C788" s="164"/>
      <c r="E788" s="402"/>
      <c r="G788" s="404"/>
      <c r="H788" s="404"/>
      <c r="I788" s="404"/>
      <c r="K788" s="322"/>
      <c r="L788" s="401"/>
    </row>
    <row r="789">
      <c r="C789" s="164"/>
      <c r="E789" s="402"/>
      <c r="G789" s="404"/>
      <c r="H789" s="404"/>
      <c r="I789" s="404"/>
      <c r="K789" s="322"/>
      <c r="L789" s="401"/>
    </row>
    <row r="790">
      <c r="C790" s="164"/>
      <c r="E790" s="402"/>
      <c r="G790" s="404"/>
      <c r="H790" s="404"/>
      <c r="I790" s="404"/>
      <c r="K790" s="322"/>
      <c r="L790" s="401"/>
    </row>
    <row r="791">
      <c r="C791" s="164"/>
      <c r="E791" s="402"/>
      <c r="G791" s="404"/>
      <c r="H791" s="404"/>
      <c r="I791" s="404"/>
      <c r="K791" s="322"/>
      <c r="L791" s="401"/>
    </row>
    <row r="792">
      <c r="C792" s="164"/>
      <c r="E792" s="402"/>
      <c r="G792" s="404"/>
      <c r="H792" s="404"/>
      <c r="I792" s="404"/>
      <c r="K792" s="322"/>
      <c r="L792" s="401"/>
    </row>
    <row r="793">
      <c r="C793" s="164"/>
      <c r="E793" s="402"/>
      <c r="G793" s="404"/>
      <c r="H793" s="404"/>
      <c r="I793" s="404"/>
      <c r="K793" s="322"/>
      <c r="L793" s="401"/>
    </row>
    <row r="794">
      <c r="C794" s="164"/>
      <c r="E794" s="402"/>
      <c r="G794" s="404"/>
      <c r="H794" s="404"/>
      <c r="I794" s="404"/>
      <c r="K794" s="322"/>
      <c r="L794" s="401"/>
    </row>
    <row r="795">
      <c r="C795" s="164"/>
      <c r="E795" s="402"/>
      <c r="G795" s="404"/>
      <c r="H795" s="404"/>
      <c r="I795" s="404"/>
      <c r="K795" s="322"/>
      <c r="L795" s="401"/>
    </row>
    <row r="796">
      <c r="C796" s="164"/>
      <c r="E796" s="402"/>
      <c r="G796" s="404"/>
      <c r="H796" s="404"/>
      <c r="I796" s="404"/>
      <c r="K796" s="322"/>
      <c r="L796" s="401"/>
    </row>
    <row r="797">
      <c r="C797" s="164"/>
      <c r="E797" s="402"/>
      <c r="G797" s="404"/>
      <c r="H797" s="404"/>
      <c r="I797" s="404"/>
      <c r="K797" s="322"/>
      <c r="L797" s="401"/>
    </row>
    <row r="798">
      <c r="C798" s="164"/>
      <c r="E798" s="402"/>
      <c r="G798" s="404"/>
      <c r="H798" s="404"/>
      <c r="I798" s="404"/>
      <c r="K798" s="322"/>
      <c r="L798" s="401"/>
    </row>
    <row r="799">
      <c r="C799" s="164"/>
      <c r="E799" s="402"/>
      <c r="G799" s="404"/>
      <c r="H799" s="404"/>
      <c r="I799" s="404"/>
      <c r="K799" s="322"/>
      <c r="L799" s="401"/>
    </row>
    <row r="800">
      <c r="C800" s="164"/>
      <c r="E800" s="402"/>
      <c r="G800" s="404"/>
      <c r="H800" s="404"/>
      <c r="I800" s="404"/>
      <c r="K800" s="322"/>
      <c r="L800" s="401"/>
    </row>
    <row r="801">
      <c r="C801" s="164"/>
      <c r="E801" s="402"/>
      <c r="G801" s="404"/>
      <c r="H801" s="404"/>
      <c r="I801" s="404"/>
      <c r="K801" s="322"/>
      <c r="L801" s="401"/>
    </row>
    <row r="802">
      <c r="C802" s="164"/>
      <c r="E802" s="402"/>
      <c r="G802" s="404"/>
      <c r="H802" s="404"/>
      <c r="I802" s="404"/>
      <c r="K802" s="322"/>
      <c r="L802" s="401"/>
    </row>
    <row r="803">
      <c r="C803" s="164"/>
      <c r="E803" s="402"/>
      <c r="G803" s="404"/>
      <c r="H803" s="404"/>
      <c r="I803" s="404"/>
      <c r="K803" s="322"/>
      <c r="L803" s="401"/>
    </row>
    <row r="804">
      <c r="C804" s="164"/>
      <c r="E804" s="402"/>
      <c r="G804" s="404"/>
      <c r="H804" s="404"/>
      <c r="I804" s="404"/>
      <c r="K804" s="322"/>
      <c r="L804" s="401"/>
    </row>
    <row r="805">
      <c r="C805" s="164"/>
      <c r="E805" s="402"/>
      <c r="G805" s="404"/>
      <c r="H805" s="404"/>
      <c r="I805" s="404"/>
      <c r="K805" s="322"/>
      <c r="L805" s="401"/>
    </row>
    <row r="806">
      <c r="C806" s="164"/>
      <c r="E806" s="402"/>
      <c r="G806" s="404"/>
      <c r="H806" s="404"/>
      <c r="I806" s="404"/>
      <c r="K806" s="322"/>
      <c r="L806" s="401"/>
    </row>
    <row r="807">
      <c r="C807" s="164"/>
      <c r="E807" s="402"/>
      <c r="G807" s="404"/>
      <c r="H807" s="404"/>
      <c r="I807" s="404"/>
      <c r="K807" s="322"/>
      <c r="L807" s="401"/>
    </row>
    <row r="808">
      <c r="C808" s="164"/>
      <c r="E808" s="402"/>
      <c r="G808" s="404"/>
      <c r="H808" s="404"/>
      <c r="I808" s="404"/>
      <c r="K808" s="322"/>
      <c r="L808" s="401"/>
    </row>
    <row r="809">
      <c r="C809" s="164"/>
      <c r="E809" s="402"/>
      <c r="G809" s="404"/>
      <c r="H809" s="404"/>
      <c r="I809" s="404"/>
      <c r="K809" s="322"/>
      <c r="L809" s="401"/>
    </row>
    <row r="810">
      <c r="C810" s="164"/>
      <c r="E810" s="402"/>
      <c r="G810" s="404"/>
      <c r="H810" s="404"/>
      <c r="I810" s="404"/>
      <c r="K810" s="322"/>
      <c r="L810" s="401"/>
    </row>
    <row r="811">
      <c r="C811" s="164"/>
      <c r="E811" s="402"/>
      <c r="G811" s="404"/>
      <c r="H811" s="404"/>
      <c r="I811" s="404"/>
      <c r="K811" s="322"/>
      <c r="L811" s="401"/>
    </row>
    <row r="812">
      <c r="C812" s="164"/>
      <c r="E812" s="402"/>
      <c r="G812" s="404"/>
      <c r="H812" s="404"/>
      <c r="I812" s="404"/>
      <c r="K812" s="322"/>
      <c r="L812" s="401"/>
    </row>
    <row r="813">
      <c r="C813" s="164"/>
      <c r="E813" s="402"/>
      <c r="G813" s="404"/>
      <c r="H813" s="404"/>
      <c r="I813" s="404"/>
      <c r="K813" s="322"/>
      <c r="L813" s="401"/>
    </row>
    <row r="814">
      <c r="C814" s="164"/>
      <c r="E814" s="402"/>
      <c r="G814" s="404"/>
      <c r="H814" s="404"/>
      <c r="I814" s="404"/>
      <c r="K814" s="322"/>
      <c r="L814" s="401"/>
    </row>
    <row r="815">
      <c r="C815" s="164"/>
      <c r="E815" s="402"/>
      <c r="G815" s="404"/>
      <c r="H815" s="404"/>
      <c r="I815" s="404"/>
      <c r="K815" s="322"/>
      <c r="L815" s="401"/>
    </row>
    <row r="816">
      <c r="C816" s="164"/>
      <c r="E816" s="402"/>
      <c r="G816" s="404"/>
      <c r="H816" s="404"/>
      <c r="I816" s="404"/>
      <c r="K816" s="322"/>
      <c r="L816" s="401"/>
    </row>
    <row r="817">
      <c r="C817" s="164"/>
      <c r="E817" s="402"/>
      <c r="G817" s="404"/>
      <c r="H817" s="404"/>
      <c r="I817" s="404"/>
      <c r="K817" s="322"/>
      <c r="L817" s="401"/>
    </row>
    <row r="818">
      <c r="C818" s="164"/>
      <c r="E818" s="402"/>
      <c r="G818" s="404"/>
      <c r="H818" s="404"/>
      <c r="I818" s="404"/>
      <c r="K818" s="322"/>
      <c r="L818" s="401"/>
    </row>
    <row r="819">
      <c r="C819" s="164"/>
      <c r="E819" s="402"/>
      <c r="G819" s="404"/>
      <c r="H819" s="404"/>
      <c r="I819" s="404"/>
      <c r="K819" s="322"/>
      <c r="L819" s="401"/>
    </row>
    <row r="820">
      <c r="C820" s="164"/>
      <c r="E820" s="402"/>
      <c r="G820" s="404"/>
      <c r="H820" s="404"/>
      <c r="I820" s="404"/>
      <c r="K820" s="322"/>
      <c r="L820" s="401"/>
    </row>
    <row r="821">
      <c r="C821" s="164"/>
      <c r="E821" s="402"/>
      <c r="G821" s="404"/>
      <c r="H821" s="404"/>
      <c r="I821" s="404"/>
      <c r="K821" s="322"/>
      <c r="L821" s="401"/>
    </row>
    <row r="822">
      <c r="C822" s="164"/>
      <c r="E822" s="402"/>
      <c r="G822" s="404"/>
      <c r="H822" s="404"/>
      <c r="I822" s="404"/>
      <c r="K822" s="322"/>
      <c r="L822" s="401"/>
    </row>
    <row r="823">
      <c r="C823" s="164"/>
      <c r="E823" s="402"/>
      <c r="G823" s="404"/>
      <c r="H823" s="404"/>
      <c r="I823" s="404"/>
      <c r="K823" s="322"/>
      <c r="L823" s="401"/>
    </row>
    <row r="824">
      <c r="C824" s="164"/>
      <c r="E824" s="402"/>
      <c r="G824" s="404"/>
      <c r="H824" s="404"/>
      <c r="I824" s="404"/>
      <c r="K824" s="322"/>
      <c r="L824" s="401"/>
    </row>
    <row r="825">
      <c r="C825" s="164"/>
      <c r="E825" s="402"/>
      <c r="G825" s="404"/>
      <c r="H825" s="404"/>
      <c r="I825" s="404"/>
      <c r="K825" s="322"/>
      <c r="L825" s="401"/>
    </row>
    <row r="826">
      <c r="C826" s="164"/>
      <c r="E826" s="402"/>
      <c r="G826" s="404"/>
      <c r="H826" s="404"/>
      <c r="I826" s="404"/>
      <c r="K826" s="322"/>
      <c r="L826" s="401"/>
    </row>
    <row r="827">
      <c r="C827" s="164"/>
      <c r="E827" s="402"/>
      <c r="G827" s="404"/>
      <c r="H827" s="404"/>
      <c r="I827" s="404"/>
      <c r="K827" s="322"/>
      <c r="L827" s="401"/>
    </row>
    <row r="828">
      <c r="C828" s="164"/>
      <c r="E828" s="402"/>
      <c r="G828" s="404"/>
      <c r="H828" s="404"/>
      <c r="I828" s="404"/>
      <c r="K828" s="322"/>
      <c r="L828" s="401"/>
    </row>
    <row r="829">
      <c r="C829" s="164"/>
      <c r="E829" s="402"/>
      <c r="G829" s="404"/>
      <c r="H829" s="404"/>
      <c r="I829" s="404"/>
      <c r="K829" s="322"/>
      <c r="L829" s="401"/>
    </row>
    <row r="830">
      <c r="C830" s="164"/>
      <c r="E830" s="402"/>
      <c r="G830" s="404"/>
      <c r="H830" s="404"/>
      <c r="I830" s="404"/>
      <c r="K830" s="322"/>
      <c r="L830" s="401"/>
    </row>
    <row r="831">
      <c r="C831" s="164"/>
      <c r="E831" s="402"/>
      <c r="G831" s="404"/>
      <c r="H831" s="404"/>
      <c r="I831" s="404"/>
      <c r="K831" s="322"/>
      <c r="L831" s="401"/>
    </row>
    <row r="832">
      <c r="C832" s="164"/>
      <c r="E832" s="402"/>
      <c r="G832" s="404"/>
      <c r="H832" s="404"/>
      <c r="I832" s="404"/>
      <c r="K832" s="322"/>
      <c r="L832" s="401"/>
    </row>
    <row r="833">
      <c r="C833" s="164"/>
      <c r="E833" s="402"/>
      <c r="G833" s="404"/>
      <c r="H833" s="404"/>
      <c r="I833" s="404"/>
      <c r="K833" s="322"/>
      <c r="L833" s="401"/>
    </row>
    <row r="834">
      <c r="C834" s="164"/>
      <c r="E834" s="402"/>
      <c r="G834" s="404"/>
      <c r="H834" s="404"/>
      <c r="I834" s="404"/>
      <c r="K834" s="322"/>
      <c r="L834" s="401"/>
    </row>
    <row r="835">
      <c r="C835" s="164"/>
      <c r="E835" s="402"/>
      <c r="G835" s="404"/>
      <c r="H835" s="404"/>
      <c r="I835" s="404"/>
      <c r="K835" s="322"/>
      <c r="L835" s="401"/>
    </row>
    <row r="836">
      <c r="C836" s="164"/>
      <c r="E836" s="402"/>
      <c r="G836" s="404"/>
      <c r="H836" s="404"/>
      <c r="I836" s="404"/>
      <c r="K836" s="322"/>
      <c r="L836" s="401"/>
    </row>
    <row r="837">
      <c r="C837" s="164"/>
      <c r="E837" s="402"/>
      <c r="G837" s="404"/>
      <c r="H837" s="404"/>
      <c r="I837" s="404"/>
      <c r="K837" s="322"/>
      <c r="L837" s="401"/>
    </row>
    <row r="838">
      <c r="C838" s="164"/>
      <c r="E838" s="402"/>
      <c r="G838" s="404"/>
      <c r="H838" s="404"/>
      <c r="I838" s="404"/>
      <c r="K838" s="322"/>
      <c r="L838" s="401"/>
    </row>
    <row r="839">
      <c r="C839" s="164"/>
      <c r="E839" s="402"/>
      <c r="G839" s="404"/>
      <c r="H839" s="404"/>
      <c r="I839" s="404"/>
      <c r="K839" s="322"/>
      <c r="L839" s="401"/>
    </row>
    <row r="840">
      <c r="C840" s="164"/>
      <c r="E840" s="402"/>
      <c r="G840" s="404"/>
      <c r="H840" s="404"/>
      <c r="I840" s="404"/>
      <c r="K840" s="322"/>
      <c r="L840" s="401"/>
    </row>
    <row r="841">
      <c r="C841" s="164"/>
      <c r="E841" s="402"/>
      <c r="G841" s="404"/>
      <c r="H841" s="404"/>
      <c r="I841" s="404"/>
      <c r="K841" s="322"/>
      <c r="L841" s="401"/>
    </row>
    <row r="842">
      <c r="C842" s="164"/>
      <c r="E842" s="402"/>
      <c r="G842" s="404"/>
      <c r="H842" s="404"/>
      <c r="I842" s="404"/>
      <c r="K842" s="322"/>
      <c r="L842" s="401"/>
    </row>
    <row r="843">
      <c r="C843" s="164"/>
      <c r="E843" s="402"/>
      <c r="G843" s="404"/>
      <c r="H843" s="404"/>
      <c r="I843" s="404"/>
      <c r="K843" s="322"/>
      <c r="L843" s="401"/>
    </row>
    <row r="844">
      <c r="C844" s="164"/>
      <c r="E844" s="402"/>
      <c r="G844" s="404"/>
      <c r="H844" s="404"/>
      <c r="I844" s="404"/>
      <c r="K844" s="322"/>
      <c r="L844" s="401"/>
    </row>
    <row r="845">
      <c r="C845" s="164"/>
      <c r="E845" s="402"/>
      <c r="G845" s="404"/>
      <c r="H845" s="404"/>
      <c r="I845" s="404"/>
      <c r="K845" s="322"/>
      <c r="L845" s="401"/>
    </row>
    <row r="846">
      <c r="C846" s="164"/>
      <c r="E846" s="402"/>
      <c r="G846" s="404"/>
      <c r="H846" s="404"/>
      <c r="I846" s="404"/>
      <c r="K846" s="322"/>
      <c r="L846" s="401"/>
    </row>
    <row r="847">
      <c r="C847" s="164"/>
      <c r="E847" s="402"/>
      <c r="G847" s="404"/>
      <c r="H847" s="404"/>
      <c r="I847" s="404"/>
      <c r="K847" s="322"/>
      <c r="L847" s="401"/>
    </row>
    <row r="848">
      <c r="C848" s="164"/>
      <c r="E848" s="402"/>
      <c r="G848" s="404"/>
      <c r="H848" s="404"/>
      <c r="I848" s="404"/>
      <c r="K848" s="322"/>
      <c r="L848" s="401"/>
    </row>
    <row r="849">
      <c r="C849" s="164"/>
      <c r="E849" s="402"/>
      <c r="G849" s="404"/>
      <c r="H849" s="404"/>
      <c r="I849" s="404"/>
      <c r="K849" s="322"/>
      <c r="L849" s="401"/>
    </row>
    <row r="850">
      <c r="C850" s="164"/>
      <c r="E850" s="402"/>
      <c r="G850" s="404"/>
      <c r="H850" s="404"/>
      <c r="I850" s="404"/>
      <c r="K850" s="322"/>
      <c r="L850" s="401"/>
    </row>
    <row r="851">
      <c r="C851" s="164"/>
      <c r="E851" s="402"/>
      <c r="G851" s="404"/>
      <c r="H851" s="404"/>
      <c r="I851" s="404"/>
      <c r="K851" s="322"/>
      <c r="L851" s="401"/>
    </row>
    <row r="852">
      <c r="C852" s="164"/>
      <c r="E852" s="402"/>
      <c r="G852" s="404"/>
      <c r="H852" s="404"/>
      <c r="I852" s="404"/>
      <c r="K852" s="322"/>
      <c r="L852" s="401"/>
    </row>
    <row r="853">
      <c r="C853" s="164"/>
      <c r="E853" s="402"/>
      <c r="G853" s="404"/>
      <c r="H853" s="404"/>
      <c r="I853" s="404"/>
      <c r="K853" s="322"/>
      <c r="L853" s="401"/>
    </row>
    <row r="854">
      <c r="C854" s="164"/>
      <c r="E854" s="402"/>
      <c r="G854" s="404"/>
      <c r="H854" s="404"/>
      <c r="I854" s="404"/>
      <c r="K854" s="322"/>
      <c r="L854" s="401"/>
    </row>
    <row r="855">
      <c r="C855" s="164"/>
      <c r="E855" s="402"/>
      <c r="G855" s="404"/>
      <c r="H855" s="404"/>
      <c r="I855" s="404"/>
      <c r="K855" s="322"/>
      <c r="L855" s="401"/>
    </row>
    <row r="856">
      <c r="C856" s="164"/>
      <c r="E856" s="402"/>
      <c r="G856" s="404"/>
      <c r="H856" s="404"/>
      <c r="I856" s="404"/>
      <c r="K856" s="322"/>
      <c r="L856" s="401"/>
    </row>
    <row r="857">
      <c r="C857" s="164"/>
      <c r="E857" s="402"/>
      <c r="G857" s="404"/>
      <c r="H857" s="404"/>
      <c r="I857" s="404"/>
      <c r="K857" s="322"/>
      <c r="L857" s="401"/>
    </row>
    <row r="858">
      <c r="C858" s="164"/>
      <c r="E858" s="402"/>
      <c r="G858" s="404"/>
      <c r="H858" s="404"/>
      <c r="I858" s="404"/>
      <c r="K858" s="322"/>
      <c r="L858" s="401"/>
    </row>
    <row r="859">
      <c r="C859" s="164"/>
      <c r="E859" s="402"/>
      <c r="G859" s="404"/>
      <c r="H859" s="404"/>
      <c r="I859" s="404"/>
      <c r="K859" s="322"/>
      <c r="L859" s="401"/>
    </row>
    <row r="860">
      <c r="C860" s="164"/>
      <c r="E860" s="402"/>
      <c r="G860" s="404"/>
      <c r="H860" s="404"/>
      <c r="I860" s="404"/>
      <c r="K860" s="322"/>
      <c r="L860" s="401"/>
    </row>
    <row r="861">
      <c r="C861" s="164"/>
      <c r="E861" s="402"/>
      <c r="G861" s="404"/>
      <c r="H861" s="404"/>
      <c r="I861" s="404"/>
      <c r="K861" s="322"/>
      <c r="L861" s="401"/>
    </row>
    <row r="862">
      <c r="C862" s="164"/>
      <c r="E862" s="402"/>
      <c r="G862" s="404"/>
      <c r="H862" s="404"/>
      <c r="I862" s="404"/>
      <c r="K862" s="322"/>
      <c r="L862" s="401"/>
    </row>
    <row r="863">
      <c r="C863" s="164"/>
      <c r="E863" s="402"/>
      <c r="G863" s="404"/>
      <c r="H863" s="404"/>
      <c r="I863" s="404"/>
      <c r="K863" s="322"/>
      <c r="L863" s="401"/>
    </row>
    <row r="864">
      <c r="C864" s="164"/>
      <c r="E864" s="402"/>
      <c r="G864" s="404"/>
      <c r="H864" s="404"/>
      <c r="I864" s="404"/>
      <c r="K864" s="322"/>
      <c r="L864" s="401"/>
    </row>
    <row r="865">
      <c r="C865" s="164"/>
      <c r="E865" s="402"/>
      <c r="G865" s="404"/>
      <c r="H865" s="404"/>
      <c r="I865" s="404"/>
      <c r="K865" s="322"/>
      <c r="L865" s="401"/>
    </row>
    <row r="866">
      <c r="C866" s="164"/>
      <c r="E866" s="402"/>
      <c r="G866" s="404"/>
      <c r="H866" s="404"/>
      <c r="I866" s="404"/>
      <c r="K866" s="322"/>
      <c r="L866" s="401"/>
    </row>
    <row r="867">
      <c r="C867" s="164"/>
      <c r="E867" s="402"/>
      <c r="G867" s="404"/>
      <c r="H867" s="404"/>
      <c r="I867" s="404"/>
      <c r="K867" s="322"/>
      <c r="L867" s="401"/>
    </row>
    <row r="868">
      <c r="C868" s="164"/>
      <c r="E868" s="402"/>
      <c r="G868" s="404"/>
      <c r="H868" s="404"/>
      <c r="I868" s="404"/>
      <c r="K868" s="322"/>
      <c r="L868" s="401"/>
    </row>
    <row r="869">
      <c r="C869" s="164"/>
      <c r="E869" s="402"/>
      <c r="G869" s="404"/>
      <c r="H869" s="404"/>
      <c r="I869" s="404"/>
      <c r="K869" s="322"/>
      <c r="L869" s="401"/>
    </row>
    <row r="870">
      <c r="C870" s="164"/>
      <c r="E870" s="402"/>
      <c r="G870" s="404"/>
      <c r="H870" s="404"/>
      <c r="I870" s="404"/>
      <c r="K870" s="322"/>
      <c r="L870" s="401"/>
    </row>
    <row r="871">
      <c r="C871" s="164"/>
      <c r="E871" s="402"/>
      <c r="G871" s="404"/>
      <c r="H871" s="404"/>
      <c r="I871" s="404"/>
      <c r="K871" s="322"/>
      <c r="L871" s="401"/>
    </row>
    <row r="872">
      <c r="C872" s="164"/>
      <c r="E872" s="402"/>
      <c r="G872" s="404"/>
      <c r="H872" s="404"/>
      <c r="I872" s="404"/>
      <c r="K872" s="322"/>
      <c r="L872" s="401"/>
    </row>
    <row r="873">
      <c r="C873" s="164"/>
      <c r="E873" s="402"/>
      <c r="G873" s="404"/>
      <c r="H873" s="404"/>
      <c r="I873" s="404"/>
      <c r="K873" s="322"/>
      <c r="L873" s="401"/>
    </row>
    <row r="874">
      <c r="C874" s="164"/>
      <c r="E874" s="402"/>
      <c r="G874" s="404"/>
      <c r="H874" s="404"/>
      <c r="I874" s="404"/>
      <c r="K874" s="322"/>
      <c r="L874" s="401"/>
    </row>
    <row r="875">
      <c r="C875" s="164"/>
      <c r="E875" s="402"/>
      <c r="G875" s="404"/>
      <c r="H875" s="404"/>
      <c r="I875" s="404"/>
      <c r="K875" s="322"/>
      <c r="L875" s="401"/>
    </row>
    <row r="876">
      <c r="C876" s="164"/>
      <c r="E876" s="402"/>
      <c r="G876" s="404"/>
      <c r="H876" s="404"/>
      <c r="I876" s="404"/>
      <c r="K876" s="322"/>
      <c r="L876" s="401"/>
    </row>
    <row r="877">
      <c r="C877" s="164"/>
      <c r="E877" s="402"/>
      <c r="G877" s="404"/>
      <c r="H877" s="404"/>
      <c r="I877" s="404"/>
      <c r="K877" s="322"/>
      <c r="L877" s="401"/>
    </row>
    <row r="878">
      <c r="C878" s="164"/>
      <c r="E878" s="402"/>
      <c r="G878" s="404"/>
      <c r="H878" s="404"/>
      <c r="I878" s="404"/>
      <c r="K878" s="322"/>
      <c r="L878" s="401"/>
    </row>
    <row r="879">
      <c r="C879" s="164"/>
      <c r="E879" s="402"/>
      <c r="G879" s="404"/>
      <c r="H879" s="404"/>
      <c r="I879" s="404"/>
      <c r="K879" s="322"/>
      <c r="L879" s="401"/>
    </row>
    <row r="880">
      <c r="C880" s="164"/>
      <c r="E880" s="402"/>
      <c r="G880" s="404"/>
      <c r="H880" s="404"/>
      <c r="I880" s="404"/>
      <c r="K880" s="322"/>
      <c r="L880" s="401"/>
    </row>
    <row r="881">
      <c r="C881" s="164"/>
      <c r="E881" s="402"/>
      <c r="G881" s="404"/>
      <c r="H881" s="404"/>
      <c r="I881" s="404"/>
      <c r="K881" s="322"/>
      <c r="L881" s="401"/>
    </row>
    <row r="882">
      <c r="C882" s="164"/>
      <c r="E882" s="402"/>
      <c r="G882" s="404"/>
      <c r="H882" s="404"/>
      <c r="I882" s="404"/>
      <c r="K882" s="322"/>
      <c r="L882" s="401"/>
    </row>
    <row r="883">
      <c r="C883" s="164"/>
      <c r="E883" s="402"/>
      <c r="G883" s="404"/>
      <c r="H883" s="404"/>
      <c r="I883" s="404"/>
      <c r="K883" s="322"/>
      <c r="L883" s="401"/>
    </row>
    <row r="884">
      <c r="C884" s="164"/>
      <c r="E884" s="402"/>
      <c r="G884" s="404"/>
      <c r="H884" s="404"/>
      <c r="I884" s="404"/>
      <c r="K884" s="322"/>
      <c r="L884" s="401"/>
    </row>
    <row r="885">
      <c r="C885" s="164"/>
      <c r="E885" s="402"/>
      <c r="G885" s="404"/>
      <c r="H885" s="404"/>
      <c r="I885" s="404"/>
      <c r="K885" s="322"/>
      <c r="L885" s="401"/>
    </row>
    <row r="886">
      <c r="C886" s="164"/>
      <c r="E886" s="402"/>
      <c r="G886" s="404"/>
      <c r="H886" s="404"/>
      <c r="I886" s="404"/>
      <c r="K886" s="322"/>
      <c r="L886" s="401"/>
    </row>
    <row r="887">
      <c r="C887" s="164"/>
      <c r="E887" s="402"/>
      <c r="G887" s="404"/>
      <c r="H887" s="404"/>
      <c r="I887" s="404"/>
      <c r="K887" s="322"/>
      <c r="L887" s="401"/>
    </row>
    <row r="888">
      <c r="C888" s="164"/>
      <c r="E888" s="402"/>
      <c r="G888" s="404"/>
      <c r="H888" s="404"/>
      <c r="I888" s="404"/>
      <c r="K888" s="322"/>
      <c r="L888" s="401"/>
    </row>
    <row r="889">
      <c r="C889" s="164"/>
      <c r="E889" s="402"/>
      <c r="G889" s="404"/>
      <c r="H889" s="404"/>
      <c r="I889" s="404"/>
      <c r="K889" s="322"/>
      <c r="L889" s="401"/>
    </row>
    <row r="890">
      <c r="C890" s="164"/>
      <c r="E890" s="402"/>
      <c r="G890" s="404"/>
      <c r="H890" s="404"/>
      <c r="I890" s="404"/>
      <c r="K890" s="322"/>
      <c r="L890" s="401"/>
    </row>
    <row r="891">
      <c r="C891" s="164"/>
      <c r="E891" s="402"/>
      <c r="G891" s="404"/>
      <c r="H891" s="404"/>
      <c r="I891" s="404"/>
      <c r="K891" s="322"/>
      <c r="L891" s="401"/>
    </row>
    <row r="892">
      <c r="C892" s="164"/>
      <c r="E892" s="402"/>
      <c r="G892" s="404"/>
      <c r="H892" s="404"/>
      <c r="I892" s="404"/>
      <c r="K892" s="322"/>
      <c r="L892" s="401"/>
    </row>
    <row r="893">
      <c r="C893" s="164"/>
      <c r="E893" s="402"/>
      <c r="G893" s="404"/>
      <c r="H893" s="404"/>
      <c r="I893" s="404"/>
      <c r="K893" s="322"/>
      <c r="L893" s="401"/>
    </row>
    <row r="894">
      <c r="C894" s="164"/>
      <c r="E894" s="402"/>
      <c r="G894" s="404"/>
      <c r="H894" s="404"/>
      <c r="I894" s="404"/>
      <c r="K894" s="322"/>
      <c r="L894" s="401"/>
    </row>
    <row r="895">
      <c r="C895" s="164"/>
      <c r="E895" s="402"/>
      <c r="G895" s="404"/>
      <c r="H895" s="404"/>
      <c r="I895" s="404"/>
      <c r="K895" s="322"/>
      <c r="L895" s="401"/>
    </row>
    <row r="896">
      <c r="C896" s="164"/>
      <c r="E896" s="402"/>
      <c r="G896" s="404"/>
      <c r="H896" s="404"/>
      <c r="I896" s="404"/>
      <c r="K896" s="322"/>
      <c r="L896" s="401"/>
    </row>
    <row r="897">
      <c r="C897" s="164"/>
      <c r="E897" s="402"/>
      <c r="G897" s="404"/>
      <c r="H897" s="404"/>
      <c r="I897" s="404"/>
      <c r="K897" s="322"/>
      <c r="L897" s="401"/>
    </row>
    <row r="898">
      <c r="C898" s="164"/>
      <c r="E898" s="402"/>
      <c r="G898" s="404"/>
      <c r="H898" s="404"/>
      <c r="I898" s="404"/>
      <c r="K898" s="322"/>
      <c r="L898" s="401"/>
    </row>
    <row r="899">
      <c r="C899" s="164"/>
      <c r="E899" s="402"/>
      <c r="G899" s="404"/>
      <c r="H899" s="404"/>
      <c r="I899" s="404"/>
      <c r="K899" s="322"/>
      <c r="L899" s="401"/>
    </row>
    <row r="900">
      <c r="C900" s="164"/>
      <c r="E900" s="402"/>
      <c r="G900" s="404"/>
      <c r="H900" s="404"/>
      <c r="I900" s="404"/>
      <c r="K900" s="322"/>
      <c r="L900" s="401"/>
    </row>
    <row r="901">
      <c r="C901" s="164"/>
      <c r="E901" s="402"/>
      <c r="G901" s="404"/>
      <c r="H901" s="404"/>
      <c r="I901" s="404"/>
      <c r="K901" s="322"/>
      <c r="L901" s="401"/>
    </row>
    <row r="902">
      <c r="C902" s="164"/>
      <c r="E902" s="402"/>
      <c r="G902" s="404"/>
      <c r="H902" s="404"/>
      <c r="I902" s="404"/>
      <c r="K902" s="322"/>
      <c r="L902" s="401"/>
    </row>
    <row r="903">
      <c r="C903" s="164"/>
      <c r="E903" s="402"/>
      <c r="G903" s="404"/>
      <c r="H903" s="404"/>
      <c r="I903" s="404"/>
      <c r="K903" s="322"/>
      <c r="L903" s="401"/>
    </row>
    <row r="904">
      <c r="C904" s="164"/>
      <c r="E904" s="402"/>
      <c r="G904" s="404"/>
      <c r="H904" s="404"/>
      <c r="I904" s="404"/>
      <c r="K904" s="322"/>
      <c r="L904" s="401"/>
    </row>
    <row r="905">
      <c r="C905" s="164"/>
      <c r="E905" s="402"/>
      <c r="G905" s="404"/>
      <c r="H905" s="404"/>
      <c r="I905" s="404"/>
      <c r="K905" s="322"/>
      <c r="L905" s="401"/>
    </row>
    <row r="906">
      <c r="C906" s="164"/>
      <c r="E906" s="402"/>
      <c r="G906" s="404"/>
      <c r="H906" s="404"/>
      <c r="I906" s="404"/>
      <c r="K906" s="322"/>
      <c r="L906" s="401"/>
    </row>
    <row r="907">
      <c r="C907" s="164"/>
      <c r="E907" s="402"/>
      <c r="G907" s="404"/>
      <c r="H907" s="404"/>
      <c r="I907" s="404"/>
      <c r="K907" s="322"/>
      <c r="L907" s="401"/>
    </row>
    <row r="908">
      <c r="C908" s="164"/>
      <c r="E908" s="402"/>
      <c r="G908" s="404"/>
      <c r="H908" s="404"/>
      <c r="I908" s="404"/>
      <c r="K908" s="322"/>
      <c r="L908" s="401"/>
    </row>
    <row r="909">
      <c r="C909" s="164"/>
      <c r="E909" s="402"/>
      <c r="G909" s="404"/>
      <c r="H909" s="404"/>
      <c r="I909" s="404"/>
      <c r="K909" s="322"/>
      <c r="L909" s="401"/>
    </row>
    <row r="910">
      <c r="C910" s="164"/>
      <c r="E910" s="402"/>
      <c r="G910" s="404"/>
      <c r="H910" s="404"/>
      <c r="I910" s="404"/>
      <c r="K910" s="322"/>
      <c r="L910" s="401"/>
    </row>
    <row r="911">
      <c r="C911" s="164"/>
      <c r="E911" s="402"/>
      <c r="G911" s="404"/>
      <c r="H911" s="404"/>
      <c r="I911" s="404"/>
      <c r="K911" s="322"/>
      <c r="L911" s="401"/>
    </row>
    <row r="912">
      <c r="C912" s="164"/>
      <c r="E912" s="402"/>
      <c r="G912" s="404"/>
      <c r="H912" s="404"/>
      <c r="I912" s="404"/>
      <c r="K912" s="322"/>
      <c r="L912" s="401"/>
    </row>
    <row r="913">
      <c r="C913" s="164"/>
      <c r="E913" s="402"/>
      <c r="G913" s="404"/>
      <c r="H913" s="404"/>
      <c r="I913" s="404"/>
      <c r="K913" s="322"/>
      <c r="L913" s="401"/>
    </row>
    <row r="914">
      <c r="C914" s="164"/>
      <c r="E914" s="402"/>
      <c r="G914" s="404"/>
      <c r="H914" s="404"/>
      <c r="I914" s="404"/>
      <c r="K914" s="322"/>
      <c r="L914" s="401"/>
    </row>
    <row r="915">
      <c r="C915" s="164"/>
      <c r="E915" s="402"/>
      <c r="G915" s="404"/>
      <c r="H915" s="404"/>
      <c r="I915" s="404"/>
      <c r="K915" s="322"/>
      <c r="L915" s="401"/>
    </row>
    <row r="916">
      <c r="C916" s="164"/>
      <c r="E916" s="402"/>
      <c r="G916" s="404"/>
      <c r="H916" s="404"/>
      <c r="I916" s="404"/>
      <c r="K916" s="322"/>
      <c r="L916" s="401"/>
    </row>
    <row r="917">
      <c r="C917" s="164"/>
      <c r="E917" s="402"/>
      <c r="G917" s="404"/>
      <c r="H917" s="404"/>
      <c r="I917" s="404"/>
      <c r="K917" s="322"/>
      <c r="L917" s="401"/>
    </row>
    <row r="918">
      <c r="C918" s="164"/>
      <c r="E918" s="402"/>
      <c r="G918" s="404"/>
      <c r="H918" s="404"/>
      <c r="I918" s="404"/>
      <c r="K918" s="322"/>
      <c r="L918" s="401"/>
    </row>
    <row r="919">
      <c r="C919" s="164"/>
      <c r="E919" s="402"/>
      <c r="G919" s="404"/>
      <c r="H919" s="404"/>
      <c r="I919" s="404"/>
      <c r="K919" s="322"/>
      <c r="L919" s="401"/>
    </row>
    <row r="920">
      <c r="C920" s="164"/>
      <c r="E920" s="402"/>
      <c r="G920" s="404"/>
      <c r="H920" s="404"/>
      <c r="I920" s="404"/>
      <c r="K920" s="322"/>
      <c r="L920" s="401"/>
    </row>
    <row r="921">
      <c r="C921" s="164"/>
      <c r="E921" s="402"/>
      <c r="G921" s="404"/>
      <c r="H921" s="404"/>
      <c r="I921" s="404"/>
      <c r="K921" s="322"/>
      <c r="L921" s="401"/>
    </row>
    <row r="922">
      <c r="C922" s="164"/>
      <c r="E922" s="402"/>
      <c r="G922" s="404"/>
      <c r="H922" s="404"/>
      <c r="I922" s="404"/>
      <c r="K922" s="322"/>
      <c r="L922" s="401"/>
    </row>
    <row r="923">
      <c r="C923" s="164"/>
      <c r="E923" s="402"/>
      <c r="G923" s="404"/>
      <c r="H923" s="404"/>
      <c r="I923" s="404"/>
      <c r="K923" s="322"/>
      <c r="L923" s="401"/>
    </row>
    <row r="924">
      <c r="C924" s="164"/>
      <c r="E924" s="402"/>
      <c r="G924" s="404"/>
      <c r="H924" s="404"/>
      <c r="I924" s="404"/>
      <c r="K924" s="322"/>
      <c r="L924" s="401"/>
    </row>
    <row r="925">
      <c r="C925" s="164"/>
      <c r="E925" s="402"/>
      <c r="G925" s="404"/>
      <c r="H925" s="404"/>
      <c r="I925" s="404"/>
      <c r="K925" s="322"/>
      <c r="L925" s="401"/>
    </row>
    <row r="926">
      <c r="C926" s="164"/>
      <c r="E926" s="402"/>
      <c r="G926" s="404"/>
      <c r="H926" s="404"/>
      <c r="I926" s="404"/>
      <c r="K926" s="322"/>
      <c r="L926" s="401"/>
    </row>
    <row r="927">
      <c r="C927" s="164"/>
      <c r="E927" s="402"/>
      <c r="G927" s="404"/>
      <c r="H927" s="404"/>
      <c r="I927" s="404"/>
      <c r="K927" s="322"/>
      <c r="L927" s="401"/>
    </row>
    <row r="928">
      <c r="C928" s="164"/>
      <c r="E928" s="402"/>
      <c r="G928" s="404"/>
      <c r="H928" s="404"/>
      <c r="I928" s="404"/>
      <c r="K928" s="322"/>
      <c r="L928" s="401"/>
    </row>
    <row r="929">
      <c r="C929" s="164"/>
      <c r="E929" s="402"/>
      <c r="G929" s="404"/>
      <c r="H929" s="404"/>
      <c r="I929" s="404"/>
      <c r="K929" s="322"/>
      <c r="L929" s="401"/>
    </row>
    <row r="930">
      <c r="C930" s="164"/>
      <c r="E930" s="402"/>
      <c r="G930" s="404"/>
      <c r="H930" s="404"/>
      <c r="I930" s="404"/>
      <c r="K930" s="322"/>
      <c r="L930" s="401"/>
    </row>
    <row r="931">
      <c r="C931" s="164"/>
      <c r="E931" s="402"/>
      <c r="G931" s="404"/>
      <c r="H931" s="404"/>
      <c r="I931" s="404"/>
      <c r="K931" s="322"/>
      <c r="L931" s="401"/>
    </row>
    <row r="932">
      <c r="C932" s="164"/>
      <c r="E932" s="402"/>
      <c r="G932" s="404"/>
      <c r="H932" s="404"/>
      <c r="I932" s="404"/>
      <c r="K932" s="322"/>
      <c r="L932" s="401"/>
    </row>
    <row r="933">
      <c r="C933" s="164"/>
      <c r="E933" s="402"/>
      <c r="G933" s="404"/>
      <c r="H933" s="404"/>
      <c r="I933" s="404"/>
      <c r="K933" s="322"/>
      <c r="L933" s="401"/>
    </row>
    <row r="934">
      <c r="C934" s="164"/>
      <c r="E934" s="402"/>
      <c r="G934" s="404"/>
      <c r="H934" s="404"/>
      <c r="I934" s="404"/>
      <c r="K934" s="322"/>
      <c r="L934" s="401"/>
    </row>
    <row r="935">
      <c r="C935" s="164"/>
      <c r="E935" s="402"/>
      <c r="G935" s="404"/>
      <c r="H935" s="404"/>
      <c r="I935" s="404"/>
      <c r="K935" s="322"/>
      <c r="L935" s="401"/>
    </row>
    <row r="936">
      <c r="C936" s="164"/>
      <c r="E936" s="402"/>
      <c r="G936" s="404"/>
      <c r="H936" s="404"/>
      <c r="I936" s="404"/>
      <c r="K936" s="322"/>
      <c r="L936" s="401"/>
    </row>
    <row r="937">
      <c r="C937" s="164"/>
      <c r="E937" s="402"/>
      <c r="G937" s="404"/>
      <c r="H937" s="404"/>
      <c r="I937" s="404"/>
      <c r="K937" s="322"/>
      <c r="L937" s="401"/>
    </row>
    <row r="938">
      <c r="C938" s="164"/>
      <c r="E938" s="402"/>
      <c r="G938" s="404"/>
      <c r="H938" s="404"/>
      <c r="I938" s="404"/>
      <c r="K938" s="322"/>
      <c r="L938" s="401"/>
    </row>
    <row r="939">
      <c r="C939" s="164"/>
      <c r="E939" s="402"/>
      <c r="G939" s="404"/>
      <c r="H939" s="404"/>
      <c r="I939" s="404"/>
      <c r="K939" s="322"/>
      <c r="L939" s="401"/>
    </row>
    <row r="940">
      <c r="C940" s="164"/>
      <c r="E940" s="402"/>
      <c r="G940" s="404"/>
      <c r="H940" s="404"/>
      <c r="I940" s="404"/>
      <c r="K940" s="322"/>
      <c r="L940" s="401"/>
    </row>
    <row r="941">
      <c r="C941" s="164"/>
      <c r="E941" s="402"/>
      <c r="G941" s="404"/>
      <c r="H941" s="404"/>
      <c r="I941" s="404"/>
      <c r="K941" s="322"/>
      <c r="L941" s="401"/>
    </row>
    <row r="942">
      <c r="C942" s="164"/>
      <c r="E942" s="402"/>
      <c r="G942" s="404"/>
      <c r="H942" s="404"/>
      <c r="I942" s="404"/>
      <c r="K942" s="322"/>
      <c r="L942" s="401"/>
    </row>
    <row r="943">
      <c r="C943" s="164"/>
      <c r="E943" s="402"/>
      <c r="G943" s="404"/>
      <c r="H943" s="404"/>
      <c r="I943" s="404"/>
      <c r="K943" s="322"/>
      <c r="L943" s="401"/>
    </row>
    <row r="944">
      <c r="C944" s="164"/>
      <c r="E944" s="402"/>
      <c r="G944" s="404"/>
      <c r="H944" s="404"/>
      <c r="I944" s="404"/>
      <c r="K944" s="322"/>
      <c r="L944" s="401"/>
    </row>
    <row r="945">
      <c r="C945" s="164"/>
      <c r="E945" s="402"/>
      <c r="G945" s="404"/>
      <c r="H945" s="404"/>
      <c r="I945" s="404"/>
      <c r="K945" s="322"/>
      <c r="L945" s="401"/>
    </row>
    <row r="946">
      <c r="C946" s="164"/>
      <c r="E946" s="402"/>
      <c r="G946" s="404"/>
      <c r="H946" s="404"/>
      <c r="I946" s="404"/>
      <c r="K946" s="322"/>
      <c r="L946" s="401"/>
    </row>
    <row r="947">
      <c r="C947" s="164"/>
      <c r="E947" s="402"/>
      <c r="G947" s="404"/>
      <c r="H947" s="404"/>
      <c r="I947" s="404"/>
      <c r="K947" s="322"/>
      <c r="L947" s="401"/>
    </row>
    <row r="948">
      <c r="C948" s="164"/>
      <c r="E948" s="402"/>
      <c r="G948" s="404"/>
      <c r="H948" s="404"/>
      <c r="I948" s="404"/>
      <c r="K948" s="322"/>
      <c r="L948" s="401"/>
    </row>
    <row r="949">
      <c r="C949" s="164"/>
      <c r="E949" s="402"/>
      <c r="G949" s="404"/>
      <c r="H949" s="404"/>
      <c r="I949" s="404"/>
      <c r="K949" s="322"/>
      <c r="L949" s="401"/>
    </row>
    <row r="950">
      <c r="C950" s="164"/>
      <c r="E950" s="402"/>
      <c r="G950" s="404"/>
      <c r="H950" s="404"/>
      <c r="I950" s="404"/>
      <c r="K950" s="322"/>
      <c r="L950" s="401"/>
    </row>
    <row r="951">
      <c r="C951" s="164"/>
      <c r="E951" s="402"/>
      <c r="G951" s="404"/>
      <c r="H951" s="404"/>
      <c r="I951" s="404"/>
      <c r="K951" s="322"/>
      <c r="L951" s="401"/>
    </row>
    <row r="952">
      <c r="C952" s="164"/>
      <c r="E952" s="402"/>
      <c r="G952" s="404"/>
      <c r="H952" s="404"/>
      <c r="I952" s="404"/>
      <c r="K952" s="322"/>
      <c r="L952" s="401"/>
    </row>
    <row r="953">
      <c r="C953" s="164"/>
      <c r="E953" s="402"/>
      <c r="G953" s="404"/>
      <c r="H953" s="404"/>
      <c r="I953" s="404"/>
      <c r="K953" s="322"/>
      <c r="L953" s="401"/>
    </row>
    <row r="954">
      <c r="C954" s="164"/>
      <c r="E954" s="402"/>
      <c r="G954" s="404"/>
      <c r="H954" s="404"/>
      <c r="I954" s="404"/>
      <c r="K954" s="322"/>
      <c r="L954" s="401"/>
    </row>
    <row r="955">
      <c r="C955" s="164"/>
      <c r="E955" s="402"/>
      <c r="G955" s="404"/>
      <c r="H955" s="404"/>
      <c r="I955" s="404"/>
      <c r="K955" s="322"/>
      <c r="L955" s="401"/>
    </row>
    <row r="956">
      <c r="C956" s="164"/>
      <c r="E956" s="402"/>
      <c r="G956" s="404"/>
      <c r="H956" s="404"/>
      <c r="I956" s="404"/>
      <c r="K956" s="322"/>
      <c r="L956" s="401"/>
    </row>
    <row r="957">
      <c r="C957" s="164"/>
      <c r="E957" s="402"/>
      <c r="G957" s="404"/>
      <c r="H957" s="404"/>
      <c r="I957" s="404"/>
      <c r="K957" s="322"/>
      <c r="L957" s="401"/>
    </row>
    <row r="958">
      <c r="C958" s="164"/>
      <c r="E958" s="402"/>
      <c r="G958" s="404"/>
      <c r="H958" s="404"/>
      <c r="I958" s="404"/>
      <c r="K958" s="322"/>
      <c r="L958" s="401"/>
    </row>
    <row r="959">
      <c r="C959" s="164"/>
      <c r="E959" s="402"/>
      <c r="G959" s="404"/>
      <c r="H959" s="404"/>
      <c r="I959" s="404"/>
      <c r="K959" s="322"/>
      <c r="L959" s="401"/>
    </row>
    <row r="960">
      <c r="C960" s="164"/>
      <c r="E960" s="402"/>
      <c r="G960" s="404"/>
      <c r="H960" s="404"/>
      <c r="I960" s="404"/>
      <c r="K960" s="322"/>
      <c r="L960" s="401"/>
    </row>
    <row r="961">
      <c r="C961" s="164"/>
      <c r="E961" s="402"/>
      <c r="G961" s="404"/>
      <c r="H961" s="404"/>
      <c r="I961" s="404"/>
      <c r="K961" s="322"/>
      <c r="L961" s="401"/>
    </row>
    <row r="962">
      <c r="C962" s="164"/>
      <c r="E962" s="402"/>
      <c r="G962" s="404"/>
      <c r="H962" s="404"/>
      <c r="I962" s="404"/>
      <c r="K962" s="322"/>
      <c r="L962" s="401"/>
    </row>
    <row r="963">
      <c r="C963" s="164"/>
      <c r="E963" s="402"/>
      <c r="G963" s="404"/>
      <c r="H963" s="404"/>
      <c r="I963" s="404"/>
      <c r="K963" s="322"/>
      <c r="L963" s="401"/>
    </row>
    <row r="964">
      <c r="C964" s="164"/>
      <c r="E964" s="402"/>
      <c r="G964" s="404"/>
      <c r="H964" s="404"/>
      <c r="I964" s="404"/>
      <c r="K964" s="322"/>
      <c r="L964" s="401"/>
    </row>
    <row r="965">
      <c r="C965" s="164"/>
      <c r="E965" s="402"/>
      <c r="G965" s="404"/>
      <c r="H965" s="404"/>
      <c r="I965" s="404"/>
      <c r="K965" s="322"/>
      <c r="L965" s="401"/>
    </row>
    <row r="966">
      <c r="C966" s="164"/>
      <c r="E966" s="402"/>
      <c r="G966" s="404"/>
      <c r="H966" s="404"/>
      <c r="I966" s="404"/>
      <c r="K966" s="322"/>
      <c r="L966" s="401"/>
    </row>
    <row r="967">
      <c r="C967" s="164"/>
      <c r="E967" s="402"/>
      <c r="G967" s="404"/>
      <c r="H967" s="404"/>
      <c r="I967" s="404"/>
      <c r="K967" s="322"/>
      <c r="L967" s="401"/>
    </row>
    <row r="968">
      <c r="C968" s="164"/>
      <c r="E968" s="402"/>
      <c r="G968" s="404"/>
      <c r="H968" s="404"/>
      <c r="I968" s="404"/>
      <c r="K968" s="322"/>
      <c r="L968" s="401"/>
    </row>
    <row r="969">
      <c r="C969" s="164"/>
      <c r="E969" s="402"/>
      <c r="G969" s="404"/>
      <c r="H969" s="404"/>
      <c r="I969" s="404"/>
      <c r="K969" s="322"/>
      <c r="L969" s="401"/>
    </row>
    <row r="970">
      <c r="C970" s="164"/>
      <c r="E970" s="402"/>
      <c r="G970" s="404"/>
      <c r="H970" s="404"/>
      <c r="I970" s="404"/>
      <c r="K970" s="322"/>
      <c r="L970" s="401"/>
    </row>
    <row r="971">
      <c r="C971" s="164"/>
      <c r="E971" s="402"/>
      <c r="G971" s="404"/>
      <c r="H971" s="404"/>
      <c r="I971" s="404"/>
      <c r="K971" s="322"/>
      <c r="L971" s="401"/>
    </row>
    <row r="972">
      <c r="C972" s="164"/>
      <c r="E972" s="402"/>
      <c r="G972" s="404"/>
      <c r="H972" s="404"/>
      <c r="I972" s="404"/>
      <c r="K972" s="322"/>
      <c r="L972" s="401"/>
    </row>
    <row r="973">
      <c r="C973" s="164"/>
      <c r="E973" s="402"/>
      <c r="G973" s="404"/>
      <c r="H973" s="404"/>
      <c r="I973" s="404"/>
      <c r="K973" s="322"/>
      <c r="L973" s="401"/>
    </row>
    <row r="974">
      <c r="C974" s="164"/>
      <c r="E974" s="402"/>
      <c r="G974" s="404"/>
      <c r="H974" s="404"/>
      <c r="I974" s="404"/>
      <c r="K974" s="322"/>
      <c r="L974" s="401"/>
    </row>
    <row r="975">
      <c r="C975" s="164"/>
      <c r="E975" s="402"/>
      <c r="G975" s="404"/>
      <c r="H975" s="404"/>
      <c r="I975" s="404"/>
      <c r="K975" s="322"/>
      <c r="L975" s="401"/>
    </row>
    <row r="976">
      <c r="C976" s="164"/>
      <c r="E976" s="402"/>
      <c r="G976" s="404"/>
      <c r="H976" s="404"/>
      <c r="I976" s="404"/>
      <c r="K976" s="322"/>
      <c r="L976" s="401"/>
    </row>
    <row r="977">
      <c r="C977" s="164"/>
      <c r="E977" s="402"/>
      <c r="G977" s="404"/>
      <c r="H977" s="404"/>
      <c r="I977" s="404"/>
      <c r="K977" s="322"/>
      <c r="L977" s="401"/>
    </row>
    <row r="978">
      <c r="C978" s="164"/>
      <c r="E978" s="402"/>
      <c r="G978" s="404"/>
      <c r="H978" s="404"/>
      <c r="I978" s="404"/>
      <c r="K978" s="322"/>
      <c r="L978" s="401"/>
    </row>
    <row r="979">
      <c r="C979" s="164"/>
      <c r="E979" s="402"/>
      <c r="G979" s="404"/>
      <c r="H979" s="404"/>
      <c r="I979" s="404"/>
      <c r="K979" s="322"/>
      <c r="L979" s="401"/>
    </row>
    <row r="980">
      <c r="C980" s="164"/>
      <c r="E980" s="402"/>
      <c r="G980" s="404"/>
      <c r="H980" s="404"/>
      <c r="I980" s="404"/>
      <c r="K980" s="322"/>
      <c r="L980" s="401"/>
    </row>
    <row r="981">
      <c r="C981" s="164"/>
      <c r="E981" s="402"/>
      <c r="G981" s="404"/>
      <c r="H981" s="404"/>
      <c r="I981" s="404"/>
      <c r="K981" s="322"/>
      <c r="L981" s="401"/>
    </row>
    <row r="982">
      <c r="C982" s="164"/>
      <c r="E982" s="402"/>
      <c r="G982" s="404"/>
      <c r="H982" s="404"/>
      <c r="I982" s="404"/>
      <c r="K982" s="322"/>
      <c r="L982" s="401"/>
    </row>
    <row r="983">
      <c r="C983" s="164"/>
      <c r="E983" s="402"/>
      <c r="G983" s="404"/>
      <c r="H983" s="404"/>
      <c r="I983" s="404"/>
      <c r="K983" s="322"/>
      <c r="L983" s="401"/>
    </row>
    <row r="984">
      <c r="C984" s="164"/>
      <c r="E984" s="402"/>
      <c r="G984" s="404"/>
      <c r="H984" s="404"/>
      <c r="I984" s="404"/>
      <c r="K984" s="322"/>
      <c r="L984" s="401"/>
    </row>
    <row r="985">
      <c r="C985" s="164"/>
      <c r="E985" s="402"/>
      <c r="G985" s="404"/>
      <c r="H985" s="404"/>
      <c r="I985" s="404"/>
      <c r="K985" s="322"/>
      <c r="L985" s="401"/>
    </row>
    <row r="986">
      <c r="C986" s="164"/>
      <c r="E986" s="402"/>
      <c r="G986" s="404"/>
      <c r="H986" s="404"/>
      <c r="I986" s="404"/>
      <c r="K986" s="322"/>
      <c r="L986" s="401"/>
    </row>
    <row r="987">
      <c r="C987" s="164"/>
      <c r="E987" s="402"/>
      <c r="G987" s="404"/>
      <c r="H987" s="404"/>
      <c r="I987" s="404"/>
      <c r="K987" s="322"/>
      <c r="L987" s="401"/>
    </row>
    <row r="988">
      <c r="C988" s="164"/>
      <c r="E988" s="402"/>
      <c r="G988" s="404"/>
      <c r="H988" s="404"/>
      <c r="I988" s="404"/>
      <c r="K988" s="322"/>
      <c r="L988" s="401"/>
    </row>
    <row r="989">
      <c r="C989" s="164"/>
      <c r="E989" s="402"/>
      <c r="G989" s="404"/>
      <c r="H989" s="404"/>
      <c r="I989" s="404"/>
      <c r="K989" s="322"/>
      <c r="L989" s="401"/>
    </row>
    <row r="990">
      <c r="C990" s="164"/>
      <c r="E990" s="402"/>
      <c r="G990" s="404"/>
      <c r="H990" s="404"/>
      <c r="I990" s="404"/>
      <c r="K990" s="322"/>
      <c r="L990" s="401"/>
    </row>
    <row r="991">
      <c r="C991" s="164"/>
      <c r="E991" s="402"/>
      <c r="G991" s="404"/>
      <c r="H991" s="404"/>
      <c r="I991" s="404"/>
      <c r="K991" s="322"/>
      <c r="L991" s="401"/>
    </row>
    <row r="992">
      <c r="C992" s="164"/>
      <c r="E992" s="402"/>
      <c r="G992" s="404"/>
      <c r="H992" s="404"/>
      <c r="I992" s="404"/>
      <c r="K992" s="322"/>
      <c r="L992" s="401"/>
    </row>
    <row r="993">
      <c r="C993" s="164"/>
      <c r="E993" s="402"/>
      <c r="G993" s="404"/>
      <c r="H993" s="404"/>
      <c r="I993" s="404"/>
      <c r="K993" s="322"/>
      <c r="L993" s="401"/>
    </row>
    <row r="994">
      <c r="C994" s="164"/>
      <c r="E994" s="402"/>
      <c r="G994" s="404"/>
      <c r="H994" s="404"/>
      <c r="I994" s="404"/>
      <c r="K994" s="322"/>
      <c r="L994" s="401"/>
    </row>
    <row r="995">
      <c r="C995" s="164"/>
      <c r="E995" s="402"/>
      <c r="G995" s="404"/>
      <c r="H995" s="404"/>
      <c r="I995" s="404"/>
      <c r="K995" s="322"/>
      <c r="L995" s="401"/>
    </row>
    <row r="996">
      <c r="C996" s="164"/>
      <c r="E996" s="402"/>
      <c r="G996" s="404"/>
      <c r="H996" s="404"/>
      <c r="I996" s="404"/>
      <c r="K996" s="322"/>
      <c r="L996" s="401"/>
    </row>
    <row r="997">
      <c r="C997" s="164"/>
      <c r="E997" s="402"/>
      <c r="G997" s="404"/>
      <c r="H997" s="404"/>
      <c r="I997" s="404"/>
      <c r="K997" s="322"/>
      <c r="L997" s="401"/>
    </row>
    <row r="998">
      <c r="C998" s="164"/>
      <c r="E998" s="402"/>
      <c r="G998" s="404"/>
      <c r="H998" s="404"/>
      <c r="I998" s="404"/>
      <c r="K998" s="322"/>
      <c r="L998" s="401"/>
    </row>
    <row r="999">
      <c r="C999" s="164"/>
      <c r="E999" s="402"/>
      <c r="G999" s="404"/>
      <c r="H999" s="404"/>
      <c r="I999" s="404"/>
      <c r="K999" s="322"/>
      <c r="L999" s="401"/>
    </row>
    <row r="1000">
      <c r="C1000" s="164"/>
      <c r="E1000" s="402"/>
      <c r="G1000" s="404"/>
      <c r="H1000" s="404"/>
      <c r="I1000" s="404"/>
      <c r="K1000" s="322"/>
      <c r="L1000" s="401"/>
    </row>
    <row r="1001">
      <c r="C1001" s="164"/>
      <c r="E1001" s="402"/>
      <c r="G1001" s="404"/>
      <c r="H1001" s="404"/>
      <c r="I1001" s="404"/>
      <c r="K1001" s="322"/>
      <c r="L1001" s="401"/>
    </row>
    <row r="1002">
      <c r="C1002" s="164"/>
      <c r="E1002" s="402"/>
      <c r="G1002" s="404"/>
      <c r="H1002" s="404"/>
      <c r="I1002" s="404"/>
      <c r="K1002" s="322"/>
      <c r="L1002" s="401"/>
    </row>
    <row r="1003">
      <c r="C1003" s="164"/>
      <c r="E1003" s="402"/>
      <c r="G1003" s="404"/>
      <c r="H1003" s="404"/>
      <c r="I1003" s="404"/>
      <c r="K1003" s="322"/>
      <c r="L1003" s="401"/>
    </row>
    <row r="1004">
      <c r="C1004" s="164"/>
      <c r="E1004" s="402"/>
      <c r="G1004" s="404"/>
      <c r="H1004" s="404"/>
      <c r="I1004" s="404"/>
      <c r="K1004" s="322"/>
      <c r="L1004" s="401"/>
    </row>
    <row r="1005">
      <c r="C1005" s="164"/>
      <c r="E1005" s="402"/>
      <c r="G1005" s="404"/>
      <c r="H1005" s="404"/>
      <c r="I1005" s="404"/>
      <c r="K1005" s="322"/>
      <c r="L1005" s="401"/>
    </row>
    <row r="1006">
      <c r="C1006" s="164"/>
      <c r="E1006" s="402"/>
      <c r="G1006" s="404"/>
      <c r="H1006" s="404"/>
      <c r="I1006" s="404"/>
      <c r="K1006" s="322"/>
      <c r="L1006" s="401"/>
    </row>
    <row r="1007">
      <c r="C1007" s="164"/>
      <c r="E1007" s="402"/>
      <c r="G1007" s="404"/>
      <c r="H1007" s="404"/>
      <c r="I1007" s="404"/>
      <c r="K1007" s="322"/>
      <c r="L1007" s="401"/>
    </row>
    <row r="1008">
      <c r="C1008" s="164"/>
      <c r="E1008" s="402"/>
      <c r="G1008" s="404"/>
      <c r="H1008" s="404"/>
      <c r="I1008" s="404"/>
      <c r="K1008" s="322"/>
      <c r="L1008" s="401"/>
    </row>
    <row r="1009">
      <c r="C1009" s="164"/>
      <c r="E1009" s="402"/>
      <c r="G1009" s="404"/>
      <c r="H1009" s="404"/>
      <c r="I1009" s="404"/>
      <c r="K1009" s="322"/>
      <c r="L1009" s="401"/>
    </row>
    <row r="1010">
      <c r="C1010" s="164"/>
      <c r="E1010" s="402"/>
      <c r="G1010" s="404"/>
      <c r="H1010" s="404"/>
      <c r="I1010" s="404"/>
      <c r="K1010" s="322"/>
      <c r="L1010" s="401"/>
    </row>
    <row r="1011">
      <c r="C1011" s="164"/>
      <c r="E1011" s="402"/>
      <c r="G1011" s="404"/>
      <c r="H1011" s="404"/>
      <c r="I1011" s="404"/>
      <c r="K1011" s="322"/>
      <c r="L1011" s="401"/>
    </row>
    <row r="1012">
      <c r="C1012" s="164"/>
      <c r="E1012" s="402"/>
      <c r="G1012" s="404"/>
      <c r="H1012" s="404"/>
      <c r="I1012" s="404"/>
      <c r="K1012" s="322"/>
      <c r="L1012" s="401"/>
    </row>
    <row r="1013">
      <c r="C1013" s="164"/>
      <c r="E1013" s="402"/>
      <c r="G1013" s="404"/>
      <c r="H1013" s="404"/>
      <c r="I1013" s="404"/>
      <c r="K1013" s="322"/>
      <c r="L1013" s="401"/>
    </row>
    <row r="1014">
      <c r="C1014" s="164"/>
      <c r="E1014" s="402"/>
      <c r="G1014" s="404"/>
      <c r="H1014" s="404"/>
      <c r="I1014" s="404"/>
      <c r="K1014" s="322"/>
      <c r="L1014" s="401"/>
    </row>
    <row r="1015">
      <c r="C1015" s="164"/>
      <c r="E1015" s="402"/>
      <c r="G1015" s="404"/>
      <c r="H1015" s="404"/>
      <c r="I1015" s="404"/>
      <c r="K1015" s="322"/>
      <c r="L1015" s="401"/>
    </row>
    <row r="1016">
      <c r="C1016" s="164"/>
      <c r="E1016" s="402"/>
      <c r="G1016" s="404"/>
      <c r="H1016" s="404"/>
      <c r="I1016" s="404"/>
      <c r="K1016" s="322"/>
      <c r="L1016" s="401"/>
    </row>
    <row r="1017">
      <c r="C1017" s="164"/>
      <c r="E1017" s="402"/>
      <c r="G1017" s="404"/>
      <c r="H1017" s="404"/>
      <c r="I1017" s="404"/>
      <c r="K1017" s="322"/>
      <c r="L1017" s="401"/>
    </row>
    <row r="1018">
      <c r="C1018" s="164"/>
      <c r="E1018" s="402"/>
      <c r="G1018" s="404"/>
      <c r="H1018" s="404"/>
      <c r="I1018" s="404"/>
      <c r="K1018" s="322"/>
      <c r="L1018" s="401"/>
    </row>
    <row r="1019">
      <c r="C1019" s="164"/>
      <c r="E1019" s="402"/>
      <c r="G1019" s="404"/>
      <c r="H1019" s="404"/>
      <c r="I1019" s="404"/>
      <c r="K1019" s="322"/>
      <c r="L1019" s="401"/>
    </row>
    <row r="1020">
      <c r="C1020" s="164"/>
      <c r="E1020" s="402"/>
      <c r="G1020" s="404"/>
      <c r="H1020" s="404"/>
      <c r="I1020" s="404"/>
      <c r="K1020" s="322"/>
      <c r="L1020" s="401"/>
    </row>
    <row r="1021">
      <c r="C1021" s="164"/>
      <c r="E1021" s="402"/>
      <c r="G1021" s="404"/>
      <c r="H1021" s="404"/>
      <c r="I1021" s="404"/>
      <c r="K1021" s="322"/>
      <c r="L1021" s="401"/>
    </row>
    <row r="1022">
      <c r="C1022" s="164"/>
      <c r="E1022" s="402"/>
      <c r="G1022" s="404"/>
      <c r="H1022" s="404"/>
      <c r="I1022" s="404"/>
      <c r="K1022" s="322"/>
      <c r="L1022" s="401"/>
    </row>
    <row r="1023">
      <c r="C1023" s="164"/>
      <c r="E1023" s="402"/>
      <c r="G1023" s="404"/>
      <c r="H1023" s="404"/>
      <c r="I1023" s="404"/>
      <c r="K1023" s="322"/>
      <c r="L1023" s="401"/>
    </row>
    <row r="1024">
      <c r="C1024" s="164"/>
      <c r="E1024" s="402"/>
      <c r="G1024" s="404"/>
      <c r="H1024" s="404"/>
      <c r="I1024" s="404"/>
      <c r="K1024" s="322"/>
      <c r="L1024" s="401"/>
    </row>
    <row r="1025">
      <c r="C1025" s="164"/>
      <c r="E1025" s="402"/>
      <c r="G1025" s="404"/>
      <c r="H1025" s="404"/>
      <c r="I1025" s="404"/>
      <c r="K1025" s="322"/>
      <c r="L1025" s="401"/>
    </row>
    <row r="1026">
      <c r="C1026" s="164"/>
      <c r="E1026" s="402"/>
      <c r="G1026" s="404"/>
      <c r="H1026" s="404"/>
      <c r="I1026" s="404"/>
      <c r="K1026" s="322"/>
      <c r="L1026" s="401"/>
    </row>
    <row r="1027">
      <c r="C1027" s="164"/>
      <c r="E1027" s="402"/>
      <c r="G1027" s="404"/>
      <c r="H1027" s="404"/>
      <c r="I1027" s="404"/>
      <c r="K1027" s="322"/>
      <c r="L1027" s="401"/>
    </row>
    <row r="1028">
      <c r="C1028" s="164"/>
      <c r="E1028" s="402"/>
      <c r="G1028" s="404"/>
      <c r="H1028" s="404"/>
      <c r="I1028" s="404"/>
      <c r="K1028" s="322"/>
      <c r="L1028" s="401"/>
    </row>
    <row r="1029">
      <c r="C1029" s="164"/>
      <c r="E1029" s="402"/>
      <c r="G1029" s="404"/>
      <c r="H1029" s="404"/>
      <c r="I1029" s="404"/>
      <c r="K1029" s="322"/>
      <c r="L1029" s="401"/>
    </row>
    <row r="1030">
      <c r="C1030" s="164"/>
      <c r="E1030" s="402"/>
      <c r="G1030" s="404"/>
      <c r="H1030" s="404"/>
      <c r="I1030" s="404"/>
      <c r="K1030" s="322"/>
      <c r="L1030" s="401"/>
    </row>
    <row r="1031">
      <c r="C1031" s="164"/>
      <c r="E1031" s="402"/>
      <c r="G1031" s="404"/>
      <c r="H1031" s="404"/>
      <c r="I1031" s="404"/>
      <c r="K1031" s="322"/>
      <c r="L1031" s="401"/>
    </row>
    <row r="1032">
      <c r="C1032" s="164"/>
      <c r="E1032" s="402"/>
      <c r="G1032" s="404"/>
      <c r="H1032" s="404"/>
      <c r="I1032" s="404"/>
      <c r="K1032" s="322"/>
      <c r="L1032" s="401"/>
    </row>
    <row r="1033">
      <c r="C1033" s="164"/>
      <c r="E1033" s="402"/>
      <c r="G1033" s="404"/>
      <c r="H1033" s="404"/>
      <c r="I1033" s="404"/>
      <c r="K1033" s="322"/>
      <c r="L1033" s="401"/>
    </row>
    <row r="1034">
      <c r="C1034" s="164"/>
      <c r="E1034" s="402"/>
      <c r="G1034" s="404"/>
      <c r="H1034" s="404"/>
      <c r="I1034" s="404"/>
      <c r="K1034" s="322"/>
      <c r="L1034" s="401"/>
    </row>
    <row r="1035">
      <c r="C1035" s="164"/>
      <c r="E1035" s="402"/>
      <c r="G1035" s="404"/>
      <c r="H1035" s="404"/>
      <c r="I1035" s="404"/>
      <c r="K1035" s="322"/>
      <c r="L1035" s="401"/>
    </row>
    <row r="1036">
      <c r="C1036" s="164"/>
      <c r="E1036" s="402"/>
      <c r="G1036" s="404"/>
      <c r="H1036" s="404"/>
      <c r="I1036" s="404"/>
      <c r="K1036" s="322"/>
      <c r="L1036" s="401"/>
    </row>
    <row r="1037">
      <c r="C1037" s="164"/>
      <c r="E1037" s="402"/>
      <c r="G1037" s="404"/>
      <c r="H1037" s="404"/>
      <c r="I1037" s="404"/>
      <c r="K1037" s="322"/>
      <c r="L1037" s="401"/>
    </row>
    <row r="1038">
      <c r="C1038" s="164"/>
      <c r="E1038" s="402"/>
      <c r="G1038" s="404"/>
      <c r="H1038" s="404"/>
      <c r="I1038" s="404"/>
      <c r="K1038" s="322"/>
      <c r="L1038" s="401"/>
    </row>
    <row r="1039">
      <c r="C1039" s="164"/>
      <c r="E1039" s="402"/>
      <c r="G1039" s="404"/>
      <c r="H1039" s="404"/>
      <c r="I1039" s="404"/>
      <c r="K1039" s="322"/>
      <c r="L1039" s="401"/>
    </row>
    <row r="1040">
      <c r="C1040" s="164"/>
      <c r="E1040" s="402"/>
      <c r="G1040" s="404"/>
      <c r="H1040" s="404"/>
      <c r="I1040" s="404"/>
      <c r="K1040" s="322"/>
      <c r="L1040" s="401"/>
    </row>
    <row r="1041">
      <c r="C1041" s="164"/>
      <c r="E1041" s="402"/>
      <c r="G1041" s="404"/>
      <c r="H1041" s="404"/>
      <c r="I1041" s="404"/>
      <c r="K1041" s="322"/>
      <c r="L1041" s="401"/>
    </row>
    <row r="1042">
      <c r="C1042" s="164"/>
      <c r="E1042" s="402"/>
      <c r="G1042" s="404"/>
      <c r="H1042" s="404"/>
      <c r="I1042" s="404"/>
      <c r="K1042" s="322"/>
      <c r="L1042" s="401"/>
    </row>
    <row r="1043">
      <c r="C1043" s="164"/>
      <c r="E1043" s="402"/>
      <c r="G1043" s="404"/>
      <c r="H1043" s="404"/>
      <c r="I1043" s="404"/>
      <c r="K1043" s="322"/>
      <c r="L1043" s="401"/>
    </row>
    <row r="1044">
      <c r="C1044" s="164"/>
      <c r="E1044" s="402"/>
      <c r="G1044" s="404"/>
      <c r="H1044" s="404"/>
      <c r="I1044" s="404"/>
      <c r="K1044" s="322"/>
      <c r="L1044" s="401"/>
    </row>
    <row r="1045">
      <c r="C1045" s="164"/>
      <c r="E1045" s="402"/>
      <c r="G1045" s="404"/>
      <c r="H1045" s="404"/>
      <c r="I1045" s="404"/>
      <c r="K1045" s="322"/>
      <c r="L1045" s="401"/>
    </row>
    <row r="1046">
      <c r="C1046" s="164"/>
      <c r="E1046" s="402"/>
      <c r="G1046" s="404"/>
      <c r="H1046" s="404"/>
      <c r="I1046" s="404"/>
      <c r="K1046" s="322"/>
      <c r="L1046" s="401"/>
    </row>
    <row r="1047">
      <c r="C1047" s="164"/>
      <c r="E1047" s="402"/>
      <c r="G1047" s="404"/>
      <c r="H1047" s="404"/>
      <c r="I1047" s="404"/>
      <c r="K1047" s="322"/>
      <c r="L1047" s="401"/>
    </row>
    <row r="1048">
      <c r="C1048" s="164"/>
      <c r="E1048" s="402"/>
      <c r="G1048" s="404"/>
      <c r="H1048" s="404"/>
      <c r="I1048" s="404"/>
      <c r="K1048" s="322"/>
      <c r="L1048" s="401"/>
    </row>
    <row r="1049">
      <c r="C1049" s="164"/>
      <c r="E1049" s="402"/>
      <c r="G1049" s="404"/>
      <c r="H1049" s="404"/>
      <c r="I1049" s="404"/>
      <c r="K1049" s="322"/>
      <c r="L1049" s="401"/>
    </row>
    <row r="1050">
      <c r="C1050" s="164"/>
      <c r="E1050" s="402"/>
      <c r="G1050" s="404"/>
      <c r="H1050" s="404"/>
      <c r="I1050" s="404"/>
      <c r="K1050" s="322"/>
      <c r="L1050" s="401"/>
    </row>
    <row r="1051">
      <c r="C1051" s="164"/>
      <c r="E1051" s="402"/>
      <c r="G1051" s="404"/>
      <c r="H1051" s="404"/>
      <c r="I1051" s="404"/>
      <c r="K1051" s="322"/>
      <c r="L1051" s="401"/>
    </row>
    <row r="1052">
      <c r="C1052" s="164"/>
      <c r="E1052" s="402"/>
      <c r="G1052" s="404"/>
      <c r="H1052" s="404"/>
      <c r="I1052" s="404"/>
      <c r="K1052" s="322"/>
      <c r="L1052" s="401"/>
    </row>
    <row r="1053">
      <c r="C1053" s="164"/>
      <c r="E1053" s="402"/>
      <c r="G1053" s="404"/>
      <c r="H1053" s="404"/>
      <c r="I1053" s="404"/>
      <c r="K1053" s="322"/>
      <c r="L1053" s="401"/>
    </row>
    <row r="1054">
      <c r="C1054" s="164"/>
      <c r="E1054" s="402"/>
      <c r="G1054" s="404"/>
      <c r="H1054" s="404"/>
      <c r="I1054" s="404"/>
      <c r="K1054" s="322"/>
      <c r="L1054" s="401"/>
    </row>
    <row r="1055">
      <c r="C1055" s="164"/>
      <c r="E1055" s="402"/>
      <c r="G1055" s="404"/>
      <c r="H1055" s="404"/>
      <c r="I1055" s="404"/>
      <c r="K1055" s="322"/>
      <c r="L1055" s="401"/>
    </row>
    <row r="1056">
      <c r="C1056" s="164"/>
      <c r="E1056" s="402"/>
      <c r="G1056" s="404"/>
      <c r="H1056" s="404"/>
      <c r="I1056" s="404"/>
      <c r="K1056" s="322"/>
      <c r="L1056" s="401"/>
    </row>
    <row r="1057">
      <c r="C1057" s="164"/>
      <c r="E1057" s="402"/>
      <c r="G1057" s="404"/>
      <c r="H1057" s="404"/>
      <c r="I1057" s="404"/>
      <c r="K1057" s="322"/>
      <c r="L1057" s="401"/>
    </row>
    <row r="1058">
      <c r="C1058" s="164"/>
      <c r="E1058" s="402"/>
      <c r="G1058" s="404"/>
      <c r="H1058" s="404"/>
      <c r="I1058" s="404"/>
      <c r="K1058" s="322"/>
      <c r="L1058" s="401"/>
    </row>
    <row r="1059">
      <c r="C1059" s="164"/>
      <c r="E1059" s="402"/>
      <c r="G1059" s="404"/>
      <c r="H1059" s="404"/>
      <c r="I1059" s="404"/>
      <c r="K1059" s="322"/>
      <c r="L1059" s="401"/>
    </row>
    <row r="1060">
      <c r="C1060" s="164"/>
      <c r="E1060" s="402"/>
      <c r="G1060" s="404"/>
      <c r="H1060" s="404"/>
      <c r="I1060" s="404"/>
      <c r="K1060" s="322"/>
      <c r="L1060" s="401"/>
    </row>
    <row r="1061">
      <c r="C1061" s="164"/>
      <c r="E1061" s="402"/>
      <c r="G1061" s="404"/>
      <c r="H1061" s="404"/>
      <c r="I1061" s="404"/>
      <c r="K1061" s="322"/>
      <c r="L1061" s="401"/>
    </row>
    <row r="1062">
      <c r="C1062" s="164"/>
      <c r="E1062" s="402"/>
      <c r="G1062" s="404"/>
      <c r="H1062" s="404"/>
      <c r="I1062" s="404"/>
      <c r="K1062" s="322"/>
      <c r="L1062" s="401"/>
    </row>
    <row r="1063">
      <c r="C1063" s="164"/>
      <c r="E1063" s="402"/>
      <c r="G1063" s="404"/>
      <c r="H1063" s="404"/>
      <c r="I1063" s="404"/>
      <c r="K1063" s="322"/>
      <c r="L1063" s="401"/>
    </row>
    <row r="1064">
      <c r="C1064" s="164"/>
      <c r="E1064" s="402"/>
      <c r="G1064" s="404"/>
      <c r="H1064" s="404"/>
      <c r="I1064" s="404"/>
      <c r="K1064" s="322"/>
      <c r="L1064" s="401"/>
    </row>
    <row r="1065">
      <c r="C1065" s="164"/>
      <c r="E1065" s="402"/>
      <c r="G1065" s="404"/>
      <c r="H1065" s="404"/>
      <c r="I1065" s="404"/>
      <c r="K1065" s="322"/>
      <c r="L1065" s="401"/>
    </row>
    <row r="1066">
      <c r="C1066" s="164"/>
      <c r="E1066" s="402"/>
      <c r="G1066" s="404"/>
      <c r="H1066" s="404"/>
      <c r="I1066" s="404"/>
      <c r="K1066" s="322"/>
      <c r="L1066" s="401"/>
    </row>
    <row r="1067">
      <c r="C1067" s="164"/>
      <c r="E1067" s="402"/>
      <c r="G1067" s="404"/>
      <c r="H1067" s="404"/>
      <c r="I1067" s="404"/>
      <c r="K1067" s="322"/>
      <c r="L1067" s="401"/>
    </row>
    <row r="1068">
      <c r="C1068" s="164"/>
      <c r="E1068" s="402"/>
      <c r="G1068" s="404"/>
      <c r="H1068" s="404"/>
      <c r="I1068" s="404"/>
      <c r="K1068" s="322"/>
      <c r="L1068" s="401"/>
    </row>
    <row r="1069">
      <c r="C1069" s="164"/>
      <c r="E1069" s="402"/>
      <c r="G1069" s="404"/>
      <c r="H1069" s="404"/>
      <c r="I1069" s="404"/>
      <c r="K1069" s="322"/>
      <c r="L1069" s="401"/>
    </row>
    <row r="1070">
      <c r="C1070" s="164"/>
      <c r="E1070" s="402"/>
      <c r="G1070" s="404"/>
      <c r="H1070" s="404"/>
      <c r="I1070" s="404"/>
      <c r="K1070" s="322"/>
      <c r="L1070" s="401"/>
    </row>
    <row r="1071">
      <c r="C1071" s="164"/>
      <c r="E1071" s="402"/>
      <c r="G1071" s="404"/>
      <c r="H1071" s="404"/>
      <c r="I1071" s="404"/>
      <c r="K1071" s="322"/>
      <c r="L1071" s="401"/>
    </row>
    <row r="1072">
      <c r="C1072" s="164"/>
      <c r="E1072" s="402"/>
      <c r="G1072" s="404"/>
      <c r="H1072" s="404"/>
      <c r="I1072" s="404"/>
      <c r="K1072" s="322"/>
      <c r="L1072" s="401"/>
    </row>
    <row r="1073">
      <c r="C1073" s="164"/>
      <c r="E1073" s="402"/>
      <c r="G1073" s="404"/>
      <c r="H1073" s="404"/>
      <c r="I1073" s="404"/>
      <c r="K1073" s="322"/>
      <c r="L1073" s="401"/>
    </row>
    <row r="1074">
      <c r="C1074" s="164"/>
      <c r="E1074" s="402"/>
      <c r="G1074" s="404"/>
      <c r="H1074" s="404"/>
      <c r="I1074" s="404"/>
      <c r="K1074" s="322"/>
      <c r="L1074" s="401"/>
    </row>
    <row r="1075">
      <c r="C1075" s="164"/>
      <c r="E1075" s="402"/>
      <c r="G1075" s="404"/>
      <c r="H1075" s="404"/>
      <c r="I1075" s="404"/>
      <c r="K1075" s="322"/>
      <c r="L1075" s="401"/>
    </row>
    <row r="1076">
      <c r="C1076" s="164"/>
      <c r="E1076" s="402"/>
      <c r="G1076" s="404"/>
      <c r="H1076" s="404"/>
      <c r="I1076" s="404"/>
      <c r="K1076" s="322"/>
      <c r="L1076" s="401"/>
    </row>
    <row r="1077">
      <c r="C1077" s="164"/>
      <c r="E1077" s="402"/>
      <c r="G1077" s="404"/>
      <c r="H1077" s="404"/>
      <c r="I1077" s="404"/>
      <c r="K1077" s="322"/>
      <c r="L1077" s="401"/>
    </row>
    <row r="1078">
      <c r="C1078" s="164"/>
      <c r="E1078" s="402"/>
      <c r="G1078" s="404"/>
      <c r="H1078" s="404"/>
      <c r="I1078" s="404"/>
      <c r="K1078" s="322"/>
      <c r="L1078" s="401"/>
    </row>
    <row r="1079">
      <c r="C1079" s="164"/>
      <c r="E1079" s="402"/>
      <c r="G1079" s="404"/>
      <c r="H1079" s="404"/>
      <c r="I1079" s="404"/>
      <c r="K1079" s="322"/>
      <c r="L1079" s="401"/>
    </row>
    <row r="1080">
      <c r="C1080" s="164"/>
      <c r="E1080" s="402"/>
      <c r="G1080" s="404"/>
      <c r="H1080" s="404"/>
      <c r="I1080" s="404"/>
      <c r="K1080" s="322"/>
      <c r="L1080" s="401"/>
    </row>
    <row r="1081">
      <c r="C1081" s="164"/>
      <c r="E1081" s="402"/>
      <c r="G1081" s="404"/>
      <c r="H1081" s="404"/>
      <c r="I1081" s="404"/>
      <c r="K1081" s="322"/>
      <c r="L1081" s="401"/>
    </row>
    <row r="1082">
      <c r="C1082" s="164"/>
      <c r="E1082" s="402"/>
      <c r="G1082" s="404"/>
      <c r="H1082" s="404"/>
      <c r="I1082" s="404"/>
      <c r="K1082" s="322"/>
      <c r="L1082" s="401"/>
    </row>
    <row r="1083">
      <c r="C1083" s="164"/>
      <c r="E1083" s="402"/>
      <c r="G1083" s="404"/>
      <c r="H1083" s="404"/>
      <c r="I1083" s="404"/>
      <c r="K1083" s="322"/>
      <c r="L1083" s="401"/>
    </row>
    <row r="1084">
      <c r="C1084" s="164"/>
      <c r="E1084" s="402"/>
      <c r="G1084" s="404"/>
      <c r="H1084" s="404"/>
      <c r="I1084" s="404"/>
      <c r="K1084" s="322"/>
      <c r="L1084" s="401"/>
    </row>
    <row r="1085">
      <c r="C1085" s="164"/>
      <c r="E1085" s="402"/>
      <c r="G1085" s="404"/>
      <c r="H1085" s="404"/>
      <c r="I1085" s="404"/>
      <c r="K1085" s="322"/>
      <c r="L1085" s="401"/>
    </row>
    <row r="1086">
      <c r="C1086" s="164"/>
      <c r="E1086" s="402"/>
      <c r="G1086" s="404"/>
      <c r="H1086" s="404"/>
      <c r="I1086" s="404"/>
      <c r="K1086" s="322"/>
      <c r="L1086" s="401"/>
    </row>
    <row r="1087">
      <c r="C1087" s="164"/>
      <c r="E1087" s="402"/>
      <c r="G1087" s="404"/>
      <c r="H1087" s="404"/>
      <c r="I1087" s="404"/>
      <c r="K1087" s="322"/>
      <c r="L1087" s="401"/>
    </row>
    <row r="1088">
      <c r="C1088" s="164"/>
      <c r="E1088" s="402"/>
      <c r="G1088" s="404"/>
      <c r="H1088" s="404"/>
      <c r="I1088" s="404"/>
      <c r="K1088" s="322"/>
      <c r="L1088" s="401"/>
    </row>
    <row r="1089">
      <c r="C1089" s="164"/>
      <c r="E1089" s="402"/>
      <c r="G1089" s="404"/>
      <c r="H1089" s="404"/>
      <c r="I1089" s="404"/>
      <c r="K1089" s="322"/>
      <c r="L1089" s="401"/>
    </row>
    <row r="1090">
      <c r="C1090" s="164"/>
      <c r="E1090" s="402"/>
      <c r="G1090" s="404"/>
      <c r="H1090" s="404"/>
      <c r="I1090" s="404"/>
      <c r="K1090" s="322"/>
      <c r="L1090" s="401"/>
    </row>
    <row r="1091">
      <c r="C1091" s="164"/>
      <c r="E1091" s="402"/>
      <c r="G1091" s="404"/>
      <c r="H1091" s="404"/>
      <c r="I1091" s="404"/>
      <c r="K1091" s="322"/>
      <c r="L1091" s="401"/>
    </row>
    <row r="1092">
      <c r="C1092" s="164"/>
      <c r="E1092" s="402"/>
      <c r="G1092" s="404"/>
      <c r="H1092" s="404"/>
      <c r="I1092" s="404"/>
      <c r="K1092" s="322"/>
      <c r="L1092" s="401"/>
    </row>
    <row r="1093">
      <c r="C1093" s="164"/>
      <c r="E1093" s="402"/>
      <c r="G1093" s="404"/>
      <c r="H1093" s="404"/>
      <c r="I1093" s="404"/>
      <c r="K1093" s="322"/>
      <c r="L1093" s="401"/>
    </row>
    <row r="1094">
      <c r="C1094" s="164"/>
      <c r="E1094" s="402"/>
      <c r="G1094" s="404"/>
      <c r="H1094" s="404"/>
      <c r="I1094" s="404"/>
      <c r="K1094" s="322"/>
      <c r="L1094" s="401"/>
    </row>
    <row r="1095">
      <c r="C1095" s="164"/>
      <c r="E1095" s="402"/>
      <c r="G1095" s="404"/>
      <c r="H1095" s="404"/>
      <c r="I1095" s="404"/>
      <c r="K1095" s="322"/>
      <c r="L1095" s="401"/>
    </row>
    <row r="1096">
      <c r="C1096" s="164"/>
      <c r="E1096" s="402"/>
      <c r="G1096" s="404"/>
      <c r="H1096" s="404"/>
      <c r="I1096" s="404"/>
      <c r="K1096" s="322"/>
      <c r="L1096" s="401"/>
    </row>
    <row r="1097">
      <c r="C1097" s="164"/>
      <c r="E1097" s="402"/>
      <c r="G1097" s="404"/>
      <c r="H1097" s="404"/>
      <c r="I1097" s="404"/>
      <c r="K1097" s="322"/>
      <c r="L1097" s="401"/>
    </row>
    <row r="1098">
      <c r="C1098" s="164"/>
      <c r="E1098" s="402"/>
      <c r="G1098" s="404"/>
      <c r="H1098" s="404"/>
      <c r="I1098" s="404"/>
      <c r="K1098" s="322"/>
      <c r="L1098" s="401"/>
    </row>
    <row r="1099">
      <c r="C1099" s="164"/>
      <c r="E1099" s="402"/>
      <c r="G1099" s="404"/>
      <c r="H1099" s="404"/>
      <c r="I1099" s="404"/>
      <c r="K1099" s="322"/>
      <c r="L1099" s="401"/>
    </row>
    <row r="1100">
      <c r="C1100" s="164"/>
      <c r="E1100" s="402"/>
      <c r="G1100" s="404"/>
      <c r="H1100" s="404"/>
      <c r="I1100" s="404"/>
      <c r="K1100" s="322"/>
      <c r="L1100" s="401"/>
    </row>
    <row r="1101">
      <c r="C1101" s="164"/>
      <c r="E1101" s="402"/>
      <c r="G1101" s="404"/>
      <c r="H1101" s="404"/>
      <c r="I1101" s="404"/>
      <c r="K1101" s="322"/>
      <c r="L1101" s="401"/>
    </row>
    <row r="1102">
      <c r="C1102" s="164"/>
      <c r="E1102" s="402"/>
      <c r="G1102" s="404"/>
      <c r="H1102" s="404"/>
      <c r="I1102" s="404"/>
      <c r="K1102" s="322"/>
      <c r="L1102" s="401"/>
    </row>
    <row r="1103">
      <c r="C1103" s="164"/>
      <c r="E1103" s="402"/>
      <c r="G1103" s="404"/>
      <c r="H1103" s="404"/>
      <c r="I1103" s="404"/>
      <c r="K1103" s="322"/>
      <c r="L1103" s="401"/>
    </row>
    <row r="1104">
      <c r="C1104" s="164"/>
      <c r="E1104" s="402"/>
      <c r="G1104" s="404"/>
      <c r="H1104" s="404"/>
      <c r="I1104" s="404"/>
      <c r="K1104" s="322"/>
      <c r="L1104" s="401"/>
    </row>
    <row r="1105">
      <c r="C1105" s="164"/>
      <c r="E1105" s="402"/>
      <c r="G1105" s="404"/>
      <c r="H1105" s="404"/>
      <c r="I1105" s="404"/>
      <c r="K1105" s="322"/>
      <c r="L1105" s="401"/>
    </row>
    <row r="1106">
      <c r="C1106" s="164"/>
      <c r="E1106" s="402"/>
      <c r="G1106" s="404"/>
      <c r="H1106" s="404"/>
      <c r="I1106" s="404"/>
      <c r="K1106" s="322"/>
      <c r="L1106" s="401"/>
    </row>
    <row r="1107">
      <c r="C1107" s="164"/>
      <c r="E1107" s="402"/>
      <c r="G1107" s="404"/>
      <c r="H1107" s="404"/>
      <c r="I1107" s="404"/>
      <c r="K1107" s="322"/>
      <c r="L1107" s="401"/>
    </row>
    <row r="1108">
      <c r="C1108" s="164"/>
      <c r="E1108" s="402"/>
      <c r="G1108" s="404"/>
      <c r="H1108" s="404"/>
      <c r="I1108" s="404"/>
      <c r="K1108" s="322"/>
      <c r="L1108" s="401"/>
    </row>
    <row r="1109">
      <c r="C1109" s="164"/>
      <c r="E1109" s="402"/>
      <c r="G1109" s="404"/>
      <c r="H1109" s="404"/>
      <c r="I1109" s="404"/>
      <c r="K1109" s="322"/>
      <c r="L1109" s="401"/>
    </row>
    <row r="1110">
      <c r="C1110" s="164"/>
      <c r="E1110" s="402"/>
      <c r="G1110" s="404"/>
      <c r="H1110" s="404"/>
      <c r="I1110" s="404"/>
      <c r="K1110" s="322"/>
      <c r="L1110" s="401"/>
    </row>
    <row r="1111">
      <c r="C1111" s="164"/>
      <c r="E1111" s="402"/>
      <c r="G1111" s="404"/>
      <c r="H1111" s="404"/>
      <c r="I1111" s="404"/>
      <c r="K1111" s="322"/>
      <c r="L1111" s="401"/>
    </row>
    <row r="1112">
      <c r="C1112" s="164"/>
      <c r="E1112" s="402"/>
      <c r="G1112" s="404"/>
      <c r="H1112" s="404"/>
      <c r="I1112" s="404"/>
      <c r="K1112" s="322"/>
      <c r="L1112" s="401"/>
    </row>
    <row r="1113">
      <c r="C1113" s="164"/>
      <c r="E1113" s="402"/>
      <c r="G1113" s="404"/>
      <c r="H1113" s="404"/>
      <c r="I1113" s="404"/>
      <c r="K1113" s="322"/>
      <c r="L1113" s="401"/>
    </row>
    <row r="1114">
      <c r="C1114" s="164"/>
      <c r="E1114" s="402"/>
      <c r="G1114" s="404"/>
      <c r="H1114" s="404"/>
      <c r="I1114" s="404"/>
      <c r="K1114" s="322"/>
      <c r="L1114" s="401"/>
    </row>
    <row r="1115">
      <c r="C1115" s="164"/>
      <c r="E1115" s="402"/>
      <c r="G1115" s="404"/>
      <c r="H1115" s="404"/>
      <c r="I1115" s="404"/>
      <c r="K1115" s="322"/>
      <c r="L1115" s="401"/>
    </row>
    <row r="1116">
      <c r="C1116" s="164"/>
      <c r="E1116" s="402"/>
      <c r="G1116" s="404"/>
      <c r="H1116" s="404"/>
      <c r="I1116" s="404"/>
      <c r="K1116" s="322"/>
      <c r="L1116" s="401"/>
    </row>
    <row r="1117">
      <c r="C1117" s="164"/>
      <c r="E1117" s="402"/>
      <c r="G1117" s="404"/>
      <c r="H1117" s="404"/>
      <c r="I1117" s="404"/>
      <c r="K1117" s="322"/>
      <c r="L1117" s="401"/>
    </row>
    <row r="1118">
      <c r="C1118" s="164"/>
      <c r="E1118" s="402"/>
      <c r="G1118" s="404"/>
      <c r="H1118" s="404"/>
      <c r="I1118" s="404"/>
      <c r="K1118" s="322"/>
      <c r="L1118" s="401"/>
    </row>
    <row r="1119">
      <c r="C1119" s="164"/>
      <c r="E1119" s="402"/>
      <c r="G1119" s="404"/>
      <c r="H1119" s="404"/>
      <c r="I1119" s="404"/>
      <c r="K1119" s="322"/>
      <c r="L1119" s="401"/>
    </row>
    <row r="1120">
      <c r="C1120" s="164"/>
      <c r="E1120" s="402"/>
      <c r="G1120" s="404"/>
      <c r="H1120" s="404"/>
      <c r="I1120" s="404"/>
      <c r="K1120" s="322"/>
      <c r="L1120" s="401"/>
    </row>
    <row r="1121">
      <c r="C1121" s="164"/>
      <c r="E1121" s="402"/>
      <c r="G1121" s="404"/>
      <c r="H1121" s="404"/>
      <c r="I1121" s="404"/>
      <c r="K1121" s="322"/>
      <c r="L1121" s="401"/>
    </row>
    <row r="1122">
      <c r="C1122" s="164"/>
      <c r="E1122" s="402"/>
      <c r="G1122" s="404"/>
      <c r="H1122" s="404"/>
      <c r="I1122" s="404"/>
      <c r="K1122" s="322"/>
      <c r="L1122" s="401"/>
    </row>
    <row r="1123">
      <c r="C1123" s="164"/>
      <c r="E1123" s="402"/>
      <c r="G1123" s="404"/>
      <c r="H1123" s="404"/>
      <c r="I1123" s="404"/>
      <c r="K1123" s="322"/>
      <c r="L1123" s="401"/>
    </row>
    <row r="1124">
      <c r="C1124" s="164"/>
      <c r="E1124" s="402"/>
      <c r="G1124" s="404"/>
      <c r="H1124" s="404"/>
      <c r="I1124" s="404"/>
      <c r="K1124" s="322"/>
      <c r="L1124" s="401"/>
    </row>
    <row r="1125">
      <c r="C1125" s="164"/>
      <c r="E1125" s="402"/>
      <c r="G1125" s="404"/>
      <c r="H1125" s="404"/>
      <c r="I1125" s="404"/>
      <c r="K1125" s="322"/>
      <c r="L1125" s="401"/>
    </row>
    <row r="1126">
      <c r="C1126" s="164"/>
      <c r="E1126" s="402"/>
      <c r="G1126" s="404"/>
      <c r="H1126" s="404"/>
      <c r="I1126" s="404"/>
      <c r="K1126" s="322"/>
      <c r="L1126" s="401"/>
    </row>
    <row r="1127">
      <c r="C1127" s="164"/>
      <c r="E1127" s="402"/>
      <c r="G1127" s="404"/>
      <c r="H1127" s="404"/>
      <c r="I1127" s="404"/>
      <c r="K1127" s="322"/>
      <c r="L1127" s="401"/>
    </row>
    <row r="1128">
      <c r="C1128" s="164"/>
      <c r="E1128" s="402"/>
      <c r="G1128" s="404"/>
      <c r="H1128" s="404"/>
      <c r="I1128" s="404"/>
      <c r="K1128" s="322"/>
      <c r="L1128" s="401"/>
    </row>
    <row r="1129">
      <c r="C1129" s="164"/>
      <c r="E1129" s="402"/>
      <c r="G1129" s="404"/>
      <c r="H1129" s="404"/>
      <c r="I1129" s="404"/>
      <c r="K1129" s="322"/>
      <c r="L1129" s="401"/>
    </row>
    <row r="1130">
      <c r="C1130" s="164"/>
      <c r="E1130" s="402"/>
      <c r="G1130" s="404"/>
      <c r="H1130" s="404"/>
      <c r="I1130" s="404"/>
      <c r="K1130" s="322"/>
      <c r="L1130" s="401"/>
    </row>
    <row r="1131">
      <c r="C1131" s="164"/>
      <c r="E1131" s="402"/>
      <c r="G1131" s="404"/>
      <c r="H1131" s="404"/>
      <c r="I1131" s="404"/>
      <c r="K1131" s="322"/>
      <c r="L1131" s="401"/>
    </row>
    <row r="1132">
      <c r="C1132" s="164"/>
      <c r="E1132" s="402"/>
      <c r="G1132" s="404"/>
      <c r="H1132" s="404"/>
      <c r="I1132" s="404"/>
      <c r="K1132" s="322"/>
      <c r="L1132" s="401"/>
    </row>
    <row r="1133">
      <c r="C1133" s="164"/>
      <c r="E1133" s="402"/>
      <c r="G1133" s="404"/>
      <c r="H1133" s="404"/>
      <c r="I1133" s="404"/>
      <c r="K1133" s="322"/>
      <c r="L1133" s="401"/>
    </row>
    <row r="1134">
      <c r="C1134" s="164"/>
      <c r="E1134" s="402"/>
      <c r="G1134" s="404"/>
      <c r="H1134" s="404"/>
      <c r="I1134" s="404"/>
      <c r="K1134" s="322"/>
      <c r="L1134" s="401"/>
    </row>
    <row r="1135">
      <c r="C1135" s="164"/>
      <c r="E1135" s="402"/>
      <c r="G1135" s="404"/>
      <c r="H1135" s="404"/>
      <c r="I1135" s="404"/>
      <c r="K1135" s="322"/>
      <c r="L1135" s="401"/>
    </row>
    <row r="1136">
      <c r="C1136" s="164"/>
      <c r="E1136" s="402"/>
      <c r="G1136" s="404"/>
      <c r="H1136" s="404"/>
      <c r="I1136" s="404"/>
      <c r="K1136" s="322"/>
      <c r="L1136" s="401"/>
    </row>
    <row r="1137">
      <c r="C1137" s="164"/>
      <c r="E1137" s="402"/>
      <c r="G1137" s="404"/>
      <c r="H1137" s="404"/>
      <c r="I1137" s="404"/>
      <c r="K1137" s="322"/>
      <c r="L1137" s="401"/>
    </row>
    <row r="1138">
      <c r="C1138" s="164"/>
      <c r="E1138" s="402"/>
      <c r="G1138" s="404"/>
      <c r="H1138" s="404"/>
      <c r="I1138" s="404"/>
      <c r="K1138" s="322"/>
      <c r="L1138" s="401"/>
    </row>
    <row r="1139">
      <c r="C1139" s="164"/>
      <c r="E1139" s="402"/>
      <c r="G1139" s="404"/>
      <c r="H1139" s="404"/>
      <c r="I1139" s="404"/>
      <c r="K1139" s="322"/>
      <c r="L1139" s="401"/>
    </row>
    <row r="1140">
      <c r="C1140" s="164"/>
      <c r="E1140" s="402"/>
      <c r="G1140" s="404"/>
      <c r="H1140" s="404"/>
      <c r="I1140" s="404"/>
      <c r="K1140" s="322"/>
      <c r="L1140" s="401"/>
    </row>
    <row r="1141">
      <c r="C1141" s="164"/>
      <c r="E1141" s="402"/>
      <c r="G1141" s="404"/>
      <c r="H1141" s="404"/>
      <c r="I1141" s="404"/>
      <c r="K1141" s="322"/>
      <c r="L1141" s="401"/>
    </row>
    <row r="1142">
      <c r="C1142" s="164"/>
      <c r="E1142" s="402"/>
      <c r="G1142" s="404"/>
      <c r="H1142" s="404"/>
      <c r="I1142" s="404"/>
      <c r="K1142" s="322"/>
      <c r="L1142" s="401"/>
    </row>
    <row r="1143">
      <c r="C1143" s="164"/>
      <c r="E1143" s="402"/>
      <c r="G1143" s="404"/>
      <c r="H1143" s="404"/>
      <c r="I1143" s="404"/>
      <c r="K1143" s="322"/>
      <c r="L1143" s="401"/>
    </row>
    <row r="1144">
      <c r="C1144" s="164"/>
      <c r="E1144" s="402"/>
      <c r="G1144" s="404"/>
      <c r="H1144" s="404"/>
      <c r="I1144" s="404"/>
      <c r="K1144" s="322"/>
      <c r="L1144" s="401"/>
    </row>
    <row r="1145">
      <c r="C1145" s="164"/>
      <c r="E1145" s="402"/>
      <c r="G1145" s="404"/>
      <c r="H1145" s="404"/>
      <c r="I1145" s="404"/>
      <c r="K1145" s="322"/>
      <c r="L1145" s="401"/>
    </row>
    <row r="1146">
      <c r="C1146" s="164"/>
      <c r="E1146" s="402"/>
      <c r="G1146" s="404"/>
      <c r="H1146" s="404"/>
      <c r="I1146" s="404"/>
      <c r="K1146" s="322"/>
      <c r="L1146" s="401"/>
    </row>
    <row r="1147">
      <c r="C1147" s="164"/>
      <c r="E1147" s="402"/>
      <c r="G1147" s="404"/>
      <c r="H1147" s="404"/>
      <c r="I1147" s="404"/>
      <c r="K1147" s="322"/>
      <c r="L1147" s="401"/>
    </row>
    <row r="1148">
      <c r="C1148" s="164"/>
      <c r="E1148" s="402"/>
      <c r="G1148" s="404"/>
      <c r="H1148" s="404"/>
      <c r="I1148" s="404"/>
      <c r="K1148" s="322"/>
      <c r="L1148" s="401"/>
    </row>
    <row r="1149">
      <c r="C1149" s="164"/>
      <c r="E1149" s="402"/>
      <c r="G1149" s="404"/>
      <c r="H1149" s="404"/>
      <c r="I1149" s="404"/>
      <c r="K1149" s="322"/>
      <c r="L1149" s="401"/>
    </row>
    <row r="1150">
      <c r="C1150" s="164"/>
      <c r="E1150" s="402"/>
      <c r="G1150" s="404"/>
      <c r="H1150" s="404"/>
      <c r="I1150" s="404"/>
      <c r="K1150" s="322"/>
      <c r="L1150" s="401"/>
    </row>
    <row r="1151">
      <c r="C1151" s="164"/>
      <c r="E1151" s="402"/>
      <c r="G1151" s="404"/>
      <c r="H1151" s="404"/>
      <c r="I1151" s="404"/>
      <c r="K1151" s="322"/>
      <c r="L1151" s="401"/>
    </row>
    <row r="1152">
      <c r="C1152" s="164"/>
      <c r="E1152" s="402"/>
      <c r="G1152" s="404"/>
      <c r="H1152" s="404"/>
      <c r="I1152" s="404"/>
      <c r="K1152" s="322"/>
      <c r="L1152" s="401"/>
    </row>
    <row r="1153">
      <c r="C1153" s="164"/>
      <c r="E1153" s="402"/>
      <c r="G1153" s="404"/>
      <c r="H1153" s="404"/>
      <c r="I1153" s="404"/>
      <c r="K1153" s="322"/>
      <c r="L1153" s="401"/>
    </row>
    <row r="1154">
      <c r="C1154" s="164"/>
      <c r="E1154" s="402"/>
      <c r="G1154" s="404"/>
      <c r="H1154" s="404"/>
      <c r="I1154" s="404"/>
      <c r="K1154" s="322"/>
      <c r="L1154" s="401"/>
    </row>
    <row r="1155">
      <c r="C1155" s="164"/>
      <c r="E1155" s="402"/>
      <c r="G1155" s="404"/>
      <c r="H1155" s="404"/>
      <c r="I1155" s="404"/>
      <c r="K1155" s="322"/>
      <c r="L1155" s="401"/>
    </row>
    <row r="1156">
      <c r="C1156" s="164"/>
      <c r="E1156" s="402"/>
      <c r="G1156" s="404"/>
      <c r="H1156" s="404"/>
      <c r="I1156" s="404"/>
      <c r="K1156" s="322"/>
      <c r="L1156" s="401"/>
    </row>
    <row r="1157">
      <c r="C1157" s="164"/>
      <c r="E1157" s="402"/>
      <c r="G1157" s="404"/>
      <c r="H1157" s="404"/>
      <c r="I1157" s="404"/>
      <c r="K1157" s="322"/>
      <c r="L1157" s="401"/>
    </row>
    <row r="1158">
      <c r="C1158" s="164"/>
      <c r="E1158" s="402"/>
      <c r="G1158" s="404"/>
      <c r="H1158" s="404"/>
      <c r="I1158" s="404"/>
      <c r="K1158" s="322"/>
      <c r="L1158" s="401"/>
    </row>
    <row r="1159">
      <c r="C1159" s="164"/>
      <c r="E1159" s="402"/>
      <c r="G1159" s="404"/>
      <c r="H1159" s="404"/>
      <c r="I1159" s="404"/>
      <c r="K1159" s="322"/>
      <c r="L1159" s="401"/>
    </row>
    <row r="1160">
      <c r="C1160" s="164"/>
      <c r="E1160" s="402"/>
      <c r="G1160" s="404"/>
      <c r="H1160" s="404"/>
      <c r="I1160" s="404"/>
      <c r="K1160" s="322"/>
      <c r="L1160" s="401"/>
    </row>
    <row r="1161">
      <c r="C1161" s="164"/>
      <c r="E1161" s="402"/>
      <c r="G1161" s="404"/>
      <c r="H1161" s="404"/>
      <c r="I1161" s="404"/>
      <c r="K1161" s="322"/>
      <c r="L1161" s="401"/>
    </row>
    <row r="1162">
      <c r="C1162" s="164"/>
      <c r="E1162" s="402"/>
      <c r="G1162" s="404"/>
      <c r="H1162" s="404"/>
      <c r="I1162" s="404"/>
      <c r="K1162" s="322"/>
      <c r="L1162" s="401"/>
    </row>
    <row r="1163">
      <c r="C1163" s="164"/>
      <c r="E1163" s="402"/>
      <c r="G1163" s="404"/>
      <c r="H1163" s="404"/>
      <c r="I1163" s="404"/>
      <c r="K1163" s="322"/>
      <c r="L1163" s="401"/>
    </row>
    <row r="1164">
      <c r="C1164" s="164"/>
      <c r="E1164" s="402"/>
      <c r="G1164" s="404"/>
      <c r="H1164" s="404"/>
      <c r="I1164" s="404"/>
      <c r="K1164" s="322"/>
      <c r="L1164" s="401"/>
    </row>
    <row r="1165">
      <c r="C1165" s="164"/>
      <c r="E1165" s="402"/>
      <c r="G1165" s="404"/>
      <c r="H1165" s="404"/>
      <c r="I1165" s="404"/>
      <c r="K1165" s="322"/>
      <c r="L1165" s="401"/>
    </row>
    <row r="1166">
      <c r="C1166" s="164"/>
      <c r="E1166" s="402"/>
      <c r="G1166" s="404"/>
      <c r="H1166" s="404"/>
      <c r="I1166" s="404"/>
      <c r="K1166" s="322"/>
      <c r="L1166" s="401"/>
    </row>
    <row r="1167">
      <c r="C1167" s="164"/>
      <c r="E1167" s="402"/>
      <c r="G1167" s="404"/>
      <c r="H1167" s="404"/>
      <c r="I1167" s="404"/>
      <c r="K1167" s="322"/>
      <c r="L1167" s="401"/>
    </row>
    <row r="1168">
      <c r="C1168" s="164"/>
      <c r="E1168" s="402"/>
      <c r="G1168" s="404"/>
      <c r="H1168" s="404"/>
      <c r="I1168" s="404"/>
      <c r="K1168" s="322"/>
      <c r="L1168" s="401"/>
    </row>
    <row r="1169">
      <c r="C1169" s="164"/>
      <c r="E1169" s="402"/>
      <c r="G1169" s="404"/>
      <c r="H1169" s="404"/>
      <c r="I1169" s="404"/>
      <c r="K1169" s="322"/>
      <c r="L1169" s="401"/>
    </row>
    <row r="1170">
      <c r="C1170" s="164"/>
      <c r="E1170" s="402"/>
      <c r="G1170" s="404"/>
      <c r="H1170" s="404"/>
      <c r="I1170" s="404"/>
      <c r="K1170" s="322"/>
      <c r="L1170" s="401"/>
    </row>
    <row r="1171">
      <c r="C1171" s="164"/>
      <c r="E1171" s="402"/>
      <c r="G1171" s="404"/>
      <c r="H1171" s="404"/>
      <c r="I1171" s="404"/>
      <c r="K1171" s="322"/>
      <c r="L1171" s="401"/>
    </row>
    <row r="1172">
      <c r="C1172" s="164"/>
      <c r="E1172" s="402"/>
      <c r="G1172" s="404"/>
      <c r="H1172" s="404"/>
      <c r="I1172" s="404"/>
      <c r="K1172" s="322"/>
      <c r="L1172" s="401"/>
    </row>
    <row r="1173">
      <c r="C1173" s="164"/>
      <c r="E1173" s="402"/>
      <c r="G1173" s="404"/>
      <c r="H1173" s="404"/>
      <c r="I1173" s="404"/>
      <c r="K1173" s="322"/>
      <c r="L1173" s="401"/>
    </row>
    <row r="1174">
      <c r="C1174" s="164"/>
      <c r="E1174" s="402"/>
      <c r="G1174" s="404"/>
      <c r="H1174" s="404"/>
      <c r="I1174" s="404"/>
      <c r="K1174" s="322"/>
      <c r="L1174" s="401"/>
    </row>
    <row r="1175">
      <c r="C1175" s="164"/>
      <c r="E1175" s="402"/>
      <c r="G1175" s="404"/>
      <c r="H1175" s="404"/>
      <c r="I1175" s="404"/>
      <c r="K1175" s="322"/>
      <c r="L1175" s="401"/>
    </row>
    <row r="1176">
      <c r="C1176" s="164"/>
      <c r="E1176" s="402"/>
      <c r="G1176" s="404"/>
      <c r="H1176" s="404"/>
      <c r="I1176" s="404"/>
      <c r="K1176" s="322"/>
      <c r="L1176" s="401"/>
    </row>
    <row r="1177">
      <c r="C1177" s="164"/>
      <c r="E1177" s="402"/>
      <c r="G1177" s="404"/>
      <c r="H1177" s="404"/>
      <c r="I1177" s="404"/>
      <c r="K1177" s="322"/>
      <c r="L1177" s="401"/>
    </row>
    <row r="1178">
      <c r="C1178" s="164"/>
      <c r="E1178" s="402"/>
      <c r="G1178" s="404"/>
      <c r="H1178" s="404"/>
      <c r="I1178" s="404"/>
      <c r="K1178" s="322"/>
      <c r="L1178" s="401"/>
    </row>
    <row r="1179">
      <c r="C1179" s="164"/>
      <c r="E1179" s="402"/>
      <c r="G1179" s="404"/>
      <c r="H1179" s="404"/>
      <c r="I1179" s="404"/>
      <c r="K1179" s="322"/>
      <c r="L1179" s="401"/>
    </row>
    <row r="1180">
      <c r="C1180" s="164"/>
      <c r="E1180" s="402"/>
      <c r="G1180" s="404"/>
      <c r="H1180" s="404"/>
      <c r="I1180" s="404"/>
      <c r="K1180" s="322"/>
      <c r="L1180" s="401"/>
    </row>
    <row r="1181">
      <c r="C1181" s="164"/>
      <c r="E1181" s="402"/>
      <c r="G1181" s="404"/>
      <c r="H1181" s="404"/>
      <c r="I1181" s="404"/>
      <c r="K1181" s="322"/>
      <c r="L1181" s="401"/>
    </row>
    <row r="1182">
      <c r="C1182" s="164"/>
      <c r="E1182" s="402"/>
      <c r="G1182" s="404"/>
      <c r="H1182" s="404"/>
      <c r="I1182" s="404"/>
      <c r="K1182" s="322"/>
      <c r="L1182" s="401"/>
    </row>
    <row r="1183">
      <c r="C1183" s="164"/>
      <c r="E1183" s="402"/>
      <c r="G1183" s="404"/>
      <c r="H1183" s="404"/>
      <c r="I1183" s="404"/>
      <c r="K1183" s="322"/>
      <c r="L1183" s="401"/>
    </row>
    <row r="1184">
      <c r="C1184" s="164"/>
      <c r="E1184" s="402"/>
      <c r="G1184" s="404"/>
      <c r="H1184" s="404"/>
      <c r="I1184" s="404"/>
      <c r="K1184" s="322"/>
      <c r="L1184" s="401"/>
    </row>
    <row r="1185">
      <c r="C1185" s="164"/>
      <c r="E1185" s="402"/>
      <c r="G1185" s="404"/>
      <c r="H1185" s="404"/>
      <c r="I1185" s="404"/>
      <c r="K1185" s="322"/>
      <c r="L1185" s="401"/>
    </row>
    <row r="1186">
      <c r="C1186" s="164"/>
      <c r="E1186" s="402"/>
      <c r="G1186" s="404"/>
      <c r="H1186" s="404"/>
      <c r="I1186" s="404"/>
      <c r="K1186" s="322"/>
      <c r="L1186" s="401"/>
    </row>
    <row r="1187">
      <c r="C1187" s="164"/>
      <c r="E1187" s="402"/>
      <c r="G1187" s="404"/>
      <c r="H1187" s="404"/>
      <c r="I1187" s="404"/>
      <c r="K1187" s="322"/>
      <c r="L1187" s="401"/>
    </row>
    <row r="1188">
      <c r="C1188" s="164"/>
      <c r="E1188" s="402"/>
      <c r="G1188" s="404"/>
      <c r="H1188" s="404"/>
      <c r="I1188" s="404"/>
      <c r="K1188" s="322"/>
      <c r="L1188" s="401"/>
    </row>
    <row r="1189">
      <c r="C1189" s="164"/>
      <c r="E1189" s="402"/>
      <c r="G1189" s="404"/>
      <c r="H1189" s="404"/>
      <c r="I1189" s="404"/>
      <c r="K1189" s="322"/>
      <c r="L1189" s="401"/>
    </row>
    <row r="1190">
      <c r="C1190" s="164"/>
      <c r="E1190" s="402"/>
      <c r="G1190" s="404"/>
      <c r="H1190" s="404"/>
      <c r="I1190" s="404"/>
      <c r="K1190" s="322"/>
      <c r="L1190" s="401"/>
    </row>
    <row r="1191">
      <c r="C1191" s="164"/>
      <c r="E1191" s="402"/>
      <c r="G1191" s="404"/>
      <c r="H1191" s="404"/>
      <c r="I1191" s="404"/>
      <c r="K1191" s="322"/>
      <c r="L1191" s="401"/>
    </row>
    <row r="1192">
      <c r="C1192" s="164"/>
      <c r="E1192" s="402"/>
      <c r="G1192" s="404"/>
      <c r="H1192" s="404"/>
      <c r="I1192" s="404"/>
      <c r="K1192" s="322"/>
      <c r="L1192" s="401"/>
    </row>
    <row r="1193">
      <c r="C1193" s="164"/>
      <c r="E1193" s="402"/>
      <c r="G1193" s="404"/>
      <c r="H1193" s="404"/>
      <c r="I1193" s="404"/>
      <c r="K1193" s="322"/>
      <c r="L1193" s="401"/>
    </row>
    <row r="1194">
      <c r="C1194" s="164"/>
      <c r="E1194" s="402"/>
      <c r="G1194" s="404"/>
      <c r="H1194" s="404"/>
      <c r="I1194" s="404"/>
      <c r="K1194" s="322"/>
      <c r="L1194" s="401"/>
    </row>
    <row r="1195">
      <c r="C1195" s="164"/>
      <c r="E1195" s="402"/>
      <c r="G1195" s="404"/>
      <c r="H1195" s="404"/>
      <c r="I1195" s="404"/>
      <c r="K1195" s="322"/>
      <c r="L1195" s="401"/>
    </row>
  </sheetData>
  <autoFilter ref="$A$3:$X$195">
    <sortState ref="A3:X195">
      <sortCondition ref="A3:A195"/>
      <sortCondition descending="1" ref="L3:L195"/>
      <sortCondition ref="E3:E195"/>
      <sortCondition descending="1" ref="N3:N195"/>
    </sortState>
  </autoFilter>
  <hyperlinks>
    <hyperlink r:id="rId1" ref="C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5" t="s">
        <v>4010</v>
      </c>
      <c r="B1" s="2">
        <f>sum(B3:B1006)</f>
        <v>159.3909745</v>
      </c>
    </row>
    <row r="2">
      <c r="A2" s="399" t="s">
        <v>388</v>
      </c>
      <c r="B2" s="400" t="s">
        <v>2</v>
      </c>
    </row>
    <row r="3">
      <c r="A3" s="322" t="s">
        <v>6</v>
      </c>
      <c r="B3" s="401">
        <v>31.390917267088902</v>
      </c>
    </row>
    <row r="4">
      <c r="A4" s="322" t="s">
        <v>14</v>
      </c>
      <c r="B4" s="401">
        <v>23.0391913969515</v>
      </c>
    </row>
    <row r="5">
      <c r="A5" s="322" t="s">
        <v>9</v>
      </c>
      <c r="B5" s="401">
        <v>18.465324419460153</v>
      </c>
    </row>
    <row r="6">
      <c r="A6" s="322" t="s">
        <v>39</v>
      </c>
      <c r="B6" s="401">
        <v>11.456871024472429</v>
      </c>
    </row>
    <row r="7">
      <c r="A7" s="322" t="s">
        <v>4</v>
      </c>
      <c r="B7" s="401">
        <v>10.520335646892468</v>
      </c>
    </row>
    <row r="8">
      <c r="A8" s="322" t="s">
        <v>15</v>
      </c>
      <c r="B8" s="401">
        <v>7.785137122367616</v>
      </c>
    </row>
    <row r="9">
      <c r="A9" s="322" t="s">
        <v>29</v>
      </c>
      <c r="B9" s="401">
        <v>6.698133182965665</v>
      </c>
    </row>
    <row r="10">
      <c r="A10" s="322" t="s">
        <v>5</v>
      </c>
      <c r="B10" s="401">
        <v>5.823732503576094</v>
      </c>
    </row>
    <row r="11">
      <c r="A11" s="322" t="s">
        <v>60</v>
      </c>
      <c r="B11" s="401">
        <v>4.685185168302082</v>
      </c>
    </row>
    <row r="12">
      <c r="A12" s="322" t="s">
        <v>71</v>
      </c>
      <c r="B12" s="401">
        <v>3.748148134641666</v>
      </c>
    </row>
    <row r="13">
      <c r="A13" s="322" t="s">
        <v>50</v>
      </c>
      <c r="B13" s="401">
        <v>3.5738403106301857</v>
      </c>
    </row>
    <row r="14">
      <c r="A14" s="322" t="s">
        <v>80</v>
      </c>
      <c r="B14" s="401">
        <v>3.257796979943785</v>
      </c>
    </row>
    <row r="15">
      <c r="A15" s="322" t="s">
        <v>40</v>
      </c>
      <c r="B15" s="401">
        <v>3.159726749004209</v>
      </c>
    </row>
    <row r="16">
      <c r="A16" s="322" t="s">
        <v>41</v>
      </c>
      <c r="B16" s="401">
        <v>3.034454040462517</v>
      </c>
    </row>
    <row r="17">
      <c r="A17" s="322" t="s">
        <v>30</v>
      </c>
      <c r="B17" s="401">
        <v>3.012621402594845</v>
      </c>
    </row>
    <row r="18">
      <c r="A18" s="322" t="s">
        <v>76</v>
      </c>
      <c r="B18" s="401">
        <v>2.3425925841510407</v>
      </c>
    </row>
    <row r="19">
      <c r="A19" s="414" t="s">
        <v>18</v>
      </c>
      <c r="B19" s="415">
        <v>2.195487237741677</v>
      </c>
      <c r="C19" s="414" t="s">
        <v>3944</v>
      </c>
      <c r="D19" s="120"/>
      <c r="E19" s="120"/>
      <c r="F19" s="120"/>
      <c r="G19" s="120"/>
      <c r="H19" s="120"/>
      <c r="I19" s="120"/>
      <c r="J19" s="120"/>
      <c r="K19" s="120"/>
      <c r="L19" s="120"/>
      <c r="M19" s="120"/>
      <c r="N19" s="120"/>
      <c r="O19" s="120"/>
      <c r="P19" s="120"/>
      <c r="Q19" s="120"/>
      <c r="R19" s="120"/>
      <c r="S19" s="120"/>
      <c r="T19" s="120"/>
      <c r="U19" s="120"/>
      <c r="V19" s="120"/>
      <c r="W19" s="120"/>
      <c r="X19" s="120"/>
      <c r="Y19" s="120"/>
    </row>
    <row r="20">
      <c r="A20" s="418" t="s">
        <v>52</v>
      </c>
      <c r="B20" s="415">
        <v>2.195487237741677</v>
      </c>
      <c r="C20" s="120"/>
      <c r="D20" s="120"/>
      <c r="E20" s="120"/>
      <c r="F20" s="120"/>
      <c r="G20" s="120"/>
      <c r="H20" s="120"/>
      <c r="I20" s="120"/>
      <c r="J20" s="120"/>
      <c r="K20" s="120"/>
      <c r="L20" s="120"/>
      <c r="M20" s="120"/>
      <c r="N20" s="120"/>
      <c r="O20" s="120"/>
      <c r="P20" s="120"/>
      <c r="Q20" s="120"/>
      <c r="R20" s="120"/>
      <c r="S20" s="120"/>
      <c r="T20" s="120"/>
      <c r="U20" s="120"/>
      <c r="V20" s="120"/>
      <c r="W20" s="120"/>
      <c r="X20" s="120"/>
      <c r="Y20" s="120"/>
    </row>
    <row r="21">
      <c r="A21" s="414" t="s">
        <v>16</v>
      </c>
      <c r="B21" s="415">
        <v>2.195487237741677</v>
      </c>
      <c r="C21" s="414" t="s">
        <v>3944</v>
      </c>
      <c r="D21" s="120"/>
      <c r="E21" s="120"/>
      <c r="F21" s="120"/>
      <c r="G21" s="120"/>
      <c r="H21" s="120"/>
      <c r="I21" s="120"/>
      <c r="J21" s="120"/>
      <c r="K21" s="120"/>
      <c r="L21" s="120"/>
      <c r="M21" s="120"/>
      <c r="N21" s="120"/>
      <c r="O21" s="120"/>
      <c r="P21" s="120"/>
      <c r="Q21" s="120"/>
      <c r="R21" s="120"/>
      <c r="S21" s="120"/>
      <c r="T21" s="120"/>
      <c r="U21" s="120"/>
      <c r="V21" s="120"/>
      <c r="W21" s="120"/>
      <c r="X21" s="120"/>
      <c r="Y21" s="120"/>
    </row>
    <row r="22">
      <c r="A22" s="322" t="s">
        <v>54</v>
      </c>
      <c r="B22" s="401">
        <v>1.874074067320833</v>
      </c>
    </row>
    <row r="23">
      <c r="A23" s="322" t="s">
        <v>146</v>
      </c>
      <c r="B23" s="401">
        <v>1.874074067320833</v>
      </c>
    </row>
    <row r="24">
      <c r="A24" s="322" t="s">
        <v>8</v>
      </c>
      <c r="B24" s="401">
        <v>1.0290591293201454</v>
      </c>
    </row>
    <row r="25">
      <c r="A25" s="322" t="s">
        <v>24</v>
      </c>
      <c r="B25" s="401">
        <v>0.7926166071182741</v>
      </c>
      <c r="C25" s="110"/>
    </row>
    <row r="26">
      <c r="A26" s="322" t="s">
        <v>124</v>
      </c>
      <c r="B26" s="401">
        <v>0.7926166071182741</v>
      </c>
    </row>
    <row r="27">
      <c r="A27" s="322" t="s">
        <v>43</v>
      </c>
      <c r="B27" s="401">
        <v>0.6183087831067942</v>
      </c>
      <c r="C27" s="110"/>
    </row>
    <row r="28">
      <c r="A28" s="399" t="s">
        <v>25</v>
      </c>
      <c r="B28" s="401">
        <v>0.5801899865708422</v>
      </c>
      <c r="C28" s="110" t="s">
        <v>4011</v>
      </c>
    </row>
    <row r="29">
      <c r="A29" s="322" t="s">
        <v>68</v>
      </c>
      <c r="B29" s="401">
        <v>0.46851851683020823</v>
      </c>
    </row>
    <row r="30">
      <c r="A30" s="322" t="s">
        <v>114</v>
      </c>
      <c r="B30" s="401">
        <v>0.4597854616831393</v>
      </c>
    </row>
    <row r="31">
      <c r="A31" s="322" t="s">
        <v>73</v>
      </c>
      <c r="B31" s="401">
        <v>0.34593072815573805</v>
      </c>
    </row>
    <row r="32">
      <c r="A32" s="322" t="s">
        <v>112</v>
      </c>
      <c r="B32" s="401">
        <v>0.34593072815573805</v>
      </c>
    </row>
    <row r="33">
      <c r="A33" s="322" t="s">
        <v>31</v>
      </c>
      <c r="B33" s="401">
        <v>0.34593072815573805</v>
      </c>
    </row>
    <row r="34">
      <c r="A34" s="322" t="s">
        <v>188</v>
      </c>
      <c r="B34" s="401">
        <v>0.2990788764727173</v>
      </c>
    </row>
    <row r="35">
      <c r="A35" s="322" t="s">
        <v>100</v>
      </c>
      <c r="B35" s="401">
        <v>0.29689561268595005</v>
      </c>
    </row>
    <row r="36">
      <c r="A36" s="322" t="s">
        <v>117</v>
      </c>
      <c r="B36" s="401">
        <v>0.23425925841510412</v>
      </c>
    </row>
    <row r="37">
      <c r="A37" s="322" t="s">
        <v>111</v>
      </c>
      <c r="B37" s="401">
        <v>0.13618902747552802</v>
      </c>
    </row>
    <row r="38">
      <c r="A38" s="322" t="s">
        <v>376</v>
      </c>
      <c r="B38" s="401">
        <v>0.11385473352740123</v>
      </c>
    </row>
    <row r="39">
      <c r="A39" s="322" t="s">
        <v>375</v>
      </c>
      <c r="B39" s="401">
        <v>0.11385473352740123</v>
      </c>
    </row>
    <row r="40">
      <c r="A40" s="322" t="s">
        <v>378</v>
      </c>
      <c r="B40" s="401">
        <v>0.0893371757925072</v>
      </c>
    </row>
    <row r="41">
      <c r="A41" s="322"/>
      <c r="B41" s="401"/>
    </row>
    <row r="42">
      <c r="A42" s="322"/>
      <c r="B42" s="401"/>
    </row>
    <row r="43">
      <c r="A43" s="322"/>
      <c r="B43" s="401"/>
    </row>
    <row r="44">
      <c r="A44" s="322"/>
      <c r="B44" s="401"/>
    </row>
    <row r="45">
      <c r="A45" s="322"/>
      <c r="B45" s="401"/>
    </row>
    <row r="46">
      <c r="A46" s="322"/>
      <c r="B46" s="401"/>
    </row>
    <row r="47">
      <c r="A47" s="322"/>
      <c r="B47" s="401"/>
    </row>
    <row r="48">
      <c r="A48" s="322"/>
      <c r="B48" s="401"/>
    </row>
    <row r="49">
      <c r="A49" s="322"/>
      <c r="B49" s="401"/>
    </row>
    <row r="50">
      <c r="A50" s="322"/>
      <c r="B50" s="401"/>
    </row>
    <row r="51">
      <c r="A51" s="322"/>
      <c r="B51" s="401"/>
    </row>
    <row r="52">
      <c r="A52" s="322"/>
      <c r="B52" s="401"/>
    </row>
    <row r="53">
      <c r="A53" s="322"/>
      <c r="B53" s="401"/>
    </row>
    <row r="54">
      <c r="A54" s="322"/>
      <c r="B54" s="401"/>
    </row>
    <row r="55">
      <c r="A55" s="322"/>
      <c r="B55" s="401"/>
    </row>
    <row r="56">
      <c r="A56" s="322"/>
      <c r="B56" s="401"/>
    </row>
    <row r="57">
      <c r="A57" s="322"/>
      <c r="B57" s="401"/>
    </row>
    <row r="58">
      <c r="A58" s="322"/>
      <c r="B58" s="401"/>
    </row>
    <row r="59">
      <c r="A59" s="322"/>
      <c r="B59" s="401"/>
    </row>
    <row r="60">
      <c r="A60" s="322"/>
      <c r="B60" s="401"/>
    </row>
    <row r="61">
      <c r="A61" s="322"/>
      <c r="B61" s="401"/>
    </row>
    <row r="62">
      <c r="A62" s="322"/>
      <c r="B62" s="401"/>
    </row>
    <row r="63">
      <c r="A63" s="322"/>
      <c r="B63" s="401"/>
    </row>
    <row r="64">
      <c r="A64" s="322"/>
      <c r="B64" s="401"/>
    </row>
    <row r="65">
      <c r="A65" s="322"/>
      <c r="B65" s="401"/>
    </row>
    <row r="66">
      <c r="A66" s="322"/>
      <c r="B66" s="401"/>
    </row>
    <row r="67">
      <c r="A67" s="322"/>
      <c r="B67" s="401"/>
    </row>
    <row r="68">
      <c r="A68" s="322"/>
      <c r="B68" s="401"/>
    </row>
    <row r="69">
      <c r="A69" s="322"/>
      <c r="B69" s="401"/>
    </row>
    <row r="70">
      <c r="A70" s="322"/>
      <c r="B70" s="401"/>
    </row>
    <row r="71">
      <c r="A71" s="322"/>
      <c r="B71" s="401"/>
    </row>
    <row r="72">
      <c r="A72" s="322"/>
      <c r="B72" s="401"/>
    </row>
    <row r="73">
      <c r="A73" s="322"/>
      <c r="B73" s="401"/>
    </row>
    <row r="74">
      <c r="A74" s="322"/>
      <c r="B74" s="401"/>
    </row>
    <row r="75">
      <c r="A75" s="322"/>
      <c r="B75" s="401"/>
    </row>
    <row r="76">
      <c r="A76" s="322"/>
      <c r="B76" s="401"/>
    </row>
    <row r="77">
      <c r="A77" s="322"/>
      <c r="B77" s="401"/>
    </row>
    <row r="78">
      <c r="A78" s="322"/>
      <c r="B78" s="401"/>
    </row>
    <row r="79">
      <c r="A79" s="322"/>
      <c r="B79" s="401"/>
    </row>
    <row r="80">
      <c r="A80" s="322"/>
      <c r="B80" s="401"/>
    </row>
    <row r="81">
      <c r="A81" s="322"/>
      <c r="B81" s="401"/>
    </row>
    <row r="82">
      <c r="A82" s="322"/>
      <c r="B82" s="401"/>
    </row>
    <row r="83">
      <c r="A83" s="322"/>
      <c r="B83" s="401"/>
    </row>
    <row r="84">
      <c r="A84" s="322"/>
      <c r="B84" s="401"/>
    </row>
    <row r="85">
      <c r="A85" s="322"/>
      <c r="B85" s="401"/>
    </row>
    <row r="86">
      <c r="A86" s="322"/>
      <c r="B86" s="401"/>
    </row>
    <row r="87">
      <c r="A87" s="322"/>
      <c r="B87" s="401"/>
    </row>
    <row r="88">
      <c r="A88" s="322"/>
      <c r="B88" s="401"/>
    </row>
    <row r="89">
      <c r="A89" s="322"/>
      <c r="B89" s="401"/>
    </row>
    <row r="90">
      <c r="A90" s="322"/>
      <c r="B90" s="401"/>
    </row>
    <row r="91">
      <c r="A91" s="322"/>
      <c r="B91" s="401"/>
    </row>
    <row r="92">
      <c r="A92" s="322"/>
      <c r="B92" s="401"/>
    </row>
    <row r="93">
      <c r="A93" s="322"/>
      <c r="B93" s="401"/>
    </row>
    <row r="94">
      <c r="A94" s="322"/>
      <c r="B94" s="401"/>
    </row>
    <row r="95">
      <c r="A95" s="322"/>
      <c r="B95" s="401"/>
    </row>
    <row r="96">
      <c r="A96" s="322"/>
      <c r="B96" s="401"/>
    </row>
    <row r="97">
      <c r="A97" s="322"/>
      <c r="B97" s="401"/>
    </row>
    <row r="98">
      <c r="A98" s="322"/>
      <c r="B98" s="401"/>
    </row>
    <row r="99">
      <c r="A99" s="322"/>
      <c r="B99" s="401"/>
    </row>
    <row r="100">
      <c r="A100" s="322"/>
      <c r="B100" s="401"/>
    </row>
    <row r="101">
      <c r="A101" s="322"/>
      <c r="B101" s="401"/>
    </row>
    <row r="102">
      <c r="A102" s="322"/>
      <c r="B102" s="401"/>
    </row>
    <row r="103">
      <c r="A103" s="322"/>
      <c r="B103" s="401"/>
    </row>
    <row r="104">
      <c r="A104" s="322"/>
      <c r="B104" s="401"/>
    </row>
    <row r="105">
      <c r="A105" s="322"/>
      <c r="B105" s="401"/>
    </row>
    <row r="106">
      <c r="A106" s="322"/>
      <c r="B106" s="401"/>
    </row>
    <row r="107">
      <c r="A107" s="322"/>
      <c r="B107" s="401"/>
    </row>
    <row r="108">
      <c r="A108" s="322"/>
      <c r="B108" s="401"/>
    </row>
    <row r="109">
      <c r="A109" s="322"/>
      <c r="B109" s="401"/>
    </row>
    <row r="110">
      <c r="A110" s="322"/>
      <c r="B110" s="401"/>
    </row>
    <row r="111">
      <c r="A111" s="322"/>
      <c r="B111" s="401"/>
    </row>
    <row r="112">
      <c r="A112" s="322"/>
      <c r="B112" s="401"/>
    </row>
    <row r="113">
      <c r="A113" s="322"/>
      <c r="B113" s="401"/>
    </row>
    <row r="114">
      <c r="A114" s="322"/>
      <c r="B114" s="401"/>
    </row>
    <row r="115">
      <c r="A115" s="322"/>
      <c r="B115" s="401"/>
    </row>
    <row r="116">
      <c r="A116" s="322"/>
      <c r="B116" s="401"/>
    </row>
    <row r="117">
      <c r="A117" s="322"/>
      <c r="B117" s="401"/>
    </row>
    <row r="118">
      <c r="A118" s="322"/>
      <c r="B118" s="401"/>
    </row>
    <row r="119">
      <c r="A119" s="322"/>
      <c r="B119" s="401"/>
    </row>
    <row r="120">
      <c r="A120" s="322"/>
      <c r="B120" s="401"/>
    </row>
    <row r="121">
      <c r="A121" s="322"/>
      <c r="B121" s="401"/>
    </row>
    <row r="122">
      <c r="A122" s="322"/>
      <c r="B122" s="401"/>
    </row>
    <row r="123">
      <c r="A123" s="322"/>
      <c r="B123" s="401"/>
    </row>
    <row r="124">
      <c r="A124" s="322"/>
      <c r="B124" s="401"/>
    </row>
    <row r="125">
      <c r="A125" s="322"/>
      <c r="B125" s="401"/>
    </row>
    <row r="126">
      <c r="A126" s="322"/>
      <c r="B126" s="401"/>
    </row>
    <row r="127">
      <c r="A127" s="322"/>
      <c r="B127" s="401"/>
    </row>
    <row r="128">
      <c r="A128" s="322"/>
      <c r="B128" s="401"/>
    </row>
    <row r="129">
      <c r="A129" s="322"/>
      <c r="B129" s="401"/>
    </row>
    <row r="130">
      <c r="A130" s="322"/>
      <c r="B130" s="401"/>
    </row>
    <row r="131">
      <c r="A131" s="322"/>
      <c r="B131" s="401"/>
    </row>
    <row r="132">
      <c r="A132" s="322"/>
      <c r="B132" s="401"/>
    </row>
    <row r="133">
      <c r="A133" s="322"/>
      <c r="B133" s="401"/>
    </row>
    <row r="134">
      <c r="A134" s="322"/>
      <c r="B134" s="401"/>
    </row>
    <row r="135">
      <c r="A135" s="322"/>
      <c r="B135" s="401"/>
    </row>
    <row r="136">
      <c r="A136" s="322"/>
      <c r="B136" s="401"/>
    </row>
    <row r="137">
      <c r="A137" s="322"/>
      <c r="B137" s="401"/>
    </row>
    <row r="138">
      <c r="A138" s="322"/>
      <c r="B138" s="401"/>
    </row>
    <row r="139">
      <c r="A139" s="322"/>
      <c r="B139" s="401"/>
    </row>
    <row r="140">
      <c r="A140" s="322"/>
      <c r="B140" s="401"/>
    </row>
    <row r="141">
      <c r="A141" s="322"/>
      <c r="B141" s="401"/>
    </row>
    <row r="142">
      <c r="A142" s="322"/>
      <c r="B142" s="401"/>
    </row>
    <row r="143">
      <c r="A143" s="322"/>
      <c r="B143" s="401"/>
    </row>
    <row r="144">
      <c r="A144" s="322"/>
      <c r="B144" s="401"/>
    </row>
    <row r="145">
      <c r="A145" s="322"/>
      <c r="B145" s="401"/>
    </row>
    <row r="146">
      <c r="A146" s="322"/>
      <c r="B146" s="401"/>
    </row>
    <row r="147">
      <c r="A147" s="322"/>
      <c r="B147" s="401"/>
    </row>
    <row r="148">
      <c r="A148" s="322"/>
      <c r="B148" s="401"/>
    </row>
    <row r="149">
      <c r="A149" s="322"/>
      <c r="B149" s="401"/>
    </row>
    <row r="150">
      <c r="A150" s="322"/>
      <c r="B150" s="401"/>
    </row>
    <row r="151">
      <c r="A151" s="322"/>
      <c r="B151" s="401"/>
    </row>
    <row r="152">
      <c r="A152" s="322"/>
      <c r="B152" s="401"/>
    </row>
    <row r="153">
      <c r="A153" s="322"/>
      <c r="B153" s="401"/>
    </row>
    <row r="154">
      <c r="A154" s="322"/>
      <c r="B154" s="401"/>
    </row>
    <row r="155">
      <c r="A155" s="322"/>
      <c r="B155" s="401"/>
    </row>
    <row r="156">
      <c r="A156" s="322"/>
      <c r="B156" s="401"/>
    </row>
    <row r="157">
      <c r="A157" s="322"/>
      <c r="B157" s="401"/>
    </row>
    <row r="158">
      <c r="A158" s="322"/>
      <c r="B158" s="401"/>
    </row>
    <row r="159">
      <c r="A159" s="322"/>
      <c r="B159" s="401"/>
    </row>
    <row r="160">
      <c r="A160" s="322"/>
      <c r="B160" s="401"/>
    </row>
    <row r="161">
      <c r="A161" s="322"/>
      <c r="B161" s="401"/>
    </row>
    <row r="162">
      <c r="A162" s="322"/>
      <c r="B162" s="401"/>
    </row>
    <row r="163">
      <c r="A163" s="322"/>
      <c r="B163" s="401"/>
    </row>
    <row r="164">
      <c r="A164" s="322"/>
      <c r="B164" s="401"/>
    </row>
    <row r="165">
      <c r="A165" s="322"/>
      <c r="B165" s="401"/>
    </row>
    <row r="166">
      <c r="A166" s="322"/>
      <c r="B166" s="401"/>
    </row>
    <row r="167">
      <c r="A167" s="322"/>
      <c r="B167" s="401"/>
    </row>
    <row r="168">
      <c r="A168" s="322"/>
      <c r="B168" s="401"/>
    </row>
    <row r="169">
      <c r="A169" s="322"/>
      <c r="B169" s="401"/>
    </row>
    <row r="170">
      <c r="A170" s="322"/>
      <c r="B170" s="401"/>
    </row>
    <row r="171">
      <c r="A171" s="322"/>
      <c r="B171" s="401"/>
    </row>
    <row r="172">
      <c r="A172" s="322"/>
      <c r="B172" s="401"/>
    </row>
    <row r="173">
      <c r="A173" s="322"/>
      <c r="B173" s="401"/>
    </row>
    <row r="174">
      <c r="A174" s="322"/>
      <c r="B174" s="401"/>
    </row>
    <row r="175">
      <c r="A175" s="322"/>
      <c r="B175" s="401"/>
    </row>
    <row r="176">
      <c r="A176" s="322"/>
      <c r="B176" s="401"/>
    </row>
    <row r="177">
      <c r="A177" s="322"/>
      <c r="B177" s="401"/>
    </row>
    <row r="178">
      <c r="A178" s="322"/>
      <c r="B178" s="401"/>
    </row>
    <row r="179">
      <c r="A179" s="322"/>
      <c r="B179" s="401"/>
    </row>
    <row r="180">
      <c r="A180" s="322"/>
      <c r="B180" s="401"/>
    </row>
    <row r="181">
      <c r="A181" s="322"/>
      <c r="B181" s="401"/>
    </row>
    <row r="182">
      <c r="A182" s="322"/>
      <c r="B182" s="401"/>
    </row>
    <row r="183">
      <c r="A183" s="322"/>
      <c r="B183" s="401"/>
    </row>
    <row r="184">
      <c r="A184" s="322"/>
      <c r="B184" s="401"/>
    </row>
    <row r="185">
      <c r="A185" s="322"/>
      <c r="B185" s="401"/>
    </row>
    <row r="186">
      <c r="A186" s="322"/>
      <c r="B186" s="401"/>
    </row>
    <row r="187">
      <c r="A187" s="322"/>
      <c r="B187" s="401"/>
    </row>
    <row r="188">
      <c r="A188" s="322"/>
      <c r="B188" s="401"/>
    </row>
    <row r="189">
      <c r="A189" s="322"/>
      <c r="B189" s="401"/>
    </row>
    <row r="190">
      <c r="A190" s="322"/>
      <c r="B190" s="401"/>
    </row>
    <row r="191">
      <c r="A191" s="322"/>
      <c r="B191" s="401"/>
    </row>
    <row r="192">
      <c r="A192" s="322"/>
      <c r="B192" s="401"/>
    </row>
    <row r="193">
      <c r="A193" s="322"/>
      <c r="B193" s="401"/>
    </row>
    <row r="194">
      <c r="A194" s="322"/>
      <c r="B194" s="401"/>
    </row>
    <row r="195">
      <c r="A195" s="322"/>
      <c r="B195" s="401"/>
    </row>
    <row r="196">
      <c r="A196" s="322"/>
      <c r="B196" s="401"/>
    </row>
    <row r="197">
      <c r="A197" s="322"/>
      <c r="B197" s="401"/>
    </row>
    <row r="198">
      <c r="A198" s="322"/>
      <c r="B198" s="401"/>
    </row>
    <row r="199">
      <c r="A199" s="322"/>
      <c r="B199" s="401"/>
    </row>
    <row r="200">
      <c r="A200" s="322"/>
      <c r="B200" s="401"/>
    </row>
    <row r="201">
      <c r="A201" s="322"/>
      <c r="B201" s="401"/>
    </row>
    <row r="202">
      <c r="A202" s="322"/>
      <c r="B202" s="401"/>
    </row>
    <row r="203">
      <c r="A203" s="322"/>
      <c r="B203" s="401"/>
    </row>
    <row r="204">
      <c r="A204" s="322"/>
      <c r="B204" s="401"/>
    </row>
    <row r="205">
      <c r="A205" s="322"/>
      <c r="B205" s="401"/>
    </row>
    <row r="206">
      <c r="A206" s="322"/>
      <c r="B206" s="401"/>
    </row>
    <row r="207">
      <c r="A207" s="322"/>
      <c r="B207" s="401"/>
    </row>
    <row r="208">
      <c r="A208" s="322"/>
      <c r="B208" s="401"/>
    </row>
    <row r="209">
      <c r="A209" s="322"/>
      <c r="B209" s="401"/>
    </row>
    <row r="210">
      <c r="A210" s="322"/>
      <c r="B210" s="401"/>
    </row>
    <row r="211">
      <c r="A211" s="322"/>
      <c r="B211" s="401"/>
    </row>
    <row r="212">
      <c r="A212" s="322"/>
      <c r="B212" s="401"/>
    </row>
    <row r="213">
      <c r="A213" s="322"/>
      <c r="B213" s="401"/>
    </row>
    <row r="214">
      <c r="A214" s="322"/>
      <c r="B214" s="401"/>
    </row>
    <row r="215">
      <c r="A215" s="322"/>
      <c r="B215" s="401"/>
    </row>
    <row r="216">
      <c r="A216" s="322"/>
      <c r="B216" s="401"/>
    </row>
    <row r="217">
      <c r="A217" s="322"/>
      <c r="B217" s="401"/>
    </row>
    <row r="218">
      <c r="A218" s="322"/>
      <c r="B218" s="401"/>
    </row>
    <row r="219">
      <c r="A219" s="322"/>
      <c r="B219" s="401"/>
    </row>
    <row r="220">
      <c r="A220" s="322"/>
      <c r="B220" s="401"/>
    </row>
    <row r="221">
      <c r="A221" s="322"/>
      <c r="B221" s="401"/>
    </row>
    <row r="222">
      <c r="A222" s="322"/>
      <c r="B222" s="401"/>
    </row>
    <row r="223">
      <c r="A223" s="322"/>
      <c r="B223" s="401"/>
    </row>
    <row r="224">
      <c r="A224" s="322"/>
      <c r="B224" s="401"/>
    </row>
    <row r="225">
      <c r="A225" s="322"/>
      <c r="B225" s="401"/>
    </row>
    <row r="226">
      <c r="A226" s="322"/>
      <c r="B226" s="401"/>
    </row>
    <row r="227">
      <c r="A227" s="322"/>
      <c r="B227" s="401"/>
    </row>
    <row r="228">
      <c r="A228" s="322"/>
      <c r="B228" s="401"/>
    </row>
    <row r="229">
      <c r="A229" s="322"/>
      <c r="B229" s="401"/>
    </row>
    <row r="230">
      <c r="A230" s="322"/>
      <c r="B230" s="401"/>
    </row>
    <row r="231">
      <c r="A231" s="322"/>
      <c r="B231" s="401"/>
    </row>
    <row r="232">
      <c r="A232" s="322"/>
      <c r="B232" s="401"/>
    </row>
    <row r="233">
      <c r="A233" s="322"/>
      <c r="B233" s="401"/>
    </row>
    <row r="234">
      <c r="A234" s="322"/>
      <c r="B234" s="401"/>
    </row>
    <row r="235">
      <c r="A235" s="322"/>
      <c r="B235" s="401"/>
    </row>
    <row r="236">
      <c r="A236" s="322"/>
      <c r="B236" s="401"/>
    </row>
    <row r="237">
      <c r="A237" s="322"/>
      <c r="B237" s="401"/>
    </row>
    <row r="238">
      <c r="A238" s="322"/>
      <c r="B238" s="401"/>
    </row>
    <row r="239">
      <c r="A239" s="322"/>
      <c r="B239" s="401"/>
    </row>
    <row r="240">
      <c r="A240" s="322"/>
      <c r="B240" s="401"/>
    </row>
    <row r="241">
      <c r="A241" s="322"/>
      <c r="B241" s="401"/>
    </row>
    <row r="242">
      <c r="A242" s="322"/>
      <c r="B242" s="401"/>
    </row>
    <row r="243">
      <c r="A243" s="322"/>
      <c r="B243" s="401"/>
    </row>
    <row r="244">
      <c r="A244" s="322"/>
      <c r="B244" s="401"/>
    </row>
    <row r="245">
      <c r="A245" s="322"/>
      <c r="B245" s="401"/>
    </row>
    <row r="246">
      <c r="A246" s="322"/>
      <c r="B246" s="401"/>
    </row>
    <row r="247">
      <c r="A247" s="322"/>
      <c r="B247" s="401"/>
    </row>
    <row r="248">
      <c r="A248" s="322"/>
      <c r="B248" s="401"/>
    </row>
    <row r="249">
      <c r="A249" s="322"/>
      <c r="B249" s="401"/>
    </row>
    <row r="250">
      <c r="A250" s="322"/>
      <c r="B250" s="401"/>
    </row>
    <row r="251">
      <c r="A251" s="322"/>
      <c r="B251" s="401"/>
    </row>
    <row r="252">
      <c r="A252" s="322"/>
      <c r="B252" s="401"/>
    </row>
    <row r="253">
      <c r="A253" s="322"/>
      <c r="B253" s="401"/>
    </row>
    <row r="254">
      <c r="A254" s="322"/>
      <c r="B254" s="401"/>
    </row>
    <row r="255">
      <c r="A255" s="322"/>
      <c r="B255" s="401"/>
    </row>
    <row r="256">
      <c r="A256" s="322"/>
      <c r="B256" s="401"/>
    </row>
    <row r="257">
      <c r="A257" s="322"/>
      <c r="B257" s="401"/>
    </row>
    <row r="258">
      <c r="A258" s="322"/>
      <c r="B258" s="401"/>
    </row>
    <row r="259">
      <c r="A259" s="322"/>
      <c r="B259" s="401"/>
    </row>
    <row r="260">
      <c r="A260" s="322"/>
      <c r="B260" s="401"/>
    </row>
    <row r="261">
      <c r="A261" s="322"/>
      <c r="B261" s="401"/>
    </row>
    <row r="262">
      <c r="A262" s="322"/>
      <c r="B262" s="401"/>
    </row>
    <row r="263">
      <c r="A263" s="322"/>
      <c r="B263" s="401"/>
    </row>
    <row r="264">
      <c r="A264" s="322"/>
      <c r="B264" s="401"/>
    </row>
    <row r="265">
      <c r="A265" s="322"/>
      <c r="B265" s="401"/>
    </row>
    <row r="266">
      <c r="A266" s="322"/>
      <c r="B266" s="401"/>
    </row>
    <row r="267">
      <c r="A267" s="322"/>
      <c r="B267" s="401"/>
    </row>
    <row r="268">
      <c r="A268" s="322"/>
      <c r="B268" s="401"/>
    </row>
    <row r="269">
      <c r="A269" s="322"/>
      <c r="B269" s="401"/>
    </row>
    <row r="270">
      <c r="A270" s="322"/>
      <c r="B270" s="401"/>
    </row>
    <row r="271">
      <c r="A271" s="322"/>
      <c r="B271" s="401"/>
    </row>
    <row r="272">
      <c r="A272" s="322"/>
      <c r="B272" s="401"/>
    </row>
    <row r="273">
      <c r="A273" s="322"/>
      <c r="B273" s="401"/>
    </row>
    <row r="274">
      <c r="A274" s="322"/>
      <c r="B274" s="401"/>
    </row>
    <row r="275">
      <c r="A275" s="322"/>
      <c r="B275" s="401"/>
    </row>
    <row r="276">
      <c r="A276" s="322"/>
      <c r="B276" s="401"/>
    </row>
    <row r="277">
      <c r="A277" s="322"/>
      <c r="B277" s="401"/>
    </row>
    <row r="278">
      <c r="A278" s="322"/>
      <c r="B278" s="401"/>
    </row>
    <row r="279">
      <c r="A279" s="322"/>
      <c r="B279" s="401"/>
    </row>
    <row r="280">
      <c r="A280" s="322"/>
      <c r="B280" s="401"/>
    </row>
    <row r="281">
      <c r="A281" s="322"/>
      <c r="B281" s="401"/>
    </row>
    <row r="282">
      <c r="A282" s="322"/>
      <c r="B282" s="401"/>
    </row>
    <row r="283">
      <c r="A283" s="322"/>
      <c r="B283" s="401"/>
    </row>
    <row r="284">
      <c r="A284" s="322"/>
      <c r="B284" s="401"/>
    </row>
    <row r="285">
      <c r="A285" s="322"/>
      <c r="B285" s="401"/>
    </row>
    <row r="286">
      <c r="A286" s="322"/>
      <c r="B286" s="401"/>
    </row>
    <row r="287">
      <c r="A287" s="322"/>
      <c r="B287" s="401"/>
    </row>
    <row r="288">
      <c r="A288" s="322"/>
      <c r="B288" s="401"/>
    </row>
    <row r="289">
      <c r="A289" s="322"/>
      <c r="B289" s="401"/>
    </row>
    <row r="290">
      <c r="A290" s="322"/>
      <c r="B290" s="401"/>
    </row>
    <row r="291">
      <c r="A291" s="322"/>
      <c r="B291" s="401"/>
    </row>
    <row r="292">
      <c r="A292" s="322"/>
      <c r="B292" s="401"/>
    </row>
    <row r="293">
      <c r="A293" s="322"/>
      <c r="B293" s="401"/>
    </row>
    <row r="294">
      <c r="A294" s="322"/>
      <c r="B294" s="401"/>
    </row>
    <row r="295">
      <c r="A295" s="322"/>
      <c r="B295" s="401"/>
    </row>
    <row r="296">
      <c r="A296" s="322"/>
      <c r="B296" s="401"/>
    </row>
    <row r="297">
      <c r="A297" s="322"/>
      <c r="B297" s="401"/>
    </row>
    <row r="298">
      <c r="A298" s="322"/>
      <c r="B298" s="401"/>
    </row>
    <row r="299">
      <c r="A299" s="322"/>
      <c r="B299" s="401"/>
    </row>
    <row r="300">
      <c r="A300" s="322"/>
      <c r="B300" s="401"/>
    </row>
    <row r="301">
      <c r="A301" s="322"/>
      <c r="B301" s="401"/>
    </row>
    <row r="302">
      <c r="A302" s="322"/>
      <c r="B302" s="401"/>
    </row>
    <row r="303">
      <c r="A303" s="322"/>
      <c r="B303" s="401"/>
    </row>
    <row r="304">
      <c r="A304" s="322"/>
      <c r="B304" s="401"/>
    </row>
    <row r="305">
      <c r="A305" s="322"/>
      <c r="B305" s="401"/>
    </row>
    <row r="306">
      <c r="A306" s="322"/>
      <c r="B306" s="401"/>
    </row>
    <row r="307">
      <c r="A307" s="322"/>
      <c r="B307" s="401"/>
    </row>
    <row r="308">
      <c r="A308" s="322"/>
      <c r="B308" s="401"/>
    </row>
    <row r="309">
      <c r="A309" s="322"/>
      <c r="B309" s="401"/>
    </row>
    <row r="310">
      <c r="A310" s="322"/>
      <c r="B310" s="401"/>
    </row>
    <row r="311">
      <c r="A311" s="322"/>
      <c r="B311" s="401"/>
    </row>
    <row r="312">
      <c r="A312" s="322"/>
      <c r="B312" s="401"/>
    </row>
    <row r="313">
      <c r="A313" s="322"/>
      <c r="B313" s="401"/>
    </row>
    <row r="314">
      <c r="A314" s="322"/>
      <c r="B314" s="401"/>
    </row>
    <row r="315">
      <c r="A315" s="322"/>
      <c r="B315" s="401"/>
    </row>
    <row r="316">
      <c r="A316" s="322"/>
      <c r="B316" s="401"/>
    </row>
    <row r="317">
      <c r="A317" s="322"/>
      <c r="B317" s="401"/>
    </row>
    <row r="318">
      <c r="A318" s="322"/>
      <c r="B318" s="401"/>
    </row>
    <row r="319">
      <c r="A319" s="322"/>
      <c r="B319" s="401"/>
    </row>
    <row r="320">
      <c r="A320" s="322"/>
      <c r="B320" s="401"/>
    </row>
    <row r="321">
      <c r="A321" s="322"/>
      <c r="B321" s="401"/>
    </row>
    <row r="322">
      <c r="A322" s="322"/>
      <c r="B322" s="401"/>
    </row>
    <row r="323">
      <c r="A323" s="322"/>
      <c r="B323" s="401"/>
    </row>
    <row r="324">
      <c r="A324" s="322"/>
      <c r="B324" s="401"/>
    </row>
    <row r="325">
      <c r="A325" s="322"/>
      <c r="B325" s="401"/>
    </row>
    <row r="326">
      <c r="A326" s="322"/>
      <c r="B326" s="401"/>
    </row>
    <row r="327">
      <c r="A327" s="322"/>
      <c r="B327" s="401"/>
    </row>
    <row r="328">
      <c r="A328" s="322"/>
      <c r="B328" s="401"/>
    </row>
    <row r="329">
      <c r="A329" s="322"/>
      <c r="B329" s="401"/>
    </row>
    <row r="330">
      <c r="A330" s="322"/>
      <c r="B330" s="401"/>
    </row>
    <row r="331">
      <c r="A331" s="322"/>
      <c r="B331" s="401"/>
    </row>
    <row r="332">
      <c r="A332" s="322"/>
      <c r="B332" s="401"/>
    </row>
    <row r="333">
      <c r="A333" s="322"/>
      <c r="B333" s="401"/>
    </row>
    <row r="334">
      <c r="A334" s="322"/>
      <c r="B334" s="401"/>
    </row>
    <row r="335">
      <c r="A335" s="322"/>
      <c r="B335" s="401"/>
    </row>
    <row r="336">
      <c r="A336" s="322"/>
      <c r="B336" s="401"/>
    </row>
    <row r="337">
      <c r="A337" s="322"/>
      <c r="B337" s="401"/>
    </row>
    <row r="338">
      <c r="A338" s="322"/>
      <c r="B338" s="401"/>
    </row>
    <row r="339">
      <c r="A339" s="322"/>
      <c r="B339" s="401"/>
    </row>
    <row r="340">
      <c r="A340" s="322"/>
      <c r="B340" s="401"/>
    </row>
    <row r="341">
      <c r="A341" s="322"/>
      <c r="B341" s="401"/>
    </row>
    <row r="342">
      <c r="A342" s="322"/>
      <c r="B342" s="401"/>
    </row>
    <row r="343">
      <c r="A343" s="322"/>
      <c r="B343" s="401"/>
    </row>
    <row r="344">
      <c r="A344" s="322"/>
      <c r="B344" s="401"/>
    </row>
    <row r="345">
      <c r="A345" s="322"/>
      <c r="B345" s="401"/>
    </row>
    <row r="346">
      <c r="A346" s="322"/>
      <c r="B346" s="401"/>
    </row>
    <row r="347">
      <c r="A347" s="322"/>
      <c r="B347" s="401"/>
    </row>
    <row r="348">
      <c r="A348" s="322"/>
      <c r="B348" s="401"/>
    </row>
    <row r="349">
      <c r="A349" s="322"/>
      <c r="B349" s="401"/>
    </row>
    <row r="350">
      <c r="A350" s="322"/>
      <c r="B350" s="401"/>
    </row>
    <row r="351">
      <c r="A351" s="322"/>
      <c r="B351" s="401"/>
    </row>
    <row r="352">
      <c r="A352" s="322"/>
      <c r="B352" s="401"/>
    </row>
    <row r="353">
      <c r="A353" s="322"/>
      <c r="B353" s="401"/>
    </row>
    <row r="354">
      <c r="A354" s="322"/>
      <c r="B354" s="401"/>
    </row>
    <row r="355">
      <c r="A355" s="322"/>
      <c r="B355" s="401"/>
    </row>
    <row r="356">
      <c r="A356" s="322"/>
      <c r="B356" s="401"/>
    </row>
    <row r="357">
      <c r="A357" s="322"/>
      <c r="B357" s="401"/>
    </row>
    <row r="358">
      <c r="A358" s="322"/>
      <c r="B358" s="401"/>
    </row>
    <row r="359">
      <c r="A359" s="322"/>
      <c r="B359" s="401"/>
    </row>
    <row r="360">
      <c r="A360" s="322"/>
      <c r="B360" s="401"/>
    </row>
    <row r="361">
      <c r="A361" s="322"/>
      <c r="B361" s="401"/>
    </row>
    <row r="362">
      <c r="A362" s="322"/>
      <c r="B362" s="401"/>
    </row>
    <row r="363">
      <c r="A363" s="322"/>
      <c r="B363" s="401"/>
    </row>
    <row r="364">
      <c r="A364" s="322"/>
      <c r="B364" s="401"/>
    </row>
    <row r="365">
      <c r="A365" s="322"/>
      <c r="B365" s="401"/>
    </row>
    <row r="366">
      <c r="A366" s="322"/>
      <c r="B366" s="401"/>
    </row>
    <row r="367">
      <c r="A367" s="322"/>
      <c r="B367" s="401"/>
    </row>
    <row r="368">
      <c r="A368" s="322"/>
      <c r="B368" s="401"/>
    </row>
    <row r="369">
      <c r="A369" s="322"/>
      <c r="B369" s="401"/>
    </row>
    <row r="370">
      <c r="A370" s="322"/>
      <c r="B370" s="401"/>
    </row>
    <row r="371">
      <c r="A371" s="322"/>
      <c r="B371" s="401"/>
    </row>
    <row r="372">
      <c r="A372" s="322"/>
      <c r="B372" s="401"/>
    </row>
    <row r="373">
      <c r="A373" s="322"/>
      <c r="B373" s="401"/>
    </row>
    <row r="374">
      <c r="A374" s="322"/>
      <c r="B374" s="401"/>
    </row>
    <row r="375">
      <c r="A375" s="322"/>
      <c r="B375" s="401"/>
    </row>
    <row r="376">
      <c r="A376" s="322"/>
      <c r="B376" s="401"/>
    </row>
    <row r="377">
      <c r="A377" s="322"/>
      <c r="B377" s="401"/>
    </row>
    <row r="378">
      <c r="A378" s="322"/>
      <c r="B378" s="401"/>
    </row>
    <row r="379">
      <c r="A379" s="322"/>
      <c r="B379" s="401"/>
    </row>
    <row r="380">
      <c r="A380" s="322"/>
      <c r="B380" s="401"/>
    </row>
    <row r="381">
      <c r="A381" s="322"/>
      <c r="B381" s="401"/>
    </row>
    <row r="382">
      <c r="A382" s="322"/>
      <c r="B382" s="401"/>
    </row>
    <row r="383">
      <c r="A383" s="322"/>
      <c r="B383" s="401"/>
    </row>
    <row r="384">
      <c r="A384" s="322"/>
      <c r="B384" s="401"/>
    </row>
    <row r="385">
      <c r="A385" s="322"/>
      <c r="B385" s="401"/>
    </row>
    <row r="386">
      <c r="A386" s="322"/>
      <c r="B386" s="401"/>
    </row>
    <row r="387">
      <c r="A387" s="322"/>
      <c r="B387" s="401"/>
    </row>
    <row r="388">
      <c r="A388" s="322"/>
      <c r="B388" s="401"/>
    </row>
    <row r="389">
      <c r="A389" s="322"/>
      <c r="B389" s="401"/>
    </row>
    <row r="390">
      <c r="A390" s="322"/>
      <c r="B390" s="401"/>
    </row>
    <row r="391">
      <c r="A391" s="322"/>
      <c r="B391" s="401"/>
    </row>
    <row r="392">
      <c r="A392" s="322"/>
      <c r="B392" s="401"/>
    </row>
    <row r="393">
      <c r="A393" s="322"/>
      <c r="B393" s="401"/>
    </row>
    <row r="394">
      <c r="A394" s="322"/>
      <c r="B394" s="401"/>
    </row>
    <row r="395">
      <c r="A395" s="322"/>
      <c r="B395" s="401"/>
    </row>
    <row r="396">
      <c r="A396" s="322"/>
      <c r="B396" s="401"/>
    </row>
    <row r="397">
      <c r="A397" s="322"/>
      <c r="B397" s="401"/>
    </row>
    <row r="398">
      <c r="A398" s="322"/>
      <c r="B398" s="401"/>
    </row>
    <row r="399">
      <c r="A399" s="322"/>
      <c r="B399" s="401"/>
    </row>
    <row r="400">
      <c r="A400" s="322"/>
      <c r="B400" s="401"/>
    </row>
    <row r="401">
      <c r="A401" s="322"/>
      <c r="B401" s="401"/>
    </row>
    <row r="402">
      <c r="A402" s="322"/>
      <c r="B402" s="401"/>
    </row>
    <row r="403">
      <c r="A403" s="322"/>
      <c r="B403" s="401"/>
    </row>
    <row r="404">
      <c r="A404" s="322"/>
      <c r="B404" s="401"/>
    </row>
    <row r="405">
      <c r="A405" s="322"/>
      <c r="B405" s="401"/>
    </row>
    <row r="406">
      <c r="A406" s="322"/>
      <c r="B406" s="401"/>
    </row>
    <row r="407">
      <c r="A407" s="322"/>
      <c r="B407" s="401"/>
    </row>
    <row r="408">
      <c r="A408" s="322"/>
      <c r="B408" s="401"/>
    </row>
    <row r="409">
      <c r="A409" s="322"/>
      <c r="B409" s="401"/>
    </row>
    <row r="410">
      <c r="A410" s="322"/>
      <c r="B410" s="401"/>
    </row>
    <row r="411">
      <c r="A411" s="322"/>
      <c r="B411" s="401"/>
    </row>
    <row r="412">
      <c r="A412" s="322"/>
      <c r="B412" s="401"/>
    </row>
    <row r="413">
      <c r="A413" s="322"/>
      <c r="B413" s="401"/>
    </row>
    <row r="414">
      <c r="A414" s="322"/>
      <c r="B414" s="401"/>
    </row>
    <row r="415">
      <c r="A415" s="322"/>
      <c r="B415" s="401"/>
    </row>
    <row r="416">
      <c r="A416" s="322"/>
      <c r="B416" s="401"/>
    </row>
    <row r="417">
      <c r="A417" s="322"/>
      <c r="B417" s="401"/>
    </row>
    <row r="418">
      <c r="A418" s="322"/>
      <c r="B418" s="401"/>
    </row>
    <row r="419">
      <c r="A419" s="322"/>
      <c r="B419" s="401"/>
    </row>
    <row r="420">
      <c r="A420" s="322"/>
      <c r="B420" s="401"/>
    </row>
    <row r="421">
      <c r="A421" s="322"/>
      <c r="B421" s="401"/>
    </row>
    <row r="422">
      <c r="A422" s="322"/>
      <c r="B422" s="401"/>
    </row>
    <row r="423">
      <c r="A423" s="322"/>
      <c r="B423" s="401"/>
    </row>
    <row r="424">
      <c r="A424" s="322"/>
      <c r="B424" s="401"/>
    </row>
    <row r="425">
      <c r="A425" s="322"/>
      <c r="B425" s="401"/>
    </row>
    <row r="426">
      <c r="A426" s="322"/>
      <c r="B426" s="401"/>
    </row>
    <row r="427">
      <c r="A427" s="322"/>
      <c r="B427" s="401"/>
    </row>
    <row r="428">
      <c r="A428" s="322"/>
      <c r="B428" s="401"/>
    </row>
    <row r="429">
      <c r="A429" s="322"/>
      <c r="B429" s="401"/>
    </row>
    <row r="430">
      <c r="A430" s="322"/>
      <c r="B430" s="401"/>
    </row>
    <row r="431">
      <c r="A431" s="322"/>
      <c r="B431" s="401"/>
    </row>
    <row r="432">
      <c r="A432" s="322"/>
      <c r="B432" s="401"/>
    </row>
    <row r="433">
      <c r="A433" s="322"/>
      <c r="B433" s="401"/>
    </row>
    <row r="434">
      <c r="A434" s="322"/>
      <c r="B434" s="401"/>
    </row>
    <row r="435">
      <c r="A435" s="322"/>
      <c r="B435" s="401"/>
    </row>
    <row r="436">
      <c r="A436" s="322"/>
      <c r="B436" s="401"/>
    </row>
    <row r="437">
      <c r="A437" s="322"/>
      <c r="B437" s="401"/>
    </row>
    <row r="438">
      <c r="A438" s="322"/>
      <c r="B438" s="401"/>
    </row>
    <row r="439">
      <c r="A439" s="322"/>
      <c r="B439" s="401"/>
    </row>
    <row r="440">
      <c r="A440" s="322"/>
      <c r="B440" s="401"/>
    </row>
    <row r="441">
      <c r="A441" s="322"/>
      <c r="B441" s="401"/>
    </row>
    <row r="442">
      <c r="A442" s="322"/>
      <c r="B442" s="401"/>
    </row>
    <row r="443">
      <c r="A443" s="322"/>
      <c r="B443" s="401"/>
    </row>
    <row r="444">
      <c r="A444" s="322"/>
      <c r="B444" s="401"/>
    </row>
    <row r="445">
      <c r="A445" s="322"/>
      <c r="B445" s="401"/>
    </row>
    <row r="446">
      <c r="A446" s="322"/>
      <c r="B446" s="401"/>
    </row>
    <row r="447">
      <c r="A447" s="322"/>
      <c r="B447" s="401"/>
    </row>
    <row r="448">
      <c r="A448" s="322"/>
      <c r="B448" s="401"/>
    </row>
    <row r="449">
      <c r="A449" s="322"/>
      <c r="B449" s="401"/>
    </row>
    <row r="450">
      <c r="A450" s="322"/>
      <c r="B450" s="401"/>
    </row>
    <row r="451">
      <c r="A451" s="322"/>
      <c r="B451" s="401"/>
    </row>
    <row r="452">
      <c r="A452" s="322"/>
      <c r="B452" s="401"/>
    </row>
    <row r="453">
      <c r="A453" s="322"/>
      <c r="B453" s="401"/>
    </row>
    <row r="454">
      <c r="A454" s="322"/>
      <c r="B454" s="401"/>
    </row>
    <row r="455">
      <c r="A455" s="322"/>
      <c r="B455" s="401"/>
    </row>
    <row r="456">
      <c r="A456" s="322"/>
      <c r="B456" s="401"/>
    </row>
    <row r="457">
      <c r="A457" s="322"/>
      <c r="B457" s="401"/>
    </row>
    <row r="458">
      <c r="A458" s="322"/>
      <c r="B458" s="401"/>
    </row>
    <row r="459">
      <c r="A459" s="322"/>
      <c r="B459" s="401"/>
    </row>
    <row r="460">
      <c r="A460" s="322"/>
      <c r="B460" s="401"/>
    </row>
    <row r="461">
      <c r="A461" s="322"/>
      <c r="B461" s="401"/>
    </row>
    <row r="462">
      <c r="A462" s="322"/>
      <c r="B462" s="401"/>
    </row>
    <row r="463">
      <c r="A463" s="322"/>
      <c r="B463" s="401"/>
    </row>
    <row r="464">
      <c r="A464" s="322"/>
      <c r="B464" s="401"/>
    </row>
    <row r="465">
      <c r="A465" s="322"/>
      <c r="B465" s="401"/>
    </row>
    <row r="466">
      <c r="A466" s="322"/>
      <c r="B466" s="401"/>
    </row>
    <row r="467">
      <c r="A467" s="322"/>
      <c r="B467" s="401"/>
    </row>
    <row r="468">
      <c r="A468" s="322"/>
      <c r="B468" s="401"/>
    </row>
    <row r="469">
      <c r="A469" s="322"/>
      <c r="B469" s="401"/>
    </row>
    <row r="470">
      <c r="A470" s="322"/>
      <c r="B470" s="401"/>
    </row>
    <row r="471">
      <c r="A471" s="322"/>
      <c r="B471" s="401"/>
    </row>
    <row r="472">
      <c r="A472" s="322"/>
      <c r="B472" s="401"/>
    </row>
    <row r="473">
      <c r="A473" s="322"/>
      <c r="B473" s="401"/>
    </row>
    <row r="474">
      <c r="A474" s="322"/>
      <c r="B474" s="401"/>
    </row>
    <row r="475">
      <c r="A475" s="322"/>
      <c r="B475" s="401"/>
    </row>
    <row r="476">
      <c r="A476" s="322"/>
      <c r="B476" s="401"/>
    </row>
    <row r="477">
      <c r="A477" s="322"/>
      <c r="B477" s="401"/>
    </row>
    <row r="478">
      <c r="A478" s="322"/>
      <c r="B478" s="401"/>
    </row>
    <row r="479">
      <c r="A479" s="322"/>
      <c r="B479" s="401"/>
    </row>
    <row r="480">
      <c r="A480" s="322"/>
      <c r="B480" s="401"/>
    </row>
    <row r="481">
      <c r="A481" s="322"/>
      <c r="B481" s="401"/>
    </row>
    <row r="482">
      <c r="A482" s="322"/>
      <c r="B482" s="401"/>
    </row>
    <row r="483">
      <c r="A483" s="322"/>
      <c r="B483" s="401"/>
    </row>
    <row r="484">
      <c r="A484" s="322"/>
      <c r="B484" s="401"/>
    </row>
    <row r="485">
      <c r="A485" s="322"/>
      <c r="B485" s="401"/>
    </row>
    <row r="486">
      <c r="A486" s="322"/>
      <c r="B486" s="401"/>
    </row>
    <row r="487">
      <c r="A487" s="322"/>
      <c r="B487" s="401"/>
    </row>
    <row r="488">
      <c r="A488" s="322"/>
      <c r="B488" s="401"/>
    </row>
    <row r="489">
      <c r="A489" s="322"/>
      <c r="B489" s="401"/>
    </row>
    <row r="490">
      <c r="A490" s="322"/>
      <c r="B490" s="401"/>
    </row>
    <row r="491">
      <c r="A491" s="322"/>
      <c r="B491" s="401"/>
    </row>
    <row r="492">
      <c r="A492" s="322"/>
      <c r="B492" s="401"/>
    </row>
    <row r="493">
      <c r="A493" s="322"/>
      <c r="B493" s="401"/>
    </row>
    <row r="494">
      <c r="A494" s="322"/>
      <c r="B494" s="401"/>
    </row>
    <row r="495">
      <c r="A495" s="322"/>
      <c r="B495" s="401"/>
    </row>
    <row r="496">
      <c r="A496" s="322"/>
      <c r="B496" s="401"/>
    </row>
    <row r="497">
      <c r="A497" s="322"/>
      <c r="B497" s="401"/>
    </row>
    <row r="498">
      <c r="A498" s="322"/>
      <c r="B498" s="401"/>
    </row>
    <row r="499">
      <c r="A499" s="322"/>
      <c r="B499" s="401"/>
    </row>
    <row r="500">
      <c r="A500" s="322"/>
      <c r="B500" s="401"/>
    </row>
    <row r="501">
      <c r="A501" s="322"/>
      <c r="B501" s="401"/>
    </row>
    <row r="502">
      <c r="A502" s="322"/>
      <c r="B502" s="401"/>
    </row>
    <row r="503">
      <c r="A503" s="322"/>
      <c r="B503" s="401"/>
    </row>
    <row r="504">
      <c r="A504" s="322"/>
      <c r="B504" s="401"/>
    </row>
    <row r="505">
      <c r="A505" s="322"/>
      <c r="B505" s="401"/>
    </row>
    <row r="506">
      <c r="A506" s="322"/>
      <c r="B506" s="401"/>
    </row>
    <row r="507">
      <c r="A507" s="322"/>
      <c r="B507" s="401"/>
    </row>
    <row r="508">
      <c r="A508" s="322"/>
      <c r="B508" s="401"/>
    </row>
    <row r="509">
      <c r="A509" s="322"/>
      <c r="B509" s="401"/>
    </row>
    <row r="510">
      <c r="A510" s="322"/>
      <c r="B510" s="401"/>
    </row>
    <row r="511">
      <c r="A511" s="322"/>
      <c r="B511" s="401"/>
    </row>
    <row r="512">
      <c r="A512" s="322"/>
      <c r="B512" s="401"/>
    </row>
    <row r="513">
      <c r="A513" s="322"/>
      <c r="B513" s="401"/>
    </row>
    <row r="514">
      <c r="A514" s="322"/>
      <c r="B514" s="401"/>
    </row>
    <row r="515">
      <c r="A515" s="322"/>
      <c r="B515" s="401"/>
    </row>
    <row r="516">
      <c r="A516" s="322"/>
      <c r="B516" s="401"/>
    </row>
    <row r="517">
      <c r="A517" s="322"/>
      <c r="B517" s="401"/>
    </row>
    <row r="518">
      <c r="A518" s="322"/>
      <c r="B518" s="401"/>
    </row>
    <row r="519">
      <c r="A519" s="322"/>
      <c r="B519" s="401"/>
    </row>
    <row r="520">
      <c r="A520" s="322"/>
      <c r="B520" s="401"/>
    </row>
    <row r="521">
      <c r="A521" s="322"/>
      <c r="B521" s="401"/>
    </row>
    <row r="522">
      <c r="A522" s="322"/>
      <c r="B522" s="401"/>
    </row>
    <row r="523">
      <c r="A523" s="322"/>
      <c r="B523" s="401"/>
    </row>
    <row r="524">
      <c r="A524" s="322"/>
      <c r="B524" s="401"/>
    </row>
    <row r="525">
      <c r="A525" s="322"/>
      <c r="B525" s="401"/>
    </row>
    <row r="526">
      <c r="A526" s="322"/>
      <c r="B526" s="401"/>
    </row>
    <row r="527">
      <c r="A527" s="322"/>
      <c r="B527" s="401"/>
    </row>
    <row r="528">
      <c r="A528" s="322"/>
      <c r="B528" s="401"/>
    </row>
    <row r="529">
      <c r="A529" s="322"/>
      <c r="B529" s="401"/>
    </row>
    <row r="530">
      <c r="A530" s="322"/>
      <c r="B530" s="401"/>
    </row>
    <row r="531">
      <c r="A531" s="322"/>
      <c r="B531" s="401"/>
    </row>
    <row r="532">
      <c r="A532" s="322"/>
      <c r="B532" s="401"/>
    </row>
    <row r="533">
      <c r="A533" s="322"/>
      <c r="B533" s="401"/>
    </row>
    <row r="534">
      <c r="A534" s="322"/>
      <c r="B534" s="401"/>
    </row>
    <row r="535">
      <c r="A535" s="322"/>
      <c r="B535" s="401"/>
    </row>
    <row r="536">
      <c r="A536" s="322"/>
      <c r="B536" s="401"/>
    </row>
    <row r="537">
      <c r="A537" s="322"/>
      <c r="B537" s="401"/>
    </row>
    <row r="538">
      <c r="A538" s="322"/>
      <c r="B538" s="401"/>
    </row>
    <row r="539">
      <c r="A539" s="322"/>
      <c r="B539" s="401"/>
    </row>
    <row r="540">
      <c r="A540" s="322"/>
      <c r="B540" s="401"/>
    </row>
    <row r="541">
      <c r="A541" s="322"/>
      <c r="B541" s="401"/>
    </row>
    <row r="542">
      <c r="A542" s="322"/>
      <c r="B542" s="401"/>
    </row>
    <row r="543">
      <c r="A543" s="322"/>
      <c r="B543" s="401"/>
    </row>
    <row r="544">
      <c r="A544" s="322"/>
      <c r="B544" s="401"/>
    </row>
    <row r="545">
      <c r="A545" s="322"/>
      <c r="B545" s="401"/>
    </row>
    <row r="546">
      <c r="A546" s="322"/>
      <c r="B546" s="401"/>
    </row>
    <row r="547">
      <c r="A547" s="322"/>
      <c r="B547" s="401"/>
    </row>
    <row r="548">
      <c r="A548" s="322"/>
      <c r="B548" s="401"/>
    </row>
    <row r="549">
      <c r="A549" s="322"/>
      <c r="B549" s="401"/>
    </row>
    <row r="550">
      <c r="A550" s="322"/>
      <c r="B550" s="401"/>
    </row>
    <row r="551">
      <c r="A551" s="322"/>
      <c r="B551" s="401"/>
    </row>
    <row r="552">
      <c r="A552" s="322"/>
      <c r="B552" s="401"/>
    </row>
    <row r="553">
      <c r="A553" s="322"/>
      <c r="B553" s="401"/>
    </row>
    <row r="554">
      <c r="A554" s="322"/>
      <c r="B554" s="401"/>
    </row>
    <row r="555">
      <c r="A555" s="322"/>
      <c r="B555" s="401"/>
    </row>
    <row r="556">
      <c r="A556" s="322"/>
      <c r="B556" s="401"/>
    </row>
    <row r="557">
      <c r="A557" s="322"/>
      <c r="B557" s="401"/>
    </row>
    <row r="558">
      <c r="A558" s="322"/>
      <c r="B558" s="401"/>
    </row>
    <row r="559">
      <c r="A559" s="322"/>
      <c r="B559" s="401"/>
    </row>
    <row r="560">
      <c r="A560" s="322"/>
      <c r="B560" s="401"/>
    </row>
    <row r="561">
      <c r="A561" s="322"/>
      <c r="B561" s="401"/>
    </row>
    <row r="562">
      <c r="A562" s="322"/>
      <c r="B562" s="401"/>
    </row>
    <row r="563">
      <c r="A563" s="322"/>
      <c r="B563" s="401"/>
    </row>
    <row r="564">
      <c r="A564" s="322"/>
      <c r="B564" s="401"/>
    </row>
    <row r="565">
      <c r="A565" s="322"/>
      <c r="B565" s="401"/>
    </row>
    <row r="566">
      <c r="A566" s="322"/>
      <c r="B566" s="401"/>
    </row>
    <row r="567">
      <c r="A567" s="322"/>
      <c r="B567" s="401"/>
    </row>
    <row r="568">
      <c r="A568" s="322"/>
      <c r="B568" s="401"/>
    </row>
    <row r="569">
      <c r="A569" s="322"/>
      <c r="B569" s="401"/>
    </row>
    <row r="570">
      <c r="A570" s="322"/>
      <c r="B570" s="401"/>
    </row>
    <row r="571">
      <c r="A571" s="322"/>
      <c r="B571" s="401"/>
    </row>
    <row r="572">
      <c r="A572" s="322"/>
      <c r="B572" s="401"/>
    </row>
    <row r="573">
      <c r="A573" s="322"/>
      <c r="B573" s="401"/>
    </row>
    <row r="574">
      <c r="A574" s="322"/>
      <c r="B574" s="401"/>
    </row>
    <row r="575">
      <c r="A575" s="322"/>
      <c r="B575" s="401"/>
    </row>
    <row r="576">
      <c r="A576" s="322"/>
      <c r="B576" s="401"/>
    </row>
    <row r="577">
      <c r="A577" s="322"/>
      <c r="B577" s="401"/>
    </row>
    <row r="578">
      <c r="A578" s="322"/>
      <c r="B578" s="401"/>
    </row>
    <row r="579">
      <c r="A579" s="322"/>
      <c r="B579" s="401"/>
    </row>
    <row r="580">
      <c r="A580" s="322"/>
      <c r="B580" s="401"/>
    </row>
    <row r="581">
      <c r="A581" s="322"/>
      <c r="B581" s="401"/>
    </row>
    <row r="582">
      <c r="A582" s="322"/>
      <c r="B582" s="401"/>
    </row>
    <row r="583">
      <c r="A583" s="322"/>
      <c r="B583" s="401"/>
    </row>
    <row r="584">
      <c r="A584" s="322"/>
      <c r="B584" s="401"/>
    </row>
    <row r="585">
      <c r="A585" s="322"/>
      <c r="B585" s="401"/>
    </row>
    <row r="586">
      <c r="A586" s="322"/>
      <c r="B586" s="401"/>
    </row>
    <row r="587">
      <c r="A587" s="322"/>
      <c r="B587" s="401"/>
    </row>
    <row r="588">
      <c r="A588" s="322"/>
      <c r="B588" s="401"/>
    </row>
    <row r="589">
      <c r="A589" s="322"/>
      <c r="B589" s="401"/>
    </row>
    <row r="590">
      <c r="A590" s="322"/>
      <c r="B590" s="401"/>
    </row>
    <row r="591">
      <c r="A591" s="322"/>
      <c r="B591" s="401"/>
    </row>
    <row r="592">
      <c r="A592" s="322"/>
      <c r="B592" s="401"/>
    </row>
    <row r="593">
      <c r="A593" s="322"/>
      <c r="B593" s="401"/>
    </row>
    <row r="594">
      <c r="A594" s="322"/>
      <c r="B594" s="401"/>
    </row>
    <row r="595">
      <c r="A595" s="322"/>
      <c r="B595" s="401"/>
    </row>
    <row r="596">
      <c r="A596" s="322"/>
      <c r="B596" s="401"/>
    </row>
    <row r="597">
      <c r="A597" s="322"/>
      <c r="B597" s="401"/>
    </row>
    <row r="598">
      <c r="A598" s="322"/>
      <c r="B598" s="401"/>
    </row>
    <row r="599">
      <c r="A599" s="322"/>
      <c r="B599" s="401"/>
    </row>
    <row r="600">
      <c r="A600" s="322"/>
      <c r="B600" s="401"/>
    </row>
    <row r="601">
      <c r="A601" s="322"/>
      <c r="B601" s="401"/>
    </row>
    <row r="602">
      <c r="A602" s="322"/>
      <c r="B602" s="401"/>
    </row>
    <row r="603">
      <c r="A603" s="322"/>
      <c r="B603" s="401"/>
    </row>
    <row r="604">
      <c r="A604" s="322"/>
      <c r="B604" s="401"/>
    </row>
    <row r="605">
      <c r="A605" s="322"/>
      <c r="B605" s="401"/>
    </row>
    <row r="606">
      <c r="A606" s="322"/>
      <c r="B606" s="401"/>
    </row>
    <row r="607">
      <c r="A607" s="322"/>
      <c r="B607" s="401"/>
    </row>
    <row r="608">
      <c r="A608" s="322"/>
      <c r="B608" s="401"/>
    </row>
    <row r="609">
      <c r="A609" s="322"/>
      <c r="B609" s="401"/>
    </row>
    <row r="610">
      <c r="A610" s="322"/>
      <c r="B610" s="401"/>
    </row>
    <row r="611">
      <c r="A611" s="322"/>
      <c r="B611" s="401"/>
    </row>
    <row r="612">
      <c r="A612" s="322"/>
      <c r="B612" s="401"/>
    </row>
    <row r="613">
      <c r="A613" s="322"/>
      <c r="B613" s="401"/>
    </row>
    <row r="614">
      <c r="A614" s="322"/>
      <c r="B614" s="401"/>
    </row>
    <row r="615">
      <c r="A615" s="322"/>
      <c r="B615" s="401"/>
    </row>
    <row r="616">
      <c r="A616" s="322"/>
      <c r="B616" s="401"/>
    </row>
    <row r="617">
      <c r="A617" s="322"/>
      <c r="B617" s="401"/>
    </row>
    <row r="618">
      <c r="A618" s="322"/>
      <c r="B618" s="401"/>
    </row>
    <row r="619">
      <c r="A619" s="322"/>
      <c r="B619" s="401"/>
    </row>
    <row r="620">
      <c r="A620" s="322"/>
      <c r="B620" s="401"/>
    </row>
    <row r="621">
      <c r="A621" s="322"/>
      <c r="B621" s="401"/>
    </row>
    <row r="622">
      <c r="A622" s="322"/>
      <c r="B622" s="401"/>
    </row>
    <row r="623">
      <c r="A623" s="322"/>
      <c r="B623" s="401"/>
    </row>
    <row r="624">
      <c r="A624" s="322"/>
      <c r="B624" s="401"/>
    </row>
    <row r="625">
      <c r="A625" s="322"/>
      <c r="B625" s="401"/>
    </row>
    <row r="626">
      <c r="A626" s="322"/>
      <c r="B626" s="401"/>
    </row>
    <row r="627">
      <c r="A627" s="322"/>
      <c r="B627" s="401"/>
    </row>
    <row r="628">
      <c r="A628" s="322"/>
      <c r="B628" s="401"/>
    </row>
    <row r="629">
      <c r="A629" s="322"/>
      <c r="B629" s="401"/>
    </row>
    <row r="630">
      <c r="A630" s="322"/>
      <c r="B630" s="401"/>
    </row>
    <row r="631">
      <c r="A631" s="322"/>
      <c r="B631" s="401"/>
    </row>
    <row r="632">
      <c r="A632" s="322"/>
      <c r="B632" s="401"/>
    </row>
    <row r="633">
      <c r="A633" s="322"/>
      <c r="B633" s="401"/>
    </row>
    <row r="634">
      <c r="A634" s="322"/>
      <c r="B634" s="401"/>
    </row>
    <row r="635">
      <c r="A635" s="322"/>
      <c r="B635" s="401"/>
    </row>
    <row r="636">
      <c r="A636" s="322"/>
      <c r="B636" s="401"/>
    </row>
    <row r="637">
      <c r="A637" s="322"/>
      <c r="B637" s="401"/>
    </row>
    <row r="638">
      <c r="A638" s="322"/>
      <c r="B638" s="401"/>
    </row>
    <row r="639">
      <c r="A639" s="322"/>
      <c r="B639" s="401"/>
    </row>
    <row r="640">
      <c r="A640" s="322"/>
      <c r="B640" s="401"/>
    </row>
    <row r="641">
      <c r="A641" s="322"/>
      <c r="B641" s="401"/>
    </row>
    <row r="642">
      <c r="A642" s="322"/>
      <c r="B642" s="401"/>
    </row>
    <row r="643">
      <c r="A643" s="322"/>
      <c r="B643" s="401"/>
    </row>
    <row r="644">
      <c r="A644" s="322"/>
      <c r="B644" s="401"/>
    </row>
    <row r="645">
      <c r="A645" s="322"/>
      <c r="B645" s="401"/>
    </row>
    <row r="646">
      <c r="A646" s="322"/>
      <c r="B646" s="401"/>
    </row>
    <row r="647">
      <c r="A647" s="322"/>
      <c r="B647" s="401"/>
    </row>
    <row r="648">
      <c r="A648" s="322"/>
      <c r="B648" s="401"/>
    </row>
    <row r="649">
      <c r="A649" s="322"/>
      <c r="B649" s="401"/>
    </row>
    <row r="650">
      <c r="A650" s="322"/>
      <c r="B650" s="401"/>
    </row>
    <row r="651">
      <c r="A651" s="322"/>
      <c r="B651" s="401"/>
    </row>
    <row r="652">
      <c r="A652" s="322"/>
      <c r="B652" s="401"/>
    </row>
    <row r="653">
      <c r="A653" s="322"/>
      <c r="B653" s="401"/>
    </row>
    <row r="654">
      <c r="A654" s="322"/>
      <c r="B654" s="401"/>
    </row>
    <row r="655">
      <c r="A655" s="322"/>
      <c r="B655" s="401"/>
    </row>
    <row r="656">
      <c r="A656" s="322"/>
      <c r="B656" s="401"/>
    </row>
    <row r="657">
      <c r="A657" s="322"/>
      <c r="B657" s="401"/>
    </row>
    <row r="658">
      <c r="A658" s="322"/>
      <c r="B658" s="401"/>
    </row>
    <row r="659">
      <c r="A659" s="322"/>
      <c r="B659" s="401"/>
    </row>
    <row r="660">
      <c r="A660" s="322"/>
      <c r="B660" s="401"/>
    </row>
    <row r="661">
      <c r="A661" s="322"/>
      <c r="B661" s="401"/>
    </row>
    <row r="662">
      <c r="A662" s="322"/>
      <c r="B662" s="401"/>
    </row>
    <row r="663">
      <c r="A663" s="322"/>
      <c r="B663" s="401"/>
    </row>
    <row r="664">
      <c r="A664" s="322"/>
      <c r="B664" s="401"/>
    </row>
    <row r="665">
      <c r="A665" s="322"/>
      <c r="B665" s="401"/>
    </row>
    <row r="666">
      <c r="A666" s="322"/>
      <c r="B666" s="401"/>
    </row>
    <row r="667">
      <c r="A667" s="322"/>
      <c r="B667" s="401"/>
    </row>
    <row r="668">
      <c r="A668" s="322"/>
      <c r="B668" s="401"/>
    </row>
    <row r="669">
      <c r="A669" s="322"/>
      <c r="B669" s="401"/>
    </row>
    <row r="670">
      <c r="A670" s="322"/>
      <c r="B670" s="401"/>
    </row>
    <row r="671">
      <c r="A671" s="322"/>
      <c r="B671" s="401"/>
    </row>
    <row r="672">
      <c r="A672" s="322"/>
      <c r="B672" s="401"/>
    </row>
    <row r="673">
      <c r="A673" s="322"/>
      <c r="B673" s="401"/>
    </row>
    <row r="674">
      <c r="A674" s="322"/>
      <c r="B674" s="401"/>
    </row>
    <row r="675">
      <c r="A675" s="322"/>
      <c r="B675" s="401"/>
    </row>
    <row r="676">
      <c r="A676" s="322"/>
      <c r="B676" s="401"/>
    </row>
    <row r="677">
      <c r="A677" s="322"/>
      <c r="B677" s="401"/>
    </row>
    <row r="678">
      <c r="A678" s="322"/>
      <c r="B678" s="401"/>
    </row>
    <row r="679">
      <c r="A679" s="322"/>
      <c r="B679" s="401"/>
    </row>
    <row r="680">
      <c r="A680" s="322"/>
      <c r="B680" s="401"/>
    </row>
    <row r="681">
      <c r="A681" s="322"/>
      <c r="B681" s="401"/>
    </row>
    <row r="682">
      <c r="A682" s="322"/>
      <c r="B682" s="401"/>
    </row>
    <row r="683">
      <c r="A683" s="322"/>
      <c r="B683" s="401"/>
    </row>
    <row r="684">
      <c r="A684" s="322"/>
      <c r="B684" s="401"/>
    </row>
    <row r="685">
      <c r="A685" s="322"/>
      <c r="B685" s="401"/>
    </row>
    <row r="686">
      <c r="A686" s="322"/>
      <c r="B686" s="401"/>
    </row>
    <row r="687">
      <c r="A687" s="322"/>
      <c r="B687" s="401"/>
    </row>
    <row r="688">
      <c r="A688" s="322"/>
      <c r="B688" s="401"/>
    </row>
    <row r="689">
      <c r="A689" s="322"/>
      <c r="B689" s="401"/>
    </row>
    <row r="690">
      <c r="A690" s="322"/>
      <c r="B690" s="401"/>
    </row>
    <row r="691">
      <c r="A691" s="322"/>
      <c r="B691" s="401"/>
    </row>
    <row r="692">
      <c r="A692" s="322"/>
      <c r="B692" s="401"/>
    </row>
    <row r="693">
      <c r="A693" s="322"/>
      <c r="B693" s="401"/>
    </row>
    <row r="694">
      <c r="A694" s="322"/>
      <c r="B694" s="401"/>
    </row>
    <row r="695">
      <c r="A695" s="322"/>
      <c r="B695" s="401"/>
    </row>
    <row r="696">
      <c r="A696" s="322"/>
      <c r="B696" s="401"/>
    </row>
    <row r="697">
      <c r="A697" s="322"/>
      <c r="B697" s="401"/>
    </row>
    <row r="698">
      <c r="A698" s="322"/>
      <c r="B698" s="401"/>
    </row>
    <row r="699">
      <c r="A699" s="322"/>
      <c r="B699" s="401"/>
    </row>
    <row r="700">
      <c r="A700" s="322"/>
      <c r="B700" s="401"/>
    </row>
    <row r="701">
      <c r="A701" s="322"/>
      <c r="B701" s="401"/>
    </row>
    <row r="702">
      <c r="A702" s="322"/>
      <c r="B702" s="401"/>
    </row>
    <row r="703">
      <c r="A703" s="322"/>
      <c r="B703" s="401"/>
    </row>
    <row r="704">
      <c r="A704" s="322"/>
      <c r="B704" s="401"/>
    </row>
    <row r="705">
      <c r="A705" s="322"/>
      <c r="B705" s="401"/>
    </row>
    <row r="706">
      <c r="A706" s="322"/>
      <c r="B706" s="401"/>
    </row>
    <row r="707">
      <c r="A707" s="322"/>
      <c r="B707" s="401"/>
    </row>
    <row r="708">
      <c r="A708" s="322"/>
      <c r="B708" s="401"/>
    </row>
    <row r="709">
      <c r="A709" s="322"/>
      <c r="B709" s="401"/>
    </row>
    <row r="710">
      <c r="A710" s="322"/>
      <c r="B710" s="401"/>
    </row>
    <row r="711">
      <c r="A711" s="322"/>
      <c r="B711" s="401"/>
    </row>
    <row r="712">
      <c r="A712" s="322"/>
      <c r="B712" s="401"/>
    </row>
    <row r="713">
      <c r="A713" s="322"/>
      <c r="B713" s="401"/>
    </row>
    <row r="714">
      <c r="A714" s="322"/>
      <c r="B714" s="401"/>
    </row>
    <row r="715">
      <c r="A715" s="322"/>
      <c r="B715" s="401"/>
    </row>
    <row r="716">
      <c r="A716" s="322"/>
      <c r="B716" s="401"/>
    </row>
    <row r="717">
      <c r="A717" s="322"/>
      <c r="B717" s="401"/>
    </row>
    <row r="718">
      <c r="A718" s="322"/>
      <c r="B718" s="401"/>
    </row>
    <row r="719">
      <c r="A719" s="322"/>
      <c r="B719" s="401"/>
    </row>
    <row r="720">
      <c r="A720" s="322"/>
      <c r="B720" s="401"/>
    </row>
    <row r="721">
      <c r="A721" s="322"/>
      <c r="B721" s="401"/>
    </row>
    <row r="722">
      <c r="A722" s="322"/>
      <c r="B722" s="401"/>
    </row>
    <row r="723">
      <c r="A723" s="322"/>
      <c r="B723" s="401"/>
    </row>
    <row r="724">
      <c r="A724" s="322"/>
      <c r="B724" s="401"/>
    </row>
    <row r="725">
      <c r="A725" s="322"/>
      <c r="B725" s="401"/>
    </row>
    <row r="726">
      <c r="A726" s="322"/>
      <c r="B726" s="401"/>
    </row>
    <row r="727">
      <c r="A727" s="322"/>
      <c r="B727" s="401"/>
    </row>
    <row r="728">
      <c r="A728" s="322"/>
      <c r="B728" s="401"/>
    </row>
    <row r="729">
      <c r="A729" s="322"/>
      <c r="B729" s="401"/>
    </row>
    <row r="730">
      <c r="A730" s="322"/>
      <c r="B730" s="401"/>
    </row>
    <row r="731">
      <c r="A731" s="322"/>
      <c r="B731" s="401"/>
    </row>
    <row r="732">
      <c r="A732" s="322"/>
      <c r="B732" s="401"/>
    </row>
    <row r="733">
      <c r="A733" s="322"/>
      <c r="B733" s="401"/>
    </row>
    <row r="734">
      <c r="A734" s="322"/>
      <c r="B734" s="401"/>
    </row>
    <row r="735">
      <c r="A735" s="322"/>
      <c r="B735" s="401"/>
    </row>
    <row r="736">
      <c r="A736" s="322"/>
      <c r="B736" s="401"/>
    </row>
    <row r="737">
      <c r="A737" s="322"/>
      <c r="B737" s="401"/>
    </row>
    <row r="738">
      <c r="A738" s="322"/>
      <c r="B738" s="401"/>
    </row>
    <row r="739">
      <c r="A739" s="322"/>
      <c r="B739" s="401"/>
    </row>
    <row r="740">
      <c r="A740" s="322"/>
      <c r="B740" s="401"/>
    </row>
    <row r="741">
      <c r="A741" s="322"/>
      <c r="B741" s="401"/>
    </row>
    <row r="742">
      <c r="A742" s="322"/>
      <c r="B742" s="401"/>
    </row>
    <row r="743">
      <c r="A743" s="322"/>
      <c r="B743" s="401"/>
    </row>
    <row r="744">
      <c r="A744" s="322"/>
      <c r="B744" s="401"/>
    </row>
    <row r="745">
      <c r="A745" s="322"/>
      <c r="B745" s="401"/>
    </row>
    <row r="746">
      <c r="A746" s="322"/>
      <c r="B746" s="401"/>
    </row>
    <row r="747">
      <c r="A747" s="322"/>
      <c r="B747" s="401"/>
    </row>
    <row r="748">
      <c r="A748" s="322"/>
      <c r="B748" s="401"/>
    </row>
    <row r="749">
      <c r="A749" s="322"/>
      <c r="B749" s="401"/>
    </row>
    <row r="750">
      <c r="A750" s="322"/>
      <c r="B750" s="401"/>
    </row>
    <row r="751">
      <c r="A751" s="322"/>
      <c r="B751" s="401"/>
    </row>
    <row r="752">
      <c r="A752" s="322"/>
      <c r="B752" s="401"/>
    </row>
    <row r="753">
      <c r="A753" s="322"/>
      <c r="B753" s="401"/>
    </row>
    <row r="754">
      <c r="A754" s="322"/>
      <c r="B754" s="401"/>
    </row>
    <row r="755">
      <c r="A755" s="322"/>
      <c r="B755" s="401"/>
    </row>
    <row r="756">
      <c r="A756" s="322"/>
      <c r="B756" s="401"/>
    </row>
    <row r="757">
      <c r="A757" s="322"/>
      <c r="B757" s="401"/>
    </row>
    <row r="758">
      <c r="A758" s="322"/>
      <c r="B758" s="401"/>
    </row>
    <row r="759">
      <c r="A759" s="322"/>
      <c r="B759" s="401"/>
    </row>
    <row r="760">
      <c r="A760" s="322"/>
      <c r="B760" s="401"/>
    </row>
    <row r="761">
      <c r="A761" s="322"/>
      <c r="B761" s="401"/>
    </row>
    <row r="762">
      <c r="A762" s="322"/>
      <c r="B762" s="401"/>
    </row>
    <row r="763">
      <c r="A763" s="322"/>
      <c r="B763" s="401"/>
    </row>
    <row r="764">
      <c r="A764" s="322"/>
      <c r="B764" s="401"/>
    </row>
    <row r="765">
      <c r="A765" s="322"/>
      <c r="B765" s="401"/>
    </row>
    <row r="766">
      <c r="A766" s="322"/>
      <c r="B766" s="401"/>
    </row>
    <row r="767">
      <c r="A767" s="322"/>
      <c r="B767" s="401"/>
    </row>
    <row r="768">
      <c r="A768" s="322"/>
      <c r="B768" s="401"/>
    </row>
    <row r="769">
      <c r="A769" s="322"/>
      <c r="B769" s="401"/>
    </row>
    <row r="770">
      <c r="A770" s="322"/>
      <c r="B770" s="401"/>
    </row>
    <row r="771">
      <c r="A771" s="322"/>
      <c r="B771" s="401"/>
    </row>
    <row r="772">
      <c r="A772" s="322"/>
      <c r="B772" s="401"/>
    </row>
    <row r="773">
      <c r="A773" s="322"/>
      <c r="B773" s="401"/>
    </row>
    <row r="774">
      <c r="A774" s="322"/>
      <c r="B774" s="401"/>
    </row>
    <row r="775">
      <c r="A775" s="322"/>
      <c r="B775" s="401"/>
    </row>
    <row r="776">
      <c r="A776" s="322"/>
      <c r="B776" s="401"/>
    </row>
    <row r="777">
      <c r="A777" s="322"/>
      <c r="B777" s="401"/>
    </row>
    <row r="778">
      <c r="A778" s="322"/>
      <c r="B778" s="401"/>
    </row>
    <row r="779">
      <c r="A779" s="322"/>
      <c r="B779" s="401"/>
    </row>
    <row r="780">
      <c r="A780" s="322"/>
      <c r="B780" s="401"/>
    </row>
    <row r="781">
      <c r="A781" s="322"/>
      <c r="B781" s="401"/>
    </row>
    <row r="782">
      <c r="A782" s="322"/>
      <c r="B782" s="401"/>
    </row>
    <row r="783">
      <c r="A783" s="322"/>
      <c r="B783" s="401"/>
    </row>
    <row r="784">
      <c r="A784" s="322"/>
      <c r="B784" s="401"/>
    </row>
    <row r="785">
      <c r="A785" s="322"/>
      <c r="B785" s="401"/>
    </row>
    <row r="786">
      <c r="A786" s="322"/>
      <c r="B786" s="401"/>
    </row>
    <row r="787">
      <c r="A787" s="322"/>
      <c r="B787" s="401"/>
    </row>
    <row r="788">
      <c r="A788" s="322"/>
      <c r="B788" s="401"/>
    </row>
    <row r="789">
      <c r="A789" s="322"/>
      <c r="B789" s="401"/>
    </row>
    <row r="790">
      <c r="A790" s="322"/>
      <c r="B790" s="401"/>
    </row>
    <row r="791">
      <c r="A791" s="322"/>
      <c r="B791" s="401"/>
    </row>
    <row r="792">
      <c r="A792" s="322"/>
      <c r="B792" s="401"/>
    </row>
    <row r="793">
      <c r="A793" s="322"/>
      <c r="B793" s="401"/>
    </row>
    <row r="794">
      <c r="A794" s="322"/>
      <c r="B794" s="401"/>
    </row>
    <row r="795">
      <c r="A795" s="322"/>
      <c r="B795" s="401"/>
    </row>
    <row r="796">
      <c r="A796" s="322"/>
      <c r="B796" s="401"/>
    </row>
    <row r="797">
      <c r="A797" s="322"/>
      <c r="B797" s="401"/>
    </row>
    <row r="798">
      <c r="A798" s="322"/>
      <c r="B798" s="401"/>
    </row>
    <row r="799">
      <c r="A799" s="322"/>
      <c r="B799" s="401"/>
    </row>
    <row r="800">
      <c r="A800" s="322"/>
      <c r="B800" s="401"/>
    </row>
    <row r="801">
      <c r="A801" s="322"/>
      <c r="B801" s="401"/>
    </row>
    <row r="802">
      <c r="A802" s="322"/>
      <c r="B802" s="401"/>
    </row>
    <row r="803">
      <c r="A803" s="322"/>
      <c r="B803" s="401"/>
    </row>
    <row r="804">
      <c r="A804" s="322"/>
      <c r="B804" s="401"/>
    </row>
    <row r="805">
      <c r="A805" s="322"/>
      <c r="B805" s="401"/>
    </row>
    <row r="806">
      <c r="A806" s="322"/>
      <c r="B806" s="401"/>
    </row>
    <row r="807">
      <c r="A807" s="322"/>
      <c r="B807" s="401"/>
    </row>
    <row r="808">
      <c r="A808" s="322"/>
      <c r="B808" s="401"/>
    </row>
    <row r="809">
      <c r="A809" s="322"/>
      <c r="B809" s="401"/>
    </row>
    <row r="810">
      <c r="A810" s="322"/>
      <c r="B810" s="401"/>
    </row>
    <row r="811">
      <c r="A811" s="322"/>
      <c r="B811" s="401"/>
    </row>
    <row r="812">
      <c r="A812" s="322"/>
      <c r="B812" s="401"/>
    </row>
    <row r="813">
      <c r="A813" s="322"/>
      <c r="B813" s="401"/>
    </row>
    <row r="814">
      <c r="A814" s="322"/>
      <c r="B814" s="401"/>
    </row>
    <row r="815">
      <c r="A815" s="322"/>
      <c r="B815" s="401"/>
    </row>
    <row r="816">
      <c r="A816" s="322"/>
      <c r="B816" s="401"/>
    </row>
    <row r="817">
      <c r="A817" s="322"/>
      <c r="B817" s="401"/>
    </row>
    <row r="818">
      <c r="A818" s="322"/>
      <c r="B818" s="401"/>
    </row>
    <row r="819">
      <c r="A819" s="322"/>
      <c r="B819" s="401"/>
    </row>
    <row r="820">
      <c r="A820" s="322"/>
      <c r="B820" s="401"/>
    </row>
    <row r="821">
      <c r="A821" s="322"/>
      <c r="B821" s="401"/>
    </row>
    <row r="822">
      <c r="A822" s="322"/>
      <c r="B822" s="401"/>
    </row>
    <row r="823">
      <c r="A823" s="322"/>
      <c r="B823" s="401"/>
    </row>
    <row r="824">
      <c r="A824" s="322"/>
      <c r="B824" s="401"/>
    </row>
    <row r="825">
      <c r="A825" s="322"/>
      <c r="B825" s="401"/>
    </row>
    <row r="826">
      <c r="A826" s="322"/>
      <c r="B826" s="401"/>
    </row>
    <row r="827">
      <c r="A827" s="322"/>
      <c r="B827" s="401"/>
    </row>
    <row r="828">
      <c r="A828" s="322"/>
      <c r="B828" s="401"/>
    </row>
    <row r="829">
      <c r="A829" s="322"/>
      <c r="B829" s="401"/>
    </row>
    <row r="830">
      <c r="A830" s="322"/>
      <c r="B830" s="401"/>
    </row>
    <row r="831">
      <c r="A831" s="322"/>
      <c r="B831" s="401"/>
    </row>
    <row r="832">
      <c r="A832" s="322"/>
      <c r="B832" s="401"/>
    </row>
    <row r="833">
      <c r="A833" s="322"/>
      <c r="B833" s="401"/>
    </row>
    <row r="834">
      <c r="A834" s="322"/>
      <c r="B834" s="401"/>
    </row>
    <row r="835">
      <c r="A835" s="322"/>
      <c r="B835" s="401"/>
    </row>
    <row r="836">
      <c r="A836" s="322"/>
      <c r="B836" s="401"/>
    </row>
    <row r="837">
      <c r="A837" s="322"/>
      <c r="B837" s="401"/>
    </row>
    <row r="838">
      <c r="A838" s="322"/>
      <c r="B838" s="401"/>
    </row>
    <row r="839">
      <c r="A839" s="322"/>
      <c r="B839" s="401"/>
    </row>
    <row r="840">
      <c r="A840" s="322"/>
      <c r="B840" s="401"/>
    </row>
    <row r="841">
      <c r="A841" s="322"/>
      <c r="B841" s="401"/>
    </row>
    <row r="842">
      <c r="A842" s="322"/>
      <c r="B842" s="401"/>
    </row>
    <row r="843">
      <c r="A843" s="322"/>
      <c r="B843" s="401"/>
    </row>
    <row r="844">
      <c r="A844" s="322"/>
      <c r="B844" s="401"/>
    </row>
    <row r="845">
      <c r="A845" s="322"/>
      <c r="B845" s="401"/>
    </row>
    <row r="846">
      <c r="A846" s="322"/>
      <c r="B846" s="401"/>
    </row>
    <row r="847">
      <c r="A847" s="322"/>
      <c r="B847" s="401"/>
    </row>
    <row r="848">
      <c r="A848" s="322"/>
      <c r="B848" s="401"/>
    </row>
    <row r="849">
      <c r="A849" s="322"/>
      <c r="B849" s="401"/>
    </row>
    <row r="850">
      <c r="A850" s="322"/>
      <c r="B850" s="401"/>
    </row>
    <row r="851">
      <c r="A851" s="322"/>
      <c r="B851" s="401"/>
    </row>
    <row r="852">
      <c r="A852" s="322"/>
      <c r="B852" s="401"/>
    </row>
    <row r="853">
      <c r="A853" s="322"/>
      <c r="B853" s="401"/>
    </row>
    <row r="854">
      <c r="A854" s="322"/>
      <c r="B854" s="401"/>
    </row>
    <row r="855">
      <c r="A855" s="322"/>
      <c r="B855" s="401"/>
    </row>
    <row r="856">
      <c r="A856" s="322"/>
      <c r="B856" s="401"/>
    </row>
    <row r="857">
      <c r="A857" s="322"/>
      <c r="B857" s="401"/>
    </row>
    <row r="858">
      <c r="A858" s="322"/>
      <c r="B858" s="401"/>
    </row>
    <row r="859">
      <c r="A859" s="322"/>
      <c r="B859" s="401"/>
    </row>
    <row r="860">
      <c r="A860" s="322"/>
      <c r="B860" s="401"/>
    </row>
    <row r="861">
      <c r="A861" s="322"/>
      <c r="B861" s="401"/>
    </row>
    <row r="862">
      <c r="A862" s="322"/>
      <c r="B862" s="401"/>
    </row>
    <row r="863">
      <c r="A863" s="322"/>
      <c r="B863" s="401"/>
    </row>
    <row r="864">
      <c r="A864" s="322"/>
      <c r="B864" s="401"/>
    </row>
    <row r="865">
      <c r="A865" s="322"/>
      <c r="B865" s="401"/>
    </row>
    <row r="866">
      <c r="A866" s="322"/>
      <c r="B866" s="401"/>
    </row>
    <row r="867">
      <c r="A867" s="322"/>
      <c r="B867" s="401"/>
    </row>
    <row r="868">
      <c r="A868" s="322"/>
      <c r="B868" s="401"/>
    </row>
    <row r="869">
      <c r="A869" s="322"/>
      <c r="B869" s="401"/>
    </row>
    <row r="870">
      <c r="A870" s="322"/>
      <c r="B870" s="401"/>
    </row>
    <row r="871">
      <c r="A871" s="322"/>
      <c r="B871" s="401"/>
    </row>
    <row r="872">
      <c r="A872" s="322"/>
      <c r="B872" s="401"/>
    </row>
    <row r="873">
      <c r="A873" s="322"/>
      <c r="B873" s="401"/>
    </row>
    <row r="874">
      <c r="A874" s="322"/>
      <c r="B874" s="401"/>
    </row>
    <row r="875">
      <c r="A875" s="322"/>
      <c r="B875" s="401"/>
    </row>
    <row r="876">
      <c r="A876" s="322"/>
      <c r="B876" s="401"/>
    </row>
    <row r="877">
      <c r="A877" s="322"/>
      <c r="B877" s="401"/>
    </row>
    <row r="878">
      <c r="A878" s="322"/>
      <c r="B878" s="401"/>
    </row>
    <row r="879">
      <c r="A879" s="322"/>
      <c r="B879" s="401"/>
    </row>
    <row r="880">
      <c r="A880" s="322"/>
      <c r="B880" s="401"/>
    </row>
    <row r="881">
      <c r="A881" s="322"/>
      <c r="B881" s="401"/>
    </row>
    <row r="882">
      <c r="A882" s="322"/>
      <c r="B882" s="401"/>
    </row>
    <row r="883">
      <c r="A883" s="322"/>
      <c r="B883" s="401"/>
    </row>
    <row r="884">
      <c r="A884" s="322"/>
      <c r="B884" s="401"/>
    </row>
    <row r="885">
      <c r="A885" s="322"/>
      <c r="B885" s="401"/>
    </row>
    <row r="886">
      <c r="A886" s="322"/>
      <c r="B886" s="401"/>
    </row>
    <row r="887">
      <c r="A887" s="322"/>
      <c r="B887" s="401"/>
    </row>
    <row r="888">
      <c r="A888" s="322"/>
      <c r="B888" s="401"/>
    </row>
    <row r="889">
      <c r="A889" s="322"/>
      <c r="B889" s="401"/>
    </row>
    <row r="890">
      <c r="A890" s="322"/>
      <c r="B890" s="401"/>
    </row>
    <row r="891">
      <c r="A891" s="322"/>
      <c r="B891" s="401"/>
    </row>
    <row r="892">
      <c r="A892" s="322"/>
      <c r="B892" s="401"/>
    </row>
    <row r="893">
      <c r="A893" s="322"/>
      <c r="B893" s="401"/>
    </row>
    <row r="894">
      <c r="A894" s="322"/>
      <c r="B894" s="401"/>
    </row>
    <row r="895">
      <c r="A895" s="322"/>
      <c r="B895" s="401"/>
    </row>
    <row r="896">
      <c r="A896" s="322"/>
      <c r="B896" s="401"/>
    </row>
    <row r="897">
      <c r="A897" s="322"/>
      <c r="B897" s="401"/>
    </row>
    <row r="898">
      <c r="A898" s="322"/>
      <c r="B898" s="401"/>
    </row>
    <row r="899">
      <c r="A899" s="322"/>
      <c r="B899" s="401"/>
    </row>
    <row r="900">
      <c r="A900" s="322"/>
      <c r="B900" s="401"/>
    </row>
    <row r="901">
      <c r="A901" s="322"/>
      <c r="B901" s="401"/>
    </row>
    <row r="902">
      <c r="A902" s="322"/>
      <c r="B902" s="401"/>
    </row>
    <row r="903">
      <c r="A903" s="322"/>
      <c r="B903" s="401"/>
    </row>
    <row r="904">
      <c r="A904" s="322"/>
      <c r="B904" s="401"/>
    </row>
    <row r="905">
      <c r="A905" s="322"/>
      <c r="B905" s="401"/>
    </row>
    <row r="906">
      <c r="A906" s="322"/>
      <c r="B906" s="401"/>
    </row>
    <row r="907">
      <c r="A907" s="322"/>
      <c r="B907" s="401"/>
    </row>
    <row r="908">
      <c r="A908" s="322"/>
      <c r="B908" s="401"/>
    </row>
    <row r="909">
      <c r="A909" s="322"/>
      <c r="B909" s="401"/>
    </row>
    <row r="910">
      <c r="A910" s="322"/>
      <c r="B910" s="401"/>
    </row>
    <row r="911">
      <c r="A911" s="322"/>
      <c r="B911" s="401"/>
    </row>
    <row r="912">
      <c r="A912" s="322"/>
      <c r="B912" s="401"/>
    </row>
    <row r="913">
      <c r="A913" s="322"/>
      <c r="B913" s="401"/>
    </row>
    <row r="914">
      <c r="A914" s="322"/>
      <c r="B914" s="401"/>
    </row>
    <row r="915">
      <c r="A915" s="322"/>
      <c r="B915" s="401"/>
    </row>
    <row r="916">
      <c r="A916" s="322"/>
      <c r="B916" s="401"/>
    </row>
    <row r="917">
      <c r="A917" s="322"/>
      <c r="B917" s="401"/>
    </row>
    <row r="918">
      <c r="A918" s="322"/>
      <c r="B918" s="401"/>
    </row>
    <row r="919">
      <c r="A919" s="322"/>
      <c r="B919" s="401"/>
    </row>
    <row r="920">
      <c r="A920" s="322"/>
      <c r="B920" s="401"/>
    </row>
    <row r="921">
      <c r="A921" s="322"/>
      <c r="B921" s="401"/>
    </row>
    <row r="922">
      <c r="A922" s="322"/>
      <c r="B922" s="401"/>
    </row>
    <row r="923">
      <c r="A923" s="322"/>
      <c r="B923" s="401"/>
    </row>
    <row r="924">
      <c r="A924" s="322"/>
      <c r="B924" s="401"/>
    </row>
    <row r="925">
      <c r="A925" s="322"/>
      <c r="B925" s="401"/>
    </row>
    <row r="926">
      <c r="A926" s="322"/>
      <c r="B926" s="401"/>
    </row>
    <row r="927">
      <c r="A927" s="322"/>
      <c r="B927" s="401"/>
    </row>
    <row r="928">
      <c r="A928" s="322"/>
      <c r="B928" s="401"/>
    </row>
    <row r="929">
      <c r="A929" s="322"/>
      <c r="B929" s="401"/>
    </row>
    <row r="930">
      <c r="A930" s="322"/>
      <c r="B930" s="401"/>
    </row>
    <row r="931">
      <c r="A931" s="322"/>
      <c r="B931" s="401"/>
    </row>
    <row r="932">
      <c r="A932" s="322"/>
      <c r="B932" s="401"/>
    </row>
    <row r="933">
      <c r="A933" s="322"/>
      <c r="B933" s="401"/>
    </row>
    <row r="934">
      <c r="A934" s="322"/>
      <c r="B934" s="401"/>
    </row>
    <row r="935">
      <c r="A935" s="322"/>
      <c r="B935" s="401"/>
    </row>
    <row r="936">
      <c r="A936" s="322"/>
      <c r="B936" s="401"/>
    </row>
    <row r="937">
      <c r="A937" s="322"/>
      <c r="B937" s="401"/>
    </row>
    <row r="938">
      <c r="A938" s="322"/>
      <c r="B938" s="401"/>
    </row>
    <row r="939">
      <c r="A939" s="322"/>
      <c r="B939" s="401"/>
    </row>
    <row r="940">
      <c r="A940" s="322"/>
      <c r="B940" s="401"/>
    </row>
    <row r="941">
      <c r="A941" s="322"/>
      <c r="B941" s="401"/>
    </row>
    <row r="942">
      <c r="A942" s="322"/>
      <c r="B942" s="401"/>
    </row>
    <row r="943">
      <c r="A943" s="322"/>
      <c r="B943" s="401"/>
    </row>
    <row r="944">
      <c r="A944" s="322"/>
      <c r="B944" s="401"/>
    </row>
    <row r="945">
      <c r="A945" s="322"/>
      <c r="B945" s="401"/>
    </row>
    <row r="946">
      <c r="A946" s="322"/>
      <c r="B946" s="401"/>
    </row>
    <row r="947">
      <c r="A947" s="322"/>
      <c r="B947" s="401"/>
    </row>
    <row r="948">
      <c r="A948" s="322"/>
      <c r="B948" s="401"/>
    </row>
    <row r="949">
      <c r="A949" s="322"/>
      <c r="B949" s="401"/>
    </row>
    <row r="950">
      <c r="A950" s="322"/>
      <c r="B950" s="401"/>
    </row>
    <row r="951">
      <c r="A951" s="322"/>
      <c r="B951" s="401"/>
    </row>
    <row r="952">
      <c r="A952" s="322"/>
      <c r="B952" s="401"/>
    </row>
    <row r="953">
      <c r="A953" s="322"/>
      <c r="B953" s="401"/>
    </row>
    <row r="954">
      <c r="A954" s="322"/>
      <c r="B954" s="401"/>
    </row>
    <row r="955">
      <c r="A955" s="322"/>
      <c r="B955" s="401"/>
    </row>
    <row r="956">
      <c r="A956" s="322"/>
      <c r="B956" s="401"/>
    </row>
    <row r="957">
      <c r="A957" s="322"/>
      <c r="B957" s="401"/>
    </row>
    <row r="958">
      <c r="A958" s="322"/>
      <c r="B958" s="401"/>
    </row>
    <row r="959">
      <c r="A959" s="322"/>
      <c r="B959" s="401"/>
    </row>
    <row r="960">
      <c r="A960" s="322"/>
      <c r="B960" s="401"/>
    </row>
    <row r="961">
      <c r="A961" s="322"/>
      <c r="B961" s="401"/>
    </row>
    <row r="962">
      <c r="A962" s="322"/>
      <c r="B962" s="401"/>
    </row>
    <row r="963">
      <c r="A963" s="322"/>
      <c r="B963" s="401"/>
    </row>
    <row r="964">
      <c r="A964" s="322"/>
      <c r="B964" s="401"/>
    </row>
    <row r="965">
      <c r="A965" s="322"/>
      <c r="B965" s="401"/>
    </row>
    <row r="966">
      <c r="A966" s="322"/>
      <c r="B966" s="401"/>
    </row>
    <row r="967">
      <c r="A967" s="322"/>
      <c r="B967" s="401"/>
    </row>
    <row r="968">
      <c r="A968" s="322"/>
      <c r="B968" s="401"/>
    </row>
    <row r="969">
      <c r="A969" s="322"/>
      <c r="B969" s="401"/>
    </row>
    <row r="970">
      <c r="A970" s="322"/>
      <c r="B970" s="401"/>
    </row>
    <row r="971">
      <c r="A971" s="322"/>
      <c r="B971" s="401"/>
    </row>
    <row r="972">
      <c r="A972" s="322"/>
      <c r="B972" s="401"/>
    </row>
    <row r="973">
      <c r="A973" s="322"/>
      <c r="B973" s="401"/>
    </row>
    <row r="974">
      <c r="A974" s="322"/>
      <c r="B974" s="401"/>
    </row>
    <row r="975">
      <c r="A975" s="322"/>
      <c r="B975" s="401"/>
    </row>
    <row r="976">
      <c r="A976" s="322"/>
      <c r="B976" s="401"/>
    </row>
    <row r="977">
      <c r="A977" s="322"/>
      <c r="B977" s="401"/>
    </row>
    <row r="978">
      <c r="A978" s="322"/>
      <c r="B978" s="401"/>
    </row>
    <row r="979">
      <c r="A979" s="322"/>
      <c r="B979" s="401"/>
    </row>
    <row r="980">
      <c r="A980" s="322"/>
      <c r="B980" s="401"/>
    </row>
    <row r="981">
      <c r="A981" s="322"/>
      <c r="B981" s="401"/>
    </row>
    <row r="982">
      <c r="A982" s="322"/>
      <c r="B982" s="401"/>
    </row>
    <row r="983">
      <c r="A983" s="322"/>
      <c r="B983" s="401"/>
    </row>
    <row r="984">
      <c r="A984" s="322"/>
      <c r="B984" s="401"/>
    </row>
    <row r="985">
      <c r="A985" s="322"/>
      <c r="B985" s="401"/>
    </row>
    <row r="986">
      <c r="A986" s="322"/>
      <c r="B986" s="401"/>
    </row>
    <row r="987">
      <c r="A987" s="322"/>
      <c r="B987" s="401"/>
    </row>
    <row r="988">
      <c r="A988" s="322"/>
      <c r="B988" s="401"/>
    </row>
    <row r="989">
      <c r="A989" s="322"/>
      <c r="B989" s="401"/>
    </row>
    <row r="990">
      <c r="A990" s="322"/>
      <c r="B990" s="401"/>
    </row>
    <row r="991">
      <c r="A991" s="322"/>
      <c r="B991" s="401"/>
    </row>
    <row r="992">
      <c r="A992" s="322"/>
      <c r="B992" s="401"/>
    </row>
    <row r="993">
      <c r="A993" s="322"/>
      <c r="B993" s="401"/>
    </row>
    <row r="994">
      <c r="A994" s="322"/>
      <c r="B994" s="401"/>
    </row>
    <row r="995">
      <c r="A995" s="322"/>
      <c r="B995" s="401"/>
    </row>
    <row r="996">
      <c r="A996" s="322"/>
      <c r="B996" s="401"/>
    </row>
    <row r="997">
      <c r="A997" s="322"/>
      <c r="B997" s="401"/>
    </row>
    <row r="998">
      <c r="A998" s="322"/>
      <c r="B998" s="401"/>
    </row>
    <row r="999">
      <c r="A999" s="322"/>
      <c r="B999" s="401"/>
    </row>
    <row r="1000">
      <c r="A1000" s="322"/>
      <c r="B1000" s="401"/>
    </row>
    <row r="1001">
      <c r="A1001" s="322"/>
      <c r="B1001" s="401"/>
    </row>
    <row r="1002">
      <c r="A1002" s="322"/>
      <c r="B1002" s="401"/>
    </row>
    <row r="1003">
      <c r="A1003" s="322"/>
      <c r="B1003" s="401"/>
    </row>
    <row r="1004">
      <c r="A1004" s="322"/>
      <c r="B1004" s="401"/>
    </row>
    <row r="1005">
      <c r="A1005" s="322"/>
      <c r="B1005" s="401"/>
    </row>
    <row r="1006">
      <c r="A1006" s="322"/>
      <c r="B1006" s="401"/>
    </row>
  </sheetData>
  <autoFilter ref="$A$2:$Y$80">
    <sortState ref="A2:Y80">
      <sortCondition descending="1" ref="B2:B80"/>
    </sortState>
  </autoFilter>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3"/>
      <c r="B1" s="359"/>
      <c r="C1" s="360"/>
      <c r="D1" s="136"/>
      <c r="E1" s="366"/>
      <c r="F1" s="366"/>
      <c r="G1" s="405" t="s">
        <v>416</v>
      </c>
      <c r="H1" s="139">
        <v>53.0</v>
      </c>
      <c r="I1" s="139">
        <v>60.0</v>
      </c>
      <c r="J1" s="419">
        <f>AVERAGE(H1:I1)</f>
        <v>56.5</v>
      </c>
      <c r="K1" s="406" t="s">
        <v>416</v>
      </c>
      <c r="L1" s="376"/>
      <c r="M1" s="133"/>
      <c r="N1" s="145"/>
      <c r="O1" s="145"/>
      <c r="P1" s="145"/>
      <c r="Q1" s="145"/>
      <c r="R1" s="145"/>
      <c r="S1" s="145"/>
      <c r="T1" s="145"/>
      <c r="U1" s="145"/>
      <c r="V1" s="145"/>
    </row>
    <row r="2">
      <c r="A2" s="146"/>
      <c r="B2" s="134" t="s">
        <v>2487</v>
      </c>
      <c r="C2" s="234" t="s">
        <v>421</v>
      </c>
      <c r="D2" s="148"/>
      <c r="E2" s="366"/>
      <c r="F2" s="366"/>
      <c r="G2" s="407" t="s">
        <v>422</v>
      </c>
      <c r="H2" s="139">
        <f t="shared" ref="H2:I2" si="1">sum(H4:H279)</f>
        <v>3980</v>
      </c>
      <c r="I2" s="139">
        <f t="shared" si="1"/>
        <v>5162</v>
      </c>
      <c r="J2" s="408">
        <f>sum(J4:J229)</f>
        <v>1</v>
      </c>
      <c r="K2" s="378">
        <f>sum(K4:K403)</f>
        <v>56.5</v>
      </c>
      <c r="L2" s="379" t="s">
        <v>416</v>
      </c>
      <c r="M2" s="146"/>
      <c r="N2" s="153" t="s">
        <v>423</v>
      </c>
      <c r="O2" s="145"/>
      <c r="P2" s="145"/>
      <c r="Q2" s="145"/>
      <c r="R2" s="145"/>
      <c r="S2" s="145"/>
      <c r="T2" s="145"/>
      <c r="U2" s="145"/>
      <c r="V2" s="145"/>
    </row>
    <row r="3">
      <c r="A3" s="381" t="s">
        <v>424</v>
      </c>
      <c r="B3" s="381" t="s">
        <v>425</v>
      </c>
      <c r="C3" s="235" t="s">
        <v>426</v>
      </c>
      <c r="D3" s="382"/>
      <c r="E3" s="384" t="s">
        <v>427</v>
      </c>
      <c r="F3" s="384" t="s">
        <v>428</v>
      </c>
      <c r="G3" s="409" t="s">
        <v>3559</v>
      </c>
      <c r="H3" s="410" t="s">
        <v>1926</v>
      </c>
      <c r="I3" s="409" t="s">
        <v>3560</v>
      </c>
      <c r="J3" s="387" t="s">
        <v>432</v>
      </c>
      <c r="K3" s="388" t="s">
        <v>3336</v>
      </c>
      <c r="L3" s="389" t="s">
        <v>3337</v>
      </c>
      <c r="M3" s="381" t="s">
        <v>424</v>
      </c>
      <c r="N3" s="390" t="s">
        <v>3561</v>
      </c>
      <c r="O3" s="387"/>
    </row>
    <row r="4">
      <c r="A4" s="249" t="s">
        <v>3894</v>
      </c>
      <c r="B4" s="249" t="s">
        <v>18</v>
      </c>
      <c r="C4" s="219" t="s">
        <v>4012</v>
      </c>
      <c r="D4" s="369" t="s">
        <v>495</v>
      </c>
      <c r="E4" s="251">
        <v>44085.0</v>
      </c>
      <c r="F4" s="219" t="s">
        <v>499</v>
      </c>
      <c r="G4" s="403">
        <v>4.0</v>
      </c>
      <c r="H4" s="403">
        <v>0.0</v>
      </c>
      <c r="I4" s="403">
        <v>0.0</v>
      </c>
      <c r="J4" s="391">
        <f t="shared" ref="J4:J220" si="2">(H4/$H$2+I4/$I$2)/2</f>
        <v>0</v>
      </c>
      <c r="K4" s="392">
        <f t="shared" ref="K4:K220" si="3">J4*$J$1</f>
        <v>0</v>
      </c>
      <c r="L4" s="327">
        <f t="shared" ref="L4:L220" si="4">dsum($A$3:$K$369,"Cred per Praise",{$A$3;A4})</f>
        <v>0</v>
      </c>
      <c r="M4" s="249" t="s">
        <v>3894</v>
      </c>
      <c r="N4" s="420"/>
      <c r="O4" s="420"/>
      <c r="P4" s="420"/>
      <c r="Q4" s="420"/>
      <c r="R4" s="420"/>
      <c r="S4" s="420"/>
      <c r="T4" s="420"/>
      <c r="U4" s="420"/>
      <c r="V4" s="420"/>
      <c r="W4" s="420"/>
      <c r="X4" s="420"/>
    </row>
    <row r="5">
      <c r="A5" s="249" t="s">
        <v>269</v>
      </c>
      <c r="B5" s="249" t="s">
        <v>519</v>
      </c>
      <c r="C5" s="219" t="s">
        <v>4013</v>
      </c>
      <c r="D5" s="369" t="s">
        <v>495</v>
      </c>
      <c r="E5" s="251">
        <v>44091.0</v>
      </c>
      <c r="F5" s="219" t="s">
        <v>499</v>
      </c>
      <c r="G5" s="403">
        <v>4.0</v>
      </c>
      <c r="H5" s="403">
        <v>0.0</v>
      </c>
      <c r="I5" s="403">
        <v>0.0</v>
      </c>
      <c r="J5" s="391">
        <f t="shared" si="2"/>
        <v>0</v>
      </c>
      <c r="K5" s="392">
        <f t="shared" si="3"/>
        <v>0</v>
      </c>
      <c r="L5" s="327">
        <f t="shared" si="4"/>
        <v>0</v>
      </c>
      <c r="M5" s="249" t="s">
        <v>269</v>
      </c>
      <c r="N5" s="420"/>
      <c r="O5" s="420"/>
      <c r="P5" s="420"/>
      <c r="Q5" s="420"/>
      <c r="R5" s="420"/>
      <c r="S5" s="420"/>
      <c r="T5" s="420"/>
      <c r="U5" s="420"/>
      <c r="V5" s="420"/>
      <c r="W5" s="420"/>
      <c r="X5" s="420"/>
    </row>
    <row r="6">
      <c r="A6" s="249" t="s">
        <v>9</v>
      </c>
      <c r="B6" s="249" t="s">
        <v>519</v>
      </c>
      <c r="C6" s="219" t="s">
        <v>4014</v>
      </c>
      <c r="D6" s="369" t="s">
        <v>495</v>
      </c>
      <c r="E6" s="361">
        <v>44083.0</v>
      </c>
      <c r="F6" s="219" t="s">
        <v>545</v>
      </c>
      <c r="G6" s="403">
        <v>1.0</v>
      </c>
      <c r="H6" s="403">
        <v>100.0</v>
      </c>
      <c r="I6" s="403">
        <v>100.0</v>
      </c>
      <c r="J6" s="391">
        <f t="shared" si="2"/>
        <v>0.02224898222</v>
      </c>
      <c r="K6" s="392">
        <f t="shared" si="3"/>
        <v>1.257067496</v>
      </c>
      <c r="L6" s="327">
        <f t="shared" si="4"/>
        <v>12.81097808</v>
      </c>
      <c r="M6" s="249" t="s">
        <v>9</v>
      </c>
      <c r="N6" s="420"/>
      <c r="O6" s="420"/>
      <c r="P6" s="420"/>
      <c r="Q6" s="420"/>
      <c r="R6" s="420"/>
      <c r="S6" s="420"/>
      <c r="T6" s="420"/>
      <c r="U6" s="420"/>
      <c r="V6" s="420"/>
      <c r="W6" s="420"/>
      <c r="X6" s="420"/>
    </row>
    <row r="7">
      <c r="A7" s="249" t="s">
        <v>9</v>
      </c>
      <c r="B7" s="249" t="s">
        <v>519</v>
      </c>
      <c r="C7" s="219" t="s">
        <v>4015</v>
      </c>
      <c r="D7" s="369" t="s">
        <v>495</v>
      </c>
      <c r="E7" s="251">
        <v>44084.0</v>
      </c>
      <c r="F7" s="219" t="s">
        <v>545</v>
      </c>
      <c r="G7" s="403">
        <v>1.0</v>
      </c>
      <c r="H7" s="403">
        <v>60.0</v>
      </c>
      <c r="I7" s="403">
        <v>70.0</v>
      </c>
      <c r="J7" s="391">
        <f t="shared" si="2"/>
        <v>0.01431800615</v>
      </c>
      <c r="K7" s="392">
        <f t="shared" si="3"/>
        <v>0.8089673474</v>
      </c>
      <c r="L7" s="327">
        <f t="shared" si="4"/>
        <v>12.81097808</v>
      </c>
      <c r="M7" s="249" t="s">
        <v>9</v>
      </c>
      <c r="N7" s="420"/>
      <c r="O7" s="420"/>
      <c r="P7" s="420"/>
      <c r="Q7" s="420"/>
      <c r="R7" s="420"/>
      <c r="S7" s="420"/>
      <c r="T7" s="420"/>
      <c r="U7" s="420"/>
      <c r="V7" s="420"/>
      <c r="W7" s="420"/>
      <c r="X7" s="420"/>
    </row>
    <row r="8">
      <c r="A8" s="249" t="s">
        <v>9</v>
      </c>
      <c r="B8" s="249" t="s">
        <v>18</v>
      </c>
      <c r="C8" s="219" t="s">
        <v>4012</v>
      </c>
      <c r="D8" s="369" t="s">
        <v>495</v>
      </c>
      <c r="E8" s="251">
        <v>44085.0</v>
      </c>
      <c r="F8" s="219" t="s">
        <v>499</v>
      </c>
      <c r="G8" s="403">
        <v>4.0</v>
      </c>
      <c r="H8" s="403">
        <v>0.0</v>
      </c>
      <c r="I8" s="403">
        <v>0.0</v>
      </c>
      <c r="J8" s="391">
        <f t="shared" si="2"/>
        <v>0</v>
      </c>
      <c r="K8" s="392">
        <f t="shared" si="3"/>
        <v>0</v>
      </c>
      <c r="L8" s="327">
        <f t="shared" si="4"/>
        <v>12.81097808</v>
      </c>
      <c r="M8" s="249" t="s">
        <v>9</v>
      </c>
      <c r="N8" s="420"/>
      <c r="O8" s="420"/>
      <c r="P8" s="420"/>
      <c r="Q8" s="420"/>
      <c r="R8" s="420"/>
      <c r="S8" s="420"/>
      <c r="T8" s="420"/>
      <c r="U8" s="420"/>
      <c r="V8" s="420"/>
      <c r="W8" s="420"/>
      <c r="X8" s="420"/>
    </row>
    <row r="9">
      <c r="A9" s="249" t="s">
        <v>9</v>
      </c>
      <c r="B9" s="249" t="s">
        <v>18</v>
      </c>
      <c r="C9" s="219" t="s">
        <v>4016</v>
      </c>
      <c r="D9" s="369" t="s">
        <v>495</v>
      </c>
      <c r="E9" s="251">
        <v>44091.0</v>
      </c>
      <c r="F9" s="219" t="s">
        <v>545</v>
      </c>
      <c r="G9" s="403">
        <v>1.0</v>
      </c>
      <c r="H9" s="403">
        <v>100.0</v>
      </c>
      <c r="I9" s="403">
        <v>100.0</v>
      </c>
      <c r="J9" s="391">
        <f t="shared" si="2"/>
        <v>0.02224898222</v>
      </c>
      <c r="K9" s="392">
        <f t="shared" si="3"/>
        <v>1.257067496</v>
      </c>
      <c r="L9" s="327">
        <f t="shared" si="4"/>
        <v>12.81097808</v>
      </c>
      <c r="M9" s="249" t="s">
        <v>9</v>
      </c>
      <c r="N9" s="420"/>
      <c r="O9" s="420"/>
      <c r="P9" s="420"/>
      <c r="Q9" s="420"/>
      <c r="R9" s="420"/>
      <c r="S9" s="420"/>
      <c r="T9" s="420"/>
      <c r="U9" s="420"/>
      <c r="V9" s="420"/>
      <c r="W9" s="420"/>
      <c r="X9" s="420"/>
    </row>
    <row r="10">
      <c r="A10" s="249" t="s">
        <v>9</v>
      </c>
      <c r="B10" s="249" t="s">
        <v>18</v>
      </c>
      <c r="C10" s="219" t="s">
        <v>4017</v>
      </c>
      <c r="D10" s="369" t="s">
        <v>495</v>
      </c>
      <c r="E10" s="251">
        <v>44091.0</v>
      </c>
      <c r="F10" s="219" t="s">
        <v>545</v>
      </c>
      <c r="G10" s="403">
        <v>2.0</v>
      </c>
      <c r="H10" s="403">
        <v>40.0</v>
      </c>
      <c r="I10" s="403">
        <v>40.0</v>
      </c>
      <c r="J10" s="391">
        <f t="shared" si="2"/>
        <v>0.008899592889</v>
      </c>
      <c r="K10" s="392">
        <f t="shared" si="3"/>
        <v>0.5028269982</v>
      </c>
      <c r="L10" s="327">
        <f t="shared" si="4"/>
        <v>12.81097808</v>
      </c>
      <c r="M10" s="249" t="s">
        <v>9</v>
      </c>
      <c r="N10" s="420"/>
      <c r="O10" s="420"/>
      <c r="P10" s="420"/>
      <c r="Q10" s="420"/>
      <c r="R10" s="420"/>
      <c r="S10" s="420"/>
      <c r="T10" s="420"/>
      <c r="U10" s="420"/>
      <c r="V10" s="420"/>
      <c r="W10" s="420"/>
      <c r="X10" s="420"/>
    </row>
    <row r="11">
      <c r="A11" s="249" t="s">
        <v>9</v>
      </c>
      <c r="B11" s="249" t="s">
        <v>18</v>
      </c>
      <c r="C11" s="219" t="s">
        <v>4018</v>
      </c>
      <c r="D11" s="369" t="s">
        <v>495</v>
      </c>
      <c r="E11" s="361">
        <v>44083.0</v>
      </c>
      <c r="F11" s="219" t="s">
        <v>545</v>
      </c>
      <c r="G11" s="403">
        <v>2.0</v>
      </c>
      <c r="H11" s="403">
        <v>40.0</v>
      </c>
      <c r="I11" s="403">
        <v>40.0</v>
      </c>
      <c r="J11" s="391">
        <f t="shared" si="2"/>
        <v>0.008899592889</v>
      </c>
      <c r="K11" s="392">
        <f t="shared" si="3"/>
        <v>0.5028269982</v>
      </c>
      <c r="L11" s="327">
        <f t="shared" si="4"/>
        <v>12.81097808</v>
      </c>
      <c r="M11" s="249" t="s">
        <v>9</v>
      </c>
      <c r="N11" s="420"/>
      <c r="O11" s="420"/>
      <c r="P11" s="420"/>
      <c r="Q11" s="420"/>
      <c r="R11" s="420"/>
      <c r="S11" s="420"/>
      <c r="T11" s="420"/>
      <c r="U11" s="420"/>
      <c r="V11" s="420"/>
      <c r="W11" s="420"/>
      <c r="X11" s="420"/>
    </row>
    <row r="12">
      <c r="A12" s="226" t="s">
        <v>9</v>
      </c>
      <c r="B12" s="226" t="s">
        <v>8</v>
      </c>
      <c r="C12" s="250" t="s">
        <v>4019</v>
      </c>
      <c r="D12" s="268" t="s">
        <v>495</v>
      </c>
      <c r="E12" s="251">
        <v>44092.0</v>
      </c>
      <c r="F12" s="250" t="s">
        <v>545</v>
      </c>
      <c r="G12" s="403">
        <v>3.0</v>
      </c>
      <c r="H12" s="403">
        <v>60.0</v>
      </c>
      <c r="I12" s="403">
        <v>20.0</v>
      </c>
      <c r="J12" s="391">
        <f t="shared" si="2"/>
        <v>0.009474922073</v>
      </c>
      <c r="K12" s="392">
        <f t="shared" si="3"/>
        <v>0.5353330971</v>
      </c>
      <c r="L12" s="327">
        <f t="shared" si="4"/>
        <v>12.81097808</v>
      </c>
      <c r="M12" s="226" t="s">
        <v>9</v>
      </c>
    </row>
    <row r="13">
      <c r="A13" s="226" t="s">
        <v>9</v>
      </c>
      <c r="B13" s="226" t="s">
        <v>9</v>
      </c>
      <c r="C13" s="250" t="s">
        <v>4020</v>
      </c>
      <c r="D13" s="268" t="s">
        <v>495</v>
      </c>
      <c r="E13" s="251">
        <v>44094.0</v>
      </c>
      <c r="F13" s="250" t="s">
        <v>545</v>
      </c>
      <c r="G13" s="403">
        <v>3.0</v>
      </c>
      <c r="H13" s="403">
        <v>30.0</v>
      </c>
      <c r="I13" s="403">
        <v>20.0</v>
      </c>
      <c r="J13" s="391">
        <f t="shared" si="2"/>
        <v>0.005706077851</v>
      </c>
      <c r="K13" s="392">
        <f t="shared" si="3"/>
        <v>0.3223933986</v>
      </c>
      <c r="L13" s="327">
        <f t="shared" si="4"/>
        <v>12.81097808</v>
      </c>
      <c r="M13" s="226" t="s">
        <v>9</v>
      </c>
    </row>
    <row r="14">
      <c r="A14" s="226" t="s">
        <v>9</v>
      </c>
      <c r="B14" s="226" t="s">
        <v>18</v>
      </c>
      <c r="C14" s="250" t="s">
        <v>4021</v>
      </c>
      <c r="D14" s="268" t="s">
        <v>495</v>
      </c>
      <c r="E14" s="251">
        <v>44095.0</v>
      </c>
      <c r="F14" s="250" t="s">
        <v>545</v>
      </c>
      <c r="G14" s="403">
        <v>1.0</v>
      </c>
      <c r="H14" s="403">
        <v>100.0</v>
      </c>
      <c r="I14" s="403">
        <v>100.0</v>
      </c>
      <c r="J14" s="391">
        <f t="shared" si="2"/>
        <v>0.02224898222</v>
      </c>
      <c r="K14" s="392">
        <f t="shared" si="3"/>
        <v>1.257067496</v>
      </c>
      <c r="L14" s="327">
        <f t="shared" si="4"/>
        <v>12.81097808</v>
      </c>
      <c r="M14" s="226" t="s">
        <v>9</v>
      </c>
    </row>
    <row r="15">
      <c r="A15" s="226" t="s">
        <v>9</v>
      </c>
      <c r="B15" s="226" t="s">
        <v>18</v>
      </c>
      <c r="C15" s="250" t="s">
        <v>4022</v>
      </c>
      <c r="D15" s="268" t="s">
        <v>495</v>
      </c>
      <c r="E15" s="251">
        <v>44095.0</v>
      </c>
      <c r="F15" s="250" t="s">
        <v>545</v>
      </c>
      <c r="G15" s="403">
        <v>1.0</v>
      </c>
      <c r="H15" s="403">
        <v>200.0</v>
      </c>
      <c r="I15" s="403">
        <v>200.0</v>
      </c>
      <c r="J15" s="391">
        <f t="shared" si="2"/>
        <v>0.04449796444</v>
      </c>
      <c r="K15" s="392">
        <f t="shared" si="3"/>
        <v>2.514134991</v>
      </c>
      <c r="L15" s="327">
        <f t="shared" si="4"/>
        <v>12.81097808</v>
      </c>
      <c r="M15" s="226" t="s">
        <v>9</v>
      </c>
    </row>
    <row r="16">
      <c r="A16" s="226" t="s">
        <v>9</v>
      </c>
      <c r="B16" s="226" t="s">
        <v>519</v>
      </c>
      <c r="C16" s="250" t="s">
        <v>4023</v>
      </c>
      <c r="D16" s="268" t="s">
        <v>495</v>
      </c>
      <c r="E16" s="251">
        <v>44095.0</v>
      </c>
      <c r="F16" s="250" t="s">
        <v>545</v>
      </c>
      <c r="G16" s="403">
        <v>2.0</v>
      </c>
      <c r="H16" s="403">
        <v>5.0</v>
      </c>
      <c r="I16" s="403">
        <v>10.0</v>
      </c>
      <c r="J16" s="391">
        <f t="shared" si="2"/>
        <v>0.001596757519</v>
      </c>
      <c r="K16" s="392">
        <f t="shared" si="3"/>
        <v>0.09021679981</v>
      </c>
      <c r="L16" s="327">
        <f t="shared" si="4"/>
        <v>12.81097808</v>
      </c>
      <c r="M16" s="226" t="s">
        <v>9</v>
      </c>
    </row>
    <row r="17">
      <c r="A17" s="226" t="s">
        <v>9</v>
      </c>
      <c r="B17" s="226" t="s">
        <v>18</v>
      </c>
      <c r="C17" s="250" t="s">
        <v>4024</v>
      </c>
      <c r="D17" s="268" t="s">
        <v>495</v>
      </c>
      <c r="E17" s="251">
        <v>44097.0</v>
      </c>
      <c r="F17" s="250" t="s">
        <v>545</v>
      </c>
      <c r="G17" s="403">
        <v>1.0</v>
      </c>
      <c r="H17" s="403">
        <v>50.0</v>
      </c>
      <c r="I17" s="403">
        <v>50.0</v>
      </c>
      <c r="J17" s="391">
        <f t="shared" si="2"/>
        <v>0.01112449111</v>
      </c>
      <c r="K17" s="392">
        <f t="shared" si="3"/>
        <v>0.6285337478</v>
      </c>
      <c r="L17" s="327">
        <f t="shared" si="4"/>
        <v>12.81097808</v>
      </c>
      <c r="M17" s="226" t="s">
        <v>9</v>
      </c>
    </row>
    <row r="18">
      <c r="A18" s="226" t="s">
        <v>9</v>
      </c>
      <c r="B18" s="226" t="s">
        <v>8</v>
      </c>
      <c r="C18" s="250" t="s">
        <v>4025</v>
      </c>
      <c r="D18" s="268" t="s">
        <v>495</v>
      </c>
      <c r="E18" s="251">
        <v>44098.0</v>
      </c>
      <c r="F18" s="250" t="s">
        <v>545</v>
      </c>
      <c r="G18" s="403">
        <v>1.0</v>
      </c>
      <c r="H18" s="403">
        <v>10.0</v>
      </c>
      <c r="I18" s="403">
        <v>10.0</v>
      </c>
      <c r="J18" s="391">
        <f t="shared" si="2"/>
        <v>0.002224898222</v>
      </c>
      <c r="K18" s="392">
        <f t="shared" si="3"/>
        <v>0.1257067496</v>
      </c>
      <c r="L18" s="327">
        <f t="shared" si="4"/>
        <v>12.81097808</v>
      </c>
      <c r="M18" s="226" t="s">
        <v>9</v>
      </c>
    </row>
    <row r="19">
      <c r="A19" s="226" t="s">
        <v>9</v>
      </c>
      <c r="B19" s="226" t="s">
        <v>8</v>
      </c>
      <c r="C19" s="250" t="s">
        <v>4026</v>
      </c>
      <c r="D19" s="268" t="s">
        <v>495</v>
      </c>
      <c r="E19" s="251">
        <v>44098.0</v>
      </c>
      <c r="F19" s="250" t="s">
        <v>545</v>
      </c>
      <c r="G19" s="403">
        <v>1.0</v>
      </c>
      <c r="H19" s="403">
        <v>10.0</v>
      </c>
      <c r="I19" s="403">
        <v>10.0</v>
      </c>
      <c r="J19" s="391">
        <f t="shared" si="2"/>
        <v>0.002224898222</v>
      </c>
      <c r="K19" s="392">
        <f t="shared" si="3"/>
        <v>0.1257067496</v>
      </c>
      <c r="L19" s="327">
        <f t="shared" si="4"/>
        <v>12.81097808</v>
      </c>
      <c r="M19" s="226" t="s">
        <v>9</v>
      </c>
    </row>
    <row r="20">
      <c r="A20" s="226" t="s">
        <v>9</v>
      </c>
      <c r="B20" s="226" t="s">
        <v>519</v>
      </c>
      <c r="C20" s="250" t="s">
        <v>4027</v>
      </c>
      <c r="D20" s="268" t="s">
        <v>495</v>
      </c>
      <c r="E20" s="251">
        <v>44098.0</v>
      </c>
      <c r="F20" s="250" t="s">
        <v>496</v>
      </c>
      <c r="G20" s="403">
        <v>1.0</v>
      </c>
      <c r="H20" s="403">
        <v>5.0</v>
      </c>
      <c r="I20" s="403">
        <v>5.0</v>
      </c>
      <c r="J20" s="391">
        <f t="shared" si="2"/>
        <v>0.001112449111</v>
      </c>
      <c r="K20" s="392">
        <f t="shared" si="3"/>
        <v>0.06285337478</v>
      </c>
      <c r="L20" s="327">
        <f t="shared" si="4"/>
        <v>12.81097808</v>
      </c>
      <c r="M20" s="226" t="s">
        <v>9</v>
      </c>
    </row>
    <row r="21">
      <c r="A21" s="226" t="s">
        <v>9</v>
      </c>
      <c r="B21" s="226" t="s">
        <v>18</v>
      </c>
      <c r="C21" s="250" t="s">
        <v>4028</v>
      </c>
      <c r="D21" s="268" t="s">
        <v>495</v>
      </c>
      <c r="E21" s="251">
        <v>44098.0</v>
      </c>
      <c r="F21" s="250" t="s">
        <v>496</v>
      </c>
      <c r="G21" s="403">
        <v>2.0</v>
      </c>
      <c r="H21" s="403">
        <v>40.0</v>
      </c>
      <c r="I21" s="403">
        <v>40.0</v>
      </c>
      <c r="J21" s="391">
        <f t="shared" si="2"/>
        <v>0.008899592889</v>
      </c>
      <c r="K21" s="392">
        <f t="shared" si="3"/>
        <v>0.5028269982</v>
      </c>
      <c r="L21" s="327">
        <f t="shared" si="4"/>
        <v>12.81097808</v>
      </c>
      <c r="M21" s="226" t="s">
        <v>9</v>
      </c>
    </row>
    <row r="22">
      <c r="A22" s="226" t="s">
        <v>9</v>
      </c>
      <c r="B22" s="226" t="s">
        <v>519</v>
      </c>
      <c r="C22" s="250" t="s">
        <v>4029</v>
      </c>
      <c r="D22" s="268" t="s">
        <v>495</v>
      </c>
      <c r="E22" s="251">
        <v>44098.0</v>
      </c>
      <c r="F22" s="250" t="s">
        <v>545</v>
      </c>
      <c r="G22" s="403">
        <v>2.0</v>
      </c>
      <c r="H22" s="403">
        <v>40.0</v>
      </c>
      <c r="I22" s="403">
        <v>50.0</v>
      </c>
      <c r="J22" s="391">
        <f t="shared" si="2"/>
        <v>0.009868209704</v>
      </c>
      <c r="K22" s="392">
        <f t="shared" si="3"/>
        <v>0.5575538483</v>
      </c>
      <c r="L22" s="327">
        <f t="shared" si="4"/>
        <v>12.81097808</v>
      </c>
      <c r="M22" s="226" t="s">
        <v>9</v>
      </c>
    </row>
    <row r="23">
      <c r="A23" s="226" t="s">
        <v>9</v>
      </c>
      <c r="B23" s="226" t="s">
        <v>590</v>
      </c>
      <c r="C23" s="250" t="s">
        <v>4030</v>
      </c>
      <c r="D23" s="268" t="s">
        <v>495</v>
      </c>
      <c r="E23" s="251">
        <v>44098.0</v>
      </c>
      <c r="F23" s="250" t="s">
        <v>496</v>
      </c>
      <c r="G23" s="403">
        <v>1.0</v>
      </c>
      <c r="H23" s="403">
        <v>40.0</v>
      </c>
      <c r="I23" s="403">
        <v>40.0</v>
      </c>
      <c r="J23" s="391">
        <f t="shared" si="2"/>
        <v>0.008899592889</v>
      </c>
      <c r="K23" s="392">
        <f t="shared" si="3"/>
        <v>0.5028269982</v>
      </c>
      <c r="L23" s="327">
        <f t="shared" si="4"/>
        <v>12.81097808</v>
      </c>
      <c r="M23" s="226" t="s">
        <v>9</v>
      </c>
    </row>
    <row r="24">
      <c r="A24" s="226" t="s">
        <v>9</v>
      </c>
      <c r="B24" s="226" t="s">
        <v>519</v>
      </c>
      <c r="C24" s="368" t="s">
        <v>3945</v>
      </c>
      <c r="D24" s="268" t="s">
        <v>495</v>
      </c>
      <c r="E24" s="251">
        <v>44099.0</v>
      </c>
      <c r="F24" s="250" t="s">
        <v>496</v>
      </c>
      <c r="G24" s="403">
        <v>1.0</v>
      </c>
      <c r="H24" s="403">
        <v>100.0</v>
      </c>
      <c r="I24" s="403">
        <v>100.0</v>
      </c>
      <c r="J24" s="391">
        <f t="shared" si="2"/>
        <v>0.02224898222</v>
      </c>
      <c r="K24" s="392">
        <f t="shared" si="3"/>
        <v>1.257067496</v>
      </c>
      <c r="L24" s="327">
        <f t="shared" si="4"/>
        <v>12.81097808</v>
      </c>
      <c r="M24" s="226" t="s">
        <v>9</v>
      </c>
    </row>
    <row r="25">
      <c r="A25" s="249" t="s">
        <v>4031</v>
      </c>
      <c r="B25" s="249" t="s">
        <v>77</v>
      </c>
      <c r="C25" s="219" t="s">
        <v>4032</v>
      </c>
      <c r="D25" s="369" t="s">
        <v>495</v>
      </c>
      <c r="E25" s="251">
        <v>44089.0</v>
      </c>
      <c r="F25" s="219" t="s">
        <v>499</v>
      </c>
      <c r="G25" s="403">
        <v>4.0</v>
      </c>
      <c r="H25" s="403">
        <v>0.0</v>
      </c>
      <c r="I25" s="403">
        <v>0.0</v>
      </c>
      <c r="J25" s="391">
        <f t="shared" si="2"/>
        <v>0</v>
      </c>
      <c r="K25" s="392">
        <f t="shared" si="3"/>
        <v>0</v>
      </c>
      <c r="L25" s="327">
        <f t="shared" si="4"/>
        <v>0</v>
      </c>
      <c r="M25" s="249" t="s">
        <v>4031</v>
      </c>
      <c r="N25" s="420"/>
      <c r="O25" s="420"/>
      <c r="P25" s="420"/>
      <c r="Q25" s="420"/>
      <c r="R25" s="420"/>
      <c r="S25" s="420"/>
      <c r="T25" s="420"/>
      <c r="U25" s="420"/>
      <c r="V25" s="420"/>
      <c r="W25" s="420"/>
      <c r="X25" s="420"/>
    </row>
    <row r="26">
      <c r="A26" s="226" t="s">
        <v>47</v>
      </c>
      <c r="B26" s="226" t="s">
        <v>29</v>
      </c>
      <c r="C26" s="250" t="s">
        <v>4033</v>
      </c>
      <c r="D26" s="268" t="s">
        <v>495</v>
      </c>
      <c r="E26" s="251">
        <v>44095.0</v>
      </c>
      <c r="F26" s="250" t="s">
        <v>592</v>
      </c>
      <c r="G26" s="403">
        <v>3.0</v>
      </c>
      <c r="H26" s="403">
        <v>5.0</v>
      </c>
      <c r="I26" s="403">
        <v>10.0</v>
      </c>
      <c r="J26" s="391">
        <f t="shared" si="2"/>
        <v>0.001596757519</v>
      </c>
      <c r="K26" s="392">
        <f t="shared" si="3"/>
        <v>0.09021679981</v>
      </c>
      <c r="L26" s="327">
        <f t="shared" si="4"/>
        <v>0.09021679981</v>
      </c>
      <c r="M26" s="226" t="s">
        <v>47</v>
      </c>
    </row>
    <row r="27">
      <c r="A27" s="226" t="s">
        <v>386</v>
      </c>
      <c r="B27" s="226" t="s">
        <v>519</v>
      </c>
      <c r="C27" s="250" t="s">
        <v>4034</v>
      </c>
      <c r="D27" s="268" t="s">
        <v>495</v>
      </c>
      <c r="E27" s="251">
        <v>44095.0</v>
      </c>
      <c r="F27" s="250" t="s">
        <v>499</v>
      </c>
      <c r="G27" s="403">
        <v>3.0</v>
      </c>
      <c r="H27" s="403">
        <v>2.0</v>
      </c>
      <c r="I27" s="403">
        <v>2.0</v>
      </c>
      <c r="J27" s="391">
        <f t="shared" si="2"/>
        <v>0.0004449796444</v>
      </c>
      <c r="K27" s="392">
        <f t="shared" si="3"/>
        <v>0.02514134991</v>
      </c>
      <c r="L27" s="327">
        <f t="shared" si="4"/>
        <v>0.02514134991</v>
      </c>
      <c r="M27" s="226" t="s">
        <v>386</v>
      </c>
    </row>
    <row r="28">
      <c r="A28" s="226" t="s">
        <v>79</v>
      </c>
      <c r="B28" s="226" t="s">
        <v>8</v>
      </c>
      <c r="C28" s="250" t="s">
        <v>4035</v>
      </c>
      <c r="D28" s="268" t="s">
        <v>495</v>
      </c>
      <c r="E28" s="251">
        <v>44092.0</v>
      </c>
      <c r="F28" s="250" t="s">
        <v>545</v>
      </c>
      <c r="G28" s="403">
        <v>3.0</v>
      </c>
      <c r="H28" s="403">
        <v>50.0</v>
      </c>
      <c r="I28" s="403">
        <v>10.0</v>
      </c>
      <c r="J28" s="391">
        <f t="shared" si="2"/>
        <v>0.00725002385</v>
      </c>
      <c r="K28" s="392">
        <f t="shared" si="3"/>
        <v>0.4096263475</v>
      </c>
      <c r="L28" s="327">
        <f t="shared" si="4"/>
        <v>0.4096263475</v>
      </c>
      <c r="M28" s="226" t="s">
        <v>79</v>
      </c>
    </row>
    <row r="29">
      <c r="A29" s="226" t="s">
        <v>1226</v>
      </c>
      <c r="B29" s="226" t="s">
        <v>18</v>
      </c>
      <c r="C29" s="250" t="s">
        <v>4036</v>
      </c>
      <c r="D29" s="268" t="s">
        <v>495</v>
      </c>
      <c r="E29" s="251">
        <v>44095.0</v>
      </c>
      <c r="F29" s="250" t="s">
        <v>499</v>
      </c>
      <c r="G29" s="403">
        <v>4.0</v>
      </c>
      <c r="H29" s="403">
        <v>0.0</v>
      </c>
      <c r="I29" s="403">
        <v>0.0</v>
      </c>
      <c r="J29" s="391">
        <f t="shared" si="2"/>
        <v>0</v>
      </c>
      <c r="K29" s="392">
        <f t="shared" si="3"/>
        <v>0</v>
      </c>
      <c r="L29" s="327">
        <f t="shared" si="4"/>
        <v>0</v>
      </c>
      <c r="M29" s="226" t="s">
        <v>1226</v>
      </c>
    </row>
    <row r="30">
      <c r="A30" s="249" t="s">
        <v>144</v>
      </c>
      <c r="B30" s="249" t="s">
        <v>18</v>
      </c>
      <c r="C30" s="219" t="s">
        <v>4012</v>
      </c>
      <c r="D30" s="369" t="s">
        <v>495</v>
      </c>
      <c r="E30" s="251">
        <v>44085.0</v>
      </c>
      <c r="F30" s="219" t="s">
        <v>499</v>
      </c>
      <c r="G30" s="403">
        <v>4.0</v>
      </c>
      <c r="H30" s="403">
        <v>0.0</v>
      </c>
      <c r="I30" s="403">
        <v>0.0</v>
      </c>
      <c r="J30" s="391">
        <f t="shared" si="2"/>
        <v>0</v>
      </c>
      <c r="K30" s="392">
        <f t="shared" si="3"/>
        <v>0</v>
      </c>
      <c r="L30" s="327">
        <f t="shared" si="4"/>
        <v>0.01257067496</v>
      </c>
      <c r="M30" s="249" t="s">
        <v>144</v>
      </c>
      <c r="N30" s="420"/>
      <c r="O30" s="420"/>
      <c r="P30" s="420"/>
      <c r="Q30" s="420"/>
      <c r="R30" s="420"/>
      <c r="S30" s="420"/>
      <c r="T30" s="420"/>
      <c r="U30" s="420"/>
      <c r="V30" s="420"/>
      <c r="W30" s="420"/>
      <c r="X30" s="420"/>
    </row>
    <row r="31">
      <c r="A31" s="226" t="s">
        <v>144</v>
      </c>
      <c r="B31" s="226" t="s">
        <v>519</v>
      </c>
      <c r="C31" s="250" t="s">
        <v>4037</v>
      </c>
      <c r="D31" s="268" t="s">
        <v>495</v>
      </c>
      <c r="E31" s="251">
        <v>44098.0</v>
      </c>
      <c r="F31" s="250" t="s">
        <v>499</v>
      </c>
      <c r="G31" s="403">
        <v>3.0</v>
      </c>
      <c r="H31" s="403">
        <v>1.0</v>
      </c>
      <c r="I31" s="403">
        <v>1.0</v>
      </c>
      <c r="J31" s="391">
        <f t="shared" si="2"/>
        <v>0.0002224898222</v>
      </c>
      <c r="K31" s="392">
        <f t="shared" si="3"/>
        <v>0.01257067496</v>
      </c>
      <c r="L31" s="327">
        <f t="shared" si="4"/>
        <v>0.01257067496</v>
      </c>
      <c r="M31" s="226" t="s">
        <v>144</v>
      </c>
    </row>
    <row r="32">
      <c r="A32" s="226" t="s">
        <v>5</v>
      </c>
      <c r="B32" s="226" t="s">
        <v>18</v>
      </c>
      <c r="C32" s="250" t="s">
        <v>4028</v>
      </c>
      <c r="D32" s="268" t="s">
        <v>495</v>
      </c>
      <c r="E32" s="251">
        <v>44098.0</v>
      </c>
      <c r="F32" s="250" t="s">
        <v>496</v>
      </c>
      <c r="G32" s="403">
        <v>2.0</v>
      </c>
      <c r="H32" s="403">
        <v>40.0</v>
      </c>
      <c r="I32" s="403">
        <v>40.0</v>
      </c>
      <c r="J32" s="391">
        <f t="shared" si="2"/>
        <v>0.008899592889</v>
      </c>
      <c r="K32" s="392">
        <f t="shared" si="3"/>
        <v>0.5028269982</v>
      </c>
      <c r="L32" s="327">
        <f t="shared" si="4"/>
        <v>1.060380847</v>
      </c>
      <c r="M32" s="226" t="s">
        <v>5</v>
      </c>
    </row>
    <row r="33">
      <c r="A33" s="226" t="s">
        <v>5</v>
      </c>
      <c r="B33" s="226" t="s">
        <v>519</v>
      </c>
      <c r="C33" s="250" t="s">
        <v>4029</v>
      </c>
      <c r="D33" s="268" t="s">
        <v>495</v>
      </c>
      <c r="E33" s="251">
        <v>44098.0</v>
      </c>
      <c r="F33" s="250" t="s">
        <v>545</v>
      </c>
      <c r="G33" s="403">
        <v>2.0</v>
      </c>
      <c r="H33" s="403">
        <v>40.0</v>
      </c>
      <c r="I33" s="403">
        <v>50.0</v>
      </c>
      <c r="J33" s="391">
        <f t="shared" si="2"/>
        <v>0.009868209704</v>
      </c>
      <c r="K33" s="392">
        <f t="shared" si="3"/>
        <v>0.5575538483</v>
      </c>
      <c r="L33" s="327">
        <f t="shared" si="4"/>
        <v>1.060380847</v>
      </c>
      <c r="M33" s="226" t="s">
        <v>5</v>
      </c>
    </row>
    <row r="34">
      <c r="A34" s="226" t="s">
        <v>127</v>
      </c>
      <c r="B34" s="226" t="s">
        <v>29</v>
      </c>
      <c r="C34" s="250" t="s">
        <v>4038</v>
      </c>
      <c r="D34" s="268" t="s">
        <v>495</v>
      </c>
      <c r="E34" s="251">
        <v>44095.0</v>
      </c>
      <c r="F34" s="250" t="s">
        <v>592</v>
      </c>
      <c r="G34" s="403">
        <v>3.0</v>
      </c>
      <c r="H34" s="403">
        <v>1.0</v>
      </c>
      <c r="I34" s="403">
        <v>1.0</v>
      </c>
      <c r="J34" s="391">
        <f t="shared" si="2"/>
        <v>0.0002224898222</v>
      </c>
      <c r="K34" s="392">
        <f t="shared" si="3"/>
        <v>0.01257067496</v>
      </c>
      <c r="L34" s="327">
        <f t="shared" si="4"/>
        <v>0.01257067496</v>
      </c>
      <c r="M34" s="226" t="s">
        <v>127</v>
      </c>
    </row>
    <row r="35">
      <c r="A35" s="249" t="s">
        <v>38</v>
      </c>
      <c r="B35" s="249" t="s">
        <v>18</v>
      </c>
      <c r="C35" s="219" t="s">
        <v>4012</v>
      </c>
      <c r="D35" s="369" t="s">
        <v>495</v>
      </c>
      <c r="E35" s="251">
        <v>44085.0</v>
      </c>
      <c r="F35" s="219" t="s">
        <v>499</v>
      </c>
      <c r="G35" s="403">
        <v>4.0</v>
      </c>
      <c r="H35" s="403">
        <v>0.0</v>
      </c>
      <c r="I35" s="403">
        <v>0.0</v>
      </c>
      <c r="J35" s="391">
        <f t="shared" si="2"/>
        <v>0</v>
      </c>
      <c r="K35" s="392">
        <f t="shared" si="3"/>
        <v>0</v>
      </c>
      <c r="L35" s="327">
        <f t="shared" si="4"/>
        <v>0</v>
      </c>
      <c r="M35" s="249" t="s">
        <v>38</v>
      </c>
      <c r="N35" s="420"/>
      <c r="O35" s="420"/>
      <c r="P35" s="420"/>
      <c r="Q35" s="420"/>
      <c r="R35" s="420"/>
      <c r="S35" s="420"/>
      <c r="T35" s="420"/>
      <c r="U35" s="420"/>
      <c r="V35" s="420"/>
      <c r="W35" s="420"/>
      <c r="X35" s="420"/>
    </row>
    <row r="36">
      <c r="A36" s="249" t="s">
        <v>38</v>
      </c>
      <c r="B36" s="249" t="s">
        <v>77</v>
      </c>
      <c r="C36" s="219" t="s">
        <v>4039</v>
      </c>
      <c r="D36" s="369" t="s">
        <v>495</v>
      </c>
      <c r="E36" s="251">
        <v>44087.0</v>
      </c>
      <c r="F36" s="219" t="s">
        <v>499</v>
      </c>
      <c r="G36" s="403">
        <v>4.0</v>
      </c>
      <c r="H36" s="403">
        <v>0.0</v>
      </c>
      <c r="I36" s="403">
        <v>0.0</v>
      </c>
      <c r="J36" s="391">
        <f t="shared" si="2"/>
        <v>0</v>
      </c>
      <c r="K36" s="392">
        <f t="shared" si="3"/>
        <v>0</v>
      </c>
      <c r="L36" s="327">
        <f t="shared" si="4"/>
        <v>0</v>
      </c>
      <c r="M36" s="249" t="s">
        <v>38</v>
      </c>
      <c r="N36" s="420"/>
      <c r="O36" s="420"/>
      <c r="P36" s="420"/>
      <c r="Q36" s="420"/>
      <c r="R36" s="420"/>
      <c r="S36" s="420"/>
      <c r="T36" s="420"/>
      <c r="U36" s="420"/>
      <c r="V36" s="420"/>
      <c r="W36" s="420"/>
      <c r="X36" s="420"/>
    </row>
    <row r="37">
      <c r="A37" s="226" t="s">
        <v>24</v>
      </c>
      <c r="B37" s="226" t="s">
        <v>29</v>
      </c>
      <c r="C37" s="250" t="s">
        <v>4040</v>
      </c>
      <c r="D37" s="268" t="s">
        <v>495</v>
      </c>
      <c r="E37" s="251">
        <v>44095.0</v>
      </c>
      <c r="F37" s="250" t="s">
        <v>592</v>
      </c>
      <c r="G37" s="403">
        <v>3.0</v>
      </c>
      <c r="H37" s="403">
        <v>5.0</v>
      </c>
      <c r="I37" s="403">
        <v>5.0</v>
      </c>
      <c r="J37" s="391">
        <f t="shared" si="2"/>
        <v>0.001112449111</v>
      </c>
      <c r="K37" s="392">
        <f t="shared" si="3"/>
        <v>0.06285337478</v>
      </c>
      <c r="L37" s="327">
        <f t="shared" si="4"/>
        <v>0.06285337478</v>
      </c>
      <c r="M37" s="226" t="s">
        <v>24</v>
      </c>
    </row>
    <row r="38">
      <c r="A38" s="249" t="s">
        <v>176</v>
      </c>
      <c r="B38" s="249" t="s">
        <v>18</v>
      </c>
      <c r="C38" s="219" t="s">
        <v>4041</v>
      </c>
      <c r="D38" s="369" t="s">
        <v>495</v>
      </c>
      <c r="E38" s="251">
        <v>44089.0</v>
      </c>
      <c r="F38" s="219" t="s">
        <v>499</v>
      </c>
      <c r="G38" s="403">
        <v>3.0</v>
      </c>
      <c r="H38" s="403">
        <v>10.0</v>
      </c>
      <c r="I38" s="403">
        <v>70.0</v>
      </c>
      <c r="J38" s="391">
        <f t="shared" si="2"/>
        <v>0.008036599113</v>
      </c>
      <c r="K38" s="392">
        <f t="shared" si="3"/>
        <v>0.4540678499</v>
      </c>
      <c r="L38" s="327">
        <f t="shared" si="4"/>
        <v>0.4540678499</v>
      </c>
      <c r="M38" s="249" t="s">
        <v>176</v>
      </c>
      <c r="N38" s="420"/>
      <c r="O38" s="420"/>
      <c r="P38" s="420"/>
      <c r="Q38" s="420"/>
      <c r="R38" s="420"/>
      <c r="S38" s="420"/>
      <c r="T38" s="420"/>
      <c r="U38" s="420"/>
      <c r="V38" s="420"/>
      <c r="W38" s="420"/>
      <c r="X38" s="420"/>
    </row>
    <row r="39">
      <c r="A39" s="249" t="s">
        <v>207</v>
      </c>
      <c r="B39" s="249" t="s">
        <v>18</v>
      </c>
      <c r="C39" s="219" t="s">
        <v>4012</v>
      </c>
      <c r="D39" s="369" t="s">
        <v>495</v>
      </c>
      <c r="E39" s="251">
        <v>44085.0</v>
      </c>
      <c r="F39" s="219" t="s">
        <v>499</v>
      </c>
      <c r="G39" s="403">
        <v>4.0</v>
      </c>
      <c r="H39" s="403">
        <v>0.0</v>
      </c>
      <c r="I39" s="403">
        <v>0.0</v>
      </c>
      <c r="J39" s="391">
        <f t="shared" si="2"/>
        <v>0</v>
      </c>
      <c r="K39" s="392">
        <f t="shared" si="3"/>
        <v>0</v>
      </c>
      <c r="L39" s="327">
        <f t="shared" si="4"/>
        <v>0</v>
      </c>
      <c r="M39" s="249" t="s">
        <v>207</v>
      </c>
      <c r="N39" s="421"/>
      <c r="O39" s="421"/>
      <c r="P39" s="421"/>
      <c r="Q39" s="421"/>
      <c r="R39" s="421"/>
      <c r="S39" s="421"/>
      <c r="T39" s="421"/>
      <c r="U39" s="421"/>
      <c r="V39" s="421"/>
      <c r="W39" s="421"/>
      <c r="X39" s="421"/>
    </row>
    <row r="40">
      <c r="A40" s="249" t="s">
        <v>308</v>
      </c>
      <c r="B40" s="249" t="s">
        <v>18</v>
      </c>
      <c r="C40" s="219" t="s">
        <v>4012</v>
      </c>
      <c r="D40" s="369" t="s">
        <v>495</v>
      </c>
      <c r="E40" s="251">
        <v>44085.0</v>
      </c>
      <c r="F40" s="219" t="s">
        <v>499</v>
      </c>
      <c r="G40" s="403">
        <v>4.0</v>
      </c>
      <c r="H40" s="403">
        <v>0.0</v>
      </c>
      <c r="I40" s="403">
        <v>0.0</v>
      </c>
      <c r="J40" s="391">
        <f t="shared" si="2"/>
        <v>0</v>
      </c>
      <c r="K40" s="392">
        <f t="shared" si="3"/>
        <v>0</v>
      </c>
      <c r="L40" s="327">
        <f t="shared" si="4"/>
        <v>0</v>
      </c>
      <c r="M40" s="249" t="s">
        <v>308</v>
      </c>
      <c r="N40" s="421"/>
      <c r="O40" s="421"/>
      <c r="P40" s="421"/>
      <c r="Q40" s="421"/>
      <c r="R40" s="421"/>
      <c r="S40" s="421"/>
      <c r="T40" s="421"/>
      <c r="U40" s="421"/>
      <c r="V40" s="421"/>
      <c r="W40" s="421"/>
      <c r="X40" s="421"/>
    </row>
    <row r="41">
      <c r="A41" s="249" t="s">
        <v>374</v>
      </c>
      <c r="B41" s="249" t="s">
        <v>18</v>
      </c>
      <c r="C41" s="219" t="s">
        <v>4012</v>
      </c>
      <c r="D41" s="369" t="s">
        <v>495</v>
      </c>
      <c r="E41" s="251">
        <v>44085.0</v>
      </c>
      <c r="F41" s="219" t="s">
        <v>499</v>
      </c>
      <c r="G41" s="403">
        <v>4.0</v>
      </c>
      <c r="H41" s="403">
        <v>0.0</v>
      </c>
      <c r="I41" s="403">
        <v>0.0</v>
      </c>
      <c r="J41" s="391">
        <f t="shared" si="2"/>
        <v>0</v>
      </c>
      <c r="K41" s="392">
        <f t="shared" si="3"/>
        <v>0</v>
      </c>
      <c r="L41" s="327">
        <f t="shared" si="4"/>
        <v>0</v>
      </c>
      <c r="M41" s="249" t="s">
        <v>374</v>
      </c>
      <c r="N41" s="420"/>
      <c r="O41" s="420"/>
      <c r="P41" s="420"/>
      <c r="Q41" s="420"/>
      <c r="R41" s="420"/>
      <c r="S41" s="420"/>
      <c r="T41" s="420"/>
      <c r="U41" s="420"/>
      <c r="V41" s="420"/>
      <c r="W41" s="420"/>
      <c r="X41" s="420"/>
    </row>
    <row r="42">
      <c r="A42" s="226" t="s">
        <v>175</v>
      </c>
      <c r="B42" s="226" t="s">
        <v>519</v>
      </c>
      <c r="C42" s="250" t="s">
        <v>4042</v>
      </c>
      <c r="D42" s="268" t="s">
        <v>495</v>
      </c>
      <c r="E42" s="251">
        <v>44096.0</v>
      </c>
      <c r="F42" s="250" t="s">
        <v>499</v>
      </c>
      <c r="G42" s="403">
        <v>3.0</v>
      </c>
      <c r="H42" s="403">
        <v>2.0</v>
      </c>
      <c r="I42" s="403">
        <v>1.0</v>
      </c>
      <c r="J42" s="391">
        <f t="shared" si="2"/>
        <v>0.0003481179629</v>
      </c>
      <c r="K42" s="392">
        <f t="shared" si="3"/>
        <v>0.01966866491</v>
      </c>
      <c r="L42" s="327">
        <f t="shared" si="4"/>
        <v>0.01966866491</v>
      </c>
      <c r="M42" s="226" t="s">
        <v>175</v>
      </c>
    </row>
    <row r="43">
      <c r="A43" s="249" t="s">
        <v>81</v>
      </c>
      <c r="B43" s="249" t="s">
        <v>18</v>
      </c>
      <c r="C43" s="219" t="s">
        <v>4017</v>
      </c>
      <c r="D43" s="369" t="s">
        <v>495</v>
      </c>
      <c r="E43" s="251">
        <v>44091.0</v>
      </c>
      <c r="F43" s="219" t="s">
        <v>545</v>
      </c>
      <c r="G43" s="403">
        <v>2.0</v>
      </c>
      <c r="H43" s="403">
        <v>40.0</v>
      </c>
      <c r="I43" s="403">
        <v>40.0</v>
      </c>
      <c r="J43" s="391">
        <f t="shared" si="2"/>
        <v>0.008899592889</v>
      </c>
      <c r="K43" s="392">
        <f t="shared" si="3"/>
        <v>0.5028269982</v>
      </c>
      <c r="L43" s="327">
        <f t="shared" si="4"/>
        <v>0.9568948481</v>
      </c>
      <c r="M43" s="249" t="s">
        <v>81</v>
      </c>
      <c r="N43" s="420"/>
      <c r="O43" s="420"/>
      <c r="P43" s="420"/>
      <c r="Q43" s="420"/>
      <c r="R43" s="420"/>
      <c r="S43" s="420"/>
      <c r="T43" s="420"/>
      <c r="U43" s="420"/>
      <c r="V43" s="420"/>
      <c r="W43" s="420"/>
      <c r="X43" s="420"/>
    </row>
    <row r="44">
      <c r="A44" s="249" t="s">
        <v>81</v>
      </c>
      <c r="B44" s="249" t="s">
        <v>18</v>
      </c>
      <c r="C44" s="219" t="s">
        <v>4041</v>
      </c>
      <c r="D44" s="369" t="s">
        <v>495</v>
      </c>
      <c r="E44" s="251">
        <v>44089.0</v>
      </c>
      <c r="F44" s="219" t="s">
        <v>499</v>
      </c>
      <c r="G44" s="403">
        <v>3.0</v>
      </c>
      <c r="H44" s="403">
        <v>10.0</v>
      </c>
      <c r="I44" s="403">
        <v>70.0</v>
      </c>
      <c r="J44" s="391">
        <f t="shared" si="2"/>
        <v>0.008036599113</v>
      </c>
      <c r="K44" s="392">
        <f t="shared" si="3"/>
        <v>0.4540678499</v>
      </c>
      <c r="L44" s="327">
        <f t="shared" si="4"/>
        <v>0.9568948481</v>
      </c>
      <c r="M44" s="249" t="s">
        <v>81</v>
      </c>
      <c r="N44" s="420"/>
      <c r="O44" s="420"/>
      <c r="P44" s="420"/>
      <c r="Q44" s="420"/>
      <c r="R44" s="420"/>
      <c r="S44" s="420"/>
      <c r="T44" s="420"/>
      <c r="U44" s="420"/>
      <c r="V44" s="420"/>
      <c r="W44" s="420"/>
      <c r="X44" s="420"/>
    </row>
    <row r="45">
      <c r="A45" s="249" t="s">
        <v>232</v>
      </c>
      <c r="B45" s="249" t="s">
        <v>18</v>
      </c>
      <c r="C45" s="219" t="s">
        <v>4012</v>
      </c>
      <c r="D45" s="369" t="s">
        <v>495</v>
      </c>
      <c r="E45" s="251">
        <v>44085.0</v>
      </c>
      <c r="F45" s="219" t="s">
        <v>499</v>
      </c>
      <c r="G45" s="403">
        <v>4.0</v>
      </c>
      <c r="H45" s="403">
        <v>0.0</v>
      </c>
      <c r="I45" s="403">
        <v>0.0</v>
      </c>
      <c r="J45" s="391">
        <f t="shared" si="2"/>
        <v>0</v>
      </c>
      <c r="K45" s="392">
        <f t="shared" si="3"/>
        <v>0</v>
      </c>
      <c r="L45" s="327">
        <f t="shared" si="4"/>
        <v>0</v>
      </c>
      <c r="M45" s="249" t="s">
        <v>232</v>
      </c>
      <c r="N45" s="420"/>
      <c r="O45" s="420"/>
      <c r="P45" s="420"/>
      <c r="Q45" s="420"/>
      <c r="R45" s="420"/>
      <c r="S45" s="420"/>
      <c r="T45" s="420"/>
      <c r="U45" s="420"/>
      <c r="V45" s="420"/>
      <c r="W45" s="420"/>
      <c r="X45" s="420"/>
    </row>
    <row r="46">
      <c r="A46" s="249" t="s">
        <v>62</v>
      </c>
      <c r="B46" s="249" t="s">
        <v>519</v>
      </c>
      <c r="C46" s="219" t="s">
        <v>4043</v>
      </c>
      <c r="D46" s="369" t="s">
        <v>495</v>
      </c>
      <c r="E46" s="251">
        <v>44091.0</v>
      </c>
      <c r="F46" s="219" t="s">
        <v>499</v>
      </c>
      <c r="G46" s="403">
        <v>2.0</v>
      </c>
      <c r="H46" s="403">
        <v>50.0</v>
      </c>
      <c r="I46" s="403">
        <v>50.0</v>
      </c>
      <c r="J46" s="391">
        <f t="shared" si="2"/>
        <v>0.01112449111</v>
      </c>
      <c r="K46" s="392">
        <f t="shared" si="3"/>
        <v>0.6285337478</v>
      </c>
      <c r="L46" s="327">
        <f t="shared" si="4"/>
        <v>0.6285337478</v>
      </c>
      <c r="M46" s="249" t="s">
        <v>62</v>
      </c>
      <c r="N46" s="420"/>
      <c r="O46" s="420"/>
      <c r="P46" s="420"/>
      <c r="Q46" s="420"/>
      <c r="R46" s="420"/>
      <c r="S46" s="420"/>
      <c r="T46" s="420"/>
      <c r="U46" s="420"/>
      <c r="V46" s="420"/>
      <c r="W46" s="420"/>
      <c r="X46" s="420"/>
    </row>
    <row r="47">
      <c r="A47" s="249" t="s">
        <v>115</v>
      </c>
      <c r="B47" s="249" t="s">
        <v>519</v>
      </c>
      <c r="C47" s="219" t="s">
        <v>4044</v>
      </c>
      <c r="D47" s="369" t="s">
        <v>495</v>
      </c>
      <c r="E47" s="251">
        <v>44089.0</v>
      </c>
      <c r="F47" s="219" t="s">
        <v>499</v>
      </c>
      <c r="G47" s="403">
        <v>3.0</v>
      </c>
      <c r="H47" s="403">
        <v>15.0</v>
      </c>
      <c r="I47" s="403">
        <v>20.0</v>
      </c>
      <c r="J47" s="391">
        <f t="shared" si="2"/>
        <v>0.003821655741</v>
      </c>
      <c r="K47" s="392">
        <f t="shared" si="3"/>
        <v>0.2159235494</v>
      </c>
      <c r="L47" s="327">
        <f t="shared" si="4"/>
        <v>0.2159235494</v>
      </c>
      <c r="M47" s="249" t="s">
        <v>115</v>
      </c>
      <c r="N47" s="420"/>
      <c r="O47" s="420"/>
      <c r="P47" s="420"/>
      <c r="Q47" s="420"/>
      <c r="R47" s="420"/>
      <c r="S47" s="420"/>
      <c r="T47" s="420"/>
      <c r="U47" s="420"/>
      <c r="V47" s="420"/>
      <c r="W47" s="420"/>
      <c r="X47" s="420"/>
    </row>
    <row r="48">
      <c r="A48" s="249" t="s">
        <v>74</v>
      </c>
      <c r="B48" s="249" t="s">
        <v>519</v>
      </c>
      <c r="C48" s="219" t="s">
        <v>4043</v>
      </c>
      <c r="D48" s="369" t="s">
        <v>495</v>
      </c>
      <c r="E48" s="251">
        <v>44091.0</v>
      </c>
      <c r="F48" s="219" t="s">
        <v>499</v>
      </c>
      <c r="G48" s="403">
        <v>2.0</v>
      </c>
      <c r="H48" s="403">
        <v>50.0</v>
      </c>
      <c r="I48" s="403">
        <v>50.0</v>
      </c>
      <c r="J48" s="391">
        <f t="shared" si="2"/>
        <v>0.01112449111</v>
      </c>
      <c r="K48" s="392">
        <f t="shared" si="3"/>
        <v>0.6285337478</v>
      </c>
      <c r="L48" s="327">
        <f t="shared" si="4"/>
        <v>0.6285337478</v>
      </c>
      <c r="M48" s="249" t="s">
        <v>74</v>
      </c>
      <c r="N48" s="420"/>
      <c r="O48" s="420"/>
      <c r="P48" s="420"/>
      <c r="Q48" s="420"/>
      <c r="R48" s="420"/>
      <c r="S48" s="420"/>
      <c r="T48" s="420"/>
      <c r="U48" s="420"/>
      <c r="V48" s="420"/>
      <c r="W48" s="420"/>
      <c r="X48" s="420"/>
    </row>
    <row r="49">
      <c r="A49" s="249" t="s">
        <v>50</v>
      </c>
      <c r="B49" s="249" t="s">
        <v>77</v>
      </c>
      <c r="C49" s="219" t="s">
        <v>4045</v>
      </c>
      <c r="D49" s="369" t="s">
        <v>495</v>
      </c>
      <c r="E49" s="251">
        <v>44087.0</v>
      </c>
      <c r="F49" s="219" t="s">
        <v>499</v>
      </c>
      <c r="G49" s="403">
        <v>4.0</v>
      </c>
      <c r="H49" s="403">
        <v>0.0</v>
      </c>
      <c r="I49" s="403">
        <v>0.0</v>
      </c>
      <c r="J49" s="391">
        <f t="shared" si="2"/>
        <v>0</v>
      </c>
      <c r="K49" s="392">
        <f t="shared" si="3"/>
        <v>0</v>
      </c>
      <c r="L49" s="327">
        <f t="shared" si="4"/>
        <v>0.2514134991</v>
      </c>
      <c r="M49" s="249" t="s">
        <v>50</v>
      </c>
      <c r="N49" s="420"/>
      <c r="O49" s="420"/>
      <c r="P49" s="420"/>
      <c r="Q49" s="420"/>
      <c r="R49" s="420"/>
      <c r="S49" s="420"/>
      <c r="T49" s="420"/>
      <c r="U49" s="420"/>
      <c r="V49" s="420"/>
      <c r="W49" s="420"/>
      <c r="X49" s="420"/>
    </row>
    <row r="50">
      <c r="A50" s="226" t="s">
        <v>50</v>
      </c>
      <c r="B50" s="226" t="s">
        <v>519</v>
      </c>
      <c r="C50" s="250" t="s">
        <v>4046</v>
      </c>
      <c r="D50" s="268" t="s">
        <v>495</v>
      </c>
      <c r="E50" s="251">
        <v>44097.0</v>
      </c>
      <c r="F50" s="250" t="s">
        <v>496</v>
      </c>
      <c r="G50" s="403">
        <v>1.0</v>
      </c>
      <c r="H50" s="403">
        <v>10.0</v>
      </c>
      <c r="I50" s="403">
        <v>10.0</v>
      </c>
      <c r="J50" s="391">
        <f t="shared" si="2"/>
        <v>0.002224898222</v>
      </c>
      <c r="K50" s="392">
        <f t="shared" si="3"/>
        <v>0.1257067496</v>
      </c>
      <c r="L50" s="327">
        <f t="shared" si="4"/>
        <v>0.2514134991</v>
      </c>
      <c r="M50" s="226" t="s">
        <v>50</v>
      </c>
    </row>
    <row r="51">
      <c r="A51" s="226" t="s">
        <v>50</v>
      </c>
      <c r="B51" s="226" t="s">
        <v>519</v>
      </c>
      <c r="C51" s="250" t="s">
        <v>4047</v>
      </c>
      <c r="D51" s="268" t="s">
        <v>495</v>
      </c>
      <c r="E51" s="251">
        <v>44098.0</v>
      </c>
      <c r="F51" s="250" t="s">
        <v>496</v>
      </c>
      <c r="G51" s="403">
        <v>1.0</v>
      </c>
      <c r="H51" s="403">
        <v>10.0</v>
      </c>
      <c r="I51" s="403">
        <v>10.0</v>
      </c>
      <c r="J51" s="391">
        <f t="shared" si="2"/>
        <v>0.002224898222</v>
      </c>
      <c r="K51" s="392">
        <f t="shared" si="3"/>
        <v>0.1257067496</v>
      </c>
      <c r="L51" s="327">
        <f t="shared" si="4"/>
        <v>0.2514134991</v>
      </c>
      <c r="M51" s="226" t="s">
        <v>50</v>
      </c>
    </row>
    <row r="52">
      <c r="A52" s="249" t="s">
        <v>117</v>
      </c>
      <c r="B52" s="249" t="s">
        <v>18</v>
      </c>
      <c r="C52" s="219" t="s">
        <v>4012</v>
      </c>
      <c r="D52" s="369" t="s">
        <v>495</v>
      </c>
      <c r="E52" s="251">
        <v>44085.0</v>
      </c>
      <c r="F52" s="219" t="s">
        <v>499</v>
      </c>
      <c r="G52" s="403">
        <v>4.0</v>
      </c>
      <c r="H52" s="403">
        <v>0.0</v>
      </c>
      <c r="I52" s="403">
        <v>0.0</v>
      </c>
      <c r="J52" s="391">
        <f t="shared" si="2"/>
        <v>0</v>
      </c>
      <c r="K52" s="392">
        <f t="shared" si="3"/>
        <v>0</v>
      </c>
      <c r="L52" s="327">
        <f t="shared" si="4"/>
        <v>0</v>
      </c>
      <c r="M52" s="249" t="s">
        <v>117</v>
      </c>
      <c r="N52" s="421"/>
      <c r="O52" s="421"/>
      <c r="P52" s="421"/>
      <c r="Q52" s="421"/>
      <c r="R52" s="421"/>
      <c r="S52" s="421"/>
      <c r="T52" s="421"/>
      <c r="U52" s="421"/>
      <c r="V52" s="421"/>
      <c r="W52" s="421"/>
      <c r="X52" s="421"/>
    </row>
    <row r="53">
      <c r="A53" s="249" t="s">
        <v>117</v>
      </c>
      <c r="B53" s="249" t="s">
        <v>519</v>
      </c>
      <c r="C53" s="219" t="s">
        <v>4013</v>
      </c>
      <c r="D53" s="369" t="s">
        <v>495</v>
      </c>
      <c r="E53" s="251">
        <v>44091.0</v>
      </c>
      <c r="F53" s="219" t="s">
        <v>499</v>
      </c>
      <c r="G53" s="403">
        <v>4.0</v>
      </c>
      <c r="H53" s="403">
        <v>0.0</v>
      </c>
      <c r="I53" s="403">
        <v>0.0</v>
      </c>
      <c r="J53" s="391">
        <f t="shared" si="2"/>
        <v>0</v>
      </c>
      <c r="K53" s="392">
        <f t="shared" si="3"/>
        <v>0</v>
      </c>
      <c r="L53" s="327">
        <f t="shared" si="4"/>
        <v>0</v>
      </c>
      <c r="M53" s="249" t="s">
        <v>117</v>
      </c>
      <c r="N53" s="421"/>
      <c r="O53" s="421"/>
      <c r="P53" s="421"/>
      <c r="Q53" s="421"/>
      <c r="R53" s="421"/>
      <c r="S53" s="421"/>
      <c r="T53" s="421"/>
      <c r="U53" s="421"/>
      <c r="V53" s="421"/>
      <c r="W53" s="421"/>
      <c r="X53" s="421"/>
    </row>
    <row r="54">
      <c r="A54" s="249" t="s">
        <v>84</v>
      </c>
      <c r="B54" s="249" t="s">
        <v>519</v>
      </c>
      <c r="C54" s="219" t="s">
        <v>4048</v>
      </c>
      <c r="D54" s="369" t="s">
        <v>495</v>
      </c>
      <c r="E54" s="251">
        <v>44084.0</v>
      </c>
      <c r="F54" s="219" t="s">
        <v>545</v>
      </c>
      <c r="G54" s="403">
        <v>1.0</v>
      </c>
      <c r="H54" s="403">
        <v>100.0</v>
      </c>
      <c r="I54" s="403">
        <v>80.0</v>
      </c>
      <c r="J54" s="391">
        <f t="shared" si="2"/>
        <v>0.02031174859</v>
      </c>
      <c r="K54" s="392">
        <f t="shared" si="3"/>
        <v>1.147613795</v>
      </c>
      <c r="L54" s="327">
        <f t="shared" si="4"/>
        <v>2.146068048</v>
      </c>
      <c r="M54" s="249" t="s">
        <v>84</v>
      </c>
      <c r="N54" s="420"/>
      <c r="O54" s="420"/>
      <c r="P54" s="420"/>
      <c r="Q54" s="420"/>
      <c r="R54" s="420"/>
      <c r="S54" s="420"/>
      <c r="T54" s="420"/>
      <c r="U54" s="420"/>
      <c r="V54" s="420"/>
      <c r="W54" s="420"/>
      <c r="X54" s="420"/>
    </row>
    <row r="55">
      <c r="A55" s="249" t="s">
        <v>84</v>
      </c>
      <c r="B55" s="249" t="s">
        <v>18</v>
      </c>
      <c r="C55" s="219" t="s">
        <v>4049</v>
      </c>
      <c r="D55" s="369" t="s">
        <v>495</v>
      </c>
      <c r="E55" s="251">
        <v>44084.0</v>
      </c>
      <c r="F55" s="219" t="s">
        <v>499</v>
      </c>
      <c r="G55" s="403">
        <v>3.0</v>
      </c>
      <c r="H55" s="403">
        <v>10.0</v>
      </c>
      <c r="I55" s="403">
        <v>70.0</v>
      </c>
      <c r="J55" s="391">
        <f t="shared" si="2"/>
        <v>0.008036599113</v>
      </c>
      <c r="K55" s="392">
        <f t="shared" si="3"/>
        <v>0.4540678499</v>
      </c>
      <c r="L55" s="327">
        <f t="shared" si="4"/>
        <v>2.146068048</v>
      </c>
      <c r="M55" s="249" t="s">
        <v>84</v>
      </c>
      <c r="N55" s="421"/>
      <c r="O55" s="421"/>
      <c r="P55" s="421"/>
      <c r="Q55" s="421"/>
      <c r="R55" s="421"/>
      <c r="S55" s="421"/>
      <c r="T55" s="421"/>
      <c r="U55" s="421"/>
      <c r="V55" s="421"/>
      <c r="W55" s="421"/>
      <c r="X55" s="421"/>
    </row>
    <row r="56">
      <c r="A56" s="249" t="s">
        <v>84</v>
      </c>
      <c r="B56" s="249" t="s">
        <v>8</v>
      </c>
      <c r="C56" s="219" t="s">
        <v>4050</v>
      </c>
      <c r="D56" s="369" t="s">
        <v>495</v>
      </c>
      <c r="E56" s="251">
        <v>44085.0</v>
      </c>
      <c r="F56" s="219" t="s">
        <v>499</v>
      </c>
      <c r="G56" s="403">
        <v>3.0</v>
      </c>
      <c r="H56" s="403">
        <v>2.0</v>
      </c>
      <c r="I56" s="403">
        <v>5.0</v>
      </c>
      <c r="J56" s="391">
        <f t="shared" si="2"/>
        <v>0.000735564689</v>
      </c>
      <c r="K56" s="392">
        <f t="shared" si="3"/>
        <v>0.04155940493</v>
      </c>
      <c r="L56" s="327">
        <f t="shared" si="4"/>
        <v>2.146068048</v>
      </c>
      <c r="M56" s="249" t="s">
        <v>84</v>
      </c>
      <c r="N56" s="420"/>
      <c r="O56" s="420"/>
      <c r="P56" s="420"/>
      <c r="Q56" s="420"/>
      <c r="R56" s="420"/>
      <c r="S56" s="420"/>
      <c r="T56" s="420"/>
      <c r="U56" s="420"/>
      <c r="V56" s="420"/>
      <c r="W56" s="420"/>
      <c r="X56" s="420"/>
    </row>
    <row r="57">
      <c r="A57" s="249" t="s">
        <v>84</v>
      </c>
      <c r="B57" s="249" t="s">
        <v>18</v>
      </c>
      <c r="C57" s="219" t="s">
        <v>4012</v>
      </c>
      <c r="D57" s="369" t="s">
        <v>495</v>
      </c>
      <c r="E57" s="251">
        <v>44085.0</v>
      </c>
      <c r="F57" s="219" t="s">
        <v>499</v>
      </c>
      <c r="G57" s="403">
        <v>4.0</v>
      </c>
      <c r="H57" s="403">
        <v>0.0</v>
      </c>
      <c r="I57" s="403">
        <v>0.0</v>
      </c>
      <c r="J57" s="391">
        <f t="shared" si="2"/>
        <v>0</v>
      </c>
      <c r="K57" s="392">
        <f t="shared" si="3"/>
        <v>0</v>
      </c>
      <c r="L57" s="327">
        <f t="shared" si="4"/>
        <v>2.146068048</v>
      </c>
      <c r="M57" s="249" t="s">
        <v>84</v>
      </c>
      <c r="N57" s="420"/>
      <c r="O57" s="420"/>
      <c r="P57" s="420"/>
      <c r="Q57" s="420"/>
      <c r="R57" s="420"/>
      <c r="S57" s="420"/>
      <c r="T57" s="420"/>
      <c r="U57" s="420"/>
      <c r="V57" s="420"/>
      <c r="W57" s="420"/>
      <c r="X57" s="420"/>
    </row>
    <row r="58">
      <c r="A58" s="249" t="s">
        <v>84</v>
      </c>
      <c r="B58" s="249" t="s">
        <v>18</v>
      </c>
      <c r="C58" s="219" t="s">
        <v>4018</v>
      </c>
      <c r="D58" s="369" t="s">
        <v>495</v>
      </c>
      <c r="E58" s="361">
        <v>44083.0</v>
      </c>
      <c r="F58" s="219" t="s">
        <v>545</v>
      </c>
      <c r="G58" s="403">
        <v>2.0</v>
      </c>
      <c r="H58" s="403">
        <v>40.0</v>
      </c>
      <c r="I58" s="403">
        <v>40.0</v>
      </c>
      <c r="J58" s="391">
        <f t="shared" si="2"/>
        <v>0.008899592889</v>
      </c>
      <c r="K58" s="392">
        <f t="shared" si="3"/>
        <v>0.5028269982</v>
      </c>
      <c r="L58" s="327">
        <f t="shared" si="4"/>
        <v>2.146068048</v>
      </c>
      <c r="M58" s="249" t="s">
        <v>84</v>
      </c>
      <c r="N58" s="420"/>
      <c r="O58" s="420"/>
      <c r="P58" s="420"/>
      <c r="Q58" s="420"/>
      <c r="R58" s="420"/>
      <c r="S58" s="420"/>
      <c r="T58" s="420"/>
      <c r="U58" s="420"/>
      <c r="V58" s="420"/>
      <c r="W58" s="420"/>
      <c r="X58" s="420"/>
    </row>
    <row r="59">
      <c r="A59" s="249" t="s">
        <v>16</v>
      </c>
      <c r="B59" s="249" t="s">
        <v>519</v>
      </c>
      <c r="C59" s="219" t="s">
        <v>4014</v>
      </c>
      <c r="D59" s="369" t="s">
        <v>495</v>
      </c>
      <c r="E59" s="361">
        <v>44083.0</v>
      </c>
      <c r="F59" s="219" t="s">
        <v>545</v>
      </c>
      <c r="G59" s="403">
        <v>1.0</v>
      </c>
      <c r="H59" s="403">
        <v>0.0</v>
      </c>
      <c r="I59" s="403">
        <v>0.0</v>
      </c>
      <c r="J59" s="391">
        <f t="shared" si="2"/>
        <v>0</v>
      </c>
      <c r="K59" s="392">
        <f t="shared" si="3"/>
        <v>0</v>
      </c>
      <c r="L59" s="327">
        <f t="shared" si="4"/>
        <v>0</v>
      </c>
      <c r="M59" s="249" t="s">
        <v>16</v>
      </c>
      <c r="N59" s="420"/>
      <c r="O59" s="420"/>
      <c r="P59" s="420"/>
      <c r="Q59" s="420"/>
      <c r="R59" s="420"/>
      <c r="S59" s="420"/>
      <c r="T59" s="420"/>
      <c r="U59" s="420"/>
      <c r="V59" s="420"/>
      <c r="W59" s="420"/>
      <c r="X59" s="420"/>
    </row>
    <row r="60">
      <c r="A60" s="249" t="s">
        <v>16</v>
      </c>
      <c r="B60" s="249" t="s">
        <v>519</v>
      </c>
      <c r="C60" s="219" t="s">
        <v>4015</v>
      </c>
      <c r="D60" s="369" t="s">
        <v>495</v>
      </c>
      <c r="E60" s="251">
        <v>44084.0</v>
      </c>
      <c r="F60" s="219" t="s">
        <v>545</v>
      </c>
      <c r="G60" s="403">
        <v>1.0</v>
      </c>
      <c r="H60" s="403">
        <v>0.0</v>
      </c>
      <c r="I60" s="403">
        <v>0.0</v>
      </c>
      <c r="J60" s="391">
        <f t="shared" si="2"/>
        <v>0</v>
      </c>
      <c r="K60" s="392">
        <f t="shared" si="3"/>
        <v>0</v>
      </c>
      <c r="L60" s="327">
        <f t="shared" si="4"/>
        <v>0</v>
      </c>
      <c r="M60" s="249" t="s">
        <v>16</v>
      </c>
      <c r="N60" s="420"/>
      <c r="O60" s="420"/>
      <c r="P60" s="420"/>
      <c r="Q60" s="420"/>
      <c r="R60" s="420"/>
      <c r="S60" s="420"/>
      <c r="T60" s="420"/>
      <c r="U60" s="420"/>
      <c r="V60" s="420"/>
      <c r="W60" s="420"/>
      <c r="X60" s="420"/>
    </row>
    <row r="61">
      <c r="A61" s="249" t="s">
        <v>16</v>
      </c>
      <c r="B61" s="249" t="s">
        <v>519</v>
      </c>
      <c r="C61" s="219" t="s">
        <v>4048</v>
      </c>
      <c r="D61" s="369" t="s">
        <v>495</v>
      </c>
      <c r="E61" s="251">
        <v>44084.0</v>
      </c>
      <c r="F61" s="219" t="s">
        <v>545</v>
      </c>
      <c r="G61" s="403">
        <v>1.0</v>
      </c>
      <c r="H61" s="403">
        <v>0.0</v>
      </c>
      <c r="I61" s="403">
        <v>0.0</v>
      </c>
      <c r="J61" s="391">
        <f t="shared" si="2"/>
        <v>0</v>
      </c>
      <c r="K61" s="392">
        <f t="shared" si="3"/>
        <v>0</v>
      </c>
      <c r="L61" s="327">
        <f t="shared" si="4"/>
        <v>0</v>
      </c>
      <c r="M61" s="249" t="s">
        <v>16</v>
      </c>
      <c r="N61" s="421"/>
      <c r="O61" s="421"/>
      <c r="P61" s="421"/>
      <c r="Q61" s="421"/>
      <c r="R61" s="421"/>
      <c r="S61" s="421"/>
      <c r="T61" s="421"/>
      <c r="U61" s="421"/>
      <c r="V61" s="421"/>
      <c r="W61" s="421"/>
      <c r="X61" s="421"/>
    </row>
    <row r="62">
      <c r="A62" s="249" t="s">
        <v>16</v>
      </c>
      <c r="B62" s="249" t="s">
        <v>18</v>
      </c>
      <c r="C62" s="219" t="s">
        <v>4012</v>
      </c>
      <c r="D62" s="369" t="s">
        <v>495</v>
      </c>
      <c r="E62" s="251">
        <v>44085.0</v>
      </c>
      <c r="F62" s="219" t="s">
        <v>499</v>
      </c>
      <c r="G62" s="403">
        <v>4.0</v>
      </c>
      <c r="H62" s="403">
        <v>0.0</v>
      </c>
      <c r="I62" s="403">
        <v>0.0</v>
      </c>
      <c r="J62" s="391">
        <f t="shared" si="2"/>
        <v>0</v>
      </c>
      <c r="K62" s="392">
        <f t="shared" si="3"/>
        <v>0</v>
      </c>
      <c r="L62" s="327">
        <f t="shared" si="4"/>
        <v>0</v>
      </c>
      <c r="M62" s="249" t="s">
        <v>16</v>
      </c>
      <c r="N62" s="420"/>
      <c r="O62" s="420"/>
      <c r="P62" s="420"/>
      <c r="Q62" s="420"/>
      <c r="R62" s="420"/>
      <c r="S62" s="420"/>
      <c r="T62" s="420"/>
      <c r="U62" s="420"/>
      <c r="V62" s="420"/>
      <c r="W62" s="420"/>
      <c r="X62" s="420"/>
    </row>
    <row r="63">
      <c r="A63" s="249" t="s">
        <v>16</v>
      </c>
      <c r="B63" s="249" t="s">
        <v>77</v>
      </c>
      <c r="C63" s="219" t="s">
        <v>4051</v>
      </c>
      <c r="D63" s="369" t="s">
        <v>495</v>
      </c>
      <c r="E63" s="251">
        <v>44089.0</v>
      </c>
      <c r="F63" s="219" t="s">
        <v>499</v>
      </c>
      <c r="G63" s="403">
        <v>4.0</v>
      </c>
      <c r="H63" s="403">
        <v>0.0</v>
      </c>
      <c r="I63" s="403">
        <v>0.0</v>
      </c>
      <c r="J63" s="391">
        <f t="shared" si="2"/>
        <v>0</v>
      </c>
      <c r="K63" s="392">
        <f t="shared" si="3"/>
        <v>0</v>
      </c>
      <c r="L63" s="327">
        <f t="shared" si="4"/>
        <v>0</v>
      </c>
      <c r="M63" s="249" t="s">
        <v>16</v>
      </c>
      <c r="N63" s="421"/>
      <c r="O63" s="421"/>
      <c r="P63" s="421"/>
      <c r="Q63" s="421"/>
      <c r="R63" s="421"/>
      <c r="S63" s="421"/>
      <c r="T63" s="421"/>
      <c r="U63" s="421"/>
      <c r="V63" s="421"/>
      <c r="W63" s="421"/>
      <c r="X63" s="421"/>
    </row>
    <row r="64">
      <c r="A64" s="249" t="s">
        <v>16</v>
      </c>
      <c r="B64" s="249" t="s">
        <v>519</v>
      </c>
      <c r="C64" s="219" t="s">
        <v>4052</v>
      </c>
      <c r="D64" s="369" t="s">
        <v>495</v>
      </c>
      <c r="E64" s="251">
        <v>44091.0</v>
      </c>
      <c r="F64" s="219" t="s">
        <v>545</v>
      </c>
      <c r="G64" s="403">
        <v>1.0</v>
      </c>
      <c r="H64" s="403">
        <v>0.0</v>
      </c>
      <c r="I64" s="403">
        <v>0.0</v>
      </c>
      <c r="J64" s="391">
        <f t="shared" si="2"/>
        <v>0</v>
      </c>
      <c r="K64" s="392">
        <f t="shared" si="3"/>
        <v>0</v>
      </c>
      <c r="L64" s="327">
        <f t="shared" si="4"/>
        <v>0</v>
      </c>
      <c r="M64" s="249" t="s">
        <v>16</v>
      </c>
      <c r="N64" s="420"/>
      <c r="O64" s="420"/>
      <c r="P64" s="420"/>
      <c r="Q64" s="420"/>
      <c r="R64" s="420"/>
      <c r="S64" s="420"/>
      <c r="T64" s="420"/>
      <c r="U64" s="420"/>
      <c r="V64" s="420"/>
      <c r="W64" s="420"/>
      <c r="X64" s="420"/>
    </row>
    <row r="65">
      <c r="A65" s="249" t="s">
        <v>16</v>
      </c>
      <c r="B65" s="249" t="s">
        <v>18</v>
      </c>
      <c r="C65" s="219" t="s">
        <v>4017</v>
      </c>
      <c r="D65" s="369" t="s">
        <v>495</v>
      </c>
      <c r="E65" s="251">
        <v>44091.0</v>
      </c>
      <c r="F65" s="219" t="s">
        <v>545</v>
      </c>
      <c r="G65" s="403">
        <v>2.0</v>
      </c>
      <c r="H65" s="403">
        <v>0.0</v>
      </c>
      <c r="I65" s="403">
        <v>0.0</v>
      </c>
      <c r="J65" s="391">
        <f t="shared" si="2"/>
        <v>0</v>
      </c>
      <c r="K65" s="392">
        <f t="shared" si="3"/>
        <v>0</v>
      </c>
      <c r="L65" s="327">
        <f t="shared" si="4"/>
        <v>0</v>
      </c>
      <c r="M65" s="249" t="s">
        <v>16</v>
      </c>
      <c r="N65" s="420"/>
      <c r="O65" s="420"/>
      <c r="P65" s="420"/>
      <c r="Q65" s="420"/>
      <c r="R65" s="420"/>
      <c r="S65" s="420"/>
      <c r="T65" s="420"/>
      <c r="U65" s="420"/>
      <c r="V65" s="420"/>
      <c r="W65" s="420"/>
      <c r="X65" s="420"/>
    </row>
    <row r="66">
      <c r="A66" s="226" t="s">
        <v>16</v>
      </c>
      <c r="B66" s="226" t="s">
        <v>8</v>
      </c>
      <c r="C66" s="250" t="s">
        <v>4053</v>
      </c>
      <c r="D66" s="268" t="s">
        <v>495</v>
      </c>
      <c r="E66" s="251">
        <v>44092.0</v>
      </c>
      <c r="F66" s="250" t="s">
        <v>545</v>
      </c>
      <c r="G66" s="403">
        <v>3.0</v>
      </c>
      <c r="H66" s="403">
        <v>0.0</v>
      </c>
      <c r="I66" s="403">
        <v>0.0</v>
      </c>
      <c r="J66" s="391">
        <f t="shared" si="2"/>
        <v>0</v>
      </c>
      <c r="K66" s="392">
        <f t="shared" si="3"/>
        <v>0</v>
      </c>
      <c r="L66" s="327">
        <f t="shared" si="4"/>
        <v>0</v>
      </c>
      <c r="M66" s="226" t="s">
        <v>16</v>
      </c>
    </row>
    <row r="67">
      <c r="A67" s="226" t="s">
        <v>16</v>
      </c>
      <c r="B67" s="226" t="s">
        <v>519</v>
      </c>
      <c r="C67" s="250" t="s">
        <v>4023</v>
      </c>
      <c r="D67" s="268" t="s">
        <v>495</v>
      </c>
      <c r="E67" s="251">
        <v>44095.0</v>
      </c>
      <c r="F67" s="250" t="s">
        <v>545</v>
      </c>
      <c r="G67" s="403">
        <v>2.0</v>
      </c>
      <c r="H67" s="403">
        <v>0.0</v>
      </c>
      <c r="I67" s="403">
        <v>0.0</v>
      </c>
      <c r="J67" s="391">
        <f t="shared" si="2"/>
        <v>0</v>
      </c>
      <c r="K67" s="392">
        <f t="shared" si="3"/>
        <v>0</v>
      </c>
      <c r="L67" s="327">
        <f t="shared" si="4"/>
        <v>0</v>
      </c>
      <c r="M67" s="226" t="s">
        <v>16</v>
      </c>
    </row>
    <row r="68">
      <c r="A68" s="226" t="s">
        <v>16</v>
      </c>
      <c r="B68" s="226" t="s">
        <v>18</v>
      </c>
      <c r="C68" s="250" t="s">
        <v>4054</v>
      </c>
      <c r="D68" s="268" t="s">
        <v>495</v>
      </c>
      <c r="E68" s="251">
        <v>44096.0</v>
      </c>
      <c r="F68" s="250" t="s">
        <v>545</v>
      </c>
      <c r="G68" s="403">
        <v>1.0</v>
      </c>
      <c r="H68" s="403">
        <v>0.0</v>
      </c>
      <c r="I68" s="403">
        <v>0.0</v>
      </c>
      <c r="J68" s="391">
        <f t="shared" si="2"/>
        <v>0</v>
      </c>
      <c r="K68" s="392">
        <f t="shared" si="3"/>
        <v>0</v>
      </c>
      <c r="L68" s="327">
        <f t="shared" si="4"/>
        <v>0</v>
      </c>
      <c r="M68" s="226" t="s">
        <v>16</v>
      </c>
    </row>
    <row r="69">
      <c r="A69" s="226" t="s">
        <v>16</v>
      </c>
      <c r="B69" s="226" t="s">
        <v>8</v>
      </c>
      <c r="C69" s="250" t="s">
        <v>4055</v>
      </c>
      <c r="D69" s="268" t="s">
        <v>495</v>
      </c>
      <c r="E69" s="251">
        <v>44098.0</v>
      </c>
      <c r="F69" s="250" t="s">
        <v>545</v>
      </c>
      <c r="G69" s="403">
        <v>3.0</v>
      </c>
      <c r="H69" s="403">
        <v>0.0</v>
      </c>
      <c r="I69" s="403">
        <v>0.0</v>
      </c>
      <c r="J69" s="391">
        <f t="shared" si="2"/>
        <v>0</v>
      </c>
      <c r="K69" s="392">
        <f t="shared" si="3"/>
        <v>0</v>
      </c>
      <c r="L69" s="327">
        <f t="shared" si="4"/>
        <v>0</v>
      </c>
      <c r="M69" s="226" t="s">
        <v>16</v>
      </c>
    </row>
    <row r="70">
      <c r="A70" s="226" t="s">
        <v>16</v>
      </c>
      <c r="B70" s="226" t="s">
        <v>8</v>
      </c>
      <c r="C70" s="250" t="s">
        <v>4026</v>
      </c>
      <c r="D70" s="268" t="s">
        <v>495</v>
      </c>
      <c r="E70" s="251">
        <v>44098.0</v>
      </c>
      <c r="F70" s="250" t="s">
        <v>545</v>
      </c>
      <c r="G70" s="403">
        <v>1.0</v>
      </c>
      <c r="H70" s="403">
        <v>0.0</v>
      </c>
      <c r="I70" s="403">
        <v>0.0</v>
      </c>
      <c r="J70" s="391">
        <f t="shared" si="2"/>
        <v>0</v>
      </c>
      <c r="K70" s="392">
        <f t="shared" si="3"/>
        <v>0</v>
      </c>
      <c r="L70" s="327">
        <f t="shared" si="4"/>
        <v>0</v>
      </c>
      <c r="M70" s="226" t="s">
        <v>16</v>
      </c>
    </row>
    <row r="71">
      <c r="A71" s="226" t="s">
        <v>16</v>
      </c>
      <c r="B71" s="226" t="s">
        <v>9</v>
      </c>
      <c r="C71" s="250" t="s">
        <v>4056</v>
      </c>
      <c r="D71" s="268" t="s">
        <v>495</v>
      </c>
      <c r="E71" s="251">
        <v>44098.0</v>
      </c>
      <c r="F71" s="250" t="s">
        <v>496</v>
      </c>
      <c r="G71" s="403">
        <v>1.0</v>
      </c>
      <c r="H71" s="403">
        <v>0.0</v>
      </c>
      <c r="I71" s="403">
        <v>0.0</v>
      </c>
      <c r="J71" s="391">
        <f t="shared" si="2"/>
        <v>0</v>
      </c>
      <c r="K71" s="392">
        <f t="shared" si="3"/>
        <v>0</v>
      </c>
      <c r="L71" s="327">
        <f t="shared" si="4"/>
        <v>0</v>
      </c>
      <c r="M71" s="226" t="s">
        <v>16</v>
      </c>
    </row>
    <row r="72">
      <c r="A72" s="226" t="s">
        <v>16</v>
      </c>
      <c r="B72" s="226" t="s">
        <v>18</v>
      </c>
      <c r="C72" s="250" t="s">
        <v>4028</v>
      </c>
      <c r="D72" s="268" t="s">
        <v>495</v>
      </c>
      <c r="E72" s="251">
        <v>44098.0</v>
      </c>
      <c r="F72" s="250" t="s">
        <v>496</v>
      </c>
      <c r="G72" s="403">
        <v>2.0</v>
      </c>
      <c r="H72" s="403">
        <v>0.0</v>
      </c>
      <c r="I72" s="403">
        <v>0.0</v>
      </c>
      <c r="J72" s="391">
        <f t="shared" si="2"/>
        <v>0</v>
      </c>
      <c r="K72" s="392">
        <f t="shared" si="3"/>
        <v>0</v>
      </c>
      <c r="L72" s="327">
        <f t="shared" si="4"/>
        <v>0</v>
      </c>
      <c r="M72" s="226" t="s">
        <v>16</v>
      </c>
    </row>
    <row r="73">
      <c r="A73" s="226" t="s">
        <v>16</v>
      </c>
      <c r="B73" s="226" t="s">
        <v>590</v>
      </c>
      <c r="C73" s="250" t="s">
        <v>4030</v>
      </c>
      <c r="D73" s="268" t="s">
        <v>495</v>
      </c>
      <c r="E73" s="251">
        <v>44098.0</v>
      </c>
      <c r="F73" s="250" t="s">
        <v>496</v>
      </c>
      <c r="G73" s="403">
        <v>1.0</v>
      </c>
      <c r="H73" s="403">
        <v>0.0</v>
      </c>
      <c r="I73" s="403">
        <v>0.0</v>
      </c>
      <c r="J73" s="391">
        <f t="shared" si="2"/>
        <v>0</v>
      </c>
      <c r="K73" s="392">
        <f t="shared" si="3"/>
        <v>0</v>
      </c>
      <c r="L73" s="327">
        <f t="shared" si="4"/>
        <v>0</v>
      </c>
      <c r="M73" s="226" t="s">
        <v>16</v>
      </c>
    </row>
    <row r="74">
      <c r="A74" s="249" t="s">
        <v>54</v>
      </c>
      <c r="B74" s="249" t="s">
        <v>77</v>
      </c>
      <c r="C74" s="219" t="s">
        <v>4057</v>
      </c>
      <c r="D74" s="369" t="s">
        <v>495</v>
      </c>
      <c r="E74" s="251">
        <v>44088.0</v>
      </c>
      <c r="F74" s="219" t="s">
        <v>499</v>
      </c>
      <c r="G74" s="403">
        <v>4.0</v>
      </c>
      <c r="H74" s="403">
        <v>0.0</v>
      </c>
      <c r="I74" s="403">
        <v>0.0</v>
      </c>
      <c r="J74" s="391">
        <f t="shared" si="2"/>
        <v>0</v>
      </c>
      <c r="K74" s="392">
        <f t="shared" si="3"/>
        <v>0</v>
      </c>
      <c r="L74" s="327">
        <f t="shared" si="4"/>
        <v>0</v>
      </c>
      <c r="M74" s="249" t="s">
        <v>54</v>
      </c>
      <c r="N74" s="420"/>
      <c r="O74" s="420"/>
      <c r="P74" s="420"/>
      <c r="Q74" s="420"/>
      <c r="R74" s="420"/>
      <c r="S74" s="420"/>
      <c r="T74" s="420"/>
      <c r="U74" s="420"/>
      <c r="V74" s="420"/>
      <c r="W74" s="420"/>
      <c r="X74" s="420"/>
    </row>
    <row r="75">
      <c r="A75" s="226" t="s">
        <v>177</v>
      </c>
      <c r="B75" s="226" t="s">
        <v>29</v>
      </c>
      <c r="C75" s="250" t="s">
        <v>4033</v>
      </c>
      <c r="D75" s="268" t="s">
        <v>495</v>
      </c>
      <c r="E75" s="251">
        <v>44095.0</v>
      </c>
      <c r="F75" s="250" t="s">
        <v>592</v>
      </c>
      <c r="G75" s="403">
        <v>3.0</v>
      </c>
      <c r="H75" s="403">
        <v>5.0</v>
      </c>
      <c r="I75" s="403">
        <v>10.0</v>
      </c>
      <c r="J75" s="391">
        <f t="shared" si="2"/>
        <v>0.001596757519</v>
      </c>
      <c r="K75" s="392">
        <f t="shared" si="3"/>
        <v>0.09021679981</v>
      </c>
      <c r="L75" s="327">
        <f t="shared" si="4"/>
        <v>0.09021679981</v>
      </c>
      <c r="M75" s="226" t="s">
        <v>177</v>
      </c>
    </row>
    <row r="76">
      <c r="A76" s="226" t="s">
        <v>385</v>
      </c>
      <c r="B76" s="226" t="s">
        <v>590</v>
      </c>
      <c r="C76" s="250" t="s">
        <v>4058</v>
      </c>
      <c r="D76" s="268" t="s">
        <v>495</v>
      </c>
      <c r="E76" s="251">
        <v>44096.0</v>
      </c>
      <c r="F76" s="250" t="s">
        <v>499</v>
      </c>
      <c r="G76" s="403">
        <v>3.0</v>
      </c>
      <c r="H76" s="403">
        <v>2.0</v>
      </c>
      <c r="I76" s="403">
        <v>2.0</v>
      </c>
      <c r="J76" s="391">
        <f t="shared" si="2"/>
        <v>0.0004449796444</v>
      </c>
      <c r="K76" s="392">
        <f t="shared" si="3"/>
        <v>0.02514134991</v>
      </c>
      <c r="L76" s="327">
        <f t="shared" si="4"/>
        <v>0.02514134991</v>
      </c>
      <c r="M76" s="226" t="s">
        <v>385</v>
      </c>
    </row>
    <row r="77">
      <c r="A77" s="249" t="s">
        <v>212</v>
      </c>
      <c r="B77" s="249" t="s">
        <v>519</v>
      </c>
      <c r="C77" s="219" t="s">
        <v>4059</v>
      </c>
      <c r="D77" s="369" t="s">
        <v>495</v>
      </c>
      <c r="E77" s="251">
        <v>44086.0</v>
      </c>
      <c r="F77" s="219" t="s">
        <v>499</v>
      </c>
      <c r="G77" s="403">
        <v>4.0</v>
      </c>
      <c r="H77" s="403">
        <v>0.0</v>
      </c>
      <c r="I77" s="403">
        <v>0.0</v>
      </c>
      <c r="J77" s="391">
        <f t="shared" si="2"/>
        <v>0</v>
      </c>
      <c r="K77" s="392">
        <f t="shared" si="3"/>
        <v>0</v>
      </c>
      <c r="L77" s="327">
        <f t="shared" si="4"/>
        <v>0.4540678499</v>
      </c>
      <c r="M77" s="249" t="s">
        <v>212</v>
      </c>
      <c r="N77" s="420"/>
      <c r="O77" s="420"/>
      <c r="P77" s="420"/>
      <c r="Q77" s="420"/>
      <c r="R77" s="420"/>
      <c r="S77" s="420"/>
      <c r="T77" s="420"/>
      <c r="U77" s="420"/>
      <c r="V77" s="420"/>
      <c r="W77" s="420"/>
      <c r="X77" s="420"/>
    </row>
    <row r="78">
      <c r="A78" s="249" t="s">
        <v>212</v>
      </c>
      <c r="B78" s="249" t="s">
        <v>65</v>
      </c>
      <c r="C78" s="219" t="s">
        <v>4060</v>
      </c>
      <c r="D78" s="369" t="s">
        <v>495</v>
      </c>
      <c r="E78" s="251">
        <v>44084.0</v>
      </c>
      <c r="F78" s="219" t="s">
        <v>499</v>
      </c>
      <c r="G78" s="403">
        <v>3.0</v>
      </c>
      <c r="H78" s="403">
        <v>10.0</v>
      </c>
      <c r="I78" s="403">
        <v>70.0</v>
      </c>
      <c r="J78" s="391">
        <f t="shared" si="2"/>
        <v>0.008036599113</v>
      </c>
      <c r="K78" s="392">
        <f t="shared" si="3"/>
        <v>0.4540678499</v>
      </c>
      <c r="L78" s="327">
        <f t="shared" si="4"/>
        <v>0.4540678499</v>
      </c>
      <c r="M78" s="249" t="s">
        <v>212</v>
      </c>
      <c r="N78" s="420"/>
      <c r="O78" s="420"/>
      <c r="P78" s="420"/>
      <c r="Q78" s="420"/>
      <c r="R78" s="420"/>
      <c r="S78" s="420"/>
      <c r="T78" s="420"/>
      <c r="U78" s="420"/>
      <c r="V78" s="420"/>
      <c r="W78" s="420"/>
      <c r="X78" s="420"/>
    </row>
    <row r="79">
      <c r="A79" s="226" t="s">
        <v>92</v>
      </c>
      <c r="B79" s="226" t="s">
        <v>29</v>
      </c>
      <c r="C79" s="250" t="s">
        <v>4061</v>
      </c>
      <c r="D79" s="268" t="s">
        <v>495</v>
      </c>
      <c r="E79" s="251">
        <v>44095.0</v>
      </c>
      <c r="F79" s="250" t="s">
        <v>592</v>
      </c>
      <c r="G79" s="403">
        <v>3.0</v>
      </c>
      <c r="H79" s="403">
        <v>10.0</v>
      </c>
      <c r="I79" s="403">
        <v>10.0</v>
      </c>
      <c r="J79" s="391">
        <f t="shared" si="2"/>
        <v>0.002224898222</v>
      </c>
      <c r="K79" s="392">
        <f t="shared" si="3"/>
        <v>0.1257067496</v>
      </c>
      <c r="L79" s="327">
        <f t="shared" si="4"/>
        <v>0.1382774245</v>
      </c>
      <c r="M79" s="226" t="s">
        <v>92</v>
      </c>
    </row>
    <row r="80">
      <c r="A80" s="226" t="s">
        <v>92</v>
      </c>
      <c r="B80" s="226" t="s">
        <v>29</v>
      </c>
      <c r="C80" s="250" t="s">
        <v>4038</v>
      </c>
      <c r="D80" s="268" t="s">
        <v>495</v>
      </c>
      <c r="E80" s="251">
        <v>44095.0</v>
      </c>
      <c r="F80" s="250" t="s">
        <v>592</v>
      </c>
      <c r="G80" s="403">
        <v>3.0</v>
      </c>
      <c r="H80" s="403">
        <v>1.0</v>
      </c>
      <c r="I80" s="403">
        <v>1.0</v>
      </c>
      <c r="J80" s="391">
        <f t="shared" si="2"/>
        <v>0.0002224898222</v>
      </c>
      <c r="K80" s="392">
        <f t="shared" si="3"/>
        <v>0.01257067496</v>
      </c>
      <c r="L80" s="327">
        <f t="shared" si="4"/>
        <v>0.1382774245</v>
      </c>
      <c r="M80" s="226" t="s">
        <v>92</v>
      </c>
    </row>
    <row r="81">
      <c r="A81" s="249" t="s">
        <v>29</v>
      </c>
      <c r="B81" s="249" t="s">
        <v>519</v>
      </c>
      <c r="C81" s="219" t="s">
        <v>4048</v>
      </c>
      <c r="D81" s="369" t="s">
        <v>495</v>
      </c>
      <c r="E81" s="251">
        <v>44084.0</v>
      </c>
      <c r="F81" s="219" t="s">
        <v>545</v>
      </c>
      <c r="G81" s="403">
        <v>3.0</v>
      </c>
      <c r="H81" s="403">
        <v>20.0</v>
      </c>
      <c r="I81" s="403">
        <v>80.0</v>
      </c>
      <c r="J81" s="391">
        <f t="shared" si="2"/>
        <v>0.01026149734</v>
      </c>
      <c r="K81" s="392">
        <f t="shared" si="3"/>
        <v>0.5797745995</v>
      </c>
      <c r="L81" s="327">
        <f t="shared" si="4"/>
        <v>3.562896695</v>
      </c>
      <c r="M81" s="249" t="s">
        <v>29</v>
      </c>
      <c r="N81" s="420"/>
      <c r="O81" s="420"/>
      <c r="P81" s="420"/>
      <c r="Q81" s="420"/>
      <c r="R81" s="420"/>
      <c r="S81" s="420"/>
      <c r="T81" s="420"/>
      <c r="U81" s="420"/>
      <c r="V81" s="420"/>
      <c r="W81" s="420"/>
      <c r="X81" s="420"/>
    </row>
    <row r="82">
      <c r="A82" s="249" t="s">
        <v>29</v>
      </c>
      <c r="B82" s="249" t="s">
        <v>18</v>
      </c>
      <c r="C82" s="219" t="s">
        <v>4049</v>
      </c>
      <c r="D82" s="369" t="s">
        <v>495</v>
      </c>
      <c r="E82" s="251">
        <v>44084.0</v>
      </c>
      <c r="F82" s="219" t="s">
        <v>499</v>
      </c>
      <c r="G82" s="403">
        <v>3.0</v>
      </c>
      <c r="H82" s="403">
        <v>10.0</v>
      </c>
      <c r="I82" s="403">
        <v>70.0</v>
      </c>
      <c r="J82" s="391">
        <f t="shared" si="2"/>
        <v>0.008036599113</v>
      </c>
      <c r="K82" s="392">
        <f t="shared" si="3"/>
        <v>0.4540678499</v>
      </c>
      <c r="L82" s="327">
        <f t="shared" si="4"/>
        <v>3.562896695</v>
      </c>
      <c r="M82" s="249" t="s">
        <v>29</v>
      </c>
      <c r="N82" s="421"/>
      <c r="O82" s="421"/>
      <c r="P82" s="421"/>
      <c r="Q82" s="421"/>
      <c r="R82" s="421"/>
      <c r="S82" s="421"/>
      <c r="T82" s="421"/>
      <c r="U82" s="421"/>
      <c r="V82" s="421"/>
      <c r="W82" s="421"/>
      <c r="X82" s="421"/>
    </row>
    <row r="83">
      <c r="A83" s="249" t="s">
        <v>29</v>
      </c>
      <c r="B83" s="249" t="s">
        <v>18</v>
      </c>
      <c r="C83" s="219" t="s">
        <v>4012</v>
      </c>
      <c r="D83" s="369" t="s">
        <v>495</v>
      </c>
      <c r="E83" s="251">
        <v>44085.0</v>
      </c>
      <c r="F83" s="219" t="s">
        <v>499</v>
      </c>
      <c r="G83" s="403">
        <v>4.0</v>
      </c>
      <c r="H83" s="403">
        <v>0.0</v>
      </c>
      <c r="I83" s="403">
        <v>0.0</v>
      </c>
      <c r="J83" s="391">
        <f t="shared" si="2"/>
        <v>0</v>
      </c>
      <c r="K83" s="392">
        <f t="shared" si="3"/>
        <v>0</v>
      </c>
      <c r="L83" s="327">
        <f t="shared" si="4"/>
        <v>3.562896695</v>
      </c>
      <c r="M83" s="249" t="s">
        <v>29</v>
      </c>
      <c r="N83" s="420"/>
      <c r="O83" s="420"/>
      <c r="P83" s="420"/>
      <c r="Q83" s="420"/>
      <c r="R83" s="420"/>
      <c r="S83" s="420"/>
      <c r="T83" s="420"/>
      <c r="U83" s="420"/>
      <c r="V83" s="420"/>
      <c r="W83" s="420"/>
      <c r="X83" s="420"/>
    </row>
    <row r="84">
      <c r="A84" s="249" t="s">
        <v>29</v>
      </c>
      <c r="B84" s="249" t="s">
        <v>77</v>
      </c>
      <c r="C84" s="219" t="s">
        <v>4051</v>
      </c>
      <c r="D84" s="369" t="s">
        <v>495</v>
      </c>
      <c r="E84" s="251">
        <v>44089.0</v>
      </c>
      <c r="F84" s="219" t="s">
        <v>499</v>
      </c>
      <c r="G84" s="403">
        <v>4.0</v>
      </c>
      <c r="H84" s="403">
        <v>0.0</v>
      </c>
      <c r="I84" s="403">
        <v>0.0</v>
      </c>
      <c r="J84" s="391">
        <f t="shared" si="2"/>
        <v>0</v>
      </c>
      <c r="K84" s="392">
        <f t="shared" si="3"/>
        <v>0</v>
      </c>
      <c r="L84" s="327">
        <f t="shared" si="4"/>
        <v>3.562896695</v>
      </c>
      <c r="M84" s="249" t="s">
        <v>29</v>
      </c>
      <c r="N84" s="421"/>
      <c r="O84" s="421"/>
      <c r="P84" s="421"/>
      <c r="Q84" s="421"/>
      <c r="R84" s="421"/>
      <c r="S84" s="421"/>
      <c r="T84" s="421"/>
      <c r="U84" s="421"/>
      <c r="V84" s="421"/>
      <c r="W84" s="421"/>
      <c r="X84" s="421"/>
    </row>
    <row r="85">
      <c r="A85" s="249" t="s">
        <v>29</v>
      </c>
      <c r="B85" s="249" t="s">
        <v>18</v>
      </c>
      <c r="C85" s="219" t="s">
        <v>4017</v>
      </c>
      <c r="D85" s="369" t="s">
        <v>495</v>
      </c>
      <c r="E85" s="251">
        <v>44091.0</v>
      </c>
      <c r="F85" s="219" t="s">
        <v>545</v>
      </c>
      <c r="G85" s="403">
        <v>3.0</v>
      </c>
      <c r="H85" s="403">
        <v>10.0</v>
      </c>
      <c r="I85" s="403">
        <v>40.0</v>
      </c>
      <c r="J85" s="391">
        <f t="shared" si="2"/>
        <v>0.005130748668</v>
      </c>
      <c r="K85" s="392">
        <f t="shared" si="3"/>
        <v>0.2898872997</v>
      </c>
      <c r="L85" s="327">
        <f t="shared" si="4"/>
        <v>3.562896695</v>
      </c>
      <c r="M85" s="249" t="s">
        <v>29</v>
      </c>
      <c r="N85" s="420"/>
      <c r="O85" s="420"/>
      <c r="P85" s="420"/>
      <c r="Q85" s="420"/>
      <c r="R85" s="420"/>
      <c r="S85" s="420"/>
      <c r="T85" s="420"/>
      <c r="U85" s="420"/>
      <c r="V85" s="420"/>
      <c r="W85" s="420"/>
      <c r="X85" s="420"/>
    </row>
    <row r="86">
      <c r="A86" s="249" t="s">
        <v>29</v>
      </c>
      <c r="B86" s="249" t="s">
        <v>18</v>
      </c>
      <c r="C86" s="219" t="s">
        <v>4018</v>
      </c>
      <c r="D86" s="369" t="s">
        <v>495</v>
      </c>
      <c r="E86" s="361">
        <v>44083.0</v>
      </c>
      <c r="F86" s="219" t="s">
        <v>545</v>
      </c>
      <c r="G86" s="403">
        <v>3.0</v>
      </c>
      <c r="H86" s="403">
        <v>20.0</v>
      </c>
      <c r="I86" s="403">
        <v>40.0</v>
      </c>
      <c r="J86" s="391">
        <f t="shared" si="2"/>
        <v>0.006387030075</v>
      </c>
      <c r="K86" s="392">
        <f t="shared" si="3"/>
        <v>0.3608671992</v>
      </c>
      <c r="L86" s="327">
        <f t="shared" si="4"/>
        <v>3.562896695</v>
      </c>
      <c r="M86" s="249" t="s">
        <v>29</v>
      </c>
      <c r="N86" s="420"/>
      <c r="O86" s="420"/>
      <c r="P86" s="420"/>
      <c r="Q86" s="420"/>
      <c r="R86" s="420"/>
      <c r="S86" s="420"/>
      <c r="T86" s="420"/>
      <c r="U86" s="420"/>
      <c r="V86" s="420"/>
      <c r="W86" s="420"/>
      <c r="X86" s="420"/>
    </row>
    <row r="87">
      <c r="A87" s="226" t="s">
        <v>29</v>
      </c>
      <c r="B87" s="226" t="s">
        <v>519</v>
      </c>
      <c r="C87" s="250" t="s">
        <v>4062</v>
      </c>
      <c r="D87" s="268" t="s">
        <v>495</v>
      </c>
      <c r="E87" s="251">
        <v>44092.0</v>
      </c>
      <c r="F87" s="250" t="s">
        <v>545</v>
      </c>
      <c r="G87" s="403">
        <v>3.0</v>
      </c>
      <c r="H87" s="403">
        <v>30.0</v>
      </c>
      <c r="I87" s="403">
        <v>40.0</v>
      </c>
      <c r="J87" s="391">
        <f t="shared" si="2"/>
        <v>0.007643311482</v>
      </c>
      <c r="K87" s="392">
        <f t="shared" si="3"/>
        <v>0.4318470987</v>
      </c>
      <c r="L87" s="327">
        <f t="shared" si="4"/>
        <v>3.562896695</v>
      </c>
      <c r="M87" s="226" t="s">
        <v>29</v>
      </c>
    </row>
    <row r="88">
      <c r="A88" s="226" t="s">
        <v>29</v>
      </c>
      <c r="B88" s="226" t="s">
        <v>519</v>
      </c>
      <c r="C88" s="250" t="s">
        <v>4063</v>
      </c>
      <c r="D88" s="268" t="s">
        <v>495</v>
      </c>
      <c r="E88" s="251">
        <v>44093.0</v>
      </c>
      <c r="F88" s="250" t="s">
        <v>592</v>
      </c>
      <c r="G88" s="403">
        <v>3.0</v>
      </c>
      <c r="H88" s="403">
        <v>5.0</v>
      </c>
      <c r="I88" s="403">
        <v>20.0</v>
      </c>
      <c r="J88" s="391">
        <f t="shared" si="2"/>
        <v>0.002565374334</v>
      </c>
      <c r="K88" s="392">
        <f t="shared" si="3"/>
        <v>0.1449436499</v>
      </c>
      <c r="L88" s="327">
        <f t="shared" si="4"/>
        <v>3.562896695</v>
      </c>
      <c r="M88" s="226" t="s">
        <v>29</v>
      </c>
    </row>
    <row r="89">
      <c r="A89" s="226" t="s">
        <v>29</v>
      </c>
      <c r="B89" s="226" t="s">
        <v>18</v>
      </c>
      <c r="C89" s="250" t="s">
        <v>4064</v>
      </c>
      <c r="D89" s="268" t="s">
        <v>495</v>
      </c>
      <c r="E89" s="251">
        <v>44097.0</v>
      </c>
      <c r="F89" s="250" t="s">
        <v>545</v>
      </c>
      <c r="G89" s="403">
        <v>1.0</v>
      </c>
      <c r="H89" s="403">
        <v>20.0</v>
      </c>
      <c r="I89" s="403">
        <v>30.0</v>
      </c>
      <c r="J89" s="391">
        <f t="shared" si="2"/>
        <v>0.00541841326</v>
      </c>
      <c r="K89" s="392">
        <f t="shared" si="3"/>
        <v>0.3061403492</v>
      </c>
      <c r="L89" s="327">
        <f t="shared" si="4"/>
        <v>3.562896695</v>
      </c>
      <c r="M89" s="226" t="s">
        <v>29</v>
      </c>
    </row>
    <row r="90">
      <c r="A90" s="226" t="s">
        <v>29</v>
      </c>
      <c r="B90" s="226" t="s">
        <v>519</v>
      </c>
      <c r="C90" s="250" t="s">
        <v>4065</v>
      </c>
      <c r="D90" s="268" t="s">
        <v>495</v>
      </c>
      <c r="E90" s="251">
        <v>44098.0</v>
      </c>
      <c r="F90" s="250" t="s">
        <v>496</v>
      </c>
      <c r="G90" s="403">
        <v>2.0</v>
      </c>
      <c r="H90" s="403">
        <v>20.0</v>
      </c>
      <c r="I90" s="403">
        <v>40.0</v>
      </c>
      <c r="J90" s="391">
        <f t="shared" si="2"/>
        <v>0.006387030075</v>
      </c>
      <c r="K90" s="392">
        <f t="shared" si="3"/>
        <v>0.3608671992</v>
      </c>
      <c r="L90" s="327">
        <f t="shared" si="4"/>
        <v>3.562896695</v>
      </c>
      <c r="M90" s="226" t="s">
        <v>29</v>
      </c>
    </row>
    <row r="91">
      <c r="A91" s="226" t="s">
        <v>29</v>
      </c>
      <c r="B91" s="226" t="s">
        <v>9</v>
      </c>
      <c r="C91" s="250" t="s">
        <v>4066</v>
      </c>
      <c r="D91" s="268" t="s">
        <v>495</v>
      </c>
      <c r="E91" s="251">
        <v>44098.0</v>
      </c>
      <c r="F91" s="250" t="s">
        <v>496</v>
      </c>
      <c r="G91" s="403">
        <v>2.0</v>
      </c>
      <c r="H91" s="403">
        <v>10.0</v>
      </c>
      <c r="I91" s="403">
        <v>50.0</v>
      </c>
      <c r="J91" s="391">
        <f t="shared" si="2"/>
        <v>0.006099365483</v>
      </c>
      <c r="K91" s="392">
        <f t="shared" si="3"/>
        <v>0.3446141498</v>
      </c>
      <c r="L91" s="327">
        <f t="shared" si="4"/>
        <v>3.562896695</v>
      </c>
      <c r="M91" s="226" t="s">
        <v>29</v>
      </c>
    </row>
    <row r="92">
      <c r="A92" s="226" t="s">
        <v>29</v>
      </c>
      <c r="B92" s="226" t="s">
        <v>18</v>
      </c>
      <c r="C92" s="250" t="s">
        <v>4028</v>
      </c>
      <c r="D92" s="268" t="s">
        <v>495</v>
      </c>
      <c r="E92" s="251">
        <v>44098.0</v>
      </c>
      <c r="F92" s="250" t="s">
        <v>496</v>
      </c>
      <c r="G92" s="403">
        <v>2.0</v>
      </c>
      <c r="H92" s="403">
        <v>10.0</v>
      </c>
      <c r="I92" s="403">
        <v>40.0</v>
      </c>
      <c r="J92" s="391">
        <f t="shared" si="2"/>
        <v>0.005130748668</v>
      </c>
      <c r="K92" s="392">
        <f t="shared" si="3"/>
        <v>0.2898872997</v>
      </c>
      <c r="L92" s="327">
        <f t="shared" si="4"/>
        <v>3.562896695</v>
      </c>
      <c r="M92" s="226" t="s">
        <v>29</v>
      </c>
    </row>
    <row r="93">
      <c r="A93" s="249" t="s">
        <v>14</v>
      </c>
      <c r="B93" s="249" t="s">
        <v>18</v>
      </c>
      <c r="C93" s="219" t="s">
        <v>4012</v>
      </c>
      <c r="D93" s="369" t="s">
        <v>495</v>
      </c>
      <c r="E93" s="251">
        <v>44085.0</v>
      </c>
      <c r="F93" s="219" t="s">
        <v>499</v>
      </c>
      <c r="G93" s="403">
        <v>4.0</v>
      </c>
      <c r="H93" s="403">
        <v>0.0</v>
      </c>
      <c r="I93" s="403">
        <v>0.0</v>
      </c>
      <c r="J93" s="391">
        <f t="shared" si="2"/>
        <v>0</v>
      </c>
      <c r="K93" s="392">
        <f t="shared" si="3"/>
        <v>0</v>
      </c>
      <c r="L93" s="327">
        <f t="shared" si="4"/>
        <v>9.168466193</v>
      </c>
      <c r="M93" s="249" t="s">
        <v>14</v>
      </c>
      <c r="N93" s="420"/>
      <c r="O93" s="420"/>
      <c r="P93" s="420"/>
      <c r="Q93" s="420"/>
      <c r="R93" s="420"/>
      <c r="S93" s="420"/>
      <c r="T93" s="420"/>
      <c r="U93" s="420"/>
      <c r="V93" s="420"/>
      <c r="W93" s="420"/>
      <c r="X93" s="420"/>
    </row>
    <row r="94">
      <c r="A94" s="249" t="s">
        <v>14</v>
      </c>
      <c r="B94" s="249" t="s">
        <v>18</v>
      </c>
      <c r="C94" s="219" t="s">
        <v>4041</v>
      </c>
      <c r="D94" s="369" t="s">
        <v>495</v>
      </c>
      <c r="E94" s="251">
        <v>44089.0</v>
      </c>
      <c r="F94" s="219" t="s">
        <v>499</v>
      </c>
      <c r="G94" s="403">
        <v>3.0</v>
      </c>
      <c r="H94" s="403">
        <v>10.0</v>
      </c>
      <c r="I94" s="403">
        <v>70.0</v>
      </c>
      <c r="J94" s="391">
        <f t="shared" si="2"/>
        <v>0.008036599113</v>
      </c>
      <c r="K94" s="392">
        <f t="shared" si="3"/>
        <v>0.4540678499</v>
      </c>
      <c r="L94" s="327">
        <f t="shared" si="4"/>
        <v>9.168466193</v>
      </c>
      <c r="M94" s="249" t="s">
        <v>14</v>
      </c>
      <c r="N94" s="420"/>
      <c r="O94" s="420"/>
      <c r="P94" s="420"/>
      <c r="Q94" s="420"/>
      <c r="R94" s="420"/>
      <c r="S94" s="420"/>
      <c r="T94" s="420"/>
      <c r="U94" s="420"/>
      <c r="V94" s="420"/>
      <c r="W94" s="420"/>
      <c r="X94" s="420"/>
    </row>
    <row r="95">
      <c r="A95" s="249" t="s">
        <v>14</v>
      </c>
      <c r="B95" s="249" t="s">
        <v>77</v>
      </c>
      <c r="C95" s="219" t="s">
        <v>4051</v>
      </c>
      <c r="D95" s="369" t="s">
        <v>495</v>
      </c>
      <c r="E95" s="251">
        <v>44089.0</v>
      </c>
      <c r="F95" s="219" t="s">
        <v>499</v>
      </c>
      <c r="G95" s="403">
        <v>4.0</v>
      </c>
      <c r="H95" s="403">
        <v>0.0</v>
      </c>
      <c r="I95" s="403">
        <v>0.0</v>
      </c>
      <c r="J95" s="391">
        <f t="shared" si="2"/>
        <v>0</v>
      </c>
      <c r="K95" s="392">
        <f t="shared" si="3"/>
        <v>0</v>
      </c>
      <c r="L95" s="327">
        <f t="shared" si="4"/>
        <v>9.168466193</v>
      </c>
      <c r="M95" s="249" t="s">
        <v>14</v>
      </c>
      <c r="N95" s="421"/>
      <c r="O95" s="421"/>
      <c r="P95" s="421"/>
      <c r="Q95" s="421"/>
      <c r="R95" s="421"/>
      <c r="S95" s="421"/>
      <c r="T95" s="421"/>
      <c r="U95" s="421"/>
      <c r="V95" s="421"/>
      <c r="W95" s="421"/>
      <c r="X95" s="421"/>
    </row>
    <row r="96">
      <c r="A96" s="249" t="s">
        <v>14</v>
      </c>
      <c r="B96" s="249" t="s">
        <v>18</v>
      </c>
      <c r="C96" s="219" t="s">
        <v>4017</v>
      </c>
      <c r="D96" s="369" t="s">
        <v>495</v>
      </c>
      <c r="E96" s="251">
        <v>44091.0</v>
      </c>
      <c r="F96" s="219" t="s">
        <v>545</v>
      </c>
      <c r="G96" s="403">
        <v>2.0</v>
      </c>
      <c r="H96" s="403">
        <v>40.0</v>
      </c>
      <c r="I96" s="403">
        <v>40.0</v>
      </c>
      <c r="J96" s="391">
        <f t="shared" si="2"/>
        <v>0.008899592889</v>
      </c>
      <c r="K96" s="392">
        <f t="shared" si="3"/>
        <v>0.5028269982</v>
      </c>
      <c r="L96" s="327">
        <f t="shared" si="4"/>
        <v>9.168466193</v>
      </c>
      <c r="M96" s="249" t="s">
        <v>14</v>
      </c>
      <c r="N96" s="420"/>
      <c r="O96" s="420"/>
      <c r="P96" s="420"/>
      <c r="Q96" s="420"/>
      <c r="R96" s="420"/>
      <c r="S96" s="420"/>
      <c r="T96" s="420"/>
      <c r="U96" s="420"/>
      <c r="V96" s="420"/>
      <c r="W96" s="420"/>
      <c r="X96" s="420"/>
    </row>
    <row r="97">
      <c r="A97" s="249" t="s">
        <v>14</v>
      </c>
      <c r="B97" s="249" t="s">
        <v>18</v>
      </c>
      <c r="C97" s="219" t="s">
        <v>4018</v>
      </c>
      <c r="D97" s="369" t="s">
        <v>495</v>
      </c>
      <c r="E97" s="361">
        <v>44083.0</v>
      </c>
      <c r="F97" s="219" t="s">
        <v>545</v>
      </c>
      <c r="G97" s="403">
        <v>2.0</v>
      </c>
      <c r="H97" s="403">
        <v>40.0</v>
      </c>
      <c r="I97" s="403">
        <v>40.0</v>
      </c>
      <c r="J97" s="391">
        <f t="shared" si="2"/>
        <v>0.008899592889</v>
      </c>
      <c r="K97" s="392">
        <f t="shared" si="3"/>
        <v>0.5028269982</v>
      </c>
      <c r="L97" s="327">
        <f t="shared" si="4"/>
        <v>9.168466193</v>
      </c>
      <c r="M97" s="249" t="s">
        <v>14</v>
      </c>
      <c r="N97" s="420"/>
      <c r="O97" s="420"/>
      <c r="P97" s="420"/>
      <c r="Q97" s="420"/>
      <c r="R97" s="420"/>
      <c r="S97" s="420"/>
      <c r="T97" s="420"/>
      <c r="U97" s="420"/>
      <c r="V97" s="420"/>
      <c r="W97" s="420"/>
      <c r="X97" s="420"/>
    </row>
    <row r="98">
      <c r="A98" s="226" t="s">
        <v>14</v>
      </c>
      <c r="B98" s="226" t="s">
        <v>77</v>
      </c>
      <c r="C98" s="250" t="s">
        <v>4067</v>
      </c>
      <c r="D98" s="268" t="s">
        <v>495</v>
      </c>
      <c r="E98" s="251">
        <v>44092.0</v>
      </c>
      <c r="F98" s="250" t="s">
        <v>499</v>
      </c>
      <c r="G98" s="403">
        <v>4.0</v>
      </c>
      <c r="H98" s="403">
        <v>0.0</v>
      </c>
      <c r="I98" s="403">
        <v>0.0</v>
      </c>
      <c r="J98" s="391">
        <f t="shared" si="2"/>
        <v>0</v>
      </c>
      <c r="K98" s="392">
        <f t="shared" si="3"/>
        <v>0</v>
      </c>
      <c r="L98" s="327">
        <f t="shared" si="4"/>
        <v>9.168466193</v>
      </c>
      <c r="M98" s="226" t="s">
        <v>14</v>
      </c>
    </row>
    <row r="99">
      <c r="A99" s="226" t="s">
        <v>14</v>
      </c>
      <c r="B99" s="226" t="s">
        <v>18</v>
      </c>
      <c r="C99" s="250" t="s">
        <v>4054</v>
      </c>
      <c r="D99" s="268" t="s">
        <v>495</v>
      </c>
      <c r="E99" s="251">
        <v>44096.0</v>
      </c>
      <c r="F99" s="250" t="s">
        <v>545</v>
      </c>
      <c r="G99" s="403">
        <v>1.0</v>
      </c>
      <c r="H99" s="403">
        <v>300.0</v>
      </c>
      <c r="I99" s="403">
        <v>250.0</v>
      </c>
      <c r="J99" s="391">
        <f t="shared" si="2"/>
        <v>0.06190386259</v>
      </c>
      <c r="K99" s="392">
        <f t="shared" si="3"/>
        <v>3.497568236</v>
      </c>
      <c r="L99" s="327">
        <f t="shared" si="4"/>
        <v>9.168466193</v>
      </c>
      <c r="M99" s="226" t="s">
        <v>14</v>
      </c>
    </row>
    <row r="100">
      <c r="A100" s="226" t="s">
        <v>14</v>
      </c>
      <c r="B100" s="226" t="s">
        <v>18</v>
      </c>
      <c r="C100" s="250" t="s">
        <v>4068</v>
      </c>
      <c r="D100" s="268" t="s">
        <v>495</v>
      </c>
      <c r="E100" s="251">
        <v>44097.0</v>
      </c>
      <c r="F100" s="250" t="s">
        <v>545</v>
      </c>
      <c r="G100" s="403">
        <v>1.0</v>
      </c>
      <c r="H100" s="403">
        <v>40.0</v>
      </c>
      <c r="I100" s="403">
        <v>40.0</v>
      </c>
      <c r="J100" s="391">
        <f t="shared" si="2"/>
        <v>0.008899592889</v>
      </c>
      <c r="K100" s="392">
        <f t="shared" si="3"/>
        <v>0.5028269982</v>
      </c>
      <c r="L100" s="327">
        <f t="shared" si="4"/>
        <v>9.168466193</v>
      </c>
      <c r="M100" s="226" t="s">
        <v>14</v>
      </c>
    </row>
    <row r="101">
      <c r="A101" s="226" t="s">
        <v>14</v>
      </c>
      <c r="B101" s="226" t="s">
        <v>18</v>
      </c>
      <c r="C101" s="250" t="s">
        <v>4069</v>
      </c>
      <c r="D101" s="268" t="s">
        <v>495</v>
      </c>
      <c r="E101" s="251">
        <v>44097.0</v>
      </c>
      <c r="F101" s="250" t="s">
        <v>545</v>
      </c>
      <c r="G101" s="403">
        <v>1.0</v>
      </c>
      <c r="H101" s="403">
        <v>10.0</v>
      </c>
      <c r="I101" s="403">
        <v>10.0</v>
      </c>
      <c r="J101" s="391">
        <f t="shared" si="2"/>
        <v>0.002224898222</v>
      </c>
      <c r="K101" s="392">
        <f t="shared" si="3"/>
        <v>0.1257067496</v>
      </c>
      <c r="L101" s="327">
        <f t="shared" si="4"/>
        <v>9.168466193</v>
      </c>
      <c r="M101" s="226" t="s">
        <v>14</v>
      </c>
    </row>
    <row r="102">
      <c r="A102" s="226" t="s">
        <v>14</v>
      </c>
      <c r="B102" s="226" t="s">
        <v>18</v>
      </c>
      <c r="C102" s="250" t="s">
        <v>4070</v>
      </c>
      <c r="D102" s="268" t="s">
        <v>495</v>
      </c>
      <c r="E102" s="251">
        <v>44097.0</v>
      </c>
      <c r="F102" s="250" t="s">
        <v>545</v>
      </c>
      <c r="G102" s="403">
        <v>1.0</v>
      </c>
      <c r="H102" s="403">
        <v>30.0</v>
      </c>
      <c r="I102" s="403">
        <v>30.0</v>
      </c>
      <c r="J102" s="391">
        <f t="shared" si="2"/>
        <v>0.006674694667</v>
      </c>
      <c r="K102" s="392">
        <f t="shared" si="3"/>
        <v>0.3771202487</v>
      </c>
      <c r="L102" s="327">
        <f t="shared" si="4"/>
        <v>9.168466193</v>
      </c>
      <c r="M102" s="226" t="s">
        <v>14</v>
      </c>
    </row>
    <row r="103">
      <c r="A103" s="226" t="s">
        <v>14</v>
      </c>
      <c r="B103" s="226" t="s">
        <v>29</v>
      </c>
      <c r="C103" s="250" t="s">
        <v>4071</v>
      </c>
      <c r="D103" s="268" t="s">
        <v>495</v>
      </c>
      <c r="E103" s="251">
        <v>44098.0</v>
      </c>
      <c r="F103" s="250" t="s">
        <v>545</v>
      </c>
      <c r="G103" s="403">
        <v>1.0</v>
      </c>
      <c r="H103" s="403">
        <v>100.0</v>
      </c>
      <c r="I103" s="403">
        <v>80.0</v>
      </c>
      <c r="J103" s="391">
        <f t="shared" si="2"/>
        <v>0.02031174859</v>
      </c>
      <c r="K103" s="392">
        <f t="shared" si="3"/>
        <v>1.147613795</v>
      </c>
      <c r="L103" s="327">
        <f t="shared" si="4"/>
        <v>9.168466193</v>
      </c>
      <c r="M103" s="226" t="s">
        <v>14</v>
      </c>
    </row>
    <row r="104">
      <c r="A104" s="226" t="s">
        <v>14</v>
      </c>
      <c r="B104" s="226" t="s">
        <v>8</v>
      </c>
      <c r="C104" s="250" t="s">
        <v>4026</v>
      </c>
      <c r="D104" s="268" t="s">
        <v>495</v>
      </c>
      <c r="E104" s="251">
        <v>44098.0</v>
      </c>
      <c r="F104" s="250" t="s">
        <v>545</v>
      </c>
      <c r="G104" s="403">
        <v>1.0</v>
      </c>
      <c r="H104" s="403">
        <v>40.0</v>
      </c>
      <c r="I104" s="403">
        <v>40.0</v>
      </c>
      <c r="J104" s="391">
        <f t="shared" si="2"/>
        <v>0.008899592889</v>
      </c>
      <c r="K104" s="392">
        <f t="shared" si="3"/>
        <v>0.5028269982</v>
      </c>
      <c r="L104" s="327">
        <f t="shared" si="4"/>
        <v>9.168466193</v>
      </c>
      <c r="M104" s="226" t="s">
        <v>14</v>
      </c>
    </row>
    <row r="105">
      <c r="A105" s="226" t="s">
        <v>14</v>
      </c>
      <c r="B105" s="226" t="s">
        <v>9</v>
      </c>
      <c r="C105" s="250" t="s">
        <v>4072</v>
      </c>
      <c r="D105" s="268" t="s">
        <v>495</v>
      </c>
      <c r="E105" s="251">
        <v>44098.0</v>
      </c>
      <c r="F105" s="250" t="s">
        <v>496</v>
      </c>
      <c r="G105" s="403">
        <v>1.0</v>
      </c>
      <c r="H105" s="403">
        <v>5.0</v>
      </c>
      <c r="I105" s="403">
        <v>5.0</v>
      </c>
      <c r="J105" s="391">
        <f t="shared" si="2"/>
        <v>0.001112449111</v>
      </c>
      <c r="K105" s="392">
        <f t="shared" si="3"/>
        <v>0.06285337478</v>
      </c>
      <c r="L105" s="327">
        <f t="shared" si="4"/>
        <v>9.168466193</v>
      </c>
      <c r="M105" s="226" t="s">
        <v>14</v>
      </c>
    </row>
    <row r="106">
      <c r="A106" s="226" t="s">
        <v>14</v>
      </c>
      <c r="B106" s="226" t="s">
        <v>9</v>
      </c>
      <c r="C106" s="250" t="s">
        <v>4056</v>
      </c>
      <c r="D106" s="268" t="s">
        <v>495</v>
      </c>
      <c r="E106" s="251">
        <v>44098.0</v>
      </c>
      <c r="F106" s="250" t="s">
        <v>496</v>
      </c>
      <c r="G106" s="403">
        <v>1.0</v>
      </c>
      <c r="H106" s="403">
        <v>20.0</v>
      </c>
      <c r="I106" s="403">
        <v>10.0</v>
      </c>
      <c r="J106" s="391">
        <f t="shared" si="2"/>
        <v>0.003481179629</v>
      </c>
      <c r="K106" s="392">
        <f t="shared" si="3"/>
        <v>0.1966866491</v>
      </c>
      <c r="L106" s="327">
        <f t="shared" si="4"/>
        <v>9.168466193</v>
      </c>
      <c r="M106" s="226" t="s">
        <v>14</v>
      </c>
    </row>
    <row r="107">
      <c r="A107" s="226" t="s">
        <v>14</v>
      </c>
      <c r="B107" s="226" t="s">
        <v>9</v>
      </c>
      <c r="C107" s="250" t="s">
        <v>4066</v>
      </c>
      <c r="D107" s="268" t="s">
        <v>495</v>
      </c>
      <c r="E107" s="251">
        <v>44098.0</v>
      </c>
      <c r="F107" s="250" t="s">
        <v>496</v>
      </c>
      <c r="G107" s="403">
        <v>2.0</v>
      </c>
      <c r="H107" s="403">
        <v>10.0</v>
      </c>
      <c r="I107" s="403">
        <v>30.0</v>
      </c>
      <c r="J107" s="391">
        <f t="shared" si="2"/>
        <v>0.004162131853</v>
      </c>
      <c r="K107" s="392">
        <f t="shared" si="3"/>
        <v>0.2351604497</v>
      </c>
      <c r="L107" s="327">
        <f t="shared" si="4"/>
        <v>9.168466193</v>
      </c>
      <c r="M107" s="226" t="s">
        <v>14</v>
      </c>
    </row>
    <row r="108">
      <c r="A108" s="226" t="s">
        <v>14</v>
      </c>
      <c r="B108" s="226" t="s">
        <v>18</v>
      </c>
      <c r="C108" s="250" t="s">
        <v>4028</v>
      </c>
      <c r="D108" s="268" t="s">
        <v>495</v>
      </c>
      <c r="E108" s="251">
        <v>44098.0</v>
      </c>
      <c r="F108" s="250" t="s">
        <v>496</v>
      </c>
      <c r="G108" s="403">
        <v>2.0</v>
      </c>
      <c r="H108" s="403">
        <v>40.0</v>
      </c>
      <c r="I108" s="403">
        <v>40.0</v>
      </c>
      <c r="J108" s="391">
        <f t="shared" si="2"/>
        <v>0.008899592889</v>
      </c>
      <c r="K108" s="392">
        <f t="shared" si="3"/>
        <v>0.5028269982</v>
      </c>
      <c r="L108" s="327">
        <f t="shared" si="4"/>
        <v>9.168466193</v>
      </c>
      <c r="M108" s="226" t="s">
        <v>14</v>
      </c>
    </row>
    <row r="109">
      <c r="A109" s="226" t="s">
        <v>14</v>
      </c>
      <c r="B109" s="226" t="s">
        <v>519</v>
      </c>
      <c r="C109" s="250" t="s">
        <v>4029</v>
      </c>
      <c r="D109" s="268" t="s">
        <v>495</v>
      </c>
      <c r="E109" s="251">
        <v>44098.0</v>
      </c>
      <c r="F109" s="250" t="s">
        <v>545</v>
      </c>
      <c r="G109" s="403">
        <v>2.0</v>
      </c>
      <c r="H109" s="403">
        <v>40.0</v>
      </c>
      <c r="I109" s="403">
        <v>50.0</v>
      </c>
      <c r="J109" s="391">
        <f t="shared" si="2"/>
        <v>0.009868209704</v>
      </c>
      <c r="K109" s="392">
        <f t="shared" si="3"/>
        <v>0.5575538483</v>
      </c>
      <c r="L109" s="327">
        <f t="shared" si="4"/>
        <v>9.168466193</v>
      </c>
      <c r="M109" s="226" t="s">
        <v>14</v>
      </c>
    </row>
    <row r="110">
      <c r="A110" s="249" t="s">
        <v>78</v>
      </c>
      <c r="B110" s="249" t="s">
        <v>519</v>
      </c>
      <c r="C110" s="219" t="s">
        <v>4073</v>
      </c>
      <c r="D110" s="369" t="s">
        <v>495</v>
      </c>
      <c r="E110" s="251">
        <v>44089.0</v>
      </c>
      <c r="F110" s="219" t="s">
        <v>499</v>
      </c>
      <c r="G110" s="403">
        <v>3.0</v>
      </c>
      <c r="H110" s="403">
        <v>10.0</v>
      </c>
      <c r="I110" s="403">
        <v>70.0</v>
      </c>
      <c r="J110" s="391">
        <f t="shared" si="2"/>
        <v>0.008036599113</v>
      </c>
      <c r="K110" s="392">
        <f t="shared" si="3"/>
        <v>0.4540678499</v>
      </c>
      <c r="L110" s="327">
        <f t="shared" si="4"/>
        <v>0.4540678499</v>
      </c>
      <c r="M110" s="249" t="s">
        <v>78</v>
      </c>
      <c r="N110" s="420"/>
      <c r="O110" s="420"/>
      <c r="P110" s="420"/>
      <c r="Q110" s="420"/>
      <c r="R110" s="420"/>
      <c r="S110" s="420"/>
      <c r="T110" s="420"/>
      <c r="U110" s="420"/>
      <c r="V110" s="420"/>
      <c r="W110" s="420"/>
      <c r="X110" s="420"/>
    </row>
    <row r="111">
      <c r="A111" s="249" t="s">
        <v>125</v>
      </c>
      <c r="B111" s="249" t="s">
        <v>65</v>
      </c>
      <c r="C111" s="219" t="s">
        <v>4074</v>
      </c>
      <c r="D111" s="369" t="s">
        <v>495</v>
      </c>
      <c r="E111" s="251">
        <v>44084.0</v>
      </c>
      <c r="F111" s="219" t="s">
        <v>499</v>
      </c>
      <c r="G111" s="403">
        <v>3.0</v>
      </c>
      <c r="H111" s="403">
        <v>3.0</v>
      </c>
      <c r="I111" s="403">
        <v>100.0</v>
      </c>
      <c r="J111" s="391">
        <f t="shared" si="2"/>
        <v>0.01006305257</v>
      </c>
      <c r="K111" s="392">
        <f t="shared" si="3"/>
        <v>0.5685624704</v>
      </c>
      <c r="L111" s="327">
        <f t="shared" si="4"/>
        <v>0.5685624704</v>
      </c>
      <c r="M111" s="249" t="s">
        <v>125</v>
      </c>
      <c r="N111" s="420"/>
      <c r="O111" s="420"/>
      <c r="P111" s="420"/>
      <c r="Q111" s="420"/>
      <c r="R111" s="420"/>
      <c r="S111" s="420"/>
      <c r="T111" s="420"/>
      <c r="U111" s="420"/>
      <c r="V111" s="420"/>
      <c r="W111" s="420"/>
      <c r="X111" s="420"/>
    </row>
    <row r="112">
      <c r="A112" s="249" t="s">
        <v>4075</v>
      </c>
      <c r="B112" s="249" t="s">
        <v>77</v>
      </c>
      <c r="C112" s="219" t="s">
        <v>4032</v>
      </c>
      <c r="D112" s="369" t="s">
        <v>495</v>
      </c>
      <c r="E112" s="251">
        <v>44089.0</v>
      </c>
      <c r="F112" s="219" t="s">
        <v>499</v>
      </c>
      <c r="G112" s="403">
        <v>4.0</v>
      </c>
      <c r="H112" s="403">
        <v>0.0</v>
      </c>
      <c r="I112" s="403">
        <v>0.0</v>
      </c>
      <c r="J112" s="391">
        <f t="shared" si="2"/>
        <v>0</v>
      </c>
      <c r="K112" s="392">
        <f t="shared" si="3"/>
        <v>0</v>
      </c>
      <c r="L112" s="327">
        <f t="shared" si="4"/>
        <v>0</v>
      </c>
      <c r="M112" s="249" t="s">
        <v>4075</v>
      </c>
      <c r="N112" s="421"/>
      <c r="O112" s="421"/>
      <c r="P112" s="421"/>
      <c r="Q112" s="421"/>
      <c r="R112" s="421"/>
      <c r="S112" s="421"/>
      <c r="T112" s="421"/>
      <c r="U112" s="421"/>
      <c r="V112" s="421"/>
      <c r="W112" s="421"/>
      <c r="X112" s="421"/>
    </row>
    <row r="113">
      <c r="A113" s="249" t="s">
        <v>77</v>
      </c>
      <c r="B113" s="249" t="s">
        <v>519</v>
      </c>
      <c r="C113" s="219" t="s">
        <v>4076</v>
      </c>
      <c r="D113" s="369" t="s">
        <v>495</v>
      </c>
      <c r="E113" s="251">
        <v>44090.0</v>
      </c>
      <c r="F113" s="219" t="s">
        <v>499</v>
      </c>
      <c r="G113" s="403">
        <v>3.0</v>
      </c>
      <c r="H113" s="403">
        <v>5.0</v>
      </c>
      <c r="I113" s="403">
        <v>10.0</v>
      </c>
      <c r="J113" s="391">
        <f t="shared" si="2"/>
        <v>0.001596757519</v>
      </c>
      <c r="K113" s="392">
        <f t="shared" si="3"/>
        <v>0.09021679981</v>
      </c>
      <c r="L113" s="327">
        <f t="shared" si="4"/>
        <v>0.09021679981</v>
      </c>
      <c r="M113" s="249" t="s">
        <v>77</v>
      </c>
      <c r="N113" s="420"/>
      <c r="O113" s="420"/>
      <c r="P113" s="420"/>
      <c r="Q113" s="420"/>
      <c r="R113" s="420"/>
      <c r="S113" s="420"/>
      <c r="T113" s="420"/>
      <c r="U113" s="420"/>
      <c r="V113" s="420"/>
      <c r="W113" s="420"/>
      <c r="X113" s="420"/>
    </row>
    <row r="114">
      <c r="A114" s="249" t="s">
        <v>77</v>
      </c>
      <c r="B114" s="249" t="s">
        <v>88</v>
      </c>
      <c r="C114" s="219" t="s">
        <v>4077</v>
      </c>
      <c r="D114" s="369" t="s">
        <v>495</v>
      </c>
      <c r="E114" s="251">
        <v>44091.0</v>
      </c>
      <c r="F114" s="219" t="s">
        <v>499</v>
      </c>
      <c r="G114" s="403">
        <v>4.0</v>
      </c>
      <c r="H114" s="403">
        <v>0.0</v>
      </c>
      <c r="I114" s="403">
        <v>0.0</v>
      </c>
      <c r="J114" s="391">
        <f t="shared" si="2"/>
        <v>0</v>
      </c>
      <c r="K114" s="392">
        <f t="shared" si="3"/>
        <v>0</v>
      </c>
      <c r="L114" s="327">
        <f t="shared" si="4"/>
        <v>0.09021679981</v>
      </c>
      <c r="M114" s="249" t="s">
        <v>77</v>
      </c>
      <c r="N114" s="421"/>
      <c r="O114" s="421"/>
      <c r="P114" s="421"/>
      <c r="Q114" s="421"/>
      <c r="R114" s="421"/>
      <c r="S114" s="421"/>
      <c r="T114" s="421"/>
      <c r="U114" s="421"/>
      <c r="V114" s="421"/>
      <c r="W114" s="421"/>
      <c r="X114" s="421"/>
    </row>
    <row r="115">
      <c r="A115" s="249" t="s">
        <v>77</v>
      </c>
      <c r="B115" s="249" t="s">
        <v>18</v>
      </c>
      <c r="C115" s="219" t="s">
        <v>4012</v>
      </c>
      <c r="D115" s="369" t="s">
        <v>495</v>
      </c>
      <c r="E115" s="251">
        <v>44085.0</v>
      </c>
      <c r="F115" s="219" t="s">
        <v>499</v>
      </c>
      <c r="G115" s="403">
        <v>4.0</v>
      </c>
      <c r="H115" s="403">
        <v>0.0</v>
      </c>
      <c r="I115" s="403">
        <v>0.0</v>
      </c>
      <c r="J115" s="391">
        <f t="shared" si="2"/>
        <v>0</v>
      </c>
      <c r="K115" s="392">
        <f t="shared" si="3"/>
        <v>0</v>
      </c>
      <c r="L115" s="327">
        <f t="shared" si="4"/>
        <v>0.09021679981</v>
      </c>
      <c r="M115" s="249" t="s">
        <v>77</v>
      </c>
      <c r="N115" s="420"/>
      <c r="O115" s="420"/>
      <c r="P115" s="420"/>
      <c r="Q115" s="420"/>
      <c r="R115" s="420"/>
      <c r="S115" s="420"/>
      <c r="T115" s="420"/>
      <c r="U115" s="420"/>
      <c r="V115" s="420"/>
      <c r="W115" s="420"/>
      <c r="X115" s="420"/>
    </row>
    <row r="116">
      <c r="A116" s="226" t="s">
        <v>77</v>
      </c>
      <c r="B116" s="226" t="s">
        <v>519</v>
      </c>
      <c r="C116" s="250" t="s">
        <v>4078</v>
      </c>
      <c r="D116" s="268" t="s">
        <v>495</v>
      </c>
      <c r="E116" s="251">
        <v>44092.0</v>
      </c>
      <c r="F116" s="250" t="s">
        <v>4079</v>
      </c>
      <c r="G116" s="403">
        <v>3.0</v>
      </c>
      <c r="H116" s="403">
        <v>0.0</v>
      </c>
      <c r="I116" s="403">
        <v>0.0</v>
      </c>
      <c r="J116" s="391">
        <f t="shared" si="2"/>
        <v>0</v>
      </c>
      <c r="K116" s="392">
        <f t="shared" si="3"/>
        <v>0</v>
      </c>
      <c r="L116" s="327">
        <f t="shared" si="4"/>
        <v>0.09021679981</v>
      </c>
      <c r="M116" s="226" t="s">
        <v>77</v>
      </c>
    </row>
    <row r="117">
      <c r="A117" s="249" t="s">
        <v>18</v>
      </c>
      <c r="B117" s="249" t="s">
        <v>519</v>
      </c>
      <c r="C117" s="219" t="s">
        <v>4014</v>
      </c>
      <c r="D117" s="369" t="s">
        <v>495</v>
      </c>
      <c r="E117" s="361">
        <v>44083.0</v>
      </c>
      <c r="F117" s="219" t="s">
        <v>545</v>
      </c>
      <c r="G117" s="403">
        <v>1.0</v>
      </c>
      <c r="H117" s="403">
        <v>0.0</v>
      </c>
      <c r="I117" s="403">
        <v>0.0</v>
      </c>
      <c r="J117" s="391">
        <f t="shared" si="2"/>
        <v>0</v>
      </c>
      <c r="K117" s="392">
        <f t="shared" si="3"/>
        <v>0</v>
      </c>
      <c r="L117" s="327">
        <f t="shared" si="4"/>
        <v>0</v>
      </c>
      <c r="M117" s="249" t="s">
        <v>18</v>
      </c>
      <c r="N117" s="420"/>
      <c r="O117" s="420"/>
      <c r="P117" s="420"/>
      <c r="Q117" s="420"/>
      <c r="R117" s="420"/>
      <c r="S117" s="420"/>
      <c r="T117" s="420"/>
      <c r="U117" s="420"/>
      <c r="V117" s="420"/>
      <c r="W117" s="420"/>
      <c r="X117" s="420"/>
    </row>
    <row r="118">
      <c r="A118" s="249" t="s">
        <v>18</v>
      </c>
      <c r="B118" s="249" t="s">
        <v>65</v>
      </c>
      <c r="C118" s="219" t="s">
        <v>4080</v>
      </c>
      <c r="D118" s="369" t="s">
        <v>495</v>
      </c>
      <c r="E118" s="251">
        <v>44084.0</v>
      </c>
      <c r="F118" s="219" t="s">
        <v>499</v>
      </c>
      <c r="G118" s="403">
        <v>1.0</v>
      </c>
      <c r="H118" s="403">
        <v>0.0</v>
      </c>
      <c r="I118" s="403">
        <v>0.0</v>
      </c>
      <c r="J118" s="391">
        <f t="shared" si="2"/>
        <v>0</v>
      </c>
      <c r="K118" s="392">
        <f t="shared" si="3"/>
        <v>0</v>
      </c>
      <c r="L118" s="327">
        <f t="shared" si="4"/>
        <v>0</v>
      </c>
      <c r="M118" s="249" t="s">
        <v>18</v>
      </c>
      <c r="N118" s="420"/>
      <c r="O118" s="420"/>
      <c r="P118" s="420"/>
      <c r="Q118" s="420"/>
      <c r="R118" s="420"/>
      <c r="S118" s="420"/>
      <c r="T118" s="420"/>
      <c r="U118" s="420"/>
      <c r="V118" s="420"/>
      <c r="W118" s="420"/>
      <c r="X118" s="420"/>
    </row>
    <row r="119">
      <c r="A119" s="249" t="s">
        <v>18</v>
      </c>
      <c r="B119" s="249" t="s">
        <v>519</v>
      </c>
      <c r="C119" s="219" t="s">
        <v>4048</v>
      </c>
      <c r="D119" s="369" t="s">
        <v>495</v>
      </c>
      <c r="E119" s="251">
        <v>44084.0</v>
      </c>
      <c r="F119" s="219" t="s">
        <v>545</v>
      </c>
      <c r="G119" s="403">
        <v>1.0</v>
      </c>
      <c r="H119" s="403">
        <v>0.0</v>
      </c>
      <c r="I119" s="403">
        <v>0.0</v>
      </c>
      <c r="J119" s="391">
        <f t="shared" si="2"/>
        <v>0</v>
      </c>
      <c r="K119" s="392">
        <f t="shared" si="3"/>
        <v>0</v>
      </c>
      <c r="L119" s="327">
        <f t="shared" si="4"/>
        <v>0</v>
      </c>
      <c r="M119" s="249" t="s">
        <v>18</v>
      </c>
      <c r="N119" s="421"/>
      <c r="O119" s="421"/>
      <c r="P119" s="421"/>
      <c r="Q119" s="421"/>
      <c r="R119" s="421"/>
      <c r="S119" s="421"/>
      <c r="T119" s="421"/>
      <c r="U119" s="421"/>
      <c r="V119" s="421"/>
      <c r="W119" s="421"/>
      <c r="X119" s="421"/>
    </row>
    <row r="120">
      <c r="A120" s="249" t="s">
        <v>18</v>
      </c>
      <c r="B120" s="249" t="s">
        <v>519</v>
      </c>
      <c r="C120" s="219" t="s">
        <v>4052</v>
      </c>
      <c r="D120" s="369" t="s">
        <v>495</v>
      </c>
      <c r="E120" s="251">
        <v>44091.0</v>
      </c>
      <c r="F120" s="219" t="s">
        <v>545</v>
      </c>
      <c r="G120" s="403">
        <v>1.0</v>
      </c>
      <c r="H120" s="403">
        <v>0.0</v>
      </c>
      <c r="I120" s="403">
        <v>0.0</v>
      </c>
      <c r="J120" s="391">
        <f t="shared" si="2"/>
        <v>0</v>
      </c>
      <c r="K120" s="392">
        <f t="shared" si="3"/>
        <v>0</v>
      </c>
      <c r="L120" s="327">
        <f t="shared" si="4"/>
        <v>0</v>
      </c>
      <c r="M120" s="249" t="s">
        <v>18</v>
      </c>
      <c r="N120" s="420"/>
      <c r="O120" s="420"/>
      <c r="P120" s="420"/>
      <c r="Q120" s="420"/>
      <c r="R120" s="420"/>
      <c r="S120" s="420"/>
      <c r="T120" s="420"/>
      <c r="U120" s="420"/>
      <c r="V120" s="420"/>
      <c r="W120" s="420"/>
      <c r="X120" s="420"/>
    </row>
    <row r="121">
      <c r="A121" s="249" t="s">
        <v>18</v>
      </c>
      <c r="B121" s="249" t="s">
        <v>18</v>
      </c>
      <c r="C121" s="219" t="s">
        <v>4017</v>
      </c>
      <c r="D121" s="369" t="s">
        <v>495</v>
      </c>
      <c r="E121" s="251">
        <v>44091.0</v>
      </c>
      <c r="F121" s="219" t="s">
        <v>545</v>
      </c>
      <c r="G121" s="403">
        <v>2.0</v>
      </c>
      <c r="H121" s="403">
        <v>0.0</v>
      </c>
      <c r="I121" s="403">
        <v>0.0</v>
      </c>
      <c r="J121" s="391">
        <f t="shared" si="2"/>
        <v>0</v>
      </c>
      <c r="K121" s="392">
        <f t="shared" si="3"/>
        <v>0</v>
      </c>
      <c r="L121" s="327">
        <f t="shared" si="4"/>
        <v>0</v>
      </c>
      <c r="M121" s="249" t="s">
        <v>18</v>
      </c>
      <c r="N121" s="420"/>
      <c r="O121" s="420"/>
      <c r="P121" s="420"/>
      <c r="Q121" s="420"/>
      <c r="R121" s="420"/>
      <c r="S121" s="420"/>
      <c r="T121" s="420"/>
      <c r="U121" s="420"/>
      <c r="V121" s="420"/>
      <c r="W121" s="420"/>
      <c r="X121" s="420"/>
    </row>
    <row r="122">
      <c r="A122" s="226" t="s">
        <v>18</v>
      </c>
      <c r="B122" s="226" t="s">
        <v>8</v>
      </c>
      <c r="C122" s="250" t="s">
        <v>4081</v>
      </c>
      <c r="D122" s="268" t="s">
        <v>495</v>
      </c>
      <c r="E122" s="251">
        <v>44092.0</v>
      </c>
      <c r="F122" s="250" t="s">
        <v>545</v>
      </c>
      <c r="G122" s="403">
        <v>3.0</v>
      </c>
      <c r="H122" s="403">
        <v>0.0</v>
      </c>
      <c r="I122" s="403">
        <v>0.0</v>
      </c>
      <c r="J122" s="391">
        <f t="shared" si="2"/>
        <v>0</v>
      </c>
      <c r="K122" s="392">
        <f t="shared" si="3"/>
        <v>0</v>
      </c>
      <c r="L122" s="327">
        <f t="shared" si="4"/>
        <v>0</v>
      </c>
      <c r="M122" s="226" t="s">
        <v>18</v>
      </c>
    </row>
    <row r="123">
      <c r="A123" s="226" t="s">
        <v>18</v>
      </c>
      <c r="B123" s="226" t="s">
        <v>8</v>
      </c>
      <c r="C123" s="250" t="s">
        <v>4082</v>
      </c>
      <c r="D123" s="268" t="s">
        <v>495</v>
      </c>
      <c r="E123" s="251">
        <v>44092.0</v>
      </c>
      <c r="F123" s="250" t="s">
        <v>545</v>
      </c>
      <c r="G123" s="403">
        <v>1.0</v>
      </c>
      <c r="H123" s="403">
        <v>0.0</v>
      </c>
      <c r="I123" s="403">
        <v>0.0</v>
      </c>
      <c r="J123" s="391">
        <f t="shared" si="2"/>
        <v>0</v>
      </c>
      <c r="K123" s="392">
        <f t="shared" si="3"/>
        <v>0</v>
      </c>
      <c r="L123" s="327">
        <f t="shared" si="4"/>
        <v>0</v>
      </c>
      <c r="M123" s="226" t="s">
        <v>18</v>
      </c>
    </row>
    <row r="124">
      <c r="A124" s="226" t="s">
        <v>18</v>
      </c>
      <c r="B124" s="226" t="s">
        <v>519</v>
      </c>
      <c r="C124" s="250" t="s">
        <v>4023</v>
      </c>
      <c r="D124" s="268" t="s">
        <v>495</v>
      </c>
      <c r="E124" s="251">
        <v>44095.0</v>
      </c>
      <c r="F124" s="250" t="s">
        <v>545</v>
      </c>
      <c r="G124" s="403">
        <v>2.0</v>
      </c>
      <c r="H124" s="403">
        <v>0.0</v>
      </c>
      <c r="I124" s="403">
        <v>0.0</v>
      </c>
      <c r="J124" s="391">
        <f t="shared" si="2"/>
        <v>0</v>
      </c>
      <c r="K124" s="392">
        <f t="shared" si="3"/>
        <v>0</v>
      </c>
      <c r="L124" s="327">
        <f t="shared" si="4"/>
        <v>0</v>
      </c>
      <c r="M124" s="226" t="s">
        <v>18</v>
      </c>
    </row>
    <row r="125">
      <c r="A125" s="226" t="s">
        <v>18</v>
      </c>
      <c r="B125" s="226" t="s">
        <v>18</v>
      </c>
      <c r="C125" s="250" t="s">
        <v>4054</v>
      </c>
      <c r="D125" s="268" t="s">
        <v>495</v>
      </c>
      <c r="E125" s="251">
        <v>44096.0</v>
      </c>
      <c r="F125" s="250" t="s">
        <v>545</v>
      </c>
      <c r="G125" s="403">
        <v>1.0</v>
      </c>
      <c r="H125" s="403">
        <v>0.0</v>
      </c>
      <c r="I125" s="403">
        <v>0.0</v>
      </c>
      <c r="J125" s="391">
        <f t="shared" si="2"/>
        <v>0</v>
      </c>
      <c r="K125" s="392">
        <f t="shared" si="3"/>
        <v>0</v>
      </c>
      <c r="L125" s="327">
        <f t="shared" si="4"/>
        <v>0</v>
      </c>
      <c r="M125" s="226" t="s">
        <v>18</v>
      </c>
    </row>
    <row r="126">
      <c r="A126" s="226" t="s">
        <v>18</v>
      </c>
      <c r="B126" s="226" t="s">
        <v>18</v>
      </c>
      <c r="C126" s="250" t="s">
        <v>4068</v>
      </c>
      <c r="D126" s="268" t="s">
        <v>495</v>
      </c>
      <c r="E126" s="251">
        <v>44097.0</v>
      </c>
      <c r="F126" s="250" t="s">
        <v>545</v>
      </c>
      <c r="G126" s="403">
        <v>1.0</v>
      </c>
      <c r="H126" s="403">
        <v>0.0</v>
      </c>
      <c r="I126" s="403">
        <v>0.0</v>
      </c>
      <c r="J126" s="391">
        <f t="shared" si="2"/>
        <v>0</v>
      </c>
      <c r="K126" s="392">
        <f t="shared" si="3"/>
        <v>0</v>
      </c>
      <c r="L126" s="327">
        <f t="shared" si="4"/>
        <v>0</v>
      </c>
      <c r="M126" s="226" t="s">
        <v>18</v>
      </c>
    </row>
    <row r="127">
      <c r="A127" s="226" t="s">
        <v>18</v>
      </c>
      <c r="B127" s="226" t="s">
        <v>8</v>
      </c>
      <c r="C127" s="250" t="s">
        <v>4026</v>
      </c>
      <c r="D127" s="268" t="s">
        <v>495</v>
      </c>
      <c r="E127" s="251">
        <v>44098.0</v>
      </c>
      <c r="F127" s="250" t="s">
        <v>545</v>
      </c>
      <c r="G127" s="403">
        <v>1.0</v>
      </c>
      <c r="H127" s="403">
        <v>0.0</v>
      </c>
      <c r="I127" s="403">
        <v>0.0</v>
      </c>
      <c r="J127" s="391">
        <f t="shared" si="2"/>
        <v>0</v>
      </c>
      <c r="K127" s="392">
        <f t="shared" si="3"/>
        <v>0</v>
      </c>
      <c r="L127" s="327">
        <f t="shared" si="4"/>
        <v>0</v>
      </c>
      <c r="M127" s="226" t="s">
        <v>18</v>
      </c>
    </row>
    <row r="128">
      <c r="A128" s="226" t="s">
        <v>18</v>
      </c>
      <c r="B128" s="226" t="s">
        <v>9</v>
      </c>
      <c r="C128" s="250" t="s">
        <v>4056</v>
      </c>
      <c r="D128" s="268" t="s">
        <v>495</v>
      </c>
      <c r="E128" s="251">
        <v>44098.0</v>
      </c>
      <c r="F128" s="250" t="s">
        <v>496</v>
      </c>
      <c r="G128" s="403">
        <v>1.0</v>
      </c>
      <c r="H128" s="403">
        <v>0.0</v>
      </c>
      <c r="I128" s="403">
        <v>0.0</v>
      </c>
      <c r="J128" s="391">
        <f t="shared" si="2"/>
        <v>0</v>
      </c>
      <c r="K128" s="392">
        <f t="shared" si="3"/>
        <v>0</v>
      </c>
      <c r="L128" s="327">
        <f t="shared" si="4"/>
        <v>0</v>
      </c>
      <c r="M128" s="226" t="s">
        <v>18</v>
      </c>
    </row>
    <row r="129">
      <c r="A129" s="226" t="s">
        <v>18</v>
      </c>
      <c r="B129" s="226" t="s">
        <v>18</v>
      </c>
      <c r="C129" s="250" t="s">
        <v>4028</v>
      </c>
      <c r="D129" s="268" t="s">
        <v>495</v>
      </c>
      <c r="E129" s="251">
        <v>44098.0</v>
      </c>
      <c r="F129" s="250" t="s">
        <v>496</v>
      </c>
      <c r="G129" s="403">
        <v>2.0</v>
      </c>
      <c r="H129" s="403">
        <v>0.0</v>
      </c>
      <c r="I129" s="403">
        <v>0.0</v>
      </c>
      <c r="J129" s="391">
        <f t="shared" si="2"/>
        <v>0</v>
      </c>
      <c r="K129" s="392">
        <f t="shared" si="3"/>
        <v>0</v>
      </c>
      <c r="L129" s="327">
        <f t="shared" si="4"/>
        <v>0</v>
      </c>
      <c r="M129" s="226" t="s">
        <v>18</v>
      </c>
    </row>
    <row r="130">
      <c r="A130" s="226" t="s">
        <v>18</v>
      </c>
      <c r="B130" s="226" t="s">
        <v>519</v>
      </c>
      <c r="C130" s="250" t="s">
        <v>4029</v>
      </c>
      <c r="D130" s="268" t="s">
        <v>495</v>
      </c>
      <c r="E130" s="251">
        <v>44098.0</v>
      </c>
      <c r="F130" s="250" t="s">
        <v>545</v>
      </c>
      <c r="G130" s="403">
        <v>2.0</v>
      </c>
      <c r="H130" s="403">
        <v>0.0</v>
      </c>
      <c r="I130" s="403">
        <v>0.0</v>
      </c>
      <c r="J130" s="391">
        <f t="shared" si="2"/>
        <v>0</v>
      </c>
      <c r="K130" s="392">
        <f t="shared" si="3"/>
        <v>0</v>
      </c>
      <c r="L130" s="327">
        <f t="shared" si="4"/>
        <v>0</v>
      </c>
      <c r="M130" s="226" t="s">
        <v>18</v>
      </c>
    </row>
    <row r="131">
      <c r="A131" s="249" t="s">
        <v>40</v>
      </c>
      <c r="B131" s="249" t="s">
        <v>519</v>
      </c>
      <c r="C131" s="219" t="s">
        <v>4043</v>
      </c>
      <c r="D131" s="369" t="s">
        <v>495</v>
      </c>
      <c r="E131" s="251">
        <v>44091.0</v>
      </c>
      <c r="F131" s="219" t="s">
        <v>499</v>
      </c>
      <c r="G131" s="403">
        <v>2.0</v>
      </c>
      <c r="H131" s="403">
        <v>75.0</v>
      </c>
      <c r="I131" s="403">
        <v>50.0</v>
      </c>
      <c r="J131" s="391">
        <f t="shared" si="2"/>
        <v>0.01426519463</v>
      </c>
      <c r="K131" s="392">
        <f t="shared" si="3"/>
        <v>0.8059834965</v>
      </c>
      <c r="L131" s="327">
        <f t="shared" si="4"/>
        <v>1.308810495</v>
      </c>
      <c r="M131" s="249" t="s">
        <v>40</v>
      </c>
      <c r="N131" s="420"/>
      <c r="O131" s="420"/>
      <c r="P131" s="420"/>
      <c r="Q131" s="420"/>
      <c r="R131" s="420"/>
      <c r="S131" s="420"/>
      <c r="T131" s="420"/>
      <c r="U131" s="420"/>
      <c r="V131" s="420"/>
      <c r="W131" s="420"/>
      <c r="X131" s="420"/>
    </row>
    <row r="132">
      <c r="A132" s="249" t="s">
        <v>40</v>
      </c>
      <c r="B132" s="249" t="s">
        <v>18</v>
      </c>
      <c r="C132" s="219" t="s">
        <v>4017</v>
      </c>
      <c r="D132" s="369" t="s">
        <v>495</v>
      </c>
      <c r="E132" s="251">
        <v>44091.0</v>
      </c>
      <c r="F132" s="219" t="s">
        <v>545</v>
      </c>
      <c r="G132" s="403">
        <v>2.0</v>
      </c>
      <c r="H132" s="403">
        <v>40.0</v>
      </c>
      <c r="I132" s="403">
        <v>40.0</v>
      </c>
      <c r="J132" s="391">
        <f t="shared" si="2"/>
        <v>0.008899592889</v>
      </c>
      <c r="K132" s="392">
        <f t="shared" si="3"/>
        <v>0.5028269982</v>
      </c>
      <c r="L132" s="327">
        <f t="shared" si="4"/>
        <v>1.308810495</v>
      </c>
      <c r="M132" s="249" t="s">
        <v>40</v>
      </c>
      <c r="N132" s="420"/>
      <c r="O132" s="420"/>
      <c r="P132" s="420"/>
      <c r="Q132" s="420"/>
      <c r="R132" s="420"/>
      <c r="S132" s="420"/>
      <c r="T132" s="420"/>
      <c r="U132" s="420"/>
      <c r="V132" s="420"/>
      <c r="W132" s="420"/>
      <c r="X132" s="420"/>
    </row>
    <row r="133">
      <c r="A133" s="249" t="s">
        <v>40</v>
      </c>
      <c r="B133" s="249" t="s">
        <v>18</v>
      </c>
      <c r="C133" s="219" t="s">
        <v>4012</v>
      </c>
      <c r="D133" s="369" t="s">
        <v>495</v>
      </c>
      <c r="E133" s="251">
        <v>44085.0</v>
      </c>
      <c r="F133" s="219" t="s">
        <v>499</v>
      </c>
      <c r="G133" s="403">
        <v>4.0</v>
      </c>
      <c r="H133" s="403">
        <v>0.0</v>
      </c>
      <c r="I133" s="403">
        <v>0.0</v>
      </c>
      <c r="J133" s="391">
        <f t="shared" si="2"/>
        <v>0</v>
      </c>
      <c r="K133" s="392">
        <f t="shared" si="3"/>
        <v>0</v>
      </c>
      <c r="L133" s="327">
        <f t="shared" si="4"/>
        <v>1.308810495</v>
      </c>
      <c r="M133" s="249" t="s">
        <v>40</v>
      </c>
      <c r="N133" s="420"/>
      <c r="O133" s="420"/>
      <c r="P133" s="420"/>
      <c r="Q133" s="420"/>
      <c r="R133" s="420"/>
      <c r="S133" s="420"/>
      <c r="T133" s="420"/>
      <c r="U133" s="420"/>
      <c r="V133" s="420"/>
      <c r="W133" s="420"/>
      <c r="X133" s="420"/>
    </row>
    <row r="134">
      <c r="A134" s="249" t="s">
        <v>65</v>
      </c>
      <c r="B134" s="249" t="s">
        <v>18</v>
      </c>
      <c r="C134" s="219" t="s">
        <v>4083</v>
      </c>
      <c r="D134" s="369" t="s">
        <v>495</v>
      </c>
      <c r="E134" s="251">
        <v>44084.0</v>
      </c>
      <c r="F134" s="219" t="s">
        <v>499</v>
      </c>
      <c r="G134" s="403">
        <v>3.0</v>
      </c>
      <c r="H134" s="403">
        <v>3.0</v>
      </c>
      <c r="I134" s="403">
        <v>70.0</v>
      </c>
      <c r="J134" s="391">
        <f t="shared" si="2"/>
        <v>0.007157202128</v>
      </c>
      <c r="K134" s="392">
        <f t="shared" si="3"/>
        <v>0.4043819203</v>
      </c>
      <c r="L134" s="327">
        <f t="shared" si="4"/>
        <v>0.4388433352</v>
      </c>
      <c r="M134" s="249" t="s">
        <v>65</v>
      </c>
      <c r="N134" s="420"/>
      <c r="O134" s="420"/>
      <c r="P134" s="420"/>
      <c r="Q134" s="420"/>
      <c r="R134" s="420"/>
      <c r="S134" s="420"/>
      <c r="T134" s="420"/>
      <c r="U134" s="420"/>
      <c r="V134" s="420"/>
      <c r="W134" s="420"/>
      <c r="X134" s="420"/>
    </row>
    <row r="135">
      <c r="A135" s="226" t="s">
        <v>65</v>
      </c>
      <c r="B135" s="226" t="s">
        <v>18</v>
      </c>
      <c r="C135" s="250" t="s">
        <v>4084</v>
      </c>
      <c r="D135" s="268" t="s">
        <v>495</v>
      </c>
      <c r="E135" s="251">
        <v>44091.0</v>
      </c>
      <c r="F135" s="250" t="s">
        <v>499</v>
      </c>
      <c r="G135" s="403">
        <v>3.0</v>
      </c>
      <c r="H135" s="403">
        <v>1.0</v>
      </c>
      <c r="I135" s="403">
        <v>5.0</v>
      </c>
      <c r="J135" s="391">
        <f t="shared" si="2"/>
        <v>0.0006099365483</v>
      </c>
      <c r="K135" s="392">
        <f t="shared" si="3"/>
        <v>0.03446141498</v>
      </c>
      <c r="L135" s="327">
        <f t="shared" si="4"/>
        <v>0.4388433352</v>
      </c>
      <c r="M135" s="226" t="s">
        <v>65</v>
      </c>
    </row>
    <row r="136">
      <c r="A136" s="249" t="s">
        <v>113</v>
      </c>
      <c r="B136" s="249" t="s">
        <v>18</v>
      </c>
      <c r="C136" s="219" t="s">
        <v>4085</v>
      </c>
      <c r="D136" s="369" t="s">
        <v>495</v>
      </c>
      <c r="E136" s="251">
        <v>44090.0</v>
      </c>
      <c r="F136" s="219" t="s">
        <v>499</v>
      </c>
      <c r="G136" s="403">
        <v>3.0</v>
      </c>
      <c r="H136" s="403">
        <v>10.0</v>
      </c>
      <c r="I136" s="403">
        <v>70.0</v>
      </c>
      <c r="J136" s="391">
        <f t="shared" si="2"/>
        <v>0.008036599113</v>
      </c>
      <c r="K136" s="392">
        <f t="shared" si="3"/>
        <v>0.4540678499</v>
      </c>
      <c r="L136" s="327">
        <f t="shared" si="4"/>
        <v>0.4666385249</v>
      </c>
      <c r="M136" s="249" t="s">
        <v>113</v>
      </c>
      <c r="N136" s="420"/>
      <c r="O136" s="420"/>
      <c r="P136" s="420"/>
      <c r="Q136" s="420"/>
      <c r="R136" s="420"/>
      <c r="S136" s="420"/>
      <c r="T136" s="420"/>
      <c r="U136" s="420"/>
      <c r="V136" s="420"/>
      <c r="W136" s="420"/>
      <c r="X136" s="420"/>
    </row>
    <row r="137">
      <c r="A137" s="226" t="s">
        <v>113</v>
      </c>
      <c r="B137" s="226" t="s">
        <v>519</v>
      </c>
      <c r="C137" s="250" t="s">
        <v>4037</v>
      </c>
      <c r="D137" s="268" t="s">
        <v>495</v>
      </c>
      <c r="E137" s="251">
        <v>44098.0</v>
      </c>
      <c r="F137" s="250" t="s">
        <v>499</v>
      </c>
      <c r="G137" s="403">
        <v>3.0</v>
      </c>
      <c r="H137" s="403">
        <v>1.0</v>
      </c>
      <c r="I137" s="403">
        <v>1.0</v>
      </c>
      <c r="J137" s="391">
        <f t="shared" si="2"/>
        <v>0.0002224898222</v>
      </c>
      <c r="K137" s="392">
        <f t="shared" si="3"/>
        <v>0.01257067496</v>
      </c>
      <c r="L137" s="327">
        <f t="shared" si="4"/>
        <v>0.4666385249</v>
      </c>
      <c r="M137" s="226" t="s">
        <v>113</v>
      </c>
    </row>
    <row r="138">
      <c r="A138" s="249" t="s">
        <v>43</v>
      </c>
      <c r="B138" s="249" t="s">
        <v>519</v>
      </c>
      <c r="C138" s="219" t="s">
        <v>4086</v>
      </c>
      <c r="D138" s="369" t="s">
        <v>495</v>
      </c>
      <c r="E138" s="251">
        <v>44091.0</v>
      </c>
      <c r="F138" s="219" t="s">
        <v>499</v>
      </c>
      <c r="G138" s="403">
        <v>3.0</v>
      </c>
      <c r="H138" s="403">
        <v>3.0</v>
      </c>
      <c r="I138" s="403">
        <v>5.0</v>
      </c>
      <c r="J138" s="391">
        <f t="shared" si="2"/>
        <v>0.0008611928297</v>
      </c>
      <c r="K138" s="392">
        <f t="shared" si="3"/>
        <v>0.04865739488</v>
      </c>
      <c r="L138" s="327">
        <f t="shared" si="4"/>
        <v>0.1246782148</v>
      </c>
      <c r="M138" s="249" t="s">
        <v>43</v>
      </c>
      <c r="N138" s="420"/>
      <c r="O138" s="420"/>
      <c r="P138" s="420"/>
      <c r="Q138" s="420"/>
      <c r="R138" s="420"/>
      <c r="S138" s="420"/>
      <c r="T138" s="420"/>
      <c r="U138" s="420"/>
      <c r="V138" s="420"/>
      <c r="W138" s="420"/>
      <c r="X138" s="420"/>
    </row>
    <row r="139">
      <c r="A139" s="249" t="s">
        <v>43</v>
      </c>
      <c r="B139" s="249" t="s">
        <v>519</v>
      </c>
      <c r="C139" s="219" t="s">
        <v>4087</v>
      </c>
      <c r="D139" s="369" t="s">
        <v>495</v>
      </c>
      <c r="E139" s="251">
        <v>44090.0</v>
      </c>
      <c r="F139" s="219" t="s">
        <v>521</v>
      </c>
      <c r="G139" s="403">
        <v>4.0</v>
      </c>
      <c r="H139" s="403">
        <v>0.0</v>
      </c>
      <c r="I139" s="403">
        <v>0.0</v>
      </c>
      <c r="J139" s="391">
        <f t="shared" si="2"/>
        <v>0</v>
      </c>
      <c r="K139" s="392">
        <f t="shared" si="3"/>
        <v>0</v>
      </c>
      <c r="L139" s="327">
        <f t="shared" si="4"/>
        <v>0.1246782148</v>
      </c>
      <c r="M139" s="249" t="s">
        <v>43</v>
      </c>
      <c r="N139" s="420"/>
      <c r="O139" s="420"/>
      <c r="P139" s="420"/>
      <c r="Q139" s="420"/>
      <c r="R139" s="420"/>
      <c r="S139" s="420"/>
      <c r="T139" s="420"/>
      <c r="U139" s="420"/>
      <c r="V139" s="420"/>
      <c r="W139" s="420"/>
      <c r="X139" s="420"/>
    </row>
    <row r="140">
      <c r="A140" s="226" t="s">
        <v>43</v>
      </c>
      <c r="B140" s="226" t="s">
        <v>77</v>
      </c>
      <c r="C140" s="250" t="s">
        <v>4088</v>
      </c>
      <c r="D140" s="268" t="s">
        <v>495</v>
      </c>
      <c r="E140" s="251">
        <v>44092.0</v>
      </c>
      <c r="F140" s="250" t="s">
        <v>499</v>
      </c>
      <c r="G140" s="403">
        <v>3.0</v>
      </c>
      <c r="H140" s="403">
        <v>3.0</v>
      </c>
      <c r="I140" s="403">
        <v>10.0</v>
      </c>
      <c r="J140" s="391">
        <f t="shared" si="2"/>
        <v>0.001345501237</v>
      </c>
      <c r="K140" s="392">
        <f t="shared" si="3"/>
        <v>0.07602081991</v>
      </c>
      <c r="L140" s="327">
        <f t="shared" si="4"/>
        <v>0.1246782148</v>
      </c>
      <c r="M140" s="226" t="s">
        <v>43</v>
      </c>
    </row>
    <row r="141">
      <c r="A141" s="249" t="s">
        <v>271</v>
      </c>
      <c r="B141" s="249" t="s">
        <v>18</v>
      </c>
      <c r="C141" s="219" t="s">
        <v>4049</v>
      </c>
      <c r="D141" s="369" t="s">
        <v>495</v>
      </c>
      <c r="E141" s="251">
        <v>44084.0</v>
      </c>
      <c r="F141" s="219" t="s">
        <v>499</v>
      </c>
      <c r="G141" s="403">
        <v>3.0</v>
      </c>
      <c r="H141" s="403">
        <v>10.0</v>
      </c>
      <c r="I141" s="403">
        <v>70.0</v>
      </c>
      <c r="J141" s="391">
        <f t="shared" si="2"/>
        <v>0.008036599113</v>
      </c>
      <c r="K141" s="392">
        <f t="shared" si="3"/>
        <v>0.4540678499</v>
      </c>
      <c r="L141" s="327">
        <f t="shared" si="4"/>
        <v>0.4540678499</v>
      </c>
      <c r="M141" s="249" t="s">
        <v>271</v>
      </c>
      <c r="N141" s="420"/>
      <c r="O141" s="420"/>
      <c r="P141" s="420"/>
      <c r="Q141" s="420"/>
      <c r="R141" s="420"/>
      <c r="S141" s="420"/>
      <c r="T141" s="420"/>
      <c r="U141" s="420"/>
      <c r="V141" s="420"/>
      <c r="W141" s="420"/>
      <c r="X141" s="420"/>
    </row>
    <row r="142">
      <c r="A142" s="249" t="s">
        <v>86</v>
      </c>
      <c r="B142" s="249" t="s">
        <v>18</v>
      </c>
      <c r="C142" s="219" t="s">
        <v>4012</v>
      </c>
      <c r="D142" s="369" t="s">
        <v>495</v>
      </c>
      <c r="E142" s="251">
        <v>44085.0</v>
      </c>
      <c r="F142" s="219" t="s">
        <v>499</v>
      </c>
      <c r="G142" s="403">
        <v>4.0</v>
      </c>
      <c r="H142" s="403">
        <v>0.0</v>
      </c>
      <c r="I142" s="403">
        <v>0.0</v>
      </c>
      <c r="J142" s="391">
        <f t="shared" si="2"/>
        <v>0</v>
      </c>
      <c r="K142" s="392">
        <f t="shared" si="3"/>
        <v>0</v>
      </c>
      <c r="L142" s="327">
        <f t="shared" si="4"/>
        <v>0</v>
      </c>
      <c r="M142" s="249" t="s">
        <v>86</v>
      </c>
      <c r="N142" s="421"/>
      <c r="O142" s="421"/>
      <c r="P142" s="421"/>
      <c r="Q142" s="421"/>
      <c r="R142" s="421"/>
      <c r="S142" s="421"/>
      <c r="T142" s="421"/>
      <c r="U142" s="421"/>
      <c r="V142" s="421"/>
      <c r="W142" s="421"/>
      <c r="X142" s="421"/>
    </row>
    <row r="143">
      <c r="A143" s="249" t="s">
        <v>154</v>
      </c>
      <c r="B143" s="249" t="s">
        <v>18</v>
      </c>
      <c r="C143" s="219" t="s">
        <v>4012</v>
      </c>
      <c r="D143" s="369" t="s">
        <v>495</v>
      </c>
      <c r="E143" s="251">
        <v>44085.0</v>
      </c>
      <c r="F143" s="219" t="s">
        <v>499</v>
      </c>
      <c r="G143" s="403">
        <v>4.0</v>
      </c>
      <c r="H143" s="403">
        <v>0.0</v>
      </c>
      <c r="I143" s="403">
        <v>0.0</v>
      </c>
      <c r="J143" s="391">
        <f t="shared" si="2"/>
        <v>0</v>
      </c>
      <c r="K143" s="392">
        <f t="shared" si="3"/>
        <v>0</v>
      </c>
      <c r="L143" s="327">
        <f t="shared" si="4"/>
        <v>0</v>
      </c>
      <c r="M143" s="249" t="s">
        <v>154</v>
      </c>
      <c r="N143" s="420"/>
      <c r="O143" s="420"/>
      <c r="P143" s="420"/>
      <c r="Q143" s="420"/>
      <c r="R143" s="420"/>
      <c r="S143" s="420"/>
      <c r="T143" s="420"/>
      <c r="U143" s="420"/>
      <c r="V143" s="420"/>
      <c r="W143" s="420"/>
      <c r="X143" s="420"/>
    </row>
    <row r="144">
      <c r="A144" s="226" t="s">
        <v>19</v>
      </c>
      <c r="B144" s="226" t="s">
        <v>8</v>
      </c>
      <c r="C144" s="250" t="s">
        <v>4035</v>
      </c>
      <c r="D144" s="268" t="s">
        <v>495</v>
      </c>
      <c r="E144" s="251">
        <v>44092.0</v>
      </c>
      <c r="F144" s="250" t="s">
        <v>545</v>
      </c>
      <c r="G144" s="403">
        <v>3.0</v>
      </c>
      <c r="H144" s="403">
        <v>50.0</v>
      </c>
      <c r="I144" s="403">
        <v>10.0</v>
      </c>
      <c r="J144" s="391">
        <f t="shared" si="2"/>
        <v>0.00725002385</v>
      </c>
      <c r="K144" s="392">
        <f t="shared" si="3"/>
        <v>0.4096263475</v>
      </c>
      <c r="L144" s="327">
        <f t="shared" si="4"/>
        <v>0.4096263475</v>
      </c>
      <c r="M144" s="226" t="s">
        <v>19</v>
      </c>
    </row>
    <row r="145">
      <c r="A145" s="249" t="s">
        <v>137</v>
      </c>
      <c r="B145" s="249" t="s">
        <v>18</v>
      </c>
      <c r="C145" s="219" t="s">
        <v>4012</v>
      </c>
      <c r="D145" s="369" t="s">
        <v>495</v>
      </c>
      <c r="E145" s="251">
        <v>44085.0</v>
      </c>
      <c r="F145" s="219" t="s">
        <v>499</v>
      </c>
      <c r="G145" s="403">
        <v>4.0</v>
      </c>
      <c r="H145" s="403">
        <v>0.0</v>
      </c>
      <c r="I145" s="403">
        <v>0.0</v>
      </c>
      <c r="J145" s="391">
        <f t="shared" si="2"/>
        <v>0</v>
      </c>
      <c r="K145" s="392">
        <f t="shared" si="3"/>
        <v>0</v>
      </c>
      <c r="L145" s="327">
        <f t="shared" si="4"/>
        <v>0</v>
      </c>
      <c r="M145" s="249" t="s">
        <v>137</v>
      </c>
      <c r="N145" s="420"/>
      <c r="O145" s="420"/>
      <c r="P145" s="420"/>
      <c r="Q145" s="420"/>
      <c r="R145" s="420"/>
      <c r="S145" s="420"/>
      <c r="T145" s="420"/>
      <c r="U145" s="420"/>
      <c r="V145" s="420"/>
      <c r="W145" s="420"/>
      <c r="X145" s="420"/>
    </row>
    <row r="146">
      <c r="A146" s="249" t="s">
        <v>100</v>
      </c>
      <c r="B146" s="249" t="s">
        <v>18</v>
      </c>
      <c r="C146" s="219" t="s">
        <v>4049</v>
      </c>
      <c r="D146" s="369" t="s">
        <v>495</v>
      </c>
      <c r="E146" s="251">
        <v>44084.0</v>
      </c>
      <c r="F146" s="219" t="s">
        <v>499</v>
      </c>
      <c r="G146" s="403">
        <v>3.0</v>
      </c>
      <c r="H146" s="403">
        <v>10.0</v>
      </c>
      <c r="I146" s="403">
        <v>70.0</v>
      </c>
      <c r="J146" s="391">
        <f t="shared" si="2"/>
        <v>0.008036599113</v>
      </c>
      <c r="K146" s="392">
        <f t="shared" si="3"/>
        <v>0.4540678499</v>
      </c>
      <c r="L146" s="327">
        <f t="shared" si="4"/>
        <v>0.4540678499</v>
      </c>
      <c r="M146" s="249" t="s">
        <v>100</v>
      </c>
      <c r="N146" s="420"/>
      <c r="O146" s="420"/>
      <c r="P146" s="420"/>
      <c r="Q146" s="420"/>
      <c r="R146" s="420"/>
      <c r="S146" s="420"/>
      <c r="T146" s="420"/>
      <c r="U146" s="420"/>
      <c r="V146" s="420"/>
      <c r="W146" s="420"/>
      <c r="X146" s="420"/>
    </row>
    <row r="147">
      <c r="A147" s="249" t="s">
        <v>60</v>
      </c>
      <c r="B147" s="249" t="s">
        <v>18</v>
      </c>
      <c r="C147" s="219" t="s">
        <v>4012</v>
      </c>
      <c r="D147" s="369" t="s">
        <v>495</v>
      </c>
      <c r="E147" s="251">
        <v>44085.0</v>
      </c>
      <c r="F147" s="219" t="s">
        <v>499</v>
      </c>
      <c r="G147" s="403">
        <v>4.0</v>
      </c>
      <c r="H147" s="403">
        <v>0.0</v>
      </c>
      <c r="I147" s="403">
        <v>0.0</v>
      </c>
      <c r="J147" s="391">
        <f t="shared" si="2"/>
        <v>0</v>
      </c>
      <c r="K147" s="392">
        <f t="shared" si="3"/>
        <v>0</v>
      </c>
      <c r="L147" s="327">
        <f t="shared" si="4"/>
        <v>0</v>
      </c>
      <c r="M147" s="249" t="s">
        <v>60</v>
      </c>
      <c r="N147" s="420"/>
      <c r="O147" s="420"/>
      <c r="P147" s="420"/>
      <c r="Q147" s="420"/>
      <c r="R147" s="420"/>
      <c r="S147" s="420"/>
      <c r="T147" s="420"/>
      <c r="U147" s="420"/>
      <c r="V147" s="420"/>
      <c r="W147" s="420"/>
      <c r="X147" s="420"/>
    </row>
    <row r="148">
      <c r="A148" s="249" t="s">
        <v>60</v>
      </c>
      <c r="B148" s="249" t="s">
        <v>18</v>
      </c>
      <c r="C148" s="219" t="s">
        <v>4012</v>
      </c>
      <c r="D148" s="369" t="s">
        <v>495</v>
      </c>
      <c r="E148" s="251">
        <v>44085.0</v>
      </c>
      <c r="F148" s="219" t="s">
        <v>499</v>
      </c>
      <c r="G148" s="403">
        <v>4.0</v>
      </c>
      <c r="H148" s="403">
        <v>0.0</v>
      </c>
      <c r="I148" s="403">
        <v>0.0</v>
      </c>
      <c r="J148" s="391">
        <f t="shared" si="2"/>
        <v>0</v>
      </c>
      <c r="K148" s="392">
        <f t="shared" si="3"/>
        <v>0</v>
      </c>
      <c r="L148" s="327">
        <f t="shared" si="4"/>
        <v>0</v>
      </c>
      <c r="M148" s="249" t="s">
        <v>60</v>
      </c>
      <c r="N148" s="420"/>
      <c r="O148" s="420"/>
      <c r="P148" s="420"/>
      <c r="Q148" s="420"/>
      <c r="R148" s="420"/>
      <c r="S148" s="420"/>
      <c r="T148" s="420"/>
      <c r="U148" s="420"/>
      <c r="V148" s="420"/>
      <c r="W148" s="420"/>
      <c r="X148" s="420"/>
    </row>
    <row r="149">
      <c r="A149" s="249" t="s">
        <v>138</v>
      </c>
      <c r="B149" s="249" t="s">
        <v>18</v>
      </c>
      <c r="C149" s="219" t="s">
        <v>4049</v>
      </c>
      <c r="D149" s="369" t="s">
        <v>495</v>
      </c>
      <c r="E149" s="251">
        <v>44084.0</v>
      </c>
      <c r="F149" s="219" t="s">
        <v>499</v>
      </c>
      <c r="G149" s="403">
        <v>3.0</v>
      </c>
      <c r="H149" s="403">
        <v>10.0</v>
      </c>
      <c r="I149" s="403">
        <v>70.0</v>
      </c>
      <c r="J149" s="391">
        <f t="shared" si="2"/>
        <v>0.008036599113</v>
      </c>
      <c r="K149" s="392">
        <f t="shared" si="3"/>
        <v>0.4540678499</v>
      </c>
      <c r="L149" s="327">
        <f t="shared" si="4"/>
        <v>0.4540678499</v>
      </c>
      <c r="M149" s="249" t="s">
        <v>138</v>
      </c>
      <c r="N149" s="420"/>
      <c r="O149" s="420"/>
      <c r="P149" s="420"/>
      <c r="Q149" s="420"/>
      <c r="R149" s="420"/>
      <c r="S149" s="420"/>
      <c r="T149" s="420"/>
      <c r="U149" s="420"/>
      <c r="V149" s="420"/>
      <c r="W149" s="420"/>
      <c r="X149" s="420"/>
    </row>
    <row r="150">
      <c r="A150" s="249" t="s">
        <v>88</v>
      </c>
      <c r="B150" s="249" t="s">
        <v>18</v>
      </c>
      <c r="C150" s="219" t="s">
        <v>4012</v>
      </c>
      <c r="D150" s="369" t="s">
        <v>495</v>
      </c>
      <c r="E150" s="251">
        <v>44085.0</v>
      </c>
      <c r="F150" s="219" t="s">
        <v>499</v>
      </c>
      <c r="G150" s="403">
        <v>4.0</v>
      </c>
      <c r="H150" s="403">
        <v>0.0</v>
      </c>
      <c r="I150" s="403">
        <v>0.0</v>
      </c>
      <c r="J150" s="391">
        <f t="shared" si="2"/>
        <v>0</v>
      </c>
      <c r="K150" s="392">
        <f t="shared" si="3"/>
        <v>0</v>
      </c>
      <c r="L150" s="327">
        <f t="shared" si="4"/>
        <v>0.8696618992</v>
      </c>
      <c r="M150" s="249" t="s">
        <v>88</v>
      </c>
      <c r="N150" s="420"/>
      <c r="O150" s="420"/>
      <c r="P150" s="420"/>
      <c r="Q150" s="420"/>
      <c r="R150" s="420"/>
      <c r="S150" s="420"/>
      <c r="T150" s="420"/>
      <c r="U150" s="420"/>
      <c r="V150" s="420"/>
      <c r="W150" s="420"/>
      <c r="X150" s="420"/>
    </row>
    <row r="151">
      <c r="A151" s="249" t="s">
        <v>88</v>
      </c>
      <c r="B151" s="249" t="s">
        <v>29</v>
      </c>
      <c r="C151" s="219" t="s">
        <v>4089</v>
      </c>
      <c r="D151" s="369" t="s">
        <v>495</v>
      </c>
      <c r="E151" s="251">
        <v>44091.0</v>
      </c>
      <c r="F151" s="219" t="s">
        <v>499</v>
      </c>
      <c r="G151" s="403">
        <v>3.0</v>
      </c>
      <c r="H151" s="403">
        <v>10.0</v>
      </c>
      <c r="I151" s="403">
        <v>30.0</v>
      </c>
      <c r="J151" s="391">
        <f t="shared" si="2"/>
        <v>0.004162131853</v>
      </c>
      <c r="K151" s="392">
        <f t="shared" si="3"/>
        <v>0.2351604497</v>
      </c>
      <c r="L151" s="327">
        <f t="shared" si="4"/>
        <v>0.8696618992</v>
      </c>
      <c r="M151" s="249" t="s">
        <v>88</v>
      </c>
      <c r="N151" s="420"/>
      <c r="O151" s="420"/>
      <c r="P151" s="420"/>
      <c r="Q151" s="420"/>
      <c r="R151" s="420"/>
      <c r="S151" s="420"/>
      <c r="T151" s="420"/>
      <c r="U151" s="420"/>
      <c r="V151" s="420"/>
      <c r="W151" s="420"/>
      <c r="X151" s="420"/>
    </row>
    <row r="152">
      <c r="A152" s="249" t="s">
        <v>88</v>
      </c>
      <c r="B152" s="249" t="s">
        <v>18</v>
      </c>
      <c r="C152" s="219" t="s">
        <v>4049</v>
      </c>
      <c r="D152" s="369" t="s">
        <v>495</v>
      </c>
      <c r="E152" s="251">
        <v>44084.0</v>
      </c>
      <c r="F152" s="219" t="s">
        <v>499</v>
      </c>
      <c r="G152" s="403">
        <v>3.0</v>
      </c>
      <c r="H152" s="403">
        <v>10.0</v>
      </c>
      <c r="I152" s="403">
        <v>70.0</v>
      </c>
      <c r="J152" s="391">
        <f t="shared" si="2"/>
        <v>0.008036599113</v>
      </c>
      <c r="K152" s="392">
        <f t="shared" si="3"/>
        <v>0.4540678499</v>
      </c>
      <c r="L152" s="327">
        <f t="shared" si="4"/>
        <v>0.8696618992</v>
      </c>
      <c r="M152" s="249" t="s">
        <v>88</v>
      </c>
      <c r="N152" s="421"/>
      <c r="O152" s="421"/>
      <c r="P152" s="421"/>
      <c r="Q152" s="421"/>
      <c r="R152" s="421"/>
      <c r="S152" s="421"/>
      <c r="T152" s="421"/>
      <c r="U152" s="421"/>
      <c r="V152" s="421"/>
      <c r="W152" s="421"/>
      <c r="X152" s="421"/>
    </row>
    <row r="153">
      <c r="A153" s="226" t="s">
        <v>88</v>
      </c>
      <c r="B153" s="226" t="s">
        <v>519</v>
      </c>
      <c r="C153" s="250" t="s">
        <v>4090</v>
      </c>
      <c r="D153" s="268" t="s">
        <v>495</v>
      </c>
      <c r="E153" s="251">
        <v>44091.0</v>
      </c>
      <c r="F153" s="250" t="s">
        <v>499</v>
      </c>
      <c r="G153" s="403">
        <v>2.0</v>
      </c>
      <c r="H153" s="403">
        <v>10.0</v>
      </c>
      <c r="I153" s="403">
        <v>20.0</v>
      </c>
      <c r="J153" s="391">
        <f t="shared" si="2"/>
        <v>0.003193515037</v>
      </c>
      <c r="K153" s="392">
        <f t="shared" si="3"/>
        <v>0.1804335996</v>
      </c>
      <c r="L153" s="327">
        <f t="shared" si="4"/>
        <v>0.8696618992</v>
      </c>
      <c r="M153" s="226" t="s">
        <v>88</v>
      </c>
    </row>
    <row r="154">
      <c r="A154" s="249" t="s">
        <v>364</v>
      </c>
      <c r="B154" s="249" t="s">
        <v>18</v>
      </c>
      <c r="C154" s="219" t="s">
        <v>4049</v>
      </c>
      <c r="D154" s="369" t="s">
        <v>495</v>
      </c>
      <c r="E154" s="251">
        <v>44084.0</v>
      </c>
      <c r="F154" s="219" t="s">
        <v>499</v>
      </c>
      <c r="G154" s="403">
        <v>3.0</v>
      </c>
      <c r="H154" s="403">
        <v>10.0</v>
      </c>
      <c r="I154" s="403">
        <v>70.0</v>
      </c>
      <c r="J154" s="391">
        <f t="shared" si="2"/>
        <v>0.008036599113</v>
      </c>
      <c r="K154" s="392">
        <f t="shared" si="3"/>
        <v>0.4540678499</v>
      </c>
      <c r="L154" s="327">
        <f t="shared" si="4"/>
        <v>0.4540678499</v>
      </c>
      <c r="M154" s="249" t="s">
        <v>364</v>
      </c>
      <c r="N154" s="420"/>
      <c r="O154" s="420"/>
      <c r="P154" s="420"/>
      <c r="Q154" s="420"/>
      <c r="R154" s="420"/>
      <c r="S154" s="420"/>
      <c r="T154" s="420"/>
      <c r="U154" s="420"/>
      <c r="V154" s="420"/>
      <c r="W154" s="420"/>
      <c r="X154" s="420"/>
    </row>
    <row r="155">
      <c r="A155" s="226" t="s">
        <v>52</v>
      </c>
      <c r="B155" s="226" t="s">
        <v>519</v>
      </c>
      <c r="C155" s="250" t="s">
        <v>4037</v>
      </c>
      <c r="D155" s="268" t="s">
        <v>495</v>
      </c>
      <c r="E155" s="251">
        <v>44098.0</v>
      </c>
      <c r="F155" s="250" t="s">
        <v>499</v>
      </c>
      <c r="G155" s="403">
        <v>3.0</v>
      </c>
      <c r="H155" s="403">
        <v>1.0</v>
      </c>
      <c r="I155" s="403">
        <v>1.0</v>
      </c>
      <c r="J155" s="391">
        <f t="shared" si="2"/>
        <v>0.0002224898222</v>
      </c>
      <c r="K155" s="392">
        <f t="shared" si="3"/>
        <v>0.01257067496</v>
      </c>
      <c r="L155" s="327">
        <f t="shared" si="4"/>
        <v>0.01257067496</v>
      </c>
      <c r="M155" s="226" t="s">
        <v>52</v>
      </c>
    </row>
    <row r="156">
      <c r="A156" s="249" t="s">
        <v>80</v>
      </c>
      <c r="B156" s="249" t="s">
        <v>519</v>
      </c>
      <c r="C156" s="219" t="s">
        <v>4043</v>
      </c>
      <c r="D156" s="369" t="s">
        <v>495</v>
      </c>
      <c r="E156" s="251">
        <v>44091.0</v>
      </c>
      <c r="F156" s="219" t="s">
        <v>499</v>
      </c>
      <c r="G156" s="403">
        <v>2.0</v>
      </c>
      <c r="H156" s="403">
        <v>50.0</v>
      </c>
      <c r="I156" s="403">
        <v>50.0</v>
      </c>
      <c r="J156" s="391">
        <f t="shared" si="2"/>
        <v>0.01112449111</v>
      </c>
      <c r="K156" s="392">
        <f t="shared" si="3"/>
        <v>0.6285337478</v>
      </c>
      <c r="L156" s="327">
        <f t="shared" si="4"/>
        <v>0.6285337478</v>
      </c>
      <c r="M156" s="249" t="s">
        <v>80</v>
      </c>
      <c r="N156" s="420"/>
      <c r="O156" s="420"/>
      <c r="P156" s="420"/>
      <c r="Q156" s="420"/>
      <c r="R156" s="420"/>
      <c r="S156" s="420"/>
      <c r="T156" s="420"/>
      <c r="U156" s="420"/>
      <c r="V156" s="420"/>
      <c r="W156" s="420"/>
      <c r="X156" s="420"/>
    </row>
    <row r="157">
      <c r="A157" s="249" t="s">
        <v>80</v>
      </c>
      <c r="B157" s="249" t="s">
        <v>18</v>
      </c>
      <c r="C157" s="219" t="s">
        <v>4012</v>
      </c>
      <c r="D157" s="369" t="s">
        <v>495</v>
      </c>
      <c r="E157" s="251">
        <v>44085.0</v>
      </c>
      <c r="F157" s="219" t="s">
        <v>499</v>
      </c>
      <c r="G157" s="403">
        <v>4.0</v>
      </c>
      <c r="H157" s="403">
        <v>0.0</v>
      </c>
      <c r="I157" s="403">
        <v>0.0</v>
      </c>
      <c r="J157" s="391">
        <f t="shared" si="2"/>
        <v>0</v>
      </c>
      <c r="K157" s="392">
        <f t="shared" si="3"/>
        <v>0</v>
      </c>
      <c r="L157" s="327">
        <f t="shared" si="4"/>
        <v>0.6285337478</v>
      </c>
      <c r="M157" s="249" t="s">
        <v>80</v>
      </c>
      <c r="N157" s="420"/>
      <c r="O157" s="420"/>
      <c r="P157" s="420"/>
      <c r="Q157" s="420"/>
      <c r="R157" s="420"/>
      <c r="S157" s="420"/>
      <c r="T157" s="420"/>
      <c r="U157" s="420"/>
      <c r="V157" s="420"/>
      <c r="W157" s="420"/>
      <c r="X157" s="420"/>
    </row>
    <row r="158">
      <c r="A158" s="249" t="s">
        <v>143</v>
      </c>
      <c r="B158" s="249" t="s">
        <v>18</v>
      </c>
      <c r="C158" s="219" t="s">
        <v>4049</v>
      </c>
      <c r="D158" s="369" t="s">
        <v>495</v>
      </c>
      <c r="E158" s="251">
        <v>44084.0</v>
      </c>
      <c r="F158" s="219" t="s">
        <v>499</v>
      </c>
      <c r="G158" s="403">
        <v>3.0</v>
      </c>
      <c r="H158" s="403">
        <v>10.0</v>
      </c>
      <c r="I158" s="403">
        <v>70.0</v>
      </c>
      <c r="J158" s="391">
        <f t="shared" si="2"/>
        <v>0.008036599113</v>
      </c>
      <c r="K158" s="392">
        <f t="shared" si="3"/>
        <v>0.4540678499</v>
      </c>
      <c r="L158" s="327">
        <f t="shared" si="4"/>
        <v>2.284942243</v>
      </c>
      <c r="M158" s="249" t="s">
        <v>143</v>
      </c>
      <c r="N158" s="421"/>
      <c r="O158" s="421"/>
      <c r="P158" s="421"/>
      <c r="Q158" s="421"/>
      <c r="R158" s="421"/>
      <c r="S158" s="421"/>
      <c r="T158" s="421"/>
      <c r="U158" s="421"/>
      <c r="V158" s="421"/>
      <c r="W158" s="421"/>
      <c r="X158" s="421"/>
    </row>
    <row r="159">
      <c r="A159" s="249" t="s">
        <v>143</v>
      </c>
      <c r="B159" s="249" t="s">
        <v>18</v>
      </c>
      <c r="C159" s="219" t="s">
        <v>4016</v>
      </c>
      <c r="D159" s="369" t="s">
        <v>495</v>
      </c>
      <c r="E159" s="251">
        <v>44091.0</v>
      </c>
      <c r="F159" s="219" t="s">
        <v>545</v>
      </c>
      <c r="G159" s="403">
        <v>1.0</v>
      </c>
      <c r="H159" s="403">
        <v>30.0</v>
      </c>
      <c r="I159" s="403">
        <v>20.0</v>
      </c>
      <c r="J159" s="391">
        <f t="shared" si="2"/>
        <v>0.005706077851</v>
      </c>
      <c r="K159" s="392">
        <f t="shared" si="3"/>
        <v>0.3223933986</v>
      </c>
      <c r="L159" s="327">
        <f t="shared" si="4"/>
        <v>2.284942243</v>
      </c>
      <c r="M159" s="249" t="s">
        <v>143</v>
      </c>
      <c r="N159" s="420"/>
      <c r="O159" s="420"/>
      <c r="P159" s="420"/>
      <c r="Q159" s="420"/>
      <c r="R159" s="420"/>
      <c r="S159" s="420"/>
      <c r="T159" s="420"/>
      <c r="U159" s="420"/>
      <c r="V159" s="420"/>
      <c r="W159" s="420"/>
      <c r="X159" s="420"/>
    </row>
    <row r="160">
      <c r="A160" s="249" t="s">
        <v>143</v>
      </c>
      <c r="B160" s="249" t="s">
        <v>18</v>
      </c>
      <c r="C160" s="219" t="s">
        <v>4018</v>
      </c>
      <c r="D160" s="369" t="s">
        <v>495</v>
      </c>
      <c r="E160" s="361">
        <v>44083.0</v>
      </c>
      <c r="F160" s="219" t="s">
        <v>545</v>
      </c>
      <c r="G160" s="403">
        <v>2.0</v>
      </c>
      <c r="H160" s="403">
        <v>40.0</v>
      </c>
      <c r="I160" s="403">
        <v>40.0</v>
      </c>
      <c r="J160" s="391">
        <f t="shared" si="2"/>
        <v>0.008899592889</v>
      </c>
      <c r="K160" s="392">
        <f t="shared" si="3"/>
        <v>0.5028269982</v>
      </c>
      <c r="L160" s="327">
        <f t="shared" si="4"/>
        <v>2.284942243</v>
      </c>
      <c r="M160" s="249" t="s">
        <v>143</v>
      </c>
      <c r="N160" s="420"/>
      <c r="O160" s="420"/>
      <c r="P160" s="420"/>
      <c r="Q160" s="420"/>
      <c r="R160" s="420"/>
      <c r="S160" s="420"/>
      <c r="T160" s="420"/>
      <c r="U160" s="420"/>
      <c r="V160" s="420"/>
      <c r="W160" s="420"/>
      <c r="X160" s="420"/>
    </row>
    <row r="161">
      <c r="A161" s="226" t="s">
        <v>143</v>
      </c>
      <c r="B161" s="226" t="s">
        <v>18</v>
      </c>
      <c r="C161" s="250" t="s">
        <v>4017</v>
      </c>
      <c r="D161" s="268" t="s">
        <v>495</v>
      </c>
      <c r="E161" s="251">
        <v>44091.0</v>
      </c>
      <c r="F161" s="250" t="s">
        <v>545</v>
      </c>
      <c r="G161" s="403">
        <v>2.0</v>
      </c>
      <c r="H161" s="403">
        <v>40.0</v>
      </c>
      <c r="I161" s="403">
        <v>40.0</v>
      </c>
      <c r="J161" s="391">
        <f t="shared" si="2"/>
        <v>0.008899592889</v>
      </c>
      <c r="K161" s="392">
        <f t="shared" si="3"/>
        <v>0.5028269982</v>
      </c>
      <c r="L161" s="327">
        <f t="shared" si="4"/>
        <v>2.284942243</v>
      </c>
      <c r="M161" s="226" t="s">
        <v>143</v>
      </c>
    </row>
    <row r="162">
      <c r="A162" s="226" t="s">
        <v>143</v>
      </c>
      <c r="B162" s="226" t="s">
        <v>18</v>
      </c>
      <c r="C162" s="250" t="s">
        <v>4028</v>
      </c>
      <c r="D162" s="268" t="s">
        <v>495</v>
      </c>
      <c r="E162" s="251">
        <v>44098.0</v>
      </c>
      <c r="F162" s="250" t="s">
        <v>496</v>
      </c>
      <c r="G162" s="403">
        <v>2.0</v>
      </c>
      <c r="H162" s="403">
        <v>40.0</v>
      </c>
      <c r="I162" s="403">
        <v>40.0</v>
      </c>
      <c r="J162" s="391">
        <f t="shared" si="2"/>
        <v>0.008899592889</v>
      </c>
      <c r="K162" s="392">
        <f t="shared" si="3"/>
        <v>0.5028269982</v>
      </c>
      <c r="L162" s="327">
        <f t="shared" si="4"/>
        <v>2.284942243</v>
      </c>
      <c r="M162" s="226" t="s">
        <v>143</v>
      </c>
    </row>
    <row r="163">
      <c r="A163" s="226" t="s">
        <v>70</v>
      </c>
      <c r="B163" s="226" t="s">
        <v>519</v>
      </c>
      <c r="C163" s="250" t="s">
        <v>4037</v>
      </c>
      <c r="D163" s="268" t="s">
        <v>495</v>
      </c>
      <c r="E163" s="251">
        <v>44098.0</v>
      </c>
      <c r="F163" s="250" t="s">
        <v>499</v>
      </c>
      <c r="G163" s="403">
        <v>3.0</v>
      </c>
      <c r="H163" s="403">
        <v>1.0</v>
      </c>
      <c r="I163" s="403">
        <v>1.0</v>
      </c>
      <c r="J163" s="391">
        <f t="shared" si="2"/>
        <v>0.0002224898222</v>
      </c>
      <c r="K163" s="392">
        <f t="shared" si="3"/>
        <v>0.01257067496</v>
      </c>
      <c r="L163" s="327">
        <f t="shared" si="4"/>
        <v>0.01257067496</v>
      </c>
      <c r="M163" s="226" t="s">
        <v>70</v>
      </c>
    </row>
    <row r="164">
      <c r="A164" s="226" t="s">
        <v>4</v>
      </c>
      <c r="B164" s="226" t="s">
        <v>18</v>
      </c>
      <c r="C164" s="250" t="s">
        <v>4028</v>
      </c>
      <c r="D164" s="268" t="s">
        <v>495</v>
      </c>
      <c r="E164" s="251">
        <v>44098.0</v>
      </c>
      <c r="F164" s="250" t="s">
        <v>496</v>
      </c>
      <c r="G164" s="403">
        <v>2.0</v>
      </c>
      <c r="H164" s="403">
        <v>40.0</v>
      </c>
      <c r="I164" s="403">
        <v>40.0</v>
      </c>
      <c r="J164" s="391">
        <f t="shared" si="2"/>
        <v>0.008899592889</v>
      </c>
      <c r="K164" s="392">
        <f t="shared" si="3"/>
        <v>0.5028269982</v>
      </c>
      <c r="L164" s="327">
        <f t="shared" si="4"/>
        <v>0.5028269982</v>
      </c>
      <c r="M164" s="226" t="s">
        <v>4</v>
      </c>
    </row>
    <row r="165">
      <c r="A165" s="249" t="s">
        <v>6</v>
      </c>
      <c r="B165" s="249" t="s">
        <v>519</v>
      </c>
      <c r="C165" s="219" t="s">
        <v>4043</v>
      </c>
      <c r="D165" s="369" t="s">
        <v>495</v>
      </c>
      <c r="E165" s="251">
        <v>44091.0</v>
      </c>
      <c r="F165" s="219" t="s">
        <v>499</v>
      </c>
      <c r="G165" s="403">
        <v>2.0</v>
      </c>
      <c r="H165" s="403">
        <v>100.0</v>
      </c>
      <c r="I165" s="403">
        <v>100.0</v>
      </c>
      <c r="J165" s="391">
        <f t="shared" si="2"/>
        <v>0.02224898222</v>
      </c>
      <c r="K165" s="392">
        <f t="shared" si="3"/>
        <v>1.257067496</v>
      </c>
      <c r="L165" s="327">
        <f t="shared" si="4"/>
        <v>1.634187744</v>
      </c>
      <c r="M165" s="249" t="s">
        <v>6</v>
      </c>
      <c r="N165" s="420"/>
      <c r="O165" s="420"/>
      <c r="P165" s="420"/>
      <c r="Q165" s="420"/>
      <c r="R165" s="420"/>
      <c r="S165" s="420"/>
      <c r="T165" s="420"/>
      <c r="U165" s="420"/>
      <c r="V165" s="420"/>
      <c r="W165" s="420"/>
      <c r="X165" s="420"/>
    </row>
    <row r="166">
      <c r="A166" s="249" t="s">
        <v>6</v>
      </c>
      <c r="B166" s="249" t="s">
        <v>519</v>
      </c>
      <c r="C166" s="317" t="s">
        <v>4091</v>
      </c>
      <c r="D166" s="369" t="s">
        <v>495</v>
      </c>
      <c r="E166" s="251">
        <v>44089.0</v>
      </c>
      <c r="F166" s="219" t="s">
        <v>499</v>
      </c>
      <c r="G166" s="403">
        <v>2.0</v>
      </c>
      <c r="H166" s="403">
        <v>30.0</v>
      </c>
      <c r="I166" s="403">
        <v>30.0</v>
      </c>
      <c r="J166" s="391">
        <f t="shared" si="2"/>
        <v>0.006674694667</v>
      </c>
      <c r="K166" s="392">
        <f t="shared" si="3"/>
        <v>0.3771202487</v>
      </c>
      <c r="L166" s="327">
        <f t="shared" si="4"/>
        <v>1.634187744</v>
      </c>
      <c r="M166" s="249" t="s">
        <v>6</v>
      </c>
      <c r="N166" s="420"/>
      <c r="O166" s="420"/>
      <c r="P166" s="420"/>
      <c r="Q166" s="420"/>
      <c r="R166" s="420"/>
      <c r="S166" s="420"/>
      <c r="T166" s="420"/>
      <c r="U166" s="420"/>
      <c r="V166" s="420"/>
      <c r="W166" s="420"/>
      <c r="X166" s="420"/>
    </row>
    <row r="167">
      <c r="A167" s="249" t="s">
        <v>120</v>
      </c>
      <c r="B167" s="249" t="s">
        <v>18</v>
      </c>
      <c r="C167" s="219" t="s">
        <v>4049</v>
      </c>
      <c r="D167" s="369" t="s">
        <v>495</v>
      </c>
      <c r="E167" s="251">
        <v>44084.0</v>
      </c>
      <c r="F167" s="219" t="s">
        <v>499</v>
      </c>
      <c r="G167" s="403">
        <v>3.0</v>
      </c>
      <c r="H167" s="403">
        <v>10.0</v>
      </c>
      <c r="I167" s="403">
        <v>70.0</v>
      </c>
      <c r="J167" s="391">
        <f t="shared" si="2"/>
        <v>0.008036599113</v>
      </c>
      <c r="K167" s="392">
        <f t="shared" si="3"/>
        <v>0.4540678499</v>
      </c>
      <c r="L167" s="327">
        <f t="shared" si="4"/>
        <v>0.4540678499</v>
      </c>
      <c r="M167" s="249" t="s">
        <v>120</v>
      </c>
      <c r="N167" s="421"/>
      <c r="O167" s="421"/>
      <c r="P167" s="421"/>
      <c r="Q167" s="421"/>
      <c r="R167" s="421"/>
      <c r="S167" s="421"/>
      <c r="T167" s="421"/>
      <c r="U167" s="421"/>
      <c r="V167" s="421"/>
      <c r="W167" s="421"/>
      <c r="X167" s="421"/>
    </row>
    <row r="168">
      <c r="A168" s="249" t="s">
        <v>119</v>
      </c>
      <c r="B168" s="249" t="s">
        <v>18</v>
      </c>
      <c r="C168" s="219" t="s">
        <v>4012</v>
      </c>
      <c r="D168" s="369" t="s">
        <v>495</v>
      </c>
      <c r="E168" s="251">
        <v>44085.0</v>
      </c>
      <c r="F168" s="219" t="s">
        <v>499</v>
      </c>
      <c r="G168" s="403">
        <v>4.0</v>
      </c>
      <c r="H168" s="403">
        <v>0.0</v>
      </c>
      <c r="I168" s="403">
        <v>0.0</v>
      </c>
      <c r="J168" s="391">
        <f t="shared" si="2"/>
        <v>0</v>
      </c>
      <c r="K168" s="392">
        <f t="shared" si="3"/>
        <v>0</v>
      </c>
      <c r="L168" s="327">
        <f t="shared" si="4"/>
        <v>0</v>
      </c>
      <c r="M168" s="249" t="s">
        <v>119</v>
      </c>
      <c r="N168" s="420"/>
      <c r="O168" s="420"/>
      <c r="P168" s="420"/>
      <c r="Q168" s="420"/>
      <c r="R168" s="420"/>
      <c r="S168" s="420"/>
      <c r="T168" s="420"/>
      <c r="U168" s="420"/>
      <c r="V168" s="420"/>
      <c r="W168" s="420"/>
      <c r="X168" s="420"/>
    </row>
    <row r="169">
      <c r="A169" s="249" t="s">
        <v>37</v>
      </c>
      <c r="B169" s="249" t="s">
        <v>77</v>
      </c>
      <c r="C169" s="219" t="s">
        <v>4092</v>
      </c>
      <c r="D169" s="369" t="s">
        <v>495</v>
      </c>
      <c r="E169" s="251">
        <v>44086.0</v>
      </c>
      <c r="F169" s="219" t="s">
        <v>499</v>
      </c>
      <c r="G169" s="403">
        <v>2.0</v>
      </c>
      <c r="H169" s="403">
        <v>30.0</v>
      </c>
      <c r="I169" s="403">
        <v>50.0</v>
      </c>
      <c r="J169" s="391">
        <f t="shared" si="2"/>
        <v>0.008611928297</v>
      </c>
      <c r="K169" s="392">
        <f t="shared" si="3"/>
        <v>0.4865739488</v>
      </c>
      <c r="L169" s="327">
        <f t="shared" si="4"/>
        <v>0.5767907486</v>
      </c>
      <c r="M169" s="249" t="s">
        <v>37</v>
      </c>
      <c r="N169" s="420"/>
      <c r="O169" s="420"/>
      <c r="P169" s="420"/>
      <c r="Q169" s="420"/>
      <c r="R169" s="420"/>
      <c r="S169" s="420"/>
      <c r="T169" s="420"/>
      <c r="U169" s="420"/>
      <c r="V169" s="420"/>
      <c r="W169" s="420"/>
      <c r="X169" s="420"/>
    </row>
    <row r="170">
      <c r="A170" s="249" t="s">
        <v>37</v>
      </c>
      <c r="B170" s="249" t="s">
        <v>590</v>
      </c>
      <c r="C170" s="219" t="s">
        <v>4093</v>
      </c>
      <c r="D170" s="369" t="s">
        <v>495</v>
      </c>
      <c r="E170" s="251">
        <v>44090.0</v>
      </c>
      <c r="F170" s="219" t="s">
        <v>499</v>
      </c>
      <c r="G170" s="403">
        <v>3.0</v>
      </c>
      <c r="H170" s="403">
        <v>5.0</v>
      </c>
      <c r="I170" s="403">
        <v>10.0</v>
      </c>
      <c r="J170" s="391">
        <f t="shared" si="2"/>
        <v>0.001596757519</v>
      </c>
      <c r="K170" s="392">
        <f t="shared" si="3"/>
        <v>0.09021679981</v>
      </c>
      <c r="L170" s="327">
        <f t="shared" si="4"/>
        <v>0.5767907486</v>
      </c>
      <c r="M170" s="249" t="s">
        <v>37</v>
      </c>
      <c r="N170" s="420"/>
      <c r="O170" s="420"/>
      <c r="P170" s="420"/>
      <c r="Q170" s="420"/>
      <c r="R170" s="420"/>
      <c r="S170" s="420"/>
      <c r="T170" s="420"/>
      <c r="U170" s="420"/>
      <c r="V170" s="420"/>
      <c r="W170" s="420"/>
      <c r="X170" s="420"/>
    </row>
    <row r="171">
      <c r="A171" s="249" t="s">
        <v>37</v>
      </c>
      <c r="B171" s="249" t="s">
        <v>18</v>
      </c>
      <c r="C171" s="219" t="s">
        <v>4012</v>
      </c>
      <c r="D171" s="369" t="s">
        <v>495</v>
      </c>
      <c r="E171" s="251">
        <v>44085.0</v>
      </c>
      <c r="F171" s="219" t="s">
        <v>499</v>
      </c>
      <c r="G171" s="403">
        <v>4.0</v>
      </c>
      <c r="H171" s="403">
        <v>0.0</v>
      </c>
      <c r="I171" s="403">
        <v>0.0</v>
      </c>
      <c r="J171" s="391">
        <f t="shared" si="2"/>
        <v>0</v>
      </c>
      <c r="K171" s="392">
        <f t="shared" si="3"/>
        <v>0</v>
      </c>
      <c r="L171" s="327">
        <f t="shared" si="4"/>
        <v>0.5767907486</v>
      </c>
      <c r="M171" s="249" t="s">
        <v>37</v>
      </c>
      <c r="N171" s="420"/>
      <c r="O171" s="420"/>
      <c r="P171" s="420"/>
      <c r="Q171" s="420"/>
      <c r="R171" s="420"/>
      <c r="S171" s="420"/>
      <c r="T171" s="420"/>
      <c r="U171" s="420"/>
      <c r="V171" s="420"/>
      <c r="W171" s="420"/>
      <c r="X171" s="420"/>
    </row>
    <row r="172">
      <c r="A172" s="249" t="s">
        <v>189</v>
      </c>
      <c r="B172" s="249" t="s">
        <v>18</v>
      </c>
      <c r="C172" s="219" t="s">
        <v>4012</v>
      </c>
      <c r="D172" s="369" t="s">
        <v>495</v>
      </c>
      <c r="E172" s="251">
        <v>44085.0</v>
      </c>
      <c r="F172" s="219" t="s">
        <v>499</v>
      </c>
      <c r="G172" s="403">
        <v>4.0</v>
      </c>
      <c r="H172" s="403">
        <v>0.0</v>
      </c>
      <c r="I172" s="403">
        <v>0.0</v>
      </c>
      <c r="J172" s="391">
        <f t="shared" si="2"/>
        <v>0</v>
      </c>
      <c r="K172" s="392">
        <f t="shared" si="3"/>
        <v>0</v>
      </c>
      <c r="L172" s="327">
        <f t="shared" si="4"/>
        <v>0</v>
      </c>
      <c r="M172" s="249" t="s">
        <v>189</v>
      </c>
      <c r="N172" s="420"/>
      <c r="O172" s="420"/>
      <c r="P172" s="420"/>
      <c r="Q172" s="420"/>
      <c r="R172" s="420"/>
      <c r="S172" s="420"/>
      <c r="T172" s="420"/>
      <c r="U172" s="420"/>
      <c r="V172" s="420"/>
      <c r="W172" s="420"/>
      <c r="X172" s="420"/>
    </row>
    <row r="173">
      <c r="A173" s="249" t="s">
        <v>8</v>
      </c>
      <c r="B173" s="249" t="s">
        <v>519</v>
      </c>
      <c r="C173" s="219" t="s">
        <v>4014</v>
      </c>
      <c r="D173" s="369" t="s">
        <v>495</v>
      </c>
      <c r="E173" s="361">
        <v>44083.0</v>
      </c>
      <c r="F173" s="219" t="s">
        <v>545</v>
      </c>
      <c r="G173" s="403">
        <v>1.0</v>
      </c>
      <c r="H173" s="403">
        <v>50.0</v>
      </c>
      <c r="I173" s="403">
        <v>100.0</v>
      </c>
      <c r="J173" s="391">
        <f t="shared" si="2"/>
        <v>0.01596757519</v>
      </c>
      <c r="K173" s="392">
        <f t="shared" si="3"/>
        <v>0.9021679981</v>
      </c>
      <c r="L173" s="327">
        <f t="shared" si="4"/>
        <v>8.093292596</v>
      </c>
      <c r="M173" s="249" t="s">
        <v>8</v>
      </c>
      <c r="N173" s="421"/>
      <c r="O173" s="421"/>
      <c r="P173" s="421"/>
      <c r="Q173" s="421"/>
      <c r="R173" s="421"/>
      <c r="S173" s="421"/>
      <c r="T173" s="421"/>
      <c r="U173" s="421"/>
      <c r="V173" s="421"/>
      <c r="W173" s="421"/>
      <c r="X173" s="421"/>
    </row>
    <row r="174">
      <c r="A174" s="249" t="s">
        <v>8</v>
      </c>
      <c r="B174" s="249" t="s">
        <v>519</v>
      </c>
      <c r="C174" s="219" t="s">
        <v>4015</v>
      </c>
      <c r="D174" s="369" t="s">
        <v>495</v>
      </c>
      <c r="E174" s="251">
        <v>44084.0</v>
      </c>
      <c r="F174" s="219" t="s">
        <v>545</v>
      </c>
      <c r="G174" s="403">
        <v>1.0</v>
      </c>
      <c r="H174" s="403">
        <v>60.0</v>
      </c>
      <c r="I174" s="403">
        <v>70.0</v>
      </c>
      <c r="J174" s="391">
        <f t="shared" si="2"/>
        <v>0.01431800615</v>
      </c>
      <c r="K174" s="392">
        <f t="shared" si="3"/>
        <v>0.8089673474</v>
      </c>
      <c r="L174" s="327">
        <f t="shared" si="4"/>
        <v>8.093292596</v>
      </c>
      <c r="M174" s="249" t="s">
        <v>8</v>
      </c>
      <c r="N174" s="420"/>
      <c r="O174" s="420"/>
      <c r="P174" s="420"/>
      <c r="Q174" s="420"/>
      <c r="R174" s="420"/>
      <c r="S174" s="420"/>
      <c r="T174" s="420"/>
      <c r="U174" s="420"/>
      <c r="V174" s="420"/>
      <c r="W174" s="420"/>
      <c r="X174" s="420"/>
    </row>
    <row r="175">
      <c r="A175" s="249" t="s">
        <v>8</v>
      </c>
      <c r="B175" s="249" t="s">
        <v>519</v>
      </c>
      <c r="C175" s="219" t="s">
        <v>4094</v>
      </c>
      <c r="D175" s="369" t="s">
        <v>495</v>
      </c>
      <c r="E175" s="251">
        <v>44084.0</v>
      </c>
      <c r="F175" s="219" t="s">
        <v>545</v>
      </c>
      <c r="G175" s="403">
        <v>1.0</v>
      </c>
      <c r="H175" s="403">
        <v>100.0</v>
      </c>
      <c r="I175" s="403">
        <v>70.0</v>
      </c>
      <c r="J175" s="391">
        <f t="shared" si="2"/>
        <v>0.01934313178</v>
      </c>
      <c r="K175" s="392">
        <f t="shared" si="3"/>
        <v>1.092886945</v>
      </c>
      <c r="L175" s="327">
        <f t="shared" si="4"/>
        <v>8.093292596</v>
      </c>
      <c r="M175" s="249" t="s">
        <v>8</v>
      </c>
      <c r="N175" s="420"/>
      <c r="O175" s="420"/>
      <c r="P175" s="420"/>
      <c r="Q175" s="420"/>
      <c r="R175" s="420"/>
      <c r="S175" s="420"/>
      <c r="T175" s="420"/>
      <c r="U175" s="420"/>
      <c r="V175" s="420"/>
      <c r="W175" s="420"/>
      <c r="X175" s="420"/>
    </row>
    <row r="176">
      <c r="A176" s="249" t="s">
        <v>8</v>
      </c>
      <c r="B176" s="249" t="s">
        <v>18</v>
      </c>
      <c r="C176" s="219" t="s">
        <v>4049</v>
      </c>
      <c r="D176" s="369" t="s">
        <v>495</v>
      </c>
      <c r="E176" s="251">
        <v>44084.0</v>
      </c>
      <c r="F176" s="219" t="s">
        <v>499</v>
      </c>
      <c r="G176" s="403">
        <v>3.0</v>
      </c>
      <c r="H176" s="403">
        <v>10.0</v>
      </c>
      <c r="I176" s="403">
        <v>70.0</v>
      </c>
      <c r="J176" s="391">
        <f t="shared" si="2"/>
        <v>0.008036599113</v>
      </c>
      <c r="K176" s="392">
        <f t="shared" si="3"/>
        <v>0.4540678499</v>
      </c>
      <c r="L176" s="327">
        <f t="shared" si="4"/>
        <v>8.093292596</v>
      </c>
      <c r="M176" s="249" t="s">
        <v>8</v>
      </c>
      <c r="N176" s="420"/>
      <c r="O176" s="420"/>
      <c r="P176" s="420"/>
      <c r="Q176" s="420"/>
      <c r="R176" s="420"/>
      <c r="S176" s="420"/>
      <c r="T176" s="420"/>
      <c r="U176" s="420"/>
      <c r="V176" s="420"/>
      <c r="W176" s="420"/>
      <c r="X176" s="420"/>
    </row>
    <row r="177">
      <c r="A177" s="249" t="s">
        <v>8</v>
      </c>
      <c r="B177" s="249" t="s">
        <v>18</v>
      </c>
      <c r="C177" s="219" t="s">
        <v>4095</v>
      </c>
      <c r="D177" s="369" t="s">
        <v>495</v>
      </c>
      <c r="E177" s="251">
        <v>44085.0</v>
      </c>
      <c r="F177" s="219" t="s">
        <v>545</v>
      </c>
      <c r="G177" s="403">
        <v>1.0</v>
      </c>
      <c r="H177" s="403">
        <v>200.0</v>
      </c>
      <c r="I177" s="403">
        <v>100.0</v>
      </c>
      <c r="J177" s="391">
        <f t="shared" si="2"/>
        <v>0.03481179629</v>
      </c>
      <c r="K177" s="392">
        <f t="shared" si="3"/>
        <v>1.966866491</v>
      </c>
      <c r="L177" s="327">
        <f t="shared" si="4"/>
        <v>8.093292596</v>
      </c>
      <c r="M177" s="249" t="s">
        <v>8</v>
      </c>
      <c r="N177" s="420"/>
      <c r="O177" s="420"/>
      <c r="P177" s="420"/>
      <c r="Q177" s="420"/>
      <c r="R177" s="420"/>
      <c r="S177" s="420"/>
      <c r="T177" s="420"/>
      <c r="U177" s="420"/>
      <c r="V177" s="420"/>
      <c r="W177" s="420"/>
      <c r="X177" s="420"/>
    </row>
    <row r="178">
      <c r="A178" s="249" t="s">
        <v>8</v>
      </c>
      <c r="B178" s="249" t="s">
        <v>18</v>
      </c>
      <c r="C178" s="219" t="s">
        <v>4012</v>
      </c>
      <c r="D178" s="369" t="s">
        <v>495</v>
      </c>
      <c r="E178" s="251">
        <v>44085.0</v>
      </c>
      <c r="F178" s="219" t="s">
        <v>499</v>
      </c>
      <c r="G178" s="403">
        <v>4.0</v>
      </c>
      <c r="H178" s="403">
        <v>0.0</v>
      </c>
      <c r="I178" s="403">
        <v>0.0</v>
      </c>
      <c r="J178" s="391">
        <f t="shared" si="2"/>
        <v>0</v>
      </c>
      <c r="K178" s="392">
        <f t="shared" si="3"/>
        <v>0</v>
      </c>
      <c r="L178" s="327">
        <f t="shared" si="4"/>
        <v>8.093292596</v>
      </c>
      <c r="M178" s="249" t="s">
        <v>8</v>
      </c>
      <c r="N178" s="420"/>
      <c r="O178" s="420"/>
      <c r="P178" s="420"/>
      <c r="Q178" s="420"/>
      <c r="R178" s="420"/>
      <c r="S178" s="420"/>
      <c r="T178" s="420"/>
      <c r="U178" s="420"/>
      <c r="V178" s="420"/>
      <c r="W178" s="420"/>
      <c r="X178" s="420"/>
    </row>
    <row r="179">
      <c r="A179" s="249" t="s">
        <v>8</v>
      </c>
      <c r="B179" s="249" t="s">
        <v>519</v>
      </c>
      <c r="C179" s="219" t="s">
        <v>4052</v>
      </c>
      <c r="D179" s="369" t="s">
        <v>495</v>
      </c>
      <c r="E179" s="251">
        <v>44091.0</v>
      </c>
      <c r="F179" s="219" t="s">
        <v>545</v>
      </c>
      <c r="G179" s="403">
        <v>1.0</v>
      </c>
      <c r="H179" s="403">
        <v>5.0</v>
      </c>
      <c r="I179" s="403">
        <v>10.0</v>
      </c>
      <c r="J179" s="391">
        <f t="shared" si="2"/>
        <v>0.001596757519</v>
      </c>
      <c r="K179" s="392">
        <f t="shared" si="3"/>
        <v>0.09021679981</v>
      </c>
      <c r="L179" s="327">
        <f t="shared" si="4"/>
        <v>8.093292596</v>
      </c>
      <c r="M179" s="249" t="s">
        <v>8</v>
      </c>
      <c r="N179" s="420"/>
      <c r="O179" s="420"/>
      <c r="P179" s="420"/>
      <c r="Q179" s="420"/>
      <c r="R179" s="420"/>
      <c r="S179" s="420"/>
      <c r="T179" s="420"/>
      <c r="U179" s="420"/>
      <c r="V179" s="420"/>
      <c r="W179" s="420"/>
      <c r="X179" s="420"/>
    </row>
    <row r="180">
      <c r="A180" s="249" t="s">
        <v>8</v>
      </c>
      <c r="B180" s="249" t="s">
        <v>18</v>
      </c>
      <c r="C180" s="219" t="s">
        <v>4016</v>
      </c>
      <c r="D180" s="369" t="s">
        <v>495</v>
      </c>
      <c r="E180" s="251">
        <v>44091.0</v>
      </c>
      <c r="F180" s="219" t="s">
        <v>545</v>
      </c>
      <c r="G180" s="403">
        <v>1.0</v>
      </c>
      <c r="H180" s="403">
        <v>70.0</v>
      </c>
      <c r="I180" s="403">
        <v>70.0</v>
      </c>
      <c r="J180" s="391">
        <f t="shared" si="2"/>
        <v>0.01557428756</v>
      </c>
      <c r="K180" s="392">
        <f t="shared" si="3"/>
        <v>0.8799472469</v>
      </c>
      <c r="L180" s="327">
        <f t="shared" si="4"/>
        <v>8.093292596</v>
      </c>
      <c r="M180" s="249" t="s">
        <v>8</v>
      </c>
      <c r="N180" s="420"/>
      <c r="O180" s="420"/>
      <c r="P180" s="420"/>
      <c r="Q180" s="420"/>
      <c r="R180" s="420"/>
      <c r="S180" s="420"/>
      <c r="T180" s="420"/>
      <c r="U180" s="420"/>
      <c r="V180" s="420"/>
      <c r="W180" s="420"/>
      <c r="X180" s="420"/>
    </row>
    <row r="181">
      <c r="A181" s="249" t="s">
        <v>8</v>
      </c>
      <c r="B181" s="249" t="s">
        <v>18</v>
      </c>
      <c r="C181" s="219" t="s">
        <v>4017</v>
      </c>
      <c r="D181" s="369" t="s">
        <v>495</v>
      </c>
      <c r="E181" s="251">
        <v>44091.0</v>
      </c>
      <c r="F181" s="219" t="s">
        <v>545</v>
      </c>
      <c r="G181" s="403">
        <v>2.0</v>
      </c>
      <c r="H181" s="403">
        <v>40.0</v>
      </c>
      <c r="I181" s="403">
        <v>40.0</v>
      </c>
      <c r="J181" s="391">
        <f t="shared" si="2"/>
        <v>0.008899592889</v>
      </c>
      <c r="K181" s="392">
        <f t="shared" si="3"/>
        <v>0.5028269982</v>
      </c>
      <c r="L181" s="327">
        <f t="shared" si="4"/>
        <v>8.093292596</v>
      </c>
      <c r="M181" s="249" t="s">
        <v>8</v>
      </c>
      <c r="N181" s="420"/>
      <c r="O181" s="420"/>
      <c r="P181" s="420"/>
      <c r="Q181" s="420"/>
      <c r="R181" s="420"/>
      <c r="S181" s="420"/>
      <c r="T181" s="420"/>
      <c r="U181" s="420"/>
      <c r="V181" s="420"/>
      <c r="W181" s="420"/>
      <c r="X181" s="420"/>
    </row>
    <row r="182">
      <c r="A182" s="249" t="s">
        <v>8</v>
      </c>
      <c r="B182" s="249" t="s">
        <v>18</v>
      </c>
      <c r="C182" s="219" t="s">
        <v>4018</v>
      </c>
      <c r="D182" s="369" t="s">
        <v>495</v>
      </c>
      <c r="E182" s="361">
        <v>44083.0</v>
      </c>
      <c r="F182" s="219" t="s">
        <v>545</v>
      </c>
      <c r="G182" s="403">
        <v>2.0</v>
      </c>
      <c r="H182" s="403">
        <v>40.0</v>
      </c>
      <c r="I182" s="403">
        <v>40.0</v>
      </c>
      <c r="J182" s="391">
        <f t="shared" si="2"/>
        <v>0.008899592889</v>
      </c>
      <c r="K182" s="392">
        <f t="shared" si="3"/>
        <v>0.5028269982</v>
      </c>
      <c r="L182" s="327">
        <f t="shared" si="4"/>
        <v>8.093292596</v>
      </c>
      <c r="M182" s="249" t="s">
        <v>8</v>
      </c>
      <c r="N182" s="321">
        <f>IFERROR(__xludf.DUMMYFUNCTION("query(iferror(sort({row(A182:A403)-row(A182)+2-match(sort(A182:A403),sort(A182:A403),0),SORT(ROW(A182:A403)+2-row(A182)+2,A182:A403,1)},2,1),),""Select Col1"")"),1.0)</f>
        <v>1</v>
      </c>
      <c r="O182" s="420"/>
      <c r="P182" s="420"/>
      <c r="Q182" s="420"/>
      <c r="R182" s="420"/>
      <c r="S182" s="420"/>
      <c r="T182" s="420"/>
      <c r="U182" s="420"/>
      <c r="V182" s="420"/>
      <c r="W182" s="420"/>
      <c r="X182" s="420"/>
    </row>
    <row r="183">
      <c r="A183" s="226" t="s">
        <v>8</v>
      </c>
      <c r="B183" s="226" t="s">
        <v>9</v>
      </c>
      <c r="C183" s="250" t="s">
        <v>4020</v>
      </c>
      <c r="D183" s="268" t="s">
        <v>495</v>
      </c>
      <c r="E183" s="251">
        <v>44094.0</v>
      </c>
      <c r="F183" s="250" t="s">
        <v>545</v>
      </c>
      <c r="G183" s="403">
        <v>3.0</v>
      </c>
      <c r="H183" s="403">
        <v>20.0</v>
      </c>
      <c r="I183" s="403">
        <v>20.0</v>
      </c>
      <c r="J183" s="391">
        <f t="shared" si="2"/>
        <v>0.004449796444</v>
      </c>
      <c r="K183" s="392">
        <f t="shared" si="3"/>
        <v>0.2514134991</v>
      </c>
      <c r="L183" s="327">
        <f t="shared" si="4"/>
        <v>8.093292596</v>
      </c>
      <c r="M183" s="226" t="s">
        <v>8</v>
      </c>
      <c r="N183" s="18">
        <f>IFERROR(__xludf.DUMMYFUNCTION("""COMPUTED_VALUE"""),2.0)</f>
        <v>2</v>
      </c>
    </row>
    <row r="184">
      <c r="A184" s="226" t="s">
        <v>8</v>
      </c>
      <c r="B184" s="226" t="s">
        <v>29</v>
      </c>
      <c r="C184" s="250" t="s">
        <v>4038</v>
      </c>
      <c r="D184" s="268" t="s">
        <v>495</v>
      </c>
      <c r="E184" s="251">
        <v>44095.0</v>
      </c>
      <c r="F184" s="250" t="s">
        <v>592</v>
      </c>
      <c r="G184" s="403">
        <v>3.0</v>
      </c>
      <c r="H184" s="403">
        <v>1.0</v>
      </c>
      <c r="I184" s="403">
        <v>1.0</v>
      </c>
      <c r="J184" s="391">
        <f t="shared" si="2"/>
        <v>0.0002224898222</v>
      </c>
      <c r="K184" s="392">
        <f t="shared" si="3"/>
        <v>0.01257067496</v>
      </c>
      <c r="L184" s="327">
        <f t="shared" si="4"/>
        <v>8.093292596</v>
      </c>
      <c r="M184" s="226" t="s">
        <v>8</v>
      </c>
      <c r="N184" s="18">
        <f>IFERROR(__xludf.DUMMYFUNCTION("""COMPUTED_VALUE"""),3.0)</f>
        <v>3</v>
      </c>
    </row>
    <row r="185">
      <c r="A185" s="226" t="s">
        <v>8</v>
      </c>
      <c r="B185" s="226" t="s">
        <v>18</v>
      </c>
      <c r="C185" s="250" t="s">
        <v>4024</v>
      </c>
      <c r="D185" s="268" t="s">
        <v>495</v>
      </c>
      <c r="E185" s="251">
        <v>44097.0</v>
      </c>
      <c r="F185" s="250" t="s">
        <v>545</v>
      </c>
      <c r="G185" s="403">
        <v>1.0</v>
      </c>
      <c r="H185" s="403">
        <v>50.0</v>
      </c>
      <c r="I185" s="403">
        <v>50.0</v>
      </c>
      <c r="J185" s="391">
        <f t="shared" si="2"/>
        <v>0.01112449111</v>
      </c>
      <c r="K185" s="392">
        <f t="shared" si="3"/>
        <v>0.6285337478</v>
      </c>
      <c r="L185" s="327">
        <f t="shared" si="4"/>
        <v>8.093292596</v>
      </c>
      <c r="M185" s="226" t="s">
        <v>8</v>
      </c>
      <c r="N185" s="18">
        <f>IFERROR(__xludf.DUMMYFUNCTION("""COMPUTED_VALUE"""),4.0)</f>
        <v>4</v>
      </c>
    </row>
    <row r="186">
      <c r="A186" s="226" t="s">
        <v>139</v>
      </c>
      <c r="B186" s="226" t="s">
        <v>519</v>
      </c>
      <c r="C186" s="250" t="s">
        <v>4096</v>
      </c>
      <c r="D186" s="268" t="s">
        <v>495</v>
      </c>
      <c r="E186" s="251">
        <v>44097.0</v>
      </c>
      <c r="F186" s="250" t="s">
        <v>499</v>
      </c>
      <c r="G186" s="403">
        <v>2.0</v>
      </c>
      <c r="H186" s="403">
        <v>4.0</v>
      </c>
      <c r="I186" s="403">
        <v>5.0</v>
      </c>
      <c r="J186" s="391">
        <f t="shared" si="2"/>
        <v>0.0009868209704</v>
      </c>
      <c r="K186" s="392">
        <f t="shared" si="3"/>
        <v>0.05575538483</v>
      </c>
      <c r="L186" s="327">
        <f t="shared" si="4"/>
        <v>0.05575538483</v>
      </c>
      <c r="M186" s="226" t="s">
        <v>139</v>
      </c>
      <c r="N186" s="18">
        <f>IFERROR(__xludf.DUMMYFUNCTION("""COMPUTED_VALUE"""),1.0)</f>
        <v>1</v>
      </c>
    </row>
    <row r="187">
      <c r="A187" s="249" t="s">
        <v>254</v>
      </c>
      <c r="B187" s="249" t="s">
        <v>18</v>
      </c>
      <c r="C187" s="219" t="s">
        <v>4012</v>
      </c>
      <c r="D187" s="369" t="s">
        <v>495</v>
      </c>
      <c r="E187" s="251">
        <v>44085.0</v>
      </c>
      <c r="F187" s="219" t="s">
        <v>499</v>
      </c>
      <c r="G187" s="403">
        <v>4.0</v>
      </c>
      <c r="H187" s="403">
        <v>0.0</v>
      </c>
      <c r="I187" s="403">
        <v>0.0</v>
      </c>
      <c r="J187" s="391">
        <f t="shared" si="2"/>
        <v>0</v>
      </c>
      <c r="K187" s="392">
        <f t="shared" si="3"/>
        <v>0</v>
      </c>
      <c r="L187" s="327">
        <f t="shared" si="4"/>
        <v>0</v>
      </c>
      <c r="M187" s="249" t="s">
        <v>254</v>
      </c>
      <c r="N187" s="420">
        <f>IFERROR(__xludf.DUMMYFUNCTION("""COMPUTED_VALUE"""),1.0)</f>
        <v>1</v>
      </c>
      <c r="O187" s="420"/>
      <c r="P187" s="420"/>
      <c r="Q187" s="420"/>
      <c r="R187" s="420"/>
      <c r="S187" s="420"/>
      <c r="T187" s="420"/>
      <c r="U187" s="420"/>
      <c r="V187" s="420"/>
      <c r="W187" s="420"/>
      <c r="X187" s="420"/>
    </row>
    <row r="188">
      <c r="A188" s="226" t="s">
        <v>68</v>
      </c>
      <c r="B188" s="226" t="s">
        <v>29</v>
      </c>
      <c r="C188" s="250" t="s">
        <v>4097</v>
      </c>
      <c r="D188" s="268" t="s">
        <v>495</v>
      </c>
      <c r="E188" s="251">
        <v>44096.0</v>
      </c>
      <c r="F188" s="250" t="s">
        <v>521</v>
      </c>
      <c r="G188" s="403">
        <v>3.0</v>
      </c>
      <c r="H188" s="403">
        <v>10.0</v>
      </c>
      <c r="I188" s="403">
        <v>10.0</v>
      </c>
      <c r="J188" s="391">
        <f t="shared" si="2"/>
        <v>0.002224898222</v>
      </c>
      <c r="K188" s="392">
        <f t="shared" si="3"/>
        <v>0.1257067496</v>
      </c>
      <c r="L188" s="327">
        <f t="shared" si="4"/>
        <v>0.1257067496</v>
      </c>
      <c r="M188" s="226" t="s">
        <v>68</v>
      </c>
      <c r="N188" s="18">
        <f>IFERROR(__xludf.DUMMYFUNCTION("""COMPUTED_VALUE"""),1.0)</f>
        <v>1</v>
      </c>
    </row>
    <row r="189">
      <c r="A189" s="249" t="s">
        <v>131</v>
      </c>
      <c r="B189" s="249" t="s">
        <v>18</v>
      </c>
      <c r="C189" s="219" t="s">
        <v>4012</v>
      </c>
      <c r="D189" s="369" t="s">
        <v>495</v>
      </c>
      <c r="E189" s="251">
        <v>44085.0</v>
      </c>
      <c r="F189" s="219" t="s">
        <v>499</v>
      </c>
      <c r="G189" s="403">
        <v>4.0</v>
      </c>
      <c r="H189" s="403">
        <v>0.0</v>
      </c>
      <c r="I189" s="403">
        <v>0.0</v>
      </c>
      <c r="J189" s="391">
        <f t="shared" si="2"/>
        <v>0</v>
      </c>
      <c r="K189" s="392">
        <f t="shared" si="3"/>
        <v>0</v>
      </c>
      <c r="L189" s="327">
        <f t="shared" si="4"/>
        <v>0</v>
      </c>
      <c r="M189" s="249" t="s">
        <v>131</v>
      </c>
      <c r="N189" s="420">
        <f>IFERROR(__xludf.DUMMYFUNCTION("""COMPUTED_VALUE"""),1.0)</f>
        <v>1</v>
      </c>
      <c r="O189" s="420"/>
      <c r="P189" s="420"/>
      <c r="Q189" s="420"/>
      <c r="R189" s="420"/>
      <c r="S189" s="420"/>
      <c r="T189" s="420"/>
      <c r="U189" s="420"/>
      <c r="V189" s="420"/>
      <c r="W189" s="420"/>
      <c r="X189" s="420"/>
    </row>
    <row r="190">
      <c r="A190" s="249" t="s">
        <v>53</v>
      </c>
      <c r="B190" s="249" t="s">
        <v>519</v>
      </c>
      <c r="C190" s="219" t="s">
        <v>4098</v>
      </c>
      <c r="D190" s="369" t="s">
        <v>495</v>
      </c>
      <c r="E190" s="251">
        <v>44089.0</v>
      </c>
      <c r="F190" s="219" t="s">
        <v>521</v>
      </c>
      <c r="G190" s="403">
        <v>3.0</v>
      </c>
      <c r="H190" s="403">
        <v>5.0</v>
      </c>
      <c r="I190" s="403">
        <v>2.0</v>
      </c>
      <c r="J190" s="391">
        <f t="shared" si="2"/>
        <v>0.0008218640666</v>
      </c>
      <c r="K190" s="392">
        <f t="shared" si="3"/>
        <v>0.04643531976</v>
      </c>
      <c r="L190" s="327">
        <f t="shared" si="4"/>
        <v>1.052089316</v>
      </c>
      <c r="M190" s="249" t="s">
        <v>53</v>
      </c>
      <c r="N190" s="420">
        <f>IFERROR(__xludf.DUMMYFUNCTION("""COMPUTED_VALUE"""),1.0)</f>
        <v>1</v>
      </c>
      <c r="O190" s="420"/>
      <c r="P190" s="420"/>
      <c r="Q190" s="420"/>
      <c r="R190" s="420"/>
      <c r="S190" s="420"/>
      <c r="T190" s="420"/>
      <c r="U190" s="420"/>
      <c r="V190" s="420"/>
      <c r="W190" s="420"/>
      <c r="X190" s="420"/>
    </row>
    <row r="191">
      <c r="A191" s="249" t="s">
        <v>53</v>
      </c>
      <c r="B191" s="249" t="s">
        <v>18</v>
      </c>
      <c r="C191" s="219" t="s">
        <v>4018</v>
      </c>
      <c r="D191" s="369" t="s">
        <v>495</v>
      </c>
      <c r="E191" s="361">
        <v>44083.0</v>
      </c>
      <c r="F191" s="219" t="s">
        <v>545</v>
      </c>
      <c r="G191" s="403">
        <v>2.0</v>
      </c>
      <c r="H191" s="403">
        <v>40.0</v>
      </c>
      <c r="I191" s="403">
        <v>40.0</v>
      </c>
      <c r="J191" s="391">
        <f t="shared" si="2"/>
        <v>0.008899592889</v>
      </c>
      <c r="K191" s="392">
        <f t="shared" si="3"/>
        <v>0.5028269982</v>
      </c>
      <c r="L191" s="327">
        <f t="shared" si="4"/>
        <v>1.052089316</v>
      </c>
      <c r="M191" s="249" t="s">
        <v>53</v>
      </c>
      <c r="N191" s="420">
        <f>IFERROR(__xludf.DUMMYFUNCTION("""COMPUTED_VALUE"""),2.0)</f>
        <v>2</v>
      </c>
      <c r="O191" s="420"/>
      <c r="P191" s="420"/>
      <c r="Q191" s="420"/>
      <c r="R191" s="420"/>
      <c r="S191" s="420"/>
      <c r="T191" s="420"/>
      <c r="U191" s="420"/>
      <c r="V191" s="420"/>
      <c r="W191" s="420"/>
      <c r="X191" s="420"/>
    </row>
    <row r="192">
      <c r="A192" s="226" t="s">
        <v>53</v>
      </c>
      <c r="B192" s="226" t="s">
        <v>18</v>
      </c>
      <c r="C192" s="250" t="s">
        <v>4017</v>
      </c>
      <c r="D192" s="268" t="s">
        <v>495</v>
      </c>
      <c r="E192" s="251">
        <v>44091.0</v>
      </c>
      <c r="F192" s="250" t="s">
        <v>545</v>
      </c>
      <c r="G192" s="403">
        <v>2.0</v>
      </c>
      <c r="H192" s="403">
        <v>40.0</v>
      </c>
      <c r="I192" s="403">
        <v>40.0</v>
      </c>
      <c r="J192" s="391">
        <f t="shared" si="2"/>
        <v>0.008899592889</v>
      </c>
      <c r="K192" s="392">
        <f t="shared" si="3"/>
        <v>0.5028269982</v>
      </c>
      <c r="L192" s="327">
        <f t="shared" si="4"/>
        <v>1.052089316</v>
      </c>
      <c r="M192" s="226" t="s">
        <v>53</v>
      </c>
      <c r="N192" s="18">
        <f>IFERROR(__xludf.DUMMYFUNCTION("""COMPUTED_VALUE"""),3.0)</f>
        <v>3</v>
      </c>
    </row>
    <row r="193">
      <c r="A193" s="226" t="s">
        <v>53</v>
      </c>
      <c r="B193" s="226" t="s">
        <v>29</v>
      </c>
      <c r="C193" s="250" t="s">
        <v>4099</v>
      </c>
      <c r="D193" s="268" t="s">
        <v>495</v>
      </c>
      <c r="E193" s="251">
        <v>44093.0</v>
      </c>
      <c r="F193" s="250" t="s">
        <v>499</v>
      </c>
      <c r="G193" s="403">
        <v>4.0</v>
      </c>
      <c r="H193" s="403">
        <v>0.0</v>
      </c>
      <c r="I193" s="403">
        <v>0.0</v>
      </c>
      <c r="J193" s="391">
        <f t="shared" si="2"/>
        <v>0</v>
      </c>
      <c r="K193" s="392">
        <f t="shared" si="3"/>
        <v>0</v>
      </c>
      <c r="L193" s="327">
        <f t="shared" si="4"/>
        <v>1.052089316</v>
      </c>
      <c r="M193" s="226" t="s">
        <v>53</v>
      </c>
      <c r="N193" s="18">
        <f>IFERROR(__xludf.DUMMYFUNCTION("""COMPUTED_VALUE"""),4.0)</f>
        <v>4</v>
      </c>
    </row>
    <row r="194">
      <c r="A194" s="249" t="s">
        <v>66</v>
      </c>
      <c r="B194" s="249" t="s">
        <v>519</v>
      </c>
      <c r="C194" s="219" t="s">
        <v>4043</v>
      </c>
      <c r="D194" s="369" t="s">
        <v>495</v>
      </c>
      <c r="E194" s="251">
        <v>44091.0</v>
      </c>
      <c r="F194" s="219" t="s">
        <v>499</v>
      </c>
      <c r="G194" s="403">
        <v>2.0</v>
      </c>
      <c r="H194" s="403">
        <v>50.0</v>
      </c>
      <c r="I194" s="403">
        <v>50.0</v>
      </c>
      <c r="J194" s="391">
        <f t="shared" si="2"/>
        <v>0.01112449111</v>
      </c>
      <c r="K194" s="392">
        <f t="shared" si="3"/>
        <v>0.6285337478</v>
      </c>
      <c r="L194" s="327">
        <f t="shared" si="4"/>
        <v>0.6285337478</v>
      </c>
      <c r="M194" s="249" t="s">
        <v>66</v>
      </c>
      <c r="N194" s="420">
        <f>IFERROR(__xludf.DUMMYFUNCTION("""COMPUTED_VALUE"""),1.0)</f>
        <v>1</v>
      </c>
      <c r="O194" s="420"/>
      <c r="P194" s="420"/>
      <c r="Q194" s="420"/>
      <c r="R194" s="420"/>
      <c r="S194" s="420"/>
      <c r="T194" s="420"/>
      <c r="U194" s="420"/>
      <c r="V194" s="420"/>
      <c r="W194" s="420"/>
      <c r="X194" s="420"/>
    </row>
    <row r="195">
      <c r="A195" s="226" t="s">
        <v>383</v>
      </c>
      <c r="B195" s="226" t="s">
        <v>519</v>
      </c>
      <c r="C195" s="250" t="s">
        <v>4100</v>
      </c>
      <c r="D195" s="268" t="s">
        <v>495</v>
      </c>
      <c r="E195" s="251">
        <v>44096.0</v>
      </c>
      <c r="F195" s="250" t="s">
        <v>499</v>
      </c>
      <c r="G195" s="403">
        <v>3.0</v>
      </c>
      <c r="H195" s="403">
        <v>3.0</v>
      </c>
      <c r="I195" s="403">
        <v>3.0</v>
      </c>
      <c r="J195" s="391">
        <f t="shared" si="2"/>
        <v>0.0006674694667</v>
      </c>
      <c r="K195" s="392">
        <f t="shared" si="3"/>
        <v>0.03771202487</v>
      </c>
      <c r="L195" s="327">
        <f t="shared" si="4"/>
        <v>0.03771202487</v>
      </c>
      <c r="M195" s="226" t="s">
        <v>383</v>
      </c>
      <c r="N195" s="18">
        <f>IFERROR(__xludf.DUMMYFUNCTION("""COMPUTED_VALUE"""),1.0)</f>
        <v>1</v>
      </c>
    </row>
    <row r="196">
      <c r="A196" s="249" t="s">
        <v>34</v>
      </c>
      <c r="B196" s="249" t="s">
        <v>519</v>
      </c>
      <c r="C196" s="219" t="s">
        <v>4043</v>
      </c>
      <c r="D196" s="369" t="s">
        <v>495</v>
      </c>
      <c r="E196" s="251">
        <v>44091.0</v>
      </c>
      <c r="F196" s="219" t="s">
        <v>499</v>
      </c>
      <c r="G196" s="403">
        <v>2.0</v>
      </c>
      <c r="H196" s="403">
        <v>50.0</v>
      </c>
      <c r="I196" s="403">
        <v>50.0</v>
      </c>
      <c r="J196" s="391">
        <f t="shared" si="2"/>
        <v>0.01112449111</v>
      </c>
      <c r="K196" s="392">
        <f t="shared" si="3"/>
        <v>0.6285337478</v>
      </c>
      <c r="L196" s="327">
        <f t="shared" si="4"/>
        <v>0.6285337478</v>
      </c>
      <c r="M196" s="249" t="s">
        <v>34</v>
      </c>
      <c r="N196" s="420">
        <f>IFERROR(__xludf.DUMMYFUNCTION("""COMPUTED_VALUE"""),1.0)</f>
        <v>1</v>
      </c>
      <c r="O196" s="420"/>
      <c r="P196" s="420"/>
      <c r="Q196" s="420"/>
      <c r="R196" s="420"/>
      <c r="S196" s="420"/>
      <c r="T196" s="420"/>
      <c r="U196" s="420"/>
      <c r="V196" s="420"/>
      <c r="W196" s="420"/>
      <c r="X196" s="420"/>
    </row>
    <row r="197">
      <c r="A197" s="249" t="s">
        <v>3900</v>
      </c>
      <c r="B197" s="249" t="s">
        <v>18</v>
      </c>
      <c r="C197" s="219" t="s">
        <v>4012</v>
      </c>
      <c r="D197" s="369" t="s">
        <v>495</v>
      </c>
      <c r="E197" s="251">
        <v>44085.0</v>
      </c>
      <c r="F197" s="219" t="s">
        <v>499</v>
      </c>
      <c r="G197" s="403">
        <v>4.0</v>
      </c>
      <c r="H197" s="403">
        <v>0.0</v>
      </c>
      <c r="I197" s="403">
        <v>0.0</v>
      </c>
      <c r="J197" s="391">
        <f t="shared" si="2"/>
        <v>0</v>
      </c>
      <c r="K197" s="392">
        <f t="shared" si="3"/>
        <v>0</v>
      </c>
      <c r="L197" s="327">
        <f t="shared" si="4"/>
        <v>0</v>
      </c>
      <c r="M197" s="249" t="s">
        <v>3900</v>
      </c>
      <c r="N197" s="420">
        <f>IFERROR(__xludf.DUMMYFUNCTION("""COMPUTED_VALUE"""),1.0)</f>
        <v>1</v>
      </c>
      <c r="O197" s="420"/>
      <c r="P197" s="420"/>
      <c r="Q197" s="420"/>
      <c r="R197" s="420"/>
      <c r="S197" s="420"/>
      <c r="T197" s="420"/>
      <c r="U197" s="420"/>
      <c r="V197" s="420"/>
      <c r="W197" s="420"/>
      <c r="X197" s="420"/>
    </row>
    <row r="198">
      <c r="A198" s="249" t="s">
        <v>2410</v>
      </c>
      <c r="B198" s="249" t="s">
        <v>18</v>
      </c>
      <c r="C198" s="219" t="s">
        <v>4012</v>
      </c>
      <c r="D198" s="369" t="s">
        <v>495</v>
      </c>
      <c r="E198" s="251">
        <v>44085.0</v>
      </c>
      <c r="F198" s="219" t="s">
        <v>499</v>
      </c>
      <c r="G198" s="403">
        <v>4.0</v>
      </c>
      <c r="H198" s="403">
        <v>0.0</v>
      </c>
      <c r="I198" s="403">
        <v>0.0</v>
      </c>
      <c r="J198" s="391">
        <f t="shared" si="2"/>
        <v>0</v>
      </c>
      <c r="K198" s="392">
        <f t="shared" si="3"/>
        <v>0</v>
      </c>
      <c r="L198" s="327">
        <f t="shared" si="4"/>
        <v>0</v>
      </c>
      <c r="M198" s="249" t="s">
        <v>2410</v>
      </c>
      <c r="N198" s="420">
        <f>IFERROR(__xludf.DUMMYFUNCTION("""COMPUTED_VALUE"""),1.0)</f>
        <v>1</v>
      </c>
      <c r="O198" s="420"/>
      <c r="P198" s="420"/>
      <c r="Q198" s="420"/>
      <c r="R198" s="420"/>
      <c r="S198" s="420"/>
      <c r="T198" s="420"/>
      <c r="U198" s="420"/>
      <c r="V198" s="420"/>
      <c r="W198" s="420"/>
      <c r="X198" s="420"/>
    </row>
    <row r="199">
      <c r="A199" s="145"/>
      <c r="B199" s="145"/>
      <c r="C199" s="422"/>
      <c r="D199" s="145"/>
      <c r="E199" s="145"/>
      <c r="F199" s="145"/>
      <c r="G199" s="404"/>
      <c r="H199" s="404"/>
      <c r="I199" s="404"/>
      <c r="J199" s="391">
        <f t="shared" si="2"/>
        <v>0</v>
      </c>
      <c r="K199" s="392">
        <f t="shared" si="3"/>
        <v>0</v>
      </c>
      <c r="L199" s="327">
        <f t="shared" si="4"/>
        <v>56.5</v>
      </c>
      <c r="M199" s="145"/>
      <c r="N199" s="18"/>
    </row>
    <row r="200">
      <c r="A200" s="145"/>
      <c r="B200" s="145"/>
      <c r="C200" s="422"/>
      <c r="D200" s="145"/>
      <c r="E200" s="145"/>
      <c r="F200" s="145"/>
      <c r="G200" s="404"/>
      <c r="H200" s="404"/>
      <c r="I200" s="404"/>
      <c r="J200" s="391">
        <f t="shared" si="2"/>
        <v>0</v>
      </c>
      <c r="K200" s="392">
        <f t="shared" si="3"/>
        <v>0</v>
      </c>
      <c r="L200" s="327">
        <f t="shared" si="4"/>
        <v>56.5</v>
      </c>
      <c r="M200" s="145"/>
      <c r="N200" s="18"/>
    </row>
    <row r="201">
      <c r="A201" s="145"/>
      <c r="B201" s="145"/>
      <c r="C201" s="422"/>
      <c r="D201" s="145"/>
      <c r="E201" s="145"/>
      <c r="F201" s="145"/>
      <c r="G201" s="404"/>
      <c r="H201" s="404"/>
      <c r="I201" s="404"/>
      <c r="J201" s="391">
        <f t="shared" si="2"/>
        <v>0</v>
      </c>
      <c r="K201" s="392">
        <f t="shared" si="3"/>
        <v>0</v>
      </c>
      <c r="L201" s="327">
        <f t="shared" si="4"/>
        <v>56.5</v>
      </c>
      <c r="M201" s="145"/>
      <c r="N201" s="18"/>
    </row>
    <row r="202">
      <c r="A202" s="145"/>
      <c r="B202" s="145"/>
      <c r="C202" s="422"/>
      <c r="D202" s="145"/>
      <c r="E202" s="145"/>
      <c r="F202" s="145"/>
      <c r="G202" s="404"/>
      <c r="H202" s="404"/>
      <c r="I202" s="404"/>
      <c r="J202" s="391">
        <f t="shared" si="2"/>
        <v>0</v>
      </c>
      <c r="K202" s="392">
        <f t="shared" si="3"/>
        <v>0</v>
      </c>
      <c r="L202" s="327">
        <f t="shared" si="4"/>
        <v>56.5</v>
      </c>
      <c r="M202" s="145"/>
      <c r="N202" s="18"/>
    </row>
    <row r="203">
      <c r="A203" s="145"/>
      <c r="B203" s="145"/>
      <c r="C203" s="422"/>
      <c r="D203" s="145"/>
      <c r="E203" s="145"/>
      <c r="F203" s="145"/>
      <c r="G203" s="404"/>
      <c r="H203" s="404"/>
      <c r="I203" s="404"/>
      <c r="J203" s="391">
        <f t="shared" si="2"/>
        <v>0</v>
      </c>
      <c r="K203" s="392">
        <f t="shared" si="3"/>
        <v>0</v>
      </c>
      <c r="L203" s="327">
        <f t="shared" si="4"/>
        <v>56.5</v>
      </c>
      <c r="M203" s="145"/>
      <c r="N203" s="18"/>
    </row>
    <row r="204">
      <c r="A204" s="145"/>
      <c r="B204" s="145"/>
      <c r="C204" s="422"/>
      <c r="D204" s="145"/>
      <c r="E204" s="145"/>
      <c r="F204" s="145"/>
      <c r="G204" s="404"/>
      <c r="H204" s="404"/>
      <c r="I204" s="404"/>
      <c r="J204" s="391">
        <f t="shared" si="2"/>
        <v>0</v>
      </c>
      <c r="K204" s="392">
        <f t="shared" si="3"/>
        <v>0</v>
      </c>
      <c r="L204" s="327">
        <f t="shared" si="4"/>
        <v>56.5</v>
      </c>
      <c r="M204" s="145"/>
      <c r="N204" s="18"/>
    </row>
    <row r="205">
      <c r="A205" s="145"/>
      <c r="B205" s="145"/>
      <c r="C205" s="422"/>
      <c r="D205" s="145"/>
      <c r="E205" s="145"/>
      <c r="F205" s="145"/>
      <c r="G205" s="404"/>
      <c r="H205" s="404"/>
      <c r="I205" s="404"/>
      <c r="J205" s="391">
        <f t="shared" si="2"/>
        <v>0</v>
      </c>
      <c r="K205" s="392">
        <f t="shared" si="3"/>
        <v>0</v>
      </c>
      <c r="L205" s="327">
        <f t="shared" si="4"/>
        <v>56.5</v>
      </c>
      <c r="M205" s="145"/>
      <c r="N205" s="18"/>
    </row>
    <row r="206">
      <c r="A206" s="145"/>
      <c r="B206" s="145"/>
      <c r="C206" s="422"/>
      <c r="D206" s="145"/>
      <c r="E206" s="145"/>
      <c r="F206" s="145"/>
      <c r="G206" s="404"/>
      <c r="H206" s="404"/>
      <c r="I206" s="404"/>
      <c r="J206" s="391">
        <f t="shared" si="2"/>
        <v>0</v>
      </c>
      <c r="K206" s="392">
        <f t="shared" si="3"/>
        <v>0</v>
      </c>
      <c r="L206" s="327">
        <f t="shared" si="4"/>
        <v>56.5</v>
      </c>
      <c r="M206" s="145"/>
      <c r="N206" s="18"/>
    </row>
    <row r="207">
      <c r="A207" s="145"/>
      <c r="B207" s="145"/>
      <c r="C207" s="422"/>
      <c r="D207" s="145"/>
      <c r="E207" s="145"/>
      <c r="F207" s="145"/>
      <c r="G207" s="404"/>
      <c r="H207" s="404"/>
      <c r="I207" s="404"/>
      <c r="J207" s="391">
        <f t="shared" si="2"/>
        <v>0</v>
      </c>
      <c r="K207" s="392">
        <f t="shared" si="3"/>
        <v>0</v>
      </c>
      <c r="L207" s="327">
        <f t="shared" si="4"/>
        <v>56.5</v>
      </c>
      <c r="M207" s="145"/>
      <c r="N207" s="18"/>
    </row>
    <row r="208">
      <c r="A208" s="145"/>
      <c r="B208" s="145"/>
      <c r="C208" s="422"/>
      <c r="D208" s="145"/>
      <c r="E208" s="145"/>
      <c r="F208" s="145"/>
      <c r="G208" s="404"/>
      <c r="H208" s="404"/>
      <c r="I208" s="404"/>
      <c r="J208" s="391">
        <f t="shared" si="2"/>
        <v>0</v>
      </c>
      <c r="K208" s="392">
        <f t="shared" si="3"/>
        <v>0</v>
      </c>
      <c r="L208" s="327">
        <f t="shared" si="4"/>
        <v>56.5</v>
      </c>
      <c r="M208" s="145"/>
      <c r="N208" s="18"/>
    </row>
    <row r="209">
      <c r="A209" s="145"/>
      <c r="B209" s="145"/>
      <c r="C209" s="422"/>
      <c r="D209" s="145"/>
      <c r="E209" s="145"/>
      <c r="F209" s="145"/>
      <c r="G209" s="404"/>
      <c r="H209" s="404"/>
      <c r="I209" s="404"/>
      <c r="J209" s="391">
        <f t="shared" si="2"/>
        <v>0</v>
      </c>
      <c r="K209" s="392">
        <f t="shared" si="3"/>
        <v>0</v>
      </c>
      <c r="L209" s="327">
        <f t="shared" si="4"/>
        <v>56.5</v>
      </c>
      <c r="M209" s="145"/>
      <c r="N209" s="18"/>
    </row>
    <row r="210">
      <c r="A210" s="145"/>
      <c r="B210" s="145"/>
      <c r="C210" s="422"/>
      <c r="D210" s="145"/>
      <c r="E210" s="145"/>
      <c r="F210" s="145"/>
      <c r="G210" s="404"/>
      <c r="H210" s="404"/>
      <c r="I210" s="404"/>
      <c r="J210" s="391">
        <f t="shared" si="2"/>
        <v>0</v>
      </c>
      <c r="K210" s="392">
        <f t="shared" si="3"/>
        <v>0</v>
      </c>
      <c r="L210" s="327">
        <f t="shared" si="4"/>
        <v>56.5</v>
      </c>
      <c r="M210" s="145"/>
      <c r="N210" s="18"/>
    </row>
    <row r="211">
      <c r="A211" s="145"/>
      <c r="B211" s="145"/>
      <c r="C211" s="422"/>
      <c r="D211" s="145"/>
      <c r="E211" s="145"/>
      <c r="F211" s="145"/>
      <c r="G211" s="404"/>
      <c r="H211" s="404"/>
      <c r="I211" s="404"/>
      <c r="J211" s="391">
        <f t="shared" si="2"/>
        <v>0</v>
      </c>
      <c r="K211" s="392">
        <f t="shared" si="3"/>
        <v>0</v>
      </c>
      <c r="L211" s="327">
        <f t="shared" si="4"/>
        <v>56.5</v>
      </c>
      <c r="M211" s="145"/>
      <c r="N211" s="18"/>
    </row>
    <row r="212">
      <c r="A212" s="145"/>
      <c r="B212" s="145"/>
      <c r="C212" s="422"/>
      <c r="D212" s="145"/>
      <c r="E212" s="145"/>
      <c r="F212" s="145"/>
      <c r="G212" s="404"/>
      <c r="H212" s="404"/>
      <c r="I212" s="404"/>
      <c r="J212" s="391">
        <f t="shared" si="2"/>
        <v>0</v>
      </c>
      <c r="K212" s="392">
        <f t="shared" si="3"/>
        <v>0</v>
      </c>
      <c r="L212" s="327">
        <f t="shared" si="4"/>
        <v>56.5</v>
      </c>
      <c r="M212" s="145"/>
      <c r="N212" s="18"/>
    </row>
    <row r="213">
      <c r="A213" s="145"/>
      <c r="B213" s="145"/>
      <c r="C213" s="422"/>
      <c r="D213" s="145"/>
      <c r="E213" s="145"/>
      <c r="F213" s="145"/>
      <c r="G213" s="404"/>
      <c r="H213" s="404"/>
      <c r="I213" s="404"/>
      <c r="J213" s="391">
        <f t="shared" si="2"/>
        <v>0</v>
      </c>
      <c r="K213" s="392">
        <f t="shared" si="3"/>
        <v>0</v>
      </c>
      <c r="L213" s="327">
        <f t="shared" si="4"/>
        <v>56.5</v>
      </c>
      <c r="M213" s="145"/>
      <c r="N213" s="18"/>
    </row>
    <row r="214">
      <c r="A214" s="145"/>
      <c r="B214" s="145"/>
      <c r="C214" s="422"/>
      <c r="D214" s="145"/>
      <c r="E214" s="145"/>
      <c r="F214" s="145"/>
      <c r="G214" s="404"/>
      <c r="H214" s="404"/>
      <c r="I214" s="404"/>
      <c r="J214" s="391">
        <f t="shared" si="2"/>
        <v>0</v>
      </c>
      <c r="K214" s="392">
        <f t="shared" si="3"/>
        <v>0</v>
      </c>
      <c r="L214" s="327">
        <f t="shared" si="4"/>
        <v>56.5</v>
      </c>
      <c r="M214" s="145"/>
      <c r="N214" s="18"/>
    </row>
    <row r="215">
      <c r="A215" s="145"/>
      <c r="B215" s="145"/>
      <c r="C215" s="422"/>
      <c r="D215" s="145"/>
      <c r="E215" s="145"/>
      <c r="F215" s="145"/>
      <c r="G215" s="404"/>
      <c r="H215" s="404"/>
      <c r="I215" s="404"/>
      <c r="J215" s="391">
        <f t="shared" si="2"/>
        <v>0</v>
      </c>
      <c r="K215" s="392">
        <f t="shared" si="3"/>
        <v>0</v>
      </c>
      <c r="L215" s="327">
        <f t="shared" si="4"/>
        <v>56.5</v>
      </c>
      <c r="M215" s="145"/>
      <c r="N215" s="18"/>
    </row>
    <row r="216">
      <c r="A216" s="145"/>
      <c r="B216" s="145"/>
      <c r="C216" s="422"/>
      <c r="D216" s="145"/>
      <c r="E216" s="145"/>
      <c r="F216" s="145"/>
      <c r="G216" s="404"/>
      <c r="H216" s="404"/>
      <c r="I216" s="404"/>
      <c r="J216" s="391">
        <f t="shared" si="2"/>
        <v>0</v>
      </c>
      <c r="K216" s="392">
        <f t="shared" si="3"/>
        <v>0</v>
      </c>
      <c r="L216" s="327">
        <f t="shared" si="4"/>
        <v>56.5</v>
      </c>
      <c r="M216" s="145"/>
      <c r="N216" s="18"/>
    </row>
    <row r="217">
      <c r="A217" s="145"/>
      <c r="B217" s="145"/>
      <c r="C217" s="422"/>
      <c r="D217" s="145"/>
      <c r="E217" s="145"/>
      <c r="F217" s="145"/>
      <c r="G217" s="404"/>
      <c r="H217" s="404"/>
      <c r="I217" s="404"/>
      <c r="J217" s="391">
        <f t="shared" si="2"/>
        <v>0</v>
      </c>
      <c r="K217" s="392">
        <f t="shared" si="3"/>
        <v>0</v>
      </c>
      <c r="L217" s="327">
        <f t="shared" si="4"/>
        <v>56.5</v>
      </c>
      <c r="M217" s="145"/>
      <c r="N217" s="18"/>
    </row>
    <row r="218">
      <c r="A218" s="145"/>
      <c r="B218" s="145"/>
      <c r="C218" s="422"/>
      <c r="D218" s="145"/>
      <c r="E218" s="145"/>
      <c r="F218" s="145"/>
      <c r="G218" s="404"/>
      <c r="H218" s="404"/>
      <c r="I218" s="404"/>
      <c r="J218" s="391">
        <f t="shared" si="2"/>
        <v>0</v>
      </c>
      <c r="K218" s="392">
        <f t="shared" si="3"/>
        <v>0</v>
      </c>
      <c r="L218" s="327">
        <f t="shared" si="4"/>
        <v>56.5</v>
      </c>
      <c r="M218" s="145"/>
      <c r="N218" s="18"/>
    </row>
    <row r="219">
      <c r="A219" s="145"/>
      <c r="B219" s="145"/>
      <c r="C219" s="422"/>
      <c r="D219" s="145"/>
      <c r="E219" s="145"/>
      <c r="F219" s="145"/>
      <c r="G219" s="404"/>
      <c r="H219" s="404"/>
      <c r="I219" s="404"/>
      <c r="J219" s="391">
        <f t="shared" si="2"/>
        <v>0</v>
      </c>
      <c r="K219" s="392">
        <f t="shared" si="3"/>
        <v>0</v>
      </c>
      <c r="L219" s="327">
        <f t="shared" si="4"/>
        <v>56.5</v>
      </c>
      <c r="M219" s="145"/>
      <c r="N219" s="18"/>
    </row>
    <row r="220">
      <c r="A220" s="145"/>
      <c r="B220" s="145"/>
      <c r="C220" s="422"/>
      <c r="D220" s="145"/>
      <c r="E220" s="145"/>
      <c r="F220" s="145"/>
      <c r="G220" s="404"/>
      <c r="H220" s="404"/>
      <c r="I220" s="404"/>
      <c r="J220" s="391">
        <f t="shared" si="2"/>
        <v>0</v>
      </c>
      <c r="K220" s="392">
        <f t="shared" si="3"/>
        <v>0</v>
      </c>
      <c r="L220" s="327">
        <f t="shared" si="4"/>
        <v>56.5</v>
      </c>
      <c r="M220" s="145"/>
      <c r="N220" s="18"/>
    </row>
    <row r="221">
      <c r="A221" s="145"/>
      <c r="B221" s="145"/>
      <c r="C221" s="422"/>
      <c r="D221" s="145"/>
      <c r="E221" s="145"/>
      <c r="F221" s="145"/>
      <c r="G221" s="404"/>
      <c r="H221" s="404"/>
      <c r="I221" s="404"/>
      <c r="K221" s="322"/>
      <c r="L221" s="401"/>
      <c r="M221" s="145"/>
      <c r="N221" s="18"/>
    </row>
    <row r="222">
      <c r="A222" s="145"/>
      <c r="B222" s="145"/>
      <c r="C222" s="422"/>
      <c r="D222" s="145"/>
      <c r="E222" s="145"/>
      <c r="F222" s="145"/>
      <c r="G222" s="404"/>
      <c r="H222" s="404"/>
      <c r="I222" s="404"/>
      <c r="K222" s="322"/>
      <c r="L222" s="401"/>
      <c r="M222" s="145"/>
      <c r="N222" s="18"/>
    </row>
    <row r="223">
      <c r="A223" s="145"/>
      <c r="B223" s="145"/>
      <c r="C223" s="422"/>
      <c r="D223" s="145"/>
      <c r="E223" s="145"/>
      <c r="F223" s="145"/>
      <c r="G223" s="404"/>
      <c r="H223" s="404"/>
      <c r="I223" s="404"/>
      <c r="K223" s="322"/>
      <c r="L223" s="401"/>
      <c r="M223" s="145"/>
      <c r="N223" s="18"/>
    </row>
    <row r="224">
      <c r="A224" s="145"/>
      <c r="B224" s="145"/>
      <c r="C224" s="422"/>
      <c r="D224" s="145"/>
      <c r="E224" s="145"/>
      <c r="F224" s="145"/>
      <c r="G224" s="404"/>
      <c r="H224" s="404"/>
      <c r="I224" s="404"/>
      <c r="K224" s="322"/>
      <c r="L224" s="401"/>
      <c r="M224" s="145"/>
      <c r="N224" s="18"/>
    </row>
    <row r="225">
      <c r="A225" s="145"/>
      <c r="B225" s="145"/>
      <c r="C225" s="422"/>
      <c r="D225" s="145"/>
      <c r="E225" s="145"/>
      <c r="F225" s="145"/>
      <c r="G225" s="404"/>
      <c r="H225" s="404"/>
      <c r="I225" s="404"/>
      <c r="K225" s="322"/>
      <c r="L225" s="401"/>
      <c r="M225" s="145"/>
      <c r="N225" s="18"/>
    </row>
    <row r="226">
      <c r="C226" s="164"/>
      <c r="G226" s="404"/>
      <c r="H226" s="404"/>
      <c r="I226" s="404"/>
      <c r="K226" s="322"/>
      <c r="L226" s="401"/>
      <c r="N226" s="18"/>
    </row>
    <row r="227">
      <c r="C227" s="164"/>
      <c r="G227" s="404"/>
      <c r="H227" s="404"/>
      <c r="I227" s="404"/>
      <c r="K227" s="322"/>
      <c r="L227" s="401"/>
      <c r="N227" s="18"/>
    </row>
    <row r="228">
      <c r="C228" s="164"/>
      <c r="G228" s="404"/>
      <c r="H228" s="404"/>
      <c r="I228" s="404"/>
      <c r="K228" s="322"/>
      <c r="L228" s="401"/>
      <c r="N228" s="18"/>
    </row>
    <row r="229">
      <c r="C229" s="164"/>
      <c r="G229" s="404"/>
      <c r="H229" s="404"/>
      <c r="I229" s="404"/>
      <c r="K229" s="322"/>
      <c r="L229" s="401"/>
      <c r="N229" s="18"/>
    </row>
    <row r="230">
      <c r="C230" s="164"/>
      <c r="G230" s="404"/>
      <c r="H230" s="404"/>
      <c r="I230" s="404"/>
      <c r="K230" s="322"/>
      <c r="L230" s="401"/>
      <c r="N230" s="18"/>
    </row>
    <row r="231">
      <c r="C231" s="164"/>
      <c r="G231" s="404"/>
      <c r="H231" s="404"/>
      <c r="I231" s="404"/>
      <c r="K231" s="322"/>
      <c r="L231" s="401"/>
      <c r="N231" s="18"/>
    </row>
    <row r="232">
      <c r="C232" s="164"/>
      <c r="G232" s="404"/>
      <c r="H232" s="404"/>
      <c r="I232" s="404"/>
      <c r="K232" s="322"/>
      <c r="L232" s="401"/>
      <c r="N232" s="18"/>
    </row>
    <row r="233">
      <c r="C233" s="164"/>
      <c r="G233" s="404"/>
      <c r="H233" s="404"/>
      <c r="I233" s="404"/>
      <c r="K233" s="322"/>
      <c r="L233" s="401"/>
      <c r="N233" s="18"/>
    </row>
    <row r="234">
      <c r="C234" s="164"/>
      <c r="G234" s="404"/>
      <c r="H234" s="404"/>
      <c r="I234" s="404"/>
      <c r="K234" s="322"/>
      <c r="L234" s="401"/>
      <c r="N234" s="18"/>
    </row>
    <row r="235">
      <c r="C235" s="164"/>
      <c r="G235" s="404"/>
      <c r="H235" s="404"/>
      <c r="I235" s="404"/>
      <c r="K235" s="322"/>
      <c r="L235" s="401"/>
      <c r="N235" s="18"/>
    </row>
    <row r="236">
      <c r="C236" s="164"/>
      <c r="G236" s="404"/>
      <c r="H236" s="404"/>
      <c r="I236" s="404"/>
      <c r="K236" s="322"/>
      <c r="L236" s="401"/>
      <c r="N236" s="18"/>
    </row>
    <row r="237">
      <c r="C237" s="164"/>
      <c r="G237" s="404"/>
      <c r="H237" s="404"/>
      <c r="I237" s="404"/>
      <c r="K237" s="322"/>
      <c r="L237" s="401"/>
      <c r="N237" s="18"/>
    </row>
    <row r="238">
      <c r="C238" s="164"/>
      <c r="G238" s="404"/>
      <c r="H238" s="404"/>
      <c r="I238" s="404"/>
      <c r="K238" s="322"/>
      <c r="L238" s="401"/>
      <c r="N238" s="18"/>
    </row>
    <row r="239">
      <c r="C239" s="164"/>
      <c r="G239" s="404"/>
      <c r="H239" s="404"/>
      <c r="I239" s="404"/>
      <c r="K239" s="322"/>
      <c r="L239" s="401"/>
      <c r="N239" s="18"/>
    </row>
    <row r="240">
      <c r="C240" s="164"/>
      <c r="G240" s="404"/>
      <c r="H240" s="404"/>
      <c r="I240" s="404"/>
      <c r="K240" s="322"/>
      <c r="L240" s="401"/>
      <c r="N240" s="18"/>
    </row>
    <row r="241">
      <c r="C241" s="164"/>
      <c r="G241" s="404"/>
      <c r="H241" s="404"/>
      <c r="I241" s="404"/>
      <c r="K241" s="322"/>
      <c r="L241" s="401"/>
      <c r="N241" s="18"/>
    </row>
    <row r="242">
      <c r="C242" s="164"/>
      <c r="G242" s="404"/>
      <c r="H242" s="404"/>
      <c r="I242" s="404"/>
      <c r="K242" s="322"/>
      <c r="L242" s="401"/>
      <c r="N242" s="18"/>
    </row>
    <row r="243">
      <c r="C243" s="164"/>
      <c r="G243" s="404"/>
      <c r="H243" s="404"/>
      <c r="I243" s="404"/>
      <c r="K243" s="322"/>
      <c r="L243" s="401"/>
      <c r="N243" s="18"/>
    </row>
    <row r="244">
      <c r="C244" s="164"/>
      <c r="G244" s="404"/>
      <c r="H244" s="404"/>
      <c r="I244" s="404"/>
      <c r="K244" s="322"/>
      <c r="L244" s="401"/>
      <c r="N244" s="18"/>
    </row>
    <row r="245">
      <c r="C245" s="164"/>
      <c r="G245" s="404"/>
      <c r="H245" s="404"/>
      <c r="I245" s="404"/>
      <c r="K245" s="322"/>
      <c r="L245" s="401"/>
      <c r="N245" s="18"/>
    </row>
    <row r="246">
      <c r="C246" s="164"/>
      <c r="G246" s="404"/>
      <c r="H246" s="404"/>
      <c r="I246" s="404"/>
      <c r="K246" s="322"/>
      <c r="L246" s="401"/>
      <c r="N246" s="18"/>
    </row>
    <row r="247">
      <c r="C247" s="164"/>
      <c r="G247" s="404"/>
      <c r="H247" s="404"/>
      <c r="I247" s="404"/>
      <c r="K247" s="322"/>
      <c r="L247" s="401"/>
      <c r="N247" s="18"/>
    </row>
    <row r="248">
      <c r="C248" s="164"/>
      <c r="G248" s="404"/>
      <c r="H248" s="404"/>
      <c r="I248" s="404"/>
      <c r="K248" s="322"/>
      <c r="L248" s="401"/>
      <c r="N248" s="18"/>
    </row>
    <row r="249">
      <c r="C249" s="164"/>
      <c r="G249" s="404"/>
      <c r="H249" s="404"/>
      <c r="I249" s="404"/>
      <c r="K249" s="322"/>
      <c r="L249" s="401"/>
      <c r="N249" s="18"/>
    </row>
    <row r="250">
      <c r="C250" s="164"/>
      <c r="G250" s="404"/>
      <c r="H250" s="404"/>
      <c r="I250" s="404"/>
      <c r="K250" s="322"/>
      <c r="L250" s="401"/>
      <c r="N250" s="18"/>
    </row>
    <row r="251">
      <c r="C251" s="164"/>
      <c r="G251" s="404"/>
      <c r="H251" s="404"/>
      <c r="I251" s="404"/>
      <c r="K251" s="322"/>
      <c r="L251" s="401"/>
      <c r="N251" s="18"/>
    </row>
    <row r="252">
      <c r="C252" s="164"/>
      <c r="G252" s="404"/>
      <c r="H252" s="404"/>
      <c r="I252" s="404"/>
      <c r="K252" s="322"/>
      <c r="L252" s="401"/>
      <c r="N252" s="18"/>
    </row>
    <row r="253">
      <c r="C253" s="164"/>
      <c r="G253" s="404"/>
      <c r="H253" s="404"/>
      <c r="I253" s="404"/>
      <c r="K253" s="322"/>
      <c r="L253" s="401"/>
      <c r="N253" s="18"/>
    </row>
    <row r="254">
      <c r="C254" s="164"/>
      <c r="G254" s="404"/>
      <c r="H254" s="404"/>
      <c r="I254" s="404"/>
      <c r="K254" s="322"/>
      <c r="L254" s="401"/>
      <c r="N254" s="18"/>
    </row>
    <row r="255">
      <c r="C255" s="164"/>
      <c r="G255" s="404"/>
      <c r="H255" s="404"/>
      <c r="I255" s="404"/>
      <c r="K255" s="322"/>
      <c r="L255" s="401"/>
      <c r="N255" s="18"/>
    </row>
    <row r="256">
      <c r="C256" s="164"/>
      <c r="G256" s="404"/>
      <c r="H256" s="404"/>
      <c r="I256" s="404"/>
      <c r="K256" s="322"/>
      <c r="L256" s="401"/>
      <c r="N256" s="18"/>
    </row>
    <row r="257">
      <c r="C257" s="164"/>
      <c r="G257" s="404"/>
      <c r="H257" s="404"/>
      <c r="I257" s="404"/>
      <c r="K257" s="322"/>
      <c r="L257" s="401"/>
      <c r="N257" s="18"/>
    </row>
    <row r="258">
      <c r="C258" s="164"/>
      <c r="G258" s="404"/>
      <c r="H258" s="404"/>
      <c r="I258" s="404"/>
      <c r="K258" s="322"/>
      <c r="L258" s="401"/>
      <c r="N258" s="18"/>
    </row>
    <row r="259">
      <c r="C259" s="164"/>
      <c r="G259" s="404"/>
      <c r="H259" s="404"/>
      <c r="I259" s="404"/>
      <c r="K259" s="322"/>
      <c r="L259" s="401"/>
      <c r="N259" s="18"/>
    </row>
    <row r="260">
      <c r="C260" s="164"/>
      <c r="G260" s="404"/>
      <c r="H260" s="404"/>
      <c r="I260" s="404"/>
      <c r="K260" s="322"/>
      <c r="L260" s="401"/>
      <c r="N260" s="18"/>
    </row>
    <row r="261">
      <c r="C261" s="164"/>
      <c r="G261" s="404"/>
      <c r="H261" s="404"/>
      <c r="I261" s="404"/>
      <c r="K261" s="322"/>
      <c r="L261" s="401"/>
      <c r="N261" s="18"/>
    </row>
    <row r="262">
      <c r="C262" s="164"/>
      <c r="G262" s="404"/>
      <c r="H262" s="404"/>
      <c r="I262" s="404"/>
      <c r="K262" s="322"/>
      <c r="L262" s="401"/>
      <c r="N262" s="18"/>
    </row>
    <row r="263">
      <c r="C263" s="164"/>
      <c r="G263" s="404"/>
      <c r="H263" s="404"/>
      <c r="I263" s="404"/>
      <c r="K263" s="322"/>
      <c r="L263" s="401"/>
      <c r="N263" s="18"/>
    </row>
    <row r="264">
      <c r="C264" s="164"/>
      <c r="G264" s="404"/>
      <c r="H264" s="404"/>
      <c r="I264" s="404"/>
      <c r="K264" s="322"/>
      <c r="L264" s="401"/>
      <c r="N264" s="18"/>
    </row>
    <row r="265">
      <c r="C265" s="164"/>
      <c r="G265" s="404"/>
      <c r="H265" s="404"/>
      <c r="I265" s="404"/>
      <c r="K265" s="322"/>
      <c r="L265" s="401"/>
      <c r="N265" s="18"/>
    </row>
    <row r="266">
      <c r="C266" s="164"/>
      <c r="G266" s="404"/>
      <c r="H266" s="404"/>
      <c r="I266" s="404"/>
      <c r="K266" s="322"/>
      <c r="L266" s="401"/>
      <c r="N266" s="18"/>
    </row>
    <row r="267">
      <c r="C267" s="164"/>
      <c r="G267" s="404"/>
      <c r="H267" s="404"/>
      <c r="I267" s="404"/>
      <c r="K267" s="322"/>
      <c r="L267" s="401"/>
      <c r="N267" s="18"/>
    </row>
    <row r="268">
      <c r="C268" s="164"/>
      <c r="G268" s="404"/>
      <c r="H268" s="404"/>
      <c r="I268" s="404"/>
      <c r="K268" s="322"/>
      <c r="L268" s="401"/>
      <c r="N268" s="18"/>
    </row>
    <row r="269">
      <c r="C269" s="164"/>
      <c r="G269" s="404"/>
      <c r="H269" s="404"/>
      <c r="I269" s="404"/>
      <c r="K269" s="322"/>
      <c r="L269" s="401"/>
      <c r="N269" s="18"/>
    </row>
    <row r="270">
      <c r="C270" s="164"/>
      <c r="G270" s="404"/>
      <c r="H270" s="404"/>
      <c r="I270" s="404"/>
      <c r="K270" s="322"/>
      <c r="L270" s="401"/>
      <c r="N270" s="18"/>
    </row>
    <row r="271">
      <c r="C271" s="164"/>
      <c r="G271" s="404"/>
      <c r="H271" s="404"/>
      <c r="I271" s="404"/>
      <c r="K271" s="322"/>
      <c r="L271" s="401"/>
      <c r="N271" s="18"/>
    </row>
    <row r="272">
      <c r="C272" s="164"/>
      <c r="G272" s="404"/>
      <c r="H272" s="404"/>
      <c r="I272" s="404"/>
      <c r="K272" s="322"/>
      <c r="L272" s="401"/>
      <c r="N272" s="18"/>
    </row>
    <row r="273">
      <c r="C273" s="164"/>
      <c r="G273" s="404"/>
      <c r="H273" s="404"/>
      <c r="I273" s="404"/>
      <c r="K273" s="322"/>
      <c r="L273" s="401"/>
      <c r="N273" s="18"/>
    </row>
    <row r="274">
      <c r="C274" s="164"/>
      <c r="G274" s="404"/>
      <c r="H274" s="404"/>
      <c r="I274" s="404"/>
      <c r="K274" s="322"/>
      <c r="L274" s="401"/>
      <c r="N274" s="18"/>
    </row>
    <row r="275">
      <c r="C275" s="164"/>
      <c r="G275" s="404"/>
      <c r="H275" s="404"/>
      <c r="I275" s="404"/>
      <c r="K275" s="322"/>
      <c r="L275" s="401"/>
      <c r="N275" s="18"/>
    </row>
    <row r="276">
      <c r="C276" s="164"/>
      <c r="G276" s="404"/>
      <c r="H276" s="404"/>
      <c r="I276" s="404"/>
      <c r="K276" s="322"/>
      <c r="L276" s="401"/>
      <c r="N276" s="18"/>
    </row>
    <row r="277">
      <c r="C277" s="164"/>
      <c r="G277" s="404"/>
      <c r="H277" s="404"/>
      <c r="I277" s="404"/>
      <c r="K277" s="322"/>
      <c r="L277" s="401"/>
      <c r="N277" s="18"/>
    </row>
    <row r="278">
      <c r="C278" s="164"/>
      <c r="G278" s="404"/>
      <c r="H278" s="404"/>
      <c r="I278" s="404"/>
      <c r="K278" s="322"/>
      <c r="L278" s="401"/>
      <c r="N278" s="18"/>
    </row>
    <row r="279">
      <c r="C279" s="164"/>
      <c r="G279" s="404"/>
      <c r="H279" s="404"/>
      <c r="I279" s="404"/>
      <c r="K279" s="322"/>
      <c r="L279" s="401"/>
      <c r="N279" s="18"/>
    </row>
    <row r="280">
      <c r="C280" s="164"/>
      <c r="G280" s="404"/>
      <c r="H280" s="404"/>
      <c r="I280" s="404"/>
      <c r="K280" s="322"/>
      <c r="L280" s="401"/>
      <c r="N280" s="18"/>
    </row>
    <row r="281">
      <c r="C281" s="164"/>
      <c r="G281" s="404"/>
      <c r="H281" s="404"/>
      <c r="I281" s="404"/>
      <c r="K281" s="322"/>
      <c r="L281" s="401"/>
      <c r="N281" s="18"/>
    </row>
    <row r="282">
      <c r="C282" s="164"/>
      <c r="G282" s="404"/>
      <c r="H282" s="404"/>
      <c r="I282" s="404"/>
      <c r="K282" s="322"/>
      <c r="L282" s="401"/>
      <c r="N282" s="18"/>
    </row>
    <row r="283">
      <c r="C283" s="164"/>
      <c r="G283" s="404"/>
      <c r="H283" s="404"/>
      <c r="I283" s="404"/>
      <c r="K283" s="322"/>
      <c r="L283" s="401"/>
      <c r="N283" s="18"/>
    </row>
    <row r="284">
      <c r="C284" s="164"/>
      <c r="G284" s="404"/>
      <c r="H284" s="404"/>
      <c r="I284" s="404"/>
      <c r="K284" s="322"/>
      <c r="L284" s="401"/>
      <c r="N284" s="18"/>
    </row>
    <row r="285">
      <c r="C285" s="164"/>
      <c r="G285" s="404"/>
      <c r="H285" s="404"/>
      <c r="I285" s="404"/>
      <c r="K285" s="322"/>
      <c r="L285" s="401"/>
      <c r="N285" s="18"/>
    </row>
    <row r="286">
      <c r="C286" s="164"/>
      <c r="G286" s="404"/>
      <c r="H286" s="404"/>
      <c r="I286" s="404"/>
      <c r="K286" s="322"/>
      <c r="L286" s="401"/>
      <c r="N286" s="18"/>
    </row>
    <row r="287">
      <c r="C287" s="164"/>
      <c r="G287" s="404"/>
      <c r="H287" s="404"/>
      <c r="I287" s="404"/>
      <c r="K287" s="322"/>
      <c r="L287" s="401"/>
      <c r="N287" s="18"/>
    </row>
    <row r="288">
      <c r="C288" s="164"/>
      <c r="G288" s="404"/>
      <c r="H288" s="404"/>
      <c r="I288" s="404"/>
      <c r="K288" s="322"/>
      <c r="L288" s="401"/>
      <c r="N288" s="18"/>
    </row>
    <row r="289">
      <c r="C289" s="164"/>
      <c r="G289" s="404"/>
      <c r="H289" s="404"/>
      <c r="I289" s="404"/>
      <c r="K289" s="322"/>
      <c r="L289" s="401"/>
      <c r="N289" s="18"/>
    </row>
    <row r="290">
      <c r="C290" s="164"/>
      <c r="G290" s="404"/>
      <c r="H290" s="404"/>
      <c r="I290" s="404"/>
      <c r="K290" s="322"/>
      <c r="L290" s="401"/>
      <c r="N290" s="18"/>
    </row>
    <row r="291">
      <c r="C291" s="164"/>
      <c r="G291" s="404"/>
      <c r="H291" s="404"/>
      <c r="I291" s="404"/>
      <c r="K291" s="322"/>
      <c r="L291" s="401"/>
      <c r="N291" s="18"/>
    </row>
    <row r="292">
      <c r="C292" s="164"/>
      <c r="G292" s="404"/>
      <c r="H292" s="404"/>
      <c r="I292" s="404"/>
      <c r="K292" s="322"/>
      <c r="L292" s="401"/>
      <c r="N292" s="18"/>
    </row>
    <row r="293">
      <c r="C293" s="164"/>
      <c r="G293" s="404"/>
      <c r="H293" s="404"/>
      <c r="I293" s="404"/>
      <c r="K293" s="322"/>
      <c r="L293" s="401"/>
      <c r="N293" s="18"/>
    </row>
    <row r="294">
      <c r="C294" s="164"/>
      <c r="G294" s="404"/>
      <c r="H294" s="404"/>
      <c r="I294" s="404"/>
      <c r="K294" s="322"/>
      <c r="L294" s="401"/>
      <c r="N294" s="18"/>
    </row>
    <row r="295">
      <c r="C295" s="164"/>
      <c r="G295" s="404"/>
      <c r="H295" s="404"/>
      <c r="I295" s="404"/>
      <c r="K295" s="322"/>
      <c r="L295" s="401"/>
      <c r="N295" s="18"/>
    </row>
    <row r="296">
      <c r="C296" s="164"/>
      <c r="G296" s="404"/>
      <c r="H296" s="404"/>
      <c r="I296" s="404"/>
      <c r="K296" s="322"/>
      <c r="L296" s="401"/>
      <c r="N296" s="18"/>
    </row>
    <row r="297">
      <c r="C297" s="164"/>
      <c r="G297" s="404"/>
      <c r="H297" s="404"/>
      <c r="I297" s="404"/>
      <c r="K297" s="322"/>
      <c r="L297" s="401"/>
      <c r="N297" s="18"/>
    </row>
    <row r="298">
      <c r="C298" s="164"/>
      <c r="G298" s="404"/>
      <c r="H298" s="404"/>
      <c r="I298" s="404"/>
      <c r="K298" s="322"/>
      <c r="L298" s="401"/>
      <c r="N298" s="18"/>
    </row>
    <row r="299">
      <c r="C299" s="164"/>
      <c r="G299" s="404"/>
      <c r="H299" s="404"/>
      <c r="I299" s="404"/>
      <c r="K299" s="322"/>
      <c r="L299" s="401"/>
      <c r="N299" s="18"/>
    </row>
    <row r="300">
      <c r="C300" s="164"/>
      <c r="G300" s="404"/>
      <c r="H300" s="404"/>
      <c r="I300" s="404"/>
      <c r="K300" s="322"/>
      <c r="L300" s="401"/>
      <c r="N300" s="18"/>
    </row>
    <row r="301">
      <c r="C301" s="164"/>
      <c r="G301" s="404"/>
      <c r="H301" s="404"/>
      <c r="I301" s="404"/>
      <c r="K301" s="322"/>
      <c r="L301" s="401"/>
      <c r="N301" s="18"/>
    </row>
    <row r="302">
      <c r="C302" s="164"/>
      <c r="G302" s="404"/>
      <c r="H302" s="404"/>
      <c r="I302" s="404"/>
      <c r="K302" s="322"/>
      <c r="L302" s="401"/>
      <c r="N302" s="18"/>
    </row>
    <row r="303">
      <c r="C303" s="164"/>
      <c r="G303" s="404"/>
      <c r="H303" s="404"/>
      <c r="I303" s="404"/>
      <c r="K303" s="322"/>
      <c r="L303" s="401"/>
      <c r="N303" s="18"/>
    </row>
    <row r="304">
      <c r="C304" s="164"/>
      <c r="G304" s="404"/>
      <c r="H304" s="404"/>
      <c r="I304" s="404"/>
      <c r="K304" s="322"/>
      <c r="L304" s="401"/>
      <c r="N304" s="18"/>
    </row>
    <row r="305">
      <c r="C305" s="164"/>
      <c r="G305" s="404"/>
      <c r="H305" s="404"/>
      <c r="I305" s="404"/>
      <c r="K305" s="322"/>
      <c r="L305" s="401"/>
      <c r="N305" s="18"/>
    </row>
    <row r="306">
      <c r="C306" s="164"/>
      <c r="G306" s="404"/>
      <c r="H306" s="404"/>
      <c r="I306" s="404"/>
      <c r="K306" s="322"/>
      <c r="L306" s="401"/>
      <c r="N306" s="18"/>
    </row>
    <row r="307">
      <c r="C307" s="164"/>
      <c r="G307" s="404"/>
      <c r="H307" s="404"/>
      <c r="I307" s="404"/>
      <c r="K307" s="322"/>
      <c r="L307" s="401"/>
      <c r="N307" s="18"/>
    </row>
    <row r="308">
      <c r="C308" s="164"/>
      <c r="G308" s="404"/>
      <c r="H308" s="404"/>
      <c r="I308" s="404"/>
      <c r="K308" s="322"/>
      <c r="L308" s="401"/>
      <c r="N308" s="18"/>
    </row>
    <row r="309">
      <c r="C309" s="164"/>
      <c r="G309" s="404"/>
      <c r="H309" s="404"/>
      <c r="I309" s="404"/>
      <c r="K309" s="322"/>
      <c r="L309" s="401"/>
      <c r="N309" s="18"/>
    </row>
    <row r="310">
      <c r="C310" s="164"/>
      <c r="G310" s="404"/>
      <c r="H310" s="404"/>
      <c r="I310" s="404"/>
      <c r="K310" s="322"/>
      <c r="L310" s="401"/>
      <c r="N310" s="18"/>
    </row>
    <row r="311">
      <c r="C311" s="164"/>
      <c r="G311" s="404"/>
      <c r="H311" s="404"/>
      <c r="I311" s="404"/>
      <c r="K311" s="322"/>
      <c r="L311" s="401"/>
      <c r="N311" s="18"/>
    </row>
    <row r="312">
      <c r="C312" s="164"/>
      <c r="G312" s="404"/>
      <c r="H312" s="404"/>
      <c r="I312" s="404"/>
      <c r="K312" s="322"/>
      <c r="L312" s="401"/>
      <c r="N312" s="18"/>
    </row>
    <row r="313">
      <c r="C313" s="164"/>
      <c r="G313" s="404"/>
      <c r="H313" s="404"/>
      <c r="I313" s="404"/>
      <c r="K313" s="322"/>
      <c r="L313" s="401"/>
      <c r="N313" s="18"/>
    </row>
    <row r="314">
      <c r="C314" s="164"/>
      <c r="G314" s="404"/>
      <c r="H314" s="404"/>
      <c r="I314" s="404"/>
      <c r="K314" s="322"/>
      <c r="L314" s="401"/>
      <c r="N314" s="18"/>
    </row>
    <row r="315">
      <c r="C315" s="164"/>
      <c r="G315" s="404"/>
      <c r="H315" s="404"/>
      <c r="I315" s="404"/>
      <c r="K315" s="322"/>
      <c r="L315" s="401"/>
      <c r="N315" s="18"/>
    </row>
    <row r="316">
      <c r="C316" s="164"/>
      <c r="G316" s="404"/>
      <c r="H316" s="404"/>
      <c r="I316" s="404"/>
      <c r="K316" s="322"/>
      <c r="L316" s="401"/>
      <c r="N316" s="18"/>
    </row>
    <row r="317">
      <c r="C317" s="164"/>
      <c r="G317" s="404"/>
      <c r="H317" s="404"/>
      <c r="I317" s="404"/>
      <c r="K317" s="322"/>
      <c r="L317" s="401"/>
      <c r="N317" s="18"/>
    </row>
    <row r="318">
      <c r="C318" s="164"/>
      <c r="G318" s="404"/>
      <c r="H318" s="404"/>
      <c r="I318" s="404"/>
      <c r="K318" s="322"/>
      <c r="L318" s="401"/>
      <c r="N318" s="18"/>
    </row>
    <row r="319">
      <c r="C319" s="164"/>
      <c r="G319" s="404"/>
      <c r="H319" s="404"/>
      <c r="I319" s="404"/>
      <c r="K319" s="322"/>
      <c r="L319" s="401"/>
      <c r="N319" s="18"/>
    </row>
    <row r="320">
      <c r="C320" s="164"/>
      <c r="G320" s="404"/>
      <c r="H320" s="404"/>
      <c r="I320" s="404"/>
      <c r="K320" s="322"/>
      <c r="L320" s="401"/>
      <c r="N320" s="18"/>
    </row>
    <row r="321">
      <c r="C321" s="164"/>
      <c r="G321" s="404"/>
      <c r="H321" s="404"/>
      <c r="I321" s="404"/>
      <c r="K321" s="322"/>
      <c r="L321" s="401"/>
      <c r="N321" s="18"/>
    </row>
    <row r="322">
      <c r="C322" s="164"/>
      <c r="G322" s="404"/>
      <c r="H322" s="404"/>
      <c r="I322" s="404"/>
      <c r="K322" s="322"/>
      <c r="L322" s="401"/>
      <c r="N322" s="18"/>
    </row>
    <row r="323">
      <c r="C323" s="164"/>
      <c r="G323" s="404"/>
      <c r="H323" s="404"/>
      <c r="I323" s="404"/>
      <c r="K323" s="322"/>
      <c r="L323" s="401"/>
      <c r="N323" s="18"/>
    </row>
    <row r="324">
      <c r="C324" s="164"/>
      <c r="G324" s="404"/>
      <c r="H324" s="404"/>
      <c r="I324" s="404"/>
      <c r="K324" s="322"/>
      <c r="L324" s="401"/>
      <c r="N324" s="18"/>
    </row>
    <row r="325">
      <c r="C325" s="164"/>
      <c r="G325" s="404"/>
      <c r="H325" s="404"/>
      <c r="I325" s="404"/>
      <c r="K325" s="322"/>
      <c r="L325" s="401"/>
      <c r="N325" s="18"/>
    </row>
    <row r="326">
      <c r="C326" s="164"/>
      <c r="G326" s="404"/>
      <c r="H326" s="404"/>
      <c r="I326" s="404"/>
      <c r="K326" s="322"/>
      <c r="L326" s="401"/>
      <c r="N326" s="18"/>
    </row>
    <row r="327">
      <c r="C327" s="164"/>
      <c r="G327" s="404"/>
      <c r="H327" s="404"/>
      <c r="I327" s="404"/>
      <c r="K327" s="322"/>
      <c r="L327" s="401"/>
      <c r="N327" s="18"/>
    </row>
    <row r="328">
      <c r="C328" s="164"/>
      <c r="G328" s="404"/>
      <c r="H328" s="404"/>
      <c r="I328" s="404"/>
      <c r="K328" s="322"/>
      <c r="L328" s="401"/>
      <c r="N328" s="18"/>
    </row>
    <row r="329">
      <c r="C329" s="164"/>
      <c r="G329" s="404"/>
      <c r="H329" s="404"/>
      <c r="I329" s="404"/>
      <c r="K329" s="322"/>
      <c r="L329" s="401"/>
      <c r="N329" s="18"/>
    </row>
    <row r="330">
      <c r="C330" s="164"/>
      <c r="G330" s="404"/>
      <c r="H330" s="404"/>
      <c r="I330" s="404"/>
      <c r="K330" s="322"/>
      <c r="L330" s="401"/>
      <c r="N330" s="18"/>
    </row>
    <row r="331">
      <c r="C331" s="164"/>
      <c r="G331" s="404"/>
      <c r="H331" s="404"/>
      <c r="I331" s="404"/>
      <c r="K331" s="322"/>
      <c r="L331" s="401"/>
      <c r="N331" s="18"/>
    </row>
    <row r="332">
      <c r="C332" s="164"/>
      <c r="G332" s="404"/>
      <c r="H332" s="404"/>
      <c r="I332" s="404"/>
      <c r="K332" s="322"/>
      <c r="L332" s="401"/>
      <c r="N332" s="18"/>
    </row>
    <row r="333">
      <c r="C333" s="164"/>
      <c r="G333" s="404"/>
      <c r="H333" s="404"/>
      <c r="I333" s="404"/>
      <c r="K333" s="322"/>
      <c r="L333" s="401"/>
      <c r="N333" s="18"/>
    </row>
    <row r="334">
      <c r="C334" s="164"/>
      <c r="G334" s="404"/>
      <c r="H334" s="404"/>
      <c r="I334" s="404"/>
      <c r="K334" s="322"/>
      <c r="L334" s="401"/>
      <c r="N334" s="18"/>
    </row>
    <row r="335">
      <c r="C335" s="164"/>
      <c r="G335" s="404"/>
      <c r="H335" s="404"/>
      <c r="I335" s="404"/>
      <c r="K335" s="322"/>
      <c r="L335" s="401"/>
      <c r="N335" s="18"/>
    </row>
    <row r="336">
      <c r="C336" s="164"/>
      <c r="G336" s="404"/>
      <c r="H336" s="404"/>
      <c r="I336" s="404"/>
      <c r="K336" s="322"/>
      <c r="L336" s="401"/>
      <c r="N336" s="18"/>
    </row>
    <row r="337">
      <c r="C337" s="164"/>
      <c r="G337" s="404"/>
      <c r="H337" s="404"/>
      <c r="I337" s="404"/>
      <c r="K337" s="322"/>
      <c r="L337" s="401"/>
      <c r="N337" s="18"/>
    </row>
    <row r="338">
      <c r="C338" s="164"/>
      <c r="G338" s="404"/>
      <c r="H338" s="404"/>
      <c r="I338" s="404"/>
      <c r="K338" s="322"/>
      <c r="L338" s="401"/>
      <c r="N338" s="18"/>
    </row>
    <row r="339">
      <c r="C339" s="164"/>
      <c r="G339" s="404"/>
      <c r="H339" s="404"/>
      <c r="I339" s="404"/>
      <c r="K339" s="322"/>
      <c r="L339" s="401"/>
      <c r="N339" s="18"/>
    </row>
    <row r="340">
      <c r="C340" s="164"/>
      <c r="G340" s="404"/>
      <c r="H340" s="404"/>
      <c r="I340" s="404"/>
      <c r="K340" s="322"/>
      <c r="L340" s="401"/>
      <c r="N340" s="18"/>
    </row>
    <row r="341">
      <c r="C341" s="164"/>
      <c r="G341" s="404"/>
      <c r="H341" s="404"/>
      <c r="I341" s="404"/>
      <c r="K341" s="322"/>
      <c r="L341" s="401"/>
      <c r="N341" s="18"/>
    </row>
    <row r="342">
      <c r="C342" s="164"/>
      <c r="G342" s="404"/>
      <c r="H342" s="404"/>
      <c r="I342" s="404"/>
      <c r="K342" s="322"/>
      <c r="L342" s="401"/>
      <c r="N342" s="18"/>
    </row>
    <row r="343">
      <c r="C343" s="164"/>
      <c r="G343" s="404"/>
      <c r="H343" s="404"/>
      <c r="I343" s="404"/>
      <c r="K343" s="322"/>
      <c r="L343" s="401"/>
      <c r="N343" s="18"/>
    </row>
    <row r="344">
      <c r="C344" s="164"/>
      <c r="G344" s="404"/>
      <c r="H344" s="404"/>
      <c r="I344" s="404"/>
      <c r="K344" s="322"/>
      <c r="L344" s="401"/>
      <c r="N344" s="18"/>
    </row>
    <row r="345">
      <c r="C345" s="164"/>
      <c r="G345" s="404"/>
      <c r="H345" s="404"/>
      <c r="I345" s="404"/>
      <c r="K345" s="322"/>
      <c r="L345" s="401"/>
      <c r="N345" s="18"/>
    </row>
    <row r="346">
      <c r="C346" s="164"/>
      <c r="G346" s="404"/>
      <c r="H346" s="404"/>
      <c r="I346" s="404"/>
      <c r="K346" s="322"/>
      <c r="L346" s="401"/>
      <c r="N346" s="18"/>
    </row>
    <row r="347">
      <c r="C347" s="164"/>
      <c r="G347" s="404"/>
      <c r="H347" s="404"/>
      <c r="I347" s="404"/>
      <c r="K347" s="322"/>
      <c r="L347" s="401"/>
      <c r="N347" s="18"/>
    </row>
    <row r="348">
      <c r="C348" s="164"/>
      <c r="G348" s="404"/>
      <c r="H348" s="404"/>
      <c r="I348" s="404"/>
      <c r="K348" s="322"/>
      <c r="L348" s="401"/>
      <c r="N348" s="18"/>
    </row>
    <row r="349">
      <c r="C349" s="164"/>
      <c r="G349" s="404"/>
      <c r="H349" s="404"/>
      <c r="I349" s="404"/>
      <c r="K349" s="322"/>
      <c r="L349" s="401"/>
      <c r="N349" s="18"/>
    </row>
    <row r="350">
      <c r="C350" s="164"/>
      <c r="G350" s="404"/>
      <c r="H350" s="404"/>
      <c r="I350" s="404"/>
      <c r="K350" s="322"/>
      <c r="L350" s="401"/>
      <c r="N350" s="18"/>
    </row>
    <row r="351">
      <c r="C351" s="164"/>
      <c r="G351" s="404"/>
      <c r="H351" s="404"/>
      <c r="I351" s="404"/>
      <c r="K351" s="322"/>
      <c r="L351" s="401"/>
      <c r="N351" s="18"/>
    </row>
    <row r="352">
      <c r="C352" s="164"/>
      <c r="G352" s="404"/>
      <c r="H352" s="404"/>
      <c r="I352" s="404"/>
      <c r="K352" s="322"/>
      <c r="L352" s="401"/>
      <c r="N352" s="18"/>
    </row>
    <row r="353">
      <c r="C353" s="164"/>
      <c r="G353" s="404"/>
      <c r="H353" s="404"/>
      <c r="I353" s="404"/>
      <c r="K353" s="322"/>
      <c r="L353" s="401"/>
      <c r="N353" s="18"/>
    </row>
    <row r="354">
      <c r="C354" s="164"/>
      <c r="G354" s="404"/>
      <c r="H354" s="404"/>
      <c r="I354" s="404"/>
      <c r="K354" s="322"/>
      <c r="L354" s="401"/>
      <c r="N354" s="18"/>
    </row>
    <row r="355">
      <c r="C355" s="164"/>
      <c r="G355" s="404"/>
      <c r="H355" s="404"/>
      <c r="I355" s="404"/>
      <c r="K355" s="322"/>
      <c r="L355" s="401"/>
      <c r="N355" s="18"/>
    </row>
    <row r="356">
      <c r="C356" s="164"/>
      <c r="G356" s="404"/>
      <c r="H356" s="404"/>
      <c r="I356" s="404"/>
      <c r="K356" s="322"/>
      <c r="L356" s="401"/>
      <c r="N356" s="18"/>
    </row>
    <row r="357">
      <c r="C357" s="164"/>
      <c r="G357" s="404"/>
      <c r="H357" s="404"/>
      <c r="I357" s="404"/>
      <c r="K357" s="322"/>
      <c r="L357" s="401"/>
      <c r="N357" s="18"/>
    </row>
    <row r="358">
      <c r="C358" s="164"/>
      <c r="G358" s="404"/>
      <c r="H358" s="404"/>
      <c r="I358" s="404"/>
      <c r="K358" s="322"/>
      <c r="L358" s="401"/>
      <c r="N358" s="18"/>
    </row>
    <row r="359">
      <c r="C359" s="164"/>
      <c r="G359" s="404"/>
      <c r="H359" s="404"/>
      <c r="I359" s="404"/>
      <c r="K359" s="322"/>
      <c r="L359" s="401"/>
      <c r="N359" s="18"/>
    </row>
    <row r="360">
      <c r="C360" s="164"/>
      <c r="G360" s="404"/>
      <c r="H360" s="404"/>
      <c r="I360" s="404"/>
      <c r="K360" s="322"/>
      <c r="L360" s="401"/>
      <c r="N360" s="18"/>
    </row>
    <row r="361">
      <c r="C361" s="164"/>
      <c r="G361" s="404"/>
      <c r="H361" s="404"/>
      <c r="I361" s="404"/>
      <c r="K361" s="322"/>
      <c r="L361" s="401"/>
      <c r="N361" s="18"/>
    </row>
    <row r="362">
      <c r="C362" s="164"/>
      <c r="G362" s="404"/>
      <c r="H362" s="404"/>
      <c r="I362" s="404"/>
      <c r="K362" s="322"/>
      <c r="L362" s="401"/>
      <c r="N362" s="18"/>
    </row>
    <row r="363">
      <c r="C363" s="164"/>
      <c r="G363" s="404"/>
      <c r="H363" s="404"/>
      <c r="I363" s="404"/>
      <c r="K363" s="322"/>
      <c r="L363" s="401"/>
      <c r="N363" s="18"/>
    </row>
    <row r="364">
      <c r="C364" s="164"/>
      <c r="G364" s="404"/>
      <c r="H364" s="404"/>
      <c r="I364" s="404"/>
      <c r="K364" s="322"/>
      <c r="L364" s="401"/>
      <c r="N364" s="18"/>
    </row>
    <row r="365">
      <c r="C365" s="164"/>
      <c r="G365" s="404"/>
      <c r="H365" s="404"/>
      <c r="I365" s="404"/>
      <c r="K365" s="322"/>
      <c r="L365" s="401"/>
      <c r="N365" s="18"/>
    </row>
    <row r="366">
      <c r="C366" s="164"/>
      <c r="G366" s="404"/>
      <c r="H366" s="404"/>
      <c r="I366" s="404"/>
      <c r="K366" s="322"/>
      <c r="L366" s="401"/>
      <c r="N366" s="18"/>
    </row>
    <row r="367">
      <c r="C367" s="164"/>
      <c r="G367" s="404"/>
      <c r="H367" s="404"/>
      <c r="I367" s="404"/>
      <c r="K367" s="322"/>
      <c r="L367" s="401"/>
      <c r="N367" s="18"/>
    </row>
    <row r="368">
      <c r="C368" s="164"/>
      <c r="G368" s="404"/>
      <c r="H368" s="404"/>
      <c r="I368" s="404"/>
      <c r="K368" s="322"/>
      <c r="L368" s="401"/>
      <c r="N368" s="18"/>
    </row>
    <row r="369">
      <c r="C369" s="164"/>
      <c r="G369" s="404"/>
      <c r="H369" s="404"/>
      <c r="I369" s="404"/>
      <c r="K369" s="322"/>
      <c r="L369" s="401"/>
      <c r="N369" s="18"/>
    </row>
    <row r="370">
      <c r="C370" s="164"/>
      <c r="G370" s="404"/>
      <c r="H370" s="404"/>
      <c r="I370" s="404"/>
      <c r="K370" s="322"/>
      <c r="L370" s="401"/>
      <c r="N370" s="18"/>
    </row>
    <row r="371">
      <c r="C371" s="164"/>
      <c r="G371" s="404"/>
      <c r="H371" s="404"/>
      <c r="I371" s="404"/>
      <c r="K371" s="322"/>
      <c r="L371" s="401"/>
      <c r="N371" s="18"/>
    </row>
    <row r="372">
      <c r="C372" s="164"/>
      <c r="G372" s="404"/>
      <c r="H372" s="404"/>
      <c r="I372" s="404"/>
      <c r="K372" s="322"/>
      <c r="L372" s="401"/>
      <c r="N372" s="18"/>
    </row>
    <row r="373">
      <c r="C373" s="164"/>
      <c r="G373" s="404"/>
      <c r="H373" s="404"/>
      <c r="I373" s="404"/>
      <c r="K373" s="322"/>
      <c r="L373" s="401"/>
      <c r="N373" s="18"/>
    </row>
    <row r="374">
      <c r="C374" s="164"/>
      <c r="G374" s="404"/>
      <c r="H374" s="404"/>
      <c r="I374" s="404"/>
      <c r="K374" s="322"/>
      <c r="L374" s="401"/>
      <c r="N374" s="18"/>
    </row>
    <row r="375">
      <c r="C375" s="164"/>
      <c r="G375" s="404"/>
      <c r="H375" s="404"/>
      <c r="I375" s="404"/>
      <c r="K375" s="322"/>
      <c r="L375" s="401"/>
      <c r="N375" s="18"/>
    </row>
    <row r="376">
      <c r="C376" s="164"/>
      <c r="G376" s="404"/>
      <c r="H376" s="404"/>
      <c r="I376" s="404"/>
      <c r="K376" s="322"/>
      <c r="L376" s="401"/>
      <c r="N376" s="18"/>
    </row>
    <row r="377">
      <c r="C377" s="164"/>
      <c r="G377" s="404"/>
      <c r="H377" s="404"/>
      <c r="I377" s="404"/>
      <c r="K377" s="322"/>
      <c r="L377" s="401"/>
      <c r="N377" s="18"/>
    </row>
    <row r="378">
      <c r="C378" s="164"/>
      <c r="G378" s="404"/>
      <c r="H378" s="404"/>
      <c r="I378" s="404"/>
      <c r="K378" s="322"/>
      <c r="L378" s="401"/>
      <c r="N378" s="18"/>
    </row>
    <row r="379">
      <c r="C379" s="164"/>
      <c r="G379" s="404"/>
      <c r="H379" s="404"/>
      <c r="I379" s="404"/>
      <c r="K379" s="322"/>
      <c r="L379" s="401"/>
      <c r="N379" s="18"/>
    </row>
    <row r="380">
      <c r="C380" s="164"/>
      <c r="G380" s="404"/>
      <c r="H380" s="404"/>
      <c r="I380" s="404"/>
      <c r="K380" s="322"/>
      <c r="L380" s="401"/>
      <c r="N380" s="18"/>
    </row>
    <row r="381">
      <c r="C381" s="164"/>
      <c r="G381" s="404"/>
      <c r="H381" s="404"/>
      <c r="I381" s="404"/>
      <c r="K381" s="322"/>
      <c r="L381" s="401"/>
      <c r="N381" s="18"/>
    </row>
    <row r="382">
      <c r="C382" s="164"/>
      <c r="G382" s="404"/>
      <c r="H382" s="404"/>
      <c r="I382" s="404"/>
      <c r="K382" s="322"/>
      <c r="L382" s="401"/>
      <c r="N382" s="18"/>
    </row>
    <row r="383">
      <c r="C383" s="164"/>
      <c r="G383" s="404"/>
      <c r="H383" s="404"/>
      <c r="I383" s="404"/>
      <c r="K383" s="322"/>
      <c r="L383" s="401"/>
      <c r="N383" s="18"/>
    </row>
    <row r="384">
      <c r="C384" s="164"/>
      <c r="G384" s="404"/>
      <c r="H384" s="404"/>
      <c r="I384" s="404"/>
      <c r="K384" s="322"/>
      <c r="L384" s="401"/>
      <c r="N384" s="18"/>
    </row>
    <row r="385">
      <c r="C385" s="164"/>
      <c r="G385" s="404"/>
      <c r="H385" s="404"/>
      <c r="I385" s="404"/>
      <c r="K385" s="322"/>
      <c r="L385" s="401"/>
      <c r="N385" s="18"/>
    </row>
    <row r="386">
      <c r="C386" s="164"/>
      <c r="G386" s="404"/>
      <c r="H386" s="404"/>
      <c r="I386" s="404"/>
      <c r="K386" s="322"/>
      <c r="L386" s="401"/>
      <c r="N386" s="18"/>
    </row>
    <row r="387">
      <c r="C387" s="164"/>
      <c r="G387" s="404"/>
      <c r="H387" s="404"/>
      <c r="I387" s="404"/>
      <c r="K387" s="322"/>
      <c r="L387" s="401"/>
      <c r="N387" s="18"/>
    </row>
    <row r="388">
      <c r="C388" s="164"/>
      <c r="G388" s="404"/>
      <c r="H388" s="404"/>
      <c r="I388" s="404"/>
      <c r="K388" s="322"/>
      <c r="L388" s="401"/>
      <c r="N388" s="18"/>
    </row>
    <row r="389">
      <c r="C389" s="164"/>
      <c r="G389" s="404"/>
      <c r="H389" s="404"/>
      <c r="I389" s="404"/>
      <c r="K389" s="322"/>
      <c r="L389" s="401"/>
      <c r="N389" s="18"/>
    </row>
    <row r="390">
      <c r="C390" s="164"/>
      <c r="G390" s="404"/>
      <c r="H390" s="404"/>
      <c r="I390" s="404"/>
      <c r="K390" s="322"/>
      <c r="L390" s="401"/>
      <c r="N390" s="18"/>
    </row>
    <row r="391">
      <c r="C391" s="164"/>
      <c r="G391" s="404"/>
      <c r="H391" s="404"/>
      <c r="I391" s="404"/>
      <c r="K391" s="322"/>
      <c r="L391" s="401"/>
      <c r="N391" s="18"/>
    </row>
    <row r="392">
      <c r="C392" s="164"/>
      <c r="G392" s="404"/>
      <c r="H392" s="404"/>
      <c r="I392" s="404"/>
      <c r="K392" s="322"/>
      <c r="L392" s="401"/>
      <c r="N392" s="18"/>
    </row>
    <row r="393">
      <c r="C393" s="164"/>
      <c r="G393" s="404"/>
      <c r="H393" s="404"/>
      <c r="I393" s="404"/>
      <c r="K393" s="322"/>
      <c r="L393" s="401"/>
      <c r="N393" s="18"/>
    </row>
    <row r="394">
      <c r="C394" s="164"/>
      <c r="G394" s="404"/>
      <c r="H394" s="404"/>
      <c r="I394" s="404"/>
      <c r="K394" s="322"/>
      <c r="L394" s="401"/>
      <c r="N394" s="18"/>
    </row>
    <row r="395">
      <c r="C395" s="164"/>
      <c r="G395" s="404"/>
      <c r="H395" s="404"/>
      <c r="I395" s="404"/>
      <c r="K395" s="322"/>
      <c r="L395" s="401"/>
      <c r="N395" s="18"/>
    </row>
    <row r="396">
      <c r="C396" s="164"/>
      <c r="G396" s="404"/>
      <c r="H396" s="404"/>
      <c r="I396" s="404"/>
      <c r="K396" s="322"/>
      <c r="L396" s="401"/>
      <c r="N396" s="18"/>
    </row>
    <row r="397">
      <c r="C397" s="164"/>
      <c r="G397" s="404"/>
      <c r="H397" s="404"/>
      <c r="I397" s="404"/>
      <c r="K397" s="322"/>
      <c r="L397" s="401"/>
      <c r="N397" s="18"/>
    </row>
    <row r="398">
      <c r="C398" s="164"/>
      <c r="G398" s="404"/>
      <c r="H398" s="404"/>
      <c r="I398" s="404"/>
      <c r="K398" s="322"/>
      <c r="L398" s="401"/>
      <c r="N398" s="18"/>
    </row>
    <row r="399">
      <c r="C399" s="164"/>
      <c r="G399" s="404"/>
      <c r="H399" s="404"/>
      <c r="I399" s="404"/>
      <c r="K399" s="322"/>
      <c r="L399" s="401"/>
      <c r="N399" s="18"/>
    </row>
    <row r="400">
      <c r="C400" s="164"/>
      <c r="G400" s="404"/>
      <c r="H400" s="404"/>
      <c r="I400" s="404"/>
      <c r="K400" s="322"/>
      <c r="L400" s="401"/>
      <c r="N400" s="18"/>
    </row>
    <row r="401">
      <c r="C401" s="164"/>
      <c r="G401" s="404"/>
      <c r="H401" s="404"/>
      <c r="I401" s="404"/>
      <c r="K401" s="322"/>
      <c r="L401" s="401"/>
      <c r="N401" s="18"/>
    </row>
    <row r="402">
      <c r="C402" s="164"/>
      <c r="G402" s="404"/>
      <c r="H402" s="404"/>
      <c r="I402" s="404"/>
      <c r="K402" s="322"/>
      <c r="L402" s="401"/>
      <c r="N402" s="18"/>
    </row>
    <row r="403">
      <c r="C403" s="164"/>
      <c r="G403" s="404"/>
      <c r="H403" s="404"/>
      <c r="I403" s="404"/>
      <c r="K403" s="322"/>
      <c r="L403" s="401"/>
      <c r="N403" s="18"/>
    </row>
  </sheetData>
  <autoFilter ref="$A$3:$X$403">
    <sortState ref="A3:X403">
      <sortCondition ref="A3:A403"/>
      <sortCondition descending="1" ref="L3:L403"/>
      <sortCondition descending="1" ref="N3:N403"/>
    </sortState>
  </autoFilter>
  <hyperlinks>
    <hyperlink r:id="rId1" ref="C2"/>
    <hyperlink r:id="rId2" ref="C166"/>
  </hyperlinks>
  <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5" t="s">
        <v>4101</v>
      </c>
      <c r="B1" s="2">
        <f>sum(B3:B1004)</f>
        <v>57.4081357</v>
      </c>
    </row>
    <row r="2">
      <c r="A2" s="399" t="s">
        <v>388</v>
      </c>
      <c r="B2" s="400" t="s">
        <v>2</v>
      </c>
    </row>
    <row r="3">
      <c r="A3" s="322" t="s">
        <v>9</v>
      </c>
      <c r="B3" s="401">
        <v>12.810978079081963</v>
      </c>
    </row>
    <row r="4">
      <c r="A4" s="322" t="s">
        <v>14</v>
      </c>
      <c r="B4" s="401">
        <v>9.168466192839437</v>
      </c>
    </row>
    <row r="5">
      <c r="A5" s="322" t="s">
        <v>8</v>
      </c>
      <c r="B5" s="401">
        <v>8.093292596262987</v>
      </c>
    </row>
    <row r="6">
      <c r="A6" s="322" t="s">
        <v>29</v>
      </c>
      <c r="B6" s="401">
        <v>3.5628966948263208</v>
      </c>
    </row>
    <row r="7">
      <c r="A7" s="322" t="s">
        <v>143</v>
      </c>
      <c r="B7" s="401">
        <v>2.284942243180256</v>
      </c>
    </row>
    <row r="8">
      <c r="A8" s="322" t="s">
        <v>84</v>
      </c>
      <c r="B8" s="401">
        <v>2.1460680484950903</v>
      </c>
    </row>
    <row r="9">
      <c r="A9" s="322" t="s">
        <v>6</v>
      </c>
      <c r="B9" s="401">
        <v>1.6341877442228578</v>
      </c>
    </row>
    <row r="10">
      <c r="A10" s="322" t="s">
        <v>40</v>
      </c>
      <c r="B10" s="401">
        <v>1.3088104947441583</v>
      </c>
    </row>
    <row r="11">
      <c r="A11" s="322" t="s">
        <v>5</v>
      </c>
      <c r="B11" s="401">
        <v>1.0603808465029525</v>
      </c>
    </row>
    <row r="12">
      <c r="A12" s="322" t="s">
        <v>53</v>
      </c>
      <c r="B12" s="401">
        <v>1.0520893162052025</v>
      </c>
    </row>
    <row r="13">
      <c r="A13" s="322" t="s">
        <v>81</v>
      </c>
      <c r="B13" s="401">
        <v>0.9568948481267241</v>
      </c>
    </row>
    <row r="14">
      <c r="A14" s="322" t="s">
        <v>88</v>
      </c>
      <c r="B14" s="401">
        <v>0.8696618991898664</v>
      </c>
    </row>
    <row r="15">
      <c r="A15" s="322" t="s">
        <v>62</v>
      </c>
      <c r="B15" s="401">
        <v>0.6285337477780223</v>
      </c>
    </row>
    <row r="16">
      <c r="A16" s="322" t="s">
        <v>74</v>
      </c>
      <c r="B16" s="401">
        <v>0.6285337477780223</v>
      </c>
    </row>
    <row r="17">
      <c r="A17" s="322" t="s">
        <v>80</v>
      </c>
      <c r="B17" s="401">
        <v>0.6285337477780223</v>
      </c>
    </row>
    <row r="18">
      <c r="A18" s="322" t="s">
        <v>66</v>
      </c>
      <c r="B18" s="401">
        <v>0.6285337477780223</v>
      </c>
    </row>
    <row r="19">
      <c r="A19" s="322" t="s">
        <v>34</v>
      </c>
      <c r="B19" s="401">
        <v>0.6285337477780223</v>
      </c>
    </row>
    <row r="20">
      <c r="A20" s="322" t="s">
        <v>37</v>
      </c>
      <c r="B20" s="401">
        <v>0.5767907485899081</v>
      </c>
    </row>
    <row r="21">
      <c r="A21" s="322" t="s">
        <v>125</v>
      </c>
      <c r="B21" s="401">
        <v>0.5685624704304163</v>
      </c>
    </row>
    <row r="22">
      <c r="A22" s="322" t="s">
        <v>4</v>
      </c>
      <c r="B22" s="401">
        <v>0.5028269982224177</v>
      </c>
    </row>
    <row r="23">
      <c r="A23" s="322" t="s">
        <v>113</v>
      </c>
      <c r="B23" s="401">
        <v>0.4666385248598669</v>
      </c>
      <c r="C23" s="110"/>
    </row>
    <row r="24">
      <c r="A24" s="322" t="s">
        <v>176</v>
      </c>
      <c r="B24" s="401">
        <v>0.45406784990430643</v>
      </c>
    </row>
    <row r="25">
      <c r="A25" s="322" t="s">
        <v>212</v>
      </c>
      <c r="B25" s="401">
        <v>0.45406784990430643</v>
      </c>
      <c r="C25" s="110"/>
    </row>
    <row r="26">
      <c r="A26" s="414" t="s">
        <v>18</v>
      </c>
      <c r="B26" s="415">
        <v>0.45406784990430643</v>
      </c>
      <c r="C26" s="414" t="s">
        <v>3944</v>
      </c>
      <c r="D26" s="120"/>
      <c r="E26" s="120"/>
      <c r="F26" s="120"/>
      <c r="G26" s="120"/>
      <c r="H26" s="120"/>
      <c r="I26" s="120"/>
      <c r="J26" s="120"/>
      <c r="K26" s="120"/>
      <c r="L26" s="120"/>
      <c r="M26" s="120"/>
      <c r="N26" s="120"/>
      <c r="O26" s="120"/>
      <c r="P26" s="120"/>
      <c r="Q26" s="120"/>
      <c r="R26" s="120"/>
      <c r="S26" s="120"/>
      <c r="T26" s="120"/>
      <c r="U26" s="120"/>
      <c r="V26" s="120"/>
      <c r="W26" s="120"/>
      <c r="X26" s="120"/>
      <c r="Y26" s="120"/>
    </row>
    <row r="27">
      <c r="A27" s="418" t="s">
        <v>78</v>
      </c>
      <c r="B27" s="415">
        <v>0.45406784990430643</v>
      </c>
      <c r="C27" s="120"/>
      <c r="D27" s="120"/>
      <c r="E27" s="120"/>
      <c r="F27" s="120"/>
      <c r="G27" s="120"/>
      <c r="H27" s="120"/>
      <c r="I27" s="120"/>
      <c r="J27" s="120"/>
      <c r="K27" s="120"/>
      <c r="L27" s="120"/>
      <c r="M27" s="120"/>
      <c r="N27" s="120"/>
      <c r="O27" s="120"/>
      <c r="P27" s="120"/>
      <c r="Q27" s="120"/>
      <c r="R27" s="120"/>
      <c r="S27" s="120"/>
      <c r="T27" s="120"/>
      <c r="U27" s="120"/>
      <c r="V27" s="120"/>
      <c r="W27" s="120"/>
      <c r="X27" s="120"/>
      <c r="Y27" s="120"/>
    </row>
    <row r="28">
      <c r="A28" s="414" t="s">
        <v>16</v>
      </c>
      <c r="B28" s="415">
        <v>0.45406784990430643</v>
      </c>
      <c r="C28" s="414" t="s">
        <v>3944</v>
      </c>
      <c r="D28" s="120"/>
      <c r="E28" s="120"/>
      <c r="F28" s="120"/>
      <c r="G28" s="120"/>
      <c r="H28" s="120"/>
      <c r="I28" s="120"/>
      <c r="J28" s="120"/>
      <c r="K28" s="120"/>
      <c r="L28" s="120"/>
      <c r="M28" s="120"/>
      <c r="N28" s="120"/>
      <c r="O28" s="120"/>
      <c r="P28" s="120"/>
      <c r="Q28" s="120"/>
      <c r="R28" s="120"/>
      <c r="S28" s="120"/>
      <c r="T28" s="120"/>
      <c r="U28" s="120"/>
      <c r="V28" s="120"/>
      <c r="W28" s="120"/>
      <c r="X28" s="120"/>
      <c r="Y28" s="120"/>
    </row>
    <row r="29">
      <c r="A29" s="322" t="s">
        <v>271</v>
      </c>
      <c r="B29" s="401">
        <v>0.45406784990430643</v>
      </c>
    </row>
    <row r="30">
      <c r="A30" s="322" t="s">
        <v>100</v>
      </c>
      <c r="B30" s="401">
        <v>0.45406784990430643</v>
      </c>
    </row>
    <row r="31">
      <c r="A31" s="322" t="s">
        <v>138</v>
      </c>
      <c r="B31" s="401">
        <v>0.45406784990430643</v>
      </c>
    </row>
    <row r="32">
      <c r="A32" s="322" t="s">
        <v>364</v>
      </c>
      <c r="B32" s="401">
        <v>0.45406784990430643</v>
      </c>
    </row>
    <row r="33">
      <c r="A33" s="322" t="s">
        <v>120</v>
      </c>
      <c r="B33" s="401">
        <v>0.45406784990430643</v>
      </c>
    </row>
    <row r="34">
      <c r="A34" s="322" t="s">
        <v>65</v>
      </c>
      <c r="B34" s="401">
        <v>0.4388433352348725</v>
      </c>
    </row>
    <row r="35">
      <c r="A35" s="322" t="s">
        <v>79</v>
      </c>
      <c r="B35" s="401">
        <v>0.4096263475455542</v>
      </c>
    </row>
    <row r="36">
      <c r="A36" s="322" t="s">
        <v>19</v>
      </c>
      <c r="B36" s="401">
        <v>0.4096263475455542</v>
      </c>
    </row>
    <row r="37">
      <c r="A37" s="322" t="s">
        <v>50</v>
      </c>
      <c r="B37" s="401">
        <v>0.25141349911120886</v>
      </c>
    </row>
    <row r="38">
      <c r="A38" s="322" t="s">
        <v>115</v>
      </c>
      <c r="B38" s="401">
        <v>0.21592354936246516</v>
      </c>
    </row>
    <row r="39">
      <c r="A39" s="322" t="s">
        <v>92</v>
      </c>
      <c r="B39" s="401">
        <v>0.13827742451116487</v>
      </c>
    </row>
    <row r="40">
      <c r="A40" s="322" t="s">
        <v>68</v>
      </c>
      <c r="B40" s="401">
        <v>0.12570674955560443</v>
      </c>
    </row>
    <row r="41">
      <c r="A41" s="322" t="s">
        <v>43</v>
      </c>
      <c r="B41" s="401">
        <v>0.12467821478566798</v>
      </c>
    </row>
    <row r="42">
      <c r="A42" s="322" t="s">
        <v>77</v>
      </c>
      <c r="B42" s="401">
        <v>0.09021679980686073</v>
      </c>
    </row>
    <row r="43">
      <c r="A43" s="322" t="s">
        <v>47</v>
      </c>
      <c r="B43" s="401">
        <v>0.09021679980686073</v>
      </c>
    </row>
    <row r="44">
      <c r="A44" s="322" t="s">
        <v>177</v>
      </c>
      <c r="B44" s="401">
        <v>0.09021679980686073</v>
      </c>
    </row>
    <row r="45">
      <c r="A45" s="322" t="s">
        <v>24</v>
      </c>
      <c r="B45" s="401">
        <v>0.06285337477780222</v>
      </c>
    </row>
    <row r="46">
      <c r="A46" s="322" t="s">
        <v>139</v>
      </c>
      <c r="B46" s="401">
        <v>0.055755384828053485</v>
      </c>
    </row>
    <row r="47">
      <c r="A47" s="322" t="s">
        <v>383</v>
      </c>
      <c r="B47" s="401">
        <v>0.03771202486668133</v>
      </c>
    </row>
    <row r="48">
      <c r="A48" s="322" t="s">
        <v>386</v>
      </c>
      <c r="B48" s="401">
        <v>0.02514134991112089</v>
      </c>
    </row>
    <row r="49">
      <c r="A49" s="322" t="s">
        <v>385</v>
      </c>
      <c r="B49" s="401">
        <v>0.02514134991112089</v>
      </c>
    </row>
    <row r="50">
      <c r="A50" s="322" t="s">
        <v>175</v>
      </c>
      <c r="B50" s="401">
        <v>0.01966866490530919</v>
      </c>
    </row>
    <row r="51">
      <c r="A51" s="322" t="s">
        <v>144</v>
      </c>
      <c r="B51" s="401">
        <v>0.012570674955560445</v>
      </c>
    </row>
    <row r="52">
      <c r="A52" s="322" t="s">
        <v>127</v>
      </c>
      <c r="B52" s="401">
        <v>0.012570674955560445</v>
      </c>
    </row>
    <row r="53">
      <c r="A53" s="322" t="s">
        <v>52</v>
      </c>
      <c r="B53" s="401">
        <v>0.012570674955560445</v>
      </c>
    </row>
    <row r="54">
      <c r="A54" s="322" t="s">
        <v>70</v>
      </c>
      <c r="B54" s="401">
        <v>0.012570674955560445</v>
      </c>
    </row>
    <row r="55">
      <c r="A55" s="322"/>
      <c r="B55" s="401"/>
    </row>
    <row r="56">
      <c r="A56" s="322"/>
      <c r="B56" s="401"/>
    </row>
    <row r="57">
      <c r="A57" s="322"/>
      <c r="B57" s="401"/>
    </row>
    <row r="58">
      <c r="A58" s="322"/>
      <c r="B58" s="401"/>
    </row>
    <row r="59">
      <c r="A59" s="322"/>
      <c r="B59" s="401"/>
    </row>
    <row r="60">
      <c r="A60" s="322"/>
      <c r="B60" s="401"/>
    </row>
    <row r="61">
      <c r="A61" s="322"/>
      <c r="B61" s="401"/>
    </row>
    <row r="62">
      <c r="A62" s="322"/>
      <c r="B62" s="401"/>
    </row>
    <row r="63">
      <c r="A63" s="322"/>
      <c r="B63" s="401"/>
    </row>
    <row r="64">
      <c r="A64" s="322"/>
      <c r="B64" s="401"/>
    </row>
    <row r="65">
      <c r="A65" s="322"/>
      <c r="B65" s="401"/>
    </row>
    <row r="66">
      <c r="A66" s="322"/>
      <c r="B66" s="401"/>
    </row>
    <row r="67">
      <c r="A67" s="322"/>
      <c r="B67" s="401"/>
    </row>
    <row r="68">
      <c r="A68" s="322"/>
      <c r="B68" s="401"/>
    </row>
    <row r="69">
      <c r="A69" s="322"/>
      <c r="B69" s="401"/>
    </row>
    <row r="70">
      <c r="A70" s="322"/>
      <c r="B70" s="401"/>
    </row>
    <row r="71">
      <c r="A71" s="322"/>
      <c r="B71" s="401"/>
    </row>
    <row r="72">
      <c r="A72" s="322"/>
      <c r="B72" s="401"/>
    </row>
    <row r="73">
      <c r="A73" s="322"/>
      <c r="B73" s="401"/>
    </row>
    <row r="74">
      <c r="A74" s="322"/>
      <c r="B74" s="401"/>
    </row>
    <row r="75">
      <c r="A75" s="322"/>
      <c r="B75" s="401"/>
    </row>
    <row r="76">
      <c r="A76" s="322"/>
      <c r="B76" s="401"/>
    </row>
    <row r="77">
      <c r="A77" s="322"/>
      <c r="B77" s="401"/>
    </row>
    <row r="78">
      <c r="A78" s="322"/>
      <c r="B78" s="401"/>
    </row>
    <row r="79">
      <c r="A79" s="322"/>
      <c r="B79" s="401"/>
    </row>
    <row r="80">
      <c r="A80" s="322"/>
      <c r="B80" s="401"/>
    </row>
    <row r="81">
      <c r="A81" s="322"/>
      <c r="B81" s="401"/>
    </row>
    <row r="82">
      <c r="A82" s="322"/>
      <c r="B82" s="401"/>
    </row>
    <row r="83">
      <c r="A83" s="322"/>
      <c r="B83" s="401"/>
    </row>
    <row r="84">
      <c r="A84" s="322"/>
      <c r="B84" s="401"/>
    </row>
    <row r="85">
      <c r="A85" s="322"/>
      <c r="B85" s="401"/>
    </row>
    <row r="86">
      <c r="A86" s="322"/>
      <c r="B86" s="401"/>
    </row>
    <row r="87">
      <c r="A87" s="322"/>
      <c r="B87" s="401"/>
    </row>
    <row r="88">
      <c r="A88" s="322"/>
      <c r="B88" s="401"/>
    </row>
    <row r="89">
      <c r="A89" s="322"/>
      <c r="B89" s="401"/>
    </row>
    <row r="90">
      <c r="A90" s="322"/>
      <c r="B90" s="401"/>
    </row>
    <row r="91">
      <c r="A91" s="322"/>
      <c r="B91" s="401"/>
    </row>
    <row r="92">
      <c r="A92" s="322"/>
      <c r="B92" s="401"/>
    </row>
    <row r="93">
      <c r="A93" s="322"/>
      <c r="B93" s="401"/>
    </row>
    <row r="94">
      <c r="A94" s="322"/>
      <c r="B94" s="401"/>
    </row>
    <row r="95">
      <c r="A95" s="322"/>
      <c r="B95" s="401"/>
    </row>
    <row r="96">
      <c r="A96" s="322"/>
      <c r="B96" s="401"/>
    </row>
    <row r="97">
      <c r="A97" s="322"/>
      <c r="B97" s="401"/>
    </row>
    <row r="98">
      <c r="A98" s="322"/>
      <c r="B98" s="401"/>
    </row>
    <row r="99">
      <c r="A99" s="322"/>
      <c r="B99" s="401"/>
    </row>
    <row r="100">
      <c r="A100" s="322"/>
      <c r="B100" s="401"/>
    </row>
    <row r="101">
      <c r="A101" s="322"/>
      <c r="B101" s="401"/>
    </row>
    <row r="102">
      <c r="A102" s="322"/>
      <c r="B102" s="401"/>
    </row>
    <row r="103">
      <c r="A103" s="322"/>
      <c r="B103" s="401"/>
    </row>
    <row r="104">
      <c r="A104" s="322"/>
      <c r="B104" s="401"/>
    </row>
    <row r="105">
      <c r="A105" s="322"/>
      <c r="B105" s="401"/>
    </row>
    <row r="106">
      <c r="A106" s="322"/>
      <c r="B106" s="401"/>
    </row>
    <row r="107">
      <c r="A107" s="322"/>
      <c r="B107" s="401"/>
    </row>
    <row r="108">
      <c r="A108" s="322"/>
      <c r="B108" s="401"/>
    </row>
    <row r="109">
      <c r="A109" s="322"/>
      <c r="B109" s="401"/>
    </row>
    <row r="110">
      <c r="A110" s="322"/>
      <c r="B110" s="401"/>
    </row>
    <row r="111">
      <c r="A111" s="322"/>
      <c r="B111" s="401"/>
    </row>
    <row r="112">
      <c r="A112" s="322"/>
      <c r="B112" s="401"/>
    </row>
    <row r="113">
      <c r="A113" s="322"/>
      <c r="B113" s="401"/>
    </row>
    <row r="114">
      <c r="A114" s="322"/>
      <c r="B114" s="401"/>
    </row>
    <row r="115">
      <c r="A115" s="322"/>
      <c r="B115" s="401"/>
    </row>
    <row r="116">
      <c r="A116" s="322"/>
      <c r="B116" s="401"/>
    </row>
    <row r="117">
      <c r="A117" s="322"/>
      <c r="B117" s="401"/>
    </row>
    <row r="118">
      <c r="A118" s="322"/>
      <c r="B118" s="401"/>
    </row>
    <row r="119">
      <c r="A119" s="322"/>
      <c r="B119" s="401"/>
    </row>
    <row r="120">
      <c r="A120" s="322"/>
      <c r="B120" s="401"/>
    </row>
    <row r="121">
      <c r="A121" s="322"/>
      <c r="B121" s="401"/>
    </row>
    <row r="122">
      <c r="A122" s="322"/>
      <c r="B122" s="401"/>
    </row>
    <row r="123">
      <c r="A123" s="322"/>
      <c r="B123" s="401"/>
    </row>
    <row r="124">
      <c r="A124" s="322"/>
      <c r="B124" s="401"/>
    </row>
    <row r="125">
      <c r="A125" s="322"/>
      <c r="B125" s="401"/>
    </row>
    <row r="126">
      <c r="A126" s="322"/>
      <c r="B126" s="401"/>
    </row>
    <row r="127">
      <c r="A127" s="322"/>
      <c r="B127" s="401"/>
    </row>
    <row r="128">
      <c r="A128" s="322"/>
      <c r="B128" s="401"/>
    </row>
    <row r="129">
      <c r="A129" s="322"/>
      <c r="B129" s="401"/>
    </row>
    <row r="130">
      <c r="A130" s="322"/>
      <c r="B130" s="401"/>
    </row>
    <row r="131">
      <c r="A131" s="322"/>
      <c r="B131" s="401"/>
    </row>
    <row r="132">
      <c r="A132" s="322"/>
      <c r="B132" s="401"/>
    </row>
    <row r="133">
      <c r="A133" s="322"/>
      <c r="B133" s="401"/>
    </row>
    <row r="134">
      <c r="A134" s="322"/>
      <c r="B134" s="401"/>
    </row>
    <row r="135">
      <c r="A135" s="322"/>
      <c r="B135" s="401"/>
    </row>
    <row r="136">
      <c r="A136" s="322"/>
      <c r="B136" s="401"/>
    </row>
    <row r="137">
      <c r="A137" s="322"/>
      <c r="B137" s="401"/>
    </row>
    <row r="138">
      <c r="A138" s="322"/>
      <c r="B138" s="401"/>
    </row>
    <row r="139">
      <c r="A139" s="322"/>
      <c r="B139" s="401"/>
    </row>
    <row r="140">
      <c r="A140" s="322"/>
      <c r="B140" s="401"/>
    </row>
    <row r="141">
      <c r="A141" s="322"/>
      <c r="B141" s="401"/>
    </row>
    <row r="142">
      <c r="A142" s="322"/>
      <c r="B142" s="401"/>
    </row>
    <row r="143">
      <c r="A143" s="322"/>
      <c r="B143" s="401"/>
    </row>
    <row r="144">
      <c r="A144" s="322"/>
      <c r="B144" s="401"/>
    </row>
    <row r="145">
      <c r="A145" s="322"/>
      <c r="B145" s="401"/>
    </row>
    <row r="146">
      <c r="A146" s="322"/>
      <c r="B146" s="401"/>
    </row>
    <row r="147">
      <c r="A147" s="322"/>
      <c r="B147" s="401"/>
    </row>
    <row r="148">
      <c r="A148" s="322"/>
      <c r="B148" s="401"/>
    </row>
    <row r="149">
      <c r="A149" s="322"/>
      <c r="B149" s="401"/>
    </row>
    <row r="150">
      <c r="A150" s="322"/>
      <c r="B150" s="401"/>
    </row>
    <row r="151">
      <c r="A151" s="322"/>
      <c r="B151" s="401"/>
    </row>
    <row r="152">
      <c r="A152" s="322"/>
      <c r="B152" s="401"/>
    </row>
    <row r="153">
      <c r="A153" s="322"/>
      <c r="B153" s="401"/>
    </row>
    <row r="154">
      <c r="A154" s="322"/>
      <c r="B154" s="401"/>
    </row>
    <row r="155">
      <c r="A155" s="322"/>
      <c r="B155" s="401"/>
    </row>
    <row r="156">
      <c r="A156" s="322"/>
      <c r="B156" s="401"/>
    </row>
    <row r="157">
      <c r="A157" s="322"/>
      <c r="B157" s="401"/>
    </row>
    <row r="158">
      <c r="A158" s="322"/>
      <c r="B158" s="401"/>
    </row>
    <row r="159">
      <c r="A159" s="322"/>
      <c r="B159" s="401"/>
    </row>
    <row r="160">
      <c r="A160" s="322"/>
      <c r="B160" s="401"/>
    </row>
    <row r="161">
      <c r="A161" s="322"/>
      <c r="B161" s="401"/>
    </row>
    <row r="162">
      <c r="A162" s="322"/>
      <c r="B162" s="401"/>
    </row>
    <row r="163">
      <c r="A163" s="322"/>
      <c r="B163" s="401"/>
    </row>
    <row r="164">
      <c r="A164" s="322"/>
      <c r="B164" s="401"/>
    </row>
    <row r="165">
      <c r="A165" s="322"/>
      <c r="B165" s="401"/>
    </row>
    <row r="166">
      <c r="A166" s="322"/>
      <c r="B166" s="401"/>
    </row>
    <row r="167">
      <c r="A167" s="322"/>
      <c r="B167" s="401"/>
    </row>
    <row r="168">
      <c r="A168" s="322"/>
      <c r="B168" s="401"/>
    </row>
    <row r="169">
      <c r="A169" s="322"/>
      <c r="B169" s="401"/>
    </row>
    <row r="170">
      <c r="A170" s="322"/>
      <c r="B170" s="401"/>
    </row>
    <row r="171">
      <c r="A171" s="322"/>
      <c r="B171" s="401"/>
    </row>
    <row r="172">
      <c r="A172" s="322"/>
      <c r="B172" s="401"/>
    </row>
    <row r="173">
      <c r="A173" s="322"/>
      <c r="B173" s="401"/>
    </row>
    <row r="174">
      <c r="A174" s="322"/>
      <c r="B174" s="401"/>
    </row>
    <row r="175">
      <c r="A175" s="322"/>
      <c r="B175" s="401"/>
    </row>
    <row r="176">
      <c r="A176" s="322"/>
      <c r="B176" s="401"/>
    </row>
    <row r="177">
      <c r="A177" s="322"/>
      <c r="B177" s="401"/>
    </row>
    <row r="178">
      <c r="A178" s="322"/>
      <c r="B178" s="401"/>
    </row>
    <row r="179">
      <c r="A179" s="322"/>
      <c r="B179" s="401"/>
    </row>
    <row r="180">
      <c r="A180" s="322"/>
      <c r="B180" s="401"/>
    </row>
    <row r="181">
      <c r="A181" s="322"/>
      <c r="B181" s="401"/>
    </row>
    <row r="182">
      <c r="A182" s="322"/>
      <c r="B182" s="401"/>
    </row>
    <row r="183">
      <c r="A183" s="322"/>
      <c r="B183" s="401"/>
    </row>
    <row r="184">
      <c r="A184" s="322"/>
      <c r="B184" s="401"/>
    </row>
    <row r="185">
      <c r="A185" s="322"/>
      <c r="B185" s="401"/>
    </row>
    <row r="186">
      <c r="A186" s="322"/>
      <c r="B186" s="401"/>
    </row>
    <row r="187">
      <c r="A187" s="322"/>
      <c r="B187" s="401"/>
    </row>
    <row r="188">
      <c r="A188" s="322"/>
      <c r="B188" s="401"/>
    </row>
    <row r="189">
      <c r="A189" s="322"/>
      <c r="B189" s="401"/>
    </row>
    <row r="190">
      <c r="A190" s="322"/>
      <c r="B190" s="401"/>
    </row>
    <row r="191">
      <c r="A191" s="322"/>
      <c r="B191" s="401"/>
    </row>
    <row r="192">
      <c r="A192" s="322"/>
      <c r="B192" s="401"/>
    </row>
    <row r="193">
      <c r="A193" s="322"/>
      <c r="B193" s="401"/>
    </row>
    <row r="194">
      <c r="A194" s="322"/>
      <c r="B194" s="401"/>
    </row>
    <row r="195">
      <c r="A195" s="322"/>
      <c r="B195" s="401"/>
    </row>
    <row r="196">
      <c r="A196" s="322"/>
      <c r="B196" s="401"/>
    </row>
    <row r="197">
      <c r="A197" s="322"/>
      <c r="B197" s="401"/>
    </row>
    <row r="198">
      <c r="A198" s="322"/>
      <c r="B198" s="401"/>
    </row>
    <row r="199">
      <c r="A199" s="322"/>
      <c r="B199" s="401"/>
    </row>
    <row r="200">
      <c r="A200" s="322"/>
      <c r="B200" s="401"/>
    </row>
    <row r="201">
      <c r="A201" s="322"/>
      <c r="B201" s="401"/>
    </row>
    <row r="202">
      <c r="A202" s="322"/>
      <c r="B202" s="401"/>
    </row>
    <row r="203">
      <c r="A203" s="322"/>
      <c r="B203" s="401"/>
    </row>
    <row r="204">
      <c r="A204" s="322"/>
      <c r="B204" s="401"/>
    </row>
    <row r="205">
      <c r="A205" s="322"/>
      <c r="B205" s="401"/>
    </row>
    <row r="206">
      <c r="A206" s="322"/>
      <c r="B206" s="401"/>
    </row>
    <row r="207">
      <c r="A207" s="322"/>
      <c r="B207" s="401"/>
    </row>
    <row r="208">
      <c r="A208" s="322"/>
      <c r="B208" s="401"/>
    </row>
    <row r="209">
      <c r="A209" s="322"/>
      <c r="B209" s="401"/>
    </row>
    <row r="210">
      <c r="A210" s="322"/>
      <c r="B210" s="401"/>
    </row>
    <row r="211">
      <c r="A211" s="322"/>
      <c r="B211" s="401"/>
    </row>
    <row r="212">
      <c r="A212" s="322"/>
      <c r="B212" s="401"/>
    </row>
    <row r="213">
      <c r="A213" s="322"/>
      <c r="B213" s="401"/>
    </row>
    <row r="214">
      <c r="A214" s="322"/>
      <c r="B214" s="401"/>
    </row>
    <row r="215">
      <c r="A215" s="322"/>
      <c r="B215" s="401"/>
    </row>
    <row r="216">
      <c r="A216" s="322"/>
      <c r="B216" s="401"/>
    </row>
    <row r="217">
      <c r="A217" s="322"/>
      <c r="B217" s="401"/>
    </row>
    <row r="218">
      <c r="A218" s="322"/>
      <c r="B218" s="401"/>
    </row>
    <row r="219">
      <c r="A219" s="322"/>
      <c r="B219" s="401"/>
    </row>
    <row r="220">
      <c r="A220" s="322"/>
      <c r="B220" s="401"/>
    </row>
    <row r="221">
      <c r="A221" s="322"/>
      <c r="B221" s="401"/>
    </row>
    <row r="222">
      <c r="A222" s="322"/>
      <c r="B222" s="401"/>
    </row>
    <row r="223">
      <c r="A223" s="322"/>
      <c r="B223" s="401"/>
    </row>
    <row r="224">
      <c r="A224" s="322"/>
      <c r="B224" s="401"/>
    </row>
    <row r="225">
      <c r="A225" s="322"/>
      <c r="B225" s="401"/>
    </row>
    <row r="226">
      <c r="A226" s="322"/>
      <c r="B226" s="401"/>
    </row>
    <row r="227">
      <c r="A227" s="322"/>
      <c r="B227" s="401"/>
    </row>
    <row r="228">
      <c r="A228" s="322"/>
      <c r="B228" s="401"/>
    </row>
    <row r="229">
      <c r="A229" s="322"/>
      <c r="B229" s="401"/>
    </row>
    <row r="230">
      <c r="A230" s="322"/>
      <c r="B230" s="401"/>
    </row>
    <row r="231">
      <c r="A231" s="322"/>
      <c r="B231" s="401"/>
    </row>
    <row r="232">
      <c r="A232" s="322"/>
      <c r="B232" s="401"/>
    </row>
    <row r="233">
      <c r="A233" s="322"/>
      <c r="B233" s="401"/>
    </row>
    <row r="234">
      <c r="A234" s="322"/>
      <c r="B234" s="401"/>
    </row>
    <row r="235">
      <c r="A235" s="322"/>
      <c r="B235" s="401"/>
    </row>
    <row r="236">
      <c r="A236" s="322"/>
      <c r="B236" s="401"/>
    </row>
    <row r="237">
      <c r="A237" s="322"/>
      <c r="B237" s="401"/>
    </row>
    <row r="238">
      <c r="A238" s="322"/>
      <c r="B238" s="401"/>
    </row>
    <row r="239">
      <c r="A239" s="322"/>
      <c r="B239" s="401"/>
    </row>
    <row r="240">
      <c r="A240" s="322"/>
      <c r="B240" s="401"/>
    </row>
    <row r="241">
      <c r="A241" s="322"/>
      <c r="B241" s="401"/>
    </row>
    <row r="242">
      <c r="A242" s="322"/>
      <c r="B242" s="401"/>
    </row>
    <row r="243">
      <c r="A243" s="322"/>
      <c r="B243" s="401"/>
    </row>
    <row r="244">
      <c r="A244" s="322"/>
      <c r="B244" s="401"/>
    </row>
    <row r="245">
      <c r="A245" s="322"/>
      <c r="B245" s="401"/>
    </row>
    <row r="246">
      <c r="A246" s="322"/>
      <c r="B246" s="401"/>
    </row>
    <row r="247">
      <c r="A247" s="322"/>
      <c r="B247" s="401"/>
    </row>
    <row r="248">
      <c r="A248" s="322"/>
      <c r="B248" s="401"/>
    </row>
    <row r="249">
      <c r="A249" s="322"/>
      <c r="B249" s="401"/>
    </row>
    <row r="250">
      <c r="A250" s="322"/>
      <c r="B250" s="401"/>
    </row>
    <row r="251">
      <c r="A251" s="322"/>
      <c r="B251" s="401"/>
    </row>
    <row r="252">
      <c r="A252" s="322"/>
      <c r="B252" s="401"/>
    </row>
    <row r="253">
      <c r="A253" s="322"/>
      <c r="B253" s="401"/>
    </row>
    <row r="254">
      <c r="A254" s="322"/>
      <c r="B254" s="401"/>
    </row>
    <row r="255">
      <c r="A255" s="322"/>
      <c r="B255" s="401"/>
    </row>
    <row r="256">
      <c r="A256" s="322"/>
      <c r="B256" s="401"/>
    </row>
    <row r="257">
      <c r="A257" s="322"/>
      <c r="B257" s="401"/>
    </row>
    <row r="258">
      <c r="A258" s="322"/>
      <c r="B258" s="401"/>
    </row>
    <row r="259">
      <c r="A259" s="322"/>
      <c r="B259" s="401"/>
    </row>
    <row r="260">
      <c r="A260" s="322"/>
      <c r="B260" s="401"/>
    </row>
    <row r="261">
      <c r="A261" s="322"/>
      <c r="B261" s="401"/>
    </row>
    <row r="262">
      <c r="A262" s="322"/>
      <c r="B262" s="401"/>
    </row>
    <row r="263">
      <c r="A263" s="322"/>
      <c r="B263" s="401"/>
    </row>
    <row r="264">
      <c r="A264" s="322"/>
      <c r="B264" s="401"/>
    </row>
    <row r="265">
      <c r="A265" s="322"/>
      <c r="B265" s="401"/>
    </row>
    <row r="266">
      <c r="A266" s="322"/>
      <c r="B266" s="401"/>
    </row>
    <row r="267">
      <c r="A267" s="322"/>
      <c r="B267" s="401"/>
    </row>
    <row r="268">
      <c r="A268" s="322"/>
      <c r="B268" s="401"/>
    </row>
    <row r="269">
      <c r="A269" s="322"/>
      <c r="B269" s="401"/>
    </row>
    <row r="270">
      <c r="A270" s="322"/>
      <c r="B270" s="401"/>
    </row>
    <row r="271">
      <c r="A271" s="322"/>
      <c r="B271" s="401"/>
    </row>
    <row r="272">
      <c r="A272" s="322"/>
      <c r="B272" s="401"/>
    </row>
    <row r="273">
      <c r="A273" s="322"/>
      <c r="B273" s="401"/>
    </row>
    <row r="274">
      <c r="A274" s="322"/>
      <c r="B274" s="401"/>
    </row>
    <row r="275">
      <c r="A275" s="322"/>
      <c r="B275" s="401"/>
    </row>
    <row r="276">
      <c r="A276" s="322"/>
      <c r="B276" s="401"/>
    </row>
    <row r="277">
      <c r="A277" s="322"/>
      <c r="B277" s="401"/>
    </row>
    <row r="278">
      <c r="A278" s="322"/>
      <c r="B278" s="401"/>
    </row>
    <row r="279">
      <c r="A279" s="322"/>
      <c r="B279" s="401"/>
    </row>
    <row r="280">
      <c r="A280" s="322"/>
      <c r="B280" s="401"/>
    </row>
    <row r="281">
      <c r="A281" s="322"/>
      <c r="B281" s="401"/>
    </row>
    <row r="282">
      <c r="A282" s="322"/>
      <c r="B282" s="401"/>
    </row>
    <row r="283">
      <c r="A283" s="322"/>
      <c r="B283" s="401"/>
    </row>
    <row r="284">
      <c r="A284" s="322"/>
      <c r="B284" s="401"/>
    </row>
    <row r="285">
      <c r="A285" s="322"/>
      <c r="B285" s="401"/>
    </row>
    <row r="286">
      <c r="A286" s="322"/>
      <c r="B286" s="401"/>
    </row>
    <row r="287">
      <c r="A287" s="322"/>
      <c r="B287" s="401"/>
    </row>
    <row r="288">
      <c r="A288" s="322"/>
      <c r="B288" s="401"/>
    </row>
    <row r="289">
      <c r="A289" s="322"/>
      <c r="B289" s="401"/>
    </row>
    <row r="290">
      <c r="A290" s="322"/>
      <c r="B290" s="401"/>
    </row>
    <row r="291">
      <c r="A291" s="322"/>
      <c r="B291" s="401"/>
    </row>
    <row r="292">
      <c r="A292" s="322"/>
      <c r="B292" s="401"/>
    </row>
    <row r="293">
      <c r="A293" s="322"/>
      <c r="B293" s="401"/>
    </row>
    <row r="294">
      <c r="A294" s="322"/>
      <c r="B294" s="401"/>
    </row>
    <row r="295">
      <c r="A295" s="322"/>
      <c r="B295" s="401"/>
    </row>
    <row r="296">
      <c r="A296" s="322"/>
      <c r="B296" s="401"/>
    </row>
    <row r="297">
      <c r="A297" s="322"/>
      <c r="B297" s="401"/>
    </row>
    <row r="298">
      <c r="A298" s="322"/>
      <c r="B298" s="401"/>
    </row>
    <row r="299">
      <c r="A299" s="322"/>
      <c r="B299" s="401"/>
    </row>
    <row r="300">
      <c r="A300" s="322"/>
      <c r="B300" s="401"/>
    </row>
    <row r="301">
      <c r="A301" s="322"/>
      <c r="B301" s="401"/>
    </row>
    <row r="302">
      <c r="A302" s="322"/>
      <c r="B302" s="401"/>
    </row>
    <row r="303">
      <c r="A303" s="322"/>
      <c r="B303" s="401"/>
    </row>
    <row r="304">
      <c r="A304" s="322"/>
      <c r="B304" s="401"/>
    </row>
    <row r="305">
      <c r="A305" s="322"/>
      <c r="B305" s="401"/>
    </row>
    <row r="306">
      <c r="A306" s="322"/>
      <c r="B306" s="401"/>
    </row>
    <row r="307">
      <c r="A307" s="322"/>
      <c r="B307" s="401"/>
    </row>
    <row r="308">
      <c r="A308" s="322"/>
      <c r="B308" s="401"/>
    </row>
    <row r="309">
      <c r="A309" s="322"/>
      <c r="B309" s="401"/>
    </row>
    <row r="310">
      <c r="A310" s="322"/>
      <c r="B310" s="401"/>
    </row>
    <row r="311">
      <c r="A311" s="322"/>
      <c r="B311" s="401"/>
    </row>
    <row r="312">
      <c r="A312" s="322"/>
      <c r="B312" s="401"/>
    </row>
    <row r="313">
      <c r="A313" s="322"/>
      <c r="B313" s="401"/>
    </row>
    <row r="314">
      <c r="A314" s="322"/>
      <c r="B314" s="401"/>
    </row>
    <row r="315">
      <c r="A315" s="322"/>
      <c r="B315" s="401"/>
    </row>
    <row r="316">
      <c r="A316" s="322"/>
      <c r="B316" s="401"/>
    </row>
    <row r="317">
      <c r="A317" s="322"/>
      <c r="B317" s="401"/>
    </row>
    <row r="318">
      <c r="A318" s="322"/>
      <c r="B318" s="401"/>
    </row>
    <row r="319">
      <c r="A319" s="322"/>
      <c r="B319" s="401"/>
    </row>
    <row r="320">
      <c r="A320" s="322"/>
      <c r="B320" s="401"/>
    </row>
    <row r="321">
      <c r="A321" s="322"/>
      <c r="B321" s="401"/>
    </row>
    <row r="322">
      <c r="A322" s="322"/>
      <c r="B322" s="401"/>
    </row>
    <row r="323">
      <c r="A323" s="322"/>
      <c r="B323" s="401"/>
    </row>
    <row r="324">
      <c r="A324" s="322"/>
      <c r="B324" s="401"/>
    </row>
    <row r="325">
      <c r="A325" s="322"/>
      <c r="B325" s="401"/>
    </row>
    <row r="326">
      <c r="A326" s="322"/>
      <c r="B326" s="401"/>
    </row>
    <row r="327">
      <c r="A327" s="322"/>
      <c r="B327" s="401"/>
    </row>
    <row r="328">
      <c r="A328" s="322"/>
      <c r="B328" s="401"/>
    </row>
    <row r="329">
      <c r="A329" s="322"/>
      <c r="B329" s="401"/>
    </row>
    <row r="330">
      <c r="A330" s="322"/>
      <c r="B330" s="401"/>
    </row>
    <row r="331">
      <c r="A331" s="322"/>
      <c r="B331" s="401"/>
    </row>
    <row r="332">
      <c r="A332" s="322"/>
      <c r="B332" s="401"/>
    </row>
    <row r="333">
      <c r="A333" s="322"/>
      <c r="B333" s="401"/>
    </row>
    <row r="334">
      <c r="A334" s="322"/>
      <c r="B334" s="401"/>
    </row>
    <row r="335">
      <c r="A335" s="322"/>
      <c r="B335" s="401"/>
    </row>
    <row r="336">
      <c r="A336" s="322"/>
      <c r="B336" s="401"/>
    </row>
    <row r="337">
      <c r="A337" s="322"/>
      <c r="B337" s="401"/>
    </row>
    <row r="338">
      <c r="A338" s="322"/>
      <c r="B338" s="401"/>
    </row>
    <row r="339">
      <c r="A339" s="322"/>
      <c r="B339" s="401"/>
    </row>
    <row r="340">
      <c r="A340" s="322"/>
      <c r="B340" s="401"/>
    </row>
    <row r="341">
      <c r="A341" s="322"/>
      <c r="B341" s="401"/>
    </row>
    <row r="342">
      <c r="A342" s="322"/>
      <c r="B342" s="401"/>
    </row>
    <row r="343">
      <c r="A343" s="322"/>
      <c r="B343" s="401"/>
    </row>
    <row r="344">
      <c r="A344" s="322"/>
      <c r="B344" s="401"/>
    </row>
    <row r="345">
      <c r="A345" s="322"/>
      <c r="B345" s="401"/>
    </row>
    <row r="346">
      <c r="A346" s="322"/>
      <c r="B346" s="401"/>
    </row>
    <row r="347">
      <c r="A347" s="322"/>
      <c r="B347" s="401"/>
    </row>
    <row r="348">
      <c r="A348" s="322"/>
      <c r="B348" s="401"/>
    </row>
    <row r="349">
      <c r="A349" s="322"/>
      <c r="B349" s="401"/>
    </row>
    <row r="350">
      <c r="A350" s="322"/>
      <c r="B350" s="401"/>
    </row>
    <row r="351">
      <c r="A351" s="322"/>
      <c r="B351" s="401"/>
    </row>
    <row r="352">
      <c r="A352" s="322"/>
      <c r="B352" s="401"/>
    </row>
    <row r="353">
      <c r="A353" s="322"/>
      <c r="B353" s="401"/>
    </row>
    <row r="354">
      <c r="A354" s="322"/>
      <c r="B354" s="401"/>
    </row>
    <row r="355">
      <c r="A355" s="322"/>
      <c r="B355" s="401"/>
    </row>
    <row r="356">
      <c r="A356" s="322"/>
      <c r="B356" s="401"/>
    </row>
    <row r="357">
      <c r="A357" s="322"/>
      <c r="B357" s="401"/>
    </row>
    <row r="358">
      <c r="A358" s="322"/>
      <c r="B358" s="401"/>
    </row>
    <row r="359">
      <c r="A359" s="322"/>
      <c r="B359" s="401"/>
    </row>
    <row r="360">
      <c r="A360" s="322"/>
      <c r="B360" s="401"/>
    </row>
    <row r="361">
      <c r="A361" s="322"/>
      <c r="B361" s="401"/>
    </row>
    <row r="362">
      <c r="A362" s="322"/>
      <c r="B362" s="401"/>
    </row>
    <row r="363">
      <c r="A363" s="322"/>
      <c r="B363" s="401"/>
    </row>
    <row r="364">
      <c r="A364" s="322"/>
      <c r="B364" s="401"/>
    </row>
    <row r="365">
      <c r="A365" s="322"/>
      <c r="B365" s="401"/>
    </row>
    <row r="366">
      <c r="A366" s="322"/>
      <c r="B366" s="401"/>
    </row>
    <row r="367">
      <c r="A367" s="322"/>
      <c r="B367" s="401"/>
    </row>
    <row r="368">
      <c r="A368" s="322"/>
      <c r="B368" s="401"/>
    </row>
    <row r="369">
      <c r="A369" s="322"/>
      <c r="B369" s="401"/>
    </row>
    <row r="370">
      <c r="A370" s="322"/>
      <c r="B370" s="401"/>
    </row>
    <row r="371">
      <c r="A371" s="322"/>
      <c r="B371" s="401"/>
    </row>
    <row r="372">
      <c r="A372" s="322"/>
      <c r="B372" s="401"/>
    </row>
    <row r="373">
      <c r="A373" s="322"/>
      <c r="B373" s="401"/>
    </row>
    <row r="374">
      <c r="A374" s="322"/>
      <c r="B374" s="401"/>
    </row>
    <row r="375">
      <c r="A375" s="322"/>
      <c r="B375" s="401"/>
    </row>
    <row r="376">
      <c r="A376" s="322"/>
      <c r="B376" s="401"/>
    </row>
    <row r="377">
      <c r="A377" s="322"/>
      <c r="B377" s="401"/>
    </row>
    <row r="378">
      <c r="A378" s="322"/>
      <c r="B378" s="401"/>
    </row>
    <row r="379">
      <c r="A379" s="322"/>
      <c r="B379" s="401"/>
    </row>
    <row r="380">
      <c r="A380" s="322"/>
      <c r="B380" s="401"/>
    </row>
    <row r="381">
      <c r="A381" s="322"/>
      <c r="B381" s="401"/>
    </row>
    <row r="382">
      <c r="A382" s="322"/>
      <c r="B382" s="401"/>
    </row>
    <row r="383">
      <c r="A383" s="322"/>
      <c r="B383" s="401"/>
    </row>
    <row r="384">
      <c r="A384" s="322"/>
      <c r="B384" s="401"/>
    </row>
    <row r="385">
      <c r="A385" s="322"/>
      <c r="B385" s="401"/>
    </row>
    <row r="386">
      <c r="A386" s="322"/>
      <c r="B386" s="401"/>
    </row>
    <row r="387">
      <c r="A387" s="322"/>
      <c r="B387" s="401"/>
    </row>
    <row r="388">
      <c r="A388" s="322"/>
      <c r="B388" s="401"/>
    </row>
    <row r="389">
      <c r="A389" s="322"/>
      <c r="B389" s="401"/>
    </row>
    <row r="390">
      <c r="A390" s="322"/>
      <c r="B390" s="401"/>
    </row>
    <row r="391">
      <c r="A391" s="322"/>
      <c r="B391" s="401"/>
    </row>
    <row r="392">
      <c r="A392" s="322"/>
      <c r="B392" s="401"/>
    </row>
    <row r="393">
      <c r="A393" s="322"/>
      <c r="B393" s="401"/>
    </row>
    <row r="394">
      <c r="A394" s="322"/>
      <c r="B394" s="401"/>
    </row>
    <row r="395">
      <c r="A395" s="322"/>
      <c r="B395" s="401"/>
    </row>
    <row r="396">
      <c r="A396" s="322"/>
      <c r="B396" s="401"/>
    </row>
    <row r="397">
      <c r="A397" s="322"/>
      <c r="B397" s="401"/>
    </row>
    <row r="398">
      <c r="A398" s="322"/>
      <c r="B398" s="401"/>
    </row>
    <row r="399">
      <c r="A399" s="322"/>
      <c r="B399" s="401"/>
    </row>
    <row r="400">
      <c r="A400" s="322"/>
      <c r="B400" s="401"/>
    </row>
    <row r="401">
      <c r="A401" s="322"/>
      <c r="B401" s="401"/>
    </row>
    <row r="402">
      <c r="A402" s="322"/>
      <c r="B402" s="401"/>
    </row>
    <row r="403">
      <c r="A403" s="322"/>
      <c r="B403" s="401"/>
    </row>
    <row r="404">
      <c r="A404" s="322"/>
      <c r="B404" s="401"/>
    </row>
    <row r="405">
      <c r="A405" s="322"/>
      <c r="B405" s="401"/>
    </row>
    <row r="406">
      <c r="A406" s="322"/>
      <c r="B406" s="401"/>
    </row>
    <row r="407">
      <c r="A407" s="322"/>
      <c r="B407" s="401"/>
    </row>
    <row r="408">
      <c r="A408" s="322"/>
      <c r="B408" s="401"/>
    </row>
    <row r="409">
      <c r="A409" s="322"/>
      <c r="B409" s="401"/>
    </row>
    <row r="410">
      <c r="A410" s="322"/>
      <c r="B410" s="401"/>
    </row>
    <row r="411">
      <c r="A411" s="322"/>
      <c r="B411" s="401"/>
    </row>
    <row r="412">
      <c r="A412" s="322"/>
      <c r="B412" s="401"/>
    </row>
    <row r="413">
      <c r="A413" s="322"/>
      <c r="B413" s="401"/>
    </row>
    <row r="414">
      <c r="A414" s="322"/>
      <c r="B414" s="401"/>
    </row>
    <row r="415">
      <c r="A415" s="322"/>
      <c r="B415" s="401"/>
    </row>
    <row r="416">
      <c r="A416" s="322"/>
      <c r="B416" s="401"/>
    </row>
    <row r="417">
      <c r="A417" s="322"/>
      <c r="B417" s="401"/>
    </row>
    <row r="418">
      <c r="A418" s="322"/>
      <c r="B418" s="401"/>
    </row>
    <row r="419">
      <c r="A419" s="322"/>
      <c r="B419" s="401"/>
    </row>
    <row r="420">
      <c r="A420" s="322"/>
      <c r="B420" s="401"/>
    </row>
    <row r="421">
      <c r="A421" s="322"/>
      <c r="B421" s="401"/>
    </row>
    <row r="422">
      <c r="A422" s="322"/>
      <c r="B422" s="401"/>
    </row>
    <row r="423">
      <c r="A423" s="322"/>
      <c r="B423" s="401"/>
    </row>
    <row r="424">
      <c r="A424" s="322"/>
      <c r="B424" s="401"/>
    </row>
    <row r="425">
      <c r="A425" s="322"/>
      <c r="B425" s="401"/>
    </row>
    <row r="426">
      <c r="A426" s="322"/>
      <c r="B426" s="401"/>
    </row>
    <row r="427">
      <c r="A427" s="322"/>
      <c r="B427" s="401"/>
    </row>
    <row r="428">
      <c r="A428" s="322"/>
      <c r="B428" s="401"/>
    </row>
    <row r="429">
      <c r="A429" s="322"/>
      <c r="B429" s="401"/>
    </row>
    <row r="430">
      <c r="A430" s="322"/>
      <c r="B430" s="401"/>
    </row>
    <row r="431">
      <c r="A431" s="322"/>
      <c r="B431" s="401"/>
    </row>
    <row r="432">
      <c r="A432" s="322"/>
      <c r="B432" s="401"/>
    </row>
    <row r="433">
      <c r="A433" s="322"/>
      <c r="B433" s="401"/>
    </row>
    <row r="434">
      <c r="A434" s="322"/>
      <c r="B434" s="401"/>
    </row>
    <row r="435">
      <c r="A435" s="322"/>
      <c r="B435" s="401"/>
    </row>
    <row r="436">
      <c r="A436" s="322"/>
      <c r="B436" s="401"/>
    </row>
    <row r="437">
      <c r="A437" s="322"/>
      <c r="B437" s="401"/>
    </row>
    <row r="438">
      <c r="A438" s="322"/>
      <c r="B438" s="401"/>
    </row>
    <row r="439">
      <c r="A439" s="322"/>
      <c r="B439" s="401"/>
    </row>
    <row r="440">
      <c r="A440" s="322"/>
      <c r="B440" s="401"/>
    </row>
    <row r="441">
      <c r="A441" s="322"/>
      <c r="B441" s="401"/>
    </row>
    <row r="442">
      <c r="A442" s="322"/>
      <c r="B442" s="401"/>
    </row>
    <row r="443">
      <c r="A443" s="322"/>
      <c r="B443" s="401"/>
    </row>
    <row r="444">
      <c r="A444" s="322"/>
      <c r="B444" s="401"/>
    </row>
    <row r="445">
      <c r="A445" s="322"/>
      <c r="B445" s="401"/>
    </row>
    <row r="446">
      <c r="A446" s="322"/>
      <c r="B446" s="401"/>
    </row>
    <row r="447">
      <c r="A447" s="322"/>
      <c r="B447" s="401"/>
    </row>
    <row r="448">
      <c r="A448" s="322"/>
      <c r="B448" s="401"/>
    </row>
    <row r="449">
      <c r="A449" s="322"/>
      <c r="B449" s="401"/>
    </row>
    <row r="450">
      <c r="A450" s="322"/>
      <c r="B450" s="401"/>
    </row>
    <row r="451">
      <c r="A451" s="322"/>
      <c r="B451" s="401"/>
    </row>
    <row r="452">
      <c r="A452" s="322"/>
      <c r="B452" s="401"/>
    </row>
    <row r="453">
      <c r="A453" s="322"/>
      <c r="B453" s="401"/>
    </row>
    <row r="454">
      <c r="A454" s="322"/>
      <c r="B454" s="401"/>
    </row>
    <row r="455">
      <c r="A455" s="322"/>
      <c r="B455" s="401"/>
    </row>
    <row r="456">
      <c r="A456" s="322"/>
      <c r="B456" s="401"/>
    </row>
    <row r="457">
      <c r="A457" s="322"/>
      <c r="B457" s="401"/>
    </row>
    <row r="458">
      <c r="A458" s="322"/>
      <c r="B458" s="401"/>
    </row>
    <row r="459">
      <c r="A459" s="322"/>
      <c r="B459" s="401"/>
    </row>
    <row r="460">
      <c r="A460" s="322"/>
      <c r="B460" s="401"/>
    </row>
    <row r="461">
      <c r="A461" s="322"/>
      <c r="B461" s="401"/>
    </row>
    <row r="462">
      <c r="A462" s="322"/>
      <c r="B462" s="401"/>
    </row>
    <row r="463">
      <c r="A463" s="322"/>
      <c r="B463" s="401"/>
    </row>
    <row r="464">
      <c r="A464" s="322"/>
      <c r="B464" s="401"/>
    </row>
    <row r="465">
      <c r="A465" s="322"/>
      <c r="B465" s="401"/>
    </row>
    <row r="466">
      <c r="A466" s="322"/>
      <c r="B466" s="401"/>
    </row>
    <row r="467">
      <c r="A467" s="322"/>
      <c r="B467" s="401"/>
    </row>
    <row r="468">
      <c r="A468" s="322"/>
      <c r="B468" s="401"/>
    </row>
    <row r="469">
      <c r="A469" s="322"/>
      <c r="B469" s="401"/>
    </row>
    <row r="470">
      <c r="A470" s="322"/>
      <c r="B470" s="401"/>
    </row>
    <row r="471">
      <c r="A471" s="322"/>
      <c r="B471" s="401"/>
    </row>
    <row r="472">
      <c r="A472" s="322"/>
      <c r="B472" s="401"/>
    </row>
    <row r="473">
      <c r="A473" s="322"/>
      <c r="B473" s="401"/>
    </row>
    <row r="474">
      <c r="A474" s="322"/>
      <c r="B474" s="401"/>
    </row>
    <row r="475">
      <c r="A475" s="322"/>
      <c r="B475" s="401"/>
    </row>
    <row r="476">
      <c r="A476" s="322"/>
      <c r="B476" s="401"/>
    </row>
    <row r="477">
      <c r="A477" s="322"/>
      <c r="B477" s="401"/>
    </row>
    <row r="478">
      <c r="A478" s="322"/>
      <c r="B478" s="401"/>
    </row>
    <row r="479">
      <c r="A479" s="322"/>
      <c r="B479" s="401"/>
    </row>
    <row r="480">
      <c r="A480" s="322"/>
      <c r="B480" s="401"/>
    </row>
    <row r="481">
      <c r="A481" s="322"/>
      <c r="B481" s="401"/>
    </row>
    <row r="482">
      <c r="A482" s="322"/>
      <c r="B482" s="401"/>
    </row>
    <row r="483">
      <c r="A483" s="322"/>
      <c r="B483" s="401"/>
    </row>
    <row r="484">
      <c r="A484" s="322"/>
      <c r="B484" s="401"/>
    </row>
    <row r="485">
      <c r="A485" s="322"/>
      <c r="B485" s="401"/>
    </row>
    <row r="486">
      <c r="A486" s="322"/>
      <c r="B486" s="401"/>
    </row>
    <row r="487">
      <c r="A487" s="322"/>
      <c r="B487" s="401"/>
    </row>
    <row r="488">
      <c r="A488" s="322"/>
      <c r="B488" s="401"/>
    </row>
    <row r="489">
      <c r="A489" s="322"/>
      <c r="B489" s="401"/>
    </row>
    <row r="490">
      <c r="A490" s="322"/>
      <c r="B490" s="401"/>
    </row>
    <row r="491">
      <c r="A491" s="322"/>
      <c r="B491" s="401"/>
    </row>
    <row r="492">
      <c r="A492" s="322"/>
      <c r="B492" s="401"/>
    </row>
    <row r="493">
      <c r="A493" s="322"/>
      <c r="B493" s="401"/>
    </row>
    <row r="494">
      <c r="A494" s="322"/>
      <c r="B494" s="401"/>
    </row>
    <row r="495">
      <c r="A495" s="322"/>
      <c r="B495" s="401"/>
    </row>
    <row r="496">
      <c r="A496" s="322"/>
      <c r="B496" s="401"/>
    </row>
    <row r="497">
      <c r="A497" s="322"/>
      <c r="B497" s="401"/>
    </row>
    <row r="498">
      <c r="A498" s="322"/>
      <c r="B498" s="401"/>
    </row>
    <row r="499">
      <c r="A499" s="322"/>
      <c r="B499" s="401"/>
    </row>
    <row r="500">
      <c r="A500" s="322"/>
      <c r="B500" s="401"/>
    </row>
    <row r="501">
      <c r="A501" s="322"/>
      <c r="B501" s="401"/>
    </row>
    <row r="502">
      <c r="A502" s="322"/>
      <c r="B502" s="401"/>
    </row>
    <row r="503">
      <c r="A503" s="322"/>
      <c r="B503" s="401"/>
    </row>
    <row r="504">
      <c r="A504" s="322"/>
      <c r="B504" s="401"/>
    </row>
    <row r="505">
      <c r="A505" s="322"/>
      <c r="B505" s="401"/>
    </row>
    <row r="506">
      <c r="A506" s="322"/>
      <c r="B506" s="401"/>
    </row>
    <row r="507">
      <c r="A507" s="322"/>
      <c r="B507" s="401"/>
    </row>
    <row r="508">
      <c r="A508" s="322"/>
      <c r="B508" s="401"/>
    </row>
    <row r="509">
      <c r="A509" s="322"/>
      <c r="B509" s="401"/>
    </row>
    <row r="510">
      <c r="A510" s="322"/>
      <c r="B510" s="401"/>
    </row>
    <row r="511">
      <c r="A511" s="322"/>
      <c r="B511" s="401"/>
    </row>
    <row r="512">
      <c r="A512" s="322"/>
      <c r="B512" s="401"/>
    </row>
    <row r="513">
      <c r="A513" s="322"/>
      <c r="B513" s="401"/>
    </row>
    <row r="514">
      <c r="A514" s="322"/>
      <c r="B514" s="401"/>
    </row>
    <row r="515">
      <c r="A515" s="322"/>
      <c r="B515" s="401"/>
    </row>
    <row r="516">
      <c r="A516" s="322"/>
      <c r="B516" s="401"/>
    </row>
    <row r="517">
      <c r="A517" s="322"/>
      <c r="B517" s="401"/>
    </row>
    <row r="518">
      <c r="A518" s="322"/>
      <c r="B518" s="401"/>
    </row>
    <row r="519">
      <c r="A519" s="322"/>
      <c r="B519" s="401"/>
    </row>
    <row r="520">
      <c r="A520" s="322"/>
      <c r="B520" s="401"/>
    </row>
    <row r="521">
      <c r="A521" s="322"/>
      <c r="B521" s="401"/>
    </row>
    <row r="522">
      <c r="A522" s="322"/>
      <c r="B522" s="401"/>
    </row>
    <row r="523">
      <c r="A523" s="322"/>
      <c r="B523" s="401"/>
    </row>
    <row r="524">
      <c r="A524" s="322"/>
      <c r="B524" s="401"/>
    </row>
    <row r="525">
      <c r="A525" s="322"/>
      <c r="B525" s="401"/>
    </row>
    <row r="526">
      <c r="A526" s="322"/>
      <c r="B526" s="401"/>
    </row>
    <row r="527">
      <c r="A527" s="322"/>
      <c r="B527" s="401"/>
    </row>
    <row r="528">
      <c r="A528" s="322"/>
      <c r="B528" s="401"/>
    </row>
    <row r="529">
      <c r="A529" s="322"/>
      <c r="B529" s="401"/>
    </row>
    <row r="530">
      <c r="A530" s="322"/>
      <c r="B530" s="401"/>
    </row>
    <row r="531">
      <c r="A531" s="322"/>
      <c r="B531" s="401"/>
    </row>
    <row r="532">
      <c r="A532" s="322"/>
      <c r="B532" s="401"/>
    </row>
    <row r="533">
      <c r="A533" s="322"/>
      <c r="B533" s="401"/>
    </row>
    <row r="534">
      <c r="A534" s="322"/>
      <c r="B534" s="401"/>
    </row>
    <row r="535">
      <c r="A535" s="322"/>
      <c r="B535" s="401"/>
    </row>
    <row r="536">
      <c r="A536" s="322"/>
      <c r="B536" s="401"/>
    </row>
    <row r="537">
      <c r="A537" s="322"/>
      <c r="B537" s="401"/>
    </row>
    <row r="538">
      <c r="A538" s="322"/>
      <c r="B538" s="401"/>
    </row>
    <row r="539">
      <c r="A539" s="322"/>
      <c r="B539" s="401"/>
    </row>
    <row r="540">
      <c r="A540" s="322"/>
      <c r="B540" s="401"/>
    </row>
    <row r="541">
      <c r="A541" s="322"/>
      <c r="B541" s="401"/>
    </row>
    <row r="542">
      <c r="A542" s="322"/>
      <c r="B542" s="401"/>
    </row>
    <row r="543">
      <c r="A543" s="322"/>
      <c r="B543" s="401"/>
    </row>
    <row r="544">
      <c r="A544" s="322"/>
      <c r="B544" s="401"/>
    </row>
    <row r="545">
      <c r="A545" s="322"/>
      <c r="B545" s="401"/>
    </row>
    <row r="546">
      <c r="A546" s="322"/>
      <c r="B546" s="401"/>
    </row>
    <row r="547">
      <c r="A547" s="322"/>
      <c r="B547" s="401"/>
    </row>
    <row r="548">
      <c r="A548" s="322"/>
      <c r="B548" s="401"/>
    </row>
    <row r="549">
      <c r="A549" s="322"/>
      <c r="B549" s="401"/>
    </row>
    <row r="550">
      <c r="A550" s="322"/>
      <c r="B550" s="401"/>
    </row>
    <row r="551">
      <c r="A551" s="322"/>
      <c r="B551" s="401"/>
    </row>
    <row r="552">
      <c r="A552" s="322"/>
      <c r="B552" s="401"/>
    </row>
    <row r="553">
      <c r="A553" s="322"/>
      <c r="B553" s="401"/>
    </row>
    <row r="554">
      <c r="A554" s="322"/>
      <c r="B554" s="401"/>
    </row>
    <row r="555">
      <c r="A555" s="322"/>
      <c r="B555" s="401"/>
    </row>
    <row r="556">
      <c r="A556" s="322"/>
      <c r="B556" s="401"/>
    </row>
    <row r="557">
      <c r="A557" s="322"/>
      <c r="B557" s="401"/>
    </row>
    <row r="558">
      <c r="A558" s="322"/>
      <c r="B558" s="401"/>
    </row>
    <row r="559">
      <c r="A559" s="322"/>
      <c r="B559" s="401"/>
    </row>
    <row r="560">
      <c r="A560" s="322"/>
      <c r="B560" s="401"/>
    </row>
    <row r="561">
      <c r="A561" s="322"/>
      <c r="B561" s="401"/>
    </row>
    <row r="562">
      <c r="A562" s="322"/>
      <c r="B562" s="401"/>
    </row>
    <row r="563">
      <c r="A563" s="322"/>
      <c r="B563" s="401"/>
    </row>
    <row r="564">
      <c r="A564" s="322"/>
      <c r="B564" s="401"/>
    </row>
    <row r="565">
      <c r="A565" s="322"/>
      <c r="B565" s="401"/>
    </row>
    <row r="566">
      <c r="A566" s="322"/>
      <c r="B566" s="401"/>
    </row>
    <row r="567">
      <c r="A567" s="322"/>
      <c r="B567" s="401"/>
    </row>
    <row r="568">
      <c r="A568" s="322"/>
      <c r="B568" s="401"/>
    </row>
    <row r="569">
      <c r="A569" s="322"/>
      <c r="B569" s="401"/>
    </row>
    <row r="570">
      <c r="A570" s="322"/>
      <c r="B570" s="401"/>
    </row>
    <row r="571">
      <c r="A571" s="322"/>
      <c r="B571" s="401"/>
    </row>
    <row r="572">
      <c r="A572" s="322"/>
      <c r="B572" s="401"/>
    </row>
    <row r="573">
      <c r="A573" s="322"/>
      <c r="B573" s="401"/>
    </row>
    <row r="574">
      <c r="A574" s="322"/>
      <c r="B574" s="401"/>
    </row>
    <row r="575">
      <c r="A575" s="322"/>
      <c r="B575" s="401"/>
    </row>
    <row r="576">
      <c r="A576" s="322"/>
      <c r="B576" s="401"/>
    </row>
    <row r="577">
      <c r="A577" s="322"/>
      <c r="B577" s="401"/>
    </row>
    <row r="578">
      <c r="A578" s="322"/>
      <c r="B578" s="401"/>
    </row>
    <row r="579">
      <c r="A579" s="322"/>
      <c r="B579" s="401"/>
    </row>
    <row r="580">
      <c r="A580" s="322"/>
      <c r="B580" s="401"/>
    </row>
    <row r="581">
      <c r="A581" s="322"/>
      <c r="B581" s="401"/>
    </row>
    <row r="582">
      <c r="A582" s="322"/>
      <c r="B582" s="401"/>
    </row>
    <row r="583">
      <c r="A583" s="322"/>
      <c r="B583" s="401"/>
    </row>
    <row r="584">
      <c r="A584" s="322"/>
      <c r="B584" s="401"/>
    </row>
    <row r="585">
      <c r="A585" s="322"/>
      <c r="B585" s="401"/>
    </row>
    <row r="586">
      <c r="A586" s="322"/>
      <c r="B586" s="401"/>
    </row>
    <row r="587">
      <c r="A587" s="322"/>
      <c r="B587" s="401"/>
    </row>
    <row r="588">
      <c r="A588" s="322"/>
      <c r="B588" s="401"/>
    </row>
    <row r="589">
      <c r="A589" s="322"/>
      <c r="B589" s="401"/>
    </row>
    <row r="590">
      <c r="A590" s="322"/>
      <c r="B590" s="401"/>
    </row>
    <row r="591">
      <c r="A591" s="322"/>
      <c r="B591" s="401"/>
    </row>
    <row r="592">
      <c r="A592" s="322"/>
      <c r="B592" s="401"/>
    </row>
    <row r="593">
      <c r="A593" s="322"/>
      <c r="B593" s="401"/>
    </row>
    <row r="594">
      <c r="A594" s="322"/>
      <c r="B594" s="401"/>
    </row>
    <row r="595">
      <c r="A595" s="322"/>
      <c r="B595" s="401"/>
    </row>
    <row r="596">
      <c r="A596" s="322"/>
      <c r="B596" s="401"/>
    </row>
    <row r="597">
      <c r="A597" s="322"/>
      <c r="B597" s="401"/>
    </row>
    <row r="598">
      <c r="A598" s="322"/>
      <c r="B598" s="401"/>
    </row>
    <row r="599">
      <c r="A599" s="322"/>
      <c r="B599" s="401"/>
    </row>
    <row r="600">
      <c r="A600" s="322"/>
      <c r="B600" s="401"/>
    </row>
    <row r="601">
      <c r="A601" s="322"/>
      <c r="B601" s="401"/>
    </row>
    <row r="602">
      <c r="A602" s="322"/>
      <c r="B602" s="401"/>
    </row>
    <row r="603">
      <c r="A603" s="322"/>
      <c r="B603" s="401"/>
    </row>
    <row r="604">
      <c r="A604" s="322"/>
      <c r="B604" s="401"/>
    </row>
    <row r="605">
      <c r="A605" s="322"/>
      <c r="B605" s="401"/>
    </row>
    <row r="606">
      <c r="A606" s="322"/>
      <c r="B606" s="401"/>
    </row>
    <row r="607">
      <c r="A607" s="322"/>
      <c r="B607" s="401"/>
    </row>
    <row r="608">
      <c r="A608" s="322"/>
      <c r="B608" s="401"/>
    </row>
    <row r="609">
      <c r="A609" s="322"/>
      <c r="B609" s="401"/>
    </row>
    <row r="610">
      <c r="A610" s="322"/>
      <c r="B610" s="401"/>
    </row>
    <row r="611">
      <c r="A611" s="322"/>
      <c r="B611" s="401"/>
    </row>
    <row r="612">
      <c r="A612" s="322"/>
      <c r="B612" s="401"/>
    </row>
    <row r="613">
      <c r="A613" s="322"/>
      <c r="B613" s="401"/>
    </row>
    <row r="614">
      <c r="A614" s="322"/>
      <c r="B614" s="401"/>
    </row>
    <row r="615">
      <c r="A615" s="322"/>
      <c r="B615" s="401"/>
    </row>
    <row r="616">
      <c r="A616" s="322"/>
      <c r="B616" s="401"/>
    </row>
    <row r="617">
      <c r="A617" s="322"/>
      <c r="B617" s="401"/>
    </row>
    <row r="618">
      <c r="A618" s="322"/>
      <c r="B618" s="401"/>
    </row>
    <row r="619">
      <c r="A619" s="322"/>
      <c r="B619" s="401"/>
    </row>
    <row r="620">
      <c r="A620" s="322"/>
      <c r="B620" s="401"/>
    </row>
    <row r="621">
      <c r="A621" s="322"/>
      <c r="B621" s="401"/>
    </row>
    <row r="622">
      <c r="A622" s="322"/>
      <c r="B622" s="401"/>
    </row>
    <row r="623">
      <c r="A623" s="322"/>
      <c r="B623" s="401"/>
    </row>
    <row r="624">
      <c r="A624" s="322"/>
      <c r="B624" s="401"/>
    </row>
    <row r="625">
      <c r="A625" s="322"/>
      <c r="B625" s="401"/>
    </row>
    <row r="626">
      <c r="A626" s="322"/>
      <c r="B626" s="401"/>
    </row>
    <row r="627">
      <c r="A627" s="322"/>
      <c r="B627" s="401"/>
    </row>
    <row r="628">
      <c r="A628" s="322"/>
      <c r="B628" s="401"/>
    </row>
    <row r="629">
      <c r="A629" s="322"/>
      <c r="B629" s="401"/>
    </row>
    <row r="630">
      <c r="A630" s="322"/>
      <c r="B630" s="401"/>
    </row>
    <row r="631">
      <c r="A631" s="322"/>
      <c r="B631" s="401"/>
    </row>
    <row r="632">
      <c r="A632" s="322"/>
      <c r="B632" s="401"/>
    </row>
    <row r="633">
      <c r="A633" s="322"/>
      <c r="B633" s="401"/>
    </row>
    <row r="634">
      <c r="A634" s="322"/>
      <c r="B634" s="401"/>
    </row>
    <row r="635">
      <c r="A635" s="322"/>
      <c r="B635" s="401"/>
    </row>
    <row r="636">
      <c r="A636" s="322"/>
      <c r="B636" s="401"/>
    </row>
    <row r="637">
      <c r="A637" s="322"/>
      <c r="B637" s="401"/>
    </row>
    <row r="638">
      <c r="A638" s="322"/>
      <c r="B638" s="401"/>
    </row>
    <row r="639">
      <c r="A639" s="322"/>
      <c r="B639" s="401"/>
    </row>
    <row r="640">
      <c r="A640" s="322"/>
      <c r="B640" s="401"/>
    </row>
    <row r="641">
      <c r="A641" s="322"/>
      <c r="B641" s="401"/>
    </row>
    <row r="642">
      <c r="A642" s="322"/>
      <c r="B642" s="401"/>
    </row>
    <row r="643">
      <c r="A643" s="322"/>
      <c r="B643" s="401"/>
    </row>
    <row r="644">
      <c r="A644" s="322"/>
      <c r="B644" s="401"/>
    </row>
    <row r="645">
      <c r="A645" s="322"/>
      <c r="B645" s="401"/>
    </row>
    <row r="646">
      <c r="A646" s="322"/>
      <c r="B646" s="401"/>
    </row>
    <row r="647">
      <c r="A647" s="322"/>
      <c r="B647" s="401"/>
    </row>
    <row r="648">
      <c r="A648" s="322"/>
      <c r="B648" s="401"/>
    </row>
    <row r="649">
      <c r="A649" s="322"/>
      <c r="B649" s="401"/>
    </row>
    <row r="650">
      <c r="A650" s="322"/>
      <c r="B650" s="401"/>
    </row>
    <row r="651">
      <c r="A651" s="322"/>
      <c r="B651" s="401"/>
    </row>
    <row r="652">
      <c r="A652" s="322"/>
      <c r="B652" s="401"/>
    </row>
    <row r="653">
      <c r="A653" s="322"/>
      <c r="B653" s="401"/>
    </row>
    <row r="654">
      <c r="A654" s="322"/>
      <c r="B654" s="401"/>
    </row>
    <row r="655">
      <c r="A655" s="322"/>
      <c r="B655" s="401"/>
    </row>
    <row r="656">
      <c r="A656" s="322"/>
      <c r="B656" s="401"/>
    </row>
    <row r="657">
      <c r="A657" s="322"/>
      <c r="B657" s="401"/>
    </row>
    <row r="658">
      <c r="A658" s="322"/>
      <c r="B658" s="401"/>
    </row>
    <row r="659">
      <c r="A659" s="322"/>
      <c r="B659" s="401"/>
    </row>
    <row r="660">
      <c r="A660" s="322"/>
      <c r="B660" s="401"/>
    </row>
    <row r="661">
      <c r="A661" s="322"/>
      <c r="B661" s="401"/>
    </row>
    <row r="662">
      <c r="A662" s="322"/>
      <c r="B662" s="401"/>
    </row>
    <row r="663">
      <c r="A663" s="322"/>
      <c r="B663" s="401"/>
    </row>
    <row r="664">
      <c r="A664" s="322"/>
      <c r="B664" s="401"/>
    </row>
    <row r="665">
      <c r="A665" s="322"/>
      <c r="B665" s="401"/>
    </row>
    <row r="666">
      <c r="A666" s="322"/>
      <c r="B666" s="401"/>
    </row>
    <row r="667">
      <c r="A667" s="322"/>
      <c r="B667" s="401"/>
    </row>
    <row r="668">
      <c r="A668" s="322"/>
      <c r="B668" s="401"/>
    </row>
    <row r="669">
      <c r="A669" s="322"/>
      <c r="B669" s="401"/>
    </row>
    <row r="670">
      <c r="A670" s="322"/>
      <c r="B670" s="401"/>
    </row>
    <row r="671">
      <c r="A671" s="322"/>
      <c r="B671" s="401"/>
    </row>
    <row r="672">
      <c r="A672" s="322"/>
      <c r="B672" s="401"/>
    </row>
    <row r="673">
      <c r="A673" s="322"/>
      <c r="B673" s="401"/>
    </row>
    <row r="674">
      <c r="A674" s="322"/>
      <c r="B674" s="401"/>
    </row>
    <row r="675">
      <c r="A675" s="322"/>
      <c r="B675" s="401"/>
    </row>
    <row r="676">
      <c r="A676" s="322"/>
      <c r="B676" s="401"/>
    </row>
    <row r="677">
      <c r="A677" s="322"/>
      <c r="B677" s="401"/>
    </row>
    <row r="678">
      <c r="A678" s="322"/>
      <c r="B678" s="401"/>
    </row>
    <row r="679">
      <c r="A679" s="322"/>
      <c r="B679" s="401"/>
    </row>
    <row r="680">
      <c r="A680" s="322"/>
      <c r="B680" s="401"/>
    </row>
    <row r="681">
      <c r="A681" s="322"/>
      <c r="B681" s="401"/>
    </row>
    <row r="682">
      <c r="A682" s="322"/>
      <c r="B682" s="401"/>
    </row>
    <row r="683">
      <c r="A683" s="322"/>
      <c r="B683" s="401"/>
    </row>
    <row r="684">
      <c r="A684" s="322"/>
      <c r="B684" s="401"/>
    </row>
    <row r="685">
      <c r="A685" s="322"/>
      <c r="B685" s="401"/>
    </row>
    <row r="686">
      <c r="A686" s="322"/>
      <c r="B686" s="401"/>
    </row>
    <row r="687">
      <c r="A687" s="322"/>
      <c r="B687" s="401"/>
    </row>
    <row r="688">
      <c r="A688" s="322"/>
      <c r="B688" s="401"/>
    </row>
    <row r="689">
      <c r="A689" s="322"/>
      <c r="B689" s="401"/>
    </row>
    <row r="690">
      <c r="A690" s="322"/>
      <c r="B690" s="401"/>
    </row>
    <row r="691">
      <c r="A691" s="322"/>
      <c r="B691" s="401"/>
    </row>
    <row r="692">
      <c r="A692" s="322"/>
      <c r="B692" s="401"/>
    </row>
    <row r="693">
      <c r="A693" s="322"/>
      <c r="B693" s="401"/>
    </row>
    <row r="694">
      <c r="A694" s="322"/>
      <c r="B694" s="401"/>
    </row>
    <row r="695">
      <c r="A695" s="322"/>
      <c r="B695" s="401"/>
    </row>
    <row r="696">
      <c r="A696" s="322"/>
      <c r="B696" s="401"/>
    </row>
    <row r="697">
      <c r="A697" s="322"/>
      <c r="B697" s="401"/>
    </row>
    <row r="698">
      <c r="A698" s="322"/>
      <c r="B698" s="401"/>
    </row>
    <row r="699">
      <c r="A699" s="322"/>
      <c r="B699" s="401"/>
    </row>
    <row r="700">
      <c r="A700" s="322"/>
      <c r="B700" s="401"/>
    </row>
    <row r="701">
      <c r="A701" s="322"/>
      <c r="B701" s="401"/>
    </row>
    <row r="702">
      <c r="A702" s="322"/>
      <c r="B702" s="401"/>
    </row>
    <row r="703">
      <c r="A703" s="322"/>
      <c r="B703" s="401"/>
    </row>
    <row r="704">
      <c r="A704" s="322"/>
      <c r="B704" s="401"/>
    </row>
    <row r="705">
      <c r="A705" s="322"/>
      <c r="B705" s="401"/>
    </row>
    <row r="706">
      <c r="A706" s="322"/>
      <c r="B706" s="401"/>
    </row>
    <row r="707">
      <c r="A707" s="322"/>
      <c r="B707" s="401"/>
    </row>
    <row r="708">
      <c r="A708" s="322"/>
      <c r="B708" s="401"/>
    </row>
    <row r="709">
      <c r="A709" s="322"/>
      <c r="B709" s="401"/>
    </row>
    <row r="710">
      <c r="A710" s="322"/>
      <c r="B710" s="401"/>
    </row>
    <row r="711">
      <c r="A711" s="322"/>
      <c r="B711" s="401"/>
    </row>
    <row r="712">
      <c r="A712" s="322"/>
      <c r="B712" s="401"/>
    </row>
    <row r="713">
      <c r="A713" s="322"/>
      <c r="B713" s="401"/>
    </row>
    <row r="714">
      <c r="A714" s="322"/>
      <c r="B714" s="401"/>
    </row>
    <row r="715">
      <c r="A715" s="322"/>
      <c r="B715" s="401"/>
    </row>
    <row r="716">
      <c r="A716" s="322"/>
      <c r="B716" s="401"/>
    </row>
    <row r="717">
      <c r="A717" s="322"/>
      <c r="B717" s="401"/>
    </row>
    <row r="718">
      <c r="A718" s="322"/>
      <c r="B718" s="401"/>
    </row>
    <row r="719">
      <c r="A719" s="322"/>
      <c r="B719" s="401"/>
    </row>
    <row r="720">
      <c r="A720" s="322"/>
      <c r="B720" s="401"/>
    </row>
    <row r="721">
      <c r="A721" s="322"/>
      <c r="B721" s="401"/>
    </row>
    <row r="722">
      <c r="A722" s="322"/>
      <c r="B722" s="401"/>
    </row>
    <row r="723">
      <c r="A723" s="322"/>
      <c r="B723" s="401"/>
    </row>
    <row r="724">
      <c r="A724" s="322"/>
      <c r="B724" s="401"/>
    </row>
    <row r="725">
      <c r="A725" s="322"/>
      <c r="B725" s="401"/>
    </row>
    <row r="726">
      <c r="A726" s="322"/>
      <c r="B726" s="401"/>
    </row>
    <row r="727">
      <c r="A727" s="322"/>
      <c r="B727" s="401"/>
    </row>
    <row r="728">
      <c r="A728" s="322"/>
      <c r="B728" s="401"/>
    </row>
    <row r="729">
      <c r="A729" s="322"/>
      <c r="B729" s="401"/>
    </row>
    <row r="730">
      <c r="A730" s="322"/>
      <c r="B730" s="401"/>
    </row>
    <row r="731">
      <c r="A731" s="322"/>
      <c r="B731" s="401"/>
    </row>
    <row r="732">
      <c r="A732" s="322"/>
      <c r="B732" s="401"/>
    </row>
    <row r="733">
      <c r="A733" s="322"/>
      <c r="B733" s="401"/>
    </row>
    <row r="734">
      <c r="A734" s="322"/>
      <c r="B734" s="401"/>
    </row>
    <row r="735">
      <c r="A735" s="322"/>
      <c r="B735" s="401"/>
    </row>
    <row r="736">
      <c r="A736" s="322"/>
      <c r="B736" s="401"/>
    </row>
    <row r="737">
      <c r="A737" s="322"/>
      <c r="B737" s="401"/>
    </row>
    <row r="738">
      <c r="A738" s="322"/>
      <c r="B738" s="401"/>
    </row>
    <row r="739">
      <c r="A739" s="322"/>
      <c r="B739" s="401"/>
    </row>
    <row r="740">
      <c r="A740" s="322"/>
      <c r="B740" s="401"/>
    </row>
    <row r="741">
      <c r="A741" s="322"/>
      <c r="B741" s="401"/>
    </row>
    <row r="742">
      <c r="A742" s="322"/>
      <c r="B742" s="401"/>
    </row>
    <row r="743">
      <c r="A743" s="322"/>
      <c r="B743" s="401"/>
    </row>
    <row r="744">
      <c r="A744" s="322"/>
      <c r="B744" s="401"/>
    </row>
    <row r="745">
      <c r="A745" s="322"/>
      <c r="B745" s="401"/>
    </row>
    <row r="746">
      <c r="A746" s="322"/>
      <c r="B746" s="401"/>
    </row>
    <row r="747">
      <c r="A747" s="322"/>
      <c r="B747" s="401"/>
    </row>
    <row r="748">
      <c r="A748" s="322"/>
      <c r="B748" s="401"/>
    </row>
    <row r="749">
      <c r="A749" s="322"/>
      <c r="B749" s="401"/>
    </row>
    <row r="750">
      <c r="A750" s="322"/>
      <c r="B750" s="401"/>
    </row>
    <row r="751">
      <c r="A751" s="322"/>
      <c r="B751" s="401"/>
    </row>
    <row r="752">
      <c r="A752" s="322"/>
      <c r="B752" s="401"/>
    </row>
    <row r="753">
      <c r="A753" s="322"/>
      <c r="B753" s="401"/>
    </row>
    <row r="754">
      <c r="A754" s="322"/>
      <c r="B754" s="401"/>
    </row>
    <row r="755">
      <c r="A755" s="322"/>
      <c r="B755" s="401"/>
    </row>
    <row r="756">
      <c r="A756" s="322"/>
      <c r="B756" s="401"/>
    </row>
    <row r="757">
      <c r="A757" s="322"/>
      <c r="B757" s="401"/>
    </row>
    <row r="758">
      <c r="A758" s="322"/>
      <c r="B758" s="401"/>
    </row>
    <row r="759">
      <c r="A759" s="322"/>
      <c r="B759" s="401"/>
    </row>
    <row r="760">
      <c r="A760" s="322"/>
      <c r="B760" s="401"/>
    </row>
    <row r="761">
      <c r="A761" s="322"/>
      <c r="B761" s="401"/>
    </row>
    <row r="762">
      <c r="A762" s="322"/>
      <c r="B762" s="401"/>
    </row>
    <row r="763">
      <c r="A763" s="322"/>
      <c r="B763" s="401"/>
    </row>
    <row r="764">
      <c r="A764" s="322"/>
      <c r="B764" s="401"/>
    </row>
    <row r="765">
      <c r="A765" s="322"/>
      <c r="B765" s="401"/>
    </row>
    <row r="766">
      <c r="A766" s="322"/>
      <c r="B766" s="401"/>
    </row>
    <row r="767">
      <c r="A767" s="322"/>
      <c r="B767" s="401"/>
    </row>
    <row r="768">
      <c r="A768" s="322"/>
      <c r="B768" s="401"/>
    </row>
    <row r="769">
      <c r="A769" s="322"/>
      <c r="B769" s="401"/>
    </row>
    <row r="770">
      <c r="A770" s="322"/>
      <c r="B770" s="401"/>
    </row>
    <row r="771">
      <c r="A771" s="322"/>
      <c r="B771" s="401"/>
    </row>
    <row r="772">
      <c r="A772" s="322"/>
      <c r="B772" s="401"/>
    </row>
    <row r="773">
      <c r="A773" s="322"/>
      <c r="B773" s="401"/>
    </row>
    <row r="774">
      <c r="A774" s="322"/>
      <c r="B774" s="401"/>
    </row>
    <row r="775">
      <c r="A775" s="322"/>
      <c r="B775" s="401"/>
    </row>
    <row r="776">
      <c r="A776" s="322"/>
      <c r="B776" s="401"/>
    </row>
    <row r="777">
      <c r="A777" s="322"/>
      <c r="B777" s="401"/>
    </row>
    <row r="778">
      <c r="A778" s="322"/>
      <c r="B778" s="401"/>
    </row>
    <row r="779">
      <c r="A779" s="322"/>
      <c r="B779" s="401"/>
    </row>
    <row r="780">
      <c r="A780" s="322"/>
      <c r="B780" s="401"/>
    </row>
    <row r="781">
      <c r="A781" s="322"/>
      <c r="B781" s="401"/>
    </row>
    <row r="782">
      <c r="A782" s="322"/>
      <c r="B782" s="401"/>
    </row>
    <row r="783">
      <c r="A783" s="322"/>
      <c r="B783" s="401"/>
    </row>
    <row r="784">
      <c r="A784" s="322"/>
      <c r="B784" s="401"/>
    </row>
    <row r="785">
      <c r="A785" s="322"/>
      <c r="B785" s="401"/>
    </row>
    <row r="786">
      <c r="A786" s="322"/>
      <c r="B786" s="401"/>
    </row>
    <row r="787">
      <c r="A787" s="322"/>
      <c r="B787" s="401"/>
    </row>
    <row r="788">
      <c r="A788" s="322"/>
      <c r="B788" s="401"/>
    </row>
    <row r="789">
      <c r="A789" s="322"/>
      <c r="B789" s="401"/>
    </row>
    <row r="790">
      <c r="A790" s="322"/>
      <c r="B790" s="401"/>
    </row>
    <row r="791">
      <c r="A791" s="322"/>
      <c r="B791" s="401"/>
    </row>
    <row r="792">
      <c r="A792" s="322"/>
      <c r="B792" s="401"/>
    </row>
    <row r="793">
      <c r="A793" s="322"/>
      <c r="B793" s="401"/>
    </row>
    <row r="794">
      <c r="A794" s="322"/>
      <c r="B794" s="401"/>
    </row>
    <row r="795">
      <c r="A795" s="322"/>
      <c r="B795" s="401"/>
    </row>
    <row r="796">
      <c r="A796" s="322"/>
      <c r="B796" s="401"/>
    </row>
    <row r="797">
      <c r="A797" s="322"/>
      <c r="B797" s="401"/>
    </row>
    <row r="798">
      <c r="A798" s="322"/>
      <c r="B798" s="401"/>
    </row>
    <row r="799">
      <c r="A799" s="322"/>
      <c r="B799" s="401"/>
    </row>
    <row r="800">
      <c r="A800" s="322"/>
      <c r="B800" s="401"/>
    </row>
    <row r="801">
      <c r="A801" s="322"/>
      <c r="B801" s="401"/>
    </row>
    <row r="802">
      <c r="A802" s="322"/>
      <c r="B802" s="401"/>
    </row>
    <row r="803">
      <c r="A803" s="322"/>
      <c r="B803" s="401"/>
    </row>
    <row r="804">
      <c r="A804" s="322"/>
      <c r="B804" s="401"/>
    </row>
    <row r="805">
      <c r="A805" s="322"/>
      <c r="B805" s="401"/>
    </row>
    <row r="806">
      <c r="A806" s="322"/>
      <c r="B806" s="401"/>
    </row>
    <row r="807">
      <c r="A807" s="322"/>
      <c r="B807" s="401"/>
    </row>
    <row r="808">
      <c r="A808" s="322"/>
      <c r="B808" s="401"/>
    </row>
    <row r="809">
      <c r="A809" s="322"/>
      <c r="B809" s="401"/>
    </row>
    <row r="810">
      <c r="A810" s="322"/>
      <c r="B810" s="401"/>
    </row>
    <row r="811">
      <c r="A811" s="322"/>
      <c r="B811" s="401"/>
    </row>
    <row r="812">
      <c r="A812" s="322"/>
      <c r="B812" s="401"/>
    </row>
    <row r="813">
      <c r="A813" s="322"/>
      <c r="B813" s="401"/>
    </row>
    <row r="814">
      <c r="A814" s="322"/>
      <c r="B814" s="401"/>
    </row>
    <row r="815">
      <c r="A815" s="322"/>
      <c r="B815" s="401"/>
    </row>
    <row r="816">
      <c r="A816" s="322"/>
      <c r="B816" s="401"/>
    </row>
    <row r="817">
      <c r="A817" s="322"/>
      <c r="B817" s="401"/>
    </row>
    <row r="818">
      <c r="A818" s="322"/>
      <c r="B818" s="401"/>
    </row>
    <row r="819">
      <c r="A819" s="322"/>
      <c r="B819" s="401"/>
    </row>
    <row r="820">
      <c r="A820" s="322"/>
      <c r="B820" s="401"/>
    </row>
    <row r="821">
      <c r="A821" s="322"/>
      <c r="B821" s="401"/>
    </row>
    <row r="822">
      <c r="A822" s="322"/>
      <c r="B822" s="401"/>
    </row>
    <row r="823">
      <c r="A823" s="322"/>
      <c r="B823" s="401"/>
    </row>
    <row r="824">
      <c r="A824" s="322"/>
      <c r="B824" s="401"/>
    </row>
    <row r="825">
      <c r="A825" s="322"/>
      <c r="B825" s="401"/>
    </row>
    <row r="826">
      <c r="A826" s="322"/>
      <c r="B826" s="401"/>
    </row>
    <row r="827">
      <c r="A827" s="322"/>
      <c r="B827" s="401"/>
    </row>
    <row r="828">
      <c r="A828" s="322"/>
      <c r="B828" s="401"/>
    </row>
    <row r="829">
      <c r="A829" s="322"/>
      <c r="B829" s="401"/>
    </row>
    <row r="830">
      <c r="A830" s="322"/>
      <c r="B830" s="401"/>
    </row>
    <row r="831">
      <c r="A831" s="322"/>
      <c r="B831" s="401"/>
    </row>
    <row r="832">
      <c r="A832" s="322"/>
      <c r="B832" s="401"/>
    </row>
    <row r="833">
      <c r="A833" s="322"/>
      <c r="B833" s="401"/>
    </row>
    <row r="834">
      <c r="A834" s="322"/>
      <c r="B834" s="401"/>
    </row>
    <row r="835">
      <c r="A835" s="322"/>
      <c r="B835" s="401"/>
    </row>
    <row r="836">
      <c r="A836" s="322"/>
      <c r="B836" s="401"/>
    </row>
    <row r="837">
      <c r="A837" s="322"/>
      <c r="B837" s="401"/>
    </row>
    <row r="838">
      <c r="A838" s="322"/>
      <c r="B838" s="401"/>
    </row>
    <row r="839">
      <c r="A839" s="322"/>
      <c r="B839" s="401"/>
    </row>
    <row r="840">
      <c r="A840" s="322"/>
      <c r="B840" s="401"/>
    </row>
    <row r="841">
      <c r="A841" s="322"/>
      <c r="B841" s="401"/>
    </row>
    <row r="842">
      <c r="A842" s="322"/>
      <c r="B842" s="401"/>
    </row>
    <row r="843">
      <c r="A843" s="322"/>
      <c r="B843" s="401"/>
    </row>
    <row r="844">
      <c r="A844" s="322"/>
      <c r="B844" s="401"/>
    </row>
    <row r="845">
      <c r="A845" s="322"/>
      <c r="B845" s="401"/>
    </row>
    <row r="846">
      <c r="A846" s="322"/>
      <c r="B846" s="401"/>
    </row>
    <row r="847">
      <c r="A847" s="322"/>
      <c r="B847" s="401"/>
    </row>
    <row r="848">
      <c r="A848" s="322"/>
      <c r="B848" s="401"/>
    </row>
    <row r="849">
      <c r="A849" s="322"/>
      <c r="B849" s="401"/>
    </row>
    <row r="850">
      <c r="A850" s="322"/>
      <c r="B850" s="401"/>
    </row>
    <row r="851">
      <c r="A851" s="322"/>
      <c r="B851" s="401"/>
    </row>
    <row r="852">
      <c r="A852" s="322"/>
      <c r="B852" s="401"/>
    </row>
    <row r="853">
      <c r="A853" s="322"/>
      <c r="B853" s="401"/>
    </row>
    <row r="854">
      <c r="A854" s="322"/>
      <c r="B854" s="401"/>
    </row>
    <row r="855">
      <c r="A855" s="322"/>
      <c r="B855" s="401"/>
    </row>
    <row r="856">
      <c r="A856" s="322"/>
      <c r="B856" s="401"/>
    </row>
    <row r="857">
      <c r="A857" s="322"/>
      <c r="B857" s="401"/>
    </row>
    <row r="858">
      <c r="A858" s="322"/>
      <c r="B858" s="401"/>
    </row>
    <row r="859">
      <c r="A859" s="322"/>
      <c r="B859" s="401"/>
    </row>
    <row r="860">
      <c r="A860" s="322"/>
      <c r="B860" s="401"/>
    </row>
    <row r="861">
      <c r="A861" s="322"/>
      <c r="B861" s="401"/>
    </row>
    <row r="862">
      <c r="A862" s="322"/>
      <c r="B862" s="401"/>
    </row>
    <row r="863">
      <c r="A863" s="322"/>
      <c r="B863" s="401"/>
    </row>
    <row r="864">
      <c r="A864" s="322"/>
      <c r="B864" s="401"/>
    </row>
    <row r="865">
      <c r="A865" s="322"/>
      <c r="B865" s="401"/>
    </row>
    <row r="866">
      <c r="A866" s="322"/>
      <c r="B866" s="401"/>
    </row>
    <row r="867">
      <c r="A867" s="322"/>
      <c r="B867" s="401"/>
    </row>
    <row r="868">
      <c r="A868" s="322"/>
      <c r="B868" s="401"/>
    </row>
    <row r="869">
      <c r="A869" s="322"/>
      <c r="B869" s="401"/>
    </row>
    <row r="870">
      <c r="A870" s="322"/>
      <c r="B870" s="401"/>
    </row>
    <row r="871">
      <c r="A871" s="322"/>
      <c r="B871" s="401"/>
    </row>
    <row r="872">
      <c r="A872" s="322"/>
      <c r="B872" s="401"/>
    </row>
    <row r="873">
      <c r="A873" s="322"/>
      <c r="B873" s="401"/>
    </row>
    <row r="874">
      <c r="A874" s="322"/>
      <c r="B874" s="401"/>
    </row>
    <row r="875">
      <c r="A875" s="322"/>
      <c r="B875" s="401"/>
    </row>
    <row r="876">
      <c r="A876" s="322"/>
      <c r="B876" s="401"/>
    </row>
    <row r="877">
      <c r="A877" s="322"/>
      <c r="B877" s="401"/>
    </row>
    <row r="878">
      <c r="A878" s="322"/>
      <c r="B878" s="401"/>
    </row>
    <row r="879">
      <c r="A879" s="322"/>
      <c r="B879" s="401"/>
    </row>
    <row r="880">
      <c r="A880" s="322"/>
      <c r="B880" s="401"/>
    </row>
    <row r="881">
      <c r="A881" s="322"/>
      <c r="B881" s="401"/>
    </row>
    <row r="882">
      <c r="A882" s="322"/>
      <c r="B882" s="401"/>
    </row>
    <row r="883">
      <c r="A883" s="322"/>
      <c r="B883" s="401"/>
    </row>
    <row r="884">
      <c r="A884" s="322"/>
      <c r="B884" s="401"/>
    </row>
    <row r="885">
      <c r="A885" s="322"/>
      <c r="B885" s="401"/>
    </row>
    <row r="886">
      <c r="A886" s="322"/>
      <c r="B886" s="401"/>
    </row>
    <row r="887">
      <c r="A887" s="322"/>
      <c r="B887" s="401"/>
    </row>
    <row r="888">
      <c r="A888" s="322"/>
      <c r="B888" s="401"/>
    </row>
    <row r="889">
      <c r="A889" s="322"/>
      <c r="B889" s="401"/>
    </row>
    <row r="890">
      <c r="A890" s="322"/>
      <c r="B890" s="401"/>
    </row>
    <row r="891">
      <c r="A891" s="322"/>
      <c r="B891" s="401"/>
    </row>
    <row r="892">
      <c r="A892" s="322"/>
      <c r="B892" s="401"/>
    </row>
    <row r="893">
      <c r="A893" s="322"/>
      <c r="B893" s="401"/>
    </row>
    <row r="894">
      <c r="A894" s="322"/>
      <c r="B894" s="401"/>
    </row>
    <row r="895">
      <c r="A895" s="322"/>
      <c r="B895" s="401"/>
    </row>
    <row r="896">
      <c r="A896" s="322"/>
      <c r="B896" s="401"/>
    </row>
    <row r="897">
      <c r="A897" s="322"/>
      <c r="B897" s="401"/>
    </row>
    <row r="898">
      <c r="A898" s="322"/>
      <c r="B898" s="401"/>
    </row>
    <row r="899">
      <c r="A899" s="322"/>
      <c r="B899" s="401"/>
    </row>
    <row r="900">
      <c r="A900" s="322"/>
      <c r="B900" s="401"/>
    </row>
    <row r="901">
      <c r="A901" s="322"/>
      <c r="B901" s="401"/>
    </row>
    <row r="902">
      <c r="A902" s="322"/>
      <c r="B902" s="401"/>
    </row>
    <row r="903">
      <c r="A903" s="322"/>
      <c r="B903" s="401"/>
    </row>
    <row r="904">
      <c r="A904" s="322"/>
      <c r="B904" s="401"/>
    </row>
    <row r="905">
      <c r="A905" s="322"/>
      <c r="B905" s="401"/>
    </row>
    <row r="906">
      <c r="A906" s="322"/>
      <c r="B906" s="401"/>
    </row>
    <row r="907">
      <c r="A907" s="322"/>
      <c r="B907" s="401"/>
    </row>
    <row r="908">
      <c r="A908" s="322"/>
      <c r="B908" s="401"/>
    </row>
    <row r="909">
      <c r="A909" s="322"/>
      <c r="B909" s="401"/>
    </row>
    <row r="910">
      <c r="A910" s="322"/>
      <c r="B910" s="401"/>
    </row>
    <row r="911">
      <c r="A911" s="322"/>
      <c r="B911" s="401"/>
    </row>
    <row r="912">
      <c r="A912" s="322"/>
      <c r="B912" s="401"/>
    </row>
    <row r="913">
      <c r="A913" s="322"/>
      <c r="B913" s="401"/>
    </row>
    <row r="914">
      <c r="A914" s="322"/>
      <c r="B914" s="401"/>
    </row>
    <row r="915">
      <c r="A915" s="322"/>
      <c r="B915" s="401"/>
    </row>
    <row r="916">
      <c r="A916" s="322"/>
      <c r="B916" s="401"/>
    </row>
    <row r="917">
      <c r="A917" s="322"/>
      <c r="B917" s="401"/>
    </row>
    <row r="918">
      <c r="A918" s="322"/>
      <c r="B918" s="401"/>
    </row>
    <row r="919">
      <c r="A919" s="322"/>
      <c r="B919" s="401"/>
    </row>
    <row r="920">
      <c r="A920" s="322"/>
      <c r="B920" s="401"/>
    </row>
    <row r="921">
      <c r="A921" s="322"/>
      <c r="B921" s="401"/>
    </row>
    <row r="922">
      <c r="A922" s="322"/>
      <c r="B922" s="401"/>
    </row>
    <row r="923">
      <c r="A923" s="322"/>
      <c r="B923" s="401"/>
    </row>
    <row r="924">
      <c r="A924" s="322"/>
      <c r="B924" s="401"/>
    </row>
    <row r="925">
      <c r="A925" s="322"/>
      <c r="B925" s="401"/>
    </row>
    <row r="926">
      <c r="A926" s="322"/>
      <c r="B926" s="401"/>
    </row>
    <row r="927">
      <c r="A927" s="322"/>
      <c r="B927" s="401"/>
    </row>
    <row r="928">
      <c r="A928" s="322"/>
      <c r="B928" s="401"/>
    </row>
    <row r="929">
      <c r="A929" s="322"/>
      <c r="B929" s="401"/>
    </row>
    <row r="930">
      <c r="A930" s="322"/>
      <c r="B930" s="401"/>
    </row>
    <row r="931">
      <c r="A931" s="322"/>
      <c r="B931" s="401"/>
    </row>
    <row r="932">
      <c r="A932" s="322"/>
      <c r="B932" s="401"/>
    </row>
    <row r="933">
      <c r="A933" s="322"/>
      <c r="B933" s="401"/>
    </row>
    <row r="934">
      <c r="A934" s="322"/>
      <c r="B934" s="401"/>
    </row>
    <row r="935">
      <c r="A935" s="322"/>
      <c r="B935" s="401"/>
    </row>
    <row r="936">
      <c r="A936" s="322"/>
      <c r="B936" s="401"/>
    </row>
    <row r="937">
      <c r="A937" s="322"/>
      <c r="B937" s="401"/>
    </row>
    <row r="938">
      <c r="A938" s="322"/>
      <c r="B938" s="401"/>
    </row>
    <row r="939">
      <c r="A939" s="322"/>
      <c r="B939" s="401"/>
    </row>
    <row r="940">
      <c r="A940" s="322"/>
      <c r="B940" s="401"/>
    </row>
    <row r="941">
      <c r="A941" s="322"/>
      <c r="B941" s="401"/>
    </row>
    <row r="942">
      <c r="A942" s="322"/>
      <c r="B942" s="401"/>
    </row>
    <row r="943">
      <c r="A943" s="322"/>
      <c r="B943" s="401"/>
    </row>
    <row r="944">
      <c r="A944" s="322"/>
      <c r="B944" s="401"/>
    </row>
    <row r="945">
      <c r="A945" s="322"/>
      <c r="B945" s="401"/>
    </row>
    <row r="946">
      <c r="A946" s="322"/>
      <c r="B946" s="401"/>
    </row>
    <row r="947">
      <c r="A947" s="322"/>
      <c r="B947" s="401"/>
    </row>
    <row r="948">
      <c r="A948" s="322"/>
      <c r="B948" s="401"/>
    </row>
    <row r="949">
      <c r="A949" s="322"/>
      <c r="B949" s="401"/>
    </row>
    <row r="950">
      <c r="A950" s="322"/>
      <c r="B950" s="401"/>
    </row>
    <row r="951">
      <c r="A951" s="322"/>
      <c r="B951" s="401"/>
    </row>
    <row r="952">
      <c r="A952" s="322"/>
      <c r="B952" s="401"/>
    </row>
    <row r="953">
      <c r="A953" s="322"/>
      <c r="B953" s="401"/>
    </row>
    <row r="954">
      <c r="A954" s="322"/>
      <c r="B954" s="401"/>
    </row>
    <row r="955">
      <c r="A955" s="322"/>
      <c r="B955" s="401"/>
    </row>
    <row r="956">
      <c r="A956" s="322"/>
      <c r="B956" s="401"/>
    </row>
    <row r="957">
      <c r="A957" s="322"/>
      <c r="B957" s="401"/>
    </row>
    <row r="958">
      <c r="A958" s="322"/>
      <c r="B958" s="401"/>
    </row>
    <row r="959">
      <c r="A959" s="322"/>
      <c r="B959" s="401"/>
    </row>
    <row r="960">
      <c r="A960" s="322"/>
      <c r="B960" s="401"/>
    </row>
    <row r="961">
      <c r="A961" s="322"/>
      <c r="B961" s="401"/>
    </row>
    <row r="962">
      <c r="A962" s="322"/>
      <c r="B962" s="401"/>
    </row>
    <row r="963">
      <c r="A963" s="322"/>
      <c r="B963" s="401"/>
    </row>
    <row r="964">
      <c r="A964" s="322"/>
      <c r="B964" s="401"/>
    </row>
    <row r="965">
      <c r="A965" s="322"/>
      <c r="B965" s="401"/>
    </row>
    <row r="966">
      <c r="A966" s="322"/>
      <c r="B966" s="401"/>
    </row>
    <row r="967">
      <c r="A967" s="322"/>
      <c r="B967" s="401"/>
    </row>
    <row r="968">
      <c r="A968" s="322"/>
      <c r="B968" s="401"/>
    </row>
    <row r="969">
      <c r="A969" s="322"/>
      <c r="B969" s="401"/>
    </row>
    <row r="970">
      <c r="A970" s="322"/>
      <c r="B970" s="401"/>
    </row>
    <row r="971">
      <c r="A971" s="322"/>
      <c r="B971" s="401"/>
    </row>
    <row r="972">
      <c r="A972" s="322"/>
      <c r="B972" s="401"/>
    </row>
    <row r="973">
      <c r="A973" s="322"/>
      <c r="B973" s="401"/>
    </row>
    <row r="974">
      <c r="A974" s="322"/>
      <c r="B974" s="401"/>
    </row>
    <row r="975">
      <c r="A975" s="322"/>
      <c r="B975" s="401"/>
    </row>
    <row r="976">
      <c r="A976" s="322"/>
      <c r="B976" s="401"/>
    </row>
    <row r="977">
      <c r="A977" s="322"/>
      <c r="B977" s="401"/>
    </row>
    <row r="978">
      <c r="A978" s="322"/>
      <c r="B978" s="401"/>
    </row>
    <row r="979">
      <c r="A979" s="322"/>
      <c r="B979" s="401"/>
    </row>
    <row r="980">
      <c r="A980" s="322"/>
      <c r="B980" s="401"/>
    </row>
    <row r="981">
      <c r="A981" s="322"/>
      <c r="B981" s="401"/>
    </row>
    <row r="982">
      <c r="A982" s="322"/>
      <c r="B982" s="401"/>
    </row>
    <row r="983">
      <c r="A983" s="322"/>
      <c r="B983" s="401"/>
    </row>
    <row r="984">
      <c r="A984" s="322"/>
      <c r="B984" s="401"/>
    </row>
    <row r="985">
      <c r="A985" s="322"/>
      <c r="B985" s="401"/>
    </row>
    <row r="986">
      <c r="A986" s="322"/>
      <c r="B986" s="401"/>
    </row>
    <row r="987">
      <c r="A987" s="322"/>
      <c r="B987" s="401"/>
    </row>
    <row r="988">
      <c r="A988" s="322"/>
      <c r="B988" s="401"/>
    </row>
    <row r="989">
      <c r="A989" s="322"/>
      <c r="B989" s="401"/>
    </row>
    <row r="990">
      <c r="A990" s="322"/>
      <c r="B990" s="401"/>
    </row>
    <row r="991">
      <c r="A991" s="322"/>
      <c r="B991" s="401"/>
    </row>
    <row r="992">
      <c r="A992" s="322"/>
      <c r="B992" s="401"/>
    </row>
    <row r="993">
      <c r="A993" s="322"/>
      <c r="B993" s="401"/>
    </row>
    <row r="994">
      <c r="A994" s="322"/>
      <c r="B994" s="401"/>
    </row>
    <row r="995">
      <c r="A995" s="322"/>
      <c r="B995" s="401"/>
    </row>
    <row r="996">
      <c r="A996" s="322"/>
      <c r="B996" s="401"/>
    </row>
    <row r="997">
      <c r="A997" s="322"/>
      <c r="B997" s="401"/>
    </row>
    <row r="998">
      <c r="A998" s="322"/>
      <c r="B998" s="401"/>
    </row>
    <row r="999">
      <c r="A999" s="322"/>
      <c r="B999" s="401"/>
    </row>
    <row r="1000">
      <c r="A1000" s="322"/>
      <c r="B1000" s="401"/>
    </row>
    <row r="1001">
      <c r="A1001" s="322"/>
      <c r="B1001" s="401"/>
    </row>
    <row r="1002">
      <c r="A1002" s="322"/>
      <c r="B1002" s="401"/>
    </row>
    <row r="1003">
      <c r="A1003" s="322"/>
      <c r="B1003" s="401"/>
    </row>
    <row r="1004">
      <c r="A1004" s="322"/>
      <c r="B1004" s="401"/>
    </row>
  </sheetData>
  <autoFilter ref="$A$2:$Y$78">
    <sortState ref="A2:Y78">
      <sortCondition descending="1" ref="B2:B78"/>
    </sortState>
  </autoFilter>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6.0"/>
    <col customWidth="1" min="2" max="2" width="13.57"/>
    <col customWidth="1" min="3" max="3" width="63.71"/>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3"/>
      <c r="B1" s="359"/>
      <c r="C1" s="360"/>
      <c r="D1" s="136"/>
      <c r="E1" s="366"/>
      <c r="F1" s="366"/>
      <c r="G1" s="405" t="s">
        <v>416</v>
      </c>
      <c r="H1" s="139">
        <v>400.0</v>
      </c>
      <c r="I1" s="139">
        <v>400.0</v>
      </c>
      <c r="J1" s="140">
        <f>AVERAGE(H1:I1)</f>
        <v>400</v>
      </c>
      <c r="K1" s="406" t="s">
        <v>416</v>
      </c>
      <c r="L1" s="376"/>
      <c r="M1" s="133"/>
      <c r="N1" s="145"/>
      <c r="O1" s="145"/>
      <c r="P1" s="145"/>
      <c r="Q1" s="145"/>
      <c r="R1" s="145"/>
      <c r="S1" s="145"/>
      <c r="T1" s="145"/>
      <c r="U1" s="145"/>
      <c r="V1" s="145"/>
    </row>
    <row r="2">
      <c r="A2" s="146"/>
      <c r="B2" s="134" t="s">
        <v>2487</v>
      </c>
      <c r="C2" s="234" t="s">
        <v>421</v>
      </c>
      <c r="D2" s="148"/>
      <c r="E2" s="366"/>
      <c r="F2" s="366"/>
      <c r="G2" s="407" t="s">
        <v>422</v>
      </c>
      <c r="H2" s="139">
        <f t="shared" ref="H2:I2" si="1">sum(H4:H363)</f>
        <v>4620</v>
      </c>
      <c r="I2" s="139">
        <f t="shared" si="1"/>
        <v>5360</v>
      </c>
      <c r="J2" s="408">
        <f t="shared" ref="J2:K2" si="2">sum(J4:J313)</f>
        <v>1</v>
      </c>
      <c r="K2" s="423">
        <f t="shared" si="2"/>
        <v>400</v>
      </c>
      <c r="L2" s="376"/>
      <c r="M2" s="146"/>
      <c r="N2" s="321"/>
      <c r="O2" s="145"/>
      <c r="P2" s="145"/>
      <c r="Q2" s="145"/>
      <c r="R2" s="145"/>
      <c r="S2" s="145"/>
      <c r="T2" s="145"/>
      <c r="U2" s="145"/>
      <c r="V2" s="145"/>
    </row>
    <row r="3">
      <c r="A3" s="381" t="s">
        <v>424</v>
      </c>
      <c r="B3" s="381" t="s">
        <v>425</v>
      </c>
      <c r="C3" s="235" t="s">
        <v>426</v>
      </c>
      <c r="D3" s="382"/>
      <c r="E3" s="384" t="s">
        <v>427</v>
      </c>
      <c r="F3" s="384" t="s">
        <v>428</v>
      </c>
      <c r="G3" s="409" t="s">
        <v>3559</v>
      </c>
      <c r="H3" s="410" t="s">
        <v>1926</v>
      </c>
      <c r="I3" s="409" t="s">
        <v>3560</v>
      </c>
      <c r="J3" s="387" t="s">
        <v>432</v>
      </c>
      <c r="K3" s="388" t="s">
        <v>3336</v>
      </c>
      <c r="L3" s="389" t="s">
        <v>3337</v>
      </c>
      <c r="M3" s="381" t="s">
        <v>424</v>
      </c>
      <c r="N3" s="390" t="s">
        <v>3561</v>
      </c>
      <c r="O3" s="387"/>
    </row>
    <row r="4">
      <c r="A4" s="424" t="s">
        <v>8</v>
      </c>
      <c r="B4" s="424" t="s">
        <v>519</v>
      </c>
      <c r="C4" s="425" t="s">
        <v>4102</v>
      </c>
      <c r="D4" s="426" t="s">
        <v>495</v>
      </c>
      <c r="E4" s="427">
        <v>44043.0</v>
      </c>
      <c r="F4" s="425" t="s">
        <v>499</v>
      </c>
      <c r="G4" s="403">
        <v>3.0</v>
      </c>
      <c r="H4" s="428">
        <v>50.0</v>
      </c>
      <c r="I4" s="403">
        <v>50.0</v>
      </c>
      <c r="J4" s="391">
        <f t="shared" ref="J4:J194" si="3">(H4/$H$2+I4/$I$2)/2</f>
        <v>0.01007543452</v>
      </c>
      <c r="K4" s="392">
        <f t="shared" ref="K4:K194" si="4">J4*$J$1</f>
        <v>4.030173806</v>
      </c>
      <c r="L4" s="327">
        <f t="shared" ref="L4:L194" si="5">dsum($A$3:$K$453,"Cred per Praise",{$A$3;A4})</f>
        <v>43.34657879</v>
      </c>
      <c r="M4" s="424" t="s">
        <v>8</v>
      </c>
      <c r="N4" s="321">
        <f>IFERROR(__xludf.DUMMYFUNCTION("query(iferror(sort({row(A4:A487)-row(A4)+2-match(sort(A4:A487),sort(A4:A487),0),SORT(ROW(A4:A487)+2-row(A4)+2,A4:A487,1)},2,1),),""Select Col1"")"),1.0)</f>
        <v>1</v>
      </c>
      <c r="O4" s="421"/>
      <c r="P4" s="421"/>
      <c r="Q4" s="421"/>
      <c r="R4" s="421"/>
      <c r="S4" s="421"/>
      <c r="T4" s="421"/>
      <c r="U4" s="421"/>
      <c r="V4" s="421"/>
      <c r="W4" s="421"/>
      <c r="X4" s="421"/>
    </row>
    <row r="5">
      <c r="A5" s="424" t="s">
        <v>8</v>
      </c>
      <c r="B5" s="424" t="s">
        <v>519</v>
      </c>
      <c r="C5" s="425" t="s">
        <v>4103</v>
      </c>
      <c r="D5" s="426" t="s">
        <v>495</v>
      </c>
      <c r="E5" s="427">
        <v>44043.0</v>
      </c>
      <c r="F5" s="425" t="s">
        <v>499</v>
      </c>
      <c r="G5" s="403">
        <v>2.0</v>
      </c>
      <c r="H5" s="428">
        <v>30.0</v>
      </c>
      <c r="I5" s="403">
        <v>40.0</v>
      </c>
      <c r="J5" s="391">
        <f t="shared" si="3"/>
        <v>0.00697809653</v>
      </c>
      <c r="K5" s="392">
        <f t="shared" si="4"/>
        <v>2.791238612</v>
      </c>
      <c r="L5" s="327">
        <f t="shared" si="5"/>
        <v>43.34657879</v>
      </c>
      <c r="M5" s="424" t="s">
        <v>8</v>
      </c>
      <c r="N5" s="421">
        <f>IFERROR(__xludf.DUMMYFUNCTION("""COMPUTED_VALUE"""),2.0)</f>
        <v>2</v>
      </c>
      <c r="O5" s="421"/>
      <c r="P5" s="421"/>
      <c r="Q5" s="421"/>
      <c r="R5" s="421"/>
      <c r="S5" s="421"/>
      <c r="T5" s="421"/>
      <c r="U5" s="421"/>
      <c r="V5" s="421"/>
      <c r="W5" s="421"/>
      <c r="X5" s="421"/>
    </row>
    <row r="6">
      <c r="A6" s="429" t="s">
        <v>8</v>
      </c>
      <c r="B6" s="429" t="s">
        <v>519</v>
      </c>
      <c r="C6" s="430" t="s">
        <v>4104</v>
      </c>
      <c r="D6" s="431" t="s">
        <v>495</v>
      </c>
      <c r="E6" s="432">
        <v>44048.0</v>
      </c>
      <c r="F6" s="430" t="s">
        <v>545</v>
      </c>
      <c r="G6" s="403">
        <v>2.0</v>
      </c>
      <c r="H6" s="428">
        <v>20.0</v>
      </c>
      <c r="I6" s="403">
        <v>40.0</v>
      </c>
      <c r="J6" s="391">
        <f t="shared" si="3"/>
        <v>0.005895845448</v>
      </c>
      <c r="K6" s="392">
        <f t="shared" si="4"/>
        <v>2.358338179</v>
      </c>
      <c r="L6" s="327">
        <f t="shared" si="5"/>
        <v>43.34657879</v>
      </c>
      <c r="M6" s="429" t="s">
        <v>8</v>
      </c>
      <c r="N6" s="420">
        <f>IFERROR(__xludf.DUMMYFUNCTION("""COMPUTED_VALUE"""),3.0)</f>
        <v>3</v>
      </c>
      <c r="O6" s="420"/>
      <c r="P6" s="420"/>
      <c r="Q6" s="420"/>
      <c r="R6" s="420"/>
      <c r="S6" s="420"/>
      <c r="T6" s="420"/>
      <c r="U6" s="420"/>
      <c r="V6" s="420"/>
      <c r="W6" s="420"/>
      <c r="X6" s="420"/>
    </row>
    <row r="7">
      <c r="A7" s="429" t="s">
        <v>8</v>
      </c>
      <c r="B7" s="429" t="s">
        <v>519</v>
      </c>
      <c r="C7" s="430" t="s">
        <v>4105</v>
      </c>
      <c r="D7" s="431" t="s">
        <v>495</v>
      </c>
      <c r="E7" s="432">
        <v>44048.0</v>
      </c>
      <c r="F7" s="430" t="s">
        <v>545</v>
      </c>
      <c r="G7" s="403">
        <v>1.0</v>
      </c>
      <c r="H7" s="428">
        <v>50.0</v>
      </c>
      <c r="I7" s="403">
        <v>40.0</v>
      </c>
      <c r="J7" s="391">
        <f t="shared" si="3"/>
        <v>0.009142598695</v>
      </c>
      <c r="K7" s="392">
        <f t="shared" si="4"/>
        <v>3.657039478</v>
      </c>
      <c r="L7" s="327">
        <f t="shared" si="5"/>
        <v>43.34657879</v>
      </c>
      <c r="M7" s="429" t="s">
        <v>8</v>
      </c>
      <c r="N7" s="420">
        <f>IFERROR(__xludf.DUMMYFUNCTION("""COMPUTED_VALUE"""),4.0)</f>
        <v>4</v>
      </c>
      <c r="O7" s="420"/>
      <c r="P7" s="420"/>
      <c r="Q7" s="420"/>
      <c r="R7" s="420"/>
      <c r="S7" s="420"/>
      <c r="T7" s="420"/>
      <c r="U7" s="420"/>
      <c r="V7" s="420"/>
      <c r="W7" s="420"/>
      <c r="X7" s="420"/>
    </row>
    <row r="8">
      <c r="A8" s="429" t="s">
        <v>8</v>
      </c>
      <c r="B8" s="429" t="s">
        <v>18</v>
      </c>
      <c r="C8" s="430" t="s">
        <v>4106</v>
      </c>
      <c r="D8" s="431" t="s">
        <v>495</v>
      </c>
      <c r="E8" s="432">
        <v>44048.0</v>
      </c>
      <c r="F8" s="430" t="s">
        <v>499</v>
      </c>
      <c r="G8" s="403">
        <v>1.0</v>
      </c>
      <c r="H8" s="428">
        <v>50.0</v>
      </c>
      <c r="I8" s="403">
        <v>50.0</v>
      </c>
      <c r="J8" s="391">
        <f t="shared" si="3"/>
        <v>0.01007543452</v>
      </c>
      <c r="K8" s="392">
        <f t="shared" si="4"/>
        <v>4.030173806</v>
      </c>
      <c r="L8" s="327">
        <f t="shared" si="5"/>
        <v>43.34657879</v>
      </c>
      <c r="M8" s="429" t="s">
        <v>8</v>
      </c>
      <c r="N8" s="420">
        <f>IFERROR(__xludf.DUMMYFUNCTION("""COMPUTED_VALUE"""),5.0)</f>
        <v>5</v>
      </c>
      <c r="O8" s="420"/>
      <c r="P8" s="420"/>
      <c r="Q8" s="420"/>
      <c r="R8" s="420"/>
      <c r="S8" s="420"/>
      <c r="T8" s="420"/>
      <c r="U8" s="420"/>
      <c r="V8" s="420"/>
      <c r="W8" s="420"/>
      <c r="X8" s="420"/>
    </row>
    <row r="9">
      <c r="A9" s="429" t="s">
        <v>8</v>
      </c>
      <c r="B9" s="429" t="s">
        <v>18</v>
      </c>
      <c r="C9" s="430" t="s">
        <v>4107</v>
      </c>
      <c r="D9" s="431" t="s">
        <v>495</v>
      </c>
      <c r="E9" s="432">
        <v>44049.0</v>
      </c>
      <c r="F9" s="430" t="s">
        <v>499</v>
      </c>
      <c r="G9" s="403">
        <v>2.0</v>
      </c>
      <c r="H9" s="428">
        <v>20.0</v>
      </c>
      <c r="I9" s="403">
        <v>30.0</v>
      </c>
      <c r="J9" s="391">
        <f t="shared" si="3"/>
        <v>0.004963009627</v>
      </c>
      <c r="K9" s="392">
        <f t="shared" si="4"/>
        <v>1.985203851</v>
      </c>
      <c r="L9" s="327">
        <f t="shared" si="5"/>
        <v>43.34657879</v>
      </c>
      <c r="M9" s="429" t="s">
        <v>8</v>
      </c>
      <c r="N9" s="420">
        <f>IFERROR(__xludf.DUMMYFUNCTION("""COMPUTED_VALUE"""),6.0)</f>
        <v>6</v>
      </c>
      <c r="O9" s="420"/>
      <c r="P9" s="420"/>
      <c r="Q9" s="420"/>
      <c r="R9" s="420"/>
      <c r="S9" s="420"/>
      <c r="T9" s="420"/>
      <c r="U9" s="420"/>
      <c r="V9" s="420"/>
      <c r="W9" s="420"/>
      <c r="X9" s="420"/>
    </row>
    <row r="10">
      <c r="A10" s="429" t="s">
        <v>8</v>
      </c>
      <c r="B10" s="429" t="s">
        <v>519</v>
      </c>
      <c r="C10" s="430" t="s">
        <v>4108</v>
      </c>
      <c r="D10" s="431" t="s">
        <v>495</v>
      </c>
      <c r="E10" s="433">
        <v>44058.0</v>
      </c>
      <c r="F10" s="430" t="s">
        <v>545</v>
      </c>
      <c r="G10" s="403">
        <v>2.0</v>
      </c>
      <c r="H10" s="428">
        <v>20.0</v>
      </c>
      <c r="I10" s="403">
        <v>30.0</v>
      </c>
      <c r="J10" s="391">
        <f t="shared" si="3"/>
        <v>0.004963009627</v>
      </c>
      <c r="K10" s="392">
        <f t="shared" si="4"/>
        <v>1.985203851</v>
      </c>
      <c r="L10" s="327">
        <f t="shared" si="5"/>
        <v>43.34657879</v>
      </c>
      <c r="M10" s="429" t="s">
        <v>8</v>
      </c>
      <c r="N10" s="420">
        <f>IFERROR(__xludf.DUMMYFUNCTION("""COMPUTED_VALUE"""),7.0)</f>
        <v>7</v>
      </c>
      <c r="O10" s="420"/>
      <c r="P10" s="420"/>
      <c r="Q10" s="420"/>
      <c r="R10" s="420"/>
      <c r="S10" s="420"/>
      <c r="T10" s="420"/>
      <c r="U10" s="420"/>
      <c r="V10" s="420"/>
      <c r="W10" s="420"/>
      <c r="X10" s="420"/>
    </row>
    <row r="11">
      <c r="A11" s="429" t="s">
        <v>8</v>
      </c>
      <c r="B11" s="429" t="s">
        <v>18</v>
      </c>
      <c r="C11" s="430" t="s">
        <v>4109</v>
      </c>
      <c r="D11" s="431" t="s">
        <v>495</v>
      </c>
      <c r="E11" s="433">
        <v>44063.0</v>
      </c>
      <c r="F11" s="430" t="s">
        <v>499</v>
      </c>
      <c r="G11" s="403">
        <v>2.0</v>
      </c>
      <c r="H11" s="428">
        <v>50.0</v>
      </c>
      <c r="I11" s="403">
        <v>50.0</v>
      </c>
      <c r="J11" s="391">
        <f t="shared" si="3"/>
        <v>0.01007543452</v>
      </c>
      <c r="K11" s="392">
        <f t="shared" si="4"/>
        <v>4.030173806</v>
      </c>
      <c r="L11" s="327">
        <f t="shared" si="5"/>
        <v>43.34657879</v>
      </c>
      <c r="M11" s="429" t="s">
        <v>8</v>
      </c>
      <c r="N11" s="420">
        <f>IFERROR(__xludf.DUMMYFUNCTION("""COMPUTED_VALUE"""),8.0)</f>
        <v>8</v>
      </c>
      <c r="O11" s="420"/>
      <c r="P11" s="420"/>
      <c r="Q11" s="420"/>
      <c r="R11" s="420"/>
      <c r="S11" s="420"/>
      <c r="T11" s="420"/>
      <c r="U11" s="420"/>
      <c r="V11" s="420"/>
      <c r="W11" s="420"/>
      <c r="X11" s="420"/>
    </row>
    <row r="12">
      <c r="A12" s="429" t="s">
        <v>8</v>
      </c>
      <c r="B12" s="429" t="s">
        <v>519</v>
      </c>
      <c r="C12" s="430" t="s">
        <v>4110</v>
      </c>
      <c r="D12" s="431" t="s">
        <v>495</v>
      </c>
      <c r="E12" s="433">
        <v>44063.0</v>
      </c>
      <c r="F12" s="430" t="s">
        <v>499</v>
      </c>
      <c r="G12" s="403">
        <v>1.0</v>
      </c>
      <c r="H12" s="428">
        <v>70.0</v>
      </c>
      <c r="I12" s="403">
        <v>70.0</v>
      </c>
      <c r="J12" s="391">
        <f t="shared" si="3"/>
        <v>0.01410560832</v>
      </c>
      <c r="K12" s="392">
        <f t="shared" si="4"/>
        <v>5.642243329</v>
      </c>
      <c r="L12" s="327">
        <f t="shared" si="5"/>
        <v>43.34657879</v>
      </c>
      <c r="M12" s="429" t="s">
        <v>8</v>
      </c>
      <c r="N12" s="420">
        <f>IFERROR(__xludf.DUMMYFUNCTION("""COMPUTED_VALUE"""),9.0)</f>
        <v>9</v>
      </c>
      <c r="O12" s="420"/>
      <c r="P12" s="420"/>
      <c r="Q12" s="420"/>
      <c r="R12" s="420"/>
      <c r="S12" s="420"/>
      <c r="T12" s="420"/>
      <c r="U12" s="420"/>
      <c r="V12" s="420"/>
      <c r="W12" s="420"/>
      <c r="X12" s="420"/>
    </row>
    <row r="13">
      <c r="A13" s="429" t="s">
        <v>8</v>
      </c>
      <c r="B13" s="429" t="s">
        <v>519</v>
      </c>
      <c r="C13" s="430" t="s">
        <v>4111</v>
      </c>
      <c r="D13" s="431" t="s">
        <v>495</v>
      </c>
      <c r="E13" s="432">
        <v>44077.0</v>
      </c>
      <c r="F13" s="430" t="s">
        <v>499</v>
      </c>
      <c r="G13" s="403">
        <v>3.0</v>
      </c>
      <c r="H13" s="428">
        <v>20.0</v>
      </c>
      <c r="I13" s="403">
        <v>20.0</v>
      </c>
      <c r="J13" s="391">
        <f t="shared" si="3"/>
        <v>0.004030173806</v>
      </c>
      <c r="K13" s="392">
        <f t="shared" si="4"/>
        <v>1.612069523</v>
      </c>
      <c r="L13" s="327">
        <f t="shared" si="5"/>
        <v>43.34657879</v>
      </c>
      <c r="M13" s="429" t="s">
        <v>8</v>
      </c>
      <c r="N13" s="420">
        <f>IFERROR(__xludf.DUMMYFUNCTION("""COMPUTED_VALUE"""),10.0)</f>
        <v>10</v>
      </c>
      <c r="O13" s="420"/>
      <c r="P13" s="420"/>
      <c r="Q13" s="420"/>
      <c r="R13" s="420"/>
      <c r="S13" s="420"/>
      <c r="T13" s="420"/>
      <c r="U13" s="420"/>
      <c r="V13" s="420"/>
      <c r="W13" s="420"/>
      <c r="X13" s="420"/>
    </row>
    <row r="14">
      <c r="A14" s="429" t="s">
        <v>8</v>
      </c>
      <c r="B14" s="429" t="s">
        <v>18</v>
      </c>
      <c r="C14" s="430" t="s">
        <v>4112</v>
      </c>
      <c r="D14" s="431" t="s">
        <v>495</v>
      </c>
      <c r="E14" s="432">
        <v>44078.0</v>
      </c>
      <c r="F14" s="430" t="s">
        <v>545</v>
      </c>
      <c r="G14" s="403">
        <v>1.0</v>
      </c>
      <c r="H14" s="428">
        <v>20.0</v>
      </c>
      <c r="I14" s="403">
        <v>30.0</v>
      </c>
      <c r="J14" s="391">
        <f t="shared" si="3"/>
        <v>0.004963009627</v>
      </c>
      <c r="K14" s="392">
        <f t="shared" si="4"/>
        <v>1.985203851</v>
      </c>
      <c r="L14" s="327">
        <f t="shared" si="5"/>
        <v>43.34657879</v>
      </c>
      <c r="M14" s="429" t="s">
        <v>8</v>
      </c>
      <c r="N14" s="420">
        <f>IFERROR(__xludf.DUMMYFUNCTION("""COMPUTED_VALUE"""),11.0)</f>
        <v>11</v>
      </c>
      <c r="O14" s="420"/>
      <c r="P14" s="420"/>
      <c r="Q14" s="420"/>
      <c r="R14" s="420"/>
      <c r="S14" s="420"/>
      <c r="T14" s="420"/>
      <c r="U14" s="420"/>
      <c r="V14" s="420"/>
      <c r="W14" s="420"/>
      <c r="X14" s="420"/>
    </row>
    <row r="15">
      <c r="A15" s="429" t="s">
        <v>8</v>
      </c>
      <c r="B15" s="429" t="s">
        <v>77</v>
      </c>
      <c r="C15" s="430" t="s">
        <v>4113</v>
      </c>
      <c r="D15" s="431" t="s">
        <v>495</v>
      </c>
      <c r="E15" s="432">
        <v>44078.0</v>
      </c>
      <c r="F15" s="430" t="s">
        <v>499</v>
      </c>
      <c r="G15" s="403">
        <v>3.0</v>
      </c>
      <c r="H15" s="428">
        <v>10.0</v>
      </c>
      <c r="I15" s="403">
        <v>10.0</v>
      </c>
      <c r="J15" s="391">
        <f t="shared" si="3"/>
        <v>0.002015086903</v>
      </c>
      <c r="K15" s="392">
        <f t="shared" si="4"/>
        <v>0.8060347613</v>
      </c>
      <c r="L15" s="327">
        <f t="shared" si="5"/>
        <v>43.34657879</v>
      </c>
      <c r="M15" s="429" t="s">
        <v>8</v>
      </c>
      <c r="N15" s="420">
        <f>IFERROR(__xludf.DUMMYFUNCTION("""COMPUTED_VALUE"""),12.0)</f>
        <v>12</v>
      </c>
      <c r="O15" s="420"/>
      <c r="P15" s="420"/>
      <c r="Q15" s="420"/>
      <c r="R15" s="420"/>
      <c r="S15" s="420"/>
      <c r="T15" s="420"/>
      <c r="U15" s="420"/>
      <c r="V15" s="420"/>
      <c r="W15" s="420"/>
      <c r="X15" s="420"/>
    </row>
    <row r="16">
      <c r="A16" s="429" t="s">
        <v>8</v>
      </c>
      <c r="B16" s="429" t="s">
        <v>77</v>
      </c>
      <c r="C16" s="430" t="s">
        <v>4113</v>
      </c>
      <c r="D16" s="431" t="s">
        <v>495</v>
      </c>
      <c r="E16" s="432">
        <v>44078.0</v>
      </c>
      <c r="F16" s="430" t="s">
        <v>499</v>
      </c>
      <c r="G16" s="403">
        <v>3.0</v>
      </c>
      <c r="H16" s="428">
        <v>10.0</v>
      </c>
      <c r="I16" s="403">
        <v>10.0</v>
      </c>
      <c r="J16" s="391">
        <f t="shared" si="3"/>
        <v>0.002015086903</v>
      </c>
      <c r="K16" s="392">
        <f t="shared" si="4"/>
        <v>0.8060347613</v>
      </c>
      <c r="L16" s="327">
        <f t="shared" si="5"/>
        <v>43.34657879</v>
      </c>
      <c r="M16" s="429" t="s">
        <v>8</v>
      </c>
      <c r="N16" s="420">
        <f>IFERROR(__xludf.DUMMYFUNCTION("""COMPUTED_VALUE"""),13.0)</f>
        <v>13</v>
      </c>
      <c r="O16" s="420"/>
      <c r="P16" s="420"/>
      <c r="Q16" s="420"/>
      <c r="R16" s="420"/>
      <c r="S16" s="420"/>
      <c r="T16" s="420"/>
      <c r="U16" s="420"/>
      <c r="V16" s="420"/>
      <c r="W16" s="420"/>
      <c r="X16" s="420"/>
    </row>
    <row r="17">
      <c r="A17" s="429" t="s">
        <v>8</v>
      </c>
      <c r="B17" s="429" t="s">
        <v>519</v>
      </c>
      <c r="C17" s="430" t="s">
        <v>4114</v>
      </c>
      <c r="D17" s="431" t="s">
        <v>495</v>
      </c>
      <c r="E17" s="432">
        <v>44078.0</v>
      </c>
      <c r="F17" s="430" t="s">
        <v>499</v>
      </c>
      <c r="G17" s="403">
        <v>3.0</v>
      </c>
      <c r="H17" s="428">
        <v>10.0</v>
      </c>
      <c r="I17" s="403">
        <v>10.0</v>
      </c>
      <c r="J17" s="391">
        <f t="shared" si="3"/>
        <v>0.002015086903</v>
      </c>
      <c r="K17" s="392">
        <f t="shared" si="4"/>
        <v>0.8060347613</v>
      </c>
      <c r="L17" s="327">
        <f t="shared" si="5"/>
        <v>43.34657879</v>
      </c>
      <c r="M17" s="429" t="s">
        <v>8</v>
      </c>
      <c r="N17" s="420">
        <f>IFERROR(__xludf.DUMMYFUNCTION("""COMPUTED_VALUE"""),14.0)</f>
        <v>14</v>
      </c>
      <c r="O17" s="420"/>
      <c r="P17" s="420"/>
      <c r="Q17" s="420"/>
      <c r="R17" s="420"/>
      <c r="S17" s="420"/>
      <c r="T17" s="420"/>
      <c r="U17" s="420"/>
      <c r="V17" s="420"/>
      <c r="W17" s="420"/>
      <c r="X17" s="420"/>
    </row>
    <row r="18">
      <c r="A18" s="429" t="s">
        <v>8</v>
      </c>
      <c r="B18" s="429" t="s">
        <v>519</v>
      </c>
      <c r="C18" s="430" t="s">
        <v>4115</v>
      </c>
      <c r="D18" s="431" t="s">
        <v>495</v>
      </c>
      <c r="E18" s="432">
        <v>44081.0</v>
      </c>
      <c r="F18" s="430" t="s">
        <v>545</v>
      </c>
      <c r="G18" s="403">
        <v>1.0</v>
      </c>
      <c r="H18" s="428">
        <v>30.0</v>
      </c>
      <c r="I18" s="403">
        <v>40.0</v>
      </c>
      <c r="J18" s="391">
        <f t="shared" si="3"/>
        <v>0.00697809653</v>
      </c>
      <c r="K18" s="392">
        <f t="shared" si="4"/>
        <v>2.791238612</v>
      </c>
      <c r="L18" s="327">
        <f t="shared" si="5"/>
        <v>43.34657879</v>
      </c>
      <c r="M18" s="429" t="s">
        <v>8</v>
      </c>
      <c r="N18" s="420">
        <f>IFERROR(__xludf.DUMMYFUNCTION("""COMPUTED_VALUE"""),15.0)</f>
        <v>15</v>
      </c>
      <c r="O18" s="420"/>
      <c r="P18" s="420"/>
      <c r="Q18" s="420"/>
      <c r="R18" s="420"/>
      <c r="S18" s="420"/>
      <c r="T18" s="420"/>
      <c r="U18" s="420"/>
      <c r="V18" s="420"/>
      <c r="W18" s="420"/>
      <c r="X18" s="420"/>
    </row>
    <row r="19">
      <c r="A19" s="429" t="s">
        <v>8</v>
      </c>
      <c r="B19" s="429" t="s">
        <v>18</v>
      </c>
      <c r="C19" s="430" t="s">
        <v>4116</v>
      </c>
      <c r="D19" s="431" t="s">
        <v>495</v>
      </c>
      <c r="E19" s="432">
        <v>44075.0</v>
      </c>
      <c r="F19" s="430" t="s">
        <v>545</v>
      </c>
      <c r="G19" s="403">
        <v>1.0</v>
      </c>
      <c r="H19" s="428">
        <v>40.0</v>
      </c>
      <c r="I19" s="403">
        <v>40.0</v>
      </c>
      <c r="J19" s="391">
        <f t="shared" si="3"/>
        <v>0.008060347613</v>
      </c>
      <c r="K19" s="392">
        <f t="shared" si="4"/>
        <v>3.224139045</v>
      </c>
      <c r="L19" s="327">
        <f t="shared" si="5"/>
        <v>43.34657879</v>
      </c>
      <c r="M19" s="429" t="s">
        <v>8</v>
      </c>
      <c r="N19" s="420">
        <f>IFERROR(__xludf.DUMMYFUNCTION("""COMPUTED_VALUE"""),16.0)</f>
        <v>16</v>
      </c>
      <c r="O19" s="420"/>
      <c r="P19" s="420"/>
      <c r="Q19" s="420"/>
      <c r="R19" s="420"/>
      <c r="S19" s="420"/>
      <c r="T19" s="420"/>
      <c r="U19" s="420"/>
      <c r="V19" s="420"/>
      <c r="W19" s="420"/>
      <c r="X19" s="420"/>
    </row>
    <row r="20">
      <c r="A20" s="429" t="s">
        <v>8</v>
      </c>
      <c r="B20" s="429" t="s">
        <v>519</v>
      </c>
      <c r="C20" s="430" t="s">
        <v>4117</v>
      </c>
      <c r="D20" s="431" t="s">
        <v>495</v>
      </c>
      <c r="E20" s="433">
        <v>44063.0</v>
      </c>
      <c r="F20" s="430" t="s">
        <v>499</v>
      </c>
      <c r="G20" s="403">
        <v>3.0</v>
      </c>
      <c r="H20" s="428">
        <v>10.0</v>
      </c>
      <c r="I20" s="403">
        <v>10.0</v>
      </c>
      <c r="J20" s="391">
        <f t="shared" si="3"/>
        <v>0.002015086903</v>
      </c>
      <c r="K20" s="392">
        <f t="shared" si="4"/>
        <v>0.8060347613</v>
      </c>
      <c r="L20" s="327">
        <f t="shared" si="5"/>
        <v>43.34657879</v>
      </c>
      <c r="M20" s="429" t="s">
        <v>8</v>
      </c>
      <c r="N20" s="420">
        <f>IFERROR(__xludf.DUMMYFUNCTION("""COMPUTED_VALUE"""),17.0)</f>
        <v>17</v>
      </c>
      <c r="O20" s="420"/>
      <c r="P20" s="420"/>
      <c r="Q20" s="420"/>
      <c r="R20" s="420"/>
      <c r="S20" s="420"/>
      <c r="T20" s="420"/>
      <c r="U20" s="420"/>
      <c r="V20" s="420"/>
      <c r="W20" s="420"/>
      <c r="X20" s="420"/>
    </row>
    <row r="21">
      <c r="A21" s="424" t="s">
        <v>9</v>
      </c>
      <c r="B21" s="424" t="s">
        <v>519</v>
      </c>
      <c r="C21" s="425" t="s">
        <v>4102</v>
      </c>
      <c r="D21" s="426" t="s">
        <v>495</v>
      </c>
      <c r="E21" s="427">
        <v>44043.0</v>
      </c>
      <c r="F21" s="425" t="s">
        <v>499</v>
      </c>
      <c r="G21" s="403">
        <v>3.0</v>
      </c>
      <c r="H21" s="428">
        <v>50.0</v>
      </c>
      <c r="I21" s="403">
        <v>50.0</v>
      </c>
      <c r="J21" s="391">
        <f t="shared" si="3"/>
        <v>0.01007543452</v>
      </c>
      <c r="K21" s="392">
        <f t="shared" si="4"/>
        <v>4.030173806</v>
      </c>
      <c r="L21" s="327">
        <f t="shared" si="5"/>
        <v>36.46540027</v>
      </c>
      <c r="M21" s="424" t="s">
        <v>9</v>
      </c>
      <c r="N21" s="421">
        <f>IFERROR(__xludf.DUMMYFUNCTION("""COMPUTED_VALUE"""),1.0)</f>
        <v>1</v>
      </c>
      <c r="O21" s="421"/>
      <c r="P21" s="421"/>
      <c r="Q21" s="421"/>
      <c r="R21" s="421"/>
      <c r="S21" s="421"/>
      <c r="T21" s="421"/>
      <c r="U21" s="421"/>
      <c r="V21" s="421"/>
      <c r="W21" s="421"/>
      <c r="X21" s="421"/>
    </row>
    <row r="22">
      <c r="A22" s="429" t="s">
        <v>9</v>
      </c>
      <c r="B22" s="429" t="s">
        <v>519</v>
      </c>
      <c r="C22" s="430" t="s">
        <v>4104</v>
      </c>
      <c r="D22" s="431" t="s">
        <v>495</v>
      </c>
      <c r="E22" s="432">
        <v>44048.0</v>
      </c>
      <c r="F22" s="430" t="s">
        <v>545</v>
      </c>
      <c r="G22" s="403">
        <v>2.0</v>
      </c>
      <c r="H22" s="428">
        <v>20.0</v>
      </c>
      <c r="I22" s="403">
        <v>40.0</v>
      </c>
      <c r="J22" s="391">
        <f t="shared" si="3"/>
        <v>0.005895845448</v>
      </c>
      <c r="K22" s="392">
        <f t="shared" si="4"/>
        <v>2.358338179</v>
      </c>
      <c r="L22" s="327">
        <f t="shared" si="5"/>
        <v>36.46540027</v>
      </c>
      <c r="M22" s="429" t="s">
        <v>9</v>
      </c>
      <c r="N22" s="420">
        <f>IFERROR(__xludf.DUMMYFUNCTION("""COMPUTED_VALUE"""),2.0)</f>
        <v>2</v>
      </c>
      <c r="O22" s="420"/>
      <c r="P22" s="420"/>
      <c r="Q22" s="420"/>
      <c r="R22" s="420"/>
      <c r="S22" s="420"/>
      <c r="T22" s="420"/>
      <c r="U22" s="420"/>
      <c r="V22" s="420"/>
      <c r="W22" s="420"/>
      <c r="X22" s="420"/>
    </row>
    <row r="23">
      <c r="A23" s="429" t="s">
        <v>9</v>
      </c>
      <c r="B23" s="429" t="s">
        <v>18</v>
      </c>
      <c r="C23" s="430" t="s">
        <v>4106</v>
      </c>
      <c r="D23" s="431" t="s">
        <v>495</v>
      </c>
      <c r="E23" s="432">
        <v>44048.0</v>
      </c>
      <c r="F23" s="430" t="s">
        <v>499</v>
      </c>
      <c r="G23" s="403">
        <v>1.0</v>
      </c>
      <c r="H23" s="428">
        <v>50.0</v>
      </c>
      <c r="I23" s="403">
        <v>50.0</v>
      </c>
      <c r="J23" s="391">
        <f t="shared" si="3"/>
        <v>0.01007543452</v>
      </c>
      <c r="K23" s="392">
        <f t="shared" si="4"/>
        <v>4.030173806</v>
      </c>
      <c r="L23" s="327">
        <f t="shared" si="5"/>
        <v>36.46540027</v>
      </c>
      <c r="M23" s="429" t="s">
        <v>9</v>
      </c>
      <c r="N23" s="420">
        <f>IFERROR(__xludf.DUMMYFUNCTION("""COMPUTED_VALUE"""),3.0)</f>
        <v>3</v>
      </c>
      <c r="O23" s="420"/>
      <c r="P23" s="420"/>
      <c r="Q23" s="420"/>
      <c r="R23" s="420"/>
      <c r="S23" s="420"/>
      <c r="T23" s="420"/>
      <c r="U23" s="420"/>
      <c r="V23" s="420"/>
      <c r="W23" s="420"/>
      <c r="X23" s="420"/>
    </row>
    <row r="24">
      <c r="A24" s="429" t="s">
        <v>9</v>
      </c>
      <c r="B24" s="429" t="s">
        <v>18</v>
      </c>
      <c r="C24" s="430" t="s">
        <v>4107</v>
      </c>
      <c r="D24" s="431" t="s">
        <v>495</v>
      </c>
      <c r="E24" s="432">
        <v>44049.0</v>
      </c>
      <c r="F24" s="430" t="s">
        <v>499</v>
      </c>
      <c r="G24" s="403">
        <v>2.0</v>
      </c>
      <c r="H24" s="428">
        <v>20.0</v>
      </c>
      <c r="I24" s="403">
        <v>30.0</v>
      </c>
      <c r="J24" s="391">
        <f t="shared" si="3"/>
        <v>0.004963009627</v>
      </c>
      <c r="K24" s="392">
        <f t="shared" si="4"/>
        <v>1.985203851</v>
      </c>
      <c r="L24" s="327">
        <f t="shared" si="5"/>
        <v>36.46540027</v>
      </c>
      <c r="M24" s="429" t="s">
        <v>9</v>
      </c>
      <c r="N24" s="420">
        <f>IFERROR(__xludf.DUMMYFUNCTION("""COMPUTED_VALUE"""),4.0)</f>
        <v>4</v>
      </c>
      <c r="O24" s="420"/>
      <c r="P24" s="420"/>
      <c r="Q24" s="420"/>
      <c r="R24" s="420"/>
      <c r="S24" s="420"/>
      <c r="T24" s="420"/>
      <c r="U24" s="420"/>
      <c r="V24" s="420"/>
      <c r="W24" s="420"/>
      <c r="X24" s="420"/>
    </row>
    <row r="25">
      <c r="A25" s="429" t="s">
        <v>9</v>
      </c>
      <c r="B25" s="429" t="s">
        <v>519</v>
      </c>
      <c r="C25" s="430" t="s">
        <v>4118</v>
      </c>
      <c r="D25" s="431" t="s">
        <v>495</v>
      </c>
      <c r="E25" s="433">
        <v>44053.0</v>
      </c>
      <c r="F25" s="430" t="s">
        <v>545</v>
      </c>
      <c r="G25" s="403">
        <v>1.0</v>
      </c>
      <c r="H25" s="428">
        <v>80.0</v>
      </c>
      <c r="I25" s="403">
        <v>80.0</v>
      </c>
      <c r="J25" s="391">
        <f t="shared" si="3"/>
        <v>0.01612069523</v>
      </c>
      <c r="K25" s="392">
        <f t="shared" si="4"/>
        <v>6.44827809</v>
      </c>
      <c r="L25" s="327">
        <f t="shared" si="5"/>
        <v>36.46540027</v>
      </c>
      <c r="M25" s="429" t="s">
        <v>9</v>
      </c>
      <c r="N25" s="420">
        <f>IFERROR(__xludf.DUMMYFUNCTION("""COMPUTED_VALUE"""),5.0)</f>
        <v>5</v>
      </c>
      <c r="O25" s="420"/>
      <c r="P25" s="420"/>
      <c r="Q25" s="420"/>
      <c r="R25" s="420"/>
      <c r="S25" s="420"/>
      <c r="T25" s="420"/>
      <c r="U25" s="420"/>
      <c r="V25" s="420"/>
      <c r="W25" s="420"/>
      <c r="X25" s="420"/>
    </row>
    <row r="26">
      <c r="A26" s="429" t="s">
        <v>9</v>
      </c>
      <c r="B26" s="429" t="s">
        <v>519</v>
      </c>
      <c r="C26" s="430" t="s">
        <v>4108</v>
      </c>
      <c r="D26" s="431" t="s">
        <v>495</v>
      </c>
      <c r="E26" s="433">
        <v>44058.0</v>
      </c>
      <c r="F26" s="430" t="s">
        <v>545</v>
      </c>
      <c r="G26" s="403">
        <v>2.0</v>
      </c>
      <c r="H26" s="428">
        <v>20.0</v>
      </c>
      <c r="I26" s="403">
        <v>30.0</v>
      </c>
      <c r="J26" s="391">
        <f t="shared" si="3"/>
        <v>0.004963009627</v>
      </c>
      <c r="K26" s="392">
        <f t="shared" si="4"/>
        <v>1.985203851</v>
      </c>
      <c r="L26" s="327">
        <f t="shared" si="5"/>
        <v>36.46540027</v>
      </c>
      <c r="M26" s="429" t="s">
        <v>9</v>
      </c>
      <c r="N26" s="420">
        <f>IFERROR(__xludf.DUMMYFUNCTION("""COMPUTED_VALUE"""),6.0)</f>
        <v>6</v>
      </c>
      <c r="O26" s="420"/>
      <c r="P26" s="420"/>
      <c r="Q26" s="420"/>
      <c r="R26" s="420"/>
      <c r="S26" s="420"/>
      <c r="T26" s="420"/>
      <c r="U26" s="420"/>
      <c r="V26" s="420"/>
      <c r="W26" s="420"/>
      <c r="X26" s="420"/>
    </row>
    <row r="27">
      <c r="A27" s="429" t="s">
        <v>9</v>
      </c>
      <c r="B27" s="429" t="s">
        <v>18</v>
      </c>
      <c r="C27" s="430" t="s">
        <v>4109</v>
      </c>
      <c r="D27" s="431" t="s">
        <v>495</v>
      </c>
      <c r="E27" s="433">
        <v>44063.0</v>
      </c>
      <c r="F27" s="430" t="s">
        <v>499</v>
      </c>
      <c r="G27" s="403">
        <v>2.0</v>
      </c>
      <c r="H27" s="428">
        <v>50.0</v>
      </c>
      <c r="I27" s="403">
        <v>50.0</v>
      </c>
      <c r="J27" s="391">
        <f t="shared" si="3"/>
        <v>0.01007543452</v>
      </c>
      <c r="K27" s="392">
        <f t="shared" si="4"/>
        <v>4.030173806</v>
      </c>
      <c r="L27" s="327">
        <f t="shared" si="5"/>
        <v>36.46540027</v>
      </c>
      <c r="M27" s="429" t="s">
        <v>9</v>
      </c>
      <c r="N27" s="420">
        <f>IFERROR(__xludf.DUMMYFUNCTION("""COMPUTED_VALUE"""),7.0)</f>
        <v>7</v>
      </c>
      <c r="O27" s="420"/>
      <c r="P27" s="420"/>
      <c r="Q27" s="420"/>
      <c r="R27" s="420"/>
      <c r="S27" s="420"/>
      <c r="T27" s="420"/>
      <c r="U27" s="420"/>
      <c r="V27" s="420"/>
      <c r="W27" s="420"/>
      <c r="X27" s="420"/>
    </row>
    <row r="28">
      <c r="A28" s="429" t="s">
        <v>9</v>
      </c>
      <c r="B28" s="429" t="s">
        <v>519</v>
      </c>
      <c r="C28" s="430" t="s">
        <v>4119</v>
      </c>
      <c r="D28" s="431" t="s">
        <v>495</v>
      </c>
      <c r="E28" s="433">
        <v>44068.0</v>
      </c>
      <c r="F28" s="430" t="s">
        <v>545</v>
      </c>
      <c r="G28" s="403">
        <v>1.0</v>
      </c>
      <c r="H28" s="428">
        <v>50.0</v>
      </c>
      <c r="I28" s="403">
        <v>70.0</v>
      </c>
      <c r="J28" s="391">
        <f t="shared" si="3"/>
        <v>0.01194110616</v>
      </c>
      <c r="K28" s="392">
        <f t="shared" si="4"/>
        <v>4.776442463</v>
      </c>
      <c r="L28" s="327">
        <f t="shared" si="5"/>
        <v>36.46540027</v>
      </c>
      <c r="M28" s="429" t="s">
        <v>9</v>
      </c>
      <c r="N28" s="420">
        <f>IFERROR(__xludf.DUMMYFUNCTION("""COMPUTED_VALUE"""),8.0)</f>
        <v>8</v>
      </c>
      <c r="O28" s="420"/>
      <c r="P28" s="420"/>
      <c r="Q28" s="420"/>
      <c r="R28" s="420"/>
      <c r="S28" s="420"/>
      <c r="T28" s="420"/>
      <c r="U28" s="420"/>
      <c r="V28" s="420"/>
      <c r="W28" s="420"/>
      <c r="X28" s="420"/>
    </row>
    <row r="29">
      <c r="A29" s="429" t="s">
        <v>9</v>
      </c>
      <c r="B29" s="429" t="s">
        <v>519</v>
      </c>
      <c r="C29" s="430" t="s">
        <v>4120</v>
      </c>
      <c r="D29" s="431" t="s">
        <v>495</v>
      </c>
      <c r="E29" s="433">
        <v>44070.0</v>
      </c>
      <c r="F29" s="430" t="s">
        <v>545</v>
      </c>
      <c r="G29" s="403">
        <v>2.0</v>
      </c>
      <c r="H29" s="428">
        <v>20.0</v>
      </c>
      <c r="I29" s="403">
        <v>30.0</v>
      </c>
      <c r="J29" s="391">
        <f t="shared" si="3"/>
        <v>0.004963009627</v>
      </c>
      <c r="K29" s="392">
        <f t="shared" si="4"/>
        <v>1.985203851</v>
      </c>
      <c r="L29" s="327">
        <f t="shared" si="5"/>
        <v>36.46540027</v>
      </c>
      <c r="M29" s="429" t="s">
        <v>9</v>
      </c>
      <c r="N29" s="420">
        <f>IFERROR(__xludf.DUMMYFUNCTION("""COMPUTED_VALUE"""),9.0)</f>
        <v>9</v>
      </c>
      <c r="O29" s="420"/>
      <c r="P29" s="420"/>
      <c r="Q29" s="420"/>
      <c r="R29" s="420"/>
      <c r="S29" s="420"/>
      <c r="T29" s="420"/>
      <c r="U29" s="420"/>
      <c r="V29" s="420"/>
      <c r="W29" s="420"/>
      <c r="X29" s="420"/>
    </row>
    <row r="30">
      <c r="A30" s="429" t="s">
        <v>9</v>
      </c>
      <c r="B30" s="429" t="s">
        <v>519</v>
      </c>
      <c r="C30" s="430" t="s">
        <v>4111</v>
      </c>
      <c r="D30" s="431" t="s">
        <v>495</v>
      </c>
      <c r="E30" s="432">
        <v>44077.0</v>
      </c>
      <c r="F30" s="430" t="s">
        <v>499</v>
      </c>
      <c r="G30" s="403">
        <v>3.0</v>
      </c>
      <c r="H30" s="428">
        <v>20.0</v>
      </c>
      <c r="I30" s="403">
        <v>20.0</v>
      </c>
      <c r="J30" s="391">
        <f t="shared" si="3"/>
        <v>0.004030173806</v>
      </c>
      <c r="K30" s="392">
        <f t="shared" si="4"/>
        <v>1.612069523</v>
      </c>
      <c r="L30" s="327">
        <f t="shared" si="5"/>
        <v>36.46540027</v>
      </c>
      <c r="M30" s="429" t="s">
        <v>9</v>
      </c>
      <c r="N30" s="420">
        <f>IFERROR(__xludf.DUMMYFUNCTION("""COMPUTED_VALUE"""),10.0)</f>
        <v>10</v>
      </c>
      <c r="O30" s="420"/>
      <c r="P30" s="420"/>
      <c r="Q30" s="420"/>
      <c r="R30" s="420"/>
      <c r="S30" s="420"/>
      <c r="T30" s="420"/>
      <c r="U30" s="420"/>
      <c r="V30" s="420"/>
      <c r="W30" s="420"/>
      <c r="X30" s="420"/>
    </row>
    <row r="31">
      <c r="A31" s="429" t="s">
        <v>9</v>
      </c>
      <c r="B31" s="429" t="s">
        <v>18</v>
      </c>
      <c r="C31" s="430" t="s">
        <v>4116</v>
      </c>
      <c r="D31" s="431" t="s">
        <v>495</v>
      </c>
      <c r="E31" s="432">
        <v>44075.0</v>
      </c>
      <c r="F31" s="430" t="s">
        <v>545</v>
      </c>
      <c r="G31" s="403">
        <v>1.0</v>
      </c>
      <c r="H31" s="428">
        <v>40.0</v>
      </c>
      <c r="I31" s="403">
        <v>40.0</v>
      </c>
      <c r="J31" s="391">
        <f t="shared" si="3"/>
        <v>0.008060347613</v>
      </c>
      <c r="K31" s="392">
        <f t="shared" si="4"/>
        <v>3.224139045</v>
      </c>
      <c r="L31" s="327">
        <f t="shared" si="5"/>
        <v>36.46540027</v>
      </c>
      <c r="M31" s="429" t="s">
        <v>9</v>
      </c>
      <c r="N31" s="420">
        <f>IFERROR(__xludf.DUMMYFUNCTION("""COMPUTED_VALUE"""),11.0)</f>
        <v>11</v>
      </c>
      <c r="O31" s="420"/>
      <c r="P31" s="420"/>
      <c r="Q31" s="420"/>
      <c r="R31" s="420"/>
      <c r="S31" s="420"/>
      <c r="T31" s="420"/>
      <c r="U31" s="420"/>
      <c r="V31" s="420"/>
      <c r="W31" s="420"/>
      <c r="X31" s="420"/>
    </row>
    <row r="32">
      <c r="A32" s="424" t="s">
        <v>40</v>
      </c>
      <c r="B32" s="424" t="s">
        <v>519</v>
      </c>
      <c r="C32" s="425" t="s">
        <v>4121</v>
      </c>
      <c r="D32" s="426" t="s">
        <v>495</v>
      </c>
      <c r="E32" s="427">
        <v>44032.0</v>
      </c>
      <c r="F32" s="425" t="s">
        <v>499</v>
      </c>
      <c r="G32" s="403">
        <v>2.0</v>
      </c>
      <c r="H32" s="428">
        <v>300.0</v>
      </c>
      <c r="I32" s="403">
        <v>250.0</v>
      </c>
      <c r="J32" s="391">
        <f t="shared" si="3"/>
        <v>0.05578842799</v>
      </c>
      <c r="K32" s="392">
        <f t="shared" si="4"/>
        <v>22.3153712</v>
      </c>
      <c r="L32" s="327">
        <f t="shared" si="5"/>
        <v>31.18175357</v>
      </c>
      <c r="M32" s="424" t="s">
        <v>40</v>
      </c>
      <c r="N32" s="421">
        <f>IFERROR(__xludf.DUMMYFUNCTION("""COMPUTED_VALUE"""),1.0)</f>
        <v>1</v>
      </c>
      <c r="O32" s="421"/>
      <c r="P32" s="421"/>
      <c r="Q32" s="421"/>
      <c r="R32" s="421"/>
      <c r="S32" s="421"/>
      <c r="T32" s="421"/>
      <c r="U32" s="421"/>
      <c r="V32" s="421"/>
      <c r="W32" s="421"/>
      <c r="X32" s="421"/>
    </row>
    <row r="33">
      <c r="A33" s="424" t="s">
        <v>40</v>
      </c>
      <c r="B33" s="424" t="s">
        <v>519</v>
      </c>
      <c r="C33" s="425" t="s">
        <v>4103</v>
      </c>
      <c r="D33" s="426" t="s">
        <v>495</v>
      </c>
      <c r="E33" s="427">
        <v>44043.0</v>
      </c>
      <c r="F33" s="425" t="s">
        <v>499</v>
      </c>
      <c r="G33" s="403">
        <v>2.0</v>
      </c>
      <c r="H33" s="428">
        <v>30.0</v>
      </c>
      <c r="I33" s="403">
        <v>40.0</v>
      </c>
      <c r="J33" s="391">
        <f t="shared" si="3"/>
        <v>0.00697809653</v>
      </c>
      <c r="K33" s="392">
        <f t="shared" si="4"/>
        <v>2.791238612</v>
      </c>
      <c r="L33" s="327">
        <f t="shared" si="5"/>
        <v>31.18175357</v>
      </c>
      <c r="M33" s="424" t="s">
        <v>40</v>
      </c>
      <c r="N33" s="421">
        <f>IFERROR(__xludf.DUMMYFUNCTION("""COMPUTED_VALUE"""),2.0)</f>
        <v>2</v>
      </c>
      <c r="O33" s="421"/>
      <c r="P33" s="421"/>
      <c r="Q33" s="421"/>
      <c r="R33" s="421"/>
      <c r="S33" s="421"/>
      <c r="T33" s="421"/>
      <c r="U33" s="421"/>
      <c r="V33" s="421"/>
      <c r="W33" s="421"/>
      <c r="X33" s="421"/>
    </row>
    <row r="34">
      <c r="A34" s="429" t="s">
        <v>40</v>
      </c>
      <c r="B34" s="429" t="s">
        <v>18</v>
      </c>
      <c r="C34" s="430" t="s">
        <v>4106</v>
      </c>
      <c r="D34" s="431" t="s">
        <v>495</v>
      </c>
      <c r="E34" s="432">
        <v>44048.0</v>
      </c>
      <c r="F34" s="430" t="s">
        <v>499</v>
      </c>
      <c r="G34" s="403">
        <v>1.0</v>
      </c>
      <c r="H34" s="428">
        <v>50.0</v>
      </c>
      <c r="I34" s="403">
        <v>50.0</v>
      </c>
      <c r="J34" s="391">
        <f t="shared" si="3"/>
        <v>0.01007543452</v>
      </c>
      <c r="K34" s="392">
        <f t="shared" si="4"/>
        <v>4.030173806</v>
      </c>
      <c r="L34" s="327">
        <f t="shared" si="5"/>
        <v>31.18175357</v>
      </c>
      <c r="M34" s="429" t="s">
        <v>40</v>
      </c>
      <c r="N34" s="420">
        <f>IFERROR(__xludf.DUMMYFUNCTION("""COMPUTED_VALUE"""),3.0)</f>
        <v>3</v>
      </c>
      <c r="O34" s="420"/>
      <c r="P34" s="420"/>
      <c r="Q34" s="420"/>
      <c r="R34" s="420"/>
      <c r="S34" s="420"/>
      <c r="T34" s="420"/>
      <c r="U34" s="420"/>
      <c r="V34" s="420"/>
      <c r="W34" s="420"/>
      <c r="X34" s="420"/>
    </row>
    <row r="35">
      <c r="A35" s="429" t="s">
        <v>40</v>
      </c>
      <c r="B35" s="429" t="s">
        <v>18</v>
      </c>
      <c r="C35" s="430" t="s">
        <v>4122</v>
      </c>
      <c r="D35" s="431" t="s">
        <v>495</v>
      </c>
      <c r="E35" s="433">
        <v>44058.0</v>
      </c>
      <c r="F35" s="430" t="s">
        <v>499</v>
      </c>
      <c r="G35" s="403">
        <v>3.0</v>
      </c>
      <c r="H35" s="428">
        <v>20.0</v>
      </c>
      <c r="I35" s="403">
        <v>10.0</v>
      </c>
      <c r="J35" s="391">
        <f t="shared" si="3"/>
        <v>0.003097337985</v>
      </c>
      <c r="K35" s="392">
        <f t="shared" si="4"/>
        <v>1.238935194</v>
      </c>
      <c r="L35" s="327">
        <f t="shared" si="5"/>
        <v>31.18175357</v>
      </c>
      <c r="M35" s="429" t="s">
        <v>40</v>
      </c>
      <c r="N35" s="420">
        <f>IFERROR(__xludf.DUMMYFUNCTION("""COMPUTED_VALUE"""),4.0)</f>
        <v>4</v>
      </c>
      <c r="O35" s="420"/>
      <c r="P35" s="420"/>
      <c r="Q35" s="420"/>
      <c r="R35" s="420"/>
      <c r="S35" s="420"/>
      <c r="T35" s="420"/>
      <c r="U35" s="420"/>
      <c r="V35" s="420"/>
      <c r="W35" s="420"/>
      <c r="X35" s="420"/>
    </row>
    <row r="36">
      <c r="A36" s="429" t="s">
        <v>40</v>
      </c>
      <c r="B36" s="429" t="s">
        <v>590</v>
      </c>
      <c r="C36" s="430" t="s">
        <v>4123</v>
      </c>
      <c r="D36" s="431" t="s">
        <v>495</v>
      </c>
      <c r="E36" s="433">
        <v>44070.0</v>
      </c>
      <c r="F36" s="430" t="s">
        <v>499</v>
      </c>
      <c r="G36" s="403">
        <v>3.0</v>
      </c>
      <c r="H36" s="428">
        <v>10.0</v>
      </c>
      <c r="I36" s="403">
        <v>10.0</v>
      </c>
      <c r="J36" s="391">
        <f t="shared" si="3"/>
        <v>0.002015086903</v>
      </c>
      <c r="K36" s="392">
        <f t="shared" si="4"/>
        <v>0.8060347613</v>
      </c>
      <c r="L36" s="327">
        <f t="shared" si="5"/>
        <v>31.18175357</v>
      </c>
      <c r="M36" s="429" t="s">
        <v>40</v>
      </c>
      <c r="N36" s="420">
        <f>IFERROR(__xludf.DUMMYFUNCTION("""COMPUTED_VALUE"""),5.0)</f>
        <v>5</v>
      </c>
      <c r="O36" s="420"/>
      <c r="P36" s="420"/>
      <c r="Q36" s="420"/>
      <c r="R36" s="420"/>
      <c r="S36" s="420"/>
      <c r="T36" s="420"/>
      <c r="U36" s="420"/>
      <c r="V36" s="420"/>
      <c r="W36" s="420"/>
      <c r="X36" s="420"/>
    </row>
    <row r="37">
      <c r="A37" s="424" t="s">
        <v>53</v>
      </c>
      <c r="B37" s="424" t="s">
        <v>519</v>
      </c>
      <c r="C37" s="425" t="s">
        <v>4103</v>
      </c>
      <c r="D37" s="426" t="s">
        <v>495</v>
      </c>
      <c r="E37" s="427">
        <v>44043.0</v>
      </c>
      <c r="F37" s="425" t="s">
        <v>499</v>
      </c>
      <c r="G37" s="403">
        <v>2.0</v>
      </c>
      <c r="H37" s="428">
        <v>30.0</v>
      </c>
      <c r="I37" s="403">
        <v>40.0</v>
      </c>
      <c r="J37" s="391">
        <f t="shared" si="3"/>
        <v>0.00697809653</v>
      </c>
      <c r="K37" s="392">
        <f t="shared" si="4"/>
        <v>2.791238612</v>
      </c>
      <c r="L37" s="327">
        <f t="shared" si="5"/>
        <v>28.21121664</v>
      </c>
      <c r="M37" s="424" t="s">
        <v>53</v>
      </c>
      <c r="N37" s="421">
        <f>IFERROR(__xludf.DUMMYFUNCTION("""COMPUTED_VALUE"""),1.0)</f>
        <v>1</v>
      </c>
      <c r="O37" s="421"/>
      <c r="P37" s="421"/>
      <c r="Q37" s="421"/>
      <c r="R37" s="421"/>
      <c r="S37" s="421"/>
      <c r="T37" s="421"/>
      <c r="U37" s="421"/>
      <c r="V37" s="421"/>
      <c r="W37" s="421"/>
      <c r="X37" s="421"/>
    </row>
    <row r="38">
      <c r="A38" s="429" t="s">
        <v>53</v>
      </c>
      <c r="B38" s="429" t="s">
        <v>519</v>
      </c>
      <c r="C38" s="430" t="s">
        <v>4104</v>
      </c>
      <c r="D38" s="431" t="s">
        <v>495</v>
      </c>
      <c r="E38" s="432">
        <v>44048.0</v>
      </c>
      <c r="F38" s="430" t="s">
        <v>545</v>
      </c>
      <c r="G38" s="403">
        <v>2.0</v>
      </c>
      <c r="H38" s="428">
        <v>40.0</v>
      </c>
      <c r="I38" s="403">
        <v>40.0</v>
      </c>
      <c r="J38" s="391">
        <f t="shared" si="3"/>
        <v>0.008060347613</v>
      </c>
      <c r="K38" s="392">
        <f t="shared" si="4"/>
        <v>3.224139045</v>
      </c>
      <c r="L38" s="327">
        <f t="shared" si="5"/>
        <v>28.21121664</v>
      </c>
      <c r="M38" s="429" t="s">
        <v>53</v>
      </c>
      <c r="N38" s="420">
        <f>IFERROR(__xludf.DUMMYFUNCTION("""COMPUTED_VALUE"""),2.0)</f>
        <v>2</v>
      </c>
      <c r="O38" s="420"/>
      <c r="P38" s="420"/>
      <c r="Q38" s="420"/>
      <c r="R38" s="420"/>
      <c r="S38" s="420"/>
      <c r="T38" s="420"/>
      <c r="U38" s="420"/>
      <c r="V38" s="420"/>
      <c r="W38" s="420"/>
      <c r="X38" s="420"/>
    </row>
    <row r="39">
      <c r="A39" s="429" t="s">
        <v>53</v>
      </c>
      <c r="B39" s="429" t="s">
        <v>18</v>
      </c>
      <c r="C39" s="430" t="s">
        <v>4106</v>
      </c>
      <c r="D39" s="431" t="s">
        <v>495</v>
      </c>
      <c r="E39" s="432">
        <v>44048.0</v>
      </c>
      <c r="F39" s="430" t="s">
        <v>499</v>
      </c>
      <c r="G39" s="403">
        <v>1.0</v>
      </c>
      <c r="H39" s="428">
        <v>50.0</v>
      </c>
      <c r="I39" s="403">
        <v>50.0</v>
      </c>
      <c r="J39" s="391">
        <f t="shared" si="3"/>
        <v>0.01007543452</v>
      </c>
      <c r="K39" s="392">
        <f t="shared" si="4"/>
        <v>4.030173806</v>
      </c>
      <c r="L39" s="327">
        <f t="shared" si="5"/>
        <v>28.21121664</v>
      </c>
      <c r="M39" s="429" t="s">
        <v>53</v>
      </c>
      <c r="N39" s="420">
        <f>IFERROR(__xludf.DUMMYFUNCTION("""COMPUTED_VALUE"""),3.0)</f>
        <v>3</v>
      </c>
      <c r="O39" s="420"/>
      <c r="P39" s="420"/>
      <c r="Q39" s="420"/>
      <c r="R39" s="420"/>
      <c r="S39" s="420"/>
      <c r="T39" s="420"/>
      <c r="U39" s="420"/>
      <c r="V39" s="420"/>
      <c r="W39" s="420"/>
      <c r="X39" s="420"/>
    </row>
    <row r="40">
      <c r="A40" s="429" t="s">
        <v>53</v>
      </c>
      <c r="B40" s="429" t="s">
        <v>519</v>
      </c>
      <c r="C40" s="430" t="s">
        <v>4108</v>
      </c>
      <c r="D40" s="431" t="s">
        <v>495</v>
      </c>
      <c r="E40" s="433">
        <v>44058.0</v>
      </c>
      <c r="F40" s="430" t="s">
        <v>545</v>
      </c>
      <c r="G40" s="403">
        <v>2.0</v>
      </c>
      <c r="H40" s="428">
        <v>20.0</v>
      </c>
      <c r="I40" s="403">
        <v>30.0</v>
      </c>
      <c r="J40" s="391">
        <f t="shared" si="3"/>
        <v>0.004963009627</v>
      </c>
      <c r="K40" s="392">
        <f t="shared" si="4"/>
        <v>1.985203851</v>
      </c>
      <c r="L40" s="327">
        <f t="shared" si="5"/>
        <v>28.21121664</v>
      </c>
      <c r="M40" s="429" t="s">
        <v>53</v>
      </c>
      <c r="N40" s="420">
        <f>IFERROR(__xludf.DUMMYFUNCTION("""COMPUTED_VALUE"""),4.0)</f>
        <v>4</v>
      </c>
      <c r="O40" s="420"/>
      <c r="P40" s="420"/>
      <c r="Q40" s="420"/>
      <c r="R40" s="420"/>
      <c r="S40" s="420"/>
      <c r="T40" s="420"/>
      <c r="U40" s="420"/>
      <c r="V40" s="420"/>
      <c r="W40" s="420"/>
      <c r="X40" s="420"/>
    </row>
    <row r="41">
      <c r="A41" s="429" t="s">
        <v>53</v>
      </c>
      <c r="B41" s="429" t="s">
        <v>519</v>
      </c>
      <c r="C41" s="430" t="s">
        <v>4124</v>
      </c>
      <c r="D41" s="431" t="s">
        <v>495</v>
      </c>
      <c r="E41" s="433">
        <v>44058.0</v>
      </c>
      <c r="F41" s="430" t="s">
        <v>545</v>
      </c>
      <c r="G41" s="403">
        <v>1.0</v>
      </c>
      <c r="H41" s="428">
        <v>100.0</v>
      </c>
      <c r="I41" s="403">
        <v>80.0</v>
      </c>
      <c r="J41" s="391">
        <f t="shared" si="3"/>
        <v>0.01828519739</v>
      </c>
      <c r="K41" s="392">
        <f t="shared" si="4"/>
        <v>7.314078956</v>
      </c>
      <c r="L41" s="327">
        <f t="shared" si="5"/>
        <v>28.21121664</v>
      </c>
      <c r="M41" s="429" t="s">
        <v>53</v>
      </c>
      <c r="N41" s="420">
        <f>IFERROR(__xludf.DUMMYFUNCTION("""COMPUTED_VALUE"""),5.0)</f>
        <v>5</v>
      </c>
      <c r="O41" s="420"/>
      <c r="P41" s="420"/>
      <c r="Q41" s="420"/>
      <c r="R41" s="420"/>
      <c r="S41" s="420"/>
      <c r="T41" s="420"/>
      <c r="U41" s="420"/>
      <c r="V41" s="420"/>
      <c r="W41" s="420"/>
      <c r="X41" s="420"/>
    </row>
    <row r="42">
      <c r="A42" s="429" t="s">
        <v>53</v>
      </c>
      <c r="B42" s="429" t="s">
        <v>18</v>
      </c>
      <c r="C42" s="430" t="s">
        <v>4109</v>
      </c>
      <c r="D42" s="431" t="s">
        <v>495</v>
      </c>
      <c r="E42" s="433">
        <v>44063.0</v>
      </c>
      <c r="F42" s="430" t="s">
        <v>499</v>
      </c>
      <c r="G42" s="403">
        <v>2.0</v>
      </c>
      <c r="H42" s="428">
        <v>30.0</v>
      </c>
      <c r="I42" s="403">
        <v>30.0</v>
      </c>
      <c r="J42" s="391">
        <f t="shared" si="3"/>
        <v>0.006045260709</v>
      </c>
      <c r="K42" s="392">
        <f t="shared" si="4"/>
        <v>2.418104284</v>
      </c>
      <c r="L42" s="327">
        <f t="shared" si="5"/>
        <v>28.21121664</v>
      </c>
      <c r="M42" s="429" t="s">
        <v>53</v>
      </c>
      <c r="N42" s="420">
        <f>IFERROR(__xludf.DUMMYFUNCTION("""COMPUTED_VALUE"""),6.0)</f>
        <v>6</v>
      </c>
      <c r="O42" s="420"/>
      <c r="P42" s="420"/>
      <c r="Q42" s="420"/>
      <c r="R42" s="420"/>
      <c r="S42" s="420"/>
      <c r="T42" s="420"/>
      <c r="U42" s="420"/>
      <c r="V42" s="420"/>
      <c r="W42" s="420"/>
      <c r="X42" s="420"/>
    </row>
    <row r="43">
      <c r="A43" s="429" t="s">
        <v>53</v>
      </c>
      <c r="B43" s="429" t="s">
        <v>519</v>
      </c>
      <c r="C43" s="430" t="s">
        <v>4110</v>
      </c>
      <c r="D43" s="431" t="s">
        <v>495</v>
      </c>
      <c r="E43" s="433">
        <v>44063.0</v>
      </c>
      <c r="F43" s="430" t="s">
        <v>499</v>
      </c>
      <c r="G43" s="403">
        <v>1.0</v>
      </c>
      <c r="H43" s="428">
        <v>40.0</v>
      </c>
      <c r="I43" s="403">
        <v>40.0</v>
      </c>
      <c r="J43" s="391">
        <f t="shared" si="3"/>
        <v>0.008060347613</v>
      </c>
      <c r="K43" s="392">
        <f t="shared" si="4"/>
        <v>3.224139045</v>
      </c>
      <c r="L43" s="327">
        <f t="shared" si="5"/>
        <v>28.21121664</v>
      </c>
      <c r="M43" s="429" t="s">
        <v>53</v>
      </c>
      <c r="N43" s="420">
        <f>IFERROR(__xludf.DUMMYFUNCTION("""COMPUTED_VALUE"""),7.0)</f>
        <v>7</v>
      </c>
      <c r="O43" s="420"/>
      <c r="P43" s="420"/>
      <c r="Q43" s="420"/>
      <c r="R43" s="420"/>
      <c r="S43" s="420"/>
      <c r="T43" s="420"/>
      <c r="U43" s="420"/>
      <c r="V43" s="420"/>
      <c r="W43" s="420"/>
      <c r="X43" s="420"/>
    </row>
    <row r="44">
      <c r="A44" s="429" t="s">
        <v>53</v>
      </c>
      <c r="B44" s="429" t="s">
        <v>519</v>
      </c>
      <c r="C44" s="430" t="s">
        <v>4125</v>
      </c>
      <c r="D44" s="431" t="s">
        <v>495</v>
      </c>
      <c r="E44" s="433">
        <v>44064.0</v>
      </c>
      <c r="F44" s="430" t="s">
        <v>545</v>
      </c>
      <c r="G44" s="403">
        <v>1.0</v>
      </c>
      <c r="H44" s="428">
        <v>40.0</v>
      </c>
      <c r="I44" s="403">
        <v>40.0</v>
      </c>
      <c r="J44" s="391">
        <f t="shared" si="3"/>
        <v>0.008060347613</v>
      </c>
      <c r="K44" s="392">
        <f t="shared" si="4"/>
        <v>3.224139045</v>
      </c>
      <c r="L44" s="327">
        <f t="shared" si="5"/>
        <v>28.21121664</v>
      </c>
      <c r="M44" s="429" t="s">
        <v>53</v>
      </c>
      <c r="N44" s="420">
        <f>IFERROR(__xludf.DUMMYFUNCTION("""COMPUTED_VALUE"""),8.0)</f>
        <v>8</v>
      </c>
      <c r="O44" s="420"/>
      <c r="P44" s="420"/>
      <c r="Q44" s="420"/>
      <c r="R44" s="420"/>
      <c r="S44" s="420"/>
      <c r="T44" s="420"/>
      <c r="U44" s="420"/>
      <c r="V44" s="420"/>
      <c r="W44" s="420"/>
      <c r="X44" s="420"/>
    </row>
    <row r="45">
      <c r="A45" s="424" t="s">
        <v>6</v>
      </c>
      <c r="B45" s="424" t="s">
        <v>519</v>
      </c>
      <c r="C45" s="425" t="s">
        <v>4121</v>
      </c>
      <c r="D45" s="426" t="s">
        <v>495</v>
      </c>
      <c r="E45" s="427">
        <v>44032.0</v>
      </c>
      <c r="F45" s="425" t="s">
        <v>499</v>
      </c>
      <c r="G45" s="403">
        <v>2.0</v>
      </c>
      <c r="H45" s="428">
        <v>300.0</v>
      </c>
      <c r="I45" s="403">
        <v>250.0</v>
      </c>
      <c r="J45" s="391">
        <f t="shared" si="3"/>
        <v>0.05578842799</v>
      </c>
      <c r="K45" s="392">
        <f t="shared" si="4"/>
        <v>22.3153712</v>
      </c>
      <c r="L45" s="327">
        <f t="shared" si="5"/>
        <v>22.3153712</v>
      </c>
      <c r="M45" s="424" t="s">
        <v>6</v>
      </c>
      <c r="N45" s="421">
        <f>IFERROR(__xludf.DUMMYFUNCTION("""COMPUTED_VALUE"""),1.0)</f>
        <v>1</v>
      </c>
      <c r="O45" s="421"/>
      <c r="P45" s="421"/>
      <c r="Q45" s="421"/>
      <c r="R45" s="421"/>
      <c r="S45" s="421"/>
      <c r="T45" s="421"/>
      <c r="U45" s="421"/>
      <c r="V45" s="421"/>
      <c r="W45" s="421"/>
      <c r="X45" s="421"/>
    </row>
    <row r="46">
      <c r="A46" s="429" t="s">
        <v>6</v>
      </c>
      <c r="B46" s="429" t="s">
        <v>519</v>
      </c>
      <c r="C46" s="430" t="s">
        <v>4126</v>
      </c>
      <c r="D46" s="431" t="s">
        <v>495</v>
      </c>
      <c r="E46" s="433">
        <v>44070.0</v>
      </c>
      <c r="F46" s="430" t="s">
        <v>499</v>
      </c>
      <c r="G46" s="403">
        <v>4.0</v>
      </c>
      <c r="H46" s="428">
        <v>0.0</v>
      </c>
      <c r="I46" s="403">
        <v>0.0</v>
      </c>
      <c r="J46" s="391">
        <f t="shared" si="3"/>
        <v>0</v>
      </c>
      <c r="K46" s="392">
        <f t="shared" si="4"/>
        <v>0</v>
      </c>
      <c r="L46" s="327">
        <f t="shared" si="5"/>
        <v>22.3153712</v>
      </c>
      <c r="M46" s="429" t="s">
        <v>6</v>
      </c>
      <c r="N46" s="420">
        <f>IFERROR(__xludf.DUMMYFUNCTION("""COMPUTED_VALUE"""),2.0)</f>
        <v>2</v>
      </c>
      <c r="O46" s="420"/>
      <c r="P46" s="420"/>
      <c r="Q46" s="420"/>
      <c r="R46" s="420"/>
      <c r="S46" s="420"/>
      <c r="T46" s="420"/>
      <c r="U46" s="420"/>
      <c r="V46" s="420"/>
      <c r="W46" s="420"/>
      <c r="X46" s="420"/>
    </row>
    <row r="47">
      <c r="A47" s="424" t="s">
        <v>65</v>
      </c>
      <c r="B47" s="424" t="s">
        <v>29</v>
      </c>
      <c r="C47" s="425" t="s">
        <v>4127</v>
      </c>
      <c r="D47" s="426" t="s">
        <v>495</v>
      </c>
      <c r="E47" s="427">
        <v>44041.0</v>
      </c>
      <c r="F47" s="425" t="s">
        <v>499</v>
      </c>
      <c r="G47" s="403">
        <v>1.0</v>
      </c>
      <c r="H47" s="428">
        <v>100.0</v>
      </c>
      <c r="I47" s="403">
        <v>100.0</v>
      </c>
      <c r="J47" s="391">
        <f t="shared" si="3"/>
        <v>0.02015086903</v>
      </c>
      <c r="K47" s="392">
        <f t="shared" si="4"/>
        <v>8.060347613</v>
      </c>
      <c r="L47" s="327">
        <f t="shared" si="5"/>
        <v>21.83724236</v>
      </c>
      <c r="M47" s="424" t="s">
        <v>65</v>
      </c>
      <c r="N47" s="421">
        <f>IFERROR(__xludf.DUMMYFUNCTION("""COMPUTED_VALUE"""),1.0)</f>
        <v>1</v>
      </c>
      <c r="O47" s="421"/>
      <c r="P47" s="421"/>
      <c r="Q47" s="421"/>
      <c r="R47" s="421"/>
      <c r="S47" s="421"/>
      <c r="T47" s="421"/>
      <c r="U47" s="421"/>
      <c r="V47" s="421"/>
      <c r="W47" s="421"/>
      <c r="X47" s="421"/>
    </row>
    <row r="48">
      <c r="A48" s="424" t="s">
        <v>65</v>
      </c>
      <c r="B48" s="424" t="s">
        <v>519</v>
      </c>
      <c r="C48" s="425" t="s">
        <v>4128</v>
      </c>
      <c r="D48" s="426" t="s">
        <v>495</v>
      </c>
      <c r="E48" s="427">
        <v>44043.0</v>
      </c>
      <c r="F48" s="425" t="s">
        <v>499</v>
      </c>
      <c r="G48" s="403">
        <v>1.0</v>
      </c>
      <c r="H48" s="428">
        <v>20.0</v>
      </c>
      <c r="I48" s="403">
        <v>100.0</v>
      </c>
      <c r="J48" s="391">
        <f t="shared" si="3"/>
        <v>0.01149286037</v>
      </c>
      <c r="K48" s="392">
        <f t="shared" si="4"/>
        <v>4.597144149</v>
      </c>
      <c r="L48" s="327">
        <f t="shared" si="5"/>
        <v>21.83724236</v>
      </c>
      <c r="M48" s="424" t="s">
        <v>65</v>
      </c>
      <c r="N48" s="421">
        <f>IFERROR(__xludf.DUMMYFUNCTION("""COMPUTED_VALUE"""),2.0)</f>
        <v>2</v>
      </c>
      <c r="O48" s="421"/>
      <c r="P48" s="421"/>
      <c r="Q48" s="421"/>
      <c r="R48" s="421"/>
      <c r="S48" s="421"/>
      <c r="T48" s="421"/>
      <c r="U48" s="421"/>
      <c r="V48" s="421"/>
      <c r="W48" s="421"/>
      <c r="X48" s="421"/>
    </row>
    <row r="49">
      <c r="A49" s="424" t="s">
        <v>65</v>
      </c>
      <c r="B49" s="424" t="s">
        <v>519</v>
      </c>
      <c r="C49" s="425" t="s">
        <v>4103</v>
      </c>
      <c r="D49" s="426" t="s">
        <v>495</v>
      </c>
      <c r="E49" s="427">
        <v>44043.0</v>
      </c>
      <c r="F49" s="425" t="s">
        <v>499</v>
      </c>
      <c r="G49" s="403">
        <v>2.0</v>
      </c>
      <c r="H49" s="428">
        <v>30.0</v>
      </c>
      <c r="I49" s="403">
        <v>40.0</v>
      </c>
      <c r="J49" s="391">
        <f t="shared" si="3"/>
        <v>0.00697809653</v>
      </c>
      <c r="K49" s="392">
        <f t="shared" si="4"/>
        <v>2.791238612</v>
      </c>
      <c r="L49" s="327">
        <f t="shared" si="5"/>
        <v>21.83724236</v>
      </c>
      <c r="M49" s="424" t="s">
        <v>65</v>
      </c>
      <c r="N49" s="421">
        <f>IFERROR(__xludf.DUMMYFUNCTION("""COMPUTED_VALUE"""),3.0)</f>
        <v>3</v>
      </c>
      <c r="O49" s="421"/>
      <c r="P49" s="421"/>
      <c r="Q49" s="421"/>
      <c r="R49" s="421"/>
      <c r="S49" s="421"/>
      <c r="T49" s="421"/>
      <c r="U49" s="421"/>
      <c r="V49" s="421"/>
      <c r="W49" s="421"/>
      <c r="X49" s="421"/>
    </row>
    <row r="50">
      <c r="A50" s="429" t="s">
        <v>65</v>
      </c>
      <c r="B50" s="429" t="s">
        <v>519</v>
      </c>
      <c r="C50" s="430" t="s">
        <v>4108</v>
      </c>
      <c r="D50" s="431" t="s">
        <v>495</v>
      </c>
      <c r="E50" s="433">
        <v>44058.0</v>
      </c>
      <c r="F50" s="430" t="s">
        <v>545</v>
      </c>
      <c r="G50" s="403">
        <v>2.0</v>
      </c>
      <c r="H50" s="428">
        <v>20.0</v>
      </c>
      <c r="I50" s="403">
        <v>30.0</v>
      </c>
      <c r="J50" s="391">
        <f t="shared" si="3"/>
        <v>0.004963009627</v>
      </c>
      <c r="K50" s="392">
        <f t="shared" si="4"/>
        <v>1.985203851</v>
      </c>
      <c r="L50" s="327">
        <f t="shared" si="5"/>
        <v>21.83724236</v>
      </c>
      <c r="M50" s="429" t="s">
        <v>65</v>
      </c>
      <c r="N50" s="420">
        <f>IFERROR(__xludf.DUMMYFUNCTION("""COMPUTED_VALUE"""),4.0)</f>
        <v>4</v>
      </c>
      <c r="O50" s="420"/>
      <c r="P50" s="420"/>
      <c r="Q50" s="420"/>
      <c r="R50" s="420"/>
      <c r="S50" s="420"/>
      <c r="T50" s="420"/>
      <c r="U50" s="420"/>
      <c r="V50" s="420"/>
      <c r="W50" s="420"/>
      <c r="X50" s="420"/>
    </row>
    <row r="51">
      <c r="A51" s="429" t="s">
        <v>65</v>
      </c>
      <c r="B51" s="429" t="s">
        <v>519</v>
      </c>
      <c r="C51" s="430" t="s">
        <v>4124</v>
      </c>
      <c r="D51" s="431" t="s">
        <v>495</v>
      </c>
      <c r="E51" s="433">
        <v>44058.0</v>
      </c>
      <c r="F51" s="430" t="s">
        <v>545</v>
      </c>
      <c r="G51" s="403">
        <v>1.0</v>
      </c>
      <c r="H51" s="428">
        <v>30.0</v>
      </c>
      <c r="I51" s="403">
        <v>40.0</v>
      </c>
      <c r="J51" s="391">
        <f t="shared" si="3"/>
        <v>0.00697809653</v>
      </c>
      <c r="K51" s="392">
        <f t="shared" si="4"/>
        <v>2.791238612</v>
      </c>
      <c r="L51" s="327">
        <f t="shared" si="5"/>
        <v>21.83724236</v>
      </c>
      <c r="M51" s="429" t="s">
        <v>65</v>
      </c>
      <c r="N51" s="420">
        <f>IFERROR(__xludf.DUMMYFUNCTION("""COMPUTED_VALUE"""),5.0)</f>
        <v>5</v>
      </c>
      <c r="O51" s="420"/>
      <c r="P51" s="420"/>
      <c r="Q51" s="420"/>
      <c r="R51" s="420"/>
      <c r="S51" s="420"/>
      <c r="T51" s="420"/>
      <c r="U51" s="420"/>
      <c r="V51" s="420"/>
      <c r="W51" s="420"/>
      <c r="X51" s="420"/>
    </row>
    <row r="52">
      <c r="A52" s="429" t="s">
        <v>65</v>
      </c>
      <c r="B52" s="429" t="s">
        <v>18</v>
      </c>
      <c r="C52" s="430" t="s">
        <v>4109</v>
      </c>
      <c r="D52" s="431" t="s">
        <v>495</v>
      </c>
      <c r="E52" s="433">
        <v>44063.0</v>
      </c>
      <c r="F52" s="430" t="s">
        <v>499</v>
      </c>
      <c r="G52" s="403">
        <v>2.0</v>
      </c>
      <c r="H52" s="428">
        <v>20.0</v>
      </c>
      <c r="I52" s="403">
        <v>20.0</v>
      </c>
      <c r="J52" s="391">
        <f t="shared" si="3"/>
        <v>0.004030173806</v>
      </c>
      <c r="K52" s="392">
        <f t="shared" si="4"/>
        <v>1.612069523</v>
      </c>
      <c r="L52" s="327">
        <f t="shared" si="5"/>
        <v>21.83724236</v>
      </c>
      <c r="M52" s="429" t="s">
        <v>65</v>
      </c>
      <c r="N52" s="420">
        <f>IFERROR(__xludf.DUMMYFUNCTION("""COMPUTED_VALUE"""),6.0)</f>
        <v>6</v>
      </c>
      <c r="O52" s="420"/>
      <c r="P52" s="420"/>
      <c r="Q52" s="420"/>
      <c r="R52" s="420"/>
      <c r="S52" s="420"/>
      <c r="T52" s="420"/>
      <c r="U52" s="420"/>
      <c r="V52" s="420"/>
      <c r="W52" s="420"/>
      <c r="X52" s="420"/>
    </row>
    <row r="53">
      <c r="A53" s="429" t="s">
        <v>65</v>
      </c>
      <c r="B53" s="429" t="s">
        <v>18</v>
      </c>
      <c r="C53" s="430" t="s">
        <v>4129</v>
      </c>
      <c r="D53" s="431" t="s">
        <v>495</v>
      </c>
      <c r="E53" s="433">
        <v>44063.0</v>
      </c>
      <c r="F53" s="430" t="s">
        <v>499</v>
      </c>
      <c r="G53" s="403">
        <v>4.0</v>
      </c>
      <c r="H53" s="428">
        <v>0.0</v>
      </c>
      <c r="I53" s="403">
        <v>0.0</v>
      </c>
      <c r="J53" s="391">
        <f t="shared" si="3"/>
        <v>0</v>
      </c>
      <c r="K53" s="392">
        <f t="shared" si="4"/>
        <v>0</v>
      </c>
      <c r="L53" s="327">
        <f t="shared" si="5"/>
        <v>21.83724236</v>
      </c>
      <c r="M53" s="429" t="s">
        <v>65</v>
      </c>
      <c r="N53" s="420">
        <f>IFERROR(__xludf.DUMMYFUNCTION("""COMPUTED_VALUE"""),7.0)</f>
        <v>7</v>
      </c>
      <c r="O53" s="420"/>
      <c r="P53" s="420"/>
      <c r="Q53" s="420"/>
      <c r="R53" s="420"/>
      <c r="S53" s="420"/>
      <c r="T53" s="420"/>
      <c r="U53" s="420"/>
      <c r="V53" s="420"/>
      <c r="W53" s="420"/>
      <c r="X53" s="420"/>
    </row>
    <row r="54">
      <c r="A54" s="424" t="s">
        <v>14</v>
      </c>
      <c r="B54" s="424" t="s">
        <v>29</v>
      </c>
      <c r="C54" s="425" t="s">
        <v>4130</v>
      </c>
      <c r="D54" s="426" t="s">
        <v>495</v>
      </c>
      <c r="E54" s="427">
        <v>44033.0</v>
      </c>
      <c r="F54" s="425" t="s">
        <v>499</v>
      </c>
      <c r="G54" s="403">
        <v>3.0</v>
      </c>
      <c r="H54" s="428">
        <v>20.0</v>
      </c>
      <c r="I54" s="403">
        <v>50.0</v>
      </c>
      <c r="J54" s="391">
        <f t="shared" si="3"/>
        <v>0.006828681269</v>
      </c>
      <c r="K54" s="392">
        <f t="shared" si="4"/>
        <v>2.731472508</v>
      </c>
      <c r="L54" s="327">
        <f t="shared" si="5"/>
        <v>19.91180461</v>
      </c>
      <c r="M54" s="424" t="s">
        <v>14</v>
      </c>
      <c r="N54" s="421">
        <f>IFERROR(__xludf.DUMMYFUNCTION("""COMPUTED_VALUE"""),1.0)</f>
        <v>1</v>
      </c>
      <c r="O54" s="421"/>
      <c r="P54" s="421"/>
      <c r="Q54" s="421"/>
      <c r="R54" s="421"/>
      <c r="S54" s="421"/>
      <c r="T54" s="421"/>
      <c r="U54" s="421"/>
      <c r="V54" s="421"/>
      <c r="W54" s="421"/>
      <c r="X54" s="421"/>
    </row>
    <row r="55">
      <c r="A55" s="424" t="s">
        <v>14</v>
      </c>
      <c r="B55" s="424" t="s">
        <v>519</v>
      </c>
      <c r="C55" s="425" t="s">
        <v>4103</v>
      </c>
      <c r="D55" s="426" t="s">
        <v>495</v>
      </c>
      <c r="E55" s="427">
        <v>44043.0</v>
      </c>
      <c r="F55" s="425" t="s">
        <v>499</v>
      </c>
      <c r="G55" s="403">
        <v>2.0</v>
      </c>
      <c r="H55" s="428">
        <v>30.0</v>
      </c>
      <c r="I55" s="403">
        <v>40.0</v>
      </c>
      <c r="J55" s="391">
        <f t="shared" si="3"/>
        <v>0.00697809653</v>
      </c>
      <c r="K55" s="392">
        <f t="shared" si="4"/>
        <v>2.791238612</v>
      </c>
      <c r="L55" s="327">
        <f t="shared" si="5"/>
        <v>19.91180461</v>
      </c>
      <c r="M55" s="424" t="s">
        <v>14</v>
      </c>
      <c r="N55" s="421">
        <f>IFERROR(__xludf.DUMMYFUNCTION("""COMPUTED_VALUE"""),2.0)</f>
        <v>2</v>
      </c>
      <c r="O55" s="421"/>
      <c r="P55" s="421"/>
      <c r="Q55" s="421"/>
      <c r="R55" s="421"/>
      <c r="S55" s="421"/>
      <c r="T55" s="421"/>
      <c r="U55" s="421"/>
      <c r="V55" s="421"/>
      <c r="W55" s="421"/>
      <c r="X55" s="421"/>
    </row>
    <row r="56">
      <c r="A56" s="429" t="s">
        <v>14</v>
      </c>
      <c r="B56" s="429" t="s">
        <v>18</v>
      </c>
      <c r="C56" s="430" t="s">
        <v>4106</v>
      </c>
      <c r="D56" s="431" t="s">
        <v>495</v>
      </c>
      <c r="E56" s="432">
        <v>44048.0</v>
      </c>
      <c r="F56" s="430" t="s">
        <v>499</v>
      </c>
      <c r="G56" s="403">
        <v>1.0</v>
      </c>
      <c r="H56" s="428">
        <v>50.0</v>
      </c>
      <c r="I56" s="403">
        <v>50.0</v>
      </c>
      <c r="J56" s="391">
        <f t="shared" si="3"/>
        <v>0.01007543452</v>
      </c>
      <c r="K56" s="392">
        <f t="shared" si="4"/>
        <v>4.030173806</v>
      </c>
      <c r="L56" s="327">
        <f t="shared" si="5"/>
        <v>19.91180461</v>
      </c>
      <c r="M56" s="429" t="s">
        <v>14</v>
      </c>
      <c r="N56" s="420">
        <f>IFERROR(__xludf.DUMMYFUNCTION("""COMPUTED_VALUE"""),3.0)</f>
        <v>3</v>
      </c>
      <c r="O56" s="420"/>
      <c r="P56" s="420"/>
      <c r="Q56" s="420"/>
      <c r="R56" s="420"/>
      <c r="S56" s="420"/>
      <c r="T56" s="420"/>
      <c r="U56" s="420"/>
      <c r="V56" s="420"/>
      <c r="W56" s="420"/>
      <c r="X56" s="420"/>
    </row>
    <row r="57">
      <c r="A57" s="429" t="s">
        <v>14</v>
      </c>
      <c r="B57" s="429" t="s">
        <v>18</v>
      </c>
      <c r="C57" s="430" t="s">
        <v>4107</v>
      </c>
      <c r="D57" s="431" t="s">
        <v>495</v>
      </c>
      <c r="E57" s="432">
        <v>44049.0</v>
      </c>
      <c r="F57" s="430" t="s">
        <v>499</v>
      </c>
      <c r="G57" s="403">
        <v>2.0</v>
      </c>
      <c r="H57" s="428">
        <v>20.0</v>
      </c>
      <c r="I57" s="403">
        <v>30.0</v>
      </c>
      <c r="J57" s="391">
        <f t="shared" si="3"/>
        <v>0.004963009627</v>
      </c>
      <c r="K57" s="392">
        <f t="shared" si="4"/>
        <v>1.985203851</v>
      </c>
      <c r="L57" s="327">
        <f t="shared" si="5"/>
        <v>19.91180461</v>
      </c>
      <c r="M57" s="429" t="s">
        <v>14</v>
      </c>
      <c r="N57" s="420">
        <f>IFERROR(__xludf.DUMMYFUNCTION("""COMPUTED_VALUE"""),4.0)</f>
        <v>4</v>
      </c>
      <c r="O57" s="420"/>
      <c r="P57" s="420"/>
      <c r="Q57" s="420"/>
      <c r="R57" s="420"/>
      <c r="S57" s="420"/>
      <c r="T57" s="420"/>
      <c r="U57" s="420"/>
      <c r="V57" s="420"/>
      <c r="W57" s="420"/>
      <c r="X57" s="420"/>
    </row>
    <row r="58">
      <c r="A58" s="429" t="s">
        <v>14</v>
      </c>
      <c r="B58" s="429" t="s">
        <v>77</v>
      </c>
      <c r="C58" s="430" t="s">
        <v>4131</v>
      </c>
      <c r="D58" s="431" t="s">
        <v>495</v>
      </c>
      <c r="E58" s="432">
        <v>44052.0</v>
      </c>
      <c r="F58" s="430" t="s">
        <v>499</v>
      </c>
      <c r="G58" s="403">
        <v>4.0</v>
      </c>
      <c r="H58" s="428">
        <v>0.0</v>
      </c>
      <c r="I58" s="403">
        <v>0.0</v>
      </c>
      <c r="J58" s="391">
        <f t="shared" si="3"/>
        <v>0</v>
      </c>
      <c r="K58" s="392">
        <f t="shared" si="4"/>
        <v>0</v>
      </c>
      <c r="L58" s="327">
        <f t="shared" si="5"/>
        <v>19.91180461</v>
      </c>
      <c r="M58" s="429" t="s">
        <v>14</v>
      </c>
      <c r="N58" s="420">
        <f>IFERROR(__xludf.DUMMYFUNCTION("""COMPUTED_VALUE"""),5.0)</f>
        <v>5</v>
      </c>
      <c r="O58" s="420"/>
      <c r="P58" s="420"/>
      <c r="Q58" s="420"/>
      <c r="R58" s="420"/>
      <c r="S58" s="420"/>
      <c r="T58" s="420"/>
      <c r="U58" s="420"/>
      <c r="V58" s="420"/>
      <c r="W58" s="420"/>
      <c r="X58" s="420"/>
    </row>
    <row r="59">
      <c r="A59" s="429" t="s">
        <v>14</v>
      </c>
      <c r="B59" s="429" t="s">
        <v>29</v>
      </c>
      <c r="C59" s="430" t="s">
        <v>4132</v>
      </c>
      <c r="D59" s="431" t="s">
        <v>495</v>
      </c>
      <c r="E59" s="433">
        <v>44063.0</v>
      </c>
      <c r="F59" s="430" t="s">
        <v>499</v>
      </c>
      <c r="G59" s="403">
        <v>3.0</v>
      </c>
      <c r="H59" s="428">
        <v>10.0</v>
      </c>
      <c r="I59" s="403">
        <v>20.0</v>
      </c>
      <c r="J59" s="391">
        <f t="shared" si="3"/>
        <v>0.002947922724</v>
      </c>
      <c r="K59" s="392">
        <f t="shared" si="4"/>
        <v>1.17916909</v>
      </c>
      <c r="L59" s="327">
        <f t="shared" si="5"/>
        <v>19.91180461</v>
      </c>
      <c r="M59" s="429" t="s">
        <v>14</v>
      </c>
      <c r="N59" s="420">
        <f>IFERROR(__xludf.DUMMYFUNCTION("""COMPUTED_VALUE"""),6.0)</f>
        <v>6</v>
      </c>
      <c r="O59" s="420"/>
      <c r="P59" s="420"/>
      <c r="Q59" s="420"/>
      <c r="R59" s="420"/>
      <c r="S59" s="420"/>
      <c r="T59" s="420"/>
      <c r="U59" s="420"/>
      <c r="V59" s="420"/>
      <c r="W59" s="420"/>
      <c r="X59" s="420"/>
    </row>
    <row r="60">
      <c r="A60" s="429" t="s">
        <v>14</v>
      </c>
      <c r="B60" s="429" t="s">
        <v>18</v>
      </c>
      <c r="C60" s="430" t="s">
        <v>4129</v>
      </c>
      <c r="D60" s="431" t="s">
        <v>495</v>
      </c>
      <c r="E60" s="433">
        <v>44063.0</v>
      </c>
      <c r="F60" s="430" t="s">
        <v>499</v>
      </c>
      <c r="G60" s="403">
        <v>4.0</v>
      </c>
      <c r="H60" s="428">
        <v>0.0</v>
      </c>
      <c r="I60" s="403">
        <v>0.0</v>
      </c>
      <c r="J60" s="391">
        <f t="shared" si="3"/>
        <v>0</v>
      </c>
      <c r="K60" s="392">
        <f t="shared" si="4"/>
        <v>0</v>
      </c>
      <c r="L60" s="327">
        <f t="shared" si="5"/>
        <v>19.91180461</v>
      </c>
      <c r="M60" s="429" t="s">
        <v>14</v>
      </c>
      <c r="N60" s="420">
        <f>IFERROR(__xludf.DUMMYFUNCTION("""COMPUTED_VALUE"""),7.0)</f>
        <v>7</v>
      </c>
      <c r="O60" s="420"/>
      <c r="P60" s="420"/>
      <c r="Q60" s="420"/>
      <c r="R60" s="420"/>
      <c r="S60" s="420"/>
      <c r="T60" s="420"/>
      <c r="U60" s="420"/>
      <c r="V60" s="420"/>
      <c r="W60" s="420"/>
      <c r="X60" s="420"/>
    </row>
    <row r="61">
      <c r="A61" s="429" t="s">
        <v>14</v>
      </c>
      <c r="B61" s="429" t="s">
        <v>29</v>
      </c>
      <c r="C61" s="430" t="s">
        <v>4133</v>
      </c>
      <c r="D61" s="431" t="s">
        <v>495</v>
      </c>
      <c r="E61" s="433">
        <v>44063.0</v>
      </c>
      <c r="F61" s="430" t="s">
        <v>499</v>
      </c>
      <c r="G61" s="403">
        <v>4.0</v>
      </c>
      <c r="H61" s="428">
        <v>0.0</v>
      </c>
      <c r="I61" s="403">
        <v>0.0</v>
      </c>
      <c r="J61" s="391">
        <f t="shared" si="3"/>
        <v>0</v>
      </c>
      <c r="K61" s="392">
        <f t="shared" si="4"/>
        <v>0</v>
      </c>
      <c r="L61" s="327">
        <f t="shared" si="5"/>
        <v>19.91180461</v>
      </c>
      <c r="M61" s="429" t="s">
        <v>14</v>
      </c>
      <c r="N61" s="420">
        <f>IFERROR(__xludf.DUMMYFUNCTION("""COMPUTED_VALUE"""),8.0)</f>
        <v>8</v>
      </c>
      <c r="O61" s="420"/>
      <c r="P61" s="420"/>
      <c r="Q61" s="420"/>
      <c r="R61" s="420"/>
      <c r="S61" s="420"/>
      <c r="T61" s="420"/>
      <c r="U61" s="420"/>
      <c r="V61" s="420"/>
      <c r="W61" s="420"/>
      <c r="X61" s="420"/>
    </row>
    <row r="62">
      <c r="A62" s="429" t="s">
        <v>14</v>
      </c>
      <c r="B62" s="429" t="s">
        <v>519</v>
      </c>
      <c r="C62" s="430" t="s">
        <v>4134</v>
      </c>
      <c r="D62" s="431" t="s">
        <v>495</v>
      </c>
      <c r="E62" s="433">
        <v>44064.0</v>
      </c>
      <c r="F62" s="430" t="s">
        <v>545</v>
      </c>
      <c r="G62" s="403">
        <v>2.0</v>
      </c>
      <c r="H62" s="428">
        <v>20.0</v>
      </c>
      <c r="I62" s="403">
        <v>30.0</v>
      </c>
      <c r="J62" s="391">
        <f t="shared" si="3"/>
        <v>0.004963009627</v>
      </c>
      <c r="K62" s="392">
        <f t="shared" si="4"/>
        <v>1.985203851</v>
      </c>
      <c r="L62" s="327">
        <f t="shared" si="5"/>
        <v>19.91180461</v>
      </c>
      <c r="M62" s="429" t="s">
        <v>14</v>
      </c>
      <c r="N62" s="420">
        <f>IFERROR(__xludf.DUMMYFUNCTION("""COMPUTED_VALUE"""),9.0)</f>
        <v>9</v>
      </c>
      <c r="O62" s="420"/>
      <c r="P62" s="420"/>
      <c r="Q62" s="420"/>
      <c r="R62" s="420"/>
      <c r="S62" s="420"/>
      <c r="T62" s="420"/>
      <c r="U62" s="420"/>
      <c r="V62" s="420"/>
      <c r="W62" s="420"/>
      <c r="X62" s="420"/>
    </row>
    <row r="63">
      <c r="A63" s="429" t="s">
        <v>14</v>
      </c>
      <c r="B63" s="429" t="s">
        <v>18</v>
      </c>
      <c r="C63" s="430" t="s">
        <v>4116</v>
      </c>
      <c r="D63" s="431" t="s">
        <v>495</v>
      </c>
      <c r="E63" s="432">
        <v>44075.0</v>
      </c>
      <c r="F63" s="430" t="s">
        <v>545</v>
      </c>
      <c r="G63" s="403">
        <v>1.0</v>
      </c>
      <c r="H63" s="428">
        <v>40.0</v>
      </c>
      <c r="I63" s="403">
        <v>40.0</v>
      </c>
      <c r="J63" s="391">
        <f t="shared" si="3"/>
        <v>0.008060347613</v>
      </c>
      <c r="K63" s="392">
        <f t="shared" si="4"/>
        <v>3.224139045</v>
      </c>
      <c r="L63" s="327">
        <f t="shared" si="5"/>
        <v>19.91180461</v>
      </c>
      <c r="M63" s="429" t="s">
        <v>14</v>
      </c>
      <c r="N63" s="420">
        <f>IFERROR(__xludf.DUMMYFUNCTION("""COMPUTED_VALUE"""),10.0)</f>
        <v>10</v>
      </c>
      <c r="O63" s="420"/>
      <c r="P63" s="420"/>
      <c r="Q63" s="420"/>
      <c r="R63" s="420"/>
      <c r="S63" s="420"/>
      <c r="T63" s="420"/>
      <c r="U63" s="420"/>
      <c r="V63" s="420"/>
      <c r="W63" s="420"/>
      <c r="X63" s="420"/>
    </row>
    <row r="64">
      <c r="A64" s="429" t="s">
        <v>14</v>
      </c>
      <c r="B64" s="429" t="s">
        <v>519</v>
      </c>
      <c r="C64" s="430" t="s">
        <v>4120</v>
      </c>
      <c r="D64" s="431" t="s">
        <v>495</v>
      </c>
      <c r="E64" s="433">
        <v>44070.0</v>
      </c>
      <c r="F64" s="430" t="s">
        <v>545</v>
      </c>
      <c r="G64" s="403">
        <v>2.0</v>
      </c>
      <c r="H64" s="428">
        <v>20.0</v>
      </c>
      <c r="I64" s="403">
        <v>30.0</v>
      </c>
      <c r="J64" s="391">
        <f t="shared" si="3"/>
        <v>0.004963009627</v>
      </c>
      <c r="K64" s="392">
        <f t="shared" si="4"/>
        <v>1.985203851</v>
      </c>
      <c r="L64" s="327">
        <f t="shared" si="5"/>
        <v>19.91180461</v>
      </c>
      <c r="M64" s="429" t="s">
        <v>14</v>
      </c>
      <c r="N64" s="420">
        <f>IFERROR(__xludf.DUMMYFUNCTION("""COMPUTED_VALUE"""),11.0)</f>
        <v>11</v>
      </c>
      <c r="O64" s="420"/>
      <c r="P64" s="420"/>
      <c r="Q64" s="420"/>
      <c r="R64" s="420"/>
      <c r="S64" s="420"/>
      <c r="T64" s="420"/>
      <c r="U64" s="420"/>
      <c r="V64" s="420"/>
      <c r="W64" s="420"/>
      <c r="X64" s="420"/>
    </row>
    <row r="65">
      <c r="A65" s="429" t="s">
        <v>14</v>
      </c>
      <c r="B65" s="429" t="s">
        <v>519</v>
      </c>
      <c r="C65" s="430" t="s">
        <v>4135</v>
      </c>
      <c r="D65" s="431" t="s">
        <v>495</v>
      </c>
      <c r="E65" s="433">
        <v>44070.0</v>
      </c>
      <c r="F65" s="430" t="s">
        <v>499</v>
      </c>
      <c r="G65" s="403">
        <v>4.0</v>
      </c>
      <c r="H65" s="428">
        <v>0.0</v>
      </c>
      <c r="I65" s="403">
        <v>0.0</v>
      </c>
      <c r="J65" s="391">
        <f t="shared" si="3"/>
        <v>0</v>
      </c>
      <c r="K65" s="392">
        <f t="shared" si="4"/>
        <v>0</v>
      </c>
      <c r="L65" s="327">
        <f t="shared" si="5"/>
        <v>19.91180461</v>
      </c>
      <c r="M65" s="429" t="s">
        <v>14</v>
      </c>
      <c r="N65" s="420">
        <f>IFERROR(__xludf.DUMMYFUNCTION("""COMPUTED_VALUE"""),12.0)</f>
        <v>12</v>
      </c>
      <c r="O65" s="420"/>
      <c r="P65" s="420"/>
      <c r="Q65" s="420"/>
      <c r="R65" s="420"/>
      <c r="S65" s="420"/>
      <c r="T65" s="420"/>
      <c r="U65" s="420"/>
      <c r="V65" s="420"/>
      <c r="W65" s="420"/>
      <c r="X65" s="420"/>
    </row>
    <row r="66">
      <c r="A66" s="424" t="s">
        <v>29</v>
      </c>
      <c r="B66" s="424" t="s">
        <v>519</v>
      </c>
      <c r="C66" s="425" t="s">
        <v>4103</v>
      </c>
      <c r="D66" s="426" t="s">
        <v>495</v>
      </c>
      <c r="E66" s="427">
        <v>44043.0</v>
      </c>
      <c r="F66" s="425" t="s">
        <v>499</v>
      </c>
      <c r="G66" s="403">
        <v>2.0</v>
      </c>
      <c r="H66" s="428">
        <v>30.0</v>
      </c>
      <c r="I66" s="403">
        <v>40.0</v>
      </c>
      <c r="J66" s="391">
        <f t="shared" si="3"/>
        <v>0.00697809653</v>
      </c>
      <c r="K66" s="392">
        <f t="shared" si="4"/>
        <v>2.791238612</v>
      </c>
      <c r="L66" s="327">
        <f t="shared" si="5"/>
        <v>19.59843639</v>
      </c>
      <c r="M66" s="424" t="s">
        <v>29</v>
      </c>
      <c r="N66" s="421">
        <f>IFERROR(__xludf.DUMMYFUNCTION("""COMPUTED_VALUE"""),1.0)</f>
        <v>1</v>
      </c>
      <c r="O66" s="421"/>
      <c r="P66" s="421"/>
      <c r="Q66" s="421"/>
      <c r="R66" s="421"/>
      <c r="S66" s="421"/>
      <c r="T66" s="421"/>
      <c r="U66" s="421"/>
      <c r="V66" s="421"/>
      <c r="W66" s="421"/>
      <c r="X66" s="421"/>
    </row>
    <row r="67">
      <c r="A67" s="429" t="s">
        <v>29</v>
      </c>
      <c r="B67" s="429" t="s">
        <v>18</v>
      </c>
      <c r="C67" s="430" t="s">
        <v>4106</v>
      </c>
      <c r="D67" s="431" t="s">
        <v>495</v>
      </c>
      <c r="E67" s="432">
        <v>44048.0</v>
      </c>
      <c r="F67" s="430" t="s">
        <v>499</v>
      </c>
      <c r="G67" s="403">
        <v>1.0</v>
      </c>
      <c r="H67" s="428">
        <v>50.0</v>
      </c>
      <c r="I67" s="403">
        <v>50.0</v>
      </c>
      <c r="J67" s="391">
        <f t="shared" si="3"/>
        <v>0.01007543452</v>
      </c>
      <c r="K67" s="392">
        <f t="shared" si="4"/>
        <v>4.030173806</v>
      </c>
      <c r="L67" s="327">
        <f t="shared" si="5"/>
        <v>19.59843639</v>
      </c>
      <c r="M67" s="429" t="s">
        <v>29</v>
      </c>
      <c r="N67" s="420">
        <f>IFERROR(__xludf.DUMMYFUNCTION("""COMPUTED_VALUE"""),2.0)</f>
        <v>2</v>
      </c>
      <c r="O67" s="420"/>
      <c r="P67" s="420"/>
      <c r="Q67" s="420"/>
      <c r="R67" s="420"/>
      <c r="S67" s="420"/>
      <c r="T67" s="420"/>
      <c r="U67" s="420"/>
      <c r="V67" s="420"/>
      <c r="W67" s="420"/>
      <c r="X67" s="420"/>
    </row>
    <row r="68">
      <c r="A68" s="429" t="s">
        <v>29</v>
      </c>
      <c r="B68" s="429" t="s">
        <v>18</v>
      </c>
      <c r="C68" s="430" t="s">
        <v>4107</v>
      </c>
      <c r="D68" s="431" t="s">
        <v>495</v>
      </c>
      <c r="E68" s="432">
        <v>44049.0</v>
      </c>
      <c r="F68" s="430" t="s">
        <v>499</v>
      </c>
      <c r="G68" s="403">
        <v>2.0</v>
      </c>
      <c r="H68" s="428">
        <v>20.0</v>
      </c>
      <c r="I68" s="403">
        <v>30.0</v>
      </c>
      <c r="J68" s="391">
        <f t="shared" si="3"/>
        <v>0.004963009627</v>
      </c>
      <c r="K68" s="392">
        <f t="shared" si="4"/>
        <v>1.985203851</v>
      </c>
      <c r="L68" s="327">
        <f t="shared" si="5"/>
        <v>19.59843639</v>
      </c>
      <c r="M68" s="429" t="s">
        <v>29</v>
      </c>
      <c r="N68" s="420">
        <f>IFERROR(__xludf.DUMMYFUNCTION("""COMPUTED_VALUE"""),3.0)</f>
        <v>3</v>
      </c>
      <c r="O68" s="420"/>
      <c r="P68" s="420"/>
      <c r="Q68" s="420"/>
      <c r="R68" s="420"/>
      <c r="S68" s="420"/>
      <c r="T68" s="420"/>
      <c r="U68" s="420"/>
      <c r="V68" s="420"/>
      <c r="W68" s="420"/>
      <c r="X68" s="420"/>
    </row>
    <row r="69">
      <c r="A69" s="429" t="s">
        <v>29</v>
      </c>
      <c r="B69" s="429" t="s">
        <v>519</v>
      </c>
      <c r="C69" s="430" t="s">
        <v>4110</v>
      </c>
      <c r="D69" s="431" t="s">
        <v>495</v>
      </c>
      <c r="E69" s="433">
        <v>44063.0</v>
      </c>
      <c r="F69" s="430" t="s">
        <v>499</v>
      </c>
      <c r="G69" s="403">
        <v>1.0</v>
      </c>
      <c r="H69" s="428">
        <v>50.0</v>
      </c>
      <c r="I69" s="403">
        <v>70.0</v>
      </c>
      <c r="J69" s="391">
        <f t="shared" si="3"/>
        <v>0.01194110616</v>
      </c>
      <c r="K69" s="392">
        <f t="shared" si="4"/>
        <v>4.776442463</v>
      </c>
      <c r="L69" s="327">
        <f t="shared" si="5"/>
        <v>19.59843639</v>
      </c>
      <c r="M69" s="429" t="s">
        <v>29</v>
      </c>
      <c r="N69" s="420">
        <f>IFERROR(__xludf.DUMMYFUNCTION("""COMPUTED_VALUE"""),4.0)</f>
        <v>4</v>
      </c>
      <c r="O69" s="420"/>
      <c r="P69" s="420"/>
      <c r="Q69" s="420"/>
      <c r="R69" s="420"/>
      <c r="S69" s="420"/>
      <c r="T69" s="420"/>
      <c r="U69" s="420"/>
      <c r="V69" s="420"/>
      <c r="W69" s="420"/>
      <c r="X69" s="420"/>
    </row>
    <row r="70">
      <c r="A70" s="429" t="s">
        <v>29</v>
      </c>
      <c r="B70" s="429" t="s">
        <v>18</v>
      </c>
      <c r="C70" s="430" t="s">
        <v>4129</v>
      </c>
      <c r="D70" s="431" t="s">
        <v>495</v>
      </c>
      <c r="E70" s="433">
        <v>44063.0</v>
      </c>
      <c r="F70" s="430" t="s">
        <v>499</v>
      </c>
      <c r="G70" s="403">
        <v>4.0</v>
      </c>
      <c r="H70" s="428">
        <v>0.0</v>
      </c>
      <c r="I70" s="403">
        <v>0.0</v>
      </c>
      <c r="J70" s="391">
        <f t="shared" si="3"/>
        <v>0</v>
      </c>
      <c r="K70" s="392">
        <f t="shared" si="4"/>
        <v>0</v>
      </c>
      <c r="L70" s="327">
        <f t="shared" si="5"/>
        <v>19.59843639</v>
      </c>
      <c r="M70" s="429" t="s">
        <v>29</v>
      </c>
      <c r="N70" s="420">
        <f>IFERROR(__xludf.DUMMYFUNCTION("""COMPUTED_VALUE"""),5.0)</f>
        <v>5</v>
      </c>
      <c r="O70" s="420"/>
      <c r="P70" s="420"/>
      <c r="Q70" s="420"/>
      <c r="R70" s="420"/>
      <c r="S70" s="420"/>
      <c r="T70" s="420"/>
      <c r="U70" s="420"/>
      <c r="V70" s="420"/>
      <c r="W70" s="420"/>
      <c r="X70" s="420"/>
    </row>
    <row r="71">
      <c r="A71" s="429" t="s">
        <v>29</v>
      </c>
      <c r="B71" s="429" t="s">
        <v>519</v>
      </c>
      <c r="C71" s="430" t="s">
        <v>4136</v>
      </c>
      <c r="D71" s="431" t="s">
        <v>495</v>
      </c>
      <c r="E71" s="433">
        <v>44070.0</v>
      </c>
      <c r="F71" s="430" t="s">
        <v>499</v>
      </c>
      <c r="G71" s="403">
        <v>4.0</v>
      </c>
      <c r="H71" s="428">
        <v>0.0</v>
      </c>
      <c r="I71" s="403">
        <v>0.0</v>
      </c>
      <c r="J71" s="391">
        <f t="shared" si="3"/>
        <v>0</v>
      </c>
      <c r="K71" s="392">
        <f t="shared" si="4"/>
        <v>0</v>
      </c>
      <c r="L71" s="327">
        <f t="shared" si="5"/>
        <v>19.59843639</v>
      </c>
      <c r="M71" s="429" t="s">
        <v>29</v>
      </c>
      <c r="N71" s="420">
        <f>IFERROR(__xludf.DUMMYFUNCTION("""COMPUTED_VALUE"""),6.0)</f>
        <v>6</v>
      </c>
      <c r="O71" s="420"/>
      <c r="P71" s="420"/>
      <c r="Q71" s="420"/>
      <c r="R71" s="420"/>
      <c r="S71" s="420"/>
      <c r="T71" s="420"/>
      <c r="U71" s="420"/>
      <c r="V71" s="420"/>
      <c r="W71" s="420"/>
      <c r="X71" s="420"/>
    </row>
    <row r="72">
      <c r="A72" s="429" t="s">
        <v>29</v>
      </c>
      <c r="B72" s="429" t="s">
        <v>519</v>
      </c>
      <c r="C72" s="430" t="s">
        <v>4120</v>
      </c>
      <c r="D72" s="431" t="s">
        <v>495</v>
      </c>
      <c r="E72" s="433">
        <v>44070.0</v>
      </c>
      <c r="F72" s="430" t="s">
        <v>545</v>
      </c>
      <c r="G72" s="403">
        <v>2.0</v>
      </c>
      <c r="H72" s="428">
        <v>20.0</v>
      </c>
      <c r="I72" s="403">
        <v>30.0</v>
      </c>
      <c r="J72" s="391">
        <f t="shared" si="3"/>
        <v>0.004963009627</v>
      </c>
      <c r="K72" s="392">
        <f t="shared" si="4"/>
        <v>1.985203851</v>
      </c>
      <c r="L72" s="327">
        <f t="shared" si="5"/>
        <v>19.59843639</v>
      </c>
      <c r="M72" s="429" t="s">
        <v>29</v>
      </c>
      <c r="N72" s="420">
        <f>IFERROR(__xludf.DUMMYFUNCTION("""COMPUTED_VALUE"""),7.0)</f>
        <v>7</v>
      </c>
      <c r="O72" s="420"/>
      <c r="P72" s="420"/>
      <c r="Q72" s="420"/>
      <c r="R72" s="420"/>
      <c r="S72" s="420"/>
      <c r="T72" s="420"/>
      <c r="U72" s="420"/>
      <c r="V72" s="420"/>
      <c r="W72" s="420"/>
      <c r="X72" s="420"/>
    </row>
    <row r="73">
      <c r="A73" s="429" t="s">
        <v>29</v>
      </c>
      <c r="B73" s="429" t="s">
        <v>590</v>
      </c>
      <c r="C73" s="430" t="s">
        <v>4137</v>
      </c>
      <c r="D73" s="431" t="s">
        <v>495</v>
      </c>
      <c r="E73" s="433">
        <v>44070.0</v>
      </c>
      <c r="F73" s="430" t="s">
        <v>499</v>
      </c>
      <c r="G73" s="403">
        <v>3.0</v>
      </c>
      <c r="H73" s="428">
        <v>10.0</v>
      </c>
      <c r="I73" s="403">
        <v>10.0</v>
      </c>
      <c r="J73" s="391">
        <f t="shared" si="3"/>
        <v>0.002015086903</v>
      </c>
      <c r="K73" s="392">
        <f t="shared" si="4"/>
        <v>0.8060347613</v>
      </c>
      <c r="L73" s="327">
        <f t="shared" si="5"/>
        <v>19.59843639</v>
      </c>
      <c r="M73" s="429" t="s">
        <v>29</v>
      </c>
      <c r="N73" s="420">
        <f>IFERROR(__xludf.DUMMYFUNCTION("""COMPUTED_VALUE"""),8.0)</f>
        <v>8</v>
      </c>
      <c r="O73" s="420"/>
      <c r="P73" s="420"/>
      <c r="Q73" s="420"/>
      <c r="R73" s="420"/>
      <c r="S73" s="420"/>
      <c r="T73" s="420"/>
      <c r="U73" s="420"/>
      <c r="V73" s="420"/>
      <c r="W73" s="420"/>
      <c r="X73" s="420"/>
    </row>
    <row r="74">
      <c r="A74" s="429" t="s">
        <v>29</v>
      </c>
      <c r="B74" s="429" t="s">
        <v>18</v>
      </c>
      <c r="C74" s="430" t="s">
        <v>4116</v>
      </c>
      <c r="D74" s="431" t="s">
        <v>495</v>
      </c>
      <c r="E74" s="432">
        <v>44075.0</v>
      </c>
      <c r="F74" s="430" t="s">
        <v>545</v>
      </c>
      <c r="G74" s="403">
        <v>1.0</v>
      </c>
      <c r="H74" s="428">
        <v>40.0</v>
      </c>
      <c r="I74" s="403">
        <v>40.0</v>
      </c>
      <c r="J74" s="391">
        <f t="shared" si="3"/>
        <v>0.008060347613</v>
      </c>
      <c r="K74" s="392">
        <f t="shared" si="4"/>
        <v>3.224139045</v>
      </c>
      <c r="L74" s="327">
        <f t="shared" si="5"/>
        <v>19.59843639</v>
      </c>
      <c r="M74" s="429" t="s">
        <v>29</v>
      </c>
      <c r="N74" s="420">
        <f>IFERROR(__xludf.DUMMYFUNCTION("""COMPUTED_VALUE"""),9.0)</f>
        <v>9</v>
      </c>
      <c r="O74" s="420"/>
      <c r="P74" s="420"/>
      <c r="Q74" s="420"/>
      <c r="R74" s="420"/>
      <c r="S74" s="420"/>
      <c r="T74" s="420"/>
      <c r="U74" s="420"/>
      <c r="V74" s="420"/>
      <c r="W74" s="420"/>
      <c r="X74" s="420"/>
    </row>
    <row r="75">
      <c r="A75" s="424" t="s">
        <v>62</v>
      </c>
      <c r="B75" s="424" t="s">
        <v>519</v>
      </c>
      <c r="C75" s="425" t="s">
        <v>4121</v>
      </c>
      <c r="D75" s="426" t="s">
        <v>495</v>
      </c>
      <c r="E75" s="427">
        <v>44032.0</v>
      </c>
      <c r="F75" s="425" t="s">
        <v>499</v>
      </c>
      <c r="G75" s="403">
        <v>2.0</v>
      </c>
      <c r="H75" s="428">
        <v>200.0</v>
      </c>
      <c r="I75" s="403">
        <v>250.0</v>
      </c>
      <c r="J75" s="391">
        <f t="shared" si="3"/>
        <v>0.04496591717</v>
      </c>
      <c r="K75" s="392">
        <f t="shared" si="4"/>
        <v>17.98636687</v>
      </c>
      <c r="L75" s="327">
        <f t="shared" si="5"/>
        <v>17.98636687</v>
      </c>
      <c r="M75" s="424" t="s">
        <v>62</v>
      </c>
      <c r="N75" s="421">
        <f>IFERROR(__xludf.DUMMYFUNCTION("""COMPUTED_VALUE"""),1.0)</f>
        <v>1</v>
      </c>
      <c r="O75" s="421"/>
      <c r="P75" s="421"/>
      <c r="Q75" s="421"/>
      <c r="R75" s="421"/>
      <c r="S75" s="421"/>
      <c r="T75" s="421"/>
      <c r="U75" s="421"/>
      <c r="V75" s="421"/>
      <c r="W75" s="421"/>
      <c r="X75" s="421"/>
    </row>
    <row r="76">
      <c r="A76" s="424" t="s">
        <v>74</v>
      </c>
      <c r="B76" s="424" t="s">
        <v>519</v>
      </c>
      <c r="C76" s="425" t="s">
        <v>4121</v>
      </c>
      <c r="D76" s="426" t="s">
        <v>495</v>
      </c>
      <c r="E76" s="427">
        <v>44032.0</v>
      </c>
      <c r="F76" s="425" t="s">
        <v>499</v>
      </c>
      <c r="G76" s="403">
        <v>2.0</v>
      </c>
      <c r="H76" s="428">
        <v>200.0</v>
      </c>
      <c r="I76" s="403">
        <v>250.0</v>
      </c>
      <c r="J76" s="391">
        <f t="shared" si="3"/>
        <v>0.04496591717</v>
      </c>
      <c r="K76" s="392">
        <f t="shared" si="4"/>
        <v>17.98636687</v>
      </c>
      <c r="L76" s="327">
        <f t="shared" si="5"/>
        <v>17.98636687</v>
      </c>
      <c r="M76" s="424" t="s">
        <v>74</v>
      </c>
      <c r="N76" s="421">
        <f>IFERROR(__xludf.DUMMYFUNCTION("""COMPUTED_VALUE"""),1.0)</f>
        <v>1</v>
      </c>
      <c r="O76" s="421"/>
      <c r="P76" s="421"/>
      <c r="Q76" s="421"/>
      <c r="R76" s="421"/>
      <c r="S76" s="421"/>
      <c r="T76" s="421"/>
      <c r="U76" s="421"/>
      <c r="V76" s="421"/>
      <c r="W76" s="421"/>
      <c r="X76" s="421"/>
    </row>
    <row r="77">
      <c r="A77" s="424" t="s">
        <v>80</v>
      </c>
      <c r="B77" s="424" t="s">
        <v>519</v>
      </c>
      <c r="C77" s="425" t="s">
        <v>4121</v>
      </c>
      <c r="D77" s="426" t="s">
        <v>495</v>
      </c>
      <c r="E77" s="427">
        <v>44032.0</v>
      </c>
      <c r="F77" s="425" t="s">
        <v>499</v>
      </c>
      <c r="G77" s="403">
        <v>2.0</v>
      </c>
      <c r="H77" s="428">
        <v>200.0</v>
      </c>
      <c r="I77" s="403">
        <v>250.0</v>
      </c>
      <c r="J77" s="391">
        <f t="shared" si="3"/>
        <v>0.04496591717</v>
      </c>
      <c r="K77" s="392">
        <f t="shared" si="4"/>
        <v>17.98636687</v>
      </c>
      <c r="L77" s="327">
        <f t="shared" si="5"/>
        <v>17.98636687</v>
      </c>
      <c r="M77" s="424" t="s">
        <v>80</v>
      </c>
      <c r="N77" s="421">
        <f>IFERROR(__xludf.DUMMYFUNCTION("""COMPUTED_VALUE"""),1.0)</f>
        <v>1</v>
      </c>
      <c r="O77" s="421"/>
      <c r="P77" s="421"/>
      <c r="Q77" s="421"/>
      <c r="R77" s="421"/>
      <c r="S77" s="421"/>
      <c r="T77" s="421"/>
      <c r="U77" s="421"/>
      <c r="V77" s="421"/>
      <c r="W77" s="421"/>
      <c r="X77" s="421"/>
    </row>
    <row r="78">
      <c r="A78" s="424" t="s">
        <v>66</v>
      </c>
      <c r="B78" s="424" t="s">
        <v>519</v>
      </c>
      <c r="C78" s="425" t="s">
        <v>4121</v>
      </c>
      <c r="D78" s="426" t="s">
        <v>495</v>
      </c>
      <c r="E78" s="427">
        <v>44032.0</v>
      </c>
      <c r="F78" s="425" t="s">
        <v>499</v>
      </c>
      <c r="G78" s="403">
        <v>2.0</v>
      </c>
      <c r="H78" s="428">
        <v>200.0</v>
      </c>
      <c r="I78" s="403">
        <v>250.0</v>
      </c>
      <c r="J78" s="391">
        <f t="shared" si="3"/>
        <v>0.04496591717</v>
      </c>
      <c r="K78" s="392">
        <f t="shared" si="4"/>
        <v>17.98636687</v>
      </c>
      <c r="L78" s="327">
        <f t="shared" si="5"/>
        <v>17.98636687</v>
      </c>
      <c r="M78" s="424" t="s">
        <v>66</v>
      </c>
      <c r="N78" s="421">
        <f>IFERROR(__xludf.DUMMYFUNCTION("""COMPUTED_VALUE"""),1.0)</f>
        <v>1</v>
      </c>
      <c r="O78" s="421"/>
      <c r="P78" s="421"/>
      <c r="Q78" s="421"/>
      <c r="R78" s="421"/>
      <c r="S78" s="421"/>
      <c r="T78" s="421"/>
      <c r="U78" s="421"/>
      <c r="V78" s="421"/>
      <c r="W78" s="421"/>
      <c r="X78" s="421"/>
    </row>
    <row r="79">
      <c r="A79" s="424" t="s">
        <v>34</v>
      </c>
      <c r="B79" s="424" t="s">
        <v>519</v>
      </c>
      <c r="C79" s="425" t="s">
        <v>4121</v>
      </c>
      <c r="D79" s="426" t="s">
        <v>495</v>
      </c>
      <c r="E79" s="427">
        <v>44032.0</v>
      </c>
      <c r="F79" s="425" t="s">
        <v>499</v>
      </c>
      <c r="G79" s="403">
        <v>2.0</v>
      </c>
      <c r="H79" s="428">
        <v>200.0</v>
      </c>
      <c r="I79" s="403">
        <v>250.0</v>
      </c>
      <c r="J79" s="391">
        <f t="shared" si="3"/>
        <v>0.04496591717</v>
      </c>
      <c r="K79" s="392">
        <f t="shared" si="4"/>
        <v>17.98636687</v>
      </c>
      <c r="L79" s="327">
        <f t="shared" si="5"/>
        <v>17.98636687</v>
      </c>
      <c r="M79" s="424" t="s">
        <v>34</v>
      </c>
      <c r="N79" s="421">
        <f>IFERROR(__xludf.DUMMYFUNCTION("""COMPUTED_VALUE"""),1.0)</f>
        <v>1</v>
      </c>
      <c r="O79" s="421"/>
      <c r="P79" s="421"/>
      <c r="Q79" s="421"/>
      <c r="R79" s="421"/>
      <c r="S79" s="421"/>
      <c r="T79" s="421"/>
      <c r="U79" s="421"/>
      <c r="V79" s="421"/>
      <c r="W79" s="421"/>
      <c r="X79" s="421"/>
    </row>
    <row r="80">
      <c r="A80" s="429" t="s">
        <v>116</v>
      </c>
      <c r="B80" s="429" t="s">
        <v>18</v>
      </c>
      <c r="C80" s="430" t="s">
        <v>4106</v>
      </c>
      <c r="D80" s="431" t="s">
        <v>495</v>
      </c>
      <c r="E80" s="432">
        <v>44048.0</v>
      </c>
      <c r="F80" s="430" t="s">
        <v>499</v>
      </c>
      <c r="G80" s="403">
        <v>1.0</v>
      </c>
      <c r="H80" s="428">
        <v>50.0</v>
      </c>
      <c r="I80" s="403">
        <v>50.0</v>
      </c>
      <c r="J80" s="391">
        <f t="shared" si="3"/>
        <v>0.01007543452</v>
      </c>
      <c r="K80" s="392">
        <f t="shared" si="4"/>
        <v>4.030173806</v>
      </c>
      <c r="L80" s="327">
        <f t="shared" si="5"/>
        <v>12.46365575</v>
      </c>
      <c r="M80" s="429" t="s">
        <v>116</v>
      </c>
      <c r="N80" s="420">
        <f>IFERROR(__xludf.DUMMYFUNCTION("""COMPUTED_VALUE"""),1.0)</f>
        <v>1</v>
      </c>
      <c r="O80" s="420"/>
      <c r="P80" s="420"/>
      <c r="Q80" s="420"/>
      <c r="R80" s="420"/>
      <c r="S80" s="420"/>
      <c r="T80" s="420"/>
      <c r="U80" s="420"/>
      <c r="V80" s="420"/>
      <c r="W80" s="420"/>
      <c r="X80" s="420"/>
    </row>
    <row r="81">
      <c r="A81" s="429" t="s">
        <v>116</v>
      </c>
      <c r="B81" s="429" t="s">
        <v>519</v>
      </c>
      <c r="C81" s="430" t="s">
        <v>4138</v>
      </c>
      <c r="D81" s="431" t="s">
        <v>495</v>
      </c>
      <c r="E81" s="432">
        <v>44048.0</v>
      </c>
      <c r="F81" s="430" t="s">
        <v>499</v>
      </c>
      <c r="G81" s="403">
        <v>1.0</v>
      </c>
      <c r="H81" s="428">
        <v>50.0</v>
      </c>
      <c r="I81" s="403">
        <v>50.0</v>
      </c>
      <c r="J81" s="391">
        <f t="shared" si="3"/>
        <v>0.01007543452</v>
      </c>
      <c r="K81" s="392">
        <f t="shared" si="4"/>
        <v>4.030173806</v>
      </c>
      <c r="L81" s="327">
        <f t="shared" si="5"/>
        <v>12.46365575</v>
      </c>
      <c r="M81" s="429" t="s">
        <v>116</v>
      </c>
      <c r="N81" s="420">
        <f>IFERROR(__xludf.DUMMYFUNCTION("""COMPUTED_VALUE"""),2.0)</f>
        <v>2</v>
      </c>
      <c r="O81" s="420"/>
      <c r="P81" s="420"/>
      <c r="Q81" s="420"/>
      <c r="R81" s="420"/>
      <c r="S81" s="420"/>
      <c r="T81" s="420"/>
      <c r="U81" s="420"/>
      <c r="V81" s="420"/>
      <c r="W81" s="420"/>
      <c r="X81" s="420"/>
    </row>
    <row r="82">
      <c r="A82" s="429" t="s">
        <v>116</v>
      </c>
      <c r="B82" s="429" t="s">
        <v>18</v>
      </c>
      <c r="C82" s="430" t="s">
        <v>4109</v>
      </c>
      <c r="D82" s="431" t="s">
        <v>495</v>
      </c>
      <c r="E82" s="433">
        <v>44063.0</v>
      </c>
      <c r="F82" s="430" t="s">
        <v>499</v>
      </c>
      <c r="G82" s="403">
        <v>2.0</v>
      </c>
      <c r="H82" s="428">
        <v>30.0</v>
      </c>
      <c r="I82" s="403">
        <v>30.0</v>
      </c>
      <c r="J82" s="391">
        <f t="shared" si="3"/>
        <v>0.006045260709</v>
      </c>
      <c r="K82" s="392">
        <f t="shared" si="4"/>
        <v>2.418104284</v>
      </c>
      <c r="L82" s="327">
        <f t="shared" si="5"/>
        <v>12.46365575</v>
      </c>
      <c r="M82" s="429" t="s">
        <v>116</v>
      </c>
      <c r="N82" s="420">
        <f>IFERROR(__xludf.DUMMYFUNCTION("""COMPUTED_VALUE"""),3.0)</f>
        <v>3</v>
      </c>
      <c r="O82" s="420"/>
      <c r="P82" s="420"/>
      <c r="Q82" s="420"/>
      <c r="R82" s="420"/>
      <c r="S82" s="420"/>
      <c r="T82" s="420"/>
      <c r="U82" s="420"/>
      <c r="V82" s="420"/>
      <c r="W82" s="420"/>
      <c r="X82" s="420"/>
    </row>
    <row r="83">
      <c r="A83" s="429" t="s">
        <v>116</v>
      </c>
      <c r="B83" s="429" t="s">
        <v>519</v>
      </c>
      <c r="C83" s="430" t="s">
        <v>4120</v>
      </c>
      <c r="D83" s="431" t="s">
        <v>495</v>
      </c>
      <c r="E83" s="433">
        <v>44070.0</v>
      </c>
      <c r="F83" s="430" t="s">
        <v>545</v>
      </c>
      <c r="G83" s="403">
        <v>2.0</v>
      </c>
      <c r="H83" s="428">
        <v>20.0</v>
      </c>
      <c r="I83" s="403">
        <v>30.0</v>
      </c>
      <c r="J83" s="391">
        <f t="shared" si="3"/>
        <v>0.004963009627</v>
      </c>
      <c r="K83" s="392">
        <f t="shared" si="4"/>
        <v>1.985203851</v>
      </c>
      <c r="L83" s="327">
        <f t="shared" si="5"/>
        <v>12.46365575</v>
      </c>
      <c r="M83" s="429" t="s">
        <v>116</v>
      </c>
      <c r="N83" s="420">
        <f>IFERROR(__xludf.DUMMYFUNCTION("""COMPUTED_VALUE"""),4.0)</f>
        <v>4</v>
      </c>
      <c r="O83" s="420"/>
      <c r="P83" s="420"/>
      <c r="Q83" s="420"/>
      <c r="R83" s="420"/>
      <c r="S83" s="420"/>
      <c r="T83" s="420"/>
      <c r="U83" s="420"/>
      <c r="V83" s="420"/>
      <c r="W83" s="420"/>
      <c r="X83" s="420"/>
    </row>
    <row r="84">
      <c r="A84" s="424" t="s">
        <v>52</v>
      </c>
      <c r="B84" s="424" t="s">
        <v>519</v>
      </c>
      <c r="C84" s="425" t="s">
        <v>4103</v>
      </c>
      <c r="D84" s="426" t="s">
        <v>495</v>
      </c>
      <c r="E84" s="427">
        <v>44043.0</v>
      </c>
      <c r="F84" s="425" t="s">
        <v>499</v>
      </c>
      <c r="G84" s="403">
        <v>2.0</v>
      </c>
      <c r="H84" s="428">
        <v>30.0</v>
      </c>
      <c r="I84" s="403">
        <v>40.0</v>
      </c>
      <c r="J84" s="391">
        <f t="shared" si="3"/>
        <v>0.00697809653</v>
      </c>
      <c r="K84" s="392">
        <f t="shared" si="4"/>
        <v>2.791238612</v>
      </c>
      <c r="L84" s="327">
        <f t="shared" si="5"/>
        <v>8.806616269</v>
      </c>
      <c r="M84" s="424" t="s">
        <v>52</v>
      </c>
      <c r="N84" s="421">
        <f>IFERROR(__xludf.DUMMYFUNCTION("""COMPUTED_VALUE"""),1.0)</f>
        <v>1</v>
      </c>
      <c r="O84" s="421"/>
      <c r="P84" s="421"/>
      <c r="Q84" s="421"/>
      <c r="R84" s="421"/>
      <c r="S84" s="421"/>
      <c r="T84" s="421"/>
      <c r="U84" s="421"/>
      <c r="V84" s="421"/>
      <c r="W84" s="421"/>
      <c r="X84" s="421"/>
    </row>
    <row r="85">
      <c r="A85" s="429" t="s">
        <v>52</v>
      </c>
      <c r="B85" s="429" t="s">
        <v>519</v>
      </c>
      <c r="C85" s="430" t="s">
        <v>4138</v>
      </c>
      <c r="D85" s="431" t="s">
        <v>495</v>
      </c>
      <c r="E85" s="432">
        <v>44048.0</v>
      </c>
      <c r="F85" s="430" t="s">
        <v>499</v>
      </c>
      <c r="G85" s="403">
        <v>1.0</v>
      </c>
      <c r="H85" s="428">
        <v>50.0</v>
      </c>
      <c r="I85" s="403">
        <v>50.0</v>
      </c>
      <c r="J85" s="391">
        <f t="shared" si="3"/>
        <v>0.01007543452</v>
      </c>
      <c r="K85" s="392">
        <f t="shared" si="4"/>
        <v>4.030173806</v>
      </c>
      <c r="L85" s="327">
        <f t="shared" si="5"/>
        <v>8.806616269</v>
      </c>
      <c r="M85" s="429" t="s">
        <v>52</v>
      </c>
      <c r="N85" s="420">
        <f>IFERROR(__xludf.DUMMYFUNCTION("""COMPUTED_VALUE"""),2.0)</f>
        <v>2</v>
      </c>
      <c r="O85" s="420"/>
      <c r="P85" s="420"/>
      <c r="Q85" s="420"/>
      <c r="R85" s="420"/>
      <c r="S85" s="420"/>
      <c r="T85" s="420"/>
      <c r="U85" s="420"/>
      <c r="V85" s="420"/>
      <c r="W85" s="420"/>
      <c r="X85" s="420"/>
    </row>
    <row r="86">
      <c r="A86" s="429" t="s">
        <v>52</v>
      </c>
      <c r="B86" s="429" t="s">
        <v>519</v>
      </c>
      <c r="C86" s="430" t="s">
        <v>4139</v>
      </c>
      <c r="D86" s="431" t="s">
        <v>495</v>
      </c>
      <c r="E86" s="433">
        <v>44063.0</v>
      </c>
      <c r="F86" s="430" t="s">
        <v>499</v>
      </c>
      <c r="G86" s="403">
        <v>4.0</v>
      </c>
      <c r="H86" s="428">
        <v>0.0</v>
      </c>
      <c r="I86" s="403">
        <v>0.0</v>
      </c>
      <c r="J86" s="391">
        <f t="shared" si="3"/>
        <v>0</v>
      </c>
      <c r="K86" s="392">
        <f t="shared" si="4"/>
        <v>0</v>
      </c>
      <c r="L86" s="327">
        <f t="shared" si="5"/>
        <v>8.806616269</v>
      </c>
      <c r="M86" s="429" t="s">
        <v>52</v>
      </c>
      <c r="N86" s="420">
        <f>IFERROR(__xludf.DUMMYFUNCTION("""COMPUTED_VALUE"""),3.0)</f>
        <v>3</v>
      </c>
      <c r="O86" s="420"/>
      <c r="P86" s="420"/>
      <c r="Q86" s="420"/>
      <c r="R86" s="420"/>
      <c r="S86" s="420"/>
      <c r="T86" s="420"/>
      <c r="U86" s="420"/>
      <c r="V86" s="420"/>
      <c r="W86" s="420"/>
      <c r="X86" s="420"/>
    </row>
    <row r="87">
      <c r="A87" s="429" t="s">
        <v>52</v>
      </c>
      <c r="B87" s="429" t="s">
        <v>519</v>
      </c>
      <c r="C87" s="430" t="s">
        <v>4126</v>
      </c>
      <c r="D87" s="431" t="s">
        <v>495</v>
      </c>
      <c r="E87" s="433">
        <v>44070.0</v>
      </c>
      <c r="F87" s="430" t="s">
        <v>499</v>
      </c>
      <c r="G87" s="403">
        <v>4.0</v>
      </c>
      <c r="H87" s="428">
        <v>0.0</v>
      </c>
      <c r="I87" s="403">
        <v>0.0</v>
      </c>
      <c r="J87" s="391">
        <f t="shared" si="3"/>
        <v>0</v>
      </c>
      <c r="K87" s="392">
        <f t="shared" si="4"/>
        <v>0</v>
      </c>
      <c r="L87" s="327">
        <f t="shared" si="5"/>
        <v>8.806616269</v>
      </c>
      <c r="M87" s="429" t="s">
        <v>52</v>
      </c>
      <c r="N87" s="420">
        <f>IFERROR(__xludf.DUMMYFUNCTION("""COMPUTED_VALUE"""),4.0)</f>
        <v>4</v>
      </c>
      <c r="O87" s="420"/>
      <c r="P87" s="420"/>
      <c r="Q87" s="420"/>
      <c r="R87" s="420"/>
      <c r="S87" s="420"/>
      <c r="T87" s="420"/>
      <c r="U87" s="420"/>
      <c r="V87" s="420"/>
      <c r="W87" s="420"/>
      <c r="X87" s="420"/>
    </row>
    <row r="88">
      <c r="A88" s="429" t="s">
        <v>52</v>
      </c>
      <c r="B88" s="429" t="s">
        <v>519</v>
      </c>
      <c r="C88" s="430" t="s">
        <v>4120</v>
      </c>
      <c r="D88" s="431" t="s">
        <v>495</v>
      </c>
      <c r="E88" s="433">
        <v>44070.0</v>
      </c>
      <c r="F88" s="430" t="s">
        <v>545</v>
      </c>
      <c r="G88" s="403">
        <v>2.0</v>
      </c>
      <c r="H88" s="428">
        <v>20.0</v>
      </c>
      <c r="I88" s="403">
        <v>30.0</v>
      </c>
      <c r="J88" s="391">
        <f t="shared" si="3"/>
        <v>0.004963009627</v>
      </c>
      <c r="K88" s="392">
        <f t="shared" si="4"/>
        <v>1.985203851</v>
      </c>
      <c r="L88" s="327">
        <f t="shared" si="5"/>
        <v>8.806616269</v>
      </c>
      <c r="M88" s="429" t="s">
        <v>52</v>
      </c>
      <c r="N88" s="420">
        <f>IFERROR(__xludf.DUMMYFUNCTION("""COMPUTED_VALUE"""),5.0)</f>
        <v>5</v>
      </c>
      <c r="O88" s="420"/>
      <c r="P88" s="420"/>
      <c r="Q88" s="420"/>
      <c r="R88" s="420"/>
      <c r="S88" s="420"/>
      <c r="T88" s="420"/>
      <c r="U88" s="420"/>
      <c r="V88" s="420"/>
      <c r="W88" s="420"/>
      <c r="X88" s="420"/>
    </row>
    <row r="89">
      <c r="A89" s="424" t="s">
        <v>19</v>
      </c>
      <c r="B89" s="424" t="s">
        <v>519</v>
      </c>
      <c r="C89" s="425" t="s">
        <v>4103</v>
      </c>
      <c r="D89" s="426" t="s">
        <v>495</v>
      </c>
      <c r="E89" s="427">
        <v>44043.0</v>
      </c>
      <c r="F89" s="425" t="s">
        <v>499</v>
      </c>
      <c r="G89" s="403">
        <v>2.0</v>
      </c>
      <c r="H89" s="428">
        <v>30.0</v>
      </c>
      <c r="I89" s="403">
        <v>40.0</v>
      </c>
      <c r="J89" s="391">
        <f t="shared" si="3"/>
        <v>0.00697809653</v>
      </c>
      <c r="K89" s="392">
        <f t="shared" si="4"/>
        <v>2.791238612</v>
      </c>
      <c r="L89" s="327">
        <f t="shared" si="5"/>
        <v>7.62744718</v>
      </c>
      <c r="M89" s="424" t="s">
        <v>19</v>
      </c>
      <c r="N89" s="421">
        <f>IFERROR(__xludf.DUMMYFUNCTION("""COMPUTED_VALUE"""),1.0)</f>
        <v>1</v>
      </c>
      <c r="O89" s="421"/>
      <c r="P89" s="421"/>
      <c r="Q89" s="421"/>
      <c r="R89" s="421"/>
      <c r="S89" s="421"/>
      <c r="T89" s="421"/>
      <c r="U89" s="421"/>
      <c r="V89" s="421"/>
      <c r="W89" s="421"/>
      <c r="X89" s="421"/>
    </row>
    <row r="90">
      <c r="A90" s="429" t="s">
        <v>19</v>
      </c>
      <c r="B90" s="429" t="s">
        <v>18</v>
      </c>
      <c r="C90" s="430" t="s">
        <v>4106</v>
      </c>
      <c r="D90" s="431" t="s">
        <v>495</v>
      </c>
      <c r="E90" s="432">
        <v>44048.0</v>
      </c>
      <c r="F90" s="430" t="s">
        <v>499</v>
      </c>
      <c r="G90" s="403">
        <v>1.0</v>
      </c>
      <c r="H90" s="428">
        <v>50.0</v>
      </c>
      <c r="I90" s="403">
        <v>50.0</v>
      </c>
      <c r="J90" s="391">
        <f t="shared" si="3"/>
        <v>0.01007543452</v>
      </c>
      <c r="K90" s="392">
        <f t="shared" si="4"/>
        <v>4.030173806</v>
      </c>
      <c r="L90" s="327">
        <f t="shared" si="5"/>
        <v>7.62744718</v>
      </c>
      <c r="M90" s="429" t="s">
        <v>19</v>
      </c>
      <c r="N90" s="420">
        <f>IFERROR(__xludf.DUMMYFUNCTION("""COMPUTED_VALUE"""),2.0)</f>
        <v>2</v>
      </c>
      <c r="O90" s="420"/>
      <c r="P90" s="420"/>
      <c r="Q90" s="420"/>
      <c r="R90" s="420"/>
      <c r="S90" s="420"/>
      <c r="T90" s="420"/>
      <c r="U90" s="420"/>
      <c r="V90" s="420"/>
      <c r="W90" s="420"/>
      <c r="X90" s="420"/>
    </row>
    <row r="91">
      <c r="A91" s="429" t="s">
        <v>19</v>
      </c>
      <c r="B91" s="429" t="s">
        <v>29</v>
      </c>
      <c r="C91" s="430" t="s">
        <v>4140</v>
      </c>
      <c r="D91" s="431" t="s">
        <v>495</v>
      </c>
      <c r="E91" s="433">
        <v>44064.0</v>
      </c>
      <c r="F91" s="430" t="s">
        <v>499</v>
      </c>
      <c r="G91" s="403">
        <v>4.0</v>
      </c>
      <c r="H91" s="428">
        <v>0.0</v>
      </c>
      <c r="I91" s="403">
        <v>0.0</v>
      </c>
      <c r="J91" s="391">
        <f t="shared" si="3"/>
        <v>0</v>
      </c>
      <c r="K91" s="392">
        <f t="shared" si="4"/>
        <v>0</v>
      </c>
      <c r="L91" s="327">
        <f t="shared" si="5"/>
        <v>7.62744718</v>
      </c>
      <c r="M91" s="429" t="s">
        <v>19</v>
      </c>
      <c r="N91" s="420">
        <f>IFERROR(__xludf.DUMMYFUNCTION("""COMPUTED_VALUE"""),3.0)</f>
        <v>3</v>
      </c>
      <c r="O91" s="420"/>
      <c r="P91" s="420"/>
      <c r="Q91" s="420"/>
      <c r="R91" s="420"/>
      <c r="S91" s="420"/>
      <c r="T91" s="420"/>
      <c r="U91" s="420"/>
      <c r="V91" s="420"/>
      <c r="W91" s="420"/>
      <c r="X91" s="420"/>
    </row>
    <row r="92">
      <c r="A92" s="429" t="s">
        <v>19</v>
      </c>
      <c r="B92" s="429" t="s">
        <v>590</v>
      </c>
      <c r="C92" s="430" t="s">
        <v>4141</v>
      </c>
      <c r="D92" s="431" t="s">
        <v>495</v>
      </c>
      <c r="E92" s="433">
        <v>44070.0</v>
      </c>
      <c r="F92" s="430" t="s">
        <v>499</v>
      </c>
      <c r="G92" s="403">
        <v>3.0</v>
      </c>
      <c r="H92" s="428">
        <v>10.0</v>
      </c>
      <c r="I92" s="403">
        <v>10.0</v>
      </c>
      <c r="J92" s="391">
        <f t="shared" si="3"/>
        <v>0.002015086903</v>
      </c>
      <c r="K92" s="392">
        <f t="shared" si="4"/>
        <v>0.8060347613</v>
      </c>
      <c r="L92" s="327">
        <f t="shared" si="5"/>
        <v>7.62744718</v>
      </c>
      <c r="M92" s="429" t="s">
        <v>19</v>
      </c>
      <c r="N92" s="420">
        <f>IFERROR(__xludf.DUMMYFUNCTION("""COMPUTED_VALUE"""),4.0)</f>
        <v>4</v>
      </c>
      <c r="O92" s="420"/>
      <c r="P92" s="420"/>
      <c r="Q92" s="420"/>
      <c r="R92" s="420"/>
      <c r="S92" s="420"/>
      <c r="T92" s="420"/>
      <c r="U92" s="420"/>
      <c r="V92" s="420"/>
      <c r="W92" s="420"/>
      <c r="X92" s="420"/>
    </row>
    <row r="93">
      <c r="A93" s="424" t="s">
        <v>64</v>
      </c>
      <c r="B93" s="424" t="s">
        <v>519</v>
      </c>
      <c r="C93" s="425" t="s">
        <v>4103</v>
      </c>
      <c r="D93" s="426" t="s">
        <v>495</v>
      </c>
      <c r="E93" s="427">
        <v>44043.0</v>
      </c>
      <c r="F93" s="425" t="s">
        <v>499</v>
      </c>
      <c r="G93" s="403">
        <v>2.0</v>
      </c>
      <c r="H93" s="428">
        <v>30.0</v>
      </c>
      <c r="I93" s="403">
        <v>40.0</v>
      </c>
      <c r="J93" s="391">
        <f t="shared" si="3"/>
        <v>0.00697809653</v>
      </c>
      <c r="K93" s="392">
        <f t="shared" si="4"/>
        <v>2.791238612</v>
      </c>
      <c r="L93" s="327">
        <f t="shared" si="5"/>
        <v>6.821412418</v>
      </c>
      <c r="M93" s="424" t="s">
        <v>64</v>
      </c>
      <c r="N93" s="421">
        <f>IFERROR(__xludf.DUMMYFUNCTION("""COMPUTED_VALUE"""),1.0)</f>
        <v>1</v>
      </c>
      <c r="O93" s="421"/>
      <c r="P93" s="421"/>
      <c r="Q93" s="421"/>
      <c r="R93" s="421"/>
      <c r="S93" s="421"/>
      <c r="T93" s="421"/>
      <c r="U93" s="421"/>
      <c r="V93" s="421"/>
      <c r="W93" s="421"/>
      <c r="X93" s="421"/>
    </row>
    <row r="94">
      <c r="A94" s="429" t="s">
        <v>64</v>
      </c>
      <c r="B94" s="429" t="s">
        <v>18</v>
      </c>
      <c r="C94" s="430" t="s">
        <v>4106</v>
      </c>
      <c r="D94" s="431" t="s">
        <v>495</v>
      </c>
      <c r="E94" s="432">
        <v>44048.0</v>
      </c>
      <c r="F94" s="430" t="s">
        <v>499</v>
      </c>
      <c r="G94" s="403">
        <v>1.0</v>
      </c>
      <c r="H94" s="428">
        <v>50.0</v>
      </c>
      <c r="I94" s="403">
        <v>50.0</v>
      </c>
      <c r="J94" s="391">
        <f t="shared" si="3"/>
        <v>0.01007543452</v>
      </c>
      <c r="K94" s="392">
        <f t="shared" si="4"/>
        <v>4.030173806</v>
      </c>
      <c r="L94" s="327">
        <f t="shared" si="5"/>
        <v>6.821412418</v>
      </c>
      <c r="M94" s="429" t="s">
        <v>64</v>
      </c>
      <c r="N94" s="420">
        <f>IFERROR(__xludf.DUMMYFUNCTION("""COMPUTED_VALUE"""),2.0)</f>
        <v>2</v>
      </c>
      <c r="O94" s="420"/>
      <c r="P94" s="420"/>
      <c r="Q94" s="420"/>
      <c r="R94" s="420"/>
      <c r="S94" s="420"/>
      <c r="T94" s="420"/>
      <c r="U94" s="420"/>
      <c r="V94" s="420"/>
      <c r="W94" s="420"/>
      <c r="X94" s="420"/>
    </row>
    <row r="95">
      <c r="A95" s="424" t="s">
        <v>92</v>
      </c>
      <c r="B95" s="424" t="s">
        <v>519</v>
      </c>
      <c r="C95" s="425" t="s">
        <v>4142</v>
      </c>
      <c r="D95" s="426" t="s">
        <v>495</v>
      </c>
      <c r="E95" s="427">
        <v>44032.0</v>
      </c>
      <c r="F95" s="425" t="s">
        <v>499</v>
      </c>
      <c r="G95" s="403">
        <v>3.0</v>
      </c>
      <c r="H95" s="428">
        <v>20.0</v>
      </c>
      <c r="I95" s="403">
        <v>50.0</v>
      </c>
      <c r="J95" s="391">
        <f t="shared" si="3"/>
        <v>0.006828681269</v>
      </c>
      <c r="K95" s="392">
        <f t="shared" si="4"/>
        <v>2.731472508</v>
      </c>
      <c r="L95" s="327">
        <f t="shared" si="5"/>
        <v>5.149576791</v>
      </c>
      <c r="M95" s="424" t="s">
        <v>92</v>
      </c>
      <c r="N95" s="421">
        <f>IFERROR(__xludf.DUMMYFUNCTION("""COMPUTED_VALUE"""),1.0)</f>
        <v>1</v>
      </c>
      <c r="O95" s="421"/>
      <c r="P95" s="421"/>
      <c r="Q95" s="421"/>
      <c r="R95" s="421"/>
      <c r="S95" s="421"/>
      <c r="T95" s="421"/>
      <c r="U95" s="421"/>
      <c r="V95" s="421"/>
      <c r="W95" s="421"/>
      <c r="X95" s="421"/>
    </row>
    <row r="96">
      <c r="A96" s="429" t="s">
        <v>92</v>
      </c>
      <c r="B96" s="429" t="s">
        <v>29</v>
      </c>
      <c r="C96" s="430" t="s">
        <v>4143</v>
      </c>
      <c r="D96" s="431" t="s">
        <v>495</v>
      </c>
      <c r="E96" s="433">
        <v>44071.0</v>
      </c>
      <c r="F96" s="430" t="s">
        <v>499</v>
      </c>
      <c r="G96" s="403">
        <v>3.0</v>
      </c>
      <c r="H96" s="428">
        <v>20.0</v>
      </c>
      <c r="I96" s="403">
        <v>20.0</v>
      </c>
      <c r="J96" s="391">
        <f t="shared" si="3"/>
        <v>0.004030173806</v>
      </c>
      <c r="K96" s="392">
        <f t="shared" si="4"/>
        <v>1.612069523</v>
      </c>
      <c r="L96" s="327">
        <f t="shared" si="5"/>
        <v>5.149576791</v>
      </c>
      <c r="M96" s="429" t="s">
        <v>92</v>
      </c>
      <c r="N96" s="420">
        <f>IFERROR(__xludf.DUMMYFUNCTION("""COMPUTED_VALUE"""),2.0)</f>
        <v>2</v>
      </c>
      <c r="O96" s="420"/>
      <c r="P96" s="420"/>
      <c r="Q96" s="420"/>
      <c r="R96" s="420"/>
      <c r="S96" s="420"/>
      <c r="T96" s="420"/>
      <c r="U96" s="420"/>
      <c r="V96" s="420"/>
      <c r="W96" s="420"/>
      <c r="X96" s="420"/>
    </row>
    <row r="97">
      <c r="A97" s="429" t="s">
        <v>92</v>
      </c>
      <c r="B97" s="429" t="s">
        <v>77</v>
      </c>
      <c r="C97" s="430" t="s">
        <v>4144</v>
      </c>
      <c r="D97" s="431" t="s">
        <v>495</v>
      </c>
      <c r="E97" s="433">
        <v>44074.0</v>
      </c>
      <c r="F97" s="430" t="s">
        <v>499</v>
      </c>
      <c r="G97" s="403">
        <v>4.0</v>
      </c>
      <c r="H97" s="428">
        <v>0.0</v>
      </c>
      <c r="I97" s="403">
        <v>0.0</v>
      </c>
      <c r="J97" s="391">
        <f t="shared" si="3"/>
        <v>0</v>
      </c>
      <c r="K97" s="392">
        <f t="shared" si="4"/>
        <v>0</v>
      </c>
      <c r="L97" s="327">
        <f t="shared" si="5"/>
        <v>5.149576791</v>
      </c>
      <c r="M97" s="429" t="s">
        <v>92</v>
      </c>
      <c r="N97" s="420">
        <f>IFERROR(__xludf.DUMMYFUNCTION("""COMPUTED_VALUE"""),3.0)</f>
        <v>3</v>
      </c>
      <c r="O97" s="420"/>
      <c r="P97" s="420"/>
      <c r="Q97" s="420"/>
      <c r="R97" s="420"/>
      <c r="S97" s="420"/>
      <c r="T97" s="420"/>
      <c r="U97" s="420"/>
      <c r="V97" s="420"/>
      <c r="W97" s="420"/>
      <c r="X97" s="420"/>
    </row>
    <row r="98">
      <c r="A98" s="429" t="s">
        <v>92</v>
      </c>
      <c r="B98" s="429" t="s">
        <v>519</v>
      </c>
      <c r="C98" s="430" t="s">
        <v>4145</v>
      </c>
      <c r="D98" s="431" t="s">
        <v>495</v>
      </c>
      <c r="E98" s="432">
        <v>44076.0</v>
      </c>
      <c r="F98" s="430" t="s">
        <v>499</v>
      </c>
      <c r="G98" s="403">
        <v>3.0</v>
      </c>
      <c r="H98" s="428">
        <v>10.0</v>
      </c>
      <c r="I98" s="403">
        <v>10.0</v>
      </c>
      <c r="J98" s="391">
        <f t="shared" si="3"/>
        <v>0.002015086903</v>
      </c>
      <c r="K98" s="392">
        <f t="shared" si="4"/>
        <v>0.8060347613</v>
      </c>
      <c r="L98" s="327">
        <f t="shared" si="5"/>
        <v>5.149576791</v>
      </c>
      <c r="M98" s="429" t="s">
        <v>92</v>
      </c>
      <c r="N98" s="420">
        <f>IFERROR(__xludf.DUMMYFUNCTION("""COMPUTED_VALUE"""),4.0)</f>
        <v>4</v>
      </c>
      <c r="O98" s="420"/>
      <c r="P98" s="420"/>
      <c r="Q98" s="420"/>
      <c r="R98" s="420"/>
      <c r="S98" s="420"/>
      <c r="T98" s="420"/>
      <c r="U98" s="420"/>
      <c r="V98" s="420"/>
      <c r="W98" s="420"/>
      <c r="X98" s="420"/>
    </row>
    <row r="99">
      <c r="A99" s="424" t="s">
        <v>140</v>
      </c>
      <c r="B99" s="424" t="s">
        <v>29</v>
      </c>
      <c r="C99" s="425" t="s">
        <v>4146</v>
      </c>
      <c r="D99" s="426" t="s">
        <v>495</v>
      </c>
      <c r="E99" s="427">
        <v>44033.0</v>
      </c>
      <c r="F99" s="425" t="s">
        <v>499</v>
      </c>
      <c r="G99" s="403">
        <v>3.0</v>
      </c>
      <c r="H99" s="428">
        <v>20.0</v>
      </c>
      <c r="I99" s="403">
        <v>20.0</v>
      </c>
      <c r="J99" s="391">
        <f t="shared" si="3"/>
        <v>0.004030173806</v>
      </c>
      <c r="K99" s="392">
        <f t="shared" si="4"/>
        <v>1.612069523</v>
      </c>
      <c r="L99" s="327">
        <f t="shared" si="5"/>
        <v>4.403308135</v>
      </c>
      <c r="M99" s="424" t="s">
        <v>140</v>
      </c>
      <c r="N99" s="421">
        <f>IFERROR(__xludf.DUMMYFUNCTION("""COMPUTED_VALUE"""),1.0)</f>
        <v>1</v>
      </c>
      <c r="O99" s="421"/>
      <c r="P99" s="421"/>
      <c r="Q99" s="421"/>
      <c r="R99" s="421"/>
      <c r="S99" s="421"/>
      <c r="T99" s="421"/>
      <c r="U99" s="421"/>
      <c r="V99" s="421"/>
      <c r="W99" s="421"/>
      <c r="X99" s="421"/>
    </row>
    <row r="100">
      <c r="A100" s="424" t="s">
        <v>140</v>
      </c>
      <c r="B100" s="424" t="s">
        <v>519</v>
      </c>
      <c r="C100" s="425" t="s">
        <v>4103</v>
      </c>
      <c r="D100" s="426" t="s">
        <v>495</v>
      </c>
      <c r="E100" s="427">
        <v>44043.0</v>
      </c>
      <c r="F100" s="425" t="s">
        <v>499</v>
      </c>
      <c r="G100" s="403">
        <v>2.0</v>
      </c>
      <c r="H100" s="428">
        <v>30.0</v>
      </c>
      <c r="I100" s="403">
        <v>40.0</v>
      </c>
      <c r="J100" s="391">
        <f t="shared" si="3"/>
        <v>0.00697809653</v>
      </c>
      <c r="K100" s="392">
        <f t="shared" si="4"/>
        <v>2.791238612</v>
      </c>
      <c r="L100" s="327">
        <f t="shared" si="5"/>
        <v>4.403308135</v>
      </c>
      <c r="M100" s="424" t="s">
        <v>140</v>
      </c>
      <c r="N100" s="421">
        <f>IFERROR(__xludf.DUMMYFUNCTION("""COMPUTED_VALUE"""),2.0)</f>
        <v>2</v>
      </c>
      <c r="O100" s="421"/>
      <c r="P100" s="421"/>
      <c r="Q100" s="421"/>
      <c r="R100" s="421"/>
      <c r="S100" s="421"/>
      <c r="T100" s="421"/>
      <c r="U100" s="421"/>
      <c r="V100" s="421"/>
      <c r="W100" s="421"/>
      <c r="X100" s="421"/>
    </row>
    <row r="101">
      <c r="A101" s="429" t="s">
        <v>146</v>
      </c>
      <c r="B101" s="429" t="s">
        <v>519</v>
      </c>
      <c r="C101" s="430" t="s">
        <v>4104</v>
      </c>
      <c r="D101" s="431" t="s">
        <v>495</v>
      </c>
      <c r="E101" s="432">
        <v>44048.0</v>
      </c>
      <c r="F101" s="430" t="s">
        <v>545</v>
      </c>
      <c r="G101" s="403">
        <v>2.0</v>
      </c>
      <c r="H101" s="428">
        <v>20.0</v>
      </c>
      <c r="I101" s="403">
        <v>40.0</v>
      </c>
      <c r="J101" s="391">
        <f t="shared" si="3"/>
        <v>0.005895845448</v>
      </c>
      <c r="K101" s="392">
        <f t="shared" si="4"/>
        <v>2.358338179</v>
      </c>
      <c r="L101" s="327">
        <f t="shared" si="5"/>
        <v>4.34354203</v>
      </c>
      <c r="M101" s="429" t="s">
        <v>146</v>
      </c>
      <c r="N101" s="420">
        <f>IFERROR(__xludf.DUMMYFUNCTION("""COMPUTED_VALUE"""),1.0)</f>
        <v>1</v>
      </c>
      <c r="O101" s="420"/>
      <c r="P101" s="420"/>
      <c r="Q101" s="420"/>
      <c r="R101" s="420"/>
      <c r="S101" s="420"/>
      <c r="T101" s="420"/>
      <c r="U101" s="420"/>
      <c r="V101" s="420"/>
      <c r="W101" s="420"/>
      <c r="X101" s="420"/>
    </row>
    <row r="102">
      <c r="A102" s="429" t="s">
        <v>146</v>
      </c>
      <c r="B102" s="429" t="s">
        <v>18</v>
      </c>
      <c r="C102" s="430" t="s">
        <v>4107</v>
      </c>
      <c r="D102" s="431" t="s">
        <v>495</v>
      </c>
      <c r="E102" s="432">
        <v>44049.0</v>
      </c>
      <c r="F102" s="430" t="s">
        <v>499</v>
      </c>
      <c r="G102" s="403">
        <v>2.0</v>
      </c>
      <c r="H102" s="428">
        <v>20.0</v>
      </c>
      <c r="I102" s="403">
        <v>30.0</v>
      </c>
      <c r="J102" s="391">
        <f t="shared" si="3"/>
        <v>0.004963009627</v>
      </c>
      <c r="K102" s="392">
        <f t="shared" si="4"/>
        <v>1.985203851</v>
      </c>
      <c r="L102" s="327">
        <f t="shared" si="5"/>
        <v>4.34354203</v>
      </c>
      <c r="M102" s="429" t="s">
        <v>146</v>
      </c>
      <c r="N102" s="420">
        <f>IFERROR(__xludf.DUMMYFUNCTION("""COMPUTED_VALUE"""),2.0)</f>
        <v>2</v>
      </c>
      <c r="O102" s="420"/>
      <c r="P102" s="420"/>
      <c r="Q102" s="420"/>
      <c r="R102" s="420"/>
      <c r="S102" s="420"/>
      <c r="T102" s="420"/>
      <c r="U102" s="420"/>
      <c r="V102" s="420"/>
      <c r="W102" s="420"/>
      <c r="X102" s="420"/>
    </row>
    <row r="103">
      <c r="A103" s="429" t="s">
        <v>77</v>
      </c>
      <c r="B103" s="429" t="s">
        <v>18</v>
      </c>
      <c r="C103" s="430" t="s">
        <v>4106</v>
      </c>
      <c r="D103" s="431" t="s">
        <v>495</v>
      </c>
      <c r="E103" s="432">
        <v>44048.0</v>
      </c>
      <c r="F103" s="430" t="s">
        <v>499</v>
      </c>
      <c r="G103" s="403">
        <v>1.0</v>
      </c>
      <c r="H103" s="428">
        <v>50.0</v>
      </c>
      <c r="I103" s="403">
        <v>50.0</v>
      </c>
      <c r="J103" s="391">
        <f t="shared" si="3"/>
        <v>0.01007543452</v>
      </c>
      <c r="K103" s="392">
        <f t="shared" si="4"/>
        <v>4.030173806</v>
      </c>
      <c r="L103" s="327">
        <f t="shared" si="5"/>
        <v>4.030173806</v>
      </c>
      <c r="M103" s="429" t="s">
        <v>77</v>
      </c>
      <c r="N103" s="420">
        <f>IFERROR(__xludf.DUMMYFUNCTION("""COMPUTED_VALUE"""),1.0)</f>
        <v>1</v>
      </c>
      <c r="O103" s="420"/>
      <c r="P103" s="420"/>
      <c r="Q103" s="420"/>
      <c r="R103" s="420"/>
      <c r="S103" s="420"/>
      <c r="T103" s="420"/>
      <c r="U103" s="420"/>
      <c r="V103" s="420"/>
      <c r="W103" s="420"/>
      <c r="X103" s="420"/>
    </row>
    <row r="104">
      <c r="A104" s="429" t="s">
        <v>77</v>
      </c>
      <c r="B104" s="429" t="s">
        <v>18</v>
      </c>
      <c r="C104" s="430" t="s">
        <v>4129</v>
      </c>
      <c r="D104" s="431" t="s">
        <v>495</v>
      </c>
      <c r="E104" s="433">
        <v>44063.0</v>
      </c>
      <c r="F104" s="430" t="s">
        <v>499</v>
      </c>
      <c r="G104" s="403">
        <v>4.0</v>
      </c>
      <c r="H104" s="428">
        <v>0.0</v>
      </c>
      <c r="I104" s="403">
        <v>0.0</v>
      </c>
      <c r="J104" s="391">
        <f t="shared" si="3"/>
        <v>0</v>
      </c>
      <c r="K104" s="392">
        <f t="shared" si="4"/>
        <v>0</v>
      </c>
      <c r="L104" s="327">
        <f t="shared" si="5"/>
        <v>4.030173806</v>
      </c>
      <c r="M104" s="429" t="s">
        <v>77</v>
      </c>
      <c r="N104" s="420">
        <f>IFERROR(__xludf.DUMMYFUNCTION("""COMPUTED_VALUE"""),2.0)</f>
        <v>2</v>
      </c>
      <c r="O104" s="420"/>
      <c r="P104" s="420"/>
      <c r="Q104" s="420"/>
      <c r="R104" s="420"/>
      <c r="S104" s="420"/>
      <c r="T104" s="420"/>
      <c r="U104" s="420"/>
      <c r="V104" s="420"/>
      <c r="W104" s="420"/>
      <c r="X104" s="420"/>
    </row>
    <row r="105">
      <c r="A105" s="429" t="s">
        <v>77</v>
      </c>
      <c r="B105" s="429" t="s">
        <v>29</v>
      </c>
      <c r="C105" s="430" t="s">
        <v>4133</v>
      </c>
      <c r="D105" s="431" t="s">
        <v>495</v>
      </c>
      <c r="E105" s="433">
        <v>44063.0</v>
      </c>
      <c r="F105" s="430" t="s">
        <v>499</v>
      </c>
      <c r="G105" s="403">
        <v>4.0</v>
      </c>
      <c r="H105" s="428">
        <v>0.0</v>
      </c>
      <c r="I105" s="403">
        <v>0.0</v>
      </c>
      <c r="J105" s="391">
        <f t="shared" si="3"/>
        <v>0</v>
      </c>
      <c r="K105" s="392">
        <f t="shared" si="4"/>
        <v>0</v>
      </c>
      <c r="L105" s="327">
        <f t="shared" si="5"/>
        <v>4.030173806</v>
      </c>
      <c r="M105" s="429" t="s">
        <v>77</v>
      </c>
      <c r="N105" s="420">
        <f>IFERROR(__xludf.DUMMYFUNCTION("""COMPUTED_VALUE"""),3.0)</f>
        <v>3</v>
      </c>
      <c r="O105" s="420"/>
      <c r="P105" s="420"/>
      <c r="Q105" s="420"/>
      <c r="R105" s="420"/>
      <c r="S105" s="420"/>
      <c r="T105" s="420"/>
      <c r="U105" s="420"/>
      <c r="V105" s="420"/>
      <c r="W105" s="420"/>
      <c r="X105" s="420"/>
    </row>
    <row r="106">
      <c r="A106" s="429" t="s">
        <v>77</v>
      </c>
      <c r="B106" s="429" t="s">
        <v>519</v>
      </c>
      <c r="C106" s="430" t="s">
        <v>4136</v>
      </c>
      <c r="D106" s="431" t="s">
        <v>495</v>
      </c>
      <c r="E106" s="433">
        <v>44070.0</v>
      </c>
      <c r="F106" s="430" t="s">
        <v>499</v>
      </c>
      <c r="G106" s="403">
        <v>4.0</v>
      </c>
      <c r="H106" s="428">
        <v>0.0</v>
      </c>
      <c r="I106" s="403">
        <v>0.0</v>
      </c>
      <c r="J106" s="391">
        <f t="shared" si="3"/>
        <v>0</v>
      </c>
      <c r="K106" s="392">
        <f t="shared" si="4"/>
        <v>0</v>
      </c>
      <c r="L106" s="327">
        <f t="shared" si="5"/>
        <v>4.030173806</v>
      </c>
      <c r="M106" s="429" t="s">
        <v>77</v>
      </c>
      <c r="N106" s="420">
        <f>IFERROR(__xludf.DUMMYFUNCTION("""COMPUTED_VALUE"""),4.0)</f>
        <v>4</v>
      </c>
      <c r="O106" s="420"/>
      <c r="P106" s="420"/>
      <c r="Q106" s="420"/>
      <c r="R106" s="420"/>
      <c r="S106" s="420"/>
      <c r="T106" s="420"/>
      <c r="U106" s="420"/>
      <c r="V106" s="420"/>
      <c r="W106" s="420"/>
      <c r="X106" s="420"/>
    </row>
    <row r="107">
      <c r="A107" s="429" t="s">
        <v>88</v>
      </c>
      <c r="B107" s="429" t="s">
        <v>18</v>
      </c>
      <c r="C107" s="430" t="s">
        <v>4106</v>
      </c>
      <c r="D107" s="431" t="s">
        <v>495</v>
      </c>
      <c r="E107" s="432">
        <v>44048.0</v>
      </c>
      <c r="F107" s="430" t="s">
        <v>499</v>
      </c>
      <c r="G107" s="403">
        <v>1.0</v>
      </c>
      <c r="H107" s="428">
        <v>50.0</v>
      </c>
      <c r="I107" s="403">
        <v>50.0</v>
      </c>
      <c r="J107" s="391">
        <f t="shared" si="3"/>
        <v>0.01007543452</v>
      </c>
      <c r="K107" s="392">
        <f t="shared" si="4"/>
        <v>4.030173806</v>
      </c>
      <c r="L107" s="327">
        <f t="shared" si="5"/>
        <v>4.030173806</v>
      </c>
      <c r="M107" s="429" t="s">
        <v>88</v>
      </c>
      <c r="N107" s="420">
        <f>IFERROR(__xludf.DUMMYFUNCTION("""COMPUTED_VALUE"""),1.0)</f>
        <v>1</v>
      </c>
      <c r="O107" s="420"/>
      <c r="P107" s="420"/>
      <c r="Q107" s="420"/>
      <c r="R107" s="420"/>
      <c r="S107" s="420"/>
      <c r="T107" s="420"/>
      <c r="U107" s="420"/>
      <c r="V107" s="420"/>
      <c r="W107" s="420"/>
      <c r="X107" s="420"/>
    </row>
    <row r="108">
      <c r="A108" s="429" t="s">
        <v>37</v>
      </c>
      <c r="B108" s="429" t="s">
        <v>18</v>
      </c>
      <c r="C108" s="430" t="s">
        <v>4106</v>
      </c>
      <c r="D108" s="431" t="s">
        <v>495</v>
      </c>
      <c r="E108" s="432">
        <v>44048.0</v>
      </c>
      <c r="F108" s="430" t="s">
        <v>499</v>
      </c>
      <c r="G108" s="403">
        <v>1.0</v>
      </c>
      <c r="H108" s="428">
        <v>50.0</v>
      </c>
      <c r="I108" s="403">
        <v>50.0</v>
      </c>
      <c r="J108" s="391">
        <f t="shared" si="3"/>
        <v>0.01007543452</v>
      </c>
      <c r="K108" s="392">
        <f t="shared" si="4"/>
        <v>4.030173806</v>
      </c>
      <c r="L108" s="327">
        <f t="shared" si="5"/>
        <v>4.030173806</v>
      </c>
      <c r="M108" s="429" t="s">
        <v>37</v>
      </c>
      <c r="N108" s="420">
        <f>IFERROR(__xludf.DUMMYFUNCTION("""COMPUTED_VALUE"""),1.0)</f>
        <v>1</v>
      </c>
      <c r="O108" s="420"/>
      <c r="P108" s="420"/>
      <c r="Q108" s="420"/>
      <c r="R108" s="420"/>
      <c r="S108" s="420"/>
      <c r="T108" s="420"/>
      <c r="U108" s="420"/>
      <c r="V108" s="420"/>
      <c r="W108" s="420"/>
      <c r="X108" s="420"/>
    </row>
    <row r="109">
      <c r="A109" s="429" t="s">
        <v>224</v>
      </c>
      <c r="B109" s="429" t="s">
        <v>519</v>
      </c>
      <c r="C109" s="430" t="s">
        <v>4104</v>
      </c>
      <c r="D109" s="431" t="s">
        <v>495</v>
      </c>
      <c r="E109" s="432">
        <v>44048.0</v>
      </c>
      <c r="F109" s="430" t="s">
        <v>545</v>
      </c>
      <c r="G109" s="403">
        <v>2.0</v>
      </c>
      <c r="H109" s="428">
        <v>20.0</v>
      </c>
      <c r="I109" s="403">
        <v>40.0</v>
      </c>
      <c r="J109" s="391">
        <f t="shared" si="3"/>
        <v>0.005895845448</v>
      </c>
      <c r="K109" s="392">
        <f t="shared" si="4"/>
        <v>2.358338179</v>
      </c>
      <c r="L109" s="327">
        <f t="shared" si="5"/>
        <v>2.358338179</v>
      </c>
      <c r="M109" s="429" t="s">
        <v>224</v>
      </c>
      <c r="N109" s="420">
        <f>IFERROR(__xludf.DUMMYFUNCTION("""COMPUTED_VALUE"""),1.0)</f>
        <v>1</v>
      </c>
      <c r="O109" s="420"/>
      <c r="P109" s="420"/>
      <c r="Q109" s="420"/>
      <c r="R109" s="420"/>
      <c r="S109" s="420"/>
      <c r="T109" s="420"/>
      <c r="U109" s="420"/>
      <c r="V109" s="420"/>
      <c r="W109" s="420"/>
      <c r="X109" s="420"/>
    </row>
    <row r="110">
      <c r="A110" s="429" t="s">
        <v>180</v>
      </c>
      <c r="B110" s="429" t="s">
        <v>519</v>
      </c>
      <c r="C110" s="430" t="s">
        <v>4134</v>
      </c>
      <c r="D110" s="431" t="s">
        <v>495</v>
      </c>
      <c r="E110" s="433">
        <v>44064.0</v>
      </c>
      <c r="F110" s="430" t="s">
        <v>545</v>
      </c>
      <c r="G110" s="403">
        <v>2.0</v>
      </c>
      <c r="H110" s="428">
        <v>20.0</v>
      </c>
      <c r="I110" s="403">
        <v>30.0</v>
      </c>
      <c r="J110" s="391">
        <f t="shared" si="3"/>
        <v>0.004963009627</v>
      </c>
      <c r="K110" s="392">
        <f t="shared" si="4"/>
        <v>1.985203851</v>
      </c>
      <c r="L110" s="327">
        <f t="shared" si="5"/>
        <v>1.985203851</v>
      </c>
      <c r="M110" s="429" t="s">
        <v>180</v>
      </c>
      <c r="N110" s="420">
        <f>IFERROR(__xludf.DUMMYFUNCTION("""COMPUTED_VALUE"""),1.0)</f>
        <v>1</v>
      </c>
      <c r="O110" s="420"/>
      <c r="P110" s="420"/>
      <c r="Q110" s="420"/>
      <c r="R110" s="420"/>
      <c r="S110" s="420"/>
      <c r="T110" s="420"/>
      <c r="U110" s="420"/>
      <c r="V110" s="420"/>
      <c r="W110" s="420"/>
      <c r="X110" s="420"/>
    </row>
    <row r="111">
      <c r="A111" s="429" t="s">
        <v>180</v>
      </c>
      <c r="B111" s="429" t="s">
        <v>519</v>
      </c>
      <c r="C111" s="430" t="s">
        <v>4136</v>
      </c>
      <c r="D111" s="431" t="s">
        <v>495</v>
      </c>
      <c r="E111" s="433">
        <v>44070.0</v>
      </c>
      <c r="F111" s="430" t="s">
        <v>499</v>
      </c>
      <c r="G111" s="403">
        <v>4.0</v>
      </c>
      <c r="H111" s="428">
        <v>0.0</v>
      </c>
      <c r="I111" s="403">
        <v>0.0</v>
      </c>
      <c r="J111" s="391">
        <f t="shared" si="3"/>
        <v>0</v>
      </c>
      <c r="K111" s="392">
        <f t="shared" si="4"/>
        <v>0</v>
      </c>
      <c r="L111" s="327">
        <f t="shared" si="5"/>
        <v>1.985203851</v>
      </c>
      <c r="M111" s="429" t="s">
        <v>180</v>
      </c>
      <c r="N111" s="420">
        <f>IFERROR(__xludf.DUMMYFUNCTION("""COMPUTED_VALUE"""),2.0)</f>
        <v>2</v>
      </c>
      <c r="O111" s="420"/>
      <c r="P111" s="420"/>
      <c r="Q111" s="420"/>
      <c r="R111" s="420"/>
      <c r="S111" s="420"/>
      <c r="T111" s="420"/>
      <c r="U111" s="420"/>
      <c r="V111" s="420"/>
      <c r="W111" s="420"/>
      <c r="X111" s="420"/>
    </row>
    <row r="112">
      <c r="A112" s="429" t="s">
        <v>127</v>
      </c>
      <c r="B112" s="429" t="s">
        <v>519</v>
      </c>
      <c r="C112" s="430" t="s">
        <v>4120</v>
      </c>
      <c r="D112" s="431" t="s">
        <v>495</v>
      </c>
      <c r="E112" s="433">
        <v>44070.0</v>
      </c>
      <c r="F112" s="430" t="s">
        <v>545</v>
      </c>
      <c r="G112" s="403">
        <v>2.0</v>
      </c>
      <c r="H112" s="428">
        <v>20.0</v>
      </c>
      <c r="I112" s="403">
        <v>30.0</v>
      </c>
      <c r="J112" s="391">
        <f t="shared" si="3"/>
        <v>0.004963009627</v>
      </c>
      <c r="K112" s="392">
        <f t="shared" si="4"/>
        <v>1.985203851</v>
      </c>
      <c r="L112" s="327">
        <f t="shared" si="5"/>
        <v>1.985203851</v>
      </c>
      <c r="M112" s="429" t="s">
        <v>127</v>
      </c>
      <c r="N112" s="420">
        <f>IFERROR(__xludf.DUMMYFUNCTION("""COMPUTED_VALUE"""),1.0)</f>
        <v>1</v>
      </c>
      <c r="O112" s="420"/>
      <c r="P112" s="420"/>
      <c r="Q112" s="420"/>
      <c r="R112" s="420"/>
      <c r="S112" s="420"/>
      <c r="T112" s="420"/>
      <c r="U112" s="420"/>
      <c r="V112" s="420"/>
      <c r="W112" s="420"/>
      <c r="X112" s="420"/>
    </row>
    <row r="113">
      <c r="A113" s="429" t="s">
        <v>84</v>
      </c>
      <c r="B113" s="429" t="s">
        <v>519</v>
      </c>
      <c r="C113" s="430" t="s">
        <v>4117</v>
      </c>
      <c r="D113" s="431" t="s">
        <v>495</v>
      </c>
      <c r="E113" s="433">
        <v>44063.0</v>
      </c>
      <c r="F113" s="430" t="s">
        <v>499</v>
      </c>
      <c r="G113" s="403">
        <v>3.0</v>
      </c>
      <c r="H113" s="428">
        <v>10.0</v>
      </c>
      <c r="I113" s="403">
        <v>10.0</v>
      </c>
      <c r="J113" s="391">
        <f t="shared" si="3"/>
        <v>0.002015086903</v>
      </c>
      <c r="K113" s="392">
        <f t="shared" si="4"/>
        <v>0.8060347613</v>
      </c>
      <c r="L113" s="327">
        <f t="shared" si="5"/>
        <v>1.985203851</v>
      </c>
      <c r="M113" s="429" t="s">
        <v>84</v>
      </c>
      <c r="N113" s="420">
        <f>IFERROR(__xludf.DUMMYFUNCTION("""COMPUTED_VALUE"""),1.0)</f>
        <v>1</v>
      </c>
      <c r="O113" s="420"/>
      <c r="P113" s="420"/>
      <c r="Q113" s="420"/>
      <c r="R113" s="420"/>
      <c r="S113" s="420"/>
      <c r="T113" s="420"/>
      <c r="U113" s="420"/>
      <c r="V113" s="420"/>
      <c r="W113" s="420"/>
      <c r="X113" s="420"/>
    </row>
    <row r="114">
      <c r="A114" s="429" t="s">
        <v>84</v>
      </c>
      <c r="B114" s="429" t="s">
        <v>519</v>
      </c>
      <c r="C114" s="430" t="s">
        <v>4136</v>
      </c>
      <c r="D114" s="431" t="s">
        <v>495</v>
      </c>
      <c r="E114" s="433">
        <v>44070.0</v>
      </c>
      <c r="F114" s="430" t="s">
        <v>499</v>
      </c>
      <c r="G114" s="403">
        <v>4.0</v>
      </c>
      <c r="H114" s="428">
        <v>0.0</v>
      </c>
      <c r="I114" s="403">
        <v>0.0</v>
      </c>
      <c r="J114" s="391">
        <f t="shared" si="3"/>
        <v>0</v>
      </c>
      <c r="K114" s="392">
        <f t="shared" si="4"/>
        <v>0</v>
      </c>
      <c r="L114" s="327">
        <f t="shared" si="5"/>
        <v>1.985203851</v>
      </c>
      <c r="M114" s="429" t="s">
        <v>84</v>
      </c>
      <c r="N114" s="420">
        <f>IFERROR(__xludf.DUMMYFUNCTION("""COMPUTED_VALUE"""),2.0)</f>
        <v>2</v>
      </c>
      <c r="O114" s="420"/>
      <c r="P114" s="420"/>
      <c r="Q114" s="420"/>
      <c r="R114" s="420"/>
      <c r="S114" s="420"/>
      <c r="T114" s="420"/>
      <c r="U114" s="420"/>
      <c r="V114" s="420"/>
      <c r="W114" s="420"/>
      <c r="X114" s="420"/>
    </row>
    <row r="115">
      <c r="A115" s="429" t="s">
        <v>84</v>
      </c>
      <c r="B115" s="429" t="s">
        <v>18</v>
      </c>
      <c r="C115" s="430" t="s">
        <v>4147</v>
      </c>
      <c r="D115" s="431" t="s">
        <v>495</v>
      </c>
      <c r="E115" s="433">
        <v>44070.0</v>
      </c>
      <c r="F115" s="430" t="s">
        <v>499</v>
      </c>
      <c r="G115" s="403">
        <v>3.0</v>
      </c>
      <c r="H115" s="428">
        <v>10.0</v>
      </c>
      <c r="I115" s="403">
        <v>20.0</v>
      </c>
      <c r="J115" s="391">
        <f t="shared" si="3"/>
        <v>0.002947922724</v>
      </c>
      <c r="K115" s="392">
        <f t="shared" si="4"/>
        <v>1.17916909</v>
      </c>
      <c r="L115" s="327">
        <f t="shared" si="5"/>
        <v>1.985203851</v>
      </c>
      <c r="M115" s="429" t="s">
        <v>84</v>
      </c>
      <c r="N115" s="420">
        <f>IFERROR(__xludf.DUMMYFUNCTION("""COMPUTED_VALUE"""),3.0)</f>
        <v>3</v>
      </c>
      <c r="O115" s="420"/>
      <c r="P115" s="420"/>
      <c r="Q115" s="420"/>
      <c r="R115" s="420"/>
      <c r="S115" s="420"/>
      <c r="T115" s="420"/>
      <c r="U115" s="420"/>
      <c r="V115" s="420"/>
      <c r="W115" s="420"/>
      <c r="X115" s="420"/>
    </row>
    <row r="116">
      <c r="A116" s="429" t="s">
        <v>143</v>
      </c>
      <c r="B116" s="429" t="s">
        <v>519</v>
      </c>
      <c r="C116" s="430" t="s">
        <v>4148</v>
      </c>
      <c r="D116" s="431" t="s">
        <v>495</v>
      </c>
      <c r="E116" s="433">
        <v>44063.0</v>
      </c>
      <c r="F116" s="430" t="s">
        <v>499</v>
      </c>
      <c r="G116" s="403">
        <v>4.0</v>
      </c>
      <c r="H116" s="428">
        <v>0.0</v>
      </c>
      <c r="I116" s="403">
        <v>0.0</v>
      </c>
      <c r="J116" s="391">
        <f t="shared" si="3"/>
        <v>0</v>
      </c>
      <c r="K116" s="392">
        <f t="shared" si="4"/>
        <v>0</v>
      </c>
      <c r="L116" s="327">
        <f t="shared" si="5"/>
        <v>1.985203851</v>
      </c>
      <c r="M116" s="429" t="s">
        <v>143</v>
      </c>
      <c r="N116" s="420">
        <f>IFERROR(__xludf.DUMMYFUNCTION("""COMPUTED_VALUE"""),1.0)</f>
        <v>1</v>
      </c>
      <c r="O116" s="420"/>
      <c r="P116" s="420"/>
      <c r="Q116" s="420"/>
      <c r="R116" s="420"/>
      <c r="S116" s="420"/>
      <c r="T116" s="420"/>
      <c r="U116" s="420"/>
      <c r="V116" s="420"/>
      <c r="W116" s="420"/>
      <c r="X116" s="420"/>
    </row>
    <row r="117">
      <c r="A117" s="429" t="s">
        <v>143</v>
      </c>
      <c r="B117" s="429" t="s">
        <v>519</v>
      </c>
      <c r="C117" s="430" t="s">
        <v>4134</v>
      </c>
      <c r="D117" s="431" t="s">
        <v>495</v>
      </c>
      <c r="E117" s="433">
        <v>44064.0</v>
      </c>
      <c r="F117" s="430" t="s">
        <v>545</v>
      </c>
      <c r="G117" s="403">
        <v>2.0</v>
      </c>
      <c r="H117" s="428">
        <v>20.0</v>
      </c>
      <c r="I117" s="403">
        <v>30.0</v>
      </c>
      <c r="J117" s="391">
        <f t="shared" si="3"/>
        <v>0.004963009627</v>
      </c>
      <c r="K117" s="392">
        <f t="shared" si="4"/>
        <v>1.985203851</v>
      </c>
      <c r="L117" s="327">
        <f t="shared" si="5"/>
        <v>1.985203851</v>
      </c>
      <c r="M117" s="429" t="s">
        <v>143</v>
      </c>
      <c r="N117" s="420">
        <f>IFERROR(__xludf.DUMMYFUNCTION("""COMPUTED_VALUE"""),2.0)</f>
        <v>2</v>
      </c>
      <c r="O117" s="420"/>
      <c r="P117" s="420"/>
      <c r="Q117" s="420"/>
      <c r="R117" s="420"/>
      <c r="S117" s="420"/>
      <c r="T117" s="420"/>
      <c r="U117" s="420"/>
      <c r="V117" s="420"/>
      <c r="W117" s="420"/>
      <c r="X117" s="420"/>
    </row>
    <row r="118">
      <c r="A118" s="429" t="s">
        <v>133</v>
      </c>
      <c r="B118" s="429" t="s">
        <v>18</v>
      </c>
      <c r="C118" s="430" t="s">
        <v>4149</v>
      </c>
      <c r="D118" s="431" t="s">
        <v>495</v>
      </c>
      <c r="E118" s="433">
        <v>44058.0</v>
      </c>
      <c r="F118" s="430" t="s">
        <v>499</v>
      </c>
      <c r="G118" s="403">
        <v>2.0</v>
      </c>
      <c r="H118" s="428">
        <v>20.0</v>
      </c>
      <c r="I118" s="403">
        <v>30.0</v>
      </c>
      <c r="J118" s="391">
        <f t="shared" si="3"/>
        <v>0.004963009627</v>
      </c>
      <c r="K118" s="392">
        <f t="shared" si="4"/>
        <v>1.985203851</v>
      </c>
      <c r="L118" s="327">
        <f t="shared" si="5"/>
        <v>1.985203851</v>
      </c>
      <c r="M118" s="429" t="s">
        <v>133</v>
      </c>
      <c r="N118" s="420">
        <f>IFERROR(__xludf.DUMMYFUNCTION("""COMPUTED_VALUE"""),1.0)</f>
        <v>1</v>
      </c>
      <c r="O118" s="420"/>
      <c r="P118" s="420"/>
      <c r="Q118" s="420"/>
      <c r="R118" s="420"/>
      <c r="S118" s="420"/>
      <c r="T118" s="420"/>
      <c r="U118" s="420"/>
      <c r="V118" s="420"/>
      <c r="W118" s="420"/>
      <c r="X118" s="420"/>
    </row>
    <row r="119">
      <c r="A119" s="429" t="s">
        <v>210</v>
      </c>
      <c r="B119" s="429" t="s">
        <v>29</v>
      </c>
      <c r="C119" s="430" t="s">
        <v>4143</v>
      </c>
      <c r="D119" s="431" t="s">
        <v>495</v>
      </c>
      <c r="E119" s="433">
        <v>44071.0</v>
      </c>
      <c r="F119" s="430" t="s">
        <v>499</v>
      </c>
      <c r="G119" s="403">
        <v>3.0</v>
      </c>
      <c r="H119" s="428">
        <v>20.0</v>
      </c>
      <c r="I119" s="403">
        <v>20.0</v>
      </c>
      <c r="J119" s="391">
        <f t="shared" si="3"/>
        <v>0.004030173806</v>
      </c>
      <c r="K119" s="392">
        <f t="shared" si="4"/>
        <v>1.612069523</v>
      </c>
      <c r="L119" s="327">
        <f t="shared" si="5"/>
        <v>1.612069523</v>
      </c>
      <c r="M119" s="429" t="s">
        <v>210</v>
      </c>
      <c r="N119" s="420">
        <f>IFERROR(__xludf.DUMMYFUNCTION("""COMPUTED_VALUE"""),1.0)</f>
        <v>1</v>
      </c>
      <c r="O119" s="420"/>
      <c r="P119" s="420"/>
      <c r="Q119" s="420"/>
      <c r="R119" s="420"/>
      <c r="S119" s="420"/>
      <c r="T119" s="420"/>
      <c r="U119" s="420"/>
      <c r="V119" s="420"/>
      <c r="W119" s="420"/>
      <c r="X119" s="420"/>
    </row>
    <row r="120">
      <c r="A120" s="429" t="s">
        <v>212</v>
      </c>
      <c r="B120" s="429" t="s">
        <v>77</v>
      </c>
      <c r="C120" s="430" t="s">
        <v>4150</v>
      </c>
      <c r="D120" s="431" t="s">
        <v>495</v>
      </c>
      <c r="E120" s="432">
        <v>44050.0</v>
      </c>
      <c r="F120" s="430" t="s">
        <v>499</v>
      </c>
      <c r="G120" s="403">
        <v>4.0</v>
      </c>
      <c r="H120" s="428">
        <v>0.0</v>
      </c>
      <c r="I120" s="403">
        <v>0.0</v>
      </c>
      <c r="J120" s="391">
        <f t="shared" si="3"/>
        <v>0</v>
      </c>
      <c r="K120" s="392">
        <f t="shared" si="4"/>
        <v>0</v>
      </c>
      <c r="L120" s="327">
        <f t="shared" si="5"/>
        <v>1.612069523</v>
      </c>
      <c r="M120" s="429" t="s">
        <v>212</v>
      </c>
      <c r="N120" s="420">
        <f>IFERROR(__xludf.DUMMYFUNCTION("""COMPUTED_VALUE"""),1.0)</f>
        <v>1</v>
      </c>
      <c r="O120" s="420"/>
      <c r="P120" s="420"/>
      <c r="Q120" s="420"/>
      <c r="R120" s="420"/>
      <c r="S120" s="420"/>
      <c r="T120" s="420"/>
      <c r="U120" s="420"/>
      <c r="V120" s="420"/>
      <c r="W120" s="420"/>
      <c r="X120" s="420"/>
    </row>
    <row r="121">
      <c r="A121" s="429" t="s">
        <v>212</v>
      </c>
      <c r="B121" s="429" t="s">
        <v>77</v>
      </c>
      <c r="C121" s="430" t="s">
        <v>4113</v>
      </c>
      <c r="D121" s="431" t="s">
        <v>495</v>
      </c>
      <c r="E121" s="432">
        <v>44078.0</v>
      </c>
      <c r="F121" s="430" t="s">
        <v>499</v>
      </c>
      <c r="G121" s="403">
        <v>3.0</v>
      </c>
      <c r="H121" s="428">
        <v>10.0</v>
      </c>
      <c r="I121" s="403">
        <v>10.0</v>
      </c>
      <c r="J121" s="391">
        <f t="shared" si="3"/>
        <v>0.002015086903</v>
      </c>
      <c r="K121" s="392">
        <f t="shared" si="4"/>
        <v>0.8060347613</v>
      </c>
      <c r="L121" s="327">
        <f t="shared" si="5"/>
        <v>1.612069523</v>
      </c>
      <c r="M121" s="429" t="s">
        <v>212</v>
      </c>
      <c r="N121" s="420">
        <f>IFERROR(__xludf.DUMMYFUNCTION("""COMPUTED_VALUE"""),2.0)</f>
        <v>2</v>
      </c>
      <c r="O121" s="420"/>
      <c r="P121" s="420"/>
      <c r="Q121" s="420"/>
      <c r="R121" s="420"/>
      <c r="S121" s="420"/>
      <c r="T121" s="420"/>
      <c r="U121" s="420"/>
      <c r="V121" s="420"/>
      <c r="W121" s="420"/>
      <c r="X121" s="420"/>
    </row>
    <row r="122">
      <c r="A122" s="429" t="s">
        <v>212</v>
      </c>
      <c r="B122" s="429" t="s">
        <v>77</v>
      </c>
      <c r="C122" s="430" t="s">
        <v>4113</v>
      </c>
      <c r="D122" s="431" t="s">
        <v>495</v>
      </c>
      <c r="E122" s="432">
        <v>44078.0</v>
      </c>
      <c r="F122" s="430" t="s">
        <v>499</v>
      </c>
      <c r="G122" s="403">
        <v>3.0</v>
      </c>
      <c r="H122" s="428">
        <v>10.0</v>
      </c>
      <c r="I122" s="403">
        <v>10.0</v>
      </c>
      <c r="J122" s="391">
        <f t="shared" si="3"/>
        <v>0.002015086903</v>
      </c>
      <c r="K122" s="392">
        <f t="shared" si="4"/>
        <v>0.8060347613</v>
      </c>
      <c r="L122" s="327">
        <f t="shared" si="5"/>
        <v>1.612069523</v>
      </c>
      <c r="M122" s="429" t="s">
        <v>212</v>
      </c>
      <c r="N122" s="420">
        <f>IFERROR(__xludf.DUMMYFUNCTION("""COMPUTED_VALUE"""),3.0)</f>
        <v>3</v>
      </c>
      <c r="O122" s="420"/>
      <c r="P122" s="420"/>
      <c r="Q122" s="420"/>
      <c r="R122" s="420"/>
      <c r="S122" s="420"/>
      <c r="T122" s="420"/>
      <c r="U122" s="420"/>
      <c r="V122" s="420"/>
      <c r="W122" s="420"/>
      <c r="X122" s="420"/>
    </row>
    <row r="123">
      <c r="A123" s="429" t="s">
        <v>253</v>
      </c>
      <c r="B123" s="429" t="s">
        <v>77</v>
      </c>
      <c r="C123" s="430" t="s">
        <v>4113</v>
      </c>
      <c r="D123" s="431" t="s">
        <v>495</v>
      </c>
      <c r="E123" s="432">
        <v>44078.0</v>
      </c>
      <c r="F123" s="430" t="s">
        <v>499</v>
      </c>
      <c r="G123" s="403">
        <v>3.0</v>
      </c>
      <c r="H123" s="428">
        <v>10.0</v>
      </c>
      <c r="I123" s="403">
        <v>10.0</v>
      </c>
      <c r="J123" s="391">
        <f t="shared" si="3"/>
        <v>0.002015086903</v>
      </c>
      <c r="K123" s="392">
        <f t="shared" si="4"/>
        <v>0.8060347613</v>
      </c>
      <c r="L123" s="327">
        <f t="shared" si="5"/>
        <v>1.612069523</v>
      </c>
      <c r="M123" s="429" t="s">
        <v>253</v>
      </c>
      <c r="N123" s="420">
        <f>IFERROR(__xludf.DUMMYFUNCTION("""COMPUTED_VALUE"""),1.0)</f>
        <v>1</v>
      </c>
      <c r="O123" s="420"/>
      <c r="P123" s="420"/>
      <c r="Q123" s="420"/>
      <c r="R123" s="420"/>
      <c r="S123" s="420"/>
      <c r="T123" s="420"/>
      <c r="U123" s="420"/>
      <c r="V123" s="420"/>
      <c r="W123" s="420"/>
      <c r="X123" s="420"/>
    </row>
    <row r="124">
      <c r="A124" s="429" t="s">
        <v>253</v>
      </c>
      <c r="B124" s="429" t="s">
        <v>77</v>
      </c>
      <c r="C124" s="430" t="s">
        <v>4113</v>
      </c>
      <c r="D124" s="431" t="s">
        <v>495</v>
      </c>
      <c r="E124" s="432">
        <v>44078.0</v>
      </c>
      <c r="F124" s="430" t="s">
        <v>499</v>
      </c>
      <c r="G124" s="403">
        <v>3.0</v>
      </c>
      <c r="H124" s="428">
        <v>10.0</v>
      </c>
      <c r="I124" s="403">
        <v>10.0</v>
      </c>
      <c r="J124" s="391">
        <f t="shared" si="3"/>
        <v>0.002015086903</v>
      </c>
      <c r="K124" s="392">
        <f t="shared" si="4"/>
        <v>0.8060347613</v>
      </c>
      <c r="L124" s="327">
        <f t="shared" si="5"/>
        <v>1.612069523</v>
      </c>
      <c r="M124" s="429" t="s">
        <v>253</v>
      </c>
      <c r="N124" s="420">
        <f>IFERROR(__xludf.DUMMYFUNCTION("""COMPUTED_VALUE"""),2.0)</f>
        <v>2</v>
      </c>
      <c r="O124" s="420"/>
      <c r="P124" s="420"/>
      <c r="Q124" s="420"/>
      <c r="R124" s="420"/>
      <c r="S124" s="420"/>
      <c r="T124" s="420"/>
      <c r="U124" s="420"/>
      <c r="V124" s="420"/>
      <c r="W124" s="420"/>
      <c r="X124" s="420"/>
    </row>
    <row r="125">
      <c r="A125" s="429" t="s">
        <v>170</v>
      </c>
      <c r="B125" s="429" t="s">
        <v>519</v>
      </c>
      <c r="C125" s="430" t="s">
        <v>4117</v>
      </c>
      <c r="D125" s="431" t="s">
        <v>495</v>
      </c>
      <c r="E125" s="433">
        <v>44063.0</v>
      </c>
      <c r="F125" s="430" t="s">
        <v>499</v>
      </c>
      <c r="G125" s="403">
        <v>3.0</v>
      </c>
      <c r="H125" s="428">
        <v>20.0</v>
      </c>
      <c r="I125" s="403">
        <v>20.0</v>
      </c>
      <c r="J125" s="391">
        <f t="shared" si="3"/>
        <v>0.004030173806</v>
      </c>
      <c r="K125" s="392">
        <f t="shared" si="4"/>
        <v>1.612069523</v>
      </c>
      <c r="L125" s="327">
        <f t="shared" si="5"/>
        <v>1.612069523</v>
      </c>
      <c r="M125" s="429" t="s">
        <v>170</v>
      </c>
      <c r="N125" s="420">
        <f>IFERROR(__xludf.DUMMYFUNCTION("""COMPUTED_VALUE"""),1.0)</f>
        <v>1</v>
      </c>
      <c r="O125" s="420"/>
      <c r="P125" s="420"/>
      <c r="Q125" s="420"/>
      <c r="R125" s="420"/>
      <c r="S125" s="420"/>
      <c r="T125" s="420"/>
      <c r="U125" s="420"/>
      <c r="V125" s="420"/>
      <c r="W125" s="420"/>
      <c r="X125" s="420"/>
    </row>
    <row r="126">
      <c r="A126" s="429" t="s">
        <v>47</v>
      </c>
      <c r="B126" s="429" t="s">
        <v>519</v>
      </c>
      <c r="C126" s="430" t="s">
        <v>4151</v>
      </c>
      <c r="D126" s="431" t="s">
        <v>495</v>
      </c>
      <c r="E126" s="432">
        <v>44050.0</v>
      </c>
      <c r="F126" s="430" t="s">
        <v>499</v>
      </c>
      <c r="G126" s="403">
        <v>3.0</v>
      </c>
      <c r="H126" s="428">
        <v>10.0</v>
      </c>
      <c r="I126" s="403">
        <v>20.0</v>
      </c>
      <c r="J126" s="391">
        <f t="shared" si="3"/>
        <v>0.002947922724</v>
      </c>
      <c r="K126" s="392">
        <f t="shared" si="4"/>
        <v>1.17916909</v>
      </c>
      <c r="L126" s="327">
        <f t="shared" si="5"/>
        <v>1.17916909</v>
      </c>
      <c r="M126" s="429" t="s">
        <v>47</v>
      </c>
      <c r="N126" s="420">
        <f>IFERROR(__xludf.DUMMYFUNCTION("""COMPUTED_VALUE"""),1.0)</f>
        <v>1</v>
      </c>
      <c r="O126" s="420"/>
      <c r="P126" s="420"/>
      <c r="Q126" s="420"/>
      <c r="R126" s="420"/>
      <c r="S126" s="420"/>
      <c r="T126" s="420"/>
      <c r="U126" s="420"/>
      <c r="V126" s="420"/>
      <c r="W126" s="420"/>
      <c r="X126" s="420"/>
    </row>
    <row r="127">
      <c r="A127" s="429" t="s">
        <v>166</v>
      </c>
      <c r="B127" s="429" t="s">
        <v>29</v>
      </c>
      <c r="C127" s="430" t="s">
        <v>4152</v>
      </c>
      <c r="D127" s="431" t="s">
        <v>495</v>
      </c>
      <c r="E127" s="432">
        <v>44048.0</v>
      </c>
      <c r="F127" s="430" t="s">
        <v>499</v>
      </c>
      <c r="G127" s="403">
        <v>3.0</v>
      </c>
      <c r="H127" s="428">
        <v>10.0</v>
      </c>
      <c r="I127" s="403">
        <v>20.0</v>
      </c>
      <c r="J127" s="391">
        <f t="shared" si="3"/>
        <v>0.002947922724</v>
      </c>
      <c r="K127" s="392">
        <f t="shared" si="4"/>
        <v>1.17916909</v>
      </c>
      <c r="L127" s="327">
        <f t="shared" si="5"/>
        <v>1.17916909</v>
      </c>
      <c r="M127" s="429" t="s">
        <v>166</v>
      </c>
      <c r="N127" s="420">
        <f>IFERROR(__xludf.DUMMYFUNCTION("""COMPUTED_VALUE"""),1.0)</f>
        <v>1</v>
      </c>
      <c r="O127" s="420"/>
      <c r="P127" s="420"/>
      <c r="Q127" s="420"/>
      <c r="R127" s="420"/>
      <c r="S127" s="420"/>
      <c r="T127" s="420"/>
      <c r="U127" s="420"/>
      <c r="V127" s="420"/>
      <c r="W127" s="420"/>
      <c r="X127" s="420"/>
    </row>
    <row r="128">
      <c r="A128" s="429" t="s">
        <v>89</v>
      </c>
      <c r="B128" s="429" t="s">
        <v>519</v>
      </c>
      <c r="C128" s="430" t="s">
        <v>4151</v>
      </c>
      <c r="D128" s="431" t="s">
        <v>495</v>
      </c>
      <c r="E128" s="432">
        <v>44050.0</v>
      </c>
      <c r="F128" s="430" t="s">
        <v>499</v>
      </c>
      <c r="G128" s="403">
        <v>3.0</v>
      </c>
      <c r="H128" s="428">
        <v>10.0</v>
      </c>
      <c r="I128" s="403">
        <v>20.0</v>
      </c>
      <c r="J128" s="391">
        <f t="shared" si="3"/>
        <v>0.002947922724</v>
      </c>
      <c r="K128" s="392">
        <f t="shared" si="4"/>
        <v>1.17916909</v>
      </c>
      <c r="L128" s="327">
        <f t="shared" si="5"/>
        <v>1.17916909</v>
      </c>
      <c r="M128" s="429" t="s">
        <v>89</v>
      </c>
      <c r="N128" s="420">
        <f>IFERROR(__xludf.DUMMYFUNCTION("""COMPUTED_VALUE"""),1.0)</f>
        <v>1</v>
      </c>
      <c r="O128" s="420"/>
      <c r="P128" s="420"/>
      <c r="Q128" s="420"/>
      <c r="R128" s="420"/>
      <c r="S128" s="420"/>
      <c r="T128" s="420"/>
      <c r="U128" s="420"/>
      <c r="V128" s="420"/>
      <c r="W128" s="420"/>
      <c r="X128" s="420"/>
    </row>
    <row r="129">
      <c r="A129" s="429" t="s">
        <v>18</v>
      </c>
      <c r="B129" s="429" t="s">
        <v>519</v>
      </c>
      <c r="C129" s="430" t="s">
        <v>4134</v>
      </c>
      <c r="D129" s="431" t="s">
        <v>495</v>
      </c>
      <c r="E129" s="433">
        <v>44064.0</v>
      </c>
      <c r="F129" s="430" t="s">
        <v>545</v>
      </c>
      <c r="G129" s="403">
        <v>2.0</v>
      </c>
      <c r="H129" s="428">
        <v>0.0</v>
      </c>
      <c r="I129" s="403">
        <v>0.0</v>
      </c>
      <c r="J129" s="391">
        <f t="shared" si="3"/>
        <v>0</v>
      </c>
      <c r="K129" s="392">
        <f t="shared" si="4"/>
        <v>0</v>
      </c>
      <c r="L129" s="327">
        <f t="shared" si="5"/>
        <v>0</v>
      </c>
      <c r="M129" s="429" t="s">
        <v>18</v>
      </c>
      <c r="N129" s="420">
        <f>IFERROR(__xludf.DUMMYFUNCTION("""COMPUTED_VALUE"""),1.0)</f>
        <v>1</v>
      </c>
      <c r="O129" s="420"/>
      <c r="P129" s="420"/>
      <c r="Q129" s="420"/>
      <c r="R129" s="420"/>
      <c r="S129" s="420"/>
      <c r="T129" s="420"/>
      <c r="U129" s="420"/>
      <c r="V129" s="420"/>
      <c r="W129" s="420"/>
      <c r="X129" s="420"/>
    </row>
    <row r="130">
      <c r="A130" s="429" t="s">
        <v>18</v>
      </c>
      <c r="B130" s="429" t="s">
        <v>519</v>
      </c>
      <c r="C130" s="430" t="s">
        <v>4153</v>
      </c>
      <c r="D130" s="431" t="s">
        <v>495</v>
      </c>
      <c r="E130" s="432">
        <v>44081.0</v>
      </c>
      <c r="F130" s="430" t="s">
        <v>545</v>
      </c>
      <c r="G130" s="403">
        <v>1.0</v>
      </c>
      <c r="H130" s="428">
        <v>0.0</v>
      </c>
      <c r="I130" s="403">
        <v>0.0</v>
      </c>
      <c r="J130" s="391">
        <f t="shared" si="3"/>
        <v>0</v>
      </c>
      <c r="K130" s="392">
        <f t="shared" si="4"/>
        <v>0</v>
      </c>
      <c r="L130" s="327">
        <f t="shared" si="5"/>
        <v>0</v>
      </c>
      <c r="M130" s="429" t="s">
        <v>18</v>
      </c>
      <c r="N130" s="420">
        <f>IFERROR(__xludf.DUMMYFUNCTION("""COMPUTED_VALUE"""),2.0)</f>
        <v>2</v>
      </c>
      <c r="O130" s="420"/>
      <c r="P130" s="420"/>
      <c r="Q130" s="420"/>
      <c r="R130" s="420"/>
      <c r="S130" s="420"/>
      <c r="T130" s="420"/>
      <c r="U130" s="420"/>
      <c r="V130" s="420"/>
      <c r="W130" s="420"/>
      <c r="X130" s="420"/>
    </row>
    <row r="131">
      <c r="A131" s="429" t="s">
        <v>18</v>
      </c>
      <c r="B131" s="429" t="s">
        <v>519</v>
      </c>
      <c r="C131" s="430" t="s">
        <v>4154</v>
      </c>
      <c r="D131" s="431" t="s">
        <v>495</v>
      </c>
      <c r="E131" s="433">
        <v>44069.0</v>
      </c>
      <c r="F131" s="430" t="s">
        <v>545</v>
      </c>
      <c r="G131" s="403">
        <v>4.0</v>
      </c>
      <c r="H131" s="428">
        <v>0.0</v>
      </c>
      <c r="I131" s="403">
        <v>0.0</v>
      </c>
      <c r="J131" s="391">
        <f t="shared" si="3"/>
        <v>0</v>
      </c>
      <c r="K131" s="392">
        <f t="shared" si="4"/>
        <v>0</v>
      </c>
      <c r="L131" s="327">
        <f t="shared" si="5"/>
        <v>0</v>
      </c>
      <c r="M131" s="429" t="s">
        <v>18</v>
      </c>
      <c r="N131" s="420">
        <f>IFERROR(__xludf.DUMMYFUNCTION("""COMPUTED_VALUE"""),3.0)</f>
        <v>3</v>
      </c>
      <c r="O131" s="420"/>
      <c r="P131" s="420"/>
      <c r="Q131" s="420"/>
      <c r="R131" s="420"/>
      <c r="S131" s="420"/>
      <c r="T131" s="420"/>
      <c r="U131" s="420"/>
      <c r="V131" s="420"/>
      <c r="W131" s="420"/>
      <c r="X131" s="420"/>
    </row>
    <row r="132">
      <c r="A132" s="429" t="s">
        <v>18</v>
      </c>
      <c r="B132" s="429" t="s">
        <v>590</v>
      </c>
      <c r="C132" s="430" t="s">
        <v>4155</v>
      </c>
      <c r="D132" s="431" t="s">
        <v>495</v>
      </c>
      <c r="E132" s="433">
        <v>44070.0</v>
      </c>
      <c r="F132" s="430" t="s">
        <v>499</v>
      </c>
      <c r="G132" s="403">
        <v>3.0</v>
      </c>
      <c r="H132" s="428">
        <v>0.0</v>
      </c>
      <c r="I132" s="403">
        <v>0.0</v>
      </c>
      <c r="J132" s="391">
        <f t="shared" si="3"/>
        <v>0</v>
      </c>
      <c r="K132" s="392">
        <f t="shared" si="4"/>
        <v>0</v>
      </c>
      <c r="L132" s="327">
        <f t="shared" si="5"/>
        <v>0</v>
      </c>
      <c r="M132" s="429" t="s">
        <v>18</v>
      </c>
      <c r="N132" s="420">
        <f>IFERROR(__xludf.DUMMYFUNCTION("""COMPUTED_VALUE"""),4.0)</f>
        <v>4</v>
      </c>
      <c r="O132" s="420"/>
      <c r="P132" s="420"/>
      <c r="Q132" s="420"/>
      <c r="R132" s="420"/>
      <c r="S132" s="420"/>
      <c r="T132" s="420"/>
      <c r="U132" s="420"/>
      <c r="V132" s="420"/>
      <c r="W132" s="420"/>
      <c r="X132" s="420"/>
    </row>
    <row r="133">
      <c r="A133" s="429" t="s">
        <v>18</v>
      </c>
      <c r="B133" s="429" t="s">
        <v>519</v>
      </c>
      <c r="C133" s="430" t="s">
        <v>4120</v>
      </c>
      <c r="D133" s="431" t="s">
        <v>495</v>
      </c>
      <c r="E133" s="433">
        <v>44070.0</v>
      </c>
      <c r="F133" s="430" t="s">
        <v>545</v>
      </c>
      <c r="G133" s="403">
        <v>2.0</v>
      </c>
      <c r="H133" s="428">
        <v>0.0</v>
      </c>
      <c r="I133" s="403">
        <v>0.0</v>
      </c>
      <c r="J133" s="391">
        <f t="shared" si="3"/>
        <v>0</v>
      </c>
      <c r="K133" s="392">
        <f t="shared" si="4"/>
        <v>0</v>
      </c>
      <c r="L133" s="327">
        <f t="shared" si="5"/>
        <v>0</v>
      </c>
      <c r="M133" s="429" t="s">
        <v>18</v>
      </c>
      <c r="N133" s="420">
        <f>IFERROR(__xludf.DUMMYFUNCTION("""COMPUTED_VALUE"""),5.0)</f>
        <v>5</v>
      </c>
      <c r="O133" s="420"/>
      <c r="P133" s="420"/>
      <c r="Q133" s="420"/>
      <c r="R133" s="420"/>
      <c r="S133" s="420"/>
      <c r="T133" s="420"/>
      <c r="U133" s="420"/>
      <c r="V133" s="420"/>
      <c r="W133" s="420"/>
      <c r="X133" s="420"/>
    </row>
    <row r="134">
      <c r="A134" s="429" t="s">
        <v>18</v>
      </c>
      <c r="B134" s="429" t="s">
        <v>519</v>
      </c>
      <c r="C134" s="430" t="s">
        <v>4136</v>
      </c>
      <c r="D134" s="431" t="s">
        <v>495</v>
      </c>
      <c r="E134" s="433">
        <v>44070.0</v>
      </c>
      <c r="F134" s="430" t="s">
        <v>499</v>
      </c>
      <c r="G134" s="403">
        <v>4.0</v>
      </c>
      <c r="H134" s="428">
        <v>0.0</v>
      </c>
      <c r="I134" s="403">
        <v>0.0</v>
      </c>
      <c r="J134" s="391">
        <f t="shared" si="3"/>
        <v>0</v>
      </c>
      <c r="K134" s="392">
        <f t="shared" si="4"/>
        <v>0</v>
      </c>
      <c r="L134" s="327">
        <f t="shared" si="5"/>
        <v>0</v>
      </c>
      <c r="M134" s="429" t="s">
        <v>18</v>
      </c>
      <c r="N134" s="420">
        <f>IFERROR(__xludf.DUMMYFUNCTION("""COMPUTED_VALUE"""),6.0)</f>
        <v>6</v>
      </c>
      <c r="O134" s="420"/>
      <c r="P134" s="420"/>
      <c r="Q134" s="420"/>
      <c r="R134" s="420"/>
      <c r="S134" s="420"/>
      <c r="T134" s="420"/>
      <c r="U134" s="420"/>
      <c r="V134" s="420"/>
      <c r="W134" s="420"/>
      <c r="X134" s="420"/>
    </row>
    <row r="135">
      <c r="A135" s="429" t="s">
        <v>18</v>
      </c>
      <c r="B135" s="429" t="s">
        <v>519</v>
      </c>
      <c r="C135" s="430" t="s">
        <v>4110</v>
      </c>
      <c r="D135" s="431" t="s">
        <v>495</v>
      </c>
      <c r="E135" s="433">
        <v>44063.0</v>
      </c>
      <c r="F135" s="430" t="s">
        <v>499</v>
      </c>
      <c r="G135" s="403">
        <v>1.0</v>
      </c>
      <c r="H135" s="428">
        <v>0.0</v>
      </c>
      <c r="I135" s="403">
        <v>0.0</v>
      </c>
      <c r="J135" s="391">
        <f t="shared" si="3"/>
        <v>0</v>
      </c>
      <c r="K135" s="392">
        <f t="shared" si="4"/>
        <v>0</v>
      </c>
      <c r="L135" s="327">
        <f t="shared" si="5"/>
        <v>0</v>
      </c>
      <c r="M135" s="429" t="s">
        <v>18</v>
      </c>
      <c r="N135" s="420">
        <f>IFERROR(__xludf.DUMMYFUNCTION("""COMPUTED_VALUE"""),7.0)</f>
        <v>7</v>
      </c>
      <c r="O135" s="420"/>
      <c r="P135" s="420"/>
      <c r="Q135" s="420"/>
      <c r="R135" s="420"/>
      <c r="S135" s="420"/>
      <c r="T135" s="420"/>
      <c r="U135" s="420"/>
      <c r="V135" s="420"/>
      <c r="W135" s="420"/>
      <c r="X135" s="420"/>
    </row>
    <row r="136">
      <c r="A136" s="429" t="s">
        <v>18</v>
      </c>
      <c r="B136" s="429" t="s">
        <v>29</v>
      </c>
      <c r="C136" s="430" t="s">
        <v>4156</v>
      </c>
      <c r="D136" s="431" t="s">
        <v>495</v>
      </c>
      <c r="E136" s="433">
        <v>44063.0</v>
      </c>
      <c r="F136" s="430" t="s">
        <v>499</v>
      </c>
      <c r="G136" s="403">
        <v>2.0</v>
      </c>
      <c r="H136" s="428">
        <v>0.0</v>
      </c>
      <c r="I136" s="403">
        <v>0.0</v>
      </c>
      <c r="J136" s="391">
        <f t="shared" si="3"/>
        <v>0</v>
      </c>
      <c r="K136" s="392">
        <f t="shared" si="4"/>
        <v>0</v>
      </c>
      <c r="L136" s="327">
        <f t="shared" si="5"/>
        <v>0</v>
      </c>
      <c r="M136" s="429" t="s">
        <v>18</v>
      </c>
      <c r="N136" s="420">
        <f>IFERROR(__xludf.DUMMYFUNCTION("""COMPUTED_VALUE"""),8.0)</f>
        <v>8</v>
      </c>
      <c r="O136" s="420"/>
      <c r="P136" s="420"/>
      <c r="Q136" s="420"/>
      <c r="R136" s="420"/>
      <c r="S136" s="420"/>
      <c r="T136" s="420"/>
      <c r="U136" s="420"/>
      <c r="V136" s="420"/>
      <c r="W136" s="420"/>
      <c r="X136" s="420"/>
    </row>
    <row r="137">
      <c r="A137" s="424" t="s">
        <v>18</v>
      </c>
      <c r="B137" s="424" t="s">
        <v>88</v>
      </c>
      <c r="C137" s="425" t="s">
        <v>4157</v>
      </c>
      <c r="D137" s="426" t="s">
        <v>495</v>
      </c>
      <c r="E137" s="427">
        <v>44034.0</v>
      </c>
      <c r="F137" s="425" t="s">
        <v>499</v>
      </c>
      <c r="G137" s="403">
        <v>2.0</v>
      </c>
      <c r="H137" s="428">
        <v>0.0</v>
      </c>
      <c r="I137" s="403">
        <v>0.0</v>
      </c>
      <c r="J137" s="391">
        <f t="shared" si="3"/>
        <v>0</v>
      </c>
      <c r="K137" s="392">
        <f t="shared" si="4"/>
        <v>0</v>
      </c>
      <c r="L137" s="327">
        <f t="shared" si="5"/>
        <v>0</v>
      </c>
      <c r="M137" s="424" t="s">
        <v>18</v>
      </c>
      <c r="N137" s="421">
        <f>IFERROR(__xludf.DUMMYFUNCTION("""COMPUTED_VALUE"""),9.0)</f>
        <v>9</v>
      </c>
      <c r="O137" s="421"/>
      <c r="P137" s="421"/>
      <c r="Q137" s="421"/>
      <c r="R137" s="421"/>
      <c r="S137" s="421"/>
      <c r="T137" s="421"/>
      <c r="U137" s="421"/>
      <c r="V137" s="421"/>
      <c r="W137" s="421"/>
      <c r="X137" s="421"/>
    </row>
    <row r="138">
      <c r="A138" s="424" t="s">
        <v>18</v>
      </c>
      <c r="B138" s="424" t="s">
        <v>29</v>
      </c>
      <c r="C138" s="425" t="s">
        <v>4127</v>
      </c>
      <c r="D138" s="426" t="s">
        <v>495</v>
      </c>
      <c r="E138" s="427">
        <v>44041.0</v>
      </c>
      <c r="F138" s="425" t="s">
        <v>499</v>
      </c>
      <c r="G138" s="403">
        <v>1.0</v>
      </c>
      <c r="H138" s="428">
        <v>0.0</v>
      </c>
      <c r="I138" s="403">
        <v>0.0</v>
      </c>
      <c r="J138" s="391">
        <f t="shared" si="3"/>
        <v>0</v>
      </c>
      <c r="K138" s="392">
        <f t="shared" si="4"/>
        <v>0</v>
      </c>
      <c r="L138" s="327">
        <f t="shared" si="5"/>
        <v>0</v>
      </c>
      <c r="M138" s="424" t="s">
        <v>18</v>
      </c>
      <c r="N138" s="421">
        <f>IFERROR(__xludf.DUMMYFUNCTION("""COMPUTED_VALUE"""),10.0)</f>
        <v>10</v>
      </c>
      <c r="O138" s="421"/>
      <c r="P138" s="421"/>
      <c r="Q138" s="421"/>
      <c r="R138" s="421"/>
      <c r="S138" s="421"/>
      <c r="T138" s="421"/>
      <c r="U138" s="421"/>
      <c r="V138" s="421"/>
      <c r="W138" s="421"/>
      <c r="X138" s="421"/>
    </row>
    <row r="139">
      <c r="A139" s="424" t="s">
        <v>18</v>
      </c>
      <c r="B139" s="424" t="s">
        <v>519</v>
      </c>
      <c r="C139" s="425" t="s">
        <v>4128</v>
      </c>
      <c r="D139" s="426" t="s">
        <v>495</v>
      </c>
      <c r="E139" s="427">
        <v>44043.0</v>
      </c>
      <c r="F139" s="425" t="s">
        <v>499</v>
      </c>
      <c r="G139" s="403">
        <v>1.0</v>
      </c>
      <c r="H139" s="428">
        <v>0.0</v>
      </c>
      <c r="I139" s="403">
        <v>0.0</v>
      </c>
      <c r="J139" s="391">
        <f t="shared" si="3"/>
        <v>0</v>
      </c>
      <c r="K139" s="392">
        <f t="shared" si="4"/>
        <v>0</v>
      </c>
      <c r="L139" s="327">
        <f t="shared" si="5"/>
        <v>0</v>
      </c>
      <c r="M139" s="424" t="s">
        <v>18</v>
      </c>
      <c r="N139" s="421">
        <f>IFERROR(__xludf.DUMMYFUNCTION("""COMPUTED_VALUE"""),11.0)</f>
        <v>11</v>
      </c>
      <c r="O139" s="421"/>
      <c r="P139" s="421"/>
      <c r="Q139" s="421"/>
      <c r="R139" s="421"/>
      <c r="S139" s="421"/>
      <c r="T139" s="421"/>
      <c r="U139" s="421"/>
      <c r="V139" s="421"/>
      <c r="W139" s="421"/>
      <c r="X139" s="421"/>
    </row>
    <row r="140">
      <c r="A140" s="424" t="s">
        <v>18</v>
      </c>
      <c r="B140" s="424" t="s">
        <v>519</v>
      </c>
      <c r="C140" s="425" t="s">
        <v>4103</v>
      </c>
      <c r="D140" s="426" t="s">
        <v>495</v>
      </c>
      <c r="E140" s="427">
        <v>44043.0</v>
      </c>
      <c r="F140" s="425" t="s">
        <v>499</v>
      </c>
      <c r="G140" s="403">
        <v>2.0</v>
      </c>
      <c r="H140" s="428">
        <v>0.0</v>
      </c>
      <c r="I140" s="403">
        <v>0.0</v>
      </c>
      <c r="J140" s="391">
        <f t="shared" si="3"/>
        <v>0</v>
      </c>
      <c r="K140" s="392">
        <f t="shared" si="4"/>
        <v>0</v>
      </c>
      <c r="L140" s="327">
        <f t="shared" si="5"/>
        <v>0</v>
      </c>
      <c r="M140" s="424" t="s">
        <v>18</v>
      </c>
      <c r="N140" s="421">
        <f>IFERROR(__xludf.DUMMYFUNCTION("""COMPUTED_VALUE"""),12.0)</f>
        <v>12</v>
      </c>
      <c r="O140" s="421"/>
      <c r="P140" s="421"/>
      <c r="Q140" s="421"/>
      <c r="R140" s="421"/>
      <c r="S140" s="421"/>
      <c r="T140" s="421"/>
      <c r="U140" s="421"/>
      <c r="V140" s="421"/>
      <c r="W140" s="421"/>
      <c r="X140" s="421"/>
    </row>
    <row r="141">
      <c r="A141" s="429" t="s">
        <v>18</v>
      </c>
      <c r="B141" s="429" t="s">
        <v>519</v>
      </c>
      <c r="C141" s="430" t="s">
        <v>4104</v>
      </c>
      <c r="D141" s="431" t="s">
        <v>495</v>
      </c>
      <c r="E141" s="432">
        <v>44048.0</v>
      </c>
      <c r="F141" s="430" t="s">
        <v>545</v>
      </c>
      <c r="G141" s="403">
        <v>2.0</v>
      </c>
      <c r="H141" s="428">
        <v>0.0</v>
      </c>
      <c r="I141" s="403">
        <v>0.0</v>
      </c>
      <c r="J141" s="391">
        <f t="shared" si="3"/>
        <v>0</v>
      </c>
      <c r="K141" s="392">
        <f t="shared" si="4"/>
        <v>0</v>
      </c>
      <c r="L141" s="327">
        <f t="shared" si="5"/>
        <v>0</v>
      </c>
      <c r="M141" s="429" t="s">
        <v>18</v>
      </c>
      <c r="N141" s="420">
        <f>IFERROR(__xludf.DUMMYFUNCTION("""COMPUTED_VALUE"""),13.0)</f>
        <v>13</v>
      </c>
      <c r="O141" s="420"/>
      <c r="P141" s="420"/>
      <c r="Q141" s="420"/>
      <c r="R141" s="420"/>
      <c r="S141" s="420"/>
      <c r="T141" s="420"/>
      <c r="U141" s="420"/>
      <c r="V141" s="420"/>
      <c r="W141" s="420"/>
      <c r="X141" s="420"/>
    </row>
    <row r="142">
      <c r="A142" s="429" t="s">
        <v>18</v>
      </c>
      <c r="B142" s="429" t="s">
        <v>519</v>
      </c>
      <c r="C142" s="430" t="s">
        <v>4158</v>
      </c>
      <c r="D142" s="431" t="s">
        <v>495</v>
      </c>
      <c r="E142" s="432">
        <v>44048.0</v>
      </c>
      <c r="F142" s="430" t="s">
        <v>545</v>
      </c>
      <c r="G142" s="403">
        <v>1.0</v>
      </c>
      <c r="H142" s="428">
        <v>0.0</v>
      </c>
      <c r="I142" s="403">
        <v>0.0</v>
      </c>
      <c r="J142" s="391">
        <f t="shared" si="3"/>
        <v>0</v>
      </c>
      <c r="K142" s="392">
        <f t="shared" si="4"/>
        <v>0</v>
      </c>
      <c r="L142" s="327">
        <f t="shared" si="5"/>
        <v>0</v>
      </c>
      <c r="M142" s="429" t="s">
        <v>18</v>
      </c>
      <c r="N142" s="420">
        <f>IFERROR(__xludf.DUMMYFUNCTION("""COMPUTED_VALUE"""),14.0)</f>
        <v>14</v>
      </c>
      <c r="O142" s="420"/>
      <c r="P142" s="420"/>
      <c r="Q142" s="420"/>
      <c r="R142" s="420"/>
      <c r="S142" s="420"/>
      <c r="T142" s="420"/>
      <c r="U142" s="420"/>
      <c r="V142" s="420"/>
      <c r="W142" s="420"/>
      <c r="X142" s="420"/>
    </row>
    <row r="143">
      <c r="A143" s="429" t="s">
        <v>18</v>
      </c>
      <c r="B143" s="429" t="s">
        <v>519</v>
      </c>
      <c r="C143" s="430" t="s">
        <v>4124</v>
      </c>
      <c r="D143" s="431" t="s">
        <v>495</v>
      </c>
      <c r="E143" s="433">
        <v>44058.0</v>
      </c>
      <c r="F143" s="430" t="s">
        <v>545</v>
      </c>
      <c r="G143" s="403">
        <v>1.0</v>
      </c>
      <c r="H143" s="428">
        <v>0.0</v>
      </c>
      <c r="I143" s="403">
        <v>0.0</v>
      </c>
      <c r="J143" s="391">
        <f t="shared" si="3"/>
        <v>0</v>
      </c>
      <c r="K143" s="392">
        <f t="shared" si="4"/>
        <v>0</v>
      </c>
      <c r="L143" s="327">
        <f t="shared" si="5"/>
        <v>0</v>
      </c>
      <c r="M143" s="429" t="s">
        <v>18</v>
      </c>
      <c r="N143" s="420">
        <f>IFERROR(__xludf.DUMMYFUNCTION("""COMPUTED_VALUE"""),15.0)</f>
        <v>15</v>
      </c>
      <c r="O143" s="420"/>
      <c r="P143" s="420"/>
      <c r="Q143" s="420"/>
      <c r="R143" s="420"/>
      <c r="S143" s="420"/>
      <c r="T143" s="420"/>
      <c r="U143" s="420"/>
      <c r="V143" s="420"/>
      <c r="W143" s="420"/>
      <c r="X143" s="420"/>
    </row>
    <row r="144">
      <c r="A144" s="429" t="s">
        <v>18</v>
      </c>
      <c r="B144" s="429" t="s">
        <v>519</v>
      </c>
      <c r="C144" s="430" t="s">
        <v>4108</v>
      </c>
      <c r="D144" s="431" t="s">
        <v>495</v>
      </c>
      <c r="E144" s="433">
        <v>44058.0</v>
      </c>
      <c r="F144" s="430" t="s">
        <v>545</v>
      </c>
      <c r="G144" s="403">
        <v>2.0</v>
      </c>
      <c r="H144" s="428">
        <v>0.0</v>
      </c>
      <c r="I144" s="403">
        <v>0.0</v>
      </c>
      <c r="J144" s="391">
        <f t="shared" si="3"/>
        <v>0</v>
      </c>
      <c r="K144" s="392">
        <f t="shared" si="4"/>
        <v>0</v>
      </c>
      <c r="L144" s="327">
        <f t="shared" si="5"/>
        <v>0</v>
      </c>
      <c r="M144" s="429" t="s">
        <v>18</v>
      </c>
      <c r="N144" s="420">
        <f>IFERROR(__xludf.DUMMYFUNCTION("""COMPUTED_VALUE"""),16.0)</f>
        <v>16</v>
      </c>
      <c r="O144" s="420"/>
      <c r="P144" s="420"/>
      <c r="Q144" s="420"/>
      <c r="R144" s="420"/>
      <c r="S144" s="420"/>
      <c r="T144" s="420"/>
      <c r="U144" s="420"/>
      <c r="V144" s="420"/>
      <c r="W144" s="420"/>
      <c r="X144" s="420"/>
    </row>
    <row r="145">
      <c r="A145" s="429" t="s">
        <v>18</v>
      </c>
      <c r="B145" s="429" t="s">
        <v>519</v>
      </c>
      <c r="C145" s="430" t="s">
        <v>4118</v>
      </c>
      <c r="D145" s="431" t="s">
        <v>495</v>
      </c>
      <c r="E145" s="433">
        <v>44053.0</v>
      </c>
      <c r="F145" s="430" t="s">
        <v>545</v>
      </c>
      <c r="G145" s="403">
        <v>1.0</v>
      </c>
      <c r="H145" s="428">
        <v>0.0</v>
      </c>
      <c r="I145" s="403">
        <v>0.0</v>
      </c>
      <c r="J145" s="391">
        <f t="shared" si="3"/>
        <v>0</v>
      </c>
      <c r="K145" s="392">
        <f t="shared" si="4"/>
        <v>0</v>
      </c>
      <c r="L145" s="327">
        <f t="shared" si="5"/>
        <v>0</v>
      </c>
      <c r="M145" s="429" t="s">
        <v>18</v>
      </c>
      <c r="N145" s="420">
        <f>IFERROR(__xludf.DUMMYFUNCTION("""COMPUTED_VALUE"""),17.0)</f>
        <v>17</v>
      </c>
      <c r="O145" s="420"/>
      <c r="P145" s="420"/>
      <c r="Q145" s="420"/>
      <c r="R145" s="420"/>
      <c r="S145" s="420"/>
      <c r="T145" s="420"/>
      <c r="U145" s="420"/>
      <c r="V145" s="420"/>
      <c r="W145" s="420"/>
      <c r="X145" s="420"/>
    </row>
    <row r="146">
      <c r="A146" s="429" t="s">
        <v>314</v>
      </c>
      <c r="B146" s="429" t="s">
        <v>77</v>
      </c>
      <c r="C146" s="430" t="s">
        <v>4113</v>
      </c>
      <c r="D146" s="431" t="s">
        <v>495</v>
      </c>
      <c r="E146" s="432">
        <v>44078.0</v>
      </c>
      <c r="F146" s="430" t="s">
        <v>499</v>
      </c>
      <c r="G146" s="403">
        <v>3.0</v>
      </c>
      <c r="H146" s="428">
        <v>10.0</v>
      </c>
      <c r="I146" s="403">
        <v>10.0</v>
      </c>
      <c r="J146" s="391">
        <f t="shared" si="3"/>
        <v>0.002015086903</v>
      </c>
      <c r="K146" s="392">
        <f t="shared" si="4"/>
        <v>0.8060347613</v>
      </c>
      <c r="L146" s="327">
        <f t="shared" si="5"/>
        <v>0.8060347613</v>
      </c>
      <c r="M146" s="429" t="s">
        <v>314</v>
      </c>
      <c r="N146" s="420">
        <f>IFERROR(__xludf.DUMMYFUNCTION("""COMPUTED_VALUE"""),1.0)</f>
        <v>1</v>
      </c>
      <c r="O146" s="420"/>
      <c r="P146" s="420"/>
      <c r="Q146" s="420"/>
      <c r="R146" s="420"/>
      <c r="S146" s="420"/>
      <c r="T146" s="420"/>
      <c r="U146" s="420"/>
      <c r="V146" s="420"/>
      <c r="W146" s="420"/>
      <c r="X146" s="420"/>
    </row>
    <row r="147">
      <c r="A147" s="424" t="s">
        <v>79</v>
      </c>
      <c r="B147" s="424" t="s">
        <v>519</v>
      </c>
      <c r="C147" s="425" t="s">
        <v>4159</v>
      </c>
      <c r="D147" s="426" t="s">
        <v>495</v>
      </c>
      <c r="E147" s="427">
        <v>44043.0</v>
      </c>
      <c r="F147" s="425" t="s">
        <v>499</v>
      </c>
      <c r="G147" s="403">
        <v>3.0</v>
      </c>
      <c r="H147" s="428">
        <v>10.0</v>
      </c>
      <c r="I147" s="403">
        <v>10.0</v>
      </c>
      <c r="J147" s="391">
        <f t="shared" si="3"/>
        <v>0.002015086903</v>
      </c>
      <c r="K147" s="392">
        <f t="shared" si="4"/>
        <v>0.8060347613</v>
      </c>
      <c r="L147" s="327">
        <f t="shared" si="5"/>
        <v>0.8060347613</v>
      </c>
      <c r="M147" s="424" t="s">
        <v>79</v>
      </c>
      <c r="N147" s="421">
        <f>IFERROR(__xludf.DUMMYFUNCTION("""COMPUTED_VALUE"""),1.0)</f>
        <v>1</v>
      </c>
      <c r="O147" s="421"/>
      <c r="P147" s="421"/>
      <c r="Q147" s="421"/>
      <c r="R147" s="421"/>
      <c r="S147" s="421"/>
      <c r="T147" s="421"/>
      <c r="U147" s="421"/>
      <c r="V147" s="421"/>
      <c r="W147" s="421"/>
      <c r="X147" s="421"/>
    </row>
    <row r="148">
      <c r="A148" s="429" t="s">
        <v>79</v>
      </c>
      <c r="B148" s="429" t="s">
        <v>519</v>
      </c>
      <c r="C148" s="430" t="s">
        <v>4160</v>
      </c>
      <c r="D148" s="431" t="s">
        <v>495</v>
      </c>
      <c r="E148" s="433">
        <v>44070.0</v>
      </c>
      <c r="F148" s="430" t="s">
        <v>499</v>
      </c>
      <c r="G148" s="403">
        <v>4.0</v>
      </c>
      <c r="H148" s="428">
        <v>0.0</v>
      </c>
      <c r="I148" s="403">
        <v>0.0</v>
      </c>
      <c r="J148" s="391">
        <f t="shared" si="3"/>
        <v>0</v>
      </c>
      <c r="K148" s="392">
        <f t="shared" si="4"/>
        <v>0</v>
      </c>
      <c r="L148" s="327">
        <f t="shared" si="5"/>
        <v>0.8060347613</v>
      </c>
      <c r="M148" s="429" t="s">
        <v>79</v>
      </c>
      <c r="N148" s="420">
        <f>IFERROR(__xludf.DUMMYFUNCTION("""COMPUTED_VALUE"""),2.0)</f>
        <v>2</v>
      </c>
      <c r="O148" s="420"/>
      <c r="P148" s="420"/>
      <c r="Q148" s="420"/>
      <c r="R148" s="420"/>
      <c r="S148" s="420"/>
      <c r="T148" s="420"/>
      <c r="U148" s="420"/>
      <c r="V148" s="420"/>
      <c r="W148" s="420"/>
      <c r="X148" s="420"/>
    </row>
    <row r="149">
      <c r="A149" s="429" t="s">
        <v>124</v>
      </c>
      <c r="B149" s="429" t="s">
        <v>519</v>
      </c>
      <c r="C149" s="430" t="s">
        <v>4161</v>
      </c>
      <c r="D149" s="431" t="s">
        <v>495</v>
      </c>
      <c r="E149" s="433">
        <v>44069.0</v>
      </c>
      <c r="F149" s="430" t="s">
        <v>545</v>
      </c>
      <c r="G149" s="403">
        <v>4.0</v>
      </c>
      <c r="H149" s="428">
        <v>0.0</v>
      </c>
      <c r="I149" s="403">
        <v>0.0</v>
      </c>
      <c r="J149" s="391">
        <f t="shared" si="3"/>
        <v>0</v>
      </c>
      <c r="K149" s="392">
        <f t="shared" si="4"/>
        <v>0</v>
      </c>
      <c r="L149" s="327">
        <f t="shared" si="5"/>
        <v>0.8060347613</v>
      </c>
      <c r="M149" s="429" t="s">
        <v>124</v>
      </c>
      <c r="N149" s="420">
        <f>IFERROR(__xludf.DUMMYFUNCTION("""COMPUTED_VALUE"""),1.0)</f>
        <v>1</v>
      </c>
      <c r="O149" s="420"/>
      <c r="P149" s="420"/>
      <c r="Q149" s="420"/>
      <c r="R149" s="420"/>
      <c r="S149" s="420"/>
      <c r="T149" s="420"/>
      <c r="U149" s="420"/>
      <c r="V149" s="420"/>
      <c r="W149" s="420"/>
      <c r="X149" s="420"/>
    </row>
    <row r="150">
      <c r="A150" s="429" t="s">
        <v>124</v>
      </c>
      <c r="B150" s="429" t="s">
        <v>519</v>
      </c>
      <c r="C150" s="430" t="s">
        <v>4162</v>
      </c>
      <c r="D150" s="431" t="s">
        <v>495</v>
      </c>
      <c r="E150" s="433">
        <v>44069.0</v>
      </c>
      <c r="F150" s="430" t="s">
        <v>545</v>
      </c>
      <c r="G150" s="403">
        <v>2.0</v>
      </c>
      <c r="H150" s="428">
        <v>10.0</v>
      </c>
      <c r="I150" s="403">
        <v>10.0</v>
      </c>
      <c r="J150" s="391">
        <f t="shared" si="3"/>
        <v>0.002015086903</v>
      </c>
      <c r="K150" s="392">
        <f t="shared" si="4"/>
        <v>0.8060347613</v>
      </c>
      <c r="L150" s="327">
        <f t="shared" si="5"/>
        <v>0.8060347613</v>
      </c>
      <c r="M150" s="429" t="s">
        <v>124</v>
      </c>
      <c r="N150" s="420">
        <f>IFERROR(__xludf.DUMMYFUNCTION("""COMPUTED_VALUE"""),2.0)</f>
        <v>2</v>
      </c>
      <c r="O150" s="420"/>
      <c r="P150" s="420"/>
      <c r="Q150" s="420"/>
      <c r="R150" s="420"/>
      <c r="S150" s="420"/>
      <c r="T150" s="420"/>
      <c r="U150" s="420"/>
      <c r="V150" s="420"/>
      <c r="W150" s="420"/>
      <c r="X150" s="420"/>
    </row>
    <row r="151">
      <c r="A151" s="424" t="s">
        <v>138</v>
      </c>
      <c r="B151" s="424" t="s">
        <v>519</v>
      </c>
      <c r="C151" s="425" t="s">
        <v>4159</v>
      </c>
      <c r="D151" s="426" t="s">
        <v>495</v>
      </c>
      <c r="E151" s="427">
        <v>44043.0</v>
      </c>
      <c r="F151" s="425" t="s">
        <v>499</v>
      </c>
      <c r="G151" s="403">
        <v>3.0</v>
      </c>
      <c r="H151" s="428">
        <v>10.0</v>
      </c>
      <c r="I151" s="403">
        <v>10.0</v>
      </c>
      <c r="J151" s="391">
        <f t="shared" si="3"/>
        <v>0.002015086903</v>
      </c>
      <c r="K151" s="392">
        <f t="shared" si="4"/>
        <v>0.8060347613</v>
      </c>
      <c r="L151" s="327">
        <f t="shared" si="5"/>
        <v>0.8060347613</v>
      </c>
      <c r="M151" s="424" t="s">
        <v>138</v>
      </c>
      <c r="N151" s="421">
        <f>IFERROR(__xludf.DUMMYFUNCTION("""COMPUTED_VALUE"""),1.0)</f>
        <v>1</v>
      </c>
      <c r="O151" s="421"/>
      <c r="P151" s="421"/>
      <c r="Q151" s="421"/>
      <c r="R151" s="421"/>
      <c r="S151" s="421"/>
      <c r="T151" s="421"/>
      <c r="U151" s="421"/>
      <c r="V151" s="421"/>
      <c r="W151" s="421"/>
      <c r="X151" s="421"/>
    </row>
    <row r="152">
      <c r="A152" s="429" t="s">
        <v>138</v>
      </c>
      <c r="B152" s="429" t="s">
        <v>519</v>
      </c>
      <c r="C152" s="430" t="s">
        <v>4160</v>
      </c>
      <c r="D152" s="431" t="s">
        <v>495</v>
      </c>
      <c r="E152" s="433">
        <v>44070.0</v>
      </c>
      <c r="F152" s="430" t="s">
        <v>499</v>
      </c>
      <c r="G152" s="403">
        <v>4.0</v>
      </c>
      <c r="H152" s="428">
        <v>0.0</v>
      </c>
      <c r="I152" s="403">
        <v>0.0</v>
      </c>
      <c r="J152" s="391">
        <f t="shared" si="3"/>
        <v>0</v>
      </c>
      <c r="K152" s="392">
        <f t="shared" si="4"/>
        <v>0</v>
      </c>
      <c r="L152" s="327">
        <f t="shared" si="5"/>
        <v>0.8060347613</v>
      </c>
      <c r="M152" s="429" t="s">
        <v>138</v>
      </c>
      <c r="N152" s="420">
        <f>IFERROR(__xludf.DUMMYFUNCTION("""COMPUTED_VALUE"""),2.0)</f>
        <v>2</v>
      </c>
      <c r="O152" s="420"/>
      <c r="P152" s="420"/>
      <c r="Q152" s="420"/>
      <c r="R152" s="420"/>
      <c r="S152" s="420"/>
      <c r="T152" s="420"/>
      <c r="U152" s="420"/>
      <c r="V152" s="420"/>
      <c r="W152" s="420"/>
      <c r="X152" s="420"/>
    </row>
    <row r="153">
      <c r="A153" s="429" t="s">
        <v>16</v>
      </c>
      <c r="B153" s="429" t="s">
        <v>18</v>
      </c>
      <c r="C153" s="430" t="s">
        <v>4163</v>
      </c>
      <c r="D153" s="431" t="s">
        <v>495</v>
      </c>
      <c r="E153" s="432">
        <v>44076.0</v>
      </c>
      <c r="F153" s="430" t="s">
        <v>545</v>
      </c>
      <c r="G153" s="403">
        <v>1.0</v>
      </c>
      <c r="H153" s="428">
        <v>0.0</v>
      </c>
      <c r="I153" s="403">
        <v>0.0</v>
      </c>
      <c r="J153" s="391">
        <f t="shared" si="3"/>
        <v>0</v>
      </c>
      <c r="K153" s="392">
        <f t="shared" si="4"/>
        <v>0</v>
      </c>
      <c r="L153" s="327">
        <f t="shared" si="5"/>
        <v>0</v>
      </c>
      <c r="M153" s="429" t="s">
        <v>16</v>
      </c>
      <c r="N153" s="420">
        <f>IFERROR(__xludf.DUMMYFUNCTION("""COMPUTED_VALUE"""),1.0)</f>
        <v>1</v>
      </c>
      <c r="O153" s="420"/>
      <c r="P153" s="420"/>
      <c r="Q153" s="420"/>
      <c r="R153" s="420"/>
      <c r="S153" s="420"/>
      <c r="T153" s="420"/>
      <c r="U153" s="420"/>
      <c r="V153" s="420"/>
      <c r="W153" s="420"/>
      <c r="X153" s="420"/>
    </row>
    <row r="154">
      <c r="A154" s="429" t="s">
        <v>4164</v>
      </c>
      <c r="B154" s="429" t="s">
        <v>519</v>
      </c>
      <c r="C154" s="430" t="s">
        <v>4165</v>
      </c>
      <c r="D154" s="431" t="s">
        <v>495</v>
      </c>
      <c r="E154" s="432">
        <v>44050.0</v>
      </c>
      <c r="F154" s="430" t="s">
        <v>499</v>
      </c>
      <c r="G154" s="403">
        <v>4.0</v>
      </c>
      <c r="H154" s="428">
        <v>0.0</v>
      </c>
      <c r="I154" s="403">
        <v>0.0</v>
      </c>
      <c r="J154" s="391">
        <f t="shared" si="3"/>
        <v>0</v>
      </c>
      <c r="K154" s="392">
        <f t="shared" si="4"/>
        <v>0</v>
      </c>
      <c r="L154" s="327">
        <f t="shared" si="5"/>
        <v>0</v>
      </c>
      <c r="M154" s="429" t="s">
        <v>4164</v>
      </c>
      <c r="N154" s="420">
        <f>IFERROR(__xludf.DUMMYFUNCTION("""COMPUTED_VALUE"""),1.0)</f>
        <v>1</v>
      </c>
      <c r="O154" s="420"/>
      <c r="P154" s="420"/>
      <c r="Q154" s="420"/>
      <c r="R154" s="420"/>
      <c r="S154" s="420"/>
      <c r="T154" s="420"/>
      <c r="U154" s="420"/>
      <c r="V154" s="420"/>
      <c r="W154" s="420"/>
      <c r="X154" s="420"/>
    </row>
    <row r="155">
      <c r="A155" s="429" t="s">
        <v>73</v>
      </c>
      <c r="B155" s="429" t="s">
        <v>519</v>
      </c>
      <c r="C155" s="430" t="s">
        <v>4166</v>
      </c>
      <c r="D155" s="431" t="s">
        <v>495</v>
      </c>
      <c r="E155" s="433">
        <v>44070.0</v>
      </c>
      <c r="F155" s="430" t="s">
        <v>499</v>
      </c>
      <c r="G155" s="403">
        <v>4.0</v>
      </c>
      <c r="H155" s="428">
        <v>0.0</v>
      </c>
      <c r="I155" s="403">
        <v>0.0</v>
      </c>
      <c r="J155" s="391">
        <f t="shared" si="3"/>
        <v>0</v>
      </c>
      <c r="K155" s="392">
        <f t="shared" si="4"/>
        <v>0</v>
      </c>
      <c r="L155" s="327">
        <f t="shared" si="5"/>
        <v>0</v>
      </c>
      <c r="M155" s="429" t="s">
        <v>73</v>
      </c>
      <c r="N155" s="420">
        <f>IFERROR(__xludf.DUMMYFUNCTION("""COMPUTED_VALUE"""),1.0)</f>
        <v>1</v>
      </c>
      <c r="O155" s="420"/>
      <c r="P155" s="420"/>
      <c r="Q155" s="420"/>
      <c r="R155" s="420"/>
      <c r="S155" s="420"/>
      <c r="T155" s="420"/>
      <c r="U155" s="420"/>
      <c r="V155" s="420"/>
      <c r="W155" s="420"/>
      <c r="X155" s="420"/>
    </row>
    <row r="156">
      <c r="A156" s="429" t="s">
        <v>109</v>
      </c>
      <c r="B156" s="429" t="s">
        <v>18</v>
      </c>
      <c r="C156" s="430" t="s">
        <v>4167</v>
      </c>
      <c r="D156" s="431" t="s">
        <v>495</v>
      </c>
      <c r="E156" s="433">
        <v>44063.0</v>
      </c>
      <c r="F156" s="430" t="s">
        <v>499</v>
      </c>
      <c r="G156" s="403">
        <v>4.0</v>
      </c>
      <c r="H156" s="428">
        <v>0.0</v>
      </c>
      <c r="I156" s="403">
        <v>0.0</v>
      </c>
      <c r="J156" s="391">
        <f t="shared" si="3"/>
        <v>0</v>
      </c>
      <c r="K156" s="392">
        <f t="shared" si="4"/>
        <v>0</v>
      </c>
      <c r="L156" s="327">
        <f t="shared" si="5"/>
        <v>0</v>
      </c>
      <c r="M156" s="429" t="s">
        <v>109</v>
      </c>
      <c r="N156" s="420">
        <f>IFERROR(__xludf.DUMMYFUNCTION("""COMPUTED_VALUE"""),1.0)</f>
        <v>1</v>
      </c>
      <c r="O156" s="420"/>
      <c r="P156" s="420"/>
      <c r="Q156" s="420"/>
      <c r="R156" s="420"/>
      <c r="S156" s="420"/>
      <c r="T156" s="420"/>
      <c r="U156" s="420"/>
      <c r="V156" s="420"/>
      <c r="W156" s="420"/>
      <c r="X156" s="420"/>
    </row>
    <row r="157">
      <c r="A157" s="429" t="s">
        <v>1226</v>
      </c>
      <c r="B157" s="429" t="s">
        <v>519</v>
      </c>
      <c r="C157" s="430" t="s">
        <v>4136</v>
      </c>
      <c r="D157" s="431" t="s">
        <v>495</v>
      </c>
      <c r="E157" s="433">
        <v>44070.0</v>
      </c>
      <c r="F157" s="430" t="s">
        <v>499</v>
      </c>
      <c r="G157" s="403">
        <v>4.0</v>
      </c>
      <c r="H157" s="428">
        <v>0.0</v>
      </c>
      <c r="I157" s="403">
        <v>0.0</v>
      </c>
      <c r="J157" s="391">
        <f t="shared" si="3"/>
        <v>0</v>
      </c>
      <c r="K157" s="392">
        <f t="shared" si="4"/>
        <v>0</v>
      </c>
      <c r="L157" s="327">
        <f t="shared" si="5"/>
        <v>0</v>
      </c>
      <c r="M157" s="429" t="s">
        <v>1226</v>
      </c>
      <c r="N157" s="420">
        <f>IFERROR(__xludf.DUMMYFUNCTION("""COMPUTED_VALUE"""),1.0)</f>
        <v>1</v>
      </c>
      <c r="O157" s="420"/>
      <c r="P157" s="420"/>
      <c r="Q157" s="420"/>
      <c r="R157" s="420"/>
      <c r="S157" s="420"/>
      <c r="T157" s="420"/>
      <c r="U157" s="420"/>
      <c r="V157" s="420"/>
      <c r="W157" s="420"/>
      <c r="X157" s="420"/>
    </row>
    <row r="158">
      <c r="A158" s="429" t="s">
        <v>4168</v>
      </c>
      <c r="B158" s="429" t="s">
        <v>519</v>
      </c>
      <c r="C158" s="430" t="s">
        <v>4160</v>
      </c>
      <c r="D158" s="431" t="s">
        <v>495</v>
      </c>
      <c r="E158" s="433">
        <v>44070.0</v>
      </c>
      <c r="F158" s="430" t="s">
        <v>499</v>
      </c>
      <c r="G158" s="403">
        <v>4.0</v>
      </c>
      <c r="H158" s="428">
        <v>0.0</v>
      </c>
      <c r="I158" s="403">
        <v>0.0</v>
      </c>
      <c r="J158" s="391">
        <f t="shared" si="3"/>
        <v>0</v>
      </c>
      <c r="K158" s="392">
        <f t="shared" si="4"/>
        <v>0</v>
      </c>
      <c r="L158" s="327">
        <f t="shared" si="5"/>
        <v>0</v>
      </c>
      <c r="M158" s="429" t="s">
        <v>4168</v>
      </c>
      <c r="N158" s="420">
        <f>IFERROR(__xludf.DUMMYFUNCTION("""COMPUTED_VALUE"""),1.0)</f>
        <v>1</v>
      </c>
      <c r="O158" s="420"/>
      <c r="P158" s="420"/>
      <c r="Q158" s="420"/>
      <c r="R158" s="420"/>
      <c r="S158" s="420"/>
      <c r="T158" s="420"/>
      <c r="U158" s="420"/>
      <c r="V158" s="420"/>
      <c r="W158" s="420"/>
      <c r="X158" s="420"/>
    </row>
    <row r="159">
      <c r="A159" s="429" t="s">
        <v>38</v>
      </c>
      <c r="B159" s="429" t="s">
        <v>65</v>
      </c>
      <c r="C159" s="430" t="s">
        <v>4169</v>
      </c>
      <c r="D159" s="431" t="s">
        <v>495</v>
      </c>
      <c r="E159" s="433">
        <v>44057.0</v>
      </c>
      <c r="F159" s="430" t="s">
        <v>499</v>
      </c>
      <c r="G159" s="403">
        <v>4.0</v>
      </c>
      <c r="H159" s="428">
        <v>0.0</v>
      </c>
      <c r="I159" s="403">
        <v>0.0</v>
      </c>
      <c r="J159" s="391">
        <f t="shared" si="3"/>
        <v>0</v>
      </c>
      <c r="K159" s="392">
        <f t="shared" si="4"/>
        <v>0</v>
      </c>
      <c r="L159" s="327">
        <f t="shared" si="5"/>
        <v>0</v>
      </c>
      <c r="M159" s="429" t="s">
        <v>38</v>
      </c>
      <c r="N159" s="420">
        <f>IFERROR(__xludf.DUMMYFUNCTION("""COMPUTED_VALUE"""),1.0)</f>
        <v>1</v>
      </c>
      <c r="O159" s="420"/>
      <c r="P159" s="420"/>
      <c r="Q159" s="420"/>
      <c r="R159" s="420"/>
      <c r="S159" s="420"/>
      <c r="T159" s="420"/>
      <c r="U159" s="420"/>
      <c r="V159" s="420"/>
      <c r="W159" s="420"/>
      <c r="X159" s="420"/>
    </row>
    <row r="160">
      <c r="A160" s="429" t="s">
        <v>38</v>
      </c>
      <c r="B160" s="429" t="s">
        <v>519</v>
      </c>
      <c r="C160" s="430" t="s">
        <v>4148</v>
      </c>
      <c r="D160" s="431" t="s">
        <v>495</v>
      </c>
      <c r="E160" s="433">
        <v>44063.0</v>
      </c>
      <c r="F160" s="430" t="s">
        <v>499</v>
      </c>
      <c r="G160" s="403">
        <v>4.0</v>
      </c>
      <c r="H160" s="428">
        <v>0.0</v>
      </c>
      <c r="I160" s="403">
        <v>0.0</v>
      </c>
      <c r="J160" s="391">
        <f t="shared" si="3"/>
        <v>0</v>
      </c>
      <c r="K160" s="392">
        <f t="shared" si="4"/>
        <v>0</v>
      </c>
      <c r="L160" s="327">
        <f t="shared" si="5"/>
        <v>0</v>
      </c>
      <c r="M160" s="429" t="s">
        <v>38</v>
      </c>
      <c r="N160" s="420">
        <f>IFERROR(__xludf.DUMMYFUNCTION("""COMPUTED_VALUE"""),2.0)</f>
        <v>2</v>
      </c>
      <c r="O160" s="420"/>
      <c r="P160" s="420"/>
      <c r="Q160" s="420"/>
      <c r="R160" s="420"/>
      <c r="S160" s="420"/>
      <c r="T160" s="420"/>
      <c r="U160" s="420"/>
      <c r="V160" s="420"/>
      <c r="W160" s="420"/>
      <c r="X160" s="420"/>
    </row>
    <row r="161">
      <c r="A161" s="429" t="s">
        <v>38</v>
      </c>
      <c r="B161" s="429" t="s">
        <v>519</v>
      </c>
      <c r="C161" s="430" t="s">
        <v>4135</v>
      </c>
      <c r="D161" s="431" t="s">
        <v>495</v>
      </c>
      <c r="E161" s="433">
        <v>44070.0</v>
      </c>
      <c r="F161" s="430" t="s">
        <v>499</v>
      </c>
      <c r="G161" s="403">
        <v>4.0</v>
      </c>
      <c r="H161" s="428">
        <v>0.0</v>
      </c>
      <c r="I161" s="403">
        <v>0.0</v>
      </c>
      <c r="J161" s="391">
        <f t="shared" si="3"/>
        <v>0</v>
      </c>
      <c r="K161" s="392">
        <f t="shared" si="4"/>
        <v>0</v>
      </c>
      <c r="L161" s="327">
        <f t="shared" si="5"/>
        <v>0</v>
      </c>
      <c r="M161" s="429" t="s">
        <v>38</v>
      </c>
      <c r="N161" s="420">
        <f>IFERROR(__xludf.DUMMYFUNCTION("""COMPUTED_VALUE"""),3.0)</f>
        <v>3</v>
      </c>
      <c r="O161" s="420"/>
      <c r="P161" s="420"/>
      <c r="Q161" s="420"/>
      <c r="R161" s="420"/>
      <c r="S161" s="420"/>
      <c r="T161" s="420"/>
      <c r="U161" s="420"/>
      <c r="V161" s="420"/>
      <c r="W161" s="420"/>
      <c r="X161" s="420"/>
    </row>
    <row r="162">
      <c r="A162" s="429" t="s">
        <v>38</v>
      </c>
      <c r="B162" s="429" t="s">
        <v>519</v>
      </c>
      <c r="C162" s="430" t="s">
        <v>4126</v>
      </c>
      <c r="D162" s="431" t="s">
        <v>495</v>
      </c>
      <c r="E162" s="433">
        <v>44070.0</v>
      </c>
      <c r="F162" s="430" t="s">
        <v>499</v>
      </c>
      <c r="G162" s="403">
        <v>4.0</v>
      </c>
      <c r="H162" s="428">
        <v>0.0</v>
      </c>
      <c r="I162" s="403">
        <v>0.0</v>
      </c>
      <c r="J162" s="391">
        <f t="shared" si="3"/>
        <v>0</v>
      </c>
      <c r="K162" s="392">
        <f t="shared" si="4"/>
        <v>0</v>
      </c>
      <c r="L162" s="327">
        <f t="shared" si="5"/>
        <v>0</v>
      </c>
      <c r="M162" s="429" t="s">
        <v>38</v>
      </c>
      <c r="N162" s="420">
        <f>IFERROR(__xludf.DUMMYFUNCTION("""COMPUTED_VALUE"""),4.0)</f>
        <v>4</v>
      </c>
      <c r="O162" s="420"/>
      <c r="P162" s="420"/>
      <c r="Q162" s="420"/>
      <c r="R162" s="420"/>
      <c r="S162" s="420"/>
      <c r="T162" s="420"/>
      <c r="U162" s="420"/>
      <c r="V162" s="420"/>
      <c r="W162" s="420"/>
      <c r="X162" s="420"/>
    </row>
    <row r="163">
      <c r="A163" s="429" t="s">
        <v>248</v>
      </c>
      <c r="B163" s="429" t="s">
        <v>29</v>
      </c>
      <c r="C163" s="430" t="s">
        <v>4140</v>
      </c>
      <c r="D163" s="431" t="s">
        <v>495</v>
      </c>
      <c r="E163" s="433">
        <v>44064.0</v>
      </c>
      <c r="F163" s="430" t="s">
        <v>499</v>
      </c>
      <c r="G163" s="403">
        <v>4.0</v>
      </c>
      <c r="H163" s="428">
        <v>0.0</v>
      </c>
      <c r="I163" s="403">
        <v>0.0</v>
      </c>
      <c r="J163" s="391">
        <f t="shared" si="3"/>
        <v>0</v>
      </c>
      <c r="K163" s="392">
        <f t="shared" si="4"/>
        <v>0</v>
      </c>
      <c r="L163" s="327">
        <f t="shared" si="5"/>
        <v>0</v>
      </c>
      <c r="M163" s="429" t="s">
        <v>248</v>
      </c>
      <c r="N163" s="420">
        <f>IFERROR(__xludf.DUMMYFUNCTION("""COMPUTED_VALUE"""),1.0)</f>
        <v>1</v>
      </c>
      <c r="O163" s="420"/>
      <c r="P163" s="420"/>
      <c r="Q163" s="420"/>
      <c r="R163" s="420"/>
      <c r="S163" s="420"/>
      <c r="T163" s="420"/>
      <c r="U163" s="420"/>
      <c r="V163" s="420"/>
      <c r="W163" s="420"/>
      <c r="X163" s="420"/>
    </row>
    <row r="164">
      <c r="A164" s="429" t="s">
        <v>81</v>
      </c>
      <c r="B164" s="429" t="s">
        <v>29</v>
      </c>
      <c r="C164" s="430" t="s">
        <v>4140</v>
      </c>
      <c r="D164" s="431" t="s">
        <v>495</v>
      </c>
      <c r="E164" s="433">
        <v>44064.0</v>
      </c>
      <c r="F164" s="430" t="s">
        <v>499</v>
      </c>
      <c r="G164" s="403">
        <v>4.0</v>
      </c>
      <c r="H164" s="428">
        <v>0.0</v>
      </c>
      <c r="I164" s="403">
        <v>0.0</v>
      </c>
      <c r="J164" s="391">
        <f t="shared" si="3"/>
        <v>0</v>
      </c>
      <c r="K164" s="392">
        <f t="shared" si="4"/>
        <v>0</v>
      </c>
      <c r="L164" s="327">
        <f t="shared" si="5"/>
        <v>0</v>
      </c>
      <c r="M164" s="429" t="s">
        <v>81</v>
      </c>
      <c r="N164" s="420">
        <f>IFERROR(__xludf.DUMMYFUNCTION("""COMPUTED_VALUE"""),1.0)</f>
        <v>1</v>
      </c>
      <c r="O164" s="420"/>
      <c r="P164" s="420"/>
      <c r="Q164" s="420"/>
      <c r="R164" s="420"/>
      <c r="S164" s="420"/>
      <c r="T164" s="420"/>
      <c r="U164" s="420"/>
      <c r="V164" s="420"/>
      <c r="W164" s="420"/>
      <c r="X164" s="420"/>
    </row>
    <row r="165">
      <c r="A165" s="429" t="s">
        <v>117</v>
      </c>
      <c r="B165" s="429" t="s">
        <v>18</v>
      </c>
      <c r="C165" s="430" t="s">
        <v>4170</v>
      </c>
      <c r="D165" s="431" t="s">
        <v>495</v>
      </c>
      <c r="E165" s="433">
        <v>44053.0</v>
      </c>
      <c r="F165" s="430" t="s">
        <v>499</v>
      </c>
      <c r="G165" s="403">
        <v>4.0</v>
      </c>
      <c r="H165" s="428">
        <v>0.0</v>
      </c>
      <c r="I165" s="403">
        <v>0.0</v>
      </c>
      <c r="J165" s="391">
        <f t="shared" si="3"/>
        <v>0</v>
      </c>
      <c r="K165" s="392">
        <f t="shared" si="4"/>
        <v>0</v>
      </c>
      <c r="L165" s="327">
        <f t="shared" si="5"/>
        <v>0</v>
      </c>
      <c r="M165" s="429" t="s">
        <v>117</v>
      </c>
      <c r="N165" s="420">
        <f>IFERROR(__xludf.DUMMYFUNCTION("""COMPUTED_VALUE"""),1.0)</f>
        <v>1</v>
      </c>
      <c r="O165" s="420"/>
      <c r="P165" s="420"/>
      <c r="Q165" s="420"/>
      <c r="R165" s="420"/>
      <c r="S165" s="420"/>
      <c r="T165" s="420"/>
      <c r="U165" s="420"/>
      <c r="V165" s="420"/>
      <c r="W165" s="420"/>
      <c r="X165" s="420"/>
    </row>
    <row r="166">
      <c r="A166" s="429" t="s">
        <v>117</v>
      </c>
      <c r="B166" s="429" t="s">
        <v>29</v>
      </c>
      <c r="C166" s="430" t="s">
        <v>4171</v>
      </c>
      <c r="D166" s="431" t="s">
        <v>495</v>
      </c>
      <c r="E166" s="433">
        <v>44063.0</v>
      </c>
      <c r="F166" s="430" t="s">
        <v>499</v>
      </c>
      <c r="G166" s="403">
        <v>4.0</v>
      </c>
      <c r="H166" s="428">
        <v>0.0</v>
      </c>
      <c r="I166" s="403">
        <v>0.0</v>
      </c>
      <c r="J166" s="391">
        <f t="shared" si="3"/>
        <v>0</v>
      </c>
      <c r="K166" s="392">
        <f t="shared" si="4"/>
        <v>0</v>
      </c>
      <c r="L166" s="327">
        <f t="shared" si="5"/>
        <v>0</v>
      </c>
      <c r="M166" s="429" t="s">
        <v>117</v>
      </c>
      <c r="N166" s="420">
        <f>IFERROR(__xludf.DUMMYFUNCTION("""COMPUTED_VALUE"""),2.0)</f>
        <v>2</v>
      </c>
      <c r="O166" s="420"/>
      <c r="P166" s="420"/>
      <c r="Q166" s="420"/>
      <c r="R166" s="420"/>
      <c r="S166" s="420"/>
      <c r="T166" s="420"/>
      <c r="U166" s="420"/>
      <c r="V166" s="420"/>
      <c r="W166" s="420"/>
      <c r="X166" s="420"/>
    </row>
    <row r="167">
      <c r="A167" s="429" t="s">
        <v>117</v>
      </c>
      <c r="B167" s="429" t="s">
        <v>18</v>
      </c>
      <c r="C167" s="430" t="s">
        <v>4129</v>
      </c>
      <c r="D167" s="431" t="s">
        <v>495</v>
      </c>
      <c r="E167" s="433">
        <v>44063.0</v>
      </c>
      <c r="F167" s="430" t="s">
        <v>499</v>
      </c>
      <c r="G167" s="403">
        <v>4.0</v>
      </c>
      <c r="H167" s="428">
        <v>0.0</v>
      </c>
      <c r="I167" s="403">
        <v>0.0</v>
      </c>
      <c r="J167" s="391">
        <f t="shared" si="3"/>
        <v>0</v>
      </c>
      <c r="K167" s="392">
        <f t="shared" si="4"/>
        <v>0</v>
      </c>
      <c r="L167" s="327">
        <f t="shared" si="5"/>
        <v>0</v>
      </c>
      <c r="M167" s="429" t="s">
        <v>117</v>
      </c>
      <c r="N167" s="420">
        <f>IFERROR(__xludf.DUMMYFUNCTION("""COMPUTED_VALUE"""),3.0)</f>
        <v>3</v>
      </c>
      <c r="O167" s="420"/>
      <c r="P167" s="420"/>
      <c r="Q167" s="420"/>
      <c r="R167" s="420"/>
      <c r="S167" s="420"/>
      <c r="T167" s="420"/>
      <c r="U167" s="420"/>
      <c r="V167" s="420"/>
      <c r="W167" s="420"/>
      <c r="X167" s="420"/>
    </row>
    <row r="168">
      <c r="A168" s="429" t="s">
        <v>117</v>
      </c>
      <c r="B168" s="429" t="s">
        <v>519</v>
      </c>
      <c r="C168" s="430" t="s">
        <v>4172</v>
      </c>
      <c r="D168" s="431" t="s">
        <v>495</v>
      </c>
      <c r="E168" s="433">
        <v>44070.0</v>
      </c>
      <c r="F168" s="430" t="s">
        <v>499</v>
      </c>
      <c r="G168" s="403">
        <v>4.0</v>
      </c>
      <c r="H168" s="428">
        <v>0.0</v>
      </c>
      <c r="I168" s="403">
        <v>0.0</v>
      </c>
      <c r="J168" s="391">
        <f t="shared" si="3"/>
        <v>0</v>
      </c>
      <c r="K168" s="392">
        <f t="shared" si="4"/>
        <v>0</v>
      </c>
      <c r="L168" s="327">
        <f t="shared" si="5"/>
        <v>0</v>
      </c>
      <c r="M168" s="429" t="s">
        <v>117</v>
      </c>
      <c r="N168" s="420">
        <f>IFERROR(__xludf.DUMMYFUNCTION("""COMPUTED_VALUE"""),4.0)</f>
        <v>4</v>
      </c>
      <c r="O168" s="420"/>
      <c r="P168" s="420"/>
      <c r="Q168" s="420"/>
      <c r="R168" s="420"/>
      <c r="S168" s="420"/>
      <c r="T168" s="420"/>
      <c r="U168" s="420"/>
      <c r="V168" s="420"/>
      <c r="W168" s="420"/>
      <c r="X168" s="420"/>
    </row>
    <row r="169">
      <c r="A169" s="424" t="s">
        <v>16</v>
      </c>
      <c r="B169" s="424" t="s">
        <v>29</v>
      </c>
      <c r="C169" s="425" t="s">
        <v>4127</v>
      </c>
      <c r="D169" s="426" t="s">
        <v>495</v>
      </c>
      <c r="E169" s="427">
        <v>44041.0</v>
      </c>
      <c r="F169" s="425" t="s">
        <v>499</v>
      </c>
      <c r="G169" s="403">
        <v>1.0</v>
      </c>
      <c r="H169" s="428">
        <v>0.0</v>
      </c>
      <c r="I169" s="403">
        <v>0.0</v>
      </c>
      <c r="J169" s="391">
        <f t="shared" si="3"/>
        <v>0</v>
      </c>
      <c r="K169" s="392">
        <f t="shared" si="4"/>
        <v>0</v>
      </c>
      <c r="L169" s="327">
        <f t="shared" si="5"/>
        <v>0</v>
      </c>
      <c r="M169" s="424" t="s">
        <v>16</v>
      </c>
      <c r="N169" s="421">
        <f>IFERROR(__xludf.DUMMYFUNCTION("""COMPUTED_VALUE"""),2.0)</f>
        <v>2</v>
      </c>
      <c r="O169" s="421"/>
      <c r="P169" s="421"/>
      <c r="Q169" s="421"/>
      <c r="R169" s="421"/>
      <c r="S169" s="421"/>
      <c r="T169" s="421"/>
      <c r="U169" s="421"/>
      <c r="V169" s="421"/>
      <c r="W169" s="421"/>
      <c r="X169" s="421"/>
    </row>
    <row r="170">
      <c r="A170" s="429" t="s">
        <v>16</v>
      </c>
      <c r="B170" s="429" t="s">
        <v>18</v>
      </c>
      <c r="C170" s="430" t="s">
        <v>4106</v>
      </c>
      <c r="D170" s="431" t="s">
        <v>495</v>
      </c>
      <c r="E170" s="432">
        <v>44048.0</v>
      </c>
      <c r="F170" s="430" t="s">
        <v>499</v>
      </c>
      <c r="G170" s="403">
        <v>1.0</v>
      </c>
      <c r="H170" s="428">
        <v>0.0</v>
      </c>
      <c r="I170" s="403">
        <v>0.0</v>
      </c>
      <c r="J170" s="391">
        <f t="shared" si="3"/>
        <v>0</v>
      </c>
      <c r="K170" s="392">
        <f t="shared" si="4"/>
        <v>0</v>
      </c>
      <c r="L170" s="327">
        <f t="shared" si="5"/>
        <v>0</v>
      </c>
      <c r="M170" s="429" t="s">
        <v>16</v>
      </c>
      <c r="N170" s="420">
        <f>IFERROR(__xludf.DUMMYFUNCTION("""COMPUTED_VALUE"""),3.0)</f>
        <v>3</v>
      </c>
      <c r="O170" s="420"/>
      <c r="P170" s="420"/>
      <c r="Q170" s="420"/>
      <c r="R170" s="420"/>
      <c r="S170" s="420"/>
      <c r="T170" s="420"/>
      <c r="U170" s="420"/>
      <c r="V170" s="420"/>
      <c r="W170" s="420"/>
      <c r="X170" s="420"/>
    </row>
    <row r="171">
      <c r="A171" s="429" t="s">
        <v>16</v>
      </c>
      <c r="B171" s="429" t="s">
        <v>18</v>
      </c>
      <c r="C171" s="430" t="s">
        <v>4107</v>
      </c>
      <c r="D171" s="431" t="s">
        <v>495</v>
      </c>
      <c r="E171" s="432">
        <v>44049.0</v>
      </c>
      <c r="F171" s="430" t="s">
        <v>499</v>
      </c>
      <c r="G171" s="403">
        <v>2.0</v>
      </c>
      <c r="H171" s="428">
        <v>0.0</v>
      </c>
      <c r="I171" s="403">
        <v>0.0</v>
      </c>
      <c r="J171" s="391">
        <f t="shared" si="3"/>
        <v>0</v>
      </c>
      <c r="K171" s="392">
        <f t="shared" si="4"/>
        <v>0</v>
      </c>
      <c r="L171" s="327">
        <f t="shared" si="5"/>
        <v>0</v>
      </c>
      <c r="M171" s="429" t="s">
        <v>16</v>
      </c>
      <c r="N171" s="420">
        <f>IFERROR(__xludf.DUMMYFUNCTION("""COMPUTED_VALUE"""),4.0)</f>
        <v>4</v>
      </c>
      <c r="O171" s="420"/>
      <c r="P171" s="420"/>
      <c r="Q171" s="420"/>
      <c r="R171" s="420"/>
      <c r="S171" s="420"/>
      <c r="T171" s="420"/>
      <c r="U171" s="420"/>
      <c r="V171" s="420"/>
      <c r="W171" s="420"/>
      <c r="X171" s="420"/>
    </row>
    <row r="172">
      <c r="A172" s="429" t="s">
        <v>16</v>
      </c>
      <c r="B172" s="429" t="s">
        <v>18</v>
      </c>
      <c r="C172" s="430" t="s">
        <v>4109</v>
      </c>
      <c r="D172" s="431" t="s">
        <v>495</v>
      </c>
      <c r="E172" s="433">
        <v>44063.0</v>
      </c>
      <c r="F172" s="430" t="s">
        <v>499</v>
      </c>
      <c r="G172" s="403">
        <v>2.0</v>
      </c>
      <c r="H172" s="428">
        <v>0.0</v>
      </c>
      <c r="I172" s="403">
        <v>0.0</v>
      </c>
      <c r="J172" s="391">
        <f t="shared" si="3"/>
        <v>0</v>
      </c>
      <c r="K172" s="392">
        <f t="shared" si="4"/>
        <v>0</v>
      </c>
      <c r="L172" s="327">
        <f t="shared" si="5"/>
        <v>0</v>
      </c>
      <c r="M172" s="429" t="s">
        <v>16</v>
      </c>
      <c r="N172" s="420">
        <f>IFERROR(__xludf.DUMMYFUNCTION("""COMPUTED_VALUE"""),5.0)</f>
        <v>5</v>
      </c>
      <c r="O172" s="420"/>
      <c r="P172" s="420"/>
      <c r="Q172" s="420"/>
      <c r="R172" s="420"/>
      <c r="S172" s="420"/>
      <c r="T172" s="420"/>
      <c r="U172" s="420"/>
      <c r="V172" s="420"/>
      <c r="W172" s="420"/>
      <c r="X172" s="420"/>
    </row>
    <row r="173">
      <c r="A173" s="429" t="s">
        <v>16</v>
      </c>
      <c r="B173" s="429" t="s">
        <v>18</v>
      </c>
      <c r="C173" s="430" t="s">
        <v>4129</v>
      </c>
      <c r="D173" s="431" t="s">
        <v>495</v>
      </c>
      <c r="E173" s="433">
        <v>44063.0</v>
      </c>
      <c r="F173" s="430" t="s">
        <v>499</v>
      </c>
      <c r="G173" s="403">
        <v>4.0</v>
      </c>
      <c r="H173" s="428">
        <v>0.0</v>
      </c>
      <c r="I173" s="403">
        <v>0.0</v>
      </c>
      <c r="J173" s="391">
        <f t="shared" si="3"/>
        <v>0</v>
      </c>
      <c r="K173" s="392">
        <f t="shared" si="4"/>
        <v>0</v>
      </c>
      <c r="L173" s="327">
        <f t="shared" si="5"/>
        <v>0</v>
      </c>
      <c r="M173" s="429" t="s">
        <v>16</v>
      </c>
      <c r="N173" s="420">
        <f>IFERROR(__xludf.DUMMYFUNCTION("""COMPUTED_VALUE"""),6.0)</f>
        <v>6</v>
      </c>
      <c r="O173" s="420"/>
      <c r="P173" s="420"/>
      <c r="Q173" s="420"/>
      <c r="R173" s="420"/>
      <c r="S173" s="420"/>
      <c r="T173" s="420"/>
      <c r="U173" s="420"/>
      <c r="V173" s="420"/>
      <c r="W173" s="420"/>
      <c r="X173" s="420"/>
    </row>
    <row r="174">
      <c r="A174" s="429" t="s">
        <v>16</v>
      </c>
      <c r="B174" s="429" t="s">
        <v>29</v>
      </c>
      <c r="C174" s="430" t="s">
        <v>4133</v>
      </c>
      <c r="D174" s="431" t="s">
        <v>495</v>
      </c>
      <c r="E174" s="433">
        <v>44063.0</v>
      </c>
      <c r="F174" s="430" t="s">
        <v>499</v>
      </c>
      <c r="G174" s="403">
        <v>4.0</v>
      </c>
      <c r="H174" s="428">
        <v>0.0</v>
      </c>
      <c r="I174" s="403">
        <v>0.0</v>
      </c>
      <c r="J174" s="391">
        <f t="shared" si="3"/>
        <v>0</v>
      </c>
      <c r="K174" s="392">
        <f t="shared" si="4"/>
        <v>0</v>
      </c>
      <c r="L174" s="327">
        <f t="shared" si="5"/>
        <v>0</v>
      </c>
      <c r="M174" s="429" t="s">
        <v>16</v>
      </c>
      <c r="N174" s="420">
        <f>IFERROR(__xludf.DUMMYFUNCTION("""COMPUTED_VALUE"""),7.0)</f>
        <v>7</v>
      </c>
      <c r="O174" s="420"/>
      <c r="P174" s="420"/>
      <c r="Q174" s="420"/>
      <c r="R174" s="420"/>
      <c r="S174" s="420"/>
      <c r="T174" s="420"/>
      <c r="U174" s="420"/>
      <c r="V174" s="420"/>
      <c r="W174" s="420"/>
      <c r="X174" s="420"/>
    </row>
    <row r="175">
      <c r="A175" s="429" t="s">
        <v>16</v>
      </c>
      <c r="B175" s="429" t="s">
        <v>519</v>
      </c>
      <c r="C175" s="430" t="s">
        <v>4134</v>
      </c>
      <c r="D175" s="431" t="s">
        <v>495</v>
      </c>
      <c r="E175" s="433">
        <v>44064.0</v>
      </c>
      <c r="F175" s="430" t="s">
        <v>545</v>
      </c>
      <c r="G175" s="403">
        <v>2.0</v>
      </c>
      <c r="H175" s="428">
        <v>0.0</v>
      </c>
      <c r="I175" s="403">
        <v>0.0</v>
      </c>
      <c r="J175" s="391">
        <f t="shared" si="3"/>
        <v>0</v>
      </c>
      <c r="K175" s="392">
        <f t="shared" si="4"/>
        <v>0</v>
      </c>
      <c r="L175" s="327">
        <f t="shared" si="5"/>
        <v>0</v>
      </c>
      <c r="M175" s="429" t="s">
        <v>16</v>
      </c>
      <c r="N175" s="420">
        <f>IFERROR(__xludf.DUMMYFUNCTION("""COMPUTED_VALUE"""),8.0)</f>
        <v>8</v>
      </c>
      <c r="O175" s="420"/>
      <c r="P175" s="420"/>
      <c r="Q175" s="420"/>
      <c r="R175" s="420"/>
      <c r="S175" s="420"/>
      <c r="T175" s="420"/>
      <c r="U175" s="420"/>
      <c r="V175" s="420"/>
      <c r="W175" s="420"/>
      <c r="X175" s="420"/>
    </row>
    <row r="176">
      <c r="A176" s="429" t="s">
        <v>16</v>
      </c>
      <c r="B176" s="429" t="s">
        <v>519</v>
      </c>
      <c r="C176" s="430" t="s">
        <v>4120</v>
      </c>
      <c r="D176" s="431" t="s">
        <v>495</v>
      </c>
      <c r="E176" s="433">
        <v>44070.0</v>
      </c>
      <c r="F176" s="430" t="s">
        <v>545</v>
      </c>
      <c r="G176" s="403">
        <v>2.0</v>
      </c>
      <c r="H176" s="428">
        <v>0.0</v>
      </c>
      <c r="I176" s="403">
        <v>0.0</v>
      </c>
      <c r="J176" s="391">
        <f t="shared" si="3"/>
        <v>0</v>
      </c>
      <c r="K176" s="392">
        <f t="shared" si="4"/>
        <v>0</v>
      </c>
      <c r="L176" s="327">
        <f t="shared" si="5"/>
        <v>0</v>
      </c>
      <c r="M176" s="429" t="s">
        <v>16</v>
      </c>
      <c r="N176" s="420">
        <f>IFERROR(__xludf.DUMMYFUNCTION("""COMPUTED_VALUE"""),9.0)</f>
        <v>9</v>
      </c>
      <c r="O176" s="420"/>
      <c r="P176" s="420"/>
      <c r="Q176" s="420"/>
      <c r="R176" s="420"/>
      <c r="S176" s="420"/>
      <c r="T176" s="420"/>
      <c r="U176" s="420"/>
      <c r="V176" s="420"/>
      <c r="W176" s="420"/>
      <c r="X176" s="420"/>
    </row>
    <row r="177">
      <c r="A177" s="429" t="s">
        <v>16</v>
      </c>
      <c r="B177" s="429" t="s">
        <v>590</v>
      </c>
      <c r="C177" s="430" t="s">
        <v>4173</v>
      </c>
      <c r="D177" s="431" t="s">
        <v>495</v>
      </c>
      <c r="E177" s="433">
        <v>44071.0</v>
      </c>
      <c r="F177" s="430" t="s">
        <v>499</v>
      </c>
      <c r="G177" s="403">
        <v>4.0</v>
      </c>
      <c r="H177" s="428">
        <v>0.0</v>
      </c>
      <c r="I177" s="403">
        <v>0.0</v>
      </c>
      <c r="J177" s="391">
        <f t="shared" si="3"/>
        <v>0</v>
      </c>
      <c r="K177" s="392">
        <f t="shared" si="4"/>
        <v>0</v>
      </c>
      <c r="L177" s="327">
        <f t="shared" si="5"/>
        <v>0</v>
      </c>
      <c r="M177" s="429" t="s">
        <v>16</v>
      </c>
      <c r="N177" s="420">
        <f>IFERROR(__xludf.DUMMYFUNCTION("""COMPUTED_VALUE"""),10.0)</f>
        <v>10</v>
      </c>
      <c r="O177" s="420"/>
      <c r="P177" s="420"/>
      <c r="Q177" s="420"/>
      <c r="R177" s="420"/>
      <c r="S177" s="420"/>
      <c r="T177" s="420"/>
      <c r="U177" s="420"/>
      <c r="V177" s="420"/>
      <c r="W177" s="420"/>
      <c r="X177" s="420"/>
    </row>
    <row r="178">
      <c r="A178" s="429" t="s">
        <v>16</v>
      </c>
      <c r="B178" s="429" t="s">
        <v>18</v>
      </c>
      <c r="C178" s="430" t="s">
        <v>4116</v>
      </c>
      <c r="D178" s="431" t="s">
        <v>495</v>
      </c>
      <c r="E178" s="432">
        <v>44075.0</v>
      </c>
      <c r="F178" s="430" t="s">
        <v>545</v>
      </c>
      <c r="G178" s="403">
        <v>1.0</v>
      </c>
      <c r="H178" s="428">
        <v>0.0</v>
      </c>
      <c r="I178" s="403">
        <v>0.0</v>
      </c>
      <c r="J178" s="391">
        <f t="shared" si="3"/>
        <v>0</v>
      </c>
      <c r="K178" s="392">
        <f t="shared" si="4"/>
        <v>0</v>
      </c>
      <c r="L178" s="327">
        <f t="shared" si="5"/>
        <v>0</v>
      </c>
      <c r="M178" s="429" t="s">
        <v>16</v>
      </c>
      <c r="N178" s="420">
        <f>IFERROR(__xludf.DUMMYFUNCTION("""COMPUTED_VALUE"""),11.0)</f>
        <v>11</v>
      </c>
      <c r="O178" s="420"/>
      <c r="P178" s="420"/>
      <c r="Q178" s="420"/>
      <c r="R178" s="420"/>
      <c r="S178" s="420"/>
      <c r="T178" s="420"/>
      <c r="U178" s="420"/>
      <c r="V178" s="420"/>
      <c r="W178" s="420"/>
      <c r="X178" s="420"/>
    </row>
    <row r="179">
      <c r="A179" s="429" t="s">
        <v>4174</v>
      </c>
      <c r="B179" s="429" t="s">
        <v>519</v>
      </c>
      <c r="C179" s="430" t="s">
        <v>4160</v>
      </c>
      <c r="D179" s="431" t="s">
        <v>495</v>
      </c>
      <c r="E179" s="433">
        <v>44070.0</v>
      </c>
      <c r="F179" s="430" t="s">
        <v>499</v>
      </c>
      <c r="G179" s="403">
        <v>4.0</v>
      </c>
      <c r="H179" s="428">
        <v>0.0</v>
      </c>
      <c r="I179" s="403">
        <v>0.0</v>
      </c>
      <c r="J179" s="391">
        <f t="shared" si="3"/>
        <v>0</v>
      </c>
      <c r="K179" s="392">
        <f t="shared" si="4"/>
        <v>0</v>
      </c>
      <c r="L179" s="327">
        <f t="shared" si="5"/>
        <v>0</v>
      </c>
      <c r="M179" s="429" t="s">
        <v>4174</v>
      </c>
      <c r="N179" s="420">
        <f>IFERROR(__xludf.DUMMYFUNCTION("""COMPUTED_VALUE"""),1.0)</f>
        <v>1</v>
      </c>
      <c r="O179" s="420"/>
      <c r="P179" s="420"/>
      <c r="Q179" s="420"/>
      <c r="R179" s="420"/>
      <c r="S179" s="420"/>
      <c r="T179" s="420"/>
      <c r="U179" s="420"/>
      <c r="V179" s="420"/>
      <c r="W179" s="420"/>
      <c r="X179" s="420"/>
    </row>
    <row r="180">
      <c r="A180" s="429" t="s">
        <v>375</v>
      </c>
      <c r="B180" s="429" t="s">
        <v>519</v>
      </c>
      <c r="C180" s="430" t="s">
        <v>4136</v>
      </c>
      <c r="D180" s="431" t="s">
        <v>495</v>
      </c>
      <c r="E180" s="433">
        <v>44070.0</v>
      </c>
      <c r="F180" s="430" t="s">
        <v>499</v>
      </c>
      <c r="G180" s="403">
        <v>4.0</v>
      </c>
      <c r="H180" s="428">
        <v>0.0</v>
      </c>
      <c r="I180" s="403">
        <v>0.0</v>
      </c>
      <c r="J180" s="391">
        <f t="shared" si="3"/>
        <v>0</v>
      </c>
      <c r="K180" s="392">
        <f t="shared" si="4"/>
        <v>0</v>
      </c>
      <c r="L180" s="327">
        <f t="shared" si="5"/>
        <v>0</v>
      </c>
      <c r="M180" s="429" t="s">
        <v>375</v>
      </c>
      <c r="N180" s="420">
        <f>IFERROR(__xludf.DUMMYFUNCTION("""COMPUTED_VALUE"""),1.0)</f>
        <v>1</v>
      </c>
      <c r="O180" s="420"/>
      <c r="P180" s="420"/>
      <c r="Q180" s="420"/>
      <c r="R180" s="420"/>
      <c r="S180" s="420"/>
      <c r="T180" s="420"/>
      <c r="U180" s="420"/>
      <c r="V180" s="420"/>
      <c r="W180" s="420"/>
      <c r="X180" s="420"/>
    </row>
    <row r="181">
      <c r="A181" s="429" t="s">
        <v>375</v>
      </c>
      <c r="B181" s="429" t="s">
        <v>29</v>
      </c>
      <c r="C181" s="430" t="s">
        <v>4175</v>
      </c>
      <c r="D181" s="431" t="s">
        <v>495</v>
      </c>
      <c r="E181" s="433">
        <v>44069.0</v>
      </c>
      <c r="F181" s="430" t="s">
        <v>499</v>
      </c>
      <c r="G181" s="403">
        <v>4.0</v>
      </c>
      <c r="H181" s="428">
        <v>0.0</v>
      </c>
      <c r="I181" s="403">
        <v>0.0</v>
      </c>
      <c r="J181" s="391">
        <f t="shared" si="3"/>
        <v>0</v>
      </c>
      <c r="K181" s="392">
        <f t="shared" si="4"/>
        <v>0</v>
      </c>
      <c r="L181" s="327">
        <f t="shared" si="5"/>
        <v>0</v>
      </c>
      <c r="M181" s="429" t="s">
        <v>375</v>
      </c>
      <c r="N181" s="420">
        <f>IFERROR(__xludf.DUMMYFUNCTION("""COMPUTED_VALUE"""),2.0)</f>
        <v>2</v>
      </c>
      <c r="O181" s="420"/>
      <c r="P181" s="420"/>
      <c r="Q181" s="420"/>
      <c r="R181" s="420"/>
      <c r="S181" s="420"/>
      <c r="T181" s="420"/>
      <c r="U181" s="420"/>
      <c r="V181" s="420"/>
      <c r="W181" s="420"/>
      <c r="X181" s="420"/>
    </row>
    <row r="182">
      <c r="A182" s="429" t="s">
        <v>113</v>
      </c>
      <c r="B182" s="429" t="s">
        <v>29</v>
      </c>
      <c r="C182" s="430" t="s">
        <v>4176</v>
      </c>
      <c r="D182" s="431" t="s">
        <v>495</v>
      </c>
      <c r="E182" s="433">
        <v>44070.0</v>
      </c>
      <c r="F182" s="430" t="s">
        <v>499</v>
      </c>
      <c r="G182" s="403">
        <v>4.0</v>
      </c>
      <c r="H182" s="428">
        <v>0.0</v>
      </c>
      <c r="I182" s="403">
        <v>0.0</v>
      </c>
      <c r="J182" s="391">
        <f t="shared" si="3"/>
        <v>0</v>
      </c>
      <c r="K182" s="392">
        <f t="shared" si="4"/>
        <v>0</v>
      </c>
      <c r="L182" s="327">
        <f t="shared" si="5"/>
        <v>0</v>
      </c>
      <c r="M182" s="429" t="s">
        <v>113</v>
      </c>
      <c r="N182" s="420">
        <f>IFERROR(__xludf.DUMMYFUNCTION("""COMPUTED_VALUE"""),1.0)</f>
        <v>1</v>
      </c>
      <c r="O182" s="420"/>
      <c r="P182" s="420"/>
      <c r="Q182" s="420"/>
      <c r="R182" s="420"/>
      <c r="S182" s="420"/>
      <c r="T182" s="420"/>
      <c r="U182" s="420"/>
      <c r="V182" s="420"/>
      <c r="W182" s="420"/>
      <c r="X182" s="420"/>
    </row>
    <row r="183">
      <c r="A183" s="429" t="s">
        <v>43</v>
      </c>
      <c r="B183" s="429" t="s">
        <v>65</v>
      </c>
      <c r="C183" s="430" t="s">
        <v>4177</v>
      </c>
      <c r="D183" s="431" t="s">
        <v>495</v>
      </c>
      <c r="E183" s="433">
        <v>44057.0</v>
      </c>
      <c r="F183" s="430" t="s">
        <v>499</v>
      </c>
      <c r="G183" s="403">
        <v>4.0</v>
      </c>
      <c r="H183" s="428">
        <v>0.0</v>
      </c>
      <c r="I183" s="403">
        <v>0.0</v>
      </c>
      <c r="J183" s="391">
        <f t="shared" si="3"/>
        <v>0</v>
      </c>
      <c r="K183" s="392">
        <f t="shared" si="4"/>
        <v>0</v>
      </c>
      <c r="L183" s="327">
        <f t="shared" si="5"/>
        <v>0</v>
      </c>
      <c r="M183" s="429" t="s">
        <v>43</v>
      </c>
      <c r="N183" s="420">
        <f>IFERROR(__xludf.DUMMYFUNCTION("""COMPUTED_VALUE"""),1.0)</f>
        <v>1</v>
      </c>
      <c r="O183" s="420"/>
      <c r="P183" s="420"/>
      <c r="Q183" s="420"/>
      <c r="R183" s="420"/>
      <c r="S183" s="420"/>
      <c r="T183" s="420"/>
      <c r="U183" s="420"/>
      <c r="V183" s="420"/>
      <c r="W183" s="420"/>
      <c r="X183" s="420"/>
    </row>
    <row r="184">
      <c r="A184" s="429" t="s">
        <v>43</v>
      </c>
      <c r="B184" s="429" t="s">
        <v>519</v>
      </c>
      <c r="C184" s="430" t="s">
        <v>4178</v>
      </c>
      <c r="D184" s="431" t="s">
        <v>495</v>
      </c>
      <c r="E184" s="433">
        <v>44063.0</v>
      </c>
      <c r="F184" s="430" t="s">
        <v>499</v>
      </c>
      <c r="G184" s="403">
        <v>4.0</v>
      </c>
      <c r="H184" s="428">
        <v>0.0</v>
      </c>
      <c r="I184" s="403">
        <v>0.0</v>
      </c>
      <c r="J184" s="391">
        <f t="shared" si="3"/>
        <v>0</v>
      </c>
      <c r="K184" s="392">
        <f t="shared" si="4"/>
        <v>0</v>
      </c>
      <c r="L184" s="327">
        <f t="shared" si="5"/>
        <v>0</v>
      </c>
      <c r="M184" s="429" t="s">
        <v>43</v>
      </c>
      <c r="N184" s="420">
        <f>IFERROR(__xludf.DUMMYFUNCTION("""COMPUTED_VALUE"""),2.0)</f>
        <v>2</v>
      </c>
      <c r="O184" s="420"/>
      <c r="P184" s="420"/>
      <c r="Q184" s="420"/>
      <c r="R184" s="420"/>
      <c r="S184" s="420"/>
      <c r="T184" s="420"/>
      <c r="U184" s="420"/>
      <c r="V184" s="420"/>
      <c r="W184" s="420"/>
      <c r="X184" s="420"/>
    </row>
    <row r="185">
      <c r="A185" s="429" t="s">
        <v>43</v>
      </c>
      <c r="B185" s="429" t="s">
        <v>519</v>
      </c>
      <c r="C185" s="430" t="s">
        <v>4179</v>
      </c>
      <c r="D185" s="431" t="s">
        <v>495</v>
      </c>
      <c r="E185" s="433">
        <v>44068.0</v>
      </c>
      <c r="F185" s="430" t="s">
        <v>499</v>
      </c>
      <c r="G185" s="403">
        <v>4.0</v>
      </c>
      <c r="H185" s="428">
        <v>0.0</v>
      </c>
      <c r="I185" s="403">
        <v>0.0</v>
      </c>
      <c r="J185" s="391">
        <f t="shared" si="3"/>
        <v>0</v>
      </c>
      <c r="K185" s="392">
        <f t="shared" si="4"/>
        <v>0</v>
      </c>
      <c r="L185" s="327">
        <f t="shared" si="5"/>
        <v>0</v>
      </c>
      <c r="M185" s="429" t="s">
        <v>43</v>
      </c>
      <c r="N185" s="420">
        <f>IFERROR(__xludf.DUMMYFUNCTION("""COMPUTED_VALUE"""),3.0)</f>
        <v>3</v>
      </c>
      <c r="O185" s="420"/>
      <c r="P185" s="420"/>
      <c r="Q185" s="420"/>
      <c r="R185" s="420"/>
      <c r="S185" s="420"/>
      <c r="T185" s="420"/>
      <c r="U185" s="420"/>
      <c r="V185" s="420"/>
      <c r="W185" s="420"/>
      <c r="X185" s="420"/>
    </row>
    <row r="186">
      <c r="A186" s="429" t="s">
        <v>43</v>
      </c>
      <c r="B186" s="429" t="s">
        <v>519</v>
      </c>
      <c r="C186" s="430" t="s">
        <v>4126</v>
      </c>
      <c r="D186" s="431" t="s">
        <v>495</v>
      </c>
      <c r="E186" s="433">
        <v>44070.0</v>
      </c>
      <c r="F186" s="430" t="s">
        <v>499</v>
      </c>
      <c r="G186" s="403">
        <v>4.0</v>
      </c>
      <c r="H186" s="428">
        <v>0.0</v>
      </c>
      <c r="I186" s="403">
        <v>0.0</v>
      </c>
      <c r="J186" s="391">
        <f t="shared" si="3"/>
        <v>0</v>
      </c>
      <c r="K186" s="392">
        <f t="shared" si="4"/>
        <v>0</v>
      </c>
      <c r="L186" s="327">
        <f t="shared" si="5"/>
        <v>0</v>
      </c>
      <c r="M186" s="429" t="s">
        <v>43</v>
      </c>
      <c r="N186" s="420">
        <f>IFERROR(__xludf.DUMMYFUNCTION("""COMPUTED_VALUE"""),4.0)</f>
        <v>4</v>
      </c>
      <c r="O186" s="420"/>
      <c r="P186" s="420"/>
      <c r="Q186" s="420"/>
      <c r="R186" s="420"/>
      <c r="S186" s="420"/>
      <c r="T186" s="420"/>
      <c r="U186" s="420"/>
      <c r="V186" s="420"/>
      <c r="W186" s="420"/>
      <c r="X186" s="420"/>
    </row>
    <row r="187">
      <c r="A187" s="429" t="s">
        <v>4180</v>
      </c>
      <c r="B187" s="429" t="s">
        <v>77</v>
      </c>
      <c r="C187" s="430" t="s">
        <v>4181</v>
      </c>
      <c r="D187" s="431" t="s">
        <v>495</v>
      </c>
      <c r="E187" s="432">
        <v>44050.0</v>
      </c>
      <c r="F187" s="430" t="s">
        <v>499</v>
      </c>
      <c r="G187" s="403">
        <v>4.0</v>
      </c>
      <c r="H187" s="428">
        <v>0.0</v>
      </c>
      <c r="I187" s="403">
        <v>0.0</v>
      </c>
      <c r="J187" s="391">
        <f t="shared" si="3"/>
        <v>0</v>
      </c>
      <c r="K187" s="392">
        <f t="shared" si="4"/>
        <v>0</v>
      </c>
      <c r="L187" s="327">
        <f t="shared" si="5"/>
        <v>0</v>
      </c>
      <c r="M187" s="429" t="s">
        <v>4180</v>
      </c>
      <c r="N187" s="420">
        <f>IFERROR(__xludf.DUMMYFUNCTION("""COMPUTED_VALUE"""),1.0)</f>
        <v>1</v>
      </c>
      <c r="O187" s="420"/>
      <c r="P187" s="420"/>
      <c r="Q187" s="420"/>
      <c r="R187" s="420"/>
      <c r="S187" s="420"/>
      <c r="T187" s="420"/>
      <c r="U187" s="420"/>
      <c r="V187" s="420"/>
      <c r="W187" s="420"/>
      <c r="X187" s="420"/>
    </row>
    <row r="188">
      <c r="A188" s="429" t="s">
        <v>4182</v>
      </c>
      <c r="B188" s="429" t="s">
        <v>519</v>
      </c>
      <c r="C188" s="430" t="s">
        <v>4160</v>
      </c>
      <c r="D188" s="431" t="s">
        <v>495</v>
      </c>
      <c r="E188" s="433">
        <v>44070.0</v>
      </c>
      <c r="F188" s="430" t="s">
        <v>499</v>
      </c>
      <c r="G188" s="403">
        <v>4.0</v>
      </c>
      <c r="H188" s="428">
        <v>0.0</v>
      </c>
      <c r="I188" s="403">
        <v>0.0</v>
      </c>
      <c r="J188" s="391">
        <f t="shared" si="3"/>
        <v>0</v>
      </c>
      <c r="K188" s="392">
        <f t="shared" si="4"/>
        <v>0</v>
      </c>
      <c r="L188" s="327">
        <f t="shared" si="5"/>
        <v>0</v>
      </c>
      <c r="M188" s="429" t="s">
        <v>4182</v>
      </c>
      <c r="N188" s="420">
        <f>IFERROR(__xludf.DUMMYFUNCTION("""COMPUTED_VALUE"""),1.0)</f>
        <v>1</v>
      </c>
      <c r="O188" s="420"/>
      <c r="P188" s="420"/>
      <c r="Q188" s="420"/>
      <c r="R188" s="420"/>
      <c r="S188" s="420"/>
      <c r="T188" s="420"/>
      <c r="U188" s="420"/>
      <c r="V188" s="420"/>
      <c r="W188" s="420"/>
      <c r="X188" s="420"/>
    </row>
    <row r="189">
      <c r="A189" s="429" t="s">
        <v>159</v>
      </c>
      <c r="B189" s="429" t="s">
        <v>590</v>
      </c>
      <c r="C189" s="430" t="s">
        <v>4183</v>
      </c>
      <c r="D189" s="431" t="s">
        <v>495</v>
      </c>
      <c r="E189" s="433">
        <v>44070.0</v>
      </c>
      <c r="F189" s="430" t="s">
        <v>499</v>
      </c>
      <c r="G189" s="403">
        <v>4.0</v>
      </c>
      <c r="H189" s="428">
        <v>0.0</v>
      </c>
      <c r="I189" s="403">
        <v>0.0</v>
      </c>
      <c r="J189" s="391">
        <f t="shared" si="3"/>
        <v>0</v>
      </c>
      <c r="K189" s="392">
        <f t="shared" si="4"/>
        <v>0</v>
      </c>
      <c r="L189" s="327">
        <f t="shared" si="5"/>
        <v>0</v>
      </c>
      <c r="M189" s="429" t="s">
        <v>159</v>
      </c>
      <c r="N189" s="420">
        <f>IFERROR(__xludf.DUMMYFUNCTION("""COMPUTED_VALUE"""),1.0)</f>
        <v>1</v>
      </c>
      <c r="O189" s="420"/>
      <c r="P189" s="420"/>
      <c r="Q189" s="420"/>
      <c r="R189" s="420"/>
      <c r="S189" s="420"/>
      <c r="T189" s="420"/>
      <c r="U189" s="420"/>
      <c r="V189" s="420"/>
      <c r="W189" s="420"/>
      <c r="X189" s="420"/>
    </row>
    <row r="190">
      <c r="A190" s="429" t="s">
        <v>246</v>
      </c>
      <c r="B190" s="429" t="s">
        <v>29</v>
      </c>
      <c r="C190" s="430" t="s">
        <v>4140</v>
      </c>
      <c r="D190" s="431" t="s">
        <v>495</v>
      </c>
      <c r="E190" s="433">
        <v>44064.0</v>
      </c>
      <c r="F190" s="430" t="s">
        <v>499</v>
      </c>
      <c r="G190" s="403">
        <v>4.0</v>
      </c>
      <c r="H190" s="428">
        <v>0.0</v>
      </c>
      <c r="I190" s="403">
        <v>0.0</v>
      </c>
      <c r="J190" s="391">
        <f t="shared" si="3"/>
        <v>0</v>
      </c>
      <c r="K190" s="392">
        <f t="shared" si="4"/>
        <v>0</v>
      </c>
      <c r="L190" s="327">
        <f t="shared" si="5"/>
        <v>0</v>
      </c>
      <c r="M190" s="429" t="s">
        <v>246</v>
      </c>
      <c r="N190" s="420">
        <f>IFERROR(__xludf.DUMMYFUNCTION("""COMPUTED_VALUE"""),1.0)</f>
        <v>1</v>
      </c>
      <c r="O190" s="420"/>
      <c r="P190" s="420"/>
      <c r="Q190" s="420"/>
      <c r="R190" s="420"/>
      <c r="S190" s="420"/>
      <c r="T190" s="420"/>
      <c r="U190" s="420"/>
      <c r="V190" s="420"/>
      <c r="W190" s="420"/>
      <c r="X190" s="420"/>
    </row>
    <row r="191">
      <c r="A191" s="429" t="s">
        <v>70</v>
      </c>
      <c r="B191" s="429" t="s">
        <v>18</v>
      </c>
      <c r="C191" s="430" t="s">
        <v>4184</v>
      </c>
      <c r="D191" s="431" t="s">
        <v>495</v>
      </c>
      <c r="E191" s="433">
        <v>44070.0</v>
      </c>
      <c r="F191" s="430" t="s">
        <v>499</v>
      </c>
      <c r="G191" s="403">
        <v>4.0</v>
      </c>
      <c r="H191" s="428">
        <v>0.0</v>
      </c>
      <c r="I191" s="403">
        <v>0.0</v>
      </c>
      <c r="J191" s="391">
        <f t="shared" si="3"/>
        <v>0</v>
      </c>
      <c r="K191" s="392">
        <f t="shared" si="4"/>
        <v>0</v>
      </c>
      <c r="L191" s="327">
        <f t="shared" si="5"/>
        <v>0</v>
      </c>
      <c r="M191" s="429" t="s">
        <v>70</v>
      </c>
      <c r="N191" s="420">
        <f>IFERROR(__xludf.DUMMYFUNCTION("""COMPUTED_VALUE"""),1.0)</f>
        <v>1</v>
      </c>
      <c r="O191" s="420"/>
      <c r="P191" s="420"/>
      <c r="Q191" s="420"/>
      <c r="R191" s="420"/>
      <c r="S191" s="420"/>
      <c r="T191" s="420"/>
      <c r="U191" s="420"/>
      <c r="V191" s="420"/>
      <c r="W191" s="420"/>
      <c r="X191" s="420"/>
    </row>
    <row r="192">
      <c r="A192" s="429" t="s">
        <v>301</v>
      </c>
      <c r="B192" s="429" t="s">
        <v>519</v>
      </c>
      <c r="C192" s="430" t="s">
        <v>4136</v>
      </c>
      <c r="D192" s="431" t="s">
        <v>495</v>
      </c>
      <c r="E192" s="433">
        <v>44070.0</v>
      </c>
      <c r="F192" s="430" t="s">
        <v>499</v>
      </c>
      <c r="G192" s="403">
        <v>4.0</v>
      </c>
      <c r="H192" s="428">
        <v>0.0</v>
      </c>
      <c r="I192" s="403">
        <v>0.0</v>
      </c>
      <c r="J192" s="391">
        <f t="shared" si="3"/>
        <v>0</v>
      </c>
      <c r="K192" s="392">
        <f t="shared" si="4"/>
        <v>0</v>
      </c>
      <c r="L192" s="327">
        <f t="shared" si="5"/>
        <v>0</v>
      </c>
      <c r="M192" s="429" t="s">
        <v>301</v>
      </c>
      <c r="N192" s="420">
        <f>IFERROR(__xludf.DUMMYFUNCTION("""COMPUTED_VALUE"""),1.0)</f>
        <v>1</v>
      </c>
      <c r="O192" s="420"/>
      <c r="P192" s="420"/>
      <c r="Q192" s="420"/>
      <c r="R192" s="420"/>
      <c r="S192" s="420"/>
      <c r="T192" s="420"/>
      <c r="U192" s="420"/>
      <c r="V192" s="420"/>
      <c r="W192" s="420"/>
      <c r="X192" s="420"/>
    </row>
    <row r="193">
      <c r="A193" s="429" t="s">
        <v>227</v>
      </c>
      <c r="B193" s="429" t="s">
        <v>519</v>
      </c>
      <c r="C193" s="430" t="s">
        <v>4185</v>
      </c>
      <c r="D193" s="431" t="s">
        <v>495</v>
      </c>
      <c r="E193" s="433">
        <v>44070.0</v>
      </c>
      <c r="F193" s="430" t="s">
        <v>499</v>
      </c>
      <c r="G193" s="403">
        <v>4.0</v>
      </c>
      <c r="H193" s="428">
        <v>0.0</v>
      </c>
      <c r="I193" s="403">
        <v>0.0</v>
      </c>
      <c r="J193" s="391">
        <f t="shared" si="3"/>
        <v>0</v>
      </c>
      <c r="K193" s="392">
        <f t="shared" si="4"/>
        <v>0</v>
      </c>
      <c r="L193" s="327">
        <f t="shared" si="5"/>
        <v>0</v>
      </c>
      <c r="M193" s="429" t="s">
        <v>227</v>
      </c>
      <c r="N193" s="420">
        <f>IFERROR(__xludf.DUMMYFUNCTION("""COMPUTED_VALUE"""),1.0)</f>
        <v>1</v>
      </c>
      <c r="O193" s="420"/>
      <c r="P193" s="420"/>
      <c r="Q193" s="420"/>
      <c r="R193" s="420"/>
      <c r="S193" s="420"/>
      <c r="T193" s="420"/>
      <c r="U193" s="420"/>
      <c r="V193" s="420"/>
      <c r="W193" s="420"/>
      <c r="X193" s="420"/>
    </row>
    <row r="194">
      <c r="A194" s="429" t="s">
        <v>4186</v>
      </c>
      <c r="B194" s="429" t="s">
        <v>519</v>
      </c>
      <c r="C194" s="430" t="s">
        <v>4160</v>
      </c>
      <c r="D194" s="431" t="s">
        <v>495</v>
      </c>
      <c r="E194" s="433">
        <v>44070.0</v>
      </c>
      <c r="F194" s="430" t="s">
        <v>499</v>
      </c>
      <c r="G194" s="403">
        <v>4.0</v>
      </c>
      <c r="H194" s="428">
        <v>0.0</v>
      </c>
      <c r="I194" s="403">
        <v>0.0</v>
      </c>
      <c r="J194" s="391">
        <f t="shared" si="3"/>
        <v>0</v>
      </c>
      <c r="K194" s="392">
        <f t="shared" si="4"/>
        <v>0</v>
      </c>
      <c r="L194" s="327">
        <f t="shared" si="5"/>
        <v>0</v>
      </c>
      <c r="M194" s="429" t="s">
        <v>4186</v>
      </c>
      <c r="N194" s="420">
        <f>IFERROR(__xludf.DUMMYFUNCTION("""COMPUTED_VALUE"""),1.0)</f>
        <v>1</v>
      </c>
      <c r="O194" s="420"/>
      <c r="P194" s="420"/>
      <c r="Q194" s="420"/>
      <c r="R194" s="420"/>
      <c r="S194" s="420"/>
      <c r="T194" s="420"/>
      <c r="U194" s="420"/>
      <c r="V194" s="420"/>
      <c r="W194" s="420"/>
      <c r="X194" s="420"/>
    </row>
    <row r="195">
      <c r="C195" s="164"/>
      <c r="K195" s="322"/>
      <c r="L195" s="401"/>
      <c r="N195" s="18"/>
    </row>
    <row r="196">
      <c r="C196" s="164"/>
      <c r="K196" s="322"/>
      <c r="L196" s="401"/>
      <c r="N196" s="18"/>
    </row>
    <row r="197">
      <c r="C197" s="164"/>
      <c r="K197" s="322"/>
      <c r="L197" s="401"/>
      <c r="N197" s="18"/>
    </row>
    <row r="198">
      <c r="C198" s="164"/>
      <c r="K198" s="322"/>
      <c r="L198" s="401"/>
      <c r="N198" s="18"/>
    </row>
    <row r="199">
      <c r="C199" s="164"/>
      <c r="K199" s="322"/>
      <c r="L199" s="401"/>
      <c r="N199" s="18"/>
    </row>
    <row r="200">
      <c r="C200" s="164"/>
      <c r="K200" s="322"/>
      <c r="L200" s="401"/>
      <c r="N200" s="18"/>
    </row>
    <row r="201">
      <c r="C201" s="164"/>
      <c r="K201" s="322"/>
      <c r="L201" s="401"/>
      <c r="N201" s="18"/>
    </row>
    <row r="202">
      <c r="C202" s="164"/>
      <c r="K202" s="322"/>
      <c r="L202" s="401"/>
      <c r="N202" s="18"/>
    </row>
    <row r="203">
      <c r="C203" s="164"/>
      <c r="K203" s="322"/>
      <c r="L203" s="401"/>
      <c r="N203" s="18"/>
    </row>
    <row r="204">
      <c r="C204" s="164"/>
      <c r="K204" s="322"/>
      <c r="L204" s="401"/>
      <c r="N204" s="18"/>
    </row>
    <row r="205">
      <c r="C205" s="164"/>
      <c r="K205" s="322"/>
      <c r="L205" s="401"/>
      <c r="N205" s="18"/>
    </row>
    <row r="206">
      <c r="C206" s="164"/>
      <c r="K206" s="322"/>
      <c r="L206" s="401"/>
      <c r="N206" s="18"/>
    </row>
    <row r="207">
      <c r="C207" s="164"/>
      <c r="K207" s="322"/>
      <c r="L207" s="401"/>
      <c r="N207" s="18"/>
    </row>
    <row r="208">
      <c r="C208" s="164"/>
      <c r="K208" s="322"/>
      <c r="L208" s="401"/>
      <c r="N208" s="18"/>
    </row>
    <row r="209">
      <c r="C209" s="164"/>
      <c r="K209" s="322"/>
      <c r="L209" s="401"/>
      <c r="N209" s="18"/>
    </row>
    <row r="210">
      <c r="C210" s="164"/>
      <c r="K210" s="322"/>
      <c r="L210" s="401"/>
      <c r="N210" s="18"/>
    </row>
    <row r="211">
      <c r="C211" s="164"/>
      <c r="K211" s="322"/>
      <c r="L211" s="401"/>
      <c r="N211" s="18"/>
    </row>
    <row r="212">
      <c r="C212" s="164"/>
      <c r="K212" s="322"/>
      <c r="L212" s="401"/>
      <c r="N212" s="18"/>
    </row>
    <row r="213">
      <c r="C213" s="164"/>
      <c r="K213" s="322"/>
      <c r="L213" s="401"/>
      <c r="N213" s="18"/>
    </row>
    <row r="214">
      <c r="C214" s="164"/>
      <c r="K214" s="322"/>
      <c r="L214" s="401"/>
      <c r="N214" s="18"/>
    </row>
    <row r="215">
      <c r="C215" s="164"/>
      <c r="K215" s="322"/>
      <c r="L215" s="401"/>
      <c r="N215" s="18"/>
    </row>
    <row r="216">
      <c r="C216" s="164"/>
      <c r="K216" s="322"/>
      <c r="L216" s="401"/>
      <c r="N216" s="18"/>
    </row>
    <row r="217">
      <c r="C217" s="164"/>
      <c r="K217" s="322"/>
      <c r="L217" s="401"/>
      <c r="N217" s="18"/>
    </row>
    <row r="218">
      <c r="C218" s="164"/>
      <c r="K218" s="322"/>
      <c r="L218" s="401"/>
      <c r="N218" s="18"/>
    </row>
    <row r="219">
      <c r="C219" s="164"/>
      <c r="K219" s="322"/>
      <c r="L219" s="401"/>
      <c r="N219" s="18"/>
    </row>
    <row r="220">
      <c r="C220" s="164"/>
      <c r="K220" s="322"/>
      <c r="L220" s="401"/>
      <c r="N220" s="18"/>
    </row>
    <row r="221">
      <c r="C221" s="164"/>
      <c r="K221" s="322"/>
      <c r="L221" s="401"/>
      <c r="N221" s="18"/>
    </row>
    <row r="222">
      <c r="C222" s="164"/>
      <c r="K222" s="322"/>
      <c r="L222" s="401"/>
      <c r="N222" s="18"/>
    </row>
    <row r="223">
      <c r="C223" s="164"/>
      <c r="K223" s="322"/>
      <c r="L223" s="401"/>
      <c r="N223" s="18"/>
    </row>
    <row r="224">
      <c r="C224" s="164"/>
      <c r="K224" s="322"/>
      <c r="L224" s="401"/>
      <c r="N224" s="18"/>
    </row>
    <row r="225">
      <c r="C225" s="164"/>
      <c r="K225" s="322"/>
      <c r="L225" s="401"/>
      <c r="N225" s="18"/>
    </row>
    <row r="226">
      <c r="C226" s="164"/>
      <c r="K226" s="322"/>
      <c r="L226" s="401"/>
      <c r="N226" s="18"/>
    </row>
    <row r="227">
      <c r="C227" s="164"/>
      <c r="K227" s="322"/>
      <c r="L227" s="401"/>
      <c r="N227" s="18"/>
    </row>
    <row r="228">
      <c r="C228" s="164"/>
      <c r="K228" s="322"/>
      <c r="L228" s="401"/>
      <c r="N228" s="18"/>
    </row>
    <row r="229">
      <c r="C229" s="164"/>
      <c r="K229" s="322"/>
      <c r="L229" s="401"/>
      <c r="N229" s="18"/>
    </row>
    <row r="230">
      <c r="C230" s="164"/>
      <c r="K230" s="322"/>
      <c r="L230" s="401"/>
      <c r="N230" s="18"/>
    </row>
    <row r="231">
      <c r="C231" s="164"/>
      <c r="K231" s="322"/>
      <c r="L231" s="401"/>
      <c r="N231" s="18"/>
    </row>
    <row r="232">
      <c r="C232" s="164"/>
      <c r="K232" s="322"/>
      <c r="L232" s="401"/>
      <c r="N232" s="18"/>
    </row>
    <row r="233">
      <c r="C233" s="164"/>
      <c r="K233" s="322"/>
      <c r="L233" s="401"/>
      <c r="N233" s="18"/>
    </row>
    <row r="234">
      <c r="C234" s="164"/>
      <c r="K234" s="322"/>
      <c r="L234" s="401"/>
      <c r="N234" s="18"/>
    </row>
    <row r="235">
      <c r="C235" s="164"/>
      <c r="K235" s="322"/>
      <c r="L235" s="401"/>
      <c r="N235" s="18"/>
    </row>
    <row r="236">
      <c r="C236" s="164"/>
      <c r="K236" s="322"/>
      <c r="L236" s="401"/>
      <c r="N236" s="18"/>
    </row>
    <row r="237">
      <c r="C237" s="164"/>
      <c r="K237" s="322"/>
      <c r="L237" s="401"/>
      <c r="N237" s="18"/>
    </row>
    <row r="238">
      <c r="C238" s="164"/>
      <c r="K238" s="322"/>
      <c r="L238" s="401"/>
      <c r="N238" s="18"/>
    </row>
    <row r="239">
      <c r="C239" s="164"/>
      <c r="K239" s="322"/>
      <c r="L239" s="401"/>
      <c r="N239" s="18"/>
    </row>
    <row r="240">
      <c r="C240" s="164"/>
      <c r="K240" s="322"/>
      <c r="L240" s="401"/>
      <c r="N240" s="18"/>
    </row>
    <row r="241">
      <c r="C241" s="164"/>
      <c r="K241" s="322"/>
      <c r="L241" s="401"/>
      <c r="N241" s="18"/>
    </row>
    <row r="242">
      <c r="C242" s="164"/>
      <c r="K242" s="322"/>
      <c r="L242" s="401"/>
      <c r="N242" s="18"/>
    </row>
    <row r="243">
      <c r="C243" s="164"/>
      <c r="K243" s="322"/>
      <c r="L243" s="401"/>
      <c r="N243" s="18"/>
    </row>
    <row r="244">
      <c r="C244" s="164"/>
      <c r="K244" s="322"/>
      <c r="L244" s="401"/>
      <c r="N244" s="18"/>
    </row>
    <row r="245">
      <c r="C245" s="164"/>
      <c r="K245" s="322"/>
      <c r="L245" s="401"/>
      <c r="N245" s="18"/>
    </row>
    <row r="246">
      <c r="C246" s="164"/>
      <c r="K246" s="322"/>
      <c r="L246" s="401"/>
      <c r="N246" s="18"/>
    </row>
    <row r="247">
      <c r="C247" s="164"/>
      <c r="K247" s="322"/>
      <c r="L247" s="401"/>
      <c r="N247" s="18"/>
    </row>
    <row r="248">
      <c r="C248" s="164"/>
      <c r="K248" s="322"/>
      <c r="L248" s="401"/>
      <c r="N248" s="18"/>
    </row>
    <row r="249">
      <c r="C249" s="164"/>
      <c r="K249" s="322"/>
      <c r="L249" s="401"/>
      <c r="N249" s="18"/>
    </row>
    <row r="250">
      <c r="C250" s="164"/>
      <c r="K250" s="322"/>
      <c r="L250" s="401"/>
      <c r="N250" s="18"/>
    </row>
    <row r="251">
      <c r="C251" s="164"/>
      <c r="K251" s="322"/>
      <c r="L251" s="401"/>
      <c r="N251" s="18"/>
    </row>
    <row r="252">
      <c r="C252" s="164"/>
      <c r="K252" s="322"/>
      <c r="L252" s="401"/>
      <c r="N252" s="18"/>
    </row>
    <row r="253">
      <c r="C253" s="164"/>
      <c r="K253" s="322"/>
      <c r="L253" s="401"/>
      <c r="N253" s="18"/>
    </row>
    <row r="254">
      <c r="C254" s="164"/>
      <c r="K254" s="322"/>
      <c r="L254" s="401"/>
      <c r="N254" s="18"/>
    </row>
    <row r="255">
      <c r="C255" s="164"/>
      <c r="K255" s="322"/>
      <c r="L255" s="401"/>
      <c r="N255" s="18"/>
    </row>
    <row r="256">
      <c r="C256" s="164"/>
      <c r="K256" s="322"/>
      <c r="L256" s="401"/>
      <c r="N256" s="18"/>
    </row>
    <row r="257">
      <c r="C257" s="164"/>
      <c r="K257" s="322"/>
      <c r="L257" s="401"/>
      <c r="N257" s="18"/>
    </row>
    <row r="258">
      <c r="C258" s="164"/>
      <c r="K258" s="322"/>
      <c r="L258" s="401"/>
      <c r="N258" s="18"/>
    </row>
    <row r="259">
      <c r="C259" s="164"/>
      <c r="K259" s="322"/>
      <c r="L259" s="401"/>
      <c r="N259" s="18"/>
    </row>
    <row r="260">
      <c r="C260" s="164"/>
      <c r="K260" s="322"/>
      <c r="L260" s="401"/>
      <c r="N260" s="18"/>
    </row>
    <row r="261">
      <c r="C261" s="164"/>
      <c r="K261" s="322"/>
      <c r="L261" s="401"/>
      <c r="N261" s="18"/>
    </row>
    <row r="262">
      <c r="C262" s="164"/>
      <c r="K262" s="322"/>
      <c r="L262" s="401"/>
      <c r="N262" s="18"/>
    </row>
    <row r="263">
      <c r="C263" s="164"/>
      <c r="K263" s="322"/>
      <c r="L263" s="401"/>
      <c r="N263" s="18"/>
    </row>
    <row r="264">
      <c r="C264" s="164"/>
      <c r="K264" s="322"/>
      <c r="L264" s="401"/>
      <c r="N264" s="18"/>
    </row>
    <row r="265">
      <c r="C265" s="164"/>
      <c r="K265" s="322"/>
      <c r="L265" s="401"/>
      <c r="N265" s="18"/>
    </row>
    <row r="266">
      <c r="C266" s="164"/>
      <c r="K266" s="322"/>
      <c r="L266" s="401"/>
      <c r="N266" s="18"/>
    </row>
    <row r="267">
      <c r="C267" s="164"/>
      <c r="K267" s="322"/>
      <c r="L267" s="401"/>
      <c r="N267" s="18"/>
    </row>
    <row r="268">
      <c r="C268" s="164"/>
      <c r="K268" s="322"/>
      <c r="L268" s="401"/>
      <c r="N268" s="18"/>
    </row>
    <row r="269">
      <c r="C269" s="164"/>
      <c r="K269" s="322"/>
      <c r="L269" s="401"/>
      <c r="N269" s="18"/>
    </row>
    <row r="270">
      <c r="C270" s="164"/>
      <c r="K270" s="322"/>
      <c r="L270" s="401"/>
      <c r="N270" s="18"/>
    </row>
    <row r="271">
      <c r="C271" s="164"/>
      <c r="K271" s="322"/>
      <c r="L271" s="401"/>
      <c r="N271" s="18"/>
    </row>
    <row r="272">
      <c r="C272" s="164"/>
      <c r="K272" s="322"/>
      <c r="L272" s="401"/>
      <c r="N272" s="18"/>
    </row>
    <row r="273">
      <c r="C273" s="164"/>
      <c r="K273" s="322"/>
      <c r="L273" s="401"/>
      <c r="N273" s="18"/>
    </row>
    <row r="274">
      <c r="C274" s="164"/>
      <c r="K274" s="322"/>
      <c r="L274" s="401"/>
      <c r="N274" s="18"/>
    </row>
    <row r="275">
      <c r="C275" s="164"/>
      <c r="K275" s="322"/>
      <c r="L275" s="401"/>
      <c r="N275" s="18"/>
    </row>
    <row r="276">
      <c r="C276" s="164"/>
      <c r="K276" s="322"/>
      <c r="L276" s="401"/>
      <c r="N276" s="18"/>
    </row>
    <row r="277">
      <c r="C277" s="164"/>
      <c r="K277" s="322"/>
      <c r="L277" s="401"/>
      <c r="N277" s="18"/>
    </row>
    <row r="278">
      <c r="C278" s="164"/>
      <c r="K278" s="322"/>
      <c r="L278" s="401"/>
      <c r="N278" s="18"/>
    </row>
    <row r="279">
      <c r="C279" s="164"/>
      <c r="K279" s="322"/>
      <c r="L279" s="401"/>
      <c r="N279" s="18"/>
    </row>
    <row r="280">
      <c r="C280" s="164"/>
      <c r="K280" s="322"/>
      <c r="L280" s="401"/>
      <c r="N280" s="18"/>
    </row>
    <row r="281">
      <c r="C281" s="164"/>
      <c r="K281" s="322"/>
      <c r="L281" s="401"/>
      <c r="N281" s="18"/>
    </row>
    <row r="282">
      <c r="C282" s="164"/>
      <c r="K282" s="322"/>
      <c r="L282" s="401"/>
      <c r="N282" s="18"/>
    </row>
    <row r="283">
      <c r="C283" s="164"/>
      <c r="K283" s="322"/>
      <c r="L283" s="401"/>
      <c r="N283" s="18"/>
    </row>
    <row r="284">
      <c r="C284" s="164"/>
      <c r="K284" s="322"/>
      <c r="L284" s="401"/>
      <c r="N284" s="18"/>
    </row>
    <row r="285">
      <c r="C285" s="164"/>
      <c r="K285" s="322"/>
      <c r="L285" s="401"/>
      <c r="N285" s="18"/>
    </row>
    <row r="286">
      <c r="C286" s="164"/>
      <c r="K286" s="322"/>
      <c r="L286" s="401"/>
      <c r="N286" s="18"/>
    </row>
    <row r="287">
      <c r="C287" s="164"/>
      <c r="K287" s="322"/>
      <c r="L287" s="401"/>
      <c r="N287" s="18"/>
    </row>
    <row r="288">
      <c r="C288" s="164"/>
      <c r="K288" s="322"/>
      <c r="L288" s="401"/>
      <c r="N288" s="18"/>
    </row>
    <row r="289">
      <c r="C289" s="164"/>
      <c r="K289" s="322"/>
      <c r="L289" s="401"/>
      <c r="N289" s="18"/>
    </row>
    <row r="290">
      <c r="C290" s="164"/>
      <c r="K290" s="322"/>
      <c r="L290" s="401"/>
      <c r="N290" s="18"/>
    </row>
    <row r="291">
      <c r="C291" s="164"/>
      <c r="K291" s="322"/>
      <c r="L291" s="401"/>
      <c r="N291" s="18"/>
    </row>
    <row r="292">
      <c r="C292" s="164"/>
      <c r="K292" s="322"/>
      <c r="L292" s="401"/>
      <c r="N292" s="18"/>
    </row>
    <row r="293">
      <c r="C293" s="164"/>
      <c r="K293" s="322"/>
      <c r="L293" s="401"/>
      <c r="N293" s="18"/>
    </row>
    <row r="294">
      <c r="C294" s="164"/>
      <c r="K294" s="322"/>
      <c r="L294" s="401"/>
      <c r="N294" s="18"/>
    </row>
    <row r="295">
      <c r="C295" s="164"/>
      <c r="K295" s="322"/>
      <c r="L295" s="401"/>
      <c r="N295" s="18"/>
    </row>
    <row r="296">
      <c r="C296" s="164"/>
      <c r="K296" s="322"/>
      <c r="L296" s="401"/>
      <c r="N296" s="18"/>
    </row>
    <row r="297">
      <c r="C297" s="164"/>
      <c r="K297" s="322"/>
      <c r="L297" s="401"/>
      <c r="N297" s="18"/>
    </row>
    <row r="298">
      <c r="C298" s="164"/>
      <c r="K298" s="322"/>
      <c r="L298" s="401"/>
      <c r="N298" s="18"/>
    </row>
    <row r="299">
      <c r="C299" s="164"/>
      <c r="K299" s="322"/>
      <c r="L299" s="401"/>
      <c r="N299" s="18"/>
    </row>
    <row r="300">
      <c r="C300" s="164"/>
      <c r="K300" s="322"/>
      <c r="L300" s="401"/>
      <c r="N300" s="18"/>
    </row>
    <row r="301">
      <c r="C301" s="164"/>
      <c r="K301" s="322"/>
      <c r="L301" s="401"/>
      <c r="N301" s="18"/>
    </row>
    <row r="302">
      <c r="C302" s="164"/>
      <c r="K302" s="322"/>
      <c r="L302" s="401"/>
      <c r="N302" s="18"/>
    </row>
    <row r="303">
      <c r="C303" s="164"/>
      <c r="K303" s="322"/>
      <c r="L303" s="401"/>
      <c r="N303" s="18"/>
    </row>
    <row r="304">
      <c r="C304" s="164"/>
      <c r="K304" s="322"/>
      <c r="L304" s="401"/>
      <c r="N304" s="18"/>
    </row>
    <row r="305">
      <c r="C305" s="164"/>
      <c r="K305" s="322"/>
      <c r="L305" s="401"/>
      <c r="N305" s="18"/>
    </row>
    <row r="306">
      <c r="C306" s="164"/>
      <c r="K306" s="322"/>
      <c r="L306" s="401"/>
      <c r="N306" s="18"/>
    </row>
    <row r="307">
      <c r="C307" s="164"/>
      <c r="K307" s="322"/>
      <c r="L307" s="401"/>
      <c r="N307" s="18"/>
    </row>
    <row r="308">
      <c r="C308" s="164"/>
      <c r="K308" s="322"/>
      <c r="L308" s="401"/>
      <c r="N308" s="18"/>
    </row>
    <row r="309">
      <c r="C309" s="164"/>
      <c r="K309" s="322"/>
      <c r="L309" s="401"/>
      <c r="N309" s="18"/>
    </row>
    <row r="310">
      <c r="C310" s="164"/>
      <c r="K310" s="322"/>
      <c r="L310" s="401"/>
      <c r="N310" s="18"/>
    </row>
    <row r="311">
      <c r="C311" s="164"/>
      <c r="K311" s="322"/>
      <c r="L311" s="401"/>
      <c r="N311" s="18"/>
    </row>
    <row r="312">
      <c r="C312" s="164"/>
      <c r="K312" s="322"/>
      <c r="L312" s="401"/>
      <c r="N312" s="18"/>
    </row>
    <row r="313">
      <c r="C313" s="164"/>
      <c r="K313" s="322"/>
      <c r="L313" s="401"/>
      <c r="N313" s="18"/>
    </row>
    <row r="314">
      <c r="C314" s="164"/>
      <c r="K314" s="322"/>
      <c r="L314" s="401"/>
      <c r="N314" s="18"/>
    </row>
    <row r="315">
      <c r="C315" s="164"/>
      <c r="K315" s="322"/>
      <c r="L315" s="401"/>
      <c r="N315" s="18"/>
    </row>
    <row r="316">
      <c r="C316" s="164"/>
      <c r="K316" s="322"/>
      <c r="L316" s="401"/>
      <c r="N316" s="18"/>
    </row>
    <row r="317">
      <c r="C317" s="164"/>
      <c r="K317" s="322"/>
      <c r="L317" s="401"/>
      <c r="N317" s="18"/>
    </row>
    <row r="318">
      <c r="C318" s="164"/>
      <c r="K318" s="322"/>
      <c r="L318" s="401"/>
      <c r="N318" s="18"/>
    </row>
    <row r="319">
      <c r="C319" s="164"/>
      <c r="K319" s="322"/>
      <c r="L319" s="401"/>
      <c r="N319" s="18"/>
    </row>
    <row r="320">
      <c r="C320" s="164"/>
      <c r="K320" s="322"/>
      <c r="L320" s="401"/>
      <c r="N320" s="18"/>
    </row>
    <row r="321">
      <c r="C321" s="164"/>
      <c r="K321" s="322"/>
      <c r="L321" s="401"/>
      <c r="N321" s="18"/>
    </row>
    <row r="322">
      <c r="C322" s="164"/>
      <c r="K322" s="322"/>
      <c r="L322" s="401"/>
      <c r="N322" s="18"/>
    </row>
    <row r="323">
      <c r="C323" s="164"/>
      <c r="K323" s="322"/>
      <c r="L323" s="401"/>
      <c r="N323" s="18"/>
    </row>
    <row r="324">
      <c r="C324" s="164"/>
      <c r="K324" s="322"/>
      <c r="L324" s="401"/>
      <c r="N324" s="18"/>
    </row>
    <row r="325">
      <c r="C325" s="164"/>
      <c r="K325" s="322"/>
      <c r="L325" s="401"/>
      <c r="N325" s="18"/>
    </row>
    <row r="326">
      <c r="C326" s="164"/>
      <c r="K326" s="322"/>
      <c r="L326" s="401"/>
      <c r="N326" s="18"/>
    </row>
    <row r="327">
      <c r="C327" s="164"/>
      <c r="K327" s="322"/>
      <c r="L327" s="401"/>
      <c r="N327" s="18"/>
    </row>
    <row r="328">
      <c r="C328" s="164"/>
      <c r="G328" s="404"/>
      <c r="H328" s="404"/>
      <c r="I328" s="404"/>
      <c r="K328" s="322"/>
      <c r="L328" s="401"/>
      <c r="N328" s="18"/>
    </row>
    <row r="329">
      <c r="C329" s="164"/>
      <c r="G329" s="404"/>
      <c r="H329" s="404"/>
      <c r="I329" s="404"/>
      <c r="K329" s="322"/>
      <c r="L329" s="401"/>
      <c r="N329" s="18"/>
    </row>
    <row r="330">
      <c r="C330" s="164"/>
      <c r="G330" s="404"/>
      <c r="H330" s="404"/>
      <c r="I330" s="404"/>
      <c r="K330" s="322"/>
      <c r="L330" s="401"/>
      <c r="N330" s="18"/>
    </row>
    <row r="331">
      <c r="C331" s="164"/>
      <c r="G331" s="404"/>
      <c r="H331" s="404"/>
      <c r="I331" s="404"/>
      <c r="K331" s="322"/>
      <c r="L331" s="401"/>
      <c r="N331" s="18"/>
    </row>
    <row r="332">
      <c r="C332" s="164"/>
      <c r="G332" s="404"/>
      <c r="H332" s="404"/>
      <c r="I332" s="404"/>
      <c r="K332" s="322"/>
      <c r="L332" s="401"/>
      <c r="N332" s="18"/>
    </row>
    <row r="333">
      <c r="C333" s="164"/>
      <c r="G333" s="404"/>
      <c r="H333" s="404"/>
      <c r="I333" s="404"/>
      <c r="K333" s="322"/>
      <c r="L333" s="401"/>
      <c r="N333" s="18"/>
    </row>
    <row r="334">
      <c r="C334" s="164"/>
      <c r="G334" s="404"/>
      <c r="H334" s="404"/>
      <c r="I334" s="404"/>
      <c r="K334" s="322"/>
      <c r="L334" s="401"/>
      <c r="N334" s="18"/>
    </row>
    <row r="335">
      <c r="C335" s="164"/>
      <c r="G335" s="404"/>
      <c r="H335" s="404"/>
      <c r="I335" s="404"/>
      <c r="K335" s="322"/>
      <c r="L335" s="401"/>
      <c r="N335" s="18"/>
    </row>
    <row r="336">
      <c r="C336" s="164"/>
      <c r="G336" s="404"/>
      <c r="H336" s="404"/>
      <c r="I336" s="404"/>
      <c r="K336" s="322"/>
      <c r="L336" s="401"/>
      <c r="N336" s="18"/>
    </row>
    <row r="337">
      <c r="C337" s="164"/>
      <c r="G337" s="404"/>
      <c r="H337" s="404"/>
      <c r="I337" s="404"/>
      <c r="K337" s="322"/>
      <c r="L337" s="401"/>
      <c r="N337" s="18"/>
    </row>
    <row r="338">
      <c r="C338" s="164"/>
      <c r="G338" s="404"/>
      <c r="H338" s="404"/>
      <c r="I338" s="404"/>
      <c r="K338" s="322"/>
      <c r="L338" s="401"/>
      <c r="N338" s="18"/>
    </row>
    <row r="339">
      <c r="C339" s="164"/>
      <c r="G339" s="404"/>
      <c r="H339" s="404"/>
      <c r="I339" s="404"/>
      <c r="K339" s="322"/>
      <c r="L339" s="401"/>
      <c r="N339" s="18"/>
    </row>
    <row r="340">
      <c r="C340" s="164"/>
      <c r="G340" s="404"/>
      <c r="H340" s="404"/>
      <c r="I340" s="404"/>
      <c r="K340" s="322"/>
      <c r="L340" s="401"/>
      <c r="N340" s="18"/>
    </row>
    <row r="341">
      <c r="C341" s="164"/>
      <c r="G341" s="404"/>
      <c r="H341" s="404"/>
      <c r="I341" s="404"/>
      <c r="K341" s="322"/>
      <c r="L341" s="401"/>
      <c r="N341" s="18"/>
    </row>
    <row r="342">
      <c r="C342" s="164"/>
      <c r="G342" s="404"/>
      <c r="H342" s="404"/>
      <c r="I342" s="404"/>
      <c r="K342" s="322"/>
      <c r="L342" s="401"/>
      <c r="N342" s="18"/>
    </row>
    <row r="343">
      <c r="C343" s="164"/>
      <c r="G343" s="404"/>
      <c r="H343" s="404"/>
      <c r="I343" s="404"/>
      <c r="K343" s="322"/>
      <c r="L343" s="401"/>
      <c r="N343" s="18"/>
    </row>
    <row r="344">
      <c r="C344" s="164"/>
      <c r="G344" s="404"/>
      <c r="H344" s="404"/>
      <c r="I344" s="404"/>
      <c r="K344" s="322"/>
      <c r="L344" s="401"/>
      <c r="N344" s="18"/>
    </row>
    <row r="345">
      <c r="C345" s="164"/>
      <c r="G345" s="404"/>
      <c r="H345" s="404"/>
      <c r="I345" s="404"/>
      <c r="K345" s="322"/>
      <c r="L345" s="401"/>
      <c r="N345" s="18"/>
    </row>
    <row r="346">
      <c r="C346" s="164"/>
      <c r="G346" s="404"/>
      <c r="H346" s="404"/>
      <c r="I346" s="404"/>
      <c r="K346" s="322"/>
      <c r="L346" s="401"/>
      <c r="N346" s="18"/>
    </row>
    <row r="347">
      <c r="C347" s="164"/>
      <c r="G347" s="404"/>
      <c r="H347" s="404"/>
      <c r="I347" s="404"/>
      <c r="K347" s="322"/>
      <c r="L347" s="401"/>
      <c r="N347" s="18"/>
    </row>
    <row r="348">
      <c r="C348" s="164"/>
      <c r="G348" s="404"/>
      <c r="H348" s="404"/>
      <c r="I348" s="404"/>
      <c r="K348" s="322"/>
      <c r="L348" s="401"/>
      <c r="N348" s="18"/>
    </row>
    <row r="349">
      <c r="C349" s="164"/>
      <c r="G349" s="404"/>
      <c r="H349" s="404"/>
      <c r="I349" s="404"/>
      <c r="K349" s="322"/>
      <c r="L349" s="401"/>
      <c r="N349" s="18"/>
    </row>
    <row r="350">
      <c r="C350" s="164"/>
      <c r="G350" s="404"/>
      <c r="H350" s="404"/>
      <c r="I350" s="404"/>
      <c r="K350" s="322"/>
      <c r="L350" s="401"/>
      <c r="N350" s="18"/>
    </row>
    <row r="351">
      <c r="C351" s="164"/>
      <c r="G351" s="404"/>
      <c r="H351" s="404"/>
      <c r="I351" s="404"/>
      <c r="K351" s="322"/>
      <c r="L351" s="401"/>
      <c r="N351" s="18"/>
    </row>
    <row r="352">
      <c r="C352" s="164"/>
      <c r="G352" s="404"/>
      <c r="H352" s="404"/>
      <c r="I352" s="404"/>
      <c r="K352" s="322"/>
      <c r="L352" s="401"/>
      <c r="N352" s="18"/>
    </row>
    <row r="353">
      <c r="C353" s="164"/>
      <c r="G353" s="404"/>
      <c r="H353" s="404"/>
      <c r="I353" s="404"/>
      <c r="K353" s="322"/>
      <c r="L353" s="401"/>
      <c r="N353" s="18"/>
    </row>
    <row r="354">
      <c r="C354" s="164"/>
      <c r="G354" s="404"/>
      <c r="H354" s="404"/>
      <c r="I354" s="404"/>
      <c r="K354" s="322"/>
      <c r="L354" s="401"/>
      <c r="N354" s="18"/>
    </row>
    <row r="355">
      <c r="C355" s="164"/>
      <c r="G355" s="404"/>
      <c r="H355" s="404"/>
      <c r="I355" s="404"/>
      <c r="K355" s="322"/>
      <c r="L355" s="401"/>
      <c r="N355" s="18"/>
    </row>
    <row r="356">
      <c r="C356" s="164"/>
      <c r="G356" s="404"/>
      <c r="H356" s="404"/>
      <c r="I356" s="404"/>
      <c r="K356" s="322"/>
      <c r="L356" s="401"/>
      <c r="N356" s="18"/>
    </row>
    <row r="357">
      <c r="C357" s="164"/>
      <c r="G357" s="404"/>
      <c r="H357" s="404"/>
      <c r="I357" s="404"/>
      <c r="K357" s="322"/>
      <c r="L357" s="401"/>
      <c r="N357" s="18"/>
    </row>
    <row r="358">
      <c r="C358" s="164"/>
      <c r="G358" s="404"/>
      <c r="H358" s="404"/>
      <c r="I358" s="404"/>
      <c r="K358" s="322"/>
      <c r="L358" s="401"/>
      <c r="N358" s="18"/>
    </row>
    <row r="359">
      <c r="C359" s="164"/>
      <c r="G359" s="404"/>
      <c r="H359" s="404"/>
      <c r="I359" s="404"/>
      <c r="K359" s="322"/>
      <c r="L359" s="401"/>
      <c r="N359" s="18"/>
    </row>
    <row r="360">
      <c r="C360" s="164"/>
      <c r="G360" s="404"/>
      <c r="H360" s="404"/>
      <c r="I360" s="404"/>
      <c r="K360" s="322"/>
      <c r="L360" s="401"/>
      <c r="N360" s="18"/>
    </row>
    <row r="361">
      <c r="C361" s="164"/>
      <c r="G361" s="404"/>
      <c r="H361" s="404"/>
      <c r="I361" s="404"/>
      <c r="K361" s="322"/>
      <c r="L361" s="401"/>
      <c r="N361" s="18"/>
    </row>
    <row r="362">
      <c r="C362" s="164"/>
      <c r="G362" s="404"/>
      <c r="H362" s="404"/>
      <c r="I362" s="404"/>
      <c r="K362" s="322"/>
      <c r="L362" s="401"/>
      <c r="N362" s="18"/>
    </row>
    <row r="363">
      <c r="C363" s="164"/>
      <c r="G363" s="404"/>
      <c r="H363" s="404"/>
      <c r="I363" s="404"/>
      <c r="K363" s="322"/>
      <c r="L363" s="401"/>
      <c r="N363" s="18"/>
    </row>
    <row r="364">
      <c r="C364" s="164"/>
      <c r="G364" s="404"/>
      <c r="H364" s="404"/>
      <c r="I364" s="404"/>
      <c r="K364" s="322"/>
      <c r="L364" s="401"/>
      <c r="N364" s="18"/>
    </row>
    <row r="365">
      <c r="C365" s="164"/>
      <c r="G365" s="404"/>
      <c r="H365" s="404"/>
      <c r="I365" s="404"/>
      <c r="K365" s="322"/>
      <c r="L365" s="401"/>
      <c r="N365" s="18"/>
    </row>
    <row r="366">
      <c r="C366" s="164"/>
      <c r="G366" s="404"/>
      <c r="H366" s="404"/>
      <c r="I366" s="404"/>
      <c r="K366" s="322"/>
      <c r="L366" s="401"/>
      <c r="N366" s="18"/>
    </row>
    <row r="367">
      <c r="C367" s="164"/>
      <c r="G367" s="404"/>
      <c r="H367" s="404"/>
      <c r="I367" s="404"/>
      <c r="K367" s="322"/>
      <c r="L367" s="401"/>
      <c r="N367" s="18"/>
    </row>
    <row r="368">
      <c r="C368" s="164"/>
      <c r="G368" s="404"/>
      <c r="H368" s="404"/>
      <c r="I368" s="404"/>
      <c r="K368" s="322"/>
      <c r="L368" s="401"/>
      <c r="N368" s="18"/>
    </row>
    <row r="369">
      <c r="C369" s="164"/>
      <c r="G369" s="404"/>
      <c r="H369" s="404"/>
      <c r="I369" s="404"/>
      <c r="K369" s="322"/>
      <c r="L369" s="401"/>
      <c r="N369" s="18"/>
    </row>
    <row r="370">
      <c r="C370" s="164"/>
      <c r="G370" s="404"/>
      <c r="H370" s="404"/>
      <c r="I370" s="404"/>
      <c r="K370" s="322"/>
      <c r="L370" s="401"/>
      <c r="N370" s="18"/>
    </row>
    <row r="371">
      <c r="C371" s="164"/>
      <c r="G371" s="404"/>
      <c r="H371" s="404"/>
      <c r="I371" s="404"/>
      <c r="K371" s="322"/>
      <c r="L371" s="401"/>
      <c r="N371" s="18"/>
    </row>
    <row r="372">
      <c r="C372" s="164"/>
      <c r="G372" s="404"/>
      <c r="H372" s="404"/>
      <c r="I372" s="404"/>
      <c r="K372" s="322"/>
      <c r="L372" s="401"/>
      <c r="N372" s="18"/>
    </row>
    <row r="373">
      <c r="C373" s="164"/>
      <c r="G373" s="404"/>
      <c r="H373" s="404"/>
      <c r="I373" s="404"/>
      <c r="K373" s="322"/>
      <c r="L373" s="401"/>
      <c r="N373" s="18"/>
    </row>
    <row r="374">
      <c r="C374" s="164"/>
      <c r="G374" s="404"/>
      <c r="H374" s="404"/>
      <c r="I374" s="404"/>
      <c r="K374" s="322"/>
      <c r="L374" s="401"/>
      <c r="N374" s="18"/>
    </row>
    <row r="375">
      <c r="C375" s="164"/>
      <c r="G375" s="404"/>
      <c r="H375" s="404"/>
      <c r="I375" s="404"/>
      <c r="K375" s="322"/>
      <c r="L375" s="401"/>
      <c r="N375" s="18"/>
    </row>
    <row r="376">
      <c r="C376" s="164"/>
      <c r="G376" s="404"/>
      <c r="H376" s="404"/>
      <c r="I376" s="404"/>
      <c r="K376" s="322"/>
      <c r="L376" s="401"/>
      <c r="N376" s="18"/>
    </row>
    <row r="377">
      <c r="C377" s="164"/>
      <c r="G377" s="404"/>
      <c r="H377" s="404"/>
      <c r="I377" s="404"/>
      <c r="K377" s="322"/>
      <c r="L377" s="401"/>
      <c r="N377" s="18"/>
    </row>
    <row r="378">
      <c r="C378" s="164"/>
      <c r="G378" s="404"/>
      <c r="H378" s="404"/>
      <c r="I378" s="404"/>
      <c r="K378" s="322"/>
      <c r="L378" s="401"/>
      <c r="N378" s="18"/>
    </row>
    <row r="379">
      <c r="C379" s="164"/>
      <c r="G379" s="404"/>
      <c r="H379" s="404"/>
      <c r="I379" s="404"/>
      <c r="K379" s="322"/>
      <c r="L379" s="401"/>
      <c r="N379" s="18"/>
    </row>
    <row r="380">
      <c r="C380" s="164"/>
      <c r="G380" s="404"/>
      <c r="H380" s="404"/>
      <c r="I380" s="404"/>
      <c r="K380" s="322"/>
      <c r="L380" s="401"/>
      <c r="N380" s="18"/>
    </row>
    <row r="381">
      <c r="C381" s="164"/>
      <c r="G381" s="404"/>
      <c r="H381" s="404"/>
      <c r="I381" s="404"/>
      <c r="K381" s="322"/>
      <c r="L381" s="401"/>
      <c r="N381" s="18"/>
    </row>
    <row r="382">
      <c r="C382" s="164"/>
      <c r="G382" s="404"/>
      <c r="H382" s="404"/>
      <c r="I382" s="404"/>
      <c r="K382" s="322"/>
      <c r="L382" s="401"/>
      <c r="N382" s="18"/>
    </row>
    <row r="383">
      <c r="C383" s="164"/>
      <c r="G383" s="404"/>
      <c r="H383" s="404"/>
      <c r="I383" s="404"/>
      <c r="K383" s="322"/>
      <c r="L383" s="401"/>
      <c r="N383" s="18"/>
    </row>
    <row r="384">
      <c r="C384" s="164"/>
      <c r="G384" s="404"/>
      <c r="H384" s="404"/>
      <c r="I384" s="404"/>
      <c r="K384" s="322"/>
      <c r="L384" s="401"/>
      <c r="N384" s="18"/>
    </row>
    <row r="385">
      <c r="C385" s="164"/>
      <c r="G385" s="404"/>
      <c r="H385" s="404"/>
      <c r="I385" s="404"/>
      <c r="K385" s="322"/>
      <c r="L385" s="401"/>
      <c r="N385" s="18"/>
    </row>
    <row r="386">
      <c r="C386" s="164"/>
      <c r="G386" s="404"/>
      <c r="H386" s="404"/>
      <c r="I386" s="404"/>
      <c r="K386" s="322"/>
      <c r="L386" s="401"/>
      <c r="N386" s="18"/>
    </row>
    <row r="387">
      <c r="C387" s="164"/>
      <c r="G387" s="404"/>
      <c r="H387" s="404"/>
      <c r="I387" s="404"/>
      <c r="K387" s="322"/>
      <c r="L387" s="401"/>
      <c r="N387" s="18"/>
    </row>
    <row r="388">
      <c r="C388" s="164"/>
      <c r="G388" s="404"/>
      <c r="H388" s="404"/>
      <c r="I388" s="404"/>
      <c r="K388" s="322"/>
      <c r="L388" s="401"/>
      <c r="N388" s="18"/>
    </row>
    <row r="389">
      <c r="C389" s="164"/>
      <c r="G389" s="404"/>
      <c r="H389" s="404"/>
      <c r="I389" s="404"/>
      <c r="K389" s="322"/>
      <c r="L389" s="401"/>
      <c r="N389" s="18"/>
    </row>
    <row r="390">
      <c r="C390" s="164"/>
      <c r="G390" s="404"/>
      <c r="H390" s="404"/>
      <c r="I390" s="404"/>
      <c r="K390" s="322"/>
      <c r="L390" s="401"/>
      <c r="N390" s="18"/>
    </row>
    <row r="391">
      <c r="C391" s="164"/>
      <c r="G391" s="404"/>
      <c r="H391" s="404"/>
      <c r="I391" s="404"/>
      <c r="K391" s="322"/>
      <c r="L391" s="401"/>
      <c r="N391" s="18"/>
    </row>
    <row r="392">
      <c r="C392" s="164"/>
      <c r="G392" s="404"/>
      <c r="H392" s="404"/>
      <c r="I392" s="404"/>
      <c r="K392" s="322"/>
      <c r="L392" s="401"/>
      <c r="N392" s="18"/>
    </row>
    <row r="393">
      <c r="C393" s="164"/>
      <c r="G393" s="404"/>
      <c r="H393" s="404"/>
      <c r="I393" s="404"/>
      <c r="K393" s="322"/>
      <c r="L393" s="401"/>
      <c r="N393" s="18"/>
    </row>
    <row r="394">
      <c r="C394" s="164"/>
      <c r="G394" s="404"/>
      <c r="H394" s="404"/>
      <c r="I394" s="404"/>
      <c r="K394" s="322"/>
      <c r="L394" s="401"/>
      <c r="N394" s="18"/>
    </row>
    <row r="395">
      <c r="C395" s="164"/>
      <c r="G395" s="404"/>
      <c r="H395" s="404"/>
      <c r="I395" s="404"/>
      <c r="K395" s="322"/>
      <c r="L395" s="401"/>
      <c r="N395" s="18"/>
    </row>
    <row r="396">
      <c r="C396" s="164"/>
      <c r="G396" s="404"/>
      <c r="H396" s="404"/>
      <c r="I396" s="404"/>
      <c r="K396" s="322"/>
      <c r="L396" s="401"/>
      <c r="N396" s="18"/>
    </row>
    <row r="397">
      <c r="C397" s="164"/>
      <c r="G397" s="404"/>
      <c r="H397" s="404"/>
      <c r="I397" s="404"/>
      <c r="K397" s="322"/>
      <c r="L397" s="401"/>
      <c r="N397" s="18"/>
    </row>
    <row r="398">
      <c r="C398" s="164"/>
      <c r="G398" s="404"/>
      <c r="H398" s="404"/>
      <c r="I398" s="404"/>
      <c r="K398" s="322"/>
      <c r="L398" s="401"/>
      <c r="N398" s="18"/>
    </row>
    <row r="399">
      <c r="C399" s="164"/>
      <c r="G399" s="404"/>
      <c r="H399" s="404"/>
      <c r="I399" s="404"/>
      <c r="K399" s="322"/>
      <c r="L399" s="401"/>
      <c r="N399" s="18"/>
    </row>
    <row r="400">
      <c r="C400" s="164"/>
      <c r="G400" s="404"/>
      <c r="H400" s="404"/>
      <c r="I400" s="404"/>
      <c r="K400" s="322"/>
      <c r="L400" s="401"/>
      <c r="N400" s="18"/>
    </row>
    <row r="401">
      <c r="C401" s="164"/>
      <c r="G401" s="404"/>
      <c r="H401" s="404"/>
      <c r="I401" s="404"/>
      <c r="K401" s="322"/>
      <c r="L401" s="401"/>
      <c r="N401" s="18"/>
    </row>
    <row r="402">
      <c r="C402" s="164"/>
      <c r="G402" s="404"/>
      <c r="H402" s="404"/>
      <c r="I402" s="404"/>
      <c r="K402" s="322"/>
      <c r="L402" s="401"/>
      <c r="N402" s="18"/>
    </row>
    <row r="403">
      <c r="C403" s="164"/>
      <c r="G403" s="404"/>
      <c r="H403" s="404"/>
      <c r="I403" s="404"/>
      <c r="K403" s="322"/>
      <c r="L403" s="401"/>
      <c r="N403" s="18"/>
    </row>
    <row r="404">
      <c r="C404" s="164"/>
      <c r="G404" s="404"/>
      <c r="H404" s="404"/>
      <c r="I404" s="404"/>
      <c r="K404" s="322"/>
      <c r="L404" s="401"/>
      <c r="N404" s="18"/>
    </row>
    <row r="405">
      <c r="C405" s="164"/>
      <c r="G405" s="404"/>
      <c r="H405" s="404"/>
      <c r="I405" s="404"/>
      <c r="K405" s="322"/>
      <c r="L405" s="401"/>
      <c r="N405" s="18"/>
    </row>
    <row r="406">
      <c r="C406" s="164"/>
      <c r="G406" s="404"/>
      <c r="H406" s="404"/>
      <c r="I406" s="404"/>
      <c r="K406" s="322"/>
      <c r="L406" s="401"/>
      <c r="N406" s="18"/>
    </row>
    <row r="407">
      <c r="C407" s="164"/>
      <c r="G407" s="404"/>
      <c r="H407" s="404"/>
      <c r="I407" s="404"/>
      <c r="K407" s="322"/>
      <c r="L407" s="401"/>
      <c r="N407" s="18"/>
    </row>
    <row r="408">
      <c r="C408" s="164"/>
      <c r="G408" s="404"/>
      <c r="H408" s="404"/>
      <c r="I408" s="404"/>
      <c r="K408" s="322"/>
      <c r="L408" s="401"/>
      <c r="N408" s="18"/>
    </row>
    <row r="409">
      <c r="C409" s="164"/>
      <c r="G409" s="404"/>
      <c r="H409" s="404"/>
      <c r="I409" s="404"/>
      <c r="K409" s="322"/>
      <c r="L409" s="401"/>
      <c r="N409" s="18"/>
    </row>
    <row r="410">
      <c r="C410" s="164"/>
      <c r="G410" s="404"/>
      <c r="H410" s="404"/>
      <c r="I410" s="404"/>
      <c r="K410" s="322"/>
      <c r="L410" s="401"/>
      <c r="N410" s="18"/>
    </row>
    <row r="411">
      <c r="C411" s="164"/>
      <c r="G411" s="404"/>
      <c r="H411" s="404"/>
      <c r="I411" s="404"/>
      <c r="K411" s="322"/>
      <c r="L411" s="401"/>
      <c r="N411" s="18"/>
    </row>
    <row r="412">
      <c r="C412" s="164"/>
      <c r="G412" s="404"/>
      <c r="H412" s="404"/>
      <c r="I412" s="404"/>
      <c r="K412" s="322"/>
      <c r="L412" s="401"/>
      <c r="N412" s="18"/>
    </row>
    <row r="413">
      <c r="C413" s="164"/>
      <c r="G413" s="404"/>
      <c r="H413" s="404"/>
      <c r="I413" s="404"/>
      <c r="K413" s="322"/>
      <c r="L413" s="401"/>
      <c r="N413" s="18"/>
    </row>
    <row r="414">
      <c r="C414" s="164"/>
      <c r="G414" s="404"/>
      <c r="H414" s="404"/>
      <c r="I414" s="404"/>
      <c r="K414" s="322"/>
      <c r="L414" s="401"/>
      <c r="N414" s="18"/>
    </row>
    <row r="415">
      <c r="C415" s="164"/>
      <c r="G415" s="404"/>
      <c r="H415" s="404"/>
      <c r="I415" s="404"/>
      <c r="K415" s="322"/>
      <c r="L415" s="401"/>
      <c r="N415" s="18"/>
    </row>
    <row r="416">
      <c r="C416" s="164"/>
      <c r="G416" s="404"/>
      <c r="H416" s="404"/>
      <c r="I416" s="404"/>
      <c r="K416" s="322"/>
      <c r="L416" s="401"/>
      <c r="N416" s="18"/>
    </row>
    <row r="417">
      <c r="C417" s="164"/>
      <c r="G417" s="404"/>
      <c r="H417" s="404"/>
      <c r="I417" s="404"/>
      <c r="K417" s="322"/>
      <c r="L417" s="401"/>
      <c r="N417" s="18"/>
    </row>
    <row r="418">
      <c r="C418" s="164"/>
      <c r="G418" s="404"/>
      <c r="H418" s="404"/>
      <c r="I418" s="404"/>
      <c r="K418" s="322"/>
      <c r="L418" s="401"/>
      <c r="N418" s="18"/>
    </row>
    <row r="419">
      <c r="C419" s="164"/>
      <c r="G419" s="404"/>
      <c r="H419" s="404"/>
      <c r="I419" s="404"/>
      <c r="K419" s="322"/>
      <c r="L419" s="401"/>
      <c r="N419" s="18"/>
    </row>
    <row r="420">
      <c r="C420" s="164"/>
      <c r="G420" s="404"/>
      <c r="H420" s="404"/>
      <c r="I420" s="404"/>
      <c r="K420" s="322"/>
      <c r="L420" s="401"/>
      <c r="N420" s="18"/>
    </row>
    <row r="421">
      <c r="C421" s="164"/>
      <c r="G421" s="404"/>
      <c r="H421" s="404"/>
      <c r="I421" s="404"/>
      <c r="K421" s="322"/>
      <c r="L421" s="401"/>
      <c r="N421" s="18"/>
    </row>
    <row r="422">
      <c r="C422" s="164"/>
      <c r="G422" s="404"/>
      <c r="H422" s="404"/>
      <c r="I422" s="404"/>
      <c r="K422" s="322"/>
      <c r="L422" s="401"/>
      <c r="N422" s="18"/>
    </row>
    <row r="423">
      <c r="C423" s="164"/>
      <c r="G423" s="404"/>
      <c r="H423" s="404"/>
      <c r="I423" s="404"/>
      <c r="K423" s="322"/>
      <c r="L423" s="401"/>
      <c r="N423" s="18"/>
    </row>
    <row r="424">
      <c r="C424" s="164"/>
      <c r="G424" s="404"/>
      <c r="H424" s="404"/>
      <c r="I424" s="404"/>
      <c r="K424" s="322"/>
      <c r="L424" s="401"/>
      <c r="N424" s="18"/>
    </row>
    <row r="425">
      <c r="C425" s="164"/>
      <c r="G425" s="404"/>
      <c r="H425" s="404"/>
      <c r="I425" s="404"/>
      <c r="K425" s="322"/>
      <c r="L425" s="401"/>
      <c r="N425" s="18"/>
    </row>
    <row r="426">
      <c r="C426" s="164"/>
      <c r="G426" s="404"/>
      <c r="H426" s="404"/>
      <c r="I426" s="404"/>
      <c r="K426" s="322"/>
      <c r="L426" s="401"/>
      <c r="N426" s="18"/>
    </row>
    <row r="427">
      <c r="C427" s="164"/>
      <c r="G427" s="404"/>
      <c r="H427" s="404"/>
      <c r="I427" s="404"/>
      <c r="K427" s="322"/>
      <c r="L427" s="401"/>
      <c r="N427" s="18"/>
    </row>
    <row r="428">
      <c r="C428" s="164"/>
      <c r="G428" s="404"/>
      <c r="H428" s="404"/>
      <c r="I428" s="404"/>
      <c r="K428" s="322"/>
      <c r="L428" s="401"/>
      <c r="N428" s="18"/>
    </row>
    <row r="429">
      <c r="C429" s="164"/>
      <c r="G429" s="404"/>
      <c r="H429" s="404"/>
      <c r="I429" s="404"/>
      <c r="K429" s="322"/>
      <c r="L429" s="401"/>
      <c r="N429" s="18"/>
    </row>
    <row r="430">
      <c r="C430" s="164"/>
      <c r="G430" s="404"/>
      <c r="H430" s="404"/>
      <c r="I430" s="404"/>
      <c r="K430" s="322"/>
      <c r="L430" s="401"/>
      <c r="N430" s="18"/>
    </row>
    <row r="431">
      <c r="C431" s="164"/>
      <c r="G431" s="404"/>
      <c r="H431" s="404"/>
      <c r="I431" s="404"/>
      <c r="K431" s="322"/>
      <c r="L431" s="401"/>
      <c r="N431" s="18"/>
    </row>
    <row r="432">
      <c r="C432" s="164"/>
      <c r="G432" s="404"/>
      <c r="H432" s="404"/>
      <c r="I432" s="404"/>
      <c r="K432" s="322"/>
      <c r="L432" s="401"/>
      <c r="N432" s="18"/>
    </row>
    <row r="433">
      <c r="C433" s="164"/>
      <c r="G433" s="404"/>
      <c r="H433" s="404"/>
      <c r="I433" s="404"/>
      <c r="K433" s="322"/>
      <c r="L433" s="401"/>
      <c r="N433" s="18"/>
    </row>
    <row r="434">
      <c r="C434" s="164"/>
      <c r="G434" s="404"/>
      <c r="H434" s="404"/>
      <c r="I434" s="404"/>
      <c r="K434" s="322"/>
      <c r="L434" s="401"/>
      <c r="N434" s="18"/>
    </row>
    <row r="435">
      <c r="C435" s="164"/>
      <c r="G435" s="404"/>
      <c r="H435" s="404"/>
      <c r="I435" s="404"/>
      <c r="K435" s="322"/>
      <c r="L435" s="401"/>
      <c r="N435" s="18"/>
    </row>
    <row r="436">
      <c r="C436" s="164"/>
      <c r="G436" s="404"/>
      <c r="H436" s="404"/>
      <c r="I436" s="404"/>
      <c r="K436" s="322"/>
      <c r="L436" s="401"/>
      <c r="N436" s="18"/>
    </row>
    <row r="437">
      <c r="C437" s="164"/>
      <c r="G437" s="404"/>
      <c r="H437" s="404"/>
      <c r="I437" s="404"/>
      <c r="K437" s="322"/>
      <c r="L437" s="401"/>
      <c r="N437" s="18"/>
    </row>
    <row r="438">
      <c r="C438" s="164"/>
      <c r="G438" s="404"/>
      <c r="H438" s="404"/>
      <c r="I438" s="404"/>
      <c r="K438" s="322"/>
      <c r="L438" s="401"/>
      <c r="N438" s="18"/>
    </row>
    <row r="439">
      <c r="C439" s="164"/>
      <c r="G439" s="404"/>
      <c r="H439" s="404"/>
      <c r="I439" s="404"/>
      <c r="K439" s="322"/>
      <c r="L439" s="401"/>
      <c r="N439" s="18"/>
    </row>
    <row r="440">
      <c r="C440" s="164"/>
      <c r="G440" s="404"/>
      <c r="H440" s="404"/>
      <c r="I440" s="404"/>
      <c r="K440" s="322"/>
      <c r="L440" s="401"/>
      <c r="N440" s="18"/>
    </row>
    <row r="441">
      <c r="C441" s="164"/>
      <c r="G441" s="404"/>
      <c r="H441" s="404"/>
      <c r="I441" s="404"/>
      <c r="K441" s="322"/>
      <c r="L441" s="401"/>
      <c r="N441" s="18"/>
    </row>
    <row r="442">
      <c r="C442" s="164"/>
      <c r="G442" s="404"/>
      <c r="H442" s="404"/>
      <c r="I442" s="404"/>
      <c r="K442" s="322"/>
      <c r="L442" s="401"/>
      <c r="N442" s="18"/>
    </row>
    <row r="443">
      <c r="C443" s="164"/>
      <c r="G443" s="404"/>
      <c r="H443" s="404"/>
      <c r="I443" s="404"/>
      <c r="K443" s="322"/>
      <c r="L443" s="401"/>
      <c r="N443" s="18"/>
    </row>
    <row r="444">
      <c r="C444" s="164"/>
      <c r="G444" s="404"/>
      <c r="H444" s="404"/>
      <c r="I444" s="404"/>
      <c r="K444" s="322"/>
      <c r="L444" s="401"/>
      <c r="N444" s="18"/>
    </row>
    <row r="445">
      <c r="C445" s="164"/>
      <c r="G445" s="404"/>
      <c r="H445" s="404"/>
      <c r="I445" s="404"/>
      <c r="K445" s="322"/>
      <c r="L445" s="401"/>
      <c r="N445" s="18"/>
    </row>
    <row r="446">
      <c r="C446" s="164"/>
      <c r="G446" s="404"/>
      <c r="H446" s="404"/>
      <c r="I446" s="404"/>
      <c r="K446" s="322"/>
      <c r="L446" s="401"/>
      <c r="N446" s="18"/>
    </row>
    <row r="447">
      <c r="C447" s="164"/>
      <c r="G447" s="404"/>
      <c r="H447" s="404"/>
      <c r="I447" s="404"/>
      <c r="K447" s="322"/>
      <c r="L447" s="401"/>
      <c r="N447" s="18"/>
    </row>
    <row r="448">
      <c r="C448" s="164"/>
      <c r="G448" s="404"/>
      <c r="H448" s="404"/>
      <c r="I448" s="404"/>
      <c r="K448" s="322"/>
      <c r="L448" s="401"/>
      <c r="N448" s="18"/>
    </row>
    <row r="449">
      <c r="C449" s="164"/>
      <c r="G449" s="404"/>
      <c r="H449" s="404"/>
      <c r="I449" s="404"/>
      <c r="K449" s="322"/>
      <c r="L449" s="401"/>
      <c r="N449" s="18"/>
    </row>
    <row r="450">
      <c r="C450" s="164"/>
      <c r="G450" s="404"/>
      <c r="H450" s="404"/>
      <c r="I450" s="404"/>
      <c r="K450" s="322"/>
      <c r="L450" s="401"/>
      <c r="N450" s="18"/>
    </row>
    <row r="451">
      <c r="C451" s="164"/>
      <c r="G451" s="404"/>
      <c r="H451" s="404"/>
      <c r="I451" s="404"/>
      <c r="K451" s="322"/>
      <c r="L451" s="401"/>
      <c r="N451" s="18"/>
    </row>
    <row r="452">
      <c r="C452" s="164"/>
      <c r="G452" s="404"/>
      <c r="H452" s="404"/>
      <c r="I452" s="404"/>
      <c r="K452" s="322"/>
      <c r="L452" s="401"/>
      <c r="N452" s="18"/>
    </row>
    <row r="453">
      <c r="C453" s="164"/>
      <c r="G453" s="404"/>
      <c r="H453" s="404"/>
      <c r="I453" s="404"/>
      <c r="K453" s="322"/>
      <c r="L453" s="401"/>
      <c r="N453" s="18"/>
    </row>
    <row r="454">
      <c r="C454" s="164"/>
      <c r="G454" s="404"/>
      <c r="H454" s="404"/>
      <c r="I454" s="404"/>
      <c r="K454" s="322"/>
      <c r="L454" s="401"/>
      <c r="N454" s="18"/>
    </row>
    <row r="455">
      <c r="C455" s="164"/>
      <c r="G455" s="404"/>
      <c r="H455" s="404"/>
      <c r="I455" s="404"/>
      <c r="K455" s="322"/>
      <c r="L455" s="401"/>
      <c r="N455" s="18"/>
    </row>
    <row r="456">
      <c r="C456" s="164"/>
      <c r="G456" s="404"/>
      <c r="H456" s="404"/>
      <c r="I456" s="404"/>
      <c r="K456" s="322"/>
      <c r="L456" s="401"/>
      <c r="N456" s="18"/>
    </row>
    <row r="457">
      <c r="C457" s="164"/>
      <c r="G457" s="404"/>
      <c r="H457" s="404"/>
      <c r="I457" s="404"/>
      <c r="K457" s="322"/>
      <c r="L457" s="401"/>
      <c r="N457" s="18"/>
    </row>
    <row r="458">
      <c r="C458" s="164"/>
      <c r="G458" s="404"/>
      <c r="H458" s="404"/>
      <c r="I458" s="404"/>
      <c r="K458" s="322"/>
      <c r="L458" s="401"/>
      <c r="N458" s="18"/>
    </row>
    <row r="459">
      <c r="C459" s="164"/>
      <c r="G459" s="404"/>
      <c r="H459" s="404"/>
      <c r="I459" s="404"/>
      <c r="K459" s="322"/>
      <c r="L459" s="401"/>
      <c r="N459" s="18"/>
    </row>
    <row r="460">
      <c r="C460" s="164"/>
      <c r="G460" s="404"/>
      <c r="H460" s="404"/>
      <c r="I460" s="404"/>
      <c r="K460" s="322"/>
      <c r="L460" s="401"/>
      <c r="N460" s="18"/>
    </row>
    <row r="461">
      <c r="C461" s="164"/>
      <c r="G461" s="404"/>
      <c r="H461" s="404"/>
      <c r="I461" s="404"/>
      <c r="K461" s="322"/>
      <c r="L461" s="401"/>
      <c r="N461" s="18"/>
    </row>
    <row r="462">
      <c r="C462" s="164"/>
      <c r="G462" s="404"/>
      <c r="H462" s="404"/>
      <c r="I462" s="404"/>
      <c r="K462" s="322"/>
      <c r="L462" s="401"/>
      <c r="N462" s="18"/>
    </row>
    <row r="463">
      <c r="C463" s="164"/>
      <c r="G463" s="404"/>
      <c r="H463" s="404"/>
      <c r="I463" s="404"/>
      <c r="K463" s="322"/>
      <c r="L463" s="401"/>
      <c r="N463" s="18"/>
    </row>
    <row r="464">
      <c r="C464" s="164"/>
      <c r="G464" s="404"/>
      <c r="H464" s="404"/>
      <c r="I464" s="404"/>
      <c r="K464" s="322"/>
      <c r="L464" s="401"/>
      <c r="N464" s="18"/>
    </row>
    <row r="465">
      <c r="C465" s="164"/>
      <c r="G465" s="404"/>
      <c r="H465" s="404"/>
      <c r="I465" s="404"/>
      <c r="K465" s="322"/>
      <c r="L465" s="401"/>
      <c r="N465" s="18"/>
    </row>
    <row r="466">
      <c r="C466" s="164"/>
      <c r="G466" s="404"/>
      <c r="H466" s="404"/>
      <c r="I466" s="404"/>
      <c r="K466" s="322"/>
      <c r="L466" s="401"/>
      <c r="N466" s="18"/>
    </row>
    <row r="467">
      <c r="C467" s="164"/>
      <c r="G467" s="404"/>
      <c r="H467" s="404"/>
      <c r="I467" s="404"/>
      <c r="K467" s="322"/>
      <c r="L467" s="401"/>
      <c r="N467" s="18"/>
    </row>
    <row r="468">
      <c r="C468" s="164"/>
      <c r="G468" s="404"/>
      <c r="H468" s="404"/>
      <c r="I468" s="404"/>
      <c r="K468" s="322"/>
      <c r="L468" s="401"/>
      <c r="N468" s="18"/>
    </row>
    <row r="469">
      <c r="C469" s="164"/>
      <c r="G469" s="404"/>
      <c r="H469" s="404"/>
      <c r="I469" s="404"/>
      <c r="K469" s="322"/>
      <c r="L469" s="401"/>
      <c r="N469" s="18"/>
    </row>
    <row r="470">
      <c r="C470" s="164"/>
      <c r="G470" s="404"/>
      <c r="H470" s="404"/>
      <c r="I470" s="404"/>
      <c r="K470" s="322"/>
      <c r="L470" s="401"/>
      <c r="N470" s="18"/>
    </row>
    <row r="471">
      <c r="C471" s="164"/>
      <c r="G471" s="404"/>
      <c r="H471" s="404"/>
      <c r="I471" s="404"/>
      <c r="K471" s="322"/>
      <c r="L471" s="401"/>
      <c r="N471" s="18"/>
    </row>
    <row r="472">
      <c r="C472" s="164"/>
      <c r="G472" s="404"/>
      <c r="H472" s="404"/>
      <c r="I472" s="404"/>
      <c r="K472" s="322"/>
      <c r="L472" s="401"/>
      <c r="N472" s="18"/>
    </row>
    <row r="473">
      <c r="C473" s="164"/>
      <c r="G473" s="404"/>
      <c r="H473" s="404"/>
      <c r="I473" s="404"/>
      <c r="K473" s="322"/>
      <c r="L473" s="401"/>
      <c r="N473" s="18"/>
    </row>
    <row r="474">
      <c r="C474" s="164"/>
      <c r="G474" s="404"/>
      <c r="H474" s="404"/>
      <c r="I474" s="404"/>
      <c r="K474" s="322"/>
      <c r="L474" s="401"/>
      <c r="N474" s="18"/>
    </row>
    <row r="475">
      <c r="C475" s="164"/>
      <c r="G475" s="404"/>
      <c r="H475" s="404"/>
      <c r="I475" s="404"/>
      <c r="K475" s="322"/>
      <c r="L475" s="401"/>
      <c r="N475" s="18"/>
    </row>
    <row r="476">
      <c r="C476" s="164"/>
      <c r="G476" s="404"/>
      <c r="H476" s="404"/>
      <c r="I476" s="404"/>
      <c r="K476" s="322"/>
      <c r="L476" s="401"/>
      <c r="N476" s="18"/>
    </row>
    <row r="477">
      <c r="C477" s="164"/>
      <c r="G477" s="404"/>
      <c r="H477" s="404"/>
      <c r="I477" s="404"/>
      <c r="K477" s="322"/>
      <c r="L477" s="401"/>
      <c r="N477" s="18"/>
    </row>
    <row r="478">
      <c r="C478" s="164"/>
      <c r="G478" s="404"/>
      <c r="H478" s="404"/>
      <c r="I478" s="404"/>
      <c r="K478" s="322"/>
      <c r="L478" s="401"/>
      <c r="N478" s="18"/>
    </row>
    <row r="479">
      <c r="C479" s="164"/>
      <c r="G479" s="404"/>
      <c r="H479" s="404"/>
      <c r="I479" s="404"/>
      <c r="K479" s="322"/>
      <c r="L479" s="401"/>
      <c r="N479" s="18"/>
    </row>
    <row r="480">
      <c r="C480" s="164"/>
      <c r="G480" s="404"/>
      <c r="H480" s="404"/>
      <c r="I480" s="404"/>
      <c r="K480" s="322"/>
      <c r="L480" s="401"/>
      <c r="N480" s="18"/>
    </row>
    <row r="481">
      <c r="C481" s="164"/>
      <c r="G481" s="404"/>
      <c r="H481" s="404"/>
      <c r="I481" s="404"/>
      <c r="K481" s="322"/>
      <c r="L481" s="401"/>
      <c r="N481" s="18"/>
    </row>
    <row r="482">
      <c r="C482" s="164"/>
      <c r="G482" s="404"/>
      <c r="H482" s="404"/>
      <c r="I482" s="404"/>
      <c r="K482" s="322"/>
      <c r="L482" s="401"/>
      <c r="N482" s="18"/>
    </row>
    <row r="483">
      <c r="C483" s="164"/>
      <c r="G483" s="404"/>
      <c r="H483" s="404"/>
      <c r="I483" s="404"/>
      <c r="K483" s="322"/>
      <c r="L483" s="401"/>
      <c r="N483" s="18"/>
    </row>
    <row r="484">
      <c r="C484" s="164"/>
      <c r="G484" s="404"/>
      <c r="H484" s="404"/>
      <c r="I484" s="404"/>
      <c r="K484" s="322"/>
      <c r="L484" s="401"/>
      <c r="N484" s="18"/>
    </row>
    <row r="485">
      <c r="C485" s="164"/>
      <c r="G485" s="404"/>
      <c r="H485" s="404"/>
      <c r="I485" s="404"/>
      <c r="K485" s="322"/>
      <c r="L485" s="401"/>
      <c r="N485" s="18"/>
    </row>
    <row r="486">
      <c r="C486" s="164"/>
      <c r="G486" s="404"/>
      <c r="H486" s="404"/>
      <c r="I486" s="404"/>
      <c r="K486" s="322"/>
      <c r="L486" s="401"/>
      <c r="N486" s="18"/>
    </row>
    <row r="487">
      <c r="C487" s="164"/>
      <c r="G487" s="404"/>
      <c r="H487" s="404"/>
      <c r="I487" s="404"/>
      <c r="K487" s="322"/>
      <c r="L487" s="401"/>
      <c r="N487" s="18"/>
    </row>
  </sheetData>
  <autoFilter ref="$A$3:$X$487">
    <sortState ref="A3:X487">
      <sortCondition descending="1" ref="L3:L487"/>
      <sortCondition descending="1" ref="N3:N487"/>
      <sortCondition ref="A3:A487"/>
    </sortState>
  </autoFilter>
  <hyperlinks>
    <hyperlink r:id="rId2" ref="C2"/>
  </hyperlinks>
  <drawing r:id="rId3"/>
  <legacyDrawing r:id="rId4"/>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5" t="s">
        <v>4187</v>
      </c>
      <c r="B1" s="2">
        <f>sum(B3:B1003)</f>
        <v>408.06</v>
      </c>
      <c r="Z1" s="107"/>
    </row>
    <row r="2">
      <c r="A2" s="434" t="s">
        <v>424</v>
      </c>
      <c r="B2" s="435" t="s">
        <v>2</v>
      </c>
      <c r="C2" s="107"/>
      <c r="D2" s="107"/>
      <c r="E2" s="107"/>
      <c r="F2" s="107"/>
      <c r="G2" s="107"/>
      <c r="H2" s="107"/>
      <c r="I2" s="107"/>
      <c r="J2" s="107"/>
      <c r="K2" s="107"/>
      <c r="L2" s="107"/>
      <c r="M2" s="107"/>
      <c r="N2" s="107"/>
      <c r="O2" s="107"/>
      <c r="P2" s="107"/>
      <c r="Q2" s="107"/>
      <c r="R2" s="107"/>
      <c r="S2" s="107"/>
      <c r="T2" s="107"/>
      <c r="U2" s="107"/>
      <c r="V2" s="107"/>
      <c r="W2" s="107"/>
      <c r="X2" s="107"/>
      <c r="Y2" s="107"/>
      <c r="Z2" s="107"/>
    </row>
    <row r="3">
      <c r="A3" s="113" t="s">
        <v>8</v>
      </c>
      <c r="B3" s="322">
        <v>43.346578794340004</v>
      </c>
    </row>
    <row r="4">
      <c r="A4" s="113" t="s">
        <v>9</v>
      </c>
      <c r="B4" s="322">
        <v>36.46540027137042</v>
      </c>
    </row>
    <row r="5">
      <c r="A5" s="113" t="s">
        <v>40</v>
      </c>
      <c r="B5" s="322">
        <v>31.181753569813267</v>
      </c>
    </row>
    <row r="6">
      <c r="A6" s="113" t="s">
        <v>53</v>
      </c>
      <c r="B6" s="322">
        <v>28.21121664405247</v>
      </c>
    </row>
    <row r="7">
      <c r="A7" s="113" t="s">
        <v>6</v>
      </c>
      <c r="B7" s="322">
        <v>22.315371195968208</v>
      </c>
    </row>
    <row r="8">
      <c r="A8" s="113" t="s">
        <v>65</v>
      </c>
      <c r="B8" s="322">
        <v>21.83724235963042</v>
      </c>
    </row>
    <row r="9">
      <c r="A9" s="113" t="s">
        <v>14</v>
      </c>
      <c r="B9" s="322">
        <v>19.91180461329715</v>
      </c>
    </row>
    <row r="10">
      <c r="A10" s="113" t="s">
        <v>29</v>
      </c>
      <c r="B10" s="322">
        <v>19.598436389481165</v>
      </c>
    </row>
    <row r="11">
      <c r="A11" s="113" t="s">
        <v>62</v>
      </c>
      <c r="B11" s="322">
        <v>17.98636686696388</v>
      </c>
    </row>
    <row r="12">
      <c r="A12" s="113" t="s">
        <v>74</v>
      </c>
      <c r="B12" s="322">
        <v>17.98636686696388</v>
      </c>
    </row>
    <row r="13">
      <c r="A13" s="113" t="s">
        <v>80</v>
      </c>
      <c r="B13" s="322">
        <v>17.98636686696388</v>
      </c>
    </row>
    <row r="14">
      <c r="A14" s="113" t="s">
        <v>66</v>
      </c>
      <c r="B14" s="322">
        <v>17.98636686696388</v>
      </c>
    </row>
    <row r="15">
      <c r="A15" s="113" t="s">
        <v>34</v>
      </c>
      <c r="B15" s="322">
        <v>17.98636686696388</v>
      </c>
    </row>
    <row r="16">
      <c r="A16" s="113" t="s">
        <v>116</v>
      </c>
      <c r="B16" s="322">
        <v>12.463655747237837</v>
      </c>
    </row>
    <row r="17">
      <c r="A17" s="113" t="s">
        <v>52</v>
      </c>
      <c r="B17" s="322">
        <v>8.806616269302836</v>
      </c>
    </row>
    <row r="18">
      <c r="A18" s="113" t="s">
        <v>19</v>
      </c>
      <c r="B18" s="322">
        <v>7.627447179685985</v>
      </c>
    </row>
    <row r="19">
      <c r="A19" s="113" t="s">
        <v>64</v>
      </c>
      <c r="B19" s="322">
        <v>6.821412418427344</v>
      </c>
    </row>
    <row r="20">
      <c r="A20" s="113" t="s">
        <v>92</v>
      </c>
      <c r="B20" s="322">
        <v>5.149576791367837</v>
      </c>
    </row>
    <row r="21">
      <c r="A21" s="113" t="s">
        <v>140</v>
      </c>
      <c r="B21" s="322">
        <v>4.403308134651418</v>
      </c>
    </row>
    <row r="22">
      <c r="A22" s="113" t="s">
        <v>146</v>
      </c>
      <c r="B22" s="322">
        <v>4.3435420301091945</v>
      </c>
    </row>
    <row r="23">
      <c r="A23" s="414" t="s">
        <v>16</v>
      </c>
      <c r="B23" s="436">
        <v>4.03</v>
      </c>
      <c r="C23" s="414" t="s">
        <v>3944</v>
      </c>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c r="A24" s="437" t="s">
        <v>77</v>
      </c>
      <c r="B24" s="418">
        <v>4.0301738062932095</v>
      </c>
      <c r="C24" s="414"/>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c r="A25" s="414" t="s">
        <v>18</v>
      </c>
      <c r="B25" s="436">
        <v>4.03</v>
      </c>
      <c r="C25" s="414" t="s">
        <v>3944</v>
      </c>
      <c r="D25" s="120"/>
      <c r="E25" s="120"/>
      <c r="F25" s="120"/>
      <c r="G25" s="120"/>
      <c r="H25" s="120"/>
      <c r="I25" s="120"/>
      <c r="J25" s="120"/>
      <c r="K25" s="120"/>
      <c r="L25" s="120"/>
      <c r="M25" s="120"/>
      <c r="N25" s="120"/>
      <c r="O25" s="120"/>
      <c r="P25" s="120"/>
      <c r="Q25" s="120"/>
      <c r="R25" s="120"/>
      <c r="S25" s="120"/>
      <c r="T25" s="120"/>
      <c r="U25" s="120"/>
      <c r="V25" s="120"/>
      <c r="W25" s="120"/>
      <c r="X25" s="120"/>
      <c r="Y25" s="120"/>
      <c r="Z25" s="120"/>
    </row>
    <row r="26">
      <c r="A26" s="113" t="s">
        <v>88</v>
      </c>
      <c r="B26" s="322">
        <v>4.0301738062932095</v>
      </c>
    </row>
    <row r="27">
      <c r="A27" s="113" t="s">
        <v>37</v>
      </c>
      <c r="B27" s="322">
        <v>4.0301738062932095</v>
      </c>
    </row>
    <row r="28">
      <c r="A28" s="113" t="s">
        <v>224</v>
      </c>
      <c r="B28" s="322">
        <v>2.3583381792337015</v>
      </c>
    </row>
    <row r="29">
      <c r="A29" s="113" t="s">
        <v>180</v>
      </c>
      <c r="B29" s="322">
        <v>1.9852038508754926</v>
      </c>
    </row>
    <row r="30">
      <c r="A30" s="113" t="s">
        <v>127</v>
      </c>
      <c r="B30" s="322">
        <v>1.9852038508754926</v>
      </c>
    </row>
    <row r="31">
      <c r="A31" s="113" t="s">
        <v>84</v>
      </c>
      <c r="B31" s="322">
        <v>1.9852038508754926</v>
      </c>
    </row>
    <row r="32">
      <c r="A32" s="113" t="s">
        <v>143</v>
      </c>
      <c r="B32" s="322">
        <v>1.9852038508754926</v>
      </c>
    </row>
    <row r="33">
      <c r="A33" s="113" t="s">
        <v>133</v>
      </c>
      <c r="B33" s="322">
        <v>1.9852038508754926</v>
      </c>
    </row>
    <row r="34">
      <c r="A34" s="113" t="s">
        <v>210</v>
      </c>
      <c r="B34" s="322">
        <v>1.6120695225172836</v>
      </c>
    </row>
    <row r="35">
      <c r="A35" s="113" t="s">
        <v>212</v>
      </c>
      <c r="B35" s="322">
        <v>1.6120695225172836</v>
      </c>
    </row>
    <row r="36">
      <c r="A36" s="113" t="s">
        <v>253</v>
      </c>
      <c r="B36" s="322">
        <v>1.6120695225172836</v>
      </c>
    </row>
    <row r="37">
      <c r="A37" s="113" t="s">
        <v>170</v>
      </c>
      <c r="B37" s="322">
        <v>1.6120695225172836</v>
      </c>
    </row>
    <row r="38">
      <c r="A38" s="113" t="s">
        <v>47</v>
      </c>
      <c r="B38" s="322">
        <v>1.1791690896168507</v>
      </c>
    </row>
    <row r="39">
      <c r="A39" s="113" t="s">
        <v>166</v>
      </c>
      <c r="B39" s="322">
        <v>1.1791690896168507</v>
      </c>
    </row>
    <row r="40">
      <c r="A40" s="113" t="s">
        <v>89</v>
      </c>
      <c r="B40" s="322">
        <v>1.1791690896168507</v>
      </c>
    </row>
    <row r="41">
      <c r="A41" s="113" t="s">
        <v>314</v>
      </c>
      <c r="B41" s="322">
        <v>0.8060347612586418</v>
      </c>
    </row>
    <row r="42">
      <c r="A42" s="113" t="s">
        <v>79</v>
      </c>
      <c r="B42" s="322">
        <v>0.8060347612586418</v>
      </c>
    </row>
    <row r="43">
      <c r="A43" s="113" t="s">
        <v>124</v>
      </c>
      <c r="B43" s="322">
        <v>0.8060347612586418</v>
      </c>
    </row>
    <row r="44">
      <c r="A44" s="113" t="s">
        <v>138</v>
      </c>
      <c r="B44" s="322">
        <v>0.8060347612586418</v>
      </c>
    </row>
    <row r="45">
      <c r="B45" s="322"/>
    </row>
    <row r="46">
      <c r="B46" s="322"/>
    </row>
    <row r="47">
      <c r="B47" s="322"/>
    </row>
    <row r="48">
      <c r="B48" s="322"/>
    </row>
    <row r="49">
      <c r="B49" s="322"/>
    </row>
    <row r="50">
      <c r="B50" s="322"/>
    </row>
    <row r="51">
      <c r="B51" s="322"/>
    </row>
    <row r="52">
      <c r="B52" s="322"/>
    </row>
    <row r="53">
      <c r="B53" s="322"/>
    </row>
    <row r="54">
      <c r="B54" s="322"/>
    </row>
    <row r="55">
      <c r="B55" s="322"/>
    </row>
    <row r="56">
      <c r="B56" s="322"/>
    </row>
    <row r="57">
      <c r="B57" s="322"/>
    </row>
    <row r="58">
      <c r="B58" s="322"/>
    </row>
    <row r="59">
      <c r="B59" s="322"/>
    </row>
    <row r="60">
      <c r="B60" s="322"/>
    </row>
    <row r="61">
      <c r="B61" s="322"/>
    </row>
    <row r="62">
      <c r="B62" s="322"/>
    </row>
    <row r="63">
      <c r="B63" s="322"/>
    </row>
    <row r="64">
      <c r="B64" s="322"/>
    </row>
    <row r="65">
      <c r="B65" s="322"/>
    </row>
    <row r="66">
      <c r="B66" s="322"/>
    </row>
    <row r="67">
      <c r="B67" s="322"/>
    </row>
    <row r="68">
      <c r="B68" s="322"/>
    </row>
    <row r="69">
      <c r="B69" s="322"/>
    </row>
    <row r="70">
      <c r="B70" s="322"/>
    </row>
    <row r="71">
      <c r="B71" s="322"/>
    </row>
    <row r="72">
      <c r="B72" s="322"/>
    </row>
    <row r="73">
      <c r="B73" s="322"/>
    </row>
    <row r="74">
      <c r="B74" s="322"/>
    </row>
    <row r="75">
      <c r="B75" s="322"/>
    </row>
    <row r="76">
      <c r="B76" s="322"/>
    </row>
    <row r="77">
      <c r="B77" s="322"/>
    </row>
    <row r="78">
      <c r="B78" s="322"/>
    </row>
    <row r="79">
      <c r="B79" s="322"/>
    </row>
    <row r="80">
      <c r="B80" s="322"/>
    </row>
    <row r="81">
      <c r="B81" s="322"/>
    </row>
    <row r="82">
      <c r="B82" s="322"/>
    </row>
    <row r="83">
      <c r="B83" s="322"/>
    </row>
    <row r="84">
      <c r="B84" s="322"/>
    </row>
    <row r="85">
      <c r="B85" s="322"/>
    </row>
    <row r="86">
      <c r="B86" s="322"/>
    </row>
    <row r="87">
      <c r="B87" s="322"/>
    </row>
    <row r="88">
      <c r="B88" s="322"/>
    </row>
    <row r="89">
      <c r="B89" s="322"/>
    </row>
    <row r="90">
      <c r="B90" s="322"/>
    </row>
    <row r="91">
      <c r="B91" s="322"/>
    </row>
    <row r="92">
      <c r="B92" s="322"/>
    </row>
    <row r="93">
      <c r="B93" s="322"/>
    </row>
    <row r="94">
      <c r="B94" s="322"/>
    </row>
    <row r="95">
      <c r="B95" s="322"/>
    </row>
    <row r="96">
      <c r="B96" s="322"/>
    </row>
    <row r="97">
      <c r="B97" s="322"/>
    </row>
    <row r="98">
      <c r="B98" s="322"/>
    </row>
    <row r="99">
      <c r="B99" s="322"/>
    </row>
    <row r="100">
      <c r="B100" s="322"/>
    </row>
    <row r="101">
      <c r="B101" s="322"/>
    </row>
    <row r="102">
      <c r="B102" s="322"/>
    </row>
    <row r="103">
      <c r="B103" s="322"/>
    </row>
    <row r="104">
      <c r="B104" s="322"/>
    </row>
    <row r="105">
      <c r="B105" s="322"/>
    </row>
    <row r="106">
      <c r="B106" s="322"/>
    </row>
    <row r="107">
      <c r="B107" s="322"/>
    </row>
    <row r="108">
      <c r="B108" s="322"/>
    </row>
    <row r="109">
      <c r="B109" s="322"/>
    </row>
    <row r="110">
      <c r="B110" s="322"/>
    </row>
    <row r="111">
      <c r="B111" s="322"/>
    </row>
    <row r="112">
      <c r="B112" s="322"/>
    </row>
    <row r="113">
      <c r="B113" s="322"/>
    </row>
    <row r="114">
      <c r="B114" s="322"/>
    </row>
    <row r="115">
      <c r="B115" s="322"/>
    </row>
    <row r="116">
      <c r="B116" s="322"/>
    </row>
    <row r="117">
      <c r="B117" s="322"/>
    </row>
    <row r="118">
      <c r="B118" s="322"/>
    </row>
    <row r="119">
      <c r="B119" s="322"/>
    </row>
    <row r="120">
      <c r="B120" s="322"/>
    </row>
    <row r="121">
      <c r="B121" s="322"/>
    </row>
    <row r="122">
      <c r="B122" s="322"/>
    </row>
    <row r="123">
      <c r="B123" s="322"/>
    </row>
    <row r="124">
      <c r="B124" s="322"/>
    </row>
    <row r="125">
      <c r="B125" s="322"/>
    </row>
    <row r="126">
      <c r="B126" s="322"/>
    </row>
    <row r="127">
      <c r="B127" s="322"/>
    </row>
    <row r="128">
      <c r="B128" s="322"/>
    </row>
    <row r="129">
      <c r="B129" s="322"/>
    </row>
    <row r="130">
      <c r="B130" s="322"/>
    </row>
    <row r="131">
      <c r="B131" s="322"/>
    </row>
    <row r="132">
      <c r="B132" s="322"/>
    </row>
    <row r="133">
      <c r="B133" s="322"/>
    </row>
    <row r="134">
      <c r="B134" s="322"/>
    </row>
    <row r="135">
      <c r="B135" s="322"/>
    </row>
    <row r="136">
      <c r="B136" s="322"/>
    </row>
    <row r="137">
      <c r="B137" s="322"/>
    </row>
    <row r="138">
      <c r="B138" s="322"/>
    </row>
    <row r="139">
      <c r="B139" s="322"/>
    </row>
    <row r="140">
      <c r="B140" s="322"/>
    </row>
    <row r="141">
      <c r="B141" s="322"/>
    </row>
    <row r="142">
      <c r="B142" s="322"/>
    </row>
    <row r="143">
      <c r="B143" s="322"/>
    </row>
    <row r="144">
      <c r="B144" s="322"/>
    </row>
    <row r="145">
      <c r="B145" s="322"/>
    </row>
    <row r="146">
      <c r="B146" s="322"/>
    </row>
    <row r="147">
      <c r="B147" s="322"/>
    </row>
    <row r="148">
      <c r="B148" s="322"/>
    </row>
    <row r="149">
      <c r="B149" s="322"/>
    </row>
    <row r="150">
      <c r="B150" s="322"/>
    </row>
    <row r="151">
      <c r="B151" s="322"/>
    </row>
    <row r="152">
      <c r="B152" s="322"/>
    </row>
    <row r="153">
      <c r="B153" s="322"/>
    </row>
    <row r="154">
      <c r="B154" s="322"/>
    </row>
    <row r="155">
      <c r="B155" s="322"/>
    </row>
    <row r="156">
      <c r="B156" s="322"/>
    </row>
    <row r="157">
      <c r="B157" s="322"/>
    </row>
    <row r="158">
      <c r="B158" s="322"/>
    </row>
    <row r="159">
      <c r="B159" s="322"/>
    </row>
    <row r="160">
      <c r="B160" s="322"/>
    </row>
    <row r="161">
      <c r="B161" s="322"/>
    </row>
    <row r="162">
      <c r="B162" s="322"/>
    </row>
    <row r="163">
      <c r="B163" s="322"/>
    </row>
    <row r="164">
      <c r="B164" s="322"/>
    </row>
    <row r="165">
      <c r="B165" s="322"/>
    </row>
    <row r="166">
      <c r="B166" s="322"/>
    </row>
    <row r="167">
      <c r="B167" s="322"/>
    </row>
    <row r="168">
      <c r="B168" s="322"/>
    </row>
    <row r="169">
      <c r="B169" s="322"/>
    </row>
    <row r="170">
      <c r="B170" s="322"/>
    </row>
    <row r="171">
      <c r="B171" s="322"/>
    </row>
    <row r="172">
      <c r="B172" s="322"/>
    </row>
    <row r="173">
      <c r="B173" s="322"/>
    </row>
    <row r="174">
      <c r="B174" s="322"/>
    </row>
    <row r="175">
      <c r="B175" s="322"/>
    </row>
    <row r="176">
      <c r="B176" s="322"/>
    </row>
    <row r="177">
      <c r="B177" s="322"/>
    </row>
    <row r="178">
      <c r="B178" s="322"/>
    </row>
    <row r="179">
      <c r="B179" s="322"/>
    </row>
    <row r="180">
      <c r="B180" s="322"/>
    </row>
    <row r="181">
      <c r="B181" s="322"/>
    </row>
    <row r="182">
      <c r="B182" s="322"/>
    </row>
    <row r="183">
      <c r="B183" s="322"/>
    </row>
    <row r="184">
      <c r="B184" s="322"/>
    </row>
    <row r="185">
      <c r="B185" s="322"/>
    </row>
    <row r="186">
      <c r="B186" s="322"/>
    </row>
    <row r="187">
      <c r="B187" s="322"/>
    </row>
    <row r="188">
      <c r="B188" s="322"/>
    </row>
    <row r="189">
      <c r="B189" s="322"/>
    </row>
    <row r="190">
      <c r="B190" s="322"/>
    </row>
    <row r="191">
      <c r="B191" s="322"/>
    </row>
    <row r="192">
      <c r="B192" s="322"/>
    </row>
    <row r="193">
      <c r="B193" s="322"/>
    </row>
    <row r="194">
      <c r="B194" s="322"/>
    </row>
    <row r="195">
      <c r="B195" s="322"/>
    </row>
    <row r="196">
      <c r="B196" s="322"/>
    </row>
    <row r="197">
      <c r="B197" s="322"/>
    </row>
    <row r="198">
      <c r="B198" s="322"/>
    </row>
    <row r="199">
      <c r="B199" s="322"/>
    </row>
    <row r="200">
      <c r="B200" s="322"/>
    </row>
    <row r="201">
      <c r="B201" s="322"/>
    </row>
    <row r="202">
      <c r="B202" s="322"/>
    </row>
    <row r="203">
      <c r="B203" s="322"/>
    </row>
    <row r="204">
      <c r="B204" s="322"/>
    </row>
    <row r="205">
      <c r="B205" s="322"/>
    </row>
    <row r="206">
      <c r="B206" s="322"/>
    </row>
    <row r="207">
      <c r="B207" s="322"/>
    </row>
    <row r="208">
      <c r="B208" s="322"/>
    </row>
    <row r="209">
      <c r="B209" s="322"/>
    </row>
    <row r="210">
      <c r="B210" s="322"/>
    </row>
    <row r="211">
      <c r="B211" s="322"/>
    </row>
    <row r="212">
      <c r="B212" s="322"/>
    </row>
    <row r="213">
      <c r="B213" s="322"/>
    </row>
    <row r="214">
      <c r="B214" s="322"/>
    </row>
    <row r="215">
      <c r="B215" s="322"/>
    </row>
    <row r="216">
      <c r="B216" s="322"/>
    </row>
    <row r="217">
      <c r="B217" s="322"/>
    </row>
    <row r="218">
      <c r="B218" s="322"/>
    </row>
    <row r="219">
      <c r="B219" s="322"/>
    </row>
    <row r="220">
      <c r="B220" s="322"/>
    </row>
    <row r="221">
      <c r="B221" s="322"/>
    </row>
    <row r="222">
      <c r="B222" s="322"/>
    </row>
    <row r="223">
      <c r="B223" s="322"/>
    </row>
    <row r="224">
      <c r="B224" s="322"/>
    </row>
    <row r="225">
      <c r="B225" s="322"/>
    </row>
    <row r="226">
      <c r="B226" s="322"/>
    </row>
    <row r="227">
      <c r="B227" s="322"/>
    </row>
    <row r="228">
      <c r="B228" s="322"/>
    </row>
    <row r="229">
      <c r="B229" s="322"/>
    </row>
    <row r="230">
      <c r="B230" s="322"/>
    </row>
    <row r="231">
      <c r="B231" s="322"/>
    </row>
    <row r="232">
      <c r="B232" s="322"/>
    </row>
    <row r="233">
      <c r="B233" s="322"/>
    </row>
    <row r="234">
      <c r="B234" s="322"/>
    </row>
    <row r="235">
      <c r="B235" s="322"/>
    </row>
    <row r="236">
      <c r="B236" s="322"/>
    </row>
    <row r="237">
      <c r="B237" s="322"/>
    </row>
    <row r="238">
      <c r="B238" s="322"/>
    </row>
    <row r="239">
      <c r="B239" s="322"/>
    </row>
    <row r="240">
      <c r="B240" s="322"/>
    </row>
    <row r="241">
      <c r="B241" s="322"/>
    </row>
    <row r="242">
      <c r="B242" s="322"/>
    </row>
    <row r="243">
      <c r="B243" s="322"/>
    </row>
    <row r="244">
      <c r="B244" s="322"/>
    </row>
    <row r="245">
      <c r="B245" s="322"/>
    </row>
    <row r="246">
      <c r="B246" s="322"/>
    </row>
    <row r="247">
      <c r="B247" s="322"/>
    </row>
    <row r="248">
      <c r="B248" s="322"/>
    </row>
    <row r="249">
      <c r="B249" s="322"/>
    </row>
    <row r="250">
      <c r="B250" s="322"/>
    </row>
    <row r="251">
      <c r="B251" s="322"/>
    </row>
    <row r="252">
      <c r="B252" s="322"/>
    </row>
    <row r="253">
      <c r="B253" s="322"/>
    </row>
    <row r="254">
      <c r="B254" s="322"/>
    </row>
    <row r="255">
      <c r="B255" s="322"/>
    </row>
    <row r="256">
      <c r="B256" s="322"/>
    </row>
    <row r="257">
      <c r="B257" s="322"/>
    </row>
    <row r="258">
      <c r="B258" s="322"/>
    </row>
    <row r="259">
      <c r="B259" s="322"/>
    </row>
    <row r="260">
      <c r="B260" s="322"/>
    </row>
    <row r="261">
      <c r="B261" s="322"/>
    </row>
    <row r="262">
      <c r="B262" s="322"/>
    </row>
    <row r="263">
      <c r="B263" s="322"/>
    </row>
    <row r="264">
      <c r="B264" s="322"/>
    </row>
    <row r="265">
      <c r="B265" s="322"/>
    </row>
    <row r="266">
      <c r="B266" s="322"/>
    </row>
    <row r="267">
      <c r="B267" s="322"/>
    </row>
    <row r="268">
      <c r="B268" s="322"/>
    </row>
    <row r="269">
      <c r="B269" s="322"/>
    </row>
    <row r="270">
      <c r="B270" s="322"/>
    </row>
    <row r="271">
      <c r="B271" s="322"/>
    </row>
    <row r="272">
      <c r="B272" s="322"/>
    </row>
    <row r="273">
      <c r="B273" s="322"/>
    </row>
    <row r="274">
      <c r="B274" s="322"/>
    </row>
    <row r="275">
      <c r="B275" s="322"/>
    </row>
    <row r="276">
      <c r="B276" s="322"/>
    </row>
    <row r="277">
      <c r="B277" s="322"/>
    </row>
    <row r="278">
      <c r="B278" s="322"/>
    </row>
    <row r="279">
      <c r="B279" s="322"/>
    </row>
    <row r="280">
      <c r="B280" s="322"/>
    </row>
    <row r="281">
      <c r="B281" s="322"/>
    </row>
    <row r="282">
      <c r="B282" s="322"/>
    </row>
    <row r="283">
      <c r="B283" s="322"/>
    </row>
    <row r="284">
      <c r="B284" s="322"/>
    </row>
    <row r="285">
      <c r="B285" s="322"/>
    </row>
    <row r="286">
      <c r="B286" s="322"/>
    </row>
    <row r="287">
      <c r="B287" s="322"/>
    </row>
    <row r="288">
      <c r="B288" s="322"/>
    </row>
    <row r="289">
      <c r="B289" s="322"/>
    </row>
    <row r="290">
      <c r="B290" s="322"/>
    </row>
    <row r="291">
      <c r="B291" s="322"/>
    </row>
    <row r="292">
      <c r="B292" s="322"/>
    </row>
    <row r="293">
      <c r="B293" s="322"/>
    </row>
    <row r="294">
      <c r="B294" s="322"/>
    </row>
    <row r="295">
      <c r="B295" s="322"/>
    </row>
    <row r="296">
      <c r="B296" s="322"/>
    </row>
    <row r="297">
      <c r="B297" s="322"/>
    </row>
    <row r="298">
      <c r="B298" s="322"/>
    </row>
    <row r="299">
      <c r="B299" s="322"/>
    </row>
    <row r="300">
      <c r="B300" s="322"/>
    </row>
    <row r="301">
      <c r="B301" s="322"/>
    </row>
    <row r="302">
      <c r="B302" s="322"/>
    </row>
    <row r="303">
      <c r="B303" s="322"/>
    </row>
    <row r="304">
      <c r="B304" s="322"/>
    </row>
    <row r="305">
      <c r="B305" s="322"/>
    </row>
    <row r="306">
      <c r="B306" s="322"/>
    </row>
    <row r="307">
      <c r="B307" s="322"/>
    </row>
    <row r="308">
      <c r="B308" s="322"/>
    </row>
    <row r="309">
      <c r="B309" s="322"/>
    </row>
    <row r="310">
      <c r="B310" s="322"/>
    </row>
    <row r="311">
      <c r="B311" s="322"/>
    </row>
    <row r="312">
      <c r="B312" s="322"/>
    </row>
    <row r="313">
      <c r="B313" s="322"/>
    </row>
    <row r="314">
      <c r="B314" s="322"/>
    </row>
    <row r="315">
      <c r="B315" s="322"/>
    </row>
    <row r="316">
      <c r="B316" s="322"/>
    </row>
    <row r="317">
      <c r="B317" s="322"/>
    </row>
    <row r="318">
      <c r="B318" s="322"/>
    </row>
    <row r="319">
      <c r="B319" s="322"/>
    </row>
    <row r="320">
      <c r="B320" s="322"/>
    </row>
    <row r="321">
      <c r="B321" s="322"/>
    </row>
    <row r="322">
      <c r="B322" s="322"/>
    </row>
    <row r="323">
      <c r="B323" s="322"/>
    </row>
    <row r="324">
      <c r="B324" s="322"/>
    </row>
    <row r="325">
      <c r="B325" s="322"/>
    </row>
    <row r="326">
      <c r="B326" s="322"/>
    </row>
    <row r="327">
      <c r="B327" s="322"/>
    </row>
    <row r="328">
      <c r="B328" s="322"/>
    </row>
    <row r="329">
      <c r="B329" s="322"/>
    </row>
    <row r="330">
      <c r="B330" s="322"/>
    </row>
    <row r="331">
      <c r="B331" s="322"/>
    </row>
    <row r="332">
      <c r="B332" s="322"/>
    </row>
    <row r="333">
      <c r="B333" s="322"/>
    </row>
    <row r="334">
      <c r="B334" s="322"/>
    </row>
    <row r="335">
      <c r="B335" s="322"/>
    </row>
    <row r="336">
      <c r="B336" s="322"/>
    </row>
    <row r="337">
      <c r="B337" s="322"/>
    </row>
    <row r="338">
      <c r="B338" s="322"/>
    </row>
    <row r="339">
      <c r="B339" s="322"/>
    </row>
    <row r="340">
      <c r="B340" s="322"/>
    </row>
    <row r="341">
      <c r="B341" s="322"/>
    </row>
    <row r="342">
      <c r="B342" s="322"/>
    </row>
    <row r="343">
      <c r="B343" s="322"/>
    </row>
    <row r="344">
      <c r="B344" s="322"/>
    </row>
    <row r="345">
      <c r="B345" s="322"/>
    </row>
    <row r="346">
      <c r="B346" s="322"/>
    </row>
    <row r="347">
      <c r="B347" s="322"/>
    </row>
    <row r="348">
      <c r="B348" s="322"/>
    </row>
    <row r="349">
      <c r="B349" s="322"/>
    </row>
    <row r="350">
      <c r="B350" s="322"/>
    </row>
    <row r="351">
      <c r="B351" s="322"/>
    </row>
    <row r="352">
      <c r="B352" s="322"/>
    </row>
    <row r="353">
      <c r="B353" s="322"/>
    </row>
    <row r="354">
      <c r="B354" s="322"/>
    </row>
    <row r="355">
      <c r="B355" s="322"/>
    </row>
    <row r="356">
      <c r="B356" s="322"/>
    </row>
    <row r="357">
      <c r="B357" s="322"/>
    </row>
    <row r="358">
      <c r="B358" s="322"/>
    </row>
    <row r="359">
      <c r="B359" s="322"/>
    </row>
    <row r="360">
      <c r="B360" s="322"/>
    </row>
    <row r="361">
      <c r="B361" s="322"/>
    </row>
    <row r="362">
      <c r="B362" s="322"/>
    </row>
    <row r="363">
      <c r="B363" s="322"/>
    </row>
    <row r="364">
      <c r="B364" s="322"/>
    </row>
    <row r="365">
      <c r="B365" s="322"/>
    </row>
    <row r="366">
      <c r="B366" s="322"/>
    </row>
    <row r="367">
      <c r="B367" s="322"/>
    </row>
    <row r="368">
      <c r="B368" s="322"/>
    </row>
    <row r="369">
      <c r="B369" s="322"/>
    </row>
    <row r="370">
      <c r="B370" s="322"/>
    </row>
    <row r="371">
      <c r="B371" s="322"/>
    </row>
    <row r="372">
      <c r="B372" s="322"/>
    </row>
    <row r="373">
      <c r="B373" s="322"/>
    </row>
    <row r="374">
      <c r="B374" s="322"/>
    </row>
    <row r="375">
      <c r="B375" s="322"/>
    </row>
    <row r="376">
      <c r="B376" s="322"/>
    </row>
    <row r="377">
      <c r="B377" s="322"/>
    </row>
    <row r="378">
      <c r="B378" s="322"/>
    </row>
    <row r="379">
      <c r="B379" s="322"/>
    </row>
    <row r="380">
      <c r="B380" s="322"/>
    </row>
    <row r="381">
      <c r="B381" s="322"/>
    </row>
    <row r="382">
      <c r="B382" s="322"/>
    </row>
    <row r="383">
      <c r="B383" s="322"/>
    </row>
    <row r="384">
      <c r="B384" s="322"/>
    </row>
    <row r="385">
      <c r="B385" s="322"/>
    </row>
    <row r="386">
      <c r="B386" s="322"/>
    </row>
    <row r="387">
      <c r="B387" s="322"/>
    </row>
    <row r="388">
      <c r="B388" s="322"/>
    </row>
    <row r="389">
      <c r="B389" s="322"/>
    </row>
    <row r="390">
      <c r="B390" s="322"/>
    </row>
    <row r="391">
      <c r="B391" s="322"/>
    </row>
    <row r="392">
      <c r="B392" s="322"/>
    </row>
    <row r="393">
      <c r="B393" s="322"/>
    </row>
    <row r="394">
      <c r="B394" s="322"/>
    </row>
    <row r="395">
      <c r="B395" s="322"/>
    </row>
    <row r="396">
      <c r="B396" s="322"/>
    </row>
    <row r="397">
      <c r="B397" s="322"/>
    </row>
    <row r="398">
      <c r="B398" s="322"/>
    </row>
    <row r="399">
      <c r="B399" s="322"/>
    </row>
    <row r="400">
      <c r="B400" s="322"/>
    </row>
    <row r="401">
      <c r="B401" s="322"/>
    </row>
    <row r="402">
      <c r="B402" s="322"/>
    </row>
    <row r="403">
      <c r="B403" s="322"/>
    </row>
    <row r="404">
      <c r="B404" s="322"/>
    </row>
    <row r="405">
      <c r="B405" s="322"/>
    </row>
    <row r="406">
      <c r="B406" s="322"/>
    </row>
    <row r="407">
      <c r="B407" s="322"/>
    </row>
    <row r="408">
      <c r="B408" s="322"/>
    </row>
    <row r="409">
      <c r="B409" s="322"/>
    </row>
    <row r="410">
      <c r="B410" s="322"/>
    </row>
    <row r="411">
      <c r="B411" s="322"/>
    </row>
    <row r="412">
      <c r="B412" s="322"/>
    </row>
    <row r="413">
      <c r="B413" s="322"/>
    </row>
    <row r="414">
      <c r="B414" s="322"/>
    </row>
    <row r="415">
      <c r="B415" s="322"/>
    </row>
    <row r="416">
      <c r="B416" s="322"/>
    </row>
    <row r="417">
      <c r="B417" s="322"/>
    </row>
    <row r="418">
      <c r="B418" s="322"/>
    </row>
    <row r="419">
      <c r="B419" s="322"/>
    </row>
    <row r="420">
      <c r="B420" s="322"/>
    </row>
    <row r="421">
      <c r="B421" s="322"/>
    </row>
    <row r="422">
      <c r="B422" s="322"/>
    </row>
    <row r="423">
      <c r="B423" s="322"/>
    </row>
    <row r="424">
      <c r="B424" s="322"/>
    </row>
    <row r="425">
      <c r="B425" s="322"/>
    </row>
    <row r="426">
      <c r="B426" s="322"/>
    </row>
    <row r="427">
      <c r="B427" s="322"/>
    </row>
    <row r="428">
      <c r="B428" s="322"/>
    </row>
    <row r="429">
      <c r="B429" s="322"/>
    </row>
    <row r="430">
      <c r="B430" s="322"/>
    </row>
    <row r="431">
      <c r="B431" s="322"/>
    </row>
    <row r="432">
      <c r="B432" s="322"/>
    </row>
    <row r="433">
      <c r="B433" s="322"/>
    </row>
    <row r="434">
      <c r="B434" s="322"/>
    </row>
    <row r="435">
      <c r="B435" s="322"/>
    </row>
    <row r="436">
      <c r="B436" s="322"/>
    </row>
    <row r="437">
      <c r="B437" s="322"/>
    </row>
    <row r="438">
      <c r="B438" s="322"/>
    </row>
    <row r="439">
      <c r="B439" s="322"/>
    </row>
    <row r="440">
      <c r="B440" s="322"/>
    </row>
    <row r="441">
      <c r="B441" s="322"/>
    </row>
    <row r="442">
      <c r="B442" s="322"/>
    </row>
    <row r="443">
      <c r="B443" s="322"/>
    </row>
    <row r="444">
      <c r="B444" s="322"/>
    </row>
    <row r="445">
      <c r="B445" s="322"/>
    </row>
    <row r="446">
      <c r="B446" s="322"/>
    </row>
    <row r="447">
      <c r="B447" s="322"/>
    </row>
    <row r="448">
      <c r="B448" s="322"/>
    </row>
    <row r="449">
      <c r="B449" s="322"/>
    </row>
    <row r="450">
      <c r="B450" s="322"/>
    </row>
    <row r="451">
      <c r="B451" s="322"/>
    </row>
    <row r="452">
      <c r="B452" s="322"/>
    </row>
    <row r="453">
      <c r="B453" s="322"/>
    </row>
    <row r="454">
      <c r="B454" s="322"/>
    </row>
    <row r="455">
      <c r="B455" s="322"/>
    </row>
    <row r="456">
      <c r="B456" s="322"/>
    </row>
    <row r="457">
      <c r="B457" s="322"/>
    </row>
    <row r="458">
      <c r="B458" s="322"/>
    </row>
    <row r="459">
      <c r="B459" s="322"/>
    </row>
    <row r="460">
      <c r="B460" s="322"/>
    </row>
    <row r="461">
      <c r="B461" s="322"/>
    </row>
    <row r="462">
      <c r="B462" s="322"/>
    </row>
    <row r="463">
      <c r="B463" s="322"/>
    </row>
    <row r="464">
      <c r="B464" s="322"/>
    </row>
    <row r="465">
      <c r="B465" s="322"/>
    </row>
    <row r="466">
      <c r="B466" s="322"/>
    </row>
    <row r="467">
      <c r="B467" s="322"/>
    </row>
    <row r="468">
      <c r="B468" s="322"/>
    </row>
    <row r="469">
      <c r="B469" s="322"/>
    </row>
    <row r="470">
      <c r="B470" s="322"/>
    </row>
    <row r="471">
      <c r="B471" s="322"/>
    </row>
    <row r="472">
      <c r="B472" s="322"/>
    </row>
    <row r="473">
      <c r="B473" s="322"/>
    </row>
    <row r="474">
      <c r="B474" s="322"/>
    </row>
    <row r="475">
      <c r="B475" s="322"/>
    </row>
    <row r="476">
      <c r="B476" s="322"/>
    </row>
    <row r="477">
      <c r="B477" s="322"/>
    </row>
    <row r="478">
      <c r="B478" s="322"/>
    </row>
    <row r="479">
      <c r="B479" s="322"/>
    </row>
    <row r="480">
      <c r="B480" s="322"/>
    </row>
    <row r="481">
      <c r="B481" s="322"/>
    </row>
    <row r="482">
      <c r="B482" s="322"/>
    </row>
    <row r="483">
      <c r="B483" s="322"/>
    </row>
    <row r="484">
      <c r="B484" s="322"/>
    </row>
    <row r="485">
      <c r="B485" s="322"/>
    </row>
    <row r="486">
      <c r="B486" s="322"/>
    </row>
    <row r="487">
      <c r="B487" s="322"/>
    </row>
    <row r="488">
      <c r="B488" s="322"/>
    </row>
    <row r="489">
      <c r="B489" s="322"/>
    </row>
    <row r="490">
      <c r="B490" s="322"/>
    </row>
    <row r="491">
      <c r="B491" s="322"/>
    </row>
    <row r="492">
      <c r="B492" s="322"/>
    </row>
    <row r="493">
      <c r="B493" s="322"/>
    </row>
    <row r="494">
      <c r="B494" s="322"/>
    </row>
    <row r="495">
      <c r="B495" s="322"/>
    </row>
    <row r="496">
      <c r="B496" s="322"/>
    </row>
    <row r="497">
      <c r="B497" s="322"/>
    </row>
    <row r="498">
      <c r="B498" s="322"/>
    </row>
    <row r="499">
      <c r="B499" s="322"/>
    </row>
    <row r="500">
      <c r="B500" s="322"/>
    </row>
    <row r="501">
      <c r="B501" s="322"/>
    </row>
    <row r="502">
      <c r="B502" s="322"/>
    </row>
    <row r="503">
      <c r="B503" s="322"/>
    </row>
    <row r="504">
      <c r="B504" s="322"/>
    </row>
    <row r="505">
      <c r="B505" s="322"/>
    </row>
    <row r="506">
      <c r="B506" s="322"/>
    </row>
    <row r="507">
      <c r="B507" s="322"/>
    </row>
    <row r="508">
      <c r="B508" s="322"/>
    </row>
    <row r="509">
      <c r="B509" s="322"/>
    </row>
    <row r="510">
      <c r="B510" s="322"/>
    </row>
    <row r="511">
      <c r="B511" s="322"/>
    </row>
    <row r="512">
      <c r="B512" s="322"/>
    </row>
    <row r="513">
      <c r="B513" s="322"/>
    </row>
    <row r="514">
      <c r="B514" s="322"/>
    </row>
    <row r="515">
      <c r="B515" s="322"/>
    </row>
    <row r="516">
      <c r="B516" s="322"/>
    </row>
    <row r="517">
      <c r="B517" s="322"/>
    </row>
    <row r="518">
      <c r="B518" s="322"/>
    </row>
    <row r="519">
      <c r="B519" s="322"/>
    </row>
    <row r="520">
      <c r="B520" s="322"/>
    </row>
    <row r="521">
      <c r="B521" s="322"/>
    </row>
    <row r="522">
      <c r="B522" s="322"/>
    </row>
    <row r="523">
      <c r="B523" s="322"/>
    </row>
    <row r="524">
      <c r="B524" s="322"/>
    </row>
    <row r="525">
      <c r="B525" s="322"/>
    </row>
    <row r="526">
      <c r="B526" s="322"/>
    </row>
    <row r="527">
      <c r="B527" s="322"/>
    </row>
    <row r="528">
      <c r="B528" s="322"/>
    </row>
    <row r="529">
      <c r="B529" s="322"/>
    </row>
    <row r="530">
      <c r="B530" s="322"/>
    </row>
    <row r="531">
      <c r="B531" s="322"/>
    </row>
    <row r="532">
      <c r="B532" s="322"/>
    </row>
    <row r="533">
      <c r="B533" s="322"/>
    </row>
    <row r="534">
      <c r="B534" s="322"/>
    </row>
    <row r="535">
      <c r="B535" s="322"/>
    </row>
    <row r="536">
      <c r="B536" s="322"/>
    </row>
    <row r="537">
      <c r="B537" s="322"/>
    </row>
    <row r="538">
      <c r="B538" s="322"/>
    </row>
    <row r="539">
      <c r="B539" s="322"/>
    </row>
    <row r="540">
      <c r="B540" s="322"/>
    </row>
    <row r="541">
      <c r="B541" s="322"/>
    </row>
    <row r="542">
      <c r="B542" s="322"/>
    </row>
    <row r="543">
      <c r="B543" s="322"/>
    </row>
    <row r="544">
      <c r="B544" s="322"/>
    </row>
    <row r="545">
      <c r="B545" s="322"/>
    </row>
    <row r="546">
      <c r="B546" s="322"/>
    </row>
    <row r="547">
      <c r="B547" s="322"/>
    </row>
    <row r="548">
      <c r="B548" s="322"/>
    </row>
    <row r="549">
      <c r="B549" s="322"/>
    </row>
    <row r="550">
      <c r="B550" s="322"/>
    </row>
    <row r="551">
      <c r="B551" s="322"/>
    </row>
    <row r="552">
      <c r="B552" s="322"/>
    </row>
    <row r="553">
      <c r="B553" s="322"/>
    </row>
    <row r="554">
      <c r="B554" s="322"/>
    </row>
    <row r="555">
      <c r="B555" s="322"/>
    </row>
    <row r="556">
      <c r="B556" s="322"/>
    </row>
    <row r="557">
      <c r="B557" s="322"/>
    </row>
    <row r="558">
      <c r="B558" s="322"/>
    </row>
    <row r="559">
      <c r="B559" s="322"/>
    </row>
    <row r="560">
      <c r="B560" s="322"/>
    </row>
    <row r="561">
      <c r="B561" s="322"/>
    </row>
    <row r="562">
      <c r="B562" s="322"/>
    </row>
    <row r="563">
      <c r="B563" s="322"/>
    </row>
    <row r="564">
      <c r="B564" s="322"/>
    </row>
    <row r="565">
      <c r="B565" s="322"/>
    </row>
    <row r="566">
      <c r="B566" s="322"/>
    </row>
    <row r="567">
      <c r="B567" s="322"/>
    </row>
    <row r="568">
      <c r="B568" s="322"/>
    </row>
    <row r="569">
      <c r="B569" s="322"/>
    </row>
    <row r="570">
      <c r="B570" s="322"/>
    </row>
    <row r="571">
      <c r="B571" s="322"/>
    </row>
    <row r="572">
      <c r="B572" s="322"/>
    </row>
    <row r="573">
      <c r="B573" s="322"/>
    </row>
    <row r="574">
      <c r="B574" s="322"/>
    </row>
    <row r="575">
      <c r="B575" s="322"/>
    </row>
    <row r="576">
      <c r="B576" s="322"/>
    </row>
    <row r="577">
      <c r="B577" s="322"/>
    </row>
    <row r="578">
      <c r="B578" s="322"/>
    </row>
    <row r="579">
      <c r="B579" s="322"/>
    </row>
    <row r="580">
      <c r="B580" s="322"/>
    </row>
    <row r="581">
      <c r="B581" s="322"/>
    </row>
    <row r="582">
      <c r="B582" s="322"/>
    </row>
    <row r="583">
      <c r="B583" s="322"/>
    </row>
    <row r="584">
      <c r="B584" s="322"/>
    </row>
    <row r="585">
      <c r="B585" s="322"/>
    </row>
    <row r="586">
      <c r="B586" s="322"/>
    </row>
    <row r="587">
      <c r="B587" s="322"/>
    </row>
    <row r="588">
      <c r="B588" s="322"/>
    </row>
    <row r="589">
      <c r="B589" s="322"/>
    </row>
    <row r="590">
      <c r="B590" s="322"/>
    </row>
    <row r="591">
      <c r="B591" s="322"/>
    </row>
    <row r="592">
      <c r="B592" s="322"/>
    </row>
    <row r="593">
      <c r="B593" s="322"/>
    </row>
    <row r="594">
      <c r="B594" s="322"/>
    </row>
    <row r="595">
      <c r="B595" s="322"/>
    </row>
    <row r="596">
      <c r="B596" s="322"/>
    </row>
    <row r="597">
      <c r="B597" s="322"/>
    </row>
    <row r="598">
      <c r="B598" s="322"/>
    </row>
    <row r="599">
      <c r="B599" s="322"/>
    </row>
    <row r="600">
      <c r="B600" s="322"/>
    </row>
    <row r="601">
      <c r="B601" s="322"/>
    </row>
    <row r="602">
      <c r="B602" s="322"/>
    </row>
    <row r="603">
      <c r="B603" s="322"/>
    </row>
    <row r="604">
      <c r="B604" s="322"/>
    </row>
    <row r="605">
      <c r="B605" s="322"/>
    </row>
    <row r="606">
      <c r="B606" s="322"/>
    </row>
    <row r="607">
      <c r="B607" s="322"/>
    </row>
    <row r="608">
      <c r="B608" s="322"/>
    </row>
    <row r="609">
      <c r="B609" s="322"/>
    </row>
    <row r="610">
      <c r="B610" s="322"/>
    </row>
    <row r="611">
      <c r="B611" s="322"/>
    </row>
    <row r="612">
      <c r="B612" s="322"/>
    </row>
    <row r="613">
      <c r="B613" s="322"/>
    </row>
    <row r="614">
      <c r="B614" s="322"/>
    </row>
    <row r="615">
      <c r="B615" s="322"/>
    </row>
    <row r="616">
      <c r="B616" s="322"/>
    </row>
    <row r="617">
      <c r="B617" s="322"/>
    </row>
    <row r="618">
      <c r="B618" s="322"/>
    </row>
    <row r="619">
      <c r="B619" s="322"/>
    </row>
    <row r="620">
      <c r="B620" s="322"/>
    </row>
    <row r="621">
      <c r="B621" s="322"/>
    </row>
    <row r="622">
      <c r="B622" s="322"/>
    </row>
    <row r="623">
      <c r="B623" s="322"/>
    </row>
    <row r="624">
      <c r="B624" s="322"/>
    </row>
    <row r="625">
      <c r="B625" s="322"/>
    </row>
    <row r="626">
      <c r="B626" s="322"/>
    </row>
    <row r="627">
      <c r="B627" s="322"/>
    </row>
    <row r="628">
      <c r="B628" s="322"/>
    </row>
    <row r="629">
      <c r="B629" s="322"/>
    </row>
    <row r="630">
      <c r="B630" s="322"/>
    </row>
    <row r="631">
      <c r="B631" s="322"/>
    </row>
    <row r="632">
      <c r="B632" s="322"/>
    </row>
    <row r="633">
      <c r="B633" s="322"/>
    </row>
    <row r="634">
      <c r="B634" s="322"/>
    </row>
    <row r="635">
      <c r="B635" s="322"/>
    </row>
    <row r="636">
      <c r="B636" s="322"/>
    </row>
    <row r="637">
      <c r="B637" s="322"/>
    </row>
    <row r="638">
      <c r="B638" s="322"/>
    </row>
    <row r="639">
      <c r="B639" s="322"/>
    </row>
    <row r="640">
      <c r="B640" s="322"/>
    </row>
    <row r="641">
      <c r="B641" s="322"/>
    </row>
    <row r="642">
      <c r="B642" s="322"/>
    </row>
    <row r="643">
      <c r="B643" s="322"/>
    </row>
    <row r="644">
      <c r="B644" s="322"/>
    </row>
    <row r="645">
      <c r="B645" s="322"/>
    </row>
    <row r="646">
      <c r="B646" s="322"/>
    </row>
    <row r="647">
      <c r="B647" s="322"/>
    </row>
    <row r="648">
      <c r="B648" s="322"/>
    </row>
    <row r="649">
      <c r="B649" s="322"/>
    </row>
    <row r="650">
      <c r="B650" s="322"/>
    </row>
    <row r="651">
      <c r="B651" s="322"/>
    </row>
    <row r="652">
      <c r="B652" s="322"/>
    </row>
    <row r="653">
      <c r="B653" s="322"/>
    </row>
    <row r="654">
      <c r="B654" s="322"/>
    </row>
    <row r="655">
      <c r="B655" s="322"/>
    </row>
    <row r="656">
      <c r="B656" s="322"/>
    </row>
    <row r="657">
      <c r="B657" s="322"/>
    </row>
    <row r="658">
      <c r="B658" s="322"/>
    </row>
    <row r="659">
      <c r="B659" s="322"/>
    </row>
    <row r="660">
      <c r="B660" s="322"/>
    </row>
    <row r="661">
      <c r="B661" s="322"/>
    </row>
    <row r="662">
      <c r="B662" s="322"/>
    </row>
    <row r="663">
      <c r="B663" s="322"/>
    </row>
    <row r="664">
      <c r="B664" s="322"/>
    </row>
    <row r="665">
      <c r="B665" s="322"/>
    </row>
    <row r="666">
      <c r="B666" s="322"/>
    </row>
    <row r="667">
      <c r="B667" s="322"/>
    </row>
    <row r="668">
      <c r="B668" s="322"/>
    </row>
    <row r="669">
      <c r="B669" s="322"/>
    </row>
    <row r="670">
      <c r="B670" s="322"/>
    </row>
    <row r="671">
      <c r="B671" s="322"/>
    </row>
    <row r="672">
      <c r="B672" s="322"/>
    </row>
    <row r="673">
      <c r="B673" s="322"/>
    </row>
    <row r="674">
      <c r="B674" s="322"/>
    </row>
    <row r="675">
      <c r="B675" s="322"/>
    </row>
    <row r="676">
      <c r="B676" s="322"/>
    </row>
    <row r="677">
      <c r="B677" s="322"/>
    </row>
    <row r="678">
      <c r="B678" s="322"/>
    </row>
    <row r="679">
      <c r="B679" s="322"/>
    </row>
    <row r="680">
      <c r="B680" s="322"/>
    </row>
    <row r="681">
      <c r="B681" s="322"/>
    </row>
    <row r="682">
      <c r="B682" s="322"/>
    </row>
    <row r="683">
      <c r="B683" s="322"/>
    </row>
    <row r="684">
      <c r="B684" s="322"/>
    </row>
    <row r="685">
      <c r="B685" s="322"/>
    </row>
    <row r="686">
      <c r="B686" s="322"/>
    </row>
    <row r="687">
      <c r="B687" s="322"/>
    </row>
    <row r="688">
      <c r="B688" s="322"/>
    </row>
    <row r="689">
      <c r="B689" s="322"/>
    </row>
    <row r="690">
      <c r="B690" s="322"/>
    </row>
    <row r="691">
      <c r="B691" s="322"/>
    </row>
    <row r="692">
      <c r="B692" s="322"/>
    </row>
    <row r="693">
      <c r="B693" s="322"/>
    </row>
    <row r="694">
      <c r="B694" s="322"/>
    </row>
    <row r="695">
      <c r="B695" s="322"/>
    </row>
    <row r="696">
      <c r="B696" s="322"/>
    </row>
    <row r="697">
      <c r="B697" s="322"/>
    </row>
    <row r="698">
      <c r="B698" s="322"/>
    </row>
    <row r="699">
      <c r="B699" s="322"/>
    </row>
    <row r="700">
      <c r="B700" s="322"/>
    </row>
    <row r="701">
      <c r="B701" s="322"/>
    </row>
    <row r="702">
      <c r="B702" s="322"/>
    </row>
    <row r="703">
      <c r="B703" s="322"/>
    </row>
    <row r="704">
      <c r="B704" s="322"/>
    </row>
    <row r="705">
      <c r="B705" s="322"/>
    </row>
    <row r="706">
      <c r="B706" s="322"/>
    </row>
    <row r="707">
      <c r="B707" s="322"/>
    </row>
    <row r="708">
      <c r="B708" s="322"/>
    </row>
    <row r="709">
      <c r="B709" s="322"/>
    </row>
    <row r="710">
      <c r="B710" s="322"/>
    </row>
    <row r="711">
      <c r="B711" s="322"/>
    </row>
    <row r="712">
      <c r="B712" s="322"/>
    </row>
    <row r="713">
      <c r="B713" s="322"/>
    </row>
    <row r="714">
      <c r="B714" s="322"/>
    </row>
    <row r="715">
      <c r="B715" s="322"/>
    </row>
    <row r="716">
      <c r="B716" s="322"/>
    </row>
    <row r="717">
      <c r="B717" s="322"/>
    </row>
    <row r="718">
      <c r="B718" s="322"/>
    </row>
    <row r="719">
      <c r="B719" s="322"/>
    </row>
    <row r="720">
      <c r="B720" s="322"/>
    </row>
    <row r="721">
      <c r="B721" s="322"/>
    </row>
    <row r="722">
      <c r="B722" s="322"/>
    </row>
    <row r="723">
      <c r="B723" s="322"/>
    </row>
    <row r="724">
      <c r="B724" s="322"/>
    </row>
    <row r="725">
      <c r="B725" s="322"/>
    </row>
    <row r="726">
      <c r="B726" s="322"/>
    </row>
    <row r="727">
      <c r="B727" s="322"/>
    </row>
    <row r="728">
      <c r="B728" s="322"/>
    </row>
    <row r="729">
      <c r="B729" s="322"/>
    </row>
    <row r="730">
      <c r="B730" s="322"/>
    </row>
    <row r="731">
      <c r="B731" s="322"/>
    </row>
    <row r="732">
      <c r="B732" s="322"/>
    </row>
    <row r="733">
      <c r="B733" s="322"/>
    </row>
    <row r="734">
      <c r="B734" s="322"/>
    </row>
    <row r="735">
      <c r="B735" s="322"/>
    </row>
    <row r="736">
      <c r="B736" s="322"/>
    </row>
    <row r="737">
      <c r="B737" s="322"/>
    </row>
    <row r="738">
      <c r="B738" s="322"/>
    </row>
    <row r="739">
      <c r="B739" s="322"/>
    </row>
    <row r="740">
      <c r="B740" s="322"/>
    </row>
    <row r="741">
      <c r="B741" s="322"/>
    </row>
    <row r="742">
      <c r="B742" s="322"/>
    </row>
    <row r="743">
      <c r="B743" s="322"/>
    </row>
    <row r="744">
      <c r="B744" s="322"/>
    </row>
    <row r="745">
      <c r="B745" s="322"/>
    </row>
    <row r="746">
      <c r="B746" s="322"/>
    </row>
    <row r="747">
      <c r="B747" s="322"/>
    </row>
    <row r="748">
      <c r="B748" s="322"/>
    </row>
    <row r="749">
      <c r="B749" s="322"/>
    </row>
    <row r="750">
      <c r="B750" s="322"/>
    </row>
    <row r="751">
      <c r="B751" s="322"/>
    </row>
    <row r="752">
      <c r="B752" s="322"/>
    </row>
    <row r="753">
      <c r="B753" s="322"/>
    </row>
    <row r="754">
      <c r="B754" s="322"/>
    </row>
    <row r="755">
      <c r="B755" s="322"/>
    </row>
    <row r="756">
      <c r="B756" s="322"/>
    </row>
    <row r="757">
      <c r="B757" s="322"/>
    </row>
    <row r="758">
      <c r="B758" s="322"/>
    </row>
    <row r="759">
      <c r="B759" s="322"/>
    </row>
    <row r="760">
      <c r="B760" s="322"/>
    </row>
    <row r="761">
      <c r="B761" s="322"/>
    </row>
    <row r="762">
      <c r="B762" s="322"/>
    </row>
    <row r="763">
      <c r="B763" s="322"/>
    </row>
    <row r="764">
      <c r="B764" s="322"/>
    </row>
    <row r="765">
      <c r="B765" s="322"/>
    </row>
    <row r="766">
      <c r="B766" s="322"/>
    </row>
    <row r="767">
      <c r="B767" s="322"/>
    </row>
    <row r="768">
      <c r="B768" s="322"/>
    </row>
    <row r="769">
      <c r="B769" s="322"/>
    </row>
    <row r="770">
      <c r="B770" s="322"/>
    </row>
    <row r="771">
      <c r="B771" s="322"/>
    </row>
    <row r="772">
      <c r="B772" s="322"/>
    </row>
    <row r="773">
      <c r="B773" s="322"/>
    </row>
    <row r="774">
      <c r="B774" s="322"/>
    </row>
    <row r="775">
      <c r="B775" s="322"/>
    </row>
    <row r="776">
      <c r="B776" s="322"/>
    </row>
    <row r="777">
      <c r="B777" s="322"/>
    </row>
    <row r="778">
      <c r="B778" s="322"/>
    </row>
    <row r="779">
      <c r="B779" s="322"/>
    </row>
    <row r="780">
      <c r="B780" s="322"/>
    </row>
    <row r="781">
      <c r="B781" s="322"/>
    </row>
    <row r="782">
      <c r="B782" s="322"/>
    </row>
    <row r="783">
      <c r="B783" s="322"/>
    </row>
    <row r="784">
      <c r="B784" s="322"/>
    </row>
    <row r="785">
      <c r="B785" s="322"/>
    </row>
    <row r="786">
      <c r="B786" s="322"/>
    </row>
    <row r="787">
      <c r="B787" s="322"/>
    </row>
    <row r="788">
      <c r="B788" s="322"/>
    </row>
    <row r="789">
      <c r="B789" s="322"/>
    </row>
    <row r="790">
      <c r="B790" s="322"/>
    </row>
    <row r="791">
      <c r="B791" s="322"/>
    </row>
    <row r="792">
      <c r="B792" s="322"/>
    </row>
    <row r="793">
      <c r="B793" s="322"/>
    </row>
    <row r="794">
      <c r="B794" s="322"/>
    </row>
    <row r="795">
      <c r="B795" s="322"/>
    </row>
    <row r="796">
      <c r="B796" s="322"/>
    </row>
    <row r="797">
      <c r="B797" s="322"/>
    </row>
    <row r="798">
      <c r="B798" s="322"/>
    </row>
    <row r="799">
      <c r="B799" s="322"/>
    </row>
    <row r="800">
      <c r="B800" s="322"/>
    </row>
    <row r="801">
      <c r="B801" s="322"/>
    </row>
    <row r="802">
      <c r="B802" s="322"/>
    </row>
    <row r="803">
      <c r="B803" s="322"/>
    </row>
    <row r="804">
      <c r="B804" s="322"/>
    </row>
    <row r="805">
      <c r="B805" s="322"/>
    </row>
    <row r="806">
      <c r="B806" s="322"/>
    </row>
    <row r="807">
      <c r="B807" s="322"/>
    </row>
    <row r="808">
      <c r="B808" s="322"/>
    </row>
    <row r="809">
      <c r="B809" s="322"/>
    </row>
    <row r="810">
      <c r="B810" s="322"/>
    </row>
    <row r="811">
      <c r="B811" s="322"/>
    </row>
    <row r="812">
      <c r="B812" s="322"/>
    </row>
    <row r="813">
      <c r="B813" s="322"/>
    </row>
    <row r="814">
      <c r="B814" s="322"/>
    </row>
    <row r="815">
      <c r="B815" s="322"/>
    </row>
    <row r="816">
      <c r="B816" s="322"/>
    </row>
    <row r="817">
      <c r="B817" s="322"/>
    </row>
    <row r="818">
      <c r="B818" s="322"/>
    </row>
    <row r="819">
      <c r="B819" s="322"/>
    </row>
    <row r="820">
      <c r="B820" s="322"/>
    </row>
    <row r="821">
      <c r="B821" s="322"/>
    </row>
    <row r="822">
      <c r="B822" s="322"/>
    </row>
    <row r="823">
      <c r="B823" s="322"/>
    </row>
    <row r="824">
      <c r="B824" s="322"/>
    </row>
    <row r="825">
      <c r="B825" s="322"/>
    </row>
    <row r="826">
      <c r="B826" s="322"/>
    </row>
    <row r="827">
      <c r="B827" s="322"/>
    </row>
    <row r="828">
      <c r="B828" s="322"/>
    </row>
    <row r="829">
      <c r="B829" s="322"/>
    </row>
    <row r="830">
      <c r="B830" s="322"/>
    </row>
    <row r="831">
      <c r="B831" s="322"/>
    </row>
    <row r="832">
      <c r="B832" s="322"/>
    </row>
    <row r="833">
      <c r="B833" s="322"/>
    </row>
    <row r="834">
      <c r="B834" s="322"/>
    </row>
    <row r="835">
      <c r="B835" s="322"/>
    </row>
    <row r="836">
      <c r="B836" s="322"/>
    </row>
    <row r="837">
      <c r="B837" s="322"/>
    </row>
    <row r="838">
      <c r="B838" s="322"/>
    </row>
    <row r="839">
      <c r="B839" s="322"/>
    </row>
    <row r="840">
      <c r="B840" s="322"/>
    </row>
    <row r="841">
      <c r="B841" s="322"/>
    </row>
    <row r="842">
      <c r="B842" s="322"/>
    </row>
    <row r="843">
      <c r="B843" s="322"/>
    </row>
    <row r="844">
      <c r="B844" s="322"/>
    </row>
    <row r="845">
      <c r="B845" s="322"/>
    </row>
    <row r="846">
      <c r="B846" s="322"/>
    </row>
    <row r="847">
      <c r="B847" s="322"/>
    </row>
    <row r="848">
      <c r="B848" s="322"/>
    </row>
    <row r="849">
      <c r="B849" s="322"/>
    </row>
    <row r="850">
      <c r="B850" s="322"/>
    </row>
    <row r="851">
      <c r="B851" s="322"/>
    </row>
    <row r="852">
      <c r="B852" s="322"/>
    </row>
    <row r="853">
      <c r="B853" s="322"/>
    </row>
    <row r="854">
      <c r="B854" s="322"/>
    </row>
    <row r="855">
      <c r="B855" s="322"/>
    </row>
    <row r="856">
      <c r="B856" s="322"/>
    </row>
    <row r="857">
      <c r="B857" s="322"/>
    </row>
    <row r="858">
      <c r="B858" s="322"/>
    </row>
    <row r="859">
      <c r="B859" s="322"/>
    </row>
    <row r="860">
      <c r="B860" s="322"/>
    </row>
    <row r="861">
      <c r="B861" s="322"/>
    </row>
    <row r="862">
      <c r="B862" s="322"/>
    </row>
    <row r="863">
      <c r="B863" s="322"/>
    </row>
    <row r="864">
      <c r="B864" s="322"/>
    </row>
    <row r="865">
      <c r="B865" s="322"/>
    </row>
    <row r="866">
      <c r="B866" s="322"/>
    </row>
    <row r="867">
      <c r="B867" s="322"/>
    </row>
    <row r="868">
      <c r="B868" s="322"/>
    </row>
    <row r="869">
      <c r="B869" s="322"/>
    </row>
    <row r="870">
      <c r="B870" s="322"/>
    </row>
    <row r="871">
      <c r="B871" s="322"/>
    </row>
    <row r="872">
      <c r="B872" s="322"/>
    </row>
    <row r="873">
      <c r="B873" s="322"/>
    </row>
    <row r="874">
      <c r="B874" s="322"/>
    </row>
    <row r="875">
      <c r="B875" s="322"/>
    </row>
    <row r="876">
      <c r="B876" s="322"/>
    </row>
    <row r="877">
      <c r="B877" s="322"/>
    </row>
    <row r="878">
      <c r="B878" s="322"/>
    </row>
    <row r="879">
      <c r="B879" s="322"/>
    </row>
    <row r="880">
      <c r="B880" s="322"/>
    </row>
    <row r="881">
      <c r="B881" s="322"/>
    </row>
    <row r="882">
      <c r="B882" s="322"/>
    </row>
    <row r="883">
      <c r="B883" s="322"/>
    </row>
    <row r="884">
      <c r="B884" s="322"/>
    </row>
    <row r="885">
      <c r="B885" s="322"/>
    </row>
    <row r="886">
      <c r="B886" s="322"/>
    </row>
    <row r="887">
      <c r="B887" s="322"/>
    </row>
    <row r="888">
      <c r="B888" s="322"/>
    </row>
    <row r="889">
      <c r="B889" s="322"/>
    </row>
    <row r="890">
      <c r="B890" s="322"/>
    </row>
    <row r="891">
      <c r="B891" s="322"/>
    </row>
    <row r="892">
      <c r="B892" s="322"/>
    </row>
    <row r="893">
      <c r="B893" s="322"/>
    </row>
    <row r="894">
      <c r="B894" s="322"/>
    </row>
    <row r="895">
      <c r="B895" s="322"/>
    </row>
    <row r="896">
      <c r="B896" s="322"/>
    </row>
    <row r="897">
      <c r="B897" s="322"/>
    </row>
    <row r="898">
      <c r="B898" s="322"/>
    </row>
    <row r="899">
      <c r="B899" s="322"/>
    </row>
    <row r="900">
      <c r="B900" s="322"/>
    </row>
    <row r="901">
      <c r="B901" s="322"/>
    </row>
    <row r="902">
      <c r="B902" s="322"/>
    </row>
    <row r="903">
      <c r="B903" s="322"/>
    </row>
    <row r="904">
      <c r="B904" s="322"/>
    </row>
    <row r="905">
      <c r="B905" s="322"/>
    </row>
    <row r="906">
      <c r="B906" s="322"/>
    </row>
    <row r="907">
      <c r="B907" s="322"/>
    </row>
    <row r="908">
      <c r="B908" s="322"/>
    </row>
    <row r="909">
      <c r="B909" s="322"/>
    </row>
    <row r="910">
      <c r="B910" s="322"/>
    </row>
    <row r="911">
      <c r="B911" s="322"/>
    </row>
    <row r="912">
      <c r="B912" s="322"/>
    </row>
    <row r="913">
      <c r="B913" s="322"/>
    </row>
    <row r="914">
      <c r="B914" s="322"/>
    </row>
    <row r="915">
      <c r="B915" s="322"/>
    </row>
    <row r="916">
      <c r="B916" s="322"/>
    </row>
    <row r="917">
      <c r="B917" s="322"/>
    </row>
    <row r="918">
      <c r="B918" s="322"/>
    </row>
    <row r="919">
      <c r="B919" s="322"/>
    </row>
    <row r="920">
      <c r="B920" s="322"/>
    </row>
    <row r="921">
      <c r="B921" s="322"/>
    </row>
    <row r="922">
      <c r="B922" s="322"/>
    </row>
    <row r="923">
      <c r="B923" s="322"/>
    </row>
    <row r="924">
      <c r="B924" s="322"/>
    </row>
    <row r="925">
      <c r="B925" s="322"/>
    </row>
    <row r="926">
      <c r="B926" s="322"/>
    </row>
    <row r="927">
      <c r="B927" s="322"/>
    </row>
    <row r="928">
      <c r="B928" s="322"/>
    </row>
    <row r="929">
      <c r="B929" s="322"/>
    </row>
    <row r="930">
      <c r="B930" s="322"/>
    </row>
    <row r="931">
      <c r="B931" s="322"/>
    </row>
    <row r="932">
      <c r="B932" s="322"/>
    </row>
    <row r="933">
      <c r="B933" s="322"/>
    </row>
    <row r="934">
      <c r="B934" s="322"/>
    </row>
    <row r="935">
      <c r="B935" s="322"/>
    </row>
    <row r="936">
      <c r="B936" s="322"/>
    </row>
    <row r="937">
      <c r="B937" s="322"/>
    </row>
    <row r="938">
      <c r="B938" s="322"/>
    </row>
    <row r="939">
      <c r="B939" s="322"/>
    </row>
    <row r="940">
      <c r="B940" s="322"/>
    </row>
    <row r="941">
      <c r="B941" s="322"/>
    </row>
    <row r="942">
      <c r="B942" s="322"/>
    </row>
    <row r="943">
      <c r="B943" s="322"/>
    </row>
    <row r="944">
      <c r="B944" s="322"/>
    </row>
    <row r="945">
      <c r="B945" s="322"/>
    </row>
    <row r="946">
      <c r="B946" s="322"/>
    </row>
    <row r="947">
      <c r="B947" s="322"/>
    </row>
    <row r="948">
      <c r="B948" s="322"/>
    </row>
    <row r="949">
      <c r="B949" s="322"/>
    </row>
    <row r="950">
      <c r="B950" s="322"/>
    </row>
    <row r="951">
      <c r="B951" s="322"/>
    </row>
    <row r="952">
      <c r="B952" s="322"/>
    </row>
    <row r="953">
      <c r="B953" s="322"/>
    </row>
    <row r="954">
      <c r="B954" s="322"/>
    </row>
    <row r="955">
      <c r="B955" s="322"/>
    </row>
    <row r="956">
      <c r="B956" s="322"/>
    </row>
    <row r="957">
      <c r="B957" s="322"/>
    </row>
    <row r="958">
      <c r="B958" s="322"/>
    </row>
    <row r="959">
      <c r="B959" s="322"/>
    </row>
    <row r="960">
      <c r="B960" s="322"/>
    </row>
    <row r="961">
      <c r="B961" s="322"/>
    </row>
    <row r="962">
      <c r="B962" s="322"/>
    </row>
    <row r="963">
      <c r="B963" s="322"/>
    </row>
    <row r="964">
      <c r="B964" s="322"/>
    </row>
    <row r="965">
      <c r="B965" s="322"/>
    </row>
    <row r="966">
      <c r="B966" s="322"/>
    </row>
    <row r="967">
      <c r="B967" s="322"/>
    </row>
    <row r="968">
      <c r="B968" s="322"/>
    </row>
    <row r="969">
      <c r="B969" s="322"/>
    </row>
    <row r="970">
      <c r="B970" s="322"/>
    </row>
    <row r="971">
      <c r="B971" s="322"/>
    </row>
    <row r="972">
      <c r="B972" s="322"/>
    </row>
    <row r="973">
      <c r="B973" s="322"/>
    </row>
    <row r="974">
      <c r="B974" s="322"/>
    </row>
    <row r="975">
      <c r="B975" s="322"/>
    </row>
    <row r="976">
      <c r="B976" s="322"/>
    </row>
    <row r="977">
      <c r="B977" s="322"/>
    </row>
    <row r="978">
      <c r="B978" s="322"/>
    </row>
    <row r="979">
      <c r="B979" s="322"/>
    </row>
    <row r="980">
      <c r="B980" s="322"/>
    </row>
    <row r="981">
      <c r="B981" s="322"/>
    </row>
    <row r="982">
      <c r="B982" s="322"/>
    </row>
    <row r="983">
      <c r="B983" s="322"/>
    </row>
    <row r="984">
      <c r="B984" s="322"/>
    </row>
    <row r="985">
      <c r="B985" s="322"/>
    </row>
    <row r="986">
      <c r="B986" s="322"/>
    </row>
    <row r="987">
      <c r="B987" s="322"/>
    </row>
    <row r="988">
      <c r="B988" s="322"/>
    </row>
    <row r="989">
      <c r="B989" s="322"/>
    </row>
    <row r="990">
      <c r="B990" s="322"/>
    </row>
    <row r="991">
      <c r="B991" s="322"/>
    </row>
    <row r="992">
      <c r="B992" s="322"/>
    </row>
    <row r="993">
      <c r="B993" s="322"/>
    </row>
    <row r="994">
      <c r="B994" s="322"/>
    </row>
    <row r="995">
      <c r="B995" s="322"/>
    </row>
    <row r="996">
      <c r="B996" s="322"/>
    </row>
    <row r="997">
      <c r="B997" s="322"/>
    </row>
    <row r="998">
      <c r="B998" s="322"/>
    </row>
    <row r="999">
      <c r="B999" s="322"/>
    </row>
    <row r="1000">
      <c r="B1000" s="322"/>
    </row>
    <row r="1001">
      <c r="B1001" s="322"/>
    </row>
    <row r="1002">
      <c r="B1002" s="322"/>
    </row>
    <row r="1003">
      <c r="B1003" s="322"/>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2" t="s">
        <v>424</v>
      </c>
      <c r="B1" s="400" t="s">
        <v>2</v>
      </c>
    </row>
    <row r="2">
      <c r="A2" s="322" t="s">
        <v>6</v>
      </c>
      <c r="B2" s="401">
        <f>IFERROR(VLOOKUP(A2,'#2 IH Results'!$A$2:$C$101,2,0),0)+IFERROR(VLOOKUP(A2,'#1 IH Results'!$A$2:$C$101,2,0),0)</f>
        <v>33.02510501</v>
      </c>
    </row>
    <row r="3">
      <c r="A3" s="322" t="s">
        <v>14</v>
      </c>
      <c r="B3" s="401">
        <f>IFERROR(VLOOKUP(A3,'#2 IH Results'!$A$2:$C$101,2,0),0)+IFERROR(VLOOKUP(A3,'#1 IH Results'!$A$2:$C$101,2,0),0)</f>
        <v>32.20765759</v>
      </c>
    </row>
    <row r="4">
      <c r="A4" s="322" t="s">
        <v>9</v>
      </c>
      <c r="B4" s="401">
        <f>IFERROR(VLOOKUP(A4,'#2 IH Results'!$A$2:$C$101,2,0),0)+IFERROR(VLOOKUP(A4,'#1 IH Results'!$A$2:$C$101,2,0),0)</f>
        <v>31.2763025</v>
      </c>
    </row>
    <row r="5">
      <c r="A5" s="322" t="s">
        <v>39</v>
      </c>
      <c r="B5" s="401">
        <f>IFERROR(VLOOKUP(A5,'#2 IH Results'!$A$2:$C$101,2,0),0)+IFERROR(VLOOKUP(A5,'#1 IH Results'!$A$2:$C$101,2,0),0)</f>
        <v>11.45687102</v>
      </c>
    </row>
    <row r="6">
      <c r="A6" s="322" t="s">
        <v>4</v>
      </c>
      <c r="B6" s="401">
        <f>IFERROR(VLOOKUP(A6,'#2 IH Results'!$A$2:$C$101,2,0),0)+IFERROR(VLOOKUP(A6,'#1 IH Results'!$A$2:$C$101,2,0),0)</f>
        <v>11.02316265</v>
      </c>
    </row>
    <row r="7">
      <c r="A7" s="322" t="s">
        <v>29</v>
      </c>
      <c r="B7" s="401">
        <f>IFERROR(VLOOKUP(A7,'#2 IH Results'!$A$2:$C$101,2,0),0)+IFERROR(VLOOKUP(A7,'#1 IH Results'!$A$2:$C$101,2,0),0)</f>
        <v>10.26102988</v>
      </c>
    </row>
    <row r="8">
      <c r="A8" s="322" t="s">
        <v>8</v>
      </c>
      <c r="B8" s="401">
        <f>IFERROR(VLOOKUP(A8,'#2 IH Results'!$A$2:$C$101,2,0),0)+IFERROR(VLOOKUP(A8,'#1 IH Results'!$A$2:$C$101,2,0),0)</f>
        <v>9.122351726</v>
      </c>
    </row>
    <row r="9">
      <c r="A9" s="322" t="s">
        <v>15</v>
      </c>
      <c r="B9" s="401">
        <f>IFERROR(VLOOKUP(A9,'#2 IH Results'!$A$2:$C$101,2,0),0)+IFERROR(VLOOKUP(A9,'#1 IH Results'!$A$2:$C$101,2,0),0)</f>
        <v>7.785137122</v>
      </c>
    </row>
    <row r="10">
      <c r="A10" s="322" t="s">
        <v>5</v>
      </c>
      <c r="B10" s="401">
        <f>IFERROR(VLOOKUP(A10,'#2 IH Results'!$A$2:$C$101,2,0),0)+IFERROR(VLOOKUP(A10,'#1 IH Results'!$A$2:$C$101,2,0),0)</f>
        <v>6.88411335</v>
      </c>
    </row>
    <row r="11">
      <c r="A11" s="322" t="s">
        <v>60</v>
      </c>
      <c r="B11" s="401">
        <f>IFERROR(VLOOKUP(A11,'#2 IH Results'!$A$2:$C$101,2,0),0)+IFERROR(VLOOKUP(A11,'#1 IH Results'!$A$2:$C$101,2,0),0)</f>
        <v>4.685185168</v>
      </c>
    </row>
    <row r="12">
      <c r="A12" s="322" t="s">
        <v>40</v>
      </c>
      <c r="B12" s="401">
        <f>IFERROR(VLOOKUP(A12,'#2 IH Results'!$A$2:$C$101,2,0),0)+IFERROR(VLOOKUP(A12,'#1 IH Results'!$A$2:$C$101,2,0),0)</f>
        <v>4.468537244</v>
      </c>
    </row>
    <row r="13">
      <c r="A13" s="322" t="s">
        <v>80</v>
      </c>
      <c r="B13" s="401">
        <f>IFERROR(VLOOKUP(A13,'#2 IH Results'!$A$2:$C$101,2,0),0)+IFERROR(VLOOKUP(A13,'#1 IH Results'!$A$2:$C$101,2,0),0)</f>
        <v>3.886330728</v>
      </c>
    </row>
    <row r="14">
      <c r="A14" s="322" t="s">
        <v>50</v>
      </c>
      <c r="B14" s="401">
        <f>IFERROR(VLOOKUP(A14,'#2 IH Results'!$A$2:$C$101,2,0),0)+IFERROR(VLOOKUP(A14,'#1 IH Results'!$A$2:$C$101,2,0),0)</f>
        <v>3.82525381</v>
      </c>
    </row>
    <row r="15">
      <c r="A15" s="322" t="s">
        <v>71</v>
      </c>
      <c r="B15" s="401">
        <f>IFERROR(VLOOKUP(A15,'#2 IH Results'!$A$2:$C$101,2,0),0)+IFERROR(VLOOKUP(A15,'#1 IH Results'!$A$2:$C$101,2,0),0)</f>
        <v>3.748148135</v>
      </c>
    </row>
    <row r="16">
      <c r="A16" s="322" t="s">
        <v>41</v>
      </c>
      <c r="B16" s="401">
        <f>IFERROR(VLOOKUP(A16,'#2 IH Results'!$A$2:$C$101,2,0),0)+IFERROR(VLOOKUP(A16,'#1 IH Results'!$A$2:$C$101,2,0),0)</f>
        <v>3.03445404</v>
      </c>
    </row>
    <row r="17">
      <c r="A17" s="322" t="s">
        <v>30</v>
      </c>
      <c r="B17" s="401">
        <f>IFERROR(VLOOKUP(A17,'#2 IH Results'!$A$2:$C$101,2,0),0)+IFERROR(VLOOKUP(A17,'#1 IH Results'!$A$2:$C$101,2,0),0)</f>
        <v>3.012621403</v>
      </c>
    </row>
    <row r="18">
      <c r="A18" s="436" t="s">
        <v>3560</v>
      </c>
      <c r="B18" s="401">
        <f>IFERROR(VLOOKUP(A18,'#2 IH Results'!$A$2:$C$101,2,0),0)+IFERROR(VLOOKUP(A18,'#1 IH Results'!$A$2:$C$101,2,0),0)</f>
        <v>0</v>
      </c>
    </row>
    <row r="19">
      <c r="A19" s="436" t="s">
        <v>1926</v>
      </c>
      <c r="B19" s="401">
        <f>IFERROR(VLOOKUP(A19,'#2 IH Results'!$A$2:$C$101,2,0),0)+IFERROR(VLOOKUP(A19,'#1 IH Results'!$A$2:$C$101,2,0),0)</f>
        <v>0</v>
      </c>
    </row>
    <row r="20">
      <c r="A20" s="322" t="s">
        <v>76</v>
      </c>
      <c r="B20" s="401">
        <f>IFERROR(VLOOKUP(A20,'#2 IH Results'!$A$2:$C$101,2,0),0)+IFERROR(VLOOKUP(A20,'#1 IH Results'!$A$2:$C$101,2,0),0)</f>
        <v>2.342592584</v>
      </c>
    </row>
    <row r="21">
      <c r="A21" s="322" t="s">
        <v>143</v>
      </c>
      <c r="B21" s="401">
        <f>IFERROR(VLOOKUP(A21,'#2 IH Results'!$A$2:$C$101,2,0),0)+IFERROR(VLOOKUP(A21,'#1 IH Results'!$A$2:$C$101,2,0),0)</f>
        <v>2.284942243</v>
      </c>
    </row>
    <row r="22">
      <c r="A22" s="322" t="s">
        <v>52</v>
      </c>
      <c r="B22" s="401">
        <f>IFERROR(VLOOKUP(A22,'#2 IH Results'!$A$2:$C$101,2,0),0)+IFERROR(VLOOKUP(A22,'#1 IH Results'!$A$2:$C$101,2,0),0)</f>
        <v>2.208057913</v>
      </c>
    </row>
    <row r="23">
      <c r="A23" s="322" t="s">
        <v>84</v>
      </c>
      <c r="B23" s="401">
        <f>IFERROR(VLOOKUP(A23,'#2 IH Results'!$A$2:$C$101,2,0),0)+IFERROR(VLOOKUP(A23,'#1 IH Results'!$A$2:$C$101,2,0),0)</f>
        <v>2.146068048</v>
      </c>
    </row>
    <row r="24">
      <c r="A24" s="322" t="s">
        <v>54</v>
      </c>
      <c r="B24" s="401">
        <f>IFERROR(VLOOKUP(A24,'#2 IH Results'!$A$2:$C$101,2,0),0)+IFERROR(VLOOKUP(A24,'#1 IH Results'!$A$2:$C$101,2,0),0)</f>
        <v>1.874074067</v>
      </c>
    </row>
    <row r="25">
      <c r="A25" s="322" t="s">
        <v>146</v>
      </c>
      <c r="B25" s="401">
        <f>IFERROR(VLOOKUP(A25,'#2 IH Results'!$A$2:$C$101,2,0),0)+IFERROR(VLOOKUP(A25,'#1 IH Results'!$A$2:$C$101,2,0),0)</f>
        <v>1.874074067</v>
      </c>
    </row>
    <row r="26">
      <c r="A26" s="322" t="s">
        <v>53</v>
      </c>
      <c r="B26" s="401">
        <f>IFERROR(VLOOKUP(A26,'#2 IH Results'!$A$2:$C$101,2,0),0)+IFERROR(VLOOKUP(A26,'#1 IH Results'!$A$2:$C$101,2,0),0)</f>
        <v>1.052089316</v>
      </c>
    </row>
    <row r="27">
      <c r="A27" s="322" t="s">
        <v>81</v>
      </c>
      <c r="B27" s="401">
        <f>IFERROR(VLOOKUP(A27,'#2 IH Results'!$A$2:$C$101,2,0),0)+IFERROR(VLOOKUP(A27,'#1 IH Results'!$A$2:$C$101,2,0),0)</f>
        <v>0.9568948481</v>
      </c>
    </row>
    <row r="28">
      <c r="A28" s="322" t="s">
        <v>88</v>
      </c>
      <c r="B28" s="401">
        <f>IFERROR(VLOOKUP(A28,'#2 IH Results'!$A$2:$C$101,2,0),0)+IFERROR(VLOOKUP(A28,'#1 IH Results'!$A$2:$C$101,2,0),0)</f>
        <v>0.8696618992</v>
      </c>
    </row>
    <row r="29">
      <c r="A29" s="322" t="s">
        <v>24</v>
      </c>
      <c r="B29" s="401">
        <f>IFERROR(VLOOKUP(A29,'#2 IH Results'!$A$2:$C$101,2,0),0)+IFERROR(VLOOKUP(A29,'#1 IH Results'!$A$2:$C$101,2,0),0)</f>
        <v>0.8554699819</v>
      </c>
    </row>
    <row r="30">
      <c r="A30" s="322" t="s">
        <v>124</v>
      </c>
      <c r="B30" s="401">
        <f>IFERROR(VLOOKUP(A30,'#2 IH Results'!$A$2:$C$101,2,0),0)+IFERROR(VLOOKUP(A30,'#1 IH Results'!$A$2:$C$101,2,0),0)</f>
        <v>0.7926166071</v>
      </c>
    </row>
    <row r="31">
      <c r="A31" s="322" t="s">
        <v>100</v>
      </c>
      <c r="B31" s="401">
        <f>IFERROR(VLOOKUP(A31,'#2 IH Results'!$A$2:$C$101,2,0),0)+IFERROR(VLOOKUP(A31,'#1 IH Results'!$A$2:$C$101,2,0),0)</f>
        <v>0.7509634626</v>
      </c>
    </row>
    <row r="32">
      <c r="A32" s="322" t="s">
        <v>43</v>
      </c>
      <c r="B32" s="401">
        <f>IFERROR(VLOOKUP(A32,'#2 IH Results'!$A$2:$C$101,2,0),0)+IFERROR(VLOOKUP(A32,'#1 IH Results'!$A$2:$C$101,2,0),0)</f>
        <v>0.7429869979</v>
      </c>
    </row>
    <row r="33">
      <c r="A33" s="322" t="s">
        <v>62</v>
      </c>
      <c r="B33" s="401">
        <f>IFERROR(VLOOKUP(A33,'#2 IH Results'!$A$2:$C$101,2,0),0)+IFERROR(VLOOKUP(A33,'#1 IH Results'!$A$2:$C$101,2,0),0)</f>
        <v>0.6285337478</v>
      </c>
    </row>
    <row r="34">
      <c r="A34" s="322" t="s">
        <v>74</v>
      </c>
      <c r="B34" s="401">
        <f>IFERROR(VLOOKUP(A34,'#2 IH Results'!$A$2:$C$101,2,0),0)+IFERROR(VLOOKUP(A34,'#1 IH Results'!$A$2:$C$101,2,0),0)</f>
        <v>0.6285337478</v>
      </c>
    </row>
    <row r="35">
      <c r="A35" s="322" t="s">
        <v>66</v>
      </c>
      <c r="B35" s="401">
        <f>IFERROR(VLOOKUP(A35,'#2 IH Results'!$A$2:$C$101,2,0),0)+IFERROR(VLOOKUP(A35,'#1 IH Results'!$A$2:$C$101,2,0),0)</f>
        <v>0.6285337478</v>
      </c>
    </row>
    <row r="36">
      <c r="A36" s="322" t="s">
        <v>34</v>
      </c>
      <c r="B36" s="401">
        <f>IFERROR(VLOOKUP(A36,'#2 IH Results'!$A$2:$C$101,2,0),0)+IFERROR(VLOOKUP(A36,'#1 IH Results'!$A$2:$C$101,2,0),0)</f>
        <v>0.6285337478</v>
      </c>
    </row>
    <row r="37">
      <c r="A37" s="322" t="s">
        <v>68</v>
      </c>
      <c r="B37" s="401">
        <f>IFERROR(VLOOKUP(A37,'#2 IH Results'!$A$2:$C$101,2,0),0)+IFERROR(VLOOKUP(A37,'#1 IH Results'!$A$2:$C$101,2,0),0)</f>
        <v>0.5942252664</v>
      </c>
    </row>
    <row r="38">
      <c r="A38" s="322" t="s">
        <v>3972</v>
      </c>
      <c r="B38" s="401">
        <f>IFERROR(VLOOKUP(A38,'#2 IH Results'!$A$2:$C$101,2,0),0)+IFERROR(VLOOKUP(A38,'#1 IH Results'!$A$2:$C$101,2,0),0)</f>
        <v>0</v>
      </c>
    </row>
    <row r="39">
      <c r="A39" s="322" t="s">
        <v>37</v>
      </c>
      <c r="B39" s="401">
        <f>IFERROR(VLOOKUP(A39,'#2 IH Results'!$A$2:$C$101,2,0),0)+IFERROR(VLOOKUP(A39,'#1 IH Results'!$A$2:$C$101,2,0),0)</f>
        <v>0.5767907486</v>
      </c>
    </row>
    <row r="40">
      <c r="A40" s="322" t="s">
        <v>125</v>
      </c>
      <c r="B40" s="401">
        <f>IFERROR(VLOOKUP(A40,'#2 IH Results'!$A$2:$C$101,2,0),0)+IFERROR(VLOOKUP(A40,'#1 IH Results'!$A$2:$C$101,2,0),0)</f>
        <v>0.5685624704</v>
      </c>
    </row>
    <row r="41">
      <c r="A41" s="322" t="s">
        <v>113</v>
      </c>
      <c r="B41" s="401">
        <f>IFERROR(VLOOKUP(A41,'#2 IH Results'!$A$2:$C$101,2,0),0)+IFERROR(VLOOKUP(A41,'#1 IH Results'!$A$2:$C$101,2,0),0)</f>
        <v>0.4666385249</v>
      </c>
    </row>
    <row r="42">
      <c r="A42" s="322" t="s">
        <v>114</v>
      </c>
      <c r="B42" s="401">
        <f>IFERROR(VLOOKUP(A42,'#2 IH Results'!$A$2:$C$101,2,0),0)+IFERROR(VLOOKUP(A42,'#1 IH Results'!$A$2:$C$101,2,0),0)</f>
        <v>0.4597854617</v>
      </c>
    </row>
    <row r="43">
      <c r="A43" s="322" t="s">
        <v>176</v>
      </c>
      <c r="B43" s="401">
        <f>IFERROR(VLOOKUP(A43,'#2 IH Results'!$A$2:$C$101,2,0),0)+IFERROR(VLOOKUP(A43,'#1 IH Results'!$A$2:$C$101,2,0),0)</f>
        <v>0.4540678499</v>
      </c>
    </row>
    <row r="44">
      <c r="A44" s="322" t="s">
        <v>212</v>
      </c>
      <c r="B44" s="401">
        <f>IFERROR(VLOOKUP(A44,'#2 IH Results'!$A$2:$C$101,2,0),0)+IFERROR(VLOOKUP(A44,'#1 IH Results'!$A$2:$C$101,2,0),0)</f>
        <v>0.4540678499</v>
      </c>
    </row>
    <row r="45">
      <c r="A45" s="418" t="s">
        <v>78</v>
      </c>
      <c r="B45" s="401">
        <f>IFERROR(VLOOKUP(A45,'#2 IH Results'!$A$2:$C$101,2,0),0)+IFERROR(VLOOKUP(A45,'#1 IH Results'!$A$2:$C$101,2,0),0)</f>
        <v>0.4540678499</v>
      </c>
    </row>
    <row r="46">
      <c r="A46" s="322" t="s">
        <v>271</v>
      </c>
      <c r="B46" s="401">
        <f>IFERROR(VLOOKUP(A46,'#2 IH Results'!$A$2:$C$101,2,0),0)+IFERROR(VLOOKUP(A46,'#1 IH Results'!$A$2:$C$101,2,0),0)</f>
        <v>0.4540678499</v>
      </c>
    </row>
    <row r="47">
      <c r="A47" s="322" t="s">
        <v>138</v>
      </c>
      <c r="B47" s="401">
        <f>IFERROR(VLOOKUP(A47,'#2 IH Results'!$A$2:$C$101,2,0),0)+IFERROR(VLOOKUP(A47,'#1 IH Results'!$A$2:$C$101,2,0),0)</f>
        <v>0.4540678499</v>
      </c>
    </row>
    <row r="48">
      <c r="A48" s="322" t="s">
        <v>364</v>
      </c>
      <c r="B48" s="401">
        <f>IFERROR(VLOOKUP(A48,'#2 IH Results'!$A$2:$C$101,2,0),0)+IFERROR(VLOOKUP(A48,'#1 IH Results'!$A$2:$C$101,2,0),0)</f>
        <v>0.4540678499</v>
      </c>
    </row>
    <row r="49">
      <c r="A49" s="322" t="s">
        <v>120</v>
      </c>
      <c r="B49" s="401">
        <f>IFERROR(VLOOKUP(A49,'#2 IH Results'!$A$2:$C$101,2,0),0)+IFERROR(VLOOKUP(A49,'#1 IH Results'!$A$2:$C$101,2,0),0)</f>
        <v>0.4540678499</v>
      </c>
    </row>
    <row r="50">
      <c r="A50" s="322" t="s">
        <v>65</v>
      </c>
      <c r="B50" s="401">
        <f>IFERROR(VLOOKUP(A50,'#2 IH Results'!$A$2:$C$101,2,0),0)+IFERROR(VLOOKUP(A50,'#1 IH Results'!$A$2:$C$101,2,0),0)</f>
        <v>0.4388433352</v>
      </c>
    </row>
    <row r="51">
      <c r="A51" s="322" t="s">
        <v>79</v>
      </c>
      <c r="B51" s="401">
        <f>IFERROR(VLOOKUP(A51,'#2 IH Results'!$A$2:$C$101,2,0),0)+IFERROR(VLOOKUP(A51,'#1 IH Results'!$A$2:$C$101,2,0),0)</f>
        <v>0.4096263475</v>
      </c>
    </row>
    <row r="52">
      <c r="A52" s="322" t="s">
        <v>19</v>
      </c>
      <c r="B52" s="401">
        <f>IFERROR(VLOOKUP(A52,'#2 IH Results'!$A$2:$C$101,2,0),0)+IFERROR(VLOOKUP(A52,'#1 IH Results'!$A$2:$C$101,2,0),0)</f>
        <v>0.4096263475</v>
      </c>
    </row>
    <row r="53">
      <c r="A53" s="322" t="s">
        <v>73</v>
      </c>
      <c r="B53" s="401">
        <f>IFERROR(VLOOKUP(A53,'#2 IH Results'!$A$2:$C$101,2,0),0)+IFERROR(VLOOKUP(A53,'#1 IH Results'!$A$2:$C$101,2,0),0)</f>
        <v>0.3459307282</v>
      </c>
    </row>
    <row r="54">
      <c r="A54" s="322" t="s">
        <v>112</v>
      </c>
      <c r="B54" s="401">
        <f>IFERROR(VLOOKUP(A54,'#2 IH Results'!$A$2:$C$101,2,0),0)+IFERROR(VLOOKUP(A54,'#1 IH Results'!$A$2:$C$101,2,0),0)</f>
        <v>0.3459307282</v>
      </c>
    </row>
    <row r="55">
      <c r="A55" s="322" t="s">
        <v>31</v>
      </c>
      <c r="B55" s="401">
        <f>IFERROR(VLOOKUP(A55,'#2 IH Results'!$A$2:$C$101,2,0),0)+IFERROR(VLOOKUP(A55,'#1 IH Results'!$A$2:$C$101,2,0),0)</f>
        <v>0.3459307282</v>
      </c>
    </row>
    <row r="56">
      <c r="A56" s="322" t="s">
        <v>188</v>
      </c>
      <c r="B56" s="401">
        <f>IFERROR(VLOOKUP(A56,'#2 IH Results'!$A$2:$C$101,2,0),0)+IFERROR(VLOOKUP(A56,'#1 IH Results'!$A$2:$C$101,2,0),0)</f>
        <v>0.2990788765</v>
      </c>
    </row>
    <row r="57">
      <c r="A57" s="322" t="s">
        <v>117</v>
      </c>
      <c r="B57" s="401">
        <f>IFERROR(VLOOKUP(A57,'#2 IH Results'!$A$2:$C$101,2,0),0)+IFERROR(VLOOKUP(A57,'#1 IH Results'!$A$2:$C$101,2,0),0)</f>
        <v>0.2342592584</v>
      </c>
    </row>
    <row r="58">
      <c r="A58" s="322" t="s">
        <v>115</v>
      </c>
      <c r="B58" s="401">
        <f>IFERROR(VLOOKUP(A58,'#2 IH Results'!$A$2:$C$101,2,0),0)+IFERROR(VLOOKUP(A58,'#1 IH Results'!$A$2:$C$101,2,0),0)</f>
        <v>0.2159235494</v>
      </c>
    </row>
    <row r="59">
      <c r="A59" s="322" t="s">
        <v>92</v>
      </c>
      <c r="B59" s="401">
        <f>IFERROR(VLOOKUP(A59,'#2 IH Results'!$A$2:$C$101,2,0),0)+IFERROR(VLOOKUP(A59,'#1 IH Results'!$A$2:$C$101,2,0),0)</f>
        <v>0.1382774245</v>
      </c>
    </row>
    <row r="60">
      <c r="A60" s="322" t="s">
        <v>111</v>
      </c>
      <c r="B60" s="401">
        <f>IFERROR(VLOOKUP(A60,'#2 IH Results'!$A$2:$C$101,2,0),0)+IFERROR(VLOOKUP(A60,'#1 IH Results'!$A$2:$C$101,2,0),0)</f>
        <v>0.1361890275</v>
      </c>
    </row>
    <row r="61">
      <c r="A61" s="322" t="s">
        <v>376</v>
      </c>
      <c r="B61" s="401">
        <f>IFERROR(VLOOKUP(A61,'#2 IH Results'!$A$2:$C$101,2,0),0)+IFERROR(VLOOKUP(A61,'#1 IH Results'!$A$2:$C$101,2,0),0)</f>
        <v>0.1138547335</v>
      </c>
    </row>
    <row r="62">
      <c r="A62" s="322" t="s">
        <v>375</v>
      </c>
      <c r="B62" s="401">
        <f>IFERROR(VLOOKUP(A62,'#2 IH Results'!$A$2:$C$101,2,0),0)+IFERROR(VLOOKUP(A62,'#1 IH Results'!$A$2:$C$101,2,0),0)</f>
        <v>0.1138547335</v>
      </c>
    </row>
    <row r="63">
      <c r="A63" s="322" t="s">
        <v>77</v>
      </c>
      <c r="B63" s="401">
        <f>IFERROR(VLOOKUP(A63,'#2 IH Results'!$A$2:$C$101,2,0),0)+IFERROR(VLOOKUP(A63,'#1 IH Results'!$A$2:$C$101,2,0),0)</f>
        <v>0.09021679981</v>
      </c>
    </row>
    <row r="64">
      <c r="A64" s="322" t="s">
        <v>47</v>
      </c>
      <c r="B64" s="401">
        <f>IFERROR(VLOOKUP(A64,'#2 IH Results'!$A$2:$C$101,2,0),0)+IFERROR(VLOOKUP(A64,'#1 IH Results'!$A$2:$C$101,2,0),0)</f>
        <v>0.09021679981</v>
      </c>
    </row>
    <row r="65">
      <c r="A65" s="322" t="s">
        <v>177</v>
      </c>
      <c r="B65" s="401">
        <f>IFERROR(VLOOKUP(A65,'#2 IH Results'!$A$2:$C$101,2,0),0)+IFERROR(VLOOKUP(A65,'#1 IH Results'!$A$2:$C$101,2,0),0)</f>
        <v>0.09021679981</v>
      </c>
    </row>
    <row r="66">
      <c r="A66" s="322" t="s">
        <v>378</v>
      </c>
      <c r="B66" s="401">
        <f>IFERROR(VLOOKUP(A66,'#2 IH Results'!$A$2:$C$101,2,0),0)+IFERROR(VLOOKUP(A66,'#1 IH Results'!$A$2:$C$101,2,0),0)</f>
        <v>0.08933717579</v>
      </c>
    </row>
    <row r="67">
      <c r="A67" s="322" t="s">
        <v>139</v>
      </c>
      <c r="B67" s="401">
        <f>IFERROR(VLOOKUP(A67,'#2 IH Results'!$A$2:$C$101,2,0),0)+IFERROR(VLOOKUP(A67,'#1 IH Results'!$A$2:$C$101,2,0),0)</f>
        <v>0.05575538483</v>
      </c>
    </row>
    <row r="68">
      <c r="A68" s="322" t="s">
        <v>383</v>
      </c>
      <c r="B68" s="401">
        <f>IFERROR(VLOOKUP(A68,'#2 IH Results'!$A$2:$C$101,2,0),0)+IFERROR(VLOOKUP(A68,'#1 IH Results'!$A$2:$C$101,2,0),0)</f>
        <v>0.03771202487</v>
      </c>
    </row>
    <row r="69">
      <c r="A69" s="322" t="s">
        <v>386</v>
      </c>
      <c r="B69" s="401">
        <f>IFERROR(VLOOKUP(A69,'#2 IH Results'!$A$2:$C$101,2,0),0)+IFERROR(VLOOKUP(A69,'#1 IH Results'!$A$2:$C$101,2,0),0)</f>
        <v>0.02514134991</v>
      </c>
    </row>
    <row r="70">
      <c r="A70" s="322" t="s">
        <v>385</v>
      </c>
      <c r="B70" s="401">
        <f>IFERROR(VLOOKUP(A70,'#2 IH Results'!$A$2:$C$101,2,0),0)+IFERROR(VLOOKUP(A70,'#1 IH Results'!$A$2:$C$101,2,0),0)</f>
        <v>0.02514134991</v>
      </c>
    </row>
    <row r="71">
      <c r="A71" s="322" t="s">
        <v>175</v>
      </c>
      <c r="B71" s="401">
        <f>IFERROR(VLOOKUP(A71,'#2 IH Results'!$A$2:$C$101,2,0),0)+IFERROR(VLOOKUP(A71,'#1 IH Results'!$A$2:$C$101,2,0),0)</f>
        <v>0.01966866491</v>
      </c>
    </row>
    <row r="72">
      <c r="A72" s="322" t="s">
        <v>144</v>
      </c>
      <c r="B72" s="401">
        <f>IFERROR(VLOOKUP(A72,'#2 IH Results'!$A$2:$C$101,2,0),0)+IFERROR(VLOOKUP(A72,'#1 IH Results'!$A$2:$C$101,2,0),0)</f>
        <v>0.01257067496</v>
      </c>
    </row>
    <row r="73">
      <c r="A73" s="322" t="s">
        <v>127</v>
      </c>
      <c r="B73" s="401">
        <f>IFERROR(VLOOKUP(A73,'#2 IH Results'!$A$2:$C$101,2,0),0)+IFERROR(VLOOKUP(A73,'#1 IH Results'!$A$2:$C$101,2,0),0)</f>
        <v>0.01257067496</v>
      </c>
    </row>
    <row r="74">
      <c r="A74" s="322" t="s">
        <v>70</v>
      </c>
      <c r="B74" s="401">
        <f>IFERROR(VLOOKUP(A74,'#2 IH Results'!$A$2:$C$101,2,0),0)+IFERROR(VLOOKUP(A74,'#1 IH Results'!$A$2:$C$101,2,0),0)</f>
        <v>0.01257067496</v>
      </c>
    </row>
    <row r="75">
      <c r="B75" s="401">
        <f>IFERROR(VLOOKUP(A75,'#2 IH Results'!$A$2:$C$101,2,0),0)+IFERROR(VLOOKUP(A75,'#1 IH Results'!$A$2:$C$101,2,0),0)</f>
        <v>0</v>
      </c>
    </row>
    <row r="76">
      <c r="B76" s="401">
        <f>IFERROR(VLOOKUP(A76,'#2 IH Results'!$A$2:$C$101,2,0),0)+IFERROR(VLOOKUP(A76,'#1 IH Results'!$A$2:$C$101,2,0),0)</f>
        <v>0</v>
      </c>
    </row>
    <row r="77">
      <c r="B77" s="401">
        <f>IFERROR(VLOOKUP(A77,'#2 IH Results'!$A$2:$C$101,2,0),0)+IFERROR(VLOOKUP(A77,'#1 IH Results'!$A$2:$C$101,2,0),0)</f>
        <v>0</v>
      </c>
    </row>
    <row r="78">
      <c r="B78" s="401">
        <f>IFERROR(VLOOKUP(A78,'#2 IH Results'!$A$2:$C$101,2,0),0)+IFERROR(VLOOKUP(A78,'#1 IH Results'!$A$2:$C$101,2,0),0)</f>
        <v>0</v>
      </c>
    </row>
    <row r="79">
      <c r="B79" s="401">
        <f>IFERROR(VLOOKUP(A79,'#2 IH Results'!$A$2:$C$101,2,0),0)+IFERROR(VLOOKUP(A79,'#1 IH Results'!$A$2:$C$101,2,0),0)</f>
        <v>0</v>
      </c>
    </row>
    <row r="80">
      <c r="B80" s="401">
        <f>IFERROR(VLOOKUP(A80,'#2 IH Results'!$A$2:$C$101,2,0),0)+IFERROR(VLOOKUP(A80,'#1 IH Results'!$A$2:$C$101,2,0),0)</f>
        <v>0</v>
      </c>
    </row>
    <row r="81">
      <c r="B81" s="401">
        <f>IFERROR(VLOOKUP(A81,'#2 IH Results'!$A$2:$C$101,2,0),0)+IFERROR(VLOOKUP(A81,'#1 IH Results'!$A$2:$C$101,2,0),0)</f>
        <v>0</v>
      </c>
    </row>
    <row r="82">
      <c r="B82" s="401">
        <f>IFERROR(VLOOKUP(A82,'#2 IH Results'!$A$2:$C$101,2,0),0)+IFERROR(VLOOKUP(A82,'#1 IH Results'!$A$2:$C$101,2,0),0)</f>
        <v>0</v>
      </c>
    </row>
    <row r="83">
      <c r="B83" s="401">
        <f>IFERROR(VLOOKUP(A83,'#2 IH Results'!$A$2:$C$101,2,0),0)+IFERROR(VLOOKUP(A83,'#1 IH Results'!$A$2:$C$101,2,0),0)</f>
        <v>0</v>
      </c>
    </row>
    <row r="84">
      <c r="B84" s="401">
        <f>IFERROR(VLOOKUP(A84,'#2 IH Results'!$A$2:$C$101,2,0),0)+IFERROR(VLOOKUP(A84,'#1 IH Results'!$A$2:$C$101,2,0),0)</f>
        <v>0</v>
      </c>
    </row>
    <row r="85">
      <c r="B85" s="401">
        <f>IFERROR(VLOOKUP(A85,'#2 IH Results'!$A$2:$C$101,2,0),0)+IFERROR(VLOOKUP(A85,'#1 IH Results'!$A$2:$C$101,2,0),0)</f>
        <v>0</v>
      </c>
    </row>
    <row r="86">
      <c r="B86" s="401">
        <f>IFERROR(VLOOKUP(A86,'#2 IH Results'!$A$2:$C$101,2,0),0)+IFERROR(VLOOKUP(A86,'#1 IH Results'!$A$2:$C$101,2,0),0)</f>
        <v>0</v>
      </c>
    </row>
    <row r="87">
      <c r="B87" s="401">
        <f>IFERROR(VLOOKUP(A87,'#2 IH Results'!$A$2:$C$101,2,0),0)+IFERROR(VLOOKUP(A87,'#1 IH Results'!$A$2:$C$101,2,0),0)</f>
        <v>0</v>
      </c>
    </row>
    <row r="88">
      <c r="B88" s="401">
        <f>IFERROR(VLOOKUP(A88,'#2 IH Results'!$A$2:$C$101,2,0),0)+IFERROR(VLOOKUP(A88,'#1 IH Results'!$A$2:$C$101,2,0),0)</f>
        <v>0</v>
      </c>
    </row>
    <row r="89">
      <c r="B89" s="401">
        <f>IFERROR(VLOOKUP(A89,'#2 IH Results'!$A$2:$C$101,2,0),0)+IFERROR(VLOOKUP(A89,'#1 IH Results'!$A$2:$C$101,2,0),0)</f>
        <v>0</v>
      </c>
    </row>
    <row r="90">
      <c r="B90" s="401">
        <f>IFERROR(VLOOKUP(A90,'#2 IH Results'!$A$2:$C$101,2,0),0)+IFERROR(VLOOKUP(A90,'#1 IH Results'!$A$2:$C$101,2,0),0)</f>
        <v>0</v>
      </c>
    </row>
    <row r="91">
      <c r="B91" s="401">
        <f>IFERROR(VLOOKUP(A91,'#2 IH Results'!$A$2:$C$101,2,0),0)+IFERROR(VLOOKUP(A91,'#1 IH Results'!$A$2:$C$101,2,0),0)</f>
        <v>0</v>
      </c>
    </row>
    <row r="92">
      <c r="B92" s="401">
        <f>IFERROR(VLOOKUP(A92,'#2 IH Results'!$A$2:$C$101,2,0),0)+IFERROR(VLOOKUP(A92,'#1 IH Results'!$A$2:$C$101,2,0),0)</f>
        <v>0</v>
      </c>
    </row>
    <row r="93">
      <c r="B93" s="401">
        <f>IFERROR(VLOOKUP(A93,'#2 IH Results'!$A$2:$C$101,2,0),0)+IFERROR(VLOOKUP(A93,'#1 IH Results'!$A$2:$C$101,2,0),0)</f>
        <v>0</v>
      </c>
    </row>
    <row r="94">
      <c r="B94" s="401">
        <f>IFERROR(VLOOKUP(A94,'#2 IH Results'!$A$2:$C$101,2,0),0)+IFERROR(VLOOKUP(A94,'#1 IH Results'!$A$2:$C$101,2,0),0)</f>
        <v>0</v>
      </c>
    </row>
    <row r="95">
      <c r="B95" s="401">
        <f>IFERROR(VLOOKUP(A95,'#2 IH Results'!$A$2:$C$101,2,0),0)+IFERROR(VLOOKUP(A95,'#1 IH Results'!$A$2:$C$101,2,0),0)</f>
        <v>0</v>
      </c>
    </row>
    <row r="96">
      <c r="B96" s="401">
        <f>IFERROR(VLOOKUP(A96,'#2 IH Results'!$A$2:$C$101,2,0),0)+IFERROR(VLOOKUP(A96,'#1 IH Results'!$A$2:$C$101,2,0),0)</f>
        <v>0</v>
      </c>
    </row>
    <row r="97">
      <c r="B97" s="401">
        <f>IFERROR(VLOOKUP(A97,'#2 IH Results'!$A$2:$C$101,2,0),0)+IFERROR(VLOOKUP(A97,'#1 IH Results'!$A$2:$C$101,2,0),0)</f>
        <v>0</v>
      </c>
    </row>
    <row r="98">
      <c r="B98" s="401">
        <f>IFERROR(VLOOKUP(A98,'#2 IH Results'!$A$2:$C$101,2,0),0)+IFERROR(VLOOKUP(A98,'#1 IH Results'!$A$2:$C$101,2,0),0)</f>
        <v>0</v>
      </c>
    </row>
    <row r="99">
      <c r="B99" s="401">
        <f>IFERROR(VLOOKUP(A99,'#2 IH Results'!$A$2:$C$101,2,0),0)+IFERROR(VLOOKUP(A99,'#1 IH Results'!$A$2:$C$101,2,0),0)</f>
        <v>0</v>
      </c>
    </row>
    <row r="100">
      <c r="B100" s="401">
        <f>IFERROR(VLOOKUP(A100,'#2 IH Results'!$A$2:$C$101,2,0),0)+IFERROR(VLOOKUP(A100,'#1 IH Results'!$A$2:$C$101,2,0),0)</f>
        <v>0</v>
      </c>
    </row>
    <row r="101">
      <c r="B101" s="401">
        <f>IFERROR(VLOOKUP(A101,'#2 IH Results'!$A$2:$C$101,2,0),0)+IFERROR(VLOOKUP(A101,'#1 IH Results'!$A$2:$C$101,2,0),0)</f>
        <v>0</v>
      </c>
    </row>
    <row r="102">
      <c r="B102" s="401">
        <f>IFERROR(VLOOKUP(A102,'#2 IH Results'!$A$2:$C$101,2,0),0)+IFERROR(VLOOKUP(A102,'#1 IH Results'!$A$2:$C$101,2,0),0)</f>
        <v>0</v>
      </c>
    </row>
    <row r="103">
      <c r="B103" s="401"/>
    </row>
    <row r="104">
      <c r="B104" s="401"/>
    </row>
    <row r="105">
      <c r="B105" s="401"/>
    </row>
    <row r="106">
      <c r="B106" s="401"/>
    </row>
    <row r="107">
      <c r="B107" s="401"/>
    </row>
    <row r="108">
      <c r="B108" s="401"/>
    </row>
    <row r="109">
      <c r="B109" s="401"/>
    </row>
    <row r="110">
      <c r="B110" s="401"/>
    </row>
    <row r="111">
      <c r="B111" s="401"/>
    </row>
    <row r="112">
      <c r="B112" s="401"/>
    </row>
    <row r="113">
      <c r="B113" s="401"/>
    </row>
    <row r="114">
      <c r="B114" s="401"/>
    </row>
    <row r="115">
      <c r="B115" s="401"/>
    </row>
    <row r="116">
      <c r="B116" s="401"/>
    </row>
    <row r="117">
      <c r="B117" s="401"/>
    </row>
    <row r="118">
      <c r="B118" s="401"/>
    </row>
    <row r="119">
      <c r="B119" s="401"/>
    </row>
    <row r="120">
      <c r="B120" s="401"/>
    </row>
    <row r="121">
      <c r="B121" s="401"/>
    </row>
    <row r="122">
      <c r="B122" s="401"/>
    </row>
    <row r="123">
      <c r="B123" s="401"/>
    </row>
    <row r="124">
      <c r="B124" s="401"/>
    </row>
    <row r="125">
      <c r="B125" s="401"/>
    </row>
    <row r="126">
      <c r="B126" s="401"/>
    </row>
    <row r="127">
      <c r="B127" s="401"/>
    </row>
    <row r="128">
      <c r="B128" s="401"/>
    </row>
    <row r="129">
      <c r="B129" s="401"/>
    </row>
    <row r="130">
      <c r="B130" s="401"/>
    </row>
    <row r="131">
      <c r="B131" s="401"/>
    </row>
    <row r="132">
      <c r="B132" s="401"/>
    </row>
    <row r="133">
      <c r="B133" s="401"/>
    </row>
    <row r="134">
      <c r="B134" s="401"/>
    </row>
    <row r="135">
      <c r="B135" s="401"/>
    </row>
    <row r="136">
      <c r="B136" s="401"/>
    </row>
    <row r="137">
      <c r="B137" s="401"/>
    </row>
    <row r="138">
      <c r="B138" s="401"/>
    </row>
    <row r="139">
      <c r="B139" s="401"/>
    </row>
    <row r="140">
      <c r="B140" s="401"/>
    </row>
    <row r="141">
      <c r="B141" s="401"/>
    </row>
    <row r="142">
      <c r="B142" s="401"/>
    </row>
    <row r="143">
      <c r="B143" s="401"/>
    </row>
    <row r="144">
      <c r="B144" s="401"/>
    </row>
    <row r="145">
      <c r="B145" s="401"/>
    </row>
    <row r="146">
      <c r="B146" s="401"/>
    </row>
    <row r="147">
      <c r="B147" s="401"/>
    </row>
    <row r="148">
      <c r="B148" s="401"/>
    </row>
    <row r="149">
      <c r="B149" s="401"/>
    </row>
    <row r="150">
      <c r="B150" s="401"/>
    </row>
    <row r="151">
      <c r="B151" s="401"/>
    </row>
    <row r="152">
      <c r="B152" s="401"/>
    </row>
    <row r="153">
      <c r="B153" s="401"/>
    </row>
    <row r="154">
      <c r="B154" s="401"/>
    </row>
    <row r="155">
      <c r="B155" s="401"/>
    </row>
    <row r="156">
      <c r="B156" s="401"/>
    </row>
    <row r="157">
      <c r="B157" s="401"/>
    </row>
    <row r="158">
      <c r="B158" s="401"/>
    </row>
    <row r="159">
      <c r="B159" s="401"/>
    </row>
    <row r="160">
      <c r="B160" s="401"/>
    </row>
    <row r="161">
      <c r="B161" s="401"/>
    </row>
    <row r="162">
      <c r="B162" s="401"/>
    </row>
    <row r="163">
      <c r="B163" s="401"/>
    </row>
    <row r="164">
      <c r="B164" s="401"/>
    </row>
    <row r="165">
      <c r="B165" s="401"/>
    </row>
    <row r="166">
      <c r="B166" s="401"/>
    </row>
    <row r="167">
      <c r="B167" s="401"/>
    </row>
    <row r="168">
      <c r="B168" s="401"/>
    </row>
    <row r="169">
      <c r="B169" s="401"/>
    </row>
    <row r="170">
      <c r="B170" s="401"/>
    </row>
    <row r="171">
      <c r="B171" s="401"/>
    </row>
    <row r="172">
      <c r="B172" s="401"/>
    </row>
    <row r="173">
      <c r="B173" s="401"/>
    </row>
    <row r="174">
      <c r="B174" s="401"/>
    </row>
    <row r="175">
      <c r="B175" s="401"/>
    </row>
    <row r="176">
      <c r="B176" s="401"/>
    </row>
    <row r="177">
      <c r="B177" s="401"/>
    </row>
    <row r="178">
      <c r="B178" s="401"/>
    </row>
    <row r="179">
      <c r="B179" s="401"/>
    </row>
    <row r="180">
      <c r="B180" s="401"/>
    </row>
    <row r="181">
      <c r="B181" s="401"/>
    </row>
    <row r="182">
      <c r="B182" s="401"/>
    </row>
    <row r="183">
      <c r="B183" s="401"/>
    </row>
    <row r="184">
      <c r="B184" s="401"/>
    </row>
    <row r="185">
      <c r="B185" s="401"/>
    </row>
    <row r="186">
      <c r="B186" s="401"/>
    </row>
    <row r="187">
      <c r="B187" s="401"/>
    </row>
    <row r="188">
      <c r="B188" s="401"/>
    </row>
    <row r="189">
      <c r="B189" s="401"/>
    </row>
    <row r="190">
      <c r="B190" s="401"/>
    </row>
    <row r="191">
      <c r="B191" s="401"/>
    </row>
    <row r="192">
      <c r="B192" s="401"/>
    </row>
    <row r="193">
      <c r="B193" s="401"/>
    </row>
    <row r="194">
      <c r="B194" s="401"/>
    </row>
    <row r="195">
      <c r="B195" s="401"/>
    </row>
    <row r="196">
      <c r="B196" s="401"/>
    </row>
    <row r="197">
      <c r="B197" s="401"/>
    </row>
    <row r="198">
      <c r="B198" s="401"/>
    </row>
    <row r="199">
      <c r="B199" s="401"/>
    </row>
    <row r="200">
      <c r="B200" s="401"/>
    </row>
    <row r="201">
      <c r="B201" s="401"/>
    </row>
    <row r="202">
      <c r="B202" s="401"/>
    </row>
    <row r="203">
      <c r="B203" s="401"/>
    </row>
    <row r="204">
      <c r="B204" s="401"/>
    </row>
    <row r="205">
      <c r="B205" s="401"/>
    </row>
    <row r="206">
      <c r="B206" s="401"/>
    </row>
    <row r="207">
      <c r="B207" s="401"/>
    </row>
    <row r="208">
      <c r="B208" s="401"/>
    </row>
    <row r="209">
      <c r="B209" s="401"/>
    </row>
    <row r="210">
      <c r="B210" s="401"/>
    </row>
    <row r="211">
      <c r="B211" s="401"/>
    </row>
    <row r="212">
      <c r="B212" s="401"/>
    </row>
    <row r="213">
      <c r="B213" s="401"/>
    </row>
    <row r="214">
      <c r="B214" s="401"/>
    </row>
    <row r="215">
      <c r="B215" s="401"/>
    </row>
    <row r="216">
      <c r="B216" s="401"/>
    </row>
    <row r="217">
      <c r="B217" s="401"/>
    </row>
    <row r="218">
      <c r="B218" s="401"/>
    </row>
    <row r="219">
      <c r="B219" s="401"/>
    </row>
    <row r="220">
      <c r="B220" s="401"/>
    </row>
    <row r="221">
      <c r="B221" s="401"/>
    </row>
    <row r="222">
      <c r="B222" s="401"/>
    </row>
    <row r="223">
      <c r="B223" s="401"/>
    </row>
    <row r="224">
      <c r="B224" s="401"/>
    </row>
    <row r="225">
      <c r="B225" s="401"/>
    </row>
    <row r="226">
      <c r="B226" s="401"/>
    </row>
    <row r="227">
      <c r="B227" s="401"/>
    </row>
    <row r="228">
      <c r="B228" s="401"/>
    </row>
    <row r="229">
      <c r="B229" s="401"/>
    </row>
    <row r="230">
      <c r="B230" s="401"/>
    </row>
    <row r="231">
      <c r="B231" s="401"/>
    </row>
    <row r="232">
      <c r="B232" s="401"/>
    </row>
    <row r="233">
      <c r="B233" s="401"/>
    </row>
    <row r="234">
      <c r="B234" s="401"/>
    </row>
    <row r="235">
      <c r="B235" s="401"/>
    </row>
    <row r="236">
      <c r="B236" s="401"/>
    </row>
    <row r="237">
      <c r="B237" s="401"/>
    </row>
    <row r="238">
      <c r="B238" s="401"/>
    </row>
    <row r="239">
      <c r="B239" s="401"/>
    </row>
    <row r="240">
      <c r="B240" s="401"/>
    </row>
    <row r="241">
      <c r="B241" s="401"/>
    </row>
    <row r="242">
      <c r="B242" s="401"/>
    </row>
    <row r="243">
      <c r="B243" s="401"/>
    </row>
    <row r="244">
      <c r="B244" s="401"/>
    </row>
    <row r="245">
      <c r="B245" s="401"/>
    </row>
    <row r="246">
      <c r="B246" s="401"/>
    </row>
    <row r="247">
      <c r="B247" s="401"/>
    </row>
    <row r="248">
      <c r="B248" s="401"/>
    </row>
    <row r="249">
      <c r="B249" s="401"/>
    </row>
    <row r="250">
      <c r="B250" s="401"/>
    </row>
    <row r="251">
      <c r="B251" s="401"/>
    </row>
    <row r="252">
      <c r="B252" s="401"/>
    </row>
    <row r="253">
      <c r="B253" s="401"/>
    </row>
    <row r="254">
      <c r="B254" s="401"/>
    </row>
    <row r="255">
      <c r="B255" s="401"/>
    </row>
    <row r="256">
      <c r="B256" s="401"/>
    </row>
    <row r="257">
      <c r="B257" s="401"/>
    </row>
    <row r="258">
      <c r="B258" s="401"/>
    </row>
    <row r="259">
      <c r="B259" s="401"/>
    </row>
    <row r="260">
      <c r="B260" s="401"/>
    </row>
    <row r="261">
      <c r="B261" s="401"/>
    </row>
    <row r="262">
      <c r="B262" s="401"/>
    </row>
    <row r="263">
      <c r="B263" s="401"/>
    </row>
    <row r="264">
      <c r="B264" s="401"/>
    </row>
    <row r="265">
      <c r="B265" s="401"/>
    </row>
    <row r="266">
      <c r="B266" s="401"/>
    </row>
    <row r="267">
      <c r="B267" s="401"/>
    </row>
    <row r="268">
      <c r="B268" s="401"/>
    </row>
    <row r="269">
      <c r="B269" s="401"/>
    </row>
    <row r="270">
      <c r="B270" s="401"/>
    </row>
    <row r="271">
      <c r="B271" s="401"/>
    </row>
    <row r="272">
      <c r="B272" s="401"/>
    </row>
    <row r="273">
      <c r="B273" s="401"/>
    </row>
    <row r="274">
      <c r="B274" s="401"/>
    </row>
    <row r="275">
      <c r="B275" s="401"/>
    </row>
    <row r="276">
      <c r="B276" s="401"/>
    </row>
    <row r="277">
      <c r="B277" s="401"/>
    </row>
    <row r="278">
      <c r="B278" s="401"/>
    </row>
    <row r="279">
      <c r="B279" s="401"/>
    </row>
    <row r="280">
      <c r="B280" s="401"/>
    </row>
    <row r="281">
      <c r="B281" s="401"/>
    </row>
    <row r="282">
      <c r="B282" s="401"/>
    </row>
    <row r="283">
      <c r="B283" s="401"/>
    </row>
    <row r="284">
      <c r="B284" s="401"/>
    </row>
    <row r="285">
      <c r="B285" s="401"/>
    </row>
    <row r="286">
      <c r="B286" s="401"/>
    </row>
    <row r="287">
      <c r="B287" s="401"/>
    </row>
    <row r="288">
      <c r="B288" s="401"/>
    </row>
    <row r="289">
      <c r="B289" s="401"/>
    </row>
    <row r="290">
      <c r="B290" s="401"/>
    </row>
    <row r="291">
      <c r="B291" s="401"/>
    </row>
    <row r="292">
      <c r="B292" s="401"/>
    </row>
    <row r="293">
      <c r="B293" s="401"/>
    </row>
    <row r="294">
      <c r="B294" s="401"/>
    </row>
    <row r="295">
      <c r="B295" s="401"/>
    </row>
    <row r="296">
      <c r="B296" s="401"/>
    </row>
    <row r="297">
      <c r="B297" s="401"/>
    </row>
    <row r="298">
      <c r="B298" s="401"/>
    </row>
    <row r="299">
      <c r="B299" s="401"/>
    </row>
    <row r="300">
      <c r="B300" s="401"/>
    </row>
    <row r="301">
      <c r="B301" s="401"/>
    </row>
    <row r="302">
      <c r="B302" s="401"/>
    </row>
    <row r="303">
      <c r="B303" s="401"/>
    </row>
    <row r="304">
      <c r="B304" s="401"/>
    </row>
    <row r="305">
      <c r="B305" s="401"/>
    </row>
    <row r="306">
      <c r="B306" s="401"/>
    </row>
    <row r="307">
      <c r="B307" s="401"/>
    </row>
    <row r="308">
      <c r="B308" s="401"/>
    </row>
    <row r="309">
      <c r="B309" s="401"/>
    </row>
    <row r="310">
      <c r="B310" s="401"/>
    </row>
    <row r="311">
      <c r="B311" s="401"/>
    </row>
    <row r="312">
      <c r="B312" s="401"/>
    </row>
    <row r="313">
      <c r="B313" s="401"/>
    </row>
    <row r="314">
      <c r="B314" s="401"/>
    </row>
    <row r="315">
      <c r="B315" s="401"/>
    </row>
    <row r="316">
      <c r="B316" s="401"/>
    </row>
    <row r="317">
      <c r="B317" s="401"/>
    </row>
    <row r="318">
      <c r="B318" s="401"/>
    </row>
    <row r="319">
      <c r="B319" s="401"/>
    </row>
    <row r="320">
      <c r="B320" s="401"/>
    </row>
    <row r="321">
      <c r="B321" s="401"/>
    </row>
    <row r="322">
      <c r="B322" s="401"/>
    </row>
    <row r="323">
      <c r="B323" s="401"/>
    </row>
    <row r="324">
      <c r="B324" s="401"/>
    </row>
    <row r="325">
      <c r="B325" s="401"/>
    </row>
    <row r="326">
      <c r="B326" s="401"/>
    </row>
    <row r="327">
      <c r="B327" s="401"/>
    </row>
    <row r="328">
      <c r="B328" s="401"/>
    </row>
    <row r="329">
      <c r="B329" s="401"/>
    </row>
    <row r="330">
      <c r="B330" s="401"/>
    </row>
    <row r="331">
      <c r="B331" s="401"/>
    </row>
    <row r="332">
      <c r="B332" s="401"/>
    </row>
    <row r="333">
      <c r="B333" s="401"/>
    </row>
    <row r="334">
      <c r="B334" s="401"/>
    </row>
    <row r="335">
      <c r="B335" s="401"/>
    </row>
    <row r="336">
      <c r="B336" s="401"/>
    </row>
    <row r="337">
      <c r="B337" s="401"/>
    </row>
    <row r="338">
      <c r="B338" s="401"/>
    </row>
    <row r="339">
      <c r="B339" s="401"/>
    </row>
    <row r="340">
      <c r="B340" s="401"/>
    </row>
    <row r="341">
      <c r="B341" s="401"/>
    </row>
    <row r="342">
      <c r="B342" s="401"/>
    </row>
    <row r="343">
      <c r="B343" s="401"/>
    </row>
    <row r="344">
      <c r="B344" s="401"/>
    </row>
    <row r="345">
      <c r="B345" s="401"/>
    </row>
    <row r="346">
      <c r="B346" s="401"/>
    </row>
    <row r="347">
      <c r="B347" s="401"/>
    </row>
    <row r="348">
      <c r="B348" s="401"/>
    </row>
    <row r="349">
      <c r="B349" s="401"/>
    </row>
    <row r="350">
      <c r="B350" s="401"/>
    </row>
    <row r="351">
      <c r="B351" s="401"/>
    </row>
    <row r="352">
      <c r="B352" s="401"/>
    </row>
    <row r="353">
      <c r="B353" s="401"/>
    </row>
    <row r="354">
      <c r="B354" s="401"/>
    </row>
    <row r="355">
      <c r="B355" s="401"/>
    </row>
    <row r="356">
      <c r="B356" s="401"/>
    </row>
    <row r="357">
      <c r="B357" s="401"/>
    </row>
    <row r="358">
      <c r="B358" s="401"/>
    </row>
    <row r="359">
      <c r="B359" s="401"/>
    </row>
    <row r="360">
      <c r="B360" s="401"/>
    </row>
    <row r="361">
      <c r="B361" s="401"/>
    </row>
    <row r="362">
      <c r="B362" s="401"/>
    </row>
    <row r="363">
      <c r="B363" s="401"/>
    </row>
    <row r="364">
      <c r="B364" s="401"/>
    </row>
    <row r="365">
      <c r="B365" s="401"/>
    </row>
    <row r="366">
      <c r="B366" s="401"/>
    </row>
    <row r="367">
      <c r="B367" s="401"/>
    </row>
    <row r="368">
      <c r="B368" s="401"/>
    </row>
    <row r="369">
      <c r="B369" s="401"/>
    </row>
    <row r="370">
      <c r="B370" s="401"/>
    </row>
    <row r="371">
      <c r="B371" s="401"/>
    </row>
    <row r="372">
      <c r="B372" s="401"/>
    </row>
    <row r="373">
      <c r="B373" s="401"/>
    </row>
    <row r="374">
      <c r="B374" s="401"/>
    </row>
    <row r="375">
      <c r="B375" s="401"/>
    </row>
    <row r="376">
      <c r="B376" s="401"/>
    </row>
    <row r="377">
      <c r="B377" s="401"/>
    </row>
    <row r="378">
      <c r="B378" s="401"/>
    </row>
    <row r="379">
      <c r="B379" s="401"/>
    </row>
    <row r="380">
      <c r="B380" s="401"/>
    </row>
    <row r="381">
      <c r="B381" s="401"/>
    </row>
    <row r="382">
      <c r="B382" s="401"/>
    </row>
    <row r="383">
      <c r="B383" s="401"/>
    </row>
    <row r="384">
      <c r="B384" s="401"/>
    </row>
    <row r="385">
      <c r="B385" s="401"/>
    </row>
    <row r="386">
      <c r="B386" s="401"/>
    </row>
    <row r="387">
      <c r="B387" s="401"/>
    </row>
    <row r="388">
      <c r="B388" s="401"/>
    </row>
    <row r="389">
      <c r="B389" s="401"/>
    </row>
    <row r="390">
      <c r="B390" s="401"/>
    </row>
    <row r="391">
      <c r="B391" s="401"/>
    </row>
    <row r="392">
      <c r="B392" s="401"/>
    </row>
    <row r="393">
      <c r="B393" s="401"/>
    </row>
    <row r="394">
      <c r="B394" s="401"/>
    </row>
    <row r="395">
      <c r="B395" s="401"/>
    </row>
    <row r="396">
      <c r="B396" s="401"/>
    </row>
    <row r="397">
      <c r="B397" s="401"/>
    </row>
    <row r="398">
      <c r="B398" s="401"/>
    </row>
    <row r="399">
      <c r="B399" s="401"/>
    </row>
    <row r="400">
      <c r="B400" s="401"/>
    </row>
    <row r="401">
      <c r="B401" s="401"/>
    </row>
    <row r="402">
      <c r="B402" s="401"/>
    </row>
    <row r="403">
      <c r="B403" s="401"/>
    </row>
    <row r="404">
      <c r="B404" s="401"/>
    </row>
    <row r="405">
      <c r="B405" s="401"/>
    </row>
    <row r="406">
      <c r="B406" s="401"/>
    </row>
    <row r="407">
      <c r="B407" s="401"/>
    </row>
    <row r="408">
      <c r="B408" s="401"/>
    </row>
    <row r="409">
      <c r="B409" s="401"/>
    </row>
    <row r="410">
      <c r="B410" s="401"/>
    </row>
    <row r="411">
      <c r="B411" s="401"/>
    </row>
    <row r="412">
      <c r="B412" s="401"/>
    </row>
    <row r="413">
      <c r="B413" s="401"/>
    </row>
    <row r="414">
      <c r="B414" s="401"/>
    </row>
    <row r="415">
      <c r="B415" s="401"/>
    </row>
    <row r="416">
      <c r="B416" s="401"/>
    </row>
    <row r="417">
      <c r="B417" s="401"/>
    </row>
    <row r="418">
      <c r="B418" s="401"/>
    </row>
    <row r="419">
      <c r="B419" s="401"/>
    </row>
    <row r="420">
      <c r="B420" s="401"/>
    </row>
    <row r="421">
      <c r="B421" s="401"/>
    </row>
    <row r="422">
      <c r="B422" s="401"/>
    </row>
    <row r="423">
      <c r="B423" s="401"/>
    </row>
    <row r="424">
      <c r="B424" s="401"/>
    </row>
    <row r="425">
      <c r="B425" s="401"/>
    </row>
    <row r="426">
      <c r="B426" s="401"/>
    </row>
    <row r="427">
      <c r="B427" s="401"/>
    </row>
    <row r="428">
      <c r="B428" s="401"/>
    </row>
    <row r="429">
      <c r="B429" s="401"/>
    </row>
    <row r="430">
      <c r="B430" s="401"/>
    </row>
    <row r="431">
      <c r="B431" s="401"/>
    </row>
    <row r="432">
      <c r="B432" s="401"/>
    </row>
    <row r="433">
      <c r="B433" s="401"/>
    </row>
    <row r="434">
      <c r="B434" s="401"/>
    </row>
    <row r="435">
      <c r="B435" s="401"/>
    </row>
    <row r="436">
      <c r="B436" s="401"/>
    </row>
    <row r="437">
      <c r="B437" s="401"/>
    </row>
    <row r="438">
      <c r="B438" s="401"/>
    </row>
    <row r="439">
      <c r="B439" s="401"/>
    </row>
    <row r="440">
      <c r="B440" s="401"/>
    </row>
    <row r="441">
      <c r="B441" s="401"/>
    </row>
    <row r="442">
      <c r="B442" s="401"/>
    </row>
    <row r="443">
      <c r="B443" s="401"/>
    </row>
    <row r="444">
      <c r="B444" s="401"/>
    </row>
    <row r="445">
      <c r="B445" s="401"/>
    </row>
    <row r="446">
      <c r="B446" s="401"/>
    </row>
    <row r="447">
      <c r="B447" s="401"/>
    </row>
    <row r="448">
      <c r="B448" s="401"/>
    </row>
    <row r="449">
      <c r="B449" s="401"/>
    </row>
    <row r="450">
      <c r="B450" s="401"/>
    </row>
    <row r="451">
      <c r="B451" s="401"/>
    </row>
    <row r="452">
      <c r="B452" s="401"/>
    </row>
    <row r="453">
      <c r="B453" s="401"/>
    </row>
    <row r="454">
      <c r="B454" s="401"/>
    </row>
    <row r="455">
      <c r="B455" s="401"/>
    </row>
    <row r="456">
      <c r="B456" s="401"/>
    </row>
    <row r="457">
      <c r="B457" s="401"/>
    </row>
    <row r="458">
      <c r="B458" s="401"/>
    </row>
    <row r="459">
      <c r="B459" s="401"/>
    </row>
    <row r="460">
      <c r="B460" s="401"/>
    </row>
    <row r="461">
      <c r="B461" s="401"/>
    </row>
    <row r="462">
      <c r="B462" s="401"/>
    </row>
    <row r="463">
      <c r="B463" s="401"/>
    </row>
    <row r="464">
      <c r="B464" s="401"/>
    </row>
    <row r="465">
      <c r="B465" s="401"/>
    </row>
    <row r="466">
      <c r="B466" s="401"/>
    </row>
    <row r="467">
      <c r="B467" s="401"/>
    </row>
    <row r="468">
      <c r="B468" s="401"/>
    </row>
    <row r="469">
      <c r="B469" s="401"/>
    </row>
    <row r="470">
      <c r="B470" s="401"/>
    </row>
    <row r="471">
      <c r="B471" s="401"/>
    </row>
    <row r="472">
      <c r="B472" s="401"/>
    </row>
    <row r="473">
      <c r="B473" s="401"/>
    </row>
    <row r="474">
      <c r="B474" s="401"/>
    </row>
    <row r="475">
      <c r="B475" s="401"/>
    </row>
    <row r="476">
      <c r="B476" s="401"/>
    </row>
    <row r="477">
      <c r="B477" s="401"/>
    </row>
    <row r="478">
      <c r="B478" s="401"/>
    </row>
    <row r="479">
      <c r="B479" s="401"/>
    </row>
    <row r="480">
      <c r="B480" s="401"/>
    </row>
    <row r="481">
      <c r="B481" s="401"/>
    </row>
    <row r="482">
      <c r="B482" s="401"/>
    </row>
    <row r="483">
      <c r="B483" s="401"/>
    </row>
    <row r="484">
      <c r="B484" s="401"/>
    </row>
    <row r="485">
      <c r="B485" s="401"/>
    </row>
    <row r="486">
      <c r="B486" s="401"/>
    </row>
    <row r="487">
      <c r="B487" s="401"/>
    </row>
    <row r="488">
      <c r="B488" s="401"/>
    </row>
    <row r="489">
      <c r="B489" s="401"/>
    </row>
    <row r="490">
      <c r="B490" s="401"/>
    </row>
    <row r="491">
      <c r="B491" s="401"/>
    </row>
    <row r="492">
      <c r="B492" s="401"/>
    </row>
    <row r="493">
      <c r="B493" s="401"/>
    </row>
    <row r="494">
      <c r="B494" s="401"/>
    </row>
    <row r="495">
      <c r="B495" s="401"/>
    </row>
    <row r="496">
      <c r="B496" s="401"/>
    </row>
    <row r="497">
      <c r="B497" s="401"/>
    </row>
    <row r="498">
      <c r="B498" s="401"/>
    </row>
    <row r="499">
      <c r="B499" s="401"/>
    </row>
    <row r="500">
      <c r="B500" s="401"/>
    </row>
    <row r="501">
      <c r="B501" s="401"/>
    </row>
    <row r="502">
      <c r="B502" s="401"/>
    </row>
    <row r="503">
      <c r="B503" s="401"/>
    </row>
    <row r="504">
      <c r="B504" s="401"/>
    </row>
    <row r="505">
      <c r="B505" s="401"/>
    </row>
    <row r="506">
      <c r="B506" s="401"/>
    </row>
    <row r="507">
      <c r="B507" s="401"/>
    </row>
    <row r="508">
      <c r="B508" s="401"/>
    </row>
    <row r="509">
      <c r="B509" s="401"/>
    </row>
    <row r="510">
      <c r="B510" s="401"/>
    </row>
    <row r="511">
      <c r="B511" s="401"/>
    </row>
    <row r="512">
      <c r="B512" s="401"/>
    </row>
    <row r="513">
      <c r="B513" s="401"/>
    </row>
    <row r="514">
      <c r="B514" s="401"/>
    </row>
    <row r="515">
      <c r="B515" s="401"/>
    </row>
    <row r="516">
      <c r="B516" s="401"/>
    </row>
    <row r="517">
      <c r="B517" s="401"/>
    </row>
    <row r="518">
      <c r="B518" s="401"/>
    </row>
    <row r="519">
      <c r="B519" s="401"/>
    </row>
    <row r="520">
      <c r="B520" s="401"/>
    </row>
    <row r="521">
      <c r="B521" s="401"/>
    </row>
    <row r="522">
      <c r="B522" s="401"/>
    </row>
    <row r="523">
      <c r="B523" s="401"/>
    </row>
    <row r="524">
      <c r="B524" s="401"/>
    </row>
    <row r="525">
      <c r="B525" s="401"/>
    </row>
    <row r="526">
      <c r="B526" s="401"/>
    </row>
    <row r="527">
      <c r="B527" s="401"/>
    </row>
    <row r="528">
      <c r="B528" s="401"/>
    </row>
    <row r="529">
      <c r="B529" s="401"/>
    </row>
    <row r="530">
      <c r="B530" s="401"/>
    </row>
    <row r="531">
      <c r="B531" s="401"/>
    </row>
    <row r="532">
      <c r="B532" s="401"/>
    </row>
    <row r="533">
      <c r="B533" s="401"/>
    </row>
    <row r="534">
      <c r="B534" s="401"/>
    </row>
    <row r="535">
      <c r="B535" s="401"/>
    </row>
    <row r="536">
      <c r="B536" s="401"/>
    </row>
    <row r="537">
      <c r="B537" s="401"/>
    </row>
    <row r="538">
      <c r="B538" s="401"/>
    </row>
    <row r="539">
      <c r="B539" s="401"/>
    </row>
    <row r="540">
      <c r="B540" s="401"/>
    </row>
    <row r="541">
      <c r="B541" s="401"/>
    </row>
    <row r="542">
      <c r="B542" s="401"/>
    </row>
    <row r="543">
      <c r="B543" s="401"/>
    </row>
    <row r="544">
      <c r="B544" s="401"/>
    </row>
    <row r="545">
      <c r="B545" s="401"/>
    </row>
    <row r="546">
      <c r="B546" s="401"/>
    </row>
    <row r="547">
      <c r="B547" s="401"/>
    </row>
    <row r="548">
      <c r="B548" s="401"/>
    </row>
    <row r="549">
      <c r="B549" s="401"/>
    </row>
    <row r="550">
      <c r="B550" s="401"/>
    </row>
    <row r="551">
      <c r="B551" s="401"/>
    </row>
    <row r="552">
      <c r="B552" s="401"/>
    </row>
    <row r="553">
      <c r="B553" s="401"/>
    </row>
    <row r="554">
      <c r="B554" s="401"/>
    </row>
    <row r="555">
      <c r="B555" s="401"/>
    </row>
    <row r="556">
      <c r="B556" s="401"/>
    </row>
    <row r="557">
      <c r="B557" s="401"/>
    </row>
    <row r="558">
      <c r="B558" s="401"/>
    </row>
    <row r="559">
      <c r="B559" s="401"/>
    </row>
    <row r="560">
      <c r="B560" s="401"/>
    </row>
    <row r="561">
      <c r="B561" s="401"/>
    </row>
    <row r="562">
      <c r="B562" s="401"/>
    </row>
    <row r="563">
      <c r="B563" s="401"/>
    </row>
    <row r="564">
      <c r="B564" s="401"/>
    </row>
    <row r="565">
      <c r="B565" s="401"/>
    </row>
    <row r="566">
      <c r="B566" s="401"/>
    </row>
    <row r="567">
      <c r="B567" s="401"/>
    </row>
    <row r="568">
      <c r="B568" s="401"/>
    </row>
    <row r="569">
      <c r="B569" s="401"/>
    </row>
    <row r="570">
      <c r="B570" s="401"/>
    </row>
    <row r="571">
      <c r="B571" s="401"/>
    </row>
    <row r="572">
      <c r="B572" s="401"/>
    </row>
    <row r="573">
      <c r="B573" s="401"/>
    </row>
    <row r="574">
      <c r="B574" s="401"/>
    </row>
    <row r="575">
      <c r="B575" s="401"/>
    </row>
    <row r="576">
      <c r="B576" s="401"/>
    </row>
    <row r="577">
      <c r="B577" s="401"/>
    </row>
    <row r="578">
      <c r="B578" s="401"/>
    </row>
    <row r="579">
      <c r="B579" s="401"/>
    </row>
    <row r="580">
      <c r="B580" s="401"/>
    </row>
    <row r="581">
      <c r="B581" s="401"/>
    </row>
    <row r="582">
      <c r="B582" s="401"/>
    </row>
    <row r="583">
      <c r="B583" s="401"/>
    </row>
    <row r="584">
      <c r="B584" s="401"/>
    </row>
    <row r="585">
      <c r="B585" s="401"/>
    </row>
    <row r="586">
      <c r="B586" s="401"/>
    </row>
    <row r="587">
      <c r="B587" s="401"/>
    </row>
    <row r="588">
      <c r="B588" s="401"/>
    </row>
    <row r="589">
      <c r="B589" s="401"/>
    </row>
    <row r="590">
      <c r="B590" s="401"/>
    </row>
    <row r="591">
      <c r="B591" s="401"/>
    </row>
    <row r="592">
      <c r="B592" s="401"/>
    </row>
    <row r="593">
      <c r="B593" s="401"/>
    </row>
    <row r="594">
      <c r="B594" s="401"/>
    </row>
    <row r="595">
      <c r="B595" s="401"/>
    </row>
    <row r="596">
      <c r="B596" s="401"/>
    </row>
    <row r="597">
      <c r="B597" s="401"/>
    </row>
    <row r="598">
      <c r="B598" s="401"/>
    </row>
    <row r="599">
      <c r="B599" s="401"/>
    </row>
    <row r="600">
      <c r="B600" s="401"/>
    </row>
    <row r="601">
      <c r="B601" s="401"/>
    </row>
    <row r="602">
      <c r="B602" s="401"/>
    </row>
    <row r="603">
      <c r="B603" s="401"/>
    </row>
    <row r="604">
      <c r="B604" s="401"/>
    </row>
    <row r="605">
      <c r="B605" s="401"/>
    </row>
    <row r="606">
      <c r="B606" s="401"/>
    </row>
    <row r="607">
      <c r="B607" s="401"/>
    </row>
    <row r="608">
      <c r="B608" s="401"/>
    </row>
    <row r="609">
      <c r="B609" s="401"/>
    </row>
    <row r="610">
      <c r="B610" s="401"/>
    </row>
    <row r="611">
      <c r="B611" s="401"/>
    </row>
    <row r="612">
      <c r="B612" s="401"/>
    </row>
    <row r="613">
      <c r="B613" s="401"/>
    </row>
    <row r="614">
      <c r="B614" s="401"/>
    </row>
    <row r="615">
      <c r="B615" s="401"/>
    </row>
    <row r="616">
      <c r="B616" s="401"/>
    </row>
    <row r="617">
      <c r="B617" s="401"/>
    </row>
    <row r="618">
      <c r="B618" s="401"/>
    </row>
    <row r="619">
      <c r="B619" s="401"/>
    </row>
    <row r="620">
      <c r="B620" s="401"/>
    </row>
    <row r="621">
      <c r="B621" s="401"/>
    </row>
    <row r="622">
      <c r="B622" s="401"/>
    </row>
    <row r="623">
      <c r="B623" s="401"/>
    </row>
    <row r="624">
      <c r="B624" s="401"/>
    </row>
    <row r="625">
      <c r="B625" s="401"/>
    </row>
    <row r="626">
      <c r="B626" s="401"/>
    </row>
    <row r="627">
      <c r="B627" s="401"/>
    </row>
    <row r="628">
      <c r="B628" s="401"/>
    </row>
    <row r="629">
      <c r="B629" s="401"/>
    </row>
    <row r="630">
      <c r="B630" s="401"/>
    </row>
    <row r="631">
      <c r="B631" s="401"/>
    </row>
    <row r="632">
      <c r="B632" s="401"/>
    </row>
    <row r="633">
      <c r="B633" s="401"/>
    </row>
    <row r="634">
      <c r="B634" s="401"/>
    </row>
    <row r="635">
      <c r="B635" s="401"/>
    </row>
    <row r="636">
      <c r="B636" s="401"/>
    </row>
    <row r="637">
      <c r="B637" s="401"/>
    </row>
    <row r="638">
      <c r="B638" s="401"/>
    </row>
    <row r="639">
      <c r="B639" s="401"/>
    </row>
    <row r="640">
      <c r="B640" s="401"/>
    </row>
    <row r="641">
      <c r="B641" s="401"/>
    </row>
    <row r="642">
      <c r="B642" s="401"/>
    </row>
    <row r="643">
      <c r="B643" s="401"/>
    </row>
    <row r="644">
      <c r="B644" s="401"/>
    </row>
    <row r="645">
      <c r="B645" s="401"/>
    </row>
    <row r="646">
      <c r="B646" s="401"/>
    </row>
    <row r="647">
      <c r="B647" s="401"/>
    </row>
    <row r="648">
      <c r="B648" s="401"/>
    </row>
    <row r="649">
      <c r="B649" s="401"/>
    </row>
    <row r="650">
      <c r="B650" s="401"/>
    </row>
    <row r="651">
      <c r="B651" s="401"/>
    </row>
    <row r="652">
      <c r="B652" s="401"/>
    </row>
    <row r="653">
      <c r="B653" s="401"/>
    </row>
    <row r="654">
      <c r="B654" s="401"/>
    </row>
    <row r="655">
      <c r="B655" s="401"/>
    </row>
    <row r="656">
      <c r="B656" s="401"/>
    </row>
    <row r="657">
      <c r="B657" s="401"/>
    </row>
    <row r="658">
      <c r="B658" s="401"/>
    </row>
    <row r="659">
      <c r="B659" s="401"/>
    </row>
    <row r="660">
      <c r="B660" s="401"/>
    </row>
    <row r="661">
      <c r="B661" s="401"/>
    </row>
    <row r="662">
      <c r="B662" s="401"/>
    </row>
    <row r="663">
      <c r="B663" s="401"/>
    </row>
    <row r="664">
      <c r="B664" s="401"/>
    </row>
    <row r="665">
      <c r="B665" s="401"/>
    </row>
    <row r="666">
      <c r="B666" s="401"/>
    </row>
    <row r="667">
      <c r="B667" s="401"/>
    </row>
    <row r="668">
      <c r="B668" s="401"/>
    </row>
    <row r="669">
      <c r="B669" s="401"/>
    </row>
    <row r="670">
      <c r="B670" s="401"/>
    </row>
    <row r="671">
      <c r="B671" s="401"/>
    </row>
    <row r="672">
      <c r="B672" s="401"/>
    </row>
    <row r="673">
      <c r="B673" s="401"/>
    </row>
    <row r="674">
      <c r="B674" s="401"/>
    </row>
    <row r="675">
      <c r="B675" s="401"/>
    </row>
    <row r="676">
      <c r="B676" s="401"/>
    </row>
    <row r="677">
      <c r="B677" s="401"/>
    </row>
    <row r="678">
      <c r="B678" s="401"/>
    </row>
    <row r="679">
      <c r="B679" s="401"/>
    </row>
    <row r="680">
      <c r="B680" s="401"/>
    </row>
    <row r="681">
      <c r="B681" s="401"/>
    </row>
    <row r="682">
      <c r="B682" s="401"/>
    </row>
    <row r="683">
      <c r="B683" s="401"/>
    </row>
    <row r="684">
      <c r="B684" s="401"/>
    </row>
    <row r="685">
      <c r="B685" s="401"/>
    </row>
    <row r="686">
      <c r="B686" s="401"/>
    </row>
    <row r="687">
      <c r="B687" s="401"/>
    </row>
    <row r="688">
      <c r="B688" s="401"/>
    </row>
    <row r="689">
      <c r="B689" s="401"/>
    </row>
    <row r="690">
      <c r="B690" s="401"/>
    </row>
    <row r="691">
      <c r="B691" s="401"/>
    </row>
    <row r="692">
      <c r="B692" s="401"/>
    </row>
    <row r="693">
      <c r="B693" s="401"/>
    </row>
    <row r="694">
      <c r="B694" s="401"/>
    </row>
    <row r="695">
      <c r="B695" s="401"/>
    </row>
    <row r="696">
      <c r="B696" s="401"/>
    </row>
    <row r="697">
      <c r="B697" s="401"/>
    </row>
    <row r="698">
      <c r="B698" s="401"/>
    </row>
    <row r="699">
      <c r="B699" s="401"/>
    </row>
    <row r="700">
      <c r="B700" s="401"/>
    </row>
    <row r="701">
      <c r="B701" s="401"/>
    </row>
    <row r="702">
      <c r="B702" s="401"/>
    </row>
    <row r="703">
      <c r="B703" s="401"/>
    </row>
    <row r="704">
      <c r="B704" s="401"/>
    </row>
    <row r="705">
      <c r="B705" s="401"/>
    </row>
    <row r="706">
      <c r="B706" s="401"/>
    </row>
    <row r="707">
      <c r="B707" s="401"/>
    </row>
    <row r="708">
      <c r="B708" s="401"/>
    </row>
    <row r="709">
      <c r="B709" s="401"/>
    </row>
    <row r="710">
      <c r="B710" s="401"/>
    </row>
    <row r="711">
      <c r="B711" s="401"/>
    </row>
    <row r="712">
      <c r="B712" s="401"/>
    </row>
    <row r="713">
      <c r="B713" s="401"/>
    </row>
    <row r="714">
      <c r="B714" s="401"/>
    </row>
    <row r="715">
      <c r="B715" s="401"/>
    </row>
    <row r="716">
      <c r="B716" s="401"/>
    </row>
    <row r="717">
      <c r="B717" s="401"/>
    </row>
    <row r="718">
      <c r="B718" s="401"/>
    </row>
    <row r="719">
      <c r="B719" s="401"/>
    </row>
    <row r="720">
      <c r="B720" s="401"/>
    </row>
    <row r="721">
      <c r="B721" s="401"/>
    </row>
    <row r="722">
      <c r="B722" s="401"/>
    </row>
    <row r="723">
      <c r="B723" s="401"/>
    </row>
    <row r="724">
      <c r="B724" s="401"/>
    </row>
    <row r="725">
      <c r="B725" s="401"/>
    </row>
    <row r="726">
      <c r="B726" s="401"/>
    </row>
    <row r="727">
      <c r="B727" s="401"/>
    </row>
    <row r="728">
      <c r="B728" s="401"/>
    </row>
    <row r="729">
      <c r="B729" s="401"/>
    </row>
    <row r="730">
      <c r="B730" s="401"/>
    </row>
    <row r="731">
      <c r="B731" s="401"/>
    </row>
    <row r="732">
      <c r="B732" s="401"/>
    </row>
    <row r="733">
      <c r="B733" s="401"/>
    </row>
    <row r="734">
      <c r="B734" s="401"/>
    </row>
    <row r="735">
      <c r="B735" s="401"/>
    </row>
    <row r="736">
      <c r="B736" s="401"/>
    </row>
    <row r="737">
      <c r="B737" s="401"/>
    </row>
    <row r="738">
      <c r="B738" s="401"/>
    </row>
    <row r="739">
      <c r="B739" s="401"/>
    </row>
    <row r="740">
      <c r="B740" s="401"/>
    </row>
    <row r="741">
      <c r="B741" s="401"/>
    </row>
    <row r="742">
      <c r="B742" s="401"/>
    </row>
    <row r="743">
      <c r="B743" s="401"/>
    </row>
    <row r="744">
      <c r="B744" s="401"/>
    </row>
    <row r="745">
      <c r="B745" s="401"/>
    </row>
    <row r="746">
      <c r="B746" s="401"/>
    </row>
    <row r="747">
      <c r="B747" s="401"/>
    </row>
    <row r="748">
      <c r="B748" s="401"/>
    </row>
    <row r="749">
      <c r="B749" s="401"/>
    </row>
    <row r="750">
      <c r="B750" s="401"/>
    </row>
    <row r="751">
      <c r="B751" s="401"/>
    </row>
    <row r="752">
      <c r="B752" s="401"/>
    </row>
    <row r="753">
      <c r="B753" s="401"/>
    </row>
    <row r="754">
      <c r="B754" s="401"/>
    </row>
    <row r="755">
      <c r="B755" s="401"/>
    </row>
    <row r="756">
      <c r="B756" s="401"/>
    </row>
    <row r="757">
      <c r="B757" s="401"/>
    </row>
    <row r="758">
      <c r="B758" s="401"/>
    </row>
    <row r="759">
      <c r="B759" s="401"/>
    </row>
    <row r="760">
      <c r="B760" s="401"/>
    </row>
    <row r="761">
      <c r="B761" s="401"/>
    </row>
    <row r="762">
      <c r="B762" s="401"/>
    </row>
    <row r="763">
      <c r="B763" s="401"/>
    </row>
    <row r="764">
      <c r="B764" s="401"/>
    </row>
    <row r="765">
      <c r="B765" s="401"/>
    </row>
    <row r="766">
      <c r="B766" s="401"/>
    </row>
    <row r="767">
      <c r="B767" s="401"/>
    </row>
    <row r="768">
      <c r="B768" s="401"/>
    </row>
    <row r="769">
      <c r="B769" s="401"/>
    </row>
    <row r="770">
      <c r="B770" s="401"/>
    </row>
    <row r="771">
      <c r="B771" s="401"/>
    </row>
    <row r="772">
      <c r="B772" s="401"/>
    </row>
    <row r="773">
      <c r="B773" s="401"/>
    </row>
    <row r="774">
      <c r="B774" s="401"/>
    </row>
    <row r="775">
      <c r="B775" s="401"/>
    </row>
    <row r="776">
      <c r="B776" s="401"/>
    </row>
    <row r="777">
      <c r="B777" s="401"/>
    </row>
    <row r="778">
      <c r="B778" s="401"/>
    </row>
    <row r="779">
      <c r="B779" s="401"/>
    </row>
    <row r="780">
      <c r="B780" s="401"/>
    </row>
    <row r="781">
      <c r="B781" s="401"/>
    </row>
    <row r="782">
      <c r="B782" s="401"/>
    </row>
    <row r="783">
      <c r="B783" s="401"/>
    </row>
    <row r="784">
      <c r="B784" s="401"/>
    </row>
    <row r="785">
      <c r="B785" s="401"/>
    </row>
    <row r="786">
      <c r="B786" s="401"/>
    </row>
    <row r="787">
      <c r="B787" s="401"/>
    </row>
    <row r="788">
      <c r="B788" s="401"/>
    </row>
    <row r="789">
      <c r="B789" s="401"/>
    </row>
    <row r="790">
      <c r="B790" s="401"/>
    </row>
    <row r="791">
      <c r="B791" s="401"/>
    </row>
    <row r="792">
      <c r="B792" s="401"/>
    </row>
    <row r="793">
      <c r="B793" s="401"/>
    </row>
    <row r="794">
      <c r="B794" s="401"/>
    </row>
    <row r="795">
      <c r="B795" s="401"/>
    </row>
    <row r="796">
      <c r="B796" s="401"/>
    </row>
    <row r="797">
      <c r="B797" s="401"/>
    </row>
    <row r="798">
      <c r="B798" s="401"/>
    </row>
    <row r="799">
      <c r="B799" s="401"/>
    </row>
    <row r="800">
      <c r="B800" s="401"/>
    </row>
    <row r="801">
      <c r="B801" s="401"/>
    </row>
    <row r="802">
      <c r="B802" s="401"/>
    </row>
    <row r="803">
      <c r="B803" s="401"/>
    </row>
    <row r="804">
      <c r="B804" s="401"/>
    </row>
    <row r="805">
      <c r="B805" s="401"/>
    </row>
    <row r="806">
      <c r="B806" s="401"/>
    </row>
    <row r="807">
      <c r="B807" s="401"/>
    </row>
    <row r="808">
      <c r="B808" s="401"/>
    </row>
    <row r="809">
      <c r="B809" s="401"/>
    </row>
    <row r="810">
      <c r="B810" s="401"/>
    </row>
    <row r="811">
      <c r="B811" s="401"/>
    </row>
    <row r="812">
      <c r="B812" s="401"/>
    </row>
    <row r="813">
      <c r="B813" s="401"/>
    </row>
    <row r="814">
      <c r="B814" s="401"/>
    </row>
    <row r="815">
      <c r="B815" s="401"/>
    </row>
    <row r="816">
      <c r="B816" s="401"/>
    </row>
    <row r="817">
      <c r="B817" s="401"/>
    </row>
    <row r="818">
      <c r="B818" s="401"/>
    </row>
    <row r="819">
      <c r="B819" s="401"/>
    </row>
    <row r="820">
      <c r="B820" s="401"/>
    </row>
    <row r="821">
      <c r="B821" s="401"/>
    </row>
    <row r="822">
      <c r="B822" s="401"/>
    </row>
    <row r="823">
      <c r="B823" s="401"/>
    </row>
    <row r="824">
      <c r="B824" s="401"/>
    </row>
    <row r="825">
      <c r="B825" s="401"/>
    </row>
    <row r="826">
      <c r="B826" s="401"/>
    </row>
    <row r="827">
      <c r="B827" s="401"/>
    </row>
    <row r="828">
      <c r="B828" s="401"/>
    </row>
    <row r="829">
      <c r="B829" s="401"/>
    </row>
    <row r="830">
      <c r="B830" s="401"/>
    </row>
    <row r="831">
      <c r="B831" s="401"/>
    </row>
    <row r="832">
      <c r="B832" s="401"/>
    </row>
    <row r="833">
      <c r="B833" s="401"/>
    </row>
    <row r="834">
      <c r="B834" s="401"/>
    </row>
    <row r="835">
      <c r="B835" s="401"/>
    </row>
    <row r="836">
      <c r="B836" s="401"/>
    </row>
    <row r="837">
      <c r="B837" s="401"/>
    </row>
    <row r="838">
      <c r="B838" s="401"/>
    </row>
    <row r="839">
      <c r="B839" s="401"/>
    </row>
    <row r="840">
      <c r="B840" s="401"/>
    </row>
    <row r="841">
      <c r="B841" s="401"/>
    </row>
    <row r="842">
      <c r="B842" s="401"/>
    </row>
    <row r="843">
      <c r="B843" s="401"/>
    </row>
    <row r="844">
      <c r="B844" s="401"/>
    </row>
    <row r="845">
      <c r="B845" s="401"/>
    </row>
    <row r="846">
      <c r="B846" s="401"/>
    </row>
    <row r="847">
      <c r="B847" s="401"/>
    </row>
    <row r="848">
      <c r="B848" s="401"/>
    </row>
    <row r="849">
      <c r="B849" s="401"/>
    </row>
    <row r="850">
      <c r="B850" s="401"/>
    </row>
    <row r="851">
      <c r="B851" s="401"/>
    </row>
    <row r="852">
      <c r="B852" s="401"/>
    </row>
    <row r="853">
      <c r="B853" s="401"/>
    </row>
    <row r="854">
      <c r="B854" s="401"/>
    </row>
    <row r="855">
      <c r="B855" s="401"/>
    </row>
    <row r="856">
      <c r="B856" s="401"/>
    </row>
    <row r="857">
      <c r="B857" s="401"/>
    </row>
    <row r="858">
      <c r="B858" s="401"/>
    </row>
    <row r="859">
      <c r="B859" s="401"/>
    </row>
    <row r="860">
      <c r="B860" s="401"/>
    </row>
    <row r="861">
      <c r="B861" s="401"/>
    </row>
    <row r="862">
      <c r="B862" s="401"/>
    </row>
    <row r="863">
      <c r="B863" s="401"/>
    </row>
    <row r="864">
      <c r="B864" s="401"/>
    </row>
    <row r="865">
      <c r="B865" s="401"/>
    </row>
    <row r="866">
      <c r="B866" s="401"/>
    </row>
    <row r="867">
      <c r="B867" s="401"/>
    </row>
    <row r="868">
      <c r="B868" s="401"/>
    </row>
    <row r="869">
      <c r="B869" s="401"/>
    </row>
    <row r="870">
      <c r="B870" s="401"/>
    </row>
    <row r="871">
      <c r="B871" s="401"/>
    </row>
    <row r="872">
      <c r="B872" s="401"/>
    </row>
    <row r="873">
      <c r="B873" s="401"/>
    </row>
    <row r="874">
      <c r="B874" s="401"/>
    </row>
    <row r="875">
      <c r="B875" s="401"/>
    </row>
    <row r="876">
      <c r="B876" s="401"/>
    </row>
    <row r="877">
      <c r="B877" s="401"/>
    </row>
    <row r="878">
      <c r="B878" s="401"/>
    </row>
    <row r="879">
      <c r="B879" s="401"/>
    </row>
    <row r="880">
      <c r="B880" s="401"/>
    </row>
    <row r="881">
      <c r="B881" s="401"/>
    </row>
    <row r="882">
      <c r="B882" s="401"/>
    </row>
    <row r="883">
      <c r="B883" s="401"/>
    </row>
    <row r="884">
      <c r="B884" s="401"/>
    </row>
    <row r="885">
      <c r="B885" s="401"/>
    </row>
    <row r="886">
      <c r="B886" s="401"/>
    </row>
    <row r="887">
      <c r="B887" s="401"/>
    </row>
    <row r="888">
      <c r="B888" s="401"/>
    </row>
    <row r="889">
      <c r="B889" s="401"/>
    </row>
    <row r="890">
      <c r="B890" s="401"/>
    </row>
    <row r="891">
      <c r="B891" s="401"/>
    </row>
    <row r="892">
      <c r="B892" s="401"/>
    </row>
    <row r="893">
      <c r="B893" s="401"/>
    </row>
    <row r="894">
      <c r="B894" s="401"/>
    </row>
    <row r="895">
      <c r="B895" s="401"/>
    </row>
    <row r="896">
      <c r="B896" s="401"/>
    </row>
    <row r="897">
      <c r="B897" s="401"/>
    </row>
    <row r="898">
      <c r="B898" s="401"/>
    </row>
    <row r="899">
      <c r="B899" s="401"/>
    </row>
    <row r="900">
      <c r="B900" s="401"/>
    </row>
    <row r="901">
      <c r="B901" s="401"/>
    </row>
    <row r="902">
      <c r="B902" s="401"/>
    </row>
    <row r="903">
      <c r="B903" s="401"/>
    </row>
    <row r="904">
      <c r="B904" s="401"/>
    </row>
    <row r="905">
      <c r="B905" s="401"/>
    </row>
    <row r="906">
      <c r="B906" s="401"/>
    </row>
    <row r="907">
      <c r="B907" s="401"/>
    </row>
    <row r="908">
      <c r="B908" s="401"/>
    </row>
    <row r="909">
      <c r="B909" s="401"/>
    </row>
    <row r="910">
      <c r="B910" s="401"/>
    </row>
    <row r="911">
      <c r="B911" s="401"/>
    </row>
    <row r="912">
      <c r="B912" s="401"/>
    </row>
    <row r="913">
      <c r="B913" s="401"/>
    </row>
    <row r="914">
      <c r="B914" s="401"/>
    </row>
    <row r="915">
      <c r="B915" s="401"/>
    </row>
    <row r="916">
      <c r="B916" s="401"/>
    </row>
    <row r="917">
      <c r="B917" s="401"/>
    </row>
    <row r="918">
      <c r="B918" s="401"/>
    </row>
    <row r="919">
      <c r="B919" s="401"/>
    </row>
    <row r="920">
      <c r="B920" s="401"/>
    </row>
    <row r="921">
      <c r="B921" s="401"/>
    </row>
    <row r="922">
      <c r="B922" s="401"/>
    </row>
    <row r="923">
      <c r="B923" s="401"/>
    </row>
    <row r="924">
      <c r="B924" s="401"/>
    </row>
    <row r="925">
      <c r="B925" s="401"/>
    </row>
    <row r="926">
      <c r="B926" s="401"/>
    </row>
    <row r="927">
      <c r="B927" s="401"/>
    </row>
    <row r="928">
      <c r="B928" s="401"/>
    </row>
    <row r="929">
      <c r="B929" s="401"/>
    </row>
    <row r="930">
      <c r="B930" s="401"/>
    </row>
    <row r="931">
      <c r="B931" s="401"/>
    </row>
    <row r="932">
      <c r="B932" s="401"/>
    </row>
    <row r="933">
      <c r="B933" s="401"/>
    </row>
    <row r="934">
      <c r="B934" s="401"/>
    </row>
    <row r="935">
      <c r="B935" s="401"/>
    </row>
    <row r="936">
      <c r="B936" s="401"/>
    </row>
    <row r="937">
      <c r="B937" s="401"/>
    </row>
    <row r="938">
      <c r="B938" s="401"/>
    </row>
    <row r="939">
      <c r="B939" s="401"/>
    </row>
    <row r="940">
      <c r="B940" s="401"/>
    </row>
    <row r="941">
      <c r="B941" s="401"/>
    </row>
    <row r="942">
      <c r="B942" s="401"/>
    </row>
    <row r="943">
      <c r="B943" s="401"/>
    </row>
    <row r="944">
      <c r="B944" s="401"/>
    </row>
    <row r="945">
      <c r="B945" s="401"/>
    </row>
    <row r="946">
      <c r="B946" s="401"/>
    </row>
    <row r="947">
      <c r="B947" s="401"/>
    </row>
    <row r="948">
      <c r="B948" s="401"/>
    </row>
    <row r="949">
      <c r="B949" s="401"/>
    </row>
    <row r="950">
      <c r="B950" s="401"/>
    </row>
    <row r="951">
      <c r="B951" s="401"/>
    </row>
    <row r="952">
      <c r="B952" s="401"/>
    </row>
    <row r="953">
      <c r="B953" s="401"/>
    </row>
    <row r="954">
      <c r="B954" s="401"/>
    </row>
    <row r="955">
      <c r="B955" s="401"/>
    </row>
    <row r="956">
      <c r="B956" s="401"/>
    </row>
    <row r="957">
      <c r="B957" s="401"/>
    </row>
    <row r="958">
      <c r="B958" s="401"/>
    </row>
    <row r="959">
      <c r="B959" s="401"/>
    </row>
    <row r="960">
      <c r="B960" s="401"/>
    </row>
    <row r="961">
      <c r="B961" s="401"/>
    </row>
    <row r="962">
      <c r="B962" s="401"/>
    </row>
    <row r="963">
      <c r="B963" s="401"/>
    </row>
    <row r="964">
      <c r="B964" s="401"/>
    </row>
    <row r="965">
      <c r="B965" s="401"/>
    </row>
    <row r="966">
      <c r="B966" s="401"/>
    </row>
    <row r="967">
      <c r="B967" s="401"/>
    </row>
    <row r="968">
      <c r="B968" s="401"/>
    </row>
    <row r="969">
      <c r="B969" s="401"/>
    </row>
    <row r="970">
      <c r="B970" s="401"/>
    </row>
    <row r="971">
      <c r="B971" s="401"/>
    </row>
    <row r="972">
      <c r="B972" s="401"/>
    </row>
    <row r="973">
      <c r="B973" s="401"/>
    </row>
    <row r="974">
      <c r="B974" s="401"/>
    </row>
    <row r="975">
      <c r="B975" s="401"/>
    </row>
    <row r="976">
      <c r="B976" s="401"/>
    </row>
    <row r="977">
      <c r="B977" s="401"/>
    </row>
    <row r="978">
      <c r="B978" s="401"/>
    </row>
    <row r="979">
      <c r="B979" s="401"/>
    </row>
    <row r="980">
      <c r="B980" s="401"/>
    </row>
    <row r="981">
      <c r="B981" s="401"/>
    </row>
    <row r="982">
      <c r="B982" s="401"/>
    </row>
    <row r="983">
      <c r="B983" s="401"/>
    </row>
    <row r="984">
      <c r="B984" s="401"/>
    </row>
    <row r="985">
      <c r="B985" s="401"/>
    </row>
    <row r="986">
      <c r="B986" s="401"/>
    </row>
    <row r="987">
      <c r="B987" s="401"/>
    </row>
    <row r="988">
      <c r="B988" s="401"/>
    </row>
    <row r="989">
      <c r="B989" s="401"/>
    </row>
    <row r="990">
      <c r="B990" s="401"/>
    </row>
    <row r="991">
      <c r="B991" s="401"/>
    </row>
    <row r="992">
      <c r="B992" s="401"/>
    </row>
    <row r="993">
      <c r="B993" s="401"/>
    </row>
    <row r="994">
      <c r="B994" s="401"/>
    </row>
    <row r="995">
      <c r="B995" s="401"/>
    </row>
    <row r="996">
      <c r="B996" s="401"/>
    </row>
    <row r="997">
      <c r="B997" s="401"/>
    </row>
    <row r="998">
      <c r="B998" s="401"/>
    </row>
    <row r="999">
      <c r="B999" s="401"/>
    </row>
    <row r="1000">
      <c r="B1000" s="401"/>
    </row>
    <row r="1001">
      <c r="B1001" s="401"/>
    </row>
    <row r="1002">
      <c r="B1002" s="401"/>
    </row>
    <row r="1003">
      <c r="B1003" s="401"/>
    </row>
    <row r="1004">
      <c r="B1004" s="401"/>
    </row>
    <row r="1005">
      <c r="B1005" s="401"/>
    </row>
    <row r="1006">
      <c r="B1006" s="401"/>
    </row>
    <row r="1007">
      <c r="B1007" s="401"/>
    </row>
    <row r="1008">
      <c r="B1008" s="401"/>
    </row>
    <row r="1009">
      <c r="B1009" s="401"/>
    </row>
    <row r="1010">
      <c r="B1010" s="401"/>
    </row>
    <row r="1011">
      <c r="B1011" s="401"/>
    </row>
    <row r="1012">
      <c r="B1012" s="401"/>
    </row>
    <row r="1013">
      <c r="B1013" s="401"/>
    </row>
    <row r="1014">
      <c r="B1014" s="401"/>
    </row>
    <row r="1015">
      <c r="B1015" s="401"/>
    </row>
    <row r="1016">
      <c r="B1016" s="401"/>
    </row>
    <row r="1017">
      <c r="B1017" s="401"/>
    </row>
    <row r="1018">
      <c r="B1018" s="401"/>
    </row>
    <row r="1019">
      <c r="B1019" s="401"/>
    </row>
    <row r="1020">
      <c r="B1020" s="401"/>
    </row>
    <row r="1021">
      <c r="B1021" s="401"/>
    </row>
    <row r="1022">
      <c r="B1022" s="401"/>
    </row>
    <row r="1023">
      <c r="B1023" s="401"/>
    </row>
    <row r="1024">
      <c r="B1024" s="401"/>
    </row>
    <row r="1025">
      <c r="B1025" s="401"/>
    </row>
    <row r="1026">
      <c r="B1026" s="401"/>
    </row>
    <row r="1027">
      <c r="B1027" s="401"/>
    </row>
    <row r="1028">
      <c r="B1028" s="401"/>
    </row>
    <row r="1029">
      <c r="B1029" s="401"/>
    </row>
    <row r="1030">
      <c r="B1030" s="401"/>
    </row>
    <row r="1031">
      <c r="B1031" s="401"/>
    </row>
    <row r="1032">
      <c r="B1032" s="401"/>
    </row>
    <row r="1033">
      <c r="B1033" s="401"/>
    </row>
    <row r="1034">
      <c r="B1034" s="401"/>
    </row>
    <row r="1035">
      <c r="B1035" s="401"/>
    </row>
    <row r="1036">
      <c r="B1036" s="401"/>
    </row>
    <row r="1037">
      <c r="B1037" s="401"/>
    </row>
    <row r="1038">
      <c r="B1038" s="401"/>
    </row>
    <row r="1039">
      <c r="B1039" s="401"/>
    </row>
    <row r="1040">
      <c r="B1040" s="401"/>
    </row>
    <row r="1041">
      <c r="B1041" s="401"/>
    </row>
    <row r="1042">
      <c r="B1042" s="401"/>
    </row>
  </sheetData>
  <autoFilter ref="$A$1:$Z$88">
    <sortState ref="A1:Z88">
      <sortCondition descending="1" ref="B1:B88"/>
    </sortState>
  </autoFilter>
  <drawing r:id="rId1"/>
</worksheet>
</file>